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drawings/drawing2.xml" ContentType="application/vnd.openxmlformats-officedocument.drawingml.chartsha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threadedComments/threadedComment2.xml" ContentType="application/vnd.ms-excel.threaded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tables/table3.xml" ContentType="application/vnd.openxmlformats-officedocument.spreadsheetml.table+xml"/>
  <Override PartName="/xl/comments7.xml" ContentType="application/vnd.openxmlformats-officedocument.spreadsheetml.comments+xml"/>
  <Override PartName="/xl/tables/table4.xml" ContentType="application/vnd.openxmlformats-officedocument.spreadsheetml.table+xml"/>
  <Override PartName="/xl/comments8.xml" ContentType="application/vnd.openxmlformats-officedocument.spreadsheetml.comments+xml"/>
  <Override PartName="/xl/tables/table5.xml" ContentType="application/vnd.openxmlformats-officedocument.spreadsheetml.table+xml"/>
  <Override PartName="/xl/comments9.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ables/table8.xml" ContentType="application/vnd.openxmlformats-officedocument.spreadsheetml.table+xml"/>
  <Override PartName="/xl/comments1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hidePivotFieldList="1"/>
  <mc:AlternateContent xmlns:mc="http://schemas.openxmlformats.org/markup-compatibility/2006">
    <mc:Choice Requires="x15">
      <x15ac:absPath xmlns:x15ac="http://schemas.microsoft.com/office/spreadsheetml/2010/11/ac" url="Y:\7_Enheter\Energisystem\Statistik\Fjärrvärme\Leveranser och graddagar\Graddagar 2022\"/>
    </mc:Choice>
  </mc:AlternateContent>
  <xr:revisionPtr revIDLastSave="0" documentId="8_{9189912A-BA8A-46C6-AEBA-532A8DB38F55}" xr6:coauthVersionLast="47" xr6:coauthVersionMax="47" xr10:uidLastSave="{00000000-0000-0000-0000-000000000000}"/>
  <workbookProtection lockStructure="1"/>
  <bookViews>
    <workbookView xWindow="-120" yWindow="-120" windowWidth="29040" windowHeight="15840" tabRatio="731" xr2:uid="{00000000-000D-0000-FFFF-FFFF00000000}"/>
  </bookViews>
  <sheets>
    <sheet name="Om statistiken" sheetId="23" r:id="rId1"/>
    <sheet name="Info Excelfil" sheetId="22" state="hidden" r:id="rId2"/>
    <sheet name="Resultatblad" sheetId="2" r:id="rId3"/>
    <sheet name="Funktionsblad" sheetId="5" state="hidden" r:id="rId4"/>
    <sheet name="Korrigeringsfaktor GD" sheetId="3" state="hidden" r:id="rId5"/>
    <sheet name="Korrigeringsfaktor EI" sheetId="6" state="hidden" r:id="rId6"/>
    <sheet name="Nya orter" sheetId="19" state="hidden" r:id="rId7"/>
    <sheet name="Korrigerade leveranser GD" sheetId="4" state="hidden" r:id="rId8"/>
    <sheet name="Korrigerade leveranser EI" sheetId="7" state="hidden" r:id="rId9"/>
    <sheet name="Leveranser per nät" sheetId="1" state="hidden" r:id="rId10"/>
    <sheet name="Lev 2022" sheetId="30" state="hidden" r:id="rId11"/>
    <sheet name="Lev 2021" sheetId="28" state="hidden" r:id="rId12"/>
    <sheet name="Lev 2020" sheetId="27" state="hidden" r:id="rId13"/>
    <sheet name="Lev2019" sheetId="25" state="hidden" r:id="rId14"/>
    <sheet name="Lev2018" sheetId="18" state="hidden" r:id="rId15"/>
    <sheet name="Lev 2017" sheetId="16" state="hidden" r:id="rId16"/>
    <sheet name="Lev 2016" sheetId="13" state="hidden" r:id="rId17"/>
    <sheet name="Lev 2015" sheetId="12" state="hidden" r:id="rId18"/>
    <sheet name="lev 2014" sheetId="10" state="hidden" r:id="rId19"/>
    <sheet name="lev 2013" sheetId="9" state="hidden" r:id="rId20"/>
    <sheet name="lev 2012" sheetId="8" state="hidden" r:id="rId21"/>
    <sheet name="Indexnamn" sheetId="15" state="hidden" r:id="rId22"/>
    <sheet name="Info Lev per nät" sheetId="21" state="hidden" r:id="rId23"/>
  </sheets>
  <externalReferences>
    <externalReference r:id="rId24"/>
  </externalReferences>
  <definedNames>
    <definedName name="_xlnm._FilterDatabase" localSheetId="8" hidden="1">'Korrigerade leveranser EI'!$AA$2:$AC$518</definedName>
    <definedName name="_xlnm._FilterDatabase" localSheetId="7" hidden="1">'Korrigerade leveranser GD'!$A$2:$AD$490</definedName>
    <definedName name="_xlnm._FilterDatabase" localSheetId="5" hidden="1">'Korrigeringsfaktor EI'!$A$2:$X$311</definedName>
    <definedName name="_xlnm._FilterDatabase" localSheetId="4" hidden="1">'Korrigeringsfaktor GD'!$A$2:$X$316</definedName>
    <definedName name="_xlnm._FilterDatabase" localSheetId="20" hidden="1">'lev 2012'!$A$1:$E$459</definedName>
    <definedName name="_xlnm._FilterDatabase" localSheetId="18" hidden="1">'lev 2014'!$A$1:$E$436</definedName>
    <definedName name="_xlnm._FilterDatabase" localSheetId="9" hidden="1">'Leveranser per nät'!$A$2:$AC$524</definedName>
    <definedName name="Andel_beroende_av_klimat">'Leveranser per nät'!$B$529</definedName>
    <definedName name="Andel_oberoende_av_klimat">'Leveranser per nät'!$B$530</definedName>
    <definedName name="Korrigeringsfaktor_EI">'Korrigeringsfaktor EI'!$B$3:$DD$316</definedName>
    <definedName name="Korrigeringsfaktor_GD">'Korrigeringsfaktor GD'!$B$3:$DE$316</definedName>
    <definedName name="Leveranser_per_nät">'Leveranser per nät'!$A$2:$AD$527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48" i="1" l="1"/>
  <c r="AC326" i="1"/>
  <c r="AC144" i="1"/>
  <c r="AC286" i="1"/>
  <c r="AC288" i="1"/>
  <c r="Z315" i="3" l="1"/>
  <c r="AC316" i="6"/>
  <c r="AC313" i="6"/>
  <c r="C313" i="6"/>
  <c r="D313" i="6"/>
  <c r="E313" i="6"/>
  <c r="F313" i="6"/>
  <c r="G313" i="6"/>
  <c r="H313" i="6"/>
  <c r="I313" i="6"/>
  <c r="J313" i="6"/>
  <c r="C314" i="6"/>
  <c r="D314" i="6"/>
  <c r="E314" i="6"/>
  <c r="F314" i="6"/>
  <c r="G314" i="6"/>
  <c r="H314" i="6"/>
  <c r="I314" i="6"/>
  <c r="J314" i="6"/>
  <c r="U313" i="3"/>
  <c r="AC314" i="3"/>
  <c r="AB314" i="3"/>
  <c r="AA314" i="3"/>
  <c r="Z314" i="3"/>
  <c r="Y314" i="3"/>
  <c r="X314" i="3"/>
  <c r="W314" i="3"/>
  <c r="V314" i="3"/>
  <c r="W313" i="3"/>
  <c r="X313" i="3"/>
  <c r="Y313" i="3"/>
  <c r="Z313" i="3"/>
  <c r="AA313" i="3"/>
  <c r="AB313" i="3"/>
  <c r="AC313" i="3"/>
  <c r="V313" i="3"/>
  <c r="W315" i="3"/>
  <c r="X315" i="3"/>
  <c r="Y315" i="3"/>
  <c r="AA315" i="3"/>
  <c r="AB315" i="3"/>
  <c r="AC315" i="3"/>
  <c r="V315" i="3"/>
  <c r="AC316" i="3"/>
  <c r="Y316" i="3"/>
  <c r="Z316" i="3"/>
  <c r="AA316" i="3"/>
  <c r="AB316" i="3"/>
  <c r="AN3" i="3"/>
  <c r="AC492" i="4"/>
  <c r="AC5" i="7"/>
  <c r="AC11" i="7"/>
  <c r="AC19" i="7"/>
  <c r="AC21" i="7"/>
  <c r="AC30" i="7"/>
  <c r="AC43" i="7"/>
  <c r="AC44" i="7"/>
  <c r="AC47" i="7"/>
  <c r="AC50" i="7"/>
  <c r="AC58" i="7"/>
  <c r="AC59" i="7"/>
  <c r="AC67" i="7"/>
  <c r="AC72" i="7"/>
  <c r="AC76" i="7"/>
  <c r="AC84" i="7"/>
  <c r="AC95" i="7"/>
  <c r="AC96" i="7"/>
  <c r="AC107" i="7"/>
  <c r="AC118" i="7"/>
  <c r="AC119" i="7"/>
  <c r="AC127" i="7"/>
  <c r="AC129" i="7"/>
  <c r="AC133" i="7"/>
  <c r="AC139" i="7"/>
  <c r="AC140" i="7"/>
  <c r="AC145" i="7"/>
  <c r="AC149" i="7"/>
  <c r="AC151" i="7"/>
  <c r="AC158" i="7"/>
  <c r="AC160" i="7"/>
  <c r="AC161" i="7"/>
  <c r="AC162" i="7"/>
  <c r="AC173" i="7"/>
  <c r="AC178" i="7"/>
  <c r="AC180" i="7"/>
  <c r="AC181" i="7"/>
  <c r="AC189" i="7"/>
  <c r="AC191" i="7"/>
  <c r="AC200" i="7"/>
  <c r="AC206" i="7"/>
  <c r="AC207" i="7"/>
  <c r="AC209" i="7"/>
  <c r="AC212" i="7"/>
  <c r="AC214" i="7"/>
  <c r="AC217" i="7"/>
  <c r="AC218" i="7"/>
  <c r="AC220" i="7"/>
  <c r="AC222" i="7"/>
  <c r="AC226" i="7"/>
  <c r="AC228" i="7"/>
  <c r="AC229" i="7"/>
  <c r="AC239" i="7"/>
  <c r="AC241" i="7"/>
  <c r="AC248" i="7"/>
  <c r="AC251" i="7"/>
  <c r="AC253" i="7"/>
  <c r="AC256" i="7"/>
  <c r="AC260" i="7"/>
  <c r="AC270" i="7"/>
  <c r="AC272" i="7"/>
  <c r="AC279" i="7"/>
  <c r="AC281" i="7"/>
  <c r="AC283" i="7"/>
  <c r="AC284" i="7"/>
  <c r="AC289" i="7"/>
  <c r="AC294" i="7"/>
  <c r="AC296" i="7"/>
  <c r="AC300" i="7"/>
  <c r="AC302" i="7"/>
  <c r="AC303" i="7"/>
  <c r="AC305" i="7"/>
  <c r="AC314" i="7"/>
  <c r="AC325" i="7"/>
  <c r="AC338" i="7"/>
  <c r="AC346" i="7"/>
  <c r="AC353" i="7"/>
  <c r="AC357" i="7"/>
  <c r="AC358" i="7"/>
  <c r="AC369" i="7"/>
  <c r="AC373" i="7"/>
  <c r="AC376" i="7"/>
  <c r="AC378" i="7"/>
  <c r="AC380" i="7"/>
  <c r="AC383" i="7"/>
  <c r="AC386" i="7"/>
  <c r="AC390" i="7"/>
  <c r="AC395" i="7"/>
  <c r="AC400" i="7"/>
  <c r="AC406" i="7"/>
  <c r="AC410" i="7"/>
  <c r="AC417" i="7"/>
  <c r="AC425" i="7"/>
  <c r="AC435" i="7"/>
  <c r="AC450" i="7"/>
  <c r="AC452" i="7"/>
  <c r="AC454" i="7"/>
  <c r="AC461" i="7"/>
  <c r="AC469" i="7"/>
  <c r="AC472" i="7"/>
  <c r="AC473" i="7"/>
  <c r="AC474" i="7"/>
  <c r="AC476" i="7"/>
  <c r="AC478" i="7"/>
  <c r="AC480" i="7"/>
  <c r="AC482" i="7"/>
  <c r="AC484" i="7"/>
  <c r="AC489" i="7"/>
  <c r="AC490" i="7"/>
  <c r="AC491" i="7"/>
  <c r="AC503" i="7"/>
  <c r="AC520" i="7"/>
  <c r="AC192" i="4"/>
  <c r="AC198" i="4"/>
  <c r="AC199" i="4"/>
  <c r="AC201" i="4"/>
  <c r="AC204" i="4"/>
  <c r="AC206" i="4"/>
  <c r="AC209" i="4"/>
  <c r="AC211" i="4"/>
  <c r="AC213" i="4"/>
  <c r="AC218" i="4"/>
  <c r="AC219" i="4"/>
  <c r="AC229" i="4"/>
  <c r="AC231" i="4"/>
  <c r="AC240" i="4"/>
  <c r="AC242" i="4"/>
  <c r="AC245" i="4"/>
  <c r="AC262" i="4"/>
  <c r="AC267" i="4"/>
  <c r="AC269" i="4"/>
  <c r="AC273" i="4"/>
  <c r="AC278" i="4"/>
  <c r="AC280" i="4"/>
  <c r="AC286" i="4"/>
  <c r="AC287" i="4"/>
  <c r="AC306" i="4"/>
  <c r="AC319" i="4"/>
  <c r="AC333" i="4"/>
  <c r="AC337" i="4"/>
  <c r="AC338" i="4"/>
  <c r="AC341" i="4"/>
  <c r="AC350" i="4"/>
  <c r="AC354" i="4"/>
  <c r="AC357" i="4"/>
  <c r="AC359" i="4"/>
  <c r="AC368" i="4"/>
  <c r="AC373" i="4"/>
  <c r="AC383" i="4"/>
  <c r="AC387" i="4"/>
  <c r="AC394" i="4"/>
  <c r="AC402" i="4"/>
  <c r="AC412" i="4"/>
  <c r="AC428" i="4"/>
  <c r="AC430" i="4"/>
  <c r="AC444" i="4"/>
  <c r="AC447" i="4"/>
  <c r="AC450" i="4"/>
  <c r="AC452" i="4"/>
  <c r="AC454" i="4"/>
  <c r="AC456" i="4"/>
  <c r="AC461" i="4"/>
  <c r="AC462" i="4"/>
  <c r="AC463" i="4"/>
  <c r="AC475" i="4"/>
  <c r="AC10" i="4"/>
  <c r="AC18" i="4"/>
  <c r="AC20" i="4"/>
  <c r="AC30" i="4"/>
  <c r="AC31" i="4"/>
  <c r="AC44" i="4"/>
  <c r="AC49" i="4"/>
  <c r="AC56" i="4"/>
  <c r="AC57" i="4"/>
  <c r="AC65" i="4"/>
  <c r="AC66" i="4"/>
  <c r="AC74" i="4"/>
  <c r="AC90" i="4"/>
  <c r="AC93" i="4"/>
  <c r="AC94" i="4"/>
  <c r="AC104" i="4"/>
  <c r="AC115" i="4"/>
  <c r="AC116" i="4"/>
  <c r="AC124" i="4"/>
  <c r="AC126" i="4"/>
  <c r="AC130" i="4"/>
  <c r="AC136" i="4"/>
  <c r="AC137" i="4"/>
  <c r="AC142" i="4"/>
  <c r="AC146" i="4"/>
  <c r="AC148" i="4"/>
  <c r="AC155" i="4"/>
  <c r="AC157" i="4"/>
  <c r="AC158" i="4"/>
  <c r="AC169" i="4"/>
  <c r="AC174" i="4"/>
  <c r="AC176" i="4"/>
  <c r="AB10" i="4"/>
  <c r="AB13" i="4"/>
  <c r="AB18" i="4"/>
  <c r="AB20" i="4"/>
  <c r="AC315" i="6"/>
  <c r="AC314" i="6"/>
  <c r="AM303" i="6"/>
  <c r="AM295" i="6"/>
  <c r="AM287" i="6"/>
  <c r="AM279" i="6"/>
  <c r="AM271" i="6"/>
  <c r="AM247" i="6"/>
  <c r="AM207" i="6"/>
  <c r="AM205" i="6"/>
  <c r="AM199" i="6"/>
  <c r="AM191" i="6"/>
  <c r="AM186" i="6"/>
  <c r="AM183" i="6"/>
  <c r="AM179" i="6"/>
  <c r="AM175" i="6"/>
  <c r="AM171" i="6"/>
  <c r="AM167" i="6"/>
  <c r="AM160" i="6"/>
  <c r="AM159" i="6"/>
  <c r="AM155" i="6"/>
  <c r="AM152" i="6"/>
  <c r="AM151" i="6"/>
  <c r="AM149" i="6"/>
  <c r="AM147" i="6"/>
  <c r="AM144" i="6"/>
  <c r="AM143" i="6"/>
  <c r="AM141" i="6"/>
  <c r="AM139" i="6"/>
  <c r="AM138" i="6"/>
  <c r="AM136" i="6"/>
  <c r="AM135" i="6"/>
  <c r="AM133" i="6"/>
  <c r="AM131" i="6"/>
  <c r="AM130" i="6"/>
  <c r="AM127" i="6"/>
  <c r="AM122" i="6"/>
  <c r="AM120" i="6"/>
  <c r="AM119" i="6"/>
  <c r="AM117" i="6"/>
  <c r="AM115" i="6"/>
  <c r="AM114" i="6"/>
  <c r="AM112" i="6"/>
  <c r="AM111" i="6"/>
  <c r="AM109" i="6"/>
  <c r="AM107" i="6"/>
  <c r="AM106" i="6"/>
  <c r="AM104" i="6"/>
  <c r="AM103" i="6"/>
  <c r="AM101" i="6"/>
  <c r="AM98" i="6"/>
  <c r="AM96" i="6"/>
  <c r="AM95" i="6"/>
  <c r="AM93" i="6"/>
  <c r="AM90" i="6"/>
  <c r="AM87" i="6"/>
  <c r="AM86" i="6"/>
  <c r="AM85" i="6"/>
  <c r="AM83" i="6"/>
  <c r="AM82" i="6"/>
  <c r="AM79" i="6"/>
  <c r="AM75" i="6"/>
  <c r="AM71" i="6"/>
  <c r="AM69" i="6"/>
  <c r="AM66" i="6"/>
  <c r="AM63" i="6"/>
  <c r="AM61" i="6"/>
  <c r="AM59" i="6"/>
  <c r="AM58" i="6"/>
  <c r="AM55" i="6"/>
  <c r="AM53" i="6"/>
  <c r="AM50" i="6"/>
  <c r="AM47" i="6"/>
  <c r="AM46" i="6"/>
  <c r="AM45" i="6"/>
  <c r="AM43" i="6"/>
  <c r="AM42" i="6"/>
  <c r="AM39" i="6"/>
  <c r="AM37" i="6"/>
  <c r="AM34" i="6"/>
  <c r="AM31" i="6"/>
  <c r="AM30" i="6"/>
  <c r="AM29" i="6"/>
  <c r="AM27" i="6"/>
  <c r="AM26" i="6"/>
  <c r="AM24" i="6"/>
  <c r="AM23" i="6"/>
  <c r="AM22" i="6"/>
  <c r="AM21" i="6"/>
  <c r="AM19" i="6"/>
  <c r="AM18" i="6"/>
  <c r="AM15" i="6"/>
  <c r="AM14" i="6"/>
  <c r="AM11" i="6"/>
  <c r="AM10" i="6"/>
  <c r="AM8" i="6"/>
  <c r="AM7" i="6"/>
  <c r="AM5" i="6"/>
  <c r="AM3" i="6"/>
  <c r="AM312" i="6"/>
  <c r="AJ313" i="6"/>
  <c r="AM311" i="6" s="1"/>
  <c r="AJ312" i="6"/>
  <c r="AM310" i="6" s="1"/>
  <c r="AJ311" i="6"/>
  <c r="AM309" i="6" s="1"/>
  <c r="AJ310" i="6"/>
  <c r="AM307" i="6" s="1"/>
  <c r="AJ309" i="6"/>
  <c r="AM289" i="6" s="1"/>
  <c r="AJ308" i="6"/>
  <c r="AM306" i="6" s="1"/>
  <c r="AJ307" i="6"/>
  <c r="AM305" i="6" s="1"/>
  <c r="AJ306" i="6"/>
  <c r="AM304" i="6" s="1"/>
  <c r="AJ305" i="6"/>
  <c r="AJ304" i="6"/>
  <c r="AM302" i="6" s="1"/>
  <c r="AJ303" i="6"/>
  <c r="AM301" i="6" s="1"/>
  <c r="AJ302" i="6"/>
  <c r="AM300" i="6" s="1"/>
  <c r="AJ301" i="6"/>
  <c r="AM299" i="6" s="1"/>
  <c r="AJ300" i="6"/>
  <c r="AM298" i="6" s="1"/>
  <c r="AJ299" i="6"/>
  <c r="AM297" i="6" s="1"/>
  <c r="AJ298" i="6"/>
  <c r="AM296" i="6" s="1"/>
  <c r="AJ297" i="6"/>
  <c r="AJ296" i="6"/>
  <c r="AM294" i="6" s="1"/>
  <c r="AJ295" i="6"/>
  <c r="AM293" i="6" s="1"/>
  <c r="AJ294" i="6"/>
  <c r="AM292" i="6" s="1"/>
  <c r="AJ293" i="6"/>
  <c r="AM291" i="6" s="1"/>
  <c r="AJ292" i="6"/>
  <c r="AM308" i="6" s="1"/>
  <c r="AJ291" i="6"/>
  <c r="AM290" i="6" s="1"/>
  <c r="AJ290" i="6"/>
  <c r="AM288" i="6" s="1"/>
  <c r="AJ289" i="6"/>
  <c r="AJ288" i="6"/>
  <c r="AM286" i="6" s="1"/>
  <c r="AJ287" i="6"/>
  <c r="AM74" i="6" s="1"/>
  <c r="AJ286" i="6"/>
  <c r="AM285" i="6" s="1"/>
  <c r="AJ285" i="6"/>
  <c r="AM283" i="6" s="1"/>
  <c r="AJ284" i="6"/>
  <c r="AM282" i="6" s="1"/>
  <c r="AJ283" i="6"/>
  <c r="AM281" i="6" s="1"/>
  <c r="AJ282" i="6"/>
  <c r="AM280" i="6" s="1"/>
  <c r="AJ281" i="6"/>
  <c r="AJ280" i="6"/>
  <c r="AM278" i="6" s="1"/>
  <c r="AJ279" i="6"/>
  <c r="AM277" i="6" s="1"/>
  <c r="AJ278" i="6"/>
  <c r="AM276" i="6" s="1"/>
  <c r="AJ277" i="6"/>
  <c r="AM275" i="6" s="1"/>
  <c r="AJ276" i="6"/>
  <c r="AM274" i="6" s="1"/>
  <c r="AJ275" i="6"/>
  <c r="AM273" i="6" s="1"/>
  <c r="AJ274" i="6"/>
  <c r="AM272" i="6" s="1"/>
  <c r="AJ273" i="6"/>
  <c r="AJ272" i="6"/>
  <c r="AM270" i="6" s="1"/>
  <c r="AJ271" i="6"/>
  <c r="AM269" i="6" s="1"/>
  <c r="AJ270" i="6"/>
  <c r="AM268" i="6" s="1"/>
  <c r="AJ269" i="6"/>
  <c r="AM267" i="6" s="1"/>
  <c r="AJ268" i="6"/>
  <c r="AM266" i="6" s="1"/>
  <c r="AJ267" i="6"/>
  <c r="AM265" i="6" s="1"/>
  <c r="AJ266" i="6"/>
  <c r="AM263" i="6" s="1"/>
  <c r="AJ265" i="6"/>
  <c r="AM262" i="6" s="1"/>
  <c r="AJ264" i="6"/>
  <c r="AM261" i="6" s="1"/>
  <c r="AJ263" i="6"/>
  <c r="AM260" i="6" s="1"/>
  <c r="AJ262" i="6"/>
  <c r="AM259" i="6" s="1"/>
  <c r="AJ261" i="6"/>
  <c r="AM258" i="6" s="1"/>
  <c r="AJ260" i="6"/>
  <c r="AM257" i="6" s="1"/>
  <c r="AJ259" i="6"/>
  <c r="AM256" i="6" s="1"/>
  <c r="AJ258" i="6"/>
  <c r="AM255" i="6" s="1"/>
  <c r="AJ257" i="6"/>
  <c r="AJ256" i="6"/>
  <c r="AM254" i="6" s="1"/>
  <c r="AJ255" i="6"/>
  <c r="AM253" i="6" s="1"/>
  <c r="AJ254" i="6"/>
  <c r="AM252" i="6" s="1"/>
  <c r="AJ253" i="6"/>
  <c r="AM251" i="6" s="1"/>
  <c r="AJ252" i="6"/>
  <c r="AM250" i="6" s="1"/>
  <c r="AJ251" i="6"/>
  <c r="AM249" i="6" s="1"/>
  <c r="AJ250" i="6"/>
  <c r="AM248" i="6" s="1"/>
  <c r="AJ249" i="6"/>
  <c r="AJ248" i="6"/>
  <c r="AM245" i="6" s="1"/>
  <c r="AJ247" i="6"/>
  <c r="AM244" i="6" s="1"/>
  <c r="AJ246" i="6"/>
  <c r="AM243" i="6" s="1"/>
  <c r="AJ245" i="6"/>
  <c r="AM242" i="6" s="1"/>
  <c r="AJ244" i="6"/>
  <c r="AM241" i="6" s="1"/>
  <c r="AJ243" i="6"/>
  <c r="AM240" i="6" s="1"/>
  <c r="AJ242" i="6"/>
  <c r="AM239" i="6" s="1"/>
  <c r="AJ241" i="6"/>
  <c r="AM238" i="6" s="1"/>
  <c r="AJ240" i="6"/>
  <c r="AM237" i="6" s="1"/>
  <c r="AJ239" i="6"/>
  <c r="AM236" i="6" s="1"/>
  <c r="AJ238" i="6"/>
  <c r="AM235" i="6" s="1"/>
  <c r="AJ237" i="6"/>
  <c r="AM234" i="6" s="1"/>
  <c r="AJ236" i="6"/>
  <c r="AM233" i="6" s="1"/>
  <c r="AJ235" i="6"/>
  <c r="AM232" i="6" s="1"/>
  <c r="AJ234" i="6"/>
  <c r="AM231" i="6" s="1"/>
  <c r="AJ233" i="6"/>
  <c r="AM230" i="6" s="1"/>
  <c r="AJ232" i="6"/>
  <c r="AM229" i="6" s="1"/>
  <c r="AJ231" i="6"/>
  <c r="AM228" i="6" s="1"/>
  <c r="AJ230" i="6"/>
  <c r="AM227" i="6" s="1"/>
  <c r="AJ229" i="6"/>
  <c r="AM226" i="6" s="1"/>
  <c r="AJ228" i="6"/>
  <c r="AM225" i="6" s="1"/>
  <c r="AJ227" i="6"/>
  <c r="AM224" i="6" s="1"/>
  <c r="AJ226" i="6"/>
  <c r="AM223" i="6" s="1"/>
  <c r="AJ225" i="6"/>
  <c r="AM222" i="6" s="1"/>
  <c r="AJ224" i="6"/>
  <c r="AM221" i="6" s="1"/>
  <c r="AJ223" i="6"/>
  <c r="AM220" i="6" s="1"/>
  <c r="AJ222" i="6"/>
  <c r="AM219" i="6" s="1"/>
  <c r="AJ221" i="6"/>
  <c r="AM218" i="6" s="1"/>
  <c r="AJ220" i="6"/>
  <c r="AM217" i="6" s="1"/>
  <c r="AJ219" i="6"/>
  <c r="AM216" i="6" s="1"/>
  <c r="AJ218" i="6"/>
  <c r="AM215" i="6" s="1"/>
  <c r="AJ217" i="6"/>
  <c r="AM214" i="6" s="1"/>
  <c r="AJ216" i="6"/>
  <c r="AM213" i="6" s="1"/>
  <c r="AJ215" i="6"/>
  <c r="AM212" i="6" s="1"/>
  <c r="AJ214" i="6"/>
  <c r="AM211" i="6" s="1"/>
  <c r="AJ213" i="6"/>
  <c r="AM209" i="6" s="1"/>
  <c r="AJ212" i="6"/>
  <c r="AM208" i="6" s="1"/>
  <c r="AJ211" i="6"/>
  <c r="AJ210" i="6"/>
  <c r="AM206" i="6" s="1"/>
  <c r="AJ209" i="6"/>
  <c r="AJ208" i="6"/>
  <c r="AM204" i="6" s="1"/>
  <c r="AJ207" i="6"/>
  <c r="AM246" i="6" s="1"/>
  <c r="AJ206" i="6"/>
  <c r="AM203" i="6" s="1"/>
  <c r="AJ205" i="6"/>
  <c r="AM202" i="6" s="1"/>
  <c r="AJ204" i="6"/>
  <c r="AM73" i="6" s="1"/>
  <c r="AJ203" i="6"/>
  <c r="AM201" i="6" s="1"/>
  <c r="AJ202" i="6"/>
  <c r="AM200" i="6" s="1"/>
  <c r="AJ201" i="6"/>
  <c r="AJ200" i="6"/>
  <c r="AM198" i="6" s="1"/>
  <c r="AJ199" i="6"/>
  <c r="AM197" i="6" s="1"/>
  <c r="AJ198" i="6"/>
  <c r="AM196" i="6" s="1"/>
  <c r="AJ197" i="6"/>
  <c r="AM195" i="6" s="1"/>
  <c r="AJ196" i="6"/>
  <c r="AM194" i="6" s="1"/>
  <c r="AJ195" i="6"/>
  <c r="AM193" i="6" s="1"/>
  <c r="AJ194" i="6"/>
  <c r="AM192" i="6" s="1"/>
  <c r="AJ193" i="6"/>
  <c r="AJ192" i="6"/>
  <c r="AM190" i="6" s="1"/>
  <c r="AJ191" i="6"/>
  <c r="AM189" i="6" s="1"/>
  <c r="AJ190" i="6"/>
  <c r="AM188" i="6" s="1"/>
  <c r="AJ189" i="6"/>
  <c r="AM187" i="6" s="1"/>
  <c r="AJ188" i="6"/>
  <c r="AJ187" i="6"/>
  <c r="AM185" i="6" s="1"/>
  <c r="AJ186" i="6"/>
  <c r="AM184" i="6" s="1"/>
  <c r="AJ185" i="6"/>
  <c r="AJ184" i="6"/>
  <c r="AM182" i="6" s="1"/>
  <c r="AJ183" i="6"/>
  <c r="AM180" i="6" s="1"/>
  <c r="AJ182" i="6"/>
  <c r="AJ181" i="6"/>
  <c r="AM178" i="6" s="1"/>
  <c r="AJ180" i="6"/>
  <c r="AJ179" i="6"/>
  <c r="AM177" i="6" s="1"/>
  <c r="AJ178" i="6"/>
  <c r="AM176" i="6" s="1"/>
  <c r="AJ177" i="6"/>
  <c r="AJ176" i="6"/>
  <c r="AM174" i="6" s="1"/>
  <c r="AJ175" i="6"/>
  <c r="AM173" i="6" s="1"/>
  <c r="AJ174" i="6"/>
  <c r="AJ173" i="6"/>
  <c r="AM172" i="6" s="1"/>
  <c r="AJ172" i="6"/>
  <c r="AJ171" i="6"/>
  <c r="AM170" i="6" s="1"/>
  <c r="AJ170" i="6"/>
  <c r="AM169" i="6" s="1"/>
  <c r="AJ169" i="6"/>
  <c r="AJ168" i="6"/>
  <c r="AM166" i="6" s="1"/>
  <c r="AJ167" i="6"/>
  <c r="AM165" i="6" s="1"/>
  <c r="AJ166" i="6"/>
  <c r="AM164" i="6" s="1"/>
  <c r="AJ165" i="6"/>
  <c r="AM163" i="6" s="1"/>
  <c r="AJ164" i="6"/>
  <c r="AM92" i="6" s="1"/>
  <c r="AJ163" i="6"/>
  <c r="AM162" i="6" s="1"/>
  <c r="AJ162" i="6"/>
  <c r="AM161" i="6" s="1"/>
  <c r="AJ161" i="6"/>
  <c r="AJ160" i="6"/>
  <c r="AJ159" i="6"/>
  <c r="AM158" i="6" s="1"/>
  <c r="AJ158" i="6"/>
  <c r="AM157" i="6" s="1"/>
  <c r="AJ157" i="6"/>
  <c r="AM156" i="6" s="1"/>
  <c r="AJ156" i="6"/>
  <c r="AJ155" i="6"/>
  <c r="AM154" i="6" s="1"/>
  <c r="AJ154" i="6"/>
  <c r="AM153" i="6" s="1"/>
  <c r="AJ153" i="6"/>
  <c r="AJ152" i="6"/>
  <c r="AJ151" i="6"/>
  <c r="AM150" i="6" s="1"/>
  <c r="AJ150" i="6"/>
  <c r="AJ149" i="6"/>
  <c r="AM148" i="6" s="1"/>
  <c r="AJ148" i="6"/>
  <c r="AJ147" i="6"/>
  <c r="AM146" i="6" s="1"/>
  <c r="AJ146" i="6"/>
  <c r="AM145" i="6" s="1"/>
  <c r="AJ145" i="6"/>
  <c r="AJ144" i="6"/>
  <c r="AJ143" i="6"/>
  <c r="AM142" i="6" s="1"/>
  <c r="AJ142" i="6"/>
  <c r="AJ141" i="6"/>
  <c r="AM140" i="6" s="1"/>
  <c r="AJ140" i="6"/>
  <c r="AJ139" i="6"/>
  <c r="AJ138" i="6"/>
  <c r="AM137" i="6" s="1"/>
  <c r="AJ137" i="6"/>
  <c r="AJ136" i="6"/>
  <c r="AJ135" i="6"/>
  <c r="AM134" i="6" s="1"/>
  <c r="AJ134" i="6"/>
  <c r="AJ133" i="6"/>
  <c r="AM132" i="6" s="1"/>
  <c r="AJ132" i="6"/>
  <c r="AJ131" i="6"/>
  <c r="AM129" i="6" s="1"/>
  <c r="AJ130" i="6"/>
  <c r="AM128" i="6" s="1"/>
  <c r="AJ129" i="6"/>
  <c r="AJ128" i="6"/>
  <c r="AM126" i="6" s="1"/>
  <c r="AJ127" i="6"/>
  <c r="AM125" i="6" s="1"/>
  <c r="AJ126" i="6"/>
  <c r="AM124" i="6" s="1"/>
  <c r="AJ125" i="6"/>
  <c r="AM123" i="6" s="1"/>
  <c r="AJ124" i="6"/>
  <c r="AM210" i="6" s="1"/>
  <c r="AJ123" i="6"/>
  <c r="AJ122" i="6"/>
  <c r="AM121" i="6" s="1"/>
  <c r="AJ121" i="6"/>
  <c r="AJ120" i="6"/>
  <c r="AJ119" i="6"/>
  <c r="AM118" i="6" s="1"/>
  <c r="AJ118" i="6"/>
  <c r="AJ117" i="6"/>
  <c r="AM116" i="6" s="1"/>
  <c r="AJ116" i="6"/>
  <c r="AJ115" i="6"/>
  <c r="AJ114" i="6"/>
  <c r="AM113" i="6" s="1"/>
  <c r="AJ113" i="6"/>
  <c r="AJ112" i="6"/>
  <c r="AJ111" i="6"/>
  <c r="AM110" i="6" s="1"/>
  <c r="AJ110" i="6"/>
  <c r="AJ109" i="6"/>
  <c r="AM108" i="6" s="1"/>
  <c r="AJ108" i="6"/>
  <c r="AJ107" i="6"/>
  <c r="AJ106" i="6"/>
  <c r="AM105" i="6" s="1"/>
  <c r="AJ105" i="6"/>
  <c r="AJ104" i="6"/>
  <c r="AJ103" i="6"/>
  <c r="AM102" i="6" s="1"/>
  <c r="AJ102" i="6"/>
  <c r="AJ101" i="6"/>
  <c r="AM99" i="6" s="1"/>
  <c r="AJ100" i="6"/>
  <c r="AJ99" i="6"/>
  <c r="AM100" i="6" s="1"/>
  <c r="AJ98" i="6"/>
  <c r="AM97" i="6" s="1"/>
  <c r="AJ97" i="6"/>
  <c r="AJ96" i="6"/>
  <c r="AJ95" i="6"/>
  <c r="AM94" i="6" s="1"/>
  <c r="AJ94" i="6"/>
  <c r="AJ93" i="6"/>
  <c r="AM91" i="6" s="1"/>
  <c r="AJ92" i="6"/>
  <c r="AJ91" i="6"/>
  <c r="AM88" i="6" s="1"/>
  <c r="AJ90" i="6"/>
  <c r="AJ89" i="6"/>
  <c r="AJ88" i="6"/>
  <c r="AJ87" i="6"/>
  <c r="AM84" i="6" s="1"/>
  <c r="AJ86" i="6"/>
  <c r="AJ85" i="6"/>
  <c r="AJ84" i="6"/>
  <c r="AM81" i="6" s="1"/>
  <c r="AJ83" i="6"/>
  <c r="AM181" i="6" s="1"/>
  <c r="AJ82" i="6"/>
  <c r="AM80" i="6" s="1"/>
  <c r="AJ81" i="6"/>
  <c r="AJ80" i="6"/>
  <c r="AM78" i="6" s="1"/>
  <c r="AJ79" i="6"/>
  <c r="AM77" i="6" s="1"/>
  <c r="AJ78" i="6"/>
  <c r="AM76" i="6" s="1"/>
  <c r="AJ77" i="6"/>
  <c r="AJ76" i="6"/>
  <c r="AM72" i="6" s="1"/>
  <c r="AJ75" i="6"/>
  <c r="AJ74" i="6"/>
  <c r="AM70" i="6" s="1"/>
  <c r="AJ73" i="6"/>
  <c r="AJ72" i="6"/>
  <c r="AM68" i="6" s="1"/>
  <c r="AJ71" i="6"/>
  <c r="AM67" i="6" s="1"/>
  <c r="AJ70" i="6"/>
  <c r="AJ69" i="6"/>
  <c r="AM65" i="6" s="1"/>
  <c r="AJ68" i="6"/>
  <c r="AM64" i="6" s="1"/>
  <c r="AJ67" i="6"/>
  <c r="AJ66" i="6"/>
  <c r="AM62" i="6" s="1"/>
  <c r="AJ65" i="6"/>
  <c r="AM284" i="6" s="1"/>
  <c r="AJ64" i="6"/>
  <c r="AJ63" i="6"/>
  <c r="AM60" i="6" s="1"/>
  <c r="AJ62" i="6"/>
  <c r="AJ61" i="6"/>
  <c r="AJ60" i="6"/>
  <c r="AM57" i="6" s="1"/>
  <c r="AJ59" i="6"/>
  <c r="AJ58" i="6"/>
  <c r="AM54" i="6" s="1"/>
  <c r="AJ57" i="6"/>
  <c r="AJ56" i="6"/>
  <c r="AM52" i="6" s="1"/>
  <c r="AJ55" i="6"/>
  <c r="AM51" i="6" s="1"/>
  <c r="AJ54" i="6"/>
  <c r="AJ53" i="6"/>
  <c r="AJ52" i="6"/>
  <c r="AM49" i="6" s="1"/>
  <c r="AJ51" i="6"/>
  <c r="AM48" i="6" s="1"/>
  <c r="AJ50" i="6"/>
  <c r="AJ49" i="6"/>
  <c r="AJ48" i="6"/>
  <c r="AJ47" i="6"/>
  <c r="AM44" i="6" s="1"/>
  <c r="AJ46" i="6"/>
  <c r="AJ45" i="6"/>
  <c r="AM41" i="6" s="1"/>
  <c r="AJ44" i="6"/>
  <c r="AM40" i="6" s="1"/>
  <c r="AJ43" i="6"/>
  <c r="AJ42" i="6"/>
  <c r="AM38" i="6" s="1"/>
  <c r="AJ41" i="6"/>
  <c r="AJ40" i="6"/>
  <c r="AM36" i="6" s="1"/>
  <c r="AJ39" i="6"/>
  <c r="AM35" i="6" s="1"/>
  <c r="AJ38" i="6"/>
  <c r="AJ37" i="6"/>
  <c r="AM56" i="6" s="1"/>
  <c r="AJ36" i="6"/>
  <c r="AM33" i="6" s="1"/>
  <c r="AJ35" i="6"/>
  <c r="AM32" i="6" s="1"/>
  <c r="AJ34" i="6"/>
  <c r="AJ33" i="6"/>
  <c r="AJ32" i="6"/>
  <c r="AJ31" i="6"/>
  <c r="AM89" i="6" s="1"/>
  <c r="AJ30" i="6"/>
  <c r="AJ29" i="6"/>
  <c r="AJ28" i="6"/>
  <c r="AM25" i="6" s="1"/>
  <c r="AJ27" i="6"/>
  <c r="AM264" i="6" s="1"/>
  <c r="AJ26" i="6"/>
  <c r="AJ25" i="6"/>
  <c r="AJ24" i="6"/>
  <c r="AJ23" i="6"/>
  <c r="AM20" i="6" s="1"/>
  <c r="AJ22" i="6"/>
  <c r="AJ21" i="6"/>
  <c r="AJ20" i="6"/>
  <c r="AM17" i="6" s="1"/>
  <c r="AJ19" i="6"/>
  <c r="AM16" i="6" s="1"/>
  <c r="AJ18" i="6"/>
  <c r="AM168" i="6" s="1"/>
  <c r="AJ17" i="6"/>
  <c r="AJ16" i="6"/>
  <c r="AJ15" i="6"/>
  <c r="AM13" i="6" s="1"/>
  <c r="AJ14" i="6"/>
  <c r="AM12" i="6" s="1"/>
  <c r="AJ13" i="6"/>
  <c r="AJ12" i="6"/>
  <c r="AM28" i="6" s="1"/>
  <c r="AJ11" i="6"/>
  <c r="AJ10" i="6"/>
  <c r="AM9" i="6" s="1"/>
  <c r="AJ9" i="6"/>
  <c r="AJ8" i="6"/>
  <c r="AJ7" i="6"/>
  <c r="AM6" i="6" s="1"/>
  <c r="AJ6" i="6"/>
  <c r="AM4" i="6" s="1"/>
  <c r="AJ5" i="6"/>
  <c r="AJ314" i="6"/>
  <c r="AN311" i="3"/>
  <c r="AN310" i="3"/>
  <c r="AN309" i="3"/>
  <c r="AN308" i="3"/>
  <c r="AN307" i="3"/>
  <c r="AN306" i="3"/>
  <c r="AN305" i="3"/>
  <c r="AN304" i="3"/>
  <c r="AN303" i="3"/>
  <c r="AN302" i="3"/>
  <c r="AN301" i="3"/>
  <c r="AN300" i="3"/>
  <c r="AN299" i="3"/>
  <c r="AN298" i="3"/>
  <c r="AN297" i="3"/>
  <c r="AN296" i="3"/>
  <c r="AN295" i="3"/>
  <c r="AN294" i="3"/>
  <c r="AN293" i="3"/>
  <c r="AN292" i="3"/>
  <c r="AN291" i="3"/>
  <c r="AN290" i="3"/>
  <c r="AN289" i="3"/>
  <c r="AN288" i="3"/>
  <c r="AN287" i="3"/>
  <c r="AN286" i="3"/>
  <c r="AN285" i="3"/>
  <c r="AN284" i="3"/>
  <c r="AN283" i="3"/>
  <c r="AN282" i="3"/>
  <c r="AN281" i="3"/>
  <c r="AN280" i="3"/>
  <c r="AN279" i="3"/>
  <c r="AN278" i="3"/>
  <c r="AN277" i="3"/>
  <c r="AN276" i="3"/>
  <c r="AN275" i="3"/>
  <c r="AN274" i="3"/>
  <c r="AN273" i="3"/>
  <c r="AN272" i="3"/>
  <c r="AN271" i="3"/>
  <c r="AN270" i="3"/>
  <c r="AN269" i="3"/>
  <c r="AN268" i="3"/>
  <c r="AN267" i="3"/>
  <c r="AN266" i="3"/>
  <c r="AN265" i="3"/>
  <c r="AN264" i="3"/>
  <c r="AN263" i="3"/>
  <c r="AN262" i="3"/>
  <c r="AN261" i="3"/>
  <c r="AN260" i="3"/>
  <c r="AN259" i="3"/>
  <c r="AN258" i="3"/>
  <c r="AN257" i="3"/>
  <c r="AN256" i="3"/>
  <c r="AN255" i="3"/>
  <c r="AN254" i="3"/>
  <c r="AN253" i="3"/>
  <c r="AN252" i="3"/>
  <c r="AN251" i="3"/>
  <c r="AN250" i="3"/>
  <c r="AN249" i="3"/>
  <c r="AN248" i="3"/>
  <c r="AN247" i="3"/>
  <c r="AN246" i="3"/>
  <c r="AN245" i="3"/>
  <c r="AN244" i="3"/>
  <c r="AN243" i="3"/>
  <c r="AN242" i="3"/>
  <c r="AN241" i="3"/>
  <c r="AN240" i="3"/>
  <c r="AN239" i="3"/>
  <c r="AN238" i="3"/>
  <c r="AN237" i="3"/>
  <c r="AN236" i="3"/>
  <c r="AN235" i="3"/>
  <c r="AN234" i="3"/>
  <c r="AN233" i="3"/>
  <c r="AN232" i="3"/>
  <c r="AN231" i="3"/>
  <c r="AN230" i="3"/>
  <c r="AN229" i="3"/>
  <c r="AN228" i="3"/>
  <c r="AN227" i="3"/>
  <c r="AN226" i="3"/>
  <c r="AN225" i="3"/>
  <c r="AN224" i="3"/>
  <c r="AN223" i="3"/>
  <c r="AN222" i="3"/>
  <c r="AN221" i="3"/>
  <c r="AN220" i="3"/>
  <c r="AN219" i="3"/>
  <c r="AN218" i="3"/>
  <c r="AN217" i="3"/>
  <c r="AN216" i="3"/>
  <c r="AN215" i="3"/>
  <c r="AN214" i="3"/>
  <c r="AN213" i="3"/>
  <c r="AN212" i="3"/>
  <c r="AN211" i="3"/>
  <c r="AN210" i="3"/>
  <c r="AN209" i="3"/>
  <c r="AN208" i="3"/>
  <c r="AN207" i="3"/>
  <c r="AN206" i="3"/>
  <c r="AN205" i="3"/>
  <c r="AN204" i="3"/>
  <c r="AN203" i="3"/>
  <c r="AN202" i="3"/>
  <c r="AN201" i="3"/>
  <c r="AN200" i="3"/>
  <c r="AN199" i="3"/>
  <c r="AN198" i="3"/>
  <c r="AN197" i="3"/>
  <c r="AN196" i="3"/>
  <c r="AN195" i="3"/>
  <c r="AN194" i="3"/>
  <c r="AN193" i="3"/>
  <c r="AN192" i="3"/>
  <c r="AN191" i="3"/>
  <c r="AN190" i="3"/>
  <c r="AN189" i="3"/>
  <c r="AN188" i="3"/>
  <c r="AN187" i="3"/>
  <c r="AN186" i="3"/>
  <c r="AN185" i="3"/>
  <c r="AN184" i="3"/>
  <c r="AN183" i="3"/>
  <c r="AN182" i="3"/>
  <c r="AN181" i="3"/>
  <c r="AN180" i="3"/>
  <c r="AN179" i="3"/>
  <c r="AN178" i="3"/>
  <c r="AN177" i="3"/>
  <c r="AN176" i="3"/>
  <c r="AN175" i="3"/>
  <c r="AN174" i="3"/>
  <c r="AN173" i="3"/>
  <c r="AN172" i="3"/>
  <c r="AN171" i="3"/>
  <c r="AN170" i="3"/>
  <c r="AN169" i="3"/>
  <c r="AN168" i="3"/>
  <c r="AN167" i="3"/>
  <c r="AN166" i="3"/>
  <c r="AN165" i="3"/>
  <c r="AN164" i="3"/>
  <c r="AN163" i="3"/>
  <c r="AN162" i="3"/>
  <c r="AN161" i="3"/>
  <c r="AN160" i="3"/>
  <c r="AN159" i="3"/>
  <c r="AN158" i="3"/>
  <c r="AN157" i="3"/>
  <c r="AN156" i="3"/>
  <c r="AN155" i="3"/>
  <c r="AN154" i="3"/>
  <c r="AN153" i="3"/>
  <c r="AN152" i="3"/>
  <c r="AN151" i="3"/>
  <c r="AN150" i="3"/>
  <c r="AN149" i="3"/>
  <c r="AN148" i="3"/>
  <c r="AN147" i="3"/>
  <c r="AN146" i="3"/>
  <c r="AN145" i="3"/>
  <c r="AN144" i="3"/>
  <c r="AN143" i="3"/>
  <c r="AN142" i="3"/>
  <c r="AN141" i="3"/>
  <c r="AN140" i="3"/>
  <c r="AN139" i="3"/>
  <c r="AN138" i="3"/>
  <c r="AN137" i="3"/>
  <c r="AN136" i="3"/>
  <c r="AN135" i="3"/>
  <c r="AN134" i="3"/>
  <c r="AN133" i="3"/>
  <c r="AN132" i="3"/>
  <c r="AN131" i="3"/>
  <c r="AN130" i="3"/>
  <c r="AN129" i="3"/>
  <c r="AN128" i="3"/>
  <c r="AN127" i="3"/>
  <c r="AN126" i="3"/>
  <c r="AN125" i="3"/>
  <c r="AN124" i="3"/>
  <c r="AN123" i="3"/>
  <c r="AN122" i="3"/>
  <c r="AN121" i="3"/>
  <c r="AN120" i="3"/>
  <c r="AN119" i="3"/>
  <c r="AN118" i="3"/>
  <c r="AN117" i="3"/>
  <c r="AN116" i="3"/>
  <c r="AN115" i="3"/>
  <c r="AN114" i="3"/>
  <c r="AN113" i="3"/>
  <c r="AN112" i="3"/>
  <c r="AN111" i="3"/>
  <c r="AN110" i="3"/>
  <c r="AN109" i="3"/>
  <c r="AN108" i="3"/>
  <c r="AN107" i="3"/>
  <c r="AN106" i="3"/>
  <c r="AN105" i="3"/>
  <c r="AN104" i="3"/>
  <c r="AN103" i="3"/>
  <c r="AN102" i="3"/>
  <c r="AN101" i="3"/>
  <c r="AN100" i="3"/>
  <c r="AN99" i="3"/>
  <c r="AN98" i="3"/>
  <c r="AN97" i="3"/>
  <c r="AN96" i="3"/>
  <c r="AN95" i="3"/>
  <c r="AN94" i="3"/>
  <c r="AN93" i="3"/>
  <c r="AN92" i="3"/>
  <c r="AN91" i="3"/>
  <c r="AN90" i="3"/>
  <c r="AN89" i="3"/>
  <c r="AN88" i="3"/>
  <c r="AN87" i="3"/>
  <c r="AN86" i="3"/>
  <c r="AN85" i="3"/>
  <c r="AN84" i="3"/>
  <c r="AN83" i="3"/>
  <c r="AN82" i="3"/>
  <c r="AN81" i="3"/>
  <c r="AN80" i="3"/>
  <c r="AN79" i="3"/>
  <c r="AN78" i="3"/>
  <c r="AN77" i="3"/>
  <c r="AN76" i="3"/>
  <c r="AN75" i="3"/>
  <c r="AN74" i="3"/>
  <c r="AN73" i="3"/>
  <c r="AN72" i="3"/>
  <c r="AN71" i="3"/>
  <c r="AN70" i="3"/>
  <c r="AN69" i="3"/>
  <c r="AN68" i="3"/>
  <c r="AN67" i="3"/>
  <c r="AN66" i="3"/>
  <c r="AN65" i="3"/>
  <c r="AN64" i="3"/>
  <c r="AN63" i="3"/>
  <c r="AN62" i="3"/>
  <c r="AN61" i="3"/>
  <c r="AN60" i="3"/>
  <c r="AN59" i="3"/>
  <c r="AN58" i="3"/>
  <c r="AN57" i="3"/>
  <c r="AN56" i="3"/>
  <c r="AN55" i="3"/>
  <c r="AN54" i="3"/>
  <c r="AN53" i="3"/>
  <c r="AN52" i="3"/>
  <c r="AN51" i="3"/>
  <c r="AN50" i="3"/>
  <c r="AN49" i="3"/>
  <c r="AN48" i="3"/>
  <c r="AN47" i="3"/>
  <c r="AN46" i="3"/>
  <c r="AN45" i="3"/>
  <c r="AN44" i="3"/>
  <c r="AN43" i="3"/>
  <c r="AN42" i="3"/>
  <c r="AN41" i="3"/>
  <c r="AN40" i="3"/>
  <c r="AN39" i="3"/>
  <c r="AN38" i="3"/>
  <c r="AN37" i="3"/>
  <c r="AN36" i="3"/>
  <c r="AN35" i="3"/>
  <c r="AN34" i="3"/>
  <c r="AN33" i="3"/>
  <c r="AN32" i="3"/>
  <c r="AN31" i="3"/>
  <c r="AN30" i="3"/>
  <c r="AN29" i="3"/>
  <c r="AN28" i="3"/>
  <c r="AN27" i="3"/>
  <c r="AN26" i="3"/>
  <c r="AN25" i="3"/>
  <c r="AN24" i="3"/>
  <c r="AN23" i="3"/>
  <c r="AN22" i="3"/>
  <c r="AN21" i="3"/>
  <c r="AN20" i="3"/>
  <c r="AN19" i="3"/>
  <c r="AN18" i="3"/>
  <c r="AN17" i="3"/>
  <c r="AN16" i="3"/>
  <c r="AN15" i="3"/>
  <c r="AN14" i="3"/>
  <c r="AN13" i="3"/>
  <c r="AN12" i="3"/>
  <c r="AN11" i="3"/>
  <c r="AN10" i="3"/>
  <c r="AN9" i="3"/>
  <c r="AN8" i="3"/>
  <c r="AN7" i="3"/>
  <c r="AN6" i="3"/>
  <c r="AN5" i="3"/>
  <c r="AN4" i="3"/>
  <c r="AN312" i="3"/>
  <c r="AM312" i="3"/>
  <c r="AM311" i="3"/>
  <c r="AM310" i="3"/>
  <c r="AM309" i="3"/>
  <c r="AM308" i="3"/>
  <c r="AM307" i="3"/>
  <c r="AM306" i="3"/>
  <c r="AM305" i="3"/>
  <c r="AM304" i="3"/>
  <c r="AM303" i="3"/>
  <c r="AM302" i="3"/>
  <c r="AM301" i="3"/>
  <c r="AM300" i="3"/>
  <c r="AM299" i="3"/>
  <c r="AM298" i="3"/>
  <c r="AM297" i="3"/>
  <c r="AM296" i="3"/>
  <c r="AM295" i="3"/>
  <c r="AM294" i="3"/>
  <c r="AM293" i="3"/>
  <c r="AM292" i="3"/>
  <c r="AM291" i="3"/>
  <c r="AM290" i="3"/>
  <c r="AM289" i="3"/>
  <c r="AM288" i="3"/>
  <c r="AM287" i="3"/>
  <c r="AM286" i="3"/>
  <c r="AM285" i="3"/>
  <c r="AM284" i="3"/>
  <c r="AM283" i="3"/>
  <c r="AM282" i="3"/>
  <c r="AM281" i="3"/>
  <c r="AM280" i="3"/>
  <c r="AM279" i="3"/>
  <c r="AM278" i="3"/>
  <c r="AM277" i="3"/>
  <c r="AM276" i="3"/>
  <c r="AM275" i="3"/>
  <c r="AM274" i="3"/>
  <c r="AM273" i="3"/>
  <c r="AM272" i="3"/>
  <c r="AM271" i="3"/>
  <c r="AM270" i="3"/>
  <c r="AM269" i="3"/>
  <c r="AM268" i="3"/>
  <c r="AM267" i="3"/>
  <c r="AM266" i="3"/>
  <c r="AM265" i="3"/>
  <c r="AM264" i="3"/>
  <c r="AM263" i="3"/>
  <c r="AM262" i="3"/>
  <c r="AM261" i="3"/>
  <c r="AM260" i="3"/>
  <c r="AM259" i="3"/>
  <c r="AM258" i="3"/>
  <c r="AM257" i="3"/>
  <c r="AM256" i="3"/>
  <c r="AM255" i="3"/>
  <c r="AM254" i="3"/>
  <c r="AM253" i="3"/>
  <c r="AM252" i="3"/>
  <c r="AM251" i="3"/>
  <c r="AM250" i="3"/>
  <c r="AM249" i="3"/>
  <c r="AM248" i="3"/>
  <c r="AM247" i="3"/>
  <c r="AM246" i="3"/>
  <c r="AM245" i="3"/>
  <c r="AM244" i="3"/>
  <c r="AM243" i="3"/>
  <c r="AM242" i="3"/>
  <c r="AM241" i="3"/>
  <c r="AM240" i="3"/>
  <c r="AM239" i="3"/>
  <c r="AM238" i="3"/>
  <c r="AM237" i="3"/>
  <c r="AM236" i="3"/>
  <c r="AM235" i="3"/>
  <c r="AM234" i="3"/>
  <c r="AM233" i="3"/>
  <c r="AM232" i="3"/>
  <c r="AM231" i="3"/>
  <c r="AM230" i="3"/>
  <c r="AM229" i="3"/>
  <c r="AM228" i="3"/>
  <c r="AM227" i="3"/>
  <c r="AM226" i="3"/>
  <c r="AM225" i="3"/>
  <c r="AM224" i="3"/>
  <c r="AM223" i="3"/>
  <c r="AM222" i="3"/>
  <c r="AM221" i="3"/>
  <c r="AM220" i="3"/>
  <c r="AM219" i="3"/>
  <c r="AM218" i="3"/>
  <c r="AM217" i="3"/>
  <c r="AM216" i="3"/>
  <c r="AM215" i="3"/>
  <c r="AM214" i="3"/>
  <c r="AM213" i="3"/>
  <c r="AM212" i="3"/>
  <c r="AM211" i="3"/>
  <c r="AM210" i="3"/>
  <c r="AM209" i="3"/>
  <c r="AM208" i="3"/>
  <c r="AM207" i="3"/>
  <c r="AM206" i="3"/>
  <c r="AM205" i="3"/>
  <c r="AM204" i="3"/>
  <c r="AM203" i="3"/>
  <c r="AM202" i="3"/>
  <c r="AM201" i="3"/>
  <c r="AM200" i="3"/>
  <c r="AM199" i="3"/>
  <c r="AM198" i="3"/>
  <c r="AM197" i="3"/>
  <c r="AM196" i="3"/>
  <c r="AM195" i="3"/>
  <c r="AM194" i="3"/>
  <c r="AM193" i="3"/>
  <c r="AM192" i="3"/>
  <c r="AM191" i="3"/>
  <c r="AM190" i="3"/>
  <c r="AM189" i="3"/>
  <c r="AM188" i="3"/>
  <c r="AM187" i="3"/>
  <c r="AM186" i="3"/>
  <c r="AM185" i="3"/>
  <c r="AM184" i="3"/>
  <c r="AM183" i="3"/>
  <c r="AM182" i="3"/>
  <c r="AM181" i="3"/>
  <c r="AM180" i="3"/>
  <c r="AM179" i="3"/>
  <c r="AM178" i="3"/>
  <c r="AM177" i="3"/>
  <c r="AM176" i="3"/>
  <c r="AM175" i="3"/>
  <c r="AM174" i="3"/>
  <c r="AM173" i="3"/>
  <c r="AM172" i="3"/>
  <c r="AM171" i="3"/>
  <c r="AM170" i="3"/>
  <c r="AM169" i="3"/>
  <c r="AM168" i="3"/>
  <c r="AM167" i="3"/>
  <c r="AM166" i="3"/>
  <c r="AM165" i="3"/>
  <c r="AM164" i="3"/>
  <c r="AM163" i="3"/>
  <c r="AM162" i="3"/>
  <c r="AM161" i="3"/>
  <c r="AM160" i="3"/>
  <c r="AM159" i="3"/>
  <c r="AM158" i="3"/>
  <c r="AM157" i="3"/>
  <c r="AM156" i="3"/>
  <c r="AM155" i="3"/>
  <c r="AM154" i="3"/>
  <c r="AM153" i="3"/>
  <c r="AM152" i="3"/>
  <c r="AM151" i="3"/>
  <c r="AM150" i="3"/>
  <c r="AM149" i="3"/>
  <c r="AM148" i="3"/>
  <c r="AM147" i="3"/>
  <c r="AM146" i="3"/>
  <c r="AM145" i="3"/>
  <c r="AM144" i="3"/>
  <c r="AM143" i="3"/>
  <c r="AM142" i="3"/>
  <c r="AM141" i="3"/>
  <c r="AM140" i="3"/>
  <c r="AM139" i="3"/>
  <c r="AM138" i="3"/>
  <c r="AM137" i="3"/>
  <c r="AM136" i="3"/>
  <c r="AM135" i="3"/>
  <c r="AM134" i="3"/>
  <c r="AM133" i="3"/>
  <c r="AM132" i="3"/>
  <c r="AM131" i="3"/>
  <c r="AM130" i="3"/>
  <c r="AM129" i="3"/>
  <c r="AM128" i="3"/>
  <c r="AM127" i="3"/>
  <c r="AM126" i="3"/>
  <c r="AM125" i="3"/>
  <c r="AM124" i="3"/>
  <c r="AM123" i="3"/>
  <c r="AM122" i="3"/>
  <c r="AM121" i="3"/>
  <c r="AM120" i="3"/>
  <c r="AM119" i="3"/>
  <c r="AM118" i="3"/>
  <c r="AM117" i="3"/>
  <c r="AM116" i="3"/>
  <c r="AM115" i="3"/>
  <c r="AM114" i="3"/>
  <c r="AM113" i="3"/>
  <c r="AM112" i="3"/>
  <c r="AM111" i="3"/>
  <c r="AM110" i="3"/>
  <c r="AM109" i="3"/>
  <c r="AM108" i="3"/>
  <c r="AM107" i="3"/>
  <c r="AM106" i="3"/>
  <c r="AM105" i="3"/>
  <c r="AM104" i="3"/>
  <c r="AM103" i="3"/>
  <c r="AM102" i="3"/>
  <c r="AM101" i="3"/>
  <c r="AM100" i="3"/>
  <c r="AM99" i="3"/>
  <c r="AM98" i="3"/>
  <c r="AM97" i="3"/>
  <c r="AM96" i="3"/>
  <c r="AM95" i="3"/>
  <c r="AM94" i="3"/>
  <c r="AM93" i="3"/>
  <c r="AM92" i="3"/>
  <c r="AM91" i="3"/>
  <c r="AM90" i="3"/>
  <c r="AM89" i="3"/>
  <c r="AM88" i="3"/>
  <c r="AM87" i="3"/>
  <c r="AM86" i="3"/>
  <c r="AM85" i="3"/>
  <c r="AM84" i="3"/>
  <c r="AM83" i="3"/>
  <c r="AM82" i="3"/>
  <c r="AM81" i="3"/>
  <c r="AM80" i="3"/>
  <c r="AM79" i="3"/>
  <c r="AM78" i="3"/>
  <c r="AM77" i="3"/>
  <c r="AM76" i="3"/>
  <c r="AM75" i="3"/>
  <c r="AM74" i="3"/>
  <c r="AM73" i="3"/>
  <c r="AM72" i="3"/>
  <c r="AM71" i="3"/>
  <c r="AM70" i="3"/>
  <c r="AM69" i="3"/>
  <c r="AM68" i="3"/>
  <c r="AM67" i="3"/>
  <c r="AM66" i="3"/>
  <c r="AM65" i="3"/>
  <c r="AM64" i="3"/>
  <c r="AM63" i="3"/>
  <c r="AM62" i="3"/>
  <c r="AM61" i="3"/>
  <c r="AM60" i="3"/>
  <c r="AM59" i="3"/>
  <c r="AM58" i="3"/>
  <c r="AM57" i="3"/>
  <c r="AM56" i="3"/>
  <c r="AM55" i="3"/>
  <c r="AM54" i="3"/>
  <c r="AM53" i="3"/>
  <c r="AM52" i="3"/>
  <c r="AM51" i="3"/>
  <c r="AM50" i="3"/>
  <c r="AM49" i="3"/>
  <c r="AM48" i="3"/>
  <c r="AM47" i="3"/>
  <c r="AM46" i="3"/>
  <c r="AM45" i="3"/>
  <c r="AM44" i="3"/>
  <c r="AM43" i="3"/>
  <c r="AM42" i="3"/>
  <c r="AM41" i="3"/>
  <c r="AM40" i="3"/>
  <c r="AM39" i="3"/>
  <c r="AM38" i="3"/>
  <c r="AM37" i="3"/>
  <c r="AM36" i="3"/>
  <c r="AM35" i="3"/>
  <c r="AM34" i="3"/>
  <c r="AM33" i="3"/>
  <c r="AM32" i="3"/>
  <c r="AM31" i="3"/>
  <c r="AM30" i="3"/>
  <c r="AM29" i="3"/>
  <c r="AM28" i="3"/>
  <c r="AM27" i="3"/>
  <c r="AM26" i="3"/>
  <c r="AM25" i="3"/>
  <c r="AM24" i="3"/>
  <c r="AM23" i="3"/>
  <c r="AM22" i="3"/>
  <c r="AM21" i="3"/>
  <c r="AM20" i="3"/>
  <c r="AM19" i="3"/>
  <c r="AM18" i="3"/>
  <c r="AM17" i="3"/>
  <c r="AM16" i="3"/>
  <c r="AM15" i="3"/>
  <c r="AM14" i="3"/>
  <c r="AM13" i="3"/>
  <c r="AM12" i="3"/>
  <c r="AM11" i="3"/>
  <c r="AM10" i="3"/>
  <c r="AM9" i="3"/>
  <c r="AM8" i="3"/>
  <c r="AM7" i="3"/>
  <c r="AM6" i="3"/>
  <c r="AM5" i="3"/>
  <c r="AM4" i="3"/>
  <c r="AM3" i="3"/>
  <c r="R313" i="3" l="1"/>
  <c r="H476" i="30"/>
  <c r="AC14" i="1"/>
  <c r="AC25" i="1"/>
  <c r="AC58" i="1"/>
  <c r="AC57" i="1"/>
  <c r="AC66" i="1"/>
  <c r="AC72" i="1"/>
  <c r="AC79" i="1"/>
  <c r="AC84" i="1"/>
  <c r="AC93" i="1"/>
  <c r="AC139" i="1"/>
  <c r="AC154" i="1"/>
  <c r="AC297" i="1"/>
  <c r="AC303" i="1"/>
  <c r="AC314" i="1"/>
  <c r="AC317" i="1"/>
  <c r="AC323" i="1"/>
  <c r="AC361" i="1"/>
  <c r="AC414" i="1"/>
  <c r="AC435" i="1"/>
  <c r="AC510" i="1"/>
  <c r="AC522" i="1"/>
  <c r="AC523" i="1"/>
  <c r="AG523" i="1" s="1"/>
  <c r="AH435" i="1"/>
  <c r="AH414" i="1"/>
  <c r="AH361" i="1"/>
  <c r="AH303" i="1"/>
  <c r="AH288" i="1"/>
  <c r="AG5" i="1"/>
  <c r="AG11" i="1"/>
  <c r="AG19" i="1"/>
  <c r="AG21" i="1"/>
  <c r="AG31" i="1"/>
  <c r="AG32" i="1"/>
  <c r="AG45" i="1"/>
  <c r="AG46" i="1"/>
  <c r="AG49" i="1"/>
  <c r="AG52" i="1"/>
  <c r="AG59" i="1"/>
  <c r="AG60" i="1"/>
  <c r="AG68" i="1"/>
  <c r="AG69" i="1"/>
  <c r="AG77" i="1"/>
  <c r="AG94" i="1"/>
  <c r="AG97" i="1"/>
  <c r="AG98" i="1"/>
  <c r="AG109" i="1"/>
  <c r="AG120" i="1"/>
  <c r="AG121" i="1"/>
  <c r="AG129" i="1"/>
  <c r="AG131" i="1"/>
  <c r="AG136" i="1"/>
  <c r="AG142" i="1"/>
  <c r="AG149" i="1"/>
  <c r="AG162" i="1"/>
  <c r="AG164" i="1"/>
  <c r="AG165" i="1"/>
  <c r="AG166" i="1"/>
  <c r="AG177" i="1"/>
  <c r="AG182" i="1"/>
  <c r="AG183" i="1"/>
  <c r="AG185" i="1"/>
  <c r="AG186" i="1"/>
  <c r="AG194" i="1"/>
  <c r="AG196" i="1"/>
  <c r="AG217" i="1"/>
  <c r="AG253" i="1"/>
  <c r="AG286" i="1"/>
  <c r="AH286" i="1" s="1"/>
  <c r="AG384" i="1"/>
  <c r="K473" i="30"/>
  <c r="K472" i="30"/>
  <c r="K471" i="30"/>
  <c r="K470" i="30"/>
  <c r="K469" i="30"/>
  <c r="K468" i="30"/>
  <c r="K467" i="30"/>
  <c r="K466" i="30"/>
  <c r="K465" i="30"/>
  <c r="K464" i="30"/>
  <c r="K463" i="30"/>
  <c r="K462" i="30"/>
  <c r="K461" i="30"/>
  <c r="K460" i="30"/>
  <c r="K459" i="30"/>
  <c r="K458" i="30"/>
  <c r="K457" i="30"/>
  <c r="K456" i="30"/>
  <c r="K455" i="30"/>
  <c r="K454" i="30"/>
  <c r="K453" i="30"/>
  <c r="K452" i="30"/>
  <c r="K451" i="30"/>
  <c r="K450" i="30"/>
  <c r="K449" i="30"/>
  <c r="K448" i="30"/>
  <c r="K447" i="30"/>
  <c r="K446" i="30"/>
  <c r="K445" i="30"/>
  <c r="K444" i="30"/>
  <c r="K443" i="30"/>
  <c r="K442" i="30"/>
  <c r="K441" i="30"/>
  <c r="K440" i="30"/>
  <c r="K439" i="30"/>
  <c r="K438" i="30"/>
  <c r="K437" i="30"/>
  <c r="K436" i="30"/>
  <c r="K435" i="30"/>
  <c r="K434" i="30"/>
  <c r="K433" i="30"/>
  <c r="K432" i="30"/>
  <c r="K431" i="30"/>
  <c r="K430" i="30"/>
  <c r="K429" i="30"/>
  <c r="K428" i="30"/>
  <c r="K427" i="30"/>
  <c r="K426" i="30"/>
  <c r="K425" i="30"/>
  <c r="K424" i="30"/>
  <c r="K423" i="30"/>
  <c r="K422" i="30"/>
  <c r="K421" i="30"/>
  <c r="K420" i="30"/>
  <c r="K419" i="30"/>
  <c r="K418" i="30"/>
  <c r="K417" i="30"/>
  <c r="K416" i="30"/>
  <c r="K415" i="30"/>
  <c r="K414" i="30"/>
  <c r="K413" i="30"/>
  <c r="K412" i="30"/>
  <c r="K411" i="30"/>
  <c r="K410" i="30"/>
  <c r="K409" i="30"/>
  <c r="K408" i="30"/>
  <c r="K407" i="30"/>
  <c r="K406" i="30"/>
  <c r="K405" i="30"/>
  <c r="K404" i="30"/>
  <c r="K403" i="30"/>
  <c r="K402" i="30"/>
  <c r="K401" i="30"/>
  <c r="K400" i="30"/>
  <c r="K399" i="30"/>
  <c r="K398" i="30"/>
  <c r="K397" i="30"/>
  <c r="K396" i="30"/>
  <c r="K395" i="30"/>
  <c r="K394" i="30"/>
  <c r="K393" i="30"/>
  <c r="K392" i="30"/>
  <c r="K391" i="30"/>
  <c r="K390" i="30"/>
  <c r="K389" i="30"/>
  <c r="K388" i="30"/>
  <c r="K387" i="30"/>
  <c r="K386" i="30"/>
  <c r="K385" i="30"/>
  <c r="K384" i="30"/>
  <c r="K383" i="30"/>
  <c r="K382" i="30"/>
  <c r="K381" i="30"/>
  <c r="K380" i="30"/>
  <c r="K379" i="30"/>
  <c r="K378" i="30"/>
  <c r="K377" i="30"/>
  <c r="K376" i="30"/>
  <c r="K375" i="30"/>
  <c r="K374" i="30"/>
  <c r="K373" i="30"/>
  <c r="K372" i="30"/>
  <c r="K371" i="30"/>
  <c r="K370" i="30"/>
  <c r="K369" i="30"/>
  <c r="K368" i="30"/>
  <c r="K367" i="30"/>
  <c r="K366" i="30"/>
  <c r="K365" i="30"/>
  <c r="K364" i="30"/>
  <c r="K363" i="30"/>
  <c r="K362" i="30"/>
  <c r="K361" i="30"/>
  <c r="K360" i="30"/>
  <c r="K359" i="30"/>
  <c r="K358" i="30"/>
  <c r="K357" i="30"/>
  <c r="K356" i="30"/>
  <c r="K355" i="30"/>
  <c r="K354" i="30"/>
  <c r="K353" i="30"/>
  <c r="K352" i="30"/>
  <c r="K351" i="30"/>
  <c r="K350" i="30"/>
  <c r="K349" i="30"/>
  <c r="K348" i="30"/>
  <c r="K347" i="30"/>
  <c r="K346" i="30"/>
  <c r="K345" i="30"/>
  <c r="K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315" i="30"/>
  <c r="K314" i="30"/>
  <c r="K313" i="30"/>
  <c r="K312" i="30"/>
  <c r="K311" i="30"/>
  <c r="K310" i="30"/>
  <c r="K309" i="30"/>
  <c r="K308" i="30"/>
  <c r="K307" i="30"/>
  <c r="K306" i="30"/>
  <c r="K305" i="30"/>
  <c r="K304" i="30"/>
  <c r="K303" i="30"/>
  <c r="K302" i="30"/>
  <c r="K301" i="30"/>
  <c r="K300" i="30"/>
  <c r="K299" i="30"/>
  <c r="K298" i="30"/>
  <c r="K297" i="30"/>
  <c r="K296" i="30"/>
  <c r="K295" i="30"/>
  <c r="K294" i="30"/>
  <c r="K293" i="30"/>
  <c r="K292" i="30"/>
  <c r="K291" i="30"/>
  <c r="K290" i="30"/>
  <c r="K289" i="30"/>
  <c r="K288" i="30"/>
  <c r="K287" i="30"/>
  <c r="K286" i="30"/>
  <c r="K285" i="30"/>
  <c r="K284" i="30"/>
  <c r="K283" i="30"/>
  <c r="K282" i="30"/>
  <c r="K281" i="30"/>
  <c r="K280" i="30"/>
  <c r="K279" i="30"/>
  <c r="K278" i="30"/>
  <c r="K277" i="30"/>
  <c r="K276" i="30"/>
  <c r="K275" i="30"/>
  <c r="K274" i="30"/>
  <c r="K273" i="30"/>
  <c r="K272" i="30"/>
  <c r="K271" i="30"/>
  <c r="K270" i="30"/>
  <c r="K269" i="30"/>
  <c r="K268" i="30"/>
  <c r="K267" i="30"/>
  <c r="K266" i="30"/>
  <c r="K265" i="30"/>
  <c r="K264" i="30"/>
  <c r="K263" i="30"/>
  <c r="K262" i="30"/>
  <c r="K261" i="30"/>
  <c r="K260" i="30"/>
  <c r="K259" i="30"/>
  <c r="K258" i="30"/>
  <c r="K257" i="30"/>
  <c r="K256" i="30"/>
  <c r="K255" i="30"/>
  <c r="K254" i="30"/>
  <c r="K253" i="30"/>
  <c r="K252" i="30"/>
  <c r="K251" i="30"/>
  <c r="K250" i="30"/>
  <c r="K249" i="30"/>
  <c r="K248" i="30"/>
  <c r="K247" i="30"/>
  <c r="K246" i="30"/>
  <c r="K245" i="30"/>
  <c r="K244" i="30"/>
  <c r="K243" i="30"/>
  <c r="K242" i="30"/>
  <c r="K241" i="30"/>
  <c r="K240" i="30"/>
  <c r="K239" i="30"/>
  <c r="K238" i="30"/>
  <c r="K237" i="30"/>
  <c r="K236" i="30"/>
  <c r="K235" i="30"/>
  <c r="K234" i="30"/>
  <c r="K233" i="30"/>
  <c r="K232" i="30"/>
  <c r="K231" i="30"/>
  <c r="K230" i="30"/>
  <c r="K229" i="30"/>
  <c r="K228" i="30"/>
  <c r="K227" i="30"/>
  <c r="K226" i="30"/>
  <c r="K225" i="30"/>
  <c r="K224" i="30"/>
  <c r="K223" i="30"/>
  <c r="K222" i="30"/>
  <c r="K221" i="30"/>
  <c r="K220" i="30"/>
  <c r="K219" i="30"/>
  <c r="K218" i="30"/>
  <c r="K217" i="30"/>
  <c r="K216" i="30"/>
  <c r="K215" i="30"/>
  <c r="K214" i="30"/>
  <c r="K213" i="30"/>
  <c r="K212" i="30"/>
  <c r="K211" i="30"/>
  <c r="K210" i="30"/>
  <c r="K209" i="30"/>
  <c r="K208" i="30"/>
  <c r="K207" i="30"/>
  <c r="K206" i="30"/>
  <c r="K205" i="30"/>
  <c r="K204" i="30"/>
  <c r="K203" i="30"/>
  <c r="K202" i="30"/>
  <c r="K201" i="30"/>
  <c r="K200" i="30"/>
  <c r="K199" i="30"/>
  <c r="K198" i="30"/>
  <c r="K197" i="30"/>
  <c r="K196" i="30"/>
  <c r="K195" i="30"/>
  <c r="K194" i="30"/>
  <c r="K193" i="30"/>
  <c r="K192" i="30"/>
  <c r="K191" i="30"/>
  <c r="K190" i="30"/>
  <c r="K189" i="30"/>
  <c r="K188" i="30"/>
  <c r="K187" i="30"/>
  <c r="K186" i="30"/>
  <c r="K185" i="30"/>
  <c r="K184" i="30"/>
  <c r="K183" i="30"/>
  <c r="K182" i="30"/>
  <c r="K181" i="30"/>
  <c r="K180" i="30"/>
  <c r="K179" i="30"/>
  <c r="K178" i="30"/>
  <c r="K177" i="30"/>
  <c r="K176" i="30"/>
  <c r="K175" i="30"/>
  <c r="K174" i="30"/>
  <c r="K173" i="30"/>
  <c r="K172" i="30"/>
  <c r="K171" i="30"/>
  <c r="K170" i="30"/>
  <c r="K169" i="30"/>
  <c r="K168" i="30"/>
  <c r="K167" i="30"/>
  <c r="K166" i="30"/>
  <c r="K165" i="30"/>
  <c r="K164" i="30"/>
  <c r="K163" i="30"/>
  <c r="K162" i="30"/>
  <c r="K161" i="30"/>
  <c r="K160" i="30"/>
  <c r="K159" i="30"/>
  <c r="K158" i="30"/>
  <c r="K157" i="30"/>
  <c r="K156" i="30"/>
  <c r="K155" i="30"/>
  <c r="K154" i="30"/>
  <c r="K153" i="30"/>
  <c r="K152" i="30"/>
  <c r="K151" i="30"/>
  <c r="K150" i="30"/>
  <c r="K149" i="30"/>
  <c r="K148" i="30"/>
  <c r="K147" i="30"/>
  <c r="K146" i="30"/>
  <c r="K145" i="30"/>
  <c r="K144" i="30"/>
  <c r="K143" i="30"/>
  <c r="K142" i="30"/>
  <c r="K141" i="30"/>
  <c r="K140" i="30"/>
  <c r="K139" i="30"/>
  <c r="K138" i="30"/>
  <c r="K137" i="30"/>
  <c r="K136" i="30"/>
  <c r="K135" i="30"/>
  <c r="K134" i="30"/>
  <c r="K133" i="30"/>
  <c r="K132" i="30"/>
  <c r="K131" i="30"/>
  <c r="K130" i="30"/>
  <c r="K129" i="30"/>
  <c r="K128" i="30"/>
  <c r="K127" i="30"/>
  <c r="K126" i="30"/>
  <c r="K125" i="30"/>
  <c r="K124" i="30"/>
  <c r="K123" i="30"/>
  <c r="K122" i="30"/>
  <c r="K121" i="30"/>
  <c r="K120" i="30"/>
  <c r="K119" i="30"/>
  <c r="K118" i="30"/>
  <c r="K117" i="30"/>
  <c r="K116" i="30"/>
  <c r="K115" i="30"/>
  <c r="K114" i="30"/>
  <c r="K113" i="30"/>
  <c r="K112" i="30"/>
  <c r="K111" i="30"/>
  <c r="K110" i="30"/>
  <c r="K109" i="30"/>
  <c r="K108" i="30"/>
  <c r="K106" i="30"/>
  <c r="K105" i="30"/>
  <c r="K104" i="30"/>
  <c r="K103" i="30"/>
  <c r="K102" i="30"/>
  <c r="K101" i="30"/>
  <c r="K100" i="30"/>
  <c r="K99" i="30"/>
  <c r="K98" i="30"/>
  <c r="K97" i="30"/>
  <c r="K96" i="30"/>
  <c r="K95" i="30"/>
  <c r="K94" i="30"/>
  <c r="K93" i="30"/>
  <c r="K92" i="30"/>
  <c r="K91" i="30"/>
  <c r="K90" i="30"/>
  <c r="K89" i="30"/>
  <c r="K88" i="30"/>
  <c r="K87" i="30"/>
  <c r="K86" i="30"/>
  <c r="K85" i="30"/>
  <c r="K84" i="30"/>
  <c r="K83" i="30"/>
  <c r="K82" i="30"/>
  <c r="K80" i="30"/>
  <c r="K79" i="30"/>
  <c r="K78" i="30"/>
  <c r="K77" i="30"/>
  <c r="K76" i="30"/>
  <c r="K75" i="30"/>
  <c r="K74" i="30"/>
  <c r="K73" i="30"/>
  <c r="K72" i="30"/>
  <c r="K71" i="30"/>
  <c r="K70" i="30"/>
  <c r="K69" i="30"/>
  <c r="K68" i="30"/>
  <c r="K67" i="30"/>
  <c r="K66" i="30"/>
  <c r="K65" i="30"/>
  <c r="K64" i="30"/>
  <c r="K63" i="30"/>
  <c r="K62" i="30"/>
  <c r="K61" i="30"/>
  <c r="K60" i="30"/>
  <c r="K59" i="30"/>
  <c r="K58" i="30"/>
  <c r="K57" i="30"/>
  <c r="K56" i="30"/>
  <c r="K55" i="30"/>
  <c r="K54" i="30"/>
  <c r="K53" i="30"/>
  <c r="K51" i="30"/>
  <c r="K50" i="30"/>
  <c r="K49" i="30"/>
  <c r="K48" i="30"/>
  <c r="K47" i="30"/>
  <c r="K46" i="30"/>
  <c r="K45" i="30"/>
  <c r="K44" i="30"/>
  <c r="K43" i="30"/>
  <c r="K42" i="30"/>
  <c r="K41" i="30"/>
  <c r="K40" i="30"/>
  <c r="K39" i="30"/>
  <c r="K38" i="30"/>
  <c r="K37" i="30"/>
  <c r="K36" i="30"/>
  <c r="K35" i="30"/>
  <c r="K34" i="30"/>
  <c r="K33" i="30"/>
  <c r="K32" i="30"/>
  <c r="K31" i="30"/>
  <c r="K30" i="30"/>
  <c r="K29" i="30"/>
  <c r="K28" i="30"/>
  <c r="K27" i="30"/>
  <c r="K26" i="30"/>
  <c r="K25" i="30"/>
  <c r="K24" i="30"/>
  <c r="K23" i="30"/>
  <c r="K22" i="30"/>
  <c r="K21" i="30"/>
  <c r="K20" i="30"/>
  <c r="K19" i="30"/>
  <c r="K18" i="30"/>
  <c r="K17" i="30"/>
  <c r="K16" i="30"/>
  <c r="K15" i="30"/>
  <c r="K14" i="30"/>
  <c r="K13" i="30"/>
  <c r="K12" i="30"/>
  <c r="K11" i="30"/>
  <c r="K10" i="30"/>
  <c r="K9" i="30"/>
  <c r="K8" i="30"/>
  <c r="K7" i="30"/>
  <c r="K6" i="30"/>
  <c r="K5" i="30"/>
  <c r="K4" i="30"/>
  <c r="K3" i="30"/>
  <c r="K2" i="30"/>
  <c r="B408" i="1"/>
  <c r="N248" i="28"/>
  <c r="L248" i="28"/>
  <c r="N246" i="28"/>
  <c r="N175" i="28"/>
  <c r="N93" i="28"/>
  <c r="N97" i="28"/>
  <c r="N96" i="28"/>
  <c r="N95" i="28"/>
  <c r="N94" i="28"/>
  <c r="N91" i="28"/>
  <c r="N3" i="28"/>
  <c r="M44" i="28"/>
  <c r="N2" i="28"/>
  <c r="N87" i="28"/>
  <c r="N86" i="28"/>
  <c r="H17" i="30"/>
  <c r="H18" i="30"/>
  <c r="H7" i="30"/>
  <c r="H5" i="30"/>
  <c r="G93" i="27"/>
  <c r="K74" i="28"/>
  <c r="M86" i="28"/>
  <c r="H2" i="30"/>
  <c r="AC428" i="7" l="1"/>
  <c r="AC405" i="4"/>
  <c r="AC150" i="7"/>
  <c r="AC147" i="4"/>
  <c r="AC56" i="7"/>
  <c r="AC57" i="7"/>
  <c r="AC55" i="4"/>
  <c r="AC55" i="7"/>
  <c r="AC54" i="4"/>
  <c r="AG297" i="1"/>
  <c r="AH297" i="1" s="1"/>
  <c r="AC276" i="4"/>
  <c r="AC504" i="7"/>
  <c r="AC476" i="4"/>
  <c r="AC385" i="4"/>
  <c r="AC408" i="7"/>
  <c r="AC136" i="7"/>
  <c r="AC133" i="4"/>
  <c r="AC24" i="7"/>
  <c r="AC24" i="4"/>
  <c r="AC356" i="7"/>
  <c r="AC336" i="4"/>
  <c r="AC92" i="7"/>
  <c r="AC89" i="4"/>
  <c r="AC14" i="7"/>
  <c r="AC13" i="4"/>
  <c r="AC318" i="7"/>
  <c r="AC299" i="4"/>
  <c r="AC83" i="7"/>
  <c r="AC81" i="4"/>
  <c r="AC312" i="7"/>
  <c r="AC294" i="4"/>
  <c r="AC78" i="7"/>
  <c r="AC76" i="4"/>
  <c r="AC517" i="7"/>
  <c r="AC489" i="4"/>
  <c r="AC309" i="7"/>
  <c r="AC291" i="4"/>
  <c r="AC71" i="7"/>
  <c r="AC69" i="4"/>
  <c r="AC516" i="7"/>
  <c r="AC488" i="4"/>
  <c r="AC297" i="7"/>
  <c r="AC282" i="4"/>
  <c r="AC65" i="7"/>
  <c r="AC63" i="4"/>
  <c r="L45" i="30"/>
  <c r="AC146" i="1" s="1"/>
  <c r="H100" i="27"/>
  <c r="G2" i="27"/>
  <c r="J474" i="30"/>
  <c r="L109" i="30" s="1"/>
  <c r="H2" i="27"/>
  <c r="H473" i="30"/>
  <c r="H472" i="30"/>
  <c r="H471" i="30"/>
  <c r="H470" i="30"/>
  <c r="H469" i="30"/>
  <c r="H468" i="30"/>
  <c r="H467" i="30"/>
  <c r="L467" i="30" s="1"/>
  <c r="AC178" i="1" s="1"/>
  <c r="H466" i="30"/>
  <c r="H465" i="30"/>
  <c r="H464" i="30"/>
  <c r="H463" i="30"/>
  <c r="H462" i="30"/>
  <c r="H460" i="30"/>
  <c r="H459" i="30"/>
  <c r="H458" i="30"/>
  <c r="H457" i="30"/>
  <c r="H456" i="30"/>
  <c r="H455" i="30"/>
  <c r="H453" i="30"/>
  <c r="H452" i="30"/>
  <c r="H451" i="30"/>
  <c r="H450" i="30"/>
  <c r="H449" i="30"/>
  <c r="H447" i="30"/>
  <c r="H446" i="30"/>
  <c r="H445" i="30"/>
  <c r="H444" i="30"/>
  <c r="H443" i="30"/>
  <c r="H442" i="30"/>
  <c r="H441" i="30"/>
  <c r="H440" i="30"/>
  <c r="L440" i="30" s="1"/>
  <c r="AC24" i="1" s="1"/>
  <c r="H438" i="30"/>
  <c r="H437" i="30"/>
  <c r="H436" i="30"/>
  <c r="H435" i="30"/>
  <c r="H434" i="30"/>
  <c r="H433" i="30"/>
  <c r="H432" i="30"/>
  <c r="L432" i="30" s="1"/>
  <c r="AC39" i="1" s="1"/>
  <c r="H431" i="30"/>
  <c r="H430" i="30"/>
  <c r="H429" i="30"/>
  <c r="H428" i="30"/>
  <c r="H427" i="30"/>
  <c r="H426" i="30"/>
  <c r="H425" i="30"/>
  <c r="H424" i="30"/>
  <c r="L424" i="30" s="1"/>
  <c r="AC15" i="1" s="1"/>
  <c r="H423" i="30"/>
  <c r="H422" i="30"/>
  <c r="H421" i="30"/>
  <c r="H420" i="30"/>
  <c r="H419" i="30"/>
  <c r="H418" i="30"/>
  <c r="H417" i="30"/>
  <c r="H416" i="30"/>
  <c r="L416" i="30" s="1"/>
  <c r="AC200" i="1" s="1"/>
  <c r="H415" i="30"/>
  <c r="H414" i="30"/>
  <c r="H413" i="30"/>
  <c r="H412" i="30"/>
  <c r="H411" i="30"/>
  <c r="H410" i="30"/>
  <c r="H409" i="30"/>
  <c r="H408" i="30"/>
  <c r="L408" i="30" s="1"/>
  <c r="AC137" i="1" s="1"/>
  <c r="H407" i="30"/>
  <c r="H406" i="30"/>
  <c r="H405" i="30"/>
  <c r="H404" i="30"/>
  <c r="H403" i="30"/>
  <c r="H402" i="30"/>
  <c r="H400" i="30"/>
  <c r="H399" i="30"/>
  <c r="L399" i="30" s="1"/>
  <c r="AC373" i="1" s="1"/>
  <c r="H398" i="30"/>
  <c r="H397" i="30"/>
  <c r="H396" i="30"/>
  <c r="H395" i="30"/>
  <c r="H394" i="30"/>
  <c r="H393" i="30"/>
  <c r="H392" i="30"/>
  <c r="H391" i="30"/>
  <c r="L391" i="30" s="1"/>
  <c r="AC282" i="1" s="1"/>
  <c r="H390" i="30"/>
  <c r="H389" i="30"/>
  <c r="H388" i="30"/>
  <c r="H386" i="30"/>
  <c r="H385" i="30"/>
  <c r="H384" i="30"/>
  <c r="H383" i="30"/>
  <c r="L382" i="30" s="1"/>
  <c r="AC140" i="1" s="1"/>
  <c r="H382" i="30"/>
  <c r="H381" i="30"/>
  <c r="H380" i="30"/>
  <c r="H379" i="30"/>
  <c r="H378" i="30"/>
  <c r="H377" i="30"/>
  <c r="H376" i="30"/>
  <c r="H375" i="30"/>
  <c r="L376" i="30" s="1"/>
  <c r="H374" i="30"/>
  <c r="H373" i="30"/>
  <c r="H372" i="30"/>
  <c r="H369" i="30"/>
  <c r="H368" i="30"/>
  <c r="H367" i="30"/>
  <c r="H366" i="30"/>
  <c r="H365" i="30"/>
  <c r="H364" i="30"/>
  <c r="H363" i="30"/>
  <c r="H362" i="30"/>
  <c r="H361" i="30"/>
  <c r="H360" i="30"/>
  <c r="H359" i="30"/>
  <c r="H358" i="30"/>
  <c r="H357" i="30"/>
  <c r="H356" i="30"/>
  <c r="H354" i="30"/>
  <c r="H353" i="30"/>
  <c r="H352" i="30"/>
  <c r="H351" i="30"/>
  <c r="H350" i="30"/>
  <c r="H349" i="30"/>
  <c r="H348" i="30"/>
  <c r="L348" i="30" s="1"/>
  <c r="AC311" i="1" s="1"/>
  <c r="H347" i="30"/>
  <c r="H346" i="30"/>
  <c r="H345" i="30"/>
  <c r="H344" i="30"/>
  <c r="H343" i="30"/>
  <c r="H342" i="30"/>
  <c r="H341" i="30"/>
  <c r="H340" i="30"/>
  <c r="L340" i="30" s="1"/>
  <c r="AC148" i="1" s="1"/>
  <c r="H339" i="30"/>
  <c r="H338" i="30"/>
  <c r="H337" i="30"/>
  <c r="H336" i="30"/>
  <c r="H335" i="30"/>
  <c r="H334" i="30"/>
  <c r="H333" i="30"/>
  <c r="H332" i="30"/>
  <c r="H331" i="30"/>
  <c r="H330" i="30"/>
  <c r="H329" i="30"/>
  <c r="H328" i="30"/>
  <c r="H327" i="30"/>
  <c r="H326" i="30"/>
  <c r="H325" i="30"/>
  <c r="H324" i="30"/>
  <c r="L325" i="30" s="1"/>
  <c r="H323" i="30"/>
  <c r="H322" i="30"/>
  <c r="H321" i="30"/>
  <c r="H320" i="30"/>
  <c r="H319" i="30"/>
  <c r="H318" i="30"/>
  <c r="H317" i="30"/>
  <c r="H316" i="30"/>
  <c r="L316" i="30" s="1"/>
  <c r="AC122" i="1" s="1"/>
  <c r="H315" i="30"/>
  <c r="H314" i="30"/>
  <c r="H313" i="30"/>
  <c r="H312" i="30"/>
  <c r="H311" i="30"/>
  <c r="H310" i="30"/>
  <c r="H309" i="30"/>
  <c r="H308" i="30"/>
  <c r="L308" i="30" s="1"/>
  <c r="AC462" i="1" s="1"/>
  <c r="H307" i="30"/>
  <c r="H306" i="30"/>
  <c r="H305" i="30"/>
  <c r="H304" i="30"/>
  <c r="H303" i="30"/>
  <c r="H302" i="30"/>
  <c r="H301" i="30"/>
  <c r="H300" i="30"/>
  <c r="L300" i="30" s="1"/>
  <c r="AC26" i="1" s="1"/>
  <c r="H299" i="30"/>
  <c r="H298" i="30"/>
  <c r="H297" i="30"/>
  <c r="H296" i="30"/>
  <c r="H295" i="30"/>
  <c r="H294" i="30"/>
  <c r="H293" i="30"/>
  <c r="H292" i="30"/>
  <c r="L401" i="30" s="1"/>
  <c r="H291" i="30"/>
  <c r="H290" i="30"/>
  <c r="H289" i="30"/>
  <c r="H288" i="30"/>
  <c r="H287" i="30"/>
  <c r="H286" i="30"/>
  <c r="H285" i="30"/>
  <c r="H284" i="30"/>
  <c r="L284" i="30" s="1"/>
  <c r="AC188" i="1" s="1"/>
  <c r="H283" i="30"/>
  <c r="H282" i="30"/>
  <c r="H281" i="30"/>
  <c r="H280" i="30"/>
  <c r="H279" i="30"/>
  <c r="H278" i="30"/>
  <c r="H277" i="30"/>
  <c r="H276" i="30"/>
  <c r="L276" i="30" s="1"/>
  <c r="AC418" i="1" s="1"/>
  <c r="H275" i="30"/>
  <c r="H274" i="30"/>
  <c r="H273" i="30"/>
  <c r="H271" i="30"/>
  <c r="H270" i="30"/>
  <c r="H268" i="30"/>
  <c r="H267" i="30"/>
  <c r="H266" i="30"/>
  <c r="L266" i="30" s="1"/>
  <c r="AC229" i="1" s="1"/>
  <c r="H264" i="30"/>
  <c r="H260" i="30"/>
  <c r="H256" i="30"/>
  <c r="H255" i="30"/>
  <c r="H254" i="30"/>
  <c r="H253" i="30"/>
  <c r="H252" i="30"/>
  <c r="H251" i="30"/>
  <c r="L251" i="30" s="1"/>
  <c r="AC221" i="1" s="1"/>
  <c r="H250" i="30"/>
  <c r="H249" i="30"/>
  <c r="H248" i="30"/>
  <c r="H247" i="30"/>
  <c r="H246" i="30"/>
  <c r="H245" i="30"/>
  <c r="H244" i="30"/>
  <c r="H243" i="30"/>
  <c r="H242" i="30"/>
  <c r="H241" i="30"/>
  <c r="H240" i="30"/>
  <c r="H239" i="30"/>
  <c r="H238" i="30"/>
  <c r="H237" i="30"/>
  <c r="H236" i="30"/>
  <c r="H235" i="30"/>
  <c r="L235" i="30" s="1"/>
  <c r="AC402" i="1" s="1"/>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L211" i="30" s="1"/>
  <c r="AC151" i="1" s="1"/>
  <c r="H210" i="30"/>
  <c r="H209" i="30"/>
  <c r="H208" i="30"/>
  <c r="H207" i="30"/>
  <c r="H206" i="30"/>
  <c r="H205" i="30"/>
  <c r="H204" i="30"/>
  <c r="H203" i="30"/>
  <c r="L203" i="30" s="1"/>
  <c r="AC47" i="1" s="1"/>
  <c r="H202" i="30"/>
  <c r="H201" i="30"/>
  <c r="H200" i="30"/>
  <c r="H199" i="30"/>
  <c r="H198" i="30"/>
  <c r="H197" i="30"/>
  <c r="H196" i="30"/>
  <c r="H195" i="30"/>
  <c r="L195" i="30" s="1"/>
  <c r="AC513" i="1" s="1"/>
  <c r="H194" i="30"/>
  <c r="H193" i="30"/>
  <c r="H192" i="30"/>
  <c r="H191" i="30"/>
  <c r="H190" i="30"/>
  <c r="H189" i="30"/>
  <c r="H188" i="30"/>
  <c r="H187" i="30"/>
  <c r="L187" i="30" s="1"/>
  <c r="AC65" i="1" s="1"/>
  <c r="H186" i="30"/>
  <c r="H185" i="30"/>
  <c r="H184" i="30"/>
  <c r="H183" i="30"/>
  <c r="H182" i="30"/>
  <c r="H181" i="30"/>
  <c r="H180" i="30"/>
  <c r="H179" i="30"/>
  <c r="L179" i="30" s="1"/>
  <c r="AC365" i="1" s="1"/>
  <c r="H178" i="30"/>
  <c r="H177" i="30"/>
  <c r="H176" i="30"/>
  <c r="H175" i="30"/>
  <c r="H174" i="30"/>
  <c r="H173" i="30"/>
  <c r="H172" i="30"/>
  <c r="H171" i="30"/>
  <c r="L171" i="30" s="1"/>
  <c r="AC305" i="1" s="1"/>
  <c r="H170" i="30"/>
  <c r="H169" i="30"/>
  <c r="H168" i="30"/>
  <c r="H167" i="30"/>
  <c r="H166" i="30"/>
  <c r="H165" i="30"/>
  <c r="H164" i="30"/>
  <c r="H163" i="30"/>
  <c r="H162" i="30"/>
  <c r="H161" i="30"/>
  <c r="H160" i="30"/>
  <c r="H159" i="30"/>
  <c r="H158" i="30"/>
  <c r="H155" i="30"/>
  <c r="H154" i="30"/>
  <c r="H153" i="30"/>
  <c r="L153" i="30" s="1"/>
  <c r="AC134" i="1" s="1"/>
  <c r="AG134" i="1" s="1"/>
  <c r="AH134" i="1" s="1"/>
  <c r="H152" i="30"/>
  <c r="H151" i="30"/>
  <c r="H150" i="30"/>
  <c r="H149" i="30"/>
  <c r="H148" i="30"/>
  <c r="H147" i="30"/>
  <c r="H145" i="30"/>
  <c r="L145" i="30" s="1"/>
  <c r="AC325" i="1" s="1"/>
  <c r="H144" i="30"/>
  <c r="H143" i="30"/>
  <c r="H142" i="30"/>
  <c r="H141" i="30"/>
  <c r="H140" i="30"/>
  <c r="H139" i="30"/>
  <c r="H138" i="30"/>
  <c r="H137" i="30"/>
  <c r="L137" i="30" s="1"/>
  <c r="AC304" i="1" s="1"/>
  <c r="H136" i="30"/>
  <c r="H135" i="30"/>
  <c r="H133" i="30"/>
  <c r="H132" i="30"/>
  <c r="H131" i="30"/>
  <c r="H130" i="30"/>
  <c r="H129" i="30"/>
  <c r="L129" i="30" s="1"/>
  <c r="AC521" i="1" s="1"/>
  <c r="H128" i="30"/>
  <c r="H127" i="30"/>
  <c r="H126" i="30"/>
  <c r="H125" i="30"/>
  <c r="H124" i="30"/>
  <c r="H123" i="30"/>
  <c r="H122" i="30"/>
  <c r="H121" i="30"/>
  <c r="H120" i="30"/>
  <c r="H119" i="30"/>
  <c r="H118" i="30"/>
  <c r="H117" i="30"/>
  <c r="H116" i="30"/>
  <c r="H115" i="30"/>
  <c r="H114" i="30"/>
  <c r="H113" i="30"/>
  <c r="H112" i="30"/>
  <c r="H111" i="30"/>
  <c r="H110" i="30"/>
  <c r="H109" i="30"/>
  <c r="H108" i="30"/>
  <c r="H106" i="30"/>
  <c r="H104" i="30"/>
  <c r="L104" i="30" s="1"/>
  <c r="AC279" i="1" s="1"/>
  <c r="H103" i="30"/>
  <c r="H102" i="30"/>
  <c r="H101" i="30"/>
  <c r="H100" i="30"/>
  <c r="H99" i="30"/>
  <c r="H98" i="30"/>
  <c r="H97" i="30"/>
  <c r="H96" i="30"/>
  <c r="L96" i="30" s="1"/>
  <c r="AC190" i="1" s="1"/>
  <c r="H95" i="30"/>
  <c r="H94" i="30"/>
  <c r="H93" i="30"/>
  <c r="H92" i="30"/>
  <c r="H91" i="30"/>
  <c r="H90" i="30"/>
  <c r="H89" i="30"/>
  <c r="H88" i="30"/>
  <c r="H87" i="30"/>
  <c r="H86" i="30"/>
  <c r="H85" i="30"/>
  <c r="H84" i="30"/>
  <c r="H83" i="30"/>
  <c r="H82" i="30"/>
  <c r="L107" i="30"/>
  <c r="H80" i="30"/>
  <c r="H79" i="30"/>
  <c r="H78" i="30"/>
  <c r="H77" i="30"/>
  <c r="H76" i="30"/>
  <c r="H75" i="30"/>
  <c r="H74" i="30"/>
  <c r="H73" i="30"/>
  <c r="H72" i="30"/>
  <c r="L72" i="30" s="1"/>
  <c r="AC203" i="1" s="1"/>
  <c r="H71" i="30"/>
  <c r="H70" i="30"/>
  <c r="H69" i="30"/>
  <c r="H68" i="30"/>
  <c r="H67" i="30"/>
  <c r="H66" i="30"/>
  <c r="H65" i="30"/>
  <c r="H64" i="30"/>
  <c r="L64" i="30" s="1"/>
  <c r="AC391" i="1" s="1"/>
  <c r="H63" i="30"/>
  <c r="H62" i="30"/>
  <c r="H61" i="30"/>
  <c r="H60" i="30"/>
  <c r="H59" i="30"/>
  <c r="H58" i="30"/>
  <c r="H57" i="30"/>
  <c r="H56" i="30"/>
  <c r="L57" i="30" s="1"/>
  <c r="H55" i="30"/>
  <c r="H54" i="30"/>
  <c r="H53" i="30"/>
  <c r="H51" i="30"/>
  <c r="H50" i="30"/>
  <c r="H49" i="30"/>
  <c r="H48" i="30"/>
  <c r="H47" i="30"/>
  <c r="L47" i="30" s="1"/>
  <c r="AC170" i="1" s="1"/>
  <c r="H46" i="30"/>
  <c r="H45" i="30"/>
  <c r="H43" i="30"/>
  <c r="H42" i="30"/>
  <c r="H41" i="30"/>
  <c r="H40" i="30"/>
  <c r="H39" i="30"/>
  <c r="H38" i="30"/>
  <c r="L38" i="30" s="1"/>
  <c r="AC135" i="1" s="1"/>
  <c r="H37" i="30"/>
  <c r="H36" i="30"/>
  <c r="H35" i="30"/>
  <c r="H34" i="30"/>
  <c r="H33" i="30"/>
  <c r="H32" i="30"/>
  <c r="H31" i="30"/>
  <c r="H30" i="30"/>
  <c r="L30" i="30" s="1"/>
  <c r="H29" i="30"/>
  <c r="H28" i="30"/>
  <c r="H27" i="30"/>
  <c r="H23" i="30"/>
  <c r="H22" i="30"/>
  <c r="H21" i="30"/>
  <c r="H19" i="30"/>
  <c r="H16" i="30"/>
  <c r="H15" i="30"/>
  <c r="H14" i="30"/>
  <c r="H13" i="30"/>
  <c r="H12" i="30"/>
  <c r="H11" i="30"/>
  <c r="H10" i="30"/>
  <c r="H9" i="30"/>
  <c r="H8" i="30"/>
  <c r="H6" i="30"/>
  <c r="H4" i="30"/>
  <c r="H3" i="30"/>
  <c r="H474" i="30"/>
  <c r="M89" i="28"/>
  <c r="M59" i="28"/>
  <c r="AB505" i="1"/>
  <c r="AC3" i="1"/>
  <c r="A5" i="5"/>
  <c r="C315" i="3"/>
  <c r="D315" i="3"/>
  <c r="E315" i="3"/>
  <c r="AB313" i="6"/>
  <c r="AB314" i="6"/>
  <c r="AB315" i="6"/>
  <c r="AB316" i="6"/>
  <c r="Z225" i="3"/>
  <c r="AA225" i="3"/>
  <c r="E314" i="3"/>
  <c r="K314" i="3"/>
  <c r="M314" i="3"/>
  <c r="S314" i="3"/>
  <c r="U314" i="3"/>
  <c r="Z71" i="3"/>
  <c r="AA71" i="3"/>
  <c r="C314" i="3"/>
  <c r="M313" i="3"/>
  <c r="N313" i="3"/>
  <c r="N314" i="3" s="1"/>
  <c r="O313" i="3"/>
  <c r="O314" i="3" s="1"/>
  <c r="P313" i="3"/>
  <c r="P314" i="3" s="1"/>
  <c r="Q313" i="3"/>
  <c r="Q314" i="3" s="1"/>
  <c r="R314" i="3"/>
  <c r="S313" i="3"/>
  <c r="T313" i="3"/>
  <c r="T314" i="3" s="1"/>
  <c r="Z42" i="3"/>
  <c r="AA42" i="3"/>
  <c r="H313" i="3"/>
  <c r="H314" i="3" s="1"/>
  <c r="I313" i="3"/>
  <c r="I314" i="3" s="1"/>
  <c r="J313" i="3"/>
  <c r="J314" i="3" s="1"/>
  <c r="K313" i="3"/>
  <c r="L313" i="3"/>
  <c r="L314" i="3" s="1"/>
  <c r="D313" i="3"/>
  <c r="D314" i="3" s="1"/>
  <c r="E313" i="3"/>
  <c r="F313" i="3"/>
  <c r="F314" i="3" s="1"/>
  <c r="G313" i="3"/>
  <c r="G314" i="3" s="1"/>
  <c r="C313" i="3"/>
  <c r="AB187" i="1"/>
  <c r="B187" i="1"/>
  <c r="N350" i="28"/>
  <c r="C281" i="27"/>
  <c r="B106" i="1"/>
  <c r="B226" i="1"/>
  <c r="L138" i="30" l="1"/>
  <c r="AC333" i="1" s="1"/>
  <c r="L212" i="30"/>
  <c r="AC173" i="1" s="1"/>
  <c r="L267" i="30"/>
  <c r="AC278" i="1" s="1"/>
  <c r="L366" i="30"/>
  <c r="AC9" i="1" s="1"/>
  <c r="L384" i="30"/>
  <c r="AC511" i="1" s="1"/>
  <c r="L409" i="30"/>
  <c r="AC241" i="1" s="1"/>
  <c r="L417" i="30"/>
  <c r="AC316" i="1" s="1"/>
  <c r="L425" i="30"/>
  <c r="AC16" i="1" s="1"/>
  <c r="AC16" i="7" s="1"/>
  <c r="L433" i="30"/>
  <c r="AC268" i="1" s="1"/>
  <c r="L441" i="30"/>
  <c r="AC87" i="1" s="1"/>
  <c r="L453" i="30"/>
  <c r="L459" i="30"/>
  <c r="AC460" i="1" s="1"/>
  <c r="L468" i="30"/>
  <c r="AC274" i="1" s="1"/>
  <c r="L36" i="30"/>
  <c r="L31" i="30"/>
  <c r="AC70" i="1" s="1"/>
  <c r="L97" i="30"/>
  <c r="AC255" i="1" s="1"/>
  <c r="AC250" i="7" s="1"/>
  <c r="L164" i="30"/>
  <c r="AC55" i="1" s="1"/>
  <c r="L236" i="30"/>
  <c r="AC404" i="1" s="1"/>
  <c r="L333" i="30"/>
  <c r="AC276" i="1" s="1"/>
  <c r="L40" i="30"/>
  <c r="AC138" i="1" s="1"/>
  <c r="L106" i="30"/>
  <c r="AC224" i="1" s="1"/>
  <c r="L139" i="30"/>
  <c r="AC307" i="1" s="1"/>
  <c r="AC285" i="4" s="1"/>
  <c r="L205" i="30"/>
  <c r="AC62" i="1" s="1"/>
  <c r="L278" i="30"/>
  <c r="AC38" i="1" s="1"/>
  <c r="AC37" i="4" s="1"/>
  <c r="L350" i="30"/>
  <c r="AC394" i="1" s="1"/>
  <c r="L41" i="30"/>
  <c r="AC267" i="1" s="1"/>
  <c r="L75" i="30"/>
  <c r="AC209" i="1" s="1"/>
  <c r="L83" i="30"/>
  <c r="AC114" i="1" s="1"/>
  <c r="L108" i="30"/>
  <c r="AC492" i="1" s="1"/>
  <c r="L124" i="30"/>
  <c r="AC458" i="1" s="1"/>
  <c r="AC427" i="4" s="1"/>
  <c r="L148" i="30"/>
  <c r="AC328" i="1" s="1"/>
  <c r="L158" i="30"/>
  <c r="AC345" i="1" s="1"/>
  <c r="AC321" i="4" s="1"/>
  <c r="L174" i="30"/>
  <c r="AC385" i="1" s="1"/>
  <c r="L190" i="30"/>
  <c r="AC117" i="1" s="1"/>
  <c r="L198" i="30"/>
  <c r="AC91" i="1" s="1"/>
  <c r="L206" i="30"/>
  <c r="AC67" i="1" s="1"/>
  <c r="L214" i="30"/>
  <c r="AC193" i="1" s="1"/>
  <c r="L238" i="30"/>
  <c r="AC433" i="1" s="1"/>
  <c r="AC426" i="7" s="1"/>
  <c r="L254" i="30"/>
  <c r="AC498" i="1" s="1"/>
  <c r="L270" i="30"/>
  <c r="AC443" i="1" s="1"/>
  <c r="AC436" i="7" s="1"/>
  <c r="L279" i="30"/>
  <c r="AC202" i="1" s="1"/>
  <c r="L295" i="30"/>
  <c r="AC287" i="1" s="1"/>
  <c r="L303" i="30"/>
  <c r="AC451" i="1" s="1"/>
  <c r="L311" i="30"/>
  <c r="AC463" i="1" s="1"/>
  <c r="L319" i="30"/>
  <c r="AC285" i="1" s="1"/>
  <c r="L327" i="30"/>
  <c r="AC100" i="1" s="1"/>
  <c r="AC96" i="4" s="1"/>
  <c r="L335" i="30"/>
  <c r="AC20" i="1" s="1"/>
  <c r="L343" i="30"/>
  <c r="AC176" i="1" s="1"/>
  <c r="AC172" i="7" s="1"/>
  <c r="L351" i="30"/>
  <c r="AC408" i="1" s="1"/>
  <c r="L360" i="30"/>
  <c r="AC340" i="1" s="1"/>
  <c r="L368" i="30"/>
  <c r="AC491" i="1" s="1"/>
  <c r="L378" i="30"/>
  <c r="AC99" i="1" s="1"/>
  <c r="L386" i="30"/>
  <c r="AC349" i="1" s="1"/>
  <c r="L394" i="30"/>
  <c r="AC22" i="1" s="1"/>
  <c r="AC21" i="4" s="1"/>
  <c r="L403" i="30"/>
  <c r="AC507" i="1" s="1"/>
  <c r="L427" i="30"/>
  <c r="AC34" i="1" s="1"/>
  <c r="AC32" i="7" s="1"/>
  <c r="L435" i="30"/>
  <c r="AC321" i="1" s="1"/>
  <c r="L443" i="30"/>
  <c r="AC159" i="1" s="1"/>
  <c r="L457" i="30"/>
  <c r="L65" i="30"/>
  <c r="AC116" i="1" s="1"/>
  <c r="L105" i="30"/>
  <c r="L172" i="30"/>
  <c r="AC334" i="1" s="1"/>
  <c r="AC310" i="4" s="1"/>
  <c r="L228" i="30"/>
  <c r="AC338" i="1" s="1"/>
  <c r="L285" i="30"/>
  <c r="AC417" i="1" s="1"/>
  <c r="AC388" i="4" s="1"/>
  <c r="L32" i="30"/>
  <c r="AC130" i="1" s="1"/>
  <c r="L74" i="30"/>
  <c r="AC78" i="1" s="1"/>
  <c r="L123" i="30"/>
  <c r="AC425" i="1" s="1"/>
  <c r="L181" i="30"/>
  <c r="AC427" i="1" s="1"/>
  <c r="L221" i="30"/>
  <c r="AC277" i="1" s="1"/>
  <c r="L286" i="30"/>
  <c r="AC426" i="1" s="1"/>
  <c r="AC396" i="4" s="1"/>
  <c r="L342" i="30"/>
  <c r="AC167" i="1" s="1"/>
  <c r="L11" i="30"/>
  <c r="AC145" i="1" s="1"/>
  <c r="AC141" i="7" s="1"/>
  <c r="L59" i="30"/>
  <c r="AC293" i="1" s="1"/>
  <c r="L12" i="30"/>
  <c r="AC332" i="1" s="1"/>
  <c r="L68" i="30"/>
  <c r="AC197" i="1" s="1"/>
  <c r="L92" i="30"/>
  <c r="AC249" i="1" s="1"/>
  <c r="L117" i="30"/>
  <c r="AC143" i="1" s="1"/>
  <c r="L141" i="30"/>
  <c r="AC33" i="1" s="1"/>
  <c r="AC31" i="7" s="1"/>
  <c r="L149" i="30"/>
  <c r="AC300" i="1" s="1"/>
  <c r="L159" i="30"/>
  <c r="AC348" i="1" s="1"/>
  <c r="AC343" i="7" s="1"/>
  <c r="L167" i="30"/>
  <c r="AC243" i="1" s="1"/>
  <c r="L175" i="30"/>
  <c r="AC453" i="1" s="1"/>
  <c r="L183" i="30"/>
  <c r="AC368" i="1" s="1"/>
  <c r="L191" i="30"/>
  <c r="AC152" i="1" s="1"/>
  <c r="L199" i="30"/>
  <c r="AC376" i="1" s="1"/>
  <c r="L207" i="30"/>
  <c r="AC89" i="1" s="1"/>
  <c r="AC85" i="4" s="1"/>
  <c r="L223" i="30"/>
  <c r="AC292" i="1" s="1"/>
  <c r="L231" i="30"/>
  <c r="AC352" i="1" s="1"/>
  <c r="AC347" i="7" s="1"/>
  <c r="L247" i="30"/>
  <c r="AC489" i="1" s="1"/>
  <c r="L255" i="30"/>
  <c r="AC377" i="1" s="1"/>
  <c r="L268" i="30"/>
  <c r="AC398" i="1" s="1"/>
  <c r="L280" i="30"/>
  <c r="AC207" i="1" s="1"/>
  <c r="L288" i="30"/>
  <c r="AC428" i="1" s="1"/>
  <c r="L296" i="30"/>
  <c r="AC448" i="1" s="1"/>
  <c r="AC418" i="4" s="1"/>
  <c r="L312" i="30"/>
  <c r="AC465" i="1" s="1"/>
  <c r="L320" i="30"/>
  <c r="AC310" i="1" s="1"/>
  <c r="AC304" i="7" s="1"/>
  <c r="L344" i="30"/>
  <c r="AC180" i="1" s="1"/>
  <c r="L352" i="30"/>
  <c r="AC421" i="1" s="1"/>
  <c r="L361" i="30"/>
  <c r="AC487" i="1" s="1"/>
  <c r="L369" i="30"/>
  <c r="AC12" i="1" s="1"/>
  <c r="L379" i="30"/>
  <c r="AC251" i="1" s="1"/>
  <c r="L387" i="30"/>
  <c r="L395" i="30"/>
  <c r="AC42" i="1" s="1"/>
  <c r="L404" i="30"/>
  <c r="AC37" i="1" s="1"/>
  <c r="AC36" i="4" s="1"/>
  <c r="L412" i="30"/>
  <c r="AC331" i="1" s="1"/>
  <c r="L420" i="30"/>
  <c r="AC7" i="1" s="1"/>
  <c r="L428" i="30"/>
  <c r="AC13" i="1" s="1"/>
  <c r="L436" i="30"/>
  <c r="AC436" i="1" s="1"/>
  <c r="L444" i="30"/>
  <c r="AC403" i="1" s="1"/>
  <c r="L471" i="30"/>
  <c r="AC76" i="1" s="1"/>
  <c r="AC75" i="7" s="1"/>
  <c r="L328" i="30"/>
  <c r="AC119" i="1" s="1"/>
  <c r="L89" i="30"/>
  <c r="AC248" i="1" s="1"/>
  <c r="AC233" i="4" s="1"/>
  <c r="L146" i="30"/>
  <c r="L220" i="30"/>
  <c r="AC270" i="1" s="1"/>
  <c r="L277" i="30"/>
  <c r="AC420" i="1" s="1"/>
  <c r="L10" i="30"/>
  <c r="AC108" i="1" s="1"/>
  <c r="L82" i="30"/>
  <c r="AC92" i="1" s="1"/>
  <c r="L131" i="30"/>
  <c r="AC411" i="1" s="1"/>
  <c r="AC382" i="4" s="1"/>
  <c r="L197" i="30"/>
  <c r="AC82" i="1" s="1"/>
  <c r="L245" i="30"/>
  <c r="AC485" i="1" s="1"/>
  <c r="AC479" i="7" s="1"/>
  <c r="L302" i="30"/>
  <c r="AC410" i="1" s="1"/>
  <c r="L367" i="30"/>
  <c r="AC105" i="1" s="1"/>
  <c r="L434" i="30"/>
  <c r="AC40" i="1" s="1"/>
  <c r="L50" i="30"/>
  <c r="AC181" i="1" s="1"/>
  <c r="L42" i="30"/>
  <c r="AC372" i="1" s="1"/>
  <c r="L76" i="30"/>
  <c r="AC160" i="1" s="1"/>
  <c r="AC156" i="7" s="1"/>
  <c r="L100" i="30"/>
  <c r="AC341" i="1" s="1"/>
  <c r="L133" i="30"/>
  <c r="AC469" i="1" s="1"/>
  <c r="AC438" i="4" s="1"/>
  <c r="L13" i="30"/>
  <c r="AC141" i="1" s="1"/>
  <c r="L53" i="30"/>
  <c r="AC64" i="1" s="1"/>
  <c r="L77" i="30"/>
  <c r="AC161" i="1" s="1"/>
  <c r="L85" i="30"/>
  <c r="AC374" i="1" s="1"/>
  <c r="L110" i="30"/>
  <c r="AC290" i="1" s="1"/>
  <c r="L126" i="30"/>
  <c r="AC502" i="1" s="1"/>
  <c r="AC496" i="7" s="1"/>
  <c r="L142" i="30"/>
  <c r="AC313" i="1" s="1"/>
  <c r="L160" i="30"/>
  <c r="AC353" i="1" s="1"/>
  <c r="AC348" i="7" s="1"/>
  <c r="L168" i="30"/>
  <c r="AC262" i="1" s="1"/>
  <c r="L184" i="30"/>
  <c r="AC413" i="1" s="1"/>
  <c r="L192" i="30"/>
  <c r="AC230" i="1" s="1"/>
  <c r="L200" i="30"/>
  <c r="AC4" i="1" s="1"/>
  <c r="L216" i="30"/>
  <c r="AC235" i="1" s="1"/>
  <c r="L224" i="30"/>
  <c r="AC295" i="1" s="1"/>
  <c r="AC290" i="7" s="1"/>
  <c r="L232" i="30"/>
  <c r="AC356" i="1" s="1"/>
  <c r="AC351" i="7" s="1"/>
  <c r="L240" i="30"/>
  <c r="AC454" i="1" s="1"/>
  <c r="AC447" i="7" s="1"/>
  <c r="L248" i="30"/>
  <c r="AC503" i="1" s="1"/>
  <c r="L256" i="30"/>
  <c r="AC381" i="1" s="1"/>
  <c r="L273" i="30"/>
  <c r="AC257" i="1" s="1"/>
  <c r="L281" i="30"/>
  <c r="AC250" i="1" s="1"/>
  <c r="L289" i="30"/>
  <c r="AC514" i="1" s="1"/>
  <c r="L297" i="30"/>
  <c r="AC124" i="1" s="1"/>
  <c r="AC122" i="7" s="1"/>
  <c r="L305" i="30"/>
  <c r="AC355" i="1" s="1"/>
  <c r="AC350" i="7" s="1"/>
  <c r="L313" i="30"/>
  <c r="AC17" i="1" s="1"/>
  <c r="AC17" i="7" s="1"/>
  <c r="L321" i="30"/>
  <c r="AC346" i="1" s="1"/>
  <c r="L329" i="30"/>
  <c r="AC383" i="1" s="1"/>
  <c r="L337" i="30"/>
  <c r="AC61" i="1" s="1"/>
  <c r="L345" i="30"/>
  <c r="AC213" i="1" s="1"/>
  <c r="L362" i="30"/>
  <c r="AC80" i="1" s="1"/>
  <c r="L372" i="30"/>
  <c r="AC43" i="1" s="1"/>
  <c r="AC41" i="7" s="1"/>
  <c r="L380" i="30"/>
  <c r="AC499" i="1" s="1"/>
  <c r="L405" i="30"/>
  <c r="AC50" i="1" s="1"/>
  <c r="AC48" i="7" s="1"/>
  <c r="L413" i="30"/>
  <c r="AC422" i="1" s="1"/>
  <c r="L437" i="30"/>
  <c r="AC41" i="1" s="1"/>
  <c r="L445" i="30"/>
  <c r="AC505" i="1" s="1"/>
  <c r="L455" i="30"/>
  <c r="AC302" i="1" s="1"/>
  <c r="L208" i="30"/>
  <c r="AC90" i="1" s="1"/>
  <c r="L48" i="30"/>
  <c r="AC445" i="1" s="1"/>
  <c r="AC438" i="7" s="1"/>
  <c r="L114" i="30"/>
  <c r="AC73" i="1" s="1"/>
  <c r="L188" i="30"/>
  <c r="AC88" i="1" s="1"/>
  <c r="AC87" i="7" s="1"/>
  <c r="L252" i="30"/>
  <c r="AC441" i="1" s="1"/>
  <c r="L349" i="30"/>
  <c r="AC342" i="1" s="1"/>
  <c r="L66" i="30"/>
  <c r="AC191" i="1" s="1"/>
  <c r="L115" i="30"/>
  <c r="AC107" i="1" s="1"/>
  <c r="L189" i="30"/>
  <c r="AC106" i="1" s="1"/>
  <c r="L253" i="30"/>
  <c r="AC456" i="1" s="1"/>
  <c r="AC426" i="4" s="1"/>
  <c r="L326" i="30"/>
  <c r="AC483" i="1" s="1"/>
  <c r="AC477" i="7" s="1"/>
  <c r="L402" i="30"/>
  <c r="AC464" i="1" s="1"/>
  <c r="AC433" i="4" s="1"/>
  <c r="L442" i="30"/>
  <c r="AC216" i="1" s="1"/>
  <c r="L33" i="30"/>
  <c r="AC400" i="1" s="1"/>
  <c r="L67" i="30"/>
  <c r="AC195" i="1" s="1"/>
  <c r="L51" i="30"/>
  <c r="AC501" i="1" s="1"/>
  <c r="L84" i="30"/>
  <c r="AC242" i="1" s="1"/>
  <c r="L125" i="30"/>
  <c r="AC467" i="1" s="1"/>
  <c r="AC460" i="7" s="1"/>
  <c r="L3" i="30"/>
  <c r="AC468" i="1" s="1"/>
  <c r="AC462" i="7" s="1"/>
  <c r="L43" i="30"/>
  <c r="AC409" i="1" s="1"/>
  <c r="AC403" i="7" s="1"/>
  <c r="L69" i="30"/>
  <c r="AC198" i="1" s="1"/>
  <c r="L93" i="30"/>
  <c r="AC466" i="1" s="1"/>
  <c r="L118" i="30"/>
  <c r="AC147" i="1" s="1"/>
  <c r="L134" i="30"/>
  <c r="L150" i="30"/>
  <c r="AC329" i="1" s="1"/>
  <c r="L176" i="30"/>
  <c r="AC472" i="1" s="1"/>
  <c r="AC466" i="7" s="1"/>
  <c r="L4" i="30"/>
  <c r="AC27" i="1" s="1"/>
  <c r="L14" i="30"/>
  <c r="AC208" i="1" s="1"/>
  <c r="AC203" i="7" s="1"/>
  <c r="L54" i="30"/>
  <c r="AC104" i="1" s="1"/>
  <c r="L70" i="30"/>
  <c r="AC199" i="1" s="1"/>
  <c r="L78" i="30"/>
  <c r="AC226" i="1" s="1"/>
  <c r="L94" i="30"/>
  <c r="AC252" i="1" s="1"/>
  <c r="L119" i="30"/>
  <c r="AC157" i="1" s="1"/>
  <c r="L127" i="30"/>
  <c r="AC504" i="1" s="1"/>
  <c r="AC498" i="7" s="1"/>
  <c r="L135" i="30"/>
  <c r="AC397" i="1" s="1"/>
  <c r="AC391" i="7" s="1"/>
  <c r="L143" i="30"/>
  <c r="AC320" i="1" s="1"/>
  <c r="AC315" i="7" s="1"/>
  <c r="L151" i="30"/>
  <c r="AC336" i="1" s="1"/>
  <c r="L193" i="30"/>
  <c r="AC360" i="1" s="1"/>
  <c r="L201" i="30"/>
  <c r="AC210" i="1" s="1"/>
  <c r="L463" i="30"/>
  <c r="L233" i="30"/>
  <c r="AC390" i="1" s="1"/>
  <c r="L241" i="30"/>
  <c r="AC470" i="1" s="1"/>
  <c r="AC439" i="4" s="1"/>
  <c r="L249" i="30"/>
  <c r="AC508" i="1" s="1"/>
  <c r="AC502" i="7" s="1"/>
  <c r="L274" i="30"/>
  <c r="AC347" i="1" s="1"/>
  <c r="AC323" i="4" s="1"/>
  <c r="L282" i="30"/>
  <c r="AC364" i="1" s="1"/>
  <c r="L298" i="30"/>
  <c r="AC429" i="1" s="1"/>
  <c r="L314" i="30"/>
  <c r="AC63" i="1" s="1"/>
  <c r="L322" i="30"/>
  <c r="AC387" i="1" s="1"/>
  <c r="L330" i="30"/>
  <c r="AC419" i="1" s="1"/>
  <c r="L338" i="30"/>
  <c r="AC111" i="1" s="1"/>
  <c r="AC109" i="7" s="1"/>
  <c r="L8" i="30"/>
  <c r="AC407" i="1" s="1"/>
  <c r="AC401" i="7" s="1"/>
  <c r="L130" i="30"/>
  <c r="AC344" i="1" s="1"/>
  <c r="AC339" i="7" s="1"/>
  <c r="L180" i="30"/>
  <c r="AC395" i="1" s="1"/>
  <c r="L244" i="30"/>
  <c r="AC481" i="1" s="1"/>
  <c r="L341" i="30"/>
  <c r="AC156" i="1" s="1"/>
  <c r="L49" i="30"/>
  <c r="AC171" i="1" s="1"/>
  <c r="L98" i="30"/>
  <c r="AC260" i="1" s="1"/>
  <c r="L147" i="30"/>
  <c r="AC327" i="1" s="1"/>
  <c r="AC303" i="4" s="1"/>
  <c r="L213" i="30"/>
  <c r="AC175" i="1" s="1"/>
  <c r="AC171" i="7" s="1"/>
  <c r="L271" i="30"/>
  <c r="L334" i="30"/>
  <c r="AC447" i="1" s="1"/>
  <c r="L426" i="30"/>
  <c r="AC23" i="1" s="1"/>
  <c r="L162" i="30"/>
  <c r="AC53" i="1" s="1"/>
  <c r="L6" i="30"/>
  <c r="AC112" i="1" s="1"/>
  <c r="L15" i="30"/>
  <c r="AC367" i="1" s="1"/>
  <c r="L29" i="30"/>
  <c r="AC128" i="1" s="1"/>
  <c r="AC123" i="4" s="1"/>
  <c r="L55" i="30"/>
  <c r="L63" i="30"/>
  <c r="L71" i="30"/>
  <c r="AC201" i="1" s="1"/>
  <c r="L79" i="30"/>
  <c r="AC237" i="1" s="1"/>
  <c r="L88" i="30"/>
  <c r="L95" i="30"/>
  <c r="AC103" i="1" s="1"/>
  <c r="L103" i="30"/>
  <c r="AC163" i="1" s="1"/>
  <c r="AC156" i="4" s="1"/>
  <c r="L113" i="30"/>
  <c r="L120" i="30"/>
  <c r="AC215" i="1" s="1"/>
  <c r="AC210" i="7" s="1"/>
  <c r="L128" i="30"/>
  <c r="AC518" i="1" s="1"/>
  <c r="AC484" i="4" s="1"/>
  <c r="L136" i="30"/>
  <c r="AC132" i="1" s="1"/>
  <c r="AC127" i="4" s="1"/>
  <c r="L152" i="30"/>
  <c r="AC350" i="1" s="1"/>
  <c r="L170" i="30"/>
  <c r="AC273" i="1" s="1"/>
  <c r="L194" i="30"/>
  <c r="AC474" i="1" s="1"/>
  <c r="L210" i="30"/>
  <c r="AC110" i="1" s="1"/>
  <c r="AC108" i="7" s="1"/>
  <c r="L218" i="30"/>
  <c r="AC238" i="1" s="1"/>
  <c r="AC223" i="4" s="1"/>
  <c r="L226" i="30"/>
  <c r="AC318" i="1" s="1"/>
  <c r="AC295" i="4" s="1"/>
  <c r="L234" i="30"/>
  <c r="AC399" i="1" s="1"/>
  <c r="AC393" i="7" s="1"/>
  <c r="L242" i="30"/>
  <c r="AC473" i="1" s="1"/>
  <c r="L250" i="30"/>
  <c r="AC388" i="1" s="1"/>
  <c r="L264" i="30"/>
  <c r="AC446" i="1" s="1"/>
  <c r="L275" i="30"/>
  <c r="AC415" i="1" s="1"/>
  <c r="L299" i="30"/>
  <c r="AC450" i="1" s="1"/>
  <c r="L307" i="30"/>
  <c r="AC455" i="1" s="1"/>
  <c r="AC448" i="7" s="1"/>
  <c r="L331" i="30"/>
  <c r="AC471" i="1" s="1"/>
  <c r="AC465" i="7" s="1"/>
  <c r="L339" i="30"/>
  <c r="AC113" i="1" s="1"/>
  <c r="AC111" i="7" s="1"/>
  <c r="L364" i="30"/>
  <c r="AC259" i="1" s="1"/>
  <c r="AC243" i="4" s="1"/>
  <c r="L374" i="30"/>
  <c r="AC337" i="1" s="1"/>
  <c r="L398" i="30"/>
  <c r="AC370" i="1" s="1"/>
  <c r="AC364" i="7" s="1"/>
  <c r="L407" i="30"/>
  <c r="AC102" i="1" s="1"/>
  <c r="L415" i="30"/>
  <c r="AC184" i="1" s="1"/>
  <c r="AC179" i="7" s="1"/>
  <c r="L429" i="30"/>
  <c r="AC36" i="1" s="1"/>
  <c r="AC34" i="7" s="1"/>
  <c r="L439" i="30"/>
  <c r="AC46" i="7" s="1"/>
  <c r="L448" i="30"/>
  <c r="L466" i="30"/>
  <c r="AC71" i="1" s="1"/>
  <c r="L86" i="30"/>
  <c r="AC264" i="1" s="1"/>
  <c r="AC259" i="7" s="1"/>
  <c r="L182" i="30"/>
  <c r="AC430" i="1" s="1"/>
  <c r="L301" i="30"/>
  <c r="AC174" i="1" s="1"/>
  <c r="AC361" i="7"/>
  <c r="AC342" i="4"/>
  <c r="AC196" i="7"/>
  <c r="AC188" i="4"/>
  <c r="AC159" i="7"/>
  <c r="AC268" i="7"/>
  <c r="AC256" i="4"/>
  <c r="AC105" i="4"/>
  <c r="AC442" i="4"/>
  <c r="AC467" i="7"/>
  <c r="AC382" i="7"/>
  <c r="AC362" i="4"/>
  <c r="AC439" i="7"/>
  <c r="AC416" i="4"/>
  <c r="AC409" i="7"/>
  <c r="AC386" i="4"/>
  <c r="AC443" i="7"/>
  <c r="AC420" i="4"/>
  <c r="AC254" i="7"/>
  <c r="AC313" i="4"/>
  <c r="AC332" i="7"/>
  <c r="AC345" i="4"/>
  <c r="AC100" i="7"/>
  <c r="AC98" i="4"/>
  <c r="AC68" i="4"/>
  <c r="AC70" i="7"/>
  <c r="AC117" i="7"/>
  <c r="AC114" i="4"/>
  <c r="AC142" i="7"/>
  <c r="AC139" i="4"/>
  <c r="AC232" i="7"/>
  <c r="AC222" i="4"/>
  <c r="AC101" i="7"/>
  <c r="AC99" i="4"/>
  <c r="AC130" i="7"/>
  <c r="AC345" i="7"/>
  <c r="AC326" i="4"/>
  <c r="AC443" i="4"/>
  <c r="AC313" i="7"/>
  <c r="AC132" i="7"/>
  <c r="AC129" i="4"/>
  <c r="AC166" i="7"/>
  <c r="AC162" i="4"/>
  <c r="AC385" i="7"/>
  <c r="AC364" i="4"/>
  <c r="AC198" i="7"/>
  <c r="AC190" i="4"/>
  <c r="AC179" i="4"/>
  <c r="AC185" i="7"/>
  <c r="AC275" i="7"/>
  <c r="AC261" i="4"/>
  <c r="AC515" i="7"/>
  <c r="AC487" i="4"/>
  <c r="AC298" i="7"/>
  <c r="AC283" i="4"/>
  <c r="AC320" i="7"/>
  <c r="AC301" i="4"/>
  <c r="AC299" i="7"/>
  <c r="AC284" i="4"/>
  <c r="AC360" i="7"/>
  <c r="AC340" i="4"/>
  <c r="AC64" i="7"/>
  <c r="AC62" i="4"/>
  <c r="AC507" i="7"/>
  <c r="AC479" i="4"/>
  <c r="AC45" i="7"/>
  <c r="AC45" i="4"/>
  <c r="AC147" i="7"/>
  <c r="AC144" i="4"/>
  <c r="AC396" i="7"/>
  <c r="AC374" i="4"/>
  <c r="AC216" i="7"/>
  <c r="AC208" i="4"/>
  <c r="AC224" i="7"/>
  <c r="AC215" i="4"/>
  <c r="AC412" i="7"/>
  <c r="AC389" i="4"/>
  <c r="AC183" i="7"/>
  <c r="AC178" i="4"/>
  <c r="AC25" i="7"/>
  <c r="AC25" i="4"/>
  <c r="AC431" i="4"/>
  <c r="AC455" i="7"/>
  <c r="AC120" i="7"/>
  <c r="AC117" i="4"/>
  <c r="AC144" i="7"/>
  <c r="AC141" i="4"/>
  <c r="AC289" i="4"/>
  <c r="AC306" i="7"/>
  <c r="AC134" i="4"/>
  <c r="AC137" i="7"/>
  <c r="AC277" i="7"/>
  <c r="AC264" i="4"/>
  <c r="AC367" i="7"/>
  <c r="AC348" i="4"/>
  <c r="AC134" i="7"/>
  <c r="AC131" i="4"/>
  <c r="AC195" i="7"/>
  <c r="AC187" i="4"/>
  <c r="AC15" i="7"/>
  <c r="AC14" i="4"/>
  <c r="AC37" i="7"/>
  <c r="AC38" i="4"/>
  <c r="AC23" i="4"/>
  <c r="AC174" i="7"/>
  <c r="AC170" i="4"/>
  <c r="L272" i="30"/>
  <c r="L310" i="30"/>
  <c r="AC444" i="1" s="1"/>
  <c r="L332" i="30"/>
  <c r="AC263" i="1" s="1"/>
  <c r="AC328" i="7"/>
  <c r="AC309" i="4"/>
  <c r="AC169" i="7"/>
  <c r="AC165" i="4"/>
  <c r="AC448" i="4"/>
  <c r="AC475" i="7"/>
  <c r="AC271" i="7"/>
  <c r="AC258" i="4"/>
  <c r="AC89" i="7"/>
  <c r="AC86" i="4"/>
  <c r="AG90" i="1"/>
  <c r="AH90" i="1" s="1"/>
  <c r="AC106" i="7"/>
  <c r="AC103" i="4"/>
  <c r="AC128" i="7"/>
  <c r="AC125" i="4"/>
  <c r="AC135" i="7"/>
  <c r="AC132" i="4"/>
  <c r="AC167" i="7"/>
  <c r="AC163" i="4"/>
  <c r="AC186" i="7"/>
  <c r="AC180" i="4"/>
  <c r="AC77" i="7"/>
  <c r="AC75" i="4"/>
  <c r="AC91" i="7"/>
  <c r="AC88" i="4"/>
  <c r="AC255" i="7"/>
  <c r="AC244" i="4"/>
  <c r="AC219" i="7"/>
  <c r="AC210" i="4"/>
  <c r="AC105" i="7"/>
  <c r="AC102" i="4"/>
  <c r="AC418" i="7"/>
  <c r="AC395" i="4"/>
  <c r="AC301" i="7"/>
  <c r="AC397" i="4"/>
  <c r="AC101" i="4"/>
  <c r="AC104" i="7"/>
  <c r="AC81" i="7"/>
  <c r="AC79" i="4"/>
  <c r="AC61" i="7"/>
  <c r="AC59" i="4"/>
  <c r="AC273" i="7"/>
  <c r="AC259" i="4"/>
  <c r="AC419" i="7"/>
  <c r="AC381" i="4"/>
  <c r="AC404" i="7"/>
  <c r="AC440" i="7"/>
  <c r="AC417" i="4"/>
  <c r="AC163" i="7"/>
  <c r="AC159" i="4"/>
  <c r="AC366" i="4"/>
  <c r="AC388" i="7"/>
  <c r="AC103" i="7"/>
  <c r="AC100" i="4"/>
  <c r="AC23" i="7"/>
  <c r="AC22" i="4"/>
  <c r="AC38" i="7"/>
  <c r="AC39" i="4"/>
  <c r="AC211" i="7"/>
  <c r="AC203" i="4"/>
  <c r="L469" i="30"/>
  <c r="AC74" i="1" s="1"/>
  <c r="L144" i="30"/>
  <c r="AC324" i="1" s="1"/>
  <c r="L46" i="30"/>
  <c r="AC169" i="1" s="1"/>
  <c r="L283" i="30"/>
  <c r="AC506" i="1" s="1"/>
  <c r="AC69" i="7"/>
  <c r="AC67" i="4"/>
  <c r="AC321" i="7"/>
  <c r="AC302" i="4"/>
  <c r="AG326" i="1"/>
  <c r="AH326" i="1" s="1"/>
  <c r="AC411" i="4"/>
  <c r="AC434" i="7"/>
  <c r="AC337" i="7"/>
  <c r="AC318" i="4"/>
  <c r="AC263" i="7"/>
  <c r="AC251" i="4"/>
  <c r="AC394" i="7"/>
  <c r="AC372" i="4"/>
  <c r="AC250" i="4"/>
  <c r="AC262" i="7"/>
  <c r="AC173" i="4"/>
  <c r="AC177" i="7"/>
  <c r="AC288" i="7"/>
  <c r="AG293" i="1"/>
  <c r="AC190" i="7"/>
  <c r="AC183" i="4"/>
  <c r="AC204" i="7"/>
  <c r="AC196" i="4"/>
  <c r="AC109" i="4"/>
  <c r="AC112" i="7"/>
  <c r="AC486" i="7"/>
  <c r="AC458" i="4"/>
  <c r="AC451" i="7"/>
  <c r="AC304" i="4"/>
  <c r="AC323" i="7"/>
  <c r="AC379" i="7"/>
  <c r="AC360" i="4"/>
  <c r="AC115" i="7"/>
  <c r="AC112" i="4"/>
  <c r="AC90" i="7"/>
  <c r="AC87" i="4"/>
  <c r="AC66" i="7"/>
  <c r="AC64" i="4"/>
  <c r="AC188" i="7"/>
  <c r="AC182" i="4"/>
  <c r="AC403" i="4"/>
  <c r="AG433" i="1"/>
  <c r="AH433" i="1" s="1"/>
  <c r="AC464" i="4"/>
  <c r="AC492" i="7"/>
  <c r="AC189" i="4"/>
  <c r="AC197" i="7"/>
  <c r="AC268" i="4"/>
  <c r="AC282" i="7"/>
  <c r="AC421" i="4"/>
  <c r="AC444" i="7"/>
  <c r="AC432" i="4"/>
  <c r="AC456" i="7"/>
  <c r="AC280" i="7"/>
  <c r="AC266" i="4"/>
  <c r="AC98" i="7"/>
  <c r="AC20" i="7"/>
  <c r="AC19" i="4"/>
  <c r="AC402" i="7"/>
  <c r="AC379" i="4"/>
  <c r="AC335" i="7"/>
  <c r="AC316" i="4"/>
  <c r="AC485" i="7"/>
  <c r="AC457" i="4"/>
  <c r="AC97" i="7"/>
  <c r="AC95" i="4"/>
  <c r="AC344" i="7"/>
  <c r="AC325" i="4"/>
  <c r="AC22" i="7"/>
  <c r="AC473" i="4"/>
  <c r="AC501" i="7"/>
  <c r="AC297" i="4"/>
  <c r="AC316" i="7"/>
  <c r="AC155" i="7"/>
  <c r="AC152" i="4"/>
  <c r="L470" i="30"/>
  <c r="AC75" i="1" s="1"/>
  <c r="L473" i="30"/>
  <c r="AC512" i="1" s="1"/>
  <c r="L80" i="30"/>
  <c r="AC239" i="1" s="1"/>
  <c r="L365" i="30"/>
  <c r="AC296" i="1" s="1"/>
  <c r="L27" i="30"/>
  <c r="AC127" i="1" s="1"/>
  <c r="AC110" i="7"/>
  <c r="AC107" i="4"/>
  <c r="AC52" i="4"/>
  <c r="AC53" i="7"/>
  <c r="AC265" i="7"/>
  <c r="AC253" i="4"/>
  <c r="AC260" i="4"/>
  <c r="AC274" i="7"/>
  <c r="AC152" i="7"/>
  <c r="AC149" i="4"/>
  <c r="AC226" i="4"/>
  <c r="AC453" i="7"/>
  <c r="AC429" i="4"/>
  <c r="AC327" i="7"/>
  <c r="AC308" i="4"/>
  <c r="AC184" i="4"/>
  <c r="AC192" i="7"/>
  <c r="AC336" i="7"/>
  <c r="AC317" i="4"/>
  <c r="AC279" i="4"/>
  <c r="AC295" i="7"/>
  <c r="AC423" i="4"/>
  <c r="AC446" i="7"/>
  <c r="AC455" i="4"/>
  <c r="AC483" i="7"/>
  <c r="AC370" i="4"/>
  <c r="AC392" i="7"/>
  <c r="AC202" i="7"/>
  <c r="AC194" i="4"/>
  <c r="AC420" i="7"/>
  <c r="AC398" i="4"/>
  <c r="AC434" i="4"/>
  <c r="AC458" i="7"/>
  <c r="AC288" i="4"/>
  <c r="AC176" i="7"/>
  <c r="AC172" i="4"/>
  <c r="AC415" i="7"/>
  <c r="AC392" i="4"/>
  <c r="AC481" i="7"/>
  <c r="AC453" i="4"/>
  <c r="AC12" i="7"/>
  <c r="AC11" i="4"/>
  <c r="AC246" i="7"/>
  <c r="AC236" i="4"/>
  <c r="AC40" i="7"/>
  <c r="AC41" i="4"/>
  <c r="AC326" i="7"/>
  <c r="AC307" i="4"/>
  <c r="AC6" i="4"/>
  <c r="AC7" i="7"/>
  <c r="AC12" i="4"/>
  <c r="AC13" i="7"/>
  <c r="AC430" i="7"/>
  <c r="AC406" i="4"/>
  <c r="AC397" i="7"/>
  <c r="AC375" i="4"/>
  <c r="AC170" i="7"/>
  <c r="AC166" i="4"/>
  <c r="AC51" i="7"/>
  <c r="AC50" i="4"/>
  <c r="AC367" i="4"/>
  <c r="AC389" i="7"/>
  <c r="AC333" i="7"/>
  <c r="AC314" i="4"/>
  <c r="AC391" i="4"/>
  <c r="AC9" i="7"/>
  <c r="AC8" i="4"/>
  <c r="AC311" i="7"/>
  <c r="AC293" i="4"/>
  <c r="AC269" i="7"/>
  <c r="AC257" i="4"/>
  <c r="AC495" i="7"/>
  <c r="AC467" i="4"/>
  <c r="AC237" i="7"/>
  <c r="AC227" i="4"/>
  <c r="AC32" i="4"/>
  <c r="AC238" i="7"/>
  <c r="AC228" i="4"/>
  <c r="AC362" i="7"/>
  <c r="AC343" i="4"/>
  <c r="AC351" i="4"/>
  <c r="AC370" i="7"/>
  <c r="AC193" i="7"/>
  <c r="AC185" i="4"/>
  <c r="AC368" i="7"/>
  <c r="AC349" i="4"/>
  <c r="AC285" i="7"/>
  <c r="AC270" i="4"/>
  <c r="AC305" i="4"/>
  <c r="AC324" i="7"/>
  <c r="AC257" i="7"/>
  <c r="AC246" i="4"/>
  <c r="AC407" i="7"/>
  <c r="AC384" i="4"/>
  <c r="AC4" i="4"/>
  <c r="AC4" i="7"/>
  <c r="AC497" i="7"/>
  <c r="AC469" i="4"/>
  <c r="AC375" i="7"/>
  <c r="AC356" i="4"/>
  <c r="AC241" i="4"/>
  <c r="AC252" i="7"/>
  <c r="AC245" i="7"/>
  <c r="AC235" i="4"/>
  <c r="AC508" i="7"/>
  <c r="AC480" i="4"/>
  <c r="AC341" i="7"/>
  <c r="AC322" i="4"/>
  <c r="AC377" i="7"/>
  <c r="AC358" i="4"/>
  <c r="AC60" i="7"/>
  <c r="AC58" i="4"/>
  <c r="AC208" i="7"/>
  <c r="AC200" i="4"/>
  <c r="AC79" i="7"/>
  <c r="AC77" i="4"/>
  <c r="AC42" i="4"/>
  <c r="AC465" i="4"/>
  <c r="AC493" i="7"/>
  <c r="AC39" i="7"/>
  <c r="AC40" i="4"/>
  <c r="AC499" i="7"/>
  <c r="AC471" i="4"/>
  <c r="AG505" i="1"/>
  <c r="AH505" i="1" s="1"/>
  <c r="AC281" i="4"/>
  <c r="L472" i="30"/>
  <c r="AC228" i="1" s="1"/>
  <c r="L464" i="30"/>
  <c r="AC520" i="1" s="1"/>
  <c r="L222" i="30"/>
  <c r="AC291" i="1" s="1"/>
  <c r="L237" i="30"/>
  <c r="AC405" i="1" s="1"/>
  <c r="L186" i="30"/>
  <c r="AC29" i="1" s="1"/>
  <c r="AC114" i="7"/>
  <c r="AC111" i="4"/>
  <c r="AC70" i="4"/>
  <c r="AC329" i="7"/>
  <c r="AC376" i="4"/>
  <c r="AC398" i="7"/>
  <c r="AC505" i="7"/>
  <c r="AC477" i="4"/>
  <c r="AC86" i="7"/>
  <c r="AC83" i="4"/>
  <c r="AC423" i="7"/>
  <c r="AC400" i="4"/>
  <c r="AC366" i="7"/>
  <c r="AC347" i="4"/>
  <c r="AG372" i="1"/>
  <c r="AC153" i="4"/>
  <c r="AC244" i="7"/>
  <c r="AC234" i="4"/>
  <c r="AC148" i="7"/>
  <c r="AC145" i="4"/>
  <c r="AC287" i="7"/>
  <c r="AC272" i="4"/>
  <c r="AC371" i="7"/>
  <c r="AC352" i="4"/>
  <c r="AC138" i="7"/>
  <c r="AC135" i="4"/>
  <c r="AC63" i="7"/>
  <c r="AC61" i="4"/>
  <c r="AG64" i="1"/>
  <c r="AC157" i="7"/>
  <c r="AC154" i="4"/>
  <c r="AC459" i="7"/>
  <c r="AC435" i="4"/>
  <c r="AC143" i="7"/>
  <c r="AC140" i="4"/>
  <c r="AC308" i="7"/>
  <c r="AC290" i="4"/>
  <c r="AC441" i="4"/>
  <c r="AC225" i="7"/>
  <c r="AC216" i="4"/>
  <c r="AC230" i="7"/>
  <c r="AC220" i="4"/>
  <c r="AC331" i="4"/>
  <c r="AC26" i="7"/>
  <c r="AC26" i="4"/>
  <c r="AC102" i="7"/>
  <c r="AG104" i="1"/>
  <c r="AC194" i="7"/>
  <c r="AC186" i="4"/>
  <c r="AC221" i="7"/>
  <c r="AC212" i="4"/>
  <c r="AC247" i="7"/>
  <c r="AC237" i="4"/>
  <c r="AC153" i="7"/>
  <c r="AC150" i="4"/>
  <c r="AC470" i="4"/>
  <c r="AC369" i="4"/>
  <c r="AC312" i="4"/>
  <c r="AC331" i="7"/>
  <c r="AC355" i="7"/>
  <c r="AC335" i="4"/>
  <c r="AC197" i="4"/>
  <c r="AC205" i="7"/>
  <c r="AC384" i="7"/>
  <c r="AC363" i="4"/>
  <c r="AC359" i="7"/>
  <c r="AC339" i="4"/>
  <c r="AC399" i="4"/>
  <c r="AC60" i="4"/>
  <c r="AC62" i="7"/>
  <c r="AC361" i="4"/>
  <c r="AC381" i="7"/>
  <c r="AC413" i="7"/>
  <c r="AC390" i="4"/>
  <c r="L363" i="30"/>
  <c r="AC115" i="1" s="1"/>
  <c r="L373" i="30"/>
  <c r="AC179" i="1" s="1"/>
  <c r="L389" i="30"/>
  <c r="AC44" i="1" s="1"/>
  <c r="L392" i="30"/>
  <c r="L102" i="30"/>
  <c r="AC18" i="1" s="1"/>
  <c r="AB9" i="5"/>
  <c r="AB10" i="5"/>
  <c r="AB11" i="5"/>
  <c r="K474" i="30"/>
  <c r="L474" i="30" s="1"/>
  <c r="AC81" i="1" s="1"/>
  <c r="L73" i="30"/>
  <c r="AC206" i="1" s="1"/>
  <c r="L465" i="30"/>
  <c r="L336" i="30"/>
  <c r="L230" i="30"/>
  <c r="L166" i="30"/>
  <c r="AC232" i="1" s="1"/>
  <c r="L293" i="30"/>
  <c r="AC440" i="1" s="1"/>
  <c r="L37" i="30"/>
  <c r="AC357" i="1" s="1"/>
  <c r="L324" i="30"/>
  <c r="AC452" i="1" s="1"/>
  <c r="L306" i="30"/>
  <c r="AC378" i="1" s="1"/>
  <c r="L227" i="30"/>
  <c r="L418" i="30"/>
  <c r="AC393" i="1" s="1"/>
  <c r="L377" i="30"/>
  <c r="AC494" i="1" s="1"/>
  <c r="L154" i="30"/>
  <c r="AC51" i="1" s="1"/>
  <c r="L44" i="30"/>
  <c r="AG144" i="1" s="1"/>
  <c r="AH144" i="1" s="1"/>
  <c r="L260" i="30"/>
  <c r="AC380" i="1" s="1"/>
  <c r="L290" i="30"/>
  <c r="AC437" i="1" s="1"/>
  <c r="L219" i="30"/>
  <c r="AC245" i="1" s="1"/>
  <c r="L410" i="30"/>
  <c r="AC266" i="1" s="1"/>
  <c r="L353" i="30"/>
  <c r="AC434" i="1" s="1"/>
  <c r="L225" i="30"/>
  <c r="AC298" i="1" s="1"/>
  <c r="L422" i="30"/>
  <c r="AC477" i="1" s="1"/>
  <c r="L229" i="30"/>
  <c r="AC339" i="1" s="1"/>
  <c r="L28" i="30"/>
  <c r="AC168" i="1" s="1"/>
  <c r="L204" i="30"/>
  <c r="L419" i="30"/>
  <c r="AC6" i="1" s="1"/>
  <c r="L163" i="30"/>
  <c r="AC54" i="1" s="1"/>
  <c r="L393" i="30"/>
  <c r="AC516" i="1" s="1"/>
  <c r="L9" i="30"/>
  <c r="AC86" i="1" s="1"/>
  <c r="L185" i="30"/>
  <c r="AC371" i="1" s="1"/>
  <c r="L414" i="30"/>
  <c r="AC95" i="1" s="1"/>
  <c r="L173" i="30"/>
  <c r="AC354" i="1" s="1"/>
  <c r="L460" i="30"/>
  <c r="L196" i="30"/>
  <c r="AC517" i="1" s="1"/>
  <c r="L411" i="30"/>
  <c r="AC315" i="1" s="1"/>
  <c r="L155" i="30"/>
  <c r="AC335" i="1" s="1"/>
  <c r="L385" i="30"/>
  <c r="AC515" i="1" s="1"/>
  <c r="L122" i="30"/>
  <c r="AC423" i="1" s="1"/>
  <c r="L58" i="30"/>
  <c r="AC220" i="1" s="1"/>
  <c r="L20" i="30"/>
  <c r="AC126" i="1" s="1"/>
  <c r="L390" i="30"/>
  <c r="AC158" i="1" s="1"/>
  <c r="L421" i="30"/>
  <c r="AC281" i="1" s="1"/>
  <c r="L165" i="30"/>
  <c r="AC192" i="1" s="1"/>
  <c r="L452" i="30"/>
  <c r="L140" i="30"/>
  <c r="AC10" i="1" s="1"/>
  <c r="L355" i="30"/>
  <c r="L99" i="30"/>
  <c r="L161" i="30"/>
  <c r="AC35" i="1" s="1"/>
  <c r="L90" i="30"/>
  <c r="AC101" i="1" s="1"/>
  <c r="L34" i="30"/>
  <c r="AC133" i="1" s="1"/>
  <c r="L22" i="30"/>
  <c r="L396" i="30"/>
  <c r="AC283" i="1" s="1"/>
  <c r="L132" i="30"/>
  <c r="AC150" i="1" s="1"/>
  <c r="L347" i="30"/>
  <c r="AC240" i="1" s="1"/>
  <c r="L91" i="30"/>
  <c r="AC118" i="1" s="1"/>
  <c r="L121" i="30"/>
  <c r="AC369" i="1" s="1"/>
  <c r="L217" i="30"/>
  <c r="AC236" i="1" s="1"/>
  <c r="L169" i="30"/>
  <c r="AC269" i="1" s="1"/>
  <c r="L21" i="30"/>
  <c r="L397" i="30"/>
  <c r="AC322" i="1" s="1"/>
  <c r="L406" i="30"/>
  <c r="AC96" i="1" s="1"/>
  <c r="L430" i="30"/>
  <c r="AC204" i="1" s="1"/>
  <c r="L446" i="30"/>
  <c r="AC56" i="1" s="1"/>
  <c r="L400" i="30"/>
  <c r="AC431" i="1" s="1"/>
  <c r="L16" i="30"/>
  <c r="AC476" i="1" s="1"/>
  <c r="L294" i="30"/>
  <c r="AC254" i="1" s="1"/>
  <c r="L357" i="30"/>
  <c r="L101" i="30"/>
  <c r="AC272" i="1" s="1"/>
  <c r="L388" i="30"/>
  <c r="AC30" i="1" s="1"/>
  <c r="L60" i="30"/>
  <c r="AC312" i="1" s="1"/>
  <c r="L291" i="30"/>
  <c r="AC438" i="1" s="1"/>
  <c r="L35" i="30"/>
  <c r="L178" i="30"/>
  <c r="AC359" i="1" s="1"/>
  <c r="L177" i="30"/>
  <c r="AC500" i="1" s="1"/>
  <c r="L23" i="30"/>
  <c r="L375" i="30"/>
  <c r="AC493" i="1" s="1"/>
  <c r="L449" i="30"/>
  <c r="L431" i="30"/>
  <c r="L111" i="30"/>
  <c r="L157" i="30"/>
  <c r="L81" i="30"/>
  <c r="L383" i="30"/>
  <c r="L56" i="30"/>
  <c r="AC189" i="1" s="1"/>
  <c r="L423" i="30"/>
  <c r="AC8" i="1" s="1"/>
  <c r="L359" i="30"/>
  <c r="L39" i="30"/>
  <c r="L262" i="30"/>
  <c r="L462" i="30"/>
  <c r="L370" i="30"/>
  <c r="L116" i="30"/>
  <c r="L458" i="30"/>
  <c r="L354" i="30"/>
  <c r="L17" i="30"/>
  <c r="AC123" i="1" s="1"/>
  <c r="L62" i="30"/>
  <c r="AC519" i="1" s="1"/>
  <c r="L239" i="30"/>
  <c r="L304" i="30"/>
  <c r="L112" i="30"/>
  <c r="AC28" i="1" s="1"/>
  <c r="L287" i="30"/>
  <c r="L358" i="30"/>
  <c r="L454" i="30"/>
  <c r="L461" i="30"/>
  <c r="L269" i="30"/>
  <c r="L5" i="30"/>
  <c r="AC83" i="1" s="1"/>
  <c r="L451" i="30"/>
  <c r="L323" i="30"/>
  <c r="L259" i="30"/>
  <c r="L450" i="30"/>
  <c r="AC271" i="1" s="1"/>
  <c r="L209" i="30"/>
  <c r="AC172" i="1" s="1"/>
  <c r="L202" i="30"/>
  <c r="L2" i="30"/>
  <c r="AC449" i="1" s="1"/>
  <c r="L447" i="30"/>
  <c r="AC187" i="1" s="1"/>
  <c r="L19" i="30"/>
  <c r="AC125" i="1" s="1"/>
  <c r="L215" i="30"/>
  <c r="L87" i="30"/>
  <c r="AC247" i="1" s="1"/>
  <c r="L261" i="30"/>
  <c r="L356" i="30"/>
  <c r="L292" i="30"/>
  <c r="AC439" i="1" s="1"/>
  <c r="L315" i="30"/>
  <c r="L257" i="30"/>
  <c r="L18" i="30"/>
  <c r="L25" i="30"/>
  <c r="L265" i="30"/>
  <c r="L456" i="30"/>
  <c r="L7" i="30"/>
  <c r="L438" i="30"/>
  <c r="L381" i="30"/>
  <c r="L317" i="30"/>
  <c r="L61" i="30"/>
  <c r="L156" i="30"/>
  <c r="L346" i="30"/>
  <c r="AC218" i="1" s="1"/>
  <c r="L371" i="30"/>
  <c r="L243" i="30"/>
  <c r="L26" i="30"/>
  <c r="L258" i="30"/>
  <c r="L24" i="30"/>
  <c r="L246" i="30"/>
  <c r="L263" i="30"/>
  <c r="L318" i="30"/>
  <c r="L309" i="30"/>
  <c r="L52" i="30"/>
  <c r="AA143" i="1"/>
  <c r="B123" i="1"/>
  <c r="AA446" i="1"/>
  <c r="L311" i="28"/>
  <c r="G328" i="27"/>
  <c r="H328" i="27"/>
  <c r="I328" i="27"/>
  <c r="K45" i="28"/>
  <c r="N45" i="28" s="1"/>
  <c r="K54" i="28"/>
  <c r="N54" i="28" s="1"/>
  <c r="K56" i="28"/>
  <c r="N56" i="28" s="1"/>
  <c r="K58" i="28"/>
  <c r="N58" i="28" s="1"/>
  <c r="L38" i="28"/>
  <c r="L2" i="28"/>
  <c r="L3" i="28"/>
  <c r="L4" i="28"/>
  <c r="L5" i="28"/>
  <c r="L6" i="28"/>
  <c r="L7" i="28"/>
  <c r="L8" i="28"/>
  <c r="L9" i="28"/>
  <c r="L10" i="28"/>
  <c r="L11" i="28"/>
  <c r="L12" i="28"/>
  <c r="L13" i="28"/>
  <c r="L14" i="28"/>
  <c r="L15" i="28"/>
  <c r="L16" i="28"/>
  <c r="L17" i="28"/>
  <c r="L18" i="28"/>
  <c r="L19" i="28"/>
  <c r="L20" i="28"/>
  <c r="L21" i="28"/>
  <c r="L22" i="28"/>
  <c r="L23" i="28"/>
  <c r="L24" i="28"/>
  <c r="L25" i="28"/>
  <c r="L26" i="28"/>
  <c r="L27" i="28"/>
  <c r="L28" i="28"/>
  <c r="L29" i="28"/>
  <c r="L30" i="28"/>
  <c r="L31" i="28"/>
  <c r="L32" i="28"/>
  <c r="L33" i="28"/>
  <c r="L34" i="28"/>
  <c r="L35" i="28"/>
  <c r="L36" i="28"/>
  <c r="L37" i="28"/>
  <c r="L39" i="28"/>
  <c r="L40" i="28"/>
  <c r="L41" i="28"/>
  <c r="L42" i="28"/>
  <c r="L43" i="28"/>
  <c r="L44" i="28"/>
  <c r="L46" i="28"/>
  <c r="L47" i="28"/>
  <c r="L48" i="28"/>
  <c r="L49" i="28"/>
  <c r="L50" i="28"/>
  <c r="L51" i="28"/>
  <c r="L52" i="28"/>
  <c r="L53" i="28"/>
  <c r="L55" i="28"/>
  <c r="L57" i="28"/>
  <c r="L59"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8" i="28"/>
  <c r="L89" i="28"/>
  <c r="L91" i="28"/>
  <c r="L92" i="28"/>
  <c r="L93" i="28"/>
  <c r="L94" i="28"/>
  <c r="L95" i="28"/>
  <c r="L96" i="28"/>
  <c r="L97" i="28"/>
  <c r="L98" i="28"/>
  <c r="L100" i="28"/>
  <c r="L101" i="28"/>
  <c r="L102" i="28"/>
  <c r="L103" i="28"/>
  <c r="L104" i="28"/>
  <c r="L105" i="28"/>
  <c r="L106" i="28"/>
  <c r="L107" i="28"/>
  <c r="L108" i="28"/>
  <c r="L109" i="28"/>
  <c r="L110" i="28"/>
  <c r="L111" i="28"/>
  <c r="L112" i="28"/>
  <c r="L114" i="28"/>
  <c r="L115" i="28"/>
  <c r="L116" i="28"/>
  <c r="L117" i="28"/>
  <c r="L118" i="28"/>
  <c r="L119" i="28"/>
  <c r="L120" i="28"/>
  <c r="L121" i="28"/>
  <c r="L122" i="28"/>
  <c r="L123" i="28"/>
  <c r="L124" i="28"/>
  <c r="L125" i="28"/>
  <c r="L126" i="28"/>
  <c r="L127" i="28"/>
  <c r="L128" i="28"/>
  <c r="L129" i="28"/>
  <c r="L130" i="28"/>
  <c r="L131" i="28"/>
  <c r="L132" i="28"/>
  <c r="L133" i="28"/>
  <c r="L134" i="28"/>
  <c r="L135" i="28"/>
  <c r="L136" i="28"/>
  <c r="L137" i="28"/>
  <c r="L138" i="28"/>
  <c r="L139" i="28"/>
  <c r="L140" i="28"/>
  <c r="L141" i="28"/>
  <c r="L142" i="28"/>
  <c r="L143" i="28"/>
  <c r="L144" i="28"/>
  <c r="L145" i="28"/>
  <c r="L146" i="28"/>
  <c r="L147" i="28"/>
  <c r="L149" i="28"/>
  <c r="L150" i="28"/>
  <c r="L151" i="28"/>
  <c r="L152" i="28"/>
  <c r="L153" i="28"/>
  <c r="L154" i="28"/>
  <c r="L155" i="28"/>
  <c r="L156" i="28"/>
  <c r="L157" i="28"/>
  <c r="L158" i="28"/>
  <c r="L159" i="28"/>
  <c r="L161" i="28"/>
  <c r="L162" i="28"/>
  <c r="L163" i="28"/>
  <c r="L164" i="28"/>
  <c r="L165" i="28"/>
  <c r="L166" i="28"/>
  <c r="L167" i="28"/>
  <c r="L169" i="28"/>
  <c r="L171" i="28"/>
  <c r="L172" i="28"/>
  <c r="L173" i="28"/>
  <c r="L174" i="28"/>
  <c r="L175" i="28"/>
  <c r="L176" i="28"/>
  <c r="L177" i="28"/>
  <c r="L178" i="28"/>
  <c r="L179" i="28"/>
  <c r="L180" i="28"/>
  <c r="L181" i="28"/>
  <c r="L182" i="28"/>
  <c r="L183" i="28"/>
  <c r="L184" i="28"/>
  <c r="L185" i="28"/>
  <c r="L186" i="28"/>
  <c r="L187" i="28"/>
  <c r="L188" i="28"/>
  <c r="L189" i="28"/>
  <c r="L190" i="28"/>
  <c r="L191" i="28"/>
  <c r="L192" i="28"/>
  <c r="L193" i="28"/>
  <c r="L194" i="28"/>
  <c r="L195" i="28"/>
  <c r="L196" i="28"/>
  <c r="L197" i="28"/>
  <c r="L198" i="28"/>
  <c r="L199" i="28"/>
  <c r="L200" i="28"/>
  <c r="L201" i="28"/>
  <c r="L202" i="28"/>
  <c r="L203" i="28"/>
  <c r="L204" i="28"/>
  <c r="L205" i="28"/>
  <c r="L206" i="28"/>
  <c r="L207" i="28"/>
  <c r="L208" i="28"/>
  <c r="L209" i="28"/>
  <c r="L210" i="28"/>
  <c r="L211" i="28"/>
  <c r="L212" i="28"/>
  <c r="L213" i="28"/>
  <c r="L214" i="28"/>
  <c r="L215" i="28"/>
  <c r="L216" i="28"/>
  <c r="L217" i="28"/>
  <c r="L218" i="28"/>
  <c r="L219" i="28"/>
  <c r="L220" i="28"/>
  <c r="L221" i="28"/>
  <c r="L222" i="28"/>
  <c r="L223" i="28"/>
  <c r="L224" i="28"/>
  <c r="L225" i="28"/>
  <c r="L226" i="28"/>
  <c r="L227" i="28"/>
  <c r="L228" i="28"/>
  <c r="L229" i="28"/>
  <c r="L230" i="28"/>
  <c r="L231" i="28"/>
  <c r="L232" i="28"/>
  <c r="L233" i="28"/>
  <c r="L234" i="28"/>
  <c r="L235" i="28"/>
  <c r="L236" i="28"/>
  <c r="L237" i="28"/>
  <c r="L238" i="28"/>
  <c r="L239" i="28"/>
  <c r="L240" i="28"/>
  <c r="L241" i="28"/>
  <c r="L242" i="28"/>
  <c r="L243" i="28"/>
  <c r="L244" i="28"/>
  <c r="L245" i="28"/>
  <c r="L246" i="28"/>
  <c r="L247" i="28"/>
  <c r="L249" i="28"/>
  <c r="L250" i="28"/>
  <c r="L251" i="28"/>
  <c r="L252" i="28"/>
  <c r="L253" i="28"/>
  <c r="L254" i="28"/>
  <c r="L255" i="28"/>
  <c r="L256" i="28"/>
  <c r="L257" i="28"/>
  <c r="L258" i="28"/>
  <c r="L259" i="28"/>
  <c r="L260" i="28"/>
  <c r="L261" i="28"/>
  <c r="L262" i="28"/>
  <c r="L263" i="28"/>
  <c r="L264" i="28"/>
  <c r="L265" i="28"/>
  <c r="L266" i="28"/>
  <c r="L267" i="28"/>
  <c r="L268" i="28"/>
  <c r="L269" i="28"/>
  <c r="L270" i="28"/>
  <c r="L271" i="28"/>
  <c r="L272" i="28"/>
  <c r="L273" i="28"/>
  <c r="L274" i="28"/>
  <c r="L275" i="28"/>
  <c r="L276" i="28"/>
  <c r="L277" i="28"/>
  <c r="L278" i="28"/>
  <c r="L279" i="28"/>
  <c r="L280" i="28"/>
  <c r="L281" i="28"/>
  <c r="L282" i="28"/>
  <c r="L283" i="28"/>
  <c r="L284" i="28"/>
  <c r="L285" i="28"/>
  <c r="L286" i="28"/>
  <c r="L287" i="28"/>
  <c r="L288" i="28"/>
  <c r="L289" i="28"/>
  <c r="L290" i="28"/>
  <c r="L291" i="28"/>
  <c r="L292" i="28"/>
  <c r="L293" i="28"/>
  <c r="L294" i="28"/>
  <c r="L295" i="28"/>
  <c r="L296" i="28"/>
  <c r="L297" i="28"/>
  <c r="L298" i="28"/>
  <c r="L299" i="28"/>
  <c r="L301" i="28"/>
  <c r="L302" i="28"/>
  <c r="L303" i="28"/>
  <c r="L304" i="28"/>
  <c r="L305" i="28"/>
  <c r="L306" i="28"/>
  <c r="L307" i="28"/>
  <c r="L308" i="28"/>
  <c r="L309" i="28"/>
  <c r="L310" i="28"/>
  <c r="L312" i="28"/>
  <c r="L313" i="28"/>
  <c r="L314" i="28"/>
  <c r="L315" i="28"/>
  <c r="L316" i="28"/>
  <c r="L317" i="28"/>
  <c r="L318" i="28"/>
  <c r="L319" i="28"/>
  <c r="L320" i="28"/>
  <c r="L321" i="28"/>
  <c r="L322" i="28"/>
  <c r="L323" i="28"/>
  <c r="L324" i="28"/>
  <c r="L325" i="28"/>
  <c r="L326" i="28"/>
  <c r="L327" i="28"/>
  <c r="L328" i="28"/>
  <c r="L329" i="28"/>
  <c r="L330" i="28"/>
  <c r="L331" i="28"/>
  <c r="L332" i="28"/>
  <c r="L333" i="28"/>
  <c r="L334" i="28"/>
  <c r="L335" i="28"/>
  <c r="L336" i="28"/>
  <c r="L337" i="28"/>
  <c r="L338" i="28"/>
  <c r="L339" i="28"/>
  <c r="L340" i="28"/>
  <c r="L341" i="28"/>
  <c r="L342" i="28"/>
  <c r="L343" i="28"/>
  <c r="L344" i="28"/>
  <c r="L345" i="28"/>
  <c r="L346" i="28"/>
  <c r="L348" i="28"/>
  <c r="L350" i="28"/>
  <c r="L351" i="28"/>
  <c r="L352" i="28"/>
  <c r="L353" i="28"/>
  <c r="L354" i="28"/>
  <c r="L356" i="28"/>
  <c r="L358" i="28"/>
  <c r="L359" i="28"/>
  <c r="L360" i="28"/>
  <c r="L361" i="28"/>
  <c r="L362" i="28"/>
  <c r="L363" i="28"/>
  <c r="L364" i="28"/>
  <c r="L365" i="28"/>
  <c r="L366" i="28"/>
  <c r="L367" i="28"/>
  <c r="L368" i="28"/>
  <c r="L369" i="28"/>
  <c r="L370" i="28"/>
  <c r="L371" i="28"/>
  <c r="L372" i="28"/>
  <c r="L373" i="28"/>
  <c r="L374" i="28"/>
  <c r="L375" i="28"/>
  <c r="L376" i="28"/>
  <c r="L377" i="28"/>
  <c r="L378" i="28"/>
  <c r="L379" i="28"/>
  <c r="L380" i="28"/>
  <c r="L381" i="28"/>
  <c r="L382" i="28"/>
  <c r="L383" i="28"/>
  <c r="L384" i="28"/>
  <c r="L385" i="28"/>
  <c r="L386" i="28"/>
  <c r="L387" i="28"/>
  <c r="L388" i="28"/>
  <c r="L389" i="28"/>
  <c r="L390" i="28"/>
  <c r="L391" i="28"/>
  <c r="L392" i="28"/>
  <c r="L393" i="28"/>
  <c r="L394" i="28"/>
  <c r="L395" i="28"/>
  <c r="L396" i="28"/>
  <c r="L397" i="28"/>
  <c r="L398" i="28"/>
  <c r="L399" i="28"/>
  <c r="L400" i="28"/>
  <c r="L401" i="28"/>
  <c r="L402" i="28"/>
  <c r="L403" i="28"/>
  <c r="L404" i="28"/>
  <c r="L405" i="28"/>
  <c r="L406" i="28"/>
  <c r="L407" i="28"/>
  <c r="L408" i="28"/>
  <c r="L410" i="28"/>
  <c r="L411" i="28"/>
  <c r="L412" i="28"/>
  <c r="L413" i="28"/>
  <c r="L414" i="28"/>
  <c r="L415" i="28"/>
  <c r="L416" i="28"/>
  <c r="L417" i="28"/>
  <c r="L418" i="28"/>
  <c r="K2" i="28"/>
  <c r="K3" i="28"/>
  <c r="K4" i="28"/>
  <c r="N4" i="28" s="1"/>
  <c r="K5" i="28"/>
  <c r="N5" i="28" s="1"/>
  <c r="K6" i="28"/>
  <c r="N6" i="28" s="1"/>
  <c r="K7" i="28"/>
  <c r="N7" i="28" s="1"/>
  <c r="K8" i="28"/>
  <c r="N8" i="28" s="1"/>
  <c r="K9" i="28"/>
  <c r="N9" i="28" s="1"/>
  <c r="K10" i="28"/>
  <c r="N10" i="28" s="1"/>
  <c r="K11" i="28"/>
  <c r="N11" i="28" s="1"/>
  <c r="K12" i="28"/>
  <c r="N12" i="28" s="1"/>
  <c r="K13" i="28"/>
  <c r="N13" i="28" s="1"/>
  <c r="K14" i="28"/>
  <c r="N14" i="28" s="1"/>
  <c r="K15" i="28"/>
  <c r="N15" i="28" s="1"/>
  <c r="K16" i="28"/>
  <c r="N16" i="28" s="1"/>
  <c r="K17" i="28"/>
  <c r="N17" i="28" s="1"/>
  <c r="K18" i="28"/>
  <c r="N18" i="28" s="1"/>
  <c r="K19" i="28"/>
  <c r="N19" i="28" s="1"/>
  <c r="K20" i="28"/>
  <c r="N20" i="28" s="1"/>
  <c r="K21" i="28"/>
  <c r="N21" i="28" s="1"/>
  <c r="K22" i="28"/>
  <c r="N22" i="28" s="1"/>
  <c r="K23" i="28"/>
  <c r="N23" i="28" s="1"/>
  <c r="K24" i="28"/>
  <c r="N24" i="28" s="1"/>
  <c r="K25" i="28"/>
  <c r="N25" i="28" s="1"/>
  <c r="K26" i="28"/>
  <c r="N26" i="28" s="1"/>
  <c r="K27" i="28"/>
  <c r="N27" i="28" s="1"/>
  <c r="K28" i="28"/>
  <c r="N28" i="28" s="1"/>
  <c r="K29" i="28"/>
  <c r="N29" i="28" s="1"/>
  <c r="K30" i="28"/>
  <c r="N30" i="28" s="1"/>
  <c r="K31" i="28"/>
  <c r="N31" i="28" s="1"/>
  <c r="K32" i="28"/>
  <c r="N32" i="28" s="1"/>
  <c r="K33" i="28"/>
  <c r="N33" i="28" s="1"/>
  <c r="K34" i="28"/>
  <c r="N34" i="28" s="1"/>
  <c r="K35" i="28"/>
  <c r="N35" i="28" s="1"/>
  <c r="K36" i="28"/>
  <c r="N36" i="28" s="1"/>
  <c r="K37" i="28"/>
  <c r="N37" i="28" s="1"/>
  <c r="K38" i="28"/>
  <c r="N38" i="28" s="1"/>
  <c r="K39" i="28"/>
  <c r="N39" i="28" s="1"/>
  <c r="K40" i="28"/>
  <c r="N40" i="28" s="1"/>
  <c r="K41" i="28"/>
  <c r="N41" i="28" s="1"/>
  <c r="K42" i="28"/>
  <c r="N42" i="28" s="1"/>
  <c r="K43" i="28"/>
  <c r="N43" i="28" s="1"/>
  <c r="K44" i="28"/>
  <c r="K46" i="28"/>
  <c r="N46" i="28" s="1"/>
  <c r="K47" i="28"/>
  <c r="N47" i="28" s="1"/>
  <c r="K48" i="28"/>
  <c r="N48" i="28" s="1"/>
  <c r="K49" i="28"/>
  <c r="N49" i="28" s="1"/>
  <c r="K50" i="28"/>
  <c r="N50" i="28" s="1"/>
  <c r="K51" i="28"/>
  <c r="N51" i="28" s="1"/>
  <c r="K52" i="28"/>
  <c r="N52" i="28" s="1"/>
  <c r="K53" i="28"/>
  <c r="K55" i="28"/>
  <c r="K57" i="28"/>
  <c r="N57" i="28" s="1"/>
  <c r="K59" i="28"/>
  <c r="K60" i="28"/>
  <c r="N60" i="28" s="1"/>
  <c r="K61" i="28"/>
  <c r="N61" i="28" s="1"/>
  <c r="K62" i="28"/>
  <c r="N62" i="28" s="1"/>
  <c r="K63" i="28"/>
  <c r="N63" i="28" s="1"/>
  <c r="K64" i="28"/>
  <c r="N64" i="28" s="1"/>
  <c r="K65" i="28"/>
  <c r="N65" i="28" s="1"/>
  <c r="K66" i="28"/>
  <c r="N66" i="28" s="1"/>
  <c r="K67" i="28"/>
  <c r="N67" i="28" s="1"/>
  <c r="K68" i="28"/>
  <c r="N68" i="28" s="1"/>
  <c r="K69" i="28"/>
  <c r="N69" i="28" s="1"/>
  <c r="K70" i="28"/>
  <c r="N70" i="28" s="1"/>
  <c r="K71" i="28"/>
  <c r="N71" i="28" s="1"/>
  <c r="K72" i="28"/>
  <c r="N72" i="28" s="1"/>
  <c r="K73" i="28"/>
  <c r="N73" i="28" s="1"/>
  <c r="N74" i="28"/>
  <c r="K75" i="28"/>
  <c r="N75" i="28" s="1"/>
  <c r="K76" i="28"/>
  <c r="N76" i="28" s="1"/>
  <c r="K77" i="28"/>
  <c r="N77" i="28" s="1"/>
  <c r="K78" i="28"/>
  <c r="N78" i="28" s="1"/>
  <c r="K79" i="28"/>
  <c r="N79" i="28" s="1"/>
  <c r="K80" i="28"/>
  <c r="N80" i="28" s="1"/>
  <c r="K81" i="28"/>
  <c r="N81" i="28" s="1"/>
  <c r="K82" i="28"/>
  <c r="N82" i="28" s="1"/>
  <c r="K83" i="28"/>
  <c r="N83" i="28" s="1"/>
  <c r="K84" i="28"/>
  <c r="N84" i="28" s="1"/>
  <c r="K85" i="28"/>
  <c r="N85" i="28" s="1"/>
  <c r="K86" i="28"/>
  <c r="K87" i="28"/>
  <c r="K88" i="28"/>
  <c r="N88" i="28" s="1"/>
  <c r="K89" i="28"/>
  <c r="K90" i="28"/>
  <c r="N90" i="28" s="1"/>
  <c r="K91" i="28"/>
  <c r="K92" i="28"/>
  <c r="N92" i="28" s="1"/>
  <c r="K93" i="28"/>
  <c r="K94" i="28"/>
  <c r="K95" i="28"/>
  <c r="K96" i="28"/>
  <c r="K97" i="28"/>
  <c r="K98" i="28"/>
  <c r="N98" i="28" s="1"/>
  <c r="K99" i="28"/>
  <c r="N99" i="28" s="1"/>
  <c r="K100" i="28"/>
  <c r="M100" i="28" s="1"/>
  <c r="N100" i="28" s="1"/>
  <c r="K101" i="28"/>
  <c r="N101" i="28" s="1"/>
  <c r="K102" i="28"/>
  <c r="N102" i="28" s="1"/>
  <c r="K103" i="28"/>
  <c r="N103" i="28" s="1"/>
  <c r="K104" i="28"/>
  <c r="N104" i="28" s="1"/>
  <c r="K105" i="28"/>
  <c r="N105" i="28" s="1"/>
  <c r="K106" i="28"/>
  <c r="N106" i="28" s="1"/>
  <c r="K107" i="28"/>
  <c r="N107" i="28" s="1"/>
  <c r="K108" i="28"/>
  <c r="N108" i="28" s="1"/>
  <c r="K109" i="28"/>
  <c r="N109" i="28" s="1"/>
  <c r="K110" i="28"/>
  <c r="N110" i="28" s="1"/>
  <c r="K111" i="28"/>
  <c r="N111" i="28" s="1"/>
  <c r="K112" i="28"/>
  <c r="K113" i="28"/>
  <c r="N113" i="28" s="1"/>
  <c r="K114" i="28"/>
  <c r="N114" i="28" s="1"/>
  <c r="K115" i="28"/>
  <c r="N115" i="28" s="1"/>
  <c r="K116" i="28"/>
  <c r="N116" i="28" s="1"/>
  <c r="K117" i="28"/>
  <c r="N117" i="28" s="1"/>
  <c r="K118" i="28"/>
  <c r="N118" i="28" s="1"/>
  <c r="K119" i="28"/>
  <c r="N119" i="28" s="1"/>
  <c r="K120" i="28"/>
  <c r="N120" i="28" s="1"/>
  <c r="K121" i="28"/>
  <c r="N121" i="28" s="1"/>
  <c r="K122" i="28"/>
  <c r="N122" i="28" s="1"/>
  <c r="K123" i="28"/>
  <c r="N123" i="28" s="1"/>
  <c r="K124" i="28"/>
  <c r="N124" i="28" s="1"/>
  <c r="K125" i="28"/>
  <c r="N125" i="28" s="1"/>
  <c r="K126" i="28"/>
  <c r="N126" i="28" s="1"/>
  <c r="K127" i="28"/>
  <c r="N127" i="28" s="1"/>
  <c r="K128" i="28"/>
  <c r="N128" i="28" s="1"/>
  <c r="K129" i="28"/>
  <c r="N129" i="28" s="1"/>
  <c r="K130" i="28"/>
  <c r="N130" i="28" s="1"/>
  <c r="K131" i="28"/>
  <c r="N131" i="28" s="1"/>
  <c r="K132" i="28"/>
  <c r="N132" i="28" s="1"/>
  <c r="K133" i="28"/>
  <c r="N133" i="28" s="1"/>
  <c r="K134" i="28"/>
  <c r="N134" i="28" s="1"/>
  <c r="K135" i="28"/>
  <c r="N135" i="28" s="1"/>
  <c r="K136" i="28"/>
  <c r="N136" i="28" s="1"/>
  <c r="K137" i="28"/>
  <c r="N137" i="28" s="1"/>
  <c r="K138" i="28"/>
  <c r="N138" i="28" s="1"/>
  <c r="K139" i="28"/>
  <c r="N139" i="28" s="1"/>
  <c r="K140" i="28"/>
  <c r="N140" i="28" s="1"/>
  <c r="K141" i="28"/>
  <c r="N141" i="28" s="1"/>
  <c r="K142" i="28"/>
  <c r="N142" i="28" s="1"/>
  <c r="K143" i="28"/>
  <c r="N143" i="28" s="1"/>
  <c r="K144" i="28"/>
  <c r="N144" i="28" s="1"/>
  <c r="K145" i="28"/>
  <c r="N145" i="28" s="1"/>
  <c r="K146" i="28"/>
  <c r="N146" i="28" s="1"/>
  <c r="K147" i="28"/>
  <c r="N147" i="28" s="1"/>
  <c r="K148" i="28"/>
  <c r="N148" i="28" s="1"/>
  <c r="K149" i="28"/>
  <c r="K150" i="28"/>
  <c r="N150" i="28" s="1"/>
  <c r="K151" i="28"/>
  <c r="N151" i="28" s="1"/>
  <c r="K152" i="28"/>
  <c r="N152" i="28" s="1"/>
  <c r="K153" i="28"/>
  <c r="N153" i="28" s="1"/>
  <c r="K154" i="28"/>
  <c r="N154" i="28" s="1"/>
  <c r="K155" i="28"/>
  <c r="N155" i="28" s="1"/>
  <c r="K156" i="28"/>
  <c r="N156" i="28" s="1"/>
  <c r="K157" i="28"/>
  <c r="N157" i="28" s="1"/>
  <c r="K158" i="28"/>
  <c r="N158" i="28" s="1"/>
  <c r="K159" i="28"/>
  <c r="K160" i="28"/>
  <c r="N160" i="28" s="1"/>
  <c r="K161" i="28"/>
  <c r="N161" i="28" s="1"/>
  <c r="K162" i="28"/>
  <c r="N162" i="28" s="1"/>
  <c r="K163" i="28"/>
  <c r="N163" i="28" s="1"/>
  <c r="K164" i="28"/>
  <c r="N164" i="28" s="1"/>
  <c r="K165" i="28"/>
  <c r="N165" i="28" s="1"/>
  <c r="K166" i="28"/>
  <c r="N166" i="28" s="1"/>
  <c r="K167" i="28"/>
  <c r="K168" i="28"/>
  <c r="N168" i="28" s="1"/>
  <c r="K169" i="28"/>
  <c r="K170" i="28"/>
  <c r="N170" i="28" s="1"/>
  <c r="K171" i="28"/>
  <c r="N171" i="28" s="1"/>
  <c r="K172" i="28"/>
  <c r="N172" i="28" s="1"/>
  <c r="K173" i="28"/>
  <c r="N173" i="28" s="1"/>
  <c r="K174" i="28"/>
  <c r="N174" i="28" s="1"/>
  <c r="K175" i="28"/>
  <c r="K176" i="28"/>
  <c r="N176" i="28" s="1"/>
  <c r="K177" i="28"/>
  <c r="N177" i="28" s="1"/>
  <c r="K178" i="28"/>
  <c r="N178" i="28" s="1"/>
  <c r="K179" i="28"/>
  <c r="N179" i="28" s="1"/>
  <c r="K180" i="28"/>
  <c r="N180" i="28" s="1"/>
  <c r="K181" i="28"/>
  <c r="N181" i="28" s="1"/>
  <c r="K182" i="28"/>
  <c r="N182" i="28" s="1"/>
  <c r="K183" i="28"/>
  <c r="N183" i="28" s="1"/>
  <c r="K184" i="28"/>
  <c r="N184" i="28" s="1"/>
  <c r="K185" i="28"/>
  <c r="N185" i="28" s="1"/>
  <c r="K186" i="28"/>
  <c r="N186" i="28" s="1"/>
  <c r="K187" i="28"/>
  <c r="N187" i="28" s="1"/>
  <c r="K188" i="28"/>
  <c r="N188" i="28" s="1"/>
  <c r="K189" i="28"/>
  <c r="N189" i="28" s="1"/>
  <c r="K190" i="28"/>
  <c r="N190" i="28" s="1"/>
  <c r="K191" i="28"/>
  <c r="N191" i="28" s="1"/>
  <c r="K192" i="28"/>
  <c r="N192" i="28" s="1"/>
  <c r="K193" i="28"/>
  <c r="N193" i="28" s="1"/>
  <c r="K194" i="28"/>
  <c r="N194" i="28" s="1"/>
  <c r="K195" i="28"/>
  <c r="N195" i="28" s="1"/>
  <c r="K196" i="28"/>
  <c r="N196" i="28" s="1"/>
  <c r="K197" i="28"/>
  <c r="N197" i="28" s="1"/>
  <c r="K198" i="28"/>
  <c r="N198" i="28" s="1"/>
  <c r="K199" i="28"/>
  <c r="N199" i="28" s="1"/>
  <c r="K200" i="28"/>
  <c r="N200" i="28" s="1"/>
  <c r="K201" i="28"/>
  <c r="N201" i="28" s="1"/>
  <c r="K202" i="28"/>
  <c r="N202" i="28" s="1"/>
  <c r="K203" i="28"/>
  <c r="N203" i="28" s="1"/>
  <c r="K204" i="28"/>
  <c r="N204" i="28" s="1"/>
  <c r="K205" i="28"/>
  <c r="N205" i="28" s="1"/>
  <c r="K206" i="28"/>
  <c r="N206" i="28" s="1"/>
  <c r="K207" i="28"/>
  <c r="N207" i="28" s="1"/>
  <c r="K208" i="28"/>
  <c r="N208" i="28" s="1"/>
  <c r="K209" i="28"/>
  <c r="N209" i="28" s="1"/>
  <c r="K210" i="28"/>
  <c r="N210" i="28" s="1"/>
  <c r="K211" i="28"/>
  <c r="N211" i="28" s="1"/>
  <c r="K212" i="28"/>
  <c r="N212" i="28" s="1"/>
  <c r="K213" i="28"/>
  <c r="N213" i="28" s="1"/>
  <c r="K214" i="28"/>
  <c r="N214" i="28" s="1"/>
  <c r="K215" i="28"/>
  <c r="N215" i="28" s="1"/>
  <c r="K216" i="28"/>
  <c r="N216" i="28" s="1"/>
  <c r="K217" i="28"/>
  <c r="N217" i="28" s="1"/>
  <c r="K218" i="28"/>
  <c r="N218" i="28" s="1"/>
  <c r="K219" i="28"/>
  <c r="N219" i="28" s="1"/>
  <c r="K220" i="28"/>
  <c r="N220" i="28" s="1"/>
  <c r="K221" i="28"/>
  <c r="N221" i="28" s="1"/>
  <c r="K222" i="28"/>
  <c r="N222" i="28" s="1"/>
  <c r="K223" i="28"/>
  <c r="N223" i="28" s="1"/>
  <c r="K224" i="28"/>
  <c r="N224" i="28" s="1"/>
  <c r="K225" i="28"/>
  <c r="N225" i="28" s="1"/>
  <c r="K226" i="28"/>
  <c r="N226" i="28" s="1"/>
  <c r="K227" i="28"/>
  <c r="N227" i="28" s="1"/>
  <c r="K228" i="28"/>
  <c r="N228" i="28" s="1"/>
  <c r="K229" i="28"/>
  <c r="N229" i="28" s="1"/>
  <c r="K230" i="28"/>
  <c r="N230" i="28" s="1"/>
  <c r="K231" i="28"/>
  <c r="N231" i="28" s="1"/>
  <c r="K232" i="28"/>
  <c r="N232" i="28" s="1"/>
  <c r="K233" i="28"/>
  <c r="N233" i="28" s="1"/>
  <c r="K234" i="28"/>
  <c r="N234" i="28" s="1"/>
  <c r="K235" i="28"/>
  <c r="N235" i="28" s="1"/>
  <c r="K236" i="28"/>
  <c r="N236" i="28" s="1"/>
  <c r="K237" i="28"/>
  <c r="N237" i="28" s="1"/>
  <c r="K238" i="28"/>
  <c r="N238" i="28" s="1"/>
  <c r="K239" i="28"/>
  <c r="N239" i="28" s="1"/>
  <c r="K240" i="28"/>
  <c r="N240" i="28" s="1"/>
  <c r="K241" i="28"/>
  <c r="N241" i="28" s="1"/>
  <c r="K242" i="28"/>
  <c r="N242" i="28" s="1"/>
  <c r="K243" i="28"/>
  <c r="N243" i="28" s="1"/>
  <c r="K244" i="28"/>
  <c r="N244" i="28" s="1"/>
  <c r="K245" i="28"/>
  <c r="N245" i="28" s="1"/>
  <c r="K246" i="28"/>
  <c r="K247" i="28"/>
  <c r="N247" i="28" s="1"/>
  <c r="K248" i="28"/>
  <c r="K249" i="28"/>
  <c r="N249" i="28" s="1"/>
  <c r="K250" i="28"/>
  <c r="N250" i="28" s="1"/>
  <c r="K251" i="28"/>
  <c r="N251" i="28" s="1"/>
  <c r="K252" i="28"/>
  <c r="N252" i="28" s="1"/>
  <c r="K253" i="28"/>
  <c r="N253" i="28" s="1"/>
  <c r="K254" i="28"/>
  <c r="N254" i="28" s="1"/>
  <c r="K255" i="28"/>
  <c r="N255" i="28" s="1"/>
  <c r="K256" i="28"/>
  <c r="N256" i="28" s="1"/>
  <c r="K257" i="28"/>
  <c r="N257" i="28" s="1"/>
  <c r="K258" i="28"/>
  <c r="N258" i="28" s="1"/>
  <c r="K259" i="28"/>
  <c r="N259" i="28" s="1"/>
  <c r="K260" i="28"/>
  <c r="N260" i="28" s="1"/>
  <c r="K261" i="28"/>
  <c r="N261" i="28" s="1"/>
  <c r="K262" i="28"/>
  <c r="N262" i="28" s="1"/>
  <c r="K263" i="28"/>
  <c r="N263" i="28" s="1"/>
  <c r="K264" i="28"/>
  <c r="N264" i="28" s="1"/>
  <c r="K265" i="28"/>
  <c r="N265" i="28" s="1"/>
  <c r="K266" i="28"/>
  <c r="N266" i="28" s="1"/>
  <c r="K267" i="28"/>
  <c r="N267" i="28" s="1"/>
  <c r="K268" i="28"/>
  <c r="N268" i="28" s="1"/>
  <c r="K269" i="28"/>
  <c r="N269" i="28" s="1"/>
  <c r="K270" i="28"/>
  <c r="N270" i="28" s="1"/>
  <c r="K271" i="28"/>
  <c r="N271" i="28" s="1"/>
  <c r="K272" i="28"/>
  <c r="N272" i="28" s="1"/>
  <c r="K273" i="28"/>
  <c r="N273" i="28" s="1"/>
  <c r="K274" i="28"/>
  <c r="N274" i="28" s="1"/>
  <c r="K275" i="28"/>
  <c r="N275" i="28" s="1"/>
  <c r="K276" i="28"/>
  <c r="N276" i="28" s="1"/>
  <c r="K277" i="28"/>
  <c r="N277" i="28" s="1"/>
  <c r="K278" i="28"/>
  <c r="N278" i="28" s="1"/>
  <c r="K279" i="28"/>
  <c r="N279" i="28" s="1"/>
  <c r="K280" i="28"/>
  <c r="N280" i="28" s="1"/>
  <c r="K281" i="28"/>
  <c r="N281" i="28" s="1"/>
  <c r="K282" i="28"/>
  <c r="N282" i="28" s="1"/>
  <c r="K283" i="28"/>
  <c r="N283" i="28" s="1"/>
  <c r="K284" i="28"/>
  <c r="N284" i="28" s="1"/>
  <c r="K285" i="28"/>
  <c r="N285" i="28" s="1"/>
  <c r="K286" i="28"/>
  <c r="N286" i="28" s="1"/>
  <c r="K287" i="28"/>
  <c r="N287" i="28" s="1"/>
  <c r="K288" i="28"/>
  <c r="N288" i="28" s="1"/>
  <c r="K289" i="28"/>
  <c r="N289" i="28" s="1"/>
  <c r="K290" i="28"/>
  <c r="N290" i="28" s="1"/>
  <c r="K291" i="28"/>
  <c r="N291" i="28" s="1"/>
  <c r="K292" i="28"/>
  <c r="N292" i="28" s="1"/>
  <c r="K293" i="28"/>
  <c r="N293" i="28" s="1"/>
  <c r="K294" i="28"/>
  <c r="N294" i="28" s="1"/>
  <c r="K295" i="28"/>
  <c r="N295" i="28" s="1"/>
  <c r="K296" i="28"/>
  <c r="N296" i="28" s="1"/>
  <c r="K297" i="28"/>
  <c r="N297" i="28" s="1"/>
  <c r="K298" i="28"/>
  <c r="N298" i="28" s="1"/>
  <c r="K299" i="28"/>
  <c r="N299" i="28" s="1"/>
  <c r="K300" i="28"/>
  <c r="K301" i="28"/>
  <c r="N301" i="28" s="1"/>
  <c r="K302" i="28"/>
  <c r="N302" i="28" s="1"/>
  <c r="K303" i="28"/>
  <c r="N303" i="28" s="1"/>
  <c r="K304" i="28"/>
  <c r="N304" i="28" s="1"/>
  <c r="K305" i="28"/>
  <c r="N305" i="28" s="1"/>
  <c r="K306" i="28"/>
  <c r="N306" i="28" s="1"/>
  <c r="K307" i="28"/>
  <c r="N307" i="28" s="1"/>
  <c r="K308" i="28"/>
  <c r="N308" i="28" s="1"/>
  <c r="K309" i="28"/>
  <c r="N309" i="28" s="1"/>
  <c r="K310" i="28"/>
  <c r="N310" i="28" s="1"/>
  <c r="K311" i="28"/>
  <c r="N311" i="28" s="1"/>
  <c r="K312" i="28"/>
  <c r="N312" i="28" s="1"/>
  <c r="K313" i="28"/>
  <c r="N313" i="28" s="1"/>
  <c r="K314" i="28"/>
  <c r="N314" i="28" s="1"/>
  <c r="K315" i="28"/>
  <c r="N315" i="28" s="1"/>
  <c r="K316" i="28"/>
  <c r="N316" i="28" s="1"/>
  <c r="K317" i="28"/>
  <c r="N317" i="28" s="1"/>
  <c r="K318" i="28"/>
  <c r="N318" i="28" s="1"/>
  <c r="K319" i="28"/>
  <c r="N319" i="28" s="1"/>
  <c r="K320" i="28"/>
  <c r="N320" i="28" s="1"/>
  <c r="K321" i="28"/>
  <c r="N321" i="28" s="1"/>
  <c r="K322" i="28"/>
  <c r="N322" i="28" s="1"/>
  <c r="K323" i="28"/>
  <c r="N323" i="28" s="1"/>
  <c r="K324" i="28"/>
  <c r="N324" i="28" s="1"/>
  <c r="K325" i="28"/>
  <c r="N325" i="28" s="1"/>
  <c r="K326" i="28"/>
  <c r="N326" i="28" s="1"/>
  <c r="K327" i="28"/>
  <c r="N327" i="28" s="1"/>
  <c r="K328" i="28"/>
  <c r="N328" i="28" s="1"/>
  <c r="K329" i="28"/>
  <c r="N329" i="28" s="1"/>
  <c r="K330" i="28"/>
  <c r="N330" i="28" s="1"/>
  <c r="K331" i="28"/>
  <c r="N331" i="28" s="1"/>
  <c r="K332" i="28"/>
  <c r="N332" i="28" s="1"/>
  <c r="K333" i="28"/>
  <c r="N333" i="28" s="1"/>
  <c r="K334" i="28"/>
  <c r="N334" i="28" s="1"/>
  <c r="K335" i="28"/>
  <c r="N335" i="28" s="1"/>
  <c r="K336" i="28"/>
  <c r="N336" i="28" s="1"/>
  <c r="K337" i="28"/>
  <c r="N337" i="28" s="1"/>
  <c r="K338" i="28"/>
  <c r="N338" i="28" s="1"/>
  <c r="K339" i="28"/>
  <c r="N339" i="28" s="1"/>
  <c r="K340" i="28"/>
  <c r="N340" i="28" s="1"/>
  <c r="K341" i="28"/>
  <c r="N341" i="28" s="1"/>
  <c r="K342" i="28"/>
  <c r="N342" i="28" s="1"/>
  <c r="K343" i="28"/>
  <c r="N343" i="28" s="1"/>
  <c r="K344" i="28"/>
  <c r="N344" i="28" s="1"/>
  <c r="K345" i="28"/>
  <c r="N345" i="28" s="1"/>
  <c r="K346" i="28"/>
  <c r="K347" i="28"/>
  <c r="N347" i="28" s="1"/>
  <c r="K348" i="28"/>
  <c r="N348" i="28" s="1"/>
  <c r="K349" i="28"/>
  <c r="N349" i="28" s="1"/>
  <c r="K350" i="28"/>
  <c r="K351" i="28"/>
  <c r="N351" i="28" s="1"/>
  <c r="K352" i="28"/>
  <c r="N352" i="28" s="1"/>
  <c r="K353" i="28"/>
  <c r="N353" i="28" s="1"/>
  <c r="K354" i="28"/>
  <c r="K355" i="28"/>
  <c r="N355" i="28" s="1"/>
  <c r="K356" i="28"/>
  <c r="K357" i="28"/>
  <c r="N357" i="28" s="1"/>
  <c r="K358" i="28"/>
  <c r="N358" i="28" s="1"/>
  <c r="K359" i="28"/>
  <c r="N359" i="28" s="1"/>
  <c r="K360" i="28"/>
  <c r="N360" i="28" s="1"/>
  <c r="K361" i="28"/>
  <c r="N361" i="28" s="1"/>
  <c r="K362" i="28"/>
  <c r="N362" i="28" s="1"/>
  <c r="K363" i="28"/>
  <c r="N363" i="28" s="1"/>
  <c r="K364" i="28"/>
  <c r="N364" i="28" s="1"/>
  <c r="K365" i="28"/>
  <c r="N365" i="28" s="1"/>
  <c r="K366" i="28"/>
  <c r="N366" i="28" s="1"/>
  <c r="K367" i="28"/>
  <c r="N367" i="28" s="1"/>
  <c r="K368" i="28"/>
  <c r="N368" i="28" s="1"/>
  <c r="K369" i="28"/>
  <c r="N369" i="28" s="1"/>
  <c r="K370" i="28"/>
  <c r="N370" i="28" s="1"/>
  <c r="K371" i="28"/>
  <c r="N371" i="28" s="1"/>
  <c r="K372" i="28"/>
  <c r="N372" i="28" s="1"/>
  <c r="K373" i="28"/>
  <c r="N373" i="28" s="1"/>
  <c r="K374" i="28"/>
  <c r="N374" i="28" s="1"/>
  <c r="K375" i="28"/>
  <c r="N375" i="28" s="1"/>
  <c r="K376" i="28"/>
  <c r="N376" i="28" s="1"/>
  <c r="K377" i="28"/>
  <c r="N377" i="28" s="1"/>
  <c r="K378" i="28"/>
  <c r="N378" i="28" s="1"/>
  <c r="K379" i="28"/>
  <c r="N379" i="28" s="1"/>
  <c r="K380" i="28"/>
  <c r="N380" i="28" s="1"/>
  <c r="K381" i="28"/>
  <c r="N381" i="28" s="1"/>
  <c r="K382" i="28"/>
  <c r="N382" i="28" s="1"/>
  <c r="K383" i="28"/>
  <c r="N383" i="28" s="1"/>
  <c r="K384" i="28"/>
  <c r="N384" i="28" s="1"/>
  <c r="K385" i="28"/>
  <c r="N385" i="28" s="1"/>
  <c r="K386" i="28"/>
  <c r="N386" i="28" s="1"/>
  <c r="K387" i="28"/>
  <c r="N387" i="28" s="1"/>
  <c r="K388" i="28"/>
  <c r="N388" i="28" s="1"/>
  <c r="K389" i="28"/>
  <c r="N389" i="28" s="1"/>
  <c r="K390" i="28"/>
  <c r="N390" i="28" s="1"/>
  <c r="K391" i="28"/>
  <c r="N391" i="28" s="1"/>
  <c r="K392" i="28"/>
  <c r="N392" i="28" s="1"/>
  <c r="K393" i="28"/>
  <c r="N393" i="28" s="1"/>
  <c r="K394" i="28"/>
  <c r="N394" i="28" s="1"/>
  <c r="K395" i="28"/>
  <c r="N395" i="28" s="1"/>
  <c r="K396" i="28"/>
  <c r="N396" i="28" s="1"/>
  <c r="K397" i="28"/>
  <c r="N397" i="28" s="1"/>
  <c r="K398" i="28"/>
  <c r="N398" i="28" s="1"/>
  <c r="K399" i="28"/>
  <c r="N399" i="28" s="1"/>
  <c r="K400" i="28"/>
  <c r="N400" i="28" s="1"/>
  <c r="K401" i="28"/>
  <c r="N401" i="28" s="1"/>
  <c r="K402" i="28"/>
  <c r="N402" i="28" s="1"/>
  <c r="K403" i="28"/>
  <c r="N403" i="28" s="1"/>
  <c r="K404" i="28"/>
  <c r="N404" i="28" s="1"/>
  <c r="K405" i="28"/>
  <c r="N405" i="28" s="1"/>
  <c r="K406" i="28"/>
  <c r="N406" i="28" s="1"/>
  <c r="K407" i="28"/>
  <c r="N407" i="28" s="1"/>
  <c r="K408" i="28"/>
  <c r="K409" i="28"/>
  <c r="N409" i="28" s="1"/>
  <c r="K410" i="28"/>
  <c r="N410" i="28" s="1"/>
  <c r="K411" i="28"/>
  <c r="N411" i="28" s="1"/>
  <c r="K412" i="28"/>
  <c r="N412" i="28" s="1"/>
  <c r="K413" i="28"/>
  <c r="N413" i="28" s="1"/>
  <c r="K414" i="28"/>
  <c r="N414" i="28" s="1"/>
  <c r="K415" i="28"/>
  <c r="N415" i="28" s="1"/>
  <c r="K416" i="28"/>
  <c r="N416" i="28" s="1"/>
  <c r="K417" i="28"/>
  <c r="N417" i="28" s="1"/>
  <c r="K418" i="28"/>
  <c r="N418" i="28" s="1"/>
  <c r="AB3" i="1"/>
  <c r="AA313" i="6"/>
  <c r="AA314" i="6"/>
  <c r="AA315" i="6"/>
  <c r="AA316" i="6"/>
  <c r="AC274" i="4" l="1"/>
  <c r="AC36" i="7"/>
  <c r="AC243" i="7"/>
  <c r="AC106" i="4"/>
  <c r="AC441" i="7"/>
  <c r="AC436" i="4"/>
  <c r="AC167" i="4"/>
  <c r="AC248" i="4"/>
  <c r="AC126" i="7"/>
  <c r="AC464" i="7"/>
  <c r="AC411" i="7"/>
  <c r="AC119" i="4"/>
  <c r="AG89" i="1"/>
  <c r="AH89" i="1" s="1"/>
  <c r="AC88" i="7"/>
  <c r="AC463" i="7"/>
  <c r="AC415" i="4"/>
  <c r="AC378" i="4"/>
  <c r="AC35" i="4"/>
  <c r="AC73" i="4"/>
  <c r="AC457" i="7"/>
  <c r="AC449" i="7"/>
  <c r="AC405" i="7"/>
  <c r="AC175" i="4"/>
  <c r="AC474" i="4"/>
  <c r="AC330" i="4"/>
  <c r="AC468" i="4"/>
  <c r="AC437" i="4"/>
  <c r="AC449" i="4"/>
  <c r="AC202" i="4"/>
  <c r="AC425" i="4"/>
  <c r="AC328" i="4"/>
  <c r="AC380" i="4"/>
  <c r="AC239" i="4"/>
  <c r="AC35" i="7"/>
  <c r="AC451" i="4"/>
  <c r="AC138" i="4"/>
  <c r="AC84" i="4"/>
  <c r="AC108" i="4"/>
  <c r="AC371" i="4"/>
  <c r="AC512" i="7"/>
  <c r="AC296" i="4"/>
  <c r="AC195" i="4"/>
  <c r="AC47" i="4"/>
  <c r="AC16" i="4"/>
  <c r="AC424" i="4"/>
  <c r="AC327" i="4"/>
  <c r="AC33" i="4"/>
  <c r="AC168" i="4"/>
  <c r="AC413" i="4"/>
  <c r="AG48" i="1"/>
  <c r="AC324" i="4"/>
  <c r="AC320" i="4"/>
  <c r="AC340" i="7"/>
  <c r="AC15" i="4"/>
  <c r="AC46" i="4"/>
  <c r="AC440" i="4"/>
  <c r="AC233" i="7"/>
  <c r="AC267" i="7"/>
  <c r="AC255" i="4"/>
  <c r="AC330" i="7"/>
  <c r="AC311" i="4"/>
  <c r="AC42" i="7"/>
  <c r="AC43" i="4"/>
  <c r="AC28" i="4"/>
  <c r="AC28" i="7"/>
  <c r="AC319" i="7"/>
  <c r="AC300" i="4"/>
  <c r="AC8" i="7"/>
  <c r="AC7" i="4"/>
  <c r="AC510" i="7"/>
  <c r="AC482" i="4"/>
  <c r="AC74" i="7"/>
  <c r="AC72" i="4"/>
  <c r="AC242" i="7"/>
  <c r="AC232" i="4"/>
  <c r="AC187" i="7"/>
  <c r="AC181" i="4"/>
  <c r="AC131" i="7"/>
  <c r="AC128" i="4"/>
  <c r="AC6" i="7"/>
  <c r="AC5" i="4"/>
  <c r="AC353" i="4"/>
  <c r="AC372" i="7"/>
  <c r="AC201" i="7"/>
  <c r="AC193" i="4"/>
  <c r="AC175" i="7"/>
  <c r="AC171" i="4"/>
  <c r="AC399" i="7"/>
  <c r="AC377" i="4"/>
  <c r="AC73" i="7"/>
  <c r="AC71" i="4"/>
  <c r="AC317" i="7"/>
  <c r="AC298" i="4"/>
  <c r="AC261" i="7"/>
  <c r="AC249" i="4"/>
  <c r="AC264" i="7"/>
  <c r="AC252" i="4"/>
  <c r="AC483" i="4"/>
  <c r="AC511" i="7"/>
  <c r="AC240" i="7"/>
  <c r="AC230" i="4"/>
  <c r="AC123" i="7"/>
  <c r="AC120" i="4"/>
  <c r="AC27" i="7"/>
  <c r="AC27" i="4"/>
  <c r="AC354" i="7"/>
  <c r="AC334" i="4"/>
  <c r="AC470" i="7"/>
  <c r="AC445" i="4"/>
  <c r="AC231" i="7"/>
  <c r="AC221" i="4"/>
  <c r="AC99" i="7"/>
  <c r="AC97" i="4"/>
  <c r="AC154" i="7"/>
  <c r="AC151" i="4"/>
  <c r="AC407" i="4"/>
  <c r="AG437" i="1"/>
  <c r="AH437" i="1" s="1"/>
  <c r="AC445" i="7"/>
  <c r="AC422" i="4"/>
  <c r="AC113" i="7"/>
  <c r="AC110" i="4"/>
  <c r="AC271" i="4"/>
  <c r="AC286" i="7"/>
  <c r="AC487" i="7"/>
  <c r="AC459" i="4"/>
  <c r="AC161" i="4"/>
  <c r="AC165" i="7"/>
  <c r="AC254" i="4"/>
  <c r="AC266" i="7"/>
  <c r="AC494" i="7"/>
  <c r="AC466" i="4"/>
  <c r="AC78" i="4"/>
  <c r="AC80" i="7"/>
  <c r="AC424" i="7"/>
  <c r="AC401" i="4"/>
  <c r="AC344" i="4"/>
  <c r="AC33" i="7"/>
  <c r="AC34" i="4"/>
  <c r="AC124" i="7"/>
  <c r="AC121" i="4"/>
  <c r="AC329" i="4"/>
  <c r="AC349" i="7"/>
  <c r="AC164" i="7"/>
  <c r="AC160" i="4"/>
  <c r="AC374" i="7"/>
  <c r="AC355" i="4"/>
  <c r="AC352" i="7"/>
  <c r="AC332" i="4"/>
  <c r="AG357" i="1"/>
  <c r="AH357" i="1" s="1"/>
  <c r="AC514" i="7"/>
  <c r="AC486" i="4"/>
  <c r="AC125" i="7"/>
  <c r="AC122" i="4"/>
  <c r="AC258" i="7"/>
  <c r="AC247" i="4"/>
  <c r="AC387" i="7"/>
  <c r="AC365" i="4"/>
  <c r="AC276" i="7"/>
  <c r="AC263" i="4"/>
  <c r="AC82" i="7"/>
  <c r="AC80" i="4"/>
  <c r="AC431" i="7"/>
  <c r="AC408" i="4"/>
  <c r="AC54" i="7"/>
  <c r="AC53" i="4"/>
  <c r="AC113" i="4"/>
  <c r="AC215" i="7"/>
  <c r="AC207" i="4"/>
  <c r="AC93" i="7"/>
  <c r="AC91" i="4"/>
  <c r="AC334" i="7"/>
  <c r="AC315" i="4"/>
  <c r="AC410" i="4"/>
  <c r="AC433" i="7"/>
  <c r="AC223" i="7"/>
  <c r="AC214" i="4"/>
  <c r="AC291" i="7"/>
  <c r="AC275" i="4"/>
  <c r="AC437" i="7"/>
  <c r="AC414" i="4"/>
  <c r="AC265" i="4"/>
  <c r="AC278" i="7"/>
  <c r="AC205" i="4"/>
  <c r="AC213" i="7"/>
  <c r="AC310" i="7"/>
  <c r="AC292" i="4"/>
  <c r="AC249" i="7"/>
  <c r="AC238" i="4"/>
  <c r="AC182" i="7"/>
  <c r="AG187" i="1"/>
  <c r="AH187" i="1" s="1"/>
  <c r="AC432" i="7"/>
  <c r="AC409" i="4"/>
  <c r="AC442" i="7"/>
  <c r="AC419" i="4"/>
  <c r="AC513" i="7"/>
  <c r="AC485" i="4"/>
  <c r="AC307" i="7"/>
  <c r="AG312" i="1"/>
  <c r="AC199" i="7"/>
  <c r="AC191" i="4"/>
  <c r="AC225" i="4"/>
  <c r="AC235" i="7"/>
  <c r="AC416" i="7"/>
  <c r="AC393" i="4"/>
  <c r="AC365" i="7"/>
  <c r="AC346" i="4"/>
  <c r="AC471" i="7"/>
  <c r="AC446" i="4"/>
  <c r="AC49" i="7"/>
  <c r="AC48" i="4"/>
  <c r="AC217" i="4"/>
  <c r="AC227" i="7"/>
  <c r="AC234" i="7"/>
  <c r="AC224" i="4"/>
  <c r="AC168" i="7"/>
  <c r="AC164" i="4"/>
  <c r="AC427" i="7"/>
  <c r="AC404" i="4"/>
  <c r="AC184" i="7"/>
  <c r="AG189" i="1"/>
  <c r="AC52" i="7"/>
  <c r="AC51" i="4"/>
  <c r="AC118" i="4"/>
  <c r="AC121" i="7"/>
  <c r="AG123" i="1"/>
  <c r="AH123" i="1" s="1"/>
  <c r="AC29" i="7"/>
  <c r="AC29" i="4"/>
  <c r="AC94" i="7"/>
  <c r="AC92" i="4"/>
  <c r="AC146" i="7"/>
  <c r="AC143" i="4"/>
  <c r="AC10" i="7"/>
  <c r="AC9" i="4"/>
  <c r="AC481" i="4"/>
  <c r="AC509" i="7"/>
  <c r="AC85" i="7"/>
  <c r="AC82" i="4"/>
  <c r="AC293" i="7"/>
  <c r="AC277" i="4"/>
  <c r="AC488" i="7"/>
  <c r="AC460" i="4"/>
  <c r="AC18" i="7"/>
  <c r="AC17" i="4"/>
  <c r="AC506" i="7"/>
  <c r="AC478" i="4"/>
  <c r="AC500" i="7"/>
  <c r="AC472" i="4"/>
  <c r="AC534" i="1"/>
  <c r="AB436" i="1"/>
  <c r="AG436" i="1" s="1"/>
  <c r="AH436" i="1" s="1"/>
  <c r="AB438" i="1"/>
  <c r="AG438" i="1" s="1"/>
  <c r="AH438" i="1" s="1"/>
  <c r="AB439" i="1"/>
  <c r="AG439" i="1" s="1"/>
  <c r="AH439" i="1" s="1"/>
  <c r="AB440" i="1"/>
  <c r="AG440" i="1" s="1"/>
  <c r="AH440" i="1" s="1"/>
  <c r="AB434" i="1"/>
  <c r="AG434" i="1" s="1"/>
  <c r="AH434" i="1" s="1"/>
  <c r="AB441" i="1"/>
  <c r="AG441" i="1" s="1"/>
  <c r="AH441" i="1" s="1"/>
  <c r="AB106" i="1"/>
  <c r="AG106" i="1" s="1"/>
  <c r="AH106" i="1" s="1"/>
  <c r="AB226" i="1"/>
  <c r="AG226" i="1" s="1"/>
  <c r="AH226" i="1" s="1"/>
  <c r="M408" i="28"/>
  <c r="N408" i="28" s="1"/>
  <c r="M346" i="28"/>
  <c r="N346" i="28" s="1"/>
  <c r="M350" i="28"/>
  <c r="M354" i="28"/>
  <c r="N354" i="28" s="1"/>
  <c r="M356" i="28"/>
  <c r="N356" i="28" s="1"/>
  <c r="AB22" i="1"/>
  <c r="AB489" i="1"/>
  <c r="AG489" i="1" s="1"/>
  <c r="AH489" i="1" s="1"/>
  <c r="AB30" i="1"/>
  <c r="AG30" i="1" s="1"/>
  <c r="AH30" i="1" s="1"/>
  <c r="AB38" i="1"/>
  <c r="AG38" i="1" s="1"/>
  <c r="AH38" i="1" s="1"/>
  <c r="AB54" i="1"/>
  <c r="AG54" i="1" s="1"/>
  <c r="AH54" i="1" s="1"/>
  <c r="AB62" i="1"/>
  <c r="AG62" i="1" s="1"/>
  <c r="AH62" i="1" s="1"/>
  <c r="AB70" i="1"/>
  <c r="AG70" i="1" s="1"/>
  <c r="AH70" i="1" s="1"/>
  <c r="AB78" i="1"/>
  <c r="AG78" i="1" s="1"/>
  <c r="AH78" i="1" s="1"/>
  <c r="AB86" i="1"/>
  <c r="AG86" i="1" s="1"/>
  <c r="AH86" i="1" s="1"/>
  <c r="AB102" i="1"/>
  <c r="AG102" i="1" s="1"/>
  <c r="AH102" i="1" s="1"/>
  <c r="AB111" i="1"/>
  <c r="AG111" i="1" s="1"/>
  <c r="AH111" i="1" s="1"/>
  <c r="AB119" i="1"/>
  <c r="AG119" i="1" s="1"/>
  <c r="AH119" i="1" s="1"/>
  <c r="AB127" i="1"/>
  <c r="AG127" i="1" s="1"/>
  <c r="AH127" i="1" s="1"/>
  <c r="AB135" i="1"/>
  <c r="AG135" i="1" s="1"/>
  <c r="AH135" i="1" s="1"/>
  <c r="AB143" i="1"/>
  <c r="AG143" i="1" s="1"/>
  <c r="AH143" i="1" s="1"/>
  <c r="AB151" i="1"/>
  <c r="AG151" i="1" s="1"/>
  <c r="AH151" i="1" s="1"/>
  <c r="AB159" i="1"/>
  <c r="AG159" i="1" s="1"/>
  <c r="AH159" i="1" s="1"/>
  <c r="AB167" i="1"/>
  <c r="AG167" i="1" s="1"/>
  <c r="AH167" i="1" s="1"/>
  <c r="AB175" i="1"/>
  <c r="AG175" i="1" s="1"/>
  <c r="AH175" i="1" s="1"/>
  <c r="AB369" i="1"/>
  <c r="AG369" i="1" s="1"/>
  <c r="AH369" i="1" s="1"/>
  <c r="AB305" i="1"/>
  <c r="AG305" i="1" s="1"/>
  <c r="AH305" i="1" s="1"/>
  <c r="AB241" i="1"/>
  <c r="AG241" i="1" s="1"/>
  <c r="AH241" i="1" s="1"/>
  <c r="AB51" i="1"/>
  <c r="AG51" i="1" s="1"/>
  <c r="AH51" i="1" s="1"/>
  <c r="AB6" i="1"/>
  <c r="AB5" i="4" s="1"/>
  <c r="AB481" i="1"/>
  <c r="AG481" i="1" s="1"/>
  <c r="AH481" i="1" s="1"/>
  <c r="AB417" i="1"/>
  <c r="AG417" i="1" s="1"/>
  <c r="AH417" i="1" s="1"/>
  <c r="AB353" i="1"/>
  <c r="AG353" i="1" s="1"/>
  <c r="AH353" i="1" s="1"/>
  <c r="AB224" i="1"/>
  <c r="AG224" i="1" s="1"/>
  <c r="AH224" i="1" s="1"/>
  <c r="AB473" i="1"/>
  <c r="AG473" i="1" s="1"/>
  <c r="AH473" i="1" s="1"/>
  <c r="AB409" i="1"/>
  <c r="AG409" i="1" s="1"/>
  <c r="AH409" i="1" s="1"/>
  <c r="AB345" i="1"/>
  <c r="AG345" i="1" s="1"/>
  <c r="AH345" i="1" s="1"/>
  <c r="AB281" i="1"/>
  <c r="AG281" i="1" s="1"/>
  <c r="AH281" i="1" s="1"/>
  <c r="AB216" i="1"/>
  <c r="AG216" i="1" s="1"/>
  <c r="AH216" i="1" s="1"/>
  <c r="AB465" i="1"/>
  <c r="AG465" i="1" s="1"/>
  <c r="AH465" i="1" s="1"/>
  <c r="AB337" i="1"/>
  <c r="AG337" i="1" s="1"/>
  <c r="AH337" i="1" s="1"/>
  <c r="AB273" i="1"/>
  <c r="AG273" i="1" s="1"/>
  <c r="AH273" i="1" s="1"/>
  <c r="AB208" i="1"/>
  <c r="AG208" i="1" s="1"/>
  <c r="AH208" i="1" s="1"/>
  <c r="AB521" i="1"/>
  <c r="AG521" i="1" s="1"/>
  <c r="AH521" i="1" s="1"/>
  <c r="AB393" i="1"/>
  <c r="AG393" i="1" s="1"/>
  <c r="AH393" i="1" s="1"/>
  <c r="AB329" i="1"/>
  <c r="AG329" i="1" s="1"/>
  <c r="AH329" i="1" s="1"/>
  <c r="AB200" i="1"/>
  <c r="AG200" i="1" s="1"/>
  <c r="AH200" i="1" s="1"/>
  <c r="AB425" i="1"/>
  <c r="AG425" i="1" s="1"/>
  <c r="AH425" i="1" s="1"/>
  <c r="AB513" i="1"/>
  <c r="AG513" i="1" s="1"/>
  <c r="AH513" i="1" s="1"/>
  <c r="AB449" i="1"/>
  <c r="AG449" i="1" s="1"/>
  <c r="AH449" i="1" s="1"/>
  <c r="AB385" i="1"/>
  <c r="AG385" i="1" s="1"/>
  <c r="AH385" i="1" s="1"/>
  <c r="AB321" i="1"/>
  <c r="AG321" i="1" s="1"/>
  <c r="AH321" i="1" s="1"/>
  <c r="AB257" i="1"/>
  <c r="AG257" i="1" s="1"/>
  <c r="AH257" i="1" s="1"/>
  <c r="AB192" i="1"/>
  <c r="AG192" i="1" s="1"/>
  <c r="AH192" i="1" s="1"/>
  <c r="AB377" i="1"/>
  <c r="AG377" i="1" s="1"/>
  <c r="AH377" i="1" s="1"/>
  <c r="AB313" i="1"/>
  <c r="AG313" i="1" s="1"/>
  <c r="AH313" i="1" s="1"/>
  <c r="AB249" i="1"/>
  <c r="AG249" i="1" s="1"/>
  <c r="AH249" i="1" s="1"/>
  <c r="AB520" i="1"/>
  <c r="AG520" i="1" s="1"/>
  <c r="AH520" i="1" s="1"/>
  <c r="AB512" i="1"/>
  <c r="AG512" i="1" s="1"/>
  <c r="AH512" i="1" s="1"/>
  <c r="AB504" i="1"/>
  <c r="AG504" i="1" s="1"/>
  <c r="AH504" i="1" s="1"/>
  <c r="AB472" i="1"/>
  <c r="AG472" i="1" s="1"/>
  <c r="AH472" i="1" s="1"/>
  <c r="AB464" i="1"/>
  <c r="AG464" i="1" s="1"/>
  <c r="AH464" i="1" s="1"/>
  <c r="AB456" i="1"/>
  <c r="AG456" i="1" s="1"/>
  <c r="AH456" i="1" s="1"/>
  <c r="AB448" i="1"/>
  <c r="AG448" i="1" s="1"/>
  <c r="AH448" i="1" s="1"/>
  <c r="AB408" i="1"/>
  <c r="AG408" i="1" s="1"/>
  <c r="AH408" i="1" s="1"/>
  <c r="AB400" i="1"/>
  <c r="AG400" i="1" s="1"/>
  <c r="AH400" i="1" s="1"/>
  <c r="AB376" i="1"/>
  <c r="AG376" i="1" s="1"/>
  <c r="AH376" i="1" s="1"/>
  <c r="AB368" i="1"/>
  <c r="AG368" i="1" s="1"/>
  <c r="AH368" i="1" s="1"/>
  <c r="AB360" i="1"/>
  <c r="AG360" i="1" s="1"/>
  <c r="AH360" i="1" s="1"/>
  <c r="AB352" i="1"/>
  <c r="AG352" i="1" s="1"/>
  <c r="AH352" i="1" s="1"/>
  <c r="AB344" i="1"/>
  <c r="AG344" i="1" s="1"/>
  <c r="AH344" i="1" s="1"/>
  <c r="AB336" i="1"/>
  <c r="AG336" i="1" s="1"/>
  <c r="AH336" i="1" s="1"/>
  <c r="AB328" i="1"/>
  <c r="AG328" i="1" s="1"/>
  <c r="AH328" i="1" s="1"/>
  <c r="AB320" i="1"/>
  <c r="AG320" i="1" s="1"/>
  <c r="AH320" i="1" s="1"/>
  <c r="AB304" i="1"/>
  <c r="AG304" i="1" s="1"/>
  <c r="AH304" i="1" s="1"/>
  <c r="AB296" i="1"/>
  <c r="AG296" i="1" s="1"/>
  <c r="AH296" i="1" s="1"/>
  <c r="AB272" i="1"/>
  <c r="AG272" i="1" s="1"/>
  <c r="AH272" i="1" s="1"/>
  <c r="AB264" i="1"/>
  <c r="AG264" i="1" s="1"/>
  <c r="AH264" i="1" s="1"/>
  <c r="AB248" i="1"/>
  <c r="AG248" i="1" s="1"/>
  <c r="AH248" i="1" s="1"/>
  <c r="AB240" i="1"/>
  <c r="AG240" i="1" s="1"/>
  <c r="AH240" i="1" s="1"/>
  <c r="AB232" i="1"/>
  <c r="AG232" i="1" s="1"/>
  <c r="AH232" i="1" s="1"/>
  <c r="AB215" i="1"/>
  <c r="AG215" i="1" s="1"/>
  <c r="AH215" i="1" s="1"/>
  <c r="AB207" i="1"/>
  <c r="AG207" i="1" s="1"/>
  <c r="AH207" i="1" s="1"/>
  <c r="AB199" i="1"/>
  <c r="AG199" i="1" s="1"/>
  <c r="AH199" i="1" s="1"/>
  <c r="AB191" i="1"/>
  <c r="AG191" i="1" s="1"/>
  <c r="AH191" i="1" s="1"/>
  <c r="AB174" i="1"/>
  <c r="AG174" i="1" s="1"/>
  <c r="AH174" i="1" s="1"/>
  <c r="AB158" i="1"/>
  <c r="AG158" i="1" s="1"/>
  <c r="AH158" i="1" s="1"/>
  <c r="AB150" i="1"/>
  <c r="AG150" i="1" s="1"/>
  <c r="AH150" i="1" s="1"/>
  <c r="AB118" i="1"/>
  <c r="AG118" i="1" s="1"/>
  <c r="AH118" i="1" s="1"/>
  <c r="AB110" i="1"/>
  <c r="AG110" i="1" s="1"/>
  <c r="AH110" i="1" s="1"/>
  <c r="AB101" i="1"/>
  <c r="AG101" i="1" s="1"/>
  <c r="AH101" i="1" s="1"/>
  <c r="AB61" i="1"/>
  <c r="AG61" i="1" s="1"/>
  <c r="AH61" i="1" s="1"/>
  <c r="AB53" i="1"/>
  <c r="AG53" i="1" s="1"/>
  <c r="AH53" i="1" s="1"/>
  <c r="AB37" i="1"/>
  <c r="AG37" i="1" s="1"/>
  <c r="AH37" i="1" s="1"/>
  <c r="AB29" i="1"/>
  <c r="AG29" i="1" s="1"/>
  <c r="AH29" i="1" s="1"/>
  <c r="AB13" i="1"/>
  <c r="AB511" i="1"/>
  <c r="AG511" i="1" s="1"/>
  <c r="AH511" i="1" s="1"/>
  <c r="AB503" i="1"/>
  <c r="AG503" i="1" s="1"/>
  <c r="AH503" i="1" s="1"/>
  <c r="AB487" i="1"/>
  <c r="AG487" i="1" s="1"/>
  <c r="AH487" i="1" s="1"/>
  <c r="AB479" i="1"/>
  <c r="AG479" i="1" s="1"/>
  <c r="AB471" i="1"/>
  <c r="AG471" i="1" s="1"/>
  <c r="AH471" i="1" s="1"/>
  <c r="AB463" i="1"/>
  <c r="AG463" i="1" s="1"/>
  <c r="AH463" i="1" s="1"/>
  <c r="AB455" i="1"/>
  <c r="AG455" i="1" s="1"/>
  <c r="AH455" i="1" s="1"/>
  <c r="AB447" i="1"/>
  <c r="AG447" i="1" s="1"/>
  <c r="AH447" i="1" s="1"/>
  <c r="AB431" i="1"/>
  <c r="AG431" i="1" s="1"/>
  <c r="AH431" i="1" s="1"/>
  <c r="AB423" i="1"/>
  <c r="AG423" i="1" s="1"/>
  <c r="AH423" i="1" s="1"/>
  <c r="AB415" i="1"/>
  <c r="AG415" i="1" s="1"/>
  <c r="AH415" i="1" s="1"/>
  <c r="AB407" i="1"/>
  <c r="AG407" i="1" s="1"/>
  <c r="AH407" i="1" s="1"/>
  <c r="AB399" i="1"/>
  <c r="AG399" i="1" s="1"/>
  <c r="AH399" i="1" s="1"/>
  <c r="AB391" i="1"/>
  <c r="AG391" i="1" s="1"/>
  <c r="AH391" i="1" s="1"/>
  <c r="AB383" i="1"/>
  <c r="AG383" i="1" s="1"/>
  <c r="AH383" i="1" s="1"/>
  <c r="AB367" i="1"/>
  <c r="AG367" i="1" s="1"/>
  <c r="AH367" i="1" s="1"/>
  <c r="AB359" i="1"/>
  <c r="AG359" i="1" s="1"/>
  <c r="AH359" i="1" s="1"/>
  <c r="AB335" i="1"/>
  <c r="AG335" i="1" s="1"/>
  <c r="AH335" i="1" s="1"/>
  <c r="AB327" i="1"/>
  <c r="AG327" i="1" s="1"/>
  <c r="AH327" i="1" s="1"/>
  <c r="AB311" i="1"/>
  <c r="AG311" i="1" s="1"/>
  <c r="AH311" i="1" s="1"/>
  <c r="AB295" i="1"/>
  <c r="AG295" i="1" s="1"/>
  <c r="AH295" i="1" s="1"/>
  <c r="AB287" i="1"/>
  <c r="AG287" i="1" s="1"/>
  <c r="AH287" i="1" s="1"/>
  <c r="AB279" i="1"/>
  <c r="AG279" i="1" s="1"/>
  <c r="AH279" i="1" s="1"/>
  <c r="AB263" i="1"/>
  <c r="AG263" i="1" s="1"/>
  <c r="AH263" i="1" s="1"/>
  <c r="AB255" i="1"/>
  <c r="AG255" i="1" s="1"/>
  <c r="AH255" i="1" s="1"/>
  <c r="AB239" i="1"/>
  <c r="AG239" i="1" s="1"/>
  <c r="AH239" i="1" s="1"/>
  <c r="AB206" i="1"/>
  <c r="AG206" i="1" s="1"/>
  <c r="AH206" i="1" s="1"/>
  <c r="AB198" i="1"/>
  <c r="AG198" i="1" s="1"/>
  <c r="AH198" i="1" s="1"/>
  <c r="AB190" i="1"/>
  <c r="AG190" i="1" s="1"/>
  <c r="AH190" i="1" s="1"/>
  <c r="AB181" i="1"/>
  <c r="AG181" i="1" s="1"/>
  <c r="AH181" i="1" s="1"/>
  <c r="AB173" i="1"/>
  <c r="AG173" i="1" s="1"/>
  <c r="AH173" i="1" s="1"/>
  <c r="AB157" i="1"/>
  <c r="AG157" i="1" s="1"/>
  <c r="AH157" i="1" s="1"/>
  <c r="AB141" i="1"/>
  <c r="AG141" i="1" s="1"/>
  <c r="AH141" i="1" s="1"/>
  <c r="AB133" i="1"/>
  <c r="AG133" i="1" s="1"/>
  <c r="AH133" i="1" s="1"/>
  <c r="AB125" i="1"/>
  <c r="AG125" i="1" s="1"/>
  <c r="AH125" i="1" s="1"/>
  <c r="AB117" i="1"/>
  <c r="AG117" i="1" s="1"/>
  <c r="AH117" i="1" s="1"/>
  <c r="AB100" i="1"/>
  <c r="AG100" i="1" s="1"/>
  <c r="AH100" i="1" s="1"/>
  <c r="AB92" i="1"/>
  <c r="AG92" i="1" s="1"/>
  <c r="AH92" i="1" s="1"/>
  <c r="AB76" i="1"/>
  <c r="AG76" i="1" s="1"/>
  <c r="AH76" i="1" s="1"/>
  <c r="AB44" i="1"/>
  <c r="AG44" i="1" s="1"/>
  <c r="AH44" i="1" s="1"/>
  <c r="AB36" i="1"/>
  <c r="AG36" i="1" s="1"/>
  <c r="AH36" i="1" s="1"/>
  <c r="AB28" i="1"/>
  <c r="AG28" i="1" s="1"/>
  <c r="AH28" i="1" s="1"/>
  <c r="AB20" i="1"/>
  <c r="AB12" i="1"/>
  <c r="AB518" i="1"/>
  <c r="AG518" i="1" s="1"/>
  <c r="AH518" i="1" s="1"/>
  <c r="AB502" i="1"/>
  <c r="AG502" i="1" s="1"/>
  <c r="AH502" i="1" s="1"/>
  <c r="AB494" i="1"/>
  <c r="AG494" i="1" s="1"/>
  <c r="AH494" i="1" s="1"/>
  <c r="AB470" i="1"/>
  <c r="AG470" i="1" s="1"/>
  <c r="AH470" i="1" s="1"/>
  <c r="AB462" i="1"/>
  <c r="AG462" i="1" s="1"/>
  <c r="AH462" i="1" s="1"/>
  <c r="AB454" i="1"/>
  <c r="AG454" i="1" s="1"/>
  <c r="AH454" i="1" s="1"/>
  <c r="AB430" i="1"/>
  <c r="AG430" i="1" s="1"/>
  <c r="AH430" i="1" s="1"/>
  <c r="AB422" i="1"/>
  <c r="AG422" i="1" s="1"/>
  <c r="AH422" i="1" s="1"/>
  <c r="AB398" i="1"/>
  <c r="AG398" i="1" s="1"/>
  <c r="AH398" i="1" s="1"/>
  <c r="AB390" i="1"/>
  <c r="AG390" i="1" s="1"/>
  <c r="AH390" i="1" s="1"/>
  <c r="AB374" i="1"/>
  <c r="AG374" i="1" s="1"/>
  <c r="AH374" i="1" s="1"/>
  <c r="AB350" i="1"/>
  <c r="AB342" i="1"/>
  <c r="AG342" i="1" s="1"/>
  <c r="AH342" i="1" s="1"/>
  <c r="AB334" i="1"/>
  <c r="AG334" i="1" s="1"/>
  <c r="AH334" i="1" s="1"/>
  <c r="AB318" i="1"/>
  <c r="AG318" i="1" s="1"/>
  <c r="AH318" i="1" s="1"/>
  <c r="AB310" i="1"/>
  <c r="AG310" i="1" s="1"/>
  <c r="AH310" i="1" s="1"/>
  <c r="AB302" i="1"/>
  <c r="AG302" i="1" s="1"/>
  <c r="AH302" i="1" s="1"/>
  <c r="AB278" i="1"/>
  <c r="AG278" i="1" s="1"/>
  <c r="AH278" i="1" s="1"/>
  <c r="AB270" i="1"/>
  <c r="AG270" i="1" s="1"/>
  <c r="AH270" i="1" s="1"/>
  <c r="AB262" i="1"/>
  <c r="AG262" i="1" s="1"/>
  <c r="AH262" i="1" s="1"/>
  <c r="AB254" i="1"/>
  <c r="AG254" i="1" s="1"/>
  <c r="AH254" i="1" s="1"/>
  <c r="AB238" i="1"/>
  <c r="AG238" i="1" s="1"/>
  <c r="AH238" i="1" s="1"/>
  <c r="AB230" i="1"/>
  <c r="AG230" i="1" s="1"/>
  <c r="AH230" i="1" s="1"/>
  <c r="AB221" i="1"/>
  <c r="AG221" i="1" s="1"/>
  <c r="AH221" i="1" s="1"/>
  <c r="AB213" i="1"/>
  <c r="AG213" i="1" s="1"/>
  <c r="AH213" i="1" s="1"/>
  <c r="AB197" i="1"/>
  <c r="AG197" i="1" s="1"/>
  <c r="AH197" i="1" s="1"/>
  <c r="AB180" i="1"/>
  <c r="AG180" i="1" s="1"/>
  <c r="AH180" i="1" s="1"/>
  <c r="AB172" i="1"/>
  <c r="AG172" i="1" s="1"/>
  <c r="AH172" i="1" s="1"/>
  <c r="AB156" i="1"/>
  <c r="AG156" i="1" s="1"/>
  <c r="AH156" i="1" s="1"/>
  <c r="AB148" i="1"/>
  <c r="AG148" i="1" s="1"/>
  <c r="AH148" i="1" s="1"/>
  <c r="AB132" i="1"/>
  <c r="AG132" i="1" s="1"/>
  <c r="AH132" i="1" s="1"/>
  <c r="AB124" i="1"/>
  <c r="AG124" i="1" s="1"/>
  <c r="AH124" i="1" s="1"/>
  <c r="AB116" i="1"/>
  <c r="AG116" i="1" s="1"/>
  <c r="AH116" i="1" s="1"/>
  <c r="AB108" i="1"/>
  <c r="AG108" i="1" s="1"/>
  <c r="AH108" i="1" s="1"/>
  <c r="AB99" i="1"/>
  <c r="AG99" i="1" s="1"/>
  <c r="AH99" i="1" s="1"/>
  <c r="AB91" i="1"/>
  <c r="AG91" i="1" s="1"/>
  <c r="AH91" i="1" s="1"/>
  <c r="AB83" i="1"/>
  <c r="AG83" i="1" s="1"/>
  <c r="AH83" i="1" s="1"/>
  <c r="AB75" i="1"/>
  <c r="AG75" i="1" s="1"/>
  <c r="AH75" i="1" s="1"/>
  <c r="AB67" i="1"/>
  <c r="AG67" i="1" s="1"/>
  <c r="AH67" i="1" s="1"/>
  <c r="AB43" i="1"/>
  <c r="AG43" i="1" s="1"/>
  <c r="AH43" i="1" s="1"/>
  <c r="AB35" i="1"/>
  <c r="AG35" i="1" s="1"/>
  <c r="AH35" i="1" s="1"/>
  <c r="AB27" i="1"/>
  <c r="AG27" i="1" s="1"/>
  <c r="AH27" i="1" s="1"/>
  <c r="AB10" i="1"/>
  <c r="AB9" i="4" s="1"/>
  <c r="AB517" i="1"/>
  <c r="AG517" i="1" s="1"/>
  <c r="AH517" i="1" s="1"/>
  <c r="AB501" i="1"/>
  <c r="AG501" i="1" s="1"/>
  <c r="AH501" i="1" s="1"/>
  <c r="AB493" i="1"/>
  <c r="AG493" i="1" s="1"/>
  <c r="AH493" i="1" s="1"/>
  <c r="AB485" i="1"/>
  <c r="AG485" i="1" s="1"/>
  <c r="AH485" i="1" s="1"/>
  <c r="AB477" i="1"/>
  <c r="AG477" i="1" s="1"/>
  <c r="AH477" i="1" s="1"/>
  <c r="AB469" i="1"/>
  <c r="AG469" i="1" s="1"/>
  <c r="AH469" i="1" s="1"/>
  <c r="AB453" i="1"/>
  <c r="AG453" i="1" s="1"/>
  <c r="AH453" i="1" s="1"/>
  <c r="AB445" i="1"/>
  <c r="AG445" i="1" s="1"/>
  <c r="AH445" i="1" s="1"/>
  <c r="AB429" i="1"/>
  <c r="AG429" i="1" s="1"/>
  <c r="AH429" i="1" s="1"/>
  <c r="AB421" i="1"/>
  <c r="AG421" i="1" s="1"/>
  <c r="AH421" i="1" s="1"/>
  <c r="AB413" i="1"/>
  <c r="AG413" i="1" s="1"/>
  <c r="AH413" i="1" s="1"/>
  <c r="AB405" i="1"/>
  <c r="AG405" i="1" s="1"/>
  <c r="AH405" i="1" s="1"/>
  <c r="AB397" i="1"/>
  <c r="AG397" i="1" s="1"/>
  <c r="AH397" i="1" s="1"/>
  <c r="AB381" i="1"/>
  <c r="AG381" i="1" s="1"/>
  <c r="AH381" i="1" s="1"/>
  <c r="AB373" i="1"/>
  <c r="AG373" i="1" s="1"/>
  <c r="AH373" i="1" s="1"/>
  <c r="AB365" i="1"/>
  <c r="AG365" i="1" s="1"/>
  <c r="AH365" i="1" s="1"/>
  <c r="AB349" i="1"/>
  <c r="AG349" i="1" s="1"/>
  <c r="AH349" i="1" s="1"/>
  <c r="AB341" i="1"/>
  <c r="AG341" i="1" s="1"/>
  <c r="AH341" i="1" s="1"/>
  <c r="AB333" i="1"/>
  <c r="AG333" i="1" s="1"/>
  <c r="AH333" i="1" s="1"/>
  <c r="AB325" i="1"/>
  <c r="AG325" i="1" s="1"/>
  <c r="AH325" i="1" s="1"/>
  <c r="AB285" i="1"/>
  <c r="AG285" i="1" s="1"/>
  <c r="AH285" i="1" s="1"/>
  <c r="AB277" i="1"/>
  <c r="AG277" i="1" s="1"/>
  <c r="AH277" i="1" s="1"/>
  <c r="AB269" i="1"/>
  <c r="AG269" i="1" s="1"/>
  <c r="AH269" i="1" s="1"/>
  <c r="AB245" i="1"/>
  <c r="AG245" i="1" s="1"/>
  <c r="AH245" i="1" s="1"/>
  <c r="AB237" i="1"/>
  <c r="AG237" i="1" s="1"/>
  <c r="AH237" i="1" s="1"/>
  <c r="AB229" i="1"/>
  <c r="AG229" i="1" s="1"/>
  <c r="AH229" i="1" s="1"/>
  <c r="AB220" i="1"/>
  <c r="AG220" i="1" s="1"/>
  <c r="AH220" i="1" s="1"/>
  <c r="AB204" i="1"/>
  <c r="AG204" i="1" s="1"/>
  <c r="AH204" i="1" s="1"/>
  <c r="AB188" i="1"/>
  <c r="AG188" i="1" s="1"/>
  <c r="AH188" i="1" s="1"/>
  <c r="AB179" i="1"/>
  <c r="AG179" i="1" s="1"/>
  <c r="AH179" i="1" s="1"/>
  <c r="AB171" i="1"/>
  <c r="AG171" i="1" s="1"/>
  <c r="AH171" i="1" s="1"/>
  <c r="AB163" i="1"/>
  <c r="AG163" i="1" s="1"/>
  <c r="AH163" i="1" s="1"/>
  <c r="AB147" i="1"/>
  <c r="AG147" i="1" s="1"/>
  <c r="AH147" i="1" s="1"/>
  <c r="AB115" i="1"/>
  <c r="AG115" i="1" s="1"/>
  <c r="AH115" i="1" s="1"/>
  <c r="AB107" i="1"/>
  <c r="AG107" i="1" s="1"/>
  <c r="AH107" i="1" s="1"/>
  <c r="AB82" i="1"/>
  <c r="AG82" i="1" s="1"/>
  <c r="AH82" i="1" s="1"/>
  <c r="AB74" i="1"/>
  <c r="AG74" i="1" s="1"/>
  <c r="AH74" i="1" s="1"/>
  <c r="AB50" i="1"/>
  <c r="AG50" i="1" s="1"/>
  <c r="AH50" i="1" s="1"/>
  <c r="AB42" i="1"/>
  <c r="AG42" i="1" s="1"/>
  <c r="AH42" i="1" s="1"/>
  <c r="AB34" i="1"/>
  <c r="AG34" i="1" s="1"/>
  <c r="AH34" i="1" s="1"/>
  <c r="AB26" i="1"/>
  <c r="AG26" i="1" s="1"/>
  <c r="AH26" i="1" s="1"/>
  <c r="AB18" i="1"/>
  <c r="AB17" i="4" s="1"/>
  <c r="AB9" i="1"/>
  <c r="AB4" i="1"/>
  <c r="AB516" i="1"/>
  <c r="AG516" i="1" s="1"/>
  <c r="AH516" i="1" s="1"/>
  <c r="AB508" i="1"/>
  <c r="AG508" i="1" s="1"/>
  <c r="AH508" i="1" s="1"/>
  <c r="AB500" i="1"/>
  <c r="AG500" i="1" s="1"/>
  <c r="AH500" i="1" s="1"/>
  <c r="AB476" i="1"/>
  <c r="AG476" i="1" s="1"/>
  <c r="AH476" i="1" s="1"/>
  <c r="AB468" i="1"/>
  <c r="AG468" i="1" s="1"/>
  <c r="AH468" i="1" s="1"/>
  <c r="AB444" i="1"/>
  <c r="AG444" i="1" s="1"/>
  <c r="AH444" i="1" s="1"/>
  <c r="AB428" i="1"/>
  <c r="AG428" i="1" s="1"/>
  <c r="AH428" i="1" s="1"/>
  <c r="AB420" i="1"/>
  <c r="AG420" i="1" s="1"/>
  <c r="AH420" i="1" s="1"/>
  <c r="AB404" i="1"/>
  <c r="AG404" i="1" s="1"/>
  <c r="AH404" i="1" s="1"/>
  <c r="AB388" i="1"/>
  <c r="AG388" i="1" s="1"/>
  <c r="AH388" i="1" s="1"/>
  <c r="AB380" i="1"/>
  <c r="AA11" i="5" s="1"/>
  <c r="AB364" i="1"/>
  <c r="AG364" i="1" s="1"/>
  <c r="AH364" i="1" s="1"/>
  <c r="AB356" i="1"/>
  <c r="AG356" i="1" s="1"/>
  <c r="AH356" i="1" s="1"/>
  <c r="AB348" i="1"/>
  <c r="AG348" i="1" s="1"/>
  <c r="AH348" i="1" s="1"/>
  <c r="AB340" i="1"/>
  <c r="AG340" i="1" s="1"/>
  <c r="AH340" i="1" s="1"/>
  <c r="AB332" i="1"/>
  <c r="AG332" i="1" s="1"/>
  <c r="AH332" i="1" s="1"/>
  <c r="AB324" i="1"/>
  <c r="AG324" i="1" s="1"/>
  <c r="AH324" i="1" s="1"/>
  <c r="AB316" i="1"/>
  <c r="AG316" i="1" s="1"/>
  <c r="AH316" i="1" s="1"/>
  <c r="AB300" i="1"/>
  <c r="AB292" i="1"/>
  <c r="AG292" i="1" s="1"/>
  <c r="AH292" i="1" s="1"/>
  <c r="AB276" i="1"/>
  <c r="AG276" i="1" s="1"/>
  <c r="AH276" i="1" s="1"/>
  <c r="AB268" i="1"/>
  <c r="AG268" i="1" s="1"/>
  <c r="AH268" i="1" s="1"/>
  <c r="AB252" i="1"/>
  <c r="AG252" i="1" s="1"/>
  <c r="AH252" i="1" s="1"/>
  <c r="AB236" i="1"/>
  <c r="AG236" i="1" s="1"/>
  <c r="AH236" i="1" s="1"/>
  <c r="AB228" i="1"/>
  <c r="AG228" i="1" s="1"/>
  <c r="AH228" i="1" s="1"/>
  <c r="AB203" i="1"/>
  <c r="AG203" i="1" s="1"/>
  <c r="AH203" i="1" s="1"/>
  <c r="AB195" i="1"/>
  <c r="AG195" i="1" s="1"/>
  <c r="AH195" i="1" s="1"/>
  <c r="AB178" i="1"/>
  <c r="AG178" i="1" s="1"/>
  <c r="AH178" i="1" s="1"/>
  <c r="AB170" i="1"/>
  <c r="AG170" i="1" s="1"/>
  <c r="AH170" i="1" s="1"/>
  <c r="AB146" i="1"/>
  <c r="AG146" i="1" s="1"/>
  <c r="AH146" i="1" s="1"/>
  <c r="AB138" i="1"/>
  <c r="AG138" i="1" s="1"/>
  <c r="AH138" i="1" s="1"/>
  <c r="AB130" i="1"/>
  <c r="AG130" i="1" s="1"/>
  <c r="AH130" i="1" s="1"/>
  <c r="AB122" i="1"/>
  <c r="AG122" i="1" s="1"/>
  <c r="AH122" i="1" s="1"/>
  <c r="AB114" i="1"/>
  <c r="AG114" i="1" s="1"/>
  <c r="AH114" i="1" s="1"/>
  <c r="AB105" i="1"/>
  <c r="AG105" i="1" s="1"/>
  <c r="AH105" i="1" s="1"/>
  <c r="AB81" i="1"/>
  <c r="AG81" i="1" s="1"/>
  <c r="AH81" i="1" s="1"/>
  <c r="AB73" i="1"/>
  <c r="AG73" i="1" s="1"/>
  <c r="AH73" i="1" s="1"/>
  <c r="AB65" i="1"/>
  <c r="AG65" i="1" s="1"/>
  <c r="AH65" i="1" s="1"/>
  <c r="AB33" i="1"/>
  <c r="AG33" i="1" s="1"/>
  <c r="AH33" i="1" s="1"/>
  <c r="AB17" i="1"/>
  <c r="AB8" i="1"/>
  <c r="AB7" i="4" s="1"/>
  <c r="AB515" i="1"/>
  <c r="AG515" i="1" s="1"/>
  <c r="AH515" i="1" s="1"/>
  <c r="AB507" i="1"/>
  <c r="AG507" i="1" s="1"/>
  <c r="AH507" i="1" s="1"/>
  <c r="AB499" i="1"/>
  <c r="AG499" i="1" s="1"/>
  <c r="AH499" i="1" s="1"/>
  <c r="AB491" i="1"/>
  <c r="AG491" i="1" s="1"/>
  <c r="AH491" i="1" s="1"/>
  <c r="AB483" i="1"/>
  <c r="AG483" i="1" s="1"/>
  <c r="AH483" i="1" s="1"/>
  <c r="AB467" i="1"/>
  <c r="AG467" i="1" s="1"/>
  <c r="AH467" i="1" s="1"/>
  <c r="AB451" i="1"/>
  <c r="AG451" i="1" s="1"/>
  <c r="AH451" i="1" s="1"/>
  <c r="AB443" i="1"/>
  <c r="AG443" i="1" s="1"/>
  <c r="AH443" i="1" s="1"/>
  <c r="AB427" i="1"/>
  <c r="AG427" i="1" s="1"/>
  <c r="AH427" i="1" s="1"/>
  <c r="AB419" i="1"/>
  <c r="AG419" i="1" s="1"/>
  <c r="AH419" i="1" s="1"/>
  <c r="AB411" i="1"/>
  <c r="AG411" i="1" s="1"/>
  <c r="AH411" i="1" s="1"/>
  <c r="AB403" i="1"/>
  <c r="AG403" i="1" s="1"/>
  <c r="AH403" i="1" s="1"/>
  <c r="AB395" i="1"/>
  <c r="AG395" i="1" s="1"/>
  <c r="AH395" i="1" s="1"/>
  <c r="AB371" i="1"/>
  <c r="AG371" i="1" s="1"/>
  <c r="AH371" i="1" s="1"/>
  <c r="AB355" i="1"/>
  <c r="AG355" i="1" s="1"/>
  <c r="AH355" i="1" s="1"/>
  <c r="AB347" i="1"/>
  <c r="AG347" i="1" s="1"/>
  <c r="AH347" i="1" s="1"/>
  <c r="AB339" i="1"/>
  <c r="AG339" i="1" s="1"/>
  <c r="AH339" i="1" s="1"/>
  <c r="AB331" i="1"/>
  <c r="AG331" i="1" s="1"/>
  <c r="AH331" i="1" s="1"/>
  <c r="AB315" i="1"/>
  <c r="AG315" i="1" s="1"/>
  <c r="AH315" i="1" s="1"/>
  <c r="AB307" i="1"/>
  <c r="AG307" i="1" s="1"/>
  <c r="AH307" i="1" s="1"/>
  <c r="AB291" i="1"/>
  <c r="AG291" i="1" s="1"/>
  <c r="AH291" i="1" s="1"/>
  <c r="AB283" i="1"/>
  <c r="AG283" i="1" s="1"/>
  <c r="AH283" i="1" s="1"/>
  <c r="AB267" i="1"/>
  <c r="AG267" i="1" s="1"/>
  <c r="AH267" i="1" s="1"/>
  <c r="AB259" i="1"/>
  <c r="AG259" i="1" s="1"/>
  <c r="AH259" i="1" s="1"/>
  <c r="AB243" i="1"/>
  <c r="AG243" i="1" s="1"/>
  <c r="AH243" i="1" s="1"/>
  <c r="AB235" i="1"/>
  <c r="AG235" i="1" s="1"/>
  <c r="AH235" i="1" s="1"/>
  <c r="AB218" i="1"/>
  <c r="AG218" i="1" s="1"/>
  <c r="AH218" i="1" s="1"/>
  <c r="AB202" i="1"/>
  <c r="AG202" i="1" s="1"/>
  <c r="AH202" i="1" s="1"/>
  <c r="AB169" i="1"/>
  <c r="AG169" i="1" s="1"/>
  <c r="AH169" i="1" s="1"/>
  <c r="AB161" i="1"/>
  <c r="AG161" i="1" s="1"/>
  <c r="AH161" i="1" s="1"/>
  <c r="AB145" i="1"/>
  <c r="AG145" i="1" s="1"/>
  <c r="AH145" i="1" s="1"/>
  <c r="AB137" i="1"/>
  <c r="AG137" i="1" s="1"/>
  <c r="AH137" i="1" s="1"/>
  <c r="AB113" i="1"/>
  <c r="AG113" i="1" s="1"/>
  <c r="AH113" i="1" s="1"/>
  <c r="AB96" i="1"/>
  <c r="AG96" i="1" s="1"/>
  <c r="AH96" i="1" s="1"/>
  <c r="AB88" i="1"/>
  <c r="AG88" i="1" s="1"/>
  <c r="AH88" i="1" s="1"/>
  <c r="AB80" i="1"/>
  <c r="AG80" i="1" s="1"/>
  <c r="AH80" i="1" s="1"/>
  <c r="AB56" i="1"/>
  <c r="AG56" i="1" s="1"/>
  <c r="AH56" i="1" s="1"/>
  <c r="AB40" i="1"/>
  <c r="AG40" i="1" s="1"/>
  <c r="AH40" i="1" s="1"/>
  <c r="AB24" i="1"/>
  <c r="AG24" i="1" s="1"/>
  <c r="AH24" i="1" s="1"/>
  <c r="AB16" i="1"/>
  <c r="AB7" i="1"/>
  <c r="AB514" i="1"/>
  <c r="AG514" i="1" s="1"/>
  <c r="AH514" i="1" s="1"/>
  <c r="AB506" i="1"/>
  <c r="AG506" i="1" s="1"/>
  <c r="AH506" i="1" s="1"/>
  <c r="AB498" i="1"/>
  <c r="AG498" i="1" s="1"/>
  <c r="AH498" i="1" s="1"/>
  <c r="AB474" i="1"/>
  <c r="AG474" i="1" s="1"/>
  <c r="AH474" i="1" s="1"/>
  <c r="AB466" i="1"/>
  <c r="AG466" i="1" s="1"/>
  <c r="AH466" i="1" s="1"/>
  <c r="AB458" i="1"/>
  <c r="AG458" i="1" s="1"/>
  <c r="AH458" i="1" s="1"/>
  <c r="AB450" i="1"/>
  <c r="AG450" i="1" s="1"/>
  <c r="AH450" i="1" s="1"/>
  <c r="AB426" i="1"/>
  <c r="AG426" i="1" s="1"/>
  <c r="AH426" i="1" s="1"/>
  <c r="AB418" i="1"/>
  <c r="AG418" i="1" s="1"/>
  <c r="AH418" i="1" s="1"/>
  <c r="AB410" i="1"/>
  <c r="AG410" i="1" s="1"/>
  <c r="AH410" i="1" s="1"/>
  <c r="AB402" i="1"/>
  <c r="AG402" i="1" s="1"/>
  <c r="AH402" i="1" s="1"/>
  <c r="AB394" i="1"/>
  <c r="AG394" i="1" s="1"/>
  <c r="AH394" i="1" s="1"/>
  <c r="AB370" i="1"/>
  <c r="AG370" i="1" s="1"/>
  <c r="AH370" i="1" s="1"/>
  <c r="AB354" i="1"/>
  <c r="AG354" i="1" s="1"/>
  <c r="AH354" i="1" s="1"/>
  <c r="AB346" i="1"/>
  <c r="AG346" i="1" s="1"/>
  <c r="AH346" i="1" s="1"/>
  <c r="AB338" i="1"/>
  <c r="AG338" i="1" s="1"/>
  <c r="AH338" i="1" s="1"/>
  <c r="AB322" i="1"/>
  <c r="AG322" i="1" s="1"/>
  <c r="AH322" i="1" s="1"/>
  <c r="AB298" i="1"/>
  <c r="AG298" i="1" s="1"/>
  <c r="AH298" i="1" s="1"/>
  <c r="AB282" i="1"/>
  <c r="AG282" i="1" s="1"/>
  <c r="AH282" i="1" s="1"/>
  <c r="AB274" i="1"/>
  <c r="AG274" i="1" s="1"/>
  <c r="AH274" i="1" s="1"/>
  <c r="AB266" i="1"/>
  <c r="AG266" i="1" s="1"/>
  <c r="AH266" i="1" s="1"/>
  <c r="AB250" i="1"/>
  <c r="AG250" i="1" s="1"/>
  <c r="AH250" i="1" s="1"/>
  <c r="AB242" i="1"/>
  <c r="AG242" i="1" s="1"/>
  <c r="AH242" i="1" s="1"/>
  <c r="AB209" i="1"/>
  <c r="AG209" i="1" s="1"/>
  <c r="AH209" i="1" s="1"/>
  <c r="AB201" i="1"/>
  <c r="AG201" i="1" s="1"/>
  <c r="AH201" i="1" s="1"/>
  <c r="AB193" i="1"/>
  <c r="AG193" i="1" s="1"/>
  <c r="AH193" i="1" s="1"/>
  <c r="AB184" i="1"/>
  <c r="AG184" i="1" s="1"/>
  <c r="AH184" i="1" s="1"/>
  <c r="AB176" i="1"/>
  <c r="AG176" i="1" s="1"/>
  <c r="AH176" i="1" s="1"/>
  <c r="AB168" i="1"/>
  <c r="AG168" i="1" s="1"/>
  <c r="AH168" i="1" s="1"/>
  <c r="AB160" i="1"/>
  <c r="AG160" i="1" s="1"/>
  <c r="AH160" i="1" s="1"/>
  <c r="AB152" i="1"/>
  <c r="AG152" i="1" s="1"/>
  <c r="AH152" i="1" s="1"/>
  <c r="AB128" i="1"/>
  <c r="AG128" i="1" s="1"/>
  <c r="AH128" i="1" s="1"/>
  <c r="AB112" i="1"/>
  <c r="AG112" i="1" s="1"/>
  <c r="AH112" i="1" s="1"/>
  <c r="AB103" i="1"/>
  <c r="AG103" i="1" s="1"/>
  <c r="AH103" i="1" s="1"/>
  <c r="AB95" i="1"/>
  <c r="AG95" i="1" s="1"/>
  <c r="AH95" i="1" s="1"/>
  <c r="AB87" i="1"/>
  <c r="AG87" i="1" s="1"/>
  <c r="AH87" i="1" s="1"/>
  <c r="AB71" i="1"/>
  <c r="AG71" i="1" s="1"/>
  <c r="AH71" i="1" s="1"/>
  <c r="AB55" i="1"/>
  <c r="AG55" i="1" s="1"/>
  <c r="AH55" i="1" s="1"/>
  <c r="AB47" i="1"/>
  <c r="AG47" i="1" s="1"/>
  <c r="AH47" i="1" s="1"/>
  <c r="AB39" i="1"/>
  <c r="AG39" i="1" s="1"/>
  <c r="AH39" i="1" s="1"/>
  <c r="AB23" i="1"/>
  <c r="AG23" i="1" s="1"/>
  <c r="AH23" i="1" s="1"/>
  <c r="AB15" i="1"/>
  <c r="N59" i="28"/>
  <c r="AB460" i="1" s="1"/>
  <c r="AG460" i="1" s="1"/>
  <c r="AH460" i="1" s="1"/>
  <c r="M169" i="28"/>
  <c r="N169" i="28" s="1"/>
  <c r="AB290" i="1" s="1"/>
  <c r="AG290" i="1" s="1"/>
  <c r="AH290" i="1" s="1"/>
  <c r="N89" i="28"/>
  <c r="M159" i="28"/>
  <c r="N159" i="28" s="1"/>
  <c r="M300" i="28"/>
  <c r="N300" i="28" s="1"/>
  <c r="AB446" i="1" s="1"/>
  <c r="AG446" i="1" s="1"/>
  <c r="AH446" i="1" s="1"/>
  <c r="M167" i="28"/>
  <c r="N167" i="28" s="1"/>
  <c r="AB492" i="1" s="1"/>
  <c r="AG492" i="1" s="1"/>
  <c r="AH492" i="1" s="1"/>
  <c r="M149" i="28"/>
  <c r="N149" i="28" s="1"/>
  <c r="M112" i="28"/>
  <c r="N112" i="28" s="1"/>
  <c r="M55" i="28"/>
  <c r="N55" i="28" s="1"/>
  <c r="M53" i="28"/>
  <c r="N53" i="28" s="1"/>
  <c r="N44" i="28"/>
  <c r="AB41" i="1" s="1"/>
  <c r="AG41" i="1" s="1"/>
  <c r="AH41" i="1" s="1"/>
  <c r="AC490" i="4" l="1"/>
  <c r="AC493" i="4" s="1"/>
  <c r="AC3" i="4" s="1"/>
  <c r="AC518" i="7"/>
  <c r="AC521" i="7" s="1"/>
  <c r="AC3" i="7" s="1"/>
  <c r="AB12" i="4"/>
  <c r="AG13" i="1"/>
  <c r="AH13" i="1" s="1"/>
  <c r="AB14" i="4"/>
  <c r="AG15" i="1"/>
  <c r="AH15" i="1" s="1"/>
  <c r="AB21" i="4"/>
  <c r="AG22" i="1"/>
  <c r="AH22" i="1" s="1"/>
  <c r="AB6" i="4"/>
  <c r="AG7" i="1"/>
  <c r="AH7" i="1" s="1"/>
  <c r="AB15" i="4"/>
  <c r="AG16" i="1"/>
  <c r="AH16" i="1" s="1"/>
  <c r="AB11" i="4"/>
  <c r="AG12" i="1"/>
  <c r="AH12" i="1" s="1"/>
  <c r="AG380" i="1"/>
  <c r="AH380" i="1" s="1"/>
  <c r="AG6" i="1"/>
  <c r="AH6" i="1" s="1"/>
  <c r="AB16" i="4"/>
  <c r="AG17" i="1"/>
  <c r="AH17" i="1" s="1"/>
  <c r="AB4" i="4"/>
  <c r="AG4" i="1"/>
  <c r="AB19" i="4"/>
  <c r="AG20" i="1"/>
  <c r="AH20" i="1" s="1"/>
  <c r="AB8" i="4"/>
  <c r="AG9" i="1"/>
  <c r="AH9" i="1" s="1"/>
  <c r="AG10" i="1"/>
  <c r="AH10" i="1" s="1"/>
  <c r="AG8" i="1"/>
  <c r="AH8" i="1" s="1"/>
  <c r="AG18" i="1"/>
  <c r="AH18" i="1" s="1"/>
  <c r="AC533" i="1"/>
  <c r="AC524" i="1"/>
  <c r="AB140" i="1"/>
  <c r="AG140" i="1" s="1"/>
  <c r="AH140" i="1" s="1"/>
  <c r="AB63" i="1"/>
  <c r="AG63" i="1" s="1"/>
  <c r="AH63" i="1" s="1"/>
  <c r="AB210" i="1"/>
  <c r="AG210" i="1" s="1"/>
  <c r="AH210" i="1" s="1"/>
  <c r="AB452" i="1"/>
  <c r="AG452" i="1" s="1"/>
  <c r="AH452" i="1" s="1"/>
  <c r="AB387" i="1"/>
  <c r="AG387" i="1" s="1"/>
  <c r="AH387" i="1" s="1"/>
  <c r="AB247" i="1"/>
  <c r="AG247" i="1" s="1"/>
  <c r="AH247" i="1" s="1"/>
  <c r="AB126" i="1"/>
  <c r="AG126" i="1" s="1"/>
  <c r="AH126" i="1" s="1"/>
  <c r="AB260" i="1"/>
  <c r="AG260" i="1" s="1"/>
  <c r="AH260" i="1" s="1"/>
  <c r="AB519" i="1"/>
  <c r="AG519" i="1" s="1"/>
  <c r="AH519" i="1" s="1"/>
  <c r="AB271" i="1"/>
  <c r="AG271" i="1" s="1"/>
  <c r="AH271" i="1" s="1"/>
  <c r="AA533" i="1"/>
  <c r="AA534" i="1"/>
  <c r="I23" i="25"/>
  <c r="H23" i="25"/>
  <c r="B467" i="1"/>
  <c r="B463" i="1"/>
  <c r="H21" i="25"/>
  <c r="I21" i="25"/>
  <c r="H256" i="27"/>
  <c r="R2" i="27"/>
  <c r="U2" i="27" s="1"/>
  <c r="R3" i="27"/>
  <c r="U3" i="27" s="1"/>
  <c r="S3" i="27"/>
  <c r="V3" i="27" s="1"/>
  <c r="T3" i="27"/>
  <c r="W3" i="27" s="1"/>
  <c r="R4" i="27"/>
  <c r="U4" i="27" s="1"/>
  <c r="S4" i="27"/>
  <c r="V4" i="27" s="1"/>
  <c r="T4" i="27"/>
  <c r="W4" i="27" s="1"/>
  <c r="R5" i="27"/>
  <c r="U5" i="27" s="1"/>
  <c r="S5" i="27"/>
  <c r="V5" i="27" s="1"/>
  <c r="T5" i="27"/>
  <c r="W5" i="27" s="1"/>
  <c r="R6" i="27"/>
  <c r="U6" i="27" s="1"/>
  <c r="S6" i="27"/>
  <c r="V6" i="27" s="1"/>
  <c r="T6" i="27"/>
  <c r="W6" i="27" s="1"/>
  <c r="R7" i="27"/>
  <c r="U7" i="27" s="1"/>
  <c r="S7" i="27"/>
  <c r="V7" i="27" s="1"/>
  <c r="T7" i="27"/>
  <c r="W7" i="27" s="1"/>
  <c r="R8" i="27"/>
  <c r="U8" i="27" s="1"/>
  <c r="S8" i="27"/>
  <c r="V8" i="27" s="1"/>
  <c r="T8" i="27"/>
  <c r="W8" i="27" s="1"/>
  <c r="R9" i="27"/>
  <c r="U9" i="27" s="1"/>
  <c r="S9" i="27"/>
  <c r="V9" i="27" s="1"/>
  <c r="T9" i="27"/>
  <c r="W9" i="27" s="1"/>
  <c r="R10" i="27"/>
  <c r="U10" i="27" s="1"/>
  <c r="S10" i="27"/>
  <c r="V10" i="27" s="1"/>
  <c r="T10" i="27"/>
  <c r="W10" i="27" s="1"/>
  <c r="R11" i="27"/>
  <c r="U11" i="27" s="1"/>
  <c r="S11" i="27"/>
  <c r="V11" i="27" s="1"/>
  <c r="T11" i="27"/>
  <c r="W11" i="27" s="1"/>
  <c r="R12" i="27"/>
  <c r="U12" i="27" s="1"/>
  <c r="S12" i="27"/>
  <c r="V12" i="27" s="1"/>
  <c r="T12" i="27"/>
  <c r="W12" i="27" s="1"/>
  <c r="R13" i="27"/>
  <c r="U13" i="27" s="1"/>
  <c r="S13" i="27"/>
  <c r="V13" i="27" s="1"/>
  <c r="T13" i="27"/>
  <c r="W13" i="27" s="1"/>
  <c r="R14" i="27"/>
  <c r="U14" i="27" s="1"/>
  <c r="S14" i="27"/>
  <c r="V14" i="27" s="1"/>
  <c r="T14" i="27"/>
  <c r="W14" i="27" s="1"/>
  <c r="R15" i="27"/>
  <c r="U15" i="27" s="1"/>
  <c r="S15" i="27"/>
  <c r="V15" i="27" s="1"/>
  <c r="T15" i="27"/>
  <c r="W15" i="27" s="1"/>
  <c r="R16" i="27"/>
  <c r="U16" i="27" s="1"/>
  <c r="S16" i="27"/>
  <c r="V16" i="27" s="1"/>
  <c r="T16" i="27"/>
  <c r="W16" i="27" s="1"/>
  <c r="R17" i="27"/>
  <c r="U17" i="27" s="1"/>
  <c r="S17" i="27"/>
  <c r="V17" i="27" s="1"/>
  <c r="T17" i="27"/>
  <c r="W17" i="27" s="1"/>
  <c r="R18" i="27"/>
  <c r="U18" i="27" s="1"/>
  <c r="S18" i="27"/>
  <c r="V18" i="27" s="1"/>
  <c r="T18" i="27"/>
  <c r="W18" i="27" s="1"/>
  <c r="R19" i="27"/>
  <c r="U19" i="27" s="1"/>
  <c r="S19" i="27"/>
  <c r="V19" i="27" s="1"/>
  <c r="T19" i="27"/>
  <c r="W19" i="27" s="1"/>
  <c r="R20" i="27"/>
  <c r="U20" i="27" s="1"/>
  <c r="S20" i="27"/>
  <c r="V20" i="27" s="1"/>
  <c r="T20" i="27"/>
  <c r="W20" i="27" s="1"/>
  <c r="R21" i="27"/>
  <c r="U21" i="27" s="1"/>
  <c r="S21" i="27"/>
  <c r="V21" i="27" s="1"/>
  <c r="T21" i="27"/>
  <c r="W21" i="27" s="1"/>
  <c r="R22" i="27"/>
  <c r="U22" i="27" s="1"/>
  <c r="S22" i="27"/>
  <c r="V22" i="27" s="1"/>
  <c r="T22" i="27"/>
  <c r="W22" i="27" s="1"/>
  <c r="R23" i="27"/>
  <c r="U23" i="27" s="1"/>
  <c r="S23" i="27"/>
  <c r="V23" i="27" s="1"/>
  <c r="T23" i="27"/>
  <c r="W23" i="27" s="1"/>
  <c r="R24" i="27"/>
  <c r="U24" i="27" s="1"/>
  <c r="S24" i="27"/>
  <c r="V24" i="27" s="1"/>
  <c r="T24" i="27"/>
  <c r="W24" i="27" s="1"/>
  <c r="R25" i="27"/>
  <c r="U25" i="27" s="1"/>
  <c r="S25" i="27"/>
  <c r="V25" i="27" s="1"/>
  <c r="T25" i="27"/>
  <c r="W25" i="27" s="1"/>
  <c r="R26" i="27"/>
  <c r="U26" i="27" s="1"/>
  <c r="S26" i="27"/>
  <c r="V26" i="27" s="1"/>
  <c r="T26" i="27"/>
  <c r="W26" i="27" s="1"/>
  <c r="R27" i="27"/>
  <c r="U27" i="27" s="1"/>
  <c r="S27" i="27"/>
  <c r="V27" i="27" s="1"/>
  <c r="T27" i="27"/>
  <c r="W27" i="27" s="1"/>
  <c r="R28" i="27"/>
  <c r="U28" i="27" s="1"/>
  <c r="S28" i="27"/>
  <c r="V28" i="27" s="1"/>
  <c r="T28" i="27"/>
  <c r="W28" i="27" s="1"/>
  <c r="R29" i="27"/>
  <c r="U29" i="27" s="1"/>
  <c r="S29" i="27"/>
  <c r="V29" i="27" s="1"/>
  <c r="T29" i="27"/>
  <c r="W29" i="27" s="1"/>
  <c r="R30" i="27"/>
  <c r="U30" i="27" s="1"/>
  <c r="S30" i="27"/>
  <c r="V30" i="27" s="1"/>
  <c r="T30" i="27"/>
  <c r="W30" i="27" s="1"/>
  <c r="R31" i="27"/>
  <c r="U31" i="27" s="1"/>
  <c r="S31" i="27"/>
  <c r="V31" i="27" s="1"/>
  <c r="T31" i="27"/>
  <c r="W31" i="27" s="1"/>
  <c r="R32" i="27"/>
  <c r="U32" i="27" s="1"/>
  <c r="S32" i="27"/>
  <c r="V32" i="27" s="1"/>
  <c r="T32" i="27"/>
  <c r="W32" i="27" s="1"/>
  <c r="R33" i="27"/>
  <c r="U33" i="27" s="1"/>
  <c r="S33" i="27"/>
  <c r="V33" i="27" s="1"/>
  <c r="T33" i="27"/>
  <c r="W33" i="27" s="1"/>
  <c r="R34" i="27"/>
  <c r="U34" i="27" s="1"/>
  <c r="S34" i="27"/>
  <c r="V34" i="27" s="1"/>
  <c r="T34" i="27"/>
  <c r="W34" i="27" s="1"/>
  <c r="R35" i="27"/>
  <c r="U35" i="27" s="1"/>
  <c r="S35" i="27"/>
  <c r="V35" i="27" s="1"/>
  <c r="T35" i="27"/>
  <c r="W35" i="27" s="1"/>
  <c r="R36" i="27"/>
  <c r="U36" i="27" s="1"/>
  <c r="S36" i="27"/>
  <c r="V36" i="27" s="1"/>
  <c r="T36" i="27"/>
  <c r="W36" i="27" s="1"/>
  <c r="R37" i="27"/>
  <c r="U37" i="27" s="1"/>
  <c r="S37" i="27"/>
  <c r="V37" i="27" s="1"/>
  <c r="T37" i="27"/>
  <c r="W37" i="27" s="1"/>
  <c r="R38" i="27"/>
  <c r="U38" i="27" s="1"/>
  <c r="S38" i="27"/>
  <c r="V38" i="27" s="1"/>
  <c r="T38" i="27"/>
  <c r="W38" i="27" s="1"/>
  <c r="R39" i="27"/>
  <c r="U39" i="27" s="1"/>
  <c r="S39" i="27"/>
  <c r="V39" i="27" s="1"/>
  <c r="T39" i="27"/>
  <c r="W39" i="27" s="1"/>
  <c r="R40" i="27"/>
  <c r="U40" i="27" s="1"/>
  <c r="S40" i="27"/>
  <c r="V40" i="27" s="1"/>
  <c r="T40" i="27"/>
  <c r="W40" i="27" s="1"/>
  <c r="R41" i="27"/>
  <c r="U41" i="27" s="1"/>
  <c r="S41" i="27"/>
  <c r="V41" i="27" s="1"/>
  <c r="T41" i="27"/>
  <c r="W41" i="27" s="1"/>
  <c r="R42" i="27"/>
  <c r="U42" i="27" s="1"/>
  <c r="S42" i="27"/>
  <c r="V42" i="27" s="1"/>
  <c r="T42" i="27"/>
  <c r="W42" i="27" s="1"/>
  <c r="R43" i="27"/>
  <c r="U43" i="27" s="1"/>
  <c r="S43" i="27"/>
  <c r="V43" i="27" s="1"/>
  <c r="T43" i="27"/>
  <c r="W43" i="27" s="1"/>
  <c r="R44" i="27"/>
  <c r="U44" i="27" s="1"/>
  <c r="S44" i="27"/>
  <c r="V44" i="27" s="1"/>
  <c r="T44" i="27"/>
  <c r="W44" i="27" s="1"/>
  <c r="R45" i="27"/>
  <c r="U45" i="27" s="1"/>
  <c r="S45" i="27"/>
  <c r="V45" i="27" s="1"/>
  <c r="T45" i="27"/>
  <c r="W45" i="27" s="1"/>
  <c r="R46" i="27"/>
  <c r="U46" i="27" s="1"/>
  <c r="S46" i="27"/>
  <c r="V46" i="27" s="1"/>
  <c r="T46" i="27"/>
  <c r="W46" i="27" s="1"/>
  <c r="R47" i="27"/>
  <c r="U47" i="27" s="1"/>
  <c r="S47" i="27"/>
  <c r="V47" i="27" s="1"/>
  <c r="T47" i="27"/>
  <c r="W47" i="27" s="1"/>
  <c r="R48" i="27"/>
  <c r="U48" i="27" s="1"/>
  <c r="S48" i="27"/>
  <c r="V48" i="27" s="1"/>
  <c r="T48" i="27"/>
  <c r="W48" i="27" s="1"/>
  <c r="R49" i="27"/>
  <c r="U49" i="27" s="1"/>
  <c r="S49" i="27"/>
  <c r="V49" i="27" s="1"/>
  <c r="T49" i="27"/>
  <c r="W49" i="27" s="1"/>
  <c r="R50" i="27"/>
  <c r="U50" i="27" s="1"/>
  <c r="S50" i="27"/>
  <c r="V50" i="27" s="1"/>
  <c r="T50" i="27"/>
  <c r="W50" i="27" s="1"/>
  <c r="R51" i="27"/>
  <c r="U51" i="27" s="1"/>
  <c r="S51" i="27"/>
  <c r="V51" i="27" s="1"/>
  <c r="T51" i="27"/>
  <c r="W51" i="27" s="1"/>
  <c r="R52" i="27"/>
  <c r="U52" i="27" s="1"/>
  <c r="S52" i="27"/>
  <c r="V52" i="27" s="1"/>
  <c r="T52" i="27"/>
  <c r="W52" i="27" s="1"/>
  <c r="R53" i="27"/>
  <c r="U53" i="27" s="1"/>
  <c r="S53" i="27"/>
  <c r="V53" i="27" s="1"/>
  <c r="T53" i="27"/>
  <c r="W53" i="27" s="1"/>
  <c r="R54" i="27"/>
  <c r="U54" i="27" s="1"/>
  <c r="S54" i="27"/>
  <c r="V54" i="27" s="1"/>
  <c r="T54" i="27"/>
  <c r="W54" i="27" s="1"/>
  <c r="R55" i="27"/>
  <c r="U55" i="27" s="1"/>
  <c r="S55" i="27"/>
  <c r="V55" i="27" s="1"/>
  <c r="T55" i="27"/>
  <c r="W55" i="27" s="1"/>
  <c r="R56" i="27"/>
  <c r="U56" i="27" s="1"/>
  <c r="S56" i="27"/>
  <c r="V56" i="27" s="1"/>
  <c r="T56" i="27"/>
  <c r="W56" i="27" s="1"/>
  <c r="R57" i="27"/>
  <c r="U57" i="27" s="1"/>
  <c r="S57" i="27"/>
  <c r="V57" i="27" s="1"/>
  <c r="T57" i="27"/>
  <c r="W57" i="27" s="1"/>
  <c r="R58" i="27"/>
  <c r="U58" i="27" s="1"/>
  <c r="S58" i="27"/>
  <c r="V58" i="27" s="1"/>
  <c r="T58" i="27"/>
  <c r="W58" i="27" s="1"/>
  <c r="R59" i="27"/>
  <c r="U59" i="27" s="1"/>
  <c r="S59" i="27"/>
  <c r="V59" i="27" s="1"/>
  <c r="T59" i="27"/>
  <c r="W59" i="27" s="1"/>
  <c r="R60" i="27"/>
  <c r="U60" i="27" s="1"/>
  <c r="S60" i="27"/>
  <c r="V60" i="27" s="1"/>
  <c r="T60" i="27"/>
  <c r="W60" i="27" s="1"/>
  <c r="R61" i="27"/>
  <c r="U61" i="27" s="1"/>
  <c r="S61" i="27"/>
  <c r="V61" i="27" s="1"/>
  <c r="T61" i="27"/>
  <c r="W61" i="27" s="1"/>
  <c r="R62" i="27"/>
  <c r="U62" i="27" s="1"/>
  <c r="S62" i="27"/>
  <c r="V62" i="27" s="1"/>
  <c r="T62" i="27"/>
  <c r="W62" i="27" s="1"/>
  <c r="R63" i="27"/>
  <c r="U63" i="27" s="1"/>
  <c r="S63" i="27"/>
  <c r="V63" i="27" s="1"/>
  <c r="T63" i="27"/>
  <c r="W63" i="27" s="1"/>
  <c r="R64" i="27"/>
  <c r="U64" i="27" s="1"/>
  <c r="S64" i="27"/>
  <c r="V64" i="27" s="1"/>
  <c r="T64" i="27"/>
  <c r="W64" i="27" s="1"/>
  <c r="R65" i="27"/>
  <c r="U65" i="27" s="1"/>
  <c r="S65" i="27"/>
  <c r="V65" i="27" s="1"/>
  <c r="T65" i="27"/>
  <c r="W65" i="27" s="1"/>
  <c r="R66" i="27"/>
  <c r="U66" i="27" s="1"/>
  <c r="S66" i="27"/>
  <c r="V66" i="27" s="1"/>
  <c r="T66" i="27"/>
  <c r="W66" i="27" s="1"/>
  <c r="R67" i="27"/>
  <c r="U67" i="27" s="1"/>
  <c r="S67" i="27"/>
  <c r="V67" i="27" s="1"/>
  <c r="T67" i="27"/>
  <c r="W67" i="27" s="1"/>
  <c r="R68" i="27"/>
  <c r="U68" i="27" s="1"/>
  <c r="S68" i="27"/>
  <c r="V68" i="27" s="1"/>
  <c r="T68" i="27"/>
  <c r="W68" i="27" s="1"/>
  <c r="R69" i="27"/>
  <c r="U69" i="27" s="1"/>
  <c r="S69" i="27"/>
  <c r="V69" i="27" s="1"/>
  <c r="T69" i="27"/>
  <c r="W69" i="27" s="1"/>
  <c r="R70" i="27"/>
  <c r="U70" i="27" s="1"/>
  <c r="S70" i="27"/>
  <c r="V70" i="27" s="1"/>
  <c r="T70" i="27"/>
  <c r="W70" i="27" s="1"/>
  <c r="R71" i="27"/>
  <c r="U71" i="27" s="1"/>
  <c r="S71" i="27"/>
  <c r="V71" i="27" s="1"/>
  <c r="T71" i="27"/>
  <c r="W71" i="27" s="1"/>
  <c r="R72" i="27"/>
  <c r="U72" i="27" s="1"/>
  <c r="S72" i="27"/>
  <c r="V72" i="27" s="1"/>
  <c r="T72" i="27"/>
  <c r="W72" i="27" s="1"/>
  <c r="R73" i="27"/>
  <c r="U73" i="27" s="1"/>
  <c r="S73" i="27"/>
  <c r="V73" i="27" s="1"/>
  <c r="T73" i="27"/>
  <c r="W73" i="27" s="1"/>
  <c r="R74" i="27"/>
  <c r="U74" i="27" s="1"/>
  <c r="S74" i="27"/>
  <c r="V74" i="27" s="1"/>
  <c r="T74" i="27"/>
  <c r="W74" i="27" s="1"/>
  <c r="R75" i="27"/>
  <c r="U75" i="27" s="1"/>
  <c r="S75" i="27"/>
  <c r="V75" i="27" s="1"/>
  <c r="T75" i="27"/>
  <c r="W75" i="27" s="1"/>
  <c r="R76" i="27"/>
  <c r="U76" i="27" s="1"/>
  <c r="S76" i="27"/>
  <c r="V76" i="27" s="1"/>
  <c r="T76" i="27"/>
  <c r="W76" i="27" s="1"/>
  <c r="R77" i="27"/>
  <c r="U77" i="27" s="1"/>
  <c r="S77" i="27"/>
  <c r="V77" i="27" s="1"/>
  <c r="T77" i="27"/>
  <c r="W77" i="27" s="1"/>
  <c r="R78" i="27"/>
  <c r="U78" i="27" s="1"/>
  <c r="S78" i="27"/>
  <c r="V78" i="27" s="1"/>
  <c r="T78" i="27"/>
  <c r="W78" i="27" s="1"/>
  <c r="R79" i="27"/>
  <c r="U79" i="27" s="1"/>
  <c r="S79" i="27"/>
  <c r="V79" i="27" s="1"/>
  <c r="T79" i="27"/>
  <c r="W79" i="27" s="1"/>
  <c r="R80" i="27"/>
  <c r="U80" i="27" s="1"/>
  <c r="S80" i="27"/>
  <c r="V80" i="27" s="1"/>
  <c r="T80" i="27"/>
  <c r="W80" i="27" s="1"/>
  <c r="R81" i="27"/>
  <c r="U81" i="27" s="1"/>
  <c r="S81" i="27"/>
  <c r="V81" i="27" s="1"/>
  <c r="T81" i="27"/>
  <c r="W81" i="27" s="1"/>
  <c r="R82" i="27"/>
  <c r="U82" i="27" s="1"/>
  <c r="S82" i="27"/>
  <c r="V82" i="27" s="1"/>
  <c r="T82" i="27"/>
  <c r="W82" i="27" s="1"/>
  <c r="R83" i="27"/>
  <c r="U83" i="27" s="1"/>
  <c r="S83" i="27"/>
  <c r="V83" i="27" s="1"/>
  <c r="T83" i="27"/>
  <c r="W83" i="27" s="1"/>
  <c r="R84" i="27"/>
  <c r="U84" i="27" s="1"/>
  <c r="S84" i="27"/>
  <c r="V84" i="27" s="1"/>
  <c r="T84" i="27"/>
  <c r="W84" i="27" s="1"/>
  <c r="R85" i="27"/>
  <c r="U85" i="27" s="1"/>
  <c r="S85" i="27"/>
  <c r="V85" i="27" s="1"/>
  <c r="T85" i="27"/>
  <c r="W85" i="27" s="1"/>
  <c r="R86" i="27"/>
  <c r="U86" i="27" s="1"/>
  <c r="S86" i="27"/>
  <c r="V86" i="27" s="1"/>
  <c r="T86" i="27"/>
  <c r="W86" i="27" s="1"/>
  <c r="R87" i="27"/>
  <c r="U87" i="27" s="1"/>
  <c r="S87" i="27"/>
  <c r="V87" i="27" s="1"/>
  <c r="T87" i="27"/>
  <c r="W87" i="27" s="1"/>
  <c r="R88" i="27"/>
  <c r="U88" i="27" s="1"/>
  <c r="S88" i="27"/>
  <c r="V88" i="27" s="1"/>
  <c r="T88" i="27"/>
  <c r="W88" i="27" s="1"/>
  <c r="R89" i="27"/>
  <c r="U89" i="27" s="1"/>
  <c r="S89" i="27"/>
  <c r="V89" i="27" s="1"/>
  <c r="T89" i="27"/>
  <c r="W89" i="27" s="1"/>
  <c r="R90" i="27"/>
  <c r="U90" i="27" s="1"/>
  <c r="S90" i="27"/>
  <c r="V90" i="27" s="1"/>
  <c r="T90" i="27"/>
  <c r="W90" i="27" s="1"/>
  <c r="R91" i="27"/>
  <c r="U91" i="27" s="1"/>
  <c r="S91" i="27"/>
  <c r="V91" i="27" s="1"/>
  <c r="T91" i="27"/>
  <c r="W91" i="27" s="1"/>
  <c r="R92" i="27"/>
  <c r="U92" i="27" s="1"/>
  <c r="S92" i="27"/>
  <c r="V92" i="27" s="1"/>
  <c r="T92" i="27"/>
  <c r="W92" i="27" s="1"/>
  <c r="R93" i="27"/>
  <c r="U93" i="27" s="1"/>
  <c r="S93" i="27"/>
  <c r="V93" i="27" s="1"/>
  <c r="T93" i="27"/>
  <c r="W93" i="27" s="1"/>
  <c r="R94" i="27"/>
  <c r="U94" i="27" s="1"/>
  <c r="S94" i="27"/>
  <c r="V94" i="27" s="1"/>
  <c r="T94" i="27"/>
  <c r="W94" i="27" s="1"/>
  <c r="R95" i="27"/>
  <c r="U95" i="27" s="1"/>
  <c r="S95" i="27"/>
  <c r="V95" i="27" s="1"/>
  <c r="T95" i="27"/>
  <c r="W95" i="27" s="1"/>
  <c r="R96" i="27"/>
  <c r="U96" i="27" s="1"/>
  <c r="S96" i="27"/>
  <c r="V96" i="27" s="1"/>
  <c r="T96" i="27"/>
  <c r="W96" i="27" s="1"/>
  <c r="R97" i="27"/>
  <c r="U97" i="27" s="1"/>
  <c r="S97" i="27"/>
  <c r="V97" i="27" s="1"/>
  <c r="T97" i="27"/>
  <c r="W97" i="27" s="1"/>
  <c r="R98" i="27"/>
  <c r="U98" i="27" s="1"/>
  <c r="S98" i="27"/>
  <c r="V98" i="27" s="1"/>
  <c r="T98" i="27"/>
  <c r="W98" i="27" s="1"/>
  <c r="R99" i="27"/>
  <c r="U99" i="27" s="1"/>
  <c r="S99" i="27"/>
  <c r="V99" i="27" s="1"/>
  <c r="T99" i="27"/>
  <c r="W99" i="27" s="1"/>
  <c r="R100" i="27"/>
  <c r="U100" i="27" s="1"/>
  <c r="S100" i="27"/>
  <c r="V100" i="27" s="1"/>
  <c r="T100" i="27"/>
  <c r="W100" i="27" s="1"/>
  <c r="R101" i="27"/>
  <c r="U101" i="27" s="1"/>
  <c r="S101" i="27"/>
  <c r="V101" i="27" s="1"/>
  <c r="T101" i="27"/>
  <c r="W101" i="27" s="1"/>
  <c r="R102" i="27"/>
  <c r="U102" i="27" s="1"/>
  <c r="S102" i="27"/>
  <c r="V102" i="27" s="1"/>
  <c r="T102" i="27"/>
  <c r="W102" i="27" s="1"/>
  <c r="R103" i="27"/>
  <c r="U103" i="27" s="1"/>
  <c r="S103" i="27"/>
  <c r="V103" i="27" s="1"/>
  <c r="T103" i="27"/>
  <c r="W103" i="27" s="1"/>
  <c r="R104" i="27"/>
  <c r="U104" i="27" s="1"/>
  <c r="S104" i="27"/>
  <c r="V104" i="27" s="1"/>
  <c r="T104" i="27"/>
  <c r="W104" i="27" s="1"/>
  <c r="R105" i="27"/>
  <c r="U105" i="27" s="1"/>
  <c r="S105" i="27"/>
  <c r="V105" i="27" s="1"/>
  <c r="T105" i="27"/>
  <c r="W105" i="27" s="1"/>
  <c r="R106" i="27"/>
  <c r="U106" i="27" s="1"/>
  <c r="S106" i="27"/>
  <c r="V106" i="27" s="1"/>
  <c r="T106" i="27"/>
  <c r="W106" i="27" s="1"/>
  <c r="R107" i="27"/>
  <c r="U107" i="27" s="1"/>
  <c r="S107" i="27"/>
  <c r="V107" i="27" s="1"/>
  <c r="T107" i="27"/>
  <c r="W107" i="27" s="1"/>
  <c r="R108" i="27"/>
  <c r="U108" i="27" s="1"/>
  <c r="S108" i="27"/>
  <c r="V108" i="27" s="1"/>
  <c r="T108" i="27"/>
  <c r="W108" i="27" s="1"/>
  <c r="R109" i="27"/>
  <c r="U109" i="27" s="1"/>
  <c r="S109" i="27"/>
  <c r="V109" i="27" s="1"/>
  <c r="T109" i="27"/>
  <c r="W109" i="27" s="1"/>
  <c r="R110" i="27"/>
  <c r="U110" i="27" s="1"/>
  <c r="S110" i="27"/>
  <c r="V110" i="27" s="1"/>
  <c r="T110" i="27"/>
  <c r="W110" i="27" s="1"/>
  <c r="R111" i="27"/>
  <c r="U111" i="27" s="1"/>
  <c r="S111" i="27"/>
  <c r="V111" i="27" s="1"/>
  <c r="T111" i="27"/>
  <c r="W111" i="27" s="1"/>
  <c r="R112" i="27"/>
  <c r="U112" i="27" s="1"/>
  <c r="S112" i="27"/>
  <c r="V112" i="27" s="1"/>
  <c r="T112" i="27"/>
  <c r="W112" i="27" s="1"/>
  <c r="R113" i="27"/>
  <c r="U113" i="27" s="1"/>
  <c r="S113" i="27"/>
  <c r="V113" i="27" s="1"/>
  <c r="T113" i="27"/>
  <c r="W113" i="27" s="1"/>
  <c r="R114" i="27"/>
  <c r="U114" i="27" s="1"/>
  <c r="S114" i="27"/>
  <c r="V114" i="27" s="1"/>
  <c r="T114" i="27"/>
  <c r="W114" i="27" s="1"/>
  <c r="R115" i="27"/>
  <c r="U115" i="27" s="1"/>
  <c r="S115" i="27"/>
  <c r="V115" i="27" s="1"/>
  <c r="T115" i="27"/>
  <c r="W115" i="27" s="1"/>
  <c r="R116" i="27"/>
  <c r="U116" i="27" s="1"/>
  <c r="S116" i="27"/>
  <c r="V116" i="27" s="1"/>
  <c r="T116" i="27"/>
  <c r="W116" i="27" s="1"/>
  <c r="R117" i="27"/>
  <c r="U117" i="27" s="1"/>
  <c r="S117" i="27"/>
  <c r="V117" i="27" s="1"/>
  <c r="T117" i="27"/>
  <c r="W117" i="27" s="1"/>
  <c r="R118" i="27"/>
  <c r="U118" i="27" s="1"/>
  <c r="S118" i="27"/>
  <c r="V118" i="27" s="1"/>
  <c r="T118" i="27"/>
  <c r="W118" i="27" s="1"/>
  <c r="R119" i="27"/>
  <c r="U119" i="27" s="1"/>
  <c r="S119" i="27"/>
  <c r="V119" i="27" s="1"/>
  <c r="T119" i="27"/>
  <c r="W119" i="27" s="1"/>
  <c r="R120" i="27"/>
  <c r="U120" i="27" s="1"/>
  <c r="S120" i="27"/>
  <c r="V120" i="27" s="1"/>
  <c r="T120" i="27"/>
  <c r="W120" i="27" s="1"/>
  <c r="R121" i="27"/>
  <c r="U121" i="27" s="1"/>
  <c r="S121" i="27"/>
  <c r="V121" i="27" s="1"/>
  <c r="T121" i="27"/>
  <c r="W121" i="27" s="1"/>
  <c r="R122" i="27"/>
  <c r="U122" i="27" s="1"/>
  <c r="S122" i="27"/>
  <c r="V122" i="27" s="1"/>
  <c r="T122" i="27"/>
  <c r="W122" i="27" s="1"/>
  <c r="R123" i="27"/>
  <c r="U123" i="27" s="1"/>
  <c r="S123" i="27"/>
  <c r="V123" i="27" s="1"/>
  <c r="T123" i="27"/>
  <c r="W123" i="27" s="1"/>
  <c r="R124" i="27"/>
  <c r="U124" i="27" s="1"/>
  <c r="S124" i="27"/>
  <c r="V124" i="27" s="1"/>
  <c r="T124" i="27"/>
  <c r="W124" i="27" s="1"/>
  <c r="R125" i="27"/>
  <c r="U125" i="27" s="1"/>
  <c r="S125" i="27"/>
  <c r="V125" i="27" s="1"/>
  <c r="T125" i="27"/>
  <c r="W125" i="27" s="1"/>
  <c r="R126" i="27"/>
  <c r="U126" i="27" s="1"/>
  <c r="S126" i="27"/>
  <c r="V126" i="27" s="1"/>
  <c r="T126" i="27"/>
  <c r="W126" i="27" s="1"/>
  <c r="R127" i="27"/>
  <c r="U127" i="27" s="1"/>
  <c r="S127" i="27"/>
  <c r="V127" i="27" s="1"/>
  <c r="T127" i="27"/>
  <c r="W127" i="27" s="1"/>
  <c r="R128" i="27"/>
  <c r="U128" i="27" s="1"/>
  <c r="S128" i="27"/>
  <c r="V128" i="27" s="1"/>
  <c r="T128" i="27"/>
  <c r="W128" i="27" s="1"/>
  <c r="R129" i="27"/>
  <c r="U129" i="27" s="1"/>
  <c r="S129" i="27"/>
  <c r="V129" i="27" s="1"/>
  <c r="T129" i="27"/>
  <c r="W129" i="27" s="1"/>
  <c r="R130" i="27"/>
  <c r="U130" i="27" s="1"/>
  <c r="S130" i="27"/>
  <c r="V130" i="27" s="1"/>
  <c r="T130" i="27"/>
  <c r="W130" i="27" s="1"/>
  <c r="R131" i="27"/>
  <c r="U131" i="27" s="1"/>
  <c r="S131" i="27"/>
  <c r="V131" i="27" s="1"/>
  <c r="T131" i="27"/>
  <c r="W131" i="27" s="1"/>
  <c r="R132" i="27"/>
  <c r="U132" i="27" s="1"/>
  <c r="S132" i="27"/>
  <c r="V132" i="27" s="1"/>
  <c r="T132" i="27"/>
  <c r="W132" i="27" s="1"/>
  <c r="R133" i="27"/>
  <c r="U133" i="27" s="1"/>
  <c r="S133" i="27"/>
  <c r="V133" i="27" s="1"/>
  <c r="T133" i="27"/>
  <c r="W133" i="27" s="1"/>
  <c r="R134" i="27"/>
  <c r="U134" i="27" s="1"/>
  <c r="S134" i="27"/>
  <c r="V134" i="27" s="1"/>
  <c r="T134" i="27"/>
  <c r="W134" i="27" s="1"/>
  <c r="R135" i="27"/>
  <c r="U135" i="27" s="1"/>
  <c r="S135" i="27"/>
  <c r="V135" i="27" s="1"/>
  <c r="T135" i="27"/>
  <c r="W135" i="27" s="1"/>
  <c r="R136" i="27"/>
  <c r="U136" i="27" s="1"/>
  <c r="S136" i="27"/>
  <c r="V136" i="27" s="1"/>
  <c r="T136" i="27"/>
  <c r="W136" i="27" s="1"/>
  <c r="R137" i="27"/>
  <c r="U137" i="27" s="1"/>
  <c r="S137" i="27"/>
  <c r="V137" i="27" s="1"/>
  <c r="T137" i="27"/>
  <c r="W137" i="27" s="1"/>
  <c r="R138" i="27"/>
  <c r="U138" i="27" s="1"/>
  <c r="S138" i="27"/>
  <c r="V138" i="27" s="1"/>
  <c r="T138" i="27"/>
  <c r="W138" i="27" s="1"/>
  <c r="R139" i="27"/>
  <c r="U139" i="27" s="1"/>
  <c r="S139" i="27"/>
  <c r="V139" i="27" s="1"/>
  <c r="T139" i="27"/>
  <c r="W139" i="27" s="1"/>
  <c r="R140" i="27"/>
  <c r="U140" i="27" s="1"/>
  <c r="S140" i="27"/>
  <c r="V140" i="27" s="1"/>
  <c r="T140" i="27"/>
  <c r="W140" i="27" s="1"/>
  <c r="R141" i="27"/>
  <c r="U141" i="27" s="1"/>
  <c r="S141" i="27"/>
  <c r="V141" i="27" s="1"/>
  <c r="T141" i="27"/>
  <c r="W141" i="27" s="1"/>
  <c r="R142" i="27"/>
  <c r="U142" i="27" s="1"/>
  <c r="S142" i="27"/>
  <c r="V142" i="27" s="1"/>
  <c r="T142" i="27"/>
  <c r="W142" i="27" s="1"/>
  <c r="R143" i="27"/>
  <c r="U143" i="27" s="1"/>
  <c r="S143" i="27"/>
  <c r="V143" i="27" s="1"/>
  <c r="T143" i="27"/>
  <c r="W143" i="27" s="1"/>
  <c r="R144" i="27"/>
  <c r="U144" i="27" s="1"/>
  <c r="S144" i="27"/>
  <c r="V144" i="27" s="1"/>
  <c r="T144" i="27"/>
  <c r="W144" i="27" s="1"/>
  <c r="R145" i="27"/>
  <c r="U145" i="27" s="1"/>
  <c r="S145" i="27"/>
  <c r="V145" i="27" s="1"/>
  <c r="T145" i="27"/>
  <c r="W145" i="27" s="1"/>
  <c r="R146" i="27"/>
  <c r="U146" i="27" s="1"/>
  <c r="S146" i="27"/>
  <c r="V146" i="27" s="1"/>
  <c r="T146" i="27"/>
  <c r="W146" i="27" s="1"/>
  <c r="R147" i="27"/>
  <c r="U147" i="27" s="1"/>
  <c r="S147" i="27"/>
  <c r="V147" i="27" s="1"/>
  <c r="T147" i="27"/>
  <c r="W147" i="27" s="1"/>
  <c r="R148" i="27"/>
  <c r="U148" i="27" s="1"/>
  <c r="S148" i="27"/>
  <c r="V148" i="27" s="1"/>
  <c r="T148" i="27"/>
  <c r="W148" i="27" s="1"/>
  <c r="R149" i="27"/>
  <c r="U149" i="27" s="1"/>
  <c r="S149" i="27"/>
  <c r="V149" i="27" s="1"/>
  <c r="T149" i="27"/>
  <c r="W149" i="27" s="1"/>
  <c r="R150" i="27"/>
  <c r="U150" i="27" s="1"/>
  <c r="S150" i="27"/>
  <c r="V150" i="27" s="1"/>
  <c r="T150" i="27"/>
  <c r="W150" i="27" s="1"/>
  <c r="R151" i="27"/>
  <c r="U151" i="27" s="1"/>
  <c r="S151" i="27"/>
  <c r="V151" i="27" s="1"/>
  <c r="T151" i="27"/>
  <c r="W151" i="27" s="1"/>
  <c r="R152" i="27"/>
  <c r="U152" i="27" s="1"/>
  <c r="S152" i="27"/>
  <c r="V152" i="27" s="1"/>
  <c r="T152" i="27"/>
  <c r="W152" i="27" s="1"/>
  <c r="R153" i="27"/>
  <c r="U153" i="27" s="1"/>
  <c r="S153" i="27"/>
  <c r="V153" i="27" s="1"/>
  <c r="T153" i="27"/>
  <c r="W153" i="27" s="1"/>
  <c r="R154" i="27"/>
  <c r="U154" i="27" s="1"/>
  <c r="S154" i="27"/>
  <c r="V154" i="27" s="1"/>
  <c r="T154" i="27"/>
  <c r="W154" i="27" s="1"/>
  <c r="R155" i="27"/>
  <c r="U155" i="27" s="1"/>
  <c r="S155" i="27"/>
  <c r="V155" i="27" s="1"/>
  <c r="T155" i="27"/>
  <c r="W155" i="27" s="1"/>
  <c r="R156" i="27"/>
  <c r="U156" i="27" s="1"/>
  <c r="S156" i="27"/>
  <c r="V156" i="27" s="1"/>
  <c r="T156" i="27"/>
  <c r="W156" i="27" s="1"/>
  <c r="R157" i="27"/>
  <c r="U157" i="27" s="1"/>
  <c r="S157" i="27"/>
  <c r="V157" i="27" s="1"/>
  <c r="T157" i="27"/>
  <c r="W157" i="27" s="1"/>
  <c r="R158" i="27"/>
  <c r="U158" i="27" s="1"/>
  <c r="S158" i="27"/>
  <c r="V158" i="27" s="1"/>
  <c r="T158" i="27"/>
  <c r="W158" i="27" s="1"/>
  <c r="R159" i="27"/>
  <c r="U159" i="27" s="1"/>
  <c r="S159" i="27"/>
  <c r="V159" i="27" s="1"/>
  <c r="T159" i="27"/>
  <c r="W159" i="27" s="1"/>
  <c r="R160" i="27"/>
  <c r="U160" i="27" s="1"/>
  <c r="S160" i="27"/>
  <c r="V160" i="27" s="1"/>
  <c r="T160" i="27"/>
  <c r="W160" i="27" s="1"/>
  <c r="R161" i="27"/>
  <c r="U161" i="27" s="1"/>
  <c r="S161" i="27"/>
  <c r="V161" i="27" s="1"/>
  <c r="T161" i="27"/>
  <c r="W161" i="27" s="1"/>
  <c r="R162" i="27"/>
  <c r="U162" i="27" s="1"/>
  <c r="S162" i="27"/>
  <c r="V162" i="27" s="1"/>
  <c r="T162" i="27"/>
  <c r="W162" i="27" s="1"/>
  <c r="R163" i="27"/>
  <c r="U163" i="27" s="1"/>
  <c r="S163" i="27"/>
  <c r="V163" i="27" s="1"/>
  <c r="T163" i="27"/>
  <c r="W163" i="27" s="1"/>
  <c r="R164" i="27"/>
  <c r="U164" i="27" s="1"/>
  <c r="S164" i="27"/>
  <c r="V164" i="27" s="1"/>
  <c r="T164" i="27"/>
  <c r="W164" i="27" s="1"/>
  <c r="R165" i="27"/>
  <c r="U165" i="27" s="1"/>
  <c r="S165" i="27"/>
  <c r="V165" i="27" s="1"/>
  <c r="T165" i="27"/>
  <c r="W165" i="27" s="1"/>
  <c r="R166" i="27"/>
  <c r="U166" i="27" s="1"/>
  <c r="S166" i="27"/>
  <c r="V166" i="27" s="1"/>
  <c r="T166" i="27"/>
  <c r="W166" i="27" s="1"/>
  <c r="R167" i="27"/>
  <c r="U167" i="27" s="1"/>
  <c r="S167" i="27"/>
  <c r="V167" i="27" s="1"/>
  <c r="T167" i="27"/>
  <c r="W167" i="27" s="1"/>
  <c r="R168" i="27"/>
  <c r="U168" i="27" s="1"/>
  <c r="S168" i="27"/>
  <c r="V168" i="27" s="1"/>
  <c r="T168" i="27"/>
  <c r="W168" i="27" s="1"/>
  <c r="R169" i="27"/>
  <c r="U169" i="27" s="1"/>
  <c r="S169" i="27"/>
  <c r="V169" i="27" s="1"/>
  <c r="T169" i="27"/>
  <c r="W169" i="27" s="1"/>
  <c r="R170" i="27"/>
  <c r="U170" i="27" s="1"/>
  <c r="S170" i="27"/>
  <c r="V170" i="27" s="1"/>
  <c r="T170" i="27"/>
  <c r="W170" i="27" s="1"/>
  <c r="R171" i="27"/>
  <c r="U171" i="27" s="1"/>
  <c r="S171" i="27"/>
  <c r="V171" i="27" s="1"/>
  <c r="T171" i="27"/>
  <c r="W171" i="27" s="1"/>
  <c r="R172" i="27"/>
  <c r="U172" i="27" s="1"/>
  <c r="S172" i="27"/>
  <c r="V172" i="27" s="1"/>
  <c r="T172" i="27"/>
  <c r="W172" i="27" s="1"/>
  <c r="R173" i="27"/>
  <c r="U173" i="27" s="1"/>
  <c r="S173" i="27"/>
  <c r="V173" i="27" s="1"/>
  <c r="T173" i="27"/>
  <c r="W173" i="27" s="1"/>
  <c r="R174" i="27"/>
  <c r="U174" i="27" s="1"/>
  <c r="S174" i="27"/>
  <c r="V174" i="27" s="1"/>
  <c r="T174" i="27"/>
  <c r="W174" i="27" s="1"/>
  <c r="R175" i="27"/>
  <c r="U175" i="27" s="1"/>
  <c r="S175" i="27"/>
  <c r="V175" i="27" s="1"/>
  <c r="T175" i="27"/>
  <c r="W175" i="27" s="1"/>
  <c r="R176" i="27"/>
  <c r="U176" i="27" s="1"/>
  <c r="S176" i="27"/>
  <c r="V176" i="27" s="1"/>
  <c r="T176" i="27"/>
  <c r="W176" i="27" s="1"/>
  <c r="R177" i="27"/>
  <c r="U177" i="27" s="1"/>
  <c r="S177" i="27"/>
  <c r="V177" i="27" s="1"/>
  <c r="T177" i="27"/>
  <c r="W177" i="27" s="1"/>
  <c r="R178" i="27"/>
  <c r="U178" i="27" s="1"/>
  <c r="S178" i="27"/>
  <c r="V178" i="27" s="1"/>
  <c r="T178" i="27"/>
  <c r="W178" i="27" s="1"/>
  <c r="R179" i="27"/>
  <c r="U179" i="27" s="1"/>
  <c r="S179" i="27"/>
  <c r="V179" i="27" s="1"/>
  <c r="T179" i="27"/>
  <c r="W179" i="27" s="1"/>
  <c r="R180" i="27"/>
  <c r="U180" i="27" s="1"/>
  <c r="S180" i="27"/>
  <c r="V180" i="27" s="1"/>
  <c r="T180" i="27"/>
  <c r="W180" i="27" s="1"/>
  <c r="R181" i="27"/>
  <c r="U181" i="27" s="1"/>
  <c r="S181" i="27"/>
  <c r="V181" i="27" s="1"/>
  <c r="T181" i="27"/>
  <c r="W181" i="27" s="1"/>
  <c r="R182" i="27"/>
  <c r="U182" i="27" s="1"/>
  <c r="S182" i="27"/>
  <c r="V182" i="27" s="1"/>
  <c r="T182" i="27"/>
  <c r="W182" i="27" s="1"/>
  <c r="R183" i="27"/>
  <c r="U183" i="27" s="1"/>
  <c r="S183" i="27"/>
  <c r="V183" i="27" s="1"/>
  <c r="T183" i="27"/>
  <c r="W183" i="27" s="1"/>
  <c r="R184" i="27"/>
  <c r="U184" i="27" s="1"/>
  <c r="S184" i="27"/>
  <c r="V184" i="27" s="1"/>
  <c r="T184" i="27"/>
  <c r="W184" i="27" s="1"/>
  <c r="R185" i="27"/>
  <c r="U185" i="27" s="1"/>
  <c r="S185" i="27"/>
  <c r="V185" i="27" s="1"/>
  <c r="T185" i="27"/>
  <c r="W185" i="27" s="1"/>
  <c r="R186" i="27"/>
  <c r="U186" i="27" s="1"/>
  <c r="S186" i="27"/>
  <c r="V186" i="27" s="1"/>
  <c r="T186" i="27"/>
  <c r="W186" i="27" s="1"/>
  <c r="R187" i="27"/>
  <c r="U187" i="27" s="1"/>
  <c r="S187" i="27"/>
  <c r="V187" i="27" s="1"/>
  <c r="T187" i="27"/>
  <c r="W187" i="27" s="1"/>
  <c r="R188" i="27"/>
  <c r="U188" i="27" s="1"/>
  <c r="S188" i="27"/>
  <c r="V188" i="27" s="1"/>
  <c r="T188" i="27"/>
  <c r="W188" i="27" s="1"/>
  <c r="R189" i="27"/>
  <c r="U189" i="27" s="1"/>
  <c r="S189" i="27"/>
  <c r="V189" i="27" s="1"/>
  <c r="T189" i="27"/>
  <c r="W189" i="27" s="1"/>
  <c r="R190" i="27"/>
  <c r="U190" i="27" s="1"/>
  <c r="S190" i="27"/>
  <c r="V190" i="27" s="1"/>
  <c r="T190" i="27"/>
  <c r="W190" i="27" s="1"/>
  <c r="R191" i="27"/>
  <c r="U191" i="27" s="1"/>
  <c r="S191" i="27"/>
  <c r="V191" i="27" s="1"/>
  <c r="T191" i="27"/>
  <c r="W191" i="27" s="1"/>
  <c r="R192" i="27"/>
  <c r="U192" i="27" s="1"/>
  <c r="S192" i="27"/>
  <c r="V192" i="27" s="1"/>
  <c r="T192" i="27"/>
  <c r="W192" i="27" s="1"/>
  <c r="R193" i="27"/>
  <c r="U193" i="27" s="1"/>
  <c r="S193" i="27"/>
  <c r="V193" i="27" s="1"/>
  <c r="T193" i="27"/>
  <c r="W193" i="27" s="1"/>
  <c r="R194" i="27"/>
  <c r="U194" i="27" s="1"/>
  <c r="S194" i="27"/>
  <c r="V194" i="27" s="1"/>
  <c r="T194" i="27"/>
  <c r="W194" i="27" s="1"/>
  <c r="R195" i="27"/>
  <c r="U195" i="27" s="1"/>
  <c r="S195" i="27"/>
  <c r="V195" i="27" s="1"/>
  <c r="T195" i="27"/>
  <c r="W195" i="27" s="1"/>
  <c r="R196" i="27"/>
  <c r="U196" i="27" s="1"/>
  <c r="S196" i="27"/>
  <c r="V196" i="27" s="1"/>
  <c r="T196" i="27"/>
  <c r="W196" i="27" s="1"/>
  <c r="R197" i="27"/>
  <c r="U197" i="27" s="1"/>
  <c r="S197" i="27"/>
  <c r="V197" i="27" s="1"/>
  <c r="T197" i="27"/>
  <c r="W197" i="27" s="1"/>
  <c r="R198" i="27"/>
  <c r="U198" i="27" s="1"/>
  <c r="S198" i="27"/>
  <c r="V198" i="27" s="1"/>
  <c r="T198" i="27"/>
  <c r="W198" i="27" s="1"/>
  <c r="R199" i="27"/>
  <c r="U199" i="27" s="1"/>
  <c r="S199" i="27"/>
  <c r="V199" i="27" s="1"/>
  <c r="T199" i="27"/>
  <c r="W199" i="27" s="1"/>
  <c r="R200" i="27"/>
  <c r="U200" i="27" s="1"/>
  <c r="S200" i="27"/>
  <c r="V200" i="27" s="1"/>
  <c r="T200" i="27"/>
  <c r="W200" i="27" s="1"/>
  <c r="R201" i="27"/>
  <c r="U201" i="27" s="1"/>
  <c r="S201" i="27"/>
  <c r="V201" i="27" s="1"/>
  <c r="T201" i="27"/>
  <c r="W201" i="27" s="1"/>
  <c r="R202" i="27"/>
  <c r="U202" i="27" s="1"/>
  <c r="S202" i="27"/>
  <c r="V202" i="27" s="1"/>
  <c r="T202" i="27"/>
  <c r="W202" i="27" s="1"/>
  <c r="R203" i="27"/>
  <c r="U203" i="27" s="1"/>
  <c r="S203" i="27"/>
  <c r="V203" i="27" s="1"/>
  <c r="T203" i="27"/>
  <c r="W203" i="27" s="1"/>
  <c r="R204" i="27"/>
  <c r="U204" i="27" s="1"/>
  <c r="S204" i="27"/>
  <c r="V204" i="27" s="1"/>
  <c r="T204" i="27"/>
  <c r="W204" i="27" s="1"/>
  <c r="R205" i="27"/>
  <c r="U205" i="27" s="1"/>
  <c r="S205" i="27"/>
  <c r="V205" i="27" s="1"/>
  <c r="T205" i="27"/>
  <c r="W205" i="27" s="1"/>
  <c r="R206" i="27"/>
  <c r="U206" i="27" s="1"/>
  <c r="S206" i="27"/>
  <c r="V206" i="27" s="1"/>
  <c r="T206" i="27"/>
  <c r="W206" i="27" s="1"/>
  <c r="R207" i="27"/>
  <c r="U207" i="27" s="1"/>
  <c r="S207" i="27"/>
  <c r="V207" i="27" s="1"/>
  <c r="T207" i="27"/>
  <c r="W207" i="27" s="1"/>
  <c r="R208" i="27"/>
  <c r="U208" i="27" s="1"/>
  <c r="S208" i="27"/>
  <c r="V208" i="27" s="1"/>
  <c r="T208" i="27"/>
  <c r="W208" i="27" s="1"/>
  <c r="R209" i="27"/>
  <c r="U209" i="27" s="1"/>
  <c r="S209" i="27"/>
  <c r="V209" i="27" s="1"/>
  <c r="T209" i="27"/>
  <c r="W209" i="27" s="1"/>
  <c r="R210" i="27"/>
  <c r="U210" i="27" s="1"/>
  <c r="S210" i="27"/>
  <c r="V210" i="27" s="1"/>
  <c r="T210" i="27"/>
  <c r="W210" i="27" s="1"/>
  <c r="R211" i="27"/>
  <c r="U211" i="27" s="1"/>
  <c r="S211" i="27"/>
  <c r="V211" i="27" s="1"/>
  <c r="T211" i="27"/>
  <c r="W211" i="27" s="1"/>
  <c r="R212" i="27"/>
  <c r="U212" i="27" s="1"/>
  <c r="S212" i="27"/>
  <c r="V212" i="27" s="1"/>
  <c r="T212" i="27"/>
  <c r="W212" i="27" s="1"/>
  <c r="R213" i="27"/>
  <c r="U213" i="27" s="1"/>
  <c r="S213" i="27"/>
  <c r="V213" i="27" s="1"/>
  <c r="T213" i="27"/>
  <c r="W213" i="27" s="1"/>
  <c r="R214" i="27"/>
  <c r="U214" i="27" s="1"/>
  <c r="S214" i="27"/>
  <c r="V214" i="27" s="1"/>
  <c r="T214" i="27"/>
  <c r="W214" i="27" s="1"/>
  <c r="R215" i="27"/>
  <c r="U215" i="27" s="1"/>
  <c r="S215" i="27"/>
  <c r="V215" i="27" s="1"/>
  <c r="T215" i="27"/>
  <c r="W215" i="27" s="1"/>
  <c r="R216" i="27"/>
  <c r="U216" i="27" s="1"/>
  <c r="S216" i="27"/>
  <c r="V216" i="27" s="1"/>
  <c r="T216" i="27"/>
  <c r="W216" i="27" s="1"/>
  <c r="R217" i="27"/>
  <c r="U217" i="27" s="1"/>
  <c r="S217" i="27"/>
  <c r="V217" i="27" s="1"/>
  <c r="T217" i="27"/>
  <c r="W217" i="27" s="1"/>
  <c r="R218" i="27"/>
  <c r="U218" i="27" s="1"/>
  <c r="S218" i="27"/>
  <c r="V218" i="27" s="1"/>
  <c r="T218" i="27"/>
  <c r="W218" i="27" s="1"/>
  <c r="R219" i="27"/>
  <c r="U219" i="27" s="1"/>
  <c r="S219" i="27"/>
  <c r="V219" i="27" s="1"/>
  <c r="T219" i="27"/>
  <c r="W219" i="27" s="1"/>
  <c r="R220" i="27"/>
  <c r="U220" i="27" s="1"/>
  <c r="S220" i="27"/>
  <c r="V220" i="27" s="1"/>
  <c r="T220" i="27"/>
  <c r="W220" i="27" s="1"/>
  <c r="R221" i="27"/>
  <c r="U221" i="27" s="1"/>
  <c r="S221" i="27"/>
  <c r="V221" i="27" s="1"/>
  <c r="T221" i="27"/>
  <c r="W221" i="27" s="1"/>
  <c r="R222" i="27"/>
  <c r="U222" i="27" s="1"/>
  <c r="S222" i="27"/>
  <c r="V222" i="27" s="1"/>
  <c r="T222" i="27"/>
  <c r="W222" i="27" s="1"/>
  <c r="R223" i="27"/>
  <c r="U223" i="27" s="1"/>
  <c r="S223" i="27"/>
  <c r="V223" i="27" s="1"/>
  <c r="T223" i="27"/>
  <c r="W223" i="27" s="1"/>
  <c r="R224" i="27"/>
  <c r="U224" i="27" s="1"/>
  <c r="S224" i="27"/>
  <c r="V224" i="27" s="1"/>
  <c r="T224" i="27"/>
  <c r="W224" i="27" s="1"/>
  <c r="R225" i="27"/>
  <c r="U225" i="27" s="1"/>
  <c r="S225" i="27"/>
  <c r="V225" i="27" s="1"/>
  <c r="T225" i="27"/>
  <c r="W225" i="27" s="1"/>
  <c r="R226" i="27"/>
  <c r="U226" i="27" s="1"/>
  <c r="S226" i="27"/>
  <c r="V226" i="27" s="1"/>
  <c r="T226" i="27"/>
  <c r="W226" i="27" s="1"/>
  <c r="R227" i="27"/>
  <c r="U227" i="27" s="1"/>
  <c r="S227" i="27"/>
  <c r="V227" i="27" s="1"/>
  <c r="T227" i="27"/>
  <c r="W227" i="27" s="1"/>
  <c r="R228" i="27"/>
  <c r="U228" i="27" s="1"/>
  <c r="S228" i="27"/>
  <c r="V228" i="27" s="1"/>
  <c r="T228" i="27"/>
  <c r="W228" i="27" s="1"/>
  <c r="R229" i="27"/>
  <c r="U229" i="27" s="1"/>
  <c r="S229" i="27"/>
  <c r="V229" i="27" s="1"/>
  <c r="T229" i="27"/>
  <c r="W229" i="27" s="1"/>
  <c r="R230" i="27"/>
  <c r="U230" i="27" s="1"/>
  <c r="S230" i="27"/>
  <c r="V230" i="27" s="1"/>
  <c r="T230" i="27"/>
  <c r="W230" i="27" s="1"/>
  <c r="R231" i="27"/>
  <c r="U231" i="27" s="1"/>
  <c r="S231" i="27"/>
  <c r="V231" i="27" s="1"/>
  <c r="T231" i="27"/>
  <c r="W231" i="27" s="1"/>
  <c r="R232" i="27"/>
  <c r="U232" i="27" s="1"/>
  <c r="S232" i="27"/>
  <c r="V232" i="27" s="1"/>
  <c r="T232" i="27"/>
  <c r="W232" i="27" s="1"/>
  <c r="R233" i="27"/>
  <c r="U233" i="27" s="1"/>
  <c r="S233" i="27"/>
  <c r="V233" i="27" s="1"/>
  <c r="T233" i="27"/>
  <c r="W233" i="27" s="1"/>
  <c r="R234" i="27"/>
  <c r="U234" i="27" s="1"/>
  <c r="S234" i="27"/>
  <c r="V234" i="27" s="1"/>
  <c r="T234" i="27"/>
  <c r="W234" i="27" s="1"/>
  <c r="R235" i="27"/>
  <c r="U235" i="27" s="1"/>
  <c r="S235" i="27"/>
  <c r="V235" i="27" s="1"/>
  <c r="T235" i="27"/>
  <c r="W235" i="27" s="1"/>
  <c r="R236" i="27"/>
  <c r="U236" i="27" s="1"/>
  <c r="S236" i="27"/>
  <c r="V236" i="27" s="1"/>
  <c r="T236" i="27"/>
  <c r="W236" i="27" s="1"/>
  <c r="R237" i="27"/>
  <c r="U237" i="27" s="1"/>
  <c r="S237" i="27"/>
  <c r="V237" i="27" s="1"/>
  <c r="T237" i="27"/>
  <c r="W237" i="27" s="1"/>
  <c r="R238" i="27"/>
  <c r="U238" i="27" s="1"/>
  <c r="S238" i="27"/>
  <c r="V238" i="27" s="1"/>
  <c r="T238" i="27"/>
  <c r="W238" i="27" s="1"/>
  <c r="R239" i="27"/>
  <c r="U239" i="27" s="1"/>
  <c r="S239" i="27"/>
  <c r="V239" i="27" s="1"/>
  <c r="T239" i="27"/>
  <c r="W239" i="27" s="1"/>
  <c r="R240" i="27"/>
  <c r="U240" i="27" s="1"/>
  <c r="S240" i="27"/>
  <c r="V240" i="27" s="1"/>
  <c r="T240" i="27"/>
  <c r="W240" i="27" s="1"/>
  <c r="R241" i="27"/>
  <c r="U241" i="27" s="1"/>
  <c r="S241" i="27"/>
  <c r="V241" i="27" s="1"/>
  <c r="T241" i="27"/>
  <c r="W241" i="27" s="1"/>
  <c r="R242" i="27"/>
  <c r="U242" i="27" s="1"/>
  <c r="S242" i="27"/>
  <c r="V242" i="27" s="1"/>
  <c r="T242" i="27"/>
  <c r="W242" i="27" s="1"/>
  <c r="R243" i="27"/>
  <c r="U243" i="27" s="1"/>
  <c r="S243" i="27"/>
  <c r="V243" i="27" s="1"/>
  <c r="T243" i="27"/>
  <c r="W243" i="27" s="1"/>
  <c r="R244" i="27"/>
  <c r="U244" i="27" s="1"/>
  <c r="S244" i="27"/>
  <c r="V244" i="27" s="1"/>
  <c r="T244" i="27"/>
  <c r="W244" i="27" s="1"/>
  <c r="R245" i="27"/>
  <c r="U245" i="27" s="1"/>
  <c r="S245" i="27"/>
  <c r="V245" i="27" s="1"/>
  <c r="T245" i="27"/>
  <c r="W245" i="27" s="1"/>
  <c r="R246" i="27"/>
  <c r="U246" i="27" s="1"/>
  <c r="S246" i="27"/>
  <c r="V246" i="27" s="1"/>
  <c r="T246" i="27"/>
  <c r="W246" i="27" s="1"/>
  <c r="R247" i="27"/>
  <c r="U247" i="27" s="1"/>
  <c r="S247" i="27"/>
  <c r="V247" i="27" s="1"/>
  <c r="T247" i="27"/>
  <c r="W247" i="27" s="1"/>
  <c r="R248" i="27"/>
  <c r="U248" i="27" s="1"/>
  <c r="S248" i="27"/>
  <c r="V248" i="27" s="1"/>
  <c r="T248" i="27"/>
  <c r="W248" i="27" s="1"/>
  <c r="R249" i="27"/>
  <c r="U249" i="27" s="1"/>
  <c r="S249" i="27"/>
  <c r="V249" i="27" s="1"/>
  <c r="T249" i="27"/>
  <c r="W249" i="27" s="1"/>
  <c r="R250" i="27"/>
  <c r="U250" i="27" s="1"/>
  <c r="S250" i="27"/>
  <c r="V250" i="27" s="1"/>
  <c r="T250" i="27"/>
  <c r="W250" i="27" s="1"/>
  <c r="R251" i="27"/>
  <c r="U251" i="27" s="1"/>
  <c r="S251" i="27"/>
  <c r="V251" i="27" s="1"/>
  <c r="T251" i="27"/>
  <c r="W251" i="27" s="1"/>
  <c r="R252" i="27"/>
  <c r="U252" i="27" s="1"/>
  <c r="S252" i="27"/>
  <c r="V252" i="27" s="1"/>
  <c r="T252" i="27"/>
  <c r="W252" i="27" s="1"/>
  <c r="R253" i="27"/>
  <c r="U253" i="27" s="1"/>
  <c r="S253" i="27"/>
  <c r="V253" i="27" s="1"/>
  <c r="T253" i="27"/>
  <c r="W253" i="27" s="1"/>
  <c r="R254" i="27"/>
  <c r="U254" i="27" s="1"/>
  <c r="S254" i="27"/>
  <c r="V254" i="27" s="1"/>
  <c r="T254" i="27"/>
  <c r="W254" i="27" s="1"/>
  <c r="R255" i="27"/>
  <c r="U255" i="27" s="1"/>
  <c r="S255" i="27"/>
  <c r="V255" i="27" s="1"/>
  <c r="T255" i="27"/>
  <c r="W255" i="27" s="1"/>
  <c r="R256" i="27"/>
  <c r="U256" i="27" s="1"/>
  <c r="S256" i="27"/>
  <c r="V256" i="27" s="1"/>
  <c r="T256" i="27"/>
  <c r="W256" i="27" s="1"/>
  <c r="R257" i="27"/>
  <c r="U257" i="27" s="1"/>
  <c r="S257" i="27"/>
  <c r="V257" i="27" s="1"/>
  <c r="T257" i="27"/>
  <c r="W257" i="27" s="1"/>
  <c r="R258" i="27"/>
  <c r="U258" i="27" s="1"/>
  <c r="S258" i="27"/>
  <c r="V258" i="27" s="1"/>
  <c r="T258" i="27"/>
  <c r="W258" i="27" s="1"/>
  <c r="R259" i="27"/>
  <c r="U259" i="27" s="1"/>
  <c r="S259" i="27"/>
  <c r="V259" i="27" s="1"/>
  <c r="T259" i="27"/>
  <c r="W259" i="27" s="1"/>
  <c r="R260" i="27"/>
  <c r="U260" i="27" s="1"/>
  <c r="S260" i="27"/>
  <c r="V260" i="27" s="1"/>
  <c r="T260" i="27"/>
  <c r="W260" i="27" s="1"/>
  <c r="R261" i="27"/>
  <c r="U261" i="27" s="1"/>
  <c r="S261" i="27"/>
  <c r="V261" i="27" s="1"/>
  <c r="T261" i="27"/>
  <c r="W261" i="27" s="1"/>
  <c r="R262" i="27"/>
  <c r="U262" i="27" s="1"/>
  <c r="S262" i="27"/>
  <c r="V262" i="27" s="1"/>
  <c r="T262" i="27"/>
  <c r="W262" i="27" s="1"/>
  <c r="R263" i="27"/>
  <c r="U263" i="27" s="1"/>
  <c r="S263" i="27"/>
  <c r="V263" i="27" s="1"/>
  <c r="T263" i="27"/>
  <c r="W263" i="27" s="1"/>
  <c r="R264" i="27"/>
  <c r="U264" i="27" s="1"/>
  <c r="S264" i="27"/>
  <c r="V264" i="27" s="1"/>
  <c r="T264" i="27"/>
  <c r="W264" i="27" s="1"/>
  <c r="R265" i="27"/>
  <c r="U265" i="27" s="1"/>
  <c r="S265" i="27"/>
  <c r="V265" i="27" s="1"/>
  <c r="T265" i="27"/>
  <c r="W265" i="27" s="1"/>
  <c r="R266" i="27"/>
  <c r="U266" i="27" s="1"/>
  <c r="S266" i="27"/>
  <c r="V266" i="27" s="1"/>
  <c r="T266" i="27"/>
  <c r="W266" i="27" s="1"/>
  <c r="R267" i="27"/>
  <c r="U267" i="27" s="1"/>
  <c r="S267" i="27"/>
  <c r="V267" i="27" s="1"/>
  <c r="T267" i="27"/>
  <c r="W267" i="27" s="1"/>
  <c r="R268" i="27"/>
  <c r="U268" i="27" s="1"/>
  <c r="S268" i="27"/>
  <c r="V268" i="27" s="1"/>
  <c r="T268" i="27"/>
  <c r="W268" i="27" s="1"/>
  <c r="R269" i="27"/>
  <c r="U269" i="27" s="1"/>
  <c r="S269" i="27"/>
  <c r="V269" i="27" s="1"/>
  <c r="T269" i="27"/>
  <c r="W269" i="27" s="1"/>
  <c r="R270" i="27"/>
  <c r="U270" i="27" s="1"/>
  <c r="S270" i="27"/>
  <c r="V270" i="27" s="1"/>
  <c r="T270" i="27"/>
  <c r="W270" i="27" s="1"/>
  <c r="R271" i="27"/>
  <c r="U271" i="27" s="1"/>
  <c r="S271" i="27"/>
  <c r="V271" i="27" s="1"/>
  <c r="T271" i="27"/>
  <c r="W271" i="27" s="1"/>
  <c r="R272" i="27"/>
  <c r="U272" i="27" s="1"/>
  <c r="S272" i="27"/>
  <c r="V272" i="27" s="1"/>
  <c r="T272" i="27"/>
  <c r="W272" i="27" s="1"/>
  <c r="R273" i="27"/>
  <c r="U273" i="27" s="1"/>
  <c r="S273" i="27"/>
  <c r="V273" i="27" s="1"/>
  <c r="T273" i="27"/>
  <c r="W273" i="27" s="1"/>
  <c r="R274" i="27"/>
  <c r="U274" i="27" s="1"/>
  <c r="S274" i="27"/>
  <c r="V274" i="27" s="1"/>
  <c r="T274" i="27"/>
  <c r="W274" i="27" s="1"/>
  <c r="R275" i="27"/>
  <c r="U275" i="27" s="1"/>
  <c r="S275" i="27"/>
  <c r="V275" i="27" s="1"/>
  <c r="T275" i="27"/>
  <c r="W275" i="27" s="1"/>
  <c r="R276" i="27"/>
  <c r="U276" i="27" s="1"/>
  <c r="S276" i="27"/>
  <c r="V276" i="27" s="1"/>
  <c r="T276" i="27"/>
  <c r="W276" i="27" s="1"/>
  <c r="R277" i="27"/>
  <c r="U277" i="27" s="1"/>
  <c r="S277" i="27"/>
  <c r="V277" i="27" s="1"/>
  <c r="T277" i="27"/>
  <c r="W277" i="27" s="1"/>
  <c r="R278" i="27"/>
  <c r="U278" i="27" s="1"/>
  <c r="S278" i="27"/>
  <c r="V278" i="27" s="1"/>
  <c r="T278" i="27"/>
  <c r="W278" i="27" s="1"/>
  <c r="R279" i="27"/>
  <c r="U279" i="27" s="1"/>
  <c r="S279" i="27"/>
  <c r="V279" i="27" s="1"/>
  <c r="T279" i="27"/>
  <c r="W279" i="27" s="1"/>
  <c r="R280" i="27"/>
  <c r="U280" i="27" s="1"/>
  <c r="S280" i="27"/>
  <c r="V280" i="27" s="1"/>
  <c r="T280" i="27"/>
  <c r="W280" i="27" s="1"/>
  <c r="R281" i="27"/>
  <c r="U281" i="27" s="1"/>
  <c r="S281" i="27"/>
  <c r="V281" i="27" s="1"/>
  <c r="T281" i="27"/>
  <c r="W281" i="27" s="1"/>
  <c r="R282" i="27"/>
  <c r="U282" i="27" s="1"/>
  <c r="S282" i="27"/>
  <c r="V282" i="27" s="1"/>
  <c r="T282" i="27"/>
  <c r="W282" i="27" s="1"/>
  <c r="R283" i="27"/>
  <c r="U283" i="27" s="1"/>
  <c r="S283" i="27"/>
  <c r="V283" i="27" s="1"/>
  <c r="T283" i="27"/>
  <c r="W283" i="27" s="1"/>
  <c r="R284" i="27"/>
  <c r="U284" i="27" s="1"/>
  <c r="S284" i="27"/>
  <c r="V284" i="27" s="1"/>
  <c r="T284" i="27"/>
  <c r="W284" i="27" s="1"/>
  <c r="R285" i="27"/>
  <c r="U285" i="27" s="1"/>
  <c r="S285" i="27"/>
  <c r="V285" i="27" s="1"/>
  <c r="T285" i="27"/>
  <c r="W285" i="27" s="1"/>
  <c r="R286" i="27"/>
  <c r="U286" i="27" s="1"/>
  <c r="S286" i="27"/>
  <c r="V286" i="27" s="1"/>
  <c r="T286" i="27"/>
  <c r="W286" i="27" s="1"/>
  <c r="R287" i="27"/>
  <c r="U287" i="27" s="1"/>
  <c r="S287" i="27"/>
  <c r="V287" i="27" s="1"/>
  <c r="T287" i="27"/>
  <c r="W287" i="27" s="1"/>
  <c r="R288" i="27"/>
  <c r="U288" i="27" s="1"/>
  <c r="S288" i="27"/>
  <c r="V288" i="27" s="1"/>
  <c r="T288" i="27"/>
  <c r="W288" i="27" s="1"/>
  <c r="R289" i="27"/>
  <c r="U289" i="27" s="1"/>
  <c r="S289" i="27"/>
  <c r="V289" i="27" s="1"/>
  <c r="T289" i="27"/>
  <c r="W289" i="27" s="1"/>
  <c r="R290" i="27"/>
  <c r="U290" i="27" s="1"/>
  <c r="S290" i="27"/>
  <c r="V290" i="27" s="1"/>
  <c r="T290" i="27"/>
  <c r="W290" i="27" s="1"/>
  <c r="R291" i="27"/>
  <c r="U291" i="27" s="1"/>
  <c r="S291" i="27"/>
  <c r="V291" i="27" s="1"/>
  <c r="T291" i="27"/>
  <c r="W291" i="27" s="1"/>
  <c r="R292" i="27"/>
  <c r="U292" i="27" s="1"/>
  <c r="S292" i="27"/>
  <c r="V292" i="27" s="1"/>
  <c r="T292" i="27"/>
  <c r="W292" i="27" s="1"/>
  <c r="R293" i="27"/>
  <c r="U293" i="27" s="1"/>
  <c r="S293" i="27"/>
  <c r="V293" i="27" s="1"/>
  <c r="T293" i="27"/>
  <c r="W293" i="27" s="1"/>
  <c r="R294" i="27"/>
  <c r="U294" i="27" s="1"/>
  <c r="S294" i="27"/>
  <c r="V294" i="27" s="1"/>
  <c r="T294" i="27"/>
  <c r="W294" i="27" s="1"/>
  <c r="R295" i="27"/>
  <c r="U295" i="27" s="1"/>
  <c r="S295" i="27"/>
  <c r="V295" i="27" s="1"/>
  <c r="T295" i="27"/>
  <c r="W295" i="27" s="1"/>
  <c r="R296" i="27"/>
  <c r="U296" i="27" s="1"/>
  <c r="S296" i="27"/>
  <c r="V296" i="27" s="1"/>
  <c r="T296" i="27"/>
  <c r="W296" i="27" s="1"/>
  <c r="R297" i="27"/>
  <c r="U297" i="27" s="1"/>
  <c r="S297" i="27"/>
  <c r="V297" i="27" s="1"/>
  <c r="T297" i="27"/>
  <c r="W297" i="27" s="1"/>
  <c r="R298" i="27"/>
  <c r="U298" i="27" s="1"/>
  <c r="S298" i="27"/>
  <c r="V298" i="27" s="1"/>
  <c r="T298" i="27"/>
  <c r="W298" i="27" s="1"/>
  <c r="R299" i="27"/>
  <c r="U299" i="27" s="1"/>
  <c r="S299" i="27"/>
  <c r="V299" i="27" s="1"/>
  <c r="T299" i="27"/>
  <c r="W299" i="27" s="1"/>
  <c r="R300" i="27"/>
  <c r="U300" i="27" s="1"/>
  <c r="S300" i="27"/>
  <c r="V300" i="27" s="1"/>
  <c r="T300" i="27"/>
  <c r="W300" i="27" s="1"/>
  <c r="R301" i="27"/>
  <c r="U301" i="27" s="1"/>
  <c r="S301" i="27"/>
  <c r="V301" i="27" s="1"/>
  <c r="T301" i="27"/>
  <c r="W301" i="27" s="1"/>
  <c r="R302" i="27"/>
  <c r="U302" i="27" s="1"/>
  <c r="S302" i="27"/>
  <c r="V302" i="27" s="1"/>
  <c r="T302" i="27"/>
  <c r="W302" i="27" s="1"/>
  <c r="R303" i="27"/>
  <c r="U303" i="27" s="1"/>
  <c r="S303" i="27"/>
  <c r="V303" i="27" s="1"/>
  <c r="T303" i="27"/>
  <c r="W303" i="27" s="1"/>
  <c r="R304" i="27"/>
  <c r="U304" i="27" s="1"/>
  <c r="S304" i="27"/>
  <c r="V304" i="27" s="1"/>
  <c r="T304" i="27"/>
  <c r="W304" i="27" s="1"/>
  <c r="R305" i="27"/>
  <c r="U305" i="27" s="1"/>
  <c r="S305" i="27"/>
  <c r="V305" i="27" s="1"/>
  <c r="T305" i="27"/>
  <c r="W305" i="27" s="1"/>
  <c r="R306" i="27"/>
  <c r="U306" i="27" s="1"/>
  <c r="S306" i="27"/>
  <c r="V306" i="27" s="1"/>
  <c r="T306" i="27"/>
  <c r="W306" i="27" s="1"/>
  <c r="R307" i="27"/>
  <c r="U307" i="27" s="1"/>
  <c r="S307" i="27"/>
  <c r="V307" i="27" s="1"/>
  <c r="T307" i="27"/>
  <c r="W307" i="27" s="1"/>
  <c r="R308" i="27"/>
  <c r="U308" i="27" s="1"/>
  <c r="S308" i="27"/>
  <c r="V308" i="27" s="1"/>
  <c r="T308" i="27"/>
  <c r="W308" i="27" s="1"/>
  <c r="R309" i="27"/>
  <c r="U309" i="27" s="1"/>
  <c r="S309" i="27"/>
  <c r="V309" i="27" s="1"/>
  <c r="T309" i="27"/>
  <c r="W309" i="27" s="1"/>
  <c r="R310" i="27"/>
  <c r="U310" i="27" s="1"/>
  <c r="S310" i="27"/>
  <c r="V310" i="27" s="1"/>
  <c r="T310" i="27"/>
  <c r="W310" i="27" s="1"/>
  <c r="R311" i="27"/>
  <c r="U311" i="27" s="1"/>
  <c r="S311" i="27"/>
  <c r="V311" i="27" s="1"/>
  <c r="T311" i="27"/>
  <c r="W311" i="27" s="1"/>
  <c r="R312" i="27"/>
  <c r="U312" i="27" s="1"/>
  <c r="S312" i="27"/>
  <c r="V312" i="27" s="1"/>
  <c r="T312" i="27"/>
  <c r="W312" i="27" s="1"/>
  <c r="R313" i="27"/>
  <c r="U313" i="27" s="1"/>
  <c r="S313" i="27"/>
  <c r="V313" i="27" s="1"/>
  <c r="T313" i="27"/>
  <c r="W313" i="27" s="1"/>
  <c r="R314" i="27"/>
  <c r="U314" i="27" s="1"/>
  <c r="S314" i="27"/>
  <c r="V314" i="27" s="1"/>
  <c r="T314" i="27"/>
  <c r="W314" i="27" s="1"/>
  <c r="R315" i="27"/>
  <c r="U315" i="27" s="1"/>
  <c r="S315" i="27"/>
  <c r="V315" i="27" s="1"/>
  <c r="T315" i="27"/>
  <c r="W315" i="27" s="1"/>
  <c r="R316" i="27"/>
  <c r="U316" i="27" s="1"/>
  <c r="S316" i="27"/>
  <c r="V316" i="27" s="1"/>
  <c r="T316" i="27"/>
  <c r="W316" i="27" s="1"/>
  <c r="R317" i="27"/>
  <c r="U317" i="27" s="1"/>
  <c r="S317" i="27"/>
  <c r="V317" i="27" s="1"/>
  <c r="T317" i="27"/>
  <c r="W317" i="27" s="1"/>
  <c r="R318" i="27"/>
  <c r="U318" i="27" s="1"/>
  <c r="S318" i="27"/>
  <c r="V318" i="27" s="1"/>
  <c r="T318" i="27"/>
  <c r="W318" i="27" s="1"/>
  <c r="R319" i="27"/>
  <c r="U319" i="27" s="1"/>
  <c r="S319" i="27"/>
  <c r="V319" i="27" s="1"/>
  <c r="T319" i="27"/>
  <c r="W319" i="27" s="1"/>
  <c r="R320" i="27"/>
  <c r="U320" i="27" s="1"/>
  <c r="S320" i="27"/>
  <c r="V320" i="27" s="1"/>
  <c r="T320" i="27"/>
  <c r="W320" i="27" s="1"/>
  <c r="R321" i="27"/>
  <c r="U321" i="27" s="1"/>
  <c r="S321" i="27"/>
  <c r="V321" i="27" s="1"/>
  <c r="T321" i="27"/>
  <c r="W321" i="27" s="1"/>
  <c r="R322" i="27"/>
  <c r="U322" i="27" s="1"/>
  <c r="S322" i="27"/>
  <c r="V322" i="27" s="1"/>
  <c r="T322" i="27"/>
  <c r="W322" i="27" s="1"/>
  <c r="R323" i="27"/>
  <c r="U323" i="27" s="1"/>
  <c r="S323" i="27"/>
  <c r="V323" i="27" s="1"/>
  <c r="T323" i="27"/>
  <c r="W323" i="27" s="1"/>
  <c r="R324" i="27"/>
  <c r="U324" i="27" s="1"/>
  <c r="S324" i="27"/>
  <c r="V324" i="27" s="1"/>
  <c r="T324" i="27"/>
  <c r="W324" i="27" s="1"/>
  <c r="R325" i="27"/>
  <c r="U325" i="27" s="1"/>
  <c r="S325" i="27"/>
  <c r="V325" i="27" s="1"/>
  <c r="T325" i="27"/>
  <c r="W325" i="27" s="1"/>
  <c r="R326" i="27"/>
  <c r="U326" i="27" s="1"/>
  <c r="S326" i="27"/>
  <c r="V326" i="27" s="1"/>
  <c r="T326" i="27"/>
  <c r="W326" i="27" s="1"/>
  <c r="R327" i="27"/>
  <c r="U327" i="27" s="1"/>
  <c r="S327" i="27"/>
  <c r="V327" i="27" s="1"/>
  <c r="T327" i="27"/>
  <c r="W327" i="27" s="1"/>
  <c r="R328" i="27"/>
  <c r="U328" i="27" s="1"/>
  <c r="S328" i="27"/>
  <c r="V328" i="27" s="1"/>
  <c r="T328" i="27"/>
  <c r="W328" i="27" s="1"/>
  <c r="R329" i="27"/>
  <c r="U329" i="27" s="1"/>
  <c r="S329" i="27"/>
  <c r="V329" i="27" s="1"/>
  <c r="T329" i="27"/>
  <c r="W329" i="27" s="1"/>
  <c r="R330" i="27"/>
  <c r="U330" i="27" s="1"/>
  <c r="S330" i="27"/>
  <c r="V330" i="27" s="1"/>
  <c r="T330" i="27"/>
  <c r="W330" i="27" s="1"/>
  <c r="R331" i="27"/>
  <c r="U331" i="27" s="1"/>
  <c r="S331" i="27"/>
  <c r="V331" i="27" s="1"/>
  <c r="T331" i="27"/>
  <c r="W331" i="27" s="1"/>
  <c r="R332" i="27"/>
  <c r="U332" i="27" s="1"/>
  <c r="S332" i="27"/>
  <c r="V332" i="27" s="1"/>
  <c r="T332" i="27"/>
  <c r="W332" i="27" s="1"/>
  <c r="R333" i="27"/>
  <c r="U333" i="27" s="1"/>
  <c r="S333" i="27"/>
  <c r="V333" i="27" s="1"/>
  <c r="T333" i="27"/>
  <c r="W333" i="27" s="1"/>
  <c r="R334" i="27"/>
  <c r="U334" i="27" s="1"/>
  <c r="S334" i="27"/>
  <c r="V334" i="27" s="1"/>
  <c r="T334" i="27"/>
  <c r="W334" i="27" s="1"/>
  <c r="R335" i="27"/>
  <c r="U335" i="27" s="1"/>
  <c r="S335" i="27"/>
  <c r="V335" i="27" s="1"/>
  <c r="T335" i="27"/>
  <c r="W335" i="27" s="1"/>
  <c r="R336" i="27"/>
  <c r="U336" i="27" s="1"/>
  <c r="S336" i="27"/>
  <c r="V336" i="27" s="1"/>
  <c r="T336" i="27"/>
  <c r="W336" i="27" s="1"/>
  <c r="R337" i="27"/>
  <c r="U337" i="27" s="1"/>
  <c r="S337" i="27"/>
  <c r="V337" i="27" s="1"/>
  <c r="T337" i="27"/>
  <c r="W337" i="27" s="1"/>
  <c r="R338" i="27"/>
  <c r="U338" i="27" s="1"/>
  <c r="S338" i="27"/>
  <c r="V338" i="27" s="1"/>
  <c r="T338" i="27"/>
  <c r="W338" i="27" s="1"/>
  <c r="R339" i="27"/>
  <c r="U339" i="27" s="1"/>
  <c r="S339" i="27"/>
  <c r="V339" i="27" s="1"/>
  <c r="T339" i="27"/>
  <c r="W339" i="27" s="1"/>
  <c r="R340" i="27"/>
  <c r="U340" i="27" s="1"/>
  <c r="S340" i="27"/>
  <c r="V340" i="27" s="1"/>
  <c r="T340" i="27"/>
  <c r="W340" i="27" s="1"/>
  <c r="R341" i="27"/>
  <c r="U341" i="27" s="1"/>
  <c r="S341" i="27"/>
  <c r="V341" i="27" s="1"/>
  <c r="T341" i="27"/>
  <c r="W341" i="27" s="1"/>
  <c r="R342" i="27"/>
  <c r="U342" i="27" s="1"/>
  <c r="S342" i="27"/>
  <c r="V342" i="27" s="1"/>
  <c r="T342" i="27"/>
  <c r="W342" i="27" s="1"/>
  <c r="R343" i="27"/>
  <c r="U343" i="27" s="1"/>
  <c r="S343" i="27"/>
  <c r="V343" i="27" s="1"/>
  <c r="T343" i="27"/>
  <c r="W343" i="27" s="1"/>
  <c r="R344" i="27"/>
  <c r="U344" i="27" s="1"/>
  <c r="S344" i="27"/>
  <c r="V344" i="27" s="1"/>
  <c r="T344" i="27"/>
  <c r="W344" i="27" s="1"/>
  <c r="R345" i="27"/>
  <c r="U345" i="27" s="1"/>
  <c r="S345" i="27"/>
  <c r="V345" i="27" s="1"/>
  <c r="T345" i="27"/>
  <c r="W345" i="27" s="1"/>
  <c r="R346" i="27"/>
  <c r="U346" i="27" s="1"/>
  <c r="S346" i="27"/>
  <c r="V346" i="27" s="1"/>
  <c r="T346" i="27"/>
  <c r="W346" i="27" s="1"/>
  <c r="R347" i="27"/>
  <c r="U347" i="27" s="1"/>
  <c r="S347" i="27"/>
  <c r="V347" i="27" s="1"/>
  <c r="T347" i="27"/>
  <c r="W347" i="27" s="1"/>
  <c r="R348" i="27"/>
  <c r="U348" i="27" s="1"/>
  <c r="S348" i="27"/>
  <c r="V348" i="27" s="1"/>
  <c r="T348" i="27"/>
  <c r="W348" i="27" s="1"/>
  <c r="R349" i="27"/>
  <c r="U349" i="27" s="1"/>
  <c r="S349" i="27"/>
  <c r="V349" i="27" s="1"/>
  <c r="T349" i="27"/>
  <c r="W349" i="27" s="1"/>
  <c r="R350" i="27"/>
  <c r="U350" i="27" s="1"/>
  <c r="S350" i="27"/>
  <c r="V350" i="27" s="1"/>
  <c r="T350" i="27"/>
  <c r="W350" i="27" s="1"/>
  <c r="R351" i="27"/>
  <c r="U351" i="27" s="1"/>
  <c r="S351" i="27"/>
  <c r="V351" i="27" s="1"/>
  <c r="T351" i="27"/>
  <c r="W351" i="27" s="1"/>
  <c r="R352" i="27"/>
  <c r="U352" i="27" s="1"/>
  <c r="S352" i="27"/>
  <c r="V352" i="27" s="1"/>
  <c r="T352" i="27"/>
  <c r="W352" i="27" s="1"/>
  <c r="R353" i="27"/>
  <c r="U353" i="27" s="1"/>
  <c r="S353" i="27"/>
  <c r="V353" i="27" s="1"/>
  <c r="T353" i="27"/>
  <c r="W353" i="27" s="1"/>
  <c r="R354" i="27"/>
  <c r="U354" i="27" s="1"/>
  <c r="S354" i="27"/>
  <c r="V354" i="27" s="1"/>
  <c r="T354" i="27"/>
  <c r="W354" i="27" s="1"/>
  <c r="R355" i="27"/>
  <c r="U355" i="27" s="1"/>
  <c r="S355" i="27"/>
  <c r="V355" i="27" s="1"/>
  <c r="T355" i="27"/>
  <c r="W355" i="27" s="1"/>
  <c r="R356" i="27"/>
  <c r="U356" i="27" s="1"/>
  <c r="S356" i="27"/>
  <c r="V356" i="27" s="1"/>
  <c r="T356" i="27"/>
  <c r="W356" i="27" s="1"/>
  <c r="R357" i="27"/>
  <c r="U357" i="27" s="1"/>
  <c r="S357" i="27"/>
  <c r="V357" i="27" s="1"/>
  <c r="T357" i="27"/>
  <c r="W357" i="27" s="1"/>
  <c r="R358" i="27"/>
  <c r="U358" i="27" s="1"/>
  <c r="S358" i="27"/>
  <c r="V358" i="27" s="1"/>
  <c r="T358" i="27"/>
  <c r="W358" i="27" s="1"/>
  <c r="R359" i="27"/>
  <c r="U359" i="27" s="1"/>
  <c r="S359" i="27"/>
  <c r="V359" i="27" s="1"/>
  <c r="T359" i="27"/>
  <c r="W359" i="27" s="1"/>
  <c r="R360" i="27"/>
  <c r="U360" i="27" s="1"/>
  <c r="S360" i="27"/>
  <c r="V360" i="27" s="1"/>
  <c r="T360" i="27"/>
  <c r="W360" i="27" s="1"/>
  <c r="R361" i="27"/>
  <c r="U361" i="27" s="1"/>
  <c r="S361" i="27"/>
  <c r="V361" i="27" s="1"/>
  <c r="T361" i="27"/>
  <c r="W361" i="27" s="1"/>
  <c r="R362" i="27"/>
  <c r="U362" i="27" s="1"/>
  <c r="S362" i="27"/>
  <c r="V362" i="27" s="1"/>
  <c r="T362" i="27"/>
  <c r="W362" i="27" s="1"/>
  <c r="R363" i="27"/>
  <c r="U363" i="27" s="1"/>
  <c r="S363" i="27"/>
  <c r="V363" i="27" s="1"/>
  <c r="T363" i="27"/>
  <c r="W363" i="27" s="1"/>
  <c r="R364" i="27"/>
  <c r="U364" i="27" s="1"/>
  <c r="S364" i="27"/>
  <c r="V364" i="27" s="1"/>
  <c r="T364" i="27"/>
  <c r="W364" i="27" s="1"/>
  <c r="R365" i="27"/>
  <c r="U365" i="27" s="1"/>
  <c r="S365" i="27"/>
  <c r="V365" i="27" s="1"/>
  <c r="T365" i="27"/>
  <c r="W365" i="27" s="1"/>
  <c r="R366" i="27"/>
  <c r="U366" i="27" s="1"/>
  <c r="S366" i="27"/>
  <c r="V366" i="27" s="1"/>
  <c r="T366" i="27"/>
  <c r="W366" i="27" s="1"/>
  <c r="R367" i="27"/>
  <c r="U367" i="27" s="1"/>
  <c r="S367" i="27"/>
  <c r="V367" i="27" s="1"/>
  <c r="T367" i="27"/>
  <c r="W367" i="27" s="1"/>
  <c r="R368" i="27"/>
  <c r="U368" i="27" s="1"/>
  <c r="S368" i="27"/>
  <c r="V368" i="27" s="1"/>
  <c r="T368" i="27"/>
  <c r="W368" i="27" s="1"/>
  <c r="R369" i="27"/>
  <c r="U369" i="27" s="1"/>
  <c r="S369" i="27"/>
  <c r="V369" i="27" s="1"/>
  <c r="T369" i="27"/>
  <c r="W369" i="27" s="1"/>
  <c r="R370" i="27"/>
  <c r="U370" i="27" s="1"/>
  <c r="S370" i="27"/>
  <c r="V370" i="27" s="1"/>
  <c r="T370" i="27"/>
  <c r="W370" i="27" s="1"/>
  <c r="R371" i="27"/>
  <c r="U371" i="27" s="1"/>
  <c r="S371" i="27"/>
  <c r="V371" i="27" s="1"/>
  <c r="T371" i="27"/>
  <c r="W371" i="27" s="1"/>
  <c r="R372" i="27"/>
  <c r="U372" i="27" s="1"/>
  <c r="S372" i="27"/>
  <c r="V372" i="27" s="1"/>
  <c r="T372" i="27"/>
  <c r="W372" i="27" s="1"/>
  <c r="R373" i="27"/>
  <c r="U373" i="27" s="1"/>
  <c r="S373" i="27"/>
  <c r="V373" i="27" s="1"/>
  <c r="T373" i="27"/>
  <c r="W373" i="27" s="1"/>
  <c r="R374" i="27"/>
  <c r="U374" i="27" s="1"/>
  <c r="S374" i="27"/>
  <c r="V374" i="27" s="1"/>
  <c r="T374" i="27"/>
  <c r="W374" i="27" s="1"/>
  <c r="R375" i="27"/>
  <c r="U375" i="27" s="1"/>
  <c r="S375" i="27"/>
  <c r="V375" i="27" s="1"/>
  <c r="T375" i="27"/>
  <c r="W375" i="27" s="1"/>
  <c r="R376" i="27"/>
  <c r="U376" i="27" s="1"/>
  <c r="S376" i="27"/>
  <c r="V376" i="27" s="1"/>
  <c r="T376" i="27"/>
  <c r="W376" i="27" s="1"/>
  <c r="R377" i="27"/>
  <c r="U377" i="27" s="1"/>
  <c r="S377" i="27"/>
  <c r="V377" i="27" s="1"/>
  <c r="T377" i="27"/>
  <c r="W377" i="27" s="1"/>
  <c r="R378" i="27"/>
  <c r="U378" i="27" s="1"/>
  <c r="S378" i="27"/>
  <c r="V378" i="27" s="1"/>
  <c r="T378" i="27"/>
  <c r="W378" i="27" s="1"/>
  <c r="R379" i="27"/>
  <c r="U379" i="27" s="1"/>
  <c r="S379" i="27"/>
  <c r="V379" i="27" s="1"/>
  <c r="T379" i="27"/>
  <c r="W379" i="27" s="1"/>
  <c r="R380" i="27"/>
  <c r="U380" i="27" s="1"/>
  <c r="S380" i="27"/>
  <c r="V380" i="27" s="1"/>
  <c r="T380" i="27"/>
  <c r="W380" i="27" s="1"/>
  <c r="R381" i="27"/>
  <c r="U381" i="27" s="1"/>
  <c r="S381" i="27"/>
  <c r="V381" i="27" s="1"/>
  <c r="T381" i="27"/>
  <c r="W381" i="27" s="1"/>
  <c r="R382" i="27"/>
  <c r="U382" i="27" s="1"/>
  <c r="S382" i="27"/>
  <c r="V382" i="27" s="1"/>
  <c r="T382" i="27"/>
  <c r="W382" i="27" s="1"/>
  <c r="R383" i="27"/>
  <c r="U383" i="27" s="1"/>
  <c r="S383" i="27"/>
  <c r="V383" i="27" s="1"/>
  <c r="T383" i="27"/>
  <c r="W383" i="27" s="1"/>
  <c r="R384" i="27"/>
  <c r="U384" i="27" s="1"/>
  <c r="S384" i="27"/>
  <c r="V384" i="27" s="1"/>
  <c r="T384" i="27"/>
  <c r="W384" i="27" s="1"/>
  <c r="R385" i="27"/>
  <c r="U385" i="27" s="1"/>
  <c r="S385" i="27"/>
  <c r="V385" i="27" s="1"/>
  <c r="T385" i="27"/>
  <c r="W385" i="27" s="1"/>
  <c r="R386" i="27"/>
  <c r="U386" i="27" s="1"/>
  <c r="S386" i="27"/>
  <c r="V386" i="27" s="1"/>
  <c r="T386" i="27"/>
  <c r="W386" i="27" s="1"/>
  <c r="R387" i="27"/>
  <c r="U387" i="27" s="1"/>
  <c r="S387" i="27"/>
  <c r="V387" i="27" s="1"/>
  <c r="T387" i="27"/>
  <c r="W387" i="27" s="1"/>
  <c r="R388" i="27"/>
  <c r="U388" i="27" s="1"/>
  <c r="S388" i="27"/>
  <c r="V388" i="27" s="1"/>
  <c r="T388" i="27"/>
  <c r="W388" i="27" s="1"/>
  <c r="R389" i="27"/>
  <c r="U389" i="27" s="1"/>
  <c r="S389" i="27"/>
  <c r="V389" i="27" s="1"/>
  <c r="T389" i="27"/>
  <c r="W389" i="27" s="1"/>
  <c r="R390" i="27"/>
  <c r="U390" i="27" s="1"/>
  <c r="S390" i="27"/>
  <c r="V390" i="27" s="1"/>
  <c r="T390" i="27"/>
  <c r="W390" i="27" s="1"/>
  <c r="R391" i="27"/>
  <c r="U391" i="27" s="1"/>
  <c r="S391" i="27"/>
  <c r="V391" i="27" s="1"/>
  <c r="T391" i="27"/>
  <c r="W391" i="27" s="1"/>
  <c r="R392" i="27"/>
  <c r="U392" i="27" s="1"/>
  <c r="S392" i="27"/>
  <c r="V392" i="27" s="1"/>
  <c r="T392" i="27"/>
  <c r="W392" i="27" s="1"/>
  <c r="R393" i="27"/>
  <c r="U393" i="27" s="1"/>
  <c r="S393" i="27"/>
  <c r="V393" i="27" s="1"/>
  <c r="T393" i="27"/>
  <c r="W393" i="27" s="1"/>
  <c r="R394" i="27"/>
  <c r="U394" i="27" s="1"/>
  <c r="S394" i="27"/>
  <c r="V394" i="27" s="1"/>
  <c r="T394" i="27"/>
  <c r="W394" i="27" s="1"/>
  <c r="R395" i="27"/>
  <c r="U395" i="27" s="1"/>
  <c r="S395" i="27"/>
  <c r="V395" i="27" s="1"/>
  <c r="T395" i="27"/>
  <c r="W395" i="27" s="1"/>
  <c r="R396" i="27"/>
  <c r="U396" i="27" s="1"/>
  <c r="S396" i="27"/>
  <c r="V396" i="27" s="1"/>
  <c r="T396" i="27"/>
  <c r="W396" i="27" s="1"/>
  <c r="R397" i="27"/>
  <c r="U397" i="27" s="1"/>
  <c r="S397" i="27"/>
  <c r="V397" i="27" s="1"/>
  <c r="T397" i="27"/>
  <c r="W397" i="27" s="1"/>
  <c r="R398" i="27"/>
  <c r="U398" i="27" s="1"/>
  <c r="S398" i="27"/>
  <c r="V398" i="27" s="1"/>
  <c r="T398" i="27"/>
  <c r="W398" i="27" s="1"/>
  <c r="R399" i="27"/>
  <c r="U399" i="27" s="1"/>
  <c r="S399" i="27"/>
  <c r="V399" i="27" s="1"/>
  <c r="T399" i="27"/>
  <c r="W399" i="27" s="1"/>
  <c r="R400" i="27"/>
  <c r="U400" i="27" s="1"/>
  <c r="S400" i="27"/>
  <c r="V400" i="27" s="1"/>
  <c r="T400" i="27"/>
  <c r="W400" i="27" s="1"/>
  <c r="R401" i="27"/>
  <c r="U401" i="27" s="1"/>
  <c r="S401" i="27"/>
  <c r="V401" i="27" s="1"/>
  <c r="T401" i="27"/>
  <c r="W401" i="27" s="1"/>
  <c r="R402" i="27"/>
  <c r="U402" i="27" s="1"/>
  <c r="S402" i="27"/>
  <c r="V402" i="27" s="1"/>
  <c r="T402" i="27"/>
  <c r="W402" i="27" s="1"/>
  <c r="R403" i="27"/>
  <c r="U403" i="27" s="1"/>
  <c r="S403" i="27"/>
  <c r="V403" i="27" s="1"/>
  <c r="T403" i="27"/>
  <c r="W403" i="27" s="1"/>
  <c r="R404" i="27"/>
  <c r="U404" i="27" s="1"/>
  <c r="S404" i="27"/>
  <c r="V404" i="27" s="1"/>
  <c r="T404" i="27"/>
  <c r="W404" i="27" s="1"/>
  <c r="R405" i="27"/>
  <c r="U405" i="27" s="1"/>
  <c r="S405" i="27"/>
  <c r="V405" i="27" s="1"/>
  <c r="T405" i="27"/>
  <c r="W405" i="27" s="1"/>
  <c r="R406" i="27"/>
  <c r="U406" i="27" s="1"/>
  <c r="S406" i="27"/>
  <c r="V406" i="27" s="1"/>
  <c r="T406" i="27"/>
  <c r="W406" i="27" s="1"/>
  <c r="R407" i="27"/>
  <c r="U407" i="27" s="1"/>
  <c r="S407" i="27"/>
  <c r="V407" i="27" s="1"/>
  <c r="T407" i="27"/>
  <c r="W407" i="27" s="1"/>
  <c r="R408" i="27"/>
  <c r="U408" i="27" s="1"/>
  <c r="S408" i="27"/>
  <c r="V408" i="27" s="1"/>
  <c r="T408" i="27"/>
  <c r="W408" i="27" s="1"/>
  <c r="R409" i="27"/>
  <c r="U409" i="27" s="1"/>
  <c r="S409" i="27"/>
  <c r="V409" i="27" s="1"/>
  <c r="T409" i="27"/>
  <c r="W409" i="27" s="1"/>
  <c r="R410" i="27"/>
  <c r="U410" i="27" s="1"/>
  <c r="S410" i="27"/>
  <c r="V410" i="27" s="1"/>
  <c r="T410" i="27"/>
  <c r="W410" i="27" s="1"/>
  <c r="R411" i="27"/>
  <c r="U411" i="27" s="1"/>
  <c r="S411" i="27"/>
  <c r="V411" i="27" s="1"/>
  <c r="T411" i="27"/>
  <c r="W411" i="27" s="1"/>
  <c r="R412" i="27"/>
  <c r="U412" i="27" s="1"/>
  <c r="S412" i="27"/>
  <c r="V412" i="27" s="1"/>
  <c r="T412" i="27"/>
  <c r="W412" i="27" s="1"/>
  <c r="R413" i="27"/>
  <c r="U413" i="27" s="1"/>
  <c r="S413" i="27"/>
  <c r="V413" i="27" s="1"/>
  <c r="T413" i="27"/>
  <c r="W413" i="27" s="1"/>
  <c r="R414" i="27"/>
  <c r="U414" i="27" s="1"/>
  <c r="S414" i="27"/>
  <c r="V414" i="27" s="1"/>
  <c r="T414" i="27"/>
  <c r="W414" i="27" s="1"/>
  <c r="R415" i="27"/>
  <c r="U415" i="27" s="1"/>
  <c r="S415" i="27"/>
  <c r="V415" i="27" s="1"/>
  <c r="T415" i="27"/>
  <c r="W415" i="27" s="1"/>
  <c r="R416" i="27"/>
  <c r="U416" i="27" s="1"/>
  <c r="S416" i="27"/>
  <c r="V416" i="27" s="1"/>
  <c r="T416" i="27"/>
  <c r="W416" i="27" s="1"/>
  <c r="R417" i="27"/>
  <c r="U417" i="27" s="1"/>
  <c r="S417" i="27"/>
  <c r="V417" i="27" s="1"/>
  <c r="T417" i="27"/>
  <c r="W417" i="27" s="1"/>
  <c r="R418" i="27"/>
  <c r="U418" i="27" s="1"/>
  <c r="S418" i="27"/>
  <c r="V418" i="27" s="1"/>
  <c r="T418" i="27"/>
  <c r="W418" i="27" s="1"/>
  <c r="R419" i="27"/>
  <c r="U419" i="27" s="1"/>
  <c r="S419" i="27"/>
  <c r="V419" i="27" s="1"/>
  <c r="T419" i="27"/>
  <c r="W419" i="27" s="1"/>
  <c r="R420" i="27"/>
  <c r="U420" i="27" s="1"/>
  <c r="S420" i="27"/>
  <c r="V420" i="27" s="1"/>
  <c r="T420" i="27"/>
  <c r="W420" i="27" s="1"/>
  <c r="R421" i="27"/>
  <c r="U421" i="27" s="1"/>
  <c r="S421" i="27"/>
  <c r="V421" i="27" s="1"/>
  <c r="T421" i="27"/>
  <c r="W421" i="27" s="1"/>
  <c r="R422" i="27"/>
  <c r="U422" i="27" s="1"/>
  <c r="S422" i="27"/>
  <c r="V422" i="27" s="1"/>
  <c r="T422" i="27"/>
  <c r="W422" i="27" s="1"/>
  <c r="R423" i="27"/>
  <c r="U423" i="27" s="1"/>
  <c r="S423" i="27"/>
  <c r="V423" i="27" s="1"/>
  <c r="T423" i="27"/>
  <c r="W423" i="27" s="1"/>
  <c r="R424" i="27"/>
  <c r="U424" i="27" s="1"/>
  <c r="S424" i="27"/>
  <c r="V424" i="27" s="1"/>
  <c r="T424" i="27"/>
  <c r="W424" i="27" s="1"/>
  <c r="R425" i="27"/>
  <c r="U425" i="27" s="1"/>
  <c r="S425" i="27"/>
  <c r="V425" i="27" s="1"/>
  <c r="T425" i="27"/>
  <c r="W425" i="27" s="1"/>
  <c r="R426" i="27"/>
  <c r="U426" i="27" s="1"/>
  <c r="S426" i="27"/>
  <c r="V426" i="27" s="1"/>
  <c r="T426" i="27"/>
  <c r="W426" i="27" s="1"/>
  <c r="R427" i="27"/>
  <c r="U427" i="27" s="1"/>
  <c r="S427" i="27"/>
  <c r="V427" i="27" s="1"/>
  <c r="T427" i="27"/>
  <c r="W427" i="27" s="1"/>
  <c r="R428" i="27"/>
  <c r="U428" i="27" s="1"/>
  <c r="S428" i="27"/>
  <c r="V428" i="27" s="1"/>
  <c r="T428" i="27"/>
  <c r="W428" i="27" s="1"/>
  <c r="R429" i="27"/>
  <c r="U429" i="27" s="1"/>
  <c r="S429" i="27"/>
  <c r="V429" i="27" s="1"/>
  <c r="T429" i="27"/>
  <c r="W429" i="27" s="1"/>
  <c r="R430" i="27"/>
  <c r="U430" i="27" s="1"/>
  <c r="S430" i="27"/>
  <c r="V430" i="27" s="1"/>
  <c r="T430" i="27"/>
  <c r="W430" i="27" s="1"/>
  <c r="R431" i="27"/>
  <c r="U431" i="27" s="1"/>
  <c r="S431" i="27"/>
  <c r="V431" i="27" s="1"/>
  <c r="T431" i="27"/>
  <c r="W431" i="27" s="1"/>
  <c r="R432" i="27"/>
  <c r="U432" i="27" s="1"/>
  <c r="S432" i="27"/>
  <c r="V432" i="27" s="1"/>
  <c r="T432" i="27"/>
  <c r="W432" i="27" s="1"/>
  <c r="R433" i="27"/>
  <c r="U433" i="27" s="1"/>
  <c r="S433" i="27"/>
  <c r="V433" i="27" s="1"/>
  <c r="T433" i="27"/>
  <c r="W433" i="27" s="1"/>
  <c r="R434" i="27"/>
  <c r="U434" i="27" s="1"/>
  <c r="S434" i="27"/>
  <c r="V434" i="27" s="1"/>
  <c r="T434" i="27"/>
  <c r="W434" i="27" s="1"/>
  <c r="R435" i="27"/>
  <c r="U435" i="27" s="1"/>
  <c r="S435" i="27"/>
  <c r="V435" i="27" s="1"/>
  <c r="T435" i="27"/>
  <c r="W435" i="27" s="1"/>
  <c r="R436" i="27"/>
  <c r="U436" i="27" s="1"/>
  <c r="S436" i="27"/>
  <c r="V436" i="27" s="1"/>
  <c r="T436" i="27"/>
  <c r="W436" i="27" s="1"/>
  <c r="R437" i="27"/>
  <c r="U437" i="27" s="1"/>
  <c r="S437" i="27"/>
  <c r="V437" i="27" s="1"/>
  <c r="T437" i="27"/>
  <c r="W437" i="27" s="1"/>
  <c r="R438" i="27"/>
  <c r="U438" i="27" s="1"/>
  <c r="S438" i="27"/>
  <c r="V438" i="27" s="1"/>
  <c r="T438" i="27"/>
  <c r="W438" i="27" s="1"/>
  <c r="R439" i="27"/>
  <c r="U439" i="27" s="1"/>
  <c r="S439" i="27"/>
  <c r="V439" i="27" s="1"/>
  <c r="T439" i="27"/>
  <c r="W439" i="27" s="1"/>
  <c r="R440" i="27"/>
  <c r="U440" i="27" s="1"/>
  <c r="S440" i="27"/>
  <c r="V440" i="27" s="1"/>
  <c r="T440" i="27"/>
  <c r="W440" i="27" s="1"/>
  <c r="R441" i="27"/>
  <c r="U441" i="27" s="1"/>
  <c r="S441" i="27"/>
  <c r="V441" i="27" s="1"/>
  <c r="T441" i="27"/>
  <c r="W441" i="27" s="1"/>
  <c r="R442" i="27"/>
  <c r="U442" i="27" s="1"/>
  <c r="S442" i="27"/>
  <c r="V442" i="27" s="1"/>
  <c r="T442" i="27"/>
  <c r="W442" i="27" s="1"/>
  <c r="R443" i="27"/>
  <c r="U443" i="27" s="1"/>
  <c r="S443" i="27"/>
  <c r="V443" i="27" s="1"/>
  <c r="T443" i="27"/>
  <c r="W443" i="27" s="1"/>
  <c r="R444" i="27"/>
  <c r="U444" i="27" s="1"/>
  <c r="S444" i="27"/>
  <c r="V444" i="27" s="1"/>
  <c r="T444" i="27"/>
  <c r="W444" i="27" s="1"/>
  <c r="R445" i="27"/>
  <c r="U445" i="27" s="1"/>
  <c r="S445" i="27"/>
  <c r="V445" i="27" s="1"/>
  <c r="T445" i="27"/>
  <c r="W445" i="27" s="1"/>
  <c r="R446" i="27"/>
  <c r="U446" i="27" s="1"/>
  <c r="S446" i="27"/>
  <c r="V446" i="27" s="1"/>
  <c r="T446" i="27"/>
  <c r="W446" i="27" s="1"/>
  <c r="R447" i="27"/>
  <c r="U447" i="27" s="1"/>
  <c r="S447" i="27"/>
  <c r="V447" i="27" s="1"/>
  <c r="T447" i="27"/>
  <c r="W447" i="27" s="1"/>
  <c r="R448" i="27"/>
  <c r="U448" i="27" s="1"/>
  <c r="S448" i="27"/>
  <c r="V448" i="27" s="1"/>
  <c r="T448" i="27"/>
  <c r="W448" i="27" s="1"/>
  <c r="R449" i="27"/>
  <c r="U449" i="27" s="1"/>
  <c r="S449" i="27"/>
  <c r="V449" i="27" s="1"/>
  <c r="T449" i="27"/>
  <c r="W449" i="27" s="1"/>
  <c r="R450" i="27"/>
  <c r="U450" i="27" s="1"/>
  <c r="S450" i="27"/>
  <c r="V450" i="27" s="1"/>
  <c r="T450" i="27"/>
  <c r="W450" i="27" s="1"/>
  <c r="R451" i="27"/>
  <c r="U451" i="27" s="1"/>
  <c r="S451" i="27"/>
  <c r="V451" i="27" s="1"/>
  <c r="T451" i="27"/>
  <c r="W451" i="27" s="1"/>
  <c r="S2" i="27"/>
  <c r="V2" i="27" s="1"/>
  <c r="T2" i="27"/>
  <c r="W2" i="27" s="1"/>
  <c r="G409" i="27"/>
  <c r="G410" i="27"/>
  <c r="G411" i="27"/>
  <c r="G412" i="27"/>
  <c r="G413" i="27"/>
  <c r="G414" i="27"/>
  <c r="G415" i="27"/>
  <c r="G416" i="27"/>
  <c r="G417" i="27"/>
  <c r="G418" i="27"/>
  <c r="G419" i="27"/>
  <c r="G420" i="27"/>
  <c r="G421" i="27"/>
  <c r="G422" i="27"/>
  <c r="G423" i="27"/>
  <c r="G424" i="27"/>
  <c r="G425" i="27"/>
  <c r="G426" i="27"/>
  <c r="G427" i="27"/>
  <c r="G428" i="27"/>
  <c r="G429" i="27"/>
  <c r="G430" i="27"/>
  <c r="G431" i="27"/>
  <c r="G432" i="27"/>
  <c r="G433" i="27"/>
  <c r="G434" i="27"/>
  <c r="G435" i="27"/>
  <c r="G436" i="27"/>
  <c r="G437" i="27"/>
  <c r="G438" i="27"/>
  <c r="G439" i="27"/>
  <c r="G440" i="27"/>
  <c r="G441" i="27"/>
  <c r="G442" i="27"/>
  <c r="G443" i="27"/>
  <c r="G444" i="27"/>
  <c r="G445" i="27"/>
  <c r="G446" i="27"/>
  <c r="G447" i="27"/>
  <c r="G448" i="27"/>
  <c r="G449" i="27"/>
  <c r="G450" i="27"/>
  <c r="G451" i="27"/>
  <c r="H409" i="27"/>
  <c r="H410" i="27"/>
  <c r="H411" i="27"/>
  <c r="H412" i="27"/>
  <c r="H413" i="27"/>
  <c r="H414" i="27"/>
  <c r="H415" i="27"/>
  <c r="H416" i="27"/>
  <c r="H417" i="27"/>
  <c r="H418" i="27"/>
  <c r="H419" i="27"/>
  <c r="H420" i="27"/>
  <c r="H421" i="27"/>
  <c r="H422" i="27"/>
  <c r="H423" i="27"/>
  <c r="H424" i="27"/>
  <c r="H425" i="27"/>
  <c r="H426" i="27"/>
  <c r="H427" i="27"/>
  <c r="H428" i="27"/>
  <c r="H429" i="27"/>
  <c r="H430" i="27"/>
  <c r="H431" i="27"/>
  <c r="H432" i="27"/>
  <c r="H433" i="27"/>
  <c r="H434" i="27"/>
  <c r="H435" i="27"/>
  <c r="H436" i="27"/>
  <c r="H437" i="27"/>
  <c r="H438" i="27"/>
  <c r="H439" i="27"/>
  <c r="H440" i="27"/>
  <c r="H441" i="27"/>
  <c r="H442" i="27"/>
  <c r="H443" i="27"/>
  <c r="H444" i="27"/>
  <c r="H445" i="27"/>
  <c r="H446" i="27"/>
  <c r="H447" i="27"/>
  <c r="H448" i="27"/>
  <c r="H449" i="27"/>
  <c r="H450" i="27"/>
  <c r="H451" i="27"/>
  <c r="I409" i="27"/>
  <c r="I410" i="27"/>
  <c r="I411" i="27"/>
  <c r="I412" i="27"/>
  <c r="I413" i="27"/>
  <c r="I414" i="27"/>
  <c r="I415" i="27"/>
  <c r="I416" i="27"/>
  <c r="I417" i="27"/>
  <c r="I418" i="27"/>
  <c r="I419" i="27"/>
  <c r="I420" i="27"/>
  <c r="I421" i="27"/>
  <c r="I422" i="27"/>
  <c r="I423" i="27"/>
  <c r="I424" i="27"/>
  <c r="I425" i="27"/>
  <c r="I426" i="27"/>
  <c r="I427" i="27"/>
  <c r="I428" i="27"/>
  <c r="I429" i="27"/>
  <c r="I430" i="27"/>
  <c r="I431" i="27"/>
  <c r="I432" i="27"/>
  <c r="I433" i="27"/>
  <c r="I434" i="27"/>
  <c r="I435" i="27"/>
  <c r="I436" i="27"/>
  <c r="I437" i="27"/>
  <c r="I438" i="27"/>
  <c r="I439" i="27"/>
  <c r="I440" i="27"/>
  <c r="I441" i="27"/>
  <c r="I442" i="27"/>
  <c r="I443" i="27"/>
  <c r="I444" i="27"/>
  <c r="I445" i="27"/>
  <c r="I446" i="27"/>
  <c r="I447" i="27"/>
  <c r="I448" i="27"/>
  <c r="I449" i="27"/>
  <c r="I450" i="27"/>
  <c r="I451" i="27"/>
  <c r="I2" i="27"/>
  <c r="I408" i="27"/>
  <c r="H408" i="27"/>
  <c r="G408" i="27"/>
  <c r="I407" i="27"/>
  <c r="H407" i="27"/>
  <c r="G407" i="27"/>
  <c r="I406" i="27"/>
  <c r="H406" i="27"/>
  <c r="G406" i="27"/>
  <c r="I405" i="27"/>
  <c r="H405" i="27"/>
  <c r="G405" i="27"/>
  <c r="I404" i="27"/>
  <c r="H404" i="27"/>
  <c r="G404" i="27"/>
  <c r="I403" i="27"/>
  <c r="H403" i="27"/>
  <c r="G403" i="27"/>
  <c r="I402" i="27"/>
  <c r="H402" i="27"/>
  <c r="G402" i="27"/>
  <c r="I401" i="27"/>
  <c r="H401" i="27"/>
  <c r="G401" i="27"/>
  <c r="I400" i="27"/>
  <c r="H400" i="27"/>
  <c r="G400" i="27"/>
  <c r="I399" i="27"/>
  <c r="H399" i="27"/>
  <c r="G399" i="27"/>
  <c r="I398" i="27"/>
  <c r="H398" i="27"/>
  <c r="G398" i="27"/>
  <c r="I397" i="27"/>
  <c r="H397" i="27"/>
  <c r="G397" i="27"/>
  <c r="I396" i="27"/>
  <c r="H396" i="27"/>
  <c r="G396" i="27"/>
  <c r="I395" i="27"/>
  <c r="H395" i="27"/>
  <c r="G395" i="27"/>
  <c r="I394" i="27"/>
  <c r="H394" i="27"/>
  <c r="G394" i="27"/>
  <c r="I393" i="27"/>
  <c r="H393" i="27"/>
  <c r="G393" i="27"/>
  <c r="I392" i="27"/>
  <c r="H392" i="27"/>
  <c r="G392" i="27"/>
  <c r="I391" i="27"/>
  <c r="H391" i="27"/>
  <c r="G391" i="27"/>
  <c r="I390" i="27"/>
  <c r="H390" i="27"/>
  <c r="G390" i="27"/>
  <c r="I389" i="27"/>
  <c r="H389" i="27"/>
  <c r="G389" i="27"/>
  <c r="I388" i="27"/>
  <c r="H388" i="27"/>
  <c r="G388" i="27"/>
  <c r="I387" i="27"/>
  <c r="H387" i="27"/>
  <c r="G387" i="27"/>
  <c r="I386" i="27"/>
  <c r="H386" i="27"/>
  <c r="G386" i="27"/>
  <c r="I385" i="27"/>
  <c r="H385" i="27"/>
  <c r="G385" i="27"/>
  <c r="I384" i="27"/>
  <c r="H384" i="27"/>
  <c r="G384" i="27"/>
  <c r="I383" i="27"/>
  <c r="H383" i="27"/>
  <c r="G383" i="27"/>
  <c r="I382" i="27"/>
  <c r="H382" i="27"/>
  <c r="G382" i="27"/>
  <c r="I381" i="27"/>
  <c r="H381" i="27"/>
  <c r="G381" i="27"/>
  <c r="I380" i="27"/>
  <c r="H380" i="27"/>
  <c r="G380" i="27"/>
  <c r="I379" i="27"/>
  <c r="H379" i="27"/>
  <c r="G379" i="27"/>
  <c r="I378" i="27"/>
  <c r="H378" i="27"/>
  <c r="G378" i="27"/>
  <c r="I377" i="27"/>
  <c r="H377" i="27"/>
  <c r="G377" i="27"/>
  <c r="I376" i="27"/>
  <c r="H376" i="27"/>
  <c r="G376" i="27"/>
  <c r="I375" i="27"/>
  <c r="H375" i="27"/>
  <c r="G375" i="27"/>
  <c r="I374" i="27"/>
  <c r="H374" i="27"/>
  <c r="G374" i="27"/>
  <c r="I373" i="27"/>
  <c r="H373" i="27"/>
  <c r="G373" i="27"/>
  <c r="I372" i="27"/>
  <c r="H372" i="27"/>
  <c r="G372" i="27"/>
  <c r="I371" i="27"/>
  <c r="H371" i="27"/>
  <c r="G371" i="27"/>
  <c r="I370" i="27"/>
  <c r="H370" i="27"/>
  <c r="G370" i="27"/>
  <c r="I369" i="27"/>
  <c r="H369" i="27"/>
  <c r="G369" i="27"/>
  <c r="I368" i="27"/>
  <c r="H368" i="27"/>
  <c r="G368" i="27"/>
  <c r="I367" i="27"/>
  <c r="H367" i="27"/>
  <c r="G367" i="27"/>
  <c r="I366" i="27"/>
  <c r="H366" i="27"/>
  <c r="G366" i="27"/>
  <c r="I365" i="27"/>
  <c r="H365" i="27"/>
  <c r="G365" i="27"/>
  <c r="I364" i="27"/>
  <c r="H364" i="27"/>
  <c r="G364" i="27"/>
  <c r="I363" i="27"/>
  <c r="H363" i="27"/>
  <c r="G363" i="27"/>
  <c r="I362" i="27"/>
  <c r="H362" i="27"/>
  <c r="G362" i="27"/>
  <c r="I361" i="27"/>
  <c r="H361" i="27"/>
  <c r="G361" i="27"/>
  <c r="I360" i="27"/>
  <c r="H360" i="27"/>
  <c r="G360" i="27"/>
  <c r="I359" i="27"/>
  <c r="H359" i="27"/>
  <c r="G359" i="27"/>
  <c r="I358" i="27"/>
  <c r="H358" i="27"/>
  <c r="G358" i="27"/>
  <c r="I357" i="27"/>
  <c r="H357" i="27"/>
  <c r="G357" i="27"/>
  <c r="I356" i="27"/>
  <c r="H356" i="27"/>
  <c r="G356" i="27"/>
  <c r="I355" i="27"/>
  <c r="H355" i="27"/>
  <c r="G355" i="27"/>
  <c r="I354" i="27"/>
  <c r="H354" i="27"/>
  <c r="G354" i="27"/>
  <c r="I353" i="27"/>
  <c r="H353" i="27"/>
  <c r="G353" i="27"/>
  <c r="I352" i="27"/>
  <c r="H352" i="27"/>
  <c r="G352" i="27"/>
  <c r="I351" i="27"/>
  <c r="H351" i="27"/>
  <c r="G351" i="27"/>
  <c r="I350" i="27"/>
  <c r="H350" i="27"/>
  <c r="G350" i="27"/>
  <c r="I349" i="27"/>
  <c r="H349" i="27"/>
  <c r="G349" i="27"/>
  <c r="I348" i="27"/>
  <c r="H348" i="27"/>
  <c r="G348" i="27"/>
  <c r="I347" i="27"/>
  <c r="H347" i="27"/>
  <c r="G347" i="27"/>
  <c r="I346" i="27"/>
  <c r="H346" i="27"/>
  <c r="G346" i="27"/>
  <c r="I345" i="27"/>
  <c r="H345" i="27"/>
  <c r="G345" i="27"/>
  <c r="I344" i="27"/>
  <c r="H344" i="27"/>
  <c r="G344" i="27"/>
  <c r="I343" i="27"/>
  <c r="H343" i="27"/>
  <c r="G343" i="27"/>
  <c r="I342" i="27"/>
  <c r="H342" i="27"/>
  <c r="G342" i="27"/>
  <c r="I341" i="27"/>
  <c r="H341" i="27"/>
  <c r="G341" i="27"/>
  <c r="I340" i="27"/>
  <c r="H340" i="27"/>
  <c r="G340" i="27"/>
  <c r="I339" i="27"/>
  <c r="H339" i="27"/>
  <c r="G339" i="27"/>
  <c r="I338" i="27"/>
  <c r="H338" i="27"/>
  <c r="G338" i="27"/>
  <c r="I337" i="27"/>
  <c r="H337" i="27"/>
  <c r="G337" i="27"/>
  <c r="I336" i="27"/>
  <c r="H336" i="27"/>
  <c r="G336" i="27"/>
  <c r="I335" i="27"/>
  <c r="H335" i="27"/>
  <c r="G335" i="27"/>
  <c r="I334" i="27"/>
  <c r="H334" i="27"/>
  <c r="G334" i="27"/>
  <c r="I333" i="27"/>
  <c r="H333" i="27"/>
  <c r="G333" i="27"/>
  <c r="I332" i="27"/>
  <c r="H332" i="27"/>
  <c r="G332" i="27"/>
  <c r="I331" i="27"/>
  <c r="H331" i="27"/>
  <c r="G331" i="27"/>
  <c r="I330" i="27"/>
  <c r="H330" i="27"/>
  <c r="G330" i="27"/>
  <c r="I329" i="27"/>
  <c r="H329" i="27"/>
  <c r="G329" i="27"/>
  <c r="I327" i="27"/>
  <c r="H327" i="27"/>
  <c r="G327" i="27"/>
  <c r="I326" i="27"/>
  <c r="H326" i="27"/>
  <c r="G326" i="27"/>
  <c r="I325" i="27"/>
  <c r="H325" i="27"/>
  <c r="G325" i="27"/>
  <c r="I324" i="27"/>
  <c r="H324" i="27"/>
  <c r="G324" i="27"/>
  <c r="I323" i="27"/>
  <c r="H323" i="27"/>
  <c r="G323" i="27"/>
  <c r="I322" i="27"/>
  <c r="H322" i="27"/>
  <c r="G322" i="27"/>
  <c r="I321" i="27"/>
  <c r="H321" i="27"/>
  <c r="G321" i="27"/>
  <c r="I320" i="27"/>
  <c r="H320" i="27"/>
  <c r="G320" i="27"/>
  <c r="I319" i="27"/>
  <c r="H319" i="27"/>
  <c r="G319" i="27"/>
  <c r="I318" i="27"/>
  <c r="H318" i="27"/>
  <c r="G318" i="27"/>
  <c r="I317" i="27"/>
  <c r="H317" i="27"/>
  <c r="G317" i="27"/>
  <c r="I316" i="27"/>
  <c r="H316" i="27"/>
  <c r="G316" i="27"/>
  <c r="I315" i="27"/>
  <c r="H315" i="27"/>
  <c r="G315" i="27"/>
  <c r="I314" i="27"/>
  <c r="H314" i="27"/>
  <c r="G314" i="27"/>
  <c r="I313" i="27"/>
  <c r="H313" i="27"/>
  <c r="G313" i="27"/>
  <c r="I312" i="27"/>
  <c r="H312" i="27"/>
  <c r="G312" i="27"/>
  <c r="I311" i="27"/>
  <c r="H311" i="27"/>
  <c r="G311" i="27"/>
  <c r="I310" i="27"/>
  <c r="H310" i="27"/>
  <c r="G310" i="27"/>
  <c r="I309" i="27"/>
  <c r="H309" i="27"/>
  <c r="G309" i="27"/>
  <c r="I308" i="27"/>
  <c r="H308" i="27"/>
  <c r="G308" i="27"/>
  <c r="I307" i="27"/>
  <c r="H307" i="27"/>
  <c r="G307" i="27"/>
  <c r="I306" i="27"/>
  <c r="H306" i="27"/>
  <c r="G306" i="27"/>
  <c r="I305" i="27"/>
  <c r="H305" i="27"/>
  <c r="G305" i="27"/>
  <c r="I304" i="27"/>
  <c r="H304" i="27"/>
  <c r="G304" i="27"/>
  <c r="I303" i="27"/>
  <c r="H303" i="27"/>
  <c r="G303" i="27"/>
  <c r="I302" i="27"/>
  <c r="H302" i="27"/>
  <c r="G302" i="27"/>
  <c r="I301" i="27"/>
  <c r="H301" i="27"/>
  <c r="G301" i="27"/>
  <c r="I300" i="27"/>
  <c r="H300" i="27"/>
  <c r="G300" i="27"/>
  <c r="I299" i="27"/>
  <c r="H299" i="27"/>
  <c r="G299" i="27"/>
  <c r="I298" i="27"/>
  <c r="H298" i="27"/>
  <c r="G298" i="27"/>
  <c r="I297" i="27"/>
  <c r="H297" i="27"/>
  <c r="G297" i="27"/>
  <c r="I296" i="27"/>
  <c r="H296" i="27"/>
  <c r="G296" i="27"/>
  <c r="I295" i="27"/>
  <c r="H295" i="27"/>
  <c r="G295" i="27"/>
  <c r="I294" i="27"/>
  <c r="H294" i="27"/>
  <c r="G294" i="27"/>
  <c r="I293" i="27"/>
  <c r="H293" i="27"/>
  <c r="G293" i="27"/>
  <c r="I292" i="27"/>
  <c r="H292" i="27"/>
  <c r="G292" i="27"/>
  <c r="I291" i="27"/>
  <c r="H291" i="27"/>
  <c r="G291" i="27"/>
  <c r="I290" i="27"/>
  <c r="H290" i="27"/>
  <c r="G290" i="27"/>
  <c r="I289" i="27"/>
  <c r="H289" i="27"/>
  <c r="G289" i="27"/>
  <c r="I288" i="27"/>
  <c r="H288" i="27"/>
  <c r="G288" i="27"/>
  <c r="I287" i="27"/>
  <c r="H287" i="27"/>
  <c r="G287" i="27"/>
  <c r="I286" i="27"/>
  <c r="H286" i="27"/>
  <c r="G286" i="27"/>
  <c r="I285" i="27"/>
  <c r="H285" i="27"/>
  <c r="G285" i="27"/>
  <c r="I284" i="27"/>
  <c r="H284" i="27"/>
  <c r="G284" i="27"/>
  <c r="I283" i="27"/>
  <c r="H283" i="27"/>
  <c r="G283" i="27"/>
  <c r="I282" i="27"/>
  <c r="H282" i="27"/>
  <c r="G282" i="27"/>
  <c r="I281" i="27"/>
  <c r="H281" i="27"/>
  <c r="G281" i="27"/>
  <c r="I280" i="27"/>
  <c r="H280" i="27"/>
  <c r="G280" i="27"/>
  <c r="I279" i="27"/>
  <c r="H279" i="27"/>
  <c r="G279" i="27"/>
  <c r="I278" i="27"/>
  <c r="H278" i="27"/>
  <c r="G278" i="27"/>
  <c r="I277" i="27"/>
  <c r="H277" i="27"/>
  <c r="G277" i="27"/>
  <c r="I276" i="27"/>
  <c r="H276" i="27"/>
  <c r="G276" i="27"/>
  <c r="I275" i="27"/>
  <c r="H275" i="27"/>
  <c r="G275" i="27"/>
  <c r="I274" i="27"/>
  <c r="H274" i="27"/>
  <c r="G274" i="27"/>
  <c r="I273" i="27"/>
  <c r="H273" i="27"/>
  <c r="G273" i="27"/>
  <c r="I272" i="27"/>
  <c r="H272" i="27"/>
  <c r="G272" i="27"/>
  <c r="I271" i="27"/>
  <c r="H271" i="27"/>
  <c r="G271" i="27"/>
  <c r="I270" i="27"/>
  <c r="H270" i="27"/>
  <c r="G270" i="27"/>
  <c r="I269" i="27"/>
  <c r="H269" i="27"/>
  <c r="G269" i="27"/>
  <c r="I268" i="27"/>
  <c r="H268" i="27"/>
  <c r="G268" i="27"/>
  <c r="I267" i="27"/>
  <c r="H267" i="27"/>
  <c r="G267" i="27"/>
  <c r="I266" i="27"/>
  <c r="H266" i="27"/>
  <c r="G266" i="27"/>
  <c r="I265" i="27"/>
  <c r="H265" i="27"/>
  <c r="G265" i="27"/>
  <c r="I264" i="27"/>
  <c r="H264" i="27"/>
  <c r="G264" i="27"/>
  <c r="I263" i="27"/>
  <c r="H263" i="27"/>
  <c r="G263" i="27"/>
  <c r="I262" i="27"/>
  <c r="H262" i="27"/>
  <c r="G262" i="27"/>
  <c r="I261" i="27"/>
  <c r="H261" i="27"/>
  <c r="G261" i="27"/>
  <c r="I260" i="27"/>
  <c r="H260" i="27"/>
  <c r="G260" i="27"/>
  <c r="I259" i="27"/>
  <c r="H259" i="27"/>
  <c r="G259" i="27"/>
  <c r="I258" i="27"/>
  <c r="H258" i="27"/>
  <c r="G258" i="27"/>
  <c r="I257" i="27"/>
  <c r="H257" i="27"/>
  <c r="G257" i="27"/>
  <c r="I256" i="27"/>
  <c r="G256" i="27"/>
  <c r="I255" i="27"/>
  <c r="H255" i="27"/>
  <c r="G255" i="27"/>
  <c r="I254" i="27"/>
  <c r="H254" i="27"/>
  <c r="G254" i="27"/>
  <c r="I253" i="27"/>
  <c r="H253" i="27"/>
  <c r="G253" i="27"/>
  <c r="I252" i="27"/>
  <c r="H252" i="27"/>
  <c r="G252" i="27"/>
  <c r="I251" i="27"/>
  <c r="H251" i="27"/>
  <c r="G251" i="27"/>
  <c r="I250" i="27"/>
  <c r="H250" i="27"/>
  <c r="G250" i="27"/>
  <c r="I249" i="27"/>
  <c r="H249" i="27"/>
  <c r="G249" i="27"/>
  <c r="I248" i="27"/>
  <c r="H248" i="27"/>
  <c r="G248" i="27"/>
  <c r="I247" i="27"/>
  <c r="H247" i="27"/>
  <c r="G247" i="27"/>
  <c r="I246" i="27"/>
  <c r="H246" i="27"/>
  <c r="G246" i="27"/>
  <c r="I245" i="27"/>
  <c r="H245" i="27"/>
  <c r="G245" i="27"/>
  <c r="I244" i="27"/>
  <c r="H244" i="27"/>
  <c r="G244" i="27"/>
  <c r="I243" i="27"/>
  <c r="H243" i="27"/>
  <c r="G243" i="27"/>
  <c r="I242" i="27"/>
  <c r="H242" i="27"/>
  <c r="G242" i="27"/>
  <c r="I241" i="27"/>
  <c r="H241" i="27"/>
  <c r="G241" i="27"/>
  <c r="I240" i="27"/>
  <c r="H240" i="27"/>
  <c r="G240" i="27"/>
  <c r="I239" i="27"/>
  <c r="H239" i="27"/>
  <c r="G239" i="27"/>
  <c r="I238" i="27"/>
  <c r="H238" i="27"/>
  <c r="G238" i="27"/>
  <c r="I237" i="27"/>
  <c r="H237" i="27"/>
  <c r="G237" i="27"/>
  <c r="I236" i="27"/>
  <c r="H236" i="27"/>
  <c r="G236" i="27"/>
  <c r="I235" i="27"/>
  <c r="H235" i="27"/>
  <c r="G235" i="27"/>
  <c r="I234" i="27"/>
  <c r="H234" i="27"/>
  <c r="G234" i="27"/>
  <c r="I233" i="27"/>
  <c r="H233" i="27"/>
  <c r="G233" i="27"/>
  <c r="I232" i="27"/>
  <c r="H232" i="27"/>
  <c r="G232" i="27"/>
  <c r="I231" i="27"/>
  <c r="H231" i="27"/>
  <c r="G231" i="27"/>
  <c r="I230" i="27"/>
  <c r="H230" i="27"/>
  <c r="G230" i="27"/>
  <c r="I229" i="27"/>
  <c r="H229" i="27"/>
  <c r="G229" i="27"/>
  <c r="I228" i="27"/>
  <c r="H228" i="27"/>
  <c r="G228" i="27"/>
  <c r="I227" i="27"/>
  <c r="H227" i="27"/>
  <c r="G227" i="27"/>
  <c r="I226" i="27"/>
  <c r="H226" i="27"/>
  <c r="G226" i="27"/>
  <c r="I225" i="27"/>
  <c r="H225" i="27"/>
  <c r="G225" i="27"/>
  <c r="I224" i="27"/>
  <c r="H224" i="27"/>
  <c r="G224" i="27"/>
  <c r="I223" i="27"/>
  <c r="H223" i="27"/>
  <c r="G223" i="27"/>
  <c r="I222" i="27"/>
  <c r="H222" i="27"/>
  <c r="G222" i="27"/>
  <c r="I221" i="27"/>
  <c r="H221" i="27"/>
  <c r="G221" i="27"/>
  <c r="I220" i="27"/>
  <c r="H220" i="27"/>
  <c r="G220" i="27"/>
  <c r="I219" i="27"/>
  <c r="H219" i="27"/>
  <c r="G219" i="27"/>
  <c r="I218" i="27"/>
  <c r="H218" i="27"/>
  <c r="G218" i="27"/>
  <c r="I217" i="27"/>
  <c r="H217" i="27"/>
  <c r="G217" i="27"/>
  <c r="I216" i="27"/>
  <c r="H216" i="27"/>
  <c r="G216" i="27"/>
  <c r="I215" i="27"/>
  <c r="H215" i="27"/>
  <c r="G215" i="27"/>
  <c r="I214" i="27"/>
  <c r="H214" i="27"/>
  <c r="G214" i="27"/>
  <c r="I213" i="27"/>
  <c r="H213" i="27"/>
  <c r="G213" i="27"/>
  <c r="I212" i="27"/>
  <c r="H212" i="27"/>
  <c r="G212" i="27"/>
  <c r="I211" i="27"/>
  <c r="H211" i="27"/>
  <c r="G211" i="27"/>
  <c r="I210" i="27"/>
  <c r="H210" i="27"/>
  <c r="G210" i="27"/>
  <c r="I209" i="27"/>
  <c r="H209" i="27"/>
  <c r="G209" i="27"/>
  <c r="I208" i="27"/>
  <c r="H208" i="27"/>
  <c r="G208" i="27"/>
  <c r="I207" i="27"/>
  <c r="H207" i="27"/>
  <c r="G207" i="27"/>
  <c r="I206" i="27"/>
  <c r="H206" i="27"/>
  <c r="G206" i="27"/>
  <c r="I205" i="27"/>
  <c r="H205" i="27"/>
  <c r="G205" i="27"/>
  <c r="I204" i="27"/>
  <c r="H204" i="27"/>
  <c r="G204" i="27"/>
  <c r="I203" i="27"/>
  <c r="H203" i="27"/>
  <c r="G203" i="27"/>
  <c r="I202" i="27"/>
  <c r="H202" i="27"/>
  <c r="G202" i="27"/>
  <c r="I201" i="27"/>
  <c r="H201" i="27"/>
  <c r="G201" i="27"/>
  <c r="I200" i="27"/>
  <c r="H200" i="27"/>
  <c r="G200" i="27"/>
  <c r="I199" i="27"/>
  <c r="H199" i="27"/>
  <c r="G199" i="27"/>
  <c r="I198" i="27"/>
  <c r="H198" i="27"/>
  <c r="G198" i="27"/>
  <c r="I197" i="27"/>
  <c r="H197" i="27"/>
  <c r="G197" i="27"/>
  <c r="I196" i="27"/>
  <c r="H196" i="27"/>
  <c r="G196" i="27"/>
  <c r="I195" i="27"/>
  <c r="H195" i="27"/>
  <c r="G195" i="27"/>
  <c r="I194" i="27"/>
  <c r="H194" i="27"/>
  <c r="G194" i="27"/>
  <c r="I193" i="27"/>
  <c r="H193" i="27"/>
  <c r="G193" i="27"/>
  <c r="I192" i="27"/>
  <c r="H192" i="27"/>
  <c r="G192" i="27"/>
  <c r="I191" i="27"/>
  <c r="H191" i="27"/>
  <c r="G191" i="27"/>
  <c r="I190" i="27"/>
  <c r="H190" i="27"/>
  <c r="G190" i="27"/>
  <c r="I189" i="27"/>
  <c r="H189" i="27"/>
  <c r="G189" i="27"/>
  <c r="I188" i="27"/>
  <c r="H188" i="27"/>
  <c r="G188" i="27"/>
  <c r="I187" i="27"/>
  <c r="H187" i="27"/>
  <c r="G187" i="27"/>
  <c r="I186" i="27"/>
  <c r="H186" i="27"/>
  <c r="G186" i="27"/>
  <c r="I185" i="27"/>
  <c r="H185" i="27"/>
  <c r="G185" i="27"/>
  <c r="I184" i="27"/>
  <c r="H184" i="27"/>
  <c r="G184" i="27"/>
  <c r="I183" i="27"/>
  <c r="H183" i="27"/>
  <c r="G183" i="27"/>
  <c r="I182" i="27"/>
  <c r="H182" i="27"/>
  <c r="G182" i="27"/>
  <c r="I181" i="27"/>
  <c r="H181" i="27"/>
  <c r="G181" i="27"/>
  <c r="I180" i="27"/>
  <c r="H180" i="27"/>
  <c r="G180" i="27"/>
  <c r="I179" i="27"/>
  <c r="H179" i="27"/>
  <c r="G179" i="27"/>
  <c r="I178" i="27"/>
  <c r="H178" i="27"/>
  <c r="G178" i="27"/>
  <c r="I177" i="27"/>
  <c r="H177" i="27"/>
  <c r="G177" i="27"/>
  <c r="I176" i="27"/>
  <c r="H176" i="27"/>
  <c r="G176" i="27"/>
  <c r="I175" i="27"/>
  <c r="H175" i="27"/>
  <c r="G175" i="27"/>
  <c r="I174" i="27"/>
  <c r="H174" i="27"/>
  <c r="G174" i="27"/>
  <c r="I173" i="27"/>
  <c r="H173" i="27"/>
  <c r="G173" i="27"/>
  <c r="I172" i="27"/>
  <c r="H172" i="27"/>
  <c r="G172" i="27"/>
  <c r="I171" i="27"/>
  <c r="H171" i="27"/>
  <c r="G171" i="27"/>
  <c r="I170" i="27"/>
  <c r="H170" i="27"/>
  <c r="G170" i="27"/>
  <c r="I169" i="27"/>
  <c r="H169" i="27"/>
  <c r="G169" i="27"/>
  <c r="I168" i="27"/>
  <c r="H168" i="27"/>
  <c r="G168" i="27"/>
  <c r="I167" i="27"/>
  <c r="H167" i="27"/>
  <c r="G167" i="27"/>
  <c r="I166" i="27"/>
  <c r="H166" i="27"/>
  <c r="G166" i="27"/>
  <c r="I165" i="27"/>
  <c r="H165" i="27"/>
  <c r="G165" i="27"/>
  <c r="I164" i="27"/>
  <c r="H164" i="27"/>
  <c r="G164" i="27"/>
  <c r="I163" i="27"/>
  <c r="H163" i="27"/>
  <c r="G163" i="27"/>
  <c r="I162" i="27"/>
  <c r="H162" i="27"/>
  <c r="G162" i="27"/>
  <c r="I161" i="27"/>
  <c r="H161" i="27"/>
  <c r="G161" i="27"/>
  <c r="I160" i="27"/>
  <c r="H160" i="27"/>
  <c r="G160" i="27"/>
  <c r="I159" i="27"/>
  <c r="H159" i="27"/>
  <c r="G159" i="27"/>
  <c r="I158" i="27"/>
  <c r="H158" i="27"/>
  <c r="G158" i="27"/>
  <c r="I157" i="27"/>
  <c r="H157" i="27"/>
  <c r="G157" i="27"/>
  <c r="I156" i="27"/>
  <c r="H156" i="27"/>
  <c r="G156" i="27"/>
  <c r="I155" i="27"/>
  <c r="H155" i="27"/>
  <c r="G155" i="27"/>
  <c r="I154" i="27"/>
  <c r="H154" i="27"/>
  <c r="G154" i="27"/>
  <c r="I153" i="27"/>
  <c r="H153" i="27"/>
  <c r="G153" i="27"/>
  <c r="I152" i="27"/>
  <c r="H152" i="27"/>
  <c r="G152" i="27"/>
  <c r="I151" i="27"/>
  <c r="H151" i="27"/>
  <c r="G151" i="27"/>
  <c r="I150" i="27"/>
  <c r="H150" i="27"/>
  <c r="G150" i="27"/>
  <c r="I149" i="27"/>
  <c r="H149" i="27"/>
  <c r="G149" i="27"/>
  <c r="I148" i="27"/>
  <c r="H148" i="27"/>
  <c r="G148" i="27"/>
  <c r="I147" i="27"/>
  <c r="H147" i="27"/>
  <c r="G147" i="27"/>
  <c r="I146" i="27"/>
  <c r="H146" i="27"/>
  <c r="G146" i="27"/>
  <c r="I145" i="27"/>
  <c r="H145" i="27"/>
  <c r="G145" i="27"/>
  <c r="I144" i="27"/>
  <c r="H144" i="27"/>
  <c r="G144" i="27"/>
  <c r="I143" i="27"/>
  <c r="H143" i="27"/>
  <c r="G143" i="27"/>
  <c r="I142" i="27"/>
  <c r="H142" i="27"/>
  <c r="G142" i="27"/>
  <c r="I141" i="27"/>
  <c r="H141" i="27"/>
  <c r="G141" i="27"/>
  <c r="I140" i="27"/>
  <c r="H140" i="27"/>
  <c r="G140" i="27"/>
  <c r="I139" i="27"/>
  <c r="H139" i="27"/>
  <c r="G139" i="27"/>
  <c r="I138" i="27"/>
  <c r="H138" i="27"/>
  <c r="G138" i="27"/>
  <c r="I137" i="27"/>
  <c r="H137" i="27"/>
  <c r="G137" i="27"/>
  <c r="I136" i="27"/>
  <c r="H136" i="27"/>
  <c r="G136" i="27"/>
  <c r="I135" i="27"/>
  <c r="H135" i="27"/>
  <c r="G135" i="27"/>
  <c r="I134" i="27"/>
  <c r="H134" i="27"/>
  <c r="G134" i="27"/>
  <c r="I133" i="27"/>
  <c r="H133" i="27"/>
  <c r="G133" i="27"/>
  <c r="I132" i="27"/>
  <c r="H132" i="27"/>
  <c r="G132" i="27"/>
  <c r="I131" i="27"/>
  <c r="H131" i="27"/>
  <c r="G131" i="27"/>
  <c r="I130" i="27"/>
  <c r="H130" i="27"/>
  <c r="G130" i="27"/>
  <c r="I129" i="27"/>
  <c r="H129" i="27"/>
  <c r="G129" i="27"/>
  <c r="I128" i="27"/>
  <c r="H128" i="27"/>
  <c r="G128" i="27"/>
  <c r="I127" i="27"/>
  <c r="H127" i="27"/>
  <c r="G127" i="27"/>
  <c r="I126" i="27"/>
  <c r="H126" i="27"/>
  <c r="G126" i="27"/>
  <c r="I125" i="27"/>
  <c r="H125" i="27"/>
  <c r="G125" i="27"/>
  <c r="I124" i="27"/>
  <c r="H124" i="27"/>
  <c r="G124" i="27"/>
  <c r="I123" i="27"/>
  <c r="H123" i="27"/>
  <c r="G123" i="27"/>
  <c r="I122" i="27"/>
  <c r="H122" i="27"/>
  <c r="G122" i="27"/>
  <c r="I121" i="27"/>
  <c r="H121" i="27"/>
  <c r="G121" i="27"/>
  <c r="I120" i="27"/>
  <c r="H120" i="27"/>
  <c r="G120" i="27"/>
  <c r="I119" i="27"/>
  <c r="H119" i="27"/>
  <c r="G119" i="27"/>
  <c r="I118" i="27"/>
  <c r="H118" i="27"/>
  <c r="G118" i="27"/>
  <c r="I117" i="27"/>
  <c r="H117" i="27"/>
  <c r="G117" i="27"/>
  <c r="I116" i="27"/>
  <c r="H116" i="27"/>
  <c r="G116" i="27"/>
  <c r="I115" i="27"/>
  <c r="H115" i="27"/>
  <c r="G115" i="27"/>
  <c r="I114" i="27"/>
  <c r="H114" i="27"/>
  <c r="G114" i="27"/>
  <c r="I113" i="27"/>
  <c r="H113" i="27"/>
  <c r="G113" i="27"/>
  <c r="I112" i="27"/>
  <c r="H112" i="27"/>
  <c r="G112" i="27"/>
  <c r="I111" i="27"/>
  <c r="H111" i="27"/>
  <c r="G111" i="27"/>
  <c r="I110" i="27"/>
  <c r="H110" i="27"/>
  <c r="G110" i="27"/>
  <c r="I109" i="27"/>
  <c r="H109" i="27"/>
  <c r="G109" i="27"/>
  <c r="I108" i="27"/>
  <c r="H108" i="27"/>
  <c r="G108" i="27"/>
  <c r="I107" i="27"/>
  <c r="H107" i="27"/>
  <c r="G107" i="27"/>
  <c r="I106" i="27"/>
  <c r="H106" i="27"/>
  <c r="G106" i="27"/>
  <c r="I105" i="27"/>
  <c r="H105" i="27"/>
  <c r="G105" i="27"/>
  <c r="I104" i="27"/>
  <c r="H104" i="27"/>
  <c r="G104" i="27"/>
  <c r="I103" i="27"/>
  <c r="H103" i="27"/>
  <c r="G103" i="27"/>
  <c r="I102" i="27"/>
  <c r="H102" i="27"/>
  <c r="G102" i="27"/>
  <c r="I101" i="27"/>
  <c r="H101" i="27"/>
  <c r="G101" i="27"/>
  <c r="I100" i="27"/>
  <c r="G100" i="27"/>
  <c r="I99" i="27"/>
  <c r="H99" i="27"/>
  <c r="G99" i="27"/>
  <c r="I98" i="27"/>
  <c r="H98" i="27"/>
  <c r="G98" i="27"/>
  <c r="I97" i="27"/>
  <c r="H97" i="27"/>
  <c r="G97" i="27"/>
  <c r="I96" i="27"/>
  <c r="H96" i="27"/>
  <c r="G96" i="27"/>
  <c r="I95" i="27"/>
  <c r="H95" i="27"/>
  <c r="G95" i="27"/>
  <c r="I94" i="27"/>
  <c r="H94" i="27"/>
  <c r="G94" i="27"/>
  <c r="I93" i="27"/>
  <c r="H93" i="27"/>
  <c r="I92" i="27"/>
  <c r="H92" i="27"/>
  <c r="G92" i="27"/>
  <c r="I91" i="27"/>
  <c r="H91" i="27"/>
  <c r="G91" i="27"/>
  <c r="I90" i="27"/>
  <c r="H90" i="27"/>
  <c r="G90" i="27"/>
  <c r="I89" i="27"/>
  <c r="H89" i="27"/>
  <c r="G89" i="27"/>
  <c r="I88" i="27"/>
  <c r="H88" i="27"/>
  <c r="G88" i="27"/>
  <c r="I87" i="27"/>
  <c r="H87" i="27"/>
  <c r="G87" i="27"/>
  <c r="I86" i="27"/>
  <c r="H86" i="27"/>
  <c r="G86" i="27"/>
  <c r="I85" i="27"/>
  <c r="H85" i="27"/>
  <c r="G85" i="27"/>
  <c r="I84" i="27"/>
  <c r="H84" i="27"/>
  <c r="G84" i="27"/>
  <c r="I83" i="27"/>
  <c r="H83" i="27"/>
  <c r="G83" i="27"/>
  <c r="I82" i="27"/>
  <c r="H82" i="27"/>
  <c r="G82" i="27"/>
  <c r="I81" i="27"/>
  <c r="H81" i="27"/>
  <c r="G81" i="27"/>
  <c r="I80" i="27"/>
  <c r="H80" i="27"/>
  <c r="G80" i="27"/>
  <c r="I79" i="27"/>
  <c r="H79" i="27"/>
  <c r="G79" i="27"/>
  <c r="I78" i="27"/>
  <c r="H78" i="27"/>
  <c r="G78" i="27"/>
  <c r="I77" i="27"/>
  <c r="H77" i="27"/>
  <c r="G77" i="27"/>
  <c r="I76" i="27"/>
  <c r="H76" i="27"/>
  <c r="G76" i="27"/>
  <c r="I75" i="27"/>
  <c r="H75" i="27"/>
  <c r="G75" i="27"/>
  <c r="I74" i="27"/>
  <c r="H74" i="27"/>
  <c r="G74" i="27"/>
  <c r="I73" i="27"/>
  <c r="H73" i="27"/>
  <c r="G73" i="27"/>
  <c r="I72" i="27"/>
  <c r="H72" i="27"/>
  <c r="G72" i="27"/>
  <c r="I71" i="27"/>
  <c r="H71" i="27"/>
  <c r="G71" i="27"/>
  <c r="I70" i="27"/>
  <c r="H70" i="27"/>
  <c r="G70" i="27"/>
  <c r="I69" i="27"/>
  <c r="H69" i="27"/>
  <c r="G69" i="27"/>
  <c r="I68" i="27"/>
  <c r="H68" i="27"/>
  <c r="G68" i="27"/>
  <c r="I67" i="27"/>
  <c r="H67" i="27"/>
  <c r="G67" i="27"/>
  <c r="I66" i="27"/>
  <c r="H66" i="27"/>
  <c r="G66" i="27"/>
  <c r="I65" i="27"/>
  <c r="H65" i="27"/>
  <c r="G65" i="27"/>
  <c r="I64" i="27"/>
  <c r="H64" i="27"/>
  <c r="G64" i="27"/>
  <c r="I63" i="27"/>
  <c r="H63" i="27"/>
  <c r="G63" i="27"/>
  <c r="I62" i="27"/>
  <c r="H62" i="27"/>
  <c r="G62" i="27"/>
  <c r="I61" i="27"/>
  <c r="H61" i="27"/>
  <c r="G61" i="27"/>
  <c r="I60" i="27"/>
  <c r="H60" i="27"/>
  <c r="G60" i="27"/>
  <c r="I59" i="27"/>
  <c r="H59" i="27"/>
  <c r="G59" i="27"/>
  <c r="I58" i="27"/>
  <c r="H58" i="27"/>
  <c r="G58" i="27"/>
  <c r="I56" i="27"/>
  <c r="H56" i="27"/>
  <c r="G56" i="27"/>
  <c r="I54" i="27"/>
  <c r="H54" i="27"/>
  <c r="G54" i="27"/>
  <c r="I53" i="27"/>
  <c r="H53" i="27"/>
  <c r="G53" i="27"/>
  <c r="I51" i="27"/>
  <c r="H51" i="27"/>
  <c r="G51" i="27"/>
  <c r="I50" i="27"/>
  <c r="H50" i="27"/>
  <c r="G50" i="27"/>
  <c r="I49" i="27"/>
  <c r="H49" i="27"/>
  <c r="G49" i="27"/>
  <c r="I48" i="27"/>
  <c r="H48" i="27"/>
  <c r="G48" i="27"/>
  <c r="I47" i="27"/>
  <c r="H47" i="27"/>
  <c r="G47" i="27"/>
  <c r="I46" i="27"/>
  <c r="H46" i="27"/>
  <c r="G46" i="27"/>
  <c r="I45" i="27"/>
  <c r="H45" i="27"/>
  <c r="G45" i="27"/>
  <c r="I44" i="27"/>
  <c r="H44" i="27"/>
  <c r="G44" i="27"/>
  <c r="I43" i="27"/>
  <c r="H43" i="27"/>
  <c r="G43" i="27"/>
  <c r="I42" i="27"/>
  <c r="H42" i="27"/>
  <c r="G42" i="27"/>
  <c r="I41" i="27"/>
  <c r="H41" i="27"/>
  <c r="G41" i="27"/>
  <c r="I40" i="27"/>
  <c r="H40" i="27"/>
  <c r="G40" i="27"/>
  <c r="I39" i="27"/>
  <c r="H39" i="27"/>
  <c r="G39" i="27"/>
  <c r="I38" i="27"/>
  <c r="H38" i="27"/>
  <c r="G38" i="27"/>
  <c r="I37" i="27"/>
  <c r="H37" i="27"/>
  <c r="G37" i="27"/>
  <c r="I36" i="27"/>
  <c r="H36" i="27"/>
  <c r="G36" i="27"/>
  <c r="I35" i="27"/>
  <c r="H35" i="27"/>
  <c r="G35" i="27"/>
  <c r="I34" i="27"/>
  <c r="H34" i="27"/>
  <c r="G34" i="27"/>
  <c r="I33" i="27"/>
  <c r="H33" i="27"/>
  <c r="G33" i="27"/>
  <c r="I32" i="27"/>
  <c r="H32" i="27"/>
  <c r="G32" i="27"/>
  <c r="I31" i="27"/>
  <c r="H31" i="27"/>
  <c r="G31" i="27"/>
  <c r="I30" i="27"/>
  <c r="H30" i="27"/>
  <c r="G30" i="27"/>
  <c r="I29" i="27"/>
  <c r="H29" i="27"/>
  <c r="G29" i="27"/>
  <c r="I28" i="27"/>
  <c r="H28" i="27"/>
  <c r="G28" i="27"/>
  <c r="I27" i="27"/>
  <c r="H27" i="27"/>
  <c r="G27" i="27"/>
  <c r="I26" i="27"/>
  <c r="H26" i="27"/>
  <c r="G26" i="27"/>
  <c r="I25" i="27"/>
  <c r="H25" i="27"/>
  <c r="G25" i="27"/>
  <c r="I24" i="27"/>
  <c r="H24" i="27"/>
  <c r="G24" i="27"/>
  <c r="I23" i="27"/>
  <c r="H23" i="27"/>
  <c r="G23" i="27"/>
  <c r="I22" i="27"/>
  <c r="H22" i="27"/>
  <c r="G22" i="27"/>
  <c r="I21" i="27"/>
  <c r="H21" i="27"/>
  <c r="G21" i="27"/>
  <c r="I20" i="27"/>
  <c r="H20" i="27"/>
  <c r="G20" i="27"/>
  <c r="I19" i="27"/>
  <c r="H19" i="27"/>
  <c r="G19" i="27"/>
  <c r="I18" i="27"/>
  <c r="H18" i="27"/>
  <c r="G18" i="27"/>
  <c r="I17" i="27"/>
  <c r="H17" i="27"/>
  <c r="G17" i="27"/>
  <c r="I16" i="27"/>
  <c r="H16" i="27"/>
  <c r="G16" i="27"/>
  <c r="I15" i="27"/>
  <c r="H15" i="27"/>
  <c r="G15" i="27"/>
  <c r="I14" i="27"/>
  <c r="H14" i="27"/>
  <c r="G14" i="27"/>
  <c r="I13" i="27"/>
  <c r="H13" i="27"/>
  <c r="G13" i="27"/>
  <c r="I12" i="27"/>
  <c r="H12" i="27"/>
  <c r="G12" i="27"/>
  <c r="I11" i="27"/>
  <c r="H11" i="27"/>
  <c r="G11" i="27"/>
  <c r="I10" i="27"/>
  <c r="H10" i="27"/>
  <c r="G10" i="27"/>
  <c r="I9" i="27"/>
  <c r="H9" i="27"/>
  <c r="G9" i="27"/>
  <c r="I8" i="27"/>
  <c r="H8" i="27"/>
  <c r="G8" i="27"/>
  <c r="I7" i="27"/>
  <c r="H7" i="27"/>
  <c r="G7" i="27"/>
  <c r="I6" i="27"/>
  <c r="H6" i="27"/>
  <c r="G6" i="27"/>
  <c r="I5" i="27"/>
  <c r="H5" i="27"/>
  <c r="G5" i="27"/>
  <c r="I4" i="27"/>
  <c r="H4" i="27"/>
  <c r="G4" i="27"/>
  <c r="I3" i="27"/>
  <c r="H3" i="27"/>
  <c r="G3" i="27"/>
  <c r="AH4" i="1" l="1"/>
  <c r="AH527" i="1" s="1"/>
  <c r="AG527" i="1"/>
  <c r="AC527" i="1"/>
  <c r="AC529" i="1"/>
  <c r="AB524" i="1"/>
  <c r="AB527" i="1" s="1"/>
  <c r="AB533" i="1"/>
  <c r="AB534" i="1"/>
  <c r="U508" i="1"/>
  <c r="H390" i="25"/>
  <c r="AB529" i="1" l="1"/>
  <c r="Z313" i="6"/>
  <c r="Z314" i="6"/>
  <c r="Z315" i="6"/>
  <c r="Z316" i="6"/>
  <c r="Z398" i="1" l="1"/>
  <c r="B395" i="1"/>
  <c r="S395" i="1"/>
  <c r="T395" i="1"/>
  <c r="U395" i="1"/>
  <c r="V395" i="1"/>
  <c r="W395" i="1"/>
  <c r="Z28" i="1"/>
  <c r="T290" i="1"/>
  <c r="U290" i="1"/>
  <c r="V290" i="1"/>
  <c r="W290" i="1"/>
  <c r="U492" i="1"/>
  <c r="V492" i="1"/>
  <c r="W492" i="1"/>
  <c r="Z492" i="1"/>
  <c r="Z534" i="1" l="1"/>
  <c r="Z260" i="1"/>
  <c r="Z247" i="1"/>
  <c r="M95" i="25"/>
  <c r="Z533" i="1" l="1"/>
  <c r="Z524" i="1"/>
  <c r="Z529" i="1" s="1"/>
  <c r="I2" i="25"/>
  <c r="I3" i="25"/>
  <c r="I4" i="25"/>
  <c r="I5" i="25"/>
  <c r="I6" i="25"/>
  <c r="I7" i="25"/>
  <c r="I8" i="25"/>
  <c r="I9" i="25"/>
  <c r="I10" i="25"/>
  <c r="I11" i="25"/>
  <c r="I12" i="25"/>
  <c r="I13" i="25"/>
  <c r="I14" i="25"/>
  <c r="I15" i="25"/>
  <c r="I16" i="25"/>
  <c r="I17" i="25"/>
  <c r="I18" i="25"/>
  <c r="I19" i="25"/>
  <c r="I20" i="25"/>
  <c r="I22"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3" i="25"/>
  <c r="I54" i="25"/>
  <c r="I56"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H2" i="25" l="1"/>
  <c r="H3" i="25"/>
  <c r="H4" i="25"/>
  <c r="H5" i="25"/>
  <c r="H6" i="25"/>
  <c r="H7" i="25"/>
  <c r="H8" i="25"/>
  <c r="H9" i="25"/>
  <c r="H10" i="25"/>
  <c r="H11" i="25"/>
  <c r="H12" i="25"/>
  <c r="H13" i="25"/>
  <c r="H14" i="25"/>
  <c r="H15" i="25"/>
  <c r="H16" i="25"/>
  <c r="H17" i="25"/>
  <c r="H18" i="25"/>
  <c r="H19" i="25"/>
  <c r="H20" i="25"/>
  <c r="H22"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3" i="25"/>
  <c r="H54" i="25"/>
  <c r="H56"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8" i="25"/>
  <c r="H369" i="25"/>
  <c r="H370" i="25"/>
  <c r="H371" i="25"/>
  <c r="H372" i="25"/>
  <c r="H373" i="25"/>
  <c r="H374" i="25"/>
  <c r="H375" i="25"/>
  <c r="H376" i="25"/>
  <c r="H377" i="25"/>
  <c r="H378" i="25"/>
  <c r="H379" i="25"/>
  <c r="H380" i="25"/>
  <c r="H381" i="25"/>
  <c r="H382" i="25"/>
  <c r="H383" i="25"/>
  <c r="H384" i="25"/>
  <c r="H385" i="25"/>
  <c r="H386" i="25"/>
  <c r="H387" i="25"/>
  <c r="H388" i="25"/>
  <c r="H389" i="25"/>
  <c r="H391" i="25"/>
  <c r="H392" i="25"/>
  <c r="H393" i="25"/>
  <c r="H394" i="25"/>
  <c r="H395" i="25"/>
  <c r="H396" i="25"/>
  <c r="H397" i="25"/>
  <c r="H398" i="25"/>
  <c r="H399" i="25"/>
  <c r="H400" i="25"/>
  <c r="H401" i="25"/>
  <c r="H402" i="25"/>
  <c r="H403" i="25"/>
  <c r="H404" i="25"/>
  <c r="H405" i="25"/>
  <c r="H406" i="25"/>
  <c r="H407" i="25"/>
  <c r="H408" i="25"/>
  <c r="G2" i="25"/>
  <c r="G3" i="25"/>
  <c r="G4" i="25"/>
  <c r="G5" i="25"/>
  <c r="G6" i="25"/>
  <c r="G7" i="25"/>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3" i="25"/>
  <c r="G54" i="25"/>
  <c r="G56"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407" i="25"/>
  <c r="G408" i="25"/>
  <c r="B50" i="1" l="1"/>
  <c r="B105" i="1"/>
  <c r="B241" i="1" l="1"/>
  <c r="O16" i="1" l="1"/>
  <c r="R315" i="1" l="1"/>
  <c r="I17" i="1" l="1"/>
  <c r="Y315" i="6"/>
  <c r="K314" i="6" l="1"/>
  <c r="L314" i="6"/>
  <c r="M314" i="6"/>
  <c r="N314" i="6"/>
  <c r="O314" i="6"/>
  <c r="P314" i="6"/>
  <c r="Q314" i="6"/>
  <c r="R314" i="6"/>
  <c r="S314" i="6"/>
  <c r="T314" i="6"/>
  <c r="U314" i="6"/>
  <c r="V314" i="6"/>
  <c r="W314" i="6"/>
  <c r="X314" i="6"/>
  <c r="Y314" i="6"/>
  <c r="M438" i="13"/>
  <c r="U315" i="3"/>
  <c r="B111" i="1"/>
  <c r="B355" i="1" l="1"/>
  <c r="I431" i="13"/>
  <c r="T398" i="1"/>
  <c r="U398" i="1"/>
  <c r="V369" i="1"/>
  <c r="W369" i="1"/>
  <c r="R118" i="1"/>
  <c r="S118" i="1"/>
  <c r="T118" i="1"/>
  <c r="U118" i="1"/>
  <c r="V118" i="1"/>
  <c r="W118" i="1"/>
  <c r="L281" i="1" l="1"/>
  <c r="K281" i="1"/>
  <c r="K295" i="1"/>
  <c r="O300" i="1"/>
  <c r="N300" i="1"/>
  <c r="M300" i="1"/>
  <c r="G300" i="1"/>
  <c r="F310" i="1"/>
  <c r="E310" i="1"/>
  <c r="I311" i="1"/>
  <c r="N336" i="1"/>
  <c r="M336" i="1"/>
  <c r="G336" i="1"/>
  <c r="P338" i="1"/>
  <c r="M338" i="1"/>
  <c r="J338" i="1"/>
  <c r="N350" i="1"/>
  <c r="M350" i="1"/>
  <c r="G350" i="1"/>
  <c r="O361" i="1"/>
  <c r="O360" i="1"/>
  <c r="K367" i="1"/>
  <c r="J367" i="1"/>
  <c r="I367" i="1"/>
  <c r="F372" i="1"/>
  <c r="E372" i="1"/>
  <c r="H373" i="1"/>
  <c r="K373" i="1"/>
  <c r="J391" i="1"/>
  <c r="Q409" i="1"/>
  <c r="L413" i="1"/>
  <c r="K413" i="1"/>
  <c r="H413" i="1"/>
  <c r="O435" i="1"/>
  <c r="J462" i="1"/>
  <c r="K462" i="1"/>
  <c r="L462" i="1"/>
  <c r="H462" i="1"/>
  <c r="F483" i="1"/>
  <c r="E483" i="1"/>
  <c r="P486" i="1"/>
  <c r="I507" i="1"/>
  <c r="O230" i="1"/>
  <c r="M217" i="1"/>
  <c r="Q213" i="1"/>
  <c r="G210" i="1"/>
  <c r="H210" i="1"/>
  <c r="I157" i="1"/>
  <c r="O152" i="1"/>
  <c r="G138" i="1"/>
  <c r="O29" i="1"/>
  <c r="M26" i="1"/>
  <c r="H439" i="1"/>
  <c r="Q372" i="1"/>
  <c r="M372" i="1"/>
  <c r="P367" i="1"/>
  <c r="M326" i="1"/>
  <c r="U356" i="1"/>
  <c r="U295" i="1"/>
  <c r="K208" i="1"/>
  <c r="J208" i="1"/>
  <c r="I208" i="1"/>
  <c r="W185" i="1"/>
  <c r="V185" i="1"/>
  <c r="U185" i="1"/>
  <c r="T185" i="1"/>
  <c r="S185" i="1"/>
  <c r="M160" i="1"/>
  <c r="M162" i="1"/>
  <c r="M161" i="1"/>
  <c r="K162" i="1"/>
  <c r="K161" i="1"/>
  <c r="N157" i="1"/>
  <c r="O117" i="1"/>
  <c r="O65" i="1"/>
  <c r="I42" i="1"/>
  <c r="J34" i="1"/>
  <c r="N16" i="1"/>
  <c r="M16" i="1"/>
  <c r="K16" i="1"/>
  <c r="L28" i="1"/>
  <c r="K28" i="1"/>
  <c r="U134" i="1"/>
  <c r="U523" i="1"/>
  <c r="T523" i="1"/>
  <c r="Z202" i="18"/>
  <c r="AA200" i="18" s="1"/>
  <c r="AH200" i="18" s="1"/>
  <c r="B521" i="1"/>
  <c r="P520" i="1"/>
  <c r="O513" i="1"/>
  <c r="P524" i="1" l="1"/>
  <c r="P529" i="1" s="1"/>
  <c r="J524" i="1"/>
  <c r="O524" i="1"/>
  <c r="O529" i="1" s="1"/>
  <c r="AI200" i="18"/>
  <c r="AK200" i="18"/>
  <c r="AJ200" i="18"/>
  <c r="AB200" i="18"/>
  <c r="AG200" i="18"/>
  <c r="AA199" i="18"/>
  <c r="AA201" i="18"/>
  <c r="R510" i="1"/>
  <c r="U485" i="1"/>
  <c r="B390" i="1"/>
  <c r="T390" i="1"/>
  <c r="U390" i="1" s="1"/>
  <c r="T386" i="1"/>
  <c r="U386" i="1"/>
  <c r="V386" i="1"/>
  <c r="W386" i="1"/>
  <c r="J527" i="1" l="1"/>
  <c r="J529" i="1"/>
  <c r="AF201" i="18"/>
  <c r="AG201" i="18"/>
  <c r="AD201" i="18"/>
  <c r="AB201" i="18"/>
  <c r="AE201" i="18"/>
  <c r="AC201" i="18"/>
  <c r="AH199" i="18"/>
  <c r="AK199" i="18"/>
  <c r="AG199" i="18"/>
  <c r="AJ199" i="18"/>
  <c r="AI199" i="18"/>
  <c r="AB199" i="18"/>
  <c r="B188" i="1"/>
  <c r="Y316" i="6" l="1"/>
  <c r="X316" i="6"/>
  <c r="Y313" i="6"/>
  <c r="X313" i="6"/>
  <c r="U241" i="1" l="1"/>
  <c r="B233" i="1"/>
  <c r="T233" i="1"/>
  <c r="U233" i="1"/>
  <c r="V233" i="1"/>
  <c r="W233" i="1"/>
  <c r="B227" i="1"/>
  <c r="T227" i="1"/>
  <c r="U227" i="1"/>
  <c r="T2" i="18" l="1"/>
  <c r="T3" i="18"/>
  <c r="T4" i="18"/>
  <c r="T5" i="18"/>
  <c r="T6" i="18"/>
  <c r="T7" i="18"/>
  <c r="T8" i="18"/>
  <c r="T9" i="18"/>
  <c r="T10" i="18"/>
  <c r="T11" i="18"/>
  <c r="T12" i="18"/>
  <c r="T13" i="18"/>
  <c r="T14" i="18"/>
  <c r="T15" i="18"/>
  <c r="T16" i="18"/>
  <c r="T17" i="18"/>
  <c r="T18" i="18"/>
  <c r="T19" i="18"/>
  <c r="T20" i="18"/>
  <c r="T21" i="18"/>
  <c r="T22" i="18"/>
  <c r="T23" i="18"/>
  <c r="T24" i="18"/>
  <c r="T25" i="18"/>
  <c r="T26" i="18"/>
  <c r="T27" i="18"/>
  <c r="T28" i="18"/>
  <c r="T29" i="18"/>
  <c r="T30" i="18"/>
  <c r="T31" i="18"/>
  <c r="T32" i="18"/>
  <c r="T33" i="18"/>
  <c r="T34" i="18"/>
  <c r="T35" i="18"/>
  <c r="T36" i="18"/>
  <c r="T37" i="18"/>
  <c r="T38" i="18"/>
  <c r="T39" i="18"/>
  <c r="T40" i="18"/>
  <c r="T41" i="18"/>
  <c r="T42" i="18"/>
  <c r="T43" i="18"/>
  <c r="T44" i="18"/>
  <c r="T45" i="18"/>
  <c r="T46" i="18"/>
  <c r="T47" i="18"/>
  <c r="T48" i="18"/>
  <c r="T49" i="18"/>
  <c r="T50" i="18"/>
  <c r="T51" i="18"/>
  <c r="T52" i="18"/>
  <c r="T53" i="18"/>
  <c r="T54" i="18"/>
  <c r="T55" i="18"/>
  <c r="T56" i="18"/>
  <c r="T57" i="18"/>
  <c r="T58" i="18"/>
  <c r="T59" i="18"/>
  <c r="T60" i="18"/>
  <c r="T61" i="18"/>
  <c r="T62" i="18"/>
  <c r="T63" i="18"/>
  <c r="T64" i="18"/>
  <c r="T65" i="18"/>
  <c r="T66" i="18"/>
  <c r="T67" i="18"/>
  <c r="T68" i="18"/>
  <c r="T69" i="18"/>
  <c r="T70" i="18"/>
  <c r="T71" i="18"/>
  <c r="T72" i="18"/>
  <c r="T73" i="18"/>
  <c r="T74" i="18"/>
  <c r="T75" i="18"/>
  <c r="T76" i="18"/>
  <c r="T77" i="18"/>
  <c r="T78" i="18"/>
  <c r="T79" i="18"/>
  <c r="T80" i="18"/>
  <c r="T81" i="18"/>
  <c r="T82" i="18"/>
  <c r="T83" i="18"/>
  <c r="T84" i="18"/>
  <c r="T85" i="18"/>
  <c r="T86" i="18"/>
  <c r="T87" i="18"/>
  <c r="T88" i="18"/>
  <c r="T89" i="18"/>
  <c r="T90" i="18"/>
  <c r="T91" i="18"/>
  <c r="T92" i="18"/>
  <c r="T93" i="18"/>
  <c r="T94" i="18"/>
  <c r="T95" i="18"/>
  <c r="T96" i="18"/>
  <c r="T97" i="18"/>
  <c r="T98" i="18"/>
  <c r="T99" i="18"/>
  <c r="T100" i="18"/>
  <c r="T101" i="18"/>
  <c r="T102" i="18"/>
  <c r="T103" i="18"/>
  <c r="T104" i="18"/>
  <c r="T105" i="18"/>
  <c r="T106" i="18"/>
  <c r="T107" i="18"/>
  <c r="T108" i="18"/>
  <c r="T109" i="18"/>
  <c r="T110" i="18"/>
  <c r="T111" i="18"/>
  <c r="T112" i="18"/>
  <c r="T113" i="18"/>
  <c r="T114" i="18"/>
  <c r="T115" i="18"/>
  <c r="T116" i="18"/>
  <c r="T117" i="18"/>
  <c r="T118" i="18"/>
  <c r="T119" i="18"/>
  <c r="T120" i="18"/>
  <c r="T121" i="18"/>
  <c r="T122" i="18"/>
  <c r="T123" i="18"/>
  <c r="T124" i="18"/>
  <c r="T125" i="18"/>
  <c r="T126" i="18"/>
  <c r="T127" i="18"/>
  <c r="T128" i="18"/>
  <c r="T129" i="18"/>
  <c r="T130" i="18"/>
  <c r="T131" i="18"/>
  <c r="T132" i="18"/>
  <c r="T133" i="18"/>
  <c r="T134" i="18"/>
  <c r="T135" i="18"/>
  <c r="T136" i="18"/>
  <c r="T137" i="18"/>
  <c r="T138" i="18"/>
  <c r="T139" i="18"/>
  <c r="T140" i="18"/>
  <c r="T141" i="18"/>
  <c r="T142" i="18"/>
  <c r="T144" i="18"/>
  <c r="T145" i="18"/>
  <c r="T146" i="18"/>
  <c r="T147" i="18"/>
  <c r="T148" i="18"/>
  <c r="T149" i="18"/>
  <c r="T150" i="18"/>
  <c r="T151" i="18"/>
  <c r="T152" i="18"/>
  <c r="T153" i="18"/>
  <c r="T154" i="18"/>
  <c r="T156" i="18"/>
  <c r="T157" i="18"/>
  <c r="T158" i="18"/>
  <c r="T159" i="18"/>
  <c r="T160" i="18"/>
  <c r="T161" i="18"/>
  <c r="T162" i="18"/>
  <c r="T163" i="18"/>
  <c r="T164" i="18"/>
  <c r="T165" i="18"/>
  <c r="T166" i="18"/>
  <c r="T167" i="18"/>
  <c r="T168" i="18"/>
  <c r="T169" i="18"/>
  <c r="T170" i="18"/>
  <c r="T171" i="18"/>
  <c r="T172" i="18"/>
  <c r="T173" i="18"/>
  <c r="T174" i="18"/>
  <c r="T175" i="18"/>
  <c r="T176" i="18"/>
  <c r="T177" i="18"/>
  <c r="T178" i="18"/>
  <c r="T179" i="18"/>
  <c r="T180" i="18"/>
  <c r="T181" i="18"/>
  <c r="T182" i="18"/>
  <c r="T183" i="18"/>
  <c r="T184" i="18"/>
  <c r="T185" i="18"/>
  <c r="T186" i="18"/>
  <c r="T187" i="18"/>
  <c r="T188" i="18"/>
  <c r="T189" i="18"/>
  <c r="T190" i="18"/>
  <c r="T191" i="18"/>
  <c r="T192" i="18"/>
  <c r="T193" i="18"/>
  <c r="T194" i="18"/>
  <c r="T195" i="18"/>
  <c r="T196" i="18"/>
  <c r="T197" i="18"/>
  <c r="T198" i="18"/>
  <c r="T199" i="18"/>
  <c r="T200" i="18"/>
  <c r="T201" i="18"/>
  <c r="T202" i="18"/>
  <c r="T203" i="18"/>
  <c r="T204" i="18"/>
  <c r="T205" i="18"/>
  <c r="T207" i="18"/>
  <c r="T208" i="18"/>
  <c r="T209" i="18"/>
  <c r="T210" i="18"/>
  <c r="T211" i="18"/>
  <c r="T212" i="18"/>
  <c r="T213" i="18"/>
  <c r="T214" i="18"/>
  <c r="T215" i="18"/>
  <c r="T216" i="18"/>
  <c r="T219" i="18"/>
  <c r="T220" i="18"/>
  <c r="T222" i="18"/>
  <c r="T226" i="18"/>
  <c r="T227" i="18"/>
  <c r="T228" i="18"/>
  <c r="T229" i="18"/>
  <c r="T230" i="18"/>
  <c r="T232" i="18"/>
  <c r="T233" i="18"/>
  <c r="T234" i="18"/>
  <c r="T235" i="18"/>
  <c r="T236" i="18"/>
  <c r="T237" i="18"/>
  <c r="T238" i="18"/>
  <c r="T239" i="18"/>
  <c r="T240" i="18"/>
  <c r="T241" i="18"/>
  <c r="T242" i="18"/>
  <c r="T243" i="18"/>
  <c r="T244" i="18"/>
  <c r="T245" i="18"/>
  <c r="T246" i="18"/>
  <c r="T247" i="18"/>
  <c r="T248" i="18"/>
  <c r="T249" i="18"/>
  <c r="T250" i="18"/>
  <c r="T251" i="18"/>
  <c r="T252" i="18"/>
  <c r="T253" i="18"/>
  <c r="T254" i="18"/>
  <c r="T255" i="18"/>
  <c r="T256" i="18"/>
  <c r="T257" i="18"/>
  <c r="T258" i="18"/>
  <c r="T259" i="18"/>
  <c r="T260" i="18"/>
  <c r="T261" i="18"/>
  <c r="T262" i="18"/>
  <c r="T263" i="18"/>
  <c r="T264" i="18"/>
  <c r="T266" i="18"/>
  <c r="T267" i="18"/>
  <c r="T268" i="18"/>
  <c r="T269" i="18"/>
  <c r="T270" i="18"/>
  <c r="T271" i="18"/>
  <c r="T275" i="18"/>
  <c r="T282" i="18"/>
  <c r="T284" i="18"/>
  <c r="T285" i="18"/>
  <c r="T286" i="18"/>
  <c r="T287" i="18"/>
  <c r="T288" i="18"/>
  <c r="T290" i="18"/>
  <c r="T291" i="18"/>
  <c r="T292" i="18"/>
  <c r="T293" i="18"/>
  <c r="T294" i="18"/>
  <c r="T296" i="18"/>
  <c r="T297" i="18"/>
  <c r="T298" i="18"/>
  <c r="T299" i="18"/>
  <c r="T300" i="18"/>
  <c r="T301" i="18"/>
  <c r="T302" i="18"/>
  <c r="T303" i="18"/>
  <c r="T304" i="18"/>
  <c r="T305" i="18"/>
  <c r="T306" i="18"/>
  <c r="T307" i="18"/>
  <c r="T308" i="18"/>
  <c r="T309" i="18"/>
  <c r="T311" i="18"/>
  <c r="T313" i="18"/>
  <c r="T314" i="18"/>
  <c r="T315" i="18"/>
  <c r="T316" i="18"/>
  <c r="T317" i="18"/>
  <c r="T318" i="18"/>
  <c r="T319" i="18"/>
  <c r="T320" i="18"/>
  <c r="T321" i="18"/>
  <c r="T322" i="18"/>
  <c r="T323" i="18"/>
  <c r="T324" i="18"/>
  <c r="T325" i="18"/>
  <c r="T326" i="18"/>
  <c r="T327" i="18"/>
  <c r="T328" i="18"/>
  <c r="T329" i="18"/>
  <c r="T330" i="18"/>
  <c r="T331" i="18"/>
  <c r="T332" i="18"/>
  <c r="T333" i="18"/>
  <c r="T334" i="18"/>
  <c r="T335" i="18"/>
  <c r="T336" i="18"/>
  <c r="T337" i="18"/>
  <c r="T338" i="18"/>
  <c r="T339" i="18"/>
  <c r="T340" i="18"/>
  <c r="T341" i="18"/>
  <c r="T342" i="18"/>
  <c r="T343" i="18"/>
  <c r="T344" i="18"/>
  <c r="T345" i="18"/>
  <c r="T346" i="18"/>
  <c r="T347" i="18"/>
  <c r="T348" i="18"/>
  <c r="T349" i="18"/>
  <c r="T350" i="18"/>
  <c r="T351" i="18"/>
  <c r="T352" i="18"/>
  <c r="T353" i="18"/>
  <c r="T354" i="18"/>
  <c r="T355" i="18"/>
  <c r="T356" i="18"/>
  <c r="T357" i="18"/>
  <c r="T358" i="18"/>
  <c r="T359" i="18"/>
  <c r="T360" i="18"/>
  <c r="T361" i="18"/>
  <c r="T362" i="18"/>
  <c r="T363" i="18"/>
  <c r="T364" i="18"/>
  <c r="T365" i="18"/>
  <c r="T366" i="18"/>
  <c r="T367" i="18"/>
  <c r="T368" i="18"/>
  <c r="X368" i="18" s="1"/>
  <c r="T370" i="18"/>
  <c r="T373" i="18"/>
  <c r="T374" i="18"/>
  <c r="T375" i="18"/>
  <c r="T376" i="18"/>
  <c r="T377" i="18"/>
  <c r="T378" i="18"/>
  <c r="T379" i="18"/>
  <c r="T380" i="18"/>
  <c r="T381" i="18"/>
  <c r="T382" i="18"/>
  <c r="T383" i="18"/>
  <c r="T385" i="18"/>
  <c r="T387" i="18"/>
  <c r="T388" i="18"/>
  <c r="T389" i="18"/>
  <c r="T391" i="18"/>
  <c r="T393" i="18"/>
  <c r="T394" i="18"/>
  <c r="T395" i="18"/>
  <c r="T397" i="18"/>
  <c r="T398" i="18"/>
  <c r="T399" i="18"/>
  <c r="T400" i="18"/>
  <c r="T401" i="18"/>
  <c r="T402" i="18"/>
  <c r="T405" i="18"/>
  <c r="T406" i="18"/>
  <c r="T407" i="18"/>
  <c r="T408" i="18"/>
  <c r="T409" i="18"/>
  <c r="T410" i="18"/>
  <c r="U2" i="18"/>
  <c r="U3" i="18"/>
  <c r="U4" i="18"/>
  <c r="U5" i="18"/>
  <c r="U6" i="18"/>
  <c r="U7" i="18"/>
  <c r="U8" i="18"/>
  <c r="U9" i="18"/>
  <c r="U10" i="18"/>
  <c r="U11" i="18"/>
  <c r="U12" i="18"/>
  <c r="U13" i="18"/>
  <c r="U14" i="18"/>
  <c r="U15" i="18"/>
  <c r="U16" i="18"/>
  <c r="U17" i="18"/>
  <c r="U18" i="18"/>
  <c r="U19" i="18"/>
  <c r="U20" i="18"/>
  <c r="U21" i="18"/>
  <c r="U22" i="18"/>
  <c r="U23" i="18"/>
  <c r="U24" i="18"/>
  <c r="U25" i="18"/>
  <c r="U26" i="18"/>
  <c r="U27" i="18"/>
  <c r="U28" i="18"/>
  <c r="U29" i="18"/>
  <c r="U30" i="18"/>
  <c r="U31" i="18"/>
  <c r="U32" i="18"/>
  <c r="U33" i="18"/>
  <c r="U34" i="18"/>
  <c r="U35" i="18"/>
  <c r="U36" i="18"/>
  <c r="U37" i="18"/>
  <c r="U38" i="18"/>
  <c r="U39" i="18"/>
  <c r="U40" i="18"/>
  <c r="U41" i="18"/>
  <c r="U42" i="18"/>
  <c r="U43" i="18"/>
  <c r="U44" i="18"/>
  <c r="U45" i="18"/>
  <c r="U46" i="18"/>
  <c r="U47" i="18"/>
  <c r="U48" i="18"/>
  <c r="U49" i="18"/>
  <c r="U50" i="18"/>
  <c r="U51" i="18"/>
  <c r="U52" i="18"/>
  <c r="U53" i="18"/>
  <c r="U54" i="18"/>
  <c r="U55" i="18"/>
  <c r="U56" i="18"/>
  <c r="U57" i="18"/>
  <c r="U58" i="18"/>
  <c r="U59" i="18"/>
  <c r="U60" i="18"/>
  <c r="U61" i="18"/>
  <c r="U62" i="18"/>
  <c r="U63" i="18"/>
  <c r="U64" i="18"/>
  <c r="U65" i="18"/>
  <c r="U66" i="18"/>
  <c r="U67" i="18"/>
  <c r="U68" i="18"/>
  <c r="U69" i="18"/>
  <c r="U70" i="18"/>
  <c r="U71" i="18"/>
  <c r="U72" i="18"/>
  <c r="U73" i="18"/>
  <c r="U74" i="18"/>
  <c r="U75" i="18"/>
  <c r="U76" i="18"/>
  <c r="U77" i="18"/>
  <c r="U78" i="18"/>
  <c r="U79" i="18"/>
  <c r="U80" i="18"/>
  <c r="U81" i="18"/>
  <c r="U82" i="18"/>
  <c r="U83" i="18"/>
  <c r="U84" i="18"/>
  <c r="U85" i="18"/>
  <c r="U86" i="18"/>
  <c r="U87" i="18"/>
  <c r="U88" i="18"/>
  <c r="U89" i="18"/>
  <c r="U90" i="18"/>
  <c r="U91" i="18"/>
  <c r="U92" i="18"/>
  <c r="U93" i="18"/>
  <c r="U94" i="18"/>
  <c r="U95" i="18"/>
  <c r="U96" i="18"/>
  <c r="U97" i="18"/>
  <c r="U98" i="18"/>
  <c r="U99" i="18"/>
  <c r="U100" i="18"/>
  <c r="U101" i="18"/>
  <c r="U102" i="18"/>
  <c r="U103" i="18"/>
  <c r="U104" i="18"/>
  <c r="U105" i="18"/>
  <c r="U106" i="18"/>
  <c r="U107" i="18"/>
  <c r="U108" i="18"/>
  <c r="U109" i="18"/>
  <c r="U110" i="18"/>
  <c r="U111" i="18"/>
  <c r="U112" i="18"/>
  <c r="U113" i="18"/>
  <c r="U114" i="18"/>
  <c r="U115" i="18"/>
  <c r="U116" i="18"/>
  <c r="U117" i="18"/>
  <c r="U118" i="18"/>
  <c r="U119" i="18"/>
  <c r="U120" i="18"/>
  <c r="U121" i="18"/>
  <c r="U122" i="18"/>
  <c r="U123" i="18"/>
  <c r="U124" i="18"/>
  <c r="U125" i="18"/>
  <c r="U126" i="18"/>
  <c r="U127" i="18"/>
  <c r="U128" i="18"/>
  <c r="U129" i="18"/>
  <c r="U130" i="18"/>
  <c r="U131" i="18"/>
  <c r="U132" i="18"/>
  <c r="U133" i="18"/>
  <c r="U134" i="18"/>
  <c r="U135" i="18"/>
  <c r="U136" i="18"/>
  <c r="U137" i="18"/>
  <c r="U138" i="18"/>
  <c r="U139" i="18"/>
  <c r="U140" i="18"/>
  <c r="U141" i="18"/>
  <c r="U142" i="18"/>
  <c r="U144" i="18"/>
  <c r="U145" i="18"/>
  <c r="U146" i="18"/>
  <c r="U147" i="18"/>
  <c r="U148" i="18"/>
  <c r="U149" i="18"/>
  <c r="U150" i="18"/>
  <c r="U151" i="18"/>
  <c r="U152" i="18"/>
  <c r="U153" i="18"/>
  <c r="U154" i="18"/>
  <c r="U156" i="18"/>
  <c r="U157" i="18"/>
  <c r="U158" i="18"/>
  <c r="U159" i="18"/>
  <c r="U160" i="18"/>
  <c r="U161" i="18"/>
  <c r="U162" i="18"/>
  <c r="U163" i="18"/>
  <c r="U164" i="18"/>
  <c r="U165" i="18"/>
  <c r="U166" i="18"/>
  <c r="U168" i="18"/>
  <c r="U169" i="18"/>
  <c r="U170" i="18"/>
  <c r="U171" i="18"/>
  <c r="U172" i="18"/>
  <c r="U173" i="18"/>
  <c r="U174" i="18"/>
  <c r="U175" i="18"/>
  <c r="U176" i="18"/>
  <c r="U177" i="18"/>
  <c r="U178" i="18"/>
  <c r="U179" i="18"/>
  <c r="U180" i="18"/>
  <c r="U181" i="18"/>
  <c r="U182" i="18"/>
  <c r="U183" i="18"/>
  <c r="U184" i="18"/>
  <c r="U185" i="18"/>
  <c r="U186" i="18"/>
  <c r="U187" i="18"/>
  <c r="U188" i="18"/>
  <c r="U189" i="18"/>
  <c r="U190" i="18"/>
  <c r="U191" i="18"/>
  <c r="U192" i="18"/>
  <c r="U193" i="18"/>
  <c r="U194" i="18"/>
  <c r="U195" i="18"/>
  <c r="U196" i="18"/>
  <c r="U197" i="18"/>
  <c r="U198" i="18"/>
  <c r="U199" i="18"/>
  <c r="U200" i="18"/>
  <c r="U201" i="18"/>
  <c r="U202" i="18"/>
  <c r="U203" i="18"/>
  <c r="U204" i="18"/>
  <c r="U205" i="18"/>
  <c r="U206" i="18"/>
  <c r="U207" i="18"/>
  <c r="U208" i="18"/>
  <c r="U209" i="18"/>
  <c r="U210" i="18"/>
  <c r="U211" i="18"/>
  <c r="U212" i="18"/>
  <c r="U213" i="18"/>
  <c r="U214" i="18"/>
  <c r="U215" i="18"/>
  <c r="U216" i="18"/>
  <c r="U217" i="18"/>
  <c r="U218" i="18"/>
  <c r="U219" i="18"/>
  <c r="U220" i="18"/>
  <c r="U221" i="18"/>
  <c r="U222" i="18"/>
  <c r="U223" i="18"/>
  <c r="U224" i="18"/>
  <c r="U225" i="18"/>
  <c r="U226" i="18"/>
  <c r="U227" i="18"/>
  <c r="U228" i="18"/>
  <c r="U229" i="18"/>
  <c r="U230" i="18"/>
  <c r="U231" i="18"/>
  <c r="U232" i="18"/>
  <c r="U233" i="18"/>
  <c r="U234" i="18"/>
  <c r="U235" i="18"/>
  <c r="U236" i="18"/>
  <c r="U237" i="18"/>
  <c r="U238" i="18"/>
  <c r="U239" i="18"/>
  <c r="U240" i="18"/>
  <c r="U241" i="18"/>
  <c r="U242" i="18"/>
  <c r="U243" i="18"/>
  <c r="U245" i="18"/>
  <c r="U246" i="18"/>
  <c r="U247" i="18"/>
  <c r="U248" i="18"/>
  <c r="U249" i="18"/>
  <c r="U250" i="18"/>
  <c r="U251" i="18"/>
  <c r="U252" i="18"/>
  <c r="U253" i="18"/>
  <c r="U254" i="18"/>
  <c r="U255" i="18"/>
  <c r="U256" i="18"/>
  <c r="U257" i="18"/>
  <c r="U258" i="18"/>
  <c r="U259" i="18"/>
  <c r="U260" i="18"/>
  <c r="U261" i="18"/>
  <c r="U262" i="18"/>
  <c r="U263" i="18"/>
  <c r="U264" i="18"/>
  <c r="U265" i="18"/>
  <c r="U266" i="18"/>
  <c r="U267" i="18"/>
  <c r="U268" i="18"/>
  <c r="U269" i="18"/>
  <c r="U270" i="18"/>
  <c r="U271" i="18"/>
  <c r="U275" i="18"/>
  <c r="U282" i="18"/>
  <c r="U284" i="18"/>
  <c r="U285" i="18"/>
  <c r="U286" i="18"/>
  <c r="U287" i="18"/>
  <c r="U288" i="18"/>
  <c r="U290" i="18"/>
  <c r="U291" i="18"/>
  <c r="U292" i="18"/>
  <c r="U293" i="18"/>
  <c r="U294" i="18"/>
  <c r="U296" i="18"/>
  <c r="U297" i="18"/>
  <c r="U298" i="18"/>
  <c r="U299" i="18"/>
  <c r="U300" i="18"/>
  <c r="U301" i="18"/>
  <c r="U302" i="18"/>
  <c r="U303" i="18"/>
  <c r="U304" i="18"/>
  <c r="U305" i="18"/>
  <c r="U306" i="18"/>
  <c r="U307" i="18"/>
  <c r="U308" i="18"/>
  <c r="U309" i="18"/>
  <c r="U310" i="18"/>
  <c r="U311" i="18"/>
  <c r="U313" i="18"/>
  <c r="U314" i="18"/>
  <c r="U315" i="18"/>
  <c r="U316" i="18"/>
  <c r="U317" i="18"/>
  <c r="U318" i="18"/>
  <c r="U319" i="18"/>
  <c r="U320" i="18"/>
  <c r="U321" i="18"/>
  <c r="U322" i="18"/>
  <c r="U323" i="18"/>
  <c r="U324" i="18"/>
  <c r="U325" i="18"/>
  <c r="U326" i="18"/>
  <c r="U327" i="18"/>
  <c r="U328" i="18"/>
  <c r="U329" i="18"/>
  <c r="U330" i="18"/>
  <c r="U331" i="18"/>
  <c r="U332" i="18"/>
  <c r="U333" i="18"/>
  <c r="U334" i="18"/>
  <c r="U335" i="18"/>
  <c r="U336" i="18"/>
  <c r="U337" i="18"/>
  <c r="U338" i="18"/>
  <c r="U339" i="18"/>
  <c r="U340" i="18"/>
  <c r="U341" i="18"/>
  <c r="U342" i="18"/>
  <c r="U343" i="18"/>
  <c r="U344" i="18"/>
  <c r="U345" i="18"/>
  <c r="U346" i="18"/>
  <c r="U347" i="18"/>
  <c r="U348" i="18"/>
  <c r="U349" i="18"/>
  <c r="U350" i="18"/>
  <c r="U351" i="18"/>
  <c r="U352" i="18"/>
  <c r="U353" i="18"/>
  <c r="U354" i="18"/>
  <c r="U355" i="18"/>
  <c r="U356" i="18"/>
  <c r="U357" i="18"/>
  <c r="U358" i="18"/>
  <c r="U359" i="18"/>
  <c r="U360" i="18"/>
  <c r="U361" i="18"/>
  <c r="U362" i="18"/>
  <c r="U363" i="18"/>
  <c r="U364" i="18"/>
  <c r="U365" i="18"/>
  <c r="U366" i="18"/>
  <c r="U367" i="18"/>
  <c r="U368" i="18"/>
  <c r="U370" i="18"/>
  <c r="U373" i="18"/>
  <c r="U374" i="18"/>
  <c r="U375" i="18"/>
  <c r="U376" i="18"/>
  <c r="U377" i="18"/>
  <c r="U378" i="18"/>
  <c r="U379" i="18"/>
  <c r="U380" i="18"/>
  <c r="U381" i="18"/>
  <c r="U382" i="18"/>
  <c r="U383" i="18"/>
  <c r="U385" i="18"/>
  <c r="U387" i="18"/>
  <c r="U388" i="18"/>
  <c r="U389" i="18"/>
  <c r="U391" i="18"/>
  <c r="U393" i="18"/>
  <c r="U394" i="18"/>
  <c r="U395" i="18"/>
  <c r="U397" i="18"/>
  <c r="U398" i="18"/>
  <c r="U399" i="18"/>
  <c r="U400" i="18"/>
  <c r="U401" i="18"/>
  <c r="U402" i="18"/>
  <c r="U403" i="18"/>
  <c r="U404" i="18"/>
  <c r="U405" i="18"/>
  <c r="U406" i="18"/>
  <c r="U407" i="18"/>
  <c r="U408" i="18"/>
  <c r="U409" i="18"/>
  <c r="U410" i="18"/>
  <c r="L2" i="16"/>
  <c r="Y290" i="1" l="1"/>
  <c r="Y492" i="1"/>
  <c r="Y395" i="1"/>
  <c r="Y247" i="1"/>
  <c r="Y487" i="1"/>
  <c r="Y327" i="1"/>
  <c r="Y369" i="1"/>
  <c r="X367" i="18"/>
  <c r="Y118" i="1"/>
  <c r="Y386" i="1"/>
  <c r="Y188" i="1"/>
  <c r="Y233" i="1"/>
  <c r="Y227" i="1"/>
  <c r="Y422" i="1"/>
  <c r="Y241" i="1"/>
  <c r="Y12" i="1"/>
  <c r="Y16" i="1"/>
  <c r="Y20" i="1"/>
  <c r="Y24" i="1"/>
  <c r="Y32" i="1"/>
  <c r="Y36" i="1"/>
  <c r="Y40" i="1"/>
  <c r="Y44" i="1"/>
  <c r="Y52" i="1"/>
  <c r="Y56" i="1"/>
  <c r="Y60" i="1"/>
  <c r="Y64" i="1"/>
  <c r="Y68" i="1"/>
  <c r="Y76" i="1"/>
  <c r="Y80" i="1"/>
  <c r="Y88" i="1"/>
  <c r="Y92" i="1"/>
  <c r="Y96" i="1"/>
  <c r="Y100" i="1"/>
  <c r="Y104" i="1"/>
  <c r="Y109" i="1"/>
  <c r="Y113" i="1"/>
  <c r="Y117" i="1"/>
  <c r="Y122" i="1"/>
  <c r="Y130" i="1"/>
  <c r="Y138" i="1"/>
  <c r="Y142" i="1"/>
  <c r="Y146" i="1"/>
  <c r="Y150" i="1"/>
  <c r="Y158" i="1"/>
  <c r="Y162" i="1"/>
  <c r="Y166" i="1"/>
  <c r="Y170" i="1"/>
  <c r="Y174" i="1"/>
  <c r="Y178" i="1"/>
  <c r="Y182" i="1"/>
  <c r="Y186" i="1"/>
  <c r="Y191" i="1"/>
  <c r="Y195" i="1"/>
  <c r="Y199" i="1"/>
  <c r="Y203" i="1"/>
  <c r="Y207" i="1"/>
  <c r="Y211" i="1"/>
  <c r="Y215" i="1"/>
  <c r="Y219" i="1"/>
  <c r="Y223" i="1"/>
  <c r="Y228" i="1"/>
  <c r="Y232" i="1"/>
  <c r="Y240" i="1"/>
  <c r="Y249" i="1"/>
  <c r="Y253" i="1"/>
  <c r="Y257" i="1"/>
  <c r="Y261" i="1"/>
  <c r="Y265" i="1"/>
  <c r="Y269" i="1"/>
  <c r="Y273" i="1"/>
  <c r="Y281" i="1"/>
  <c r="Y285" i="1"/>
  <c r="Y289" i="1"/>
  <c r="Y293" i="1"/>
  <c r="Y301" i="1"/>
  <c r="Y305" i="1"/>
  <c r="Y309" i="1"/>
  <c r="Y313" i="1"/>
  <c r="Y321" i="1"/>
  <c r="Y325" i="1"/>
  <c r="Y330" i="1"/>
  <c r="Y334" i="1"/>
  <c r="Y5" i="1"/>
  <c r="Y9" i="1"/>
  <c r="Y13" i="1"/>
  <c r="Y17" i="1"/>
  <c r="Y21" i="1"/>
  <c r="Y29" i="1"/>
  <c r="Y33" i="1"/>
  <c r="Y37" i="1"/>
  <c r="Y41" i="1"/>
  <c r="Y45" i="1"/>
  <c r="Y53" i="1"/>
  <c r="Y61" i="1"/>
  <c r="Y65" i="1"/>
  <c r="Y69" i="1"/>
  <c r="Y77" i="1"/>
  <c r="Y81" i="1"/>
  <c r="Y85" i="1"/>
  <c r="Y97" i="1"/>
  <c r="Y101" i="1"/>
  <c r="Y105" i="1"/>
  <c r="Y114" i="1"/>
  <c r="Y119" i="1"/>
  <c r="Y123" i="1"/>
  <c r="Y127" i="1"/>
  <c r="Y131" i="1"/>
  <c r="Y147" i="1"/>
  <c r="Y155" i="1"/>
  <c r="Y159" i="1"/>
  <c r="Y163" i="1"/>
  <c r="Y167" i="1"/>
  <c r="Y171" i="1"/>
  <c r="Y179" i="1"/>
  <c r="Y183" i="1"/>
  <c r="Y192" i="1"/>
  <c r="Y196" i="1"/>
  <c r="Y200" i="1"/>
  <c r="Y204" i="1"/>
  <c r="Y208" i="1"/>
  <c r="Y212" i="1"/>
  <c r="Y216" i="1"/>
  <c r="Y220" i="1"/>
  <c r="Y224" i="1"/>
  <c r="Y229" i="1"/>
  <c r="Y237" i="1"/>
  <c r="Y242" i="1"/>
  <c r="Y246" i="1"/>
  <c r="Y250" i="1"/>
  <c r="Y254" i="1"/>
  <c r="Y258" i="1"/>
  <c r="Y262" i="1"/>
  <c r="Y266" i="1"/>
  <c r="Y270" i="1"/>
  <c r="Y274" i="1"/>
  <c r="Y278" i="1"/>
  <c r="Y282" i="1"/>
  <c r="Y286" i="1"/>
  <c r="Y294" i="1"/>
  <c r="Y302" i="1"/>
  <c r="Y306" i="1"/>
  <c r="Y310" i="1"/>
  <c r="Y322" i="1"/>
  <c r="Y331" i="1"/>
  <c r="Y335" i="1"/>
  <c r="Y343" i="1"/>
  <c r="Y347" i="1"/>
  <c r="Y6" i="1"/>
  <c r="Y10" i="1"/>
  <c r="Y18" i="1"/>
  <c r="Y22" i="1"/>
  <c r="Y26" i="1"/>
  <c r="Y30" i="1"/>
  <c r="Y34" i="1"/>
  <c r="Y38" i="1"/>
  <c r="Y42" i="1"/>
  <c r="Y46" i="1"/>
  <c r="Y50" i="1"/>
  <c r="Y54" i="1"/>
  <c r="Y66" i="1"/>
  <c r="Y70" i="1"/>
  <c r="Y74" i="1"/>
  <c r="Y78" i="1"/>
  <c r="Y82" i="1"/>
  <c r="Y86" i="1"/>
  <c r="Y94" i="1"/>
  <c r="Y98" i="1"/>
  <c r="Y102" i="1"/>
  <c r="Y107" i="1"/>
  <c r="X107" i="1" s="1"/>
  <c r="Y111" i="1"/>
  <c r="Y115" i="1"/>
  <c r="Y120" i="1"/>
  <c r="Y124" i="1"/>
  <c r="Y128" i="1"/>
  <c r="Y132" i="1"/>
  <c r="Y136" i="1"/>
  <c r="Y140" i="1"/>
  <c r="Y144" i="1"/>
  <c r="Y148" i="1"/>
  <c r="Y152" i="1"/>
  <c r="Y156" i="1"/>
  <c r="Y160" i="1"/>
  <c r="Y164" i="1"/>
  <c r="Y168" i="1"/>
  <c r="Y176" i="1"/>
  <c r="Y180" i="1"/>
  <c r="Y184" i="1"/>
  <c r="Y189" i="1"/>
  <c r="Y193" i="1"/>
  <c r="Y197" i="1"/>
  <c r="Y201" i="1"/>
  <c r="Y205" i="1"/>
  <c r="Y209" i="1"/>
  <c r="Y213" i="1"/>
  <c r="Y217" i="1"/>
  <c r="Y221" i="1"/>
  <c r="Y225" i="1"/>
  <c r="Y230" i="1"/>
  <c r="Y234" i="1"/>
  <c r="Y243" i="1"/>
  <c r="Y251" i="1"/>
  <c r="Y255" i="1"/>
  <c r="Y259" i="1"/>
  <c r="Y263" i="1"/>
  <c r="Y267" i="1"/>
  <c r="Y275" i="1"/>
  <c r="Y279" i="1"/>
  <c r="Y283" i="1"/>
  <c r="Y287" i="1"/>
  <c r="Y299" i="1"/>
  <c r="Y307" i="1"/>
  <c r="Y311" i="1"/>
  <c r="Y315" i="1"/>
  <c r="Y319" i="1"/>
  <c r="Y328" i="1"/>
  <c r="Y332" i="1"/>
  <c r="Y336" i="1"/>
  <c r="Y340" i="1"/>
  <c r="Y344" i="1"/>
  <c r="Y348" i="1"/>
  <c r="Y521" i="1"/>
  <c r="X521" i="1" s="1"/>
  <c r="Y517" i="1"/>
  <c r="Y513" i="1"/>
  <c r="Y505" i="1"/>
  <c r="Y501" i="1"/>
  <c r="Y497" i="1"/>
  <c r="Y493" i="1"/>
  <c r="Y477" i="1"/>
  <c r="Y469" i="1"/>
  <c r="Y465" i="1"/>
  <c r="Y461" i="1"/>
  <c r="Y457" i="1"/>
  <c r="Y453" i="1"/>
  <c r="Y449" i="1"/>
  <c r="Y445" i="1"/>
  <c r="Y441" i="1"/>
  <c r="Y437" i="1"/>
  <c r="Y429" i="1"/>
  <c r="Y419" i="1"/>
  <c r="Y415" i="1"/>
  <c r="Y411" i="1"/>
  <c r="Y407" i="1"/>
  <c r="Y403" i="1"/>
  <c r="Y391" i="1"/>
  <c r="Y387" i="1"/>
  <c r="Y383" i="1"/>
  <c r="Y379" i="1"/>
  <c r="Y375" i="1"/>
  <c r="Y371" i="1"/>
  <c r="Y366" i="1"/>
  <c r="Y362" i="1"/>
  <c r="Y358" i="1"/>
  <c r="Y354" i="1"/>
  <c r="Y350" i="1"/>
  <c r="Y342" i="1"/>
  <c r="Y329" i="1"/>
  <c r="Y312" i="1"/>
  <c r="Y296" i="1"/>
  <c r="Y264" i="1"/>
  <c r="Y248" i="1"/>
  <c r="Y231" i="1"/>
  <c r="Y214" i="1"/>
  <c r="Y198" i="1"/>
  <c r="Y181" i="1"/>
  <c r="Y165" i="1"/>
  <c r="Y149" i="1"/>
  <c r="Y133" i="1"/>
  <c r="Y116" i="1"/>
  <c r="Y99" i="1"/>
  <c r="Y83" i="1"/>
  <c r="Y67" i="1"/>
  <c r="Y51" i="1"/>
  <c r="Y35" i="1"/>
  <c r="Y19" i="1"/>
  <c r="Y4" i="1"/>
  <c r="Y520" i="1"/>
  <c r="Y516" i="1"/>
  <c r="Y512" i="1"/>
  <c r="Y504" i="1"/>
  <c r="Y496" i="1"/>
  <c r="Y488" i="1"/>
  <c r="Y480" i="1"/>
  <c r="Y476" i="1"/>
  <c r="Y472" i="1"/>
  <c r="Y468" i="1"/>
  <c r="Y464" i="1"/>
  <c r="Y456" i="1"/>
  <c r="Y452" i="1"/>
  <c r="Y448" i="1"/>
  <c r="Y444" i="1"/>
  <c r="Y440" i="1"/>
  <c r="Y436" i="1"/>
  <c r="Y432" i="1"/>
  <c r="Y428" i="1"/>
  <c r="Y424" i="1"/>
  <c r="Y418" i="1"/>
  <c r="Y410" i="1"/>
  <c r="Y406" i="1"/>
  <c r="Y394" i="1"/>
  <c r="Y382" i="1"/>
  <c r="Y378" i="1"/>
  <c r="Y374" i="1"/>
  <c r="Y370" i="1"/>
  <c r="Y365" i="1"/>
  <c r="Y357" i="1"/>
  <c r="Y353" i="1"/>
  <c r="Y349" i="1"/>
  <c r="Y341" i="1"/>
  <c r="Y324" i="1"/>
  <c r="Y308" i="1"/>
  <c r="Y276" i="1"/>
  <c r="Y260" i="1"/>
  <c r="Y244" i="1"/>
  <c r="Y194" i="1"/>
  <c r="Y177" i="1"/>
  <c r="Y161" i="1"/>
  <c r="Y145" i="1"/>
  <c r="Y129" i="1"/>
  <c r="Y112" i="1"/>
  <c r="Y95" i="1"/>
  <c r="Y63" i="1"/>
  <c r="Y31" i="1"/>
  <c r="Y519" i="1"/>
  <c r="Y515" i="1"/>
  <c r="Y511" i="1"/>
  <c r="Y507" i="1"/>
  <c r="Y499" i="1"/>
  <c r="Y495" i="1"/>
  <c r="Y491" i="1"/>
  <c r="Y483" i="1"/>
  <c r="Y479" i="1"/>
  <c r="Y475" i="1"/>
  <c r="Y471" i="1"/>
  <c r="Y467" i="1"/>
  <c r="Y463" i="1"/>
  <c r="Y455" i="1"/>
  <c r="Y451" i="1"/>
  <c r="Y447" i="1"/>
  <c r="Y443" i="1"/>
  <c r="Y439" i="1"/>
  <c r="Y431" i="1"/>
  <c r="Y427" i="1"/>
  <c r="Y423" i="1"/>
  <c r="Y417" i="1"/>
  <c r="Y413" i="1"/>
  <c r="Y409" i="1"/>
  <c r="Y397" i="1"/>
  <c r="Y393" i="1"/>
  <c r="Y389" i="1"/>
  <c r="Y385" i="1"/>
  <c r="Y381" i="1"/>
  <c r="Y377" i="1"/>
  <c r="Y373" i="1"/>
  <c r="Y368" i="1"/>
  <c r="Y364" i="1"/>
  <c r="Y360" i="1"/>
  <c r="Y346" i="1"/>
  <c r="Y337" i="1"/>
  <c r="Y320" i="1"/>
  <c r="Y304" i="1"/>
  <c r="Y272" i="1"/>
  <c r="Y256" i="1"/>
  <c r="Y239" i="1"/>
  <c r="Y222" i="1"/>
  <c r="Y206" i="1"/>
  <c r="Y190" i="1"/>
  <c r="Y157" i="1"/>
  <c r="Y141" i="1"/>
  <c r="Y125" i="1"/>
  <c r="Y108" i="1"/>
  <c r="Y91" i="1"/>
  <c r="Y75" i="1"/>
  <c r="Y59" i="1"/>
  <c r="Y43" i="1"/>
  <c r="Y27" i="1"/>
  <c r="Y11" i="1"/>
  <c r="Y518" i="1"/>
  <c r="X518" i="1" s="1"/>
  <c r="Y506" i="1"/>
  <c r="Y502" i="1"/>
  <c r="Y498" i="1"/>
  <c r="Y494" i="1"/>
  <c r="Y490" i="1"/>
  <c r="Y486" i="1"/>
  <c r="Y482" i="1"/>
  <c r="Y478" i="1"/>
  <c r="Y474" i="1"/>
  <c r="Y466" i="1"/>
  <c r="Y462" i="1"/>
  <c r="Y458" i="1"/>
  <c r="Y450" i="1"/>
  <c r="Y442" i="1"/>
  <c r="Y438" i="1"/>
  <c r="Y430" i="1"/>
  <c r="Y426" i="1"/>
  <c r="Y421" i="1"/>
  <c r="Y416" i="1"/>
  <c r="Y412" i="1"/>
  <c r="Y408" i="1"/>
  <c r="Y400" i="1"/>
  <c r="Y396" i="1"/>
  <c r="Y392" i="1"/>
  <c r="Y388" i="1"/>
  <c r="Y384" i="1"/>
  <c r="Y380" i="1"/>
  <c r="Y376" i="1"/>
  <c r="Y372" i="1"/>
  <c r="Y367" i="1"/>
  <c r="Y363" i="1"/>
  <c r="Y359" i="1"/>
  <c r="Y355" i="1"/>
  <c r="Y351" i="1"/>
  <c r="Y345" i="1"/>
  <c r="Y333" i="1"/>
  <c r="Y316" i="1"/>
  <c r="Y300" i="1"/>
  <c r="Y284" i="1"/>
  <c r="Y268" i="1"/>
  <c r="Y252" i="1"/>
  <c r="Y218" i="1"/>
  <c r="Y202" i="1"/>
  <c r="Y185" i="1"/>
  <c r="Y169" i="1"/>
  <c r="Y153" i="1"/>
  <c r="Y137" i="1"/>
  <c r="Y121" i="1"/>
  <c r="Y103" i="1"/>
  <c r="Y87" i="1"/>
  <c r="Y71" i="1"/>
  <c r="Y55" i="1"/>
  <c r="Y39" i="1"/>
  <c r="Y23" i="1"/>
  <c r="Y7" i="1"/>
  <c r="D524" i="1"/>
  <c r="D529" i="1" s="1"/>
  <c r="E524" i="1"/>
  <c r="E529" i="1" s="1"/>
  <c r="F524" i="1"/>
  <c r="F529" i="1" s="1"/>
  <c r="M524" i="1"/>
  <c r="M529" i="1" s="1"/>
  <c r="N524" i="1"/>
  <c r="N529" i="1" s="1"/>
  <c r="C524" i="1"/>
  <c r="C529" i="1" s="1"/>
  <c r="C533" i="1" l="1"/>
  <c r="D533" i="1"/>
  <c r="E533" i="1"/>
  <c r="F533" i="1"/>
  <c r="M533" i="1"/>
  <c r="N533" i="1"/>
  <c r="O533" i="1"/>
  <c r="P533" i="1"/>
  <c r="C534" i="1"/>
  <c r="D534" i="1"/>
  <c r="E534" i="1"/>
  <c r="F534" i="1"/>
  <c r="M534" i="1"/>
  <c r="N534" i="1"/>
  <c r="O534" i="1"/>
  <c r="P534" i="1"/>
  <c r="T516" i="1"/>
  <c r="Q516" i="1"/>
  <c r="Q524" i="1" s="1"/>
  <c r="Q529" i="1" s="1"/>
  <c r="B11" i="1" l="1"/>
  <c r="W490" i="1"/>
  <c r="C200" i="16"/>
  <c r="C341" i="16"/>
  <c r="C451" i="16"/>
  <c r="C213" i="16"/>
  <c r="C211" i="16"/>
  <c r="C189" i="16"/>
  <c r="C118" i="16"/>
  <c r="L3" i="16"/>
  <c r="M3" i="16" s="1"/>
  <c r="N3" i="16" s="1"/>
  <c r="L4" i="16"/>
  <c r="M4" i="16" s="1"/>
  <c r="N4" i="16" s="1"/>
  <c r="L5" i="16"/>
  <c r="M5" i="16" s="1"/>
  <c r="N5" i="16" s="1"/>
  <c r="L6" i="16"/>
  <c r="M6" i="16" s="1"/>
  <c r="L7" i="16"/>
  <c r="M7" i="16" s="1"/>
  <c r="L8" i="16"/>
  <c r="M8" i="16" s="1"/>
  <c r="N8" i="16" s="1"/>
  <c r="L9" i="16"/>
  <c r="M9" i="16" s="1"/>
  <c r="N9" i="16" s="1"/>
  <c r="L10" i="16"/>
  <c r="M10" i="16" s="1"/>
  <c r="N10" i="16" s="1"/>
  <c r="L11" i="16"/>
  <c r="M11" i="16" s="1"/>
  <c r="N11" i="16" s="1"/>
  <c r="L12" i="16"/>
  <c r="M12" i="16" s="1"/>
  <c r="N12" i="16" s="1"/>
  <c r="L13" i="16"/>
  <c r="M13" i="16" s="1"/>
  <c r="N13" i="16" s="1"/>
  <c r="L14" i="16"/>
  <c r="M14" i="16" s="1"/>
  <c r="L15" i="16"/>
  <c r="M15" i="16" s="1"/>
  <c r="N15" i="16" s="1"/>
  <c r="L16" i="16"/>
  <c r="M16" i="16" s="1"/>
  <c r="L17" i="16"/>
  <c r="M17" i="16" s="1"/>
  <c r="N17" i="16" s="1"/>
  <c r="L18" i="16"/>
  <c r="M18" i="16" s="1"/>
  <c r="N18" i="16" s="1"/>
  <c r="L19" i="16"/>
  <c r="M19" i="16" s="1"/>
  <c r="N19" i="16" s="1"/>
  <c r="L20" i="16"/>
  <c r="N20" i="16" s="1"/>
  <c r="L21" i="16"/>
  <c r="M21" i="16" s="1"/>
  <c r="N21" i="16" s="1"/>
  <c r="L22" i="16"/>
  <c r="M22" i="16" s="1"/>
  <c r="L23" i="16"/>
  <c r="M23" i="16" s="1"/>
  <c r="N23" i="16" s="1"/>
  <c r="L24" i="16"/>
  <c r="M24" i="16" s="1"/>
  <c r="N24" i="16" s="1"/>
  <c r="L25" i="16"/>
  <c r="M25" i="16" s="1"/>
  <c r="N25" i="16" s="1"/>
  <c r="L26" i="16"/>
  <c r="M26" i="16" s="1"/>
  <c r="N26" i="16" s="1"/>
  <c r="L27" i="16"/>
  <c r="M27" i="16" s="1"/>
  <c r="N27" i="16" s="1"/>
  <c r="L28" i="16"/>
  <c r="M28" i="16" s="1"/>
  <c r="N28" i="16" s="1"/>
  <c r="L29" i="16"/>
  <c r="M29" i="16" s="1"/>
  <c r="N29" i="16" s="1"/>
  <c r="L30" i="16"/>
  <c r="M30" i="16" s="1"/>
  <c r="N30" i="16" s="1"/>
  <c r="L31" i="16"/>
  <c r="M31" i="16" s="1"/>
  <c r="N31" i="16" s="1"/>
  <c r="L32" i="16"/>
  <c r="M32" i="16" s="1"/>
  <c r="N32" i="16" s="1"/>
  <c r="L33" i="16"/>
  <c r="M33" i="16" s="1"/>
  <c r="N33" i="16" s="1"/>
  <c r="L34" i="16"/>
  <c r="M34" i="16" s="1"/>
  <c r="N34" i="16" s="1"/>
  <c r="L35" i="16"/>
  <c r="M35" i="16" s="1"/>
  <c r="N35" i="16" s="1"/>
  <c r="L36" i="16"/>
  <c r="M36" i="16" s="1"/>
  <c r="N36" i="16" s="1"/>
  <c r="L37" i="16"/>
  <c r="M37" i="16" s="1"/>
  <c r="N37" i="16" s="1"/>
  <c r="L38" i="16"/>
  <c r="M38" i="16" s="1"/>
  <c r="L39" i="16"/>
  <c r="M39" i="16" s="1"/>
  <c r="N39" i="16" s="1"/>
  <c r="L40" i="16"/>
  <c r="M40" i="16" s="1"/>
  <c r="N40" i="16" s="1"/>
  <c r="L41" i="16"/>
  <c r="M41" i="16" s="1"/>
  <c r="N41" i="16" s="1"/>
  <c r="L42" i="16"/>
  <c r="M42" i="16" s="1"/>
  <c r="N42" i="16" s="1"/>
  <c r="L43" i="16"/>
  <c r="M43" i="16" s="1"/>
  <c r="N43" i="16" s="1"/>
  <c r="L44" i="16"/>
  <c r="M44" i="16" s="1"/>
  <c r="N44" i="16" s="1"/>
  <c r="L45" i="16"/>
  <c r="M45" i="16" s="1"/>
  <c r="N45" i="16" s="1"/>
  <c r="L46" i="16"/>
  <c r="M46" i="16" s="1"/>
  <c r="N46" i="16" s="1"/>
  <c r="L47" i="16"/>
  <c r="M47" i="16" s="1"/>
  <c r="N47" i="16" s="1"/>
  <c r="L48" i="16"/>
  <c r="M48" i="16" s="1"/>
  <c r="N48" i="16" s="1"/>
  <c r="L49" i="16"/>
  <c r="M49" i="16" s="1"/>
  <c r="N49" i="16" s="1"/>
  <c r="L50" i="16"/>
  <c r="M50" i="16" s="1"/>
  <c r="N50" i="16" s="1"/>
  <c r="L51" i="16"/>
  <c r="M51" i="16" s="1"/>
  <c r="L52" i="16"/>
  <c r="M52" i="16" s="1"/>
  <c r="N52" i="16" s="1"/>
  <c r="L53" i="16"/>
  <c r="M53" i="16" s="1"/>
  <c r="N53" i="16" s="1"/>
  <c r="L54" i="16"/>
  <c r="M54" i="16" s="1"/>
  <c r="N54" i="16" s="1"/>
  <c r="L55" i="16"/>
  <c r="M55" i="16" s="1"/>
  <c r="N55" i="16" s="1"/>
  <c r="L56" i="16"/>
  <c r="M56" i="16" s="1"/>
  <c r="N56" i="16" s="1"/>
  <c r="L57" i="16"/>
  <c r="M57" i="16" s="1"/>
  <c r="N57" i="16" s="1"/>
  <c r="L58" i="16"/>
  <c r="M58" i="16" s="1"/>
  <c r="L59" i="16"/>
  <c r="M59" i="16" s="1"/>
  <c r="N59" i="16" s="1"/>
  <c r="L60" i="16"/>
  <c r="M60" i="16" s="1"/>
  <c r="N60" i="16" s="1"/>
  <c r="L61" i="16"/>
  <c r="M61" i="16" s="1"/>
  <c r="N61" i="16" s="1"/>
  <c r="L62" i="16"/>
  <c r="N62" i="16" s="1"/>
  <c r="L63" i="16"/>
  <c r="M63" i="16" s="1"/>
  <c r="N63" i="16" s="1"/>
  <c r="L64" i="16"/>
  <c r="M64" i="16" s="1"/>
  <c r="N64" i="16" s="1"/>
  <c r="L65" i="16"/>
  <c r="M65" i="16" s="1"/>
  <c r="N65" i="16" s="1"/>
  <c r="L66" i="16"/>
  <c r="M66" i="16" s="1"/>
  <c r="N66" i="16" s="1"/>
  <c r="L67" i="16"/>
  <c r="M67" i="16" s="1"/>
  <c r="N67" i="16" s="1"/>
  <c r="L68" i="16"/>
  <c r="M68" i="16" s="1"/>
  <c r="N68" i="16" s="1"/>
  <c r="L69" i="16"/>
  <c r="M69" i="16" s="1"/>
  <c r="N69" i="16" s="1"/>
  <c r="L70" i="16"/>
  <c r="M70" i="16" s="1"/>
  <c r="N70" i="16" s="1"/>
  <c r="L71" i="16"/>
  <c r="M71" i="16" s="1"/>
  <c r="N71" i="16" s="1"/>
  <c r="L72" i="16"/>
  <c r="M72" i="16" s="1"/>
  <c r="N72" i="16" s="1"/>
  <c r="L73" i="16"/>
  <c r="M73" i="16" s="1"/>
  <c r="N73" i="16" s="1"/>
  <c r="L74" i="16"/>
  <c r="M74" i="16" s="1"/>
  <c r="N74" i="16" s="1"/>
  <c r="L75" i="16"/>
  <c r="M75" i="16" s="1"/>
  <c r="N75" i="16" s="1"/>
  <c r="L76" i="16"/>
  <c r="M76" i="16" s="1"/>
  <c r="N76" i="16" s="1"/>
  <c r="L77" i="16"/>
  <c r="M77" i="16" s="1"/>
  <c r="N77" i="16" s="1"/>
  <c r="L78" i="16"/>
  <c r="M78" i="16" s="1"/>
  <c r="N78" i="16" s="1"/>
  <c r="L79" i="16"/>
  <c r="M79" i="16" s="1"/>
  <c r="N79" i="16" s="1"/>
  <c r="L80" i="16"/>
  <c r="M80" i="16" s="1"/>
  <c r="N80" i="16" s="1"/>
  <c r="L81" i="16"/>
  <c r="M81" i="16" s="1"/>
  <c r="N81" i="16" s="1"/>
  <c r="L82" i="16"/>
  <c r="N82" i="16" s="1"/>
  <c r="L83" i="16"/>
  <c r="M83" i="16" s="1"/>
  <c r="N83" i="16" s="1"/>
  <c r="L84" i="16"/>
  <c r="M84" i="16" s="1"/>
  <c r="N84" i="16" s="1"/>
  <c r="L85" i="16"/>
  <c r="M85" i="16" s="1"/>
  <c r="N85" i="16" s="1"/>
  <c r="L86" i="16"/>
  <c r="M86" i="16" s="1"/>
  <c r="N86" i="16" s="1"/>
  <c r="L87" i="16"/>
  <c r="M87" i="16" s="1"/>
  <c r="N87" i="16" s="1"/>
  <c r="L88" i="16"/>
  <c r="M88" i="16" s="1"/>
  <c r="N88" i="16" s="1"/>
  <c r="L89" i="16"/>
  <c r="M89" i="16" s="1"/>
  <c r="N89" i="16" s="1"/>
  <c r="L90" i="16"/>
  <c r="M90" i="16" s="1"/>
  <c r="N90" i="16" s="1"/>
  <c r="L91" i="16"/>
  <c r="M91" i="16" s="1"/>
  <c r="N91" i="16" s="1"/>
  <c r="L92" i="16"/>
  <c r="M92" i="16" s="1"/>
  <c r="N92" i="16" s="1"/>
  <c r="L93" i="16"/>
  <c r="M93" i="16" s="1"/>
  <c r="N93" i="16" s="1"/>
  <c r="L94" i="16"/>
  <c r="M94" i="16" s="1"/>
  <c r="N94" i="16" s="1"/>
  <c r="L95" i="16"/>
  <c r="M95" i="16" s="1"/>
  <c r="N95" i="16" s="1"/>
  <c r="L96" i="16"/>
  <c r="M96" i="16" s="1"/>
  <c r="N96" i="16" s="1"/>
  <c r="L97" i="16"/>
  <c r="M97" i="16" s="1"/>
  <c r="N97" i="16" s="1"/>
  <c r="L98" i="16"/>
  <c r="M98" i="16" s="1"/>
  <c r="N98" i="16" s="1"/>
  <c r="L99" i="16"/>
  <c r="M99" i="16" s="1"/>
  <c r="N99" i="16" s="1"/>
  <c r="L100" i="16"/>
  <c r="M100" i="16" s="1"/>
  <c r="N100" i="16" s="1"/>
  <c r="L101" i="16"/>
  <c r="M101" i="16" s="1"/>
  <c r="N101" i="16" s="1"/>
  <c r="L102" i="16"/>
  <c r="M102" i="16" s="1"/>
  <c r="N102" i="16" s="1"/>
  <c r="L103" i="16"/>
  <c r="M103" i="16" s="1"/>
  <c r="N103" i="16" s="1"/>
  <c r="L104" i="16"/>
  <c r="M104" i="16" s="1"/>
  <c r="N104" i="16" s="1"/>
  <c r="L105" i="16"/>
  <c r="M105" i="16" s="1"/>
  <c r="N105" i="16" s="1"/>
  <c r="L106" i="16"/>
  <c r="M106" i="16" s="1"/>
  <c r="N106" i="16" s="1"/>
  <c r="L107" i="16"/>
  <c r="M107" i="16" s="1"/>
  <c r="N107" i="16" s="1"/>
  <c r="L108" i="16"/>
  <c r="M108" i="16" s="1"/>
  <c r="N108" i="16" s="1"/>
  <c r="L109" i="16"/>
  <c r="M109" i="16" s="1"/>
  <c r="N109" i="16" s="1"/>
  <c r="L110" i="16"/>
  <c r="M110" i="16" s="1"/>
  <c r="N110" i="16" s="1"/>
  <c r="L111" i="16"/>
  <c r="M111" i="16" s="1"/>
  <c r="N111" i="16" s="1"/>
  <c r="L112" i="16"/>
  <c r="M112" i="16" s="1"/>
  <c r="N112" i="16" s="1"/>
  <c r="L113" i="16"/>
  <c r="M113" i="16" s="1"/>
  <c r="N113" i="16" s="1"/>
  <c r="L114" i="16"/>
  <c r="M114" i="16" s="1"/>
  <c r="N114" i="16" s="1"/>
  <c r="L115" i="16"/>
  <c r="M115" i="16" s="1"/>
  <c r="N115" i="16" s="1"/>
  <c r="L116" i="16"/>
  <c r="M116" i="16" s="1"/>
  <c r="N116" i="16" s="1"/>
  <c r="L117" i="16"/>
  <c r="N117" i="16" s="1"/>
  <c r="L118" i="16"/>
  <c r="M118" i="16" s="1"/>
  <c r="N118" i="16" s="1"/>
  <c r="L119" i="16"/>
  <c r="N119" i="16" s="1"/>
  <c r="L120" i="16"/>
  <c r="N120" i="16" s="1"/>
  <c r="L121" i="16"/>
  <c r="N121" i="16" s="1"/>
  <c r="L122" i="16"/>
  <c r="N122" i="16" s="1"/>
  <c r="L123" i="16"/>
  <c r="N123" i="16" s="1"/>
  <c r="L124" i="16"/>
  <c r="M124" i="16" s="1"/>
  <c r="N124" i="16" s="1"/>
  <c r="L125" i="16"/>
  <c r="M125" i="16" s="1"/>
  <c r="N125" i="16" s="1"/>
  <c r="L126" i="16"/>
  <c r="M126" i="16" s="1"/>
  <c r="N126" i="16" s="1"/>
  <c r="L127" i="16"/>
  <c r="M127" i="16" s="1"/>
  <c r="N127" i="16" s="1"/>
  <c r="L128" i="16"/>
  <c r="M128" i="16" s="1"/>
  <c r="N128" i="16" s="1"/>
  <c r="L129" i="16"/>
  <c r="M129" i="16" s="1"/>
  <c r="N129" i="16" s="1"/>
  <c r="L130" i="16"/>
  <c r="M130" i="16" s="1"/>
  <c r="N130" i="16" s="1"/>
  <c r="L131" i="16"/>
  <c r="M131" i="16" s="1"/>
  <c r="N131" i="16" s="1"/>
  <c r="L132" i="16"/>
  <c r="M132" i="16" s="1"/>
  <c r="N132" i="16" s="1"/>
  <c r="L133" i="16"/>
  <c r="M133" i="16" s="1"/>
  <c r="N133" i="16" s="1"/>
  <c r="L134" i="16"/>
  <c r="M134" i="16" s="1"/>
  <c r="N134" i="16" s="1"/>
  <c r="L135" i="16"/>
  <c r="M135" i="16" s="1"/>
  <c r="N135" i="16" s="1"/>
  <c r="L136" i="16"/>
  <c r="M136" i="16" s="1"/>
  <c r="N136" i="16" s="1"/>
  <c r="L137" i="16"/>
  <c r="M137" i="16" s="1"/>
  <c r="N137" i="16" s="1"/>
  <c r="L138" i="16"/>
  <c r="M138" i="16" s="1"/>
  <c r="N138" i="16" s="1"/>
  <c r="L139" i="16"/>
  <c r="M139" i="16" s="1"/>
  <c r="N139" i="16" s="1"/>
  <c r="L140" i="16"/>
  <c r="M140" i="16" s="1"/>
  <c r="N140" i="16" s="1"/>
  <c r="L141" i="16"/>
  <c r="M141" i="16" s="1"/>
  <c r="N141" i="16" s="1"/>
  <c r="L142" i="16"/>
  <c r="M142" i="16" s="1"/>
  <c r="N142" i="16" s="1"/>
  <c r="L143" i="16"/>
  <c r="M143" i="16" s="1"/>
  <c r="N143" i="16" s="1"/>
  <c r="L144" i="16"/>
  <c r="M144" i="16" s="1"/>
  <c r="N144" i="16" s="1"/>
  <c r="L145" i="16"/>
  <c r="M145" i="16" s="1"/>
  <c r="N145" i="16" s="1"/>
  <c r="L146" i="16"/>
  <c r="M146" i="16" s="1"/>
  <c r="N146" i="16" s="1"/>
  <c r="L147" i="16"/>
  <c r="M147" i="16" s="1"/>
  <c r="N147" i="16" s="1"/>
  <c r="L148" i="16"/>
  <c r="M148" i="16" s="1"/>
  <c r="N148" i="16" s="1"/>
  <c r="L149" i="16"/>
  <c r="M149" i="16" s="1"/>
  <c r="N149" i="16" s="1"/>
  <c r="L150" i="16"/>
  <c r="M150" i="16" s="1"/>
  <c r="N150" i="16" s="1"/>
  <c r="L151" i="16"/>
  <c r="M151" i="16" s="1"/>
  <c r="N151" i="16" s="1"/>
  <c r="L152" i="16"/>
  <c r="M152" i="16" s="1"/>
  <c r="N152" i="16" s="1"/>
  <c r="L153" i="16"/>
  <c r="M153" i="16" s="1"/>
  <c r="N153" i="16" s="1"/>
  <c r="L154" i="16"/>
  <c r="M154" i="16" s="1"/>
  <c r="N154" i="16" s="1"/>
  <c r="L155" i="16"/>
  <c r="M155" i="16" s="1"/>
  <c r="N155" i="16" s="1"/>
  <c r="L156" i="16"/>
  <c r="M156" i="16" s="1"/>
  <c r="N156" i="16" s="1"/>
  <c r="L157" i="16"/>
  <c r="M157" i="16" s="1"/>
  <c r="N157" i="16" s="1"/>
  <c r="L158" i="16"/>
  <c r="N158" i="16" s="1"/>
  <c r="L159" i="16"/>
  <c r="M159" i="16" s="1"/>
  <c r="N159" i="16" s="1"/>
  <c r="L160" i="16"/>
  <c r="M160" i="16" s="1"/>
  <c r="N160" i="16" s="1"/>
  <c r="L161" i="16"/>
  <c r="M161" i="16" s="1"/>
  <c r="N161" i="16" s="1"/>
  <c r="L162" i="16"/>
  <c r="M162" i="16" s="1"/>
  <c r="N162" i="16" s="1"/>
  <c r="L163" i="16"/>
  <c r="M163" i="16" s="1"/>
  <c r="N163" i="16" s="1"/>
  <c r="L164" i="16"/>
  <c r="N164" i="16" s="1"/>
  <c r="L165" i="16"/>
  <c r="M165" i="16" s="1"/>
  <c r="N165" i="16" s="1"/>
  <c r="L166" i="16"/>
  <c r="M166" i="16" s="1"/>
  <c r="N166" i="16" s="1"/>
  <c r="L167" i="16"/>
  <c r="M167" i="16" s="1"/>
  <c r="N167" i="16" s="1"/>
  <c r="L168" i="16"/>
  <c r="M168" i="16" s="1"/>
  <c r="N168" i="16" s="1"/>
  <c r="L169" i="16"/>
  <c r="N169" i="16" s="1"/>
  <c r="L170" i="16"/>
  <c r="M170" i="16" s="1"/>
  <c r="N170" i="16" s="1"/>
  <c r="L171" i="16"/>
  <c r="M171" i="16" s="1"/>
  <c r="N171" i="16" s="1"/>
  <c r="L172" i="16"/>
  <c r="M172" i="16" s="1"/>
  <c r="N172" i="16" s="1"/>
  <c r="L173" i="16"/>
  <c r="M173" i="16" s="1"/>
  <c r="N173" i="16" s="1"/>
  <c r="L174" i="16"/>
  <c r="M174" i="16" s="1"/>
  <c r="N174" i="16" s="1"/>
  <c r="L175" i="16"/>
  <c r="M175" i="16" s="1"/>
  <c r="N175" i="16" s="1"/>
  <c r="L176" i="16"/>
  <c r="M176" i="16" s="1"/>
  <c r="N176" i="16" s="1"/>
  <c r="L177" i="16"/>
  <c r="M177" i="16" s="1"/>
  <c r="N177" i="16" s="1"/>
  <c r="L178" i="16"/>
  <c r="M178" i="16" s="1"/>
  <c r="N178" i="16" s="1"/>
  <c r="L179" i="16"/>
  <c r="M179" i="16" s="1"/>
  <c r="N179" i="16" s="1"/>
  <c r="L180" i="16"/>
  <c r="M180" i="16" s="1"/>
  <c r="N180" i="16" s="1"/>
  <c r="L181" i="16"/>
  <c r="M181" i="16" s="1"/>
  <c r="N181" i="16" s="1"/>
  <c r="L182" i="16"/>
  <c r="M182" i="16" s="1"/>
  <c r="N182" i="16" s="1"/>
  <c r="L183" i="16"/>
  <c r="M183" i="16" s="1"/>
  <c r="N183" i="16" s="1"/>
  <c r="L184" i="16"/>
  <c r="M184" i="16" s="1"/>
  <c r="N184" i="16" s="1"/>
  <c r="L185" i="16"/>
  <c r="M185" i="16" s="1"/>
  <c r="N185" i="16" s="1"/>
  <c r="L186" i="16"/>
  <c r="M186" i="16" s="1"/>
  <c r="N186" i="16" s="1"/>
  <c r="L187" i="16"/>
  <c r="M187" i="16" s="1"/>
  <c r="N187" i="16" s="1"/>
  <c r="L188" i="16"/>
  <c r="L189" i="16"/>
  <c r="M189" i="16" s="1"/>
  <c r="N189" i="16" s="1"/>
  <c r="L190" i="16"/>
  <c r="M190" i="16" s="1"/>
  <c r="N190" i="16" s="1"/>
  <c r="L191" i="16"/>
  <c r="M191" i="16" s="1"/>
  <c r="N191" i="16" s="1"/>
  <c r="L192" i="16"/>
  <c r="M192" i="16" s="1"/>
  <c r="N192" i="16" s="1"/>
  <c r="L193" i="16"/>
  <c r="M193" i="16" s="1"/>
  <c r="N193" i="16" s="1"/>
  <c r="L194" i="16"/>
  <c r="N194" i="16" s="1"/>
  <c r="L195" i="16"/>
  <c r="M195" i="16" s="1"/>
  <c r="N195" i="16" s="1"/>
  <c r="L196" i="16"/>
  <c r="M196" i="16" s="1"/>
  <c r="N196" i="16" s="1"/>
  <c r="L197" i="16"/>
  <c r="M197" i="16" s="1"/>
  <c r="N197" i="16" s="1"/>
  <c r="L198" i="16"/>
  <c r="M198" i="16" s="1"/>
  <c r="N198" i="16" s="1"/>
  <c r="L199" i="16"/>
  <c r="M199" i="16" s="1"/>
  <c r="N199" i="16" s="1"/>
  <c r="L200" i="16"/>
  <c r="M200" i="16" s="1"/>
  <c r="N200" i="16" s="1"/>
  <c r="L201" i="16"/>
  <c r="N201" i="16" s="1"/>
  <c r="L202" i="16"/>
  <c r="M202" i="16" s="1"/>
  <c r="N202" i="16" s="1"/>
  <c r="L203" i="16"/>
  <c r="M203" i="16" s="1"/>
  <c r="N203" i="16" s="1"/>
  <c r="L204" i="16"/>
  <c r="M204" i="16" s="1"/>
  <c r="N204" i="16" s="1"/>
  <c r="L205" i="16"/>
  <c r="M205" i="16" s="1"/>
  <c r="N205" i="16" s="1"/>
  <c r="L206" i="16"/>
  <c r="M206" i="16" s="1"/>
  <c r="N206" i="16" s="1"/>
  <c r="L207" i="16"/>
  <c r="M207" i="16" s="1"/>
  <c r="N207" i="16" s="1"/>
  <c r="L208" i="16"/>
  <c r="M208" i="16" s="1"/>
  <c r="N208" i="16" s="1"/>
  <c r="L209" i="16"/>
  <c r="M209" i="16" s="1"/>
  <c r="N209" i="16" s="1"/>
  <c r="L210" i="16"/>
  <c r="M210" i="16" s="1"/>
  <c r="N210" i="16" s="1"/>
  <c r="L211" i="16"/>
  <c r="M211" i="16" s="1"/>
  <c r="N211" i="16" s="1"/>
  <c r="L212" i="16"/>
  <c r="N212" i="16" s="1"/>
  <c r="L213" i="16"/>
  <c r="M213" i="16" s="1"/>
  <c r="N213" i="16" s="1"/>
  <c r="L214" i="16"/>
  <c r="N214" i="16" s="1"/>
  <c r="L215" i="16"/>
  <c r="N215" i="16" s="1"/>
  <c r="L216" i="16"/>
  <c r="M216" i="16" s="1"/>
  <c r="N216" i="16" s="1"/>
  <c r="L217" i="16"/>
  <c r="M217" i="16" s="1"/>
  <c r="N217" i="16" s="1"/>
  <c r="L218" i="16"/>
  <c r="M218" i="16" s="1"/>
  <c r="N218" i="16" s="1"/>
  <c r="L219" i="16"/>
  <c r="M219" i="16" s="1"/>
  <c r="N219" i="16" s="1"/>
  <c r="L220" i="16"/>
  <c r="M220" i="16" s="1"/>
  <c r="N220" i="16" s="1"/>
  <c r="L221" i="16"/>
  <c r="M221" i="16" s="1"/>
  <c r="N221" i="16" s="1"/>
  <c r="L222" i="16"/>
  <c r="M222" i="16" s="1"/>
  <c r="N222" i="16" s="1"/>
  <c r="L223" i="16"/>
  <c r="M223" i="16" s="1"/>
  <c r="N223" i="16" s="1"/>
  <c r="L224" i="16"/>
  <c r="M224" i="16" s="1"/>
  <c r="N224" i="16" s="1"/>
  <c r="L225" i="16"/>
  <c r="M225" i="16" s="1"/>
  <c r="N225" i="16" s="1"/>
  <c r="L226" i="16"/>
  <c r="M226" i="16" s="1"/>
  <c r="N226" i="16" s="1"/>
  <c r="L227" i="16"/>
  <c r="M227" i="16" s="1"/>
  <c r="N227" i="16" s="1"/>
  <c r="L228" i="16"/>
  <c r="M228" i="16" s="1"/>
  <c r="N228" i="16" s="1"/>
  <c r="L229" i="16"/>
  <c r="M229" i="16" s="1"/>
  <c r="N229" i="16" s="1"/>
  <c r="L230" i="16"/>
  <c r="M230" i="16" s="1"/>
  <c r="N230" i="16" s="1"/>
  <c r="L231" i="16"/>
  <c r="M231" i="16" s="1"/>
  <c r="N231" i="16" s="1"/>
  <c r="L232" i="16"/>
  <c r="M232" i="16" s="1"/>
  <c r="N232" i="16" s="1"/>
  <c r="L233" i="16"/>
  <c r="M233" i="16" s="1"/>
  <c r="N233" i="16" s="1"/>
  <c r="L234" i="16"/>
  <c r="M234" i="16" s="1"/>
  <c r="N234" i="16" s="1"/>
  <c r="L235" i="16"/>
  <c r="M235" i="16" s="1"/>
  <c r="N235" i="16" s="1"/>
  <c r="L236" i="16"/>
  <c r="M236" i="16" s="1"/>
  <c r="N236" i="16" s="1"/>
  <c r="L237" i="16"/>
  <c r="M237" i="16" s="1"/>
  <c r="N237" i="16" s="1"/>
  <c r="L238" i="16"/>
  <c r="M238" i="16" s="1"/>
  <c r="N238" i="16" s="1"/>
  <c r="L239" i="16"/>
  <c r="M239" i="16" s="1"/>
  <c r="N239" i="16" s="1"/>
  <c r="L240" i="16"/>
  <c r="M240" i="16" s="1"/>
  <c r="N240" i="16" s="1"/>
  <c r="L241" i="16"/>
  <c r="M241" i="16" s="1"/>
  <c r="N241" i="16" s="1"/>
  <c r="L242" i="16"/>
  <c r="M242" i="16" s="1"/>
  <c r="N242" i="16" s="1"/>
  <c r="L243" i="16"/>
  <c r="M243" i="16" s="1"/>
  <c r="N243" i="16" s="1"/>
  <c r="L244" i="16"/>
  <c r="M244" i="16" s="1"/>
  <c r="N244" i="16" s="1"/>
  <c r="L245" i="16"/>
  <c r="M245" i="16" s="1"/>
  <c r="N245" i="16" s="1"/>
  <c r="L246" i="16"/>
  <c r="M246" i="16" s="1"/>
  <c r="N246" i="16" s="1"/>
  <c r="L247" i="16"/>
  <c r="N247" i="16" s="1"/>
  <c r="L248" i="16"/>
  <c r="N248" i="16" s="1"/>
  <c r="L249" i="16"/>
  <c r="M249" i="16" s="1"/>
  <c r="N249" i="16" s="1"/>
  <c r="L250" i="16"/>
  <c r="M250" i="16" s="1"/>
  <c r="N250" i="16" s="1"/>
  <c r="L251" i="16"/>
  <c r="M251" i="16" s="1"/>
  <c r="N251" i="16" s="1"/>
  <c r="L252" i="16"/>
  <c r="M252" i="16" s="1"/>
  <c r="N252" i="16" s="1"/>
  <c r="L253" i="16"/>
  <c r="M253" i="16" s="1"/>
  <c r="N253" i="16" s="1"/>
  <c r="L254" i="16"/>
  <c r="M254" i="16" s="1"/>
  <c r="N254" i="16" s="1"/>
  <c r="L255" i="16"/>
  <c r="M255" i="16" s="1"/>
  <c r="N255" i="16" s="1"/>
  <c r="L256" i="16"/>
  <c r="M256" i="16" s="1"/>
  <c r="N256" i="16" s="1"/>
  <c r="L257" i="16"/>
  <c r="M257" i="16" s="1"/>
  <c r="N257" i="16" s="1"/>
  <c r="L258" i="16"/>
  <c r="M258" i="16" s="1"/>
  <c r="N258" i="16" s="1"/>
  <c r="L259" i="16"/>
  <c r="M259" i="16" s="1"/>
  <c r="N259" i="16" s="1"/>
  <c r="L260" i="16"/>
  <c r="M260" i="16" s="1"/>
  <c r="N260" i="16" s="1"/>
  <c r="L261" i="16"/>
  <c r="M261" i="16" s="1"/>
  <c r="N261" i="16" s="1"/>
  <c r="L262" i="16"/>
  <c r="M262" i="16" s="1"/>
  <c r="N262" i="16" s="1"/>
  <c r="L263" i="16"/>
  <c r="M263" i="16" s="1"/>
  <c r="N263" i="16" s="1"/>
  <c r="L264" i="16"/>
  <c r="M264" i="16" s="1"/>
  <c r="N264" i="16" s="1"/>
  <c r="L265" i="16"/>
  <c r="M265" i="16" s="1"/>
  <c r="N265" i="16" s="1"/>
  <c r="L266" i="16"/>
  <c r="M266" i="16" s="1"/>
  <c r="N266" i="16" s="1"/>
  <c r="L267" i="16"/>
  <c r="M267" i="16" s="1"/>
  <c r="N267" i="16" s="1"/>
  <c r="L268" i="16"/>
  <c r="M268" i="16" s="1"/>
  <c r="N268" i="16" s="1"/>
  <c r="L269" i="16"/>
  <c r="M269" i="16" s="1"/>
  <c r="N269" i="16" s="1"/>
  <c r="L270" i="16"/>
  <c r="M270" i="16" s="1"/>
  <c r="N270" i="16" s="1"/>
  <c r="L271" i="16"/>
  <c r="M271" i="16" s="1"/>
  <c r="N271" i="16" s="1"/>
  <c r="L272" i="16"/>
  <c r="M272" i="16" s="1"/>
  <c r="N272" i="16" s="1"/>
  <c r="L273" i="16"/>
  <c r="N273" i="16" s="1"/>
  <c r="L274" i="16"/>
  <c r="M274" i="16" s="1"/>
  <c r="N274" i="16" s="1"/>
  <c r="L275" i="16"/>
  <c r="M275" i="16" s="1"/>
  <c r="N275" i="16" s="1"/>
  <c r="L276" i="16"/>
  <c r="M276" i="16" s="1"/>
  <c r="N276" i="16" s="1"/>
  <c r="L277" i="16"/>
  <c r="M277" i="16" s="1"/>
  <c r="N277" i="16" s="1"/>
  <c r="L278" i="16"/>
  <c r="M278" i="16" s="1"/>
  <c r="N278" i="16" s="1"/>
  <c r="L279" i="16"/>
  <c r="M279" i="16" s="1"/>
  <c r="N279" i="16" s="1"/>
  <c r="L280" i="16"/>
  <c r="M280" i="16" s="1"/>
  <c r="N280" i="16" s="1"/>
  <c r="L281" i="16"/>
  <c r="M281" i="16" s="1"/>
  <c r="N281" i="16" s="1"/>
  <c r="L282" i="16"/>
  <c r="M282" i="16" s="1"/>
  <c r="N282" i="16" s="1"/>
  <c r="L283" i="16"/>
  <c r="M283" i="16" s="1"/>
  <c r="N283" i="16" s="1"/>
  <c r="L284" i="16"/>
  <c r="M284" i="16" s="1"/>
  <c r="N284" i="16" s="1"/>
  <c r="L285" i="16"/>
  <c r="N285" i="16" s="1"/>
  <c r="L286" i="16"/>
  <c r="M286" i="16" s="1"/>
  <c r="N286" i="16" s="1"/>
  <c r="L287" i="16"/>
  <c r="M287" i="16" s="1"/>
  <c r="N287" i="16" s="1"/>
  <c r="L288" i="16"/>
  <c r="M288" i="16" s="1"/>
  <c r="N288" i="16" s="1"/>
  <c r="L289" i="16"/>
  <c r="M289" i="16" s="1"/>
  <c r="N289" i="16" s="1"/>
  <c r="L290" i="16"/>
  <c r="M290" i="16" s="1"/>
  <c r="N290" i="16" s="1"/>
  <c r="L291" i="16"/>
  <c r="M291" i="16" s="1"/>
  <c r="N291" i="16" s="1"/>
  <c r="L292" i="16"/>
  <c r="M292" i="16" s="1"/>
  <c r="N292" i="16" s="1"/>
  <c r="L293" i="16"/>
  <c r="M293" i="16" s="1"/>
  <c r="N293" i="16" s="1"/>
  <c r="L294" i="16"/>
  <c r="M294" i="16" s="1"/>
  <c r="N294" i="16" s="1"/>
  <c r="L295" i="16"/>
  <c r="M295" i="16" s="1"/>
  <c r="N295" i="16" s="1"/>
  <c r="L296" i="16"/>
  <c r="M296" i="16" s="1"/>
  <c r="N296" i="16" s="1"/>
  <c r="M297" i="16"/>
  <c r="N297" i="16" s="1"/>
  <c r="L298" i="16"/>
  <c r="M298" i="16" s="1"/>
  <c r="N298" i="16" s="1"/>
  <c r="L299" i="16"/>
  <c r="M299" i="16" s="1"/>
  <c r="N299" i="16" s="1"/>
  <c r="L300" i="16"/>
  <c r="M300" i="16" s="1"/>
  <c r="N300" i="16" s="1"/>
  <c r="L301" i="16"/>
  <c r="M301" i="16" s="1"/>
  <c r="N301" i="16" s="1"/>
  <c r="L302" i="16"/>
  <c r="M302" i="16" s="1"/>
  <c r="N302" i="16" s="1"/>
  <c r="L303" i="16"/>
  <c r="M303" i="16" s="1"/>
  <c r="N303" i="16" s="1"/>
  <c r="L304" i="16"/>
  <c r="M304" i="16" s="1"/>
  <c r="N304" i="16" s="1"/>
  <c r="L305" i="16"/>
  <c r="M305" i="16" s="1"/>
  <c r="N305" i="16" s="1"/>
  <c r="L306" i="16"/>
  <c r="M306" i="16" s="1"/>
  <c r="N306" i="16" s="1"/>
  <c r="L307" i="16"/>
  <c r="M307" i="16" s="1"/>
  <c r="N307" i="16" s="1"/>
  <c r="L308" i="16"/>
  <c r="M308" i="16" s="1"/>
  <c r="N308" i="16" s="1"/>
  <c r="L309" i="16"/>
  <c r="M309" i="16" s="1"/>
  <c r="N309" i="16" s="1"/>
  <c r="L310" i="16"/>
  <c r="M310" i="16" s="1"/>
  <c r="N310" i="16" s="1"/>
  <c r="L311" i="16"/>
  <c r="M311" i="16" s="1"/>
  <c r="N311" i="16" s="1"/>
  <c r="L312" i="16"/>
  <c r="M312" i="16" s="1"/>
  <c r="N312" i="16" s="1"/>
  <c r="L313" i="16"/>
  <c r="M313" i="16" s="1"/>
  <c r="N313" i="16" s="1"/>
  <c r="L314" i="16"/>
  <c r="M314" i="16" s="1"/>
  <c r="N314" i="16" s="1"/>
  <c r="L315" i="16"/>
  <c r="M315" i="16" s="1"/>
  <c r="N315" i="16" s="1"/>
  <c r="L316" i="16"/>
  <c r="M316" i="16" s="1"/>
  <c r="N316" i="16" s="1"/>
  <c r="L317" i="16"/>
  <c r="M317" i="16" s="1"/>
  <c r="N317" i="16" s="1"/>
  <c r="L318" i="16"/>
  <c r="M318" i="16" s="1"/>
  <c r="N318" i="16" s="1"/>
  <c r="L319" i="16"/>
  <c r="M319" i="16" s="1"/>
  <c r="N319" i="16" s="1"/>
  <c r="L320" i="16"/>
  <c r="M320" i="16" s="1"/>
  <c r="N320" i="16" s="1"/>
  <c r="L321" i="16"/>
  <c r="M321" i="16" s="1"/>
  <c r="N321" i="16" s="1"/>
  <c r="L322" i="16"/>
  <c r="M322" i="16" s="1"/>
  <c r="N322" i="16" s="1"/>
  <c r="L323" i="16"/>
  <c r="M323" i="16" s="1"/>
  <c r="N323" i="16" s="1"/>
  <c r="L324" i="16"/>
  <c r="M324" i="16" s="1"/>
  <c r="N324" i="16" s="1"/>
  <c r="L325" i="16"/>
  <c r="N325" i="16" s="1"/>
  <c r="L326" i="16"/>
  <c r="N326" i="16" s="1"/>
  <c r="L327" i="16"/>
  <c r="L328" i="16"/>
  <c r="M328" i="16" s="1"/>
  <c r="N328" i="16" s="1"/>
  <c r="L329" i="16"/>
  <c r="N329" i="16" s="1"/>
  <c r="L330" i="16"/>
  <c r="N330" i="16" s="1"/>
  <c r="L331" i="16"/>
  <c r="N331" i="16" s="1"/>
  <c r="L332" i="16"/>
  <c r="N332" i="16" s="1"/>
  <c r="L333" i="16"/>
  <c r="N333" i="16" s="1"/>
  <c r="L334" i="16"/>
  <c r="N334" i="16" s="1"/>
  <c r="L335" i="16"/>
  <c r="M335" i="16" s="1"/>
  <c r="N335" i="16" s="1"/>
  <c r="L336" i="16"/>
  <c r="N336" i="16" s="1"/>
  <c r="L337" i="16"/>
  <c r="M337" i="16" s="1"/>
  <c r="N337" i="16" s="1"/>
  <c r="L338" i="16"/>
  <c r="M338" i="16" s="1"/>
  <c r="N338" i="16" s="1"/>
  <c r="L339" i="16"/>
  <c r="M339" i="16" s="1"/>
  <c r="N339" i="16" s="1"/>
  <c r="L340" i="16"/>
  <c r="M340" i="16" s="1"/>
  <c r="N340" i="16" s="1"/>
  <c r="L341" i="16"/>
  <c r="M341" i="16" s="1"/>
  <c r="N341" i="16" s="1"/>
  <c r="L342" i="16"/>
  <c r="M342" i="16" s="1"/>
  <c r="N342" i="16" s="1"/>
  <c r="L343" i="16"/>
  <c r="N343" i="16" s="1"/>
  <c r="L344" i="16"/>
  <c r="N344" i="16" s="1"/>
  <c r="L345" i="16"/>
  <c r="N345" i="16" s="1"/>
  <c r="L346" i="16"/>
  <c r="N346" i="16" s="1"/>
  <c r="L347" i="16"/>
  <c r="N347" i="16" s="1"/>
  <c r="L348" i="16"/>
  <c r="M348" i="16" s="1"/>
  <c r="N348" i="16" s="1"/>
  <c r="L349" i="16"/>
  <c r="M349" i="16" s="1"/>
  <c r="N349" i="16" s="1"/>
  <c r="L350" i="16"/>
  <c r="M350" i="16" s="1"/>
  <c r="N350" i="16" s="1"/>
  <c r="L351" i="16"/>
  <c r="M351" i="16" s="1"/>
  <c r="N351" i="16" s="1"/>
  <c r="L352" i="16"/>
  <c r="M352" i="16" s="1"/>
  <c r="N352" i="16" s="1"/>
  <c r="L353" i="16"/>
  <c r="M353" i="16" s="1"/>
  <c r="N353" i="16" s="1"/>
  <c r="L354" i="16"/>
  <c r="M354" i="16" s="1"/>
  <c r="N354" i="16" s="1"/>
  <c r="L355" i="16"/>
  <c r="M355" i="16" s="1"/>
  <c r="N355" i="16" s="1"/>
  <c r="L356" i="16"/>
  <c r="M356" i="16" s="1"/>
  <c r="N356" i="16" s="1"/>
  <c r="L357" i="16"/>
  <c r="M357" i="16" s="1"/>
  <c r="N357" i="16" s="1"/>
  <c r="L358" i="16"/>
  <c r="M358" i="16" s="1"/>
  <c r="N358" i="16" s="1"/>
  <c r="L359" i="16"/>
  <c r="M359" i="16" s="1"/>
  <c r="N359" i="16" s="1"/>
  <c r="L360" i="16"/>
  <c r="M360" i="16" s="1"/>
  <c r="N360" i="16" s="1"/>
  <c r="L361" i="16"/>
  <c r="M361" i="16" s="1"/>
  <c r="N361" i="16" s="1"/>
  <c r="L362" i="16"/>
  <c r="N362" i="16" s="1"/>
  <c r="L363" i="16"/>
  <c r="M363" i="16" s="1"/>
  <c r="N363" i="16" s="1"/>
  <c r="L364" i="16"/>
  <c r="M364" i="16" s="1"/>
  <c r="N364" i="16" s="1"/>
  <c r="L365" i="16"/>
  <c r="M365" i="16" s="1"/>
  <c r="N365" i="16" s="1"/>
  <c r="L366" i="16"/>
  <c r="M366" i="16" s="1"/>
  <c r="N366" i="16" s="1"/>
  <c r="L367" i="16"/>
  <c r="M367" i="16" s="1"/>
  <c r="N367" i="16" s="1"/>
  <c r="L368" i="16"/>
  <c r="M368" i="16" s="1"/>
  <c r="N368" i="16" s="1"/>
  <c r="L369" i="16"/>
  <c r="M369" i="16" s="1"/>
  <c r="N369" i="16" s="1"/>
  <c r="L370" i="16"/>
  <c r="M370" i="16" s="1"/>
  <c r="N370" i="16" s="1"/>
  <c r="L371" i="16"/>
  <c r="M371" i="16" s="1"/>
  <c r="N371" i="16" s="1"/>
  <c r="L372" i="16"/>
  <c r="M372" i="16" s="1"/>
  <c r="N372" i="16" s="1"/>
  <c r="L373" i="16"/>
  <c r="M373" i="16" s="1"/>
  <c r="N373" i="16" s="1"/>
  <c r="L374" i="16"/>
  <c r="N374" i="16" s="1"/>
  <c r="L375" i="16"/>
  <c r="M375" i="16" s="1"/>
  <c r="N375" i="16" s="1"/>
  <c r="L376" i="16"/>
  <c r="M376" i="16" s="1"/>
  <c r="N376" i="16" s="1"/>
  <c r="L377" i="16"/>
  <c r="M377" i="16" s="1"/>
  <c r="N377" i="16" s="1"/>
  <c r="L378" i="16"/>
  <c r="M378" i="16" s="1"/>
  <c r="N378" i="16" s="1"/>
  <c r="L379" i="16"/>
  <c r="M379" i="16" s="1"/>
  <c r="N379" i="16" s="1"/>
  <c r="L380" i="16"/>
  <c r="M380" i="16" s="1"/>
  <c r="N380" i="16" s="1"/>
  <c r="L381" i="16"/>
  <c r="M381" i="16" s="1"/>
  <c r="N381" i="16" s="1"/>
  <c r="L382" i="16"/>
  <c r="M382" i="16" s="1"/>
  <c r="N382" i="16" s="1"/>
  <c r="L383" i="16"/>
  <c r="M383" i="16" s="1"/>
  <c r="N383" i="16" s="1"/>
  <c r="L384" i="16"/>
  <c r="M384" i="16" s="1"/>
  <c r="N384" i="16" s="1"/>
  <c r="L385" i="16"/>
  <c r="M385" i="16" s="1"/>
  <c r="N385" i="16" s="1"/>
  <c r="L386" i="16"/>
  <c r="M386" i="16" s="1"/>
  <c r="N386" i="16" s="1"/>
  <c r="L387" i="16"/>
  <c r="M387" i="16" s="1"/>
  <c r="N387" i="16" s="1"/>
  <c r="L388" i="16"/>
  <c r="M388" i="16" s="1"/>
  <c r="N388" i="16" s="1"/>
  <c r="L389" i="16"/>
  <c r="M389" i="16" s="1"/>
  <c r="N389" i="16" s="1"/>
  <c r="L390" i="16"/>
  <c r="M390" i="16" s="1"/>
  <c r="N390" i="16" s="1"/>
  <c r="L391" i="16"/>
  <c r="M391" i="16" s="1"/>
  <c r="N391" i="16" s="1"/>
  <c r="L392" i="16"/>
  <c r="M392" i="16" s="1"/>
  <c r="N392" i="16" s="1"/>
  <c r="L393" i="16"/>
  <c r="M393" i="16" s="1"/>
  <c r="N393" i="16" s="1"/>
  <c r="L394" i="16"/>
  <c r="M394" i="16" s="1"/>
  <c r="N394" i="16" s="1"/>
  <c r="L395" i="16"/>
  <c r="M395" i="16" s="1"/>
  <c r="N395" i="16" s="1"/>
  <c r="L396" i="16"/>
  <c r="M396" i="16" s="1"/>
  <c r="N396" i="16" s="1"/>
  <c r="L397" i="16"/>
  <c r="M397" i="16" s="1"/>
  <c r="N397" i="16" s="1"/>
  <c r="L398" i="16"/>
  <c r="M398" i="16" s="1"/>
  <c r="N398" i="16" s="1"/>
  <c r="L399" i="16"/>
  <c r="M399" i="16" s="1"/>
  <c r="N399" i="16" s="1"/>
  <c r="L400" i="16"/>
  <c r="M400" i="16" s="1"/>
  <c r="N400" i="16" s="1"/>
  <c r="L401" i="16"/>
  <c r="M401" i="16" s="1"/>
  <c r="N401" i="16" s="1"/>
  <c r="L402" i="16"/>
  <c r="M402" i="16" s="1"/>
  <c r="N402" i="16" s="1"/>
  <c r="L403" i="16"/>
  <c r="M403" i="16" s="1"/>
  <c r="N403" i="16" s="1"/>
  <c r="L404" i="16"/>
  <c r="M404" i="16" s="1"/>
  <c r="N404" i="16" s="1"/>
  <c r="L405" i="16"/>
  <c r="M405" i="16" s="1"/>
  <c r="N405" i="16" s="1"/>
  <c r="L406" i="16"/>
  <c r="M406" i="16" s="1"/>
  <c r="N406" i="16" s="1"/>
  <c r="L407" i="16"/>
  <c r="M407" i="16" s="1"/>
  <c r="N407" i="16" s="1"/>
  <c r="L408" i="16"/>
  <c r="M408" i="16" s="1"/>
  <c r="N408" i="16" s="1"/>
  <c r="L409" i="16"/>
  <c r="M409" i="16" s="1"/>
  <c r="N409" i="16" s="1"/>
  <c r="L410" i="16"/>
  <c r="M410" i="16" s="1"/>
  <c r="N410" i="16" s="1"/>
  <c r="L411" i="16"/>
  <c r="M411" i="16" s="1"/>
  <c r="N411" i="16" s="1"/>
  <c r="L412" i="16"/>
  <c r="M412" i="16" s="1"/>
  <c r="N412" i="16" s="1"/>
  <c r="L413" i="16"/>
  <c r="M413" i="16" s="1"/>
  <c r="N413" i="16" s="1"/>
  <c r="L414" i="16"/>
  <c r="M414" i="16" s="1"/>
  <c r="N414" i="16" s="1"/>
  <c r="L415" i="16"/>
  <c r="M415" i="16" s="1"/>
  <c r="N415" i="16" s="1"/>
  <c r="L416" i="16"/>
  <c r="N416" i="16" s="1"/>
  <c r="L417" i="16"/>
  <c r="N417" i="16" s="1"/>
  <c r="L418" i="16"/>
  <c r="M418" i="16" s="1"/>
  <c r="N418" i="16" s="1"/>
  <c r="L419" i="16"/>
  <c r="M419" i="16" s="1"/>
  <c r="N419" i="16" s="1"/>
  <c r="L420" i="16"/>
  <c r="M420" i="16" s="1"/>
  <c r="N420" i="16" s="1"/>
  <c r="L421" i="16"/>
  <c r="M421" i="16" s="1"/>
  <c r="N421" i="16" s="1"/>
  <c r="L422" i="16"/>
  <c r="M422" i="16" s="1"/>
  <c r="N422" i="16" s="1"/>
  <c r="L423" i="16"/>
  <c r="M423" i="16" s="1"/>
  <c r="N423" i="16" s="1"/>
  <c r="L424" i="16"/>
  <c r="M424" i="16" s="1"/>
  <c r="N424" i="16" s="1"/>
  <c r="L425" i="16"/>
  <c r="M425" i="16" s="1"/>
  <c r="N425" i="16" s="1"/>
  <c r="L426" i="16"/>
  <c r="M426" i="16" s="1"/>
  <c r="N426" i="16" s="1"/>
  <c r="L427" i="16"/>
  <c r="M427" i="16" s="1"/>
  <c r="N427" i="16" s="1"/>
  <c r="L428" i="16"/>
  <c r="M428" i="16" s="1"/>
  <c r="N428" i="16" s="1"/>
  <c r="L429" i="16"/>
  <c r="M429" i="16" s="1"/>
  <c r="N429" i="16" s="1"/>
  <c r="L430" i="16"/>
  <c r="M430" i="16" s="1"/>
  <c r="N430" i="16" s="1"/>
  <c r="L431" i="16"/>
  <c r="M431" i="16" s="1"/>
  <c r="N431" i="16" s="1"/>
  <c r="L432" i="16"/>
  <c r="M432" i="16" s="1"/>
  <c r="N432" i="16" s="1"/>
  <c r="L433" i="16"/>
  <c r="N433" i="16" s="1"/>
  <c r="L434" i="16"/>
  <c r="M434" i="16" s="1"/>
  <c r="N434" i="16" s="1"/>
  <c r="L435" i="16"/>
  <c r="M435" i="16" s="1"/>
  <c r="N435" i="16" s="1"/>
  <c r="L436" i="16"/>
  <c r="M436" i="16" s="1"/>
  <c r="N436" i="16" s="1"/>
  <c r="L437" i="16"/>
  <c r="M437" i="16" s="1"/>
  <c r="N437" i="16" s="1"/>
  <c r="L438" i="16"/>
  <c r="M438" i="16" s="1"/>
  <c r="N438" i="16" s="1"/>
  <c r="L439" i="16"/>
  <c r="M439" i="16" s="1"/>
  <c r="N439" i="16" s="1"/>
  <c r="L440" i="16"/>
  <c r="M440" i="16" s="1"/>
  <c r="N440" i="16" s="1"/>
  <c r="L441" i="16"/>
  <c r="M441" i="16" s="1"/>
  <c r="N441" i="16" s="1"/>
  <c r="L442" i="16"/>
  <c r="M442" i="16" s="1"/>
  <c r="N442" i="16" s="1"/>
  <c r="L443" i="16"/>
  <c r="M443" i="16" s="1"/>
  <c r="N443" i="16" s="1"/>
  <c r="L444" i="16"/>
  <c r="N444" i="16" s="1"/>
  <c r="L445" i="16"/>
  <c r="M445" i="16" s="1"/>
  <c r="N445" i="16" s="1"/>
  <c r="L446" i="16"/>
  <c r="N446" i="16" s="1"/>
  <c r="L447" i="16"/>
  <c r="M447" i="16" s="1"/>
  <c r="N447" i="16" s="1"/>
  <c r="L448" i="16"/>
  <c r="M448" i="16" s="1"/>
  <c r="N448" i="16" s="1"/>
  <c r="L449" i="16"/>
  <c r="M449" i="16" s="1"/>
  <c r="N449" i="16" s="1"/>
  <c r="L450" i="16"/>
  <c r="N450" i="16" s="1"/>
  <c r="L451" i="16"/>
  <c r="M451" i="16" s="1"/>
  <c r="N451" i="16" s="1"/>
  <c r="L452" i="16"/>
  <c r="L453" i="16"/>
  <c r="M453" i="16" s="1"/>
  <c r="N453" i="16" s="1"/>
  <c r="L454" i="16"/>
  <c r="M454" i="16" s="1"/>
  <c r="N454" i="16" s="1"/>
  <c r="M2" i="16"/>
  <c r="N16" i="16"/>
  <c r="N6" i="16"/>
  <c r="N7" i="16"/>
  <c r="N14" i="16"/>
  <c r="N22" i="16"/>
  <c r="N38" i="16"/>
  <c r="N51" i="16"/>
  <c r="N58" i="16"/>
  <c r="L455" i="16"/>
  <c r="M455" i="16" s="1"/>
  <c r="N455" i="16" s="1"/>
  <c r="L456" i="16"/>
  <c r="M456" i="16" s="1"/>
  <c r="N456" i="16" s="1"/>
  <c r="L457" i="16"/>
  <c r="M457" i="16" s="1"/>
  <c r="N457" i="16" s="1"/>
  <c r="L458" i="16"/>
  <c r="M458" i="16" s="1"/>
  <c r="N458" i="16" s="1"/>
  <c r="L459" i="16"/>
  <c r="M459" i="16" s="1"/>
  <c r="N459" i="16" s="1"/>
  <c r="L460" i="16"/>
  <c r="M460" i="16" s="1"/>
  <c r="N460" i="16" s="1"/>
  <c r="L461" i="16"/>
  <c r="M461" i="16" s="1"/>
  <c r="N461" i="16" s="1"/>
  <c r="L462" i="16"/>
  <c r="M462" i="16" s="1"/>
  <c r="N462" i="16" s="1"/>
  <c r="L463" i="16"/>
  <c r="M463" i="16" s="1"/>
  <c r="N463" i="16" s="1"/>
  <c r="L464" i="16"/>
  <c r="M464" i="16" s="1"/>
  <c r="N464" i="16" s="1"/>
  <c r="L465" i="16"/>
  <c r="M465" i="16" s="1"/>
  <c r="N465" i="16" s="1"/>
  <c r="L466" i="16"/>
  <c r="M466" i="16" s="1"/>
  <c r="N466" i="16" s="1"/>
  <c r="L467" i="16"/>
  <c r="M467" i="16" s="1"/>
  <c r="N467" i="16" s="1"/>
  <c r="L468" i="16"/>
  <c r="M468" i="16" s="1"/>
  <c r="N468" i="16" s="1"/>
  <c r="L469" i="16"/>
  <c r="M469" i="16" s="1"/>
  <c r="N469" i="16" s="1"/>
  <c r="L470" i="16"/>
  <c r="M470" i="16" s="1"/>
  <c r="N470" i="16" s="1"/>
  <c r="L471" i="16"/>
  <c r="M471" i="16" s="1"/>
  <c r="N471" i="16" s="1"/>
  <c r="L472" i="16"/>
  <c r="M472" i="16" s="1"/>
  <c r="N472" i="16" s="1"/>
  <c r="L473" i="16"/>
  <c r="N473" i="16" s="1"/>
  <c r="L474" i="16"/>
  <c r="M474" i="16" s="1"/>
  <c r="N474" i="16" s="1"/>
  <c r="X492" i="1" l="1"/>
  <c r="X290" i="1"/>
  <c r="X395" i="1"/>
  <c r="X185" i="1"/>
  <c r="X386" i="1"/>
  <c r="X233" i="1"/>
  <c r="X422" i="1"/>
  <c r="N2" i="16"/>
  <c r="X59" i="1"/>
  <c r="X64" i="1"/>
  <c r="X68" i="1"/>
  <c r="X88" i="1"/>
  <c r="X98" i="1"/>
  <c r="X121" i="1"/>
  <c r="X129" i="1"/>
  <c r="X149" i="1"/>
  <c r="X153" i="1"/>
  <c r="X166" i="1"/>
  <c r="X194" i="1"/>
  <c r="X234" i="1"/>
  <c r="X244" i="1"/>
  <c r="X253" i="1"/>
  <c r="X261" i="1"/>
  <c r="X265" i="1"/>
  <c r="X293" i="1"/>
  <c r="X299" i="1"/>
  <c r="X308" i="1"/>
  <c r="X312" i="1"/>
  <c r="X382" i="1"/>
  <c r="X5" i="1"/>
  <c r="X19" i="1"/>
  <c r="X60" i="1"/>
  <c r="X85" i="1"/>
  <c r="X177" i="1"/>
  <c r="X211" i="1"/>
  <c r="X217" i="1"/>
  <c r="X222" i="1"/>
  <c r="X231" i="1"/>
  <c r="X258" i="1"/>
  <c r="X275" i="1"/>
  <c r="X284" i="1"/>
  <c r="X289" i="1"/>
  <c r="X294" i="1"/>
  <c r="X309" i="1"/>
  <c r="X319" i="1"/>
  <c r="X330" i="1"/>
  <c r="X343" i="1"/>
  <c r="X351" i="1"/>
  <c r="X375" i="1"/>
  <c r="X379" i="1"/>
  <c r="X392" i="1"/>
  <c r="X396" i="1"/>
  <c r="X32" i="1"/>
  <c r="X11" i="1"/>
  <c r="X21" i="1"/>
  <c r="X46" i="1"/>
  <c r="X52" i="1"/>
  <c r="X77" i="1"/>
  <c r="X120" i="1"/>
  <c r="X165" i="1"/>
  <c r="X189" i="1"/>
  <c r="X205" i="1"/>
  <c r="X214" i="1"/>
  <c r="X256" i="1"/>
  <c r="X136" i="1"/>
  <c r="X155" i="1"/>
  <c r="X246" i="1"/>
  <c r="X301" i="1"/>
  <c r="X412" i="1"/>
  <c r="X416" i="1"/>
  <c r="X442" i="1"/>
  <c r="X480" i="1"/>
  <c r="X495" i="1"/>
  <c r="X482" i="1"/>
  <c r="X496" i="1"/>
  <c r="X104" i="1"/>
  <c r="X142" i="1"/>
  <c r="X196" i="1"/>
  <c r="X358" i="1"/>
  <c r="X109" i="1"/>
  <c r="X164" i="1"/>
  <c r="X183" i="1"/>
  <c r="X306" i="1"/>
  <c r="X362" i="1"/>
  <c r="X389" i="1"/>
  <c r="X424" i="1"/>
  <c r="X457" i="1"/>
  <c r="X478" i="1"/>
  <c r="X497" i="1"/>
  <c r="X432" i="1"/>
  <c r="X131" i="1"/>
  <c r="X363" i="1"/>
  <c r="X406" i="1"/>
  <c r="X475" i="1"/>
  <c r="X486" i="1"/>
  <c r="X490" i="1"/>
  <c r="X488" i="1"/>
  <c r="N452" i="16"/>
  <c r="N327" i="16"/>
  <c r="N188" i="16"/>
  <c r="J474" i="16"/>
  <c r="I474" i="16"/>
  <c r="H474" i="16"/>
  <c r="G474" i="16"/>
  <c r="J473" i="16"/>
  <c r="I473" i="16"/>
  <c r="H473" i="16"/>
  <c r="G473" i="16"/>
  <c r="J472" i="16"/>
  <c r="I472" i="16"/>
  <c r="H472" i="16"/>
  <c r="G472" i="16"/>
  <c r="J471" i="16"/>
  <c r="I471" i="16"/>
  <c r="H471" i="16"/>
  <c r="G471" i="16"/>
  <c r="J470" i="16"/>
  <c r="I470" i="16"/>
  <c r="H470" i="16"/>
  <c r="G470" i="16"/>
  <c r="J469" i="16"/>
  <c r="I469" i="16"/>
  <c r="H469" i="16"/>
  <c r="G469" i="16"/>
  <c r="J468" i="16"/>
  <c r="I468" i="16"/>
  <c r="H468" i="16"/>
  <c r="G468" i="16"/>
  <c r="J467" i="16"/>
  <c r="I467" i="16"/>
  <c r="H467" i="16"/>
  <c r="G467" i="16"/>
  <c r="J466" i="16"/>
  <c r="I466" i="16"/>
  <c r="H466" i="16"/>
  <c r="G466" i="16"/>
  <c r="J465" i="16"/>
  <c r="I465" i="16"/>
  <c r="H465" i="16"/>
  <c r="G465" i="16"/>
  <c r="J464" i="16"/>
  <c r="I464" i="16"/>
  <c r="H464" i="16"/>
  <c r="G464" i="16"/>
  <c r="J463" i="16"/>
  <c r="I463" i="16"/>
  <c r="H463" i="16"/>
  <c r="G463" i="16"/>
  <c r="J462" i="16"/>
  <c r="I462" i="16"/>
  <c r="H462" i="16"/>
  <c r="G462" i="16"/>
  <c r="J461" i="16"/>
  <c r="I461" i="16"/>
  <c r="H461" i="16"/>
  <c r="G461" i="16"/>
  <c r="J460" i="16"/>
  <c r="I460" i="16"/>
  <c r="H460" i="16"/>
  <c r="G460" i="16"/>
  <c r="J459" i="16"/>
  <c r="I459" i="16"/>
  <c r="H459" i="16"/>
  <c r="G459" i="16"/>
  <c r="J458" i="16"/>
  <c r="I458" i="16"/>
  <c r="H458" i="16"/>
  <c r="G458" i="16"/>
  <c r="J457" i="16"/>
  <c r="I457" i="16"/>
  <c r="H457" i="16"/>
  <c r="G457" i="16"/>
  <c r="J456" i="16"/>
  <c r="I456" i="16"/>
  <c r="H456" i="16"/>
  <c r="G456" i="16"/>
  <c r="J455" i="16"/>
  <c r="I455" i="16"/>
  <c r="H455" i="16"/>
  <c r="G455" i="16"/>
  <c r="J454" i="16"/>
  <c r="I454" i="16"/>
  <c r="H454" i="16"/>
  <c r="G454" i="16"/>
  <c r="J453" i="16"/>
  <c r="I453" i="16"/>
  <c r="H453" i="16"/>
  <c r="G453" i="16"/>
  <c r="J452" i="16"/>
  <c r="I452" i="16"/>
  <c r="H452" i="16"/>
  <c r="G452" i="16"/>
  <c r="J451" i="16"/>
  <c r="I451" i="16"/>
  <c r="H451" i="16"/>
  <c r="G451" i="16"/>
  <c r="J450" i="16"/>
  <c r="I450" i="16"/>
  <c r="H450" i="16"/>
  <c r="G450" i="16"/>
  <c r="J449" i="16"/>
  <c r="I449" i="16"/>
  <c r="H449" i="16"/>
  <c r="G449" i="16"/>
  <c r="J448" i="16"/>
  <c r="I448" i="16"/>
  <c r="H448" i="16"/>
  <c r="G448" i="16"/>
  <c r="J447" i="16"/>
  <c r="I447" i="16"/>
  <c r="H447" i="16"/>
  <c r="G447" i="16"/>
  <c r="J446" i="16"/>
  <c r="I446" i="16"/>
  <c r="H446" i="16"/>
  <c r="G446" i="16"/>
  <c r="J445" i="16"/>
  <c r="I445" i="16"/>
  <c r="H445" i="16"/>
  <c r="G445" i="16"/>
  <c r="J444" i="16"/>
  <c r="I444" i="16"/>
  <c r="H444" i="16"/>
  <c r="G444" i="16"/>
  <c r="J443" i="16"/>
  <c r="I443" i="16"/>
  <c r="H443" i="16"/>
  <c r="G443" i="16"/>
  <c r="J442" i="16"/>
  <c r="I442" i="16"/>
  <c r="H442" i="16"/>
  <c r="G442" i="16"/>
  <c r="J441" i="16"/>
  <c r="I441" i="16"/>
  <c r="H441" i="16"/>
  <c r="G441" i="16"/>
  <c r="J440" i="16"/>
  <c r="I440" i="16"/>
  <c r="H440" i="16"/>
  <c r="G440" i="16"/>
  <c r="J439" i="16"/>
  <c r="I439" i="16"/>
  <c r="H439" i="16"/>
  <c r="G439" i="16"/>
  <c r="J438" i="16"/>
  <c r="I438" i="16"/>
  <c r="H438" i="16"/>
  <c r="G438" i="16"/>
  <c r="J437" i="16"/>
  <c r="I437" i="16"/>
  <c r="H437" i="16"/>
  <c r="G437" i="16"/>
  <c r="J436" i="16"/>
  <c r="I436" i="16"/>
  <c r="H436" i="16"/>
  <c r="G436" i="16"/>
  <c r="J435" i="16"/>
  <c r="I435" i="16"/>
  <c r="H435" i="16"/>
  <c r="G435" i="16"/>
  <c r="J434" i="16"/>
  <c r="I434" i="16"/>
  <c r="H434" i="16"/>
  <c r="G434" i="16"/>
  <c r="J433" i="16"/>
  <c r="I433" i="16"/>
  <c r="H433" i="16"/>
  <c r="G433" i="16"/>
  <c r="J432" i="16"/>
  <c r="I432" i="16"/>
  <c r="H432" i="16"/>
  <c r="G432" i="16"/>
  <c r="J431" i="16"/>
  <c r="I431" i="16"/>
  <c r="H431" i="16"/>
  <c r="G431" i="16"/>
  <c r="J430" i="16"/>
  <c r="I430" i="16"/>
  <c r="H430" i="16"/>
  <c r="G430" i="16"/>
  <c r="J429" i="16"/>
  <c r="I429" i="16"/>
  <c r="H429" i="16"/>
  <c r="G429" i="16"/>
  <c r="J428" i="16"/>
  <c r="I428" i="16"/>
  <c r="H428" i="16"/>
  <c r="G428" i="16"/>
  <c r="J427" i="16"/>
  <c r="I427" i="16"/>
  <c r="H427" i="16"/>
  <c r="G427" i="16"/>
  <c r="J426" i="16"/>
  <c r="I426" i="16"/>
  <c r="H426" i="16"/>
  <c r="G426" i="16"/>
  <c r="J425" i="16"/>
  <c r="I425" i="16"/>
  <c r="H425" i="16"/>
  <c r="G425" i="16"/>
  <c r="J424" i="16"/>
  <c r="I424" i="16"/>
  <c r="H424" i="16"/>
  <c r="G424" i="16"/>
  <c r="J423" i="16"/>
  <c r="I423" i="16"/>
  <c r="H423" i="16"/>
  <c r="G423" i="16"/>
  <c r="J422" i="16"/>
  <c r="I422" i="16"/>
  <c r="H422" i="16"/>
  <c r="G422" i="16"/>
  <c r="J421" i="16"/>
  <c r="I421" i="16"/>
  <c r="H421" i="16"/>
  <c r="G421" i="16"/>
  <c r="J420" i="16"/>
  <c r="I420" i="16"/>
  <c r="H420" i="16"/>
  <c r="G420" i="16"/>
  <c r="J419" i="16"/>
  <c r="I419" i="16"/>
  <c r="H419" i="16"/>
  <c r="G419" i="16"/>
  <c r="J418" i="16"/>
  <c r="I418" i="16"/>
  <c r="H418" i="16"/>
  <c r="G418" i="16"/>
  <c r="J417" i="16"/>
  <c r="I417" i="16"/>
  <c r="H417" i="16"/>
  <c r="G417" i="16"/>
  <c r="J416" i="16"/>
  <c r="I416" i="16"/>
  <c r="H416" i="16"/>
  <c r="G416" i="16"/>
  <c r="J415" i="16"/>
  <c r="I415" i="16"/>
  <c r="H415" i="16"/>
  <c r="G415" i="16"/>
  <c r="J414" i="16"/>
  <c r="I414" i="16"/>
  <c r="H414" i="16"/>
  <c r="G414" i="16"/>
  <c r="J413" i="16"/>
  <c r="I413" i="16"/>
  <c r="H413" i="16"/>
  <c r="G413" i="16"/>
  <c r="J412" i="16"/>
  <c r="I412" i="16"/>
  <c r="H412" i="16"/>
  <c r="G412" i="16"/>
  <c r="J411" i="16"/>
  <c r="I411" i="16"/>
  <c r="H411" i="16"/>
  <c r="G411" i="16"/>
  <c r="J410" i="16"/>
  <c r="I410" i="16"/>
  <c r="H410" i="16"/>
  <c r="G410" i="16"/>
  <c r="J409" i="16"/>
  <c r="I409" i="16"/>
  <c r="H409" i="16"/>
  <c r="G409" i="16"/>
  <c r="J408" i="16"/>
  <c r="I408" i="16"/>
  <c r="H408" i="16"/>
  <c r="G408" i="16"/>
  <c r="J407" i="16"/>
  <c r="I407" i="16"/>
  <c r="H407" i="16"/>
  <c r="G407" i="16"/>
  <c r="J406" i="16"/>
  <c r="I406" i="16"/>
  <c r="H406" i="16"/>
  <c r="G406" i="16"/>
  <c r="J405" i="16"/>
  <c r="I405" i="16"/>
  <c r="H405" i="16"/>
  <c r="G405" i="16"/>
  <c r="J404" i="16"/>
  <c r="I404" i="16"/>
  <c r="H404" i="16"/>
  <c r="G404" i="16"/>
  <c r="J403" i="16"/>
  <c r="I403" i="16"/>
  <c r="H403" i="16"/>
  <c r="G403" i="16"/>
  <c r="J402" i="16"/>
  <c r="I402" i="16"/>
  <c r="H402" i="16"/>
  <c r="G402" i="16"/>
  <c r="J401" i="16"/>
  <c r="I401" i="16"/>
  <c r="H401" i="16"/>
  <c r="G401" i="16"/>
  <c r="J400" i="16"/>
  <c r="I400" i="16"/>
  <c r="H400" i="16"/>
  <c r="G400" i="16"/>
  <c r="J399" i="16"/>
  <c r="I399" i="16"/>
  <c r="H399" i="16"/>
  <c r="G399" i="16"/>
  <c r="J398" i="16"/>
  <c r="I398" i="16"/>
  <c r="H398" i="16"/>
  <c r="G398" i="16"/>
  <c r="J397" i="16"/>
  <c r="I397" i="16"/>
  <c r="H397" i="16"/>
  <c r="G397" i="16"/>
  <c r="J396" i="16"/>
  <c r="I396" i="16"/>
  <c r="H396" i="16"/>
  <c r="G396" i="16"/>
  <c r="J395" i="16"/>
  <c r="I395" i="16"/>
  <c r="H395" i="16"/>
  <c r="G395" i="16"/>
  <c r="J394" i="16"/>
  <c r="I394" i="16"/>
  <c r="H394" i="16"/>
  <c r="G394" i="16"/>
  <c r="J393" i="16"/>
  <c r="I393" i="16"/>
  <c r="H393" i="16"/>
  <c r="G393" i="16"/>
  <c r="J392" i="16"/>
  <c r="I392" i="16"/>
  <c r="H392" i="16"/>
  <c r="G392" i="16"/>
  <c r="J391" i="16"/>
  <c r="I391" i="16"/>
  <c r="H391" i="16"/>
  <c r="G391" i="16"/>
  <c r="J390" i="16"/>
  <c r="I390" i="16"/>
  <c r="H390" i="16"/>
  <c r="G390" i="16"/>
  <c r="J389" i="16"/>
  <c r="I389" i="16"/>
  <c r="H389" i="16"/>
  <c r="G389" i="16"/>
  <c r="J388" i="16"/>
  <c r="I388" i="16"/>
  <c r="H388" i="16"/>
  <c r="G388" i="16"/>
  <c r="J387" i="16"/>
  <c r="I387" i="16"/>
  <c r="H387" i="16"/>
  <c r="G387" i="16"/>
  <c r="J386" i="16"/>
  <c r="I386" i="16"/>
  <c r="H386" i="16"/>
  <c r="G386" i="16"/>
  <c r="J385" i="16"/>
  <c r="I385" i="16"/>
  <c r="H385" i="16"/>
  <c r="G385" i="16"/>
  <c r="J384" i="16"/>
  <c r="I384" i="16"/>
  <c r="H384" i="16"/>
  <c r="G384" i="16"/>
  <c r="J383" i="16"/>
  <c r="I383" i="16"/>
  <c r="H383" i="16"/>
  <c r="G383" i="16"/>
  <c r="J382" i="16"/>
  <c r="I382" i="16"/>
  <c r="H382" i="16"/>
  <c r="G382" i="16"/>
  <c r="J381" i="16"/>
  <c r="I381" i="16"/>
  <c r="H381" i="16"/>
  <c r="G381" i="16"/>
  <c r="J380" i="16"/>
  <c r="I380" i="16"/>
  <c r="H380" i="16"/>
  <c r="G380" i="16"/>
  <c r="J379" i="16"/>
  <c r="I379" i="16"/>
  <c r="H379" i="16"/>
  <c r="G379" i="16"/>
  <c r="J378" i="16"/>
  <c r="I378" i="16"/>
  <c r="H378" i="16"/>
  <c r="G378" i="16"/>
  <c r="J377" i="16"/>
  <c r="I377" i="16"/>
  <c r="H377" i="16"/>
  <c r="G377" i="16"/>
  <c r="J376" i="16"/>
  <c r="I376" i="16"/>
  <c r="H376" i="16"/>
  <c r="G376" i="16"/>
  <c r="J375" i="16"/>
  <c r="I375" i="16"/>
  <c r="H375" i="16"/>
  <c r="G375" i="16"/>
  <c r="J374" i="16"/>
  <c r="I374" i="16"/>
  <c r="H374" i="16"/>
  <c r="G374" i="16"/>
  <c r="J373" i="16"/>
  <c r="I373" i="16"/>
  <c r="H373" i="16"/>
  <c r="G373" i="16"/>
  <c r="J372" i="16"/>
  <c r="I372" i="16"/>
  <c r="H372" i="16"/>
  <c r="G372" i="16"/>
  <c r="J371" i="16"/>
  <c r="I371" i="16"/>
  <c r="H371" i="16"/>
  <c r="G371" i="16"/>
  <c r="J370" i="16"/>
  <c r="I370" i="16"/>
  <c r="H370" i="16"/>
  <c r="G370" i="16"/>
  <c r="J369" i="16"/>
  <c r="I369" i="16"/>
  <c r="H369" i="16"/>
  <c r="G369" i="16"/>
  <c r="J368" i="16"/>
  <c r="I368" i="16"/>
  <c r="H368" i="16"/>
  <c r="G368" i="16"/>
  <c r="J367" i="16"/>
  <c r="I367" i="16"/>
  <c r="H367" i="16"/>
  <c r="G367" i="16"/>
  <c r="J366" i="16"/>
  <c r="I366" i="16"/>
  <c r="H366" i="16"/>
  <c r="G366" i="16"/>
  <c r="J365" i="16"/>
  <c r="I365" i="16"/>
  <c r="H365" i="16"/>
  <c r="G365" i="16"/>
  <c r="J364" i="16"/>
  <c r="I364" i="16"/>
  <c r="H364" i="16"/>
  <c r="G364" i="16"/>
  <c r="J363" i="16"/>
  <c r="I363" i="16"/>
  <c r="H363" i="16"/>
  <c r="G363" i="16"/>
  <c r="J362" i="16"/>
  <c r="I362" i="16"/>
  <c r="H362" i="16"/>
  <c r="G362" i="16"/>
  <c r="J361" i="16"/>
  <c r="I361" i="16"/>
  <c r="H361" i="16"/>
  <c r="G361" i="16"/>
  <c r="J360" i="16"/>
  <c r="I360" i="16"/>
  <c r="H360" i="16"/>
  <c r="G360" i="16"/>
  <c r="J359" i="16"/>
  <c r="I359" i="16"/>
  <c r="H359" i="16"/>
  <c r="G359" i="16"/>
  <c r="J358" i="16"/>
  <c r="I358" i="16"/>
  <c r="H358" i="16"/>
  <c r="G358" i="16"/>
  <c r="J357" i="16"/>
  <c r="I357" i="16"/>
  <c r="H357" i="16"/>
  <c r="G357" i="16"/>
  <c r="J356" i="16"/>
  <c r="I356" i="16"/>
  <c r="H356" i="16"/>
  <c r="G356" i="16"/>
  <c r="J355" i="16"/>
  <c r="I355" i="16"/>
  <c r="H355" i="16"/>
  <c r="G355" i="16"/>
  <c r="J354" i="16"/>
  <c r="I354" i="16"/>
  <c r="H354" i="16"/>
  <c r="G354" i="16"/>
  <c r="J353" i="16"/>
  <c r="I353" i="16"/>
  <c r="H353" i="16"/>
  <c r="G353" i="16"/>
  <c r="J352" i="16"/>
  <c r="I352" i="16"/>
  <c r="H352" i="16"/>
  <c r="G352" i="16"/>
  <c r="J351" i="16"/>
  <c r="I351" i="16"/>
  <c r="H351" i="16"/>
  <c r="G351" i="16"/>
  <c r="J350" i="16"/>
  <c r="I350" i="16"/>
  <c r="H350" i="16"/>
  <c r="G350" i="16"/>
  <c r="J349" i="16"/>
  <c r="I349" i="16"/>
  <c r="H349" i="16"/>
  <c r="G349" i="16"/>
  <c r="J348" i="16"/>
  <c r="I348" i="16"/>
  <c r="H348" i="16"/>
  <c r="G348" i="16"/>
  <c r="J347" i="16"/>
  <c r="I347" i="16"/>
  <c r="H347" i="16"/>
  <c r="G347" i="16"/>
  <c r="J346" i="16"/>
  <c r="I346" i="16"/>
  <c r="H346" i="16"/>
  <c r="G346" i="16"/>
  <c r="J345" i="16"/>
  <c r="I345" i="16"/>
  <c r="H345" i="16"/>
  <c r="G345" i="16"/>
  <c r="J344" i="16"/>
  <c r="I344" i="16"/>
  <c r="H344" i="16"/>
  <c r="G344" i="16"/>
  <c r="J343" i="16"/>
  <c r="I343" i="16"/>
  <c r="H343" i="16"/>
  <c r="G343" i="16"/>
  <c r="J342" i="16"/>
  <c r="I342" i="16"/>
  <c r="H342" i="16"/>
  <c r="G342" i="16"/>
  <c r="J341" i="16"/>
  <c r="I341" i="16"/>
  <c r="H341" i="16"/>
  <c r="G341" i="16"/>
  <c r="J340" i="16"/>
  <c r="I340" i="16"/>
  <c r="H340" i="16"/>
  <c r="G340" i="16"/>
  <c r="J339" i="16"/>
  <c r="I339" i="16"/>
  <c r="H339" i="16"/>
  <c r="G339" i="16"/>
  <c r="J338" i="16"/>
  <c r="I338" i="16"/>
  <c r="H338" i="16"/>
  <c r="G338" i="16"/>
  <c r="J337" i="16"/>
  <c r="I337" i="16"/>
  <c r="H337" i="16"/>
  <c r="G337" i="16"/>
  <c r="J336" i="16"/>
  <c r="I336" i="16"/>
  <c r="H336" i="16"/>
  <c r="G336" i="16"/>
  <c r="J335" i="16"/>
  <c r="I335" i="16"/>
  <c r="H335" i="16"/>
  <c r="G335" i="16"/>
  <c r="J334" i="16"/>
  <c r="I334" i="16"/>
  <c r="H334" i="16"/>
  <c r="G334" i="16"/>
  <c r="J333" i="16"/>
  <c r="I333" i="16"/>
  <c r="H333" i="16"/>
  <c r="G333" i="16"/>
  <c r="J332" i="16"/>
  <c r="I332" i="16"/>
  <c r="H332" i="16"/>
  <c r="G332" i="16"/>
  <c r="J331" i="16"/>
  <c r="I331" i="16"/>
  <c r="H331" i="16"/>
  <c r="G331" i="16"/>
  <c r="J330" i="16"/>
  <c r="I330" i="16"/>
  <c r="H330" i="16"/>
  <c r="G330" i="16"/>
  <c r="J329" i="16"/>
  <c r="I329" i="16"/>
  <c r="H329" i="16"/>
  <c r="G329" i="16"/>
  <c r="J328" i="16"/>
  <c r="I328" i="16"/>
  <c r="H328" i="16"/>
  <c r="G328" i="16"/>
  <c r="J327" i="16"/>
  <c r="I327" i="16"/>
  <c r="H327" i="16"/>
  <c r="G327" i="16"/>
  <c r="J326" i="16"/>
  <c r="I326" i="16"/>
  <c r="H326" i="16"/>
  <c r="G326" i="16"/>
  <c r="J325" i="16"/>
  <c r="I325" i="16"/>
  <c r="H325" i="16"/>
  <c r="G325" i="16"/>
  <c r="J324" i="16"/>
  <c r="I324" i="16"/>
  <c r="H324" i="16"/>
  <c r="G324" i="16"/>
  <c r="J323" i="16"/>
  <c r="I323" i="16"/>
  <c r="H323" i="16"/>
  <c r="G323" i="16"/>
  <c r="J322" i="16"/>
  <c r="I322" i="16"/>
  <c r="H322" i="16"/>
  <c r="G322" i="16"/>
  <c r="J321" i="16"/>
  <c r="I321" i="16"/>
  <c r="H321" i="16"/>
  <c r="G321" i="16"/>
  <c r="J320" i="16"/>
  <c r="I320" i="16"/>
  <c r="H320" i="16"/>
  <c r="G320" i="16"/>
  <c r="J319" i="16"/>
  <c r="I319" i="16"/>
  <c r="H319" i="16"/>
  <c r="G319" i="16"/>
  <c r="J318" i="16"/>
  <c r="I318" i="16"/>
  <c r="H318" i="16"/>
  <c r="G318" i="16"/>
  <c r="J317" i="16"/>
  <c r="I317" i="16"/>
  <c r="H317" i="16"/>
  <c r="G317" i="16"/>
  <c r="J316" i="16"/>
  <c r="I316" i="16"/>
  <c r="H316" i="16"/>
  <c r="G316" i="16"/>
  <c r="J315" i="16"/>
  <c r="I315" i="16"/>
  <c r="H315" i="16"/>
  <c r="G315" i="16"/>
  <c r="J314" i="16"/>
  <c r="I314" i="16"/>
  <c r="H314" i="16"/>
  <c r="G314" i="16"/>
  <c r="J313" i="16"/>
  <c r="I313" i="16"/>
  <c r="H313" i="16"/>
  <c r="G313" i="16"/>
  <c r="J312" i="16"/>
  <c r="I312" i="16"/>
  <c r="H312" i="16"/>
  <c r="G312" i="16"/>
  <c r="J311" i="16"/>
  <c r="I311" i="16"/>
  <c r="H311" i="16"/>
  <c r="G311" i="16"/>
  <c r="J310" i="16"/>
  <c r="I310" i="16"/>
  <c r="H310" i="16"/>
  <c r="G310" i="16"/>
  <c r="J309" i="16"/>
  <c r="I309" i="16"/>
  <c r="H309" i="16"/>
  <c r="G309" i="16"/>
  <c r="J308" i="16"/>
  <c r="I308" i="16"/>
  <c r="H308" i="16"/>
  <c r="G308" i="16"/>
  <c r="J307" i="16"/>
  <c r="I307" i="16"/>
  <c r="H307" i="16"/>
  <c r="G307" i="16"/>
  <c r="J306" i="16"/>
  <c r="I306" i="16"/>
  <c r="H306" i="16"/>
  <c r="G306" i="16"/>
  <c r="J305" i="16"/>
  <c r="I305" i="16"/>
  <c r="H305" i="16"/>
  <c r="G305" i="16"/>
  <c r="J304" i="16"/>
  <c r="I304" i="16"/>
  <c r="H304" i="16"/>
  <c r="G304" i="16"/>
  <c r="J303" i="16"/>
  <c r="I303" i="16"/>
  <c r="H303" i="16"/>
  <c r="G303" i="16"/>
  <c r="J302" i="16"/>
  <c r="I302" i="16"/>
  <c r="H302" i="16"/>
  <c r="G302" i="16"/>
  <c r="J301" i="16"/>
  <c r="I301" i="16"/>
  <c r="H301" i="16"/>
  <c r="G301" i="16"/>
  <c r="J300" i="16"/>
  <c r="I300" i="16"/>
  <c r="H300" i="16"/>
  <c r="G300" i="16"/>
  <c r="J299" i="16"/>
  <c r="I299" i="16"/>
  <c r="H299" i="16"/>
  <c r="G299" i="16"/>
  <c r="J298" i="16"/>
  <c r="I298" i="16"/>
  <c r="H298" i="16"/>
  <c r="G298" i="16"/>
  <c r="J297" i="16"/>
  <c r="I297" i="16"/>
  <c r="H297" i="16"/>
  <c r="G297" i="16"/>
  <c r="J296" i="16"/>
  <c r="I296" i="16"/>
  <c r="H296" i="16"/>
  <c r="G296" i="16"/>
  <c r="J295" i="16"/>
  <c r="I295" i="16"/>
  <c r="H295" i="16"/>
  <c r="G295" i="16"/>
  <c r="J294" i="16"/>
  <c r="I294" i="16"/>
  <c r="H294" i="16"/>
  <c r="G294" i="16"/>
  <c r="J293" i="16"/>
  <c r="I293" i="16"/>
  <c r="H293" i="16"/>
  <c r="G293" i="16"/>
  <c r="J292" i="16"/>
  <c r="I292" i="16"/>
  <c r="H292" i="16"/>
  <c r="G292" i="16"/>
  <c r="J291" i="16"/>
  <c r="I291" i="16"/>
  <c r="H291" i="16"/>
  <c r="G291" i="16"/>
  <c r="J290" i="16"/>
  <c r="I290" i="16"/>
  <c r="H290" i="16"/>
  <c r="G290" i="16"/>
  <c r="J289" i="16"/>
  <c r="I289" i="16"/>
  <c r="H289" i="16"/>
  <c r="G289" i="16"/>
  <c r="J288" i="16"/>
  <c r="I288" i="16"/>
  <c r="H288" i="16"/>
  <c r="G288" i="16"/>
  <c r="J287" i="16"/>
  <c r="I287" i="16"/>
  <c r="H287" i="16"/>
  <c r="G287" i="16"/>
  <c r="J286" i="16"/>
  <c r="I286" i="16"/>
  <c r="H286" i="16"/>
  <c r="G286" i="16"/>
  <c r="J285" i="16"/>
  <c r="I285" i="16"/>
  <c r="H285" i="16"/>
  <c r="G285" i="16"/>
  <c r="J284" i="16"/>
  <c r="I284" i="16"/>
  <c r="H284" i="16"/>
  <c r="G284" i="16"/>
  <c r="J283" i="16"/>
  <c r="I283" i="16"/>
  <c r="H283" i="16"/>
  <c r="G283" i="16"/>
  <c r="J282" i="16"/>
  <c r="I282" i="16"/>
  <c r="H282" i="16"/>
  <c r="G282" i="16"/>
  <c r="J281" i="16"/>
  <c r="I281" i="16"/>
  <c r="H281" i="16"/>
  <c r="G281" i="16"/>
  <c r="J280" i="16"/>
  <c r="I280" i="16"/>
  <c r="H280" i="16"/>
  <c r="G280" i="16"/>
  <c r="J279" i="16"/>
  <c r="I279" i="16"/>
  <c r="H279" i="16"/>
  <c r="G279" i="16"/>
  <c r="J278" i="16"/>
  <c r="I278" i="16"/>
  <c r="H278" i="16"/>
  <c r="G278" i="16"/>
  <c r="J277" i="16"/>
  <c r="I277" i="16"/>
  <c r="H277" i="16"/>
  <c r="G277" i="16"/>
  <c r="J276" i="16"/>
  <c r="I276" i="16"/>
  <c r="H276" i="16"/>
  <c r="G276" i="16"/>
  <c r="J275" i="16"/>
  <c r="I275" i="16"/>
  <c r="H275" i="16"/>
  <c r="G275" i="16"/>
  <c r="J274" i="16"/>
  <c r="I274" i="16"/>
  <c r="H274" i="16"/>
  <c r="G274" i="16"/>
  <c r="J273" i="16"/>
  <c r="I273" i="16"/>
  <c r="H273" i="16"/>
  <c r="G273" i="16"/>
  <c r="J272" i="16"/>
  <c r="I272" i="16"/>
  <c r="H272" i="16"/>
  <c r="G272" i="16"/>
  <c r="J271" i="16"/>
  <c r="I271" i="16"/>
  <c r="H271" i="16"/>
  <c r="G271" i="16"/>
  <c r="J270" i="16"/>
  <c r="I270" i="16"/>
  <c r="H270" i="16"/>
  <c r="G270" i="16"/>
  <c r="J269" i="16"/>
  <c r="I269" i="16"/>
  <c r="H269" i="16"/>
  <c r="G269" i="16"/>
  <c r="J268" i="16"/>
  <c r="I268" i="16"/>
  <c r="H268" i="16"/>
  <c r="G268" i="16"/>
  <c r="J267" i="16"/>
  <c r="I267" i="16"/>
  <c r="H267" i="16"/>
  <c r="G267" i="16"/>
  <c r="J266" i="16"/>
  <c r="I266" i="16"/>
  <c r="H266" i="16"/>
  <c r="G266" i="16"/>
  <c r="J265" i="16"/>
  <c r="I265" i="16"/>
  <c r="H265" i="16"/>
  <c r="G265" i="16"/>
  <c r="J264" i="16"/>
  <c r="I264" i="16"/>
  <c r="H264" i="16"/>
  <c r="G264" i="16"/>
  <c r="J263" i="16"/>
  <c r="I263" i="16"/>
  <c r="H263" i="16"/>
  <c r="G263" i="16"/>
  <c r="J262" i="16"/>
  <c r="I262" i="16"/>
  <c r="H262" i="16"/>
  <c r="G262" i="16"/>
  <c r="J261" i="16"/>
  <c r="I261" i="16"/>
  <c r="H261" i="16"/>
  <c r="G261" i="16"/>
  <c r="J260" i="16"/>
  <c r="I260" i="16"/>
  <c r="H260" i="16"/>
  <c r="G260" i="16"/>
  <c r="J259" i="16"/>
  <c r="I259" i="16"/>
  <c r="H259" i="16"/>
  <c r="G259" i="16"/>
  <c r="J258" i="16"/>
  <c r="I258" i="16"/>
  <c r="H258" i="16"/>
  <c r="G258" i="16"/>
  <c r="J257" i="16"/>
  <c r="I257" i="16"/>
  <c r="H257" i="16"/>
  <c r="G257" i="16"/>
  <c r="J256" i="16"/>
  <c r="I256" i="16"/>
  <c r="H256" i="16"/>
  <c r="G256" i="16"/>
  <c r="J255" i="16"/>
  <c r="I255" i="16"/>
  <c r="H255" i="16"/>
  <c r="G255" i="16"/>
  <c r="J254" i="16"/>
  <c r="I254" i="16"/>
  <c r="H254" i="16"/>
  <c r="G254" i="16"/>
  <c r="J253" i="16"/>
  <c r="I253" i="16"/>
  <c r="H253" i="16"/>
  <c r="G253" i="16"/>
  <c r="J252" i="16"/>
  <c r="I252" i="16"/>
  <c r="H252" i="16"/>
  <c r="G252" i="16"/>
  <c r="J251" i="16"/>
  <c r="I251" i="16"/>
  <c r="H251" i="16"/>
  <c r="G251" i="16"/>
  <c r="J250" i="16"/>
  <c r="I250" i="16"/>
  <c r="H250" i="16"/>
  <c r="G250" i="16"/>
  <c r="J249" i="16"/>
  <c r="I249" i="16"/>
  <c r="H249" i="16"/>
  <c r="G249" i="16"/>
  <c r="J248" i="16"/>
  <c r="I248" i="16"/>
  <c r="H248" i="16"/>
  <c r="G248" i="16"/>
  <c r="J247" i="16"/>
  <c r="I247" i="16"/>
  <c r="H247" i="16"/>
  <c r="G247" i="16"/>
  <c r="J246" i="16"/>
  <c r="I246" i="16"/>
  <c r="H246" i="16"/>
  <c r="G246" i="16"/>
  <c r="J245" i="16"/>
  <c r="I245" i="16"/>
  <c r="H245" i="16"/>
  <c r="G245" i="16"/>
  <c r="J244" i="16"/>
  <c r="I244" i="16"/>
  <c r="H244" i="16"/>
  <c r="G244" i="16"/>
  <c r="J243" i="16"/>
  <c r="I243" i="16"/>
  <c r="H243" i="16"/>
  <c r="G243" i="16"/>
  <c r="J242" i="16"/>
  <c r="I242" i="16"/>
  <c r="H242" i="16"/>
  <c r="G242" i="16"/>
  <c r="J241" i="16"/>
  <c r="I241" i="16"/>
  <c r="H241" i="16"/>
  <c r="G241" i="16"/>
  <c r="J240" i="16"/>
  <c r="I240" i="16"/>
  <c r="H240" i="16"/>
  <c r="G240" i="16"/>
  <c r="J239" i="16"/>
  <c r="I239" i="16"/>
  <c r="H239" i="16"/>
  <c r="G239" i="16"/>
  <c r="J238" i="16"/>
  <c r="I238" i="16"/>
  <c r="H238" i="16"/>
  <c r="G238" i="16"/>
  <c r="J237" i="16"/>
  <c r="I237" i="16"/>
  <c r="H237" i="16"/>
  <c r="G237" i="16"/>
  <c r="J236" i="16"/>
  <c r="I236" i="16"/>
  <c r="H236" i="16"/>
  <c r="G236" i="16"/>
  <c r="J235" i="16"/>
  <c r="I235" i="16"/>
  <c r="H235" i="16"/>
  <c r="G235" i="16"/>
  <c r="J234" i="16"/>
  <c r="I234" i="16"/>
  <c r="H234" i="16"/>
  <c r="G234" i="16"/>
  <c r="J233" i="16"/>
  <c r="I233" i="16"/>
  <c r="H233" i="16"/>
  <c r="G233" i="16"/>
  <c r="J232" i="16"/>
  <c r="I232" i="16"/>
  <c r="H232" i="16"/>
  <c r="G232" i="16"/>
  <c r="J231" i="16"/>
  <c r="I231" i="16"/>
  <c r="H231" i="16"/>
  <c r="G231" i="16"/>
  <c r="J230" i="16"/>
  <c r="I230" i="16"/>
  <c r="H230" i="16"/>
  <c r="G230" i="16"/>
  <c r="J229" i="16"/>
  <c r="I229" i="16"/>
  <c r="H229" i="16"/>
  <c r="G229" i="16"/>
  <c r="J228" i="16"/>
  <c r="I228" i="16"/>
  <c r="H228" i="16"/>
  <c r="G228" i="16"/>
  <c r="J227" i="16"/>
  <c r="I227" i="16"/>
  <c r="H227" i="16"/>
  <c r="G227" i="16"/>
  <c r="J226" i="16"/>
  <c r="I226" i="16"/>
  <c r="H226" i="16"/>
  <c r="G226" i="16"/>
  <c r="J225" i="16"/>
  <c r="I225" i="16"/>
  <c r="H225" i="16"/>
  <c r="G225" i="16"/>
  <c r="J224" i="16"/>
  <c r="I224" i="16"/>
  <c r="H224" i="16"/>
  <c r="G224" i="16"/>
  <c r="J223" i="16"/>
  <c r="I223" i="16"/>
  <c r="H223" i="16"/>
  <c r="G223" i="16"/>
  <c r="J222" i="16"/>
  <c r="I222" i="16"/>
  <c r="H222" i="16"/>
  <c r="G222" i="16"/>
  <c r="J221" i="16"/>
  <c r="I221" i="16"/>
  <c r="H221" i="16"/>
  <c r="G221" i="16"/>
  <c r="J220" i="16"/>
  <c r="I220" i="16"/>
  <c r="H220" i="16"/>
  <c r="G220" i="16"/>
  <c r="J219" i="16"/>
  <c r="I219" i="16"/>
  <c r="H219" i="16"/>
  <c r="G219" i="16"/>
  <c r="J218" i="16"/>
  <c r="I218" i="16"/>
  <c r="H218" i="16"/>
  <c r="G218" i="16"/>
  <c r="J217" i="16"/>
  <c r="I217" i="16"/>
  <c r="H217" i="16"/>
  <c r="G217" i="16"/>
  <c r="J216" i="16"/>
  <c r="I216" i="16"/>
  <c r="H216" i="16"/>
  <c r="G216" i="16"/>
  <c r="J215" i="16"/>
  <c r="I215" i="16"/>
  <c r="H215" i="16"/>
  <c r="G215" i="16"/>
  <c r="J214" i="16"/>
  <c r="I214" i="16"/>
  <c r="H214" i="16"/>
  <c r="G214" i="16"/>
  <c r="J213" i="16"/>
  <c r="I213" i="16"/>
  <c r="H213" i="16"/>
  <c r="G213" i="16"/>
  <c r="J212" i="16"/>
  <c r="I212" i="16"/>
  <c r="H212" i="16"/>
  <c r="G212" i="16"/>
  <c r="J211" i="16"/>
  <c r="I211" i="16"/>
  <c r="H211" i="16"/>
  <c r="G211" i="16"/>
  <c r="J210" i="16"/>
  <c r="I210" i="16"/>
  <c r="H210" i="16"/>
  <c r="G210" i="16"/>
  <c r="J209" i="16"/>
  <c r="I209" i="16"/>
  <c r="H209" i="16"/>
  <c r="G209" i="16"/>
  <c r="J208" i="16"/>
  <c r="I208" i="16"/>
  <c r="H208" i="16"/>
  <c r="G208" i="16"/>
  <c r="J207" i="16"/>
  <c r="I207" i="16"/>
  <c r="H207" i="16"/>
  <c r="G207" i="16"/>
  <c r="J206" i="16"/>
  <c r="I206" i="16"/>
  <c r="H206" i="16"/>
  <c r="G206" i="16"/>
  <c r="J205" i="16"/>
  <c r="I205" i="16"/>
  <c r="H205" i="16"/>
  <c r="G205" i="16"/>
  <c r="J204" i="16"/>
  <c r="I204" i="16"/>
  <c r="H204" i="16"/>
  <c r="G204" i="16"/>
  <c r="J203" i="16"/>
  <c r="I203" i="16"/>
  <c r="H203" i="16"/>
  <c r="G203" i="16"/>
  <c r="J202" i="16"/>
  <c r="I202" i="16"/>
  <c r="H202" i="16"/>
  <c r="G202" i="16"/>
  <c r="J201" i="16"/>
  <c r="I201" i="16"/>
  <c r="H201" i="16"/>
  <c r="G201" i="16"/>
  <c r="J200" i="16"/>
  <c r="I200" i="16"/>
  <c r="H200" i="16"/>
  <c r="G200" i="16"/>
  <c r="J199" i="16"/>
  <c r="I199" i="16"/>
  <c r="H199" i="16"/>
  <c r="G199" i="16"/>
  <c r="J198" i="16"/>
  <c r="I198" i="16"/>
  <c r="H198" i="16"/>
  <c r="G198" i="16"/>
  <c r="J197" i="16"/>
  <c r="I197" i="16"/>
  <c r="H197" i="16"/>
  <c r="G197" i="16"/>
  <c r="J196" i="16"/>
  <c r="I196" i="16"/>
  <c r="H196" i="16"/>
  <c r="G196" i="16"/>
  <c r="J195" i="16"/>
  <c r="I195" i="16"/>
  <c r="H195" i="16"/>
  <c r="G195" i="16"/>
  <c r="J194" i="16"/>
  <c r="I194" i="16"/>
  <c r="H194" i="16"/>
  <c r="G194" i="16"/>
  <c r="J193" i="16"/>
  <c r="I193" i="16"/>
  <c r="H193" i="16"/>
  <c r="G193" i="16"/>
  <c r="J192" i="16"/>
  <c r="I192" i="16"/>
  <c r="H192" i="16"/>
  <c r="G192" i="16"/>
  <c r="J191" i="16"/>
  <c r="I191" i="16"/>
  <c r="H191" i="16"/>
  <c r="G191" i="16"/>
  <c r="J190" i="16"/>
  <c r="I190" i="16"/>
  <c r="H190" i="16"/>
  <c r="G190" i="16"/>
  <c r="J189" i="16"/>
  <c r="I189" i="16"/>
  <c r="H189" i="16"/>
  <c r="G189" i="16"/>
  <c r="J188" i="16"/>
  <c r="I188" i="16"/>
  <c r="H188" i="16"/>
  <c r="G188" i="16"/>
  <c r="J187" i="16"/>
  <c r="I187" i="16"/>
  <c r="H187" i="16"/>
  <c r="G187" i="16"/>
  <c r="J186" i="16"/>
  <c r="I186" i="16"/>
  <c r="H186" i="16"/>
  <c r="G186" i="16"/>
  <c r="J185" i="16"/>
  <c r="I185" i="16"/>
  <c r="H185" i="16"/>
  <c r="G185" i="16"/>
  <c r="J184" i="16"/>
  <c r="I184" i="16"/>
  <c r="H184" i="16"/>
  <c r="G184" i="16"/>
  <c r="J183" i="16"/>
  <c r="I183" i="16"/>
  <c r="H183" i="16"/>
  <c r="G183" i="16"/>
  <c r="J182" i="16"/>
  <c r="I182" i="16"/>
  <c r="H182" i="16"/>
  <c r="G182" i="16"/>
  <c r="J181" i="16"/>
  <c r="I181" i="16"/>
  <c r="H181" i="16"/>
  <c r="G181" i="16"/>
  <c r="J180" i="16"/>
  <c r="I180" i="16"/>
  <c r="H180" i="16"/>
  <c r="G180" i="16"/>
  <c r="J179" i="16"/>
  <c r="I179" i="16"/>
  <c r="H179" i="16"/>
  <c r="G179" i="16"/>
  <c r="J178" i="16"/>
  <c r="I178" i="16"/>
  <c r="H178" i="16"/>
  <c r="G178" i="16"/>
  <c r="J177" i="16"/>
  <c r="I177" i="16"/>
  <c r="H177" i="16"/>
  <c r="G177" i="16"/>
  <c r="J176" i="16"/>
  <c r="I176" i="16"/>
  <c r="H176" i="16"/>
  <c r="G176" i="16"/>
  <c r="J175" i="16"/>
  <c r="I175" i="16"/>
  <c r="H175" i="16"/>
  <c r="G175" i="16"/>
  <c r="J174" i="16"/>
  <c r="I174" i="16"/>
  <c r="H174" i="16"/>
  <c r="G174" i="16"/>
  <c r="J173" i="16"/>
  <c r="I173" i="16"/>
  <c r="H173" i="16"/>
  <c r="G173" i="16"/>
  <c r="J172" i="16"/>
  <c r="I172" i="16"/>
  <c r="H172" i="16"/>
  <c r="G172" i="16"/>
  <c r="J171" i="16"/>
  <c r="I171" i="16"/>
  <c r="H171" i="16"/>
  <c r="G171" i="16"/>
  <c r="J170" i="16"/>
  <c r="I170" i="16"/>
  <c r="H170" i="16"/>
  <c r="G170" i="16"/>
  <c r="J169" i="16"/>
  <c r="I169" i="16"/>
  <c r="H169" i="16"/>
  <c r="G169" i="16"/>
  <c r="J168" i="16"/>
  <c r="I168" i="16"/>
  <c r="H168" i="16"/>
  <c r="G168" i="16"/>
  <c r="J167" i="16"/>
  <c r="I167" i="16"/>
  <c r="H167" i="16"/>
  <c r="G167" i="16"/>
  <c r="J166" i="16"/>
  <c r="I166" i="16"/>
  <c r="H166" i="16"/>
  <c r="G166" i="16"/>
  <c r="J165" i="16"/>
  <c r="I165" i="16"/>
  <c r="H165" i="16"/>
  <c r="G165" i="16"/>
  <c r="J164" i="16"/>
  <c r="I164" i="16"/>
  <c r="H164" i="16"/>
  <c r="G164" i="16"/>
  <c r="J163" i="16"/>
  <c r="I163" i="16"/>
  <c r="H163" i="16"/>
  <c r="G163" i="16"/>
  <c r="J162" i="16"/>
  <c r="I162" i="16"/>
  <c r="H162" i="16"/>
  <c r="G162" i="16"/>
  <c r="J161" i="16"/>
  <c r="I161" i="16"/>
  <c r="H161" i="16"/>
  <c r="G161" i="16"/>
  <c r="J160" i="16"/>
  <c r="I160" i="16"/>
  <c r="H160" i="16"/>
  <c r="G160" i="16"/>
  <c r="J159" i="16"/>
  <c r="I159" i="16"/>
  <c r="H159" i="16"/>
  <c r="G159" i="16"/>
  <c r="J158" i="16"/>
  <c r="I158" i="16"/>
  <c r="H158" i="16"/>
  <c r="G158" i="16"/>
  <c r="J157" i="16"/>
  <c r="I157" i="16"/>
  <c r="H157" i="16"/>
  <c r="G157" i="16"/>
  <c r="J156" i="16"/>
  <c r="I156" i="16"/>
  <c r="H156" i="16"/>
  <c r="G156" i="16"/>
  <c r="J155" i="16"/>
  <c r="I155" i="16"/>
  <c r="H155" i="16"/>
  <c r="G155" i="16"/>
  <c r="J154" i="16"/>
  <c r="I154" i="16"/>
  <c r="H154" i="16"/>
  <c r="G154" i="16"/>
  <c r="J153" i="16"/>
  <c r="I153" i="16"/>
  <c r="H153" i="16"/>
  <c r="G153" i="16"/>
  <c r="J152" i="16"/>
  <c r="I152" i="16"/>
  <c r="H152" i="16"/>
  <c r="G152" i="16"/>
  <c r="J151" i="16"/>
  <c r="I151" i="16"/>
  <c r="H151" i="16"/>
  <c r="G151" i="16"/>
  <c r="J150" i="16"/>
  <c r="I150" i="16"/>
  <c r="H150" i="16"/>
  <c r="G150" i="16"/>
  <c r="J149" i="16"/>
  <c r="I149" i="16"/>
  <c r="H149" i="16"/>
  <c r="G149" i="16"/>
  <c r="J148" i="16"/>
  <c r="I148" i="16"/>
  <c r="H148" i="16"/>
  <c r="G148" i="16"/>
  <c r="J147" i="16"/>
  <c r="I147" i="16"/>
  <c r="H147" i="16"/>
  <c r="G147" i="16"/>
  <c r="J146" i="16"/>
  <c r="I146" i="16"/>
  <c r="H146" i="16"/>
  <c r="G146" i="16"/>
  <c r="J145" i="16"/>
  <c r="I145" i="16"/>
  <c r="H145" i="16"/>
  <c r="G145" i="16"/>
  <c r="J144" i="16"/>
  <c r="I144" i="16"/>
  <c r="H144" i="16"/>
  <c r="G144" i="16"/>
  <c r="J143" i="16"/>
  <c r="I143" i="16"/>
  <c r="H143" i="16"/>
  <c r="G143" i="16"/>
  <c r="J142" i="16"/>
  <c r="I142" i="16"/>
  <c r="H142" i="16"/>
  <c r="G142" i="16"/>
  <c r="J141" i="16"/>
  <c r="I141" i="16"/>
  <c r="H141" i="16"/>
  <c r="G141" i="16"/>
  <c r="J140" i="16"/>
  <c r="I140" i="16"/>
  <c r="H140" i="16"/>
  <c r="G140" i="16"/>
  <c r="J139" i="16"/>
  <c r="I139" i="16"/>
  <c r="H139" i="16"/>
  <c r="G139" i="16"/>
  <c r="J138" i="16"/>
  <c r="I138" i="16"/>
  <c r="H138" i="16"/>
  <c r="G138" i="16"/>
  <c r="J137" i="16"/>
  <c r="I137" i="16"/>
  <c r="H137" i="16"/>
  <c r="G137" i="16"/>
  <c r="J136" i="16"/>
  <c r="I136" i="16"/>
  <c r="H136" i="16"/>
  <c r="G136" i="16"/>
  <c r="J135" i="16"/>
  <c r="I135" i="16"/>
  <c r="H135" i="16"/>
  <c r="G135" i="16"/>
  <c r="J134" i="16"/>
  <c r="I134" i="16"/>
  <c r="H134" i="16"/>
  <c r="G134" i="16"/>
  <c r="J133" i="16"/>
  <c r="I133" i="16"/>
  <c r="H133" i="16"/>
  <c r="G133" i="16"/>
  <c r="J132" i="16"/>
  <c r="I132" i="16"/>
  <c r="H132" i="16"/>
  <c r="G132" i="16"/>
  <c r="J131" i="16"/>
  <c r="I131" i="16"/>
  <c r="H131" i="16"/>
  <c r="G131" i="16"/>
  <c r="J130" i="16"/>
  <c r="I130" i="16"/>
  <c r="H130" i="16"/>
  <c r="G130" i="16"/>
  <c r="J129" i="16"/>
  <c r="I129" i="16"/>
  <c r="H129" i="16"/>
  <c r="G129" i="16"/>
  <c r="J128" i="16"/>
  <c r="I128" i="16"/>
  <c r="H128" i="16"/>
  <c r="G128" i="16"/>
  <c r="J127" i="16"/>
  <c r="I127" i="16"/>
  <c r="H127" i="16"/>
  <c r="G127" i="16"/>
  <c r="J126" i="16"/>
  <c r="I126" i="16"/>
  <c r="H126" i="16"/>
  <c r="G126" i="16"/>
  <c r="J125" i="16"/>
  <c r="I125" i="16"/>
  <c r="H125" i="16"/>
  <c r="G125" i="16"/>
  <c r="J124" i="16"/>
  <c r="I124" i="16"/>
  <c r="H124" i="16"/>
  <c r="G124" i="16"/>
  <c r="J123" i="16"/>
  <c r="I123" i="16"/>
  <c r="H123" i="16"/>
  <c r="G123" i="16"/>
  <c r="J122" i="16"/>
  <c r="I122" i="16"/>
  <c r="H122" i="16"/>
  <c r="G122" i="16"/>
  <c r="J121" i="16"/>
  <c r="I121" i="16"/>
  <c r="H121" i="16"/>
  <c r="G121" i="16"/>
  <c r="J120" i="16"/>
  <c r="I120" i="16"/>
  <c r="H120" i="16"/>
  <c r="G120" i="16"/>
  <c r="J119" i="16"/>
  <c r="I119" i="16"/>
  <c r="H119" i="16"/>
  <c r="G119" i="16"/>
  <c r="J118" i="16"/>
  <c r="I118" i="16"/>
  <c r="H118" i="16"/>
  <c r="G118" i="16"/>
  <c r="J117" i="16"/>
  <c r="I117" i="16"/>
  <c r="H117" i="16"/>
  <c r="G117" i="16"/>
  <c r="J116" i="16"/>
  <c r="I116" i="16"/>
  <c r="H116" i="16"/>
  <c r="G116" i="16"/>
  <c r="J115" i="16"/>
  <c r="I115" i="16"/>
  <c r="H115" i="16"/>
  <c r="G115" i="16"/>
  <c r="J114" i="16"/>
  <c r="I114" i="16"/>
  <c r="H114" i="16"/>
  <c r="G114" i="16"/>
  <c r="J113" i="16"/>
  <c r="I113" i="16"/>
  <c r="H113" i="16"/>
  <c r="G113" i="16"/>
  <c r="J112" i="16"/>
  <c r="I112" i="16"/>
  <c r="H112" i="16"/>
  <c r="G112" i="16"/>
  <c r="J111" i="16"/>
  <c r="I111" i="16"/>
  <c r="H111" i="16"/>
  <c r="G111" i="16"/>
  <c r="J110" i="16"/>
  <c r="I110" i="16"/>
  <c r="H110" i="16"/>
  <c r="G110" i="16"/>
  <c r="J109" i="16"/>
  <c r="I109" i="16"/>
  <c r="H109" i="16"/>
  <c r="G109" i="16"/>
  <c r="J108" i="16"/>
  <c r="I108" i="16"/>
  <c r="H108" i="16"/>
  <c r="G108" i="16"/>
  <c r="J107" i="16"/>
  <c r="I107" i="16"/>
  <c r="H107" i="16"/>
  <c r="G107" i="16"/>
  <c r="J106" i="16"/>
  <c r="I106" i="16"/>
  <c r="H106" i="16"/>
  <c r="G106" i="16"/>
  <c r="J105" i="16"/>
  <c r="I105" i="16"/>
  <c r="H105" i="16"/>
  <c r="G105" i="16"/>
  <c r="J104" i="16"/>
  <c r="I104" i="16"/>
  <c r="H104" i="16"/>
  <c r="G104" i="16"/>
  <c r="J103" i="16"/>
  <c r="I103" i="16"/>
  <c r="H103" i="16"/>
  <c r="G103" i="16"/>
  <c r="J102" i="16"/>
  <c r="I102" i="16"/>
  <c r="H102" i="16"/>
  <c r="G102" i="16"/>
  <c r="J101" i="16"/>
  <c r="I101" i="16"/>
  <c r="H101" i="16"/>
  <c r="G101" i="16"/>
  <c r="J100" i="16"/>
  <c r="I100" i="16"/>
  <c r="H100" i="16"/>
  <c r="G100" i="16"/>
  <c r="J99" i="16"/>
  <c r="I99" i="16"/>
  <c r="H99" i="16"/>
  <c r="G99" i="16"/>
  <c r="J98" i="16"/>
  <c r="I98" i="16"/>
  <c r="H98" i="16"/>
  <c r="G98" i="16"/>
  <c r="J97" i="16"/>
  <c r="I97" i="16"/>
  <c r="H97" i="16"/>
  <c r="G97" i="16"/>
  <c r="J96" i="16"/>
  <c r="I96" i="16"/>
  <c r="H96" i="16"/>
  <c r="G96" i="16"/>
  <c r="J95" i="16"/>
  <c r="I95" i="16"/>
  <c r="H95" i="16"/>
  <c r="G95" i="16"/>
  <c r="J94" i="16"/>
  <c r="I94" i="16"/>
  <c r="H94" i="16"/>
  <c r="G94" i="16"/>
  <c r="J93" i="16"/>
  <c r="I93" i="16"/>
  <c r="H93" i="16"/>
  <c r="G93" i="16"/>
  <c r="J92" i="16"/>
  <c r="I92" i="16"/>
  <c r="H92" i="16"/>
  <c r="G92" i="16"/>
  <c r="J91" i="16"/>
  <c r="I91" i="16"/>
  <c r="H91" i="16"/>
  <c r="G91" i="16"/>
  <c r="J90" i="16"/>
  <c r="I90" i="16"/>
  <c r="H90" i="16"/>
  <c r="G90" i="16"/>
  <c r="J89" i="16"/>
  <c r="I89" i="16"/>
  <c r="H89" i="16"/>
  <c r="G89" i="16"/>
  <c r="J88" i="16"/>
  <c r="I88" i="16"/>
  <c r="H88" i="16"/>
  <c r="G88" i="16"/>
  <c r="J87" i="16"/>
  <c r="I87" i="16"/>
  <c r="H87" i="16"/>
  <c r="G87" i="16"/>
  <c r="J86" i="16"/>
  <c r="I86" i="16"/>
  <c r="H86" i="16"/>
  <c r="G86" i="16"/>
  <c r="J85" i="16"/>
  <c r="I85" i="16"/>
  <c r="H85" i="16"/>
  <c r="G85" i="16"/>
  <c r="J84" i="16"/>
  <c r="I84" i="16"/>
  <c r="H84" i="16"/>
  <c r="G84" i="16"/>
  <c r="J83" i="16"/>
  <c r="I83" i="16"/>
  <c r="H83" i="16"/>
  <c r="G83" i="16"/>
  <c r="J82" i="16"/>
  <c r="I82" i="16"/>
  <c r="H82" i="16"/>
  <c r="G82" i="16"/>
  <c r="J81" i="16"/>
  <c r="I81" i="16"/>
  <c r="H81" i="16"/>
  <c r="G81" i="16"/>
  <c r="J80" i="16"/>
  <c r="I80" i="16"/>
  <c r="H80" i="16"/>
  <c r="G80" i="16"/>
  <c r="J79" i="16"/>
  <c r="I79" i="16"/>
  <c r="H79" i="16"/>
  <c r="G79" i="16"/>
  <c r="J78" i="16"/>
  <c r="I78" i="16"/>
  <c r="H78" i="16"/>
  <c r="G78" i="16"/>
  <c r="J77" i="16"/>
  <c r="I77" i="16"/>
  <c r="H77" i="16"/>
  <c r="G77" i="16"/>
  <c r="J76" i="16"/>
  <c r="I76" i="16"/>
  <c r="H76" i="16"/>
  <c r="G76" i="16"/>
  <c r="J75" i="16"/>
  <c r="I75" i="16"/>
  <c r="H75" i="16"/>
  <c r="G75" i="16"/>
  <c r="J74" i="16"/>
  <c r="I74" i="16"/>
  <c r="H74" i="16"/>
  <c r="G74" i="16"/>
  <c r="J73" i="16"/>
  <c r="I73" i="16"/>
  <c r="H73" i="16"/>
  <c r="G73" i="16"/>
  <c r="J72" i="16"/>
  <c r="I72" i="16"/>
  <c r="H72" i="16"/>
  <c r="G72" i="16"/>
  <c r="J71" i="16"/>
  <c r="I71" i="16"/>
  <c r="H71" i="16"/>
  <c r="G71" i="16"/>
  <c r="J70" i="16"/>
  <c r="I70" i="16"/>
  <c r="H70" i="16"/>
  <c r="G70" i="16"/>
  <c r="J69" i="16"/>
  <c r="I69" i="16"/>
  <c r="H69" i="16"/>
  <c r="G69" i="16"/>
  <c r="J68" i="16"/>
  <c r="I68" i="16"/>
  <c r="H68" i="16"/>
  <c r="G68" i="16"/>
  <c r="J67" i="16"/>
  <c r="I67" i="16"/>
  <c r="H67" i="16"/>
  <c r="G67" i="16"/>
  <c r="J66" i="16"/>
  <c r="I66" i="16"/>
  <c r="H66" i="16"/>
  <c r="G66" i="16"/>
  <c r="J65" i="16"/>
  <c r="I65" i="16"/>
  <c r="H65" i="16"/>
  <c r="G65" i="16"/>
  <c r="J64" i="16"/>
  <c r="I64" i="16"/>
  <c r="H64" i="16"/>
  <c r="G64" i="16"/>
  <c r="J63" i="16"/>
  <c r="I63" i="16"/>
  <c r="H63" i="16"/>
  <c r="G63" i="16"/>
  <c r="J62" i="16"/>
  <c r="I62" i="16"/>
  <c r="H62" i="16"/>
  <c r="G62" i="16"/>
  <c r="J61" i="16"/>
  <c r="I61" i="16"/>
  <c r="H61" i="16"/>
  <c r="G61" i="16"/>
  <c r="J60" i="16"/>
  <c r="I60" i="16"/>
  <c r="H60" i="16"/>
  <c r="G60" i="16"/>
  <c r="J59" i="16"/>
  <c r="I59" i="16"/>
  <c r="H59" i="16"/>
  <c r="G59" i="16"/>
  <c r="J58" i="16"/>
  <c r="I58" i="16"/>
  <c r="H58" i="16"/>
  <c r="G58" i="16"/>
  <c r="J57" i="16"/>
  <c r="I57" i="16"/>
  <c r="H57" i="16"/>
  <c r="G57" i="16"/>
  <c r="J56" i="16"/>
  <c r="I56" i="16"/>
  <c r="H56" i="16"/>
  <c r="G56" i="16"/>
  <c r="J55" i="16"/>
  <c r="I55" i="16"/>
  <c r="H55" i="16"/>
  <c r="G55" i="16"/>
  <c r="J54" i="16"/>
  <c r="I54" i="16"/>
  <c r="H54" i="16"/>
  <c r="G54" i="16"/>
  <c r="J53" i="16"/>
  <c r="I53" i="16"/>
  <c r="H53" i="16"/>
  <c r="G53" i="16"/>
  <c r="J52" i="16"/>
  <c r="I52" i="16"/>
  <c r="H52" i="16"/>
  <c r="G52" i="16"/>
  <c r="J51" i="16"/>
  <c r="I51" i="16"/>
  <c r="H51" i="16"/>
  <c r="G51" i="16"/>
  <c r="J50" i="16"/>
  <c r="I50" i="16"/>
  <c r="H50" i="16"/>
  <c r="G50" i="16"/>
  <c r="J49" i="16"/>
  <c r="I49" i="16"/>
  <c r="H49" i="16"/>
  <c r="G49" i="16"/>
  <c r="J48" i="16"/>
  <c r="I48" i="16"/>
  <c r="H48" i="16"/>
  <c r="G48" i="16"/>
  <c r="J47" i="16"/>
  <c r="I47" i="16"/>
  <c r="H47" i="16"/>
  <c r="G47" i="16"/>
  <c r="J46" i="16"/>
  <c r="I46" i="16"/>
  <c r="H46" i="16"/>
  <c r="G46" i="16"/>
  <c r="J45" i="16"/>
  <c r="I45" i="16"/>
  <c r="H45" i="16"/>
  <c r="G45" i="16"/>
  <c r="J44" i="16"/>
  <c r="I44" i="16"/>
  <c r="H44" i="16"/>
  <c r="G44" i="16"/>
  <c r="J43" i="16"/>
  <c r="I43" i="16"/>
  <c r="H43" i="16"/>
  <c r="G43" i="16"/>
  <c r="J42" i="16"/>
  <c r="I42" i="16"/>
  <c r="H42" i="16"/>
  <c r="G42" i="16"/>
  <c r="J41" i="16"/>
  <c r="I41" i="16"/>
  <c r="H41" i="16"/>
  <c r="G41" i="16"/>
  <c r="J40" i="16"/>
  <c r="I40" i="16"/>
  <c r="H40" i="16"/>
  <c r="G40" i="16"/>
  <c r="J39" i="16"/>
  <c r="I39" i="16"/>
  <c r="H39" i="16"/>
  <c r="G39" i="16"/>
  <c r="J38" i="16"/>
  <c r="I38" i="16"/>
  <c r="H38" i="16"/>
  <c r="G38" i="16"/>
  <c r="J37" i="16"/>
  <c r="I37" i="16"/>
  <c r="H37" i="16"/>
  <c r="G37" i="16"/>
  <c r="J36" i="16"/>
  <c r="I36" i="16"/>
  <c r="H36" i="16"/>
  <c r="G36" i="16"/>
  <c r="J35" i="16"/>
  <c r="I35" i="16"/>
  <c r="H35" i="16"/>
  <c r="G35" i="16"/>
  <c r="J34" i="16"/>
  <c r="I34" i="16"/>
  <c r="H34" i="16"/>
  <c r="G34" i="16"/>
  <c r="J33" i="16"/>
  <c r="I33" i="16"/>
  <c r="H33" i="16"/>
  <c r="G33" i="16"/>
  <c r="J32" i="16"/>
  <c r="I32" i="16"/>
  <c r="H32" i="16"/>
  <c r="G32" i="16"/>
  <c r="J31" i="16"/>
  <c r="I31" i="16"/>
  <c r="H31" i="16"/>
  <c r="G31" i="16"/>
  <c r="J30" i="16"/>
  <c r="I30" i="16"/>
  <c r="H30" i="16"/>
  <c r="G30" i="16"/>
  <c r="J29" i="16"/>
  <c r="I29" i="16"/>
  <c r="H29" i="16"/>
  <c r="G29" i="16"/>
  <c r="J28" i="16"/>
  <c r="I28" i="16"/>
  <c r="H28" i="16"/>
  <c r="G28" i="16"/>
  <c r="J27" i="16"/>
  <c r="I27" i="16"/>
  <c r="H27" i="16"/>
  <c r="G27" i="16"/>
  <c r="J26" i="16"/>
  <c r="I26" i="16"/>
  <c r="H26" i="16"/>
  <c r="G26" i="16"/>
  <c r="J25" i="16"/>
  <c r="I25" i="16"/>
  <c r="H25" i="16"/>
  <c r="G25" i="16"/>
  <c r="J24" i="16"/>
  <c r="I24" i="16"/>
  <c r="H24" i="16"/>
  <c r="G24" i="16"/>
  <c r="J23" i="16"/>
  <c r="I23" i="16"/>
  <c r="H23" i="16"/>
  <c r="G23" i="16"/>
  <c r="J22" i="16"/>
  <c r="I22" i="16"/>
  <c r="H22" i="16"/>
  <c r="G22" i="16"/>
  <c r="J21" i="16"/>
  <c r="I21" i="16"/>
  <c r="H21" i="16"/>
  <c r="G21" i="16"/>
  <c r="J20" i="16"/>
  <c r="I20" i="16"/>
  <c r="H20" i="16"/>
  <c r="G20" i="16"/>
  <c r="J19" i="16"/>
  <c r="I19" i="16"/>
  <c r="H19" i="16"/>
  <c r="G19" i="16"/>
  <c r="J18" i="16"/>
  <c r="I18" i="16"/>
  <c r="H18" i="16"/>
  <c r="G18" i="16"/>
  <c r="J17" i="16"/>
  <c r="I17" i="16"/>
  <c r="H17" i="16"/>
  <c r="G17" i="16"/>
  <c r="J16" i="16"/>
  <c r="I16" i="16"/>
  <c r="H16" i="16"/>
  <c r="G16" i="16"/>
  <c r="J15" i="16"/>
  <c r="I15" i="16"/>
  <c r="H15" i="16"/>
  <c r="G15" i="16"/>
  <c r="J14" i="16"/>
  <c r="I14" i="16"/>
  <c r="H14" i="16"/>
  <c r="G14" i="16"/>
  <c r="J13" i="16"/>
  <c r="I13" i="16"/>
  <c r="H13" i="16"/>
  <c r="G13" i="16"/>
  <c r="J12" i="16"/>
  <c r="I12" i="16"/>
  <c r="H12" i="16"/>
  <c r="G12" i="16"/>
  <c r="J11" i="16"/>
  <c r="I11" i="16"/>
  <c r="H11" i="16"/>
  <c r="G11" i="16"/>
  <c r="J10" i="16"/>
  <c r="I10" i="16"/>
  <c r="H10" i="16"/>
  <c r="G10" i="16"/>
  <c r="J9" i="16"/>
  <c r="I9" i="16"/>
  <c r="H9" i="16"/>
  <c r="G9" i="16"/>
  <c r="J8" i="16"/>
  <c r="I8" i="16"/>
  <c r="H8" i="16"/>
  <c r="G8" i="16"/>
  <c r="J7" i="16"/>
  <c r="I7" i="16"/>
  <c r="H7" i="16"/>
  <c r="G7" i="16"/>
  <c r="J6" i="16"/>
  <c r="I6" i="16"/>
  <c r="H6" i="16"/>
  <c r="G6" i="16"/>
  <c r="J5" i="16"/>
  <c r="I5" i="16"/>
  <c r="H5" i="16"/>
  <c r="G5" i="16"/>
  <c r="J4" i="16"/>
  <c r="I4" i="16"/>
  <c r="H4" i="16"/>
  <c r="G4" i="16"/>
  <c r="J3" i="16"/>
  <c r="I3" i="16"/>
  <c r="H3" i="16"/>
  <c r="G3" i="16"/>
  <c r="J2" i="16"/>
  <c r="I2" i="16"/>
  <c r="H2" i="16"/>
  <c r="G2" i="16"/>
  <c r="K432" i="16" l="1"/>
  <c r="P432" i="16" s="1"/>
  <c r="Y524" i="1"/>
  <c r="Y529" i="1" s="1"/>
  <c r="K2" i="16"/>
  <c r="X37" i="1" s="1"/>
  <c r="K3" i="16"/>
  <c r="K4" i="16"/>
  <c r="X96" i="1" s="1"/>
  <c r="K5" i="16"/>
  <c r="X102" i="1" s="1"/>
  <c r="K6" i="16"/>
  <c r="X137" i="1" s="1"/>
  <c r="K7" i="16"/>
  <c r="X266" i="1" s="1"/>
  <c r="K8" i="16"/>
  <c r="X315" i="1" s="1"/>
  <c r="K9" i="16"/>
  <c r="X331" i="1" s="1"/>
  <c r="K10" i="16"/>
  <c r="X95" i="1" s="1"/>
  <c r="K11" i="16"/>
  <c r="X184" i="1" s="1"/>
  <c r="K12" i="16"/>
  <c r="X200" i="1" s="1"/>
  <c r="K13" i="16"/>
  <c r="X316" i="1" s="1"/>
  <c r="K14" i="16"/>
  <c r="X393" i="1" s="1"/>
  <c r="K15" i="16"/>
  <c r="X6" i="1" s="1"/>
  <c r="K16" i="16"/>
  <c r="X7" i="1" s="1"/>
  <c r="K17" i="16"/>
  <c r="X281" i="1" s="1"/>
  <c r="K18" i="16"/>
  <c r="X477" i="1" s="1"/>
  <c r="K19" i="16"/>
  <c r="K20" i="16"/>
  <c r="K21" i="16"/>
  <c r="K22" i="16"/>
  <c r="K23" i="16"/>
  <c r="X16" i="1" s="1"/>
  <c r="K24" i="16"/>
  <c r="K25" i="16"/>
  <c r="K26" i="16"/>
  <c r="K27" i="16"/>
  <c r="K28" i="16"/>
  <c r="K29" i="16"/>
  <c r="K30" i="16"/>
  <c r="K31" i="16"/>
  <c r="K32" i="16"/>
  <c r="K33" i="16"/>
  <c r="K34" i="16"/>
  <c r="K35" i="16"/>
  <c r="X34" i="1" s="1"/>
  <c r="K36" i="16"/>
  <c r="X13" i="1" s="1"/>
  <c r="K37" i="16"/>
  <c r="X36" i="1" s="1"/>
  <c r="K38" i="16"/>
  <c r="X204" i="1" s="1"/>
  <c r="K39" i="16"/>
  <c r="X39" i="1" s="1"/>
  <c r="K40" i="16"/>
  <c r="X268" i="1" s="1"/>
  <c r="K41" i="16"/>
  <c r="X40" i="1" s="1"/>
  <c r="K42" i="16"/>
  <c r="X321" i="1" s="1"/>
  <c r="K43" i="16"/>
  <c r="X436" i="1" s="1"/>
  <c r="K44" i="16"/>
  <c r="X41" i="1" s="1"/>
  <c r="K45" i="16"/>
  <c r="X97" i="1" s="1"/>
  <c r="K46" i="16"/>
  <c r="K47" i="16"/>
  <c r="K48" i="16"/>
  <c r="X24" i="1" s="1"/>
  <c r="K49" i="16"/>
  <c r="X87" i="1" s="1"/>
  <c r="K50" i="16"/>
  <c r="X216" i="1" s="1"/>
  <c r="K51" i="16"/>
  <c r="X180" i="1" s="1"/>
  <c r="K52" i="16"/>
  <c r="X240" i="1" s="1"/>
  <c r="K53" i="16"/>
  <c r="X159" i="1" s="1"/>
  <c r="K54" i="16"/>
  <c r="K55" i="16"/>
  <c r="X403" i="1" s="1"/>
  <c r="K56" i="16"/>
  <c r="X505" i="1" s="1"/>
  <c r="K57" i="16"/>
  <c r="X22" i="1" s="1"/>
  <c r="K58" i="16"/>
  <c r="X42" i="1" s="1"/>
  <c r="K59" i="16"/>
  <c r="X45" i="1" s="1"/>
  <c r="K60" i="16"/>
  <c r="X56" i="1" s="1"/>
  <c r="K61" i="16"/>
  <c r="K62" i="16"/>
  <c r="X172" i="1" s="1"/>
  <c r="K63" i="16"/>
  <c r="X186" i="1" s="1"/>
  <c r="K64" i="16"/>
  <c r="X223" i="1" s="1"/>
  <c r="K65" i="16"/>
  <c r="K66" i="16"/>
  <c r="X283" i="1" s="1"/>
  <c r="K67" i="16"/>
  <c r="X302" i="1" s="1"/>
  <c r="K68" i="16"/>
  <c r="X322" i="1" s="1"/>
  <c r="K69" i="16"/>
  <c r="X370" i="1" s="1"/>
  <c r="K70" i="16"/>
  <c r="X373" i="1" s="1"/>
  <c r="K71" i="16"/>
  <c r="X431" i="1" s="1"/>
  <c r="K72" i="16"/>
  <c r="K73" i="16"/>
  <c r="K74" i="16"/>
  <c r="X464" i="1" s="1"/>
  <c r="K75" i="16"/>
  <c r="X507" i="1" s="1"/>
  <c r="K76" i="16"/>
  <c r="X520" i="1" s="1"/>
  <c r="K77" i="16"/>
  <c r="K78" i="16"/>
  <c r="X71" i="1" s="1"/>
  <c r="K79" i="16"/>
  <c r="X178" i="1" s="1"/>
  <c r="K80" i="16"/>
  <c r="X274" i="1" s="1"/>
  <c r="K81" i="16"/>
  <c r="K82" i="16"/>
  <c r="K83" i="16"/>
  <c r="X74" i="1" s="1"/>
  <c r="K84" i="16"/>
  <c r="X75" i="1" s="1"/>
  <c r="K85" i="16"/>
  <c r="X76" i="1" s="1"/>
  <c r="K86" i="16"/>
  <c r="X228" i="1" s="1"/>
  <c r="K87" i="16"/>
  <c r="X512" i="1" s="1"/>
  <c r="K88" i="16"/>
  <c r="X82" i="1" s="1"/>
  <c r="K89" i="16"/>
  <c r="X91" i="1" s="1"/>
  <c r="K90" i="16"/>
  <c r="X376" i="1" s="1"/>
  <c r="K91" i="16"/>
  <c r="X81" i="1" s="1"/>
  <c r="K92" i="16"/>
  <c r="X449" i="1" s="1"/>
  <c r="K93" i="16"/>
  <c r="X468" i="1" s="1"/>
  <c r="K94" i="16"/>
  <c r="X27" i="1" s="1"/>
  <c r="K95" i="16"/>
  <c r="X83" i="1" s="1"/>
  <c r="K96" i="16"/>
  <c r="X112" i="1" s="1"/>
  <c r="K97" i="16"/>
  <c r="X407" i="1" s="1"/>
  <c r="K98" i="16"/>
  <c r="X86" i="1" s="1"/>
  <c r="K99" i="16"/>
  <c r="K100" i="16"/>
  <c r="K101" i="16"/>
  <c r="K102" i="16"/>
  <c r="K103" i="16"/>
  <c r="K104" i="16"/>
  <c r="K105" i="16"/>
  <c r="X366" i="1" s="1"/>
  <c r="K106" i="16"/>
  <c r="K107" i="16"/>
  <c r="K108" i="16"/>
  <c r="X108" i="1" s="1"/>
  <c r="K109" i="16"/>
  <c r="X145" i="1" s="1"/>
  <c r="K110" i="16"/>
  <c r="X332" i="1" s="1"/>
  <c r="K111" i="16"/>
  <c r="X141" i="1" s="1"/>
  <c r="K112" i="16"/>
  <c r="X208" i="1" s="1"/>
  <c r="K113" i="16"/>
  <c r="X367" i="1" s="1"/>
  <c r="K114" i="16"/>
  <c r="X476" i="1" s="1"/>
  <c r="K115" i="16"/>
  <c r="K116" i="16"/>
  <c r="X125" i="1" s="1"/>
  <c r="K117" i="16"/>
  <c r="K119" i="16"/>
  <c r="K120" i="16"/>
  <c r="K121" i="16"/>
  <c r="K122" i="16"/>
  <c r="K123" i="16"/>
  <c r="K124" i="16"/>
  <c r="X127" i="1" s="1"/>
  <c r="K125" i="16"/>
  <c r="X168" i="1" s="1"/>
  <c r="K126" i="16"/>
  <c r="X128" i="1" s="1"/>
  <c r="K127" i="16"/>
  <c r="X70" i="1" s="1"/>
  <c r="K128" i="16"/>
  <c r="X130" i="1" s="1"/>
  <c r="K129" i="16"/>
  <c r="X400" i="1" s="1"/>
  <c r="K130" i="16"/>
  <c r="X133" i="1" s="1"/>
  <c r="K131" i="16"/>
  <c r="X357" i="1" s="1"/>
  <c r="K132" i="16"/>
  <c r="K133" i="16"/>
  <c r="K134" i="16"/>
  <c r="K135" i="16"/>
  <c r="K136" i="16"/>
  <c r="K137" i="16"/>
  <c r="X144" i="1" s="1"/>
  <c r="K138" i="16"/>
  <c r="X146" i="1" s="1"/>
  <c r="K139" i="16"/>
  <c r="K140" i="16"/>
  <c r="X169" i="1" s="1"/>
  <c r="K141" i="16"/>
  <c r="X170" i="1" s="1"/>
  <c r="K142" i="16"/>
  <c r="X445" i="1" s="1"/>
  <c r="K143" i="16"/>
  <c r="X171" i="1" s="1"/>
  <c r="K144" i="16"/>
  <c r="X181" i="1" s="1"/>
  <c r="K145" i="16"/>
  <c r="K146" i="16"/>
  <c r="X220" i="1" s="1"/>
  <c r="K147" i="16"/>
  <c r="X501" i="1" s="1"/>
  <c r="K148" i="16"/>
  <c r="X519" i="1" s="1"/>
  <c r="K149" i="16"/>
  <c r="X391" i="1" s="1"/>
  <c r="K150" i="16"/>
  <c r="X116" i="1" s="1"/>
  <c r="K151" i="16"/>
  <c r="X191" i="1" s="1"/>
  <c r="K152" i="16"/>
  <c r="X378" i="1" s="1"/>
  <c r="K153" i="16"/>
  <c r="X195" i="1" s="1"/>
  <c r="K154" i="16"/>
  <c r="X197" i="1" s="1"/>
  <c r="K155" i="16"/>
  <c r="X198" i="1" s="1"/>
  <c r="K156" i="16"/>
  <c r="X199" i="1" s="1"/>
  <c r="K157" i="16"/>
  <c r="X201" i="1" s="1"/>
  <c r="K158" i="16"/>
  <c r="K159" i="16"/>
  <c r="X203" i="1" s="1"/>
  <c r="K160" i="16"/>
  <c r="X206" i="1" s="1"/>
  <c r="K161" i="16"/>
  <c r="X479" i="1" s="1"/>
  <c r="K162" i="16"/>
  <c r="X78" i="1" s="1"/>
  <c r="K163" i="16"/>
  <c r="X209" i="1" s="1"/>
  <c r="K164" i="16"/>
  <c r="K165" i="16"/>
  <c r="X160" i="1" s="1"/>
  <c r="K166" i="16"/>
  <c r="X161" i="1" s="1"/>
  <c r="K167" i="16"/>
  <c r="X162" i="1" s="1"/>
  <c r="K168" i="16"/>
  <c r="X225" i="1" s="1"/>
  <c r="K169" i="16"/>
  <c r="K170" i="16"/>
  <c r="X237" i="1" s="1"/>
  <c r="K171" i="16"/>
  <c r="X29" i="1" s="1"/>
  <c r="K172" i="16"/>
  <c r="X65" i="1" s="1"/>
  <c r="K173" i="16"/>
  <c r="X117" i="1" s="1"/>
  <c r="K174" i="16"/>
  <c r="X152" i="1" s="1"/>
  <c r="K175" i="16"/>
  <c r="X230" i="1" s="1"/>
  <c r="K176" i="16"/>
  <c r="X360" i="1" s="1"/>
  <c r="K177" i="16"/>
  <c r="X474" i="1" s="1"/>
  <c r="K178" i="16"/>
  <c r="X513" i="1" s="1"/>
  <c r="K179" i="16"/>
  <c r="X517" i="1" s="1"/>
  <c r="K180" i="16"/>
  <c r="K181" i="16"/>
  <c r="K182" i="16"/>
  <c r="X92" i="1" s="1"/>
  <c r="K183" i="16"/>
  <c r="X114" i="1" s="1"/>
  <c r="K184" i="16"/>
  <c r="X242" i="1" s="1"/>
  <c r="K185" i="16"/>
  <c r="X374" i="1" s="1"/>
  <c r="K186" i="16"/>
  <c r="K187" i="16"/>
  <c r="X264" i="1" s="1"/>
  <c r="K188" i="16"/>
  <c r="K189" i="16"/>
  <c r="X247" i="1" s="1"/>
  <c r="K190" i="16"/>
  <c r="K191" i="16"/>
  <c r="X101" i="1" s="1"/>
  <c r="K192" i="16"/>
  <c r="X118" i="1" s="1"/>
  <c r="K193" i="16"/>
  <c r="X249" i="1" s="1"/>
  <c r="K194" i="16"/>
  <c r="K195" i="16"/>
  <c r="X466" i="1" s="1"/>
  <c r="K196" i="16"/>
  <c r="X252" i="1" s="1"/>
  <c r="K197" i="16"/>
  <c r="X103" i="1" s="1"/>
  <c r="K198" i="16"/>
  <c r="X190" i="1" s="1"/>
  <c r="K199" i="16"/>
  <c r="X255" i="1" s="1"/>
  <c r="K200" i="16"/>
  <c r="X260" i="1" s="1"/>
  <c r="K201" i="16"/>
  <c r="K202" i="16"/>
  <c r="X341" i="1" s="1"/>
  <c r="K203" i="16"/>
  <c r="X272" i="1" s="1"/>
  <c r="K204" i="16"/>
  <c r="X18" i="1" s="1"/>
  <c r="K205" i="16"/>
  <c r="X163" i="1" s="1"/>
  <c r="K206" i="16"/>
  <c r="X279" i="1" s="1"/>
  <c r="K207" i="16"/>
  <c r="X286" i="1" s="1"/>
  <c r="K208" i="16"/>
  <c r="K209" i="16"/>
  <c r="X224" i="1" s="1"/>
  <c r="K210" i="16"/>
  <c r="K211" i="16"/>
  <c r="K212" i="16"/>
  <c r="K213" i="16"/>
  <c r="K214" i="16"/>
  <c r="K215" i="16"/>
  <c r="K216" i="16"/>
  <c r="K217" i="16"/>
  <c r="K218" i="16"/>
  <c r="K219" i="16"/>
  <c r="K220" i="16"/>
  <c r="X369" i="1" s="1"/>
  <c r="K221" i="16"/>
  <c r="K222" i="16"/>
  <c r="K223" i="16"/>
  <c r="K224" i="16"/>
  <c r="K225" i="16"/>
  <c r="K226" i="16"/>
  <c r="K227" i="16"/>
  <c r="X344" i="1" s="1"/>
  <c r="K228" i="16"/>
  <c r="X411" i="1" s="1"/>
  <c r="K229" i="16"/>
  <c r="X150" i="1" s="1"/>
  <c r="K230" i="16"/>
  <c r="X469" i="1" s="1"/>
  <c r="K231" i="16"/>
  <c r="X297" i="1" s="1"/>
  <c r="K232" i="16"/>
  <c r="X397" i="1" s="1"/>
  <c r="K233" i="16"/>
  <c r="X132" i="1" s="1"/>
  <c r="K234" i="16"/>
  <c r="X304" i="1" s="1"/>
  <c r="K235" i="16"/>
  <c r="X333" i="1" s="1"/>
  <c r="K236" i="16"/>
  <c r="K237" i="16"/>
  <c r="K238" i="16"/>
  <c r="K239" i="16"/>
  <c r="K240" i="16"/>
  <c r="K241" i="16"/>
  <c r="X320" i="1" s="1"/>
  <c r="K242" i="16"/>
  <c r="K243" i="16"/>
  <c r="K244" i="16"/>
  <c r="X324" i="1" s="1"/>
  <c r="K245" i="16"/>
  <c r="X325" i="1" s="1"/>
  <c r="K246" i="16"/>
  <c r="K247" i="16"/>
  <c r="K248" i="16"/>
  <c r="K249" i="16"/>
  <c r="K250" i="16"/>
  <c r="K251" i="16"/>
  <c r="K252" i="16"/>
  <c r="X328" i="1" s="1"/>
  <c r="K253" i="16"/>
  <c r="X300" i="1" s="1"/>
  <c r="K254" i="16"/>
  <c r="X329" i="1" s="1"/>
  <c r="K255" i="16"/>
  <c r="X336" i="1" s="1"/>
  <c r="K256" i="16"/>
  <c r="X350" i="1" s="1"/>
  <c r="K257" i="16"/>
  <c r="K258" i="16"/>
  <c r="K259" i="16"/>
  <c r="K260" i="16"/>
  <c r="K261" i="16"/>
  <c r="K262" i="16"/>
  <c r="K263" i="16"/>
  <c r="K264" i="16"/>
  <c r="K265" i="16"/>
  <c r="K266" i="16"/>
  <c r="K267" i="16"/>
  <c r="K268" i="16"/>
  <c r="K269" i="16"/>
  <c r="K270" i="16"/>
  <c r="K271" i="16"/>
  <c r="K272" i="16"/>
  <c r="K273" i="16"/>
  <c r="K274" i="16"/>
  <c r="X51" i="1" s="1"/>
  <c r="K275" i="16"/>
  <c r="X335" i="1" s="1"/>
  <c r="K276" i="16"/>
  <c r="K277" i="16"/>
  <c r="X345" i="1" s="1"/>
  <c r="K278" i="16"/>
  <c r="X348" i="1" s="1"/>
  <c r="K279" i="16"/>
  <c r="X353" i="1" s="1"/>
  <c r="K280" i="16"/>
  <c r="X35" i="1" s="1"/>
  <c r="K281" i="16"/>
  <c r="X53" i="1" s="1"/>
  <c r="K282" i="16"/>
  <c r="X54" i="1" s="1"/>
  <c r="K283" i="16"/>
  <c r="X55" i="1" s="1"/>
  <c r="K284" i="16"/>
  <c r="X192" i="1" s="1"/>
  <c r="K286" i="16"/>
  <c r="X232" i="1" s="1"/>
  <c r="K307" i="16"/>
  <c r="K288" i="16"/>
  <c r="X262" i="1" s="1"/>
  <c r="K290" i="16"/>
  <c r="X273" i="1" s="1"/>
  <c r="K292" i="16"/>
  <c r="X334" i="1" s="1"/>
  <c r="K295" i="16"/>
  <c r="X453" i="1" s="1"/>
  <c r="K285" i="16"/>
  <c r="K287" i="16"/>
  <c r="X243" i="1" s="1"/>
  <c r="K289" i="16"/>
  <c r="X269" i="1" s="1"/>
  <c r="K291" i="16"/>
  <c r="X305" i="1" s="1"/>
  <c r="K293" i="16"/>
  <c r="X354" i="1" s="1"/>
  <c r="K294" i="16"/>
  <c r="X385" i="1" s="1"/>
  <c r="K296" i="16"/>
  <c r="X472" i="1" s="1"/>
  <c r="K297" i="16"/>
  <c r="X500" i="1" s="1"/>
  <c r="K298" i="16"/>
  <c r="X359" i="1" s="1"/>
  <c r="K299" i="16"/>
  <c r="X365" i="1" s="1"/>
  <c r="K300" i="16"/>
  <c r="K301" i="16"/>
  <c r="X427" i="1" s="1"/>
  <c r="K302" i="16"/>
  <c r="X430" i="1" s="1"/>
  <c r="K303" i="16"/>
  <c r="X368" i="1" s="1"/>
  <c r="K304" i="16"/>
  <c r="X413" i="1" s="1"/>
  <c r="K305" i="16"/>
  <c r="X371" i="1" s="1"/>
  <c r="K306" i="16"/>
  <c r="K308" i="16"/>
  <c r="K309" i="16"/>
  <c r="K310" i="16"/>
  <c r="K311" i="16"/>
  <c r="K312" i="16"/>
  <c r="K313" i="16"/>
  <c r="K314" i="16"/>
  <c r="K315" i="16"/>
  <c r="K316" i="16"/>
  <c r="K317" i="16"/>
  <c r="X405" i="1" s="1"/>
  <c r="K318" i="16"/>
  <c r="K319" i="16"/>
  <c r="X221" i="1" s="1"/>
  <c r="K320" i="16"/>
  <c r="X441" i="1" s="1"/>
  <c r="K321" i="16"/>
  <c r="X456" i="1" s="1"/>
  <c r="K322" i="16"/>
  <c r="X498" i="1" s="1"/>
  <c r="K323" i="16"/>
  <c r="X377" i="1" s="1"/>
  <c r="K324" i="16"/>
  <c r="X381" i="1" s="1"/>
  <c r="K325" i="16"/>
  <c r="K326" i="16"/>
  <c r="K327" i="16"/>
  <c r="K329" i="16"/>
  <c r="K331" i="16"/>
  <c r="K333" i="16"/>
  <c r="K334" i="16"/>
  <c r="K336" i="16"/>
  <c r="K339" i="16"/>
  <c r="X229" i="1" s="1"/>
  <c r="K340" i="16"/>
  <c r="X278" i="1" s="1"/>
  <c r="K342" i="16"/>
  <c r="X443" i="1" s="1"/>
  <c r="K344" i="16"/>
  <c r="K346" i="16"/>
  <c r="K348" i="16"/>
  <c r="K350" i="16"/>
  <c r="K352" i="16"/>
  <c r="X415" i="1" s="1"/>
  <c r="K354" i="16"/>
  <c r="K356" i="16"/>
  <c r="X202" i="1" s="1"/>
  <c r="K358" i="16"/>
  <c r="X250" i="1" s="1"/>
  <c r="K360" i="16"/>
  <c r="X506" i="1" s="1"/>
  <c r="K362" i="16"/>
  <c r="K364" i="16"/>
  <c r="X426" i="1" s="1"/>
  <c r="K366" i="16"/>
  <c r="K368" i="16"/>
  <c r="K370" i="16"/>
  <c r="K372" i="16"/>
  <c r="X439" i="1" s="1"/>
  <c r="K374" i="16"/>
  <c r="K376" i="16"/>
  <c r="X287" i="1" s="1"/>
  <c r="K378" i="16"/>
  <c r="X124" i="1" s="1"/>
  <c r="K380" i="16"/>
  <c r="X450" i="1" s="1"/>
  <c r="K382" i="16"/>
  <c r="X174" i="1" s="1"/>
  <c r="K384" i="16"/>
  <c r="X451" i="1" s="1"/>
  <c r="K386" i="16"/>
  <c r="X455" i="1" s="1"/>
  <c r="K388" i="16"/>
  <c r="X444" i="1" s="1"/>
  <c r="K390" i="16"/>
  <c r="X465" i="1" s="1"/>
  <c r="K392" i="16"/>
  <c r="X67" i="1" s="1"/>
  <c r="K394" i="16"/>
  <c r="X219" i="1" s="1"/>
  <c r="K396" i="16"/>
  <c r="X17" i="1" s="1"/>
  <c r="K398" i="16"/>
  <c r="X122" i="1" s="1"/>
  <c r="K400" i="16"/>
  <c r="X285" i="1" s="1"/>
  <c r="K402" i="16"/>
  <c r="X346" i="1" s="1"/>
  <c r="K404" i="16"/>
  <c r="X452" i="1" s="1"/>
  <c r="K406" i="16"/>
  <c r="X69" i="1" s="1"/>
  <c r="K408" i="16"/>
  <c r="X100" i="1" s="1"/>
  <c r="K410" i="16"/>
  <c r="X383" i="1" s="1"/>
  <c r="K412" i="16"/>
  <c r="X471" i="1" s="1"/>
  <c r="K414" i="16"/>
  <c r="X276" i="1" s="1"/>
  <c r="K416" i="16"/>
  <c r="K418" i="16"/>
  <c r="X20" i="1" s="1"/>
  <c r="K420" i="16"/>
  <c r="X111" i="1" s="1"/>
  <c r="K422" i="16"/>
  <c r="K424" i="16"/>
  <c r="X167" i="1" s="1"/>
  <c r="K426" i="16"/>
  <c r="X213" i="1" s="1"/>
  <c r="K428" i="16"/>
  <c r="X311" i="1" s="1"/>
  <c r="K430" i="16"/>
  <c r="K434" i="16"/>
  <c r="X340" i="1" s="1"/>
  <c r="K436" i="16"/>
  <c r="X80" i="1" s="1"/>
  <c r="K438" i="16"/>
  <c r="X259" i="1" s="1"/>
  <c r="K440" i="16"/>
  <c r="X9" i="1" s="1"/>
  <c r="K442" i="16"/>
  <c r="X491" i="1" s="1"/>
  <c r="K444" i="16"/>
  <c r="K446" i="16"/>
  <c r="K448" i="16"/>
  <c r="X179" i="1" s="1"/>
  <c r="K449" i="16"/>
  <c r="X337" i="1" s="1"/>
  <c r="K451" i="16"/>
  <c r="K453" i="16"/>
  <c r="K455" i="16"/>
  <c r="X99" i="1" s="1"/>
  <c r="K457" i="16"/>
  <c r="X499" i="1" s="1"/>
  <c r="K459" i="16"/>
  <c r="K461" i="16"/>
  <c r="X147" i="1" s="1"/>
  <c r="K463" i="16"/>
  <c r="X511" i="1" s="1"/>
  <c r="K465" i="16"/>
  <c r="X349" i="1" s="1"/>
  <c r="K466" i="16"/>
  <c r="K468" i="16"/>
  <c r="K469" i="16"/>
  <c r="X30" i="1" s="1"/>
  <c r="K470" i="16"/>
  <c r="X44" i="1" s="1"/>
  <c r="K471" i="16"/>
  <c r="X158" i="1" s="1"/>
  <c r="K472" i="16"/>
  <c r="X282" i="1" s="1"/>
  <c r="K473" i="16"/>
  <c r="K474" i="16"/>
  <c r="X516" i="1" s="1"/>
  <c r="K328" i="16"/>
  <c r="X380" i="1" s="1"/>
  <c r="K330" i="16"/>
  <c r="K332" i="16"/>
  <c r="K335" i="16"/>
  <c r="Q336" i="16" s="1"/>
  <c r="K337" i="16"/>
  <c r="X388" i="1" s="1"/>
  <c r="K338" i="16"/>
  <c r="K341" i="16"/>
  <c r="K343" i="16"/>
  <c r="K345" i="16"/>
  <c r="K347" i="16"/>
  <c r="K349" i="16"/>
  <c r="X257" i="1" s="1"/>
  <c r="K351" i="16"/>
  <c r="X347" i="1" s="1"/>
  <c r="K353" i="16"/>
  <c r="X418" i="1" s="1"/>
  <c r="K355" i="16"/>
  <c r="X38" i="1" s="1"/>
  <c r="K357" i="16"/>
  <c r="X207" i="1" s="1"/>
  <c r="K359" i="16"/>
  <c r="X364" i="1" s="1"/>
  <c r="K361" i="16"/>
  <c r="X188" i="1" s="1"/>
  <c r="K363" i="16"/>
  <c r="X417" i="1" s="1"/>
  <c r="K365" i="16"/>
  <c r="X428" i="1" s="1"/>
  <c r="K367" i="16"/>
  <c r="K369" i="16"/>
  <c r="K371" i="16"/>
  <c r="X438" i="1" s="1"/>
  <c r="K373" i="16"/>
  <c r="X440" i="1" s="1"/>
  <c r="K375" i="16"/>
  <c r="X254" i="1" s="1"/>
  <c r="K377" i="16"/>
  <c r="X448" i="1" s="1"/>
  <c r="K379" i="16"/>
  <c r="X429" i="1" s="1"/>
  <c r="K381" i="16"/>
  <c r="X26" i="1" s="1"/>
  <c r="K383" i="16"/>
  <c r="X410" i="1" s="1"/>
  <c r="K385" i="16"/>
  <c r="X355" i="1" s="1"/>
  <c r="K387" i="16"/>
  <c r="X462" i="1" s="1"/>
  <c r="K389" i="16"/>
  <c r="X463" i="1" s="1"/>
  <c r="K391" i="16"/>
  <c r="X4" i="1" s="1"/>
  <c r="K393" i="16"/>
  <c r="X193" i="1" s="1"/>
  <c r="K395" i="16"/>
  <c r="X270" i="1" s="1"/>
  <c r="K397" i="16"/>
  <c r="X63" i="1" s="1"/>
  <c r="K399" i="16"/>
  <c r="K401" i="16"/>
  <c r="X310" i="1" s="1"/>
  <c r="K403" i="16"/>
  <c r="X387" i="1" s="1"/>
  <c r="K405" i="16"/>
  <c r="X483" i="1" s="1"/>
  <c r="K407" i="16"/>
  <c r="K409" i="16"/>
  <c r="X119" i="1" s="1"/>
  <c r="K411" i="16"/>
  <c r="X419" i="1" s="1"/>
  <c r="K413" i="16"/>
  <c r="X263" i="1" s="1"/>
  <c r="K415" i="16"/>
  <c r="X447" i="1" s="1"/>
  <c r="K417" i="16"/>
  <c r="K419" i="16"/>
  <c r="X61" i="1" s="1"/>
  <c r="K421" i="16"/>
  <c r="X113" i="1" s="1"/>
  <c r="K423" i="16"/>
  <c r="X156" i="1" s="1"/>
  <c r="K425" i="16"/>
  <c r="X176" i="1" s="1"/>
  <c r="K427" i="16"/>
  <c r="K429" i="16"/>
  <c r="X394" i="1" s="1"/>
  <c r="K431" i="16"/>
  <c r="X421" i="1" s="1"/>
  <c r="K433" i="16"/>
  <c r="K435" i="16"/>
  <c r="X487" i="1" s="1"/>
  <c r="K437" i="16"/>
  <c r="X115" i="1" s="1"/>
  <c r="K439" i="16"/>
  <c r="X296" i="1" s="1"/>
  <c r="K441" i="16"/>
  <c r="X105" i="1" s="1"/>
  <c r="K443" i="16"/>
  <c r="X12" i="1" s="1"/>
  <c r="K445" i="16"/>
  <c r="K447" i="16"/>
  <c r="X43" i="1" s="1"/>
  <c r="K450" i="16"/>
  <c r="K452" i="16"/>
  <c r="K454" i="16"/>
  <c r="X494" i="1" s="1"/>
  <c r="K456" i="16"/>
  <c r="K458" i="16"/>
  <c r="K460" i="16"/>
  <c r="X140" i="1" s="1"/>
  <c r="K462" i="16"/>
  <c r="X467" i="1" s="1"/>
  <c r="K464" i="16"/>
  <c r="X515" i="1" s="1"/>
  <c r="K467" i="16"/>
  <c r="B523" i="1"/>
  <c r="B522" i="1"/>
  <c r="B520" i="1"/>
  <c r="B519" i="1"/>
  <c r="B518" i="1"/>
  <c r="B517" i="1"/>
  <c r="W497" i="1"/>
  <c r="W496" i="1"/>
  <c r="W495" i="1"/>
  <c r="W488" i="1"/>
  <c r="W486" i="1"/>
  <c r="W482" i="1"/>
  <c r="W480" i="1"/>
  <c r="W478" i="1"/>
  <c r="W475" i="1"/>
  <c r="W457" i="1"/>
  <c r="W442" i="1"/>
  <c r="W432" i="1"/>
  <c r="W424" i="1"/>
  <c r="W416" i="1"/>
  <c r="W412" i="1"/>
  <c r="W406" i="1"/>
  <c r="W396" i="1"/>
  <c r="W392" i="1"/>
  <c r="W389" i="1"/>
  <c r="W382" i="1"/>
  <c r="W379" i="1"/>
  <c r="W363" i="1"/>
  <c r="W362" i="1"/>
  <c r="W358" i="1"/>
  <c r="W351" i="1"/>
  <c r="W343" i="1"/>
  <c r="W330" i="1"/>
  <c r="W319" i="1"/>
  <c r="W312" i="1"/>
  <c r="W308" i="1"/>
  <c r="W306" i="1"/>
  <c r="W299" i="1"/>
  <c r="W294" i="1"/>
  <c r="W293" i="1"/>
  <c r="W289" i="1"/>
  <c r="W284" i="1"/>
  <c r="W275" i="1"/>
  <c r="W265" i="1"/>
  <c r="W261" i="1"/>
  <c r="W258" i="1"/>
  <c r="W256" i="1"/>
  <c r="W253" i="1"/>
  <c r="W246" i="1"/>
  <c r="W244" i="1"/>
  <c r="W231" i="1"/>
  <c r="W222" i="1"/>
  <c r="W217" i="1"/>
  <c r="W214" i="1"/>
  <c r="W211" i="1"/>
  <c r="W205" i="1"/>
  <c r="W196" i="1"/>
  <c r="W194" i="1"/>
  <c r="W189" i="1"/>
  <c r="W183" i="1"/>
  <c r="W177" i="1"/>
  <c r="W166" i="1"/>
  <c r="W165" i="1"/>
  <c r="W164" i="1"/>
  <c r="W155" i="1"/>
  <c r="W153" i="1"/>
  <c r="W149" i="1"/>
  <c r="W142" i="1"/>
  <c r="W136" i="1"/>
  <c r="W131" i="1"/>
  <c r="W129" i="1"/>
  <c r="W121" i="1"/>
  <c r="W120" i="1"/>
  <c r="W109" i="1"/>
  <c r="W104" i="1"/>
  <c r="W88" i="1"/>
  <c r="W85" i="1"/>
  <c r="W77" i="1"/>
  <c r="W68" i="1"/>
  <c r="W64" i="1"/>
  <c r="W60" i="1"/>
  <c r="W59" i="1"/>
  <c r="W52" i="1"/>
  <c r="W46" i="1"/>
  <c r="W32" i="1"/>
  <c r="W21" i="1"/>
  <c r="W5" i="1"/>
  <c r="U520" i="1"/>
  <c r="T520" i="1" s="1"/>
  <c r="U519" i="1"/>
  <c r="T519" i="1"/>
  <c r="U517" i="1"/>
  <c r="T517" i="1"/>
  <c r="U516" i="1"/>
  <c r="U515" i="1"/>
  <c r="T515" i="1"/>
  <c r="U514" i="1"/>
  <c r="T514" i="1"/>
  <c r="U513" i="1"/>
  <c r="T513" i="1"/>
  <c r="U512" i="1"/>
  <c r="T512" i="1"/>
  <c r="U511" i="1"/>
  <c r="T511" i="1"/>
  <c r="U509" i="1"/>
  <c r="T509" i="1"/>
  <c r="T508" i="1"/>
  <c r="U507" i="1"/>
  <c r="T507" i="1"/>
  <c r="U506" i="1"/>
  <c r="T506" i="1"/>
  <c r="U505" i="1"/>
  <c r="T505" i="1"/>
  <c r="T503" i="1"/>
  <c r="U503" i="1" s="1"/>
  <c r="U501" i="1"/>
  <c r="T501" i="1"/>
  <c r="U500" i="1"/>
  <c r="T500" i="1"/>
  <c r="U499" i="1"/>
  <c r="U498" i="1"/>
  <c r="T498" i="1"/>
  <c r="V497" i="1"/>
  <c r="U497" i="1"/>
  <c r="T497" i="1"/>
  <c r="S497" i="1"/>
  <c r="V496" i="1"/>
  <c r="U496" i="1"/>
  <c r="T496" i="1"/>
  <c r="V495" i="1"/>
  <c r="U495" i="1"/>
  <c r="T495" i="1"/>
  <c r="U494" i="1"/>
  <c r="T494" i="1"/>
  <c r="U493" i="1"/>
  <c r="T493" i="1"/>
  <c r="T492" i="1"/>
  <c r="U491" i="1"/>
  <c r="T491" i="1"/>
  <c r="V490" i="1"/>
  <c r="U490" i="1"/>
  <c r="T490" i="1"/>
  <c r="U489" i="1"/>
  <c r="T489" i="1"/>
  <c r="S489" i="1"/>
  <c r="V488" i="1"/>
  <c r="U488" i="1"/>
  <c r="T488" i="1"/>
  <c r="S488" i="1"/>
  <c r="U487" i="1"/>
  <c r="T487" i="1"/>
  <c r="V486" i="1"/>
  <c r="U486" i="1"/>
  <c r="T486" i="1"/>
  <c r="S486" i="1"/>
  <c r="U484" i="1"/>
  <c r="T484" i="1"/>
  <c r="U483" i="1"/>
  <c r="T483" i="1"/>
  <c r="V482" i="1"/>
  <c r="U482" i="1"/>
  <c r="T482" i="1"/>
  <c r="S482" i="1"/>
  <c r="V480" i="1"/>
  <c r="U480" i="1"/>
  <c r="T480" i="1"/>
  <c r="S480" i="1"/>
  <c r="U479" i="1"/>
  <c r="T479" i="1"/>
  <c r="V478" i="1"/>
  <c r="U478" i="1"/>
  <c r="T478" i="1"/>
  <c r="U476" i="1"/>
  <c r="T476" i="1"/>
  <c r="V475" i="1"/>
  <c r="U475" i="1"/>
  <c r="T475" i="1"/>
  <c r="U473" i="1"/>
  <c r="T473" i="1"/>
  <c r="U472" i="1"/>
  <c r="T472" i="1"/>
  <c r="U471" i="1"/>
  <c r="T471" i="1"/>
  <c r="U469" i="1"/>
  <c r="T469" i="1"/>
  <c r="U468" i="1"/>
  <c r="T468" i="1"/>
  <c r="U467" i="1"/>
  <c r="T467" i="1"/>
  <c r="U466" i="1"/>
  <c r="T466" i="1"/>
  <c r="U465" i="1"/>
  <c r="T465" i="1"/>
  <c r="U464" i="1"/>
  <c r="U463" i="1"/>
  <c r="T463" i="1"/>
  <c r="U462" i="1"/>
  <c r="T462" i="1"/>
  <c r="U461" i="1"/>
  <c r="T461" i="1"/>
  <c r="U460" i="1"/>
  <c r="V457" i="1"/>
  <c r="U457" i="1"/>
  <c r="T457" i="1"/>
  <c r="U456" i="1"/>
  <c r="T456" i="1"/>
  <c r="U454" i="1"/>
  <c r="T454" i="1"/>
  <c r="U453" i="1"/>
  <c r="T453" i="1"/>
  <c r="U452" i="1"/>
  <c r="T452" i="1"/>
  <c r="U451" i="1"/>
  <c r="T451" i="1"/>
  <c r="U450" i="1"/>
  <c r="T450" i="1"/>
  <c r="U449" i="1"/>
  <c r="T449" i="1"/>
  <c r="U448" i="1"/>
  <c r="T448" i="1"/>
  <c r="U447" i="1"/>
  <c r="T447" i="1"/>
  <c r="U446" i="1"/>
  <c r="T446" i="1"/>
  <c r="U445" i="1"/>
  <c r="T445" i="1"/>
  <c r="U444" i="1"/>
  <c r="T444" i="1"/>
  <c r="U443" i="1"/>
  <c r="T443" i="1"/>
  <c r="S443" i="1"/>
  <c r="V442" i="1"/>
  <c r="U442" i="1"/>
  <c r="T442" i="1"/>
  <c r="U441" i="1"/>
  <c r="T441" i="1"/>
  <c r="U440" i="1"/>
  <c r="T440" i="1"/>
  <c r="U438" i="1"/>
  <c r="T438" i="1"/>
  <c r="U436" i="1"/>
  <c r="T436" i="1"/>
  <c r="U434" i="1"/>
  <c r="T434" i="1"/>
  <c r="U433" i="1"/>
  <c r="T433" i="1"/>
  <c r="V432" i="1"/>
  <c r="U432" i="1"/>
  <c r="T432" i="1"/>
  <c r="U431" i="1"/>
  <c r="U430" i="1"/>
  <c r="T430" i="1"/>
  <c r="U428" i="1"/>
  <c r="T428" i="1"/>
  <c r="U426" i="1"/>
  <c r="T426" i="1"/>
  <c r="V424" i="1"/>
  <c r="U424" i="1"/>
  <c r="T424" i="1"/>
  <c r="S424" i="1"/>
  <c r="U421" i="1"/>
  <c r="T421" i="1"/>
  <c r="U419" i="1"/>
  <c r="T419" i="1"/>
  <c r="U418" i="1"/>
  <c r="T418" i="1"/>
  <c r="V416" i="1"/>
  <c r="U416" i="1"/>
  <c r="T416" i="1"/>
  <c r="U415" i="1"/>
  <c r="T415" i="1"/>
  <c r="U414" i="1"/>
  <c r="T414" i="1"/>
  <c r="U413" i="1"/>
  <c r="V412" i="1"/>
  <c r="U412" i="1"/>
  <c r="T412" i="1"/>
  <c r="S412" i="1"/>
  <c r="U411" i="1"/>
  <c r="T411" i="1"/>
  <c r="U410" i="1"/>
  <c r="T410" i="1"/>
  <c r="U409" i="1"/>
  <c r="T409" i="1"/>
  <c r="U408" i="1"/>
  <c r="T408" i="1"/>
  <c r="U407" i="1"/>
  <c r="T407" i="1"/>
  <c r="V406" i="1"/>
  <c r="U406" i="1"/>
  <c r="T406" i="1"/>
  <c r="U405" i="1"/>
  <c r="T405" i="1"/>
  <c r="U403" i="1"/>
  <c r="T403" i="1"/>
  <c r="T402" i="1"/>
  <c r="U402" i="1" s="1"/>
  <c r="T401" i="1"/>
  <c r="U400" i="1"/>
  <c r="T400" i="1"/>
  <c r="S400" i="1"/>
  <c r="U399" i="1"/>
  <c r="T399" i="1"/>
  <c r="U397" i="1"/>
  <c r="T397" i="1"/>
  <c r="V396" i="1"/>
  <c r="U396" i="1"/>
  <c r="T396" i="1"/>
  <c r="U394" i="1"/>
  <c r="T394" i="1"/>
  <c r="U393" i="1"/>
  <c r="T393" i="1"/>
  <c r="V392" i="1"/>
  <c r="U392" i="1"/>
  <c r="T392" i="1"/>
  <c r="V389" i="1"/>
  <c r="U389" i="1"/>
  <c r="T389" i="1"/>
  <c r="S389" i="1"/>
  <c r="U388" i="1"/>
  <c r="T388" i="1"/>
  <c r="U387" i="1"/>
  <c r="T387" i="1"/>
  <c r="U385" i="1"/>
  <c r="T385" i="1"/>
  <c r="U384" i="1"/>
  <c r="T384" i="1"/>
  <c r="U383" i="1"/>
  <c r="T383" i="1"/>
  <c r="V382" i="1"/>
  <c r="U382" i="1"/>
  <c r="T382" i="1"/>
  <c r="U381" i="1"/>
  <c r="T381" i="1"/>
  <c r="U380" i="1"/>
  <c r="T380" i="1"/>
  <c r="S380" i="1"/>
  <c r="V379" i="1"/>
  <c r="U379" i="1"/>
  <c r="T379" i="1"/>
  <c r="U378" i="1"/>
  <c r="T378" i="1"/>
  <c r="S378" i="1"/>
  <c r="U377" i="1"/>
  <c r="T377" i="1"/>
  <c r="U376" i="1"/>
  <c r="T376" i="1"/>
  <c r="U375" i="1"/>
  <c r="T375" i="1"/>
  <c r="U374" i="1"/>
  <c r="T374" i="1"/>
  <c r="U373" i="1"/>
  <c r="T373" i="1"/>
  <c r="U372" i="1"/>
  <c r="T372" i="1"/>
  <c r="U371" i="1"/>
  <c r="T371" i="1"/>
  <c r="U370" i="1"/>
  <c r="U368" i="1"/>
  <c r="U367" i="1"/>
  <c r="T367" i="1"/>
  <c r="U365" i="1"/>
  <c r="T365" i="1"/>
  <c r="U364" i="1"/>
  <c r="T364" i="1"/>
  <c r="V363" i="1"/>
  <c r="U363" i="1"/>
  <c r="T363" i="1"/>
  <c r="V362" i="1"/>
  <c r="U362" i="1"/>
  <c r="T362" i="1"/>
  <c r="U361" i="1"/>
  <c r="T361" i="1"/>
  <c r="U360" i="1"/>
  <c r="T360" i="1"/>
  <c r="U359" i="1"/>
  <c r="T359" i="1"/>
  <c r="V358" i="1"/>
  <c r="U358" i="1"/>
  <c r="T358" i="1"/>
  <c r="U357" i="1"/>
  <c r="T357" i="1"/>
  <c r="U354" i="1"/>
  <c r="T354" i="1"/>
  <c r="U353" i="1"/>
  <c r="T353" i="1"/>
  <c r="U352" i="1"/>
  <c r="T352" i="1"/>
  <c r="V351" i="1"/>
  <c r="U351" i="1"/>
  <c r="T351" i="1"/>
  <c r="S351" i="1"/>
  <c r="U350" i="1"/>
  <c r="T350" i="1"/>
  <c r="U349" i="1"/>
  <c r="T349" i="1"/>
  <c r="U348" i="1"/>
  <c r="T348" i="1"/>
  <c r="U346" i="1"/>
  <c r="U345" i="1"/>
  <c r="T345" i="1"/>
  <c r="U344" i="1"/>
  <c r="T344" i="1"/>
  <c r="V343" i="1"/>
  <c r="U343" i="1"/>
  <c r="T343" i="1"/>
  <c r="U342" i="1"/>
  <c r="T342" i="1"/>
  <c r="U341" i="1"/>
  <c r="T341" i="1"/>
  <c r="U340" i="1"/>
  <c r="T340" i="1"/>
  <c r="T339" i="1"/>
  <c r="U339" i="1" s="1"/>
  <c r="U337" i="1"/>
  <c r="T337" i="1"/>
  <c r="U336" i="1"/>
  <c r="T336" i="1"/>
  <c r="U335" i="1"/>
  <c r="T335" i="1"/>
  <c r="U334" i="1"/>
  <c r="T334" i="1"/>
  <c r="U333" i="1"/>
  <c r="T333" i="1"/>
  <c r="U332" i="1"/>
  <c r="T332" i="1"/>
  <c r="T331" i="1"/>
  <c r="V330" i="1"/>
  <c r="U330" i="1"/>
  <c r="T330" i="1"/>
  <c r="U329" i="1"/>
  <c r="T329" i="1"/>
  <c r="U328" i="1"/>
  <c r="T328" i="1"/>
  <c r="U325" i="1"/>
  <c r="T325" i="1"/>
  <c r="U324" i="1"/>
  <c r="T324" i="1"/>
  <c r="U322" i="1"/>
  <c r="T322" i="1"/>
  <c r="U321" i="1"/>
  <c r="T321" i="1"/>
  <c r="U320" i="1"/>
  <c r="T320" i="1"/>
  <c r="V319" i="1"/>
  <c r="U319" i="1"/>
  <c r="T319" i="1"/>
  <c r="S319" i="1"/>
  <c r="U317" i="1"/>
  <c r="T317" i="1"/>
  <c r="U316" i="1"/>
  <c r="T316" i="1"/>
  <c r="T315" i="1"/>
  <c r="U314" i="1"/>
  <c r="T314" i="1"/>
  <c r="U313" i="1"/>
  <c r="T313" i="1"/>
  <c r="V312" i="1"/>
  <c r="U312" i="1"/>
  <c r="T312" i="1"/>
  <c r="S312" i="1"/>
  <c r="U311" i="1"/>
  <c r="T311" i="1"/>
  <c r="U310" i="1"/>
  <c r="T310" i="1"/>
  <c r="V309" i="1"/>
  <c r="U309" i="1"/>
  <c r="T309" i="1"/>
  <c r="S309" i="1"/>
  <c r="V308" i="1"/>
  <c r="U308" i="1"/>
  <c r="T308" i="1"/>
  <c r="S308" i="1"/>
  <c r="U307" i="1"/>
  <c r="T307" i="1"/>
  <c r="V306" i="1"/>
  <c r="U306" i="1"/>
  <c r="T306" i="1"/>
  <c r="S306" i="1"/>
  <c r="U305" i="1"/>
  <c r="T305" i="1"/>
  <c r="U304" i="1"/>
  <c r="T304" i="1"/>
  <c r="U303" i="1"/>
  <c r="T303" i="1"/>
  <c r="U301" i="1"/>
  <c r="T301" i="1"/>
  <c r="U300" i="1"/>
  <c r="T300" i="1"/>
  <c r="V299" i="1"/>
  <c r="U299" i="1"/>
  <c r="T299" i="1"/>
  <c r="U296" i="1"/>
  <c r="T296" i="1"/>
  <c r="V294" i="1"/>
  <c r="U294" i="1"/>
  <c r="T294" i="1"/>
  <c r="S294" i="1"/>
  <c r="V293" i="1"/>
  <c r="U293" i="1"/>
  <c r="T293" i="1"/>
  <c r="S293" i="1"/>
  <c r="T292" i="1"/>
  <c r="U292" i="1" s="1"/>
  <c r="T291" i="1"/>
  <c r="U291" i="1" s="1"/>
  <c r="V289" i="1"/>
  <c r="U289" i="1"/>
  <c r="T289" i="1"/>
  <c r="U287" i="1"/>
  <c r="T287" i="1"/>
  <c r="U286" i="1"/>
  <c r="U285" i="1"/>
  <c r="T285" i="1"/>
  <c r="V284" i="1"/>
  <c r="U284" i="1"/>
  <c r="T284" i="1"/>
  <c r="U283" i="1"/>
  <c r="T283" i="1"/>
  <c r="U282" i="1"/>
  <c r="T282" i="1"/>
  <c r="U279" i="1"/>
  <c r="U278" i="1"/>
  <c r="T278" i="1"/>
  <c r="T277" i="1"/>
  <c r="U277" i="1" s="1"/>
  <c r="U276" i="1"/>
  <c r="T276" i="1"/>
  <c r="V275" i="1"/>
  <c r="U275" i="1"/>
  <c r="T275" i="1"/>
  <c r="S275" i="1"/>
  <c r="U274" i="1"/>
  <c r="T274" i="1"/>
  <c r="U273" i="1"/>
  <c r="T273" i="1"/>
  <c r="U272" i="1"/>
  <c r="T272" i="1"/>
  <c r="U271" i="1"/>
  <c r="T271" i="1"/>
  <c r="T270" i="1"/>
  <c r="U269" i="1"/>
  <c r="T269" i="1"/>
  <c r="U268" i="1"/>
  <c r="T268" i="1"/>
  <c r="S268" i="1" s="1"/>
  <c r="U267" i="1"/>
  <c r="T267" i="1"/>
  <c r="T266" i="1"/>
  <c r="V265" i="1"/>
  <c r="U265" i="1"/>
  <c r="T265" i="1"/>
  <c r="U264" i="1"/>
  <c r="T264" i="1"/>
  <c r="U263" i="1"/>
  <c r="T263" i="1"/>
  <c r="U262" i="1"/>
  <c r="T262" i="1"/>
  <c r="V261" i="1"/>
  <c r="U261" i="1"/>
  <c r="T261" i="1"/>
  <c r="U260" i="1"/>
  <c r="T260" i="1"/>
  <c r="U259" i="1"/>
  <c r="T259" i="1"/>
  <c r="V258" i="1"/>
  <c r="U258" i="1"/>
  <c r="T258" i="1"/>
  <c r="S258" i="1"/>
  <c r="U257" i="1"/>
  <c r="T257" i="1"/>
  <c r="V256" i="1"/>
  <c r="U256" i="1"/>
  <c r="T256" i="1"/>
  <c r="S256" i="1"/>
  <c r="U255" i="1"/>
  <c r="T255" i="1"/>
  <c r="U254" i="1"/>
  <c r="T254" i="1"/>
  <c r="V253" i="1"/>
  <c r="U253" i="1"/>
  <c r="T253" i="1"/>
  <c r="U252" i="1"/>
  <c r="T252" i="1"/>
  <c r="U251" i="1"/>
  <c r="U250" i="1"/>
  <c r="T250" i="1"/>
  <c r="U249" i="1"/>
  <c r="T249" i="1"/>
  <c r="U248" i="1"/>
  <c r="T248" i="1"/>
  <c r="U247" i="1"/>
  <c r="T247" i="1"/>
  <c r="V246" i="1"/>
  <c r="U246" i="1"/>
  <c r="T246" i="1"/>
  <c r="S246" i="1"/>
  <c r="T245" i="1"/>
  <c r="V244" i="1"/>
  <c r="U244" i="1"/>
  <c r="T244" i="1"/>
  <c r="S244" i="1"/>
  <c r="U243" i="1"/>
  <c r="T243" i="1"/>
  <c r="U242" i="1"/>
  <c r="T242" i="1"/>
  <c r="U240" i="1"/>
  <c r="T240" i="1"/>
  <c r="U239" i="1"/>
  <c r="T239" i="1"/>
  <c r="T238" i="1"/>
  <c r="U237" i="1"/>
  <c r="T237" i="1"/>
  <c r="T236" i="1"/>
  <c r="T235" i="1"/>
  <c r="U234" i="1"/>
  <c r="T234" i="1"/>
  <c r="U232" i="1"/>
  <c r="T232" i="1"/>
  <c r="V231" i="1"/>
  <c r="U231" i="1"/>
  <c r="T231" i="1"/>
  <c r="S231" i="1"/>
  <c r="U230" i="1"/>
  <c r="T230" i="1"/>
  <c r="U229" i="1"/>
  <c r="T229" i="1"/>
  <c r="U228" i="1"/>
  <c r="T228" i="1"/>
  <c r="U225" i="1"/>
  <c r="T225" i="1"/>
  <c r="U224" i="1"/>
  <c r="T224" i="1"/>
  <c r="U223" i="1"/>
  <c r="T223" i="1"/>
  <c r="V222" i="1"/>
  <c r="U222" i="1"/>
  <c r="T222" i="1"/>
  <c r="S222" i="1"/>
  <c r="U221" i="1"/>
  <c r="T221" i="1"/>
  <c r="U220" i="1"/>
  <c r="T220" i="1"/>
  <c r="U219" i="1"/>
  <c r="T219" i="1"/>
  <c r="S219" i="1"/>
  <c r="U218" i="1"/>
  <c r="T218" i="1"/>
  <c r="U216" i="1"/>
  <c r="T216" i="1"/>
  <c r="V214" i="1"/>
  <c r="U214" i="1"/>
  <c r="T214" i="1"/>
  <c r="S214" i="1"/>
  <c r="U213" i="1"/>
  <c r="T213" i="1"/>
  <c r="U212" i="1"/>
  <c r="T212" i="1"/>
  <c r="V211" i="1"/>
  <c r="U211" i="1"/>
  <c r="T211" i="1"/>
  <c r="S211" i="1"/>
  <c r="U210" i="1"/>
  <c r="T210" i="1"/>
  <c r="U209" i="1"/>
  <c r="U208" i="1"/>
  <c r="T208" i="1"/>
  <c r="U207" i="1"/>
  <c r="T207" i="1"/>
  <c r="U206" i="1"/>
  <c r="T206" i="1"/>
  <c r="V205" i="1"/>
  <c r="U205" i="1"/>
  <c r="T205" i="1"/>
  <c r="S205" i="1"/>
  <c r="U204" i="1"/>
  <c r="T204" i="1"/>
  <c r="U203" i="1"/>
  <c r="T203" i="1"/>
  <c r="U202" i="1"/>
  <c r="T202" i="1"/>
  <c r="U201" i="1"/>
  <c r="T201" i="1"/>
  <c r="U200" i="1"/>
  <c r="T200" i="1"/>
  <c r="U198" i="1"/>
  <c r="T198" i="1"/>
  <c r="V196" i="1"/>
  <c r="U196" i="1"/>
  <c r="T196" i="1"/>
  <c r="U195" i="1"/>
  <c r="T195" i="1"/>
  <c r="V194" i="1"/>
  <c r="U194" i="1"/>
  <c r="T194" i="1"/>
  <c r="S194" i="1"/>
  <c r="U193" i="1"/>
  <c r="T193" i="1"/>
  <c r="U192" i="1"/>
  <c r="T192" i="1"/>
  <c r="U191" i="1"/>
  <c r="T191" i="1"/>
  <c r="U190" i="1"/>
  <c r="T190" i="1"/>
  <c r="V189" i="1"/>
  <c r="U189" i="1"/>
  <c r="T189" i="1"/>
  <c r="S189" i="1"/>
  <c r="U186" i="1"/>
  <c r="U184" i="1"/>
  <c r="T184" i="1"/>
  <c r="V183" i="1"/>
  <c r="U183" i="1"/>
  <c r="T183" i="1"/>
  <c r="U181" i="1"/>
  <c r="T181" i="1"/>
  <c r="U180" i="1"/>
  <c r="T180" i="1"/>
  <c r="U179" i="1"/>
  <c r="T179" i="1"/>
  <c r="U178" i="1"/>
  <c r="T178" i="1"/>
  <c r="V177" i="1"/>
  <c r="U177" i="1"/>
  <c r="T177" i="1"/>
  <c r="S177" i="1"/>
  <c r="U176" i="1"/>
  <c r="T176" i="1"/>
  <c r="U175" i="1"/>
  <c r="T175" i="1"/>
  <c r="U174" i="1"/>
  <c r="T174" i="1"/>
  <c r="U173" i="1"/>
  <c r="T173" i="1"/>
  <c r="U171" i="1"/>
  <c r="T171" i="1"/>
  <c r="U170" i="1"/>
  <c r="T170" i="1"/>
  <c r="U169" i="1"/>
  <c r="T169" i="1"/>
  <c r="U168" i="1"/>
  <c r="T168" i="1"/>
  <c r="U167" i="1"/>
  <c r="T167" i="1"/>
  <c r="V166" i="1"/>
  <c r="U166" i="1"/>
  <c r="T166" i="1"/>
  <c r="V165" i="1"/>
  <c r="U165" i="1"/>
  <c r="T165" i="1"/>
  <c r="V164" i="1"/>
  <c r="U164" i="1"/>
  <c r="T164" i="1"/>
  <c r="U163" i="1"/>
  <c r="U162" i="1"/>
  <c r="T162" i="1"/>
  <c r="U161" i="1"/>
  <c r="T161" i="1"/>
  <c r="U160" i="1"/>
  <c r="T160" i="1"/>
  <c r="U159" i="1"/>
  <c r="T159" i="1"/>
  <c r="U158" i="1"/>
  <c r="T158" i="1"/>
  <c r="U156" i="1"/>
  <c r="T156" i="1"/>
  <c r="V155" i="1"/>
  <c r="U155" i="1"/>
  <c r="T155" i="1"/>
  <c r="V153" i="1"/>
  <c r="U153" i="1"/>
  <c r="T153" i="1"/>
  <c r="S153" i="1"/>
  <c r="U152" i="1"/>
  <c r="T152" i="1"/>
  <c r="U150" i="1"/>
  <c r="T150" i="1"/>
  <c r="V149" i="1"/>
  <c r="U149" i="1"/>
  <c r="T149" i="1"/>
  <c r="U147" i="1"/>
  <c r="T147" i="1"/>
  <c r="U146" i="1"/>
  <c r="T146" i="1"/>
  <c r="U145" i="1"/>
  <c r="T145" i="1"/>
  <c r="V142" i="1"/>
  <c r="U142" i="1"/>
  <c r="T142" i="1"/>
  <c r="U141" i="1"/>
  <c r="T141" i="1"/>
  <c r="U140" i="1"/>
  <c r="T140" i="1"/>
  <c r="U139" i="1"/>
  <c r="T139" i="1"/>
  <c r="U138" i="1"/>
  <c r="T138" i="1"/>
  <c r="T137" i="1"/>
  <c r="V136" i="1"/>
  <c r="U136" i="1"/>
  <c r="T136" i="1"/>
  <c r="U135" i="1"/>
  <c r="T135" i="1"/>
  <c r="U133" i="1"/>
  <c r="T133" i="1"/>
  <c r="U132" i="1"/>
  <c r="T132" i="1"/>
  <c r="V131" i="1"/>
  <c r="U131" i="1"/>
  <c r="T131" i="1"/>
  <c r="U130" i="1"/>
  <c r="T130" i="1"/>
  <c r="S130" i="1"/>
  <c r="V129" i="1"/>
  <c r="U129" i="1"/>
  <c r="T129" i="1"/>
  <c r="U128" i="1"/>
  <c r="T128" i="1"/>
  <c r="S128" i="1" s="1"/>
  <c r="U127" i="1"/>
  <c r="T127" i="1"/>
  <c r="U125" i="1"/>
  <c r="T125" i="1"/>
  <c r="U124" i="1"/>
  <c r="T124" i="1"/>
  <c r="U123" i="1"/>
  <c r="T123" i="1"/>
  <c r="U122" i="1"/>
  <c r="T122" i="1"/>
  <c r="V121" i="1"/>
  <c r="U121" i="1"/>
  <c r="T121" i="1"/>
  <c r="S121" i="1"/>
  <c r="V120" i="1"/>
  <c r="U120" i="1"/>
  <c r="T120" i="1"/>
  <c r="U119" i="1"/>
  <c r="T119" i="1"/>
  <c r="U117" i="1"/>
  <c r="T117" i="1"/>
  <c r="U116" i="1"/>
  <c r="T116" i="1"/>
  <c r="U115" i="1"/>
  <c r="T115" i="1"/>
  <c r="U114" i="1"/>
  <c r="T114" i="1"/>
  <c r="U113" i="1"/>
  <c r="T113" i="1"/>
  <c r="U112" i="1"/>
  <c r="T112" i="1"/>
  <c r="U111" i="1"/>
  <c r="T111" i="1"/>
  <c r="U110" i="1"/>
  <c r="T110" i="1"/>
  <c r="V109" i="1"/>
  <c r="U109" i="1"/>
  <c r="T109" i="1"/>
  <c r="U108" i="1"/>
  <c r="T108" i="1"/>
  <c r="U105" i="1"/>
  <c r="T105" i="1"/>
  <c r="V104" i="1"/>
  <c r="U104" i="1"/>
  <c r="T104" i="1"/>
  <c r="S104" i="1"/>
  <c r="U103" i="1"/>
  <c r="T103" i="1"/>
  <c r="T102" i="1"/>
  <c r="U101" i="1"/>
  <c r="T101" i="1"/>
  <c r="U100" i="1"/>
  <c r="T100" i="1"/>
  <c r="U99" i="1"/>
  <c r="U98" i="1"/>
  <c r="T98" i="1"/>
  <c r="U97" i="1"/>
  <c r="T97" i="1"/>
  <c r="T96" i="1"/>
  <c r="V95" i="1"/>
  <c r="U95" i="1"/>
  <c r="T95" i="1"/>
  <c r="S95" i="1"/>
  <c r="U93" i="1"/>
  <c r="T93" i="1"/>
  <c r="T92" i="1"/>
  <c r="U91" i="1"/>
  <c r="T91" i="1"/>
  <c r="T90" i="1"/>
  <c r="U89" i="1"/>
  <c r="T89" i="1"/>
  <c r="V88" i="1"/>
  <c r="U88" i="1"/>
  <c r="T88" i="1"/>
  <c r="S88" i="1"/>
  <c r="U87" i="1"/>
  <c r="T87" i="1"/>
  <c r="U86" i="1"/>
  <c r="T86" i="1"/>
  <c r="V85" i="1"/>
  <c r="U85" i="1"/>
  <c r="T85" i="1"/>
  <c r="S85" i="1"/>
  <c r="U84" i="1"/>
  <c r="T84" i="1"/>
  <c r="U83" i="1"/>
  <c r="T83" i="1"/>
  <c r="U82" i="1"/>
  <c r="T82" i="1"/>
  <c r="U81" i="1"/>
  <c r="T81" i="1"/>
  <c r="U80" i="1"/>
  <c r="T80" i="1"/>
  <c r="U79" i="1"/>
  <c r="T79" i="1"/>
  <c r="S79" i="1"/>
  <c r="U78" i="1"/>
  <c r="V77" i="1"/>
  <c r="U77" i="1"/>
  <c r="T77" i="1"/>
  <c r="S77" i="1"/>
  <c r="U76" i="1"/>
  <c r="T76" i="1"/>
  <c r="U75" i="1"/>
  <c r="T75" i="1"/>
  <c r="U74" i="1"/>
  <c r="T74" i="1"/>
  <c r="U72" i="1"/>
  <c r="T72" i="1"/>
  <c r="U71" i="1"/>
  <c r="T71" i="1"/>
  <c r="U70" i="1"/>
  <c r="T70" i="1"/>
  <c r="S70" i="1"/>
  <c r="U68" i="1"/>
  <c r="T68" i="1"/>
  <c r="U67" i="1"/>
  <c r="T67" i="1"/>
  <c r="U66" i="1"/>
  <c r="T66" i="1"/>
  <c r="U65" i="1"/>
  <c r="T65" i="1"/>
  <c r="V64" i="1"/>
  <c r="U64" i="1"/>
  <c r="T64" i="1"/>
  <c r="S64" i="1"/>
  <c r="U63" i="1"/>
  <c r="T63" i="1"/>
  <c r="U61" i="1"/>
  <c r="T61" i="1"/>
  <c r="V60" i="1"/>
  <c r="U60" i="1"/>
  <c r="T60" i="1"/>
  <c r="S60" i="1"/>
  <c r="V59" i="1"/>
  <c r="T59" i="1"/>
  <c r="U57" i="1"/>
  <c r="T57" i="1"/>
  <c r="U56" i="1"/>
  <c r="T56" i="1"/>
  <c r="U55" i="1"/>
  <c r="T55" i="1"/>
  <c r="U54" i="1"/>
  <c r="T54" i="1"/>
  <c r="U53" i="1"/>
  <c r="T53" i="1"/>
  <c r="V52" i="1"/>
  <c r="U52" i="1"/>
  <c r="T52" i="1"/>
  <c r="S52" i="1"/>
  <c r="U51" i="1"/>
  <c r="T51" i="1"/>
  <c r="V49" i="1"/>
  <c r="T49" i="1"/>
  <c r="U48" i="1"/>
  <c r="T48" i="1"/>
  <c r="T47" i="1"/>
  <c r="U47" i="1" s="1"/>
  <c r="V46" i="1"/>
  <c r="U46" i="1"/>
  <c r="T46" i="1"/>
  <c r="U45" i="1"/>
  <c r="T45" i="1"/>
  <c r="U44" i="1"/>
  <c r="T44" i="1"/>
  <c r="U43" i="1"/>
  <c r="T43" i="1"/>
  <c r="U42" i="1"/>
  <c r="T42" i="1"/>
  <c r="U41" i="1"/>
  <c r="T41" i="1"/>
  <c r="U40" i="1"/>
  <c r="T40" i="1"/>
  <c r="U39" i="1"/>
  <c r="T39" i="1"/>
  <c r="U38" i="1"/>
  <c r="T38" i="1"/>
  <c r="T37" i="1"/>
  <c r="U36" i="1"/>
  <c r="T36" i="1"/>
  <c r="U35" i="1"/>
  <c r="T35" i="1"/>
  <c r="U33" i="1"/>
  <c r="T33" i="1"/>
  <c r="V32" i="1"/>
  <c r="U32" i="1"/>
  <c r="T32" i="1"/>
  <c r="U30" i="1"/>
  <c r="T30" i="1"/>
  <c r="U29" i="1"/>
  <c r="T29" i="1"/>
  <c r="U27" i="1"/>
  <c r="T27" i="1"/>
  <c r="U26" i="1"/>
  <c r="T26" i="1"/>
  <c r="U25" i="1"/>
  <c r="T25" i="1"/>
  <c r="U23" i="1"/>
  <c r="T23" i="1"/>
  <c r="U22" i="1"/>
  <c r="T22" i="1"/>
  <c r="V21" i="1"/>
  <c r="T21" i="1"/>
  <c r="U20" i="1"/>
  <c r="T20" i="1"/>
  <c r="U19" i="1"/>
  <c r="T19" i="1"/>
  <c r="U17" i="1"/>
  <c r="T17" i="1"/>
  <c r="U16" i="1"/>
  <c r="T16" i="1"/>
  <c r="U13" i="1"/>
  <c r="T13" i="1"/>
  <c r="U11" i="1"/>
  <c r="T11" i="1"/>
  <c r="U10" i="1"/>
  <c r="T10" i="1"/>
  <c r="U9" i="1"/>
  <c r="T9" i="1"/>
  <c r="U8" i="1"/>
  <c r="T8" i="1"/>
  <c r="S8" i="1"/>
  <c r="U6" i="1"/>
  <c r="T6" i="1"/>
  <c r="V5" i="1"/>
  <c r="U5" i="1"/>
  <c r="T5" i="1"/>
  <c r="S5" i="1"/>
  <c r="G20" i="13"/>
  <c r="G3" i="13"/>
  <c r="G4" i="13"/>
  <c r="G5" i="13"/>
  <c r="G6" i="13"/>
  <c r="G7" i="13"/>
  <c r="G8" i="13"/>
  <c r="G9" i="13"/>
  <c r="G10" i="13"/>
  <c r="G11" i="13"/>
  <c r="G12" i="13"/>
  <c r="G13" i="13"/>
  <c r="G14" i="13"/>
  <c r="G15" i="13"/>
  <c r="G16" i="13"/>
  <c r="G17" i="13"/>
  <c r="G18" i="13"/>
  <c r="G19"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W3" i="1"/>
  <c r="V313" i="6"/>
  <c r="W316" i="6"/>
  <c r="V316" i="6"/>
  <c r="U316" i="6"/>
  <c r="T316" i="6"/>
  <c r="S316" i="6"/>
  <c r="R316" i="6"/>
  <c r="Q316" i="6"/>
  <c r="P316" i="6"/>
  <c r="O316" i="6"/>
  <c r="N316" i="6"/>
  <c r="M316" i="6"/>
  <c r="L316" i="6"/>
  <c r="K316" i="6"/>
  <c r="J316" i="6"/>
  <c r="I316" i="6"/>
  <c r="H316" i="6"/>
  <c r="G316" i="6"/>
  <c r="F316" i="6"/>
  <c r="E316" i="6"/>
  <c r="D316" i="6"/>
  <c r="C316" i="6"/>
  <c r="W313" i="6"/>
  <c r="F29" i="12"/>
  <c r="V37" i="1" s="1"/>
  <c r="F396" i="13"/>
  <c r="W63" i="1" s="1"/>
  <c r="F397" i="13"/>
  <c r="W122" i="1" s="1"/>
  <c r="F398" i="13"/>
  <c r="F399" i="13"/>
  <c r="W210" i="1" s="1"/>
  <c r="F400" i="13"/>
  <c r="W285" i="1" s="1"/>
  <c r="F401" i="13"/>
  <c r="W310" i="1" s="1"/>
  <c r="F402" i="13"/>
  <c r="W346" i="1" s="1"/>
  <c r="F403" i="13"/>
  <c r="W387" i="1" s="1"/>
  <c r="F404" i="13"/>
  <c r="W452" i="1" s="1"/>
  <c r="F405" i="13"/>
  <c r="W483" i="1" s="1"/>
  <c r="F406" i="13"/>
  <c r="F407" i="13"/>
  <c r="F408" i="13"/>
  <c r="W100" i="1" s="1"/>
  <c r="F409" i="13"/>
  <c r="W119" i="1" s="1"/>
  <c r="F410" i="13"/>
  <c r="W383" i="1" s="1"/>
  <c r="F411" i="13"/>
  <c r="W419" i="1" s="1"/>
  <c r="F412" i="13"/>
  <c r="W471" i="1" s="1"/>
  <c r="F413" i="13"/>
  <c r="W263" i="1" s="1"/>
  <c r="F414" i="13"/>
  <c r="W276" i="1" s="1"/>
  <c r="F415" i="13"/>
  <c r="W447" i="1" s="1"/>
  <c r="F416" i="13"/>
  <c r="F417" i="13"/>
  <c r="F418" i="13"/>
  <c r="W20" i="1" s="1"/>
  <c r="F419" i="13"/>
  <c r="W61" i="1" s="1"/>
  <c r="F420" i="13"/>
  <c r="W111" i="1" s="1"/>
  <c r="F421" i="13"/>
  <c r="W113" i="1" s="1"/>
  <c r="F422" i="13"/>
  <c r="F423" i="13"/>
  <c r="W156" i="1" s="1"/>
  <c r="F424" i="13"/>
  <c r="W167" i="1" s="1"/>
  <c r="F425" i="13"/>
  <c r="W176" i="1" s="1"/>
  <c r="F426" i="13"/>
  <c r="W213" i="1" s="1"/>
  <c r="F427" i="13"/>
  <c r="F428" i="13"/>
  <c r="W311" i="1" s="1"/>
  <c r="F429" i="13"/>
  <c r="W394" i="1" s="1"/>
  <c r="F430" i="13"/>
  <c r="W408" i="1" s="1"/>
  <c r="F431" i="13"/>
  <c r="W421" i="1" s="1"/>
  <c r="F432" i="13"/>
  <c r="F433" i="13"/>
  <c r="F434" i="13"/>
  <c r="W340" i="1" s="1"/>
  <c r="F435" i="13"/>
  <c r="W487" i="1" s="1"/>
  <c r="F436" i="13"/>
  <c r="W80" i="1" s="1"/>
  <c r="F437" i="13"/>
  <c r="W115" i="1" s="1"/>
  <c r="F438" i="13"/>
  <c r="W259" i="1" s="1"/>
  <c r="F439" i="13"/>
  <c r="W296" i="1" s="1"/>
  <c r="F440" i="13"/>
  <c r="W9" i="1" s="1"/>
  <c r="F441" i="13"/>
  <c r="W105" i="1" s="1"/>
  <c r="F442" i="13"/>
  <c r="W491" i="1" s="1"/>
  <c r="F443" i="13"/>
  <c r="W43" i="1" s="1"/>
  <c r="F444" i="13"/>
  <c r="W179" i="1" s="1"/>
  <c r="F445" i="13"/>
  <c r="W337" i="1" s="1"/>
  <c r="F446" i="13"/>
  <c r="F447" i="13"/>
  <c r="W493" i="1" s="1"/>
  <c r="F448" i="13"/>
  <c r="F449" i="13"/>
  <c r="F450" i="13"/>
  <c r="W494" i="1" s="1"/>
  <c r="F451" i="13"/>
  <c r="W99" i="1" s="1"/>
  <c r="F452" i="13"/>
  <c r="W251" i="1" s="1"/>
  <c r="F453" i="13"/>
  <c r="W499" i="1" s="1"/>
  <c r="F454" i="13"/>
  <c r="F455" i="13"/>
  <c r="F456" i="13"/>
  <c r="W140" i="1" s="1"/>
  <c r="F457" i="13"/>
  <c r="W147" i="1" s="1"/>
  <c r="F458" i="13"/>
  <c r="W467" i="1" s="1"/>
  <c r="F459" i="13"/>
  <c r="W511" i="1" s="1"/>
  <c r="F460" i="13"/>
  <c r="W515" i="1" s="1"/>
  <c r="F461" i="13"/>
  <c r="W349" i="1" s="1"/>
  <c r="F462" i="13"/>
  <c r="F463" i="13"/>
  <c r="F464" i="13"/>
  <c r="F465" i="13"/>
  <c r="W30" i="1" s="1"/>
  <c r="F466" i="13"/>
  <c r="W44" i="1" s="1"/>
  <c r="F467" i="13"/>
  <c r="F468" i="13"/>
  <c r="W158" i="1" s="1"/>
  <c r="F469" i="13"/>
  <c r="W282" i="1" s="1"/>
  <c r="F470" i="13"/>
  <c r="F471" i="13"/>
  <c r="W516" i="1" s="1"/>
  <c r="K118" i="16" l="1"/>
  <c r="Q118" i="16" s="1"/>
  <c r="Y533" i="1"/>
  <c r="Y534" i="1"/>
  <c r="F395" i="13"/>
  <c r="W17" i="1" s="1"/>
  <c r="F394" i="13"/>
  <c r="W270" i="1" s="1"/>
  <c r="F393" i="13"/>
  <c r="W219" i="1" s="1"/>
  <c r="F392" i="13"/>
  <c r="W193" i="1" s="1"/>
  <c r="F391" i="13"/>
  <c r="W465" i="1" s="1"/>
  <c r="F390" i="13"/>
  <c r="W463" i="1" s="1"/>
  <c r="F389" i="13"/>
  <c r="W444" i="1" s="1"/>
  <c r="F388" i="13"/>
  <c r="W462" i="1" s="1"/>
  <c r="F387" i="13"/>
  <c r="W455" i="1" s="1"/>
  <c r="F386" i="13"/>
  <c r="W355" i="1" s="1"/>
  <c r="F385" i="13"/>
  <c r="W451" i="1" s="1"/>
  <c r="F384" i="13"/>
  <c r="W410" i="1" s="1"/>
  <c r="F383" i="13"/>
  <c r="W174" i="1" s="1"/>
  <c r="F382" i="13"/>
  <c r="W26" i="1" s="1"/>
  <c r="F381" i="13"/>
  <c r="W450" i="1" s="1"/>
  <c r="F380" i="13"/>
  <c r="F379" i="13"/>
  <c r="W124" i="1" s="1"/>
  <c r="F378" i="13"/>
  <c r="W448" i="1" s="1"/>
  <c r="F377" i="13"/>
  <c r="W287" i="1" s="1"/>
  <c r="F376" i="13"/>
  <c r="W254" i="1" s="1"/>
  <c r="F375" i="13"/>
  <c r="F374" i="13"/>
  <c r="W440" i="1" s="1"/>
  <c r="F373" i="13"/>
  <c r="W439" i="1" s="1"/>
  <c r="F372" i="13"/>
  <c r="W438" i="1" s="1"/>
  <c r="F371" i="13"/>
  <c r="F370" i="13"/>
  <c r="F369" i="13"/>
  <c r="F368" i="13"/>
  <c r="F367" i="13"/>
  <c r="F366" i="13"/>
  <c r="W428" i="1" s="1"/>
  <c r="F365" i="13"/>
  <c r="W426" i="1" s="1"/>
  <c r="F364" i="13"/>
  <c r="W417" i="1" s="1"/>
  <c r="F363" i="13"/>
  <c r="F362" i="13"/>
  <c r="W188" i="1" s="1"/>
  <c r="F361" i="13"/>
  <c r="W506" i="1" s="1"/>
  <c r="F360" i="13"/>
  <c r="W364" i="1" s="1"/>
  <c r="F359" i="13"/>
  <c r="W250" i="1" s="1"/>
  <c r="F358" i="13"/>
  <c r="W207" i="1" s="1"/>
  <c r="F357" i="13"/>
  <c r="W202" i="1" s="1"/>
  <c r="F356" i="13"/>
  <c r="W38" i="1" s="1"/>
  <c r="F355" i="13"/>
  <c r="F354" i="13"/>
  <c r="W418" i="1" s="1"/>
  <c r="F353" i="13"/>
  <c r="W415" i="1" s="1"/>
  <c r="F352" i="13"/>
  <c r="F351" i="13"/>
  <c r="F350" i="13"/>
  <c r="W257" i="1" s="1"/>
  <c r="F349" i="13"/>
  <c r="F348" i="13"/>
  <c r="F347" i="13"/>
  <c r="F346" i="13"/>
  <c r="F345" i="13"/>
  <c r="F344" i="13"/>
  <c r="W443" i="1" s="1"/>
  <c r="F343" i="13"/>
  <c r="F342" i="13"/>
  <c r="W278" i="1" s="1"/>
  <c r="F341" i="13"/>
  <c r="W229" i="1" s="1"/>
  <c r="F340" i="13"/>
  <c r="F339" i="13"/>
  <c r="W388" i="1" s="1"/>
  <c r="F338" i="13"/>
  <c r="F337" i="13"/>
  <c r="K337" i="13" s="1"/>
  <c r="F336" i="13"/>
  <c r="F335" i="13"/>
  <c r="F334" i="13"/>
  <c r="F333" i="13"/>
  <c r="W380" i="1" s="1"/>
  <c r="F332" i="13"/>
  <c r="F331" i="13"/>
  <c r="F330" i="13"/>
  <c r="F329" i="13"/>
  <c r="W381" i="1" s="1"/>
  <c r="F328" i="13"/>
  <c r="W377" i="1" s="1"/>
  <c r="F327" i="13"/>
  <c r="W498" i="1" s="1"/>
  <c r="F326" i="13"/>
  <c r="W456" i="1" s="1"/>
  <c r="F325" i="13"/>
  <c r="W441" i="1" s="1"/>
  <c r="F324" i="13"/>
  <c r="W221" i="1" s="1"/>
  <c r="F323" i="13"/>
  <c r="F322" i="13"/>
  <c r="W405" i="1" s="1"/>
  <c r="F321" i="13"/>
  <c r="F320" i="13"/>
  <c r="F319" i="13"/>
  <c r="F318" i="13"/>
  <c r="F317" i="13"/>
  <c r="F316" i="13"/>
  <c r="F315" i="13"/>
  <c r="F314" i="13"/>
  <c r="F313" i="13"/>
  <c r="F312" i="13"/>
  <c r="F311" i="13"/>
  <c r="F310" i="13"/>
  <c r="W371" i="1" s="1"/>
  <c r="F309" i="13"/>
  <c r="W413" i="1" s="1"/>
  <c r="F308" i="13"/>
  <c r="W368" i="1" s="1"/>
  <c r="F307" i="13"/>
  <c r="W430" i="1" s="1"/>
  <c r="F306" i="13"/>
  <c r="F305" i="13"/>
  <c r="F304" i="13"/>
  <c r="W365" i="1" s="1"/>
  <c r="F303" i="13"/>
  <c r="W359" i="1" s="1"/>
  <c r="F302" i="13"/>
  <c r="W500" i="1" s="1"/>
  <c r="F301" i="13"/>
  <c r="W472" i="1" s="1"/>
  <c r="F300" i="13"/>
  <c r="W453" i="1" s="1"/>
  <c r="F299" i="13"/>
  <c r="W385" i="1" s="1"/>
  <c r="F298" i="13"/>
  <c r="W354" i="1" s="1"/>
  <c r="F297" i="13"/>
  <c r="W334" i="1" s="1"/>
  <c r="F296" i="13"/>
  <c r="W305" i="1" s="1"/>
  <c r="F295" i="13"/>
  <c r="W273" i="1" s="1"/>
  <c r="F294" i="13"/>
  <c r="W269" i="1" s="1"/>
  <c r="F293" i="13"/>
  <c r="W262" i="1" s="1"/>
  <c r="F292" i="13"/>
  <c r="W243" i="1" s="1"/>
  <c r="F291" i="13"/>
  <c r="W232" i="1" s="1"/>
  <c r="F290" i="13"/>
  <c r="F289" i="13"/>
  <c r="W192" i="1" s="1"/>
  <c r="F288" i="13"/>
  <c r="W55" i="1" s="1"/>
  <c r="F287" i="13"/>
  <c r="W54" i="1" s="1"/>
  <c r="F286" i="13"/>
  <c r="W53" i="1" s="1"/>
  <c r="F285" i="13"/>
  <c r="W35" i="1" s="1"/>
  <c r="F284" i="13"/>
  <c r="W353" i="1" s="1"/>
  <c r="F283" i="13"/>
  <c r="W348" i="1" s="1"/>
  <c r="F282" i="13"/>
  <c r="W345" i="1" s="1"/>
  <c r="F281" i="13"/>
  <c r="W342" i="1" s="1"/>
  <c r="F280" i="13"/>
  <c r="W335" i="1" s="1"/>
  <c r="F279" i="13"/>
  <c r="W51" i="1" s="1"/>
  <c r="F278" i="13"/>
  <c r="F277" i="13"/>
  <c r="F276" i="13"/>
  <c r="F275" i="13"/>
  <c r="W473" i="1" s="1"/>
  <c r="F274" i="13"/>
  <c r="F273" i="13"/>
  <c r="W454" i="1" s="1"/>
  <c r="F272" i="13"/>
  <c r="W433" i="1" s="1"/>
  <c r="F271" i="13"/>
  <c r="F270" i="13"/>
  <c r="W384" i="1" s="1"/>
  <c r="F269" i="13"/>
  <c r="W352" i="1" s="1"/>
  <c r="F268" i="13"/>
  <c r="W175" i="1" s="1"/>
  <c r="F267" i="13"/>
  <c r="W173" i="1" s="1"/>
  <c r="F266" i="13"/>
  <c r="W110" i="1" s="1"/>
  <c r="F265" i="13"/>
  <c r="W89" i="1" s="1"/>
  <c r="F264" i="13"/>
  <c r="F263" i="13"/>
  <c r="F262" i="13"/>
  <c r="F261" i="13"/>
  <c r="W350" i="1" s="1"/>
  <c r="F260" i="13"/>
  <c r="W336" i="1" s="1"/>
  <c r="F259" i="13"/>
  <c r="W329" i="1" s="1"/>
  <c r="F258" i="13"/>
  <c r="W300" i="1" s="1"/>
  <c r="F257" i="13"/>
  <c r="W328" i="1" s="1"/>
  <c r="F256" i="13"/>
  <c r="F255" i="13"/>
  <c r="F254" i="13"/>
  <c r="F253" i="13"/>
  <c r="F252" i="13"/>
  <c r="F251" i="13"/>
  <c r="W325" i="1" s="1"/>
  <c r="F250" i="13"/>
  <c r="W324" i="1" s="1"/>
  <c r="F249" i="13"/>
  <c r="F248" i="13"/>
  <c r="F247" i="13"/>
  <c r="W320" i="1" s="1"/>
  <c r="F246" i="13"/>
  <c r="W313" i="1" s="1"/>
  <c r="F245" i="13"/>
  <c r="W33" i="1" s="1"/>
  <c r="F244" i="13"/>
  <c r="W10" i="1" s="1"/>
  <c r="F243" i="13"/>
  <c r="W307" i="1" s="1"/>
  <c r="F242" i="13"/>
  <c r="F241" i="13"/>
  <c r="W333" i="1" s="1"/>
  <c r="F240" i="13"/>
  <c r="W304" i="1" s="1"/>
  <c r="F239" i="13"/>
  <c r="W132" i="1" s="1"/>
  <c r="F238" i="13"/>
  <c r="W397" i="1" s="1"/>
  <c r="F237" i="13"/>
  <c r="F236" i="13"/>
  <c r="W469" i="1" s="1"/>
  <c r="F235" i="13"/>
  <c r="W150" i="1" s="1"/>
  <c r="F234" i="13"/>
  <c r="F233" i="13"/>
  <c r="W411" i="1" s="1"/>
  <c r="F232" i="13"/>
  <c r="W344" i="1" s="1"/>
  <c r="F231" i="13"/>
  <c r="F230" i="13"/>
  <c r="F229" i="13"/>
  <c r="F228" i="13"/>
  <c r="F227" i="13"/>
  <c r="F226" i="13"/>
  <c r="F225" i="13"/>
  <c r="F224" i="13"/>
  <c r="F223" i="13"/>
  <c r="F222" i="13"/>
  <c r="F221" i="13"/>
  <c r="F220" i="13"/>
  <c r="F219" i="13"/>
  <c r="F218" i="13"/>
  <c r="F217" i="13"/>
  <c r="F216" i="13"/>
  <c r="W401" i="1" s="1"/>
  <c r="F215" i="13"/>
  <c r="W224" i="1" s="1"/>
  <c r="F214" i="13"/>
  <c r="F213" i="13"/>
  <c r="W286" i="1" s="1"/>
  <c r="F212" i="13"/>
  <c r="W279" i="1" s="1"/>
  <c r="F211" i="13"/>
  <c r="W163" i="1" s="1"/>
  <c r="F210" i="13"/>
  <c r="W98" i="1" s="1"/>
  <c r="F209" i="13"/>
  <c r="W19" i="1" s="1"/>
  <c r="F208" i="13"/>
  <c r="F207" i="13"/>
  <c r="W272" i="1" s="1"/>
  <c r="F206" i="13"/>
  <c r="W341" i="1" s="1"/>
  <c r="F205" i="13"/>
  <c r="F204" i="13"/>
  <c r="W260" i="1" s="1"/>
  <c r="F203" i="13"/>
  <c r="W255" i="1" s="1"/>
  <c r="F202" i="13"/>
  <c r="W190" i="1" s="1"/>
  <c r="F201" i="13"/>
  <c r="W103" i="1" s="1"/>
  <c r="F200" i="13"/>
  <c r="W252" i="1" s="1"/>
  <c r="F199" i="13"/>
  <c r="W466" i="1" s="1"/>
  <c r="F198" i="13"/>
  <c r="F197" i="13"/>
  <c r="W249" i="1" s="1"/>
  <c r="F196" i="13"/>
  <c r="W101" i="1" s="1"/>
  <c r="F195" i="13"/>
  <c r="W248" i="1" s="1"/>
  <c r="F194" i="13"/>
  <c r="W247" i="1" s="1"/>
  <c r="F193" i="13"/>
  <c r="F192" i="13"/>
  <c r="W264" i="1" s="1"/>
  <c r="F191" i="13"/>
  <c r="F190" i="13"/>
  <c r="W374" i="1" s="1"/>
  <c r="F189" i="13"/>
  <c r="W242" i="1" s="1"/>
  <c r="F188" i="13"/>
  <c r="W114" i="1" s="1"/>
  <c r="F187" i="13"/>
  <c r="W92" i="1" s="1"/>
  <c r="F186" i="13"/>
  <c r="F185" i="13"/>
  <c r="W239" i="1" s="1"/>
  <c r="F184" i="13"/>
  <c r="W517" i="1" s="1"/>
  <c r="F183" i="13"/>
  <c r="W513" i="1" s="1"/>
  <c r="F182" i="13"/>
  <c r="F181" i="13"/>
  <c r="W360" i="1" s="1"/>
  <c r="F180" i="13"/>
  <c r="W230" i="1" s="1"/>
  <c r="F179" i="13"/>
  <c r="W152" i="1" s="1"/>
  <c r="F178" i="13"/>
  <c r="W117" i="1" s="1"/>
  <c r="F177" i="13"/>
  <c r="W65" i="1" s="1"/>
  <c r="F176" i="13"/>
  <c r="W29" i="1" s="1"/>
  <c r="F175" i="13"/>
  <c r="W237" i="1" s="1"/>
  <c r="F174" i="13"/>
  <c r="W234" i="1" s="1"/>
  <c r="F173" i="13"/>
  <c r="W212" i="1" s="1"/>
  <c r="X212" i="1" s="1"/>
  <c r="F172" i="13"/>
  <c r="W225" i="1" s="1"/>
  <c r="F171" i="13"/>
  <c r="W162" i="1" s="1"/>
  <c r="F170" i="13"/>
  <c r="W161" i="1" s="1"/>
  <c r="F169" i="13"/>
  <c r="W160" i="1" s="1"/>
  <c r="F168" i="13"/>
  <c r="F167" i="13"/>
  <c r="W209" i="1" s="1"/>
  <c r="F166" i="13"/>
  <c r="W78" i="1" s="1"/>
  <c r="F165" i="13"/>
  <c r="W479" i="1" s="1"/>
  <c r="F164" i="13"/>
  <c r="W206" i="1" s="1"/>
  <c r="F163" i="13"/>
  <c r="W203" i="1" s="1"/>
  <c r="F162" i="13"/>
  <c r="F161" i="13"/>
  <c r="W201" i="1" s="1"/>
  <c r="F160" i="13"/>
  <c r="F159" i="13"/>
  <c r="W199" i="1" s="1"/>
  <c r="F158" i="13"/>
  <c r="W198" i="1" s="1"/>
  <c r="F157" i="13"/>
  <c r="F156" i="13"/>
  <c r="W195" i="1" s="1"/>
  <c r="F155" i="13"/>
  <c r="W378" i="1" s="1"/>
  <c r="F154" i="13"/>
  <c r="W375" i="1" s="1"/>
  <c r="F153" i="13"/>
  <c r="W191" i="1" s="1"/>
  <c r="F152" i="13"/>
  <c r="W116" i="1" s="1"/>
  <c r="F151" i="13"/>
  <c r="F150" i="13"/>
  <c r="W519" i="1" s="1"/>
  <c r="F149" i="13"/>
  <c r="W501" i="1" s="1"/>
  <c r="F148" i="13"/>
  <c r="W220" i="1" s="1"/>
  <c r="F147" i="13"/>
  <c r="W49" i="1" s="1"/>
  <c r="F146" i="13"/>
  <c r="W181" i="1" s="1"/>
  <c r="F145" i="13"/>
  <c r="W171" i="1" s="1"/>
  <c r="F144" i="13"/>
  <c r="W445" i="1" s="1"/>
  <c r="F143" i="13"/>
  <c r="W170" i="1" s="1"/>
  <c r="F142" i="13"/>
  <c r="W169" i="1" s="1"/>
  <c r="F141" i="13"/>
  <c r="F140" i="13"/>
  <c r="W146" i="1" s="1"/>
  <c r="F139" i="13"/>
  <c r="F138" i="13"/>
  <c r="W409" i="1" s="1"/>
  <c r="F137" i="13"/>
  <c r="W372" i="1" s="1"/>
  <c r="X372" i="1" s="1"/>
  <c r="F136" i="13"/>
  <c r="W267" i="1" s="1"/>
  <c r="F135" i="13"/>
  <c r="W138" i="1" s="1"/>
  <c r="F134" i="13"/>
  <c r="W357" i="1" s="1"/>
  <c r="F133" i="13"/>
  <c r="W133" i="1" s="1"/>
  <c r="F132" i="13"/>
  <c r="W400" i="1" s="1"/>
  <c r="F131" i="13"/>
  <c r="W130" i="1" s="1"/>
  <c r="F130" i="13"/>
  <c r="W70" i="1" s="1"/>
  <c r="F129" i="13"/>
  <c r="W128" i="1" s="1"/>
  <c r="F128" i="13"/>
  <c r="W168" i="1" s="1"/>
  <c r="F127" i="13"/>
  <c r="W127" i="1" s="1"/>
  <c r="F126" i="13"/>
  <c r="F125" i="13"/>
  <c r="F124" i="13"/>
  <c r="F123" i="13"/>
  <c r="F122" i="13"/>
  <c r="F121" i="13"/>
  <c r="F120" i="13"/>
  <c r="F119" i="13"/>
  <c r="W125" i="1" s="1"/>
  <c r="F118" i="13"/>
  <c r="W123" i="1" s="1"/>
  <c r="F117" i="13"/>
  <c r="W476" i="1" s="1"/>
  <c r="F116" i="13"/>
  <c r="W367" i="1" s="1"/>
  <c r="F115" i="13"/>
  <c r="W208" i="1" s="1"/>
  <c r="F114" i="13"/>
  <c r="W141" i="1" s="1"/>
  <c r="F113" i="13"/>
  <c r="W332" i="1" s="1"/>
  <c r="F112" i="13"/>
  <c r="W145" i="1" s="1"/>
  <c r="F111" i="13"/>
  <c r="W108" i="1" s="1"/>
  <c r="F110" i="13"/>
  <c r="F109" i="13"/>
  <c r="F108" i="13"/>
  <c r="F107" i="13"/>
  <c r="F106" i="13"/>
  <c r="F105" i="13"/>
  <c r="F104" i="13"/>
  <c r="F103" i="13"/>
  <c r="F102" i="13"/>
  <c r="F101" i="13"/>
  <c r="W86" i="1" s="1"/>
  <c r="F100" i="13"/>
  <c r="W407" i="1" s="1"/>
  <c r="F99" i="13"/>
  <c r="W112" i="1" s="1"/>
  <c r="F98" i="13"/>
  <c r="W83" i="1" s="1"/>
  <c r="F97" i="13"/>
  <c r="W27" i="1" s="1"/>
  <c r="F96" i="13"/>
  <c r="W468" i="1" s="1"/>
  <c r="F95" i="13"/>
  <c r="W449" i="1" s="1"/>
  <c r="F94" i="13"/>
  <c r="W81" i="1" s="1"/>
  <c r="F93" i="13"/>
  <c r="W376" i="1" s="1"/>
  <c r="F92" i="13"/>
  <c r="W91" i="1" s="1"/>
  <c r="F91" i="13"/>
  <c r="W82" i="1" s="1"/>
  <c r="F90" i="13"/>
  <c r="W512" i="1" s="1"/>
  <c r="F89" i="13"/>
  <c r="W228" i="1" s="1"/>
  <c r="F88" i="13"/>
  <c r="W76" i="1" s="1"/>
  <c r="F87" i="13"/>
  <c r="W75" i="1" s="1"/>
  <c r="F86" i="13"/>
  <c r="W74" i="1" s="1"/>
  <c r="F85" i="13"/>
  <c r="W67" i="1" s="1"/>
  <c r="F84" i="13"/>
  <c r="F83" i="13"/>
  <c r="W72" i="1" s="1"/>
  <c r="F82" i="13"/>
  <c r="W274" i="1" s="1"/>
  <c r="F81" i="13"/>
  <c r="W178" i="1" s="1"/>
  <c r="F80" i="13"/>
  <c r="W71" i="1" s="1"/>
  <c r="F79" i="13"/>
  <c r="W66" i="1" s="1"/>
  <c r="F78" i="13"/>
  <c r="F77" i="13"/>
  <c r="W520" i="1" s="1"/>
  <c r="F76" i="13"/>
  <c r="W507" i="1" s="1"/>
  <c r="F75" i="13"/>
  <c r="W464" i="1" s="1"/>
  <c r="F74" i="13"/>
  <c r="W460" i="1" s="1"/>
  <c r="F73" i="13"/>
  <c r="F72" i="13"/>
  <c r="W431" i="1" s="1"/>
  <c r="F71" i="13"/>
  <c r="W373" i="1" s="1"/>
  <c r="F70" i="13"/>
  <c r="W370" i="1" s="1"/>
  <c r="F69" i="13"/>
  <c r="W322" i="1" s="1"/>
  <c r="F68" i="13"/>
  <c r="W301" i="1" s="1"/>
  <c r="F67" i="13"/>
  <c r="W283" i="1" s="1"/>
  <c r="F66" i="13"/>
  <c r="W271" i="1" s="1"/>
  <c r="F65" i="13"/>
  <c r="W223" i="1" s="1"/>
  <c r="F64" i="13"/>
  <c r="W186" i="1" s="1"/>
  <c r="F63" i="13"/>
  <c r="W172" i="1" s="1"/>
  <c r="F62" i="13"/>
  <c r="F61" i="13"/>
  <c r="W56" i="1" s="1"/>
  <c r="F60" i="13"/>
  <c r="W45" i="1" s="1"/>
  <c r="F59" i="13"/>
  <c r="W42" i="1" s="1"/>
  <c r="F58" i="13"/>
  <c r="W22" i="1" s="1"/>
  <c r="F57" i="13"/>
  <c r="W505" i="1" s="1"/>
  <c r="V505" i="1" s="1"/>
  <c r="F56" i="13"/>
  <c r="W403" i="1" s="1"/>
  <c r="F55" i="13"/>
  <c r="W227" i="1" s="1"/>
  <c r="F54" i="13"/>
  <c r="W159" i="1" s="1"/>
  <c r="F53" i="13"/>
  <c r="W240" i="1" s="1"/>
  <c r="F52" i="13"/>
  <c r="W180" i="1" s="1"/>
  <c r="F51" i="13"/>
  <c r="W216" i="1" s="1"/>
  <c r="F50" i="13"/>
  <c r="W87" i="1" s="1"/>
  <c r="F49" i="13"/>
  <c r="F48" i="13"/>
  <c r="W48" i="1" s="1"/>
  <c r="F47" i="13"/>
  <c r="F46" i="13"/>
  <c r="W97" i="1" s="1"/>
  <c r="F45" i="13"/>
  <c r="W41" i="1" s="1"/>
  <c r="F44" i="13"/>
  <c r="W436" i="1" s="1"/>
  <c r="F43" i="13"/>
  <c r="W321" i="1" s="1"/>
  <c r="F42" i="13"/>
  <c r="W40" i="1" s="1"/>
  <c r="F41" i="13"/>
  <c r="W268" i="1" s="1"/>
  <c r="F40" i="13"/>
  <c r="W39" i="1" s="1"/>
  <c r="F39" i="13"/>
  <c r="W204" i="1" s="1"/>
  <c r="F38" i="13"/>
  <c r="W36" i="1" s="1"/>
  <c r="F37" i="13"/>
  <c r="W13" i="1" s="1"/>
  <c r="F36" i="13"/>
  <c r="F35" i="13"/>
  <c r="W509" i="1" s="1"/>
  <c r="F34" i="13"/>
  <c r="W484" i="1" s="1"/>
  <c r="F33" i="13"/>
  <c r="W414" i="1" s="1"/>
  <c r="F32" i="13"/>
  <c r="W361" i="1" s="1"/>
  <c r="F31" i="13"/>
  <c r="W317" i="1" s="1"/>
  <c r="F30" i="13"/>
  <c r="W303" i="1" s="1"/>
  <c r="F29" i="13"/>
  <c r="W139" i="1" s="1"/>
  <c r="F28" i="13"/>
  <c r="W93" i="1" s="1"/>
  <c r="F27" i="13"/>
  <c r="W58" i="1" s="1"/>
  <c r="F26" i="13"/>
  <c r="W25" i="1" s="1"/>
  <c r="F25" i="13"/>
  <c r="W23" i="1" s="1"/>
  <c r="F24" i="13"/>
  <c r="W16" i="1" s="1"/>
  <c r="F23" i="13"/>
  <c r="F22" i="13"/>
  <c r="W14" i="1" s="1"/>
  <c r="F21" i="13"/>
  <c r="W11" i="1" s="1"/>
  <c r="F20" i="13"/>
  <c r="W8" i="1" s="1"/>
  <c r="F19" i="13"/>
  <c r="W477" i="1" s="1"/>
  <c r="F18" i="13"/>
  <c r="W281" i="1" s="1"/>
  <c r="F17" i="13"/>
  <c r="W7" i="1" s="1"/>
  <c r="F16" i="13"/>
  <c r="W6" i="1" s="1"/>
  <c r="F15" i="13"/>
  <c r="W393" i="1" s="1"/>
  <c r="F14" i="13"/>
  <c r="W316" i="1" s="1"/>
  <c r="F13" i="13"/>
  <c r="W200" i="1" s="1"/>
  <c r="F12" i="13"/>
  <c r="W184" i="1" s="1"/>
  <c r="F11" i="13"/>
  <c r="W95" i="1" s="1"/>
  <c r="F10" i="13"/>
  <c r="W331" i="1" s="1"/>
  <c r="F9" i="13"/>
  <c r="W315" i="1" s="1"/>
  <c r="F8" i="13"/>
  <c r="W266" i="1" s="1"/>
  <c r="F7" i="13"/>
  <c r="W137" i="1" s="1"/>
  <c r="F6" i="13"/>
  <c r="W102" i="1" s="1"/>
  <c r="F5" i="13"/>
  <c r="W96" i="1" s="1"/>
  <c r="F4" i="13"/>
  <c r="W50" i="1" s="1"/>
  <c r="F3" i="13"/>
  <c r="W37" i="1" s="1"/>
  <c r="V11" i="5" l="1"/>
  <c r="X524" i="1"/>
  <c r="X529" i="1" s="1"/>
  <c r="X533" i="1"/>
  <c r="X534" i="1"/>
  <c r="W4" i="1"/>
  <c r="W524" i="1" s="1"/>
  <c r="W529" i="1" s="1"/>
  <c r="F234" i="12"/>
  <c r="V315" i="1" s="1"/>
  <c r="F247" i="12"/>
  <c r="V331" i="1" s="1"/>
  <c r="F213" i="12"/>
  <c r="F366" i="12"/>
  <c r="F72" i="12"/>
  <c r="V93" i="1" s="1"/>
  <c r="F110" i="12"/>
  <c r="V139" i="1" s="1"/>
  <c r="F12" i="12"/>
  <c r="V13" i="1" s="1"/>
  <c r="F28" i="12"/>
  <c r="V36" i="1" s="1"/>
  <c r="F33" i="12"/>
  <c r="V41" i="1" s="1"/>
  <c r="F75" i="12"/>
  <c r="V97" i="1" s="1"/>
  <c r="F173" i="12"/>
  <c r="V227" i="1" s="1"/>
  <c r="F304" i="12"/>
  <c r="V403" i="1" s="1"/>
  <c r="F131" i="12"/>
  <c r="F142" i="12"/>
  <c r="V186" i="1" s="1"/>
  <c r="F282" i="12"/>
  <c r="V373" i="1" s="1"/>
  <c r="F325" i="12"/>
  <c r="V431" i="1" s="1"/>
  <c r="F56" i="12"/>
  <c r="V71" i="1" s="1"/>
  <c r="F136" i="12"/>
  <c r="V178" i="1" s="1"/>
  <c r="F60" i="12"/>
  <c r="V76" i="1" s="1"/>
  <c r="F174" i="12"/>
  <c r="V228" i="1" s="1"/>
  <c r="F360" i="12"/>
  <c r="V468" i="1" s="1"/>
  <c r="F22" i="12"/>
  <c r="V27" i="1" s="1"/>
  <c r="F288" i="12"/>
  <c r="V380" i="1" s="1"/>
  <c r="F340" i="12"/>
  <c r="F351" i="12"/>
  <c r="F83" i="12"/>
  <c r="V108" i="1" s="1"/>
  <c r="F94" i="12"/>
  <c r="V123" i="1" s="1"/>
  <c r="F96" i="12"/>
  <c r="V125" i="1" s="1"/>
  <c r="F319" i="12"/>
  <c r="F100" i="12"/>
  <c r="V127" i="1" s="1"/>
  <c r="F269" i="12"/>
  <c r="V357" i="1" s="1"/>
  <c r="F109" i="12"/>
  <c r="V138" i="1" s="1"/>
  <c r="F337" i="12"/>
  <c r="V445" i="1" s="1"/>
  <c r="F130" i="12"/>
  <c r="V171" i="1" s="1"/>
  <c r="F145" i="12"/>
  <c r="V191" i="1" s="1"/>
  <c r="F284" i="12"/>
  <c r="V375" i="1" s="1"/>
  <c r="F156" i="12"/>
  <c r="V206" i="1" s="1"/>
  <c r="F367" i="12"/>
  <c r="V479" i="1" s="1"/>
  <c r="F172" i="12"/>
  <c r="V225" i="1" s="1"/>
  <c r="F161" i="12"/>
  <c r="V212" i="1" s="1"/>
  <c r="F176" i="12"/>
  <c r="V230" i="1" s="1"/>
  <c r="F271" i="12"/>
  <c r="V360" i="1" s="1"/>
  <c r="F283" i="12"/>
  <c r="V374" i="1" s="1"/>
  <c r="F183" i="12"/>
  <c r="F358" i="12"/>
  <c r="V466" i="1" s="1"/>
  <c r="F190" i="12"/>
  <c r="V252" i="1" s="1"/>
  <c r="F206" i="12"/>
  <c r="V272" i="1" s="1"/>
  <c r="F15" i="12"/>
  <c r="V19" i="1" s="1"/>
  <c r="F303" i="12"/>
  <c r="V401" i="1" s="1"/>
  <c r="F373" i="12"/>
  <c r="F227" i="12"/>
  <c r="V304" i="1" s="1"/>
  <c r="F249" i="12"/>
  <c r="V333" i="1" s="1"/>
  <c r="F242" i="12"/>
  <c r="V325" i="1" s="1"/>
  <c r="F244" i="12"/>
  <c r="V328" i="1" s="1"/>
  <c r="F66" i="12"/>
  <c r="V84" i="1" s="1"/>
  <c r="F69" i="12"/>
  <c r="V89" i="1" s="1"/>
  <c r="F326" i="12"/>
  <c r="V433" i="1" s="1"/>
  <c r="F348" i="12"/>
  <c r="V454" i="1" s="1"/>
  <c r="F258" i="12"/>
  <c r="V345" i="1" s="1"/>
  <c r="F261" i="12"/>
  <c r="V348" i="1" s="1"/>
  <c r="F164" i="12"/>
  <c r="F177" i="12"/>
  <c r="V232" i="1" s="1"/>
  <c r="F267" i="12"/>
  <c r="V354" i="1" s="1"/>
  <c r="F292" i="12"/>
  <c r="V385" i="1" s="1"/>
  <c r="F321" i="12"/>
  <c r="F324" i="12"/>
  <c r="V430" i="1" s="1"/>
  <c r="F350" i="12"/>
  <c r="V456" i="1" s="1"/>
  <c r="F377" i="12"/>
  <c r="V498" i="1" s="1"/>
  <c r="F335" i="12"/>
  <c r="V443" i="1" s="1"/>
  <c r="F394" i="12"/>
  <c r="F314" i="12"/>
  <c r="V415" i="1" s="1"/>
  <c r="F316" i="12"/>
  <c r="V418" i="1" s="1"/>
  <c r="F143" i="12"/>
  <c r="V188" i="1" s="1"/>
  <c r="F315" i="12"/>
  <c r="V417" i="1" s="1"/>
  <c r="F332" i="12"/>
  <c r="V439" i="1" s="1"/>
  <c r="F333" i="12"/>
  <c r="V440" i="1" s="1"/>
  <c r="F21" i="12"/>
  <c r="V26" i="1" s="1"/>
  <c r="F133" i="12"/>
  <c r="V174" i="1" s="1"/>
  <c r="F355" i="12"/>
  <c r="V463" i="1" s="1"/>
  <c r="F357" i="12"/>
  <c r="V465" i="1" s="1"/>
  <c r="F107" i="12"/>
  <c r="V135" i="1" s="1"/>
  <c r="F160" i="12"/>
  <c r="V210" i="1" s="1"/>
  <c r="F54" i="12"/>
  <c r="V68" i="1" s="1"/>
  <c r="F117" i="12"/>
  <c r="V150" i="1" s="1"/>
  <c r="F362" i="12"/>
  <c r="V471" i="1" s="1"/>
  <c r="F16" i="12"/>
  <c r="V20" i="1" s="1"/>
  <c r="F87" i="12"/>
  <c r="V113" i="1" s="1"/>
  <c r="F135" i="12"/>
  <c r="V176" i="1" s="1"/>
  <c r="F233" i="12"/>
  <c r="V314" i="1" s="1"/>
  <c r="F327" i="12"/>
  <c r="F62" i="12"/>
  <c r="V80" i="1" s="1"/>
  <c r="F9" i="12"/>
  <c r="V9" i="1" s="1"/>
  <c r="F137" i="12"/>
  <c r="V179" i="1" s="1"/>
  <c r="F77" i="12"/>
  <c r="V99" i="1" s="1"/>
  <c r="F115" i="12"/>
  <c r="V147" i="1" s="1"/>
  <c r="F262" i="12"/>
  <c r="V349" i="1" s="1"/>
  <c r="F120" i="12"/>
  <c r="V158" i="1" s="1"/>
  <c r="F40" i="12"/>
  <c r="V50" i="1" s="1"/>
  <c r="F74" i="12"/>
  <c r="V96" i="1" s="1"/>
  <c r="F80" i="12"/>
  <c r="V102" i="1" s="1"/>
  <c r="F108" i="12"/>
  <c r="V137" i="1" s="1"/>
  <c r="F199" i="12"/>
  <c r="V266" i="1" s="1"/>
  <c r="F141" i="12"/>
  <c r="V184" i="1" s="1"/>
  <c r="F150" i="12"/>
  <c r="V200" i="1" s="1"/>
  <c r="F235" i="12"/>
  <c r="V316" i="1" s="1"/>
  <c r="F296" i="12"/>
  <c r="V393" i="1" s="1"/>
  <c r="F5" i="12"/>
  <c r="V6" i="1" s="1"/>
  <c r="F6" i="12"/>
  <c r="F7" i="12"/>
  <c r="V8" i="1" s="1"/>
  <c r="F11" i="12"/>
  <c r="V11" i="1" s="1"/>
  <c r="F13" i="12"/>
  <c r="V16" i="1" s="1"/>
  <c r="F18" i="12"/>
  <c r="V23" i="1" s="1"/>
  <c r="F19" i="12"/>
  <c r="V25" i="1" s="1"/>
  <c r="F47" i="12"/>
  <c r="F226" i="12"/>
  <c r="V303" i="1" s="1"/>
  <c r="F236" i="12"/>
  <c r="V317" i="1" s="1"/>
  <c r="F272" i="12"/>
  <c r="V361" i="1" s="1"/>
  <c r="F313" i="12"/>
  <c r="V414" i="1" s="1"/>
  <c r="F370" i="12"/>
  <c r="V484" i="1" s="1"/>
  <c r="F384" i="12"/>
  <c r="V509" i="1" s="1"/>
  <c r="F155" i="12"/>
  <c r="V204" i="1" s="1"/>
  <c r="F31" i="12"/>
  <c r="V39" i="1" s="1"/>
  <c r="F201" i="12"/>
  <c r="V268" i="1" s="1"/>
  <c r="F32" i="12"/>
  <c r="V40" i="1" s="1"/>
  <c r="F238" i="12"/>
  <c r="V321" i="1" s="1"/>
  <c r="F329" i="12"/>
  <c r="V436" i="1" s="1"/>
  <c r="F38" i="12"/>
  <c r="V48" i="1" s="1"/>
  <c r="F68" i="12"/>
  <c r="V87" i="1" s="1"/>
  <c r="F163" i="12"/>
  <c r="V216" i="1" s="1"/>
  <c r="F138" i="12"/>
  <c r="V180" i="1" s="1"/>
  <c r="F181" i="12"/>
  <c r="V240" i="1" s="1"/>
  <c r="F121" i="12"/>
  <c r="V159" i="1" s="1"/>
  <c r="F381" i="12"/>
  <c r="F17" i="12"/>
  <c r="V22" i="1" s="1"/>
  <c r="F34" i="12"/>
  <c r="V42" i="1" s="1"/>
  <c r="F37" i="12"/>
  <c r="V45" i="1" s="1"/>
  <c r="F45" i="12"/>
  <c r="V56" i="1" s="1"/>
  <c r="F48" i="12"/>
  <c r="F170" i="12"/>
  <c r="V223" i="1" s="1"/>
  <c r="F205" i="12"/>
  <c r="V271" i="1" s="1"/>
  <c r="F215" i="12"/>
  <c r="V283" i="1" s="1"/>
  <c r="F225" i="12"/>
  <c r="V301" i="1" s="1"/>
  <c r="F239" i="12"/>
  <c r="V322" i="1" s="1"/>
  <c r="F278" i="12"/>
  <c r="V370" i="1" s="1"/>
  <c r="F339" i="12"/>
  <c r="F352" i="12"/>
  <c r="V460" i="1" s="1"/>
  <c r="F356" i="12"/>
  <c r="V464" i="1" s="1"/>
  <c r="F383" i="12"/>
  <c r="V507" i="1" s="1"/>
  <c r="F393" i="12"/>
  <c r="V520" i="1" s="1"/>
  <c r="F52" i="12"/>
  <c r="V66" i="1" s="1"/>
  <c r="F208" i="12"/>
  <c r="V274" i="1" s="1"/>
  <c r="F57" i="12"/>
  <c r="V72" i="1" s="1"/>
  <c r="F4" i="12"/>
  <c r="F53" i="12"/>
  <c r="V67" i="1" s="1"/>
  <c r="F58" i="12"/>
  <c r="V74" i="1" s="1"/>
  <c r="F59" i="12"/>
  <c r="V75" i="1" s="1"/>
  <c r="F386" i="12"/>
  <c r="V512" i="1" s="1"/>
  <c r="F64" i="12"/>
  <c r="V82" i="1" s="1"/>
  <c r="F70" i="12"/>
  <c r="V91" i="1" s="1"/>
  <c r="F285" i="12"/>
  <c r="V376" i="1" s="1"/>
  <c r="F63" i="12"/>
  <c r="V81" i="1" s="1"/>
  <c r="F343" i="12"/>
  <c r="V449" i="1" s="1"/>
  <c r="F65" i="12"/>
  <c r="V83" i="1" s="1"/>
  <c r="F86" i="12"/>
  <c r="V112" i="1" s="1"/>
  <c r="F306" i="12"/>
  <c r="V407" i="1" s="1"/>
  <c r="F67" i="12"/>
  <c r="V86" i="1" s="1"/>
  <c r="F240" i="12"/>
  <c r="F338" i="12"/>
  <c r="V446" i="1" s="1"/>
  <c r="F20" i="12"/>
  <c r="F25" i="12"/>
  <c r="F73" i="12"/>
  <c r="F140" i="12"/>
  <c r="F274" i="12"/>
  <c r="F294" i="12"/>
  <c r="F113" i="12"/>
  <c r="V145" i="1" s="1"/>
  <c r="F248" i="12"/>
  <c r="V332" i="1" s="1"/>
  <c r="F112" i="12"/>
  <c r="V141" i="1" s="1"/>
  <c r="F158" i="12"/>
  <c r="V208" i="1" s="1"/>
  <c r="F276" i="12"/>
  <c r="V367" i="1" s="1"/>
  <c r="F365" i="12"/>
  <c r="V476" i="1" s="1"/>
  <c r="F3" i="12"/>
  <c r="F97" i="12"/>
  <c r="F98" i="12"/>
  <c r="F99" i="12"/>
  <c r="F243" i="12"/>
  <c r="F266" i="12"/>
  <c r="F127" i="12"/>
  <c r="V168" i="1" s="1"/>
  <c r="F101" i="12"/>
  <c r="V128" i="1" s="1"/>
  <c r="F55" i="12"/>
  <c r="V70" i="1" s="1"/>
  <c r="F102" i="12"/>
  <c r="V130" i="1" s="1"/>
  <c r="F302" i="12"/>
  <c r="V400" i="1" s="1"/>
  <c r="F104" i="12"/>
  <c r="V133" i="1" s="1"/>
  <c r="F200" i="12"/>
  <c r="V267" i="1" s="1"/>
  <c r="F281" i="12"/>
  <c r="V372" i="1" s="1"/>
  <c r="F308" i="12"/>
  <c r="V409" i="1" s="1"/>
  <c r="F114" i="12"/>
  <c r="V146" i="1" s="1"/>
  <c r="F128" i="12"/>
  <c r="V169" i="1" s="1"/>
  <c r="F129" i="12"/>
  <c r="V170" i="1" s="1"/>
  <c r="F139" i="12"/>
  <c r="V181" i="1" s="1"/>
  <c r="F39" i="12"/>
  <c r="F168" i="12"/>
  <c r="V220" i="1" s="1"/>
  <c r="F380" i="12"/>
  <c r="V501" i="1" s="1"/>
  <c r="F392" i="12"/>
  <c r="V519" i="1" s="1"/>
  <c r="F90" i="12"/>
  <c r="V116" i="1" s="1"/>
  <c r="F287" i="12"/>
  <c r="V378" i="1" s="1"/>
  <c r="F148" i="12"/>
  <c r="V195" i="1" s="1"/>
  <c r="F149" i="12"/>
  <c r="V198" i="1" s="1"/>
  <c r="F151" i="12"/>
  <c r="V201" i="1" s="1"/>
  <c r="F152" i="12"/>
  <c r="F154" i="12"/>
  <c r="V203" i="1" s="1"/>
  <c r="F61" i="12"/>
  <c r="V78" i="1" s="1"/>
  <c r="F159" i="12"/>
  <c r="V209" i="1" s="1"/>
  <c r="F165" i="12"/>
  <c r="V218" i="1" s="1"/>
  <c r="F122" i="12"/>
  <c r="V160" i="1" s="1"/>
  <c r="F123" i="12"/>
  <c r="V161" i="1" s="1"/>
  <c r="F124" i="12"/>
  <c r="V162" i="1" s="1"/>
  <c r="F178" i="12"/>
  <c r="V234" i="1" s="1"/>
  <c r="F179" i="12"/>
  <c r="V237" i="1" s="1"/>
  <c r="F23" i="12"/>
  <c r="V29" i="1" s="1"/>
  <c r="F51" i="12"/>
  <c r="V65" i="1" s="1"/>
  <c r="F91" i="12"/>
  <c r="V117" i="1" s="1"/>
  <c r="F118" i="12"/>
  <c r="V152" i="1" s="1"/>
  <c r="F387" i="12"/>
  <c r="V513" i="1" s="1"/>
  <c r="F391" i="12"/>
  <c r="V517" i="1" s="1"/>
  <c r="F180" i="12"/>
  <c r="V239" i="1" s="1"/>
  <c r="F71" i="12"/>
  <c r="V92" i="1" s="1"/>
  <c r="F88" i="12"/>
  <c r="V114" i="1" s="1"/>
  <c r="F182" i="12"/>
  <c r="V242" i="1" s="1"/>
  <c r="F198" i="12"/>
  <c r="V264" i="1" s="1"/>
  <c r="F185" i="12"/>
  <c r="V247" i="1" s="1"/>
  <c r="F186" i="12"/>
  <c r="V248" i="1" s="1"/>
  <c r="F79" i="12"/>
  <c r="V101" i="1" s="1"/>
  <c r="F187" i="12"/>
  <c r="V249" i="1" s="1"/>
  <c r="F280" i="12"/>
  <c r="F81" i="12"/>
  <c r="V103" i="1" s="1"/>
  <c r="F144" i="12"/>
  <c r="V190" i="1" s="1"/>
  <c r="F192" i="12"/>
  <c r="V255" i="1" s="1"/>
  <c r="F195" i="12"/>
  <c r="V260" i="1" s="1"/>
  <c r="F255" i="12"/>
  <c r="V341" i="1" s="1"/>
  <c r="F203" i="12"/>
  <c r="F76" i="12"/>
  <c r="V98" i="1" s="1"/>
  <c r="F125" i="12"/>
  <c r="F211" i="12"/>
  <c r="V279" i="1" s="1"/>
  <c r="F217" i="12"/>
  <c r="V286" i="1" s="1"/>
  <c r="F219" i="12"/>
  <c r="F171" i="12"/>
  <c r="V224" i="1" s="1"/>
  <c r="F374" i="12"/>
  <c r="F220" i="12"/>
  <c r="F221" i="12"/>
  <c r="F222" i="12"/>
  <c r="F299" i="12"/>
  <c r="V397" i="1" s="1"/>
  <c r="F103" i="12"/>
  <c r="V132" i="1" s="1"/>
  <c r="F229" i="12"/>
  <c r="V307" i="1" s="1"/>
  <c r="F10" i="12"/>
  <c r="V10" i="1" s="1"/>
  <c r="F26" i="12"/>
  <c r="V33" i="1" s="1"/>
  <c r="F232" i="12"/>
  <c r="V313" i="1" s="1"/>
  <c r="F237" i="12"/>
  <c r="V320" i="1" s="1"/>
  <c r="F241" i="12"/>
  <c r="V324" i="1" s="1"/>
  <c r="F224" i="12"/>
  <c r="V300" i="1" s="1"/>
  <c r="F245" i="12"/>
  <c r="V329" i="1" s="1"/>
  <c r="F252" i="12"/>
  <c r="V336" i="1" s="1"/>
  <c r="F263" i="12"/>
  <c r="V350" i="1" s="1"/>
  <c r="F8" i="12"/>
  <c r="F105" i="12"/>
  <c r="F84" i="12"/>
  <c r="V110" i="1" s="1"/>
  <c r="F132" i="12"/>
  <c r="V173" i="1" s="1"/>
  <c r="F134" i="12"/>
  <c r="V175" i="1" s="1"/>
  <c r="F264" i="12"/>
  <c r="V352" i="1" s="1"/>
  <c r="F291" i="12"/>
  <c r="V384" i="1" s="1"/>
  <c r="F301" i="12"/>
  <c r="V399" i="1" s="1"/>
  <c r="F353" i="12"/>
  <c r="V461" i="1" s="1"/>
  <c r="F364" i="12"/>
  <c r="V473" i="1" s="1"/>
  <c r="F368" i="12"/>
  <c r="F41" i="12"/>
  <c r="V51" i="1" s="1"/>
  <c r="F251" i="12"/>
  <c r="V335" i="1" s="1"/>
  <c r="F256" i="12"/>
  <c r="V342" i="1" s="1"/>
  <c r="F265" i="12"/>
  <c r="V353" i="1" s="1"/>
  <c r="F27" i="12"/>
  <c r="V35" i="1" s="1"/>
  <c r="F42" i="12"/>
  <c r="V53" i="1" s="1"/>
  <c r="F43" i="12"/>
  <c r="V54" i="1" s="1"/>
  <c r="F44" i="12"/>
  <c r="V55" i="1" s="1"/>
  <c r="F146" i="12"/>
  <c r="V192" i="1" s="1"/>
  <c r="F184" i="12"/>
  <c r="V243" i="1" s="1"/>
  <c r="F196" i="12"/>
  <c r="V262" i="1" s="1"/>
  <c r="F202" i="12"/>
  <c r="V269" i="1" s="1"/>
  <c r="F207" i="12"/>
  <c r="V273" i="1" s="1"/>
  <c r="F228" i="12"/>
  <c r="V305" i="1" s="1"/>
  <c r="F250" i="12"/>
  <c r="V334" i="1" s="1"/>
  <c r="F347" i="12"/>
  <c r="V453" i="1" s="1"/>
  <c r="F363" i="12"/>
  <c r="V472" i="1" s="1"/>
  <c r="F379" i="12"/>
  <c r="V500" i="1" s="1"/>
  <c r="F270" i="12"/>
  <c r="V359" i="1" s="1"/>
  <c r="F275" i="12"/>
  <c r="V365" i="1" s="1"/>
  <c r="F298" i="12"/>
  <c r="F277" i="12"/>
  <c r="V368" i="1" s="1"/>
  <c r="F311" i="12"/>
  <c r="V413" i="1" s="1"/>
  <c r="F279" i="12"/>
  <c r="V371" i="1" s="1"/>
  <c r="F305" i="12"/>
  <c r="V405" i="1" s="1"/>
  <c r="F169" i="12"/>
  <c r="V221" i="1" s="1"/>
  <c r="F334" i="12"/>
  <c r="V441" i="1" s="1"/>
  <c r="F286" i="12"/>
  <c r="V377" i="1" s="1"/>
  <c r="F289" i="12"/>
  <c r="V381" i="1" s="1"/>
  <c r="F295" i="12"/>
  <c r="V388" i="1" s="1"/>
  <c r="F175" i="12"/>
  <c r="V229" i="1" s="1"/>
  <c r="F210" i="12"/>
  <c r="V278" i="1" s="1"/>
  <c r="F300" i="12"/>
  <c r="V398" i="1" s="1"/>
  <c r="F257" i="12"/>
  <c r="V344" i="1" s="1"/>
  <c r="F310" i="12"/>
  <c r="V411" i="1" s="1"/>
  <c r="F312" i="12"/>
  <c r="F193" i="12"/>
  <c r="V257" i="1" s="1"/>
  <c r="F212" i="12"/>
  <c r="F260" i="12"/>
  <c r="F30" i="12"/>
  <c r="V38" i="1" s="1"/>
  <c r="F153" i="12"/>
  <c r="V202" i="1" s="1"/>
  <c r="F157" i="12"/>
  <c r="V207" i="1" s="1"/>
  <c r="F188" i="12"/>
  <c r="V250" i="1" s="1"/>
  <c r="F273" i="12"/>
  <c r="V364" i="1" s="1"/>
  <c r="F382" i="12"/>
  <c r="V506" i="1" s="1"/>
  <c r="F320" i="12"/>
  <c r="V426" i="1" s="1"/>
  <c r="F322" i="12"/>
  <c r="V428" i="1" s="1"/>
  <c r="F388" i="12"/>
  <c r="V514" i="1" s="1"/>
  <c r="F328" i="12"/>
  <c r="F330" i="12"/>
  <c r="F331" i="12"/>
  <c r="V438" i="1" s="1"/>
  <c r="F191" i="12"/>
  <c r="V254" i="1" s="1"/>
  <c r="F218" i="12"/>
  <c r="V287" i="1" s="1"/>
  <c r="F342" i="12"/>
  <c r="V448" i="1" s="1"/>
  <c r="F95" i="12"/>
  <c r="V124" i="1" s="1"/>
  <c r="F323" i="12"/>
  <c r="F344" i="12"/>
  <c r="V450" i="1" s="1"/>
  <c r="F309" i="12"/>
  <c r="V410" i="1" s="1"/>
  <c r="F345" i="12"/>
  <c r="V451" i="1" s="1"/>
  <c r="F268" i="12"/>
  <c r="V355" i="1" s="1"/>
  <c r="F349" i="12"/>
  <c r="V455" i="1" s="1"/>
  <c r="F354" i="12"/>
  <c r="V462" i="1" s="1"/>
  <c r="F336" i="12"/>
  <c r="V444" i="1" s="1"/>
  <c r="F147" i="12"/>
  <c r="V193" i="1" s="1"/>
  <c r="F167" i="12"/>
  <c r="F204" i="12"/>
  <c r="V270" i="1" s="1"/>
  <c r="F14" i="12"/>
  <c r="V17" i="1" s="1"/>
  <c r="F50" i="12"/>
  <c r="V63" i="1" s="1"/>
  <c r="F93" i="12"/>
  <c r="V122" i="1" s="1"/>
  <c r="F216" i="12"/>
  <c r="V285" i="1" s="1"/>
  <c r="F230" i="12"/>
  <c r="V310" i="1" s="1"/>
  <c r="F259" i="12"/>
  <c r="V346" i="1" s="1"/>
  <c r="F293" i="12"/>
  <c r="V387" i="1" s="1"/>
  <c r="F346" i="12"/>
  <c r="V452" i="1" s="1"/>
  <c r="F369" i="12"/>
  <c r="V483" i="1" s="1"/>
  <c r="F361" i="12"/>
  <c r="V469" i="1" s="1"/>
  <c r="F78" i="12"/>
  <c r="V100" i="1" s="1"/>
  <c r="F92" i="12"/>
  <c r="V119" i="1" s="1"/>
  <c r="F290" i="12"/>
  <c r="V383" i="1" s="1"/>
  <c r="F317" i="12"/>
  <c r="V419" i="1" s="1"/>
  <c r="F197" i="12"/>
  <c r="V263" i="1" s="1"/>
  <c r="F209" i="12"/>
  <c r="V276" i="1" s="1"/>
  <c r="F341" i="12"/>
  <c r="V447" i="1" s="1"/>
  <c r="F46" i="12"/>
  <c r="V57" i="1" s="1"/>
  <c r="F49" i="12"/>
  <c r="V61" i="1" s="1"/>
  <c r="F85" i="12"/>
  <c r="V111" i="1" s="1"/>
  <c r="F116" i="12"/>
  <c r="F119" i="12"/>
  <c r="V156" i="1" s="1"/>
  <c r="F126" i="12"/>
  <c r="V167" i="1" s="1"/>
  <c r="F162" i="12"/>
  <c r="V213" i="1" s="1"/>
  <c r="F166" i="12"/>
  <c r="F231" i="12"/>
  <c r="V311" i="1" s="1"/>
  <c r="F297" i="12"/>
  <c r="V394" i="1" s="1"/>
  <c r="F307" i="12"/>
  <c r="V408" i="1" s="1"/>
  <c r="F318" i="12"/>
  <c r="V421" i="1" s="1"/>
  <c r="F395" i="12"/>
  <c r="F254" i="12"/>
  <c r="V340" i="1" s="1"/>
  <c r="F371" i="12"/>
  <c r="V487" i="1" s="1"/>
  <c r="F89" i="12"/>
  <c r="V115" i="1" s="1"/>
  <c r="F194" i="12"/>
  <c r="V259" i="1" s="1"/>
  <c r="F223" i="12"/>
  <c r="V296" i="1" s="1"/>
  <c r="F82" i="12"/>
  <c r="V105" i="1" s="1"/>
  <c r="F372" i="12"/>
  <c r="V491" i="1" s="1"/>
  <c r="F35" i="12"/>
  <c r="V43" i="1" s="1"/>
  <c r="F253" i="12"/>
  <c r="V337" i="1" s="1"/>
  <c r="F375" i="12"/>
  <c r="V493" i="1" s="1"/>
  <c r="F376" i="12"/>
  <c r="V494" i="1" s="1"/>
  <c r="F189" i="12"/>
  <c r="V251" i="1" s="1"/>
  <c r="F378" i="12"/>
  <c r="V499" i="1" s="1"/>
  <c r="F111" i="12"/>
  <c r="V140" i="1" s="1"/>
  <c r="F359" i="12"/>
  <c r="V467" i="1" s="1"/>
  <c r="F385" i="12"/>
  <c r="V511" i="1" s="1"/>
  <c r="F389" i="12"/>
  <c r="V515" i="1" s="1"/>
  <c r="F24" i="12"/>
  <c r="V30" i="1" s="1"/>
  <c r="F36" i="12"/>
  <c r="V44" i="1" s="1"/>
  <c r="F106" i="12"/>
  <c r="F214" i="12"/>
  <c r="V282" i="1" s="1"/>
  <c r="F246" i="12"/>
  <c r="F390" i="12"/>
  <c r="V516" i="1" s="1"/>
  <c r="W534" i="1" l="1"/>
  <c r="W533" i="1"/>
  <c r="V58" i="1"/>
  <c r="V4" i="1"/>
  <c r="K77" i="12"/>
  <c r="E3" i="8"/>
  <c r="E4" i="8"/>
  <c r="S6" i="1" s="1"/>
  <c r="E5" i="8"/>
  <c r="S7" i="1" s="1"/>
  <c r="E6" i="8"/>
  <c r="S9" i="1" s="1"/>
  <c r="E7" i="8"/>
  <c r="S10" i="1" s="1"/>
  <c r="E8" i="8"/>
  <c r="S11" i="1" s="1"/>
  <c r="E9" i="8"/>
  <c r="S13" i="1" s="1"/>
  <c r="E10" i="8"/>
  <c r="E11" i="8"/>
  <c r="S16" i="1" s="1"/>
  <c r="E12" i="8"/>
  <c r="S17" i="1" s="1"/>
  <c r="E13" i="8"/>
  <c r="S19" i="1" s="1"/>
  <c r="E14" i="8"/>
  <c r="S20" i="1" s="1"/>
  <c r="E15" i="8"/>
  <c r="E16" i="8"/>
  <c r="S21" i="1" s="1"/>
  <c r="E17" i="8"/>
  <c r="S22" i="1" s="1"/>
  <c r="E18" i="8"/>
  <c r="S23" i="1" s="1"/>
  <c r="E19" i="8"/>
  <c r="S25" i="1" s="1"/>
  <c r="E20" i="8"/>
  <c r="S26" i="1" s="1"/>
  <c r="E21" i="8"/>
  <c r="S27" i="1" s="1"/>
  <c r="E22" i="8"/>
  <c r="S29" i="1" s="1"/>
  <c r="E23" i="8"/>
  <c r="S30" i="1" s="1"/>
  <c r="R30" i="1" s="1"/>
  <c r="E24" i="8"/>
  <c r="E25" i="8"/>
  <c r="E26" i="8"/>
  <c r="S32" i="1" s="1"/>
  <c r="E27" i="8"/>
  <c r="S33" i="1" s="1"/>
  <c r="E28" i="8"/>
  <c r="S35" i="1" s="1"/>
  <c r="E29" i="8"/>
  <c r="S36" i="1" s="1"/>
  <c r="E30" i="8"/>
  <c r="S37" i="1" s="1"/>
  <c r="R37" i="1" s="1"/>
  <c r="E31" i="8"/>
  <c r="S38" i="1" s="1"/>
  <c r="E32" i="8"/>
  <c r="S39" i="1" s="1"/>
  <c r="E33" i="8"/>
  <c r="S40" i="1" s="1"/>
  <c r="E34" i="8"/>
  <c r="S41" i="1" s="1"/>
  <c r="E35" i="8"/>
  <c r="S42" i="1" s="1"/>
  <c r="E36" i="8"/>
  <c r="S43" i="1" s="1"/>
  <c r="E37" i="8"/>
  <c r="S44" i="1" s="1"/>
  <c r="E38" i="8"/>
  <c r="S45" i="1" s="1"/>
  <c r="E39" i="8"/>
  <c r="S46" i="1" s="1"/>
  <c r="E40" i="8"/>
  <c r="S47" i="1" s="1"/>
  <c r="E41" i="8"/>
  <c r="S48" i="1" s="1"/>
  <c r="E42" i="8"/>
  <c r="S49" i="1" s="1"/>
  <c r="E43" i="8"/>
  <c r="E44" i="8"/>
  <c r="S51" i="1" s="1"/>
  <c r="E45" i="8"/>
  <c r="S53" i="1" s="1"/>
  <c r="E46" i="8"/>
  <c r="S54" i="1" s="1"/>
  <c r="E47" i="8"/>
  <c r="E48" i="8"/>
  <c r="S55" i="1" s="1"/>
  <c r="E49" i="8"/>
  <c r="S56" i="1" s="1"/>
  <c r="E50" i="8"/>
  <c r="S57" i="1" s="1"/>
  <c r="E51" i="8"/>
  <c r="E52" i="8"/>
  <c r="S59" i="1" s="1"/>
  <c r="E53" i="8"/>
  <c r="E54" i="8"/>
  <c r="S159" i="1" s="1"/>
  <c r="E55" i="8"/>
  <c r="S61" i="1" s="1"/>
  <c r="E56" i="8"/>
  <c r="S62" i="1" s="1"/>
  <c r="E57" i="8"/>
  <c r="S63" i="1" s="1"/>
  <c r="E58" i="8"/>
  <c r="S65" i="1" s="1"/>
  <c r="E59" i="8"/>
  <c r="S66" i="1" s="1"/>
  <c r="E60" i="8"/>
  <c r="S67" i="1" s="1"/>
  <c r="E61" i="8"/>
  <c r="S68" i="1" s="1"/>
  <c r="E62" i="8"/>
  <c r="S71" i="1" s="1"/>
  <c r="E63" i="8"/>
  <c r="S74" i="1" s="1"/>
  <c r="E64" i="8"/>
  <c r="S75" i="1" s="1"/>
  <c r="E65" i="8"/>
  <c r="S76" i="1" s="1"/>
  <c r="E66" i="8"/>
  <c r="S78" i="1" s="1"/>
  <c r="T78" i="1" s="1"/>
  <c r="E67" i="8"/>
  <c r="S80" i="1" s="1"/>
  <c r="E68" i="8"/>
  <c r="S81" i="1" s="1"/>
  <c r="E69" i="8"/>
  <c r="E70" i="8"/>
  <c r="S83" i="1" s="1"/>
  <c r="E71" i="8"/>
  <c r="S84" i="1" s="1"/>
  <c r="E72" i="8"/>
  <c r="S86" i="1" s="1"/>
  <c r="E73" i="8"/>
  <c r="S87" i="1" s="1"/>
  <c r="E74" i="8"/>
  <c r="S89" i="1" s="1"/>
  <c r="E75" i="8"/>
  <c r="S90" i="1" s="1"/>
  <c r="E76" i="8"/>
  <c r="E77" i="8"/>
  <c r="S92" i="1" s="1"/>
  <c r="E78" i="8"/>
  <c r="S93" i="1" s="1"/>
  <c r="E79" i="8"/>
  <c r="E80" i="8"/>
  <c r="S96" i="1" s="1"/>
  <c r="E81" i="8"/>
  <c r="S97" i="1" s="1"/>
  <c r="E82" i="8"/>
  <c r="S98" i="1" s="1"/>
  <c r="E83" i="8"/>
  <c r="S99" i="1" s="1"/>
  <c r="E84" i="8"/>
  <c r="S100" i="1" s="1"/>
  <c r="E85" i="8"/>
  <c r="E86" i="8"/>
  <c r="S102" i="1" s="1"/>
  <c r="E87" i="8"/>
  <c r="S103" i="1" s="1"/>
  <c r="E88" i="8"/>
  <c r="S105" i="1" s="1"/>
  <c r="E89" i="8"/>
  <c r="S109" i="1" s="1"/>
  <c r="E90" i="8"/>
  <c r="S110" i="1" s="1"/>
  <c r="E91" i="8"/>
  <c r="S111" i="1" s="1"/>
  <c r="E92" i="8"/>
  <c r="E93" i="8"/>
  <c r="S112" i="1" s="1"/>
  <c r="E94" i="8"/>
  <c r="S113" i="1" s="1"/>
  <c r="E95" i="8"/>
  <c r="S114" i="1" s="1"/>
  <c r="E96" i="8"/>
  <c r="S115" i="1" s="1"/>
  <c r="E97" i="8"/>
  <c r="S116" i="1" s="1"/>
  <c r="E98" i="8"/>
  <c r="S117" i="1" s="1"/>
  <c r="E99" i="8"/>
  <c r="S119" i="1" s="1"/>
  <c r="E100" i="8"/>
  <c r="S120" i="1" s="1"/>
  <c r="E101" i="8"/>
  <c r="E102" i="8"/>
  <c r="S122" i="1" s="1"/>
  <c r="E103" i="8"/>
  <c r="E104" i="8"/>
  <c r="S123" i="1" s="1"/>
  <c r="E105" i="8"/>
  <c r="S124" i="1" s="1"/>
  <c r="E106" i="8"/>
  <c r="S125" i="1" s="1"/>
  <c r="E107" i="8"/>
  <c r="E108" i="8"/>
  <c r="S127" i="1" s="1"/>
  <c r="E109" i="8"/>
  <c r="E110" i="8"/>
  <c r="S129" i="1" s="1"/>
  <c r="E111" i="8"/>
  <c r="S131" i="1" s="1"/>
  <c r="E112" i="8"/>
  <c r="S132" i="1" s="1"/>
  <c r="E113" i="8"/>
  <c r="S133" i="1" s="1"/>
  <c r="E114" i="8"/>
  <c r="E115" i="8"/>
  <c r="E116" i="8"/>
  <c r="S135" i="1" s="1"/>
  <c r="E117" i="8"/>
  <c r="S136" i="1" s="1"/>
  <c r="E118" i="8"/>
  <c r="S137" i="1" s="1"/>
  <c r="R137" i="1" s="1"/>
  <c r="E119" i="8"/>
  <c r="S138" i="1" s="1"/>
  <c r="E120" i="8"/>
  <c r="S139" i="1" s="1"/>
  <c r="E121" i="8"/>
  <c r="S140" i="1" s="1"/>
  <c r="E122" i="8"/>
  <c r="E123" i="8"/>
  <c r="S141" i="1" s="1"/>
  <c r="E124" i="8"/>
  <c r="S142" i="1" s="1"/>
  <c r="E125" i="8"/>
  <c r="S145" i="1" s="1"/>
  <c r="E126" i="8"/>
  <c r="S146" i="1" s="1"/>
  <c r="E127" i="8"/>
  <c r="S147" i="1" s="1"/>
  <c r="E128" i="8"/>
  <c r="E129" i="8"/>
  <c r="S149" i="1" s="1"/>
  <c r="E130" i="8"/>
  <c r="S150" i="1" s="1"/>
  <c r="E131" i="8"/>
  <c r="S151" i="1" s="1"/>
  <c r="E132" i="8"/>
  <c r="S152" i="1" s="1"/>
  <c r="E133" i="8"/>
  <c r="S155" i="1" s="1"/>
  <c r="E134" i="8"/>
  <c r="S156" i="1" s="1"/>
  <c r="E135" i="8"/>
  <c r="S158" i="1" s="1"/>
  <c r="E136" i="8"/>
  <c r="S160" i="1" s="1"/>
  <c r="E137" i="8"/>
  <c r="S161" i="1" s="1"/>
  <c r="E138" i="8"/>
  <c r="S162" i="1" s="1"/>
  <c r="E139" i="8"/>
  <c r="S163" i="1" s="1"/>
  <c r="E140" i="8"/>
  <c r="S164" i="1" s="1"/>
  <c r="E141" i="8"/>
  <c r="E142" i="8"/>
  <c r="S167" i="1" s="1"/>
  <c r="E143" i="8"/>
  <c r="S168" i="1" s="1"/>
  <c r="E144" i="8"/>
  <c r="S169" i="1" s="1"/>
  <c r="E145" i="8"/>
  <c r="S170" i="1" s="1"/>
  <c r="E146" i="8"/>
  <c r="S171" i="1" s="1"/>
  <c r="E147" i="8"/>
  <c r="E148" i="8"/>
  <c r="S173" i="1" s="1"/>
  <c r="E149" i="8"/>
  <c r="S174" i="1" s="1"/>
  <c r="E150" i="8"/>
  <c r="S175" i="1" s="1"/>
  <c r="E151" i="8"/>
  <c r="S176" i="1" s="1"/>
  <c r="E152" i="8"/>
  <c r="E153" i="8"/>
  <c r="S178" i="1" s="1"/>
  <c r="E154" i="8"/>
  <c r="S179" i="1" s="1"/>
  <c r="E155" i="8"/>
  <c r="S180" i="1" s="1"/>
  <c r="E156" i="8"/>
  <c r="S181" i="1" s="1"/>
  <c r="E157" i="8"/>
  <c r="S183" i="1" s="1"/>
  <c r="E158" i="8"/>
  <c r="S184" i="1" s="1"/>
  <c r="E159" i="8"/>
  <c r="S186" i="1" s="1"/>
  <c r="E160" i="8"/>
  <c r="E161" i="8"/>
  <c r="S190" i="1" s="1"/>
  <c r="E162" i="8"/>
  <c r="S191" i="1" s="1"/>
  <c r="E163" i="8"/>
  <c r="S192" i="1" s="1"/>
  <c r="E164" i="8"/>
  <c r="S193" i="1" s="1"/>
  <c r="E165" i="8"/>
  <c r="S195" i="1" s="1"/>
  <c r="E166" i="8"/>
  <c r="S196" i="1" s="1"/>
  <c r="E167" i="8"/>
  <c r="E168" i="8"/>
  <c r="S198" i="1" s="1"/>
  <c r="E169" i="8"/>
  <c r="S200" i="1" s="1"/>
  <c r="E170" i="8"/>
  <c r="S201" i="1" s="1"/>
  <c r="E171" i="8"/>
  <c r="E172" i="8"/>
  <c r="S202" i="1" s="1"/>
  <c r="E173" i="8"/>
  <c r="S203" i="1" s="1"/>
  <c r="E174" i="8"/>
  <c r="S204" i="1" s="1"/>
  <c r="E175" i="8"/>
  <c r="S206" i="1" s="1"/>
  <c r="E176" i="8"/>
  <c r="S207" i="1" s="1"/>
  <c r="E177" i="8"/>
  <c r="S208" i="1" s="1"/>
  <c r="E178" i="8"/>
  <c r="S209" i="1" s="1"/>
  <c r="E179" i="8"/>
  <c r="S210" i="1" s="1"/>
  <c r="E180" i="8"/>
  <c r="S212" i="1" s="1"/>
  <c r="E181" i="8"/>
  <c r="S213" i="1" s="1"/>
  <c r="E182" i="8"/>
  <c r="S216" i="1" s="1"/>
  <c r="E183" i="8"/>
  <c r="S217" i="1" s="1"/>
  <c r="T217" i="1" s="1"/>
  <c r="E184" i="8"/>
  <c r="S218" i="1" s="1"/>
  <c r="E185" i="8"/>
  <c r="E186" i="8"/>
  <c r="S220" i="1" s="1"/>
  <c r="E187" i="8"/>
  <c r="S221" i="1" s="1"/>
  <c r="E188" i="8"/>
  <c r="S223" i="1" s="1"/>
  <c r="E189" i="8"/>
  <c r="S224" i="1" s="1"/>
  <c r="E190" i="8"/>
  <c r="S225" i="1" s="1"/>
  <c r="E191" i="8"/>
  <c r="S228" i="1" s="1"/>
  <c r="E192" i="8"/>
  <c r="S229" i="1" s="1"/>
  <c r="E193" i="8"/>
  <c r="S230" i="1" s="1"/>
  <c r="E194" i="8"/>
  <c r="S232" i="1" s="1"/>
  <c r="E195" i="8"/>
  <c r="S233" i="1" s="1"/>
  <c r="E196" i="8"/>
  <c r="S234" i="1" s="1"/>
  <c r="E197" i="8"/>
  <c r="S235" i="1" s="1"/>
  <c r="E198" i="8"/>
  <c r="S236" i="1" s="1"/>
  <c r="E199" i="8"/>
  <c r="S237" i="1" s="1"/>
  <c r="E200" i="8"/>
  <c r="S238" i="1" s="1"/>
  <c r="E201" i="8"/>
  <c r="S239" i="1" s="1"/>
  <c r="E202" i="8"/>
  <c r="S240" i="1" s="1"/>
  <c r="E203" i="8"/>
  <c r="S242" i="1" s="1"/>
  <c r="E204" i="8"/>
  <c r="S243" i="1" s="1"/>
  <c r="E205" i="8"/>
  <c r="S245" i="1" s="1"/>
  <c r="E206" i="8"/>
  <c r="S247" i="1" s="1"/>
  <c r="E207" i="8"/>
  <c r="S248" i="1" s="1"/>
  <c r="E208" i="8"/>
  <c r="E209" i="8"/>
  <c r="S250" i="1" s="1"/>
  <c r="E210" i="8"/>
  <c r="S251" i="1" s="1"/>
  <c r="T251" i="1" s="1"/>
  <c r="E211" i="8"/>
  <c r="S252" i="1" s="1"/>
  <c r="E212" i="8"/>
  <c r="E213" i="8"/>
  <c r="S254" i="1" s="1"/>
  <c r="E214" i="8"/>
  <c r="S255" i="1" s="1"/>
  <c r="E215" i="8"/>
  <c r="S257" i="1" s="1"/>
  <c r="E216" i="8"/>
  <c r="S259" i="1" s="1"/>
  <c r="E217" i="8"/>
  <c r="S260" i="1" s="1"/>
  <c r="E218" i="8"/>
  <c r="S262" i="1" s="1"/>
  <c r="E219" i="8"/>
  <c r="S263" i="1" s="1"/>
  <c r="E220" i="8"/>
  <c r="S264" i="1" s="1"/>
  <c r="E221" i="8"/>
  <c r="S265" i="1" s="1"/>
  <c r="E222" i="8"/>
  <c r="S266" i="1" s="1"/>
  <c r="R266" i="1" s="1"/>
  <c r="E223" i="8"/>
  <c r="S267" i="1" s="1"/>
  <c r="E224" i="8"/>
  <c r="E225" i="8"/>
  <c r="S269" i="1" s="1"/>
  <c r="E226" i="8"/>
  <c r="E227" i="8"/>
  <c r="S270" i="1" s="1"/>
  <c r="E228" i="8"/>
  <c r="S271" i="1" s="1"/>
  <c r="E229" i="8"/>
  <c r="S272" i="1" s="1"/>
  <c r="E230" i="8"/>
  <c r="S273" i="1" s="1"/>
  <c r="E231" i="8"/>
  <c r="S274" i="1" s="1"/>
  <c r="E232" i="8"/>
  <c r="S276" i="1" s="1"/>
  <c r="E233" i="8"/>
  <c r="S277" i="1" s="1"/>
  <c r="E234" i="8"/>
  <c r="S278" i="1" s="1"/>
  <c r="E235" i="8"/>
  <c r="S279" i="1" s="1"/>
  <c r="E236" i="8"/>
  <c r="S281" i="1" s="1"/>
  <c r="E237" i="8"/>
  <c r="S282" i="1" s="1"/>
  <c r="E238" i="8"/>
  <c r="S283" i="1" s="1"/>
  <c r="E239" i="8"/>
  <c r="S284" i="1" s="1"/>
  <c r="E240" i="8"/>
  <c r="S285" i="1" s="1"/>
  <c r="E241" i="8"/>
  <c r="E242" i="8"/>
  <c r="S287" i="1" s="1"/>
  <c r="E243" i="8"/>
  <c r="E244" i="8"/>
  <c r="S290" i="1" s="1"/>
  <c r="E245" i="8"/>
  <c r="S291" i="1" s="1"/>
  <c r="E246" i="8"/>
  <c r="S292" i="1" s="1"/>
  <c r="E247" i="8"/>
  <c r="S295" i="1" s="1"/>
  <c r="E248" i="8"/>
  <c r="S296" i="1" s="1"/>
  <c r="E249" i="8"/>
  <c r="S298" i="1" s="1"/>
  <c r="T298" i="1" s="1"/>
  <c r="E250" i="8"/>
  <c r="S299" i="1" s="1"/>
  <c r="E251" i="8"/>
  <c r="S300" i="1" s="1"/>
  <c r="E252" i="8"/>
  <c r="S301" i="1" s="1"/>
  <c r="E253" i="8"/>
  <c r="S303" i="1" s="1"/>
  <c r="E254" i="8"/>
  <c r="S304" i="1" s="1"/>
  <c r="E255" i="8"/>
  <c r="S305" i="1" s="1"/>
  <c r="E256" i="8"/>
  <c r="S307" i="1" s="1"/>
  <c r="E257" i="8"/>
  <c r="E258" i="8"/>
  <c r="E259" i="8"/>
  <c r="S310" i="1" s="1"/>
  <c r="E260" i="8"/>
  <c r="S311" i="1" s="1"/>
  <c r="E261" i="8"/>
  <c r="S313" i="1" s="1"/>
  <c r="E262" i="8"/>
  <c r="S314" i="1" s="1"/>
  <c r="E263" i="8"/>
  <c r="E264" i="8"/>
  <c r="S316" i="1" s="1"/>
  <c r="E265" i="8"/>
  <c r="S317" i="1" s="1"/>
  <c r="E266" i="8"/>
  <c r="S318" i="1" s="1"/>
  <c r="E267" i="8"/>
  <c r="S320" i="1" s="1"/>
  <c r="E268" i="8"/>
  <c r="S321" i="1" s="1"/>
  <c r="E269" i="8"/>
  <c r="S322" i="1" s="1"/>
  <c r="E270" i="8"/>
  <c r="S323" i="1" s="1"/>
  <c r="E271" i="8"/>
  <c r="S324" i="1" s="1"/>
  <c r="E272" i="8"/>
  <c r="S325" i="1" s="1"/>
  <c r="E273" i="8"/>
  <c r="S328" i="1" s="1"/>
  <c r="E274" i="8"/>
  <c r="S329" i="1" s="1"/>
  <c r="E275" i="8"/>
  <c r="E276" i="8"/>
  <c r="S331" i="1" s="1"/>
  <c r="R331" i="1" s="1"/>
  <c r="E277" i="8"/>
  <c r="S332" i="1" s="1"/>
  <c r="E278" i="8"/>
  <c r="S333" i="1" s="1"/>
  <c r="E279" i="8"/>
  <c r="S334" i="1" s="1"/>
  <c r="E280" i="8"/>
  <c r="S335" i="1" s="1"/>
  <c r="E281" i="8"/>
  <c r="S336" i="1" s="1"/>
  <c r="E282" i="8"/>
  <c r="S337" i="1" s="1"/>
  <c r="E283" i="8"/>
  <c r="S338" i="1" s="1"/>
  <c r="T338" i="1" s="1"/>
  <c r="E284" i="8"/>
  <c r="S339" i="1" s="1"/>
  <c r="E285" i="8"/>
  <c r="S340" i="1" s="1"/>
  <c r="E286" i="8"/>
  <c r="S341" i="1" s="1"/>
  <c r="E287" i="8"/>
  <c r="S342" i="1" s="1"/>
  <c r="E288" i="8"/>
  <c r="E289" i="8"/>
  <c r="S343" i="1" s="1"/>
  <c r="E290" i="8"/>
  <c r="S344" i="1" s="1"/>
  <c r="E291" i="8"/>
  <c r="S345" i="1" s="1"/>
  <c r="E292" i="8"/>
  <c r="S346" i="1" s="1"/>
  <c r="E293" i="8"/>
  <c r="S348" i="1" s="1"/>
  <c r="E294" i="8"/>
  <c r="S349" i="1" s="1"/>
  <c r="E295" i="8"/>
  <c r="S350" i="1" s="1"/>
  <c r="E296" i="8"/>
  <c r="S352" i="1" s="1"/>
  <c r="E297" i="8"/>
  <c r="E298" i="8"/>
  <c r="S353" i="1" s="1"/>
  <c r="E299" i="8"/>
  <c r="S354" i="1" s="1"/>
  <c r="E300" i="8"/>
  <c r="S355" i="1" s="1"/>
  <c r="E301" i="8"/>
  <c r="S356" i="1" s="1"/>
  <c r="E302" i="8"/>
  <c r="S357" i="1" s="1"/>
  <c r="E303" i="8"/>
  <c r="S358" i="1" s="1"/>
  <c r="E304" i="8"/>
  <c r="S359" i="1" s="1"/>
  <c r="E305" i="8"/>
  <c r="S360" i="1" s="1"/>
  <c r="E306" i="8"/>
  <c r="S361" i="1" s="1"/>
  <c r="E307" i="8"/>
  <c r="S362" i="1" s="1"/>
  <c r="E308" i="8"/>
  <c r="S363" i="1" s="1"/>
  <c r="E309" i="8"/>
  <c r="S364" i="1" s="1"/>
  <c r="E310" i="8"/>
  <c r="E311" i="8"/>
  <c r="S365" i="1" s="1"/>
  <c r="E312" i="8"/>
  <c r="S367" i="1" s="1"/>
  <c r="E313" i="8"/>
  <c r="S368" i="1" s="1"/>
  <c r="T368" i="1" s="1"/>
  <c r="E314" i="8"/>
  <c r="S370" i="1" s="1"/>
  <c r="T370" i="1" s="1"/>
  <c r="E315" i="8"/>
  <c r="S371" i="1" s="1"/>
  <c r="E316" i="8"/>
  <c r="E317" i="8"/>
  <c r="S372" i="1" s="1"/>
  <c r="E318" i="8"/>
  <c r="S373" i="1" s="1"/>
  <c r="E319" i="8"/>
  <c r="E320" i="8"/>
  <c r="S374" i="1" s="1"/>
  <c r="E321" i="8"/>
  <c r="S375" i="1" s="1"/>
  <c r="E322" i="8"/>
  <c r="S376" i="1" s="1"/>
  <c r="E323" i="8"/>
  <c r="S377" i="1" s="1"/>
  <c r="E325" i="8"/>
  <c r="S381" i="1" s="1"/>
  <c r="E326" i="8"/>
  <c r="S383" i="1" s="1"/>
  <c r="E327" i="8"/>
  <c r="S384" i="1" s="1"/>
  <c r="E328" i="8"/>
  <c r="S385" i="1" s="1"/>
  <c r="E329" i="8"/>
  <c r="S386" i="1" s="1"/>
  <c r="E330" i="8"/>
  <c r="S387" i="1" s="1"/>
  <c r="E331" i="8"/>
  <c r="S388" i="1" s="1"/>
  <c r="E332" i="8"/>
  <c r="S390" i="1" s="1"/>
  <c r="E333" i="8"/>
  <c r="E334" i="8"/>
  <c r="S393" i="1" s="1"/>
  <c r="E335" i="8"/>
  <c r="S394" i="1" s="1"/>
  <c r="E336" i="8"/>
  <c r="E337" i="8"/>
  <c r="S396" i="1" s="1"/>
  <c r="E338" i="8"/>
  <c r="S397" i="1" s="1"/>
  <c r="E339" i="8"/>
  <c r="S398" i="1" s="1"/>
  <c r="E340" i="8"/>
  <c r="S399" i="1" s="1"/>
  <c r="E341" i="8"/>
  <c r="E342" i="8"/>
  <c r="E343" i="8"/>
  <c r="S402" i="1" s="1"/>
  <c r="E344" i="8"/>
  <c r="S403" i="1" s="1"/>
  <c r="E345" i="8"/>
  <c r="S404" i="1" s="1"/>
  <c r="E346" i="8"/>
  <c r="S405" i="1" s="1"/>
  <c r="E347" i="8"/>
  <c r="S407" i="1" s="1"/>
  <c r="E348" i="8"/>
  <c r="S408" i="1" s="1"/>
  <c r="E349" i="8"/>
  <c r="S409" i="1" s="1"/>
  <c r="E350" i="8"/>
  <c r="S410" i="1" s="1"/>
  <c r="E351" i="8"/>
  <c r="S411" i="1" s="1"/>
  <c r="E352" i="8"/>
  <c r="E353" i="8"/>
  <c r="S413" i="1" s="1"/>
  <c r="T413" i="1" s="1"/>
  <c r="E354" i="8"/>
  <c r="E355" i="8"/>
  <c r="S414" i="1" s="1"/>
  <c r="E356" i="8"/>
  <c r="S415" i="1" s="1"/>
  <c r="E357" i="8"/>
  <c r="S416" i="1" s="1"/>
  <c r="E358" i="8"/>
  <c r="E359" i="8"/>
  <c r="S418" i="1" s="1"/>
  <c r="E360" i="8"/>
  <c r="S419" i="1" s="1"/>
  <c r="E361" i="8"/>
  <c r="S421" i="1" s="1"/>
  <c r="E362" i="8"/>
  <c r="S426" i="1" s="1"/>
  <c r="E363" i="8"/>
  <c r="E364" i="8"/>
  <c r="S428" i="1" s="1"/>
  <c r="E365" i="8"/>
  <c r="S430" i="1" s="1"/>
  <c r="E366" i="8"/>
  <c r="S431" i="1" s="1"/>
  <c r="E367" i="8"/>
  <c r="S432" i="1" s="1"/>
  <c r="E368" i="8"/>
  <c r="E369" i="8"/>
  <c r="S433" i="1" s="1"/>
  <c r="E370" i="8"/>
  <c r="E371" i="8"/>
  <c r="S434" i="1" s="1"/>
  <c r="E372" i="8"/>
  <c r="S436" i="1" s="1"/>
  <c r="E373" i="8"/>
  <c r="S438" i="1" s="1"/>
  <c r="E374" i="8"/>
  <c r="E375" i="8"/>
  <c r="S440" i="1" s="1"/>
  <c r="E376" i="8"/>
  <c r="S441" i="1" s="1"/>
  <c r="E377" i="8"/>
  <c r="S442" i="1" s="1"/>
  <c r="E378" i="8"/>
  <c r="E379" i="8"/>
  <c r="S444" i="1" s="1"/>
  <c r="E380" i="8"/>
  <c r="S445" i="1" s="1"/>
  <c r="E381" i="8"/>
  <c r="S446" i="1" s="1"/>
  <c r="E382" i="8"/>
  <c r="E383" i="8"/>
  <c r="S447" i="1" s="1"/>
  <c r="E384" i="8"/>
  <c r="S448" i="1" s="1"/>
  <c r="E385" i="8"/>
  <c r="S449" i="1" s="1"/>
  <c r="E386" i="8"/>
  <c r="S450" i="1" s="1"/>
  <c r="E387" i="8"/>
  <c r="S451" i="1" s="1"/>
  <c r="E388" i="8"/>
  <c r="S452" i="1" s="1"/>
  <c r="E389" i="8"/>
  <c r="S453" i="1" s="1"/>
  <c r="E390" i="8"/>
  <c r="E391" i="8"/>
  <c r="S455" i="1" s="1"/>
  <c r="E392" i="8"/>
  <c r="S456" i="1" s="1"/>
  <c r="E393" i="8"/>
  <c r="S460" i="1" s="1"/>
  <c r="E394" i="8"/>
  <c r="S461" i="1" s="1"/>
  <c r="E395" i="8"/>
  <c r="S462" i="1" s="1"/>
  <c r="E396" i="8"/>
  <c r="S463" i="1" s="1"/>
  <c r="E397" i="8"/>
  <c r="E398" i="8"/>
  <c r="S464" i="1" s="1"/>
  <c r="T464" i="1" s="1"/>
  <c r="E399" i="8"/>
  <c r="S465" i="1" s="1"/>
  <c r="E400" i="8"/>
  <c r="E401" i="8"/>
  <c r="S467" i="1" s="1"/>
  <c r="E402" i="8"/>
  <c r="S468" i="1" s="1"/>
  <c r="E403" i="8"/>
  <c r="S469" i="1" s="1"/>
  <c r="E404" i="8"/>
  <c r="S470" i="1" s="1"/>
  <c r="E405" i="8"/>
  <c r="S471" i="1" s="1"/>
  <c r="E406" i="8"/>
  <c r="S472" i="1" s="1"/>
  <c r="E407" i="8"/>
  <c r="S473" i="1" s="1"/>
  <c r="E408" i="8"/>
  <c r="E409" i="8"/>
  <c r="S476" i="1" s="1"/>
  <c r="E410" i="8"/>
  <c r="E411" i="8"/>
  <c r="S478" i="1" s="1"/>
  <c r="E412" i="8"/>
  <c r="S479" i="1" s="1"/>
  <c r="E413" i="8"/>
  <c r="E414" i="8"/>
  <c r="S483" i="1" s="1"/>
  <c r="E415" i="8"/>
  <c r="S484" i="1" s="1"/>
  <c r="E416" i="8"/>
  <c r="S485" i="1" s="1"/>
  <c r="E417" i="8"/>
  <c r="E418" i="8"/>
  <c r="E419" i="8"/>
  <c r="S487" i="1" s="1"/>
  <c r="E420" i="8"/>
  <c r="E421" i="8"/>
  <c r="S490" i="1" s="1"/>
  <c r="E422" i="8"/>
  <c r="S491" i="1" s="1"/>
  <c r="E423" i="8"/>
  <c r="S492" i="1" s="1"/>
  <c r="E424" i="8"/>
  <c r="S493" i="1" s="1"/>
  <c r="E425" i="8"/>
  <c r="S494" i="1" s="1"/>
  <c r="E426" i="8"/>
  <c r="E427" i="8"/>
  <c r="E428" i="8"/>
  <c r="S495" i="1" s="1"/>
  <c r="E429" i="8"/>
  <c r="S496" i="1" s="1"/>
  <c r="E430" i="8"/>
  <c r="S498" i="1" s="1"/>
  <c r="E431" i="8"/>
  <c r="S499" i="1" s="1"/>
  <c r="E432" i="8"/>
  <c r="S500" i="1" s="1"/>
  <c r="E433" i="8"/>
  <c r="S501" i="1" s="1"/>
  <c r="E434" i="8"/>
  <c r="S503" i="1" s="1"/>
  <c r="E435" i="8"/>
  <c r="E436" i="8"/>
  <c r="S505" i="1" s="1"/>
  <c r="E437" i="8"/>
  <c r="S506" i="1" s="1"/>
  <c r="E438" i="8"/>
  <c r="S507" i="1" s="1"/>
  <c r="E439" i="8"/>
  <c r="S508" i="1" s="1"/>
  <c r="E440" i="8"/>
  <c r="S509" i="1" s="1"/>
  <c r="E441" i="8"/>
  <c r="E442" i="8"/>
  <c r="S511" i="1" s="1"/>
  <c r="E443" i="8"/>
  <c r="S512" i="1" s="1"/>
  <c r="E444" i="8"/>
  <c r="S513" i="1" s="1"/>
  <c r="E445" i="8"/>
  <c r="S514" i="1" s="1"/>
  <c r="E446" i="8"/>
  <c r="E447" i="8"/>
  <c r="E448" i="8"/>
  <c r="E449" i="8"/>
  <c r="E450" i="8"/>
  <c r="E451" i="8"/>
  <c r="E452" i="8"/>
  <c r="E453" i="8"/>
  <c r="E454" i="8"/>
  <c r="E455" i="8"/>
  <c r="E456" i="8"/>
  <c r="E457" i="8"/>
  <c r="E458" i="8"/>
  <c r="E459" i="8"/>
  <c r="E2" i="8"/>
  <c r="S4" i="1" s="1"/>
  <c r="V524" i="1" l="1"/>
  <c r="V529" i="1" s="1"/>
  <c r="S524" i="1"/>
  <c r="S529" i="1" s="1"/>
  <c r="R524" i="1"/>
  <c r="U404" i="1"/>
  <c r="T404" i="1"/>
  <c r="T318" i="1"/>
  <c r="U318" i="1"/>
  <c r="S533" i="1"/>
  <c r="S534" i="1"/>
  <c r="V533" i="1"/>
  <c r="V534" i="1"/>
  <c r="T4" i="1"/>
  <c r="D3" i="10"/>
  <c r="E3" i="10" s="1"/>
  <c r="U4" i="1"/>
  <c r="D2" i="10"/>
  <c r="E2" i="10" s="1"/>
  <c r="T524" i="1" l="1"/>
  <c r="T529" i="1" s="1"/>
  <c r="U524" i="1"/>
  <c r="U529" i="1" s="1"/>
  <c r="R527" i="1"/>
  <c r="R529" i="1"/>
  <c r="U533" i="1"/>
  <c r="U534" i="1"/>
  <c r="T533" i="1"/>
  <c r="T534" i="1"/>
  <c r="T3" i="1"/>
  <c r="S11" i="5" s="1"/>
  <c r="U3" i="1"/>
  <c r="T11" i="5" s="1"/>
  <c r="V3" i="1"/>
  <c r="U11" i="5" s="1"/>
  <c r="B6" i="1" l="1"/>
  <c r="B7" i="1"/>
  <c r="B9" i="1"/>
  <c r="B10" i="1"/>
  <c r="B13" i="1"/>
  <c r="B15" i="1"/>
  <c r="B16" i="1"/>
  <c r="B17" i="1"/>
  <c r="B19" i="1"/>
  <c r="B20" i="1"/>
  <c r="B21" i="1"/>
  <c r="B22" i="1"/>
  <c r="B23" i="1"/>
  <c r="B25" i="1"/>
  <c r="B26" i="1"/>
  <c r="B27" i="1"/>
  <c r="B28" i="1"/>
  <c r="B29" i="1"/>
  <c r="B30" i="1"/>
  <c r="B32" i="1"/>
  <c r="B33" i="1"/>
  <c r="B34" i="1"/>
  <c r="B35" i="1"/>
  <c r="B36" i="1"/>
  <c r="B37" i="1"/>
  <c r="B38" i="1"/>
  <c r="B39" i="1"/>
  <c r="B40" i="1"/>
  <c r="B41" i="1"/>
  <c r="B42" i="1"/>
  <c r="B43" i="1"/>
  <c r="B44" i="1"/>
  <c r="B45" i="1"/>
  <c r="B47" i="1"/>
  <c r="B48" i="1"/>
  <c r="B51" i="1"/>
  <c r="B52" i="1"/>
  <c r="B53" i="1"/>
  <c r="B54" i="1"/>
  <c r="B55" i="1"/>
  <c r="B56" i="1"/>
  <c r="B57" i="1"/>
  <c r="B58" i="1"/>
  <c r="B59" i="1"/>
  <c r="B60" i="1"/>
  <c r="B159" i="1"/>
  <c r="B61" i="1"/>
  <c r="B62" i="1"/>
  <c r="B63" i="1"/>
  <c r="B64" i="1"/>
  <c r="B65" i="1"/>
  <c r="B66" i="1"/>
  <c r="B67" i="1"/>
  <c r="B68" i="1"/>
  <c r="B71" i="1"/>
  <c r="B72" i="1"/>
  <c r="B70" i="1"/>
  <c r="B74" i="1"/>
  <c r="B75" i="1"/>
  <c r="B76" i="1"/>
  <c r="B77" i="1"/>
  <c r="B78" i="1"/>
  <c r="B80" i="1"/>
  <c r="B81" i="1"/>
  <c r="B82" i="1"/>
  <c r="B83" i="1"/>
  <c r="B84" i="1"/>
  <c r="B86" i="1"/>
  <c r="B87" i="1"/>
  <c r="B89" i="1"/>
  <c r="B90" i="1"/>
  <c r="B91" i="1"/>
  <c r="B92" i="1"/>
  <c r="B93" i="1"/>
  <c r="B96" i="1"/>
  <c r="B97" i="1"/>
  <c r="B98" i="1"/>
  <c r="B99" i="1"/>
  <c r="B100" i="1"/>
  <c r="B101" i="1"/>
  <c r="B102" i="1"/>
  <c r="B103" i="1"/>
  <c r="B107" i="1"/>
  <c r="B108" i="1"/>
  <c r="B109" i="1"/>
  <c r="B110" i="1"/>
  <c r="B112" i="1"/>
  <c r="B113" i="1"/>
  <c r="B114" i="1"/>
  <c r="B115" i="1"/>
  <c r="B116" i="1"/>
  <c r="B119" i="1"/>
  <c r="B120" i="1"/>
  <c r="B121" i="1"/>
  <c r="B122" i="1"/>
  <c r="B124" i="1"/>
  <c r="B125" i="1"/>
  <c r="B126" i="1"/>
  <c r="B127" i="1"/>
  <c r="B128" i="1"/>
  <c r="B129" i="1"/>
  <c r="B130" i="1"/>
  <c r="B131" i="1"/>
  <c r="B132" i="1"/>
  <c r="B133" i="1"/>
  <c r="B135" i="1"/>
  <c r="B136" i="1"/>
  <c r="B137" i="1"/>
  <c r="B138" i="1"/>
  <c r="B139" i="1"/>
  <c r="B140" i="1"/>
  <c r="B141" i="1"/>
  <c r="B142" i="1"/>
  <c r="B145" i="1"/>
  <c r="B146" i="1"/>
  <c r="B147" i="1"/>
  <c r="B148" i="1"/>
  <c r="B149" i="1"/>
  <c r="B150" i="1"/>
  <c r="B151" i="1"/>
  <c r="B152" i="1"/>
  <c r="B153" i="1"/>
  <c r="B154" i="1"/>
  <c r="B155" i="1"/>
  <c r="B156" i="1"/>
  <c r="B157" i="1"/>
  <c r="B158" i="1"/>
  <c r="B160" i="1"/>
  <c r="B161" i="1"/>
  <c r="B162" i="1"/>
  <c r="B163" i="1"/>
  <c r="B164" i="1"/>
  <c r="B166" i="1"/>
  <c r="B167" i="1"/>
  <c r="B168" i="1"/>
  <c r="B169" i="1"/>
  <c r="B170" i="1"/>
  <c r="B171" i="1"/>
  <c r="B172" i="1"/>
  <c r="B173" i="1"/>
  <c r="B174" i="1"/>
  <c r="B175" i="1"/>
  <c r="B176" i="1"/>
  <c r="B177" i="1"/>
  <c r="B178" i="1"/>
  <c r="B179" i="1"/>
  <c r="B180" i="1"/>
  <c r="B181" i="1"/>
  <c r="B184" i="1"/>
  <c r="B186" i="1"/>
  <c r="B190" i="1"/>
  <c r="B191" i="1"/>
  <c r="B192" i="1"/>
  <c r="B193" i="1"/>
  <c r="B195" i="1"/>
  <c r="B197" i="1"/>
  <c r="B198" i="1"/>
  <c r="B199" i="1"/>
  <c r="B200" i="1"/>
  <c r="B201" i="1"/>
  <c r="B202" i="1"/>
  <c r="B203" i="1"/>
  <c r="B204" i="1"/>
  <c r="B205" i="1"/>
  <c r="B206" i="1"/>
  <c r="B207" i="1"/>
  <c r="B208" i="1"/>
  <c r="B209" i="1"/>
  <c r="B211" i="1"/>
  <c r="B212" i="1"/>
  <c r="B213" i="1"/>
  <c r="B214" i="1"/>
  <c r="B215" i="1"/>
  <c r="B216" i="1"/>
  <c r="B217" i="1"/>
  <c r="B218" i="1"/>
  <c r="B220" i="1"/>
  <c r="B221" i="1"/>
  <c r="B223" i="1"/>
  <c r="B225" i="1"/>
  <c r="B228" i="1"/>
  <c r="B229" i="1"/>
  <c r="B230" i="1"/>
  <c r="B232" i="1"/>
  <c r="B234" i="1"/>
  <c r="B235" i="1"/>
  <c r="B236" i="1"/>
  <c r="B237" i="1"/>
  <c r="B238" i="1"/>
  <c r="B239" i="1"/>
  <c r="B240" i="1"/>
  <c r="B242" i="1"/>
  <c r="B243" i="1"/>
  <c r="B244" i="1"/>
  <c r="B245" i="1"/>
  <c r="B246" i="1"/>
  <c r="B247" i="1"/>
  <c r="B249" i="1"/>
  <c r="B250" i="1"/>
  <c r="B251" i="1"/>
  <c r="B252" i="1"/>
  <c r="B254" i="1"/>
  <c r="B255" i="1"/>
  <c r="B256" i="1"/>
  <c r="B257" i="1"/>
  <c r="B258" i="1"/>
  <c r="B259" i="1"/>
  <c r="B260" i="1"/>
  <c r="B261" i="1"/>
  <c r="B262" i="1"/>
  <c r="B263" i="1"/>
  <c r="B264" i="1"/>
  <c r="B266" i="1"/>
  <c r="B267" i="1"/>
  <c r="B268" i="1"/>
  <c r="B269" i="1"/>
  <c r="B270" i="1"/>
  <c r="B271" i="1"/>
  <c r="B272" i="1"/>
  <c r="B273" i="1"/>
  <c r="B274" i="1"/>
  <c r="B276" i="1"/>
  <c r="B277" i="1"/>
  <c r="B278" i="1"/>
  <c r="B279" i="1"/>
  <c r="B281" i="1"/>
  <c r="B282" i="1"/>
  <c r="B283" i="1"/>
  <c r="B285" i="1"/>
  <c r="B287" i="1"/>
  <c r="B291" i="1"/>
  <c r="B292" i="1"/>
  <c r="B294" i="1"/>
  <c r="B298" i="1"/>
  <c r="B299" i="1"/>
  <c r="B300" i="1"/>
  <c r="B301" i="1"/>
  <c r="B303" i="1"/>
  <c r="B304" i="1"/>
  <c r="B305" i="1"/>
  <c r="B307" i="1"/>
  <c r="B308" i="1"/>
  <c r="B309" i="1"/>
  <c r="B310" i="1"/>
  <c r="B311" i="1"/>
  <c r="B313" i="1"/>
  <c r="B314" i="1"/>
  <c r="B315" i="1"/>
  <c r="B316" i="1"/>
  <c r="B317" i="1"/>
  <c r="B318" i="1"/>
  <c r="B320" i="1"/>
  <c r="B321" i="1"/>
  <c r="B322" i="1"/>
  <c r="B323" i="1"/>
  <c r="B324" i="1"/>
  <c r="B325" i="1"/>
  <c r="B326" i="1"/>
  <c r="B329" i="1"/>
  <c r="B330" i="1"/>
  <c r="B331" i="1"/>
  <c r="B332" i="1"/>
  <c r="B333" i="1"/>
  <c r="B334" i="1"/>
  <c r="B335" i="1"/>
  <c r="B336" i="1"/>
  <c r="B337" i="1"/>
  <c r="B338" i="1"/>
  <c r="B339" i="1"/>
  <c r="B340" i="1"/>
  <c r="B341" i="1"/>
  <c r="B342" i="1"/>
  <c r="B343" i="1"/>
  <c r="B344" i="1"/>
  <c r="B345" i="1"/>
  <c r="B346" i="1"/>
  <c r="B348" i="1"/>
  <c r="B349" i="1"/>
  <c r="B350" i="1"/>
  <c r="B352" i="1"/>
  <c r="B353" i="1"/>
  <c r="B354" i="1"/>
  <c r="B357" i="1"/>
  <c r="B358" i="1"/>
  <c r="B359" i="1"/>
  <c r="B361" i="1"/>
  <c r="B362" i="1"/>
  <c r="B363" i="1"/>
  <c r="B364" i="1"/>
  <c r="B365" i="1"/>
  <c r="B367" i="1"/>
  <c r="B370" i="1"/>
  <c r="B371" i="1"/>
  <c r="B372" i="1"/>
  <c r="B374" i="1"/>
  <c r="B375" i="1"/>
  <c r="B376" i="1"/>
  <c r="B377" i="1"/>
  <c r="B378" i="1"/>
  <c r="B379" i="1"/>
  <c r="B380" i="1"/>
  <c r="B381" i="1"/>
  <c r="B382" i="1"/>
  <c r="B383" i="1"/>
  <c r="B385" i="1"/>
  <c r="B387" i="1"/>
  <c r="B388" i="1"/>
  <c r="B391" i="1"/>
  <c r="B393" i="1"/>
  <c r="B394" i="1"/>
  <c r="B396" i="1"/>
  <c r="B398" i="1"/>
  <c r="B399" i="1"/>
  <c r="B400" i="1"/>
  <c r="B402" i="1"/>
  <c r="B403" i="1"/>
  <c r="B404" i="1"/>
  <c r="B407" i="1"/>
  <c r="B409" i="1"/>
  <c r="B410" i="1"/>
  <c r="B411" i="1"/>
  <c r="B412" i="1"/>
  <c r="B413" i="1"/>
  <c r="B414" i="1"/>
  <c r="B415" i="1"/>
  <c r="B416" i="1"/>
  <c r="B417" i="1"/>
  <c r="B418" i="1"/>
  <c r="B419" i="1"/>
  <c r="B421" i="1"/>
  <c r="B424" i="1"/>
  <c r="B428" i="1"/>
  <c r="B430" i="1"/>
  <c r="B432" i="1"/>
  <c r="B433" i="1"/>
  <c r="B434" i="1"/>
  <c r="B435" i="1"/>
  <c r="B436" i="1"/>
  <c r="B438" i="1"/>
  <c r="B439" i="1"/>
  <c r="B440" i="1"/>
  <c r="B441" i="1"/>
  <c r="B442" i="1"/>
  <c r="B443" i="1"/>
  <c r="B444" i="1"/>
  <c r="B445" i="1"/>
  <c r="B446" i="1"/>
  <c r="B448" i="1"/>
  <c r="B449" i="1"/>
  <c r="B450" i="1"/>
  <c r="B451" i="1"/>
  <c r="B452" i="1"/>
  <c r="B453" i="1"/>
  <c r="B454" i="1"/>
  <c r="B455" i="1"/>
  <c r="B456" i="1"/>
  <c r="B458" i="1"/>
  <c r="B459" i="1"/>
  <c r="B461" i="1"/>
  <c r="B462" i="1"/>
  <c r="B465" i="1"/>
  <c r="B466" i="1"/>
  <c r="B468" i="1"/>
  <c r="B469" i="1"/>
  <c r="B470" i="1"/>
  <c r="B471" i="1"/>
  <c r="B472" i="1"/>
  <c r="B473" i="1"/>
  <c r="B475" i="1"/>
  <c r="B476" i="1"/>
  <c r="B477" i="1"/>
  <c r="B479" i="1"/>
  <c r="B483" i="1"/>
  <c r="B484" i="1"/>
  <c r="B485" i="1"/>
  <c r="B486" i="1"/>
  <c r="B488" i="1"/>
  <c r="B489" i="1"/>
  <c r="B490" i="1"/>
  <c r="B491" i="1"/>
  <c r="B492" i="1"/>
  <c r="B493" i="1"/>
  <c r="B494" i="1"/>
  <c r="B495" i="1"/>
  <c r="B496" i="1"/>
  <c r="B497" i="1"/>
  <c r="B498" i="1"/>
  <c r="B499" i="1"/>
  <c r="B500" i="1"/>
  <c r="B501" i="1"/>
  <c r="B502" i="1"/>
  <c r="B503" i="1"/>
  <c r="B505" i="1"/>
  <c r="B506" i="1"/>
  <c r="B507" i="1"/>
  <c r="B508" i="1"/>
  <c r="B509" i="1"/>
  <c r="B510" i="1"/>
  <c r="B511" i="1"/>
  <c r="B512" i="1"/>
  <c r="B513" i="1"/>
  <c r="B514" i="1"/>
  <c r="B515" i="1"/>
  <c r="B516" i="1"/>
  <c r="B4" i="1"/>
  <c r="G5" i="12" l="1"/>
  <c r="G6" i="12"/>
  <c r="G9" i="12"/>
  <c r="G10" i="12"/>
  <c r="G11" i="12"/>
  <c r="G12" i="12"/>
  <c r="G13" i="12"/>
  <c r="G14" i="12"/>
  <c r="G15" i="12"/>
  <c r="G16" i="12"/>
  <c r="G17" i="12"/>
  <c r="G18" i="12"/>
  <c r="G19" i="12"/>
  <c r="G21" i="12"/>
  <c r="G22" i="12"/>
  <c r="G23" i="12"/>
  <c r="G24" i="12"/>
  <c r="G26" i="12"/>
  <c r="G27" i="12"/>
  <c r="G28" i="12"/>
  <c r="G29" i="12"/>
  <c r="G30" i="12"/>
  <c r="G31" i="12"/>
  <c r="G32" i="12"/>
  <c r="G33" i="12"/>
  <c r="G34" i="12"/>
  <c r="G35" i="12"/>
  <c r="G36" i="12"/>
  <c r="G37" i="12"/>
  <c r="G38" i="12"/>
  <c r="G40" i="12"/>
  <c r="G41" i="12"/>
  <c r="G42" i="12"/>
  <c r="G43" i="12"/>
  <c r="G44" i="12"/>
  <c r="G45" i="12"/>
  <c r="G46" i="12"/>
  <c r="G49" i="12"/>
  <c r="G50" i="12"/>
  <c r="G51" i="12"/>
  <c r="G52" i="12"/>
  <c r="G53" i="12"/>
  <c r="G54" i="12"/>
  <c r="G56" i="12"/>
  <c r="G57" i="12"/>
  <c r="G58" i="12"/>
  <c r="G59" i="12"/>
  <c r="G60" i="12"/>
  <c r="G61" i="12"/>
  <c r="G62" i="12"/>
  <c r="G63" i="12"/>
  <c r="G64" i="12"/>
  <c r="G65" i="12"/>
  <c r="G66" i="12"/>
  <c r="G67" i="12"/>
  <c r="G68" i="12"/>
  <c r="G69" i="12"/>
  <c r="G70" i="12"/>
  <c r="G71" i="12"/>
  <c r="G72" i="12"/>
  <c r="G75" i="12"/>
  <c r="G76" i="12"/>
  <c r="G77" i="12"/>
  <c r="G78" i="12"/>
  <c r="G79" i="12"/>
  <c r="G81" i="12"/>
  <c r="G82" i="12"/>
  <c r="G84" i="12"/>
  <c r="G85" i="12"/>
  <c r="G86" i="12"/>
  <c r="G87" i="12"/>
  <c r="G88" i="12"/>
  <c r="G89" i="12"/>
  <c r="G90" i="12"/>
  <c r="G91" i="12"/>
  <c r="G92" i="12"/>
  <c r="G93" i="12"/>
  <c r="G94" i="12"/>
  <c r="G95" i="12"/>
  <c r="G96" i="12"/>
  <c r="G97" i="12"/>
  <c r="G100" i="12"/>
  <c r="G101" i="12"/>
  <c r="G103" i="12"/>
  <c r="G104" i="12"/>
  <c r="G107" i="12"/>
  <c r="G108" i="12"/>
  <c r="G109" i="12"/>
  <c r="G110" i="12"/>
  <c r="G111" i="12"/>
  <c r="G112" i="12"/>
  <c r="G113" i="12"/>
  <c r="G114" i="12"/>
  <c r="G115" i="12"/>
  <c r="G116" i="12"/>
  <c r="G117" i="12"/>
  <c r="G118" i="12"/>
  <c r="G119" i="12"/>
  <c r="G120" i="12"/>
  <c r="G121" i="12"/>
  <c r="G122" i="12"/>
  <c r="G123" i="12"/>
  <c r="G124" i="12"/>
  <c r="G126" i="12"/>
  <c r="G127" i="12"/>
  <c r="G128" i="12"/>
  <c r="G129" i="12"/>
  <c r="G130" i="12"/>
  <c r="G131" i="12"/>
  <c r="G132" i="12"/>
  <c r="G133" i="12"/>
  <c r="G134" i="12"/>
  <c r="G135" i="12"/>
  <c r="G136" i="12"/>
  <c r="G137" i="12"/>
  <c r="G138" i="12"/>
  <c r="G139" i="12"/>
  <c r="G142" i="12"/>
  <c r="G143" i="12"/>
  <c r="G144" i="12"/>
  <c r="G145" i="12"/>
  <c r="G146" i="12"/>
  <c r="G147" i="12"/>
  <c r="G148" i="12"/>
  <c r="G149" i="12"/>
  <c r="G150" i="12"/>
  <c r="G151" i="12"/>
  <c r="G153" i="12"/>
  <c r="G154" i="12"/>
  <c r="G155" i="12"/>
  <c r="G156" i="12"/>
  <c r="G157" i="12"/>
  <c r="G158" i="12"/>
  <c r="G160" i="12"/>
  <c r="G161" i="12"/>
  <c r="G162" i="12"/>
  <c r="G163" i="12"/>
  <c r="G165" i="12"/>
  <c r="G168" i="12"/>
  <c r="G169" i="12"/>
  <c r="G170" i="12"/>
  <c r="G171" i="12"/>
  <c r="G172" i="12"/>
  <c r="G174" i="12"/>
  <c r="G175" i="12"/>
  <c r="G176" i="12"/>
  <c r="G177" i="12"/>
  <c r="G178" i="12"/>
  <c r="G179" i="12"/>
  <c r="G180" i="12"/>
  <c r="G181" i="12"/>
  <c r="G182" i="12"/>
  <c r="G184" i="12"/>
  <c r="G185" i="12"/>
  <c r="G186" i="12"/>
  <c r="G187" i="12"/>
  <c r="G188" i="12"/>
  <c r="G189" i="12"/>
  <c r="G190" i="12"/>
  <c r="G191" i="12"/>
  <c r="G192" i="12"/>
  <c r="G193" i="12"/>
  <c r="G194" i="12"/>
  <c r="G195" i="12"/>
  <c r="G196" i="12"/>
  <c r="G197" i="12"/>
  <c r="G198" i="12"/>
  <c r="G199" i="12"/>
  <c r="G200" i="12"/>
  <c r="G201" i="12"/>
  <c r="G202" i="12"/>
  <c r="G204" i="12"/>
  <c r="G205" i="12"/>
  <c r="G206" i="12"/>
  <c r="G207" i="12"/>
  <c r="G208" i="12"/>
  <c r="G209" i="12"/>
  <c r="G210" i="12"/>
  <c r="G213" i="12"/>
  <c r="G214" i="12"/>
  <c r="G215" i="12"/>
  <c r="G216" i="12"/>
  <c r="G217" i="12"/>
  <c r="G218" i="12"/>
  <c r="G219" i="12"/>
  <c r="G220" i="12"/>
  <c r="G223" i="12"/>
  <c r="G224" i="12"/>
  <c r="G226" i="12"/>
  <c r="G227" i="12"/>
  <c r="G228" i="12"/>
  <c r="G230" i="12"/>
  <c r="G231" i="12"/>
  <c r="G232" i="12"/>
  <c r="G233" i="12"/>
  <c r="G234" i="12"/>
  <c r="G236" i="12"/>
  <c r="G237" i="12"/>
  <c r="G238" i="12"/>
  <c r="G239" i="12"/>
  <c r="G240" i="12"/>
  <c r="G241" i="12"/>
  <c r="G242" i="12"/>
  <c r="G244" i="12"/>
  <c r="G245" i="12"/>
  <c r="G247" i="12"/>
  <c r="G248" i="12"/>
  <c r="G249" i="12"/>
  <c r="G250" i="12"/>
  <c r="G251" i="12"/>
  <c r="G252" i="12"/>
  <c r="G253" i="12"/>
  <c r="G254" i="12"/>
  <c r="G255" i="12"/>
  <c r="G256" i="12"/>
  <c r="G257" i="12"/>
  <c r="G258" i="12"/>
  <c r="G259" i="12"/>
  <c r="G261" i="12"/>
  <c r="G262" i="12"/>
  <c r="G263" i="12"/>
  <c r="G264" i="12"/>
  <c r="G265" i="12"/>
  <c r="G267" i="12"/>
  <c r="G268" i="12"/>
  <c r="G269" i="12"/>
  <c r="G270" i="12"/>
  <c r="G271" i="12"/>
  <c r="G272" i="12"/>
  <c r="G273" i="12"/>
  <c r="G275" i="12"/>
  <c r="G276" i="12"/>
  <c r="G277" i="12"/>
  <c r="G278" i="12"/>
  <c r="G279" i="12"/>
  <c r="G281" i="12"/>
  <c r="G282" i="12"/>
  <c r="G283" i="12"/>
  <c r="G284" i="12"/>
  <c r="G286" i="12"/>
  <c r="G288" i="12"/>
  <c r="G289" i="12"/>
  <c r="G290" i="12"/>
  <c r="G291" i="12"/>
  <c r="G292" i="12"/>
  <c r="G293" i="12"/>
  <c r="G295" i="12"/>
  <c r="G297" i="12"/>
  <c r="G298" i="12"/>
  <c r="G299" i="12"/>
  <c r="G300" i="12"/>
  <c r="G301" i="12"/>
  <c r="G303" i="12"/>
  <c r="G304" i="12"/>
  <c r="G305" i="12"/>
  <c r="G306" i="12"/>
  <c r="G308" i="12"/>
  <c r="G309" i="12"/>
  <c r="G310" i="12"/>
  <c r="G311" i="12"/>
  <c r="G313" i="12"/>
  <c r="G314" i="12"/>
  <c r="G315" i="12"/>
  <c r="G316" i="12"/>
  <c r="G317" i="12"/>
  <c r="G318" i="12"/>
  <c r="G320" i="12"/>
  <c r="G322" i="12"/>
  <c r="G324" i="12"/>
  <c r="G325" i="12"/>
  <c r="G326" i="12"/>
  <c r="G327" i="12"/>
  <c r="G329" i="12"/>
  <c r="G331" i="12"/>
  <c r="G332" i="12"/>
  <c r="G333" i="12"/>
  <c r="G334" i="12"/>
  <c r="G336" i="12"/>
  <c r="G337" i="12"/>
  <c r="G341" i="12"/>
  <c r="G342" i="12"/>
  <c r="G343" i="12"/>
  <c r="G344" i="12"/>
  <c r="G345" i="12"/>
  <c r="G346" i="12"/>
  <c r="G347" i="12"/>
  <c r="G348" i="12"/>
  <c r="G349" i="12"/>
  <c r="G350" i="12"/>
  <c r="G351" i="12"/>
  <c r="G352" i="12"/>
  <c r="G353" i="12"/>
  <c r="G354" i="12"/>
  <c r="G355" i="12"/>
  <c r="G356" i="12"/>
  <c r="G357" i="12"/>
  <c r="G358" i="12"/>
  <c r="G359" i="12"/>
  <c r="G361" i="12"/>
  <c r="G362" i="12"/>
  <c r="G363" i="12"/>
  <c r="G364" i="12"/>
  <c r="G365" i="12"/>
  <c r="G366" i="12"/>
  <c r="G367" i="12"/>
  <c r="G368" i="12"/>
  <c r="G369" i="12"/>
  <c r="G370" i="12"/>
  <c r="G371" i="12"/>
  <c r="G372" i="12"/>
  <c r="G373" i="12"/>
  <c r="G375" i="12"/>
  <c r="G376" i="12"/>
  <c r="G377" i="12"/>
  <c r="G378" i="12"/>
  <c r="G379" i="12"/>
  <c r="G380" i="12"/>
  <c r="G381" i="12"/>
  <c r="G382" i="12"/>
  <c r="G383" i="12"/>
  <c r="G385" i="12"/>
  <c r="G386" i="12"/>
  <c r="G387" i="12"/>
  <c r="G388" i="12"/>
  <c r="G389" i="12"/>
  <c r="G390" i="12"/>
  <c r="G391" i="12"/>
  <c r="G392" i="12"/>
  <c r="G393" i="12"/>
  <c r="G74" i="12"/>
  <c r="G80" i="12"/>
  <c r="G141" i="12"/>
  <c r="G235" i="12"/>
  <c r="G296" i="12"/>
  <c r="G7" i="12"/>
  <c r="G47" i="12"/>
  <c r="G384" i="12"/>
  <c r="G173" i="12"/>
  <c r="G48" i="12"/>
  <c r="G225" i="12"/>
  <c r="G339" i="12"/>
  <c r="G285" i="12"/>
  <c r="G360" i="12"/>
  <c r="G340" i="12"/>
  <c r="G338" i="12"/>
  <c r="G20" i="12"/>
  <c r="G25" i="12"/>
  <c r="G73" i="12"/>
  <c r="G140" i="12"/>
  <c r="G274" i="12"/>
  <c r="G294" i="12"/>
  <c r="G83" i="12"/>
  <c r="G98" i="12"/>
  <c r="G55" i="12"/>
  <c r="G102" i="12"/>
  <c r="G302" i="12"/>
  <c r="G287" i="12"/>
  <c r="G152" i="12"/>
  <c r="G159" i="12"/>
  <c r="G183" i="12"/>
  <c r="G280" i="12"/>
  <c r="G203" i="12"/>
  <c r="G125" i="12"/>
  <c r="G211" i="12"/>
  <c r="G374" i="12"/>
  <c r="G221" i="12"/>
  <c r="G222" i="12"/>
  <c r="G229" i="12"/>
  <c r="G8" i="12"/>
  <c r="G105" i="12"/>
  <c r="G164" i="12"/>
  <c r="G321" i="12"/>
  <c r="G335" i="12"/>
  <c r="G394" i="12"/>
  <c r="G312" i="12"/>
  <c r="G212" i="12"/>
  <c r="G260" i="12"/>
  <c r="G328" i="12"/>
  <c r="G330" i="12"/>
  <c r="G323" i="12"/>
  <c r="G167" i="12"/>
  <c r="G166" i="12"/>
  <c r="G307" i="12"/>
  <c r="G395" i="12"/>
  <c r="G106" i="12"/>
  <c r="G246" i="12"/>
  <c r="G4" i="12"/>
  <c r="U313" i="6" l="1"/>
  <c r="T313" i="6"/>
  <c r="S313" i="6"/>
  <c r="R313" i="6"/>
  <c r="Q313" i="6"/>
  <c r="P313" i="6"/>
  <c r="O313" i="6"/>
  <c r="N313" i="6"/>
  <c r="M313" i="6"/>
  <c r="L313" i="6"/>
  <c r="K313" i="6"/>
  <c r="F315" i="3" l="1"/>
  <c r="G315" i="3"/>
  <c r="H315" i="3"/>
  <c r="I315" i="3"/>
  <c r="J315" i="3"/>
  <c r="K315" i="3"/>
  <c r="L315" i="3"/>
  <c r="M315" i="3"/>
  <c r="N315" i="3"/>
  <c r="O315" i="3"/>
  <c r="P315" i="3"/>
  <c r="Q315" i="3"/>
  <c r="R315" i="3"/>
  <c r="S315" i="3"/>
  <c r="T315" i="3"/>
  <c r="B530" i="1" l="1"/>
  <c r="V7" i="4" s="1"/>
  <c r="AB24" i="4" l="1"/>
  <c r="AB28" i="4"/>
  <c r="AB32" i="4"/>
  <c r="AB36" i="4"/>
  <c r="AB40" i="4"/>
  <c r="AB44" i="4"/>
  <c r="AB48" i="4"/>
  <c r="AB52" i="4"/>
  <c r="AB56" i="4"/>
  <c r="AB60" i="4"/>
  <c r="AB64" i="4"/>
  <c r="AB68" i="4"/>
  <c r="AB72" i="4"/>
  <c r="AA77" i="4"/>
  <c r="AA81" i="4"/>
  <c r="AA85" i="4"/>
  <c r="AA89" i="4"/>
  <c r="AA93" i="4"/>
  <c r="AA97" i="4"/>
  <c r="AA101" i="4"/>
  <c r="AA105" i="4"/>
  <c r="AA109" i="4"/>
  <c r="AA113" i="4"/>
  <c r="AA117" i="4"/>
  <c r="AA121" i="4"/>
  <c r="AA125" i="4"/>
  <c r="AA129" i="4"/>
  <c r="AA133" i="4"/>
  <c r="AA137" i="4"/>
  <c r="AA141" i="4"/>
  <c r="AA145" i="4"/>
  <c r="AA149" i="4"/>
  <c r="AA153" i="4"/>
  <c r="AA157" i="4"/>
  <c r="AA161" i="4"/>
  <c r="AA165" i="4"/>
  <c r="AA169" i="4"/>
  <c r="AA173" i="4"/>
  <c r="AA178" i="4"/>
  <c r="AA182" i="4"/>
  <c r="AA186" i="4"/>
  <c r="AA190" i="4"/>
  <c r="AA194" i="4"/>
  <c r="AA198" i="4"/>
  <c r="AA202" i="4"/>
  <c r="AA206" i="4"/>
  <c r="AA210" i="4"/>
  <c r="AA214" i="4"/>
  <c r="AA218" i="4"/>
  <c r="AA222" i="4"/>
  <c r="AA226" i="4"/>
  <c r="AA230" i="4"/>
  <c r="AA234" i="4"/>
  <c r="AA238" i="4"/>
  <c r="AA242" i="4"/>
  <c r="AA246" i="4"/>
  <c r="AA250" i="4"/>
  <c r="AA254" i="4"/>
  <c r="AA258" i="4"/>
  <c r="AA262" i="4"/>
  <c r="AA266" i="4"/>
  <c r="AA270" i="4"/>
  <c r="AA274" i="4"/>
  <c r="AA278" i="4"/>
  <c r="AA282" i="4"/>
  <c r="AA286" i="4"/>
  <c r="AA290" i="4"/>
  <c r="AA294" i="4"/>
  <c r="AA298" i="4"/>
  <c r="AA302" i="4"/>
  <c r="AA306" i="4"/>
  <c r="AA310" i="4"/>
  <c r="AA314" i="4"/>
  <c r="AA318" i="4"/>
  <c r="AA322" i="4"/>
  <c r="AA326" i="4"/>
  <c r="AA330" i="4"/>
  <c r="AA334" i="4"/>
  <c r="AA338" i="4"/>
  <c r="AA342" i="4"/>
  <c r="AB25" i="4"/>
  <c r="AB29" i="4"/>
  <c r="AB33" i="4"/>
  <c r="AB37" i="4"/>
  <c r="AB41" i="4"/>
  <c r="AB45" i="4"/>
  <c r="AB49" i="4"/>
  <c r="AB53" i="4"/>
  <c r="AB57" i="4"/>
  <c r="AB61" i="4"/>
  <c r="AB65" i="4"/>
  <c r="AB69" i="4"/>
  <c r="AB73" i="4"/>
  <c r="AA78" i="4"/>
  <c r="AA82" i="4"/>
  <c r="AA86" i="4"/>
  <c r="AA90" i="4"/>
  <c r="AA94" i="4"/>
  <c r="AA98" i="4"/>
  <c r="AA102" i="4"/>
  <c r="AA106" i="4"/>
  <c r="AA110" i="4"/>
  <c r="AA114" i="4"/>
  <c r="AA118" i="4"/>
  <c r="AA122" i="4"/>
  <c r="AA126" i="4"/>
  <c r="AA130" i="4"/>
  <c r="AA134" i="4"/>
  <c r="AA138" i="4"/>
  <c r="AA142" i="4"/>
  <c r="AA146" i="4"/>
  <c r="AA150" i="4"/>
  <c r="AA154" i="4"/>
  <c r="AA158" i="4"/>
  <c r="AA162" i="4"/>
  <c r="AA166" i="4"/>
  <c r="AA170" i="4"/>
  <c r="AA174" i="4"/>
  <c r="AA179" i="4"/>
  <c r="AA183" i="4"/>
  <c r="AA187" i="4"/>
  <c r="AA191" i="4"/>
  <c r="AA195" i="4"/>
  <c r="AA199" i="4"/>
  <c r="AA203" i="4"/>
  <c r="AA207" i="4"/>
  <c r="AA211" i="4"/>
  <c r="AA215" i="4"/>
  <c r="AA219" i="4"/>
  <c r="AA223" i="4"/>
  <c r="AA227" i="4"/>
  <c r="AA231" i="4"/>
  <c r="AA235" i="4"/>
  <c r="AA239" i="4"/>
  <c r="AA243" i="4"/>
  <c r="AA247" i="4"/>
  <c r="AA251" i="4"/>
  <c r="AA255" i="4"/>
  <c r="AA259" i="4"/>
  <c r="AA263" i="4"/>
  <c r="AA267" i="4"/>
  <c r="AA271" i="4"/>
  <c r="AA275" i="4"/>
  <c r="AA279" i="4"/>
  <c r="AA283" i="4"/>
  <c r="AA287" i="4"/>
  <c r="AA291" i="4"/>
  <c r="AA295" i="4"/>
  <c r="AA299" i="4"/>
  <c r="AA303" i="4"/>
  <c r="AA307" i="4"/>
  <c r="AA311" i="4"/>
  <c r="AA315" i="4"/>
  <c r="AA319" i="4"/>
  <c r="AA323" i="4"/>
  <c r="AA327" i="4"/>
  <c r="AA331" i="4"/>
  <c r="AA335" i="4"/>
  <c r="AA339" i="4"/>
  <c r="AA343" i="4"/>
  <c r="AA6" i="4"/>
  <c r="AB22" i="4"/>
  <c r="AB26" i="4"/>
  <c r="AB30" i="4"/>
  <c r="AB34" i="4"/>
  <c r="AB38" i="4"/>
  <c r="AB42" i="4"/>
  <c r="AB46" i="4"/>
  <c r="AB50" i="4"/>
  <c r="AB54" i="4"/>
  <c r="AB58" i="4"/>
  <c r="AB62" i="4"/>
  <c r="AB66" i="4"/>
  <c r="AB70" i="4"/>
  <c r="AB74" i="4"/>
  <c r="AA79" i="4"/>
  <c r="AA83" i="4"/>
  <c r="AA87" i="4"/>
  <c r="AA91" i="4"/>
  <c r="AA95" i="4"/>
  <c r="AA99" i="4"/>
  <c r="AA103" i="4"/>
  <c r="AA107" i="4"/>
  <c r="AA111" i="4"/>
  <c r="AA115" i="4"/>
  <c r="AA119" i="4"/>
  <c r="AA123" i="4"/>
  <c r="AA127" i="4"/>
  <c r="AA131" i="4"/>
  <c r="AA135" i="4"/>
  <c r="AA139" i="4"/>
  <c r="AA143" i="4"/>
  <c r="AA147" i="4"/>
  <c r="AA151" i="4"/>
  <c r="AA155" i="4"/>
  <c r="AA159" i="4"/>
  <c r="AA163" i="4"/>
  <c r="AA167" i="4"/>
  <c r="AA171" i="4"/>
  <c r="AA175" i="4"/>
  <c r="AA180" i="4"/>
  <c r="AA184" i="4"/>
  <c r="AA188" i="4"/>
  <c r="AA192" i="4"/>
  <c r="AA196" i="4"/>
  <c r="AA200" i="4"/>
  <c r="AA204" i="4"/>
  <c r="AA208" i="4"/>
  <c r="AA212" i="4"/>
  <c r="AA216" i="4"/>
  <c r="AA220" i="4"/>
  <c r="AA224" i="4"/>
  <c r="AA228" i="4"/>
  <c r="AA232" i="4"/>
  <c r="AA236" i="4"/>
  <c r="AA240" i="4"/>
  <c r="AA244" i="4"/>
  <c r="AA248" i="4"/>
  <c r="AA252" i="4"/>
  <c r="AA256" i="4"/>
  <c r="AA260" i="4"/>
  <c r="AA264" i="4"/>
  <c r="AA268" i="4"/>
  <c r="AA272" i="4"/>
  <c r="AA276" i="4"/>
  <c r="AA280" i="4"/>
  <c r="AA284" i="4"/>
  <c r="AA288" i="4"/>
  <c r="AA292" i="4"/>
  <c r="AA296" i="4"/>
  <c r="AA300" i="4"/>
  <c r="AA304" i="4"/>
  <c r="AA308" i="4"/>
  <c r="AA312" i="4"/>
  <c r="AA316" i="4"/>
  <c r="AA320" i="4"/>
  <c r="AA324" i="4"/>
  <c r="AA328" i="4"/>
  <c r="AA332" i="4"/>
  <c r="AA336" i="4"/>
  <c r="AA340" i="4"/>
  <c r="AA344" i="4"/>
  <c r="AA4" i="4"/>
  <c r="AA18" i="4"/>
  <c r="AA24" i="4"/>
  <c r="AA31" i="4"/>
  <c r="AA37" i="4"/>
  <c r="AB43" i="4"/>
  <c r="AA50" i="4"/>
  <c r="AA56" i="4"/>
  <c r="AA63" i="4"/>
  <c r="AA69" i="4"/>
  <c r="AA76" i="4"/>
  <c r="AB82" i="4"/>
  <c r="AB88" i="4"/>
  <c r="AB95" i="4"/>
  <c r="AB101" i="4"/>
  <c r="AA108" i="4"/>
  <c r="AB114" i="4"/>
  <c r="AB120" i="4"/>
  <c r="AB127" i="4"/>
  <c r="AB133" i="4"/>
  <c r="AA140" i="4"/>
  <c r="AB146" i="4"/>
  <c r="AB152" i="4"/>
  <c r="AB159" i="4"/>
  <c r="AB165" i="4"/>
  <c r="AA172" i="4"/>
  <c r="AB179" i="4"/>
  <c r="AB185" i="4"/>
  <c r="AB192" i="4"/>
  <c r="AB198" i="4"/>
  <c r="AA205" i="4"/>
  <c r="AB211" i="4"/>
  <c r="AB217" i="4"/>
  <c r="AB224" i="4"/>
  <c r="AB230" i="4"/>
  <c r="AA237" i="4"/>
  <c r="AB243" i="4"/>
  <c r="AB249" i="4"/>
  <c r="AB256" i="4"/>
  <c r="AB262" i="4"/>
  <c r="AA269" i="4"/>
  <c r="AB275" i="4"/>
  <c r="AB281" i="4"/>
  <c r="AB288" i="4"/>
  <c r="AB294" i="4"/>
  <c r="AA301" i="4"/>
  <c r="AB307" i="4"/>
  <c r="AB313" i="4"/>
  <c r="AB320" i="4"/>
  <c r="AB326" i="4"/>
  <c r="AA333" i="4"/>
  <c r="AB339" i="4"/>
  <c r="AB345" i="4"/>
  <c r="AB349" i="4"/>
  <c r="AB353" i="4"/>
  <c r="AB357" i="4"/>
  <c r="AB361" i="4"/>
  <c r="AB365" i="4"/>
  <c r="AB369" i="4"/>
  <c r="AB373" i="4"/>
  <c r="AB377" i="4"/>
  <c r="AB381" i="4"/>
  <c r="AB385" i="4"/>
  <c r="AB389" i="4"/>
  <c r="AB393" i="4"/>
  <c r="AB397" i="4"/>
  <c r="AB401" i="4"/>
  <c r="AB405" i="4"/>
  <c r="AB409" i="4"/>
  <c r="AB413" i="4"/>
  <c r="AB417" i="4"/>
  <c r="AB421" i="4"/>
  <c r="AB425" i="4"/>
  <c r="AB429" i="4"/>
  <c r="AB433" i="4"/>
  <c r="AB437" i="4"/>
  <c r="AB441" i="4"/>
  <c r="AB445" i="4"/>
  <c r="AB449" i="4"/>
  <c r="AB453" i="4"/>
  <c r="AB457" i="4"/>
  <c r="AB461" i="4"/>
  <c r="AB465" i="4"/>
  <c r="AB469" i="4"/>
  <c r="AA5" i="4"/>
  <c r="AA12" i="4"/>
  <c r="AA19" i="4"/>
  <c r="AA25" i="4"/>
  <c r="AB31" i="4"/>
  <c r="AA38" i="4"/>
  <c r="AA44" i="4"/>
  <c r="AA51" i="4"/>
  <c r="AA57" i="4"/>
  <c r="AB63" i="4"/>
  <c r="AA70" i="4"/>
  <c r="AB76" i="4"/>
  <c r="AB83" i="4"/>
  <c r="AB89" i="4"/>
  <c r="AA96" i="4"/>
  <c r="AB102" i="4"/>
  <c r="AB108" i="4"/>
  <c r="AB115" i="4"/>
  <c r="AB121" i="4"/>
  <c r="AA128" i="4"/>
  <c r="AB134" i="4"/>
  <c r="AB140" i="4"/>
  <c r="AB147" i="4"/>
  <c r="AB153" i="4"/>
  <c r="AA160" i="4"/>
  <c r="AB166" i="4"/>
  <c r="AB172" i="4"/>
  <c r="AB180" i="4"/>
  <c r="AB186" i="4"/>
  <c r="AA193" i="4"/>
  <c r="AB199" i="4"/>
  <c r="AB205" i="4"/>
  <c r="AB212" i="4"/>
  <c r="AB218" i="4"/>
  <c r="AA225" i="4"/>
  <c r="AB231" i="4"/>
  <c r="AB237" i="4"/>
  <c r="AB244" i="4"/>
  <c r="AB250" i="4"/>
  <c r="AA257" i="4"/>
  <c r="AB263" i="4"/>
  <c r="AB269" i="4"/>
  <c r="AB276" i="4"/>
  <c r="AB282" i="4"/>
  <c r="AA289" i="4"/>
  <c r="AB295" i="4"/>
  <c r="AB301" i="4"/>
  <c r="AB308" i="4"/>
  <c r="AB314" i="4"/>
  <c r="AA321" i="4"/>
  <c r="AB327" i="4"/>
  <c r="AB333" i="4"/>
  <c r="AB340" i="4"/>
  <c r="AA346" i="4"/>
  <c r="AA350" i="4"/>
  <c r="AA354" i="4"/>
  <c r="AA358" i="4"/>
  <c r="AA362" i="4"/>
  <c r="AA366" i="4"/>
  <c r="AA370" i="4"/>
  <c r="AA374" i="4"/>
  <c r="AA378" i="4"/>
  <c r="AA382" i="4"/>
  <c r="AA386" i="4"/>
  <c r="AA390" i="4"/>
  <c r="AA394" i="4"/>
  <c r="AA398" i="4"/>
  <c r="AA402" i="4"/>
  <c r="AA406" i="4"/>
  <c r="AA410" i="4"/>
  <c r="AA414" i="4"/>
  <c r="AA418" i="4"/>
  <c r="AA422" i="4"/>
  <c r="AA426" i="4"/>
  <c r="AA430" i="4"/>
  <c r="AA434" i="4"/>
  <c r="AA438" i="4"/>
  <c r="AA442" i="4"/>
  <c r="AA446" i="4"/>
  <c r="AA450" i="4"/>
  <c r="AA454" i="4"/>
  <c r="AA458" i="4"/>
  <c r="AA462" i="4"/>
  <c r="AA466" i="4"/>
  <c r="AA470" i="4"/>
  <c r="AA8" i="4"/>
  <c r="AA15" i="4"/>
  <c r="AA21" i="4"/>
  <c r="AB27" i="4"/>
  <c r="AA34" i="4"/>
  <c r="AA40" i="4"/>
  <c r="AA47" i="4"/>
  <c r="AA53" i="4"/>
  <c r="AB59" i="4"/>
  <c r="AA66" i="4"/>
  <c r="AA72" i="4"/>
  <c r="AB79" i="4"/>
  <c r="AB85" i="4"/>
  <c r="AA92" i="4"/>
  <c r="AB98" i="4"/>
  <c r="AB104" i="4"/>
  <c r="AB111" i="4"/>
  <c r="AB117" i="4"/>
  <c r="AA124" i="4"/>
  <c r="AB130" i="4"/>
  <c r="AB136" i="4"/>
  <c r="AB143" i="4"/>
  <c r="AB149" i="4"/>
  <c r="AA156" i="4"/>
  <c r="AB162" i="4"/>
  <c r="AB168" i="4"/>
  <c r="AB175" i="4"/>
  <c r="AB182" i="4"/>
  <c r="AA189" i="4"/>
  <c r="AB195" i="4"/>
  <c r="AB201" i="4"/>
  <c r="AB208" i="4"/>
  <c r="AB214" i="4"/>
  <c r="AA221" i="4"/>
  <c r="AB227" i="4"/>
  <c r="AB233" i="4"/>
  <c r="AB240" i="4"/>
  <c r="AB246" i="4"/>
  <c r="AA253" i="4"/>
  <c r="AB259" i="4"/>
  <c r="AB265" i="4"/>
  <c r="AB272" i="4"/>
  <c r="AB278" i="4"/>
  <c r="AA285" i="4"/>
  <c r="AB291" i="4"/>
  <c r="AB297" i="4"/>
  <c r="AB304" i="4"/>
  <c r="AB310" i="4"/>
  <c r="AA317" i="4"/>
  <c r="AB323" i="4"/>
  <c r="AB329" i="4"/>
  <c r="AB336" i="4"/>
  <c r="AB342" i="4"/>
  <c r="AB347" i="4"/>
  <c r="AB351" i="4"/>
  <c r="AB355" i="4"/>
  <c r="AB359" i="4"/>
  <c r="AB363" i="4"/>
  <c r="AB367" i="4"/>
  <c r="AB371" i="4"/>
  <c r="AB375" i="4"/>
  <c r="AB379" i="4"/>
  <c r="AB383" i="4"/>
  <c r="AB387" i="4"/>
  <c r="AB391" i="4"/>
  <c r="AB395" i="4"/>
  <c r="AB399" i="4"/>
  <c r="AB403" i="4"/>
  <c r="AB407" i="4"/>
  <c r="AB411" i="4"/>
  <c r="AB415" i="4"/>
  <c r="AB419" i="4"/>
  <c r="AB423" i="4"/>
  <c r="AB427" i="4"/>
  <c r="AB431" i="4"/>
  <c r="AB435" i="4"/>
  <c r="AB439" i="4"/>
  <c r="AB443" i="4"/>
  <c r="AB447" i="4"/>
  <c r="AB451" i="4"/>
  <c r="AA9" i="4"/>
  <c r="AA22" i="4"/>
  <c r="AA28" i="4"/>
  <c r="AA35" i="4"/>
  <c r="AA41" i="4"/>
  <c r="AB47" i="4"/>
  <c r="AA54" i="4"/>
  <c r="AA60" i="4"/>
  <c r="AA67" i="4"/>
  <c r="AA73" i="4"/>
  <c r="AA80" i="4"/>
  <c r="AB86" i="4"/>
  <c r="AB92" i="4"/>
  <c r="AB99" i="4"/>
  <c r="AB105" i="4"/>
  <c r="AA112" i="4"/>
  <c r="AB118" i="4"/>
  <c r="AB124" i="4"/>
  <c r="AB131" i="4"/>
  <c r="AB137" i="4"/>
  <c r="AA144" i="4"/>
  <c r="AB150" i="4"/>
  <c r="AB156" i="4"/>
  <c r="AB163" i="4"/>
  <c r="AB169" i="4"/>
  <c r="AA176" i="4"/>
  <c r="AB183" i="4"/>
  <c r="AB189" i="4"/>
  <c r="AB196" i="4"/>
  <c r="AB202" i="4"/>
  <c r="AA209" i="4"/>
  <c r="AB215" i="4"/>
  <c r="AB221" i="4"/>
  <c r="AB228" i="4"/>
  <c r="AB234" i="4"/>
  <c r="AA241" i="4"/>
  <c r="AB247" i="4"/>
  <c r="AB253" i="4"/>
  <c r="AB260" i="4"/>
  <c r="AB266" i="4"/>
  <c r="AA273" i="4"/>
  <c r="AB279" i="4"/>
  <c r="AB285" i="4"/>
  <c r="AB292" i="4"/>
  <c r="AB298" i="4"/>
  <c r="AA305" i="4"/>
  <c r="AB311" i="4"/>
  <c r="AB317" i="4"/>
  <c r="AB324" i="4"/>
  <c r="AB330" i="4"/>
  <c r="AA337" i="4"/>
  <c r="AB343" i="4"/>
  <c r="AA348" i="4"/>
  <c r="AA352" i="4"/>
  <c r="AA356" i="4"/>
  <c r="AA360" i="4"/>
  <c r="AA364" i="4"/>
  <c r="AA368" i="4"/>
  <c r="AA372" i="4"/>
  <c r="AA376" i="4"/>
  <c r="AA380" i="4"/>
  <c r="AA384" i="4"/>
  <c r="AA388" i="4"/>
  <c r="AA392" i="4"/>
  <c r="AA396" i="4"/>
  <c r="AA400" i="4"/>
  <c r="AA404" i="4"/>
  <c r="AA408" i="4"/>
  <c r="AA412" i="4"/>
  <c r="AA416" i="4"/>
  <c r="AA420" i="4"/>
  <c r="AA424" i="4"/>
  <c r="AA428" i="4"/>
  <c r="AA432" i="4"/>
  <c r="AA436" i="4"/>
  <c r="AA440" i="4"/>
  <c r="AA444" i="4"/>
  <c r="AA448" i="4"/>
  <c r="AA452" i="4"/>
  <c r="AA456" i="4"/>
  <c r="AA460" i="4"/>
  <c r="AA464" i="4"/>
  <c r="AA468" i="4"/>
  <c r="AA472" i="4"/>
  <c r="AA16" i="4"/>
  <c r="AA29" i="4"/>
  <c r="AA42" i="4"/>
  <c r="AA55" i="4"/>
  <c r="AB67" i="4"/>
  <c r="AB80" i="4"/>
  <c r="AB93" i="4"/>
  <c r="AB106" i="4"/>
  <c r="AB119" i="4"/>
  <c r="AA132" i="4"/>
  <c r="AB144" i="4"/>
  <c r="AB157" i="4"/>
  <c r="AB170" i="4"/>
  <c r="AB184" i="4"/>
  <c r="AA197" i="4"/>
  <c r="AB209" i="4"/>
  <c r="AB222" i="4"/>
  <c r="AB235" i="4"/>
  <c r="AB248" i="4"/>
  <c r="AA261" i="4"/>
  <c r="AB273" i="4"/>
  <c r="AB286" i="4"/>
  <c r="AB299" i="4"/>
  <c r="AB312" i="4"/>
  <c r="AA325" i="4"/>
  <c r="AB337" i="4"/>
  <c r="AB348" i="4"/>
  <c r="AB356" i="4"/>
  <c r="AB364" i="4"/>
  <c r="AB372" i="4"/>
  <c r="AB380" i="4"/>
  <c r="AB388" i="4"/>
  <c r="AB396" i="4"/>
  <c r="AB404" i="4"/>
  <c r="AB412" i="4"/>
  <c r="AB420" i="4"/>
  <c r="AB428" i="4"/>
  <c r="AB436" i="4"/>
  <c r="AB444" i="4"/>
  <c r="AB452" i="4"/>
  <c r="AA459" i="4"/>
  <c r="AA465" i="4"/>
  <c r="AB471" i="4"/>
  <c r="AA476" i="4"/>
  <c r="AA480" i="4"/>
  <c r="AA484" i="4"/>
  <c r="AA488" i="4"/>
  <c r="W57" i="4"/>
  <c r="AB11" i="7"/>
  <c r="AB243" i="7"/>
  <c r="AB458" i="7"/>
  <c r="AB13" i="7"/>
  <c r="AB21" i="7"/>
  <c r="AB29" i="7"/>
  <c r="AB38" i="7"/>
  <c r="AB46" i="7"/>
  <c r="AB54" i="7"/>
  <c r="AB62" i="7"/>
  <c r="AB71" i="7"/>
  <c r="AB80" i="7"/>
  <c r="AB89" i="7"/>
  <c r="AB97" i="7"/>
  <c r="AB107" i="7"/>
  <c r="AB115" i="7"/>
  <c r="AB124" i="7"/>
  <c r="AB132" i="7"/>
  <c r="AB141" i="7"/>
  <c r="AB149" i="7"/>
  <c r="AB157" i="7"/>
  <c r="AB166" i="7"/>
  <c r="AB176" i="7"/>
  <c r="AB184" i="7"/>
  <c r="AB193" i="7"/>
  <c r="AB202" i="7"/>
  <c r="AB210" i="7"/>
  <c r="AB219" i="7"/>
  <c r="AB227" i="7"/>
  <c r="AB238" i="7"/>
  <c r="AB247" i="7"/>
  <c r="AB255" i="7"/>
  <c r="AB263" i="7"/>
  <c r="AB271" i="7"/>
  <c r="AB280" i="7"/>
  <c r="AB288" i="7"/>
  <c r="AB298" i="7"/>
  <c r="AB492" i="4"/>
  <c r="AA17" i="4"/>
  <c r="AA30" i="4"/>
  <c r="AA43" i="4"/>
  <c r="AB55" i="4"/>
  <c r="AA68" i="4"/>
  <c r="AB81" i="4"/>
  <c r="AB94" i="4"/>
  <c r="AB107" i="4"/>
  <c r="AA120" i="4"/>
  <c r="AB132" i="4"/>
  <c r="AB145" i="4"/>
  <c r="AB158" i="4"/>
  <c r="AB171" i="4"/>
  <c r="AA185" i="4"/>
  <c r="AB197" i="4"/>
  <c r="AB210" i="4"/>
  <c r="AB223" i="4"/>
  <c r="AB236" i="4"/>
  <c r="AA249" i="4"/>
  <c r="AB261" i="4"/>
  <c r="AB274" i="4"/>
  <c r="AB287" i="4"/>
  <c r="AB300" i="4"/>
  <c r="AA313" i="4"/>
  <c r="AB325" i="4"/>
  <c r="AB338" i="4"/>
  <c r="AA349" i="4"/>
  <c r="AA357" i="4"/>
  <c r="AA365" i="4"/>
  <c r="AA373" i="4"/>
  <c r="AA381" i="4"/>
  <c r="AA389" i="4"/>
  <c r="AA397" i="4"/>
  <c r="AA405" i="4"/>
  <c r="AA413" i="4"/>
  <c r="AA421" i="4"/>
  <c r="AA429" i="4"/>
  <c r="AA437" i="4"/>
  <c r="AA445" i="4"/>
  <c r="AA453" i="4"/>
  <c r="AB459" i="4"/>
  <c r="AB466" i="4"/>
  <c r="AB472" i="4"/>
  <c r="AB476" i="4"/>
  <c r="AB480" i="4"/>
  <c r="AB484" i="4"/>
  <c r="AB488" i="4"/>
  <c r="X57" i="4"/>
  <c r="AB509" i="7"/>
  <c r="AB273" i="7"/>
  <c r="AB475" i="7"/>
  <c r="AB14" i="7"/>
  <c r="AB22" i="7"/>
  <c r="AB30" i="7"/>
  <c r="AB39" i="7"/>
  <c r="AB47" i="7"/>
  <c r="AB55" i="7"/>
  <c r="AB63" i="7"/>
  <c r="AB72" i="7"/>
  <c r="AB81" i="7"/>
  <c r="AB90" i="7"/>
  <c r="AB98" i="7"/>
  <c r="AB108" i="7"/>
  <c r="AB117" i="7"/>
  <c r="AB125" i="7"/>
  <c r="AB133" i="7"/>
  <c r="AB142" i="7"/>
  <c r="AB150" i="7"/>
  <c r="AB158" i="7"/>
  <c r="AB167" i="7"/>
  <c r="AB177" i="7"/>
  <c r="AB185" i="7"/>
  <c r="AB194" i="7"/>
  <c r="AB203" i="7"/>
  <c r="AB211" i="7"/>
  <c r="AB220" i="7"/>
  <c r="AB228" i="7"/>
  <c r="AB239" i="7"/>
  <c r="AB248" i="7"/>
  <c r="AB256" i="7"/>
  <c r="AB264" i="7"/>
  <c r="AB272" i="7"/>
  <c r="AB281" i="7"/>
  <c r="AB289" i="7"/>
  <c r="AA7" i="4"/>
  <c r="AA32" i="4"/>
  <c r="AA45" i="4"/>
  <c r="AA58" i="4"/>
  <c r="AA71" i="4"/>
  <c r="AA84" i="4"/>
  <c r="AB96" i="4"/>
  <c r="AB109" i="4"/>
  <c r="AB122" i="4"/>
  <c r="AB135" i="4"/>
  <c r="AA148" i="4"/>
  <c r="AB160" i="4"/>
  <c r="AB173" i="4"/>
  <c r="AB187" i="4"/>
  <c r="AB200" i="4"/>
  <c r="AA213" i="4"/>
  <c r="AB225" i="4"/>
  <c r="AB238" i="4"/>
  <c r="AB251" i="4"/>
  <c r="AB264" i="4"/>
  <c r="AA277" i="4"/>
  <c r="AB289" i="4"/>
  <c r="AB302" i="4"/>
  <c r="AB315" i="4"/>
  <c r="AB328" i="4"/>
  <c r="AA341" i="4"/>
  <c r="AB350" i="4"/>
  <c r="AB358" i="4"/>
  <c r="AB366" i="4"/>
  <c r="AB374" i="4"/>
  <c r="AB382" i="4"/>
  <c r="AB390" i="4"/>
  <c r="AB398" i="4"/>
  <c r="AB406" i="4"/>
  <c r="AB414" i="4"/>
  <c r="AB422" i="4"/>
  <c r="AB430" i="4"/>
  <c r="AB438" i="4"/>
  <c r="AB446" i="4"/>
  <c r="AB454" i="4"/>
  <c r="AB460" i="4"/>
  <c r="AA467" i="4"/>
  <c r="AA473" i="4"/>
  <c r="AA477" i="4"/>
  <c r="AA481" i="4"/>
  <c r="AA485" i="4"/>
  <c r="AA489" i="4"/>
  <c r="Y57" i="4"/>
  <c r="AB106" i="7"/>
  <c r="AB293" i="7"/>
  <c r="AB500" i="7"/>
  <c r="AA20" i="4"/>
  <c r="AA33" i="4"/>
  <c r="AA46" i="4"/>
  <c r="AA59" i="4"/>
  <c r="AB71" i="4"/>
  <c r="AB84" i="4"/>
  <c r="AB97" i="4"/>
  <c r="AB110" i="4"/>
  <c r="AB123" i="4"/>
  <c r="AA136" i="4"/>
  <c r="AB148" i="4"/>
  <c r="AB161" i="4"/>
  <c r="AB174" i="4"/>
  <c r="AB188" i="4"/>
  <c r="AA201" i="4"/>
  <c r="AB213" i="4"/>
  <c r="AB226" i="4"/>
  <c r="AB239" i="4"/>
  <c r="AB252" i="4"/>
  <c r="AA265" i="4"/>
  <c r="AB277" i="4"/>
  <c r="AB290" i="4"/>
  <c r="AB303" i="4"/>
  <c r="AB316" i="4"/>
  <c r="AA329" i="4"/>
  <c r="AB341" i="4"/>
  <c r="AA351" i="4"/>
  <c r="AA359" i="4"/>
  <c r="AA367" i="4"/>
  <c r="AA375" i="4"/>
  <c r="AA383" i="4"/>
  <c r="AA391" i="4"/>
  <c r="AA399" i="4"/>
  <c r="AA407" i="4"/>
  <c r="AA415" i="4"/>
  <c r="AA423" i="4"/>
  <c r="AA431" i="4"/>
  <c r="AA439" i="4"/>
  <c r="AA447" i="4"/>
  <c r="AA455" i="4"/>
  <c r="AA461" i="4"/>
  <c r="AB467" i="4"/>
  <c r="AB473" i="4"/>
  <c r="AB477" i="4"/>
  <c r="AB481" i="4"/>
  <c r="AB485" i="4"/>
  <c r="AB489" i="4"/>
  <c r="Z57" i="4"/>
  <c r="AB233" i="7"/>
  <c r="AB5" i="7"/>
  <c r="AB77" i="7"/>
  <c r="AB4" i="7"/>
  <c r="AB16" i="7"/>
  <c r="AB24" i="7"/>
  <c r="AB33" i="7"/>
  <c r="AB41" i="7"/>
  <c r="AB49" i="7"/>
  <c r="AB57" i="7"/>
  <c r="AB65" i="7"/>
  <c r="AB74" i="7"/>
  <c r="AB83" i="7"/>
  <c r="AB92" i="7"/>
  <c r="AB100" i="7"/>
  <c r="AB110" i="7"/>
  <c r="AB119" i="7"/>
  <c r="AB127" i="7"/>
  <c r="AB135" i="7"/>
  <c r="AB144" i="7"/>
  <c r="AB152" i="7"/>
  <c r="AB160" i="7"/>
  <c r="AB170" i="7"/>
  <c r="AB179" i="7"/>
  <c r="AB187" i="7"/>
  <c r="AB196" i="7"/>
  <c r="AB205" i="7"/>
  <c r="AB213" i="7"/>
  <c r="AB222" i="7"/>
  <c r="AB230" i="7"/>
  <c r="AB241" i="7"/>
  <c r="AB250" i="7"/>
  <c r="AB258" i="7"/>
  <c r="AB266" i="7"/>
  <c r="AB275" i="7"/>
  <c r="AB283" i="7"/>
  <c r="AB291" i="7"/>
  <c r="AA10" i="4"/>
  <c r="AA23" i="4"/>
  <c r="AB35" i="4"/>
  <c r="AA48" i="4"/>
  <c r="AA61" i="4"/>
  <c r="AA74" i="4"/>
  <c r="AB87" i="4"/>
  <c r="AA100" i="4"/>
  <c r="AB112" i="4"/>
  <c r="AB125" i="4"/>
  <c r="AB138" i="4"/>
  <c r="AB151" i="4"/>
  <c r="AA164" i="4"/>
  <c r="AB176" i="4"/>
  <c r="AB190" i="4"/>
  <c r="AB203" i="4"/>
  <c r="AB216" i="4"/>
  <c r="AA229" i="4"/>
  <c r="AB241" i="4"/>
  <c r="AB254" i="4"/>
  <c r="AB267" i="4"/>
  <c r="AB280" i="4"/>
  <c r="AA293" i="4"/>
  <c r="AB305" i="4"/>
  <c r="AB318" i="4"/>
  <c r="AB331" i="4"/>
  <c r="AB344" i="4"/>
  <c r="AB352" i="4"/>
  <c r="AB360" i="4"/>
  <c r="AB368" i="4"/>
  <c r="AB376" i="4"/>
  <c r="AB384" i="4"/>
  <c r="AB392" i="4"/>
  <c r="AB400" i="4"/>
  <c r="AB408" i="4"/>
  <c r="AB416" i="4"/>
  <c r="AB424" i="4"/>
  <c r="AB432" i="4"/>
  <c r="AB440" i="4"/>
  <c r="AB448" i="4"/>
  <c r="AB455" i="4"/>
  <c r="AB462" i="4"/>
  <c r="AB468" i="4"/>
  <c r="AA474" i="4"/>
  <c r="AA478" i="4"/>
  <c r="AA482" i="4"/>
  <c r="AA486" i="4"/>
  <c r="S57" i="4"/>
  <c r="AB171" i="7"/>
  <c r="AB31" i="7"/>
  <c r="AB168" i="7"/>
  <c r="AB7" i="7"/>
  <c r="AB17" i="7"/>
  <c r="AB25" i="7"/>
  <c r="AB34" i="7"/>
  <c r="AB42" i="7"/>
  <c r="AB50" i="7"/>
  <c r="AB58" i="7"/>
  <c r="AB66" i="7"/>
  <c r="AB75" i="7"/>
  <c r="AB84" i="7"/>
  <c r="AB93" i="7"/>
  <c r="AB101" i="7"/>
  <c r="AB111" i="7"/>
  <c r="AB120" i="7"/>
  <c r="AB128" i="7"/>
  <c r="AB136" i="7"/>
  <c r="AB145" i="7"/>
  <c r="AB153" i="7"/>
  <c r="AB162" i="7"/>
  <c r="AB172" i="7"/>
  <c r="AB180" i="7"/>
  <c r="AB188" i="7"/>
  <c r="AB197" i="7"/>
  <c r="AB206" i="7"/>
  <c r="AB214" i="7"/>
  <c r="AB223" i="7"/>
  <c r="AB231" i="7"/>
  <c r="AB242" i="7"/>
  <c r="AB251" i="7"/>
  <c r="AB259" i="7"/>
  <c r="AB267" i="7"/>
  <c r="AB276" i="7"/>
  <c r="AB284" i="7"/>
  <c r="AB294" i="7"/>
  <c r="AA11" i="4"/>
  <c r="AB23" i="4"/>
  <c r="AA36" i="4"/>
  <c r="AA49" i="4"/>
  <c r="AA62" i="4"/>
  <c r="AA75" i="4"/>
  <c r="AA88" i="4"/>
  <c r="AB100" i="4"/>
  <c r="AB113" i="4"/>
  <c r="AB126" i="4"/>
  <c r="AB139" i="4"/>
  <c r="AA152" i="4"/>
  <c r="AB164" i="4"/>
  <c r="AB178" i="4"/>
  <c r="AB191" i="4"/>
  <c r="AB204" i="4"/>
  <c r="AA217" i="4"/>
  <c r="AB229" i="4"/>
  <c r="AB242" i="4"/>
  <c r="AB255" i="4"/>
  <c r="AB268" i="4"/>
  <c r="AA281" i="4"/>
  <c r="AB293" i="4"/>
  <c r="AB306" i="4"/>
  <c r="AB319" i="4"/>
  <c r="AB332" i="4"/>
  <c r="AA345" i="4"/>
  <c r="AA353" i="4"/>
  <c r="AA361" i="4"/>
  <c r="AA369" i="4"/>
  <c r="AA377" i="4"/>
  <c r="AA385" i="4"/>
  <c r="AA393" i="4"/>
  <c r="AA401" i="4"/>
  <c r="AA409" i="4"/>
  <c r="AA417" i="4"/>
  <c r="AA425" i="4"/>
  <c r="AA433" i="4"/>
  <c r="AA441" i="4"/>
  <c r="AA449" i="4"/>
  <c r="AB456" i="4"/>
  <c r="AA463" i="4"/>
  <c r="AA469" i="4"/>
  <c r="AB474" i="4"/>
  <c r="AB478" i="4"/>
  <c r="AB482" i="4"/>
  <c r="AB486" i="4"/>
  <c r="T57" i="4"/>
  <c r="AB192" i="7"/>
  <c r="AB517" i="7"/>
  <c r="AB391" i="7"/>
  <c r="AB8" i="7"/>
  <c r="AB18" i="7"/>
  <c r="AB26" i="7"/>
  <c r="AB35" i="7"/>
  <c r="AB43" i="7"/>
  <c r="AB51" i="7"/>
  <c r="AB59" i="7"/>
  <c r="AB67" i="7"/>
  <c r="AB76" i="7"/>
  <c r="AB85" i="7"/>
  <c r="AB94" i="7"/>
  <c r="AB102" i="7"/>
  <c r="AB112" i="7"/>
  <c r="AB121" i="7"/>
  <c r="AB129" i="7"/>
  <c r="AB137" i="7"/>
  <c r="AB146" i="7"/>
  <c r="AB154" i="7"/>
  <c r="AB163" i="7"/>
  <c r="AB173" i="7"/>
  <c r="AB181" i="7"/>
  <c r="AB189" i="7"/>
  <c r="AB198" i="7"/>
  <c r="AB207" i="7"/>
  <c r="AB215" i="7"/>
  <c r="AB224" i="7"/>
  <c r="AB234" i="7"/>
  <c r="AB244" i="7"/>
  <c r="AB252" i="7"/>
  <c r="AB260" i="7"/>
  <c r="AB268" i="7"/>
  <c r="AB277" i="7"/>
  <c r="AB285" i="7"/>
  <c r="AB295" i="7"/>
  <c r="AA13" i="4"/>
  <c r="AA26" i="4"/>
  <c r="AA39" i="4"/>
  <c r="AB51" i="4"/>
  <c r="AA64" i="4"/>
  <c r="AB77" i="4"/>
  <c r="AB90" i="4"/>
  <c r="AB103" i="4"/>
  <c r="AA116" i="4"/>
  <c r="AB128" i="4"/>
  <c r="AB141" i="4"/>
  <c r="AB154" i="4"/>
  <c r="AB167" i="4"/>
  <c r="AA181" i="4"/>
  <c r="AB193" i="4"/>
  <c r="AB206" i="4"/>
  <c r="AB219" i="4"/>
  <c r="AB232" i="4"/>
  <c r="AA245" i="4"/>
  <c r="AB257" i="4"/>
  <c r="AB270" i="4"/>
  <c r="AB283" i="4"/>
  <c r="AB296" i="4"/>
  <c r="AA309" i="4"/>
  <c r="AB321" i="4"/>
  <c r="AB334" i="4"/>
  <c r="AB346" i="4"/>
  <c r="AB354" i="4"/>
  <c r="AB362" i="4"/>
  <c r="AB370" i="4"/>
  <c r="AB378" i="4"/>
  <c r="AB386" i="4"/>
  <c r="AB394" i="4"/>
  <c r="AB402" i="4"/>
  <c r="AB410" i="4"/>
  <c r="AB418" i="4"/>
  <c r="AB426" i="4"/>
  <c r="AB434" i="4"/>
  <c r="AB442" i="4"/>
  <c r="AB450" i="4"/>
  <c r="AA457" i="4"/>
  <c r="AB463" i="4"/>
  <c r="AB470" i="4"/>
  <c r="AA475" i="4"/>
  <c r="AA479" i="4"/>
  <c r="AA483" i="4"/>
  <c r="AA487" i="4"/>
  <c r="U57" i="4"/>
  <c r="AB201" i="7"/>
  <c r="AB87" i="7"/>
  <c r="AB6" i="7"/>
  <c r="AB9" i="7"/>
  <c r="AB19" i="7"/>
  <c r="AB27" i="7"/>
  <c r="AB36" i="7"/>
  <c r="AB44" i="7"/>
  <c r="AB52" i="7"/>
  <c r="AB60" i="7"/>
  <c r="AB69" i="7"/>
  <c r="AB78" i="7"/>
  <c r="AB86" i="7"/>
  <c r="AB95" i="7"/>
  <c r="AB103" i="7"/>
  <c r="AB113" i="7"/>
  <c r="AB122" i="7"/>
  <c r="AB130" i="7"/>
  <c r="AB138" i="7"/>
  <c r="AB147" i="7"/>
  <c r="AB155" i="7"/>
  <c r="AB164" i="7"/>
  <c r="AB174" i="7"/>
  <c r="AB182" i="7"/>
  <c r="AB190" i="7"/>
  <c r="AB199" i="7"/>
  <c r="AB208" i="7"/>
  <c r="AB216" i="7"/>
  <c r="AB225" i="7"/>
  <c r="AB235" i="7"/>
  <c r="AB245" i="7"/>
  <c r="AB253" i="7"/>
  <c r="AB261" i="7"/>
  <c r="AB269" i="7"/>
  <c r="AB278" i="7"/>
  <c r="AB286" i="7"/>
  <c r="AB296" i="7"/>
  <c r="AA104" i="4"/>
  <c r="AB207" i="4"/>
  <c r="AB309" i="4"/>
  <c r="AA387" i="4"/>
  <c r="AA451" i="4"/>
  <c r="V57" i="4"/>
  <c r="AB32" i="7"/>
  <c r="AB64" i="7"/>
  <c r="AB99" i="7"/>
  <c r="AB134" i="7"/>
  <c r="AB169" i="7"/>
  <c r="AB204" i="7"/>
  <c r="AB240" i="7"/>
  <c r="AB274" i="7"/>
  <c r="AB301" i="7"/>
  <c r="AB310" i="7"/>
  <c r="AB318" i="7"/>
  <c r="AB327" i="7"/>
  <c r="AB335" i="7"/>
  <c r="AB345" i="7"/>
  <c r="AB354" i="7"/>
  <c r="AB362" i="7"/>
  <c r="AB372" i="7"/>
  <c r="AB380" i="7"/>
  <c r="AB389" i="7"/>
  <c r="AB398" i="7"/>
  <c r="AB406" i="7"/>
  <c r="AB415" i="7"/>
  <c r="AB425" i="7"/>
  <c r="AB434" i="7"/>
  <c r="AB443" i="7"/>
  <c r="AB451" i="7"/>
  <c r="AB460" i="7"/>
  <c r="AB469" i="7"/>
  <c r="AB478" i="7"/>
  <c r="AB486" i="7"/>
  <c r="AB494" i="7"/>
  <c r="AB503" i="7"/>
  <c r="AB512" i="7"/>
  <c r="G18" i="7"/>
  <c r="O18" i="7"/>
  <c r="W18" i="7"/>
  <c r="F182" i="7"/>
  <c r="N182" i="7"/>
  <c r="V182" i="7"/>
  <c r="AB271" i="4"/>
  <c r="AA363" i="4"/>
  <c r="AB232" i="7"/>
  <c r="AB53" i="7"/>
  <c r="AB156" i="7"/>
  <c r="AB226" i="7"/>
  <c r="AB306" i="7"/>
  <c r="AB332" i="7"/>
  <c r="AB359" i="7"/>
  <c r="AB386" i="7"/>
  <c r="AB411" i="7"/>
  <c r="AB440" i="7"/>
  <c r="AB465" i="7"/>
  <c r="AB491" i="7"/>
  <c r="D18" i="7"/>
  <c r="C18" i="7"/>
  <c r="AB405" i="7"/>
  <c r="AB450" i="7"/>
  <c r="AB477" i="7"/>
  <c r="AB511" i="7"/>
  <c r="E182" i="7"/>
  <c r="AA14" i="4"/>
  <c r="AB116" i="4"/>
  <c r="AB220" i="4"/>
  <c r="AB322" i="4"/>
  <c r="AA395" i="4"/>
  <c r="AB458" i="4"/>
  <c r="AB37" i="7"/>
  <c r="AB70" i="7"/>
  <c r="AB104" i="7"/>
  <c r="AB140" i="7"/>
  <c r="AB175" i="7"/>
  <c r="AB209" i="7"/>
  <c r="AB246" i="7"/>
  <c r="AB279" i="7"/>
  <c r="AB302" i="7"/>
  <c r="AB311" i="7"/>
  <c r="AB319" i="7"/>
  <c r="AB328" i="7"/>
  <c r="AB336" i="7"/>
  <c r="AB346" i="7"/>
  <c r="AB355" i="7"/>
  <c r="AB364" i="7"/>
  <c r="AB373" i="7"/>
  <c r="AB381" i="7"/>
  <c r="AB390" i="7"/>
  <c r="AB399" i="7"/>
  <c r="AB407" i="7"/>
  <c r="AB416" i="7"/>
  <c r="AB426" i="7"/>
  <c r="AB436" i="7"/>
  <c r="AB444" i="7"/>
  <c r="AB452" i="7"/>
  <c r="AB461" i="7"/>
  <c r="AB470" i="7"/>
  <c r="AB479" i="7"/>
  <c r="AB487" i="7"/>
  <c r="AB495" i="7"/>
  <c r="AB504" i="7"/>
  <c r="AB513" i="7"/>
  <c r="H18" i="7"/>
  <c r="P18" i="7"/>
  <c r="X18" i="7"/>
  <c r="G182" i="7"/>
  <c r="O182" i="7"/>
  <c r="W182" i="7"/>
  <c r="AA168" i="4"/>
  <c r="AA427" i="4"/>
  <c r="AB20" i="7"/>
  <c r="AB123" i="7"/>
  <c r="AB262" i="7"/>
  <c r="AB324" i="7"/>
  <c r="AB350" i="7"/>
  <c r="AB369" i="7"/>
  <c r="AB395" i="7"/>
  <c r="AB420" i="7"/>
  <c r="AB456" i="7"/>
  <c r="AB474" i="7"/>
  <c r="AB499" i="7"/>
  <c r="T18" i="7"/>
  <c r="K182" i="7"/>
  <c r="AA182" i="7"/>
  <c r="AB413" i="7"/>
  <c r="AB433" i="7"/>
  <c r="AB467" i="7"/>
  <c r="AB502" i="7"/>
  <c r="N18" i="7"/>
  <c r="U182" i="7"/>
  <c r="AA27" i="4"/>
  <c r="AB129" i="4"/>
  <c r="AA233" i="4"/>
  <c r="AB335" i="4"/>
  <c r="AA403" i="4"/>
  <c r="AB464" i="4"/>
  <c r="AB40" i="7"/>
  <c r="AB73" i="7"/>
  <c r="AB109" i="7"/>
  <c r="AB143" i="7"/>
  <c r="AB178" i="7"/>
  <c r="AB212" i="7"/>
  <c r="AB249" i="7"/>
  <c r="AB282" i="7"/>
  <c r="AB303" i="7"/>
  <c r="AB312" i="7"/>
  <c r="AB320" i="7"/>
  <c r="AB329" i="7"/>
  <c r="AB337" i="7"/>
  <c r="AB347" i="7"/>
  <c r="AB356" i="7"/>
  <c r="AB365" i="7"/>
  <c r="AB374" i="7"/>
  <c r="AB382" i="7"/>
  <c r="AB392" i="7"/>
  <c r="AB400" i="7"/>
  <c r="AB408" i="7"/>
  <c r="AB417" i="7"/>
  <c r="AB427" i="7"/>
  <c r="AB437" i="7"/>
  <c r="AB445" i="7"/>
  <c r="AB453" i="7"/>
  <c r="AB462" i="7"/>
  <c r="AB471" i="7"/>
  <c r="AB480" i="7"/>
  <c r="AB488" i="7"/>
  <c r="AB496" i="7"/>
  <c r="AB505" i="7"/>
  <c r="AB514" i="7"/>
  <c r="I18" i="7"/>
  <c r="Q18" i="7"/>
  <c r="Y18" i="7"/>
  <c r="H182" i="7"/>
  <c r="P182" i="7"/>
  <c r="X182" i="7"/>
  <c r="AB39" i="4"/>
  <c r="AB142" i="4"/>
  <c r="AB245" i="4"/>
  <c r="AA347" i="4"/>
  <c r="AA411" i="4"/>
  <c r="AA471" i="4"/>
  <c r="AB10" i="7"/>
  <c r="AB45" i="7"/>
  <c r="AB79" i="7"/>
  <c r="AB114" i="7"/>
  <c r="AB148" i="7"/>
  <c r="AB183" i="7"/>
  <c r="AB218" i="7"/>
  <c r="AB254" i="7"/>
  <c r="AB287" i="7"/>
  <c r="AB304" i="7"/>
  <c r="AB313" i="7"/>
  <c r="AB321" i="7"/>
  <c r="AB330" i="7"/>
  <c r="AB338" i="7"/>
  <c r="AB348" i="7"/>
  <c r="AB357" i="7"/>
  <c r="AB366" i="7"/>
  <c r="AB375" i="7"/>
  <c r="AB383" i="7"/>
  <c r="AB393" i="7"/>
  <c r="AB401" i="7"/>
  <c r="AB409" i="7"/>
  <c r="AB418" i="7"/>
  <c r="AB428" i="7"/>
  <c r="AB438" i="7"/>
  <c r="AB446" i="7"/>
  <c r="AB454" i="7"/>
  <c r="AB463" i="7"/>
  <c r="AB472" i="7"/>
  <c r="AB481" i="7"/>
  <c r="AB489" i="7"/>
  <c r="AB497" i="7"/>
  <c r="AB506" i="7"/>
  <c r="AB515" i="7"/>
  <c r="J18" i="7"/>
  <c r="R18" i="7"/>
  <c r="Z18" i="7"/>
  <c r="I182" i="7"/>
  <c r="Q182" i="7"/>
  <c r="Y182" i="7"/>
  <c r="AA52" i="4"/>
  <c r="AB155" i="4"/>
  <c r="AB258" i="4"/>
  <c r="AA355" i="4"/>
  <c r="AA419" i="4"/>
  <c r="AB475" i="4"/>
  <c r="AB15" i="7"/>
  <c r="AB48" i="7"/>
  <c r="AB82" i="7"/>
  <c r="AB118" i="7"/>
  <c r="AB151" i="7"/>
  <c r="AB186" i="7"/>
  <c r="AB221" i="7"/>
  <c r="AB257" i="7"/>
  <c r="AB290" i="7"/>
  <c r="AB305" i="7"/>
  <c r="AB314" i="7"/>
  <c r="AB323" i="7"/>
  <c r="AB331" i="7"/>
  <c r="AB339" i="7"/>
  <c r="AB349" i="7"/>
  <c r="AB358" i="7"/>
  <c r="AB367" i="7"/>
  <c r="AB376" i="7"/>
  <c r="AB385" i="7"/>
  <c r="AB394" i="7"/>
  <c r="AB402" i="7"/>
  <c r="AB410" i="7"/>
  <c r="AB419" i="7"/>
  <c r="AB430" i="7"/>
  <c r="AB439" i="7"/>
  <c r="AB447" i="7"/>
  <c r="AB455" i="7"/>
  <c r="AB464" i="7"/>
  <c r="AB473" i="7"/>
  <c r="AB482" i="7"/>
  <c r="AB490" i="7"/>
  <c r="AB498" i="7"/>
  <c r="AB507" i="7"/>
  <c r="AB516" i="7"/>
  <c r="K18" i="7"/>
  <c r="S18" i="7"/>
  <c r="AA18" i="7"/>
  <c r="J182" i="7"/>
  <c r="R182" i="7"/>
  <c r="Z182" i="7"/>
  <c r="AA65" i="4"/>
  <c r="AB479" i="4"/>
  <c r="AB88" i="7"/>
  <c r="AB191" i="7"/>
  <c r="AB297" i="7"/>
  <c r="AB315" i="7"/>
  <c r="AB341" i="7"/>
  <c r="AB377" i="7"/>
  <c r="AB403" i="7"/>
  <c r="AB431" i="7"/>
  <c r="AB448" i="7"/>
  <c r="AB483" i="7"/>
  <c r="AB508" i="7"/>
  <c r="L18" i="7"/>
  <c r="S182" i="7"/>
  <c r="AB397" i="7"/>
  <c r="AB442" i="7"/>
  <c r="AB485" i="7"/>
  <c r="F18" i="7"/>
  <c r="M182" i="7"/>
  <c r="AB78" i="4"/>
  <c r="AB181" i="4"/>
  <c r="AB284" i="4"/>
  <c r="AA371" i="4"/>
  <c r="AA435" i="4"/>
  <c r="AB483" i="4"/>
  <c r="AB351" i="7"/>
  <c r="AB23" i="7"/>
  <c r="AB56" i="7"/>
  <c r="AB91" i="7"/>
  <c r="AB126" i="7"/>
  <c r="AB159" i="7"/>
  <c r="AB195" i="7"/>
  <c r="AB229" i="7"/>
  <c r="AB265" i="7"/>
  <c r="AB299" i="7"/>
  <c r="AB307" i="7"/>
  <c r="AB316" i="7"/>
  <c r="AB325" i="7"/>
  <c r="AB333" i="7"/>
  <c r="AB343" i="7"/>
  <c r="AB352" i="7"/>
  <c r="AB360" i="7"/>
  <c r="AB370" i="7"/>
  <c r="AB378" i="7"/>
  <c r="AB387" i="7"/>
  <c r="AB396" i="7"/>
  <c r="AB404" i="7"/>
  <c r="AB412" i="7"/>
  <c r="AB423" i="7"/>
  <c r="AB432" i="7"/>
  <c r="AB441" i="7"/>
  <c r="AB449" i="7"/>
  <c r="AB457" i="7"/>
  <c r="AB466" i="7"/>
  <c r="AB476" i="7"/>
  <c r="AB484" i="7"/>
  <c r="AB492" i="7"/>
  <c r="AB501" i="7"/>
  <c r="AB510" i="7"/>
  <c r="E18" i="7"/>
  <c r="M18" i="7"/>
  <c r="U18" i="7"/>
  <c r="D182" i="7"/>
  <c r="L182" i="7"/>
  <c r="T182" i="7"/>
  <c r="C182" i="7"/>
  <c r="AB91" i="4"/>
  <c r="AB194" i="4"/>
  <c r="AA297" i="4"/>
  <c r="AA379" i="4"/>
  <c r="AA443" i="4"/>
  <c r="AB487" i="4"/>
  <c r="AB28" i="7"/>
  <c r="AB61" i="7"/>
  <c r="AB96" i="7"/>
  <c r="AB131" i="7"/>
  <c r="AB165" i="7"/>
  <c r="AB200" i="7"/>
  <c r="AB237" i="7"/>
  <c r="AB270" i="7"/>
  <c r="AB300" i="7"/>
  <c r="AB309" i="7"/>
  <c r="AB317" i="7"/>
  <c r="AB326" i="7"/>
  <c r="AB334" i="7"/>
  <c r="AB344" i="7"/>
  <c r="AB353" i="7"/>
  <c r="AB361" i="7"/>
  <c r="AB371" i="7"/>
  <c r="AB379" i="7"/>
  <c r="AB388" i="7"/>
  <c r="AB424" i="7"/>
  <c r="AB459" i="7"/>
  <c r="AB493" i="7"/>
  <c r="V18" i="7"/>
  <c r="AB75" i="4"/>
  <c r="AB384" i="7"/>
  <c r="AB368" i="7"/>
  <c r="AB435" i="7"/>
  <c r="AB340" i="7"/>
  <c r="AB217" i="7"/>
  <c r="AB161" i="7"/>
  <c r="AB12" i="7"/>
  <c r="AB139" i="7"/>
  <c r="AB105" i="7"/>
  <c r="AB308" i="7"/>
  <c r="AB520" i="7"/>
  <c r="D221" i="7"/>
  <c r="L221" i="7"/>
  <c r="T221" i="7"/>
  <c r="C221" i="7"/>
  <c r="U84" i="4"/>
  <c r="V87" i="7"/>
  <c r="H104" i="7"/>
  <c r="P104" i="7"/>
  <c r="X104" i="7"/>
  <c r="G101" i="4"/>
  <c r="O101" i="4"/>
  <c r="W101" i="4"/>
  <c r="I212" i="4"/>
  <c r="Q212" i="4"/>
  <c r="Y212" i="4"/>
  <c r="N221" i="7"/>
  <c r="Z87" i="7"/>
  <c r="I101" i="4"/>
  <c r="S101" i="4"/>
  <c r="R84" i="4"/>
  <c r="L101" i="4"/>
  <c r="E221" i="7"/>
  <c r="M221" i="7"/>
  <c r="U221" i="7"/>
  <c r="V84" i="4"/>
  <c r="W87" i="7"/>
  <c r="I104" i="7"/>
  <c r="Q104" i="7"/>
  <c r="Y104" i="7"/>
  <c r="H101" i="4"/>
  <c r="P101" i="4"/>
  <c r="X101" i="4"/>
  <c r="J212" i="4"/>
  <c r="R212" i="4"/>
  <c r="Z212" i="4"/>
  <c r="V221" i="7"/>
  <c r="R104" i="7"/>
  <c r="Y101" i="4"/>
  <c r="U212" i="4"/>
  <c r="D101" i="4"/>
  <c r="V212" i="4"/>
  <c r="F221" i="7"/>
  <c r="K212" i="4"/>
  <c r="I221" i="7"/>
  <c r="U104" i="7"/>
  <c r="G221" i="7"/>
  <c r="O221" i="7"/>
  <c r="W221" i="7"/>
  <c r="Z84" i="4"/>
  <c r="AA87" i="7"/>
  <c r="K104" i="7"/>
  <c r="S104" i="7"/>
  <c r="AA104" i="7"/>
  <c r="J101" i="4"/>
  <c r="R101" i="4"/>
  <c r="Z101" i="4"/>
  <c r="D212" i="4"/>
  <c r="L212" i="4"/>
  <c r="T212" i="4"/>
  <c r="C212" i="4"/>
  <c r="H221" i="7"/>
  <c r="P221" i="7"/>
  <c r="X221" i="7"/>
  <c r="Q84" i="4"/>
  <c r="D104" i="7"/>
  <c r="L104" i="7"/>
  <c r="T104" i="7"/>
  <c r="K101" i="4"/>
  <c r="Y221" i="7"/>
  <c r="M104" i="7"/>
  <c r="T101" i="4"/>
  <c r="J221" i="7"/>
  <c r="R221" i="7"/>
  <c r="Z221" i="7"/>
  <c r="S84" i="4"/>
  <c r="T87" i="7"/>
  <c r="F104" i="7"/>
  <c r="N104" i="7"/>
  <c r="V104" i="7"/>
  <c r="E101" i="4"/>
  <c r="M101" i="4"/>
  <c r="U101" i="4"/>
  <c r="G212" i="4"/>
  <c r="O212" i="4"/>
  <c r="W212" i="4"/>
  <c r="J104" i="7"/>
  <c r="Q101" i="4"/>
  <c r="C104" i="7"/>
  <c r="M212" i="4"/>
  <c r="S87" i="7"/>
  <c r="N212" i="4"/>
  <c r="K221" i="7"/>
  <c r="S221" i="7"/>
  <c r="AA221" i="7"/>
  <c r="T84" i="4"/>
  <c r="U87" i="7"/>
  <c r="G104" i="7"/>
  <c r="O104" i="7"/>
  <c r="W104" i="7"/>
  <c r="F101" i="4"/>
  <c r="N101" i="4"/>
  <c r="V101" i="4"/>
  <c r="H212" i="4"/>
  <c r="P212" i="4"/>
  <c r="X212" i="4"/>
  <c r="W84" i="4"/>
  <c r="Z104" i="7"/>
  <c r="S212" i="4"/>
  <c r="E212" i="4"/>
  <c r="Q221" i="7"/>
  <c r="E104" i="7"/>
  <c r="C101" i="4"/>
  <c r="F212" i="4"/>
  <c r="Y84" i="4"/>
  <c r="Y87" i="7"/>
  <c r="X87" i="7"/>
  <c r="X84" i="4"/>
  <c r="AA520" i="7"/>
  <c r="AA12" i="7"/>
  <c r="AA517" i="7"/>
  <c r="Z520" i="7"/>
  <c r="AA513" i="7"/>
  <c r="Z492" i="4"/>
  <c r="AA492" i="4"/>
  <c r="AA511" i="7"/>
  <c r="AA512" i="7"/>
  <c r="AA514" i="7"/>
  <c r="AA515" i="7"/>
  <c r="AA516" i="7"/>
  <c r="Z469" i="4"/>
  <c r="Z4" i="4"/>
  <c r="J492" i="4"/>
  <c r="AA33" i="7"/>
  <c r="F520" i="7"/>
  <c r="AA5" i="7"/>
  <c r="AA4" i="7"/>
  <c r="Z4" i="7"/>
  <c r="Z8" i="7"/>
  <c r="Z12" i="7"/>
  <c r="Z16" i="7"/>
  <c r="Z21" i="7"/>
  <c r="Z25" i="7"/>
  <c r="Z29" i="7"/>
  <c r="Z33" i="7"/>
  <c r="Z37" i="7"/>
  <c r="Z41" i="7"/>
  <c r="Z45" i="7"/>
  <c r="Z49" i="7"/>
  <c r="Z53" i="7"/>
  <c r="Z57" i="7"/>
  <c r="Z61" i="7"/>
  <c r="Z65" i="7"/>
  <c r="Z69" i="7"/>
  <c r="Z73" i="7"/>
  <c r="Z77" i="7"/>
  <c r="Z81" i="7"/>
  <c r="Z85" i="7"/>
  <c r="Z89" i="7"/>
  <c r="Z93" i="7"/>
  <c r="Z97" i="7"/>
  <c r="Z101" i="7"/>
  <c r="Z106" i="7"/>
  <c r="Z110" i="7"/>
  <c r="Z114" i="7"/>
  <c r="Z118" i="7"/>
  <c r="Z122" i="7"/>
  <c r="Z126" i="7"/>
  <c r="Z130" i="7"/>
  <c r="Z134" i="7"/>
  <c r="Z138" i="7"/>
  <c r="Z142" i="7"/>
  <c r="Z146" i="7"/>
  <c r="Z150" i="7"/>
  <c r="Z154" i="7"/>
  <c r="Z158" i="7"/>
  <c r="Z162" i="7"/>
  <c r="Z166" i="7"/>
  <c r="Z170" i="7"/>
  <c r="Z174" i="7"/>
  <c r="Z178" i="7"/>
  <c r="Z183" i="7"/>
  <c r="Z187" i="7"/>
  <c r="Z191" i="7"/>
  <c r="Z195" i="7"/>
  <c r="Z199" i="7"/>
  <c r="Z203" i="7"/>
  <c r="Z207" i="7"/>
  <c r="Z211" i="7"/>
  <c r="Z215" i="7"/>
  <c r="Z219" i="7"/>
  <c r="Z224" i="7"/>
  <c r="Z228" i="7"/>
  <c r="Z232" i="7"/>
  <c r="Z236" i="7"/>
  <c r="Z240" i="7"/>
  <c r="Z244" i="7"/>
  <c r="Z248" i="7"/>
  <c r="Z252" i="7"/>
  <c r="Z256" i="7"/>
  <c r="Z260" i="7"/>
  <c r="Z264" i="7"/>
  <c r="Z268" i="7"/>
  <c r="Z272" i="7"/>
  <c r="Z276" i="7"/>
  <c r="Z280" i="7"/>
  <c r="Z284" i="7"/>
  <c r="Z288" i="7"/>
  <c r="Z5" i="7"/>
  <c r="Z9" i="7"/>
  <c r="Z13" i="7"/>
  <c r="Z17" i="7"/>
  <c r="Z22" i="7"/>
  <c r="Z26" i="7"/>
  <c r="Z30" i="7"/>
  <c r="Z34" i="7"/>
  <c r="Z38" i="7"/>
  <c r="Z42" i="7"/>
  <c r="Z46" i="7"/>
  <c r="Z50" i="7"/>
  <c r="Z54" i="7"/>
  <c r="Z58" i="7"/>
  <c r="Z62" i="7"/>
  <c r="Z66" i="7"/>
  <c r="Z70" i="7"/>
  <c r="Z74" i="7"/>
  <c r="Z78" i="7"/>
  <c r="Z82" i="7"/>
  <c r="Z86" i="7"/>
  <c r="Z90" i="7"/>
  <c r="Z94" i="7"/>
  <c r="Z98" i="7"/>
  <c r="Z102" i="7"/>
  <c r="Z107" i="7"/>
  <c r="Z111" i="7"/>
  <c r="Z115" i="7"/>
  <c r="Z119" i="7"/>
  <c r="Z123" i="7"/>
  <c r="Z127" i="7"/>
  <c r="Z131" i="7"/>
  <c r="Z135" i="7"/>
  <c r="Z139" i="7"/>
  <c r="Z143" i="7"/>
  <c r="Z147" i="7"/>
  <c r="Z151" i="7"/>
  <c r="Z155" i="7"/>
  <c r="Z159" i="7"/>
  <c r="Z163" i="7"/>
  <c r="Z167" i="7"/>
  <c r="Z171" i="7"/>
  <c r="Z175" i="7"/>
  <c r="Z179" i="7"/>
  <c r="Z184" i="7"/>
  <c r="Z188" i="7"/>
  <c r="Z192" i="7"/>
  <c r="Z196" i="7"/>
  <c r="Z200" i="7"/>
  <c r="Z204" i="7"/>
  <c r="Z208" i="7"/>
  <c r="Z212" i="7"/>
  <c r="Z216" i="7"/>
  <c r="Z220" i="7"/>
  <c r="Z225" i="7"/>
  <c r="Z229" i="7"/>
  <c r="Z233" i="7"/>
  <c r="Z237" i="7"/>
  <c r="Z241" i="7"/>
  <c r="Z245" i="7"/>
  <c r="Z249" i="7"/>
  <c r="Z253" i="7"/>
  <c r="Z257" i="7"/>
  <c r="Z261" i="7"/>
  <c r="Z265" i="7"/>
  <c r="Z269" i="7"/>
  <c r="Z273" i="7"/>
  <c r="Z277" i="7"/>
  <c r="Z281" i="7"/>
  <c r="Z285" i="7"/>
  <c r="Z289" i="7"/>
  <c r="Z6" i="7"/>
  <c r="Z10" i="7"/>
  <c r="Z14" i="7"/>
  <c r="Z19" i="7"/>
  <c r="Z23" i="7"/>
  <c r="Z27" i="7"/>
  <c r="Z31" i="7"/>
  <c r="Z35" i="7"/>
  <c r="Z39" i="7"/>
  <c r="Z43" i="7"/>
  <c r="Z47" i="7"/>
  <c r="Z51" i="7"/>
  <c r="Z55" i="7"/>
  <c r="Z59" i="7"/>
  <c r="Z63" i="7"/>
  <c r="Z67" i="7"/>
  <c r="Z71" i="7"/>
  <c r="Z75" i="7"/>
  <c r="Z79" i="7"/>
  <c r="Z83" i="7"/>
  <c r="Z91" i="7"/>
  <c r="Z95" i="7"/>
  <c r="Z99" i="7"/>
  <c r="Z103" i="7"/>
  <c r="Z108" i="7"/>
  <c r="Z112" i="7"/>
  <c r="Z116" i="7"/>
  <c r="Z120" i="7"/>
  <c r="Z124" i="7"/>
  <c r="Z128" i="7"/>
  <c r="Z132" i="7"/>
  <c r="Z136" i="7"/>
  <c r="Z140" i="7"/>
  <c r="Z144" i="7"/>
  <c r="Z148" i="7"/>
  <c r="Z152" i="7"/>
  <c r="Z156" i="7"/>
  <c r="Z160" i="7"/>
  <c r="Z164" i="7"/>
  <c r="Z168" i="7"/>
  <c r="Z172" i="7"/>
  <c r="Z176" i="7"/>
  <c r="Z180" i="7"/>
  <c r="Z185" i="7"/>
  <c r="Z189" i="7"/>
  <c r="Z193" i="7"/>
  <c r="Z197" i="7"/>
  <c r="Z201" i="7"/>
  <c r="Z205" i="7"/>
  <c r="Z209" i="7"/>
  <c r="Z213" i="7"/>
  <c r="Z217" i="7"/>
  <c r="Z222" i="7"/>
  <c r="Z226" i="7"/>
  <c r="Z230" i="7"/>
  <c r="Z234" i="7"/>
  <c r="Z238" i="7"/>
  <c r="Z242" i="7"/>
  <c r="Z246" i="7"/>
  <c r="Z250" i="7"/>
  <c r="Z254" i="7"/>
  <c r="Z258" i="7"/>
  <c r="Z262" i="7"/>
  <c r="Z266" i="7"/>
  <c r="Z270" i="7"/>
  <c r="Z274" i="7"/>
  <c r="Z278" i="7"/>
  <c r="Z282" i="7"/>
  <c r="Z286" i="7"/>
  <c r="Z290" i="7"/>
  <c r="Z294" i="7"/>
  <c r="Z298" i="7"/>
  <c r="Z302" i="7"/>
  <c r="Z306" i="7"/>
  <c r="Z310" i="7"/>
  <c r="Z314" i="7"/>
  <c r="Z318" i="7"/>
  <c r="Z322" i="7"/>
  <c r="Z326" i="7"/>
  <c r="Z330" i="7"/>
  <c r="Z334" i="7"/>
  <c r="Z338" i="7"/>
  <c r="Z342" i="7"/>
  <c r="Z346" i="7"/>
  <c r="Z7" i="7"/>
  <c r="Z11" i="7"/>
  <c r="Z15" i="7"/>
  <c r="Z20" i="7"/>
  <c r="Z24" i="7"/>
  <c r="Z28" i="7"/>
  <c r="Z32" i="7"/>
  <c r="Z36" i="7"/>
  <c r="Z40" i="7"/>
  <c r="Z44" i="7"/>
  <c r="Z48" i="7"/>
  <c r="Z52" i="7"/>
  <c r="Z56" i="7"/>
  <c r="Z60" i="7"/>
  <c r="Z64" i="7"/>
  <c r="Z68" i="7"/>
  <c r="Z72" i="7"/>
  <c r="Z76" i="7"/>
  <c r="Z80" i="7"/>
  <c r="Z84" i="7"/>
  <c r="Z88" i="7"/>
  <c r="Z92" i="7"/>
  <c r="Z96" i="7"/>
  <c r="Z100" i="7"/>
  <c r="Z105" i="7"/>
  <c r="Z109" i="7"/>
  <c r="Z113" i="7"/>
  <c r="Z117" i="7"/>
  <c r="Z121" i="7"/>
  <c r="Z125" i="7"/>
  <c r="Z129" i="7"/>
  <c r="Z133" i="7"/>
  <c r="Z137" i="7"/>
  <c r="Z141" i="7"/>
  <c r="Z145" i="7"/>
  <c r="Z149" i="7"/>
  <c r="Z153" i="7"/>
  <c r="Z157" i="7"/>
  <c r="Z161" i="7"/>
  <c r="Z165" i="7"/>
  <c r="Z169" i="7"/>
  <c r="Z173" i="7"/>
  <c r="Z177" i="7"/>
  <c r="Z181" i="7"/>
  <c r="Z186" i="7"/>
  <c r="Z190" i="7"/>
  <c r="Z194" i="7"/>
  <c r="Z198" i="7"/>
  <c r="Z202" i="7"/>
  <c r="Z206" i="7"/>
  <c r="Z210" i="7"/>
  <c r="Z214" i="7"/>
  <c r="Z218" i="7"/>
  <c r="Z223" i="7"/>
  <c r="Z227" i="7"/>
  <c r="Z231" i="7"/>
  <c r="Z235" i="7"/>
  <c r="Z239" i="7"/>
  <c r="Z243" i="7"/>
  <c r="Z247" i="7"/>
  <c r="Z251" i="7"/>
  <c r="Z255" i="7"/>
  <c r="Z259" i="7"/>
  <c r="Z263" i="7"/>
  <c r="Z267" i="7"/>
  <c r="Z271" i="7"/>
  <c r="Z275" i="7"/>
  <c r="Z279" i="7"/>
  <c r="Z283" i="7"/>
  <c r="Z287" i="7"/>
  <c r="Z291" i="7"/>
  <c r="Z295" i="7"/>
  <c r="Z299" i="7"/>
  <c r="Z303" i="7"/>
  <c r="Z307" i="7"/>
  <c r="Z311" i="7"/>
  <c r="Z315" i="7"/>
  <c r="Z319" i="7"/>
  <c r="Z323" i="7"/>
  <c r="Z327" i="7"/>
  <c r="Z331" i="7"/>
  <c r="Z335" i="7"/>
  <c r="Z339" i="7"/>
  <c r="Z343" i="7"/>
  <c r="Z347" i="7"/>
  <c r="Z292" i="7"/>
  <c r="Z300" i="7"/>
  <c r="Z308" i="7"/>
  <c r="Z316" i="7"/>
  <c r="Z324" i="7"/>
  <c r="Z332" i="7"/>
  <c r="Z340" i="7"/>
  <c r="Z348" i="7"/>
  <c r="Z352" i="7"/>
  <c r="Z356" i="7"/>
  <c r="Z360" i="7"/>
  <c r="Z364" i="7"/>
  <c r="Z368" i="7"/>
  <c r="Z372" i="7"/>
  <c r="Z376" i="7"/>
  <c r="Z380" i="7"/>
  <c r="Z384" i="7"/>
  <c r="Z388" i="7"/>
  <c r="Z392" i="7"/>
  <c r="Z396" i="7"/>
  <c r="Z400" i="7"/>
  <c r="Z404" i="7"/>
  <c r="Z408" i="7"/>
  <c r="Z412" i="7"/>
  <c r="Z416" i="7"/>
  <c r="Z420" i="7"/>
  <c r="Z424" i="7"/>
  <c r="Z428" i="7"/>
  <c r="Z432" i="7"/>
  <c r="Z436" i="7"/>
  <c r="Z440" i="7"/>
  <c r="Z444" i="7"/>
  <c r="Z448" i="7"/>
  <c r="Z452" i="7"/>
  <c r="Z456" i="7"/>
  <c r="Z460" i="7"/>
  <c r="Z464" i="7"/>
  <c r="Z468" i="7"/>
  <c r="Z472" i="7"/>
  <c r="Z293" i="7"/>
  <c r="Z301" i="7"/>
  <c r="Z309" i="7"/>
  <c r="Z317" i="7"/>
  <c r="Z325" i="7"/>
  <c r="Z333" i="7"/>
  <c r="Z341" i="7"/>
  <c r="Z349" i="7"/>
  <c r="Z353" i="7"/>
  <c r="Z357" i="7"/>
  <c r="Z361" i="7"/>
  <c r="Z365" i="7"/>
  <c r="Z369" i="7"/>
  <c r="Z373" i="7"/>
  <c r="Z377" i="7"/>
  <c r="Z381" i="7"/>
  <c r="Z385" i="7"/>
  <c r="Z389" i="7"/>
  <c r="Z393" i="7"/>
  <c r="Z397" i="7"/>
  <c r="Z401" i="7"/>
  <c r="Z405" i="7"/>
  <c r="Z409" i="7"/>
  <c r="Z413" i="7"/>
  <c r="Z417" i="7"/>
  <c r="Z421" i="7"/>
  <c r="Z425" i="7"/>
  <c r="Z429" i="7"/>
  <c r="Z433" i="7"/>
  <c r="Z437" i="7"/>
  <c r="Z441" i="7"/>
  <c r="Z445" i="7"/>
  <c r="Z449" i="7"/>
  <c r="Z453" i="7"/>
  <c r="Z457" i="7"/>
  <c r="Z461" i="7"/>
  <c r="Z465" i="7"/>
  <c r="Z469" i="7"/>
  <c r="Z473" i="7"/>
  <c r="Z296" i="7"/>
  <c r="Z304" i="7"/>
  <c r="Z312" i="7"/>
  <c r="Z320" i="7"/>
  <c r="Z328" i="7"/>
  <c r="Z336" i="7"/>
  <c r="Z344" i="7"/>
  <c r="Z350" i="7"/>
  <c r="Z354" i="7"/>
  <c r="Z358" i="7"/>
  <c r="Z362" i="7"/>
  <c r="Z366" i="7"/>
  <c r="Z370" i="7"/>
  <c r="Z374" i="7"/>
  <c r="Z378" i="7"/>
  <c r="Z382" i="7"/>
  <c r="Z386" i="7"/>
  <c r="Z390" i="7"/>
  <c r="Z394" i="7"/>
  <c r="Z398" i="7"/>
  <c r="Z402" i="7"/>
  <c r="Z406" i="7"/>
  <c r="Z410" i="7"/>
  <c r="Z414" i="7"/>
  <c r="Z418" i="7"/>
  <c r="Z422" i="7"/>
  <c r="Z426" i="7"/>
  <c r="Z430" i="7"/>
  <c r="Z434" i="7"/>
  <c r="Z438" i="7"/>
  <c r="Z442" i="7"/>
  <c r="Z446" i="7"/>
  <c r="Z450" i="7"/>
  <c r="Z454" i="7"/>
  <c r="Z458" i="7"/>
  <c r="Z462" i="7"/>
  <c r="Z466" i="7"/>
  <c r="Z470" i="7"/>
  <c r="Z474" i="7"/>
  <c r="Z478" i="7"/>
  <c r="Z482" i="7"/>
  <c r="Z486" i="7"/>
  <c r="Z490" i="7"/>
  <c r="Z494" i="7"/>
  <c r="Z498" i="7"/>
  <c r="Z502" i="7"/>
  <c r="Z506" i="7"/>
  <c r="Z510" i="7"/>
  <c r="Z514" i="7"/>
  <c r="Z7" i="4"/>
  <c r="Z11" i="4"/>
  <c r="Z15" i="4"/>
  <c r="Z19" i="4"/>
  <c r="Z23" i="4"/>
  <c r="Z27" i="4"/>
  <c r="Z31" i="4"/>
  <c r="Z35" i="4"/>
  <c r="Z39" i="4"/>
  <c r="Z43" i="4"/>
  <c r="Z47" i="4"/>
  <c r="Z51" i="4"/>
  <c r="Z55" i="4"/>
  <c r="Z59" i="4"/>
  <c r="Z63" i="4"/>
  <c r="Z67" i="4"/>
  <c r="Z71" i="4"/>
  <c r="Z75" i="4"/>
  <c r="Z79" i="4"/>
  <c r="Z83" i="4"/>
  <c r="Z88" i="4"/>
  <c r="Z92" i="4"/>
  <c r="Z96" i="4"/>
  <c r="Z100" i="4"/>
  <c r="Z105" i="4"/>
  <c r="Z109" i="4"/>
  <c r="Z113" i="4"/>
  <c r="Z117" i="4"/>
  <c r="Z121" i="4"/>
  <c r="Z125" i="4"/>
  <c r="Z129" i="4"/>
  <c r="Z133" i="4"/>
  <c r="Z137" i="4"/>
  <c r="Z141" i="4"/>
  <c r="Z145" i="4"/>
  <c r="Z149" i="4"/>
  <c r="Z297" i="7"/>
  <c r="Z305" i="7"/>
  <c r="Z313" i="7"/>
  <c r="Z321" i="7"/>
  <c r="Z329" i="7"/>
  <c r="Z337" i="7"/>
  <c r="Z345" i="7"/>
  <c r="Z351" i="7"/>
  <c r="Z355" i="7"/>
  <c r="Z359" i="7"/>
  <c r="Z363" i="7"/>
  <c r="Z367" i="7"/>
  <c r="Z371" i="7"/>
  <c r="Z375" i="7"/>
  <c r="Z379" i="7"/>
  <c r="Z383" i="7"/>
  <c r="Z387" i="7"/>
  <c r="Z391" i="7"/>
  <c r="Z395" i="7"/>
  <c r="Z399" i="7"/>
  <c r="Z403" i="7"/>
  <c r="Z407" i="7"/>
  <c r="Z411" i="7"/>
  <c r="Z415" i="7"/>
  <c r="Z419" i="7"/>
  <c r="Z423" i="7"/>
  <c r="Z427" i="7"/>
  <c r="Z431" i="7"/>
  <c r="Z435" i="7"/>
  <c r="Z439" i="7"/>
  <c r="Z443" i="7"/>
  <c r="Z447" i="7"/>
  <c r="Z451" i="7"/>
  <c r="Z455" i="7"/>
  <c r="Z459" i="7"/>
  <c r="Z463" i="7"/>
  <c r="Z467" i="7"/>
  <c r="Z471" i="7"/>
  <c r="Z475" i="7"/>
  <c r="Z479" i="7"/>
  <c r="Z483" i="7"/>
  <c r="Z487" i="7"/>
  <c r="Z491" i="7"/>
  <c r="Z495" i="7"/>
  <c r="Z499" i="7"/>
  <c r="Z503" i="7"/>
  <c r="Z507" i="7"/>
  <c r="Z511" i="7"/>
  <c r="Z515" i="7"/>
  <c r="Z8" i="4"/>
  <c r="Z12" i="4"/>
  <c r="Z16" i="4"/>
  <c r="Z20" i="4"/>
  <c r="Z24" i="4"/>
  <c r="Z28" i="4"/>
  <c r="Z32" i="4"/>
  <c r="Z36" i="4"/>
  <c r="Z40" i="4"/>
  <c r="Z44" i="4"/>
  <c r="Z48" i="4"/>
  <c r="Z52" i="4"/>
  <c r="Z56" i="4"/>
  <c r="Z60" i="4"/>
  <c r="Z64" i="4"/>
  <c r="Z68" i="4"/>
  <c r="Z72" i="4"/>
  <c r="Z76" i="4"/>
  <c r="Z80" i="4"/>
  <c r="Z85" i="4"/>
  <c r="Z89" i="4"/>
  <c r="Z93" i="4"/>
  <c r="Z97" i="4"/>
  <c r="Z102" i="4"/>
  <c r="Z106" i="4"/>
  <c r="Z110" i="4"/>
  <c r="Z114" i="4"/>
  <c r="Z118" i="4"/>
  <c r="Z122" i="4"/>
  <c r="Z126" i="4"/>
  <c r="Z130" i="4"/>
  <c r="Z134" i="4"/>
  <c r="Z138" i="4"/>
  <c r="Z142" i="4"/>
  <c r="Z146" i="4"/>
  <c r="Z476" i="7"/>
  <c r="Z484" i="7"/>
  <c r="Z492" i="7"/>
  <c r="Z500" i="7"/>
  <c r="Z508" i="7"/>
  <c r="Z516" i="7"/>
  <c r="Z9" i="4"/>
  <c r="Z17" i="4"/>
  <c r="Z25" i="4"/>
  <c r="Z33" i="4"/>
  <c r="Z41" i="4"/>
  <c r="Z49" i="4"/>
  <c r="Z65" i="4"/>
  <c r="Z73" i="4"/>
  <c r="Z81" i="4"/>
  <c r="Z90" i="4"/>
  <c r="Z98" i="4"/>
  <c r="Z107" i="4"/>
  <c r="Z115" i="4"/>
  <c r="Z123" i="4"/>
  <c r="Z131" i="4"/>
  <c r="Z139" i="4"/>
  <c r="Z147" i="4"/>
  <c r="Z152" i="4"/>
  <c r="Z156" i="4"/>
  <c r="Z160" i="4"/>
  <c r="Z164" i="4"/>
  <c r="Z168" i="4"/>
  <c r="Z172" i="4"/>
  <c r="Z176" i="4"/>
  <c r="Z181" i="4"/>
  <c r="Z185" i="4"/>
  <c r="Z189" i="4"/>
  <c r="Z193" i="4"/>
  <c r="Z197" i="4"/>
  <c r="Z201" i="4"/>
  <c r="Z205" i="4"/>
  <c r="Z209" i="4"/>
  <c r="Z214" i="4"/>
  <c r="Z218" i="4"/>
  <c r="Z222" i="4"/>
  <c r="Z226" i="4"/>
  <c r="Z230" i="4"/>
  <c r="Z234" i="4"/>
  <c r="Z238" i="4"/>
  <c r="Z242" i="4"/>
  <c r="Z246" i="4"/>
  <c r="Z250" i="4"/>
  <c r="Z254" i="4"/>
  <c r="Z258" i="4"/>
  <c r="Z262" i="4"/>
  <c r="Z266" i="4"/>
  <c r="Z270" i="4"/>
  <c r="Z274" i="4"/>
  <c r="Z278" i="4"/>
  <c r="Z282" i="4"/>
  <c r="Z286" i="4"/>
  <c r="Z290" i="4"/>
  <c r="Z294" i="4"/>
  <c r="Z298" i="4"/>
  <c r="Z302" i="4"/>
  <c r="Z306" i="4"/>
  <c r="Z310" i="4"/>
  <c r="Z314" i="4"/>
  <c r="Z318" i="4"/>
  <c r="Z322" i="4"/>
  <c r="Z326" i="4"/>
  <c r="Z330" i="4"/>
  <c r="Z334" i="4"/>
  <c r="Z338" i="4"/>
  <c r="Z342" i="4"/>
  <c r="Z346" i="4"/>
  <c r="Z350" i="4"/>
  <c r="Z354" i="4"/>
  <c r="Z358" i="4"/>
  <c r="Z362" i="4"/>
  <c r="Z366" i="4"/>
  <c r="Z370" i="4"/>
  <c r="Z374" i="4"/>
  <c r="Z378" i="4"/>
  <c r="Z382" i="4"/>
  <c r="Z386" i="4"/>
  <c r="Z390" i="4"/>
  <c r="Z394" i="4"/>
  <c r="Z477" i="7"/>
  <c r="Z485" i="7"/>
  <c r="Z493" i="7"/>
  <c r="Z501" i="7"/>
  <c r="Z509" i="7"/>
  <c r="Z517" i="7"/>
  <c r="Z10" i="4"/>
  <c r="Z18" i="4"/>
  <c r="Z26" i="4"/>
  <c r="Z34" i="4"/>
  <c r="Z42" i="4"/>
  <c r="Z50" i="4"/>
  <c r="Z58" i="4"/>
  <c r="Z66" i="4"/>
  <c r="Z74" i="4"/>
  <c r="Z82" i="4"/>
  <c r="Z91" i="4"/>
  <c r="Z99" i="4"/>
  <c r="Z108" i="4"/>
  <c r="Z116" i="4"/>
  <c r="Z124" i="4"/>
  <c r="Z132" i="4"/>
  <c r="Z140" i="4"/>
  <c r="Z148" i="4"/>
  <c r="Z153" i="4"/>
  <c r="Z157" i="4"/>
  <c r="Z161" i="4"/>
  <c r="Z165" i="4"/>
  <c r="Z169" i="4"/>
  <c r="Z173" i="4"/>
  <c r="Z178" i="4"/>
  <c r="Z182" i="4"/>
  <c r="Z186" i="4"/>
  <c r="Z190" i="4"/>
  <c r="Z194" i="4"/>
  <c r="Z198" i="4"/>
  <c r="Z202" i="4"/>
  <c r="Z206" i="4"/>
  <c r="Z210" i="4"/>
  <c r="Z215" i="4"/>
  <c r="Z219" i="4"/>
  <c r="Z223" i="4"/>
  <c r="Z227" i="4"/>
  <c r="Z231" i="4"/>
  <c r="Z235" i="4"/>
  <c r="Z239" i="4"/>
  <c r="Z243" i="4"/>
  <c r="Z247" i="4"/>
  <c r="Z251" i="4"/>
  <c r="Z255" i="4"/>
  <c r="Z259" i="4"/>
  <c r="Z263" i="4"/>
  <c r="Z267" i="4"/>
  <c r="Z271" i="4"/>
  <c r="Z275" i="4"/>
  <c r="Z279" i="4"/>
  <c r="Z283" i="4"/>
  <c r="Z287" i="4"/>
  <c r="Z291" i="4"/>
  <c r="Z295" i="4"/>
  <c r="Z299" i="4"/>
  <c r="Z303" i="4"/>
  <c r="Z307" i="4"/>
  <c r="Z311" i="4"/>
  <c r="Z315" i="4"/>
  <c r="Z319" i="4"/>
  <c r="Z323" i="4"/>
  <c r="Z327" i="4"/>
  <c r="Z331" i="4"/>
  <c r="Z335" i="4"/>
  <c r="Z339" i="4"/>
  <c r="Z343" i="4"/>
  <c r="Z347" i="4"/>
  <c r="Z351" i="4"/>
  <c r="Z355" i="4"/>
  <c r="Z359" i="4"/>
  <c r="Z363" i="4"/>
  <c r="Z367" i="4"/>
  <c r="Z371" i="4"/>
  <c r="Z375" i="4"/>
  <c r="Z379" i="4"/>
  <c r="Z383" i="4"/>
  <c r="Z387" i="4"/>
  <c r="Z391" i="4"/>
  <c r="Z395" i="4"/>
  <c r="Z480" i="7"/>
  <c r="Z488" i="7"/>
  <c r="Z496" i="7"/>
  <c r="Z504" i="7"/>
  <c r="Z512" i="7"/>
  <c r="Z5" i="4"/>
  <c r="Z13" i="4"/>
  <c r="Z21" i="4"/>
  <c r="Z29" i="4"/>
  <c r="Z37" i="4"/>
  <c r="Z45" i="4"/>
  <c r="Z53" i="4"/>
  <c r="Z61" i="4"/>
  <c r="Z69" i="4"/>
  <c r="Z77" i="4"/>
  <c r="Z86" i="4"/>
  <c r="Z94" i="4"/>
  <c r="Z103" i="4"/>
  <c r="Z111" i="4"/>
  <c r="Z119" i="4"/>
  <c r="Z127" i="4"/>
  <c r="Z135" i="4"/>
  <c r="Z143" i="4"/>
  <c r="Z150" i="4"/>
  <c r="Z154" i="4"/>
  <c r="Z158" i="4"/>
  <c r="Z162" i="4"/>
  <c r="Z166" i="4"/>
  <c r="Z170" i="4"/>
  <c r="Z174" i="4"/>
  <c r="Z179" i="4"/>
  <c r="Z183" i="4"/>
  <c r="Z187" i="4"/>
  <c r="Z191" i="4"/>
  <c r="Z195" i="4"/>
  <c r="Z199" i="4"/>
  <c r="Z203" i="4"/>
  <c r="Z207" i="4"/>
  <c r="Z211" i="4"/>
  <c r="Z216" i="4"/>
  <c r="Z220" i="4"/>
  <c r="Z224" i="4"/>
  <c r="Z228" i="4"/>
  <c r="Z232" i="4"/>
  <c r="Z236" i="4"/>
  <c r="Z240" i="4"/>
  <c r="Z244" i="4"/>
  <c r="Z248" i="4"/>
  <c r="Z252" i="4"/>
  <c r="Z256" i="4"/>
  <c r="Z260" i="4"/>
  <c r="Z264" i="4"/>
  <c r="Z268" i="4"/>
  <c r="Z272" i="4"/>
  <c r="Z276" i="4"/>
  <c r="Z280" i="4"/>
  <c r="Z284" i="4"/>
  <c r="Z288" i="4"/>
  <c r="Z292" i="4"/>
  <c r="Z296" i="4"/>
  <c r="Z300" i="4"/>
  <c r="Z304" i="4"/>
  <c r="Z308" i="4"/>
  <c r="Z312" i="4"/>
  <c r="Z316" i="4"/>
  <c r="Z320" i="4"/>
  <c r="Z324" i="4"/>
  <c r="Z328" i="4"/>
  <c r="Z332" i="4"/>
  <c r="Z336" i="4"/>
  <c r="Z340" i="4"/>
  <c r="Z344" i="4"/>
  <c r="Z348" i="4"/>
  <c r="Z352" i="4"/>
  <c r="Z356" i="4"/>
  <c r="Z360" i="4"/>
  <c r="Z364" i="4"/>
  <c r="Z368" i="4"/>
  <c r="Z372" i="4"/>
  <c r="Z376" i="4"/>
  <c r="Z380" i="4"/>
  <c r="Z384" i="4"/>
  <c r="Z388" i="4"/>
  <c r="Z392" i="4"/>
  <c r="Z396" i="4"/>
  <c r="Z481" i="7"/>
  <c r="Z489" i="7"/>
  <c r="Z497" i="7"/>
  <c r="Z505" i="7"/>
  <c r="Z513" i="7"/>
  <c r="Z6" i="4"/>
  <c r="Z14" i="4"/>
  <c r="Z22" i="4"/>
  <c r="Z30" i="4"/>
  <c r="Z38" i="4"/>
  <c r="Z46" i="4"/>
  <c r="Z54" i="4"/>
  <c r="Z62" i="4"/>
  <c r="Z70" i="4"/>
  <c r="Z78" i="4"/>
  <c r="Z87" i="4"/>
  <c r="Z95" i="4"/>
  <c r="Z104" i="4"/>
  <c r="Z112" i="4"/>
  <c r="Z120" i="4"/>
  <c r="Z128" i="4"/>
  <c r="Z136" i="4"/>
  <c r="Z144" i="4"/>
  <c r="Z151" i="4"/>
  <c r="Z155" i="4"/>
  <c r="Z159" i="4"/>
  <c r="Z163" i="4"/>
  <c r="Z167" i="4"/>
  <c r="Z171" i="4"/>
  <c r="Z175" i="4"/>
  <c r="Z180" i="4"/>
  <c r="Z184" i="4"/>
  <c r="Z188" i="4"/>
  <c r="Z192" i="4"/>
  <c r="Z196" i="4"/>
  <c r="Z200" i="4"/>
  <c r="Z204" i="4"/>
  <c r="Z208" i="4"/>
  <c r="Z213" i="4"/>
  <c r="Z217" i="4"/>
  <c r="Z221" i="4"/>
  <c r="Z225" i="4"/>
  <c r="Z229" i="4"/>
  <c r="Z233" i="4"/>
  <c r="Z237" i="4"/>
  <c r="Z241" i="4"/>
  <c r="Z245" i="4"/>
  <c r="Z249" i="4"/>
  <c r="Z253" i="4"/>
  <c r="Z257" i="4"/>
  <c r="Z261" i="4"/>
  <c r="Z265" i="4"/>
  <c r="Z269" i="4"/>
  <c r="Z273" i="4"/>
  <c r="Z277" i="4"/>
  <c r="Z281" i="4"/>
  <c r="Z285" i="4"/>
  <c r="Z289" i="4"/>
  <c r="Z293" i="4"/>
  <c r="Z297" i="4"/>
  <c r="Z301" i="4"/>
  <c r="Z305" i="4"/>
  <c r="Z309" i="4"/>
  <c r="Z313" i="4"/>
  <c r="Z317" i="4"/>
  <c r="Z321" i="4"/>
  <c r="Z325" i="4"/>
  <c r="Z329" i="4"/>
  <c r="Z333" i="4"/>
  <c r="Z337" i="4"/>
  <c r="Z341" i="4"/>
  <c r="Z345" i="4"/>
  <c r="Z349" i="4"/>
  <c r="Z353" i="4"/>
  <c r="Z357" i="4"/>
  <c r="Z361" i="4"/>
  <c r="Z365" i="4"/>
  <c r="Z369" i="4"/>
  <c r="Z373" i="4"/>
  <c r="Z377" i="4"/>
  <c r="Z381" i="4"/>
  <c r="Z385" i="4"/>
  <c r="Z389" i="4"/>
  <c r="Z393" i="4"/>
  <c r="Z397" i="4"/>
  <c r="Z400" i="4"/>
  <c r="Z404" i="4"/>
  <c r="Z408" i="4"/>
  <c r="Z412" i="4"/>
  <c r="Z416" i="4"/>
  <c r="Z420" i="4"/>
  <c r="Z424" i="4"/>
  <c r="Z428" i="4"/>
  <c r="Z432" i="4"/>
  <c r="Z436" i="4"/>
  <c r="Z440" i="4"/>
  <c r="Z444" i="4"/>
  <c r="Z448" i="4"/>
  <c r="Z452" i="4"/>
  <c r="Z456" i="4"/>
  <c r="Z460" i="4"/>
  <c r="Z464" i="4"/>
  <c r="Z468" i="4"/>
  <c r="Z472" i="4"/>
  <c r="Z476" i="4"/>
  <c r="Z480" i="4"/>
  <c r="Z484" i="4"/>
  <c r="Z488" i="4"/>
  <c r="Y10" i="4"/>
  <c r="Z402" i="4"/>
  <c r="Z406" i="4"/>
  <c r="Z414" i="4"/>
  <c r="Z426" i="4"/>
  <c r="Z434" i="4"/>
  <c r="Z442" i="4"/>
  <c r="Z450" i="4"/>
  <c r="Z458" i="4"/>
  <c r="Z466" i="4"/>
  <c r="Z474" i="4"/>
  <c r="Z482" i="4"/>
  <c r="Z403" i="4"/>
  <c r="Z411" i="4"/>
  <c r="Z419" i="4"/>
  <c r="Z427" i="4"/>
  <c r="Z435" i="4"/>
  <c r="Z443" i="4"/>
  <c r="Z451" i="4"/>
  <c r="Z459" i="4"/>
  <c r="Z467" i="4"/>
  <c r="Z475" i="4"/>
  <c r="Z483" i="4"/>
  <c r="X10" i="4"/>
  <c r="Z401" i="4"/>
  <c r="Z405" i="4"/>
  <c r="Z409" i="4"/>
  <c r="Z413" i="4"/>
  <c r="Z417" i="4"/>
  <c r="Z421" i="4"/>
  <c r="Z425" i="4"/>
  <c r="Z429" i="4"/>
  <c r="Z433" i="4"/>
  <c r="Z437" i="4"/>
  <c r="Z441" i="4"/>
  <c r="Z445" i="4"/>
  <c r="Z449" i="4"/>
  <c r="Z453" i="4"/>
  <c r="Z457" i="4"/>
  <c r="Z461" i="4"/>
  <c r="Z465" i="4"/>
  <c r="Z473" i="4"/>
  <c r="Z477" i="4"/>
  <c r="Z481" i="4"/>
  <c r="Z485" i="4"/>
  <c r="Z489" i="4"/>
  <c r="Z398" i="4"/>
  <c r="Z410" i="4"/>
  <c r="Z418" i="4"/>
  <c r="Z422" i="4"/>
  <c r="Z430" i="4"/>
  <c r="Z438" i="4"/>
  <c r="Z446" i="4"/>
  <c r="Z454" i="4"/>
  <c r="Z462" i="4"/>
  <c r="Z470" i="4"/>
  <c r="Z478" i="4"/>
  <c r="Z486" i="4"/>
  <c r="Z399" i="4"/>
  <c r="Z407" i="4"/>
  <c r="Z415" i="4"/>
  <c r="Z423" i="4"/>
  <c r="Z431" i="4"/>
  <c r="Z439" i="4"/>
  <c r="Z447" i="4"/>
  <c r="Z455" i="4"/>
  <c r="Z463" i="4"/>
  <c r="Z471" i="4"/>
  <c r="Z479" i="4"/>
  <c r="Z487" i="4"/>
  <c r="V391" i="4"/>
  <c r="D413" i="7"/>
  <c r="H413" i="7"/>
  <c r="L413" i="7"/>
  <c r="P413" i="7"/>
  <c r="T413" i="7"/>
  <c r="X413" i="7"/>
  <c r="F414" i="7"/>
  <c r="J414" i="7"/>
  <c r="W414" i="7"/>
  <c r="W391" i="4"/>
  <c r="E413" i="7"/>
  <c r="I413" i="7"/>
  <c r="M413" i="7"/>
  <c r="Q413" i="7"/>
  <c r="U413" i="7"/>
  <c r="Y413" i="7"/>
  <c r="G414" i="7"/>
  <c r="K414" i="7"/>
  <c r="O414" i="7"/>
  <c r="T414" i="7"/>
  <c r="X414" i="7"/>
  <c r="M28" i="7"/>
  <c r="X391" i="4"/>
  <c r="F413" i="7"/>
  <c r="J413" i="7"/>
  <c r="N413" i="7"/>
  <c r="R413" i="7"/>
  <c r="V413" i="7"/>
  <c r="D414" i="7"/>
  <c r="H414" i="7"/>
  <c r="L414" i="7"/>
  <c r="P414" i="7"/>
  <c r="U414" i="7"/>
  <c r="Y414" i="7"/>
  <c r="S414" i="7"/>
  <c r="Y391" i="4"/>
  <c r="U391" i="4"/>
  <c r="Q414" i="7"/>
  <c r="G413" i="7"/>
  <c r="K413" i="7"/>
  <c r="O413" i="7"/>
  <c r="S413" i="7"/>
  <c r="W413" i="7"/>
  <c r="E414" i="7"/>
  <c r="I414" i="7"/>
  <c r="M414" i="7"/>
  <c r="R414" i="7"/>
  <c r="V414" i="7"/>
  <c r="C414" i="7"/>
  <c r="N414" i="7"/>
  <c r="D236" i="7"/>
  <c r="H236" i="7"/>
  <c r="L236" i="7"/>
  <c r="P236" i="7"/>
  <c r="T236" i="7"/>
  <c r="X236" i="7"/>
  <c r="F226" i="4"/>
  <c r="J226" i="4"/>
  <c r="N226" i="4"/>
  <c r="R226" i="4"/>
  <c r="E236" i="7"/>
  <c r="I236" i="7"/>
  <c r="M236" i="7"/>
  <c r="Q236" i="7"/>
  <c r="U236" i="7"/>
  <c r="C236" i="7"/>
  <c r="G226" i="4"/>
  <c r="K226" i="4"/>
  <c r="O226" i="4"/>
  <c r="S226" i="4"/>
  <c r="W226" i="4"/>
  <c r="F236" i="7"/>
  <c r="J236" i="7"/>
  <c r="N236" i="7"/>
  <c r="R236" i="7"/>
  <c r="V236" i="7"/>
  <c r="D226" i="4"/>
  <c r="H226" i="4"/>
  <c r="L226" i="4"/>
  <c r="P226" i="4"/>
  <c r="T226" i="4"/>
  <c r="X226" i="4"/>
  <c r="G236" i="7"/>
  <c r="K236" i="7"/>
  <c r="O236" i="7"/>
  <c r="S236" i="7"/>
  <c r="W236" i="7"/>
  <c r="E226" i="4"/>
  <c r="I226" i="4"/>
  <c r="M226" i="4"/>
  <c r="Q226" i="4"/>
  <c r="U226" i="4"/>
  <c r="C226" i="4"/>
  <c r="V226" i="4"/>
  <c r="Y226" i="4"/>
  <c r="Y236" i="7"/>
  <c r="D468" i="7"/>
  <c r="H468" i="7"/>
  <c r="L468" i="7"/>
  <c r="P468" i="7"/>
  <c r="T468" i="7"/>
  <c r="X468" i="7"/>
  <c r="E429" i="7"/>
  <c r="I429" i="7"/>
  <c r="M429" i="7"/>
  <c r="Q429" i="7"/>
  <c r="U429" i="7"/>
  <c r="Y429" i="7"/>
  <c r="F422" i="7"/>
  <c r="J422" i="7"/>
  <c r="N422" i="7"/>
  <c r="R422" i="7"/>
  <c r="V422" i="7"/>
  <c r="C422" i="7"/>
  <c r="V417" i="7"/>
  <c r="D421" i="7"/>
  <c r="H421" i="7"/>
  <c r="L421" i="7"/>
  <c r="P421" i="7"/>
  <c r="T421" i="7"/>
  <c r="X421" i="7"/>
  <c r="C6" i="7"/>
  <c r="C10" i="7"/>
  <c r="C14" i="7"/>
  <c r="C19" i="7"/>
  <c r="C23" i="7"/>
  <c r="C27" i="7"/>
  <c r="C31" i="7"/>
  <c r="C35" i="7"/>
  <c r="C39" i="7"/>
  <c r="C43" i="7"/>
  <c r="C47" i="7"/>
  <c r="C51" i="7"/>
  <c r="C55" i="7"/>
  <c r="C59" i="7"/>
  <c r="C63" i="7"/>
  <c r="C67" i="7"/>
  <c r="C71" i="7"/>
  <c r="C75" i="7"/>
  <c r="C79" i="7"/>
  <c r="C83" i="7"/>
  <c r="C87" i="7"/>
  <c r="C91" i="7"/>
  <c r="C95" i="7"/>
  <c r="C99" i="7"/>
  <c r="C103" i="7"/>
  <c r="C108" i="7"/>
  <c r="C112" i="7"/>
  <c r="C120" i="7"/>
  <c r="C124" i="7"/>
  <c r="C128" i="7"/>
  <c r="C132" i="7"/>
  <c r="C136" i="7"/>
  <c r="C140" i="7"/>
  <c r="C144" i="7"/>
  <c r="C148" i="7"/>
  <c r="C152" i="7"/>
  <c r="C156" i="7"/>
  <c r="C160" i="7"/>
  <c r="C164" i="7"/>
  <c r="C168" i="7"/>
  <c r="C172" i="7"/>
  <c r="C176" i="7"/>
  <c r="C180" i="7"/>
  <c r="C185" i="7"/>
  <c r="C189" i="7"/>
  <c r="C193" i="7"/>
  <c r="C197" i="7"/>
  <c r="C201" i="7"/>
  <c r="C205" i="7"/>
  <c r="C209" i="7"/>
  <c r="C213" i="7"/>
  <c r="C217" i="7"/>
  <c r="C222" i="7"/>
  <c r="C226" i="7"/>
  <c r="C230" i="7"/>
  <c r="C234" i="7"/>
  <c r="C239" i="7"/>
  <c r="C243" i="7"/>
  <c r="E468" i="7"/>
  <c r="I468" i="7"/>
  <c r="M468" i="7"/>
  <c r="Q468" i="7"/>
  <c r="U468" i="7"/>
  <c r="Y468" i="7"/>
  <c r="F429" i="7"/>
  <c r="J429" i="7"/>
  <c r="N429" i="7"/>
  <c r="R429" i="7"/>
  <c r="V429" i="7"/>
  <c r="C429" i="7"/>
  <c r="G422" i="7"/>
  <c r="K422" i="7"/>
  <c r="O422" i="7"/>
  <c r="S422" i="7"/>
  <c r="W422" i="7"/>
  <c r="S417" i="7"/>
  <c r="W417" i="7"/>
  <c r="E421" i="7"/>
  <c r="I421" i="7"/>
  <c r="M421" i="7"/>
  <c r="Q421" i="7"/>
  <c r="U421" i="7"/>
  <c r="Y421" i="7"/>
  <c r="C7" i="7"/>
  <c r="C11" i="7"/>
  <c r="C15" i="7"/>
  <c r="C20" i="7"/>
  <c r="C24" i="7"/>
  <c r="C28" i="7"/>
  <c r="C32" i="7"/>
  <c r="C36" i="7"/>
  <c r="C40" i="7"/>
  <c r="C44" i="7"/>
  <c r="C48" i="7"/>
  <c r="C52" i="7"/>
  <c r="C56" i="7"/>
  <c r="C60" i="7"/>
  <c r="C64" i="7"/>
  <c r="C68" i="7"/>
  <c r="C72" i="7"/>
  <c r="C76" i="7"/>
  <c r="C80" i="7"/>
  <c r="C84" i="7"/>
  <c r="C88" i="7"/>
  <c r="C92" i="7"/>
  <c r="C96" i="7"/>
  <c r="C100" i="7"/>
  <c r="C105" i="7"/>
  <c r="C109" i="7"/>
  <c r="C113" i="7"/>
  <c r="C121" i="7"/>
  <c r="C125" i="7"/>
  <c r="C129" i="7"/>
  <c r="C133" i="7"/>
  <c r="C137" i="7"/>
  <c r="C141" i="7"/>
  <c r="C145" i="7"/>
  <c r="C149" i="7"/>
  <c r="C153" i="7"/>
  <c r="C157" i="7"/>
  <c r="C161" i="7"/>
  <c r="C165" i="7"/>
  <c r="C169" i="7"/>
  <c r="C173" i="7"/>
  <c r="C177" i="7"/>
  <c r="C181" i="7"/>
  <c r="C186" i="7"/>
  <c r="C190" i="7"/>
  <c r="C194" i="7"/>
  <c r="C198" i="7"/>
  <c r="C202" i="7"/>
  <c r="C206" i="7"/>
  <c r="C210" i="7"/>
  <c r="C214" i="7"/>
  <c r="C218" i="7"/>
  <c r="C223" i="7"/>
  <c r="C227" i="7"/>
  <c r="C231" i="7"/>
  <c r="C235" i="7"/>
  <c r="C240" i="7"/>
  <c r="C244" i="7"/>
  <c r="F468" i="7"/>
  <c r="J468" i="7"/>
  <c r="N468" i="7"/>
  <c r="R468" i="7"/>
  <c r="V468" i="7"/>
  <c r="C468" i="7"/>
  <c r="G429" i="7"/>
  <c r="K429" i="7"/>
  <c r="O429" i="7"/>
  <c r="S429" i="7"/>
  <c r="W429" i="7"/>
  <c r="D422" i="7"/>
  <c r="H422" i="7"/>
  <c r="L422" i="7"/>
  <c r="P422" i="7"/>
  <c r="T422" i="7"/>
  <c r="X422" i="7"/>
  <c r="T417" i="7"/>
  <c r="X417" i="7"/>
  <c r="F421" i="7"/>
  <c r="J421" i="7"/>
  <c r="N421" i="7"/>
  <c r="R421" i="7"/>
  <c r="V421" i="7"/>
  <c r="C421" i="7"/>
  <c r="C4" i="7"/>
  <c r="C8" i="7"/>
  <c r="C12" i="7"/>
  <c r="C16" i="7"/>
  <c r="C21" i="7"/>
  <c r="C25" i="7"/>
  <c r="C29" i="7"/>
  <c r="C33" i="7"/>
  <c r="C37" i="7"/>
  <c r="C41" i="7"/>
  <c r="C45" i="7"/>
  <c r="C49" i="7"/>
  <c r="C53" i="7"/>
  <c r="C57" i="7"/>
  <c r="C61" i="7"/>
  <c r="C65" i="7"/>
  <c r="C69" i="7"/>
  <c r="C73" i="7"/>
  <c r="C77" i="7"/>
  <c r="C81" i="7"/>
  <c r="C85" i="7"/>
  <c r="C89" i="7"/>
  <c r="C93" i="7"/>
  <c r="C97" i="7"/>
  <c r="C101" i="7"/>
  <c r="C106" i="7"/>
  <c r="C110" i="7"/>
  <c r="C114" i="7"/>
  <c r="C118" i="7"/>
  <c r="C122" i="7"/>
  <c r="C126" i="7"/>
  <c r="C130" i="7"/>
  <c r="C134" i="7"/>
  <c r="C138" i="7"/>
  <c r="C142" i="7"/>
  <c r="C146" i="7"/>
  <c r="C150" i="7"/>
  <c r="C154" i="7"/>
  <c r="C158" i="7"/>
  <c r="C162" i="7"/>
  <c r="C166" i="7"/>
  <c r="C170" i="7"/>
  <c r="C174" i="7"/>
  <c r="C178" i="7"/>
  <c r="C183" i="7"/>
  <c r="C187" i="7"/>
  <c r="C191" i="7"/>
  <c r="C195" i="7"/>
  <c r="C199" i="7"/>
  <c r="C203" i="7"/>
  <c r="C207" i="7"/>
  <c r="C211" i="7"/>
  <c r="C215" i="7"/>
  <c r="C219" i="7"/>
  <c r="C224" i="7"/>
  <c r="C228" i="7"/>
  <c r="C232" i="7"/>
  <c r="C237" i="7"/>
  <c r="G468" i="7"/>
  <c r="W468" i="7"/>
  <c r="P429" i="7"/>
  <c r="I422" i="7"/>
  <c r="Y422" i="7"/>
  <c r="K421" i="7"/>
  <c r="C418" i="7"/>
  <c r="C17" i="7"/>
  <c r="C34" i="7"/>
  <c r="C50" i="7"/>
  <c r="C66" i="7"/>
  <c r="C82" i="7"/>
  <c r="C98" i="7"/>
  <c r="C115" i="7"/>
  <c r="C131" i="7"/>
  <c r="C147" i="7"/>
  <c r="C163" i="7"/>
  <c r="C179" i="7"/>
  <c r="C196" i="7"/>
  <c r="C212" i="7"/>
  <c r="C229" i="7"/>
  <c r="C242" i="7"/>
  <c r="C248" i="7"/>
  <c r="C252" i="7"/>
  <c r="C256" i="7"/>
  <c r="C260" i="7"/>
  <c r="C264" i="7"/>
  <c r="C268" i="7"/>
  <c r="C272" i="7"/>
  <c r="C276" i="7"/>
  <c r="C280" i="7"/>
  <c r="C284" i="7"/>
  <c r="C288" i="7"/>
  <c r="C292" i="7"/>
  <c r="C296" i="7"/>
  <c r="C300" i="7"/>
  <c r="C304" i="7"/>
  <c r="C308" i="7"/>
  <c r="C312" i="7"/>
  <c r="C316" i="7"/>
  <c r="C320" i="7"/>
  <c r="C324" i="7"/>
  <c r="C328" i="7"/>
  <c r="C332" i="7"/>
  <c r="C336" i="7"/>
  <c r="C340" i="7"/>
  <c r="C344" i="7"/>
  <c r="C348" i="7"/>
  <c r="C352" i="7"/>
  <c r="C356" i="7"/>
  <c r="C360" i="7"/>
  <c r="C364" i="7"/>
  <c r="C368" i="7"/>
  <c r="C372" i="7"/>
  <c r="C376" i="7"/>
  <c r="C380" i="7"/>
  <c r="C384" i="7"/>
  <c r="C388" i="7"/>
  <c r="C392" i="7"/>
  <c r="C396" i="7"/>
  <c r="C400" i="7"/>
  <c r="C404" i="7"/>
  <c r="C408" i="7"/>
  <c r="C412" i="7"/>
  <c r="C417" i="7"/>
  <c r="C424" i="7"/>
  <c r="C428" i="7"/>
  <c r="C433" i="7"/>
  <c r="C437" i="7"/>
  <c r="C441" i="7"/>
  <c r="C445" i="7"/>
  <c r="C449" i="7"/>
  <c r="C453" i="7"/>
  <c r="C457" i="7"/>
  <c r="C461" i="7"/>
  <c r="C465" i="7"/>
  <c r="C470" i="7"/>
  <c r="C474" i="7"/>
  <c r="C478" i="7"/>
  <c r="C482" i="7"/>
  <c r="C486" i="7"/>
  <c r="C490" i="7"/>
  <c r="C494" i="7"/>
  <c r="C498" i="7"/>
  <c r="C502" i="7"/>
  <c r="C506" i="7"/>
  <c r="K468" i="7"/>
  <c r="D429" i="7"/>
  <c r="T429" i="7"/>
  <c r="M422" i="7"/>
  <c r="U417" i="7"/>
  <c r="O421" i="7"/>
  <c r="C5" i="7"/>
  <c r="C22" i="7"/>
  <c r="C38" i="7"/>
  <c r="C54" i="7"/>
  <c r="C70" i="7"/>
  <c r="C86" i="7"/>
  <c r="C102" i="7"/>
  <c r="C119" i="7"/>
  <c r="C135" i="7"/>
  <c r="C151" i="7"/>
  <c r="C167" i="7"/>
  <c r="C184" i="7"/>
  <c r="C200" i="7"/>
  <c r="C216" i="7"/>
  <c r="C233" i="7"/>
  <c r="C245" i="7"/>
  <c r="C249" i="7"/>
  <c r="C253" i="7"/>
  <c r="C257" i="7"/>
  <c r="C261" i="7"/>
  <c r="C265" i="7"/>
  <c r="C269" i="7"/>
  <c r="C273" i="7"/>
  <c r="C277" i="7"/>
  <c r="C281" i="7"/>
  <c r="C285" i="7"/>
  <c r="C289" i="7"/>
  <c r="C293" i="7"/>
  <c r="C297" i="7"/>
  <c r="C301" i="7"/>
  <c r="C305" i="7"/>
  <c r="C309" i="7"/>
  <c r="C313" i="7"/>
  <c r="C317" i="7"/>
  <c r="C321" i="7"/>
  <c r="C325" i="7"/>
  <c r="C329" i="7"/>
  <c r="C333" i="7"/>
  <c r="C337" i="7"/>
  <c r="C341" i="7"/>
  <c r="C345" i="7"/>
  <c r="C349" i="7"/>
  <c r="C353" i="7"/>
  <c r="C357" i="7"/>
  <c r="C361" i="7"/>
  <c r="C365" i="7"/>
  <c r="C369" i="7"/>
  <c r="C373" i="7"/>
  <c r="C377" i="7"/>
  <c r="C381" i="7"/>
  <c r="C385" i="7"/>
  <c r="C389" i="7"/>
  <c r="C393" i="7"/>
  <c r="C397" i="7"/>
  <c r="C401" i="7"/>
  <c r="C405" i="7"/>
  <c r="C409" i="7"/>
  <c r="C413" i="7"/>
  <c r="C419" i="7"/>
  <c r="C425" i="7"/>
  <c r="C430" i="7"/>
  <c r="C434" i="7"/>
  <c r="C438" i="7"/>
  <c r="C442" i="7"/>
  <c r="C446" i="7"/>
  <c r="C450" i="7"/>
  <c r="C454" i="7"/>
  <c r="C458" i="7"/>
  <c r="C462" i="7"/>
  <c r="C466" i="7"/>
  <c r="C471" i="7"/>
  <c r="C475" i="7"/>
  <c r="C479" i="7"/>
  <c r="C483" i="7"/>
  <c r="C487" i="7"/>
  <c r="C491" i="7"/>
  <c r="C495" i="7"/>
  <c r="C499" i="7"/>
  <c r="C503" i="7"/>
  <c r="O468" i="7"/>
  <c r="H429" i="7"/>
  <c r="X429" i="7"/>
  <c r="Q422" i="7"/>
  <c r="Y417" i="7"/>
  <c r="S421" i="7"/>
  <c r="C9" i="7"/>
  <c r="C26" i="7"/>
  <c r="C42" i="7"/>
  <c r="C58" i="7"/>
  <c r="C74" i="7"/>
  <c r="C90" i="7"/>
  <c r="C107" i="7"/>
  <c r="C123" i="7"/>
  <c r="C139" i="7"/>
  <c r="C155" i="7"/>
  <c r="C171" i="7"/>
  <c r="C188" i="7"/>
  <c r="C204" i="7"/>
  <c r="C220" i="7"/>
  <c r="C238" i="7"/>
  <c r="C246" i="7"/>
  <c r="C250" i="7"/>
  <c r="C254" i="7"/>
  <c r="C258" i="7"/>
  <c r="C262" i="7"/>
  <c r="C266" i="7"/>
  <c r="C270" i="7"/>
  <c r="C274" i="7"/>
  <c r="C278" i="7"/>
  <c r="C282" i="7"/>
  <c r="C286" i="7"/>
  <c r="C290" i="7"/>
  <c r="C294" i="7"/>
  <c r="C298" i="7"/>
  <c r="C302" i="7"/>
  <c r="C306" i="7"/>
  <c r="C310" i="7"/>
  <c r="C314" i="7"/>
  <c r="C318" i="7"/>
  <c r="C322" i="7"/>
  <c r="C326" i="7"/>
  <c r="C330" i="7"/>
  <c r="C334" i="7"/>
  <c r="C338" i="7"/>
  <c r="C342" i="7"/>
  <c r="C346" i="7"/>
  <c r="C350" i="7"/>
  <c r="C354" i="7"/>
  <c r="C358" i="7"/>
  <c r="C362" i="7"/>
  <c r="C366" i="7"/>
  <c r="C370" i="7"/>
  <c r="C374" i="7"/>
  <c r="C378" i="7"/>
  <c r="C382" i="7"/>
  <c r="C386" i="7"/>
  <c r="C390" i="7"/>
  <c r="C394" i="7"/>
  <c r="C398" i="7"/>
  <c r="C402" i="7"/>
  <c r="C406" i="7"/>
  <c r="C410" i="7"/>
  <c r="C415" i="7"/>
  <c r="C420" i="7"/>
  <c r="C426" i="7"/>
  <c r="C431" i="7"/>
  <c r="C435" i="7"/>
  <c r="C439" i="7"/>
  <c r="C443" i="7"/>
  <c r="C447" i="7"/>
  <c r="C451" i="7"/>
  <c r="C455" i="7"/>
  <c r="C459" i="7"/>
  <c r="S468" i="7"/>
  <c r="G421" i="7"/>
  <c r="C46" i="7"/>
  <c r="C111" i="7"/>
  <c r="C175" i="7"/>
  <c r="C241" i="7"/>
  <c r="C259" i="7"/>
  <c r="C275" i="7"/>
  <c r="C291" i="7"/>
  <c r="C307" i="7"/>
  <c r="C323" i="7"/>
  <c r="C339" i="7"/>
  <c r="C355" i="7"/>
  <c r="C371" i="7"/>
  <c r="C387" i="7"/>
  <c r="C403" i="7"/>
  <c r="C423" i="7"/>
  <c r="C440" i="7"/>
  <c r="C456" i="7"/>
  <c r="C467" i="7"/>
  <c r="C476" i="7"/>
  <c r="C484" i="7"/>
  <c r="C492" i="7"/>
  <c r="C500" i="7"/>
  <c r="C507" i="7"/>
  <c r="C511" i="7"/>
  <c r="C515" i="7"/>
  <c r="E342" i="7"/>
  <c r="I342" i="7"/>
  <c r="M342" i="7"/>
  <c r="Q342" i="7"/>
  <c r="U342" i="7"/>
  <c r="Y342" i="7"/>
  <c r="F363" i="7"/>
  <c r="J363" i="7"/>
  <c r="N363" i="7"/>
  <c r="R363" i="7"/>
  <c r="V363" i="7"/>
  <c r="E210" i="4"/>
  <c r="I210" i="4"/>
  <c r="C49" i="4"/>
  <c r="G49" i="4"/>
  <c r="K49" i="4"/>
  <c r="O49" i="4"/>
  <c r="S49" i="4"/>
  <c r="W49" i="4"/>
  <c r="F66" i="4"/>
  <c r="J66" i="4"/>
  <c r="N66" i="4"/>
  <c r="R66" i="4"/>
  <c r="V66" i="4"/>
  <c r="C66" i="4"/>
  <c r="G68" i="7"/>
  <c r="K68" i="7"/>
  <c r="O68" i="7"/>
  <c r="S68" i="7"/>
  <c r="W68" i="7"/>
  <c r="C351" i="7"/>
  <c r="C510" i="7"/>
  <c r="P342" i="7"/>
  <c r="U363" i="7"/>
  <c r="J49" i="4"/>
  <c r="E66" i="4"/>
  <c r="Y66" i="4"/>
  <c r="N68" i="7"/>
  <c r="L429" i="7"/>
  <c r="W421" i="7"/>
  <c r="C62" i="7"/>
  <c r="C127" i="7"/>
  <c r="C192" i="7"/>
  <c r="C247" i="7"/>
  <c r="C263" i="7"/>
  <c r="C279" i="7"/>
  <c r="C295" i="7"/>
  <c r="C311" i="7"/>
  <c r="C327" i="7"/>
  <c r="C343" i="7"/>
  <c r="C359" i="7"/>
  <c r="C375" i="7"/>
  <c r="C391" i="7"/>
  <c r="C407" i="7"/>
  <c r="C427" i="7"/>
  <c r="C444" i="7"/>
  <c r="C460" i="7"/>
  <c r="C469" i="7"/>
  <c r="C477" i="7"/>
  <c r="C485" i="7"/>
  <c r="C493" i="7"/>
  <c r="C501" i="7"/>
  <c r="C508" i="7"/>
  <c r="C512" i="7"/>
  <c r="C516" i="7"/>
  <c r="F342" i="7"/>
  <c r="J342" i="7"/>
  <c r="N342" i="7"/>
  <c r="R342" i="7"/>
  <c r="V342" i="7"/>
  <c r="G363" i="7"/>
  <c r="K363" i="7"/>
  <c r="O363" i="7"/>
  <c r="S363" i="7"/>
  <c r="W363" i="7"/>
  <c r="F210" i="4"/>
  <c r="J210" i="4"/>
  <c r="D49" i="4"/>
  <c r="H49" i="4"/>
  <c r="L49" i="4"/>
  <c r="P49" i="4"/>
  <c r="T49" i="4"/>
  <c r="X49" i="4"/>
  <c r="X123" i="4"/>
  <c r="G66" i="4"/>
  <c r="K66" i="4"/>
  <c r="O66" i="4"/>
  <c r="S66" i="4"/>
  <c r="W66" i="4"/>
  <c r="D68" i="7"/>
  <c r="H68" i="7"/>
  <c r="L68" i="7"/>
  <c r="P68" i="7"/>
  <c r="T68" i="7"/>
  <c r="X68" i="7"/>
  <c r="C30" i="7"/>
  <c r="C255" i="7"/>
  <c r="C303" i="7"/>
  <c r="C335" i="7"/>
  <c r="C367" i="7"/>
  <c r="C399" i="7"/>
  <c r="C436" i="7"/>
  <c r="C473" i="7"/>
  <c r="C489" i="7"/>
  <c r="C505" i="7"/>
  <c r="D342" i="7"/>
  <c r="L342" i="7"/>
  <c r="X342" i="7"/>
  <c r="I363" i="7"/>
  <c r="M363" i="7"/>
  <c r="D210" i="4"/>
  <c r="F49" i="4"/>
  <c r="N49" i="4"/>
  <c r="I66" i="4"/>
  <c r="Q66" i="4"/>
  <c r="F68" i="7"/>
  <c r="V68" i="7"/>
  <c r="E422" i="7"/>
  <c r="C13" i="7"/>
  <c r="C78" i="7"/>
  <c r="C143" i="7"/>
  <c r="C208" i="7"/>
  <c r="C251" i="7"/>
  <c r="C267" i="7"/>
  <c r="C283" i="7"/>
  <c r="C299" i="7"/>
  <c r="C315" i="7"/>
  <c r="C331" i="7"/>
  <c r="C347" i="7"/>
  <c r="C363" i="7"/>
  <c r="C379" i="7"/>
  <c r="C395" i="7"/>
  <c r="C411" i="7"/>
  <c r="C432" i="7"/>
  <c r="C448" i="7"/>
  <c r="C463" i="7"/>
  <c r="C472" i="7"/>
  <c r="C480" i="7"/>
  <c r="C488" i="7"/>
  <c r="C496" i="7"/>
  <c r="C504" i="7"/>
  <c r="C509" i="7"/>
  <c r="C513" i="7"/>
  <c r="C517" i="7"/>
  <c r="G342" i="7"/>
  <c r="K342" i="7"/>
  <c r="O342" i="7"/>
  <c r="S342" i="7"/>
  <c r="W342" i="7"/>
  <c r="D363" i="7"/>
  <c r="H363" i="7"/>
  <c r="L363" i="7"/>
  <c r="P363" i="7"/>
  <c r="T363" i="7"/>
  <c r="C210" i="4"/>
  <c r="G210" i="4"/>
  <c r="K210" i="4"/>
  <c r="E49" i="4"/>
  <c r="I49" i="4"/>
  <c r="M49" i="4"/>
  <c r="Q49" i="4"/>
  <c r="U49" i="4"/>
  <c r="Y49" i="4"/>
  <c r="D66" i="4"/>
  <c r="H66" i="4"/>
  <c r="L66" i="4"/>
  <c r="P66" i="4"/>
  <c r="T66" i="4"/>
  <c r="X66" i="4"/>
  <c r="E68" i="7"/>
  <c r="I68" i="7"/>
  <c r="M68" i="7"/>
  <c r="Q68" i="7"/>
  <c r="U68" i="7"/>
  <c r="Y68" i="7"/>
  <c r="U422" i="7"/>
  <c r="C94" i="7"/>
  <c r="C159" i="7"/>
  <c r="C225" i="7"/>
  <c r="C271" i="7"/>
  <c r="C287" i="7"/>
  <c r="C319" i="7"/>
  <c r="C383" i="7"/>
  <c r="C416" i="7"/>
  <c r="C452" i="7"/>
  <c r="C464" i="7"/>
  <c r="C481" i="7"/>
  <c r="C497" i="7"/>
  <c r="C514" i="7"/>
  <c r="H342" i="7"/>
  <c r="T342" i="7"/>
  <c r="E363" i="7"/>
  <c r="Q363" i="7"/>
  <c r="H210" i="4"/>
  <c r="J162" i="4"/>
  <c r="R49" i="4"/>
  <c r="V49" i="4"/>
  <c r="M66" i="4"/>
  <c r="U66" i="4"/>
  <c r="J68" i="7"/>
  <c r="R68" i="7"/>
  <c r="G12" i="7"/>
  <c r="K12" i="7"/>
  <c r="O12" i="7"/>
  <c r="S12" i="7"/>
  <c r="W12" i="7"/>
  <c r="E7" i="4"/>
  <c r="I7" i="4"/>
  <c r="M7" i="4"/>
  <c r="Q7" i="4"/>
  <c r="U7" i="4"/>
  <c r="D470" i="4"/>
  <c r="H470" i="4"/>
  <c r="L470" i="4"/>
  <c r="P470" i="4"/>
  <c r="T470" i="4"/>
  <c r="X470" i="4"/>
  <c r="F498" i="7"/>
  <c r="J498" i="7"/>
  <c r="N498" i="7"/>
  <c r="R498" i="7"/>
  <c r="V498" i="7"/>
  <c r="E448" i="4"/>
  <c r="I448" i="4"/>
  <c r="M448" i="4"/>
  <c r="Q448" i="4"/>
  <c r="U448" i="4"/>
  <c r="C448" i="4"/>
  <c r="G475" i="7"/>
  <c r="K475" i="7"/>
  <c r="O475" i="7"/>
  <c r="S475" i="7"/>
  <c r="W475" i="7"/>
  <c r="F433" i="4"/>
  <c r="J433" i="4"/>
  <c r="N433" i="4"/>
  <c r="R433" i="4"/>
  <c r="V433" i="4"/>
  <c r="D457" i="7"/>
  <c r="H457" i="7"/>
  <c r="L457" i="7"/>
  <c r="P457" i="7"/>
  <c r="T457" i="7"/>
  <c r="X457" i="7"/>
  <c r="G429" i="4"/>
  <c r="K429" i="4"/>
  <c r="O429" i="4"/>
  <c r="S429" i="4"/>
  <c r="W429" i="4"/>
  <c r="E453" i="7"/>
  <c r="I453" i="7"/>
  <c r="M453" i="7"/>
  <c r="Q453" i="7"/>
  <c r="U453" i="7"/>
  <c r="D417" i="4"/>
  <c r="H417" i="4"/>
  <c r="L417" i="4"/>
  <c r="P417" i="4"/>
  <c r="T417" i="4"/>
  <c r="X417" i="4"/>
  <c r="F440" i="7"/>
  <c r="J440" i="7"/>
  <c r="N440" i="7"/>
  <c r="R440" i="7"/>
  <c r="V440" i="7"/>
  <c r="E401" i="4"/>
  <c r="I401" i="4"/>
  <c r="M401" i="4"/>
  <c r="Q401" i="4"/>
  <c r="U401" i="4"/>
  <c r="C401" i="4"/>
  <c r="F424" i="7"/>
  <c r="J424" i="7"/>
  <c r="N424" i="7"/>
  <c r="R424" i="7"/>
  <c r="V424" i="7"/>
  <c r="E396" i="4"/>
  <c r="I396" i="4"/>
  <c r="M396" i="4"/>
  <c r="Q396" i="4"/>
  <c r="U396" i="4"/>
  <c r="C396" i="4"/>
  <c r="G419" i="7"/>
  <c r="K419" i="7"/>
  <c r="O419" i="7"/>
  <c r="S419" i="7"/>
  <c r="D12" i="7"/>
  <c r="H12" i="7"/>
  <c r="L12" i="7"/>
  <c r="P12" i="7"/>
  <c r="T12" i="7"/>
  <c r="X12" i="7"/>
  <c r="F7" i="4"/>
  <c r="J7" i="4"/>
  <c r="N7" i="4"/>
  <c r="R7" i="4"/>
  <c r="E470" i="4"/>
  <c r="I470" i="4"/>
  <c r="M470" i="4"/>
  <c r="Q470" i="4"/>
  <c r="U470" i="4"/>
  <c r="C470" i="4"/>
  <c r="G498" i="7"/>
  <c r="K498" i="7"/>
  <c r="O498" i="7"/>
  <c r="S498" i="7"/>
  <c r="W498" i="7"/>
  <c r="F448" i="4"/>
  <c r="J448" i="4"/>
  <c r="N448" i="4"/>
  <c r="R448" i="4"/>
  <c r="V448" i="4"/>
  <c r="D475" i="7"/>
  <c r="H475" i="7"/>
  <c r="L475" i="7"/>
  <c r="P475" i="7"/>
  <c r="T475" i="7"/>
  <c r="X475" i="7"/>
  <c r="G433" i="4"/>
  <c r="K433" i="4"/>
  <c r="O433" i="4"/>
  <c r="S433" i="4"/>
  <c r="W433" i="4"/>
  <c r="E457" i="7"/>
  <c r="I457" i="7"/>
  <c r="M457" i="7"/>
  <c r="Q457" i="7"/>
  <c r="U457" i="7"/>
  <c r="D429" i="4"/>
  <c r="H429" i="4"/>
  <c r="L429" i="4"/>
  <c r="P429" i="4"/>
  <c r="T429" i="4"/>
  <c r="X429" i="4"/>
  <c r="F453" i="7"/>
  <c r="J453" i="7"/>
  <c r="N453" i="7"/>
  <c r="R453" i="7"/>
  <c r="V453" i="7"/>
  <c r="E417" i="4"/>
  <c r="I417" i="4"/>
  <c r="M417" i="4"/>
  <c r="Q417" i="4"/>
  <c r="U417" i="4"/>
  <c r="C417" i="4"/>
  <c r="G440" i="7"/>
  <c r="K440" i="7"/>
  <c r="O440" i="7"/>
  <c r="S440" i="7"/>
  <c r="W440" i="7"/>
  <c r="F401" i="4"/>
  <c r="J401" i="4"/>
  <c r="N401" i="4"/>
  <c r="R401" i="4"/>
  <c r="V401" i="4"/>
  <c r="Y424" i="7"/>
  <c r="G424" i="7"/>
  <c r="E12" i="7"/>
  <c r="I12" i="7"/>
  <c r="M12" i="7"/>
  <c r="Q12" i="7"/>
  <c r="U12" i="7"/>
  <c r="Y12" i="7"/>
  <c r="G7" i="4"/>
  <c r="K7" i="4"/>
  <c r="O7" i="4"/>
  <c r="S7" i="4"/>
  <c r="W7" i="4"/>
  <c r="F470" i="4"/>
  <c r="J470" i="4"/>
  <c r="N470" i="4"/>
  <c r="R470" i="4"/>
  <c r="V470" i="4"/>
  <c r="D498" i="7"/>
  <c r="H498" i="7"/>
  <c r="L498" i="7"/>
  <c r="P498" i="7"/>
  <c r="T498" i="7"/>
  <c r="X498" i="7"/>
  <c r="G448" i="4"/>
  <c r="K448" i="4"/>
  <c r="O448" i="4"/>
  <c r="S448" i="4"/>
  <c r="W448" i="4"/>
  <c r="E475" i="7"/>
  <c r="I475" i="7"/>
  <c r="M475" i="7"/>
  <c r="Q475" i="7"/>
  <c r="U475" i="7"/>
  <c r="D433" i="4"/>
  <c r="H433" i="4"/>
  <c r="L433" i="4"/>
  <c r="P433" i="4"/>
  <c r="T433" i="4"/>
  <c r="X433" i="4"/>
  <c r="F457" i="7"/>
  <c r="J457" i="7"/>
  <c r="N457" i="7"/>
  <c r="R457" i="7"/>
  <c r="V457" i="7"/>
  <c r="E429" i="4"/>
  <c r="I429" i="4"/>
  <c r="M429" i="4"/>
  <c r="Q429" i="4"/>
  <c r="U429" i="4"/>
  <c r="C429" i="4"/>
  <c r="G453" i="7"/>
  <c r="K453" i="7"/>
  <c r="O453" i="7"/>
  <c r="S453" i="7"/>
  <c r="W453" i="7"/>
  <c r="F417" i="4"/>
  <c r="J417" i="4"/>
  <c r="N417" i="4"/>
  <c r="R417" i="4"/>
  <c r="V417" i="4"/>
  <c r="D440" i="7"/>
  <c r="H440" i="7"/>
  <c r="L440" i="7"/>
  <c r="P440" i="7"/>
  <c r="T440" i="7"/>
  <c r="X440" i="7"/>
  <c r="G401" i="4"/>
  <c r="K401" i="4"/>
  <c r="O401" i="4"/>
  <c r="S401" i="4"/>
  <c r="W401" i="4"/>
  <c r="D424" i="7"/>
  <c r="H424" i="7"/>
  <c r="L424" i="7"/>
  <c r="P424" i="7"/>
  <c r="T424" i="7"/>
  <c r="X424" i="7"/>
  <c r="G396" i="4"/>
  <c r="K396" i="4"/>
  <c r="O396" i="4"/>
  <c r="S396" i="4"/>
  <c r="W396" i="4"/>
  <c r="E419" i="7"/>
  <c r="I419" i="7"/>
  <c r="M419" i="7"/>
  <c r="Q419" i="7"/>
  <c r="R12" i="7"/>
  <c r="L7" i="4"/>
  <c r="G470" i="4"/>
  <c r="W470" i="4"/>
  <c r="Q498" i="7"/>
  <c r="L448" i="4"/>
  <c r="F475" i="7"/>
  <c r="V475" i="7"/>
  <c r="Q433" i="4"/>
  <c r="K457" i="7"/>
  <c r="F429" i="4"/>
  <c r="V429" i="4"/>
  <c r="P453" i="7"/>
  <c r="K417" i="4"/>
  <c r="E440" i="7"/>
  <c r="U440" i="7"/>
  <c r="P401" i="4"/>
  <c r="I424" i="7"/>
  <c r="Q424" i="7"/>
  <c r="D396" i="4"/>
  <c r="L396" i="4"/>
  <c r="T396" i="4"/>
  <c r="F419" i="7"/>
  <c r="N419" i="7"/>
  <c r="U419" i="7"/>
  <c r="F395" i="4"/>
  <c r="J395" i="4"/>
  <c r="N395" i="4"/>
  <c r="R395" i="4"/>
  <c r="V395" i="4"/>
  <c r="D418" i="7"/>
  <c r="H418" i="7"/>
  <c r="L418" i="7"/>
  <c r="P418" i="7"/>
  <c r="T418" i="7"/>
  <c r="X418" i="7"/>
  <c r="G393" i="4"/>
  <c r="K393" i="4"/>
  <c r="O393" i="4"/>
  <c r="S393" i="4"/>
  <c r="W393" i="4"/>
  <c r="E416" i="7"/>
  <c r="I416" i="7"/>
  <c r="M416" i="7"/>
  <c r="Q416" i="7"/>
  <c r="U416" i="7"/>
  <c r="D377" i="4"/>
  <c r="H377" i="4"/>
  <c r="L377" i="4"/>
  <c r="P377" i="4"/>
  <c r="T377" i="4"/>
  <c r="X377" i="4"/>
  <c r="F399" i="7"/>
  <c r="J399" i="7"/>
  <c r="N399" i="7"/>
  <c r="R399" i="7"/>
  <c r="V399" i="7"/>
  <c r="E373" i="4"/>
  <c r="I373" i="4"/>
  <c r="M373" i="4"/>
  <c r="Q373" i="4"/>
  <c r="U373" i="4"/>
  <c r="C373" i="4"/>
  <c r="G395" i="7"/>
  <c r="K395" i="7"/>
  <c r="O395" i="7"/>
  <c r="S395" i="7"/>
  <c r="W395" i="7"/>
  <c r="D359" i="4"/>
  <c r="H359" i="4"/>
  <c r="L359" i="4"/>
  <c r="P359" i="4"/>
  <c r="T359" i="4"/>
  <c r="X359" i="4"/>
  <c r="F378" i="7"/>
  <c r="J378" i="7"/>
  <c r="N378" i="7"/>
  <c r="R378" i="7"/>
  <c r="V378" i="7"/>
  <c r="E348" i="4"/>
  <c r="I348" i="4"/>
  <c r="M348" i="4"/>
  <c r="Q348" i="4"/>
  <c r="U348" i="4"/>
  <c r="C348" i="4"/>
  <c r="G367" i="7"/>
  <c r="K367" i="7"/>
  <c r="O367" i="7"/>
  <c r="S367" i="7"/>
  <c r="W367" i="7"/>
  <c r="F369" i="4"/>
  <c r="J369" i="4"/>
  <c r="N369" i="4"/>
  <c r="R369" i="4"/>
  <c r="V369" i="4"/>
  <c r="D391" i="7"/>
  <c r="H391" i="7"/>
  <c r="L391" i="7"/>
  <c r="P391" i="7"/>
  <c r="T391" i="7"/>
  <c r="X391" i="7"/>
  <c r="G343" i="4"/>
  <c r="K343" i="4"/>
  <c r="O343" i="4"/>
  <c r="S343" i="4"/>
  <c r="W343" i="4"/>
  <c r="E362" i="7"/>
  <c r="I362" i="7"/>
  <c r="M362" i="7"/>
  <c r="Q362" i="7"/>
  <c r="U362" i="7"/>
  <c r="D335" i="4"/>
  <c r="H335" i="4"/>
  <c r="L335" i="4"/>
  <c r="P335" i="4"/>
  <c r="T335" i="4"/>
  <c r="X335" i="4"/>
  <c r="F355" i="7"/>
  <c r="J355" i="7"/>
  <c r="N355" i="7"/>
  <c r="R355" i="7"/>
  <c r="V355" i="7"/>
  <c r="E331" i="4"/>
  <c r="I331" i="4"/>
  <c r="M331" i="4"/>
  <c r="Q331" i="4"/>
  <c r="U331" i="4"/>
  <c r="C331" i="4"/>
  <c r="F351" i="7"/>
  <c r="J351" i="7"/>
  <c r="N351" i="7"/>
  <c r="R351" i="7"/>
  <c r="V351" i="7"/>
  <c r="E304" i="4"/>
  <c r="I304" i="4"/>
  <c r="M304" i="4"/>
  <c r="Q304" i="4"/>
  <c r="U304" i="4"/>
  <c r="C304" i="4"/>
  <c r="G323" i="7"/>
  <c r="K323" i="7"/>
  <c r="O323" i="7"/>
  <c r="S323" i="7"/>
  <c r="W323" i="7"/>
  <c r="F303" i="4"/>
  <c r="J303" i="4"/>
  <c r="N303" i="4"/>
  <c r="R303" i="4"/>
  <c r="V303" i="4"/>
  <c r="D322" i="7"/>
  <c r="H322" i="7"/>
  <c r="L322" i="7"/>
  <c r="P322" i="7"/>
  <c r="T322" i="7"/>
  <c r="X322" i="7"/>
  <c r="G287" i="4"/>
  <c r="K287" i="4"/>
  <c r="O287" i="4"/>
  <c r="S287" i="4"/>
  <c r="W287" i="4"/>
  <c r="E303" i="7"/>
  <c r="I303" i="7"/>
  <c r="M303" i="7"/>
  <c r="Q303" i="7"/>
  <c r="U303" i="7"/>
  <c r="D298" i="4"/>
  <c r="H298" i="4"/>
  <c r="L298" i="4"/>
  <c r="P298" i="4"/>
  <c r="T298" i="4"/>
  <c r="F12" i="7"/>
  <c r="V12" i="7"/>
  <c r="P7" i="4"/>
  <c r="K470" i="4"/>
  <c r="E498" i="7"/>
  <c r="U498" i="7"/>
  <c r="P448" i="4"/>
  <c r="J475" i="7"/>
  <c r="E433" i="4"/>
  <c r="U433" i="4"/>
  <c r="O457" i="7"/>
  <c r="J429" i="4"/>
  <c r="D453" i="7"/>
  <c r="T453" i="7"/>
  <c r="O417" i="4"/>
  <c r="I440" i="7"/>
  <c r="D401" i="4"/>
  <c r="T401" i="4"/>
  <c r="K424" i="7"/>
  <c r="S424" i="7"/>
  <c r="F396" i="4"/>
  <c r="N396" i="4"/>
  <c r="V396" i="4"/>
  <c r="H419" i="7"/>
  <c r="P419" i="7"/>
  <c r="V419" i="7"/>
  <c r="G395" i="4"/>
  <c r="K395" i="4"/>
  <c r="O395" i="4"/>
  <c r="S395" i="4"/>
  <c r="W395" i="4"/>
  <c r="E418" i="7"/>
  <c r="I418" i="7"/>
  <c r="M418" i="7"/>
  <c r="Q418" i="7"/>
  <c r="U418" i="7"/>
  <c r="D393" i="4"/>
  <c r="H393" i="4"/>
  <c r="L393" i="4"/>
  <c r="P393" i="4"/>
  <c r="T393" i="4"/>
  <c r="X393" i="4"/>
  <c r="F416" i="7"/>
  <c r="J416" i="7"/>
  <c r="N416" i="7"/>
  <c r="R416" i="7"/>
  <c r="V416" i="7"/>
  <c r="E377" i="4"/>
  <c r="I377" i="4"/>
  <c r="M377" i="4"/>
  <c r="Q377" i="4"/>
  <c r="U377" i="4"/>
  <c r="C377" i="4"/>
  <c r="G399" i="7"/>
  <c r="K399" i="7"/>
  <c r="O399" i="7"/>
  <c r="S399" i="7"/>
  <c r="W399" i="7"/>
  <c r="F373" i="4"/>
  <c r="J373" i="4"/>
  <c r="N373" i="4"/>
  <c r="R373" i="4"/>
  <c r="V373" i="4"/>
  <c r="D395" i="7"/>
  <c r="H395" i="7"/>
  <c r="L395" i="7"/>
  <c r="P395" i="7"/>
  <c r="T395" i="7"/>
  <c r="X395" i="7"/>
  <c r="E359" i="4"/>
  <c r="I359" i="4"/>
  <c r="M359" i="4"/>
  <c r="Q359" i="4"/>
  <c r="U359" i="4"/>
  <c r="C359" i="4"/>
  <c r="G378" i="7"/>
  <c r="K378" i="7"/>
  <c r="O378" i="7"/>
  <c r="S378" i="7"/>
  <c r="W378" i="7"/>
  <c r="F348" i="4"/>
  <c r="J348" i="4"/>
  <c r="N348" i="4"/>
  <c r="R348" i="4"/>
  <c r="V348" i="4"/>
  <c r="D367" i="7"/>
  <c r="H367" i="7"/>
  <c r="L367" i="7"/>
  <c r="P367" i="7"/>
  <c r="T367" i="7"/>
  <c r="X367" i="7"/>
  <c r="G369" i="4"/>
  <c r="K369" i="4"/>
  <c r="O369" i="4"/>
  <c r="S369" i="4"/>
  <c r="W369" i="4"/>
  <c r="E391" i="7"/>
  <c r="I391" i="7"/>
  <c r="M391" i="7"/>
  <c r="Q391" i="7"/>
  <c r="U391" i="7"/>
  <c r="D343" i="4"/>
  <c r="H343" i="4"/>
  <c r="L343" i="4"/>
  <c r="P343" i="4"/>
  <c r="T343" i="4"/>
  <c r="X343" i="4"/>
  <c r="F362" i="7"/>
  <c r="J362" i="7"/>
  <c r="N362" i="7"/>
  <c r="R362" i="7"/>
  <c r="V362" i="7"/>
  <c r="E335" i="4"/>
  <c r="I335" i="4"/>
  <c r="M335" i="4"/>
  <c r="Q335" i="4"/>
  <c r="U335" i="4"/>
  <c r="C335" i="4"/>
  <c r="G355" i="7"/>
  <c r="K355" i="7"/>
  <c r="O355" i="7"/>
  <c r="S355" i="7"/>
  <c r="W355" i="7"/>
  <c r="F331" i="4"/>
  <c r="J331" i="4"/>
  <c r="N331" i="4"/>
  <c r="R331" i="4"/>
  <c r="V331" i="4"/>
  <c r="Y351" i="7"/>
  <c r="G351" i="7"/>
  <c r="K351" i="7"/>
  <c r="O351" i="7"/>
  <c r="S351" i="7"/>
  <c r="W351" i="7"/>
  <c r="F304" i="4"/>
  <c r="J304" i="4"/>
  <c r="N304" i="4"/>
  <c r="R304" i="4"/>
  <c r="V304" i="4"/>
  <c r="D323" i="7"/>
  <c r="H323" i="7"/>
  <c r="L323" i="7"/>
  <c r="P323" i="7"/>
  <c r="T323" i="7"/>
  <c r="X323" i="7"/>
  <c r="G303" i="4"/>
  <c r="K303" i="4"/>
  <c r="O303" i="4"/>
  <c r="S303" i="4"/>
  <c r="W303" i="4"/>
  <c r="E322" i="7"/>
  <c r="I322" i="7"/>
  <c r="M322" i="7"/>
  <c r="Q322" i="7"/>
  <c r="U322" i="7"/>
  <c r="D287" i="4"/>
  <c r="H287" i="4"/>
  <c r="L287" i="4"/>
  <c r="P287" i="4"/>
  <c r="T287" i="4"/>
  <c r="X287" i="4"/>
  <c r="F303" i="7"/>
  <c r="J303" i="7"/>
  <c r="N303" i="7"/>
  <c r="R303" i="7"/>
  <c r="V303" i="7"/>
  <c r="E298" i="4"/>
  <c r="I298" i="4"/>
  <c r="M298" i="4"/>
  <c r="J12" i="7"/>
  <c r="D7" i="4"/>
  <c r="T7" i="4"/>
  <c r="O470" i="4"/>
  <c r="I498" i="7"/>
  <c r="D448" i="4"/>
  <c r="T448" i="4"/>
  <c r="N475" i="7"/>
  <c r="I433" i="4"/>
  <c r="C433" i="4"/>
  <c r="S457" i="7"/>
  <c r="N429" i="4"/>
  <c r="H453" i="7"/>
  <c r="X453" i="7"/>
  <c r="S417" i="4"/>
  <c r="M440" i="7"/>
  <c r="H401" i="4"/>
  <c r="X401" i="4"/>
  <c r="M424" i="7"/>
  <c r="U424" i="7"/>
  <c r="H396" i="4"/>
  <c r="P396" i="4"/>
  <c r="X396" i="4"/>
  <c r="J419" i="7"/>
  <c r="R419" i="7"/>
  <c r="W419" i="7"/>
  <c r="D395" i="4"/>
  <c r="H395" i="4"/>
  <c r="L395" i="4"/>
  <c r="P395" i="4"/>
  <c r="T395" i="4"/>
  <c r="X395" i="4"/>
  <c r="F418" i="7"/>
  <c r="J418" i="7"/>
  <c r="N418" i="7"/>
  <c r="R418" i="7"/>
  <c r="V418" i="7"/>
  <c r="E393" i="4"/>
  <c r="I393" i="4"/>
  <c r="M393" i="4"/>
  <c r="Q393" i="4"/>
  <c r="U393" i="4"/>
  <c r="C393" i="4"/>
  <c r="G416" i="7"/>
  <c r="K416" i="7"/>
  <c r="O416" i="7"/>
  <c r="S416" i="7"/>
  <c r="W416" i="7"/>
  <c r="F377" i="4"/>
  <c r="J377" i="4"/>
  <c r="N377" i="4"/>
  <c r="R377" i="4"/>
  <c r="V377" i="4"/>
  <c r="D399" i="7"/>
  <c r="H399" i="7"/>
  <c r="L399" i="7"/>
  <c r="P399" i="7"/>
  <c r="T399" i="7"/>
  <c r="X399" i="7"/>
  <c r="G373" i="4"/>
  <c r="K373" i="4"/>
  <c r="O373" i="4"/>
  <c r="S373" i="4"/>
  <c r="W373" i="4"/>
  <c r="E395" i="7"/>
  <c r="I395" i="7"/>
  <c r="M395" i="7"/>
  <c r="Q395" i="7"/>
  <c r="U395" i="7"/>
  <c r="F359" i="4"/>
  <c r="S470" i="4"/>
  <c r="R475" i="7"/>
  <c r="R429" i="4"/>
  <c r="Q440" i="7"/>
  <c r="W424" i="7"/>
  <c r="L419" i="7"/>
  <c r="Q395" i="4"/>
  <c r="K418" i="7"/>
  <c r="F393" i="4"/>
  <c r="V393" i="4"/>
  <c r="P416" i="7"/>
  <c r="K377" i="4"/>
  <c r="E399" i="7"/>
  <c r="U399" i="7"/>
  <c r="P373" i="4"/>
  <c r="J395" i="7"/>
  <c r="K359" i="4"/>
  <c r="S359" i="4"/>
  <c r="E378" i="7"/>
  <c r="M378" i="7"/>
  <c r="U378" i="7"/>
  <c r="H348" i="4"/>
  <c r="P348" i="4"/>
  <c r="X348" i="4"/>
  <c r="J367" i="7"/>
  <c r="R367" i="7"/>
  <c r="E369" i="4"/>
  <c r="M369" i="4"/>
  <c r="U369" i="4"/>
  <c r="G391" i="7"/>
  <c r="O391" i="7"/>
  <c r="W391" i="7"/>
  <c r="J343" i="4"/>
  <c r="R343" i="4"/>
  <c r="D362" i="7"/>
  <c r="L362" i="7"/>
  <c r="T362" i="7"/>
  <c r="G335" i="4"/>
  <c r="O335" i="4"/>
  <c r="W335" i="4"/>
  <c r="I355" i="7"/>
  <c r="Q355" i="7"/>
  <c r="D331" i="4"/>
  <c r="L331" i="4"/>
  <c r="T331" i="4"/>
  <c r="E351" i="7"/>
  <c r="M351" i="7"/>
  <c r="U351" i="7"/>
  <c r="H304" i="4"/>
  <c r="P304" i="4"/>
  <c r="X304" i="4"/>
  <c r="J323" i="7"/>
  <c r="R323" i="7"/>
  <c r="E303" i="4"/>
  <c r="M303" i="4"/>
  <c r="U303" i="4"/>
  <c r="G322" i="7"/>
  <c r="O322" i="7"/>
  <c r="W322" i="7"/>
  <c r="J287" i="4"/>
  <c r="R287" i="4"/>
  <c r="D303" i="7"/>
  <c r="L303" i="7"/>
  <c r="T303" i="7"/>
  <c r="G298" i="4"/>
  <c r="O298" i="4"/>
  <c r="U298" i="4"/>
  <c r="C298" i="4"/>
  <c r="G317" i="7"/>
  <c r="K317" i="7"/>
  <c r="O317" i="7"/>
  <c r="S317" i="7"/>
  <c r="W317" i="7"/>
  <c r="D276" i="4"/>
  <c r="H276" i="4"/>
  <c r="L276" i="4"/>
  <c r="P276" i="4"/>
  <c r="T276" i="4"/>
  <c r="C276" i="4"/>
  <c r="G292" i="7"/>
  <c r="K292" i="7"/>
  <c r="O292" i="7"/>
  <c r="S292" i="7"/>
  <c r="W292" i="7"/>
  <c r="X292" i="7"/>
  <c r="V287" i="4"/>
  <c r="X303" i="7"/>
  <c r="W298" i="4"/>
  <c r="M317" i="7"/>
  <c r="U317" i="7"/>
  <c r="F276" i="4"/>
  <c r="N276" i="4"/>
  <c r="E292" i="7"/>
  <c r="M292" i="7"/>
  <c r="Q292" i="7"/>
  <c r="C7" i="4"/>
  <c r="M395" i="4"/>
  <c r="R393" i="4"/>
  <c r="W377" i="4"/>
  <c r="F395" i="7"/>
  <c r="R359" i="4"/>
  <c r="T378" i="7"/>
  <c r="O348" i="4"/>
  <c r="Q367" i="7"/>
  <c r="L369" i="4"/>
  <c r="N391" i="7"/>
  <c r="Q343" i="4"/>
  <c r="K362" i="7"/>
  <c r="V335" i="4"/>
  <c r="X355" i="7"/>
  <c r="S331" i="4"/>
  <c r="L351" i="7"/>
  <c r="G304" i="4"/>
  <c r="I323" i="7"/>
  <c r="Q323" i="7"/>
  <c r="L303" i="4"/>
  <c r="N322" i="7"/>
  <c r="I287" i="4"/>
  <c r="K303" i="7"/>
  <c r="F298" i="4"/>
  <c r="X298" i="4"/>
  <c r="J317" i="7"/>
  <c r="V317" i="7"/>
  <c r="G276" i="4"/>
  <c r="K276" i="4"/>
  <c r="W276" i="4"/>
  <c r="J292" i="7"/>
  <c r="R292" i="7"/>
  <c r="N12" i="7"/>
  <c r="M498" i="7"/>
  <c r="M433" i="4"/>
  <c r="L453" i="7"/>
  <c r="L401" i="4"/>
  <c r="J396" i="4"/>
  <c r="T419" i="7"/>
  <c r="E395" i="4"/>
  <c r="U395" i="4"/>
  <c r="O418" i="7"/>
  <c r="J393" i="4"/>
  <c r="D416" i="7"/>
  <c r="T416" i="7"/>
  <c r="O377" i="4"/>
  <c r="I399" i="7"/>
  <c r="D373" i="4"/>
  <c r="T373" i="4"/>
  <c r="N395" i="7"/>
  <c r="N359" i="4"/>
  <c r="V359" i="4"/>
  <c r="H378" i="7"/>
  <c r="P378" i="7"/>
  <c r="X378" i="7"/>
  <c r="K348" i="4"/>
  <c r="S348" i="4"/>
  <c r="E367" i="7"/>
  <c r="M367" i="7"/>
  <c r="U367" i="7"/>
  <c r="H369" i="4"/>
  <c r="P369" i="4"/>
  <c r="X369" i="4"/>
  <c r="J391" i="7"/>
  <c r="R391" i="7"/>
  <c r="E343" i="4"/>
  <c r="M343" i="4"/>
  <c r="U343" i="4"/>
  <c r="G362" i="7"/>
  <c r="O362" i="7"/>
  <c r="W362" i="7"/>
  <c r="J335" i="4"/>
  <c r="R335" i="4"/>
  <c r="D355" i="7"/>
  <c r="L355" i="7"/>
  <c r="T355" i="7"/>
  <c r="G331" i="4"/>
  <c r="O331" i="4"/>
  <c r="W331" i="4"/>
  <c r="H351" i="7"/>
  <c r="P351" i="7"/>
  <c r="X351" i="7"/>
  <c r="K304" i="4"/>
  <c r="S304" i="4"/>
  <c r="E323" i="7"/>
  <c r="M323" i="7"/>
  <c r="U323" i="7"/>
  <c r="H303" i="4"/>
  <c r="P303" i="4"/>
  <c r="X303" i="4"/>
  <c r="J322" i="7"/>
  <c r="R322" i="7"/>
  <c r="E287" i="4"/>
  <c r="M287" i="4"/>
  <c r="U287" i="4"/>
  <c r="G303" i="7"/>
  <c r="O303" i="7"/>
  <c r="W303" i="7"/>
  <c r="J298" i="4"/>
  <c r="Q298" i="4"/>
  <c r="V298" i="4"/>
  <c r="D317" i="7"/>
  <c r="H317" i="7"/>
  <c r="L317" i="7"/>
  <c r="P317" i="7"/>
  <c r="T317" i="7"/>
  <c r="X317" i="7"/>
  <c r="E276" i="4"/>
  <c r="I276" i="4"/>
  <c r="M276" i="4"/>
  <c r="Q276" i="4"/>
  <c r="U276" i="4"/>
  <c r="D292" i="7"/>
  <c r="H292" i="7"/>
  <c r="L292" i="7"/>
  <c r="P292" i="7"/>
  <c r="T292" i="7"/>
  <c r="H303" i="7"/>
  <c r="K298" i="4"/>
  <c r="R298" i="4"/>
  <c r="E317" i="7"/>
  <c r="Q317" i="7"/>
  <c r="X276" i="4"/>
  <c r="J276" i="4"/>
  <c r="V276" i="4"/>
  <c r="I292" i="7"/>
  <c r="U292" i="7"/>
  <c r="X448" i="4"/>
  <c r="W418" i="7"/>
  <c r="G377" i="4"/>
  <c r="L373" i="4"/>
  <c r="V395" i="7"/>
  <c r="J359" i="4"/>
  <c r="L378" i="7"/>
  <c r="G348" i="4"/>
  <c r="I367" i="7"/>
  <c r="D369" i="4"/>
  <c r="F391" i="7"/>
  <c r="V391" i="7"/>
  <c r="C343" i="4"/>
  <c r="F335" i="4"/>
  <c r="N335" i="4"/>
  <c r="H355" i="7"/>
  <c r="K331" i="4"/>
  <c r="D351" i="7"/>
  <c r="T351" i="7"/>
  <c r="W304" i="4"/>
  <c r="D303" i="4"/>
  <c r="F322" i="7"/>
  <c r="V322" i="7"/>
  <c r="Q287" i="4"/>
  <c r="S303" i="7"/>
  <c r="N298" i="4"/>
  <c r="F317" i="7"/>
  <c r="R317" i="7"/>
  <c r="Y276" i="4"/>
  <c r="S276" i="4"/>
  <c r="F292" i="7"/>
  <c r="V292" i="7"/>
  <c r="H7" i="4"/>
  <c r="H448" i="4"/>
  <c r="G457" i="7"/>
  <c r="G417" i="4"/>
  <c r="E424" i="7"/>
  <c r="R396" i="4"/>
  <c r="X419" i="7"/>
  <c r="I395" i="4"/>
  <c r="C395" i="4"/>
  <c r="S418" i="7"/>
  <c r="N393" i="4"/>
  <c r="H416" i="7"/>
  <c r="X416" i="7"/>
  <c r="S377" i="4"/>
  <c r="M399" i="7"/>
  <c r="H373" i="4"/>
  <c r="X373" i="4"/>
  <c r="R395" i="7"/>
  <c r="G359" i="4"/>
  <c r="O359" i="4"/>
  <c r="W359" i="4"/>
  <c r="I378" i="7"/>
  <c r="Q378" i="7"/>
  <c r="D348" i="4"/>
  <c r="L348" i="4"/>
  <c r="T348" i="4"/>
  <c r="F367" i="7"/>
  <c r="N367" i="7"/>
  <c r="V367" i="7"/>
  <c r="I369" i="4"/>
  <c r="Q369" i="4"/>
  <c r="C369" i="4"/>
  <c r="K391" i="7"/>
  <c r="S391" i="7"/>
  <c r="F343" i="4"/>
  <c r="N343" i="4"/>
  <c r="V343" i="4"/>
  <c r="H362" i="7"/>
  <c r="P362" i="7"/>
  <c r="X362" i="7"/>
  <c r="K335" i="4"/>
  <c r="S335" i="4"/>
  <c r="E355" i="7"/>
  <c r="M355" i="7"/>
  <c r="U355" i="7"/>
  <c r="H331" i="4"/>
  <c r="P331" i="4"/>
  <c r="X331" i="4"/>
  <c r="I351" i="7"/>
  <c r="Q351" i="7"/>
  <c r="D304" i="4"/>
  <c r="L304" i="4"/>
  <c r="T304" i="4"/>
  <c r="F323" i="7"/>
  <c r="N323" i="7"/>
  <c r="V323" i="7"/>
  <c r="I303" i="4"/>
  <c r="Q303" i="4"/>
  <c r="C303" i="4"/>
  <c r="K322" i="7"/>
  <c r="S322" i="7"/>
  <c r="F287" i="4"/>
  <c r="N287" i="4"/>
  <c r="P303" i="7"/>
  <c r="I317" i="7"/>
  <c r="R276" i="4"/>
  <c r="Y292" i="7"/>
  <c r="W457" i="7"/>
  <c r="W417" i="4"/>
  <c r="O424" i="7"/>
  <c r="D419" i="7"/>
  <c r="G418" i="7"/>
  <c r="L416" i="7"/>
  <c r="Q399" i="7"/>
  <c r="D378" i="7"/>
  <c r="W348" i="4"/>
  <c r="T369" i="4"/>
  <c r="I343" i="4"/>
  <c r="S362" i="7"/>
  <c r="P355" i="7"/>
  <c r="O304" i="4"/>
  <c r="T303" i="4"/>
  <c r="C287" i="4"/>
  <c r="S298" i="4"/>
  <c r="N317" i="7"/>
  <c r="O276" i="4"/>
  <c r="N292" i="7"/>
  <c r="D275" i="4"/>
  <c r="H275" i="4"/>
  <c r="L275" i="4"/>
  <c r="P275" i="4"/>
  <c r="T275" i="4"/>
  <c r="X275" i="4"/>
  <c r="F291" i="7"/>
  <c r="J291" i="7"/>
  <c r="N291" i="7"/>
  <c r="R291" i="7"/>
  <c r="V291" i="7"/>
  <c r="E274" i="4"/>
  <c r="I274" i="4"/>
  <c r="M274" i="4"/>
  <c r="Q274" i="4"/>
  <c r="U274" i="4"/>
  <c r="C274" i="4"/>
  <c r="G290" i="7"/>
  <c r="K290" i="7"/>
  <c r="O290" i="7"/>
  <c r="S290" i="7"/>
  <c r="W290" i="7"/>
  <c r="F270" i="4"/>
  <c r="J270" i="4"/>
  <c r="N270" i="4"/>
  <c r="R270" i="4"/>
  <c r="V270" i="4"/>
  <c r="D285" i="7"/>
  <c r="H285" i="7"/>
  <c r="L285" i="7"/>
  <c r="P285" i="7"/>
  <c r="T285" i="7"/>
  <c r="X285" i="7"/>
  <c r="G269" i="4"/>
  <c r="K269" i="4"/>
  <c r="O269" i="4"/>
  <c r="S269" i="4"/>
  <c r="W269" i="4"/>
  <c r="E283" i="7"/>
  <c r="I283" i="7"/>
  <c r="M283" i="7"/>
  <c r="Q283" i="7"/>
  <c r="U283" i="7"/>
  <c r="D267" i="4"/>
  <c r="H267" i="4"/>
  <c r="L267" i="4"/>
  <c r="P267" i="4"/>
  <c r="T267" i="4"/>
  <c r="X267" i="4"/>
  <c r="F281" i="7"/>
  <c r="J281" i="7"/>
  <c r="N281" i="7"/>
  <c r="R281" i="7"/>
  <c r="V281" i="7"/>
  <c r="E243" i="7"/>
  <c r="I243" i="7"/>
  <c r="M243" i="7"/>
  <c r="Q243" i="7"/>
  <c r="U243" i="7"/>
  <c r="D233" i="4"/>
  <c r="H233" i="4"/>
  <c r="L233" i="4"/>
  <c r="P233" i="4"/>
  <c r="T233" i="4"/>
  <c r="X233" i="4"/>
  <c r="N210" i="4"/>
  <c r="R210" i="4"/>
  <c r="V210" i="4"/>
  <c r="D219" i="7"/>
  <c r="H219" i="7"/>
  <c r="L219" i="7"/>
  <c r="P219" i="7"/>
  <c r="T219" i="7"/>
  <c r="X219" i="7"/>
  <c r="G197" i="4"/>
  <c r="K197" i="4"/>
  <c r="O197" i="4"/>
  <c r="S197" i="4"/>
  <c r="W197" i="4"/>
  <c r="E205" i="7"/>
  <c r="I205" i="7"/>
  <c r="M205" i="7"/>
  <c r="Q205" i="7"/>
  <c r="U205" i="7"/>
  <c r="D159" i="4"/>
  <c r="H159" i="4"/>
  <c r="L159" i="4"/>
  <c r="P159" i="4"/>
  <c r="T159" i="4"/>
  <c r="X159" i="4"/>
  <c r="F163" i="7"/>
  <c r="J163" i="7"/>
  <c r="N163" i="7"/>
  <c r="R163" i="7"/>
  <c r="V163" i="7"/>
  <c r="D164" i="4"/>
  <c r="H164" i="4"/>
  <c r="L164" i="4"/>
  <c r="P164" i="4"/>
  <c r="T164" i="4"/>
  <c r="E168" i="7"/>
  <c r="I168" i="7"/>
  <c r="M168" i="7"/>
  <c r="Q168" i="7"/>
  <c r="U168" i="7"/>
  <c r="R116" i="7"/>
  <c r="V116" i="7"/>
  <c r="F123" i="4"/>
  <c r="K123" i="4"/>
  <c r="O123" i="4"/>
  <c r="S123" i="4"/>
  <c r="D126" i="7"/>
  <c r="H126" i="7"/>
  <c r="L126" i="7"/>
  <c r="P126" i="7"/>
  <c r="T126" i="7"/>
  <c r="F112" i="4"/>
  <c r="J112" i="4"/>
  <c r="N112" i="4"/>
  <c r="R112" i="4"/>
  <c r="C112" i="4"/>
  <c r="U115" i="7"/>
  <c r="O115" i="7"/>
  <c r="D109" i="7"/>
  <c r="H109" i="7"/>
  <c r="L109" i="7"/>
  <c r="P109" i="7"/>
  <c r="T109" i="7"/>
  <c r="F106" i="4"/>
  <c r="J106" i="4"/>
  <c r="N106" i="4"/>
  <c r="R106" i="4"/>
  <c r="C106" i="4"/>
  <c r="S116" i="7"/>
  <c r="C123" i="4"/>
  <c r="L123" i="4"/>
  <c r="P123" i="4"/>
  <c r="T123" i="4"/>
  <c r="E126" i="7"/>
  <c r="M126" i="7"/>
  <c r="Q126" i="7"/>
  <c r="U126" i="7"/>
  <c r="K112" i="4"/>
  <c r="O112" i="4"/>
  <c r="S112" i="4"/>
  <c r="P115" i="7"/>
  <c r="E109" i="7"/>
  <c r="M109" i="7"/>
  <c r="Q109" i="7"/>
  <c r="G106" i="4"/>
  <c r="K106" i="4"/>
  <c r="S106" i="4"/>
  <c r="E275" i="4"/>
  <c r="I275" i="4"/>
  <c r="M275" i="4"/>
  <c r="Q275" i="4"/>
  <c r="U275" i="4"/>
  <c r="C275" i="4"/>
  <c r="G291" i="7"/>
  <c r="K291" i="7"/>
  <c r="O291" i="7"/>
  <c r="S291" i="7"/>
  <c r="W291" i="7"/>
  <c r="F274" i="4"/>
  <c r="J274" i="4"/>
  <c r="N274" i="4"/>
  <c r="R274" i="4"/>
  <c r="V274" i="4"/>
  <c r="D290" i="7"/>
  <c r="H290" i="7"/>
  <c r="L290" i="7"/>
  <c r="P290" i="7"/>
  <c r="T290" i="7"/>
  <c r="X290" i="7"/>
  <c r="G270" i="4"/>
  <c r="K270" i="4"/>
  <c r="O270" i="4"/>
  <c r="S270" i="4"/>
  <c r="W270" i="4"/>
  <c r="E285" i="7"/>
  <c r="I285" i="7"/>
  <c r="M285" i="7"/>
  <c r="Q285" i="7"/>
  <c r="U285" i="7"/>
  <c r="D269" i="4"/>
  <c r="H269" i="4"/>
  <c r="L269" i="4"/>
  <c r="P269" i="4"/>
  <c r="T269" i="4"/>
  <c r="X269" i="4"/>
  <c r="F283" i="7"/>
  <c r="J283" i="7"/>
  <c r="N283" i="7"/>
  <c r="R283" i="7"/>
  <c r="V283" i="7"/>
  <c r="E267" i="4"/>
  <c r="I267" i="4"/>
  <c r="M267" i="4"/>
  <c r="Q267" i="4"/>
  <c r="U267" i="4"/>
  <c r="C267" i="4"/>
  <c r="G281" i="7"/>
  <c r="K281" i="7"/>
  <c r="O281" i="7"/>
  <c r="S281" i="7"/>
  <c r="W281" i="7"/>
  <c r="F243" i="7"/>
  <c r="J243" i="7"/>
  <c r="N243" i="7"/>
  <c r="R243" i="7"/>
  <c r="V243" i="7"/>
  <c r="E233" i="4"/>
  <c r="I233" i="4"/>
  <c r="M233" i="4"/>
  <c r="Q233" i="4"/>
  <c r="U233" i="4"/>
  <c r="C233" i="4"/>
  <c r="O210" i="4"/>
  <c r="S210" i="4"/>
  <c r="W210" i="4"/>
  <c r="E219" i="7"/>
  <c r="I219" i="7"/>
  <c r="M219" i="7"/>
  <c r="Q219" i="7"/>
  <c r="U219" i="7"/>
  <c r="D197" i="4"/>
  <c r="H197" i="4"/>
  <c r="L197" i="4"/>
  <c r="P197" i="4"/>
  <c r="T197" i="4"/>
  <c r="X197" i="4"/>
  <c r="F205" i="7"/>
  <c r="J205" i="7"/>
  <c r="N205" i="7"/>
  <c r="R205" i="7"/>
  <c r="V205" i="7"/>
  <c r="E159" i="4"/>
  <c r="I159" i="4"/>
  <c r="M159" i="4"/>
  <c r="Q159" i="4"/>
  <c r="U159" i="4"/>
  <c r="C159" i="4"/>
  <c r="G163" i="7"/>
  <c r="K163" i="7"/>
  <c r="O163" i="7"/>
  <c r="S163" i="7"/>
  <c r="W163" i="7"/>
  <c r="E164" i="4"/>
  <c r="I164" i="4"/>
  <c r="M164" i="4"/>
  <c r="Q164" i="4"/>
  <c r="U164" i="4"/>
  <c r="F168" i="7"/>
  <c r="J168" i="7"/>
  <c r="N168" i="7"/>
  <c r="R168" i="7"/>
  <c r="V168" i="7"/>
  <c r="G123" i="4"/>
  <c r="I126" i="7"/>
  <c r="G112" i="4"/>
  <c r="R115" i="7"/>
  <c r="I109" i="7"/>
  <c r="U109" i="7"/>
  <c r="O106" i="4"/>
  <c r="F275" i="4"/>
  <c r="J275" i="4"/>
  <c r="N275" i="4"/>
  <c r="R275" i="4"/>
  <c r="V275" i="4"/>
  <c r="D291" i="7"/>
  <c r="H291" i="7"/>
  <c r="L291" i="7"/>
  <c r="P291" i="7"/>
  <c r="T291" i="7"/>
  <c r="X291" i="7"/>
  <c r="G274" i="4"/>
  <c r="K274" i="4"/>
  <c r="O274" i="4"/>
  <c r="S274" i="4"/>
  <c r="W274" i="4"/>
  <c r="E290" i="7"/>
  <c r="I290" i="7"/>
  <c r="M290" i="7"/>
  <c r="Q290" i="7"/>
  <c r="U290" i="7"/>
  <c r="D270" i="4"/>
  <c r="H270" i="4"/>
  <c r="L270" i="4"/>
  <c r="P270" i="4"/>
  <c r="T270" i="4"/>
  <c r="X270" i="4"/>
  <c r="F285" i="7"/>
  <c r="J285" i="7"/>
  <c r="N285" i="7"/>
  <c r="R285" i="7"/>
  <c r="V285" i="7"/>
  <c r="E269" i="4"/>
  <c r="I269" i="4"/>
  <c r="M269" i="4"/>
  <c r="Q269" i="4"/>
  <c r="U269" i="4"/>
  <c r="C269" i="4"/>
  <c r="G283" i="7"/>
  <c r="K283" i="7"/>
  <c r="O283" i="7"/>
  <c r="S283" i="7"/>
  <c r="W283" i="7"/>
  <c r="F267" i="4"/>
  <c r="J267" i="4"/>
  <c r="N267" i="4"/>
  <c r="R267" i="4"/>
  <c r="V267" i="4"/>
  <c r="D281" i="7"/>
  <c r="H281" i="7"/>
  <c r="L281" i="7"/>
  <c r="P281" i="7"/>
  <c r="T281" i="7"/>
  <c r="X281" i="7"/>
  <c r="G243" i="7"/>
  <c r="K243" i="7"/>
  <c r="O243" i="7"/>
  <c r="S243" i="7"/>
  <c r="W243" i="7"/>
  <c r="F233" i="4"/>
  <c r="J233" i="4"/>
  <c r="N233" i="4"/>
  <c r="R233" i="4"/>
  <c r="V233" i="4"/>
  <c r="P210" i="4"/>
  <c r="T210" i="4"/>
  <c r="X210" i="4"/>
  <c r="F219" i="7"/>
  <c r="J219" i="7"/>
  <c r="N219" i="7"/>
  <c r="R219" i="7"/>
  <c r="V219" i="7"/>
  <c r="E197" i="4"/>
  <c r="I197" i="4"/>
  <c r="M197" i="4"/>
  <c r="Q197" i="4"/>
  <c r="U197" i="4"/>
  <c r="C197" i="4"/>
  <c r="G205" i="7"/>
  <c r="K205" i="7"/>
  <c r="O205" i="7"/>
  <c r="S205" i="7"/>
  <c r="W205" i="7"/>
  <c r="F159" i="4"/>
  <c r="J159" i="4"/>
  <c r="N159" i="4"/>
  <c r="R159" i="4"/>
  <c r="V159" i="4"/>
  <c r="D163" i="7"/>
  <c r="H163" i="7"/>
  <c r="L163" i="7"/>
  <c r="P163" i="7"/>
  <c r="T163" i="7"/>
  <c r="X163" i="7"/>
  <c r="F164" i="4"/>
  <c r="J164" i="4"/>
  <c r="N164" i="4"/>
  <c r="R164" i="4"/>
  <c r="V164" i="4"/>
  <c r="G168" i="7"/>
  <c r="K168" i="7"/>
  <c r="O168" i="7"/>
  <c r="S168" i="7"/>
  <c r="T116" i="7"/>
  <c r="D123" i="4"/>
  <c r="H123" i="4"/>
  <c r="M123" i="4"/>
  <c r="Q123" i="4"/>
  <c r="U123" i="4"/>
  <c r="F126" i="7"/>
  <c r="J126" i="7"/>
  <c r="N126" i="7"/>
  <c r="R126" i="7"/>
  <c r="D112" i="4"/>
  <c r="H112" i="4"/>
  <c r="L112" i="4"/>
  <c r="P112" i="4"/>
  <c r="T112" i="4"/>
  <c r="S115" i="7"/>
  <c r="M115" i="7"/>
  <c r="Q115" i="7"/>
  <c r="F109" i="7"/>
  <c r="J109" i="7"/>
  <c r="N109" i="7"/>
  <c r="R109" i="7"/>
  <c r="D106" i="4"/>
  <c r="H106" i="4"/>
  <c r="L106" i="4"/>
  <c r="P106" i="4"/>
  <c r="T106" i="4"/>
  <c r="G275" i="4"/>
  <c r="K275" i="4"/>
  <c r="O275" i="4"/>
  <c r="S275" i="4"/>
  <c r="W275" i="4"/>
  <c r="E291" i="7"/>
  <c r="I291" i="7"/>
  <c r="M291" i="7"/>
  <c r="Q291" i="7"/>
  <c r="U291" i="7"/>
  <c r="D274" i="4"/>
  <c r="H274" i="4"/>
  <c r="L274" i="4"/>
  <c r="P274" i="4"/>
  <c r="T274" i="4"/>
  <c r="X274" i="4"/>
  <c r="F290" i="7"/>
  <c r="J290" i="7"/>
  <c r="N290" i="7"/>
  <c r="R290" i="7"/>
  <c r="V290" i="7"/>
  <c r="E270" i="4"/>
  <c r="I270" i="4"/>
  <c r="M270" i="4"/>
  <c r="Q270" i="4"/>
  <c r="U270" i="4"/>
  <c r="C270" i="4"/>
  <c r="G285" i="7"/>
  <c r="K285" i="7"/>
  <c r="O285" i="7"/>
  <c r="S285" i="7"/>
  <c r="W285" i="7"/>
  <c r="J269" i="4"/>
  <c r="R269" i="4"/>
  <c r="V269" i="4"/>
  <c r="D283" i="7"/>
  <c r="H283" i="7"/>
  <c r="F269" i="4"/>
  <c r="T283" i="7"/>
  <c r="O267" i="4"/>
  <c r="I281" i="7"/>
  <c r="D243" i="7"/>
  <c r="T243" i="7"/>
  <c r="O233" i="4"/>
  <c r="Q210" i="4"/>
  <c r="K219" i="7"/>
  <c r="F197" i="4"/>
  <c r="V197" i="4"/>
  <c r="P205" i="7"/>
  <c r="K159" i="4"/>
  <c r="E163" i="7"/>
  <c r="U163" i="7"/>
  <c r="O164" i="4"/>
  <c r="L168" i="7"/>
  <c r="Q106" i="4"/>
  <c r="N269" i="4"/>
  <c r="X283" i="7"/>
  <c r="S267" i="4"/>
  <c r="M281" i="7"/>
  <c r="H243" i="7"/>
  <c r="X243" i="7"/>
  <c r="S233" i="4"/>
  <c r="U210" i="4"/>
  <c r="O219" i="7"/>
  <c r="J197" i="4"/>
  <c r="D205" i="7"/>
  <c r="T205" i="7"/>
  <c r="O159" i="4"/>
  <c r="I163" i="7"/>
  <c r="C164" i="4"/>
  <c r="S164" i="4"/>
  <c r="P168" i="7"/>
  <c r="U116" i="7"/>
  <c r="R123" i="4"/>
  <c r="O126" i="7"/>
  <c r="M112" i="4"/>
  <c r="G109" i="7"/>
  <c r="E106" i="4"/>
  <c r="U106" i="4"/>
  <c r="T168" i="7"/>
  <c r="I123" i="4"/>
  <c r="S126" i="7"/>
  <c r="I106" i="4"/>
  <c r="P283" i="7"/>
  <c r="E281" i="7"/>
  <c r="P243" i="7"/>
  <c r="K233" i="4"/>
  <c r="G219" i="7"/>
  <c r="R197" i="4"/>
  <c r="L205" i="7"/>
  <c r="W159" i="4"/>
  <c r="Q163" i="7"/>
  <c r="H168" i="7"/>
  <c r="J123" i="4"/>
  <c r="E112" i="4"/>
  <c r="U112" i="4"/>
  <c r="O109" i="7"/>
  <c r="S109" i="7"/>
  <c r="L283" i="7"/>
  <c r="G267" i="4"/>
  <c r="W267" i="4"/>
  <c r="Q281" i="7"/>
  <c r="L243" i="7"/>
  <c r="G233" i="4"/>
  <c r="W233" i="4"/>
  <c r="L210" i="4"/>
  <c r="S219" i="7"/>
  <c r="N197" i="4"/>
  <c r="H205" i="7"/>
  <c r="X205" i="7"/>
  <c r="S159" i="4"/>
  <c r="M163" i="7"/>
  <c r="G164" i="4"/>
  <c r="D168" i="7"/>
  <c r="E123" i="4"/>
  <c r="Q112" i="4"/>
  <c r="K109" i="7"/>
  <c r="K267" i="4"/>
  <c r="U281" i="7"/>
  <c r="M210" i="4"/>
  <c r="W219" i="7"/>
  <c r="G159" i="4"/>
  <c r="K164" i="4"/>
  <c r="G126" i="7"/>
  <c r="N115" i="7"/>
  <c r="M106" i="4"/>
  <c r="N123" i="4"/>
  <c r="K126" i="7"/>
  <c r="I112" i="4"/>
  <c r="T115" i="7"/>
  <c r="T76" i="4"/>
  <c r="E78" i="7"/>
  <c r="I78" i="7"/>
  <c r="M78" i="7"/>
  <c r="Q78" i="7"/>
  <c r="U78" i="7"/>
  <c r="G73" i="7"/>
  <c r="K73" i="7"/>
  <c r="O73" i="7"/>
  <c r="S73" i="7"/>
  <c r="Q71" i="4"/>
  <c r="U71" i="4"/>
  <c r="F155" i="7"/>
  <c r="J155" i="7"/>
  <c r="N155" i="7"/>
  <c r="R155" i="7"/>
  <c r="D152" i="4"/>
  <c r="H152" i="4"/>
  <c r="L152" i="4"/>
  <c r="P152" i="4"/>
  <c r="T152" i="4"/>
  <c r="U8" i="7"/>
  <c r="S76" i="4"/>
  <c r="H78" i="7"/>
  <c r="P78" i="7"/>
  <c r="F73" i="7"/>
  <c r="J73" i="7"/>
  <c r="R73" i="7"/>
  <c r="P71" i="4"/>
  <c r="E155" i="7"/>
  <c r="M155" i="7"/>
  <c r="U155" i="7"/>
  <c r="K152" i="4"/>
  <c r="S152" i="4"/>
  <c r="U76" i="4"/>
  <c r="F78" i="7"/>
  <c r="J78" i="7"/>
  <c r="N78" i="7"/>
  <c r="R78" i="7"/>
  <c r="D73" i="7"/>
  <c r="H73" i="7"/>
  <c r="L73" i="7"/>
  <c r="P73" i="7"/>
  <c r="T73" i="7"/>
  <c r="R71" i="4"/>
  <c r="G155" i="7"/>
  <c r="K155" i="7"/>
  <c r="O155" i="7"/>
  <c r="S155" i="7"/>
  <c r="E152" i="4"/>
  <c r="I152" i="4"/>
  <c r="M152" i="4"/>
  <c r="Q152" i="4"/>
  <c r="U152" i="4"/>
  <c r="X8" i="7"/>
  <c r="G78" i="7"/>
  <c r="K78" i="7"/>
  <c r="O78" i="7"/>
  <c r="S78" i="7"/>
  <c r="E73" i="7"/>
  <c r="I73" i="7"/>
  <c r="M73" i="7"/>
  <c r="Q73" i="7"/>
  <c r="U73" i="7"/>
  <c r="S71" i="4"/>
  <c r="D155" i="7"/>
  <c r="H155" i="7"/>
  <c r="L155" i="7"/>
  <c r="P155" i="7"/>
  <c r="T155" i="7"/>
  <c r="F152" i="4"/>
  <c r="J152" i="4"/>
  <c r="N152" i="4"/>
  <c r="R152" i="4"/>
  <c r="C152" i="4"/>
  <c r="D78" i="7"/>
  <c r="L78" i="7"/>
  <c r="T78" i="7"/>
  <c r="N73" i="7"/>
  <c r="T71" i="4"/>
  <c r="I155" i="7"/>
  <c r="Q155" i="7"/>
  <c r="G152" i="4"/>
  <c r="O152" i="4"/>
  <c r="X7" i="4"/>
  <c r="Y303" i="4"/>
  <c r="Y322" i="7"/>
  <c r="X112" i="4"/>
  <c r="X71" i="4"/>
  <c r="X152" i="4"/>
  <c r="V76" i="4"/>
  <c r="X164" i="4"/>
  <c r="X76" i="4"/>
  <c r="X106" i="4"/>
  <c r="W106" i="4"/>
  <c r="X126" i="7"/>
  <c r="X168" i="7"/>
  <c r="X78" i="7"/>
  <c r="X109" i="7"/>
  <c r="W109" i="7"/>
  <c r="X115" i="7"/>
  <c r="X73" i="7"/>
  <c r="X155" i="7"/>
  <c r="V78" i="7"/>
  <c r="W164" i="4"/>
  <c r="W123" i="4"/>
  <c r="W71" i="4"/>
  <c r="W78" i="7"/>
  <c r="W168" i="7"/>
  <c r="W155" i="7"/>
  <c r="W112" i="4"/>
  <c r="W8" i="7"/>
  <c r="W152" i="4"/>
  <c r="W115" i="7"/>
  <c r="W126" i="7"/>
  <c r="W73" i="7"/>
  <c r="W76" i="4"/>
  <c r="V155" i="7"/>
  <c r="V73" i="7"/>
  <c r="V126" i="7"/>
  <c r="V106" i="4"/>
  <c r="V112" i="4"/>
  <c r="V123" i="4"/>
  <c r="V109" i="7"/>
  <c r="V115" i="7"/>
  <c r="V152" i="4"/>
  <c r="V71" i="4"/>
  <c r="V8" i="7"/>
  <c r="W344" i="4"/>
  <c r="Y344" i="4"/>
  <c r="Y363" i="7"/>
  <c r="X363" i="7"/>
  <c r="X344" i="4"/>
  <c r="C113" i="4"/>
  <c r="G113" i="4"/>
  <c r="K113" i="4"/>
  <c r="O113" i="4"/>
  <c r="S113" i="4"/>
  <c r="W116" i="7"/>
  <c r="D113" i="4"/>
  <c r="H113" i="4"/>
  <c r="L113" i="4"/>
  <c r="P113" i="4"/>
  <c r="T113" i="4"/>
  <c r="X116" i="7"/>
  <c r="E113" i="4"/>
  <c r="I113" i="4"/>
  <c r="M113" i="4"/>
  <c r="Q113" i="4"/>
  <c r="U113" i="4"/>
  <c r="F113" i="4"/>
  <c r="J113" i="4"/>
  <c r="N113" i="4"/>
  <c r="R113" i="4"/>
  <c r="V113" i="4"/>
  <c r="W113" i="4"/>
  <c r="X113" i="4"/>
  <c r="Y113" i="4"/>
  <c r="Y116" i="7"/>
  <c r="S75" i="4"/>
  <c r="X520" i="7"/>
  <c r="X6" i="7"/>
  <c r="X10" i="7"/>
  <c r="X13" i="7"/>
  <c r="X15" i="7"/>
  <c r="X17" i="7"/>
  <c r="X20" i="7"/>
  <c r="X22" i="7"/>
  <c r="X24" i="7"/>
  <c r="X26" i="7"/>
  <c r="X28" i="7"/>
  <c r="X30" i="7"/>
  <c r="X32" i="7"/>
  <c r="X34" i="7"/>
  <c r="X36" i="7"/>
  <c r="X38" i="7"/>
  <c r="X40" i="7"/>
  <c r="X42" i="7"/>
  <c r="X44" i="7"/>
  <c r="X46" i="7"/>
  <c r="X48" i="7"/>
  <c r="X50" i="7"/>
  <c r="X52" i="7"/>
  <c r="X54" i="7"/>
  <c r="X56" i="7"/>
  <c r="X58" i="7"/>
  <c r="X60" i="7"/>
  <c r="X62" i="7"/>
  <c r="X64" i="7"/>
  <c r="X66" i="7"/>
  <c r="X69" i="7"/>
  <c r="X71" i="7"/>
  <c r="X75" i="7"/>
  <c r="X77" i="7"/>
  <c r="X79" i="7"/>
  <c r="X81" i="7"/>
  <c r="X83" i="7"/>
  <c r="X85" i="7"/>
  <c r="X89" i="7"/>
  <c r="X91" i="7"/>
  <c r="X93" i="7"/>
  <c r="X95" i="7"/>
  <c r="X97" i="7"/>
  <c r="X99" i="7"/>
  <c r="X101" i="7"/>
  <c r="X103" i="7"/>
  <c r="X106" i="7"/>
  <c r="X108" i="7"/>
  <c r="X110" i="7"/>
  <c r="X112" i="7"/>
  <c r="X114" i="7"/>
  <c r="X117" i="7"/>
  <c r="X119" i="7"/>
  <c r="X121" i="7"/>
  <c r="X123" i="7"/>
  <c r="X125" i="7"/>
  <c r="X127" i="7"/>
  <c r="X130" i="7"/>
  <c r="X132" i="7"/>
  <c r="X134" i="7"/>
  <c r="X136" i="7"/>
  <c r="X138" i="7"/>
  <c r="X140" i="7"/>
  <c r="X142" i="7"/>
  <c r="X144" i="7"/>
  <c r="X146" i="7"/>
  <c r="X148" i="7"/>
  <c r="X150" i="7"/>
  <c r="X152" i="7"/>
  <c r="X154" i="7"/>
  <c r="X156" i="7"/>
  <c r="X158" i="7"/>
  <c r="X160" i="7"/>
  <c r="X162" i="7"/>
  <c r="X164" i="7"/>
  <c r="X166" i="7"/>
  <c r="Y170" i="7"/>
  <c r="Y172" i="7"/>
  <c r="Y174" i="7"/>
  <c r="Y176" i="7"/>
  <c r="Y520" i="7"/>
  <c r="Y6" i="7"/>
  <c r="Y8" i="7"/>
  <c r="Y10" i="7"/>
  <c r="Y13" i="7"/>
  <c r="Y15" i="7"/>
  <c r="Y17" i="7"/>
  <c r="Y20" i="7"/>
  <c r="Y22" i="7"/>
  <c r="Y24" i="7"/>
  <c r="Y26" i="7"/>
  <c r="Y28" i="7"/>
  <c r="Y30" i="7"/>
  <c r="Y32" i="7"/>
  <c r="Y34" i="7"/>
  <c r="Y36" i="7"/>
  <c r="Y38" i="7"/>
  <c r="Y40" i="7"/>
  <c r="Y42" i="7"/>
  <c r="Y44" i="7"/>
  <c r="Y46" i="7"/>
  <c r="Y48" i="7"/>
  <c r="Y50" i="7"/>
  <c r="Y52" i="7"/>
  <c r="Y54" i="7"/>
  <c r="Y56" i="7"/>
  <c r="Y58" i="7"/>
  <c r="Y60" i="7"/>
  <c r="Y62" i="7"/>
  <c r="Y64" i="7"/>
  <c r="Y66" i="7"/>
  <c r="Y69" i="7"/>
  <c r="Y71" i="7"/>
  <c r="Y73" i="7"/>
  <c r="Y75" i="7"/>
  <c r="Y77" i="7"/>
  <c r="Y79" i="7"/>
  <c r="Y81" i="7"/>
  <c r="Y83" i="7"/>
  <c r="Y85" i="7"/>
  <c r="Y89" i="7"/>
  <c r="Y91" i="7"/>
  <c r="Y93" i="7"/>
  <c r="Y95" i="7"/>
  <c r="Y97" i="7"/>
  <c r="Y99" i="7"/>
  <c r="Y101" i="7"/>
  <c r="Y103" i="7"/>
  <c r="Y106" i="7"/>
  <c r="Y108" i="7"/>
  <c r="Y110" i="7"/>
  <c r="Y112" i="7"/>
  <c r="Y114" i="7"/>
  <c r="Y117" i="7"/>
  <c r="Y119" i="7"/>
  <c r="Y121" i="7"/>
  <c r="Y123" i="7"/>
  <c r="Y125" i="7"/>
  <c r="Y127" i="7"/>
  <c r="Y130" i="7"/>
  <c r="Y132" i="7"/>
  <c r="Y134" i="7"/>
  <c r="Y136" i="7"/>
  <c r="Y138" i="7"/>
  <c r="Y140" i="7"/>
  <c r="Y142" i="7"/>
  <c r="Y144" i="7"/>
  <c r="Y146" i="7"/>
  <c r="Y148" i="7"/>
  <c r="Y150" i="7"/>
  <c r="Y152" i="7"/>
  <c r="Y154" i="7"/>
  <c r="Y156" i="7"/>
  <c r="Y158" i="7"/>
  <c r="Y160" i="7"/>
  <c r="Y162" i="7"/>
  <c r="Y164" i="7"/>
  <c r="Y166" i="7"/>
  <c r="Y168" i="7"/>
  <c r="X171" i="7"/>
  <c r="X173" i="7"/>
  <c r="X175" i="7"/>
  <c r="X177" i="7"/>
  <c r="X5" i="7"/>
  <c r="X7" i="7"/>
  <c r="X9" i="7"/>
  <c r="X11" i="7"/>
  <c r="X14" i="7"/>
  <c r="X16" i="7"/>
  <c r="X19" i="7"/>
  <c r="X21" i="7"/>
  <c r="X23" i="7"/>
  <c r="X25" i="7"/>
  <c r="X27" i="7"/>
  <c r="X29" i="7"/>
  <c r="X31" i="7"/>
  <c r="X33" i="7"/>
  <c r="X35" i="7"/>
  <c r="X37" i="7"/>
  <c r="X39" i="7"/>
  <c r="X41" i="7"/>
  <c r="X43" i="7"/>
  <c r="X45" i="7"/>
  <c r="X47" i="7"/>
  <c r="X49" i="7"/>
  <c r="X51" i="7"/>
  <c r="X53" i="7"/>
  <c r="X55" i="7"/>
  <c r="X57" i="7"/>
  <c r="X59" i="7"/>
  <c r="X61" i="7"/>
  <c r="X63" i="7"/>
  <c r="X65" i="7"/>
  <c r="X67" i="7"/>
  <c r="X70" i="7"/>
  <c r="X72" i="7"/>
  <c r="X74" i="7"/>
  <c r="X76" i="7"/>
  <c r="X80" i="7"/>
  <c r="X82" i="7"/>
  <c r="X84" i="7"/>
  <c r="X86" i="7"/>
  <c r="X88" i="7"/>
  <c r="X90" i="7"/>
  <c r="X92" i="7"/>
  <c r="X94" i="7"/>
  <c r="X96" i="7"/>
  <c r="X98" i="7"/>
  <c r="X100" i="7"/>
  <c r="X102" i="7"/>
  <c r="X105" i="7"/>
  <c r="X107" i="7"/>
  <c r="X111" i="7"/>
  <c r="X113" i="7"/>
  <c r="X118" i="7"/>
  <c r="X120" i="7"/>
  <c r="X122" i="7"/>
  <c r="X124" i="7"/>
  <c r="X128" i="7"/>
  <c r="X129" i="7"/>
  <c r="X131" i="7"/>
  <c r="X133" i="7"/>
  <c r="X135" i="7"/>
  <c r="X137" i="7"/>
  <c r="X139" i="7"/>
  <c r="X141" i="7"/>
  <c r="X143" i="7"/>
  <c r="X145" i="7"/>
  <c r="X147" i="7"/>
  <c r="X149" i="7"/>
  <c r="X151" i="7"/>
  <c r="X153" i="7"/>
  <c r="X157" i="7"/>
  <c r="X159" i="7"/>
  <c r="X161" i="7"/>
  <c r="X165" i="7"/>
  <c r="X167" i="7"/>
  <c r="X169" i="7"/>
  <c r="Y171" i="7"/>
  <c r="Y173" i="7"/>
  <c r="Y175" i="7"/>
  <c r="Y177" i="7"/>
  <c r="Y5" i="7"/>
  <c r="Y14" i="7"/>
  <c r="Y23" i="7"/>
  <c r="Y31" i="7"/>
  <c r="Y39" i="7"/>
  <c r="Y47" i="7"/>
  <c r="Y55" i="7"/>
  <c r="Y63" i="7"/>
  <c r="Y72" i="7"/>
  <c r="Y80" i="7"/>
  <c r="Y88" i="7"/>
  <c r="Y96" i="7"/>
  <c r="Y105" i="7"/>
  <c r="Y113" i="7"/>
  <c r="Y122" i="7"/>
  <c r="Y129" i="7"/>
  <c r="Y137" i="7"/>
  <c r="Y145" i="7"/>
  <c r="Y153" i="7"/>
  <c r="Y161" i="7"/>
  <c r="X170" i="7"/>
  <c r="X178" i="7"/>
  <c r="X180" i="7"/>
  <c r="X183" i="7"/>
  <c r="X185" i="7"/>
  <c r="X187" i="7"/>
  <c r="X189" i="7"/>
  <c r="X191" i="7"/>
  <c r="X193" i="7"/>
  <c r="X195" i="7"/>
  <c r="X197" i="7"/>
  <c r="X199" i="7"/>
  <c r="X201" i="7"/>
  <c r="X203" i="7"/>
  <c r="X207" i="7"/>
  <c r="X209" i="7"/>
  <c r="X211" i="7"/>
  <c r="X213" i="7"/>
  <c r="X215" i="7"/>
  <c r="X217" i="7"/>
  <c r="X222" i="7"/>
  <c r="X224" i="7"/>
  <c r="X226" i="7"/>
  <c r="X228" i="7"/>
  <c r="X230" i="7"/>
  <c r="X232" i="7"/>
  <c r="X234" i="7"/>
  <c r="X237" i="7"/>
  <c r="X239" i="7"/>
  <c r="X241" i="7"/>
  <c r="X245" i="7"/>
  <c r="X247" i="7"/>
  <c r="X249" i="7"/>
  <c r="X251" i="7"/>
  <c r="X253" i="7"/>
  <c r="X255" i="7"/>
  <c r="X257" i="7"/>
  <c r="X259" i="7"/>
  <c r="X261" i="7"/>
  <c r="X263" i="7"/>
  <c r="X265" i="7"/>
  <c r="X267" i="7"/>
  <c r="X269" i="7"/>
  <c r="X271" i="7"/>
  <c r="X273" i="7"/>
  <c r="X275" i="7"/>
  <c r="X277" i="7"/>
  <c r="X279" i="7"/>
  <c r="X287" i="7"/>
  <c r="X289" i="7"/>
  <c r="X294" i="7"/>
  <c r="X296" i="7"/>
  <c r="X298" i="7"/>
  <c r="X300" i="7"/>
  <c r="X302" i="7"/>
  <c r="X304" i="7"/>
  <c r="X306" i="7"/>
  <c r="X308" i="7"/>
  <c r="X310" i="7"/>
  <c r="Y7" i="7"/>
  <c r="Y16" i="7"/>
  <c r="Y25" i="7"/>
  <c r="Y33" i="7"/>
  <c r="Y41" i="7"/>
  <c r="Y49" i="7"/>
  <c r="Y57" i="7"/>
  <c r="Y65" i="7"/>
  <c r="Y74" i="7"/>
  <c r="Y82" i="7"/>
  <c r="Y90" i="7"/>
  <c r="Y98" i="7"/>
  <c r="Y107" i="7"/>
  <c r="Y115" i="7"/>
  <c r="Y124" i="7"/>
  <c r="Y131" i="7"/>
  <c r="Y139" i="7"/>
  <c r="Y147" i="7"/>
  <c r="Y155" i="7"/>
  <c r="Y163" i="7"/>
  <c r="X172" i="7"/>
  <c r="Y178" i="7"/>
  <c r="Y180" i="7"/>
  <c r="Y183" i="7"/>
  <c r="Y185" i="7"/>
  <c r="Y187" i="7"/>
  <c r="Y189" i="7"/>
  <c r="Y191" i="7"/>
  <c r="Y193" i="7"/>
  <c r="Y195" i="7"/>
  <c r="Y197" i="7"/>
  <c r="Y199" i="7"/>
  <c r="Y201" i="7"/>
  <c r="Y203" i="7"/>
  <c r="Y205" i="7"/>
  <c r="Y207" i="7"/>
  <c r="Y209" i="7"/>
  <c r="Y211" i="7"/>
  <c r="Y213" i="7"/>
  <c r="Y215" i="7"/>
  <c r="Y217" i="7"/>
  <c r="Y219" i="7"/>
  <c r="Y222" i="7"/>
  <c r="Y224" i="7"/>
  <c r="Y226" i="7"/>
  <c r="Y228" i="7"/>
  <c r="Y230" i="7"/>
  <c r="Y232" i="7"/>
  <c r="Y234" i="7"/>
  <c r="Y237" i="7"/>
  <c r="Y239" i="7"/>
  <c r="Y241" i="7"/>
  <c r="Y243" i="7"/>
  <c r="Y245" i="7"/>
  <c r="Y247" i="7"/>
  <c r="Y249" i="7"/>
  <c r="Y251" i="7"/>
  <c r="Y253" i="7"/>
  <c r="Y255" i="7"/>
  <c r="Y257" i="7"/>
  <c r="Y259" i="7"/>
  <c r="Y261" i="7"/>
  <c r="Y263" i="7"/>
  <c r="Y265" i="7"/>
  <c r="Y267" i="7"/>
  <c r="Y269" i="7"/>
  <c r="Y271" i="7"/>
  <c r="Y273" i="7"/>
  <c r="Y275" i="7"/>
  <c r="Y277" i="7"/>
  <c r="Y279" i="7"/>
  <c r="Y281" i="7"/>
  <c r="Y283" i="7"/>
  <c r="Y285" i="7"/>
  <c r="Y287" i="7"/>
  <c r="Y289" i="7"/>
  <c r="Y291" i="7"/>
  <c r="Y294" i="7"/>
  <c r="Y296" i="7"/>
  <c r="Y298" i="7"/>
  <c r="Y300" i="7"/>
  <c r="Y302" i="7"/>
  <c r="Y304" i="7"/>
  <c r="Y306" i="7"/>
  <c r="Y9" i="7"/>
  <c r="Y19" i="7"/>
  <c r="Y27" i="7"/>
  <c r="Y35" i="7"/>
  <c r="Y43" i="7"/>
  <c r="Y51" i="7"/>
  <c r="Y59" i="7"/>
  <c r="Y67" i="7"/>
  <c r="Y76" i="7"/>
  <c r="Y84" i="7"/>
  <c r="Y92" i="7"/>
  <c r="Y100" i="7"/>
  <c r="Y109" i="7"/>
  <c r="Y118" i="7"/>
  <c r="Y126" i="7"/>
  <c r="Y133" i="7"/>
  <c r="Y141" i="7"/>
  <c r="Y149" i="7"/>
  <c r="Y157" i="7"/>
  <c r="Y165" i="7"/>
  <c r="X174" i="7"/>
  <c r="X179" i="7"/>
  <c r="X181" i="7"/>
  <c r="X184" i="7"/>
  <c r="X186" i="7"/>
  <c r="X188" i="7"/>
  <c r="X190" i="7"/>
  <c r="X192" i="7"/>
  <c r="X194" i="7"/>
  <c r="X196" i="7"/>
  <c r="X198" i="7"/>
  <c r="X200" i="7"/>
  <c r="X202" i="7"/>
  <c r="X204" i="7"/>
  <c r="X206" i="7"/>
  <c r="X208" i="7"/>
  <c r="X210" i="7"/>
  <c r="X212" i="7"/>
  <c r="X214" i="7"/>
  <c r="X216" i="7"/>
  <c r="X218" i="7"/>
  <c r="X220" i="7"/>
  <c r="X223" i="7"/>
  <c r="X225" i="7"/>
  <c r="X227" i="7"/>
  <c r="X229" i="7"/>
  <c r="X231" i="7"/>
  <c r="X233" i="7"/>
  <c r="X235" i="7"/>
  <c r="X238" i="7"/>
  <c r="X240" i="7"/>
  <c r="X242" i="7"/>
  <c r="X244" i="7"/>
  <c r="X246" i="7"/>
  <c r="X248" i="7"/>
  <c r="X250" i="7"/>
  <c r="X252" i="7"/>
  <c r="X254" i="7"/>
  <c r="X256" i="7"/>
  <c r="X258" i="7"/>
  <c r="X260" i="7"/>
  <c r="X262" i="7"/>
  <c r="X264" i="7"/>
  <c r="X266" i="7"/>
  <c r="X268" i="7"/>
  <c r="X270" i="7"/>
  <c r="X272" i="7"/>
  <c r="X274" i="7"/>
  <c r="X276" i="7"/>
  <c r="X278" i="7"/>
  <c r="X280" i="7"/>
  <c r="X282" i="7"/>
  <c r="X284" i="7"/>
  <c r="X286" i="7"/>
  <c r="X288" i="7"/>
  <c r="X293" i="7"/>
  <c r="X295" i="7"/>
  <c r="X297" i="7"/>
  <c r="X299" i="7"/>
  <c r="X301" i="7"/>
  <c r="X305" i="7"/>
  <c r="X307" i="7"/>
  <c r="X309" i="7"/>
  <c r="Y11" i="7"/>
  <c r="Y45" i="7"/>
  <c r="Y78" i="7"/>
  <c r="Y111" i="7"/>
  <c r="Y143" i="7"/>
  <c r="X176" i="7"/>
  <c r="Y186" i="7"/>
  <c r="Y194" i="7"/>
  <c r="Y202" i="7"/>
  <c r="Y210" i="7"/>
  <c r="Y218" i="7"/>
  <c r="Y227" i="7"/>
  <c r="Y235" i="7"/>
  <c r="Y244" i="7"/>
  <c r="Y252" i="7"/>
  <c r="Y260" i="7"/>
  <c r="Y268" i="7"/>
  <c r="Y276" i="7"/>
  <c r="Y284" i="7"/>
  <c r="Y293" i="7"/>
  <c r="Y301" i="7"/>
  <c r="Y308" i="7"/>
  <c r="Y311" i="7"/>
  <c r="Y313" i="7"/>
  <c r="Y315" i="7"/>
  <c r="Y317" i="7"/>
  <c r="Y319" i="7"/>
  <c r="Y321" i="7"/>
  <c r="Y324" i="7"/>
  <c r="Y326" i="7"/>
  <c r="Y328" i="7"/>
  <c r="Y330" i="7"/>
  <c r="Y332" i="7"/>
  <c r="Y334" i="7"/>
  <c r="Y336" i="7"/>
  <c r="Y338" i="7"/>
  <c r="Y340" i="7"/>
  <c r="Y343" i="7"/>
  <c r="Y345" i="7"/>
  <c r="X348" i="7"/>
  <c r="X350" i="7"/>
  <c r="X353" i="7"/>
  <c r="X357" i="7"/>
  <c r="X359" i="7"/>
  <c r="X361" i="7"/>
  <c r="X364" i="7"/>
  <c r="X366" i="7"/>
  <c r="X368" i="7"/>
  <c r="X370" i="7"/>
  <c r="X372" i="7"/>
  <c r="X374" i="7"/>
  <c r="X376" i="7"/>
  <c r="X380" i="7"/>
  <c r="X382" i="7"/>
  <c r="X384" i="7"/>
  <c r="X386" i="7"/>
  <c r="X388" i="7"/>
  <c r="X390" i="7"/>
  <c r="X392" i="7"/>
  <c r="X394" i="7"/>
  <c r="X396" i="7"/>
  <c r="X398" i="7"/>
  <c r="X400" i="7"/>
  <c r="X402" i="7"/>
  <c r="X404" i="7"/>
  <c r="X406" i="7"/>
  <c r="X408" i="7"/>
  <c r="X410" i="7"/>
  <c r="X412" i="7"/>
  <c r="X415" i="7"/>
  <c r="X423" i="7"/>
  <c r="X425" i="7"/>
  <c r="X427" i="7"/>
  <c r="X430" i="7"/>
  <c r="X432" i="7"/>
  <c r="X434" i="7"/>
  <c r="X436" i="7"/>
  <c r="X438" i="7"/>
  <c r="X442" i="7"/>
  <c r="X444" i="7"/>
  <c r="X446" i="7"/>
  <c r="Y21" i="7"/>
  <c r="Y53" i="7"/>
  <c r="Y86" i="7"/>
  <c r="Y120" i="7"/>
  <c r="Y151" i="7"/>
  <c r="Y179" i="7"/>
  <c r="Y188" i="7"/>
  <c r="Y196" i="7"/>
  <c r="Y204" i="7"/>
  <c r="Y212" i="7"/>
  <c r="Y220" i="7"/>
  <c r="Y229" i="7"/>
  <c r="Y238" i="7"/>
  <c r="Y246" i="7"/>
  <c r="Y254" i="7"/>
  <c r="Y262" i="7"/>
  <c r="Y270" i="7"/>
  <c r="Y278" i="7"/>
  <c r="Y286" i="7"/>
  <c r="Y295" i="7"/>
  <c r="Y303" i="7"/>
  <c r="Y309" i="7"/>
  <c r="X312" i="7"/>
  <c r="X314" i="7"/>
  <c r="X316" i="7"/>
  <c r="X318" i="7"/>
  <c r="X320" i="7"/>
  <c r="X325" i="7"/>
  <c r="X327" i="7"/>
  <c r="X329" i="7"/>
  <c r="X331" i="7"/>
  <c r="X333" i="7"/>
  <c r="X335" i="7"/>
  <c r="X337" i="7"/>
  <c r="X339" i="7"/>
  <c r="X341" i="7"/>
  <c r="X344" i="7"/>
  <c r="X346" i="7"/>
  <c r="Y348" i="7"/>
  <c r="Y350" i="7"/>
  <c r="Y353" i="7"/>
  <c r="Y355" i="7"/>
  <c r="Y357" i="7"/>
  <c r="Y359" i="7"/>
  <c r="Y361" i="7"/>
  <c r="Y364" i="7"/>
  <c r="Y366" i="7"/>
  <c r="Y368" i="7"/>
  <c r="Y370" i="7"/>
  <c r="Y372" i="7"/>
  <c r="Y374" i="7"/>
  <c r="Y376" i="7"/>
  <c r="Y378" i="7"/>
  <c r="Y380" i="7"/>
  <c r="Y382" i="7"/>
  <c r="Y384" i="7"/>
  <c r="Y386" i="7"/>
  <c r="Y388" i="7"/>
  <c r="Y390" i="7"/>
  <c r="Y392" i="7"/>
  <c r="Y394" i="7"/>
  <c r="Y396" i="7"/>
  <c r="Y398" i="7"/>
  <c r="Y400" i="7"/>
  <c r="Y402" i="7"/>
  <c r="Y404" i="7"/>
  <c r="Y406" i="7"/>
  <c r="Y408" i="7"/>
  <c r="Y410" i="7"/>
  <c r="Y412" i="7"/>
  <c r="Y415" i="7"/>
  <c r="Y419" i="7"/>
  <c r="Y423" i="7"/>
  <c r="Y425" i="7"/>
  <c r="Y427" i="7"/>
  <c r="Y430" i="7"/>
  <c r="Y432" i="7"/>
  <c r="Y434" i="7"/>
  <c r="Y436" i="7"/>
  <c r="Y438" i="7"/>
  <c r="Y440" i="7"/>
  <c r="Y442" i="7"/>
  <c r="Y444" i="7"/>
  <c r="Y29" i="7"/>
  <c r="Y61" i="7"/>
  <c r="Y94" i="7"/>
  <c r="Y128" i="7"/>
  <c r="Y159" i="7"/>
  <c r="Y181" i="7"/>
  <c r="Y190" i="7"/>
  <c r="Y198" i="7"/>
  <c r="Y206" i="7"/>
  <c r="Y214" i="7"/>
  <c r="Y223" i="7"/>
  <c r="Y231" i="7"/>
  <c r="Y240" i="7"/>
  <c r="Y248" i="7"/>
  <c r="Y256" i="7"/>
  <c r="Y264" i="7"/>
  <c r="Y272" i="7"/>
  <c r="Y280" i="7"/>
  <c r="Y288" i="7"/>
  <c r="Y297" i="7"/>
  <c r="Y305" i="7"/>
  <c r="Y310" i="7"/>
  <c r="Y312" i="7"/>
  <c r="Y314" i="7"/>
  <c r="Y316" i="7"/>
  <c r="Y318" i="7"/>
  <c r="Y320" i="7"/>
  <c r="Y323" i="7"/>
  <c r="Y325" i="7"/>
  <c r="Y327" i="7"/>
  <c r="Y329" i="7"/>
  <c r="Y331" i="7"/>
  <c r="Y333" i="7"/>
  <c r="Y335" i="7"/>
  <c r="Y337" i="7"/>
  <c r="Y339" i="7"/>
  <c r="Y341" i="7"/>
  <c r="Y344" i="7"/>
  <c r="Y346" i="7"/>
  <c r="X349" i="7"/>
  <c r="X352" i="7"/>
  <c r="X354" i="7"/>
  <c r="X356" i="7"/>
  <c r="X358" i="7"/>
  <c r="X360" i="7"/>
  <c r="X365" i="7"/>
  <c r="X369" i="7"/>
  <c r="X371" i="7"/>
  <c r="X373" i="7"/>
  <c r="X375" i="7"/>
  <c r="X377" i="7"/>
  <c r="X379" i="7"/>
  <c r="X381" i="7"/>
  <c r="X383" i="7"/>
  <c r="X385" i="7"/>
  <c r="X387" i="7"/>
  <c r="X389" i="7"/>
  <c r="X393" i="7"/>
  <c r="X397" i="7"/>
  <c r="X401" i="7"/>
  <c r="X403" i="7"/>
  <c r="X405" i="7"/>
  <c r="X407" i="7"/>
  <c r="X409" i="7"/>
  <c r="X411" i="7"/>
  <c r="X420" i="7"/>
  <c r="X426" i="7"/>
  <c r="X428" i="7"/>
  <c r="X431" i="7"/>
  <c r="X433" i="7"/>
  <c r="X435" i="7"/>
  <c r="X437" i="7"/>
  <c r="X439" i="7"/>
  <c r="X441" i="7"/>
  <c r="X443" i="7"/>
  <c r="X445" i="7"/>
  <c r="Y37" i="7"/>
  <c r="Y167" i="7"/>
  <c r="Y208" i="7"/>
  <c r="Y242" i="7"/>
  <c r="Y274" i="7"/>
  <c r="Y307" i="7"/>
  <c r="X326" i="7"/>
  <c r="X334" i="7"/>
  <c r="X343" i="7"/>
  <c r="Y352" i="7"/>
  <c r="Y360" i="7"/>
  <c r="Y369" i="7"/>
  <c r="Y377" i="7"/>
  <c r="Y385" i="7"/>
  <c r="Y393" i="7"/>
  <c r="Y401" i="7"/>
  <c r="Y409" i="7"/>
  <c r="Y418" i="7"/>
  <c r="Y428" i="7"/>
  <c r="Y437" i="7"/>
  <c r="Y445" i="7"/>
  <c r="X448" i="7"/>
  <c r="X450" i="7"/>
  <c r="X452" i="7"/>
  <c r="X454" i="7"/>
  <c r="X456" i="7"/>
  <c r="X458" i="7"/>
  <c r="X460" i="7"/>
  <c r="X462" i="7"/>
  <c r="X464" i="7"/>
  <c r="X466" i="7"/>
  <c r="X469" i="7"/>
  <c r="X471" i="7"/>
  <c r="X473" i="7"/>
  <c r="X477" i="7"/>
  <c r="X479" i="7"/>
  <c r="X481" i="7"/>
  <c r="X483" i="7"/>
  <c r="X485" i="7"/>
  <c r="X487" i="7"/>
  <c r="X489" i="7"/>
  <c r="X491" i="7"/>
  <c r="X493" i="7"/>
  <c r="X495" i="7"/>
  <c r="X497" i="7"/>
  <c r="X499" i="7"/>
  <c r="X501" i="7"/>
  <c r="X503" i="7"/>
  <c r="X505" i="7"/>
  <c r="X507" i="7"/>
  <c r="X509" i="7"/>
  <c r="X511" i="7"/>
  <c r="X513" i="7"/>
  <c r="X515" i="7"/>
  <c r="X517" i="7"/>
  <c r="X492" i="4"/>
  <c r="W5" i="4"/>
  <c r="X6" i="4"/>
  <c r="Y7" i="4"/>
  <c r="W9" i="4"/>
  <c r="Y11" i="4"/>
  <c r="W13" i="4"/>
  <c r="X14" i="4"/>
  <c r="Y15" i="4"/>
  <c r="W17" i="4"/>
  <c r="X18" i="4"/>
  <c r="Y19" i="4"/>
  <c r="W21" i="4"/>
  <c r="X22" i="4"/>
  <c r="Y23" i="4"/>
  <c r="W25" i="4"/>
  <c r="X26" i="4"/>
  <c r="Y27" i="4"/>
  <c r="W29" i="4"/>
  <c r="X30" i="4"/>
  <c r="Y31" i="4"/>
  <c r="W33" i="4"/>
  <c r="X34" i="4"/>
  <c r="Y35" i="4"/>
  <c r="W37" i="4"/>
  <c r="X38" i="4"/>
  <c r="Y39" i="4"/>
  <c r="W41" i="4"/>
  <c r="X42" i="4"/>
  <c r="Y43" i="4"/>
  <c r="X45" i="4"/>
  <c r="Y46" i="4"/>
  <c r="W47" i="4"/>
  <c r="X48" i="4"/>
  <c r="W51" i="4"/>
  <c r="X52" i="4"/>
  <c r="Y53" i="4"/>
  <c r="W55" i="4"/>
  <c r="X56" i="4"/>
  <c r="W59" i="4"/>
  <c r="X60" i="4"/>
  <c r="Y61" i="4"/>
  <c r="W63" i="4"/>
  <c r="X64" i="4"/>
  <c r="Y65" i="4"/>
  <c r="W67" i="4"/>
  <c r="X68" i="4"/>
  <c r="Y69" i="4"/>
  <c r="X72" i="4"/>
  <c r="Y73" i="4"/>
  <c r="W75" i="4"/>
  <c r="Y77" i="4"/>
  <c r="W79" i="4"/>
  <c r="X80" i="4"/>
  <c r="Y81" i="4"/>
  <c r="W82" i="4"/>
  <c r="X83" i="4"/>
  <c r="W86" i="4"/>
  <c r="X87" i="4"/>
  <c r="Y88" i="4"/>
  <c r="W90" i="4"/>
  <c r="X91" i="4"/>
  <c r="Y92" i="4"/>
  <c r="W94" i="4"/>
  <c r="X95" i="4"/>
  <c r="Y96" i="4"/>
  <c r="W98" i="4"/>
  <c r="X99" i="4"/>
  <c r="W102" i="4"/>
  <c r="X103" i="4"/>
  <c r="Y104" i="4"/>
  <c r="X107" i="4"/>
  <c r="Y108" i="4"/>
  <c r="W110" i="4"/>
  <c r="X111" i="4"/>
  <c r="Y112" i="4"/>
  <c r="W115" i="4"/>
  <c r="X116" i="4"/>
  <c r="Y117" i="4"/>
  <c r="W119" i="4"/>
  <c r="X120" i="4"/>
  <c r="Y121" i="4"/>
  <c r="X124" i="4"/>
  <c r="Y125" i="4"/>
  <c r="W126" i="4"/>
  <c r="X127" i="4"/>
  <c r="Y128" i="4"/>
  <c r="W130" i="4"/>
  <c r="X131" i="4"/>
  <c r="Y132" i="4"/>
  <c r="W134" i="4"/>
  <c r="X135" i="4"/>
  <c r="Y136" i="4"/>
  <c r="W138" i="4"/>
  <c r="X139" i="4"/>
  <c r="Y140" i="4"/>
  <c r="W142" i="4"/>
  <c r="X143" i="4"/>
  <c r="Y144" i="4"/>
  <c r="W146" i="4"/>
  <c r="X147" i="4"/>
  <c r="Y70" i="7"/>
  <c r="Y184" i="7"/>
  <c r="Y216" i="7"/>
  <c r="Y250" i="7"/>
  <c r="Y282" i="7"/>
  <c r="X311" i="7"/>
  <c r="X319" i="7"/>
  <c r="X328" i="7"/>
  <c r="X336" i="7"/>
  <c r="X345" i="7"/>
  <c r="Y354" i="7"/>
  <c r="Y362" i="7"/>
  <c r="Y371" i="7"/>
  <c r="Y379" i="7"/>
  <c r="Y387" i="7"/>
  <c r="Y395" i="7"/>
  <c r="Y403" i="7"/>
  <c r="Y411" i="7"/>
  <c r="Y420" i="7"/>
  <c r="Y431" i="7"/>
  <c r="Y439" i="7"/>
  <c r="Y446" i="7"/>
  <c r="Y448" i="7"/>
  <c r="Y450" i="7"/>
  <c r="Y452" i="7"/>
  <c r="Y454" i="7"/>
  <c r="Y456" i="7"/>
  <c r="Y458" i="7"/>
  <c r="Y460" i="7"/>
  <c r="Y462" i="7"/>
  <c r="Y464" i="7"/>
  <c r="Y466" i="7"/>
  <c r="Y469" i="7"/>
  <c r="Y471" i="7"/>
  <c r="Y473" i="7"/>
  <c r="Y475" i="7"/>
  <c r="Y477" i="7"/>
  <c r="Y479" i="7"/>
  <c r="Y481" i="7"/>
  <c r="Y483" i="7"/>
  <c r="Y485" i="7"/>
  <c r="Y487" i="7"/>
  <c r="Y489" i="7"/>
  <c r="Y491" i="7"/>
  <c r="Y493" i="7"/>
  <c r="Y495" i="7"/>
  <c r="Y497" i="7"/>
  <c r="Y499" i="7"/>
  <c r="Y501" i="7"/>
  <c r="Y503" i="7"/>
  <c r="Y505" i="7"/>
  <c r="Y507" i="7"/>
  <c r="Y509" i="7"/>
  <c r="Y511" i="7"/>
  <c r="Y513" i="7"/>
  <c r="Y515" i="7"/>
  <c r="Y517" i="7"/>
  <c r="AA6" i="7"/>
  <c r="Y492" i="4"/>
  <c r="X5" i="4"/>
  <c r="Y6" i="4"/>
  <c r="W8" i="4"/>
  <c r="X9" i="4"/>
  <c r="W12" i="4"/>
  <c r="X13" i="4"/>
  <c r="Y14" i="4"/>
  <c r="W16" i="4"/>
  <c r="X17" i="4"/>
  <c r="Y18" i="4"/>
  <c r="W20" i="4"/>
  <c r="X21" i="4"/>
  <c r="Y22" i="4"/>
  <c r="W24" i="4"/>
  <c r="X25" i="4"/>
  <c r="Y26" i="4"/>
  <c r="W28" i="4"/>
  <c r="X29" i="4"/>
  <c r="Y30" i="4"/>
  <c r="W32" i="4"/>
  <c r="X33" i="4"/>
  <c r="Y34" i="4"/>
  <c r="W36" i="4"/>
  <c r="X37" i="4"/>
  <c r="Y38" i="4"/>
  <c r="W40" i="4"/>
  <c r="X41" i="4"/>
  <c r="Y42" i="4"/>
  <c r="W44" i="4"/>
  <c r="Y45" i="4"/>
  <c r="X47" i="4"/>
  <c r="Y48" i="4"/>
  <c r="W50" i="4"/>
  <c r="X51" i="4"/>
  <c r="Y52" i="4"/>
  <c r="W54" i="4"/>
  <c r="X55" i="4"/>
  <c r="Y56" i="4"/>
  <c r="W58" i="4"/>
  <c r="X59" i="4"/>
  <c r="Y60" i="4"/>
  <c r="W62" i="4"/>
  <c r="X63" i="4"/>
  <c r="Y64" i="4"/>
  <c r="X67" i="4"/>
  <c r="Y68" i="4"/>
  <c r="W70" i="4"/>
  <c r="Y72" i="4"/>
  <c r="W74" i="4"/>
  <c r="X75" i="4"/>
  <c r="Y76" i="4"/>
  <c r="W78" i="4"/>
  <c r="X79" i="4"/>
  <c r="Y80" i="4"/>
  <c r="X82" i="4"/>
  <c r="Y83" i="4"/>
  <c r="W85" i="4"/>
  <c r="X86" i="4"/>
  <c r="Y87" i="4"/>
  <c r="W89" i="4"/>
  <c r="X90" i="4"/>
  <c r="Y91" i="4"/>
  <c r="W93" i="4"/>
  <c r="X94" i="4"/>
  <c r="Y95" i="4"/>
  <c r="W97" i="4"/>
  <c r="X98" i="4"/>
  <c r="Y99" i="4"/>
  <c r="W100" i="4"/>
  <c r="X102" i="4"/>
  <c r="Y103" i="4"/>
  <c r="W105" i="4"/>
  <c r="Y107" i="4"/>
  <c r="W109" i="4"/>
  <c r="X110" i="4"/>
  <c r="Y111" i="4"/>
  <c r="W114" i="4"/>
  <c r="X115" i="4"/>
  <c r="Y116" i="4"/>
  <c r="W118" i="4"/>
  <c r="X119" i="4"/>
  <c r="Y120" i="4"/>
  <c r="W122" i="4"/>
  <c r="Y124" i="4"/>
  <c r="X126" i="4"/>
  <c r="Y127" i="4"/>
  <c r="W129" i="4"/>
  <c r="X130" i="4"/>
  <c r="Y131" i="4"/>
  <c r="W133" i="4"/>
  <c r="X134" i="4"/>
  <c r="Y135" i="4"/>
  <c r="W137" i="4"/>
  <c r="X138" i="4"/>
  <c r="Y139" i="4"/>
  <c r="W141" i="4"/>
  <c r="X142" i="4"/>
  <c r="Y143" i="4"/>
  <c r="W145" i="4"/>
  <c r="X146" i="4"/>
  <c r="Y102" i="7"/>
  <c r="Y192" i="7"/>
  <c r="Y225" i="7"/>
  <c r="Y258" i="7"/>
  <c r="Y290" i="7"/>
  <c r="X313" i="7"/>
  <c r="X321" i="7"/>
  <c r="X330" i="7"/>
  <c r="X338" i="7"/>
  <c r="X347" i="7"/>
  <c r="Y356" i="7"/>
  <c r="Y365" i="7"/>
  <c r="Y373" i="7"/>
  <c r="Y381" i="7"/>
  <c r="Y389" i="7"/>
  <c r="Y397" i="7"/>
  <c r="Y405" i="7"/>
  <c r="Y433" i="7"/>
  <c r="Y441" i="7"/>
  <c r="X447" i="7"/>
  <c r="X449" i="7"/>
  <c r="X451" i="7"/>
  <c r="X455" i="7"/>
  <c r="X459" i="7"/>
  <c r="X461" i="7"/>
  <c r="X463" i="7"/>
  <c r="X465" i="7"/>
  <c r="X467" i="7"/>
  <c r="X470" i="7"/>
  <c r="X472" i="7"/>
  <c r="X474" i="7"/>
  <c r="X476" i="7"/>
  <c r="X478" i="7"/>
  <c r="X480" i="7"/>
  <c r="X482" i="7"/>
  <c r="X484" i="7"/>
  <c r="X486" i="7"/>
  <c r="X488" i="7"/>
  <c r="X490" i="7"/>
  <c r="X492" i="7"/>
  <c r="X494" i="7"/>
  <c r="X496" i="7"/>
  <c r="X500" i="7"/>
  <c r="X502" i="7"/>
  <c r="X504" i="7"/>
  <c r="X506" i="7"/>
  <c r="X508" i="7"/>
  <c r="X510" i="7"/>
  <c r="X512" i="7"/>
  <c r="X514" i="7"/>
  <c r="X516" i="7"/>
  <c r="X4" i="7"/>
  <c r="Y5" i="4"/>
  <c r="X8" i="4"/>
  <c r="Y9" i="4"/>
  <c r="W11" i="4"/>
  <c r="X12" i="4"/>
  <c r="Y13" i="4"/>
  <c r="W15" i="4"/>
  <c r="X16" i="4"/>
  <c r="Y17" i="4"/>
  <c r="W19" i="4"/>
  <c r="X20" i="4"/>
  <c r="Y21" i="4"/>
  <c r="W23" i="4"/>
  <c r="X24" i="4"/>
  <c r="Y25" i="4"/>
  <c r="W27" i="4"/>
  <c r="X28" i="4"/>
  <c r="Y29" i="4"/>
  <c r="W31" i="4"/>
  <c r="X32" i="4"/>
  <c r="Y33" i="4"/>
  <c r="W35" i="4"/>
  <c r="X36" i="4"/>
  <c r="Y37" i="4"/>
  <c r="W39" i="4"/>
  <c r="X40" i="4"/>
  <c r="Y41" i="4"/>
  <c r="W43" i="4"/>
  <c r="X44" i="4"/>
  <c r="W46" i="4"/>
  <c r="Y47" i="4"/>
  <c r="X50" i="4"/>
  <c r="Y51" i="4"/>
  <c r="W53" i="4"/>
  <c r="X54" i="4"/>
  <c r="Y55" i="4"/>
  <c r="X58" i="4"/>
  <c r="Y59" i="4"/>
  <c r="W61" i="4"/>
  <c r="X62" i="4"/>
  <c r="Y63" i="4"/>
  <c r="W65" i="4"/>
  <c r="Y67" i="4"/>
  <c r="W69" i="4"/>
  <c r="X70" i="4"/>
  <c r="Y71" i="4"/>
  <c r="W73" i="4"/>
  <c r="X74" i="4"/>
  <c r="Y75" i="4"/>
  <c r="W77" i="4"/>
  <c r="X78" i="4"/>
  <c r="Y79" i="4"/>
  <c r="W81" i="4"/>
  <c r="Y82" i="4"/>
  <c r="X85" i="4"/>
  <c r="Y86" i="4"/>
  <c r="W88" i="4"/>
  <c r="X89" i="4"/>
  <c r="Y90" i="4"/>
  <c r="W92" i="4"/>
  <c r="X93" i="4"/>
  <c r="Y94" i="4"/>
  <c r="W96" i="4"/>
  <c r="X97" i="4"/>
  <c r="Y98" i="4"/>
  <c r="X100" i="4"/>
  <c r="Y102" i="4"/>
  <c r="W104" i="4"/>
  <c r="X105" i="4"/>
  <c r="Y106" i="4"/>
  <c r="W108" i="4"/>
  <c r="X109" i="4"/>
  <c r="Y110" i="4"/>
  <c r="X114" i="4"/>
  <c r="Y115" i="4"/>
  <c r="W117" i="4"/>
  <c r="X118" i="4"/>
  <c r="Y119" i="4"/>
  <c r="W121" i="4"/>
  <c r="X122" i="4"/>
  <c r="Y123" i="4"/>
  <c r="W125" i="4"/>
  <c r="Y126" i="4"/>
  <c r="W128" i="4"/>
  <c r="X129" i="4"/>
  <c r="Y130" i="4"/>
  <c r="W132" i="4"/>
  <c r="X133" i="4"/>
  <c r="Y134" i="4"/>
  <c r="W136" i="4"/>
  <c r="X137" i="4"/>
  <c r="Y138" i="4"/>
  <c r="W140" i="4"/>
  <c r="X141" i="4"/>
  <c r="Y142" i="4"/>
  <c r="W144" i="4"/>
  <c r="X145" i="4"/>
  <c r="Y146" i="4"/>
  <c r="W148" i="4"/>
  <c r="Y135" i="7"/>
  <c r="Y299" i="7"/>
  <c r="X340" i="7"/>
  <c r="Y375" i="7"/>
  <c r="Y407" i="7"/>
  <c r="Y443" i="7"/>
  <c r="Y453" i="7"/>
  <c r="Y461" i="7"/>
  <c r="Y470" i="7"/>
  <c r="Y478" i="7"/>
  <c r="Y486" i="7"/>
  <c r="Y494" i="7"/>
  <c r="Y502" i="7"/>
  <c r="Y510" i="7"/>
  <c r="Y4" i="7"/>
  <c r="Y200" i="7"/>
  <c r="X315" i="7"/>
  <c r="Y349" i="7"/>
  <c r="Y383" i="7"/>
  <c r="Y416" i="7"/>
  <c r="Y447" i="7"/>
  <c r="Y455" i="7"/>
  <c r="Y463" i="7"/>
  <c r="Y472" i="7"/>
  <c r="Y480" i="7"/>
  <c r="Y488" i="7"/>
  <c r="Y496" i="7"/>
  <c r="Y504" i="7"/>
  <c r="Y512" i="7"/>
  <c r="Y8" i="4"/>
  <c r="W14" i="4"/>
  <c r="X19" i="4"/>
  <c r="Y24" i="4"/>
  <c r="W30" i="4"/>
  <c r="X35" i="4"/>
  <c r="Y40" i="4"/>
  <c r="W45" i="4"/>
  <c r="Y54" i="4"/>
  <c r="W60" i="4"/>
  <c r="X65" i="4"/>
  <c r="Y70" i="4"/>
  <c r="X81" i="4"/>
  <c r="Y85" i="4"/>
  <c r="W91" i="4"/>
  <c r="X96" i="4"/>
  <c r="Y100" i="4"/>
  <c r="W107" i="4"/>
  <c r="Y118" i="4"/>
  <c r="W124" i="4"/>
  <c r="X128" i="4"/>
  <c r="Y133" i="4"/>
  <c r="W139" i="4"/>
  <c r="X144" i="4"/>
  <c r="X148" i="4"/>
  <c r="Y149" i="4"/>
  <c r="W151" i="4"/>
  <c r="Y153" i="4"/>
  <c r="W155" i="4"/>
  <c r="X156" i="4"/>
  <c r="Y157" i="4"/>
  <c r="W158" i="4"/>
  <c r="Y160" i="4"/>
  <c r="W162" i="4"/>
  <c r="X163" i="4"/>
  <c r="Y164" i="4"/>
  <c r="Y166" i="4"/>
  <c r="W168" i="4"/>
  <c r="X169" i="4"/>
  <c r="Y170" i="4"/>
  <c r="W172" i="4"/>
  <c r="X173" i="4"/>
  <c r="Y174" i="4"/>
  <c r="W175" i="4"/>
  <c r="Y176" i="4"/>
  <c r="X179" i="4"/>
  <c r="Y180" i="4"/>
  <c r="W182" i="4"/>
  <c r="Y183" i="4"/>
  <c r="W184" i="4"/>
  <c r="X185" i="4"/>
  <c r="Y186" i="4"/>
  <c r="W188" i="4"/>
  <c r="X189" i="4"/>
  <c r="Y190" i="4"/>
  <c r="W192" i="4"/>
  <c r="X193" i="4"/>
  <c r="Y194" i="4"/>
  <c r="W196" i="4"/>
  <c r="Y198" i="4"/>
  <c r="W200" i="4"/>
  <c r="X201" i="4"/>
  <c r="Y202" i="4"/>
  <c r="W204" i="4"/>
  <c r="X205" i="4"/>
  <c r="Y206" i="4"/>
  <c r="W208" i="4"/>
  <c r="Y209" i="4"/>
  <c r="W211" i="4"/>
  <c r="X213" i="4"/>
  <c r="Y214" i="4"/>
  <c r="W216" i="4"/>
  <c r="Y217" i="4"/>
  <c r="W219" i="4"/>
  <c r="X220" i="4"/>
  <c r="Y221" i="4"/>
  <c r="W223" i="4"/>
  <c r="X224" i="4"/>
  <c r="Y225" i="4"/>
  <c r="W228" i="4"/>
  <c r="X229" i="4"/>
  <c r="Y230" i="4"/>
  <c r="W232" i="4"/>
  <c r="Y234" i="4"/>
  <c r="W236" i="4"/>
  <c r="X237" i="4"/>
  <c r="W239" i="4"/>
  <c r="X240" i="4"/>
  <c r="Y241" i="4"/>
  <c r="W243" i="4"/>
  <c r="X244" i="4"/>
  <c r="Y245" i="4"/>
  <c r="W247" i="4"/>
  <c r="X248" i="4"/>
  <c r="W250" i="4"/>
  <c r="X251" i="4"/>
  <c r="Y252" i="4"/>
  <c r="W254" i="4"/>
  <c r="X255" i="4"/>
  <c r="Y256" i="4"/>
  <c r="X258" i="4"/>
  <c r="Y259" i="4"/>
  <c r="W261" i="4"/>
  <c r="X262" i="4"/>
  <c r="Y263" i="4"/>
  <c r="W265" i="4"/>
  <c r="Y266" i="4"/>
  <c r="W268" i="4"/>
  <c r="W271" i="4"/>
  <c r="X272" i="4"/>
  <c r="W278" i="4"/>
  <c r="X279" i="4"/>
  <c r="Y280" i="4"/>
  <c r="W282" i="4"/>
  <c r="X283" i="4"/>
  <c r="Y284" i="4"/>
  <c r="W285" i="4"/>
  <c r="X286" i="4"/>
  <c r="Y287" i="4"/>
  <c r="W289" i="4"/>
  <c r="Y290" i="4"/>
  <c r="W292" i="4"/>
  <c r="X293" i="4"/>
  <c r="Y294" i="4"/>
  <c r="X296" i="4"/>
  <c r="Y297" i="4"/>
  <c r="W299" i="4"/>
  <c r="X300" i="4"/>
  <c r="Y301" i="4"/>
  <c r="X305" i="4"/>
  <c r="Y233" i="7"/>
  <c r="X324" i="7"/>
  <c r="Y358" i="7"/>
  <c r="Y391" i="7"/>
  <c r="Y426" i="7"/>
  <c r="Y449" i="7"/>
  <c r="Y457" i="7"/>
  <c r="Y465" i="7"/>
  <c r="Y474" i="7"/>
  <c r="Y482" i="7"/>
  <c r="Y490" i="7"/>
  <c r="Y498" i="7"/>
  <c r="Y506" i="7"/>
  <c r="Y514" i="7"/>
  <c r="AA7" i="7"/>
  <c r="W10" i="4"/>
  <c r="X15" i="4"/>
  <c r="Y20" i="4"/>
  <c r="W26" i="4"/>
  <c r="X31" i="4"/>
  <c r="Y36" i="4"/>
  <c r="W42" i="4"/>
  <c r="X46" i="4"/>
  <c r="Y50" i="4"/>
  <c r="W56" i="4"/>
  <c r="X61" i="4"/>
  <c r="W72" i="4"/>
  <c r="X77" i="4"/>
  <c r="W87" i="4"/>
  <c r="X92" i="4"/>
  <c r="Y97" i="4"/>
  <c r="W103" i="4"/>
  <c r="X108" i="4"/>
  <c r="Y114" i="4"/>
  <c r="W120" i="4"/>
  <c r="X125" i="4"/>
  <c r="Y129" i="4"/>
  <c r="W135" i="4"/>
  <c r="X140" i="4"/>
  <c r="Y145" i="4"/>
  <c r="Y148" i="4"/>
  <c r="W150" i="4"/>
  <c r="X151" i="4"/>
  <c r="Y152" i="4"/>
  <c r="W154" i="4"/>
  <c r="X155" i="4"/>
  <c r="Y156" i="4"/>
  <c r="X158" i="4"/>
  <c r="Y159" i="4"/>
  <c r="W161" i="4"/>
  <c r="X162" i="4"/>
  <c r="Y163" i="4"/>
  <c r="X165" i="4"/>
  <c r="W167" i="4"/>
  <c r="X168" i="4"/>
  <c r="Y169" i="4"/>
  <c r="W171" i="4"/>
  <c r="X172" i="4"/>
  <c r="Y173" i="4"/>
  <c r="X175" i="4"/>
  <c r="W178" i="4"/>
  <c r="Y179" i="4"/>
  <c r="W181" i="4"/>
  <c r="X182" i="4"/>
  <c r="X184" i="4"/>
  <c r="Y185" i="4"/>
  <c r="W187" i="4"/>
  <c r="X188" i="4"/>
  <c r="Y189" i="4"/>
  <c r="W191" i="4"/>
  <c r="X192" i="4"/>
  <c r="Y193" i="4"/>
  <c r="W195" i="4"/>
  <c r="X196" i="4"/>
  <c r="Y197" i="4"/>
  <c r="W199" i="4"/>
  <c r="X200" i="4"/>
  <c r="Y201" i="4"/>
  <c r="W203" i="4"/>
  <c r="X204" i="4"/>
  <c r="Y205" i="4"/>
  <c r="W207" i="4"/>
  <c r="X208" i="4"/>
  <c r="X211" i="4"/>
  <c r="Y213" i="4"/>
  <c r="W215" i="4"/>
  <c r="X216" i="4"/>
  <c r="W218" i="4"/>
  <c r="X219" i="4"/>
  <c r="Y220" i="4"/>
  <c r="W222" i="4"/>
  <c r="X223" i="4"/>
  <c r="Y224" i="4"/>
  <c r="W227" i="4"/>
  <c r="X228" i="4"/>
  <c r="Y229" i="4"/>
  <c r="W231" i="4"/>
  <c r="X232" i="4"/>
  <c r="Y233" i="4"/>
  <c r="W235" i="4"/>
  <c r="X236" i="4"/>
  <c r="Y237" i="4"/>
  <c r="W238" i="4"/>
  <c r="X239" i="4"/>
  <c r="Y240" i="4"/>
  <c r="W242" i="4"/>
  <c r="X243" i="4"/>
  <c r="Y244" i="4"/>
  <c r="W246" i="4"/>
  <c r="X247" i="4"/>
  <c r="Y248" i="4"/>
  <c r="W249" i="4"/>
  <c r="X250" i="4"/>
  <c r="Y251" i="4"/>
  <c r="W253" i="4"/>
  <c r="X254" i="4"/>
  <c r="Y255" i="4"/>
  <c r="W257" i="4"/>
  <c r="Y258" i="4"/>
  <c r="W260" i="4"/>
  <c r="X261" i="4"/>
  <c r="Y262" i="4"/>
  <c r="W264" i="4"/>
  <c r="X265" i="4"/>
  <c r="X268" i="4"/>
  <c r="Y269" i="4"/>
  <c r="X271" i="4"/>
  <c r="Y272" i="4"/>
  <c r="W273" i="4"/>
  <c r="Y275" i="4"/>
  <c r="W277" i="4"/>
  <c r="X278" i="4"/>
  <c r="Y279" i="4"/>
  <c r="W281" i="4"/>
  <c r="X282" i="4"/>
  <c r="Y283" i="4"/>
  <c r="X285" i="4"/>
  <c r="Y286" i="4"/>
  <c r="W288" i="4"/>
  <c r="X289" i="4"/>
  <c r="W291" i="4"/>
  <c r="X292" i="4"/>
  <c r="Y293" i="4"/>
  <c r="W295" i="4"/>
  <c r="Y296" i="4"/>
  <c r="X299" i="4"/>
  <c r="Y300" i="4"/>
  <c r="W302" i="4"/>
  <c r="Y266" i="7"/>
  <c r="Y435" i="7"/>
  <c r="Y476" i="7"/>
  <c r="Y508" i="7"/>
  <c r="Y12" i="4"/>
  <c r="X23" i="4"/>
  <c r="W34" i="4"/>
  <c r="Y44" i="4"/>
  <c r="X53" i="4"/>
  <c r="W64" i="4"/>
  <c r="Y74" i="4"/>
  <c r="W95" i="4"/>
  <c r="Y105" i="4"/>
  <c r="X117" i="4"/>
  <c r="W127" i="4"/>
  <c r="Y137" i="4"/>
  <c r="Y147" i="4"/>
  <c r="Y150" i="4"/>
  <c r="X153" i="4"/>
  <c r="W156" i="4"/>
  <c r="X160" i="4"/>
  <c r="W163" i="4"/>
  <c r="X166" i="4"/>
  <c r="W169" i="4"/>
  <c r="Y171" i="4"/>
  <c r="X174" i="4"/>
  <c r="Y178" i="4"/>
  <c r="X180" i="4"/>
  <c r="X186" i="4"/>
  <c r="W189" i="4"/>
  <c r="Y191" i="4"/>
  <c r="X194" i="4"/>
  <c r="Y199" i="4"/>
  <c r="X202" i="4"/>
  <c r="W205" i="4"/>
  <c r="Y207" i="4"/>
  <c r="X209" i="4"/>
  <c r="W213" i="4"/>
  <c r="Y215" i="4"/>
  <c r="X217" i="4"/>
  <c r="W220" i="4"/>
  <c r="Y222" i="4"/>
  <c r="X225" i="4"/>
  <c r="W229" i="4"/>
  <c r="Y231" i="4"/>
  <c r="X234" i="4"/>
  <c r="W237" i="4"/>
  <c r="Y238" i="4"/>
  <c r="X241" i="4"/>
  <c r="W244" i="4"/>
  <c r="Y246" i="4"/>
  <c r="W251" i="4"/>
  <c r="Y253" i="4"/>
  <c r="X256" i="4"/>
  <c r="W258" i="4"/>
  <c r="Y260" i="4"/>
  <c r="X263" i="4"/>
  <c r="Y267" i="4"/>
  <c r="W272" i="4"/>
  <c r="Y273" i="4"/>
  <c r="W279" i="4"/>
  <c r="Y281" i="4"/>
  <c r="X284" i="4"/>
  <c r="W286" i="4"/>
  <c r="Y288" i="4"/>
  <c r="X290" i="4"/>
  <c r="W293" i="4"/>
  <c r="Y295" i="4"/>
  <c r="X297" i="4"/>
  <c r="W300" i="4"/>
  <c r="Y302" i="4"/>
  <c r="W306" i="4"/>
  <c r="X307" i="4"/>
  <c r="Y308" i="4"/>
  <c r="W310" i="4"/>
  <c r="X311" i="4"/>
  <c r="Y312" i="4"/>
  <c r="W314" i="4"/>
  <c r="X315" i="4"/>
  <c r="Y316" i="4"/>
  <c r="W318" i="4"/>
  <c r="X319" i="4"/>
  <c r="Y320" i="4"/>
  <c r="W322" i="4"/>
  <c r="X323" i="4"/>
  <c r="Y324" i="4"/>
  <c r="W326" i="4"/>
  <c r="X328" i="4"/>
  <c r="Y329" i="4"/>
  <c r="W332" i="4"/>
  <c r="X333" i="4"/>
  <c r="Y334" i="4"/>
  <c r="W336" i="4"/>
  <c r="X337" i="4"/>
  <c r="Y338" i="4"/>
  <c r="W340" i="4"/>
  <c r="X341" i="4"/>
  <c r="Y342" i="4"/>
  <c r="W345" i="4"/>
  <c r="X346" i="4"/>
  <c r="Y347" i="4"/>
  <c r="W349" i="4"/>
  <c r="X350" i="4"/>
  <c r="Y351" i="4"/>
  <c r="W353" i="4"/>
  <c r="X354" i="4"/>
  <c r="Y355" i="4"/>
  <c r="W357" i="4"/>
  <c r="X358" i="4"/>
  <c r="Y359" i="4"/>
  <c r="X361" i="4"/>
  <c r="Y362" i="4"/>
  <c r="W363" i="4"/>
  <c r="X364" i="4"/>
  <c r="W366" i="4"/>
  <c r="X367" i="4"/>
  <c r="Y368" i="4"/>
  <c r="W370" i="4"/>
  <c r="X371" i="4"/>
  <c r="Y372" i="4"/>
  <c r="W374" i="4"/>
  <c r="X375" i="4"/>
  <c r="Y376" i="4"/>
  <c r="X378" i="4"/>
  <c r="Y379" i="4"/>
  <c r="W381" i="4"/>
  <c r="X382" i="4"/>
  <c r="Y383" i="4"/>
  <c r="W385" i="4"/>
  <c r="X386" i="4"/>
  <c r="Y387" i="4"/>
  <c r="W389" i="4"/>
  <c r="X390" i="4"/>
  <c r="Y392" i="4"/>
  <c r="W394" i="4"/>
  <c r="Y396" i="4"/>
  <c r="W398" i="4"/>
  <c r="X399" i="4"/>
  <c r="Y400" i="4"/>
  <c r="W402" i="4"/>
  <c r="X403" i="4"/>
  <c r="Y404" i="4"/>
  <c r="W406" i="4"/>
  <c r="X407" i="4"/>
  <c r="Y408" i="4"/>
  <c r="W410" i="4"/>
  <c r="X411" i="4"/>
  <c r="Y412" i="4"/>
  <c r="W414" i="4"/>
  <c r="X415" i="4"/>
  <c r="Y416" i="4"/>
  <c r="W418" i="4"/>
  <c r="X419" i="4"/>
  <c r="Y420" i="4"/>
  <c r="W422" i="4"/>
  <c r="X423" i="4"/>
  <c r="Y424" i="4"/>
  <c r="W426" i="4"/>
  <c r="Y427" i="4"/>
  <c r="X430" i="4"/>
  <c r="Y431" i="4"/>
  <c r="X434" i="4"/>
  <c r="Y435" i="4"/>
  <c r="W437" i="4"/>
  <c r="X438" i="4"/>
  <c r="Y439" i="4"/>
  <c r="W441" i="4"/>
  <c r="X442" i="4"/>
  <c r="Y443" i="4"/>
  <c r="X332" i="7"/>
  <c r="Y451" i="7"/>
  <c r="Y484" i="7"/>
  <c r="Y516" i="7"/>
  <c r="W6" i="4"/>
  <c r="Y16" i="4"/>
  <c r="X27" i="4"/>
  <c r="W38" i="4"/>
  <c r="W68" i="4"/>
  <c r="Y78" i="4"/>
  <c r="X88" i="4"/>
  <c r="W99" i="4"/>
  <c r="Y109" i="4"/>
  <c r="X121" i="4"/>
  <c r="W131" i="4"/>
  <c r="Y141" i="4"/>
  <c r="W149" i="4"/>
  <c r="Y151" i="4"/>
  <c r="X154" i="4"/>
  <c r="W157" i="4"/>
  <c r="Y158" i="4"/>
  <c r="X161" i="4"/>
  <c r="X167" i="4"/>
  <c r="W170" i="4"/>
  <c r="Y172" i="4"/>
  <c r="W176" i="4"/>
  <c r="X181" i="4"/>
  <c r="W183" i="4"/>
  <c r="Y184" i="4"/>
  <c r="X187" i="4"/>
  <c r="W190" i="4"/>
  <c r="Y192" i="4"/>
  <c r="X195" i="4"/>
  <c r="W198" i="4"/>
  <c r="Y200" i="4"/>
  <c r="X203" i="4"/>
  <c r="W206" i="4"/>
  <c r="Y208" i="4"/>
  <c r="W214" i="4"/>
  <c r="Y216" i="4"/>
  <c r="X218" i="4"/>
  <c r="W221" i="4"/>
  <c r="Y223" i="4"/>
  <c r="X227" i="4"/>
  <c r="W230" i="4"/>
  <c r="Y232" i="4"/>
  <c r="X235" i="4"/>
  <c r="Y239" i="4"/>
  <c r="X242" i="4"/>
  <c r="W245" i="4"/>
  <c r="Y247" i="4"/>
  <c r="X249" i="4"/>
  <c r="W252" i="4"/>
  <c r="Y254" i="4"/>
  <c r="X257" i="4"/>
  <c r="W259" i="4"/>
  <c r="Y261" i="4"/>
  <c r="X264" i="4"/>
  <c r="W266" i="4"/>
  <c r="Y268" i="4"/>
  <c r="Y274" i="4"/>
  <c r="X277" i="4"/>
  <c r="W280" i="4"/>
  <c r="Y282" i="4"/>
  <c r="Y289" i="4"/>
  <c r="X291" i="4"/>
  <c r="W294" i="4"/>
  <c r="W301" i="4"/>
  <c r="Y304" i="4"/>
  <c r="X306" i="4"/>
  <c r="Y307" i="4"/>
  <c r="W309" i="4"/>
  <c r="X310" i="4"/>
  <c r="Y311" i="4"/>
  <c r="W313" i="4"/>
  <c r="X314" i="4"/>
  <c r="Y315" i="4"/>
  <c r="W317" i="4"/>
  <c r="X318" i="4"/>
  <c r="Y319" i="4"/>
  <c r="W321" i="4"/>
  <c r="X322" i="4"/>
  <c r="Y323" i="4"/>
  <c r="W325" i="4"/>
  <c r="X326" i="4"/>
  <c r="Y328" i="4"/>
  <c r="W330" i="4"/>
  <c r="X332" i="4"/>
  <c r="Y333" i="4"/>
  <c r="X336" i="4"/>
  <c r="Y337" i="4"/>
  <c r="W339" i="4"/>
  <c r="X340" i="4"/>
  <c r="Y341" i="4"/>
  <c r="X345" i="4"/>
  <c r="Y346" i="4"/>
  <c r="X349" i="4"/>
  <c r="Y350" i="4"/>
  <c r="W352" i="4"/>
  <c r="X353" i="4"/>
  <c r="Y354" i="4"/>
  <c r="W356" i="4"/>
  <c r="X357" i="4"/>
  <c r="Y358" i="4"/>
  <c r="W360" i="4"/>
  <c r="Y361" i="4"/>
  <c r="X363" i="4"/>
  <c r="Y364" i="4"/>
  <c r="W365" i="4"/>
  <c r="X366" i="4"/>
  <c r="Y367" i="4"/>
  <c r="X370" i="4"/>
  <c r="Y371" i="4"/>
  <c r="X374" i="4"/>
  <c r="Y375" i="4"/>
  <c r="Y378" i="4"/>
  <c r="W380" i="4"/>
  <c r="X381" i="4"/>
  <c r="Y382" i="4"/>
  <c r="W384" i="4"/>
  <c r="X385" i="4"/>
  <c r="Y386" i="4"/>
  <c r="W388" i="4"/>
  <c r="X389" i="4"/>
  <c r="Y390" i="4"/>
  <c r="X394" i="4"/>
  <c r="Y395" i="4"/>
  <c r="W397" i="4"/>
  <c r="X398" i="4"/>
  <c r="Y399" i="4"/>
  <c r="X402" i="4"/>
  <c r="Y403" i="4"/>
  <c r="W405" i="4"/>
  <c r="X406" i="4"/>
  <c r="Y407" i="4"/>
  <c r="W409" i="4"/>
  <c r="X410" i="4"/>
  <c r="Y411" i="4"/>
  <c r="W413" i="4"/>
  <c r="X414" i="4"/>
  <c r="Y415" i="4"/>
  <c r="X418" i="4"/>
  <c r="Y419" i="4"/>
  <c r="W421" i="4"/>
  <c r="Y367" i="7"/>
  <c r="Y459" i="7"/>
  <c r="Y492" i="7"/>
  <c r="W18" i="4"/>
  <c r="Y28" i="4"/>
  <c r="X39" i="4"/>
  <c r="W48" i="4"/>
  <c r="Y58" i="4"/>
  <c r="X69" i="4"/>
  <c r="W80" i="4"/>
  <c r="Y89" i="4"/>
  <c r="W111" i="4"/>
  <c r="Y122" i="4"/>
  <c r="X132" i="4"/>
  <c r="W143" i="4"/>
  <c r="X149" i="4"/>
  <c r="Y154" i="4"/>
  <c r="X157" i="4"/>
  <c r="Y161" i="4"/>
  <c r="Y167" i="4"/>
  <c r="X170" i="4"/>
  <c r="W173" i="4"/>
  <c r="X176" i="4"/>
  <c r="W179" i="4"/>
  <c r="Y181" i="4"/>
  <c r="X183" i="4"/>
  <c r="W185" i="4"/>
  <c r="Y187" i="4"/>
  <c r="X190" i="4"/>
  <c r="W193" i="4"/>
  <c r="Y195" i="4"/>
  <c r="X198" i="4"/>
  <c r="W201" i="4"/>
  <c r="Y203" i="4"/>
  <c r="X206" i="4"/>
  <c r="Y210" i="4"/>
  <c r="X214" i="4"/>
  <c r="Y218" i="4"/>
  <c r="X221" i="4"/>
  <c r="W224" i="4"/>
  <c r="Y227" i="4"/>
  <c r="X230" i="4"/>
  <c r="Y235" i="4"/>
  <c r="W240" i="4"/>
  <c r="Y242" i="4"/>
  <c r="X245" i="4"/>
  <c r="W248" i="4"/>
  <c r="Y249" i="4"/>
  <c r="X252" i="4"/>
  <c r="W255" i="4"/>
  <c r="Y257" i="4"/>
  <c r="X259" i="4"/>
  <c r="W262" i="4"/>
  <c r="Y264" i="4"/>
  <c r="X266" i="4"/>
  <c r="Y270" i="4"/>
  <c r="Y277" i="4"/>
  <c r="X280" i="4"/>
  <c r="W283" i="4"/>
  <c r="Y291" i="4"/>
  <c r="X294" i="4"/>
  <c r="W296" i="4"/>
  <c r="Y298" i="4"/>
  <c r="X301" i="4"/>
  <c r="W305" i="4"/>
  <c r="Y306" i="4"/>
  <c r="W308" i="4"/>
  <c r="X309" i="4"/>
  <c r="Y310" i="4"/>
  <c r="W312" i="4"/>
  <c r="X313" i="4"/>
  <c r="Y314" i="4"/>
  <c r="W316" i="4"/>
  <c r="X317" i="4"/>
  <c r="Y318" i="4"/>
  <c r="W320" i="4"/>
  <c r="X321" i="4"/>
  <c r="Y322" i="4"/>
  <c r="W324" i="4"/>
  <c r="X325" i="4"/>
  <c r="Y326" i="4"/>
  <c r="X327" i="4"/>
  <c r="W329" i="4"/>
  <c r="X330" i="4"/>
  <c r="Y332" i="4"/>
  <c r="W334" i="4"/>
  <c r="Y336" i="4"/>
  <c r="W338" i="4"/>
  <c r="X339" i="4"/>
  <c r="Y340" i="4"/>
  <c r="W342" i="4"/>
  <c r="Y345" i="4"/>
  <c r="W347" i="4"/>
  <c r="Y349" i="4"/>
  <c r="W351" i="4"/>
  <c r="X352" i="4"/>
  <c r="Y353" i="4"/>
  <c r="W355" i="4"/>
  <c r="X356" i="4"/>
  <c r="Y357" i="4"/>
  <c r="X360" i="4"/>
  <c r="W362" i="4"/>
  <c r="Y363" i="4"/>
  <c r="X365" i="4"/>
  <c r="Y366" i="4"/>
  <c r="W368" i="4"/>
  <c r="Y370" i="4"/>
  <c r="W372" i="4"/>
  <c r="Y374" i="4"/>
  <c r="W376" i="4"/>
  <c r="W379" i="4"/>
  <c r="X380" i="4"/>
  <c r="Y381" i="4"/>
  <c r="W383" i="4"/>
  <c r="X384" i="4"/>
  <c r="Y385" i="4"/>
  <c r="W387" i="4"/>
  <c r="X388" i="4"/>
  <c r="Y389" i="4"/>
  <c r="W392" i="4"/>
  <c r="Y394" i="4"/>
  <c r="X397" i="4"/>
  <c r="Y398" i="4"/>
  <c r="W400" i="4"/>
  <c r="Y402" i="4"/>
  <c r="W404" i="4"/>
  <c r="X405" i="4"/>
  <c r="Y406" i="4"/>
  <c r="W408" i="4"/>
  <c r="X409" i="4"/>
  <c r="Y410" i="4"/>
  <c r="W412" i="4"/>
  <c r="X413" i="4"/>
  <c r="Y414" i="4"/>
  <c r="W416" i="4"/>
  <c r="Y418" i="4"/>
  <c r="W420" i="4"/>
  <c r="X421" i="4"/>
  <c r="Y422" i="4"/>
  <c r="W424" i="4"/>
  <c r="X425" i="4"/>
  <c r="Y426" i="4"/>
  <c r="W427" i="4"/>
  <c r="X428" i="4"/>
  <c r="Y429" i="4"/>
  <c r="W431" i="4"/>
  <c r="X432" i="4"/>
  <c r="Y433" i="4"/>
  <c r="W435" i="4"/>
  <c r="X436" i="4"/>
  <c r="Y437" i="4"/>
  <c r="W439" i="4"/>
  <c r="X440" i="4"/>
  <c r="Y441" i="4"/>
  <c r="W443" i="4"/>
  <c r="Y399" i="7"/>
  <c r="Y32" i="4"/>
  <c r="X73" i="4"/>
  <c r="W116" i="4"/>
  <c r="X150" i="4"/>
  <c r="W160" i="4"/>
  <c r="X171" i="4"/>
  <c r="W180" i="4"/>
  <c r="Y188" i="4"/>
  <c r="X199" i="4"/>
  <c r="W209" i="4"/>
  <c r="Y219" i="4"/>
  <c r="X231" i="4"/>
  <c r="W241" i="4"/>
  <c r="Y250" i="4"/>
  <c r="X260" i="4"/>
  <c r="Y278" i="4"/>
  <c r="X288" i="4"/>
  <c r="W297" i="4"/>
  <c r="W307" i="4"/>
  <c r="X312" i="4"/>
  <c r="Y317" i="4"/>
  <c r="W323" i="4"/>
  <c r="W328" i="4"/>
  <c r="X334" i="4"/>
  <c r="Y339" i="4"/>
  <c r="W346" i="4"/>
  <c r="X351" i="4"/>
  <c r="Y356" i="4"/>
  <c r="W361" i="4"/>
  <c r="Y369" i="4"/>
  <c r="W375" i="4"/>
  <c r="X379" i="4"/>
  <c r="Y384" i="4"/>
  <c r="W390" i="4"/>
  <c r="Y401" i="4"/>
  <c r="W407" i="4"/>
  <c r="X412" i="4"/>
  <c r="Y417" i="4"/>
  <c r="X422" i="4"/>
  <c r="W425" i="4"/>
  <c r="W432" i="4"/>
  <c r="Y434" i="4"/>
  <c r="X437" i="4"/>
  <c r="W440" i="4"/>
  <c r="Y442" i="4"/>
  <c r="Y444" i="4"/>
  <c r="W446" i="4"/>
  <c r="Y447" i="4"/>
  <c r="Y449" i="4"/>
  <c r="W451" i="4"/>
  <c r="X452" i="4"/>
  <c r="Y453" i="4"/>
  <c r="W455" i="4"/>
  <c r="Y457" i="4"/>
  <c r="W459" i="4"/>
  <c r="X460" i="4"/>
  <c r="W463" i="4"/>
  <c r="Y465" i="4"/>
  <c r="X468" i="4"/>
  <c r="W471" i="4"/>
  <c r="Y473" i="4"/>
  <c r="X476" i="4"/>
  <c r="W479" i="4"/>
  <c r="Y481" i="4"/>
  <c r="X484" i="4"/>
  <c r="W487" i="4"/>
  <c r="Y489" i="4"/>
  <c r="Y467" i="7"/>
  <c r="X43" i="4"/>
  <c r="W83" i="4"/>
  <c r="W153" i="4"/>
  <c r="Y162" i="4"/>
  <c r="W174" i="4"/>
  <c r="Y182" i="4"/>
  <c r="X191" i="4"/>
  <c r="W202" i="4"/>
  <c r="Y211" i="4"/>
  <c r="X222" i="4"/>
  <c r="W234" i="4"/>
  <c r="Y243" i="4"/>
  <c r="X253" i="4"/>
  <c r="W263" i="4"/>
  <c r="Y271" i="4"/>
  <c r="X281" i="4"/>
  <c r="W290" i="4"/>
  <c r="Y299" i="4"/>
  <c r="X308" i="4"/>
  <c r="Y313" i="4"/>
  <c r="W319" i="4"/>
  <c r="X324" i="4"/>
  <c r="X329" i="4"/>
  <c r="Y335" i="4"/>
  <c r="W341" i="4"/>
  <c r="X347" i="4"/>
  <c r="Y352" i="4"/>
  <c r="W358" i="4"/>
  <c r="X362" i="4"/>
  <c r="Y365" i="4"/>
  <c r="W371" i="4"/>
  <c r="X376" i="4"/>
  <c r="Y380" i="4"/>
  <c r="W386" i="4"/>
  <c r="X392" i="4"/>
  <c r="Y397" i="4"/>
  <c r="W403" i="4"/>
  <c r="X408" i="4"/>
  <c r="Y413" i="4"/>
  <c r="W419" i="4"/>
  <c r="W423" i="4"/>
  <c r="Y425" i="4"/>
  <c r="X427" i="4"/>
  <c r="W430" i="4"/>
  <c r="Y432" i="4"/>
  <c r="X435" i="4"/>
  <c r="W438" i="4"/>
  <c r="Y440" i="4"/>
  <c r="X443" i="4"/>
  <c r="W445" i="4"/>
  <c r="X446" i="4"/>
  <c r="W450" i="4"/>
  <c r="X451" i="4"/>
  <c r="Y452" i="4"/>
  <c r="W454" i="4"/>
  <c r="X455" i="4"/>
  <c r="Y456" i="4"/>
  <c r="W458" i="4"/>
  <c r="X459" i="4"/>
  <c r="Y460" i="4"/>
  <c r="W462" i="4"/>
  <c r="X463" i="4"/>
  <c r="Y464" i="4"/>
  <c r="W466" i="4"/>
  <c r="X467" i="4"/>
  <c r="Y468" i="4"/>
  <c r="X471" i="4"/>
  <c r="Y472" i="4"/>
  <c r="W474" i="4"/>
  <c r="X475" i="4"/>
  <c r="Y476" i="4"/>
  <c r="W478" i="4"/>
  <c r="X479" i="4"/>
  <c r="Y480" i="4"/>
  <c r="W482" i="4"/>
  <c r="X483" i="4"/>
  <c r="Y484" i="4"/>
  <c r="W486" i="4"/>
  <c r="X487" i="4"/>
  <c r="Y488" i="4"/>
  <c r="X4" i="4"/>
  <c r="X178" i="4"/>
  <c r="X207" i="4"/>
  <c r="Y228" i="4"/>
  <c r="X295" i="4"/>
  <c r="W311" i="4"/>
  <c r="Y321" i="4"/>
  <c r="W333" i="4"/>
  <c r="W350" i="4"/>
  <c r="Y360" i="4"/>
  <c r="X368" i="4"/>
  <c r="W378" i="4"/>
  <c r="Y388" i="4"/>
  <c r="X400" i="4"/>
  <c r="W411" i="4"/>
  <c r="Y421" i="4"/>
  <c r="X431" i="4"/>
  <c r="Y436" i="4"/>
  <c r="W442" i="4"/>
  <c r="Y445" i="4"/>
  <c r="X447" i="4"/>
  <c r="Y450" i="4"/>
  <c r="X453" i="4"/>
  <c r="W456" i="4"/>
  <c r="Y458" i="4"/>
  <c r="X461" i="4"/>
  <c r="W464" i="4"/>
  <c r="Y466" i="4"/>
  <c r="X469" i="4"/>
  <c r="W472" i="4"/>
  <c r="Y474" i="4"/>
  <c r="X477" i="4"/>
  <c r="W480" i="4"/>
  <c r="Y482" i="4"/>
  <c r="X485" i="4"/>
  <c r="W488" i="4"/>
  <c r="X456" i="4"/>
  <c r="Y461" i="4"/>
  <c r="X464" i="4"/>
  <c r="W467" i="4"/>
  <c r="Y469" i="4"/>
  <c r="X472" i="4"/>
  <c r="W475" i="4"/>
  <c r="Y477" i="4"/>
  <c r="X480" i="4"/>
  <c r="W483" i="4"/>
  <c r="Y485" i="4"/>
  <c r="X488" i="4"/>
  <c r="Y500" i="7"/>
  <c r="X11" i="4"/>
  <c r="W52" i="4"/>
  <c r="Y93" i="4"/>
  <c r="X136" i="4"/>
  <c r="Y155" i="4"/>
  <c r="W166" i="4"/>
  <c r="Y175" i="4"/>
  <c r="W194" i="4"/>
  <c r="Y204" i="4"/>
  <c r="X215" i="4"/>
  <c r="W225" i="4"/>
  <c r="Y236" i="4"/>
  <c r="X246" i="4"/>
  <c r="W256" i="4"/>
  <c r="Y265" i="4"/>
  <c r="X273" i="4"/>
  <c r="W284" i="4"/>
  <c r="Y292" i="4"/>
  <c r="X302" i="4"/>
  <c r="Y309" i="4"/>
  <c r="W315" i="4"/>
  <c r="X320" i="4"/>
  <c r="Y325" i="4"/>
  <c r="Y330" i="4"/>
  <c r="W337" i="4"/>
  <c r="X342" i="4"/>
  <c r="Y348" i="4"/>
  <c r="W354" i="4"/>
  <c r="W367" i="4"/>
  <c r="X372" i="4"/>
  <c r="Y377" i="4"/>
  <c r="W382" i="4"/>
  <c r="X387" i="4"/>
  <c r="Y393" i="4"/>
  <c r="W399" i="4"/>
  <c r="X404" i="4"/>
  <c r="Y409" i="4"/>
  <c r="W415" i="4"/>
  <c r="X420" i="4"/>
  <c r="Y423" i="4"/>
  <c r="X426" i="4"/>
  <c r="W428" i="4"/>
  <c r="Y430" i="4"/>
  <c r="W436" i="4"/>
  <c r="Y438" i="4"/>
  <c r="X441" i="4"/>
  <c r="W444" i="4"/>
  <c r="X445" i="4"/>
  <c r="Y446" i="4"/>
  <c r="W447" i="4"/>
  <c r="Y448" i="4"/>
  <c r="W449" i="4"/>
  <c r="X450" i="4"/>
  <c r="Y451" i="4"/>
  <c r="W453" i="4"/>
  <c r="X454" i="4"/>
  <c r="Y455" i="4"/>
  <c r="W457" i="4"/>
  <c r="X458" i="4"/>
  <c r="Y459" i="4"/>
  <c r="W461" i="4"/>
  <c r="X462" i="4"/>
  <c r="Y463" i="4"/>
  <c r="W465" i="4"/>
  <c r="X466" i="4"/>
  <c r="Y467" i="4"/>
  <c r="W469" i="4"/>
  <c r="Y471" i="4"/>
  <c r="W473" i="4"/>
  <c r="X474" i="4"/>
  <c r="Y475" i="4"/>
  <c r="W477" i="4"/>
  <c r="X478" i="4"/>
  <c r="Y479" i="4"/>
  <c r="W481" i="4"/>
  <c r="X482" i="4"/>
  <c r="Y483" i="4"/>
  <c r="W485" i="4"/>
  <c r="X486" i="4"/>
  <c r="Y487" i="4"/>
  <c r="W489" i="4"/>
  <c r="Y4" i="4"/>
  <c r="W22" i="4"/>
  <c r="Y62" i="4"/>
  <c r="X104" i="4"/>
  <c r="W147" i="4"/>
  <c r="Y168" i="4"/>
  <c r="W186" i="4"/>
  <c r="Y196" i="4"/>
  <c r="W217" i="4"/>
  <c r="X238" i="4"/>
  <c r="Y285" i="4"/>
  <c r="Y305" i="4"/>
  <c r="X316" i="4"/>
  <c r="X338" i="4"/>
  <c r="Y343" i="4"/>
  <c r="X355" i="4"/>
  <c r="W364" i="4"/>
  <c r="Y373" i="4"/>
  <c r="X383" i="4"/>
  <c r="Y405" i="4"/>
  <c r="X416" i="4"/>
  <c r="X424" i="4"/>
  <c r="Y428" i="4"/>
  <c r="W434" i="4"/>
  <c r="X439" i="4"/>
  <c r="X444" i="4"/>
  <c r="X449" i="4"/>
  <c r="W452" i="4"/>
  <c r="Y454" i="4"/>
  <c r="X457" i="4"/>
  <c r="W460" i="4"/>
  <c r="Y462" i="4"/>
  <c r="X465" i="4"/>
  <c r="W468" i="4"/>
  <c r="Y470" i="4"/>
  <c r="X473" i="4"/>
  <c r="W476" i="4"/>
  <c r="Y478" i="4"/>
  <c r="X481" i="4"/>
  <c r="W484" i="4"/>
  <c r="Y486" i="4"/>
  <c r="X489" i="4"/>
  <c r="Y331" i="4"/>
  <c r="Y165" i="4"/>
  <c r="Y169" i="7"/>
  <c r="Y327" i="4"/>
  <c r="Y347" i="7"/>
  <c r="W327" i="4"/>
  <c r="W165" i="4"/>
  <c r="T75" i="4"/>
  <c r="U75" i="4"/>
  <c r="S5" i="7"/>
  <c r="W5" i="7"/>
  <c r="V6" i="7"/>
  <c r="U7" i="7"/>
  <c r="S9" i="7"/>
  <c r="W9" i="7"/>
  <c r="V10" i="7"/>
  <c r="U11" i="7"/>
  <c r="T13" i="7"/>
  <c r="S14" i="7"/>
  <c r="W14" i="7"/>
  <c r="U15" i="7"/>
  <c r="S16" i="7"/>
  <c r="W16" i="7"/>
  <c r="V17" i="7"/>
  <c r="U19" i="7"/>
  <c r="T20" i="7"/>
  <c r="S21" i="7"/>
  <c r="W21" i="7"/>
  <c r="V22" i="7"/>
  <c r="U23" i="7"/>
  <c r="S24" i="7"/>
  <c r="W24" i="7"/>
  <c r="U25" i="7"/>
  <c r="T26" i="7"/>
  <c r="S27" i="7"/>
  <c r="W27" i="7"/>
  <c r="U28" i="7"/>
  <c r="T29" i="7"/>
  <c r="S30" i="7"/>
  <c r="W30" i="7"/>
  <c r="V31" i="7"/>
  <c r="T32" i="7"/>
  <c r="S33" i="7"/>
  <c r="W33" i="7"/>
  <c r="V34" i="7"/>
  <c r="U35" i="7"/>
  <c r="T36" i="7"/>
  <c r="S37" i="7"/>
  <c r="W37" i="7"/>
  <c r="V38" i="7"/>
  <c r="U39" i="7"/>
  <c r="T40" i="7"/>
  <c r="S41" i="7"/>
  <c r="W41" i="7"/>
  <c r="V42" i="7"/>
  <c r="U43" i="7"/>
  <c r="T44" i="7"/>
  <c r="S45" i="7"/>
  <c r="W45" i="7"/>
  <c r="V46" i="7"/>
  <c r="T47" i="7"/>
  <c r="V48" i="7"/>
  <c r="U49" i="7"/>
  <c r="T50" i="7"/>
  <c r="S51" i="7"/>
  <c r="W51" i="7"/>
  <c r="V52" i="7"/>
  <c r="U53" i="7"/>
  <c r="T54" i="7"/>
  <c r="S55" i="7"/>
  <c r="W55" i="7"/>
  <c r="U56" i="7"/>
  <c r="S57" i="7"/>
  <c r="W57" i="7"/>
  <c r="U58" i="7"/>
  <c r="T59" i="7"/>
  <c r="S60" i="7"/>
  <c r="W60" i="7"/>
  <c r="V61" i="7"/>
  <c r="T62" i="7"/>
  <c r="S63" i="7"/>
  <c r="W63" i="7"/>
  <c r="V64" i="7"/>
  <c r="U65" i="7"/>
  <c r="T66" i="7"/>
  <c r="S67" i="7"/>
  <c r="W67" i="7"/>
  <c r="V69" i="7"/>
  <c r="U70" i="7"/>
  <c r="T71" i="7"/>
  <c r="V72" i="7"/>
  <c r="T5" i="7"/>
  <c r="U5" i="7"/>
  <c r="U6" i="7"/>
  <c r="V7" i="7"/>
  <c r="V9" i="7"/>
  <c r="W10" i="7"/>
  <c r="W11" i="7"/>
  <c r="W13" i="7"/>
  <c r="W15" i="7"/>
  <c r="V16" i="7"/>
  <c r="W17" i="7"/>
  <c r="W19" i="7"/>
  <c r="W20" i="7"/>
  <c r="S22" i="7"/>
  <c r="S23" i="7"/>
  <c r="W25" i="7"/>
  <c r="W26" i="7"/>
  <c r="W28" i="7"/>
  <c r="W29" i="7"/>
  <c r="S31" i="7"/>
  <c r="W32" i="7"/>
  <c r="S34" i="7"/>
  <c r="S35" i="7"/>
  <c r="S36" i="7"/>
  <c r="T37" i="7"/>
  <c r="T38" i="7"/>
  <c r="T39" i="7"/>
  <c r="U40" i="7"/>
  <c r="U41" i="7"/>
  <c r="U42" i="7"/>
  <c r="V43" i="7"/>
  <c r="V44" i="7"/>
  <c r="V45" i="7"/>
  <c r="W46" i="7"/>
  <c r="V47" i="7"/>
  <c r="U48" i="7"/>
  <c r="V49" i="7"/>
  <c r="V50" i="7"/>
  <c r="V51" i="7"/>
  <c r="W52" i="7"/>
  <c r="W53" i="7"/>
  <c r="W54" i="7"/>
  <c r="W56" i="7"/>
  <c r="V57" i="7"/>
  <c r="V58" i="7"/>
  <c r="V59" i="7"/>
  <c r="V60" i="7"/>
  <c r="W61" i="7"/>
  <c r="V62" i="7"/>
  <c r="V63" i="7"/>
  <c r="W64" i="7"/>
  <c r="W65" i="7"/>
  <c r="W66" i="7"/>
  <c r="S69" i="7"/>
  <c r="S70" i="7"/>
  <c r="S71" i="7"/>
  <c r="S72" i="7"/>
  <c r="U74" i="7"/>
  <c r="T75" i="7"/>
  <c r="S76" i="7"/>
  <c r="W76" i="7"/>
  <c r="V77" i="7"/>
  <c r="T79" i="7"/>
  <c r="S80" i="7"/>
  <c r="W80" i="7"/>
  <c r="V81" i="7"/>
  <c r="U82" i="7"/>
  <c r="T83" i="7"/>
  <c r="V84" i="7"/>
  <c r="U85" i="7"/>
  <c r="T86" i="7"/>
  <c r="V88" i="7"/>
  <c r="T89" i="7"/>
  <c r="S90" i="7"/>
  <c r="V5" i="7"/>
  <c r="W6" i="7"/>
  <c r="W7" i="7"/>
  <c r="S10" i="7"/>
  <c r="S11" i="7"/>
  <c r="S13" i="7"/>
  <c r="T14" i="7"/>
  <c r="S15" i="7"/>
  <c r="S17" i="7"/>
  <c r="S19" i="7"/>
  <c r="S20" i="7"/>
  <c r="T21" i="7"/>
  <c r="T22" i="7"/>
  <c r="T23" i="7"/>
  <c r="T24" i="7"/>
  <c r="S25" i="7"/>
  <c r="S26" i="7"/>
  <c r="T27" i="7"/>
  <c r="S28" i="7"/>
  <c r="S29" i="7"/>
  <c r="T30" i="7"/>
  <c r="T31" i="7"/>
  <c r="S32" i="7"/>
  <c r="T33" i="7"/>
  <c r="T34" i="7"/>
  <c r="T35" i="7"/>
  <c r="U36" i="7"/>
  <c r="U37" i="7"/>
  <c r="U38" i="7"/>
  <c r="V39" i="7"/>
  <c r="V40" i="7"/>
  <c r="V41" i="7"/>
  <c r="W42" i="7"/>
  <c r="W43" i="7"/>
  <c r="W44" i="7"/>
  <c r="S46" i="7"/>
  <c r="W47" i="7"/>
  <c r="W48" i="7"/>
  <c r="W49" i="7"/>
  <c r="W50" i="7"/>
  <c r="S52" i="7"/>
  <c r="S53" i="7"/>
  <c r="S54" i="7"/>
  <c r="T55" i="7"/>
  <c r="S56" i="7"/>
  <c r="W58" i="7"/>
  <c r="W59" i="7"/>
  <c r="S61" i="7"/>
  <c r="W62" i="7"/>
  <c r="S64" i="7"/>
  <c r="S65" i="7"/>
  <c r="S66" i="7"/>
  <c r="T67" i="7"/>
  <c r="T69" i="7"/>
  <c r="T70" i="7"/>
  <c r="U71" i="7"/>
  <c r="T72" i="7"/>
  <c r="V74" i="7"/>
  <c r="U75" i="7"/>
  <c r="T76" i="7"/>
  <c r="S77" i="7"/>
  <c r="W77" i="7"/>
  <c r="U79" i="7"/>
  <c r="T80" i="7"/>
  <c r="S81" i="7"/>
  <c r="W81" i="7"/>
  <c r="V82" i="7"/>
  <c r="U83" i="7"/>
  <c r="S84" i="7"/>
  <c r="W84" i="7"/>
  <c r="V85" i="7"/>
  <c r="U86" i="7"/>
  <c r="S88" i="7"/>
  <c r="W88" i="7"/>
  <c r="U89" i="7"/>
  <c r="S6" i="7"/>
  <c r="T10" i="7"/>
  <c r="U13" i="7"/>
  <c r="T15" i="7"/>
  <c r="T17" i="7"/>
  <c r="U20" i="7"/>
  <c r="U22" i="7"/>
  <c r="U24" i="7"/>
  <c r="U26" i="7"/>
  <c r="T28" i="7"/>
  <c r="U30" i="7"/>
  <c r="U32" i="7"/>
  <c r="U34" i="7"/>
  <c r="V36" i="7"/>
  <c r="W38" i="7"/>
  <c r="W40" i="7"/>
  <c r="S43" i="7"/>
  <c r="T45" i="7"/>
  <c r="S47" i="7"/>
  <c r="S49" i="7"/>
  <c r="T51" i="7"/>
  <c r="T53" i="7"/>
  <c r="U55" i="7"/>
  <c r="T57" i="7"/>
  <c r="S59" i="7"/>
  <c r="T61" i="7"/>
  <c r="T63" i="7"/>
  <c r="T65" i="7"/>
  <c r="U67" i="7"/>
  <c r="V70" i="7"/>
  <c r="U72" i="7"/>
  <c r="S74" i="7"/>
  <c r="V75" i="7"/>
  <c r="T77" i="7"/>
  <c r="U80" i="7"/>
  <c r="S82" i="7"/>
  <c r="V83" i="7"/>
  <c r="S85" i="7"/>
  <c r="V86" i="7"/>
  <c r="T88" i="7"/>
  <c r="V89" i="7"/>
  <c r="V90" i="7"/>
  <c r="U91" i="7"/>
  <c r="T92" i="7"/>
  <c r="V93" i="7"/>
  <c r="U94" i="7"/>
  <c r="T95" i="7"/>
  <c r="S96" i="7"/>
  <c r="W96" i="7"/>
  <c r="V97" i="7"/>
  <c r="U98" i="7"/>
  <c r="T99" i="7"/>
  <c r="S100" i="7"/>
  <c r="W100" i="7"/>
  <c r="V101" i="7"/>
  <c r="U102" i="7"/>
  <c r="T103" i="7"/>
  <c r="S105" i="7"/>
  <c r="W105" i="7"/>
  <c r="V106" i="7"/>
  <c r="U107" i="7"/>
  <c r="T108" i="7"/>
  <c r="U110" i="7"/>
  <c r="T111" i="7"/>
  <c r="S112" i="7"/>
  <c r="W112" i="7"/>
  <c r="V113" i="7"/>
  <c r="U114" i="7"/>
  <c r="S117" i="7"/>
  <c r="W117" i="7"/>
  <c r="V118" i="7"/>
  <c r="U119" i="7"/>
  <c r="T120" i="7"/>
  <c r="S121" i="7"/>
  <c r="W121" i="7"/>
  <c r="V122" i="7"/>
  <c r="U123" i="7"/>
  <c r="T124" i="7"/>
  <c r="S125" i="7"/>
  <c r="T6" i="7"/>
  <c r="U10" i="7"/>
  <c r="V13" i="7"/>
  <c r="V15" i="7"/>
  <c r="U17" i="7"/>
  <c r="V20" i="7"/>
  <c r="W22" i="7"/>
  <c r="V24" i="7"/>
  <c r="V26" i="7"/>
  <c r="V28" i="7"/>
  <c r="V30" i="7"/>
  <c r="V32" i="7"/>
  <c r="W34" i="7"/>
  <c r="W36" i="7"/>
  <c r="S39" i="7"/>
  <c r="T41" i="7"/>
  <c r="T43" i="7"/>
  <c r="U45" i="7"/>
  <c r="U47" i="7"/>
  <c r="T49" i="7"/>
  <c r="U51" i="7"/>
  <c r="V53" i="7"/>
  <c r="V55" i="7"/>
  <c r="U57" i="7"/>
  <c r="U59" i="7"/>
  <c r="U61" i="7"/>
  <c r="U63" i="7"/>
  <c r="V65" i="7"/>
  <c r="V67" i="7"/>
  <c r="W70" i="7"/>
  <c r="W72" i="7"/>
  <c r="T74" i="7"/>
  <c r="W75" i="7"/>
  <c r="U77" i="7"/>
  <c r="S79" i="7"/>
  <c r="V80" i="7"/>
  <c r="T82" i="7"/>
  <c r="W83" i="7"/>
  <c r="T85" i="7"/>
  <c r="W86" i="7"/>
  <c r="U88" i="7"/>
  <c r="W89" i="7"/>
  <c r="W90" i="7"/>
  <c r="V91" i="7"/>
  <c r="U92" i="7"/>
  <c r="S93" i="7"/>
  <c r="W93" i="7"/>
  <c r="V94" i="7"/>
  <c r="U95" i="7"/>
  <c r="T96" i="7"/>
  <c r="S97" i="7"/>
  <c r="W97" i="7"/>
  <c r="V98" i="7"/>
  <c r="U99" i="7"/>
  <c r="T100" i="7"/>
  <c r="S101" i="7"/>
  <c r="W101" i="7"/>
  <c r="V102" i="7"/>
  <c r="U103" i="7"/>
  <c r="T105" i="7"/>
  <c r="S106" i="7"/>
  <c r="W106" i="7"/>
  <c r="V107" i="7"/>
  <c r="U108" i="7"/>
  <c r="V110" i="7"/>
  <c r="U111" i="7"/>
  <c r="T112" i="7"/>
  <c r="S113" i="7"/>
  <c r="W113" i="7"/>
  <c r="V114" i="7"/>
  <c r="T117" i="7"/>
  <c r="S118" i="7"/>
  <c r="W118" i="7"/>
  <c r="V119" i="7"/>
  <c r="U120" i="7"/>
  <c r="T121" i="7"/>
  <c r="S122" i="7"/>
  <c r="W122" i="7"/>
  <c r="V123" i="7"/>
  <c r="U124" i="7"/>
  <c r="T125" i="7"/>
  <c r="S7" i="7"/>
  <c r="T9" i="7"/>
  <c r="T11" i="7"/>
  <c r="U14" i="7"/>
  <c r="T16" i="7"/>
  <c r="T19" i="7"/>
  <c r="U21" i="7"/>
  <c r="V23" i="7"/>
  <c r="T25" i="7"/>
  <c r="U27" i="7"/>
  <c r="U29" i="7"/>
  <c r="U31" i="7"/>
  <c r="U33" i="7"/>
  <c r="V35" i="7"/>
  <c r="V37" i="7"/>
  <c r="W39" i="7"/>
  <c r="S42" i="7"/>
  <c r="S44" i="7"/>
  <c r="T46" i="7"/>
  <c r="S48" i="7"/>
  <c r="S50" i="7"/>
  <c r="T52" i="7"/>
  <c r="U54" i="7"/>
  <c r="T56" i="7"/>
  <c r="S58" i="7"/>
  <c r="T60" i="7"/>
  <c r="S62" i="7"/>
  <c r="T64" i="7"/>
  <c r="U66" i="7"/>
  <c r="U69" i="7"/>
  <c r="V71" i="7"/>
  <c r="W74" i="7"/>
  <c r="U76" i="7"/>
  <c r="V79" i="7"/>
  <c r="T81" i="7"/>
  <c r="W82" i="7"/>
  <c r="T84" i="7"/>
  <c r="W85" i="7"/>
  <c r="T90" i="7"/>
  <c r="S91" i="7"/>
  <c r="W91" i="7"/>
  <c r="V92" i="7"/>
  <c r="T93" i="7"/>
  <c r="S94" i="7"/>
  <c r="W94" i="7"/>
  <c r="V95" i="7"/>
  <c r="U96" i="7"/>
  <c r="T97" i="7"/>
  <c r="S98" i="7"/>
  <c r="W98" i="7"/>
  <c r="V99" i="7"/>
  <c r="U100" i="7"/>
  <c r="T101" i="7"/>
  <c r="S102" i="7"/>
  <c r="W102" i="7"/>
  <c r="V103" i="7"/>
  <c r="U105" i="7"/>
  <c r="T106" i="7"/>
  <c r="S107" i="7"/>
  <c r="W107" i="7"/>
  <c r="V108" i="7"/>
  <c r="S110" i="7"/>
  <c r="W110" i="7"/>
  <c r="V111" i="7"/>
  <c r="U112" i="7"/>
  <c r="T113" i="7"/>
  <c r="S114" i="7"/>
  <c r="W114" i="7"/>
  <c r="U117" i="7"/>
  <c r="T118" i="7"/>
  <c r="S119" i="7"/>
  <c r="W119" i="7"/>
  <c r="V120" i="7"/>
  <c r="U121" i="7"/>
  <c r="T122" i="7"/>
  <c r="S123" i="7"/>
  <c r="W123" i="7"/>
  <c r="V124" i="7"/>
  <c r="U125" i="7"/>
  <c r="T7" i="7"/>
  <c r="U16" i="7"/>
  <c r="V25" i="7"/>
  <c r="V33" i="7"/>
  <c r="T42" i="7"/>
  <c r="U50" i="7"/>
  <c r="T58" i="7"/>
  <c r="V66" i="7"/>
  <c r="S75" i="7"/>
  <c r="U81" i="7"/>
  <c r="S92" i="7"/>
  <c r="S95" i="7"/>
  <c r="T98" i="7"/>
  <c r="U101" i="7"/>
  <c r="V105" i="7"/>
  <c r="W108" i="7"/>
  <c r="W111" i="7"/>
  <c r="T119" i="7"/>
  <c r="U122" i="7"/>
  <c r="V125" i="7"/>
  <c r="U127" i="7"/>
  <c r="T128" i="7"/>
  <c r="U129" i="7"/>
  <c r="T130" i="7"/>
  <c r="S131" i="7"/>
  <c r="W131" i="7"/>
  <c r="V132" i="7"/>
  <c r="U133" i="7"/>
  <c r="T134" i="7"/>
  <c r="S135" i="7"/>
  <c r="W135" i="7"/>
  <c r="U136" i="7"/>
  <c r="S137" i="7"/>
  <c r="W137" i="7"/>
  <c r="V138" i="7"/>
  <c r="U139" i="7"/>
  <c r="T140" i="7"/>
  <c r="V141" i="7"/>
  <c r="U142" i="7"/>
  <c r="T143" i="7"/>
  <c r="S144" i="7"/>
  <c r="W144" i="7"/>
  <c r="V145" i="7"/>
  <c r="U146" i="7"/>
  <c r="T147" i="7"/>
  <c r="S148" i="7"/>
  <c r="W148" i="7"/>
  <c r="V149" i="7"/>
  <c r="U150" i="7"/>
  <c r="T151" i="7"/>
  <c r="S152" i="7"/>
  <c r="W152" i="7"/>
  <c r="V153" i="7"/>
  <c r="T154" i="7"/>
  <c r="V156" i="7"/>
  <c r="U157" i="7"/>
  <c r="T158" i="7"/>
  <c r="S159" i="7"/>
  <c r="W159" i="7"/>
  <c r="V160" i="7"/>
  <c r="U161" i="7"/>
  <c r="T162" i="7"/>
  <c r="V164" i="7"/>
  <c r="U165" i="7"/>
  <c r="T166" i="7"/>
  <c r="S167" i="7"/>
  <c r="W167" i="7"/>
  <c r="U169" i="7"/>
  <c r="S170" i="7"/>
  <c r="W170" i="7"/>
  <c r="V171" i="7"/>
  <c r="T172" i="7"/>
  <c r="S173" i="7"/>
  <c r="W173" i="7"/>
  <c r="V174" i="7"/>
  <c r="U175" i="7"/>
  <c r="T176" i="7"/>
  <c r="S177" i="7"/>
  <c r="W177" i="7"/>
  <c r="V178" i="7"/>
  <c r="U179" i="7"/>
  <c r="T180" i="7"/>
  <c r="S181" i="7"/>
  <c r="W181" i="7"/>
  <c r="V183" i="7"/>
  <c r="U184" i="7"/>
  <c r="T185" i="7"/>
  <c r="S186" i="7"/>
  <c r="W186" i="7"/>
  <c r="V187" i="7"/>
  <c r="U188" i="7"/>
  <c r="T189" i="7"/>
  <c r="S190" i="7"/>
  <c r="W190" i="7"/>
  <c r="V191" i="7"/>
  <c r="U192" i="7"/>
  <c r="T193" i="7"/>
  <c r="S194" i="7"/>
  <c r="W194" i="7"/>
  <c r="V195" i="7"/>
  <c r="U196" i="7"/>
  <c r="T197" i="7"/>
  <c r="S198" i="7"/>
  <c r="W198" i="7"/>
  <c r="V199" i="7"/>
  <c r="U200" i="7"/>
  <c r="T201" i="7"/>
  <c r="S202" i="7"/>
  <c r="W202" i="7"/>
  <c r="V203" i="7"/>
  <c r="U204" i="7"/>
  <c r="S206" i="7"/>
  <c r="W206" i="7"/>
  <c r="V207" i="7"/>
  <c r="T208" i="7"/>
  <c r="S209" i="7"/>
  <c r="W209" i="7"/>
  <c r="V210" i="7"/>
  <c r="T211" i="7"/>
  <c r="S212" i="7"/>
  <c r="W212" i="7"/>
  <c r="V213" i="7"/>
  <c r="U214" i="7"/>
  <c r="T215" i="7"/>
  <c r="S216" i="7"/>
  <c r="W216" i="7"/>
  <c r="V217" i="7"/>
  <c r="U218" i="7"/>
  <c r="S220" i="7"/>
  <c r="W220" i="7"/>
  <c r="V222" i="7"/>
  <c r="U223" i="7"/>
  <c r="T224" i="7"/>
  <c r="S225" i="7"/>
  <c r="W225" i="7"/>
  <c r="V226" i="7"/>
  <c r="U227" i="7"/>
  <c r="T228" i="7"/>
  <c r="S229" i="7"/>
  <c r="W229" i="7"/>
  <c r="V230" i="7"/>
  <c r="U231" i="7"/>
  <c r="T232" i="7"/>
  <c r="S233" i="7"/>
  <c r="W233" i="7"/>
  <c r="V234" i="7"/>
  <c r="T235" i="7"/>
  <c r="S237" i="7"/>
  <c r="W237" i="7"/>
  <c r="V238" i="7"/>
  <c r="U239" i="7"/>
  <c r="T240" i="7"/>
  <c r="S241" i="7"/>
  <c r="W241" i="7"/>
  <c r="V242" i="7"/>
  <c r="T244" i="7"/>
  <c r="U9" i="7"/>
  <c r="V19" i="7"/>
  <c r="V27" i="7"/>
  <c r="W35" i="7"/>
  <c r="U44" i="7"/>
  <c r="U52" i="7"/>
  <c r="U60" i="7"/>
  <c r="W69" i="7"/>
  <c r="V76" i="7"/>
  <c r="S83" i="7"/>
  <c r="S89" i="7"/>
  <c r="W92" i="7"/>
  <c r="W95" i="7"/>
  <c r="S99" i="7"/>
  <c r="T102" i="7"/>
  <c r="U106" i="7"/>
  <c r="V112" i="7"/>
  <c r="S120" i="7"/>
  <c r="T123" i="7"/>
  <c r="W125" i="7"/>
  <c r="V127" i="7"/>
  <c r="U128" i="7"/>
  <c r="V129" i="7"/>
  <c r="U130" i="7"/>
  <c r="T131" i="7"/>
  <c r="S132" i="7"/>
  <c r="W132" i="7"/>
  <c r="V133" i="7"/>
  <c r="U134" i="7"/>
  <c r="T135" i="7"/>
  <c r="V136" i="7"/>
  <c r="T137" i="7"/>
  <c r="S138" i="7"/>
  <c r="W138" i="7"/>
  <c r="V139" i="7"/>
  <c r="U140" i="7"/>
  <c r="S141" i="7"/>
  <c r="W141" i="7"/>
  <c r="V142" i="7"/>
  <c r="U143" i="7"/>
  <c r="T144" i="7"/>
  <c r="S145" i="7"/>
  <c r="W145" i="7"/>
  <c r="V146" i="7"/>
  <c r="U147" i="7"/>
  <c r="T148" i="7"/>
  <c r="S149" i="7"/>
  <c r="W149" i="7"/>
  <c r="V150" i="7"/>
  <c r="U151" i="7"/>
  <c r="T152" i="7"/>
  <c r="S153" i="7"/>
  <c r="W153" i="7"/>
  <c r="U154" i="7"/>
  <c r="S156" i="7"/>
  <c r="W156" i="7"/>
  <c r="V157" i="7"/>
  <c r="U158" i="7"/>
  <c r="T159" i="7"/>
  <c r="S160" i="7"/>
  <c r="W160" i="7"/>
  <c r="V161" i="7"/>
  <c r="U162" i="7"/>
  <c r="S164" i="7"/>
  <c r="W164" i="7"/>
  <c r="V165" i="7"/>
  <c r="U166" i="7"/>
  <c r="T167" i="7"/>
  <c r="V169" i="7"/>
  <c r="T170" i="7"/>
  <c r="S171" i="7"/>
  <c r="W171" i="7"/>
  <c r="U172" i="7"/>
  <c r="T173" i="7"/>
  <c r="S174" i="7"/>
  <c r="W174" i="7"/>
  <c r="V175" i="7"/>
  <c r="U176" i="7"/>
  <c r="T177" i="7"/>
  <c r="S178" i="7"/>
  <c r="W178" i="7"/>
  <c r="V179" i="7"/>
  <c r="U180" i="7"/>
  <c r="T181" i="7"/>
  <c r="S183" i="7"/>
  <c r="W183" i="7"/>
  <c r="V184" i="7"/>
  <c r="U185" i="7"/>
  <c r="T186" i="7"/>
  <c r="S187" i="7"/>
  <c r="W187" i="7"/>
  <c r="V188" i="7"/>
  <c r="U189" i="7"/>
  <c r="T190" i="7"/>
  <c r="S191" i="7"/>
  <c r="W191" i="7"/>
  <c r="V192" i="7"/>
  <c r="U193" i="7"/>
  <c r="T194" i="7"/>
  <c r="S195" i="7"/>
  <c r="W195" i="7"/>
  <c r="V196" i="7"/>
  <c r="U197" i="7"/>
  <c r="T198" i="7"/>
  <c r="S199" i="7"/>
  <c r="W199" i="7"/>
  <c r="V200" i="7"/>
  <c r="U201" i="7"/>
  <c r="T202" i="7"/>
  <c r="S203" i="7"/>
  <c r="W203" i="7"/>
  <c r="V204" i="7"/>
  <c r="T206" i="7"/>
  <c r="S207" i="7"/>
  <c r="W207" i="7"/>
  <c r="U208" i="7"/>
  <c r="T209" i="7"/>
  <c r="S210" i="7"/>
  <c r="W210" i="7"/>
  <c r="U211" i="7"/>
  <c r="T212" i="7"/>
  <c r="S213" i="7"/>
  <c r="W213" i="7"/>
  <c r="V214" i="7"/>
  <c r="U215" i="7"/>
  <c r="T216" i="7"/>
  <c r="S217" i="7"/>
  <c r="W217" i="7"/>
  <c r="V218" i="7"/>
  <c r="T220" i="7"/>
  <c r="S222" i="7"/>
  <c r="W222" i="7"/>
  <c r="V223" i="7"/>
  <c r="U224" i="7"/>
  <c r="T225" i="7"/>
  <c r="S226" i="7"/>
  <c r="W226" i="7"/>
  <c r="V227" i="7"/>
  <c r="U228" i="7"/>
  <c r="T229" i="7"/>
  <c r="S230" i="7"/>
  <c r="W230" i="7"/>
  <c r="V231" i="7"/>
  <c r="U232" i="7"/>
  <c r="T233" i="7"/>
  <c r="S234" i="7"/>
  <c r="W234" i="7"/>
  <c r="U235" i="7"/>
  <c r="T237" i="7"/>
  <c r="S238" i="7"/>
  <c r="W238" i="7"/>
  <c r="V239" i="7"/>
  <c r="U240" i="7"/>
  <c r="T241" i="7"/>
  <c r="S242" i="7"/>
  <c r="W242" i="7"/>
  <c r="U244" i="7"/>
  <c r="V11" i="7"/>
  <c r="V21" i="7"/>
  <c r="V29" i="7"/>
  <c r="S38" i="7"/>
  <c r="U46" i="7"/>
  <c r="V54" i="7"/>
  <c r="U62" i="7"/>
  <c r="W71" i="7"/>
  <c r="U84" i="7"/>
  <c r="U90" i="7"/>
  <c r="U93" i="7"/>
  <c r="V96" i="7"/>
  <c r="W99" i="7"/>
  <c r="S103" i="7"/>
  <c r="T107" i="7"/>
  <c r="T110" i="7"/>
  <c r="U113" i="7"/>
  <c r="V117" i="7"/>
  <c r="W120" i="7"/>
  <c r="S124" i="7"/>
  <c r="S127" i="7"/>
  <c r="W127" i="7"/>
  <c r="V128" i="7"/>
  <c r="S129" i="7"/>
  <c r="W129" i="7"/>
  <c r="V130" i="7"/>
  <c r="U131" i="7"/>
  <c r="T132" i="7"/>
  <c r="S133" i="7"/>
  <c r="W133" i="7"/>
  <c r="V134" i="7"/>
  <c r="U135" i="7"/>
  <c r="S136" i="7"/>
  <c r="W136" i="7"/>
  <c r="U137" i="7"/>
  <c r="T138" i="7"/>
  <c r="S139" i="7"/>
  <c r="W139" i="7"/>
  <c r="V140" i="7"/>
  <c r="T141" i="7"/>
  <c r="S142" i="7"/>
  <c r="W142" i="7"/>
  <c r="V143" i="7"/>
  <c r="U144" i="7"/>
  <c r="T145" i="7"/>
  <c r="S146" i="7"/>
  <c r="W146" i="7"/>
  <c r="V147" i="7"/>
  <c r="U148" i="7"/>
  <c r="T149" i="7"/>
  <c r="S150" i="7"/>
  <c r="W150" i="7"/>
  <c r="V151" i="7"/>
  <c r="U152" i="7"/>
  <c r="T153" i="7"/>
  <c r="V154" i="7"/>
  <c r="T156" i="7"/>
  <c r="S157" i="7"/>
  <c r="W157" i="7"/>
  <c r="V158" i="7"/>
  <c r="U159" i="7"/>
  <c r="T160" i="7"/>
  <c r="S161" i="7"/>
  <c r="W161" i="7"/>
  <c r="V162" i="7"/>
  <c r="T164" i="7"/>
  <c r="S165" i="7"/>
  <c r="W165" i="7"/>
  <c r="V166" i="7"/>
  <c r="U167" i="7"/>
  <c r="S169" i="7"/>
  <c r="W169" i="7"/>
  <c r="U170" i="7"/>
  <c r="T171" i="7"/>
  <c r="V172" i="7"/>
  <c r="U173" i="7"/>
  <c r="T174" i="7"/>
  <c r="S175" i="7"/>
  <c r="W175" i="7"/>
  <c r="V176" i="7"/>
  <c r="U177" i="7"/>
  <c r="T178" i="7"/>
  <c r="S179" i="7"/>
  <c r="W179" i="7"/>
  <c r="V180" i="7"/>
  <c r="U181" i="7"/>
  <c r="T183" i="7"/>
  <c r="S184" i="7"/>
  <c r="W184" i="7"/>
  <c r="V185" i="7"/>
  <c r="U186" i="7"/>
  <c r="T187" i="7"/>
  <c r="S188" i="7"/>
  <c r="W188" i="7"/>
  <c r="V189" i="7"/>
  <c r="U190" i="7"/>
  <c r="T191" i="7"/>
  <c r="S192" i="7"/>
  <c r="W192" i="7"/>
  <c r="V193" i="7"/>
  <c r="U194" i="7"/>
  <c r="T195" i="7"/>
  <c r="S196" i="7"/>
  <c r="W196" i="7"/>
  <c r="V197" i="7"/>
  <c r="U198" i="7"/>
  <c r="T199" i="7"/>
  <c r="S200" i="7"/>
  <c r="W200" i="7"/>
  <c r="V201" i="7"/>
  <c r="U202" i="7"/>
  <c r="T203" i="7"/>
  <c r="S204" i="7"/>
  <c r="W204" i="7"/>
  <c r="U206" i="7"/>
  <c r="T207" i="7"/>
  <c r="V208" i="7"/>
  <c r="U209" i="7"/>
  <c r="T210" i="7"/>
  <c r="V211" i="7"/>
  <c r="U212" i="7"/>
  <c r="T213" i="7"/>
  <c r="S214" i="7"/>
  <c r="W214" i="7"/>
  <c r="V215" i="7"/>
  <c r="U216" i="7"/>
  <c r="T217" i="7"/>
  <c r="S218" i="7"/>
  <c r="W218" i="7"/>
  <c r="U220" i="7"/>
  <c r="T222" i="7"/>
  <c r="S223" i="7"/>
  <c r="V14" i="7"/>
  <c r="T48" i="7"/>
  <c r="W79" i="7"/>
  <c r="U97" i="7"/>
  <c r="S111" i="7"/>
  <c r="W124" i="7"/>
  <c r="W128" i="7"/>
  <c r="W130" i="7"/>
  <c r="S134" i="7"/>
  <c r="S140" i="7"/>
  <c r="S143" i="7"/>
  <c r="T146" i="7"/>
  <c r="U149" i="7"/>
  <c r="V152" i="7"/>
  <c r="W158" i="7"/>
  <c r="S162" i="7"/>
  <c r="T165" i="7"/>
  <c r="U171" i="7"/>
  <c r="U174" i="7"/>
  <c r="V177" i="7"/>
  <c r="W180" i="7"/>
  <c r="S185" i="7"/>
  <c r="T188" i="7"/>
  <c r="U191" i="7"/>
  <c r="V194" i="7"/>
  <c r="W197" i="7"/>
  <c r="S201" i="7"/>
  <c r="T204" i="7"/>
  <c r="U207" i="7"/>
  <c r="U210" i="7"/>
  <c r="U213" i="7"/>
  <c r="V216" i="7"/>
  <c r="W223" i="7"/>
  <c r="U225" i="7"/>
  <c r="S227" i="7"/>
  <c r="V228" i="7"/>
  <c r="T230" i="7"/>
  <c r="W231" i="7"/>
  <c r="U233" i="7"/>
  <c r="U237" i="7"/>
  <c r="S239" i="7"/>
  <c r="V240" i="7"/>
  <c r="T242" i="7"/>
  <c r="S245" i="7"/>
  <c r="W245" i="7"/>
  <c r="V246" i="7"/>
  <c r="T247" i="7"/>
  <c r="S248" i="7"/>
  <c r="W248" i="7"/>
  <c r="V249" i="7"/>
  <c r="U250" i="7"/>
  <c r="T251" i="7"/>
  <c r="S252" i="7"/>
  <c r="W252" i="7"/>
  <c r="V253" i="7"/>
  <c r="U254" i="7"/>
  <c r="T255" i="7"/>
  <c r="S256" i="7"/>
  <c r="W256" i="7"/>
  <c r="V257" i="7"/>
  <c r="U258" i="7"/>
  <c r="T259" i="7"/>
  <c r="S260" i="7"/>
  <c r="W260" i="7"/>
  <c r="V261" i="7"/>
  <c r="U262" i="7"/>
  <c r="S263" i="7"/>
  <c r="W263" i="7"/>
  <c r="V264" i="7"/>
  <c r="U265" i="7"/>
  <c r="T266" i="7"/>
  <c r="S267" i="7"/>
  <c r="W267" i="7"/>
  <c r="V268" i="7"/>
  <c r="U269" i="7"/>
  <c r="T270" i="7"/>
  <c r="S271" i="7"/>
  <c r="W271" i="7"/>
  <c r="V272" i="7"/>
  <c r="T273" i="7"/>
  <c r="V274" i="7"/>
  <c r="U275" i="7"/>
  <c r="T276" i="7"/>
  <c r="S277" i="7"/>
  <c r="W277" i="7"/>
  <c r="V278" i="7"/>
  <c r="U279" i="7"/>
  <c r="T280" i="7"/>
  <c r="V282" i="7"/>
  <c r="S284" i="7"/>
  <c r="W284" i="7"/>
  <c r="U286" i="7"/>
  <c r="T287" i="7"/>
  <c r="V288" i="7"/>
  <c r="U289" i="7"/>
  <c r="U293" i="7"/>
  <c r="S294" i="7"/>
  <c r="W294" i="7"/>
  <c r="V295" i="7"/>
  <c r="U296" i="7"/>
  <c r="T297" i="7"/>
  <c r="V298" i="7"/>
  <c r="U299" i="7"/>
  <c r="T300" i="7"/>
  <c r="S301" i="7"/>
  <c r="W301" i="7"/>
  <c r="V302" i="7"/>
  <c r="T304" i="7"/>
  <c r="S305" i="7"/>
  <c r="W305" i="7"/>
  <c r="U306" i="7"/>
  <c r="T307" i="7"/>
  <c r="S308" i="7"/>
  <c r="W308" i="7"/>
  <c r="U309" i="7"/>
  <c r="T310" i="7"/>
  <c r="S311" i="7"/>
  <c r="W311" i="7"/>
  <c r="V312" i="7"/>
  <c r="T313" i="7"/>
  <c r="S314" i="7"/>
  <c r="W314" i="7"/>
  <c r="V315" i="7"/>
  <c r="U316" i="7"/>
  <c r="S318" i="7"/>
  <c r="W318" i="7"/>
  <c r="U319" i="7"/>
  <c r="T320" i="7"/>
  <c r="S321" i="7"/>
  <c r="W321" i="7"/>
  <c r="T324" i="7"/>
  <c r="S325" i="7"/>
  <c r="W325" i="7"/>
  <c r="V326" i="7"/>
  <c r="U327" i="7"/>
  <c r="T328" i="7"/>
  <c r="S329" i="7"/>
  <c r="W329" i="7"/>
  <c r="V330" i="7"/>
  <c r="U331" i="7"/>
  <c r="T332" i="7"/>
  <c r="S333" i="7"/>
  <c r="W333" i="7"/>
  <c r="V334" i="7"/>
  <c r="U335" i="7"/>
  <c r="T336" i="7"/>
  <c r="S337" i="7"/>
  <c r="W337" i="7"/>
  <c r="U338" i="7"/>
  <c r="T339" i="7"/>
  <c r="S340" i="7"/>
  <c r="W340" i="7"/>
  <c r="W23" i="7"/>
  <c r="V56" i="7"/>
  <c r="S86" i="7"/>
  <c r="V100" i="7"/>
  <c r="T114" i="7"/>
  <c r="V131" i="7"/>
  <c r="W134" i="7"/>
  <c r="V137" i="7"/>
  <c r="W140" i="7"/>
  <c r="W143" i="7"/>
  <c r="S147" i="7"/>
  <c r="T150" i="7"/>
  <c r="U153" i="7"/>
  <c r="U156" i="7"/>
  <c r="V159" i="7"/>
  <c r="W162" i="7"/>
  <c r="S166" i="7"/>
  <c r="T169" i="7"/>
  <c r="S172" i="7"/>
  <c r="T175" i="7"/>
  <c r="U178" i="7"/>
  <c r="V181" i="7"/>
  <c r="W185" i="7"/>
  <c r="S189" i="7"/>
  <c r="T192" i="7"/>
  <c r="U195" i="7"/>
  <c r="V198" i="7"/>
  <c r="W201" i="7"/>
  <c r="S208" i="7"/>
  <c r="S211" i="7"/>
  <c r="T214" i="7"/>
  <c r="U217" i="7"/>
  <c r="V220" i="7"/>
  <c r="S224" i="7"/>
  <c r="V225" i="7"/>
  <c r="T227" i="7"/>
  <c r="W228" i="7"/>
  <c r="U230" i="7"/>
  <c r="S232" i="7"/>
  <c r="V233" i="7"/>
  <c r="S235" i="7"/>
  <c r="V237" i="7"/>
  <c r="T239" i="7"/>
  <c r="W240" i="7"/>
  <c r="U242" i="7"/>
  <c r="S244" i="7"/>
  <c r="T245" i="7"/>
  <c r="S246" i="7"/>
  <c r="W246" i="7"/>
  <c r="U247" i="7"/>
  <c r="T248" i="7"/>
  <c r="S249" i="7"/>
  <c r="W249" i="7"/>
  <c r="V250" i="7"/>
  <c r="U251" i="7"/>
  <c r="T252" i="7"/>
  <c r="S253" i="7"/>
  <c r="W253" i="7"/>
  <c r="V254" i="7"/>
  <c r="U255" i="7"/>
  <c r="T256" i="7"/>
  <c r="S257" i="7"/>
  <c r="W257" i="7"/>
  <c r="V258" i="7"/>
  <c r="U259" i="7"/>
  <c r="T260" i="7"/>
  <c r="S261" i="7"/>
  <c r="W261" i="7"/>
  <c r="V262" i="7"/>
  <c r="T263" i="7"/>
  <c r="S264" i="7"/>
  <c r="W264" i="7"/>
  <c r="V265" i="7"/>
  <c r="U266" i="7"/>
  <c r="T267" i="7"/>
  <c r="S268" i="7"/>
  <c r="W268" i="7"/>
  <c r="V269" i="7"/>
  <c r="U270" i="7"/>
  <c r="T271" i="7"/>
  <c r="S272" i="7"/>
  <c r="W272" i="7"/>
  <c r="U273" i="7"/>
  <c r="S274" i="7"/>
  <c r="W274" i="7"/>
  <c r="V275" i="7"/>
  <c r="U276" i="7"/>
  <c r="T277" i="7"/>
  <c r="S278" i="7"/>
  <c r="W278" i="7"/>
  <c r="V279" i="7"/>
  <c r="U280" i="7"/>
  <c r="S282" i="7"/>
  <c r="W282" i="7"/>
  <c r="T284" i="7"/>
  <c r="V286" i="7"/>
  <c r="U287" i="7"/>
  <c r="S288" i="7"/>
  <c r="W288" i="7"/>
  <c r="V289" i="7"/>
  <c r="V293" i="7"/>
  <c r="T294" i="7"/>
  <c r="S295" i="7"/>
  <c r="W295" i="7"/>
  <c r="V296" i="7"/>
  <c r="U297" i="7"/>
  <c r="S298" i="7"/>
  <c r="W298" i="7"/>
  <c r="V299" i="7"/>
  <c r="U300" i="7"/>
  <c r="T301" i="7"/>
  <c r="S302" i="7"/>
  <c r="W302" i="7"/>
  <c r="U304" i="7"/>
  <c r="T305" i="7"/>
  <c r="V306" i="7"/>
  <c r="U307" i="7"/>
  <c r="T308" i="7"/>
  <c r="V309" i="7"/>
  <c r="U310" i="7"/>
  <c r="T311" i="7"/>
  <c r="S312" i="7"/>
  <c r="W312" i="7"/>
  <c r="U313" i="7"/>
  <c r="T314" i="7"/>
  <c r="S315" i="7"/>
  <c r="W315" i="7"/>
  <c r="V316" i="7"/>
  <c r="T318" i="7"/>
  <c r="V319" i="7"/>
  <c r="U320" i="7"/>
  <c r="T321" i="7"/>
  <c r="U324" i="7"/>
  <c r="T325" i="7"/>
  <c r="S326" i="7"/>
  <c r="W326" i="7"/>
  <c r="V327" i="7"/>
  <c r="U328" i="7"/>
  <c r="T329" i="7"/>
  <c r="S330" i="7"/>
  <c r="W330" i="7"/>
  <c r="V331" i="7"/>
  <c r="U332" i="7"/>
  <c r="T333" i="7"/>
  <c r="S334" i="7"/>
  <c r="W334" i="7"/>
  <c r="V335" i="7"/>
  <c r="U336" i="7"/>
  <c r="T337" i="7"/>
  <c r="V338" i="7"/>
  <c r="U339" i="7"/>
  <c r="T340" i="7"/>
  <c r="W31" i="7"/>
  <c r="U64" i="7"/>
  <c r="T91" i="7"/>
  <c r="W103" i="7"/>
  <c r="U118" i="7"/>
  <c r="T127" i="7"/>
  <c r="T129" i="7"/>
  <c r="U132" i="7"/>
  <c r="V135" i="7"/>
  <c r="U138" i="7"/>
  <c r="U141" i="7"/>
  <c r="V144" i="7"/>
  <c r="W147" i="7"/>
  <c r="S151" i="7"/>
  <c r="S154" i="7"/>
  <c r="T157" i="7"/>
  <c r="U160" i="7"/>
  <c r="W166" i="7"/>
  <c r="W172" i="7"/>
  <c r="S176" i="7"/>
  <c r="T179" i="7"/>
  <c r="U183" i="7"/>
  <c r="V186" i="7"/>
  <c r="W189" i="7"/>
  <c r="S193" i="7"/>
  <c r="T196" i="7"/>
  <c r="U199" i="7"/>
  <c r="V202" i="7"/>
  <c r="W208" i="7"/>
  <c r="W211" i="7"/>
  <c r="S215" i="7"/>
  <c r="T218" i="7"/>
  <c r="U222" i="7"/>
  <c r="V224" i="7"/>
  <c r="T226" i="7"/>
  <c r="W227" i="7"/>
  <c r="U229" i="7"/>
  <c r="S231" i="7"/>
  <c r="V232" i="7"/>
  <c r="T234" i="7"/>
  <c r="V235" i="7"/>
  <c r="T238" i="7"/>
  <c r="W239" i="7"/>
  <c r="U241" i="7"/>
  <c r="V244" i="7"/>
  <c r="U245" i="7"/>
  <c r="T246" i="7"/>
  <c r="V247" i="7"/>
  <c r="U248" i="7"/>
  <c r="T249" i="7"/>
  <c r="S250" i="7"/>
  <c r="W250" i="7"/>
  <c r="V251" i="7"/>
  <c r="U252" i="7"/>
  <c r="T253" i="7"/>
  <c r="S254" i="7"/>
  <c r="W254" i="7"/>
  <c r="V255" i="7"/>
  <c r="U256" i="7"/>
  <c r="T257" i="7"/>
  <c r="S258" i="7"/>
  <c r="W258" i="7"/>
  <c r="V259" i="7"/>
  <c r="U260" i="7"/>
  <c r="T261" i="7"/>
  <c r="S262" i="7"/>
  <c r="W262" i="7"/>
  <c r="U263" i="7"/>
  <c r="T264" i="7"/>
  <c r="S265" i="7"/>
  <c r="W265" i="7"/>
  <c r="V266" i="7"/>
  <c r="U267" i="7"/>
  <c r="T268" i="7"/>
  <c r="S269" i="7"/>
  <c r="W269" i="7"/>
  <c r="V270" i="7"/>
  <c r="U271" i="7"/>
  <c r="T272" i="7"/>
  <c r="V273" i="7"/>
  <c r="T274" i="7"/>
  <c r="S275" i="7"/>
  <c r="W275" i="7"/>
  <c r="V276" i="7"/>
  <c r="U277" i="7"/>
  <c r="T278" i="7"/>
  <c r="S279" i="7"/>
  <c r="W279" i="7"/>
  <c r="V280" i="7"/>
  <c r="T282" i="7"/>
  <c r="U284" i="7"/>
  <c r="S286" i="7"/>
  <c r="W286" i="7"/>
  <c r="V287" i="7"/>
  <c r="T288" i="7"/>
  <c r="S289" i="7"/>
  <c r="W289" i="7"/>
  <c r="S293" i="7"/>
  <c r="W293" i="7"/>
  <c r="U294" i="7"/>
  <c r="T295" i="7"/>
  <c r="S296" i="7"/>
  <c r="W296" i="7"/>
  <c r="V297" i="7"/>
  <c r="T298" i="7"/>
  <c r="S299" i="7"/>
  <c r="W299" i="7"/>
  <c r="V300" i="7"/>
  <c r="U301" i="7"/>
  <c r="T302" i="7"/>
  <c r="V304" i="7"/>
  <c r="U305" i="7"/>
  <c r="S306" i="7"/>
  <c r="W306" i="7"/>
  <c r="V307" i="7"/>
  <c r="U308" i="7"/>
  <c r="S309" i="7"/>
  <c r="W309" i="7"/>
  <c r="V310" i="7"/>
  <c r="U311" i="7"/>
  <c r="T312" i="7"/>
  <c r="V313" i="7"/>
  <c r="U314" i="7"/>
  <c r="T315" i="7"/>
  <c r="S316" i="7"/>
  <c r="W316" i="7"/>
  <c r="U318" i="7"/>
  <c r="S319" i="7"/>
  <c r="W319" i="7"/>
  <c r="V320" i="7"/>
  <c r="U321" i="7"/>
  <c r="V324" i="7"/>
  <c r="U325" i="7"/>
  <c r="T326" i="7"/>
  <c r="S327" i="7"/>
  <c r="W327" i="7"/>
  <c r="V328" i="7"/>
  <c r="U329" i="7"/>
  <c r="T330" i="7"/>
  <c r="S331" i="7"/>
  <c r="W331" i="7"/>
  <c r="V332" i="7"/>
  <c r="U333" i="7"/>
  <c r="T334" i="7"/>
  <c r="S335" i="7"/>
  <c r="W335" i="7"/>
  <c r="V336" i="7"/>
  <c r="U337" i="7"/>
  <c r="S338" i="7"/>
  <c r="W338" i="7"/>
  <c r="V339" i="7"/>
  <c r="U340" i="7"/>
  <c r="S40" i="7"/>
  <c r="V121" i="7"/>
  <c r="T136" i="7"/>
  <c r="V148" i="7"/>
  <c r="T161" i="7"/>
  <c r="V173" i="7"/>
  <c r="U187" i="7"/>
  <c r="T200" i="7"/>
  <c r="V212" i="7"/>
  <c r="W224" i="7"/>
  <c r="T231" i="7"/>
  <c r="U238" i="7"/>
  <c r="W244" i="7"/>
  <c r="W247" i="7"/>
  <c r="S251" i="7"/>
  <c r="T254" i="7"/>
  <c r="U257" i="7"/>
  <c r="V260" i="7"/>
  <c r="V263" i="7"/>
  <c r="W266" i="7"/>
  <c r="S270" i="7"/>
  <c r="S273" i="7"/>
  <c r="S276" i="7"/>
  <c r="T279" i="7"/>
  <c r="U282" i="7"/>
  <c r="U288" i="7"/>
  <c r="U295" i="7"/>
  <c r="U298" i="7"/>
  <c r="V301" i="7"/>
  <c r="W304" i="7"/>
  <c r="W307" i="7"/>
  <c r="W310" i="7"/>
  <c r="W313" i="7"/>
  <c r="S320" i="7"/>
  <c r="S324" i="7"/>
  <c r="T327" i="7"/>
  <c r="U330" i="7"/>
  <c r="V333" i="7"/>
  <c r="W336" i="7"/>
  <c r="W339" i="7"/>
  <c r="U341" i="7"/>
  <c r="T343" i="7"/>
  <c r="S344" i="7"/>
  <c r="W344" i="7"/>
  <c r="V345" i="7"/>
  <c r="U346" i="7"/>
  <c r="T347" i="7"/>
  <c r="V348" i="7"/>
  <c r="U349" i="7"/>
  <c r="T350" i="7"/>
  <c r="V352" i="7"/>
  <c r="U353" i="7"/>
  <c r="T354" i="7"/>
  <c r="V356" i="7"/>
  <c r="T357" i="7"/>
  <c r="S358" i="7"/>
  <c r="W358" i="7"/>
  <c r="V359" i="7"/>
  <c r="U360" i="7"/>
  <c r="T361" i="7"/>
  <c r="V364" i="7"/>
  <c r="U365" i="7"/>
  <c r="T366" i="7"/>
  <c r="U368" i="7"/>
  <c r="T369" i="7"/>
  <c r="S370" i="7"/>
  <c r="W370" i="7"/>
  <c r="V371" i="7"/>
  <c r="U372" i="7"/>
  <c r="T373" i="7"/>
  <c r="S374" i="7"/>
  <c r="W374" i="7"/>
  <c r="V375" i="7"/>
  <c r="U376" i="7"/>
  <c r="T377" i="7"/>
  <c r="U379" i="7"/>
  <c r="T380" i="7"/>
  <c r="S381" i="7"/>
  <c r="W381" i="7"/>
  <c r="V382" i="7"/>
  <c r="U383" i="7"/>
  <c r="T384" i="7"/>
  <c r="S385" i="7"/>
  <c r="W385" i="7"/>
  <c r="V386" i="7"/>
  <c r="U387" i="7"/>
  <c r="T388" i="7"/>
  <c r="S389" i="7"/>
  <c r="W389" i="7"/>
  <c r="V390" i="7"/>
  <c r="T392" i="7"/>
  <c r="S393" i="7"/>
  <c r="W393" i="7"/>
  <c r="U394" i="7"/>
  <c r="V396" i="7"/>
  <c r="T397" i="7"/>
  <c r="S398" i="7"/>
  <c r="W398" i="7"/>
  <c r="T400" i="7"/>
  <c r="S401" i="7"/>
  <c r="W401" i="7"/>
  <c r="V402" i="7"/>
  <c r="U403" i="7"/>
  <c r="S404" i="7"/>
  <c r="W404" i="7"/>
  <c r="V405" i="7"/>
  <c r="U406" i="7"/>
  <c r="T407" i="7"/>
  <c r="S408" i="7"/>
  <c r="W408" i="7"/>
  <c r="V409" i="7"/>
  <c r="U410" i="7"/>
  <c r="T411" i="7"/>
  <c r="S412" i="7"/>
  <c r="W412" i="7"/>
  <c r="U415" i="7"/>
  <c r="S420" i="7"/>
  <c r="W420" i="7"/>
  <c r="V423" i="7"/>
  <c r="T425" i="7"/>
  <c r="S426" i="7"/>
  <c r="W426" i="7"/>
  <c r="U427" i="7"/>
  <c r="S428" i="7"/>
  <c r="W428" i="7"/>
  <c r="V430" i="7"/>
  <c r="U431" i="7"/>
  <c r="T432" i="7"/>
  <c r="S433" i="7"/>
  <c r="W433" i="7"/>
  <c r="V434" i="7"/>
  <c r="U435" i="7"/>
  <c r="T436" i="7"/>
  <c r="S437" i="7"/>
  <c r="W437" i="7"/>
  <c r="V438" i="7"/>
  <c r="U439" i="7"/>
  <c r="S441" i="7"/>
  <c r="W441" i="7"/>
  <c r="V442" i="7"/>
  <c r="U443" i="7"/>
  <c r="T444" i="7"/>
  <c r="S445" i="7"/>
  <c r="W445" i="7"/>
  <c r="V446" i="7"/>
  <c r="U447" i="7"/>
  <c r="S448" i="7"/>
  <c r="W448" i="7"/>
  <c r="V449" i="7"/>
  <c r="U450" i="7"/>
  <c r="T451" i="7"/>
  <c r="V452" i="7"/>
  <c r="S454" i="7"/>
  <c r="W454" i="7"/>
  <c r="U455" i="7"/>
  <c r="T456" i="7"/>
  <c r="V458" i="7"/>
  <c r="U459" i="7"/>
  <c r="T460" i="7"/>
  <c r="S461" i="7"/>
  <c r="W461" i="7"/>
  <c r="U462" i="7"/>
  <c r="T463" i="7"/>
  <c r="S464" i="7"/>
  <c r="W464" i="7"/>
  <c r="U465" i="7"/>
  <c r="T466" i="7"/>
  <c r="S467" i="7"/>
  <c r="W467" i="7"/>
  <c r="U469" i="7"/>
  <c r="T470" i="7"/>
  <c r="S471" i="7"/>
  <c r="W471" i="7"/>
  <c r="V472" i="7"/>
  <c r="U473" i="7"/>
  <c r="T474" i="7"/>
  <c r="U476" i="7"/>
  <c r="T477" i="7"/>
  <c r="S478" i="7"/>
  <c r="W478" i="7"/>
  <c r="U479" i="7"/>
  <c r="S480" i="7"/>
  <c r="W480" i="7"/>
  <c r="V481" i="7"/>
  <c r="U482" i="7"/>
  <c r="T483" i="7"/>
  <c r="S484" i="7"/>
  <c r="W484" i="7"/>
  <c r="V485" i="7"/>
  <c r="U486" i="7"/>
  <c r="T487" i="7"/>
  <c r="S488" i="7"/>
  <c r="W488" i="7"/>
  <c r="V489" i="7"/>
  <c r="U490" i="7"/>
  <c r="T491" i="7"/>
  <c r="S492" i="7"/>
  <c r="W492" i="7"/>
  <c r="V493" i="7"/>
  <c r="U494" i="7"/>
  <c r="T495" i="7"/>
  <c r="S496" i="7"/>
  <c r="W496" i="7"/>
  <c r="U497" i="7"/>
  <c r="V499" i="7"/>
  <c r="U500" i="7"/>
  <c r="T501" i="7"/>
  <c r="S502" i="7"/>
  <c r="W502" i="7"/>
  <c r="U503" i="7"/>
  <c r="S504" i="7"/>
  <c r="W504" i="7"/>
  <c r="U505" i="7"/>
  <c r="T506" i="7"/>
  <c r="S507" i="7"/>
  <c r="W507" i="7"/>
  <c r="V508" i="7"/>
  <c r="T509" i="7"/>
  <c r="S510" i="7"/>
  <c r="W510" i="7"/>
  <c r="V511" i="7"/>
  <c r="U512" i="7"/>
  <c r="T513" i="7"/>
  <c r="S514" i="7"/>
  <c r="W514" i="7"/>
  <c r="V515" i="7"/>
  <c r="U516" i="7"/>
  <c r="S517" i="7"/>
  <c r="W517" i="7"/>
  <c r="V6" i="4"/>
  <c r="T8" i="4"/>
  <c r="S9" i="4"/>
  <c r="V10" i="4"/>
  <c r="U11" i="4"/>
  <c r="T12" i="4"/>
  <c r="S13" i="4"/>
  <c r="V14" i="4"/>
  <c r="U15" i="4"/>
  <c r="T16" i="4"/>
  <c r="S17" i="4"/>
  <c r="V18" i="4"/>
  <c r="U19" i="4"/>
  <c r="T20" i="4"/>
  <c r="S21" i="4"/>
  <c r="V22" i="4"/>
  <c r="U23" i="4"/>
  <c r="T24" i="4"/>
  <c r="S25" i="4"/>
  <c r="V26" i="4"/>
  <c r="U27" i="4"/>
  <c r="S28" i="4"/>
  <c r="V29" i="4"/>
  <c r="U30" i="4"/>
  <c r="S31" i="4"/>
  <c r="V32" i="4"/>
  <c r="T33" i="4"/>
  <c r="S34" i="4"/>
  <c r="V35" i="4"/>
  <c r="U36" i="4"/>
  <c r="T37" i="4"/>
  <c r="S38" i="4"/>
  <c r="V39" i="4"/>
  <c r="U40" i="4"/>
  <c r="T41" i="4"/>
  <c r="S42" i="4"/>
  <c r="V43" i="4"/>
  <c r="U44" i="4"/>
  <c r="S45" i="4"/>
  <c r="V46" i="4"/>
  <c r="V47" i="4"/>
  <c r="U48" i="4"/>
  <c r="S50" i="4"/>
  <c r="V51" i="4"/>
  <c r="U52" i="4"/>
  <c r="T53" i="4"/>
  <c r="S54" i="4"/>
  <c r="U55" i="4"/>
  <c r="S56" i="4"/>
  <c r="U58" i="4"/>
  <c r="T59" i="4"/>
  <c r="V60" i="4"/>
  <c r="U61" i="4"/>
  <c r="T62" i="4"/>
  <c r="S128" i="7"/>
  <c r="T139" i="7"/>
  <c r="W151" i="7"/>
  <c r="U164" i="7"/>
  <c r="W176" i="7"/>
  <c r="V190" i="7"/>
  <c r="U203" i="7"/>
  <c r="W215" i="7"/>
  <c r="U226" i="7"/>
  <c r="W232" i="7"/>
  <c r="S240" i="7"/>
  <c r="V245" i="7"/>
  <c r="V248" i="7"/>
  <c r="W251" i="7"/>
  <c r="S255" i="7"/>
  <c r="T258" i="7"/>
  <c r="U261" i="7"/>
  <c r="U264" i="7"/>
  <c r="V267" i="7"/>
  <c r="W270" i="7"/>
  <c r="W273" i="7"/>
  <c r="W276" i="7"/>
  <c r="S280" i="7"/>
  <c r="T286" i="7"/>
  <c r="T289" i="7"/>
  <c r="T293" i="7"/>
  <c r="T296" i="7"/>
  <c r="T299" i="7"/>
  <c r="U302" i="7"/>
  <c r="V305" i="7"/>
  <c r="V308" i="7"/>
  <c r="V311" i="7"/>
  <c r="V314" i="7"/>
  <c r="W320" i="7"/>
  <c r="W324" i="7"/>
  <c r="S328" i="7"/>
  <c r="T331" i="7"/>
  <c r="U334" i="7"/>
  <c r="V337" i="7"/>
  <c r="V340" i="7"/>
  <c r="V341" i="7"/>
  <c r="U343" i="7"/>
  <c r="T344" i="7"/>
  <c r="S345" i="7"/>
  <c r="W345" i="7"/>
  <c r="V346" i="7"/>
  <c r="U347" i="7"/>
  <c r="S348" i="7"/>
  <c r="W348" i="7"/>
  <c r="V349" i="7"/>
  <c r="U350" i="7"/>
  <c r="S352" i="7"/>
  <c r="W352" i="7"/>
  <c r="V353" i="7"/>
  <c r="U354" i="7"/>
  <c r="S356" i="7"/>
  <c r="W356" i="7"/>
  <c r="U357" i="7"/>
  <c r="T358" i="7"/>
  <c r="S359" i="7"/>
  <c r="W359" i="7"/>
  <c r="V360" i="7"/>
  <c r="U361" i="7"/>
  <c r="S364" i="7"/>
  <c r="W364" i="7"/>
  <c r="V365" i="7"/>
  <c r="U366" i="7"/>
  <c r="V368" i="7"/>
  <c r="U369" i="7"/>
  <c r="T370" i="7"/>
  <c r="S371" i="7"/>
  <c r="W371" i="7"/>
  <c r="V372" i="7"/>
  <c r="U373" i="7"/>
  <c r="T374" i="7"/>
  <c r="S375" i="7"/>
  <c r="W375" i="7"/>
  <c r="V376" i="7"/>
  <c r="U377" i="7"/>
  <c r="V379" i="7"/>
  <c r="U380" i="7"/>
  <c r="T381" i="7"/>
  <c r="S382" i="7"/>
  <c r="W382" i="7"/>
  <c r="V383" i="7"/>
  <c r="U384" i="7"/>
  <c r="T385" i="7"/>
  <c r="S386" i="7"/>
  <c r="W386" i="7"/>
  <c r="V387" i="7"/>
  <c r="U388" i="7"/>
  <c r="T389" i="7"/>
  <c r="S390" i="7"/>
  <c r="W390" i="7"/>
  <c r="U392" i="7"/>
  <c r="T393" i="7"/>
  <c r="V394" i="7"/>
  <c r="S396" i="7"/>
  <c r="W396" i="7"/>
  <c r="U397" i="7"/>
  <c r="T398" i="7"/>
  <c r="U400" i="7"/>
  <c r="T401" i="7"/>
  <c r="S402" i="7"/>
  <c r="W402" i="7"/>
  <c r="V403" i="7"/>
  <c r="T404" i="7"/>
  <c r="S405" i="7"/>
  <c r="W405" i="7"/>
  <c r="V406" i="7"/>
  <c r="U407" i="7"/>
  <c r="T408" i="7"/>
  <c r="S409" i="7"/>
  <c r="W409" i="7"/>
  <c r="V410" i="7"/>
  <c r="U411" i="7"/>
  <c r="T412" i="7"/>
  <c r="V415" i="7"/>
  <c r="T420" i="7"/>
  <c r="S423" i="7"/>
  <c r="W423" i="7"/>
  <c r="U425" i="7"/>
  <c r="T426" i="7"/>
  <c r="V427" i="7"/>
  <c r="T428" i="7"/>
  <c r="S430" i="7"/>
  <c r="W430" i="7"/>
  <c r="V431" i="7"/>
  <c r="U432" i="7"/>
  <c r="T433" i="7"/>
  <c r="S434" i="7"/>
  <c r="W434" i="7"/>
  <c r="V435" i="7"/>
  <c r="U436" i="7"/>
  <c r="T437" i="7"/>
  <c r="S438" i="7"/>
  <c r="W438" i="7"/>
  <c r="V439" i="7"/>
  <c r="T441" i="7"/>
  <c r="S442" i="7"/>
  <c r="W442" i="7"/>
  <c r="V443" i="7"/>
  <c r="U444" i="7"/>
  <c r="T445" i="7"/>
  <c r="S446" i="7"/>
  <c r="W446" i="7"/>
  <c r="V447" i="7"/>
  <c r="T448" i="7"/>
  <c r="S449" i="7"/>
  <c r="W449" i="7"/>
  <c r="V450" i="7"/>
  <c r="U451" i="7"/>
  <c r="S452" i="7"/>
  <c r="W452" i="7"/>
  <c r="T454" i="7"/>
  <c r="V455" i="7"/>
  <c r="U456" i="7"/>
  <c r="S458" i="7"/>
  <c r="W458" i="7"/>
  <c r="V459" i="7"/>
  <c r="U460" i="7"/>
  <c r="T461" i="7"/>
  <c r="V462" i="7"/>
  <c r="U463" i="7"/>
  <c r="T464" i="7"/>
  <c r="V465" i="7"/>
  <c r="U466" i="7"/>
  <c r="T467" i="7"/>
  <c r="V469" i="7"/>
  <c r="U470" i="7"/>
  <c r="T471" i="7"/>
  <c r="S472" i="7"/>
  <c r="W472" i="7"/>
  <c r="V473" i="7"/>
  <c r="U474" i="7"/>
  <c r="V476" i="7"/>
  <c r="U477" i="7"/>
  <c r="T478" i="7"/>
  <c r="V479" i="7"/>
  <c r="T480" i="7"/>
  <c r="S481" i="7"/>
  <c r="W481" i="7"/>
  <c r="V482" i="7"/>
  <c r="U483" i="7"/>
  <c r="T484" i="7"/>
  <c r="S485" i="7"/>
  <c r="W485" i="7"/>
  <c r="V486" i="7"/>
  <c r="U487" i="7"/>
  <c r="T488" i="7"/>
  <c r="S489" i="7"/>
  <c r="W489" i="7"/>
  <c r="V490" i="7"/>
  <c r="U491" i="7"/>
  <c r="T492" i="7"/>
  <c r="S493" i="7"/>
  <c r="W493" i="7"/>
  <c r="V494" i="7"/>
  <c r="U495" i="7"/>
  <c r="T496" i="7"/>
  <c r="V497" i="7"/>
  <c r="S499" i="7"/>
  <c r="W499" i="7"/>
  <c r="V500" i="7"/>
  <c r="U501" i="7"/>
  <c r="T502" i="7"/>
  <c r="V503" i="7"/>
  <c r="T504" i="7"/>
  <c r="V505" i="7"/>
  <c r="U506" i="7"/>
  <c r="T507" i="7"/>
  <c r="S508" i="7"/>
  <c r="W508" i="7"/>
  <c r="U509" i="7"/>
  <c r="T510" i="7"/>
  <c r="S511" i="7"/>
  <c r="W511" i="7"/>
  <c r="V512" i="7"/>
  <c r="U513" i="7"/>
  <c r="T514" i="7"/>
  <c r="S515" i="7"/>
  <c r="W515" i="7"/>
  <c r="V516" i="7"/>
  <c r="T517" i="7"/>
  <c r="S6" i="4"/>
  <c r="U8" i="4"/>
  <c r="T9" i="4"/>
  <c r="S10" i="4"/>
  <c r="V11" i="4"/>
  <c r="U12" i="4"/>
  <c r="T13" i="4"/>
  <c r="S14" i="4"/>
  <c r="V15" i="4"/>
  <c r="U16" i="4"/>
  <c r="T17" i="4"/>
  <c r="S18" i="4"/>
  <c r="V19" i="4"/>
  <c r="U20" i="4"/>
  <c r="T21" i="4"/>
  <c r="S22" i="4"/>
  <c r="V23" i="4"/>
  <c r="U24" i="4"/>
  <c r="T25" i="4"/>
  <c r="S26" i="4"/>
  <c r="V27" i="4"/>
  <c r="T28" i="4"/>
  <c r="S29" i="4"/>
  <c r="V30" i="4"/>
  <c r="T31" i="4"/>
  <c r="S32" i="4"/>
  <c r="U33" i="4"/>
  <c r="T34" i="4"/>
  <c r="S35" i="4"/>
  <c r="V36" i="4"/>
  <c r="U37" i="4"/>
  <c r="T38" i="4"/>
  <c r="S39" i="4"/>
  <c r="V40" i="4"/>
  <c r="U41" i="4"/>
  <c r="T42" i="4"/>
  <c r="S43" i="4"/>
  <c r="V44" i="4"/>
  <c r="T45" i="4"/>
  <c r="S46" i="4"/>
  <c r="S47" i="4"/>
  <c r="V48" i="4"/>
  <c r="T50" i="4"/>
  <c r="S51" i="4"/>
  <c r="V52" i="4"/>
  <c r="U53" i="4"/>
  <c r="T54" i="4"/>
  <c r="V55" i="4"/>
  <c r="T56" i="4"/>
  <c r="V58" i="4"/>
  <c r="U59" i="4"/>
  <c r="S60" i="4"/>
  <c r="V61" i="4"/>
  <c r="U62" i="4"/>
  <c r="T94" i="7"/>
  <c r="S130" i="7"/>
  <c r="T142" i="7"/>
  <c r="W154" i="7"/>
  <c r="V167" i="7"/>
  <c r="S180" i="7"/>
  <c r="W193" i="7"/>
  <c r="V206" i="7"/>
  <c r="S228" i="7"/>
  <c r="U234" i="7"/>
  <c r="V241" i="7"/>
  <c r="U246" i="7"/>
  <c r="U249" i="7"/>
  <c r="V252" i="7"/>
  <c r="W255" i="7"/>
  <c r="S259" i="7"/>
  <c r="T262" i="7"/>
  <c r="T265" i="7"/>
  <c r="U268" i="7"/>
  <c r="V271" i="7"/>
  <c r="U274" i="7"/>
  <c r="V277" i="7"/>
  <c r="W280" i="7"/>
  <c r="S287" i="7"/>
  <c r="S297" i="7"/>
  <c r="S300" i="7"/>
  <c r="T306" i="7"/>
  <c r="T309" i="7"/>
  <c r="U312" i="7"/>
  <c r="U315" i="7"/>
  <c r="V318" i="7"/>
  <c r="V321" i="7"/>
  <c r="V325" i="7"/>
  <c r="W328" i="7"/>
  <c r="S332" i="7"/>
  <c r="T335" i="7"/>
  <c r="T338" i="7"/>
  <c r="S341" i="7"/>
  <c r="W341" i="7"/>
  <c r="V343" i="7"/>
  <c r="U344" i="7"/>
  <c r="T345" i="7"/>
  <c r="S346" i="7"/>
  <c r="W346" i="7"/>
  <c r="V347" i="7"/>
  <c r="T348" i="7"/>
  <c r="S349" i="7"/>
  <c r="W349" i="7"/>
  <c r="V350" i="7"/>
  <c r="T352" i="7"/>
  <c r="S353" i="7"/>
  <c r="W353" i="7"/>
  <c r="V354" i="7"/>
  <c r="T356" i="7"/>
  <c r="V357" i="7"/>
  <c r="U358" i="7"/>
  <c r="T359" i="7"/>
  <c r="S360" i="7"/>
  <c r="W360" i="7"/>
  <c r="V361" i="7"/>
  <c r="T364" i="7"/>
  <c r="S365" i="7"/>
  <c r="W365" i="7"/>
  <c r="V366" i="7"/>
  <c r="S368" i="7"/>
  <c r="W368" i="7"/>
  <c r="V369" i="7"/>
  <c r="U370" i="7"/>
  <c r="T371" i="7"/>
  <c r="S372" i="7"/>
  <c r="W372" i="7"/>
  <c r="V373" i="7"/>
  <c r="U374" i="7"/>
  <c r="T375" i="7"/>
  <c r="S376" i="7"/>
  <c r="W376" i="7"/>
  <c r="V377" i="7"/>
  <c r="S379" i="7"/>
  <c r="W379" i="7"/>
  <c r="V380" i="7"/>
  <c r="U381" i="7"/>
  <c r="T382" i="7"/>
  <c r="S383" i="7"/>
  <c r="W383" i="7"/>
  <c r="V384" i="7"/>
  <c r="U385" i="7"/>
  <c r="T386" i="7"/>
  <c r="S387" i="7"/>
  <c r="W387" i="7"/>
  <c r="V388" i="7"/>
  <c r="U389" i="7"/>
  <c r="T390" i="7"/>
  <c r="V392" i="7"/>
  <c r="U393" i="7"/>
  <c r="S394" i="7"/>
  <c r="W394" i="7"/>
  <c r="T396" i="7"/>
  <c r="V397" i="7"/>
  <c r="U398" i="7"/>
  <c r="V400" i="7"/>
  <c r="U401" i="7"/>
  <c r="T402" i="7"/>
  <c r="S403" i="7"/>
  <c r="W403" i="7"/>
  <c r="U404" i="7"/>
  <c r="T405" i="7"/>
  <c r="S406" i="7"/>
  <c r="W406" i="7"/>
  <c r="V407" i="7"/>
  <c r="U408" i="7"/>
  <c r="T409" i="7"/>
  <c r="S410" i="7"/>
  <c r="W410" i="7"/>
  <c r="V411" i="7"/>
  <c r="U412" i="7"/>
  <c r="S415" i="7"/>
  <c r="W415" i="7"/>
  <c r="U420" i="7"/>
  <c r="T423" i="7"/>
  <c r="V425" i="7"/>
  <c r="U426" i="7"/>
  <c r="S427" i="7"/>
  <c r="W427" i="7"/>
  <c r="U428" i="7"/>
  <c r="T430" i="7"/>
  <c r="S431" i="7"/>
  <c r="W431" i="7"/>
  <c r="V432" i="7"/>
  <c r="U433" i="7"/>
  <c r="T434" i="7"/>
  <c r="S435" i="7"/>
  <c r="W435" i="7"/>
  <c r="V436" i="7"/>
  <c r="U437" i="7"/>
  <c r="T438" i="7"/>
  <c r="S439" i="7"/>
  <c r="W439" i="7"/>
  <c r="U441" i="7"/>
  <c r="T442" i="7"/>
  <c r="S443" i="7"/>
  <c r="W443" i="7"/>
  <c r="V444" i="7"/>
  <c r="U445" i="7"/>
  <c r="T446" i="7"/>
  <c r="S447" i="7"/>
  <c r="W447" i="7"/>
  <c r="U448" i="7"/>
  <c r="T449" i="7"/>
  <c r="S450" i="7"/>
  <c r="W450" i="7"/>
  <c r="V451" i="7"/>
  <c r="T452" i="7"/>
  <c r="U454" i="7"/>
  <c r="S455" i="7"/>
  <c r="W455" i="7"/>
  <c r="V456" i="7"/>
  <c r="T458" i="7"/>
  <c r="S459" i="7"/>
  <c r="W459" i="7"/>
  <c r="V460" i="7"/>
  <c r="U461" i="7"/>
  <c r="S462" i="7"/>
  <c r="W462" i="7"/>
  <c r="V463" i="7"/>
  <c r="U464" i="7"/>
  <c r="S465" i="7"/>
  <c r="W465" i="7"/>
  <c r="V466" i="7"/>
  <c r="U467" i="7"/>
  <c r="S469" i="7"/>
  <c r="W469" i="7"/>
  <c r="V470" i="7"/>
  <c r="U471" i="7"/>
  <c r="T472" i="7"/>
  <c r="S473" i="7"/>
  <c r="W473" i="7"/>
  <c r="V474" i="7"/>
  <c r="S476" i="7"/>
  <c r="W476" i="7"/>
  <c r="V477" i="7"/>
  <c r="U478" i="7"/>
  <c r="S479" i="7"/>
  <c r="W479" i="7"/>
  <c r="U480" i="7"/>
  <c r="T481" i="7"/>
  <c r="S482" i="7"/>
  <c r="W482" i="7"/>
  <c r="V483" i="7"/>
  <c r="U484" i="7"/>
  <c r="T485" i="7"/>
  <c r="S486" i="7"/>
  <c r="W486" i="7"/>
  <c r="V487" i="7"/>
  <c r="U488" i="7"/>
  <c r="T489" i="7"/>
  <c r="S490" i="7"/>
  <c r="W490" i="7"/>
  <c r="V491" i="7"/>
  <c r="U492" i="7"/>
  <c r="T493" i="7"/>
  <c r="S494" i="7"/>
  <c r="W494" i="7"/>
  <c r="V495" i="7"/>
  <c r="U496" i="7"/>
  <c r="S497" i="7"/>
  <c r="W497" i="7"/>
  <c r="T499" i="7"/>
  <c r="S500" i="7"/>
  <c r="W500" i="7"/>
  <c r="V501" i="7"/>
  <c r="U502" i="7"/>
  <c r="S503" i="7"/>
  <c r="W503" i="7"/>
  <c r="U504" i="7"/>
  <c r="S505" i="7"/>
  <c r="W505" i="7"/>
  <c r="V506" i="7"/>
  <c r="U507" i="7"/>
  <c r="T508" i="7"/>
  <c r="V509" i="7"/>
  <c r="U510" i="7"/>
  <c r="T511" i="7"/>
  <c r="S512" i="7"/>
  <c r="W512" i="7"/>
  <c r="V513" i="7"/>
  <c r="U514" i="7"/>
  <c r="T515" i="7"/>
  <c r="S516" i="7"/>
  <c r="W516" i="7"/>
  <c r="U517" i="7"/>
  <c r="T6" i="4"/>
  <c r="V8" i="4"/>
  <c r="U9" i="4"/>
  <c r="T10" i="4"/>
  <c r="S11" i="4"/>
  <c r="V12" i="4"/>
  <c r="U13" i="4"/>
  <c r="T14" i="4"/>
  <c r="S15" i="4"/>
  <c r="V16" i="4"/>
  <c r="U17" i="4"/>
  <c r="T18" i="4"/>
  <c r="S19" i="4"/>
  <c r="V20" i="4"/>
  <c r="U21" i="4"/>
  <c r="T22" i="4"/>
  <c r="S23" i="4"/>
  <c r="V24" i="4"/>
  <c r="U25" i="4"/>
  <c r="T26" i="4"/>
  <c r="S27" i="4"/>
  <c r="U28" i="4"/>
  <c r="T29" i="4"/>
  <c r="S30" i="4"/>
  <c r="U31" i="4"/>
  <c r="T32" i="4"/>
  <c r="V33" i="4"/>
  <c r="U34" i="4"/>
  <c r="T35" i="4"/>
  <c r="S36" i="4"/>
  <c r="V37" i="4"/>
  <c r="U38" i="4"/>
  <c r="T39" i="4"/>
  <c r="S40" i="4"/>
  <c r="V41" i="4"/>
  <c r="U42" i="4"/>
  <c r="T43" i="4"/>
  <c r="S44" i="4"/>
  <c r="U45" i="4"/>
  <c r="T46" i="4"/>
  <c r="T47" i="4"/>
  <c r="S48" i="4"/>
  <c r="U50" i="4"/>
  <c r="T51" i="4"/>
  <c r="S52" i="4"/>
  <c r="V53" i="4"/>
  <c r="U54" i="4"/>
  <c r="S55" i="4"/>
  <c r="U56" i="4"/>
  <c r="S58" i="4"/>
  <c r="V59" i="4"/>
  <c r="T60" i="4"/>
  <c r="S61" i="4"/>
  <c r="V62" i="4"/>
  <c r="S108" i="7"/>
  <c r="V170" i="7"/>
  <c r="T223" i="7"/>
  <c r="S247" i="7"/>
  <c r="W259" i="7"/>
  <c r="U272" i="7"/>
  <c r="V284" i="7"/>
  <c r="W297" i="7"/>
  <c r="S310" i="7"/>
  <c r="S336" i="7"/>
  <c r="W343" i="7"/>
  <c r="S347" i="7"/>
  <c r="S350" i="7"/>
  <c r="T353" i="7"/>
  <c r="U356" i="7"/>
  <c r="U359" i="7"/>
  <c r="W366" i="7"/>
  <c r="W369" i="7"/>
  <c r="S373" i="7"/>
  <c r="T376" i="7"/>
  <c r="T379" i="7"/>
  <c r="U382" i="7"/>
  <c r="V385" i="7"/>
  <c r="W388" i="7"/>
  <c r="S392" i="7"/>
  <c r="W397" i="7"/>
  <c r="W400" i="7"/>
  <c r="S407" i="7"/>
  <c r="T410" i="7"/>
  <c r="V420" i="7"/>
  <c r="W425" i="7"/>
  <c r="V428" i="7"/>
  <c r="W432" i="7"/>
  <c r="S436" i="7"/>
  <c r="T439" i="7"/>
  <c r="U442" i="7"/>
  <c r="V445" i="7"/>
  <c r="V448" i="7"/>
  <c r="W451" i="7"/>
  <c r="V454" i="7"/>
  <c r="W460" i="7"/>
  <c r="W463" i="7"/>
  <c r="W466" i="7"/>
  <c r="W470" i="7"/>
  <c r="S474" i="7"/>
  <c r="S477" i="7"/>
  <c r="S483" i="7"/>
  <c r="T486" i="7"/>
  <c r="U489" i="7"/>
  <c r="V492" i="7"/>
  <c r="W495" i="7"/>
  <c r="W501" i="7"/>
  <c r="V504" i="7"/>
  <c r="V507" i="7"/>
  <c r="V510" i="7"/>
  <c r="W513" i="7"/>
  <c r="U10" i="4"/>
  <c r="V13" i="4"/>
  <c r="S20" i="4"/>
  <c r="T23" i="4"/>
  <c r="U26" i="4"/>
  <c r="U29" i="4"/>
  <c r="U32" i="4"/>
  <c r="U35" i="4"/>
  <c r="V38" i="4"/>
  <c r="T52" i="4"/>
  <c r="T55" i="4"/>
  <c r="T58" i="4"/>
  <c r="T61" i="4"/>
  <c r="T63" i="4"/>
  <c r="S64" i="4"/>
  <c r="V65" i="4"/>
  <c r="T67" i="4"/>
  <c r="S68" i="4"/>
  <c r="V69" i="4"/>
  <c r="T70" i="4"/>
  <c r="U72" i="4"/>
  <c r="T73" i="4"/>
  <c r="S74" i="4"/>
  <c r="U77" i="4"/>
  <c r="T78" i="4"/>
  <c r="S79" i="4"/>
  <c r="V80" i="4"/>
  <c r="U81" i="4"/>
  <c r="V82" i="4"/>
  <c r="U83" i="4"/>
  <c r="S85" i="4"/>
  <c r="U86" i="4"/>
  <c r="T87" i="4"/>
  <c r="S88" i="4"/>
  <c r="V89" i="4"/>
  <c r="T90" i="4"/>
  <c r="S91" i="4"/>
  <c r="V92" i="4"/>
  <c r="U93" i="4"/>
  <c r="T94" i="4"/>
  <c r="S95" i="4"/>
  <c r="V96" i="4"/>
  <c r="U97" i="4"/>
  <c r="T98" i="4"/>
  <c r="S99" i="4"/>
  <c r="U100" i="4"/>
  <c r="T102" i="4"/>
  <c r="S103" i="4"/>
  <c r="V104" i="4"/>
  <c r="U105" i="4"/>
  <c r="V107" i="4"/>
  <c r="U108" i="4"/>
  <c r="T109" i="4"/>
  <c r="S110" i="4"/>
  <c r="V111" i="4"/>
  <c r="T114" i="4"/>
  <c r="S115" i="4"/>
  <c r="V116" i="4"/>
  <c r="U117" i="4"/>
  <c r="T118" i="4"/>
  <c r="S119" i="4"/>
  <c r="V120" i="4"/>
  <c r="U121" i="4"/>
  <c r="T122" i="4"/>
  <c r="V124" i="4"/>
  <c r="U125" i="4"/>
  <c r="V126" i="4"/>
  <c r="U127" i="4"/>
  <c r="T128" i="4"/>
  <c r="S129" i="4"/>
  <c r="V130" i="4"/>
  <c r="U131" i="4"/>
  <c r="T132" i="4"/>
  <c r="V133" i="4"/>
  <c r="T134" i="4"/>
  <c r="S135" i="4"/>
  <c r="V136" i="4"/>
  <c r="U137" i="4"/>
  <c r="S138" i="4"/>
  <c r="V139" i="4"/>
  <c r="U140" i="4"/>
  <c r="T141" i="4"/>
  <c r="S142" i="4"/>
  <c r="V143" i="4"/>
  <c r="U144" i="4"/>
  <c r="T145" i="4"/>
  <c r="S146" i="4"/>
  <c r="V147" i="4"/>
  <c r="U148" i="4"/>
  <c r="T149" i="4"/>
  <c r="S150" i="4"/>
  <c r="U151" i="4"/>
  <c r="S153" i="4"/>
  <c r="V154" i="4"/>
  <c r="U155" i="4"/>
  <c r="T156" i="4"/>
  <c r="S157" i="4"/>
  <c r="U158" i="4"/>
  <c r="S160" i="4"/>
  <c r="V161" i="4"/>
  <c r="U162" i="4"/>
  <c r="T163" i="4"/>
  <c r="V165" i="4"/>
  <c r="T166" i="4"/>
  <c r="S167" i="4"/>
  <c r="U168" i="4"/>
  <c r="T169" i="4"/>
  <c r="S170" i="4"/>
  <c r="V171" i="4"/>
  <c r="U172" i="4"/>
  <c r="T173" i="4"/>
  <c r="T175" i="4"/>
  <c r="V176" i="4"/>
  <c r="U178" i="4"/>
  <c r="S179" i="4"/>
  <c r="V180" i="4"/>
  <c r="U181" i="4"/>
  <c r="T182" i="4"/>
  <c r="V183" i="4"/>
  <c r="T184" i="4"/>
  <c r="S185" i="4"/>
  <c r="V186" i="4"/>
  <c r="U187" i="4"/>
  <c r="T188" i="4"/>
  <c r="S189" i="4"/>
  <c r="V190" i="4"/>
  <c r="U191" i="4"/>
  <c r="T192" i="4"/>
  <c r="S193" i="4"/>
  <c r="V194" i="4"/>
  <c r="U195" i="4"/>
  <c r="T196" i="4"/>
  <c r="V198" i="4"/>
  <c r="U199" i="4"/>
  <c r="S200" i="4"/>
  <c r="V201" i="4"/>
  <c r="U202" i="4"/>
  <c r="S203" i="4"/>
  <c r="V204" i="4"/>
  <c r="U205" i="4"/>
  <c r="T206" i="4"/>
  <c r="S207" i="4"/>
  <c r="V208" i="4"/>
  <c r="T209" i="4"/>
  <c r="V211" i="4"/>
  <c r="U213" i="4"/>
  <c r="T214" i="4"/>
  <c r="S215" i="4"/>
  <c r="V216" i="4"/>
  <c r="T217" i="4"/>
  <c r="S218" i="4"/>
  <c r="V219" i="4"/>
  <c r="U220" i="4"/>
  <c r="T221" i="4"/>
  <c r="S222" i="4"/>
  <c r="V223" i="4"/>
  <c r="U224" i="4"/>
  <c r="S225" i="4"/>
  <c r="V227" i="4"/>
  <c r="U228" i="4"/>
  <c r="T229" i="4"/>
  <c r="S230" i="4"/>
  <c r="V231" i="4"/>
  <c r="U232" i="4"/>
  <c r="S234" i="4"/>
  <c r="V235" i="4"/>
  <c r="U236" i="4"/>
  <c r="S237" i="4"/>
  <c r="U238" i="4"/>
  <c r="T239" i="4"/>
  <c r="S240" i="4"/>
  <c r="V241" i="4"/>
  <c r="U242" i="4"/>
  <c r="T243" i="4"/>
  <c r="S244" i="4"/>
  <c r="V245" i="4"/>
  <c r="U246" i="4"/>
  <c r="T247" i="4"/>
  <c r="S248" i="4"/>
  <c r="U249" i="4"/>
  <c r="T250" i="4"/>
  <c r="V251" i="4"/>
  <c r="U252" i="4"/>
  <c r="T253" i="4"/>
  <c r="S254" i="4"/>
  <c r="V255" i="4"/>
  <c r="U256" i="4"/>
  <c r="T133" i="7"/>
  <c r="T184" i="7"/>
  <c r="V229" i="7"/>
  <c r="T250" i="7"/>
  <c r="T275" i="7"/>
  <c r="W287" i="7"/>
  <c r="W300" i="7"/>
  <c r="S313" i="7"/>
  <c r="U326" i="7"/>
  <c r="S339" i="7"/>
  <c r="V344" i="7"/>
  <c r="W347" i="7"/>
  <c r="W350" i="7"/>
  <c r="S354" i="7"/>
  <c r="S357" i="7"/>
  <c r="T360" i="7"/>
  <c r="U364" i="7"/>
  <c r="V370" i="7"/>
  <c r="W373" i="7"/>
  <c r="S377" i="7"/>
  <c r="S380" i="7"/>
  <c r="T383" i="7"/>
  <c r="U386" i="7"/>
  <c r="V389" i="7"/>
  <c r="W392" i="7"/>
  <c r="V398" i="7"/>
  <c r="V401" i="7"/>
  <c r="V404" i="7"/>
  <c r="W407" i="7"/>
  <c r="S411" i="7"/>
  <c r="T415" i="7"/>
  <c r="U423" i="7"/>
  <c r="V426" i="7"/>
  <c r="U430" i="7"/>
  <c r="V433" i="7"/>
  <c r="W436" i="7"/>
  <c r="T443" i="7"/>
  <c r="U446" i="7"/>
  <c r="U449" i="7"/>
  <c r="U452" i="7"/>
  <c r="T455" i="7"/>
  <c r="U458" i="7"/>
  <c r="V461" i="7"/>
  <c r="V464" i="7"/>
  <c r="V467" i="7"/>
  <c r="V471" i="7"/>
  <c r="W474" i="7"/>
  <c r="W477" i="7"/>
  <c r="V480" i="7"/>
  <c r="W483" i="7"/>
  <c r="S487" i="7"/>
  <c r="T490" i="7"/>
  <c r="U493" i="7"/>
  <c r="V496" i="7"/>
  <c r="U499" i="7"/>
  <c r="V502" i="7"/>
  <c r="T505" i="7"/>
  <c r="U508" i="7"/>
  <c r="U511" i="7"/>
  <c r="V514" i="7"/>
  <c r="V517" i="7"/>
  <c r="S8" i="4"/>
  <c r="T11" i="4"/>
  <c r="U14" i="4"/>
  <c r="V17" i="4"/>
  <c r="S24" i="4"/>
  <c r="T27" i="4"/>
  <c r="T30" i="4"/>
  <c r="S33" i="4"/>
  <c r="T36" i="4"/>
  <c r="U39" i="4"/>
  <c r="V42" i="4"/>
  <c r="S53" i="4"/>
  <c r="S59" i="4"/>
  <c r="S62" i="4"/>
  <c r="U63" i="4"/>
  <c r="T64" i="4"/>
  <c r="S65" i="4"/>
  <c r="U67" i="4"/>
  <c r="T68" i="4"/>
  <c r="S69" i="4"/>
  <c r="U70" i="4"/>
  <c r="V72" i="4"/>
  <c r="U73" i="4"/>
  <c r="T74" i="4"/>
  <c r="V77" i="4"/>
  <c r="U78" i="4"/>
  <c r="T79" i="4"/>
  <c r="S80" i="4"/>
  <c r="V81" i="4"/>
  <c r="S82" i="4"/>
  <c r="V83" i="4"/>
  <c r="T85" i="4"/>
  <c r="V86" i="4"/>
  <c r="U87" i="4"/>
  <c r="T88" i="4"/>
  <c r="S89" i="4"/>
  <c r="U90" i="4"/>
  <c r="T91" i="4"/>
  <c r="S92" i="4"/>
  <c r="V93" i="4"/>
  <c r="U94" i="4"/>
  <c r="T95" i="4"/>
  <c r="S96" i="4"/>
  <c r="V97" i="4"/>
  <c r="U98" i="4"/>
  <c r="T99" i="4"/>
  <c r="V100" i="4"/>
  <c r="U102" i="4"/>
  <c r="T103" i="4"/>
  <c r="S104" i="4"/>
  <c r="V105" i="4"/>
  <c r="S107" i="4"/>
  <c r="V108" i="4"/>
  <c r="U109" i="4"/>
  <c r="T110" i="4"/>
  <c r="S111" i="4"/>
  <c r="U114" i="4"/>
  <c r="T115" i="4"/>
  <c r="S116" i="4"/>
  <c r="V117" i="4"/>
  <c r="U118" i="4"/>
  <c r="T119" i="4"/>
  <c r="S120" i="4"/>
  <c r="V121" i="4"/>
  <c r="U122" i="4"/>
  <c r="S124" i="4"/>
  <c r="V125" i="4"/>
  <c r="S126" i="4"/>
  <c r="V127" i="4"/>
  <c r="U128" i="4"/>
  <c r="T129" i="4"/>
  <c r="S130" i="4"/>
  <c r="V131" i="4"/>
  <c r="U132" i="4"/>
  <c r="S133" i="4"/>
  <c r="U134" i="4"/>
  <c r="T135" i="4"/>
  <c r="S136" i="4"/>
  <c r="V137" i="4"/>
  <c r="T138" i="4"/>
  <c r="S139" i="4"/>
  <c r="V140" i="4"/>
  <c r="U141" i="4"/>
  <c r="T142" i="4"/>
  <c r="S143" i="4"/>
  <c r="V144" i="4"/>
  <c r="U145" i="4"/>
  <c r="T146" i="4"/>
  <c r="S147" i="4"/>
  <c r="V148" i="4"/>
  <c r="U149" i="4"/>
  <c r="T150" i="4"/>
  <c r="V151" i="4"/>
  <c r="T153" i="4"/>
  <c r="S154" i="4"/>
  <c r="V155" i="4"/>
  <c r="U156" i="4"/>
  <c r="T157" i="4"/>
  <c r="V158" i="4"/>
  <c r="T160" i="4"/>
  <c r="S161" i="4"/>
  <c r="V162" i="4"/>
  <c r="U163" i="4"/>
  <c r="S165" i="4"/>
  <c r="U166" i="4"/>
  <c r="T167" i="4"/>
  <c r="V168" i="4"/>
  <c r="U169" i="4"/>
  <c r="T170" i="4"/>
  <c r="S171" i="4"/>
  <c r="V172" i="4"/>
  <c r="U173" i="4"/>
  <c r="U175" i="4"/>
  <c r="S176" i="4"/>
  <c r="V178" i="4"/>
  <c r="T179" i="4"/>
  <c r="S180" i="4"/>
  <c r="V181" i="4"/>
  <c r="U182" i="4"/>
  <c r="S183" i="4"/>
  <c r="U184" i="4"/>
  <c r="T185" i="4"/>
  <c r="S186" i="4"/>
  <c r="V187" i="4"/>
  <c r="U188" i="4"/>
  <c r="T189" i="4"/>
  <c r="S190" i="4"/>
  <c r="V191" i="4"/>
  <c r="U192" i="4"/>
  <c r="T193" i="4"/>
  <c r="S194" i="4"/>
  <c r="V195" i="4"/>
  <c r="U196" i="4"/>
  <c r="S198" i="4"/>
  <c r="V199" i="4"/>
  <c r="T200" i="4"/>
  <c r="S201" i="4"/>
  <c r="V202" i="4"/>
  <c r="T203" i="4"/>
  <c r="S204" i="4"/>
  <c r="V205" i="4"/>
  <c r="U206" i="4"/>
  <c r="T207" i="4"/>
  <c r="S208" i="4"/>
  <c r="U209" i="4"/>
  <c r="S211" i="4"/>
  <c r="V213" i="4"/>
  <c r="U214" i="4"/>
  <c r="T215" i="4"/>
  <c r="S216" i="4"/>
  <c r="U217" i="4"/>
  <c r="T218" i="4"/>
  <c r="S219" i="4"/>
  <c r="V220" i="4"/>
  <c r="U221" i="4"/>
  <c r="T222" i="4"/>
  <c r="S223" i="4"/>
  <c r="V224" i="4"/>
  <c r="T225" i="4"/>
  <c r="S227" i="4"/>
  <c r="V228" i="4"/>
  <c r="U229" i="4"/>
  <c r="T230" i="4"/>
  <c r="S231" i="4"/>
  <c r="V232" i="4"/>
  <c r="T234" i="4"/>
  <c r="S235" i="4"/>
  <c r="V236" i="4"/>
  <c r="T237" i="4"/>
  <c r="V238" i="4"/>
  <c r="U239" i="4"/>
  <c r="T240" i="4"/>
  <c r="S241" i="4"/>
  <c r="V242" i="4"/>
  <c r="U243" i="4"/>
  <c r="T244" i="4"/>
  <c r="S245" i="4"/>
  <c r="V246" i="4"/>
  <c r="U247" i="4"/>
  <c r="T248" i="4"/>
  <c r="V249" i="4"/>
  <c r="U250" i="4"/>
  <c r="S251" i="4"/>
  <c r="V252" i="4"/>
  <c r="U253" i="4"/>
  <c r="T254" i="4"/>
  <c r="S255" i="4"/>
  <c r="V256" i="4"/>
  <c r="U145" i="7"/>
  <c r="S197" i="7"/>
  <c r="W235" i="7"/>
  <c r="U253" i="7"/>
  <c r="S266" i="7"/>
  <c r="U278" i="7"/>
  <c r="S304" i="7"/>
  <c r="T316" i="7"/>
  <c r="V329" i="7"/>
  <c r="T341" i="7"/>
  <c r="U345" i="7"/>
  <c r="U348" i="7"/>
  <c r="W354" i="7"/>
  <c r="W357" i="7"/>
  <c r="S361" i="7"/>
  <c r="T365" i="7"/>
  <c r="T368" i="7"/>
  <c r="U371" i="7"/>
  <c r="V374" i="7"/>
  <c r="W377" i="7"/>
  <c r="W380" i="7"/>
  <c r="S384" i="7"/>
  <c r="T387" i="7"/>
  <c r="U390" i="7"/>
  <c r="V393" i="7"/>
  <c r="U396" i="7"/>
  <c r="U402" i="7"/>
  <c r="U405" i="7"/>
  <c r="V408" i="7"/>
  <c r="W411" i="7"/>
  <c r="T427" i="7"/>
  <c r="T431" i="7"/>
  <c r="U434" i="7"/>
  <c r="V437" i="7"/>
  <c r="S444" i="7"/>
  <c r="T447" i="7"/>
  <c r="T450" i="7"/>
  <c r="S456" i="7"/>
  <c r="T459" i="7"/>
  <c r="T462" i="7"/>
  <c r="T465" i="7"/>
  <c r="T469" i="7"/>
  <c r="U472" i="7"/>
  <c r="V478" i="7"/>
  <c r="U481" i="7"/>
  <c r="V484" i="7"/>
  <c r="W487" i="7"/>
  <c r="S491" i="7"/>
  <c r="T494" i="7"/>
  <c r="T497" i="7"/>
  <c r="T500" i="7"/>
  <c r="T503" i="7"/>
  <c r="S506" i="7"/>
  <c r="S509" i="7"/>
  <c r="T512" i="7"/>
  <c r="U515" i="7"/>
  <c r="S12" i="4"/>
  <c r="T15" i="4"/>
  <c r="U18" i="4"/>
  <c r="V21" i="4"/>
  <c r="S37" i="4"/>
  <c r="T40" i="4"/>
  <c r="U43" i="4"/>
  <c r="V45" i="4"/>
  <c r="U47" i="4"/>
  <c r="V50" i="4"/>
  <c r="V56" i="4"/>
  <c r="V63" i="4"/>
  <c r="U64" i="4"/>
  <c r="T65" i="4"/>
  <c r="V67" i="4"/>
  <c r="U68" i="4"/>
  <c r="T69" i="4"/>
  <c r="V70" i="4"/>
  <c r="S72" i="4"/>
  <c r="V73" i="4"/>
  <c r="U74" i="4"/>
  <c r="S77" i="4"/>
  <c r="V78" i="4"/>
  <c r="U79" i="4"/>
  <c r="T80" i="4"/>
  <c r="S81" i="4"/>
  <c r="T82" i="4"/>
  <c r="S83" i="4"/>
  <c r="U85" i="4"/>
  <c r="S86" i="4"/>
  <c r="V87" i="4"/>
  <c r="U88" i="4"/>
  <c r="T89" i="4"/>
  <c r="V90" i="4"/>
  <c r="U91" i="4"/>
  <c r="T92" i="4"/>
  <c r="S93" i="4"/>
  <c r="V94" i="4"/>
  <c r="U95" i="4"/>
  <c r="T96" i="4"/>
  <c r="S97" i="4"/>
  <c r="V98" i="4"/>
  <c r="U99" i="4"/>
  <c r="S100" i="4"/>
  <c r="V102" i="4"/>
  <c r="U103" i="4"/>
  <c r="T104" i="4"/>
  <c r="S105" i="4"/>
  <c r="T107" i="4"/>
  <c r="S108" i="4"/>
  <c r="V109" i="4"/>
  <c r="U110" i="4"/>
  <c r="T111" i="4"/>
  <c r="V114" i="4"/>
  <c r="U115" i="4"/>
  <c r="T116" i="4"/>
  <c r="S117" i="4"/>
  <c r="V118" i="4"/>
  <c r="U119" i="4"/>
  <c r="T120" i="4"/>
  <c r="S121" i="4"/>
  <c r="V122" i="4"/>
  <c r="T124" i="4"/>
  <c r="S125" i="4"/>
  <c r="T126" i="4"/>
  <c r="S127" i="4"/>
  <c r="V128" i="4"/>
  <c r="U129" i="4"/>
  <c r="T130" i="4"/>
  <c r="S131" i="4"/>
  <c r="V132" i="4"/>
  <c r="T133" i="4"/>
  <c r="V134" i="4"/>
  <c r="U135" i="4"/>
  <c r="T136" i="4"/>
  <c r="S137" i="4"/>
  <c r="U138" i="4"/>
  <c r="T139" i="4"/>
  <c r="S140" i="4"/>
  <c r="V141" i="4"/>
  <c r="U142" i="4"/>
  <c r="T143" i="4"/>
  <c r="S144" i="4"/>
  <c r="V145" i="4"/>
  <c r="U146" i="4"/>
  <c r="T147" i="4"/>
  <c r="S148" i="4"/>
  <c r="V149" i="4"/>
  <c r="U150" i="4"/>
  <c r="S151" i="4"/>
  <c r="U153" i="4"/>
  <c r="T154" i="4"/>
  <c r="S155" i="4"/>
  <c r="V156" i="4"/>
  <c r="U157" i="4"/>
  <c r="S158" i="4"/>
  <c r="U160" i="4"/>
  <c r="T161" i="4"/>
  <c r="S162" i="4"/>
  <c r="V163" i="4"/>
  <c r="T165" i="4"/>
  <c r="V166" i="4"/>
  <c r="U167" i="4"/>
  <c r="S168" i="4"/>
  <c r="V169" i="4"/>
  <c r="U170" i="4"/>
  <c r="T171" i="4"/>
  <c r="S172" i="4"/>
  <c r="V173" i="4"/>
  <c r="V175" i="4"/>
  <c r="T176" i="4"/>
  <c r="S178" i="4"/>
  <c r="U179" i="4"/>
  <c r="T180" i="4"/>
  <c r="S181" i="4"/>
  <c r="V182" i="4"/>
  <c r="T183" i="4"/>
  <c r="V184" i="4"/>
  <c r="U185" i="4"/>
  <c r="T186" i="4"/>
  <c r="S187" i="4"/>
  <c r="V188" i="4"/>
  <c r="U189" i="4"/>
  <c r="T190" i="4"/>
  <c r="S191" i="4"/>
  <c r="V192" i="4"/>
  <c r="U193" i="4"/>
  <c r="T194" i="4"/>
  <c r="S195" i="4"/>
  <c r="V196" i="4"/>
  <c r="T198" i="4"/>
  <c r="S199" i="4"/>
  <c r="U200" i="4"/>
  <c r="T201" i="4"/>
  <c r="S202" i="4"/>
  <c r="U203" i="4"/>
  <c r="T204" i="4"/>
  <c r="S205" i="4"/>
  <c r="V206" i="4"/>
  <c r="U207" i="4"/>
  <c r="T208" i="4"/>
  <c r="V209" i="4"/>
  <c r="T211" i="4"/>
  <c r="S213" i="4"/>
  <c r="V214" i="4"/>
  <c r="U215" i="4"/>
  <c r="T216" i="4"/>
  <c r="V217" i="4"/>
  <c r="S158" i="7"/>
  <c r="T269" i="7"/>
  <c r="T319" i="7"/>
  <c r="T349" i="7"/>
  <c r="W361" i="7"/>
  <c r="U375" i="7"/>
  <c r="S388" i="7"/>
  <c r="S400" i="7"/>
  <c r="V412" i="7"/>
  <c r="V441" i="7"/>
  <c r="S466" i="7"/>
  <c r="T479" i="7"/>
  <c r="W491" i="7"/>
  <c r="T516" i="7"/>
  <c r="S16" i="4"/>
  <c r="V28" i="4"/>
  <c r="S41" i="4"/>
  <c r="U51" i="4"/>
  <c r="S63" i="4"/>
  <c r="U69" i="4"/>
  <c r="T72" i="4"/>
  <c r="V79" i="4"/>
  <c r="S94" i="4"/>
  <c r="T97" i="4"/>
  <c r="V103" i="4"/>
  <c r="S114" i="4"/>
  <c r="T117" i="4"/>
  <c r="U120" i="4"/>
  <c r="S132" i="4"/>
  <c r="S141" i="4"/>
  <c r="T144" i="4"/>
  <c r="U147" i="4"/>
  <c r="V150" i="4"/>
  <c r="V153" i="4"/>
  <c r="T162" i="4"/>
  <c r="U165" i="4"/>
  <c r="T168" i="4"/>
  <c r="U171" i="4"/>
  <c r="V174" i="4"/>
  <c r="S182" i="4"/>
  <c r="U186" i="4"/>
  <c r="V189" i="4"/>
  <c r="S196" i="4"/>
  <c r="T199" i="4"/>
  <c r="T202" i="4"/>
  <c r="T205" i="4"/>
  <c r="U208" i="4"/>
  <c r="S217" i="4"/>
  <c r="T219" i="4"/>
  <c r="U222" i="4"/>
  <c r="S224" i="4"/>
  <c r="U225" i="4"/>
  <c r="S228" i="4"/>
  <c r="V229" i="4"/>
  <c r="T231" i="4"/>
  <c r="U234" i="4"/>
  <c r="S236" i="4"/>
  <c r="U237" i="4"/>
  <c r="S238" i="4"/>
  <c r="V239" i="4"/>
  <c r="T241" i="4"/>
  <c r="U244" i="4"/>
  <c r="S246" i="4"/>
  <c r="V247" i="4"/>
  <c r="T251" i="4"/>
  <c r="U254" i="4"/>
  <c r="S256" i="4"/>
  <c r="T257" i="4"/>
  <c r="V258" i="4"/>
  <c r="U259" i="4"/>
  <c r="S260" i="4"/>
  <c r="V261" i="4"/>
  <c r="U262" i="4"/>
  <c r="T263" i="4"/>
  <c r="S264" i="4"/>
  <c r="V265" i="4"/>
  <c r="T266" i="4"/>
  <c r="V268" i="4"/>
  <c r="U271" i="4"/>
  <c r="T272" i="4"/>
  <c r="U273" i="4"/>
  <c r="T277" i="4"/>
  <c r="V278" i="4"/>
  <c r="U279" i="4"/>
  <c r="T280" i="4"/>
  <c r="S281" i="4"/>
  <c r="V282" i="4"/>
  <c r="T283" i="4"/>
  <c r="S284" i="4"/>
  <c r="U285" i="4"/>
  <c r="T286" i="4"/>
  <c r="V288" i="4"/>
  <c r="U289" i="4"/>
  <c r="S290" i="4"/>
  <c r="U291" i="4"/>
  <c r="T292" i="4"/>
  <c r="S293" i="4"/>
  <c r="V294" i="4"/>
  <c r="T295" i="4"/>
  <c r="V296" i="4"/>
  <c r="U297" i="4"/>
  <c r="S299" i="4"/>
  <c r="U300" i="4"/>
  <c r="T301" i="4"/>
  <c r="S302" i="4"/>
  <c r="T305" i="4"/>
  <c r="S306" i="4"/>
  <c r="V307" i="4"/>
  <c r="U308" i="4"/>
  <c r="T309" i="4"/>
  <c r="S310" i="4"/>
  <c r="V311" i="4"/>
  <c r="U312" i="4"/>
  <c r="T313" i="4"/>
  <c r="S314" i="4"/>
  <c r="V315" i="4"/>
  <c r="U316" i="4"/>
  <c r="T317" i="4"/>
  <c r="S318" i="4"/>
  <c r="U319" i="4"/>
  <c r="T320" i="4"/>
  <c r="S321" i="4"/>
  <c r="V322" i="4"/>
  <c r="U323" i="4"/>
  <c r="T324" i="4"/>
  <c r="S325" i="4"/>
  <c r="V326" i="4"/>
  <c r="T327" i="4"/>
  <c r="V328" i="4"/>
  <c r="U329" i="4"/>
  <c r="T330" i="4"/>
  <c r="V332" i="4"/>
  <c r="U333" i="4"/>
  <c r="T334" i="4"/>
  <c r="V336" i="4"/>
  <c r="T337" i="4"/>
  <c r="S338" i="4"/>
  <c r="V339" i="4"/>
  <c r="U340" i="4"/>
  <c r="T341" i="4"/>
  <c r="S342" i="4"/>
  <c r="U345" i="4"/>
  <c r="T346" i="4"/>
  <c r="S347" i="4"/>
  <c r="T349" i="4"/>
  <c r="S350" i="4"/>
  <c r="V351" i="4"/>
  <c r="U352" i="4"/>
  <c r="T353" i="4"/>
  <c r="S354" i="4"/>
  <c r="V355" i="4"/>
  <c r="U356" i="4"/>
  <c r="T357" i="4"/>
  <c r="S358" i="4"/>
  <c r="T360" i="4"/>
  <c r="V361" i="4"/>
  <c r="U362" i="4"/>
  <c r="S363" i="4"/>
  <c r="V364" i="4"/>
  <c r="T365" i="4"/>
  <c r="S366" i="4"/>
  <c r="V367" i="4"/>
  <c r="U368" i="4"/>
  <c r="S370" i="4"/>
  <c r="V371" i="4"/>
  <c r="T372" i="4"/>
  <c r="U374" i="4"/>
  <c r="S375" i="4"/>
  <c r="V376" i="4"/>
  <c r="V378" i="4"/>
  <c r="U379" i="4"/>
  <c r="T380" i="4"/>
  <c r="V381" i="4"/>
  <c r="U382" i="4"/>
  <c r="T383" i="4"/>
  <c r="S384" i="4"/>
  <c r="V385" i="4"/>
  <c r="U386" i="4"/>
  <c r="T387" i="4"/>
  <c r="S388" i="4"/>
  <c r="V389" i="4"/>
  <c r="U390" i="4"/>
  <c r="T392" i="4"/>
  <c r="V394" i="4"/>
  <c r="V397" i="4"/>
  <c r="U398" i="4"/>
  <c r="T399" i="4"/>
  <c r="S400" i="4"/>
  <c r="U402" i="4"/>
  <c r="T403" i="4"/>
  <c r="V404" i="4"/>
  <c r="T405" i="4"/>
  <c r="S406" i="4"/>
  <c r="V407" i="4"/>
  <c r="T408" i="4"/>
  <c r="S409" i="4"/>
  <c r="V410" i="4"/>
  <c r="U411" i="4"/>
  <c r="T412" i="4"/>
  <c r="S413" i="4"/>
  <c r="V414" i="4"/>
  <c r="U415" i="4"/>
  <c r="T416" i="4"/>
  <c r="V418" i="4"/>
  <c r="U419" i="4"/>
  <c r="T420" i="4"/>
  <c r="S421" i="4"/>
  <c r="V422" i="4"/>
  <c r="U423" i="4"/>
  <c r="T424" i="4"/>
  <c r="V425" i="4"/>
  <c r="U426" i="4"/>
  <c r="S427" i="4"/>
  <c r="U428" i="4"/>
  <c r="V430" i="4"/>
  <c r="T431" i="4"/>
  <c r="S432" i="4"/>
  <c r="U434" i="4"/>
  <c r="T435" i="4"/>
  <c r="S436" i="4"/>
  <c r="V437" i="4"/>
  <c r="U438" i="4"/>
  <c r="T439" i="4"/>
  <c r="V440" i="4"/>
  <c r="U441" i="4"/>
  <c r="T442" i="4"/>
  <c r="V443" i="4"/>
  <c r="U444" i="4"/>
  <c r="T445" i="4"/>
  <c r="S446" i="4"/>
  <c r="U447" i="4"/>
  <c r="T449" i="4"/>
  <c r="S450" i="4"/>
  <c r="U451" i="4"/>
  <c r="S452" i="4"/>
  <c r="V453" i="4"/>
  <c r="U454" i="4"/>
  <c r="T455" i="4"/>
  <c r="S456" i="4"/>
  <c r="V457" i="4"/>
  <c r="U458" i="4"/>
  <c r="T459" i="4"/>
  <c r="S460" i="4"/>
  <c r="V461" i="4"/>
  <c r="U462" i="4"/>
  <c r="T463" i="4"/>
  <c r="S464" i="4"/>
  <c r="V465" i="4"/>
  <c r="U466" i="4"/>
  <c r="T467" i="4"/>
  <c r="S468" i="4"/>
  <c r="U469" i="4"/>
  <c r="V471" i="4"/>
  <c r="U472" i="4"/>
  <c r="T473" i="4"/>
  <c r="S474" i="4"/>
  <c r="U475" i="4"/>
  <c r="S476" i="4"/>
  <c r="U477" i="4"/>
  <c r="T478" i="4"/>
  <c r="S479" i="4"/>
  <c r="V480" i="4"/>
  <c r="T481" i="4"/>
  <c r="S482" i="4"/>
  <c r="V483" i="4"/>
  <c r="U484" i="4"/>
  <c r="T485" i="4"/>
  <c r="S486" i="4"/>
  <c r="V487" i="4"/>
  <c r="U488" i="4"/>
  <c r="S5" i="4"/>
  <c r="R9" i="4"/>
  <c r="R13" i="4"/>
  <c r="R17" i="4"/>
  <c r="R21" i="4"/>
  <c r="R25" i="4"/>
  <c r="R29" i="4"/>
  <c r="R37" i="4"/>
  <c r="R41" i="4"/>
  <c r="R47" i="4"/>
  <c r="R51" i="4"/>
  <c r="R55" i="4"/>
  <c r="R59" i="4"/>
  <c r="R63" i="4"/>
  <c r="R67" i="4"/>
  <c r="R80" i="4"/>
  <c r="R83" i="4"/>
  <c r="R87" i="4"/>
  <c r="R91" i="4"/>
  <c r="V209" i="7"/>
  <c r="W332" i="7"/>
  <c r="U352" i="7"/>
  <c r="S366" i="7"/>
  <c r="T403" i="7"/>
  <c r="S432" i="7"/>
  <c r="W444" i="7"/>
  <c r="W456" i="7"/>
  <c r="S470" i="7"/>
  <c r="T482" i="7"/>
  <c r="S495" i="7"/>
  <c r="W506" i="7"/>
  <c r="U6" i="4"/>
  <c r="T19" i="4"/>
  <c r="V31" i="4"/>
  <c r="T44" i="4"/>
  <c r="V54" i="4"/>
  <c r="S67" i="4"/>
  <c r="S70" i="4"/>
  <c r="S73" i="4"/>
  <c r="T77" i="4"/>
  <c r="U80" i="4"/>
  <c r="U82" i="4"/>
  <c r="V85" i="4"/>
  <c r="V88" i="4"/>
  <c r="V91" i="4"/>
  <c r="S98" i="4"/>
  <c r="T100" i="4"/>
  <c r="U104" i="4"/>
  <c r="U107" i="4"/>
  <c r="V110" i="4"/>
  <c r="S118" i="4"/>
  <c r="T121" i="4"/>
  <c r="U124" i="4"/>
  <c r="U126" i="4"/>
  <c r="V129" i="4"/>
  <c r="V135" i="4"/>
  <c r="V138" i="4"/>
  <c r="S145" i="4"/>
  <c r="T148" i="4"/>
  <c r="T151" i="4"/>
  <c r="U154" i="4"/>
  <c r="V157" i="4"/>
  <c r="S163" i="4"/>
  <c r="S166" i="4"/>
  <c r="S169" i="4"/>
  <c r="T172" i="4"/>
  <c r="U176" i="4"/>
  <c r="V179" i="4"/>
  <c r="S184" i="4"/>
  <c r="T187" i="4"/>
  <c r="U190" i="4"/>
  <c r="V193" i="4"/>
  <c r="S206" i="4"/>
  <c r="U211" i="4"/>
  <c r="V215" i="4"/>
  <c r="U219" i="4"/>
  <c r="S221" i="4"/>
  <c r="V222" i="4"/>
  <c r="T224" i="4"/>
  <c r="V225" i="4"/>
  <c r="T228" i="4"/>
  <c r="U231" i="4"/>
  <c r="V234" i="4"/>
  <c r="T236" i="4"/>
  <c r="V237" i="4"/>
  <c r="T238" i="4"/>
  <c r="U241" i="4"/>
  <c r="S243" i="4"/>
  <c r="V244" i="4"/>
  <c r="T246" i="4"/>
  <c r="S250" i="4"/>
  <c r="U251" i="4"/>
  <c r="S253" i="4"/>
  <c r="V254" i="4"/>
  <c r="T256" i="4"/>
  <c r="U257" i="4"/>
  <c r="S258" i="4"/>
  <c r="V259" i="4"/>
  <c r="T260" i="4"/>
  <c r="S261" i="4"/>
  <c r="V262" i="4"/>
  <c r="U263" i="4"/>
  <c r="T264" i="4"/>
  <c r="S265" i="4"/>
  <c r="U266" i="4"/>
  <c r="S268" i="4"/>
  <c r="V271" i="4"/>
  <c r="U272" i="4"/>
  <c r="V273" i="4"/>
  <c r="U277" i="4"/>
  <c r="S278" i="4"/>
  <c r="V279" i="4"/>
  <c r="U280" i="4"/>
  <c r="T281" i="4"/>
  <c r="S282" i="4"/>
  <c r="U283" i="4"/>
  <c r="T284" i="4"/>
  <c r="V285" i="4"/>
  <c r="U286" i="4"/>
  <c r="S288" i="4"/>
  <c r="V289" i="4"/>
  <c r="T290" i="4"/>
  <c r="V291" i="4"/>
  <c r="U292" i="4"/>
  <c r="T293" i="4"/>
  <c r="S294" i="4"/>
  <c r="U295" i="4"/>
  <c r="S296" i="4"/>
  <c r="V297" i="4"/>
  <c r="T299" i="4"/>
  <c r="V300" i="4"/>
  <c r="U301" i="4"/>
  <c r="T302" i="4"/>
  <c r="U305" i="4"/>
  <c r="T306" i="4"/>
  <c r="S307" i="4"/>
  <c r="V308" i="4"/>
  <c r="U309" i="4"/>
  <c r="T310" i="4"/>
  <c r="S311" i="4"/>
  <c r="V312" i="4"/>
  <c r="U313" i="4"/>
  <c r="T314" i="4"/>
  <c r="S315" i="4"/>
  <c r="V316" i="4"/>
  <c r="U317" i="4"/>
  <c r="T318" i="4"/>
  <c r="V319" i="4"/>
  <c r="U320" i="4"/>
  <c r="T321" i="4"/>
  <c r="S322" i="4"/>
  <c r="V323" i="4"/>
  <c r="U324" i="4"/>
  <c r="T325" i="4"/>
  <c r="S326" i="4"/>
  <c r="U327" i="4"/>
  <c r="S328" i="4"/>
  <c r="V329" i="4"/>
  <c r="U330" i="4"/>
  <c r="S332" i="4"/>
  <c r="V333" i="4"/>
  <c r="U334" i="4"/>
  <c r="S336" i="4"/>
  <c r="U337" i="4"/>
  <c r="T338" i="4"/>
  <c r="S339" i="4"/>
  <c r="V340" i="4"/>
  <c r="U341" i="4"/>
  <c r="T342" i="4"/>
  <c r="V345" i="4"/>
  <c r="U346" i="4"/>
  <c r="T347" i="4"/>
  <c r="U349" i="4"/>
  <c r="T350" i="4"/>
  <c r="S351" i="4"/>
  <c r="V352" i="4"/>
  <c r="U353" i="4"/>
  <c r="T354" i="4"/>
  <c r="S355" i="4"/>
  <c r="V356" i="4"/>
  <c r="U357" i="4"/>
  <c r="T358" i="4"/>
  <c r="U360" i="4"/>
  <c r="S361" i="4"/>
  <c r="V362" i="4"/>
  <c r="T363" i="4"/>
  <c r="S364" i="4"/>
  <c r="U365" i="4"/>
  <c r="T366" i="4"/>
  <c r="S367" i="4"/>
  <c r="V368" i="4"/>
  <c r="T370" i="4"/>
  <c r="S371" i="4"/>
  <c r="U372" i="4"/>
  <c r="V374" i="4"/>
  <c r="T375" i="4"/>
  <c r="S376" i="4"/>
  <c r="S378" i="4"/>
  <c r="V379" i="4"/>
  <c r="U380" i="4"/>
  <c r="S381" i="4"/>
  <c r="V382" i="4"/>
  <c r="U383" i="4"/>
  <c r="T384" i="4"/>
  <c r="S385" i="4"/>
  <c r="V386" i="4"/>
  <c r="U387" i="4"/>
  <c r="T388" i="4"/>
  <c r="S389" i="4"/>
  <c r="V390" i="4"/>
  <c r="U392" i="4"/>
  <c r="S394" i="4"/>
  <c r="S397" i="4"/>
  <c r="V398" i="4"/>
  <c r="U399" i="4"/>
  <c r="T400" i="4"/>
  <c r="V402" i="4"/>
  <c r="U403" i="4"/>
  <c r="S404" i="4"/>
  <c r="U405" i="4"/>
  <c r="T406" i="4"/>
  <c r="S407" i="4"/>
  <c r="U408" i="4"/>
  <c r="T409" i="4"/>
  <c r="S410" i="4"/>
  <c r="V411" i="4"/>
  <c r="U412" i="4"/>
  <c r="T413" i="4"/>
  <c r="S414" i="4"/>
  <c r="V415" i="4"/>
  <c r="U416" i="4"/>
  <c r="S418" i="4"/>
  <c r="V419" i="4"/>
  <c r="U420" i="4"/>
  <c r="T421" i="4"/>
  <c r="S422" i="4"/>
  <c r="V423" i="4"/>
  <c r="U424" i="4"/>
  <c r="S425" i="4"/>
  <c r="V426" i="4"/>
  <c r="T427" i="4"/>
  <c r="V428" i="4"/>
  <c r="S430" i="4"/>
  <c r="U431" i="4"/>
  <c r="T432" i="4"/>
  <c r="V434" i="4"/>
  <c r="U435" i="4"/>
  <c r="T436" i="4"/>
  <c r="S437" i="4"/>
  <c r="V438" i="4"/>
  <c r="U439" i="4"/>
  <c r="S440" i="4"/>
  <c r="V441" i="4"/>
  <c r="U442" i="4"/>
  <c r="S443" i="4"/>
  <c r="V444" i="4"/>
  <c r="U445" i="4"/>
  <c r="T446" i="4"/>
  <c r="V447" i="4"/>
  <c r="U449" i="4"/>
  <c r="T450" i="4"/>
  <c r="V451" i="4"/>
  <c r="T452" i="4"/>
  <c r="S453" i="4"/>
  <c r="V454" i="4"/>
  <c r="U455" i="4"/>
  <c r="T456" i="4"/>
  <c r="S457" i="4"/>
  <c r="V458" i="4"/>
  <c r="U459" i="4"/>
  <c r="T460" i="4"/>
  <c r="S461" i="4"/>
  <c r="V462" i="4"/>
  <c r="U463" i="4"/>
  <c r="T464" i="4"/>
  <c r="S465" i="4"/>
  <c r="V466" i="4"/>
  <c r="U467" i="4"/>
  <c r="T468" i="4"/>
  <c r="V469" i="4"/>
  <c r="S471" i="4"/>
  <c r="V472" i="4"/>
  <c r="U473" i="4"/>
  <c r="T474" i="4"/>
  <c r="V475" i="4"/>
  <c r="T476" i="4"/>
  <c r="V477" i="4"/>
  <c r="U478" i="4"/>
  <c r="T479" i="4"/>
  <c r="S480" i="4"/>
  <c r="U481" i="4"/>
  <c r="T482" i="4"/>
  <c r="S483" i="4"/>
  <c r="V484" i="4"/>
  <c r="U485" i="4"/>
  <c r="T486" i="4"/>
  <c r="S487" i="4"/>
  <c r="V488" i="4"/>
  <c r="T5" i="4"/>
  <c r="R6" i="4"/>
  <c r="R10" i="4"/>
  <c r="R14" i="4"/>
  <c r="R18" i="4"/>
  <c r="R22" i="4"/>
  <c r="R26" i="4"/>
  <c r="R30" i="4"/>
  <c r="R34" i="4"/>
  <c r="R38" i="4"/>
  <c r="R42" i="4"/>
  <c r="R45" i="4"/>
  <c r="R48" i="4"/>
  <c r="R52" i="4"/>
  <c r="R56" i="4"/>
  <c r="R60" i="4"/>
  <c r="R64" i="4"/>
  <c r="R68" i="4"/>
  <c r="R72" i="4"/>
  <c r="R77" i="4"/>
  <c r="R81" i="4"/>
  <c r="R88" i="4"/>
  <c r="R92" i="4"/>
  <c r="V294" i="7"/>
  <c r="S343" i="7"/>
  <c r="S369" i="7"/>
  <c r="V381" i="7"/>
  <c r="T394" i="7"/>
  <c r="T406" i="7"/>
  <c r="T435" i="7"/>
  <c r="S460" i="7"/>
  <c r="T473" i="7"/>
  <c r="U485" i="7"/>
  <c r="W509" i="7"/>
  <c r="V9" i="4"/>
  <c r="U22" i="4"/>
  <c r="V34" i="4"/>
  <c r="U46" i="4"/>
  <c r="V64" i="4"/>
  <c r="S78" i="4"/>
  <c r="T81" i="4"/>
  <c r="T83" i="4"/>
  <c r="T86" i="4"/>
  <c r="U89" i="4"/>
  <c r="U92" i="4"/>
  <c r="V95" i="4"/>
  <c r="S102" i="4"/>
  <c r="T105" i="4"/>
  <c r="T108" i="4"/>
  <c r="U111" i="4"/>
  <c r="V115" i="4"/>
  <c r="S122" i="4"/>
  <c r="T125" i="4"/>
  <c r="T127" i="4"/>
  <c r="U130" i="4"/>
  <c r="U133" i="4"/>
  <c r="U136" i="4"/>
  <c r="U139" i="4"/>
  <c r="V142" i="4"/>
  <c r="S149" i="4"/>
  <c r="T155" i="4"/>
  <c r="V160" i="4"/>
  <c r="S173" i="4"/>
  <c r="S175" i="4"/>
  <c r="T178" i="4"/>
  <c r="U180" i="4"/>
  <c r="S188" i="4"/>
  <c r="T191" i="4"/>
  <c r="U194" i="4"/>
  <c r="V200" i="4"/>
  <c r="V203" i="4"/>
  <c r="S209" i="4"/>
  <c r="T213" i="4"/>
  <c r="U216" i="4"/>
  <c r="U218" i="4"/>
  <c r="S220" i="4"/>
  <c r="V221" i="4"/>
  <c r="T223" i="4"/>
  <c r="T227" i="4"/>
  <c r="U230" i="4"/>
  <c r="S232" i="4"/>
  <c r="T235" i="4"/>
  <c r="U240" i="4"/>
  <c r="S242" i="4"/>
  <c r="V243" i="4"/>
  <c r="T245" i="4"/>
  <c r="U248" i="4"/>
  <c r="S249" i="4"/>
  <c r="V250" i="4"/>
  <c r="S252" i="4"/>
  <c r="V253" i="4"/>
  <c r="T255" i="4"/>
  <c r="V257" i="4"/>
  <c r="T258" i="4"/>
  <c r="S259" i="4"/>
  <c r="U260" i="4"/>
  <c r="T261" i="4"/>
  <c r="S262" i="4"/>
  <c r="V263" i="4"/>
  <c r="U264" i="4"/>
  <c r="T265" i="4"/>
  <c r="V266" i="4"/>
  <c r="T268" i="4"/>
  <c r="S271" i="4"/>
  <c r="V272" i="4"/>
  <c r="S273" i="4"/>
  <c r="V277" i="4"/>
  <c r="T278" i="4"/>
  <c r="S279" i="4"/>
  <c r="V280" i="4"/>
  <c r="U281" i="4"/>
  <c r="T282" i="4"/>
  <c r="V283" i="4"/>
  <c r="U284" i="4"/>
  <c r="S285" i="4"/>
  <c r="V286" i="4"/>
  <c r="T288" i="4"/>
  <c r="S289" i="4"/>
  <c r="U290" i="4"/>
  <c r="S291" i="4"/>
  <c r="V292" i="4"/>
  <c r="U293" i="4"/>
  <c r="T294" i="4"/>
  <c r="V295" i="4"/>
  <c r="T296" i="4"/>
  <c r="S297" i="4"/>
  <c r="U299" i="4"/>
  <c r="S300" i="4"/>
  <c r="V301" i="4"/>
  <c r="U302" i="4"/>
  <c r="V305" i="4"/>
  <c r="U306" i="4"/>
  <c r="T307" i="4"/>
  <c r="S308" i="4"/>
  <c r="V309" i="4"/>
  <c r="U310" i="4"/>
  <c r="T311" i="4"/>
  <c r="S312" i="4"/>
  <c r="V313" i="4"/>
  <c r="U314" i="4"/>
  <c r="T315" i="4"/>
  <c r="S316" i="4"/>
  <c r="V317" i="4"/>
  <c r="U318" i="4"/>
  <c r="S319" i="4"/>
  <c r="V320" i="4"/>
  <c r="U321" i="4"/>
  <c r="T322" i="4"/>
  <c r="S323" i="4"/>
  <c r="V324" i="4"/>
  <c r="U325" i="4"/>
  <c r="T326" i="4"/>
  <c r="V327" i="4"/>
  <c r="T328" i="4"/>
  <c r="S329" i="4"/>
  <c r="V330" i="4"/>
  <c r="T332" i="4"/>
  <c r="S333" i="4"/>
  <c r="V334" i="4"/>
  <c r="T336" i="4"/>
  <c r="V337" i="4"/>
  <c r="U338" i="4"/>
  <c r="T339" i="4"/>
  <c r="S340" i="4"/>
  <c r="V341" i="4"/>
  <c r="U342" i="4"/>
  <c r="S345" i="4"/>
  <c r="V346" i="4"/>
  <c r="U347" i="4"/>
  <c r="V349" i="4"/>
  <c r="U350" i="4"/>
  <c r="T351" i="4"/>
  <c r="S352" i="4"/>
  <c r="V353" i="4"/>
  <c r="U354" i="4"/>
  <c r="T355" i="4"/>
  <c r="S356" i="4"/>
  <c r="V357" i="4"/>
  <c r="U358" i="4"/>
  <c r="V360" i="4"/>
  <c r="T361" i="4"/>
  <c r="S362" i="4"/>
  <c r="U363" i="4"/>
  <c r="T364" i="4"/>
  <c r="V365" i="4"/>
  <c r="U366" i="4"/>
  <c r="T367" i="4"/>
  <c r="S368" i="4"/>
  <c r="U370" i="4"/>
  <c r="T371" i="4"/>
  <c r="V372" i="4"/>
  <c r="S374" i="4"/>
  <c r="U375" i="4"/>
  <c r="T376" i="4"/>
  <c r="T378" i="4"/>
  <c r="S379" i="4"/>
  <c r="V380" i="4"/>
  <c r="T381" i="4"/>
  <c r="S382" i="4"/>
  <c r="V383" i="4"/>
  <c r="U384" i="4"/>
  <c r="T385" i="4"/>
  <c r="S386" i="4"/>
  <c r="V387" i="4"/>
  <c r="U388" i="4"/>
  <c r="T389" i="4"/>
  <c r="S390" i="4"/>
  <c r="V392" i="4"/>
  <c r="T394" i="4"/>
  <c r="T397" i="4"/>
  <c r="S398" i="4"/>
  <c r="V399" i="4"/>
  <c r="U400" i="4"/>
  <c r="S402" i="4"/>
  <c r="V403" i="4"/>
  <c r="T404" i="4"/>
  <c r="V405" i="4"/>
  <c r="U406" i="4"/>
  <c r="T407" i="4"/>
  <c r="V408" i="4"/>
  <c r="U409" i="4"/>
  <c r="T410" i="4"/>
  <c r="S411" i="4"/>
  <c r="V412" i="4"/>
  <c r="U413" i="4"/>
  <c r="T414" i="4"/>
  <c r="S415" i="4"/>
  <c r="V416" i="4"/>
  <c r="T418" i="4"/>
  <c r="S419" i="4"/>
  <c r="V420" i="4"/>
  <c r="U421" i="4"/>
  <c r="T422" i="4"/>
  <c r="S423" i="4"/>
  <c r="V424" i="4"/>
  <c r="T425" i="4"/>
  <c r="S426" i="4"/>
  <c r="U427" i="4"/>
  <c r="S428" i="4"/>
  <c r="T430" i="4"/>
  <c r="V431" i="4"/>
  <c r="U432" i="4"/>
  <c r="S434" i="4"/>
  <c r="V256" i="7"/>
  <c r="T372" i="7"/>
  <c r="S425" i="7"/>
  <c r="T476" i="7"/>
  <c r="V25" i="4"/>
  <c r="U65" i="4"/>
  <c r="S90" i="4"/>
  <c r="U116" i="4"/>
  <c r="S128" i="4"/>
  <c r="T140" i="4"/>
  <c r="V185" i="4"/>
  <c r="U198" i="4"/>
  <c r="T220" i="4"/>
  <c r="U227" i="4"/>
  <c r="S239" i="4"/>
  <c r="U245" i="4"/>
  <c r="S257" i="4"/>
  <c r="T259" i="4"/>
  <c r="T262" i="4"/>
  <c r="U265" i="4"/>
  <c r="S286" i="4"/>
  <c r="T289" i="4"/>
  <c r="T291" i="4"/>
  <c r="U294" i="4"/>
  <c r="U296" i="4"/>
  <c r="V299" i="4"/>
  <c r="V302" i="4"/>
  <c r="V306" i="4"/>
  <c r="S313" i="4"/>
  <c r="T316" i="4"/>
  <c r="T319" i="4"/>
  <c r="U322" i="4"/>
  <c r="V325" i="4"/>
  <c r="S334" i="4"/>
  <c r="S337" i="4"/>
  <c r="T340" i="4"/>
  <c r="V347" i="4"/>
  <c r="V350" i="4"/>
  <c r="S357" i="4"/>
  <c r="S360" i="4"/>
  <c r="T362" i="4"/>
  <c r="U364" i="4"/>
  <c r="V366" i="4"/>
  <c r="V375" i="4"/>
  <c r="S387" i="4"/>
  <c r="T390" i="4"/>
  <c r="U394" i="4"/>
  <c r="U397" i="4"/>
  <c r="V400" i="4"/>
  <c r="V406" i="4"/>
  <c r="V409" i="4"/>
  <c r="S416" i="4"/>
  <c r="T419" i="4"/>
  <c r="U422" i="4"/>
  <c r="U425" i="4"/>
  <c r="V427" i="4"/>
  <c r="U430" i="4"/>
  <c r="V435" i="4"/>
  <c r="T437" i="4"/>
  <c r="T440" i="4"/>
  <c r="T443" i="4"/>
  <c r="U446" i="4"/>
  <c r="S447" i="4"/>
  <c r="V449" i="4"/>
  <c r="S451" i="4"/>
  <c r="U452" i="4"/>
  <c r="S454" i="4"/>
  <c r="V455" i="4"/>
  <c r="T457" i="4"/>
  <c r="U460" i="4"/>
  <c r="S462" i="4"/>
  <c r="V463" i="4"/>
  <c r="T465" i="4"/>
  <c r="U468" i="4"/>
  <c r="T471" i="4"/>
  <c r="U474" i="4"/>
  <c r="S477" i="4"/>
  <c r="V478" i="4"/>
  <c r="T480" i="4"/>
  <c r="V481" i="4"/>
  <c r="T483" i="4"/>
  <c r="U486" i="4"/>
  <c r="S488" i="4"/>
  <c r="U5" i="4"/>
  <c r="R11" i="4"/>
  <c r="R19" i="4"/>
  <c r="R27" i="4"/>
  <c r="R35" i="4"/>
  <c r="R43" i="4"/>
  <c r="R57" i="4"/>
  <c r="R65" i="4"/>
  <c r="R73" i="4"/>
  <c r="R89" i="4"/>
  <c r="R95" i="4"/>
  <c r="R99" i="4"/>
  <c r="R103" i="4"/>
  <c r="R107" i="4"/>
  <c r="R111" i="4"/>
  <c r="R116" i="4"/>
  <c r="R120" i="4"/>
  <c r="R124" i="4"/>
  <c r="R127" i="4"/>
  <c r="R131" i="4"/>
  <c r="R135" i="4"/>
  <c r="R139" i="4"/>
  <c r="R143" i="4"/>
  <c r="R147" i="4"/>
  <c r="R151" i="4"/>
  <c r="R155" i="4"/>
  <c r="R158" i="4"/>
  <c r="R162" i="4"/>
  <c r="R166" i="4"/>
  <c r="R170" i="4"/>
  <c r="R176" i="4"/>
  <c r="R180" i="4"/>
  <c r="R183" i="4"/>
  <c r="R186" i="4"/>
  <c r="R190" i="4"/>
  <c r="R194" i="4"/>
  <c r="R198" i="4"/>
  <c r="R202" i="4"/>
  <c r="R206" i="4"/>
  <c r="R209" i="4"/>
  <c r="R214" i="4"/>
  <c r="R217" i="4"/>
  <c r="R221" i="4"/>
  <c r="R225" i="4"/>
  <c r="R230" i="4"/>
  <c r="R234" i="4"/>
  <c r="R241" i="4"/>
  <c r="R245" i="4"/>
  <c r="R252" i="4"/>
  <c r="R256" i="4"/>
  <c r="R259" i="4"/>
  <c r="R263" i="4"/>
  <c r="R266" i="4"/>
  <c r="R280" i="4"/>
  <c r="R284" i="4"/>
  <c r="R290" i="4"/>
  <c r="R294" i="4"/>
  <c r="R297" i="4"/>
  <c r="R301" i="4"/>
  <c r="R306" i="4"/>
  <c r="R310" i="4"/>
  <c r="R314" i="4"/>
  <c r="R318" i="4"/>
  <c r="R322" i="4"/>
  <c r="R326" i="4"/>
  <c r="R329" i="4"/>
  <c r="R333" i="4"/>
  <c r="R337" i="4"/>
  <c r="R341" i="4"/>
  <c r="R346" i="4"/>
  <c r="R350" i="4"/>
  <c r="R354" i="4"/>
  <c r="R358" i="4"/>
  <c r="R361" i="4"/>
  <c r="R364" i="4"/>
  <c r="R367" i="4"/>
  <c r="R371" i="4"/>
  <c r="R375" i="4"/>
  <c r="R378" i="4"/>
  <c r="R382" i="4"/>
  <c r="R386" i="4"/>
  <c r="R390" i="4"/>
  <c r="R399" i="4"/>
  <c r="R403" i="4"/>
  <c r="R407" i="4"/>
  <c r="R411" i="4"/>
  <c r="R415" i="4"/>
  <c r="R419" i="4"/>
  <c r="R423" i="4"/>
  <c r="R430" i="4"/>
  <c r="R434" i="4"/>
  <c r="R438" i="4"/>
  <c r="R442" i="4"/>
  <c r="R446" i="4"/>
  <c r="R451" i="4"/>
  <c r="R455" i="4"/>
  <c r="R459" i="4"/>
  <c r="R463" i="4"/>
  <c r="R467" i="4"/>
  <c r="R471" i="4"/>
  <c r="R475" i="4"/>
  <c r="R479" i="4"/>
  <c r="R483" i="4"/>
  <c r="R487" i="4"/>
  <c r="T489" i="4"/>
  <c r="U4" i="4"/>
  <c r="S463" i="7"/>
  <c r="V363" i="4"/>
  <c r="V432" i="4"/>
  <c r="S449" i="4"/>
  <c r="U461" i="4"/>
  <c r="T472" i="4"/>
  <c r="S481" i="4"/>
  <c r="R32" i="4"/>
  <c r="R62" i="4"/>
  <c r="R94" i="4"/>
  <c r="R110" i="4"/>
  <c r="R126" i="4"/>
  <c r="R146" i="4"/>
  <c r="R193" i="4"/>
  <c r="R229" i="4"/>
  <c r="R244" i="4"/>
  <c r="R255" i="4"/>
  <c r="R272" i="4"/>
  <c r="R305" i="4"/>
  <c r="R325" i="4"/>
  <c r="R345" i="4"/>
  <c r="R374" i="4"/>
  <c r="R394" i="4"/>
  <c r="R410" i="4"/>
  <c r="R466" i="4"/>
  <c r="R478" i="4"/>
  <c r="S307" i="7"/>
  <c r="W384" i="7"/>
  <c r="U438" i="7"/>
  <c r="V488" i="7"/>
  <c r="V68" i="4"/>
  <c r="T93" i="4"/>
  <c r="V119" i="4"/>
  <c r="T131" i="4"/>
  <c r="U143" i="4"/>
  <c r="S156" i="4"/>
  <c r="V167" i="4"/>
  <c r="U201" i="4"/>
  <c r="S214" i="4"/>
  <c r="S229" i="4"/>
  <c r="U235" i="4"/>
  <c r="V240" i="4"/>
  <c r="S247" i="4"/>
  <c r="T252" i="4"/>
  <c r="S263" i="4"/>
  <c r="U268" i="4"/>
  <c r="U278" i="4"/>
  <c r="V281" i="4"/>
  <c r="V284" i="4"/>
  <c r="S292" i="4"/>
  <c r="S295" i="4"/>
  <c r="T297" i="4"/>
  <c r="T300" i="4"/>
  <c r="U307" i="4"/>
  <c r="V310" i="4"/>
  <c r="S317" i="4"/>
  <c r="S320" i="4"/>
  <c r="T323" i="4"/>
  <c r="U326" i="4"/>
  <c r="U328" i="4"/>
  <c r="S341" i="4"/>
  <c r="T345" i="4"/>
  <c r="U351" i="4"/>
  <c r="V354" i="4"/>
  <c r="U367" i="4"/>
  <c r="V370" i="4"/>
  <c r="U376" i="4"/>
  <c r="U378" i="4"/>
  <c r="U381" i="4"/>
  <c r="V384" i="4"/>
  <c r="S392" i="4"/>
  <c r="T398" i="4"/>
  <c r="U404" i="4"/>
  <c r="U407" i="4"/>
  <c r="U410" i="4"/>
  <c r="V413" i="4"/>
  <c r="S420" i="4"/>
  <c r="T423" i="4"/>
  <c r="T426" i="4"/>
  <c r="T428" i="4"/>
  <c r="S431" i="4"/>
  <c r="T434" i="4"/>
  <c r="U437" i="4"/>
  <c r="S439" i="4"/>
  <c r="U440" i="4"/>
  <c r="S442" i="4"/>
  <c r="U443" i="4"/>
  <c r="S445" i="4"/>
  <c r="V446" i="4"/>
  <c r="T447" i="4"/>
  <c r="T451" i="4"/>
  <c r="V452" i="4"/>
  <c r="T454" i="4"/>
  <c r="U457" i="4"/>
  <c r="S459" i="4"/>
  <c r="V460" i="4"/>
  <c r="T462" i="4"/>
  <c r="U465" i="4"/>
  <c r="S467" i="4"/>
  <c r="V468" i="4"/>
  <c r="U471" i="4"/>
  <c r="S473" i="4"/>
  <c r="V474" i="4"/>
  <c r="T477" i="4"/>
  <c r="U480" i="4"/>
  <c r="U483" i="4"/>
  <c r="S485" i="4"/>
  <c r="V486" i="4"/>
  <c r="T488" i="4"/>
  <c r="V5" i="4"/>
  <c r="R12" i="4"/>
  <c r="R20" i="4"/>
  <c r="R28" i="4"/>
  <c r="R36" i="4"/>
  <c r="R44" i="4"/>
  <c r="R50" i="4"/>
  <c r="R58" i="4"/>
  <c r="R74" i="4"/>
  <c r="R82" i="4"/>
  <c r="R90" i="4"/>
  <c r="R96" i="4"/>
  <c r="R104" i="4"/>
  <c r="R108" i="4"/>
  <c r="R117" i="4"/>
  <c r="R121" i="4"/>
  <c r="R125" i="4"/>
  <c r="R128" i="4"/>
  <c r="R132" i="4"/>
  <c r="R136" i="4"/>
  <c r="R140" i="4"/>
  <c r="R144" i="4"/>
  <c r="R148" i="4"/>
  <c r="R156" i="4"/>
  <c r="R163" i="4"/>
  <c r="R167" i="4"/>
  <c r="R171" i="4"/>
  <c r="R178" i="4"/>
  <c r="R181" i="4"/>
  <c r="R187" i="4"/>
  <c r="R191" i="4"/>
  <c r="R195" i="4"/>
  <c r="R199" i="4"/>
  <c r="R203" i="4"/>
  <c r="R207" i="4"/>
  <c r="R215" i="4"/>
  <c r="R218" i="4"/>
  <c r="R222" i="4"/>
  <c r="R227" i="4"/>
  <c r="R231" i="4"/>
  <c r="R235" i="4"/>
  <c r="R238" i="4"/>
  <c r="R242" i="4"/>
  <c r="R246" i="4"/>
  <c r="R249" i="4"/>
  <c r="R253" i="4"/>
  <c r="R257" i="4"/>
  <c r="R260" i="4"/>
  <c r="R264" i="4"/>
  <c r="R273" i="4"/>
  <c r="R277" i="4"/>
  <c r="R281" i="4"/>
  <c r="R288" i="4"/>
  <c r="R291" i="4"/>
  <c r="R295" i="4"/>
  <c r="R307" i="4"/>
  <c r="R311" i="4"/>
  <c r="R315" i="4"/>
  <c r="R319" i="4"/>
  <c r="R323" i="4"/>
  <c r="R330" i="4"/>
  <c r="R334" i="4"/>
  <c r="R338" i="4"/>
  <c r="R342" i="4"/>
  <c r="R347" i="4"/>
  <c r="R351" i="4"/>
  <c r="R355" i="4"/>
  <c r="R362" i="4"/>
  <c r="R368" i="4"/>
  <c r="R372" i="4"/>
  <c r="R376" i="4"/>
  <c r="R379" i="4"/>
  <c r="R383" i="4"/>
  <c r="R387" i="4"/>
  <c r="R392" i="4"/>
  <c r="R400" i="4"/>
  <c r="R404" i="4"/>
  <c r="R408" i="4"/>
  <c r="R412" i="4"/>
  <c r="R416" i="4"/>
  <c r="R420" i="4"/>
  <c r="R424" i="4"/>
  <c r="R427" i="4"/>
  <c r="R431" i="4"/>
  <c r="R435" i="4"/>
  <c r="R439" i="4"/>
  <c r="R443" i="4"/>
  <c r="R452" i="4"/>
  <c r="R456" i="4"/>
  <c r="R460" i="4"/>
  <c r="R464" i="4"/>
  <c r="R468" i="4"/>
  <c r="R472" i="4"/>
  <c r="R476" i="4"/>
  <c r="R480" i="4"/>
  <c r="R484" i="4"/>
  <c r="R488" i="4"/>
  <c r="U489" i="4"/>
  <c r="V4" i="4"/>
  <c r="U409" i="7"/>
  <c r="S513" i="7"/>
  <c r="U60" i="4"/>
  <c r="S87" i="4"/>
  <c r="T137" i="4"/>
  <c r="U161" i="4"/>
  <c r="U183" i="4"/>
  <c r="V218" i="4"/>
  <c r="T232" i="4"/>
  <c r="U255" i="4"/>
  <c r="U261" i="4"/>
  <c r="S272" i="4"/>
  <c r="S277" i="4"/>
  <c r="S283" i="4"/>
  <c r="U288" i="4"/>
  <c r="V293" i="4"/>
  <c r="T312" i="4"/>
  <c r="U315" i="4"/>
  <c r="V321" i="4"/>
  <c r="S327" i="4"/>
  <c r="T333" i="4"/>
  <c r="V342" i="4"/>
  <c r="T356" i="4"/>
  <c r="U361" i="4"/>
  <c r="S372" i="4"/>
  <c r="S383" i="4"/>
  <c r="U389" i="4"/>
  <c r="S412" i="4"/>
  <c r="U418" i="4"/>
  <c r="S435" i="4"/>
  <c r="T438" i="4"/>
  <c r="T441" i="4"/>
  <c r="T444" i="4"/>
  <c r="S455" i="4"/>
  <c r="T458" i="4"/>
  <c r="S463" i="4"/>
  <c r="T466" i="4"/>
  <c r="T469" i="4"/>
  <c r="S478" i="4"/>
  <c r="V482" i="4"/>
  <c r="R5" i="4"/>
  <c r="R16" i="4"/>
  <c r="R40" i="4"/>
  <c r="R54" i="4"/>
  <c r="R79" i="4"/>
  <c r="R98" i="4"/>
  <c r="R119" i="4"/>
  <c r="R130" i="4"/>
  <c r="R138" i="4"/>
  <c r="R150" i="4"/>
  <c r="R161" i="4"/>
  <c r="R169" i="4"/>
  <c r="R179" i="4"/>
  <c r="R185" i="4"/>
  <c r="R205" i="4"/>
  <c r="R224" i="4"/>
  <c r="R240" i="4"/>
  <c r="R251" i="4"/>
  <c r="R262" i="4"/>
  <c r="R283" i="4"/>
  <c r="R293" i="4"/>
  <c r="R300" i="4"/>
  <c r="R313" i="4"/>
  <c r="R321" i="4"/>
  <c r="R332" i="4"/>
  <c r="R336" i="4"/>
  <c r="R349" i="4"/>
  <c r="R357" i="4"/>
  <c r="R366" i="4"/>
  <c r="R385" i="4"/>
  <c r="R398" i="4"/>
  <c r="R406" i="4"/>
  <c r="R418" i="4"/>
  <c r="R422" i="4"/>
  <c r="R441" i="4"/>
  <c r="R450" i="4"/>
  <c r="R458" i="4"/>
  <c r="R482" i="4"/>
  <c r="S489" i="4"/>
  <c r="T346" i="7"/>
  <c r="S397" i="7"/>
  <c r="S451" i="7"/>
  <c r="S501" i="7"/>
  <c r="T48" i="4"/>
  <c r="U96" i="4"/>
  <c r="S109" i="4"/>
  <c r="S134" i="4"/>
  <c r="V146" i="4"/>
  <c r="T158" i="4"/>
  <c r="V170" i="4"/>
  <c r="T181" i="4"/>
  <c r="S192" i="4"/>
  <c r="U204" i="4"/>
  <c r="U223" i="4"/>
  <c r="V230" i="4"/>
  <c r="T242" i="4"/>
  <c r="V248" i="4"/>
  <c r="V260" i="4"/>
  <c r="S266" i="4"/>
  <c r="T271" i="4"/>
  <c r="T273" i="4"/>
  <c r="T279" i="4"/>
  <c r="U282" i="4"/>
  <c r="S301" i="4"/>
  <c r="S305" i="4"/>
  <c r="T308" i="4"/>
  <c r="U311" i="4"/>
  <c r="V314" i="4"/>
  <c r="S324" i="4"/>
  <c r="T329" i="4"/>
  <c r="U332" i="4"/>
  <c r="V338" i="4"/>
  <c r="S346" i="4"/>
  <c r="S349" i="4"/>
  <c r="T352" i="4"/>
  <c r="U355" i="4"/>
  <c r="V358" i="4"/>
  <c r="S365" i="4"/>
  <c r="T368" i="4"/>
  <c r="U371" i="4"/>
  <c r="T374" i="4"/>
  <c r="T379" i="4"/>
  <c r="T382" i="4"/>
  <c r="U385" i="4"/>
  <c r="V388" i="4"/>
  <c r="S399" i="4"/>
  <c r="T402" i="4"/>
  <c r="S405" i="4"/>
  <c r="S408" i="4"/>
  <c r="T411" i="4"/>
  <c r="U414" i="4"/>
  <c r="S424" i="4"/>
  <c r="U436" i="4"/>
  <c r="S438" i="4"/>
  <c r="V439" i="4"/>
  <c r="S441" i="4"/>
  <c r="V442" i="4"/>
  <c r="S444" i="4"/>
  <c r="V445" i="4"/>
  <c r="U450" i="4"/>
  <c r="T453" i="4"/>
  <c r="U456" i="4"/>
  <c r="S458" i="4"/>
  <c r="V459" i="4"/>
  <c r="T461" i="4"/>
  <c r="U464" i="4"/>
  <c r="S466" i="4"/>
  <c r="V467" i="4"/>
  <c r="S469" i="4"/>
  <c r="S472" i="4"/>
  <c r="V473" i="4"/>
  <c r="S475" i="4"/>
  <c r="U476" i="4"/>
  <c r="U479" i="4"/>
  <c r="U482" i="4"/>
  <c r="S484" i="4"/>
  <c r="V485" i="4"/>
  <c r="T487" i="4"/>
  <c r="R15" i="4"/>
  <c r="R23" i="4"/>
  <c r="R31" i="4"/>
  <c r="R39" i="4"/>
  <c r="R46" i="4"/>
  <c r="R53" i="4"/>
  <c r="R61" i="4"/>
  <c r="R69" i="4"/>
  <c r="R78" i="4"/>
  <c r="R85" i="4"/>
  <c r="R93" i="4"/>
  <c r="R97" i="4"/>
  <c r="R100" i="4"/>
  <c r="R105" i="4"/>
  <c r="R109" i="4"/>
  <c r="R114" i="4"/>
  <c r="R118" i="4"/>
  <c r="R122" i="4"/>
  <c r="R129" i="4"/>
  <c r="R133" i="4"/>
  <c r="R137" i="4"/>
  <c r="R141" i="4"/>
  <c r="R145" i="4"/>
  <c r="R149" i="4"/>
  <c r="R153" i="4"/>
  <c r="R157" i="4"/>
  <c r="R160" i="4"/>
  <c r="R168" i="4"/>
  <c r="R172" i="4"/>
  <c r="R182" i="4"/>
  <c r="R184" i="4"/>
  <c r="R188" i="4"/>
  <c r="R192" i="4"/>
  <c r="R196" i="4"/>
  <c r="R200" i="4"/>
  <c r="R204" i="4"/>
  <c r="R208" i="4"/>
  <c r="R211" i="4"/>
  <c r="R216" i="4"/>
  <c r="R219" i="4"/>
  <c r="R223" i="4"/>
  <c r="R228" i="4"/>
  <c r="R232" i="4"/>
  <c r="R236" i="4"/>
  <c r="R239" i="4"/>
  <c r="R243" i="4"/>
  <c r="R247" i="4"/>
  <c r="R250" i="4"/>
  <c r="R254" i="4"/>
  <c r="R261" i="4"/>
  <c r="R265" i="4"/>
  <c r="R268" i="4"/>
  <c r="R271" i="4"/>
  <c r="R278" i="4"/>
  <c r="R282" i="4"/>
  <c r="R285" i="4"/>
  <c r="R289" i="4"/>
  <c r="R292" i="4"/>
  <c r="R299" i="4"/>
  <c r="R308" i="4"/>
  <c r="R312" i="4"/>
  <c r="R316" i="4"/>
  <c r="R320" i="4"/>
  <c r="R324" i="4"/>
  <c r="R327" i="4"/>
  <c r="R339" i="4"/>
  <c r="R352" i="4"/>
  <c r="R356" i="4"/>
  <c r="R360" i="4"/>
  <c r="R365" i="4"/>
  <c r="R380" i="4"/>
  <c r="R384" i="4"/>
  <c r="R388" i="4"/>
  <c r="R397" i="4"/>
  <c r="R405" i="4"/>
  <c r="R409" i="4"/>
  <c r="R413" i="4"/>
  <c r="R421" i="4"/>
  <c r="R425" i="4"/>
  <c r="R428" i="4"/>
  <c r="R432" i="4"/>
  <c r="R436" i="4"/>
  <c r="R440" i="4"/>
  <c r="R444" i="4"/>
  <c r="R447" i="4"/>
  <c r="R449" i="4"/>
  <c r="R453" i="4"/>
  <c r="R457" i="4"/>
  <c r="R461" i="4"/>
  <c r="R465" i="4"/>
  <c r="R469" i="4"/>
  <c r="R473" i="4"/>
  <c r="R477" i="4"/>
  <c r="R481" i="4"/>
  <c r="R485" i="4"/>
  <c r="R489" i="4"/>
  <c r="V489" i="4"/>
  <c r="W4" i="4"/>
  <c r="V358" i="7"/>
  <c r="V74" i="4"/>
  <c r="V99" i="4"/>
  <c r="T195" i="4"/>
  <c r="V207" i="4"/>
  <c r="T249" i="4"/>
  <c r="U258" i="4"/>
  <c r="V264" i="4"/>
  <c r="S280" i="4"/>
  <c r="T285" i="4"/>
  <c r="V290" i="4"/>
  <c r="S309" i="4"/>
  <c r="V318" i="4"/>
  <c r="S330" i="4"/>
  <c r="U336" i="4"/>
  <c r="U339" i="4"/>
  <c r="S353" i="4"/>
  <c r="S380" i="4"/>
  <c r="T386" i="4"/>
  <c r="S403" i="4"/>
  <c r="T415" i="4"/>
  <c r="V421" i="4"/>
  <c r="V436" i="4"/>
  <c r="V450" i="4"/>
  <c r="U453" i="4"/>
  <c r="V456" i="4"/>
  <c r="V464" i="4"/>
  <c r="T475" i="4"/>
  <c r="V476" i="4"/>
  <c r="V479" i="4"/>
  <c r="T484" i="4"/>
  <c r="U487" i="4"/>
  <c r="R8" i="4"/>
  <c r="R24" i="4"/>
  <c r="R86" i="4"/>
  <c r="R102" i="4"/>
  <c r="R115" i="4"/>
  <c r="R134" i="4"/>
  <c r="R142" i="4"/>
  <c r="R154" i="4"/>
  <c r="R165" i="4"/>
  <c r="R173" i="4"/>
  <c r="R189" i="4"/>
  <c r="R201" i="4"/>
  <c r="R213" i="4"/>
  <c r="R220" i="4"/>
  <c r="R237" i="4"/>
  <c r="R248" i="4"/>
  <c r="R258" i="4"/>
  <c r="R279" i="4"/>
  <c r="R286" i="4"/>
  <c r="R296" i="4"/>
  <c r="R309" i="4"/>
  <c r="R317" i="4"/>
  <c r="R328" i="4"/>
  <c r="R340" i="4"/>
  <c r="R353" i="4"/>
  <c r="R363" i="4"/>
  <c r="R370" i="4"/>
  <c r="R381" i="4"/>
  <c r="R389" i="4"/>
  <c r="R402" i="4"/>
  <c r="R414" i="4"/>
  <c r="R426" i="4"/>
  <c r="R437" i="4"/>
  <c r="R445" i="4"/>
  <c r="R454" i="4"/>
  <c r="R462" i="4"/>
  <c r="R474" i="4"/>
  <c r="R486" i="4"/>
  <c r="W492" i="4"/>
  <c r="V75" i="4"/>
  <c r="R75" i="4"/>
  <c r="P214" i="7"/>
  <c r="L214" i="7"/>
  <c r="H214" i="7"/>
  <c r="D214" i="7"/>
  <c r="P140" i="7"/>
  <c r="L140" i="7"/>
  <c r="H140" i="7"/>
  <c r="D140" i="7"/>
  <c r="P72" i="7"/>
  <c r="L72" i="7"/>
  <c r="H72" i="7"/>
  <c r="D72" i="7"/>
  <c r="P57" i="7"/>
  <c r="L57" i="7"/>
  <c r="H57" i="7"/>
  <c r="D57" i="7"/>
  <c r="P14" i="7"/>
  <c r="L14" i="7"/>
  <c r="H14" i="7"/>
  <c r="D14" i="7"/>
  <c r="P93" i="7"/>
  <c r="L93" i="7"/>
  <c r="H93" i="7"/>
  <c r="D93" i="7"/>
  <c r="P206" i="4"/>
  <c r="L206" i="4"/>
  <c r="H206" i="4"/>
  <c r="D206" i="4"/>
  <c r="P137" i="4"/>
  <c r="L137" i="4"/>
  <c r="H137" i="4"/>
  <c r="D137" i="4"/>
  <c r="H70" i="4"/>
  <c r="D70" i="4"/>
  <c r="P13" i="4"/>
  <c r="L13" i="4"/>
  <c r="H13" i="4"/>
  <c r="D13" i="4"/>
  <c r="P91" i="4"/>
  <c r="L91" i="4"/>
  <c r="H91" i="4"/>
  <c r="D91" i="4"/>
  <c r="R214" i="7"/>
  <c r="N214" i="7"/>
  <c r="J214" i="7"/>
  <c r="F214" i="7"/>
  <c r="R140" i="7"/>
  <c r="N140" i="7"/>
  <c r="J140" i="7"/>
  <c r="F140" i="7"/>
  <c r="R72" i="7"/>
  <c r="N72" i="7"/>
  <c r="J72" i="7"/>
  <c r="F72" i="7"/>
  <c r="R57" i="7"/>
  <c r="N57" i="7"/>
  <c r="J57" i="7"/>
  <c r="F57" i="7"/>
  <c r="R14" i="7"/>
  <c r="N14" i="7"/>
  <c r="J14" i="7"/>
  <c r="F14" i="7"/>
  <c r="R93" i="7"/>
  <c r="N93" i="7"/>
  <c r="J93" i="7"/>
  <c r="F93" i="7"/>
  <c r="N206" i="4"/>
  <c r="J206" i="4"/>
  <c r="F206" i="4"/>
  <c r="N137" i="4"/>
  <c r="J137" i="4"/>
  <c r="F137" i="4"/>
  <c r="F70" i="4"/>
  <c r="N13" i="4"/>
  <c r="J13" i="4"/>
  <c r="F13" i="4"/>
  <c r="N91" i="4"/>
  <c r="J91" i="4"/>
  <c r="F91" i="4"/>
  <c r="M214" i="7"/>
  <c r="E214" i="7"/>
  <c r="M140" i="7"/>
  <c r="E140" i="7"/>
  <c r="M72" i="7"/>
  <c r="E72" i="7"/>
  <c r="M57" i="7"/>
  <c r="E57" i="7"/>
  <c r="M14" i="7"/>
  <c r="E14" i="7"/>
  <c r="M93" i="7"/>
  <c r="E93" i="7"/>
  <c r="M206" i="4"/>
  <c r="E206" i="4"/>
  <c r="M137" i="4"/>
  <c r="E137" i="4"/>
  <c r="E70" i="4"/>
  <c r="M13" i="4"/>
  <c r="E13" i="4"/>
  <c r="M91" i="4"/>
  <c r="E91" i="4"/>
  <c r="K214" i="7"/>
  <c r="K140" i="7"/>
  <c r="K206" i="4"/>
  <c r="K137" i="4"/>
  <c r="K13" i="4"/>
  <c r="K91" i="4"/>
  <c r="K72" i="7"/>
  <c r="K57" i="7"/>
  <c r="K14" i="7"/>
  <c r="K93" i="7"/>
  <c r="C206" i="4"/>
  <c r="C137" i="4"/>
  <c r="C70" i="4"/>
  <c r="C13" i="4"/>
  <c r="C91" i="4"/>
  <c r="Q214" i="7"/>
  <c r="I214" i="7"/>
  <c r="Q140" i="7"/>
  <c r="I140" i="7"/>
  <c r="Q72" i="7"/>
  <c r="I72" i="7"/>
  <c r="Q57" i="7"/>
  <c r="I57" i="7"/>
  <c r="Q14" i="7"/>
  <c r="I14" i="7"/>
  <c r="Q93" i="7"/>
  <c r="I93" i="7"/>
  <c r="Q206" i="4"/>
  <c r="I206" i="4"/>
  <c r="Q137" i="4"/>
  <c r="I137" i="4"/>
  <c r="I70" i="4"/>
  <c r="Q13" i="4"/>
  <c r="I13" i="4"/>
  <c r="Q91" i="4"/>
  <c r="I91" i="4"/>
  <c r="O214" i="7"/>
  <c r="G214" i="7"/>
  <c r="O140" i="7"/>
  <c r="G140" i="7"/>
  <c r="O72" i="7"/>
  <c r="G72" i="7"/>
  <c r="O57" i="7"/>
  <c r="G57" i="7"/>
  <c r="O14" i="7"/>
  <c r="G14" i="7"/>
  <c r="O93" i="7"/>
  <c r="G93" i="7"/>
  <c r="O206" i="4"/>
  <c r="G206" i="4"/>
  <c r="O137" i="4"/>
  <c r="G137" i="4"/>
  <c r="G70" i="4"/>
  <c r="O13" i="4"/>
  <c r="G13" i="4"/>
  <c r="O91" i="4"/>
  <c r="G91" i="4"/>
  <c r="D5" i="7"/>
  <c r="H5" i="7"/>
  <c r="L5" i="7"/>
  <c r="P5" i="7"/>
  <c r="D6" i="7"/>
  <c r="H6" i="7"/>
  <c r="L6" i="7"/>
  <c r="P6" i="7"/>
  <c r="D7" i="7"/>
  <c r="H7" i="7"/>
  <c r="L7" i="7"/>
  <c r="P7" i="7"/>
  <c r="D8" i="7"/>
  <c r="H8" i="7"/>
  <c r="D9" i="7"/>
  <c r="H9" i="7"/>
  <c r="L9" i="7"/>
  <c r="P9" i="7"/>
  <c r="D10" i="7"/>
  <c r="H10" i="7"/>
  <c r="L10" i="7"/>
  <c r="P10" i="7"/>
  <c r="D11" i="7"/>
  <c r="H11" i="7"/>
  <c r="L11" i="7"/>
  <c r="P11" i="7"/>
  <c r="D13" i="7"/>
  <c r="H13" i="7"/>
  <c r="L13" i="7"/>
  <c r="P13" i="7"/>
  <c r="D15" i="7"/>
  <c r="H15" i="7"/>
  <c r="L15" i="7"/>
  <c r="P15" i="7"/>
  <c r="D16" i="7"/>
  <c r="H16" i="7"/>
  <c r="L16" i="7"/>
  <c r="P16" i="7"/>
  <c r="D17" i="7"/>
  <c r="H17" i="7"/>
  <c r="L17" i="7"/>
  <c r="P17" i="7"/>
  <c r="D19" i="7"/>
  <c r="H19" i="7"/>
  <c r="L19" i="7"/>
  <c r="P19" i="7"/>
  <c r="D20" i="7"/>
  <c r="H20" i="7"/>
  <c r="L20" i="7"/>
  <c r="P20" i="7"/>
  <c r="D21" i="7"/>
  <c r="E5" i="7"/>
  <c r="I5" i="7"/>
  <c r="M5" i="7"/>
  <c r="Q5" i="7"/>
  <c r="E6" i="7"/>
  <c r="I6" i="7"/>
  <c r="M6" i="7"/>
  <c r="Q6" i="7"/>
  <c r="E7" i="7"/>
  <c r="I7" i="7"/>
  <c r="M7" i="7"/>
  <c r="Q7" i="7"/>
  <c r="E8" i="7"/>
  <c r="I8" i="7"/>
  <c r="E9" i="7"/>
  <c r="I9" i="7"/>
  <c r="M9" i="7"/>
  <c r="Q9" i="7"/>
  <c r="E10" i="7"/>
  <c r="I10" i="7"/>
  <c r="M10" i="7"/>
  <c r="Q10" i="7"/>
  <c r="E11" i="7"/>
  <c r="I11" i="7"/>
  <c r="M11" i="7"/>
  <c r="Q11" i="7"/>
  <c r="E13" i="7"/>
  <c r="I13" i="7"/>
  <c r="M13" i="7"/>
  <c r="Q13" i="7"/>
  <c r="E15" i="7"/>
  <c r="I15" i="7"/>
  <c r="M15" i="7"/>
  <c r="Q15" i="7"/>
  <c r="E16" i="7"/>
  <c r="I16" i="7"/>
  <c r="M16" i="7"/>
  <c r="Q16" i="7"/>
  <c r="E17" i="7"/>
  <c r="I17" i="7"/>
  <c r="M17" i="7"/>
  <c r="Q17" i="7"/>
  <c r="E19" i="7"/>
  <c r="I19" i="7"/>
  <c r="M19" i="7"/>
  <c r="Q19" i="7"/>
  <c r="E20" i="7"/>
  <c r="I20" i="7"/>
  <c r="M20" i="7"/>
  <c r="Q20" i="7"/>
  <c r="E21" i="7"/>
  <c r="I21" i="7"/>
  <c r="M21" i="7"/>
  <c r="Q21" i="7"/>
  <c r="E22" i="7"/>
  <c r="I22" i="7"/>
  <c r="M22" i="7"/>
  <c r="Q22" i="7"/>
  <c r="E23" i="7"/>
  <c r="I23" i="7"/>
  <c r="M23" i="7"/>
  <c r="Q23" i="7"/>
  <c r="E24" i="7"/>
  <c r="I24" i="7"/>
  <c r="M24" i="7"/>
  <c r="Q24" i="7"/>
  <c r="E25" i="7"/>
  <c r="I25" i="7"/>
  <c r="M25" i="7"/>
  <c r="Q25" i="7"/>
  <c r="E26" i="7"/>
  <c r="I26" i="7"/>
  <c r="M26" i="7"/>
  <c r="Q26" i="7"/>
  <c r="F5" i="7"/>
  <c r="N5" i="7"/>
  <c r="F6" i="7"/>
  <c r="N6" i="7"/>
  <c r="F7" i="7"/>
  <c r="N7" i="7"/>
  <c r="F8" i="7"/>
  <c r="F9" i="7"/>
  <c r="N9" i="7"/>
  <c r="F10" i="7"/>
  <c r="N10" i="7"/>
  <c r="F11" i="7"/>
  <c r="N11" i="7"/>
  <c r="F13" i="7"/>
  <c r="N13" i="7"/>
  <c r="F15" i="7"/>
  <c r="N15" i="7"/>
  <c r="F16" i="7"/>
  <c r="N16" i="7"/>
  <c r="F17" i="7"/>
  <c r="N17" i="7"/>
  <c r="F19" i="7"/>
  <c r="N19" i="7"/>
  <c r="F20" i="7"/>
  <c r="N20" i="7"/>
  <c r="F21" i="7"/>
  <c r="K21" i="7"/>
  <c r="P21" i="7"/>
  <c r="H22" i="7"/>
  <c r="N22" i="7"/>
  <c r="F23" i="7"/>
  <c r="K23" i="7"/>
  <c r="P23" i="7"/>
  <c r="H24" i="7"/>
  <c r="N24" i="7"/>
  <c r="F25" i="7"/>
  <c r="K25" i="7"/>
  <c r="P25" i="7"/>
  <c r="H26" i="7"/>
  <c r="N26" i="7"/>
  <c r="G27" i="7"/>
  <c r="O27" i="7"/>
  <c r="G28" i="7"/>
  <c r="K28" i="7"/>
  <c r="O28" i="7"/>
  <c r="G29" i="7"/>
  <c r="K29" i="7"/>
  <c r="O29" i="7"/>
  <c r="G30" i="7"/>
  <c r="K30" i="7"/>
  <c r="O30" i="7"/>
  <c r="G31" i="7"/>
  <c r="K31" i="7"/>
  <c r="O31" i="7"/>
  <c r="G32" i="7"/>
  <c r="K32" i="7"/>
  <c r="O32" i="7"/>
  <c r="G33" i="7"/>
  <c r="K33" i="7"/>
  <c r="O33" i="7"/>
  <c r="G34" i="7"/>
  <c r="G5" i="7"/>
  <c r="O5" i="7"/>
  <c r="G6" i="7"/>
  <c r="O6" i="7"/>
  <c r="G7" i="7"/>
  <c r="O7" i="7"/>
  <c r="G8" i="7"/>
  <c r="G9" i="7"/>
  <c r="O9" i="7"/>
  <c r="G10" i="7"/>
  <c r="O10" i="7"/>
  <c r="G11" i="7"/>
  <c r="O11" i="7"/>
  <c r="G13" i="7"/>
  <c r="O13" i="7"/>
  <c r="G15" i="7"/>
  <c r="O15" i="7"/>
  <c r="G16" i="7"/>
  <c r="O16" i="7"/>
  <c r="G17" i="7"/>
  <c r="O17" i="7"/>
  <c r="G19" i="7"/>
  <c r="O19" i="7"/>
  <c r="G20" i="7"/>
  <c r="O20" i="7"/>
  <c r="G21" i="7"/>
  <c r="L21" i="7"/>
  <c r="R21" i="7"/>
  <c r="D22" i="7"/>
  <c r="J22" i="7"/>
  <c r="O22" i="7"/>
  <c r="AA21" i="7"/>
  <c r="G23" i="7"/>
  <c r="L23" i="7"/>
  <c r="R23" i="7"/>
  <c r="D24" i="7"/>
  <c r="J24" i="7"/>
  <c r="O24" i="7"/>
  <c r="AA23" i="7"/>
  <c r="G25" i="7"/>
  <c r="L25" i="7"/>
  <c r="R25" i="7"/>
  <c r="D26" i="7"/>
  <c r="J26" i="7"/>
  <c r="O26" i="7"/>
  <c r="D27" i="7"/>
  <c r="H27" i="7"/>
  <c r="P27" i="7"/>
  <c r="D28" i="7"/>
  <c r="H28" i="7"/>
  <c r="L28" i="7"/>
  <c r="P28" i="7"/>
  <c r="D29" i="7"/>
  <c r="H29" i="7"/>
  <c r="L29" i="7"/>
  <c r="P29" i="7"/>
  <c r="D30" i="7"/>
  <c r="H30" i="7"/>
  <c r="L30" i="7"/>
  <c r="P30" i="7"/>
  <c r="D31" i="7"/>
  <c r="H31" i="7"/>
  <c r="L31" i="7"/>
  <c r="P31" i="7"/>
  <c r="D32" i="7"/>
  <c r="H32" i="7"/>
  <c r="L32" i="7"/>
  <c r="P32" i="7"/>
  <c r="D33" i="7"/>
  <c r="H33" i="7"/>
  <c r="L33" i="7"/>
  <c r="P33" i="7"/>
  <c r="D34" i="7"/>
  <c r="J5" i="7"/>
  <c r="R5" i="7"/>
  <c r="J6" i="7"/>
  <c r="R6" i="7"/>
  <c r="J7" i="7"/>
  <c r="R7" i="7"/>
  <c r="J8" i="7"/>
  <c r="AA8" i="7"/>
  <c r="J9" i="7"/>
  <c r="R9" i="7"/>
  <c r="AA9" i="7"/>
  <c r="J10" i="7"/>
  <c r="R10" i="7"/>
  <c r="AA10" i="7"/>
  <c r="J11" i="7"/>
  <c r="R11" i="7"/>
  <c r="AA11" i="7"/>
  <c r="J13" i="7"/>
  <c r="R13" i="7"/>
  <c r="AA13" i="7"/>
  <c r="J15" i="7"/>
  <c r="R15" i="7"/>
  <c r="AA14" i="7"/>
  <c r="J16" i="7"/>
  <c r="R16" i="7"/>
  <c r="AA15" i="7"/>
  <c r="J17" i="7"/>
  <c r="R17" i="7"/>
  <c r="AA16" i="7"/>
  <c r="J19" i="7"/>
  <c r="R19" i="7"/>
  <c r="AA17" i="7"/>
  <c r="J20" i="7"/>
  <c r="R20" i="7"/>
  <c r="AA19" i="7"/>
  <c r="H21" i="7"/>
  <c r="N21" i="7"/>
  <c r="F22" i="7"/>
  <c r="K22" i="7"/>
  <c r="P22" i="7"/>
  <c r="H23" i="7"/>
  <c r="N23" i="7"/>
  <c r="F24" i="7"/>
  <c r="K24" i="7"/>
  <c r="P24" i="7"/>
  <c r="H25" i="7"/>
  <c r="N25" i="7"/>
  <c r="F26" i="7"/>
  <c r="K26" i="7"/>
  <c r="P26" i="7"/>
  <c r="E27" i="7"/>
  <c r="I27" i="7"/>
  <c r="M27" i="7"/>
  <c r="Q27" i="7"/>
  <c r="E28" i="7"/>
  <c r="I28" i="7"/>
  <c r="Q28" i="7"/>
  <c r="E29" i="7"/>
  <c r="I29" i="7"/>
  <c r="M29" i="7"/>
  <c r="K7" i="7"/>
  <c r="K11" i="7"/>
  <c r="K17" i="7"/>
  <c r="AA20" i="7"/>
  <c r="R24" i="7"/>
  <c r="O25" i="7"/>
  <c r="L26" i="7"/>
  <c r="F27" i="7"/>
  <c r="N28" i="7"/>
  <c r="F29" i="7"/>
  <c r="R29" i="7"/>
  <c r="AA28" i="7"/>
  <c r="J30" i="7"/>
  <c r="R30" i="7"/>
  <c r="AA29" i="7"/>
  <c r="J31" i="7"/>
  <c r="R31" i="7"/>
  <c r="AA30" i="7"/>
  <c r="J32" i="7"/>
  <c r="AA31" i="7"/>
  <c r="J33" i="7"/>
  <c r="R33" i="7"/>
  <c r="AA32" i="7"/>
  <c r="I34" i="7"/>
  <c r="M34" i="7"/>
  <c r="Q34" i="7"/>
  <c r="E35" i="7"/>
  <c r="I35" i="7"/>
  <c r="M35" i="7"/>
  <c r="Q35" i="7"/>
  <c r="E36" i="7"/>
  <c r="I36" i="7"/>
  <c r="M36" i="7"/>
  <c r="Q36" i="7"/>
  <c r="E37" i="7"/>
  <c r="I37" i="7"/>
  <c r="M37" i="7"/>
  <c r="Q37" i="7"/>
  <c r="E38" i="7"/>
  <c r="I38" i="7"/>
  <c r="M38" i="7"/>
  <c r="Q38" i="7"/>
  <c r="E39" i="7"/>
  <c r="I39" i="7"/>
  <c r="M39" i="7"/>
  <c r="Q39" i="7"/>
  <c r="E40" i="7"/>
  <c r="I40" i="7"/>
  <c r="M40" i="7"/>
  <c r="Q40" i="7"/>
  <c r="E41" i="7"/>
  <c r="I41" i="7"/>
  <c r="M41" i="7"/>
  <c r="Q41" i="7"/>
  <c r="E42" i="7"/>
  <c r="I42" i="7"/>
  <c r="M42" i="7"/>
  <c r="Q42" i="7"/>
  <c r="E43" i="7"/>
  <c r="I43" i="7"/>
  <c r="M43" i="7"/>
  <c r="Q43" i="7"/>
  <c r="E44" i="7"/>
  <c r="I44" i="7"/>
  <c r="M44" i="7"/>
  <c r="Q44" i="7"/>
  <c r="E45" i="7"/>
  <c r="I45" i="7"/>
  <c r="M45" i="7"/>
  <c r="Q45" i="7"/>
  <c r="E46" i="7"/>
  <c r="I46" i="7"/>
  <c r="M46" i="7"/>
  <c r="Q46" i="7"/>
  <c r="E47" i="7"/>
  <c r="I47" i="7"/>
  <c r="M47" i="7"/>
  <c r="Q47" i="7"/>
  <c r="E48" i="7"/>
  <c r="I48" i="7"/>
  <c r="M48" i="7"/>
  <c r="Q48" i="7"/>
  <c r="E49" i="7"/>
  <c r="I49" i="7"/>
  <c r="M49" i="7"/>
  <c r="Q49" i="7"/>
  <c r="E50" i="7"/>
  <c r="I50" i="7"/>
  <c r="M50" i="7"/>
  <c r="Q50" i="7"/>
  <c r="E51" i="7"/>
  <c r="I51" i="7"/>
  <c r="M51" i="7"/>
  <c r="Q51" i="7"/>
  <c r="E52" i="7"/>
  <c r="I52" i="7"/>
  <c r="M52" i="7"/>
  <c r="Q52" i="7"/>
  <c r="E53" i="7"/>
  <c r="I53" i="7"/>
  <c r="M53" i="7"/>
  <c r="Q53" i="7"/>
  <c r="E54" i="7"/>
  <c r="I54" i="7"/>
  <c r="M54" i="7"/>
  <c r="Q54" i="7"/>
  <c r="E55" i="7"/>
  <c r="I55" i="7"/>
  <c r="M55" i="7"/>
  <c r="Q55" i="7"/>
  <c r="E56" i="7"/>
  <c r="I56" i="7"/>
  <c r="M56" i="7"/>
  <c r="K6" i="7"/>
  <c r="K10" i="7"/>
  <c r="K16" i="7"/>
  <c r="J21" i="7"/>
  <c r="G22" i="7"/>
  <c r="D23" i="7"/>
  <c r="AA22" i="7"/>
  <c r="R26" i="7"/>
  <c r="J27" i="7"/>
  <c r="AA26" i="7"/>
  <c r="R28" i="7"/>
  <c r="J29" i="7"/>
  <c r="E30" i="7"/>
  <c r="M30" i="7"/>
  <c r="E31" i="7"/>
  <c r="M31" i="7"/>
  <c r="E32" i="7"/>
  <c r="M32" i="7"/>
  <c r="E33" i="7"/>
  <c r="M33" i="7"/>
  <c r="E34" i="7"/>
  <c r="J34" i="7"/>
  <c r="N34" i="7"/>
  <c r="R34" i="7"/>
  <c r="F35" i="7"/>
  <c r="J35" i="7"/>
  <c r="N35" i="7"/>
  <c r="R35" i="7"/>
  <c r="AA34" i="7"/>
  <c r="F36" i="7"/>
  <c r="J36" i="7"/>
  <c r="N36" i="7"/>
  <c r="R36" i="7"/>
  <c r="AA35" i="7"/>
  <c r="F37" i="7"/>
  <c r="J37" i="7"/>
  <c r="N37" i="7"/>
  <c r="R37" i="7"/>
  <c r="AA36" i="7"/>
  <c r="F38" i="7"/>
  <c r="J38" i="7"/>
  <c r="N38" i="7"/>
  <c r="R38" i="7"/>
  <c r="AA37" i="7"/>
  <c r="F39" i="7"/>
  <c r="J39" i="7"/>
  <c r="N39" i="7"/>
  <c r="R39" i="7"/>
  <c r="AA38" i="7"/>
  <c r="F40" i="7"/>
  <c r="J40" i="7"/>
  <c r="N40" i="7"/>
  <c r="R40" i="7"/>
  <c r="AA39" i="7"/>
  <c r="F41" i="7"/>
  <c r="J41" i="7"/>
  <c r="N41" i="7"/>
  <c r="R41" i="7"/>
  <c r="AA40" i="7"/>
  <c r="F42" i="7"/>
  <c r="J42" i="7"/>
  <c r="N42" i="7"/>
  <c r="R42" i="7"/>
  <c r="AA41" i="7"/>
  <c r="F43" i="7"/>
  <c r="J43" i="7"/>
  <c r="N43" i="7"/>
  <c r="R43" i="7"/>
  <c r="AA42" i="7"/>
  <c r="F44" i="7"/>
  <c r="J44" i="7"/>
  <c r="N44" i="7"/>
  <c r="R44" i="7"/>
  <c r="AA43" i="7"/>
  <c r="F45" i="7"/>
  <c r="J45" i="7"/>
  <c r="N45" i="7"/>
  <c r="R45" i="7"/>
  <c r="AA44" i="7"/>
  <c r="F46" i="7"/>
  <c r="J46" i="7"/>
  <c r="N46" i="7"/>
  <c r="R46" i="7"/>
  <c r="AA45" i="7"/>
  <c r="F47" i="7"/>
  <c r="J47" i="7"/>
  <c r="N47" i="7"/>
  <c r="R47" i="7"/>
  <c r="AA46" i="7"/>
  <c r="F48" i="7"/>
  <c r="J48" i="7"/>
  <c r="N48" i="7"/>
  <c r="R48" i="7"/>
  <c r="AA47" i="7"/>
  <c r="F49" i="7"/>
  <c r="J49" i="7"/>
  <c r="N49" i="7"/>
  <c r="R49" i="7"/>
  <c r="AA48" i="7"/>
  <c r="F50" i="7"/>
  <c r="J50" i="7"/>
  <c r="N50" i="7"/>
  <c r="R50" i="7"/>
  <c r="AA49" i="7"/>
  <c r="F51" i="7"/>
  <c r="J51" i="7"/>
  <c r="N51" i="7"/>
  <c r="R51" i="7"/>
  <c r="AA50" i="7"/>
  <c r="F52" i="7"/>
  <c r="J52" i="7"/>
  <c r="N52" i="7"/>
  <c r="R52" i="7"/>
  <c r="AA51" i="7"/>
  <c r="F53" i="7"/>
  <c r="J53" i="7"/>
  <c r="N53" i="7"/>
  <c r="R53" i="7"/>
  <c r="AA52" i="7"/>
  <c r="F54" i="7"/>
  <c r="J54" i="7"/>
  <c r="N54" i="7"/>
  <c r="R54" i="7"/>
  <c r="AA53" i="7"/>
  <c r="F55" i="7"/>
  <c r="J55" i="7"/>
  <c r="N55" i="7"/>
  <c r="R55" i="7"/>
  <c r="AA54" i="7"/>
  <c r="F56" i="7"/>
  <c r="J56" i="7"/>
  <c r="N56" i="7"/>
  <c r="R56" i="7"/>
  <c r="K5" i="7"/>
  <c r="K9" i="7"/>
  <c r="K15" i="7"/>
  <c r="K20" i="7"/>
  <c r="O21" i="7"/>
  <c r="L22" i="7"/>
  <c r="J23" i="7"/>
  <c r="G24" i="7"/>
  <c r="D25" i="7"/>
  <c r="AA24" i="7"/>
  <c r="N27" i="7"/>
  <c r="F28" i="7"/>
  <c r="N29" i="7"/>
  <c r="F30" i="7"/>
  <c r="N30" i="7"/>
  <c r="F31" i="7"/>
  <c r="N31" i="7"/>
  <c r="F32" i="7"/>
  <c r="N32" i="7"/>
  <c r="F33" i="7"/>
  <c r="N33" i="7"/>
  <c r="F34" i="7"/>
  <c r="K34" i="7"/>
  <c r="O34" i="7"/>
  <c r="G35" i="7"/>
  <c r="K35" i="7"/>
  <c r="O35" i="7"/>
  <c r="G36" i="7"/>
  <c r="K36" i="7"/>
  <c r="O36" i="7"/>
  <c r="G37" i="7"/>
  <c r="K37" i="7"/>
  <c r="O37" i="7"/>
  <c r="G38" i="7"/>
  <c r="K38" i="7"/>
  <c r="O38" i="7"/>
  <c r="G39" i="7"/>
  <c r="K39" i="7"/>
  <c r="O39" i="7"/>
  <c r="K13" i="7"/>
  <c r="L24" i="7"/>
  <c r="R27" i="7"/>
  <c r="I31" i="7"/>
  <c r="L35" i="7"/>
  <c r="D36" i="7"/>
  <c r="L37" i="7"/>
  <c r="D38" i="7"/>
  <c r="L39" i="7"/>
  <c r="K40" i="7"/>
  <c r="K41" i="7"/>
  <c r="K42" i="7"/>
  <c r="K43" i="7"/>
  <c r="K44" i="7"/>
  <c r="K45" i="7"/>
  <c r="K46" i="7"/>
  <c r="K47" i="7"/>
  <c r="K48" i="7"/>
  <c r="K49" i="7"/>
  <c r="K50" i="7"/>
  <c r="K51" i="7"/>
  <c r="K52" i="7"/>
  <c r="K53" i="7"/>
  <c r="K54" i="7"/>
  <c r="K55" i="7"/>
  <c r="K56" i="7"/>
  <c r="Q56" i="7"/>
  <c r="AA55" i="7"/>
  <c r="F58" i="7"/>
  <c r="J58" i="7"/>
  <c r="N58" i="7"/>
  <c r="R58" i="7"/>
  <c r="AA56" i="7"/>
  <c r="F59" i="7"/>
  <c r="J59" i="7"/>
  <c r="N59" i="7"/>
  <c r="R59" i="7"/>
  <c r="AA57" i="7"/>
  <c r="F60" i="7"/>
  <c r="J60" i="7"/>
  <c r="N60" i="7"/>
  <c r="R60" i="7"/>
  <c r="AA58" i="7"/>
  <c r="F61" i="7"/>
  <c r="J61" i="7"/>
  <c r="N61" i="7"/>
  <c r="R61" i="7"/>
  <c r="AA59" i="7"/>
  <c r="F62" i="7"/>
  <c r="J62" i="7"/>
  <c r="N62" i="7"/>
  <c r="R62" i="7"/>
  <c r="AA60" i="7"/>
  <c r="F63" i="7"/>
  <c r="J63" i="7"/>
  <c r="N63" i="7"/>
  <c r="R63" i="7"/>
  <c r="AA61" i="7"/>
  <c r="F64" i="7"/>
  <c r="J64" i="7"/>
  <c r="N64" i="7"/>
  <c r="R64" i="7"/>
  <c r="AA62" i="7"/>
  <c r="F65" i="7"/>
  <c r="J65" i="7"/>
  <c r="N65" i="7"/>
  <c r="R65" i="7"/>
  <c r="AA63" i="7"/>
  <c r="F66" i="7"/>
  <c r="J66" i="7"/>
  <c r="N66" i="7"/>
  <c r="R66" i="7"/>
  <c r="AA64" i="7"/>
  <c r="F67" i="7"/>
  <c r="J67" i="7"/>
  <c r="N67" i="7"/>
  <c r="R67" i="7"/>
  <c r="AA65" i="7"/>
  <c r="F69" i="7"/>
  <c r="J69" i="7"/>
  <c r="N69" i="7"/>
  <c r="R69" i="7"/>
  <c r="AA66" i="7"/>
  <c r="F70" i="7"/>
  <c r="J70" i="7"/>
  <c r="N70" i="7"/>
  <c r="R70" i="7"/>
  <c r="AA67" i="7"/>
  <c r="F71" i="7"/>
  <c r="J71" i="7"/>
  <c r="N71" i="7"/>
  <c r="R71" i="7"/>
  <c r="AA69" i="7"/>
  <c r="AA70" i="7"/>
  <c r="F74" i="7"/>
  <c r="J74" i="7"/>
  <c r="N74" i="7"/>
  <c r="R74" i="7"/>
  <c r="AA71" i="7"/>
  <c r="F75" i="7"/>
  <c r="J75" i="7"/>
  <c r="N75" i="7"/>
  <c r="R75" i="7"/>
  <c r="AA72" i="7"/>
  <c r="F76" i="7"/>
  <c r="J76" i="7"/>
  <c r="N76" i="7"/>
  <c r="R76" i="7"/>
  <c r="K8" i="7"/>
  <c r="J25" i="7"/>
  <c r="J28" i="7"/>
  <c r="I30" i="7"/>
  <c r="Q31" i="7"/>
  <c r="H34" i="7"/>
  <c r="P35" i="7"/>
  <c r="H36" i="7"/>
  <c r="P37" i="7"/>
  <c r="H38" i="7"/>
  <c r="P39" i="7"/>
  <c r="D40" i="7"/>
  <c r="L40" i="7"/>
  <c r="D41" i="7"/>
  <c r="L41" i="7"/>
  <c r="D42" i="7"/>
  <c r="L42" i="7"/>
  <c r="D43" i="7"/>
  <c r="L43" i="7"/>
  <c r="D44" i="7"/>
  <c r="L44" i="7"/>
  <c r="D45" i="7"/>
  <c r="L45" i="7"/>
  <c r="D46" i="7"/>
  <c r="L46" i="7"/>
  <c r="D47" i="7"/>
  <c r="L47" i="7"/>
  <c r="D48" i="7"/>
  <c r="L48" i="7"/>
  <c r="D49" i="7"/>
  <c r="L49" i="7"/>
  <c r="D50" i="7"/>
  <c r="L50" i="7"/>
  <c r="D51" i="7"/>
  <c r="L51" i="7"/>
  <c r="D52" i="7"/>
  <c r="L52" i="7"/>
  <c r="D53" i="7"/>
  <c r="L53" i="7"/>
  <c r="D54" i="7"/>
  <c r="L54" i="7"/>
  <c r="D55" i="7"/>
  <c r="L55" i="7"/>
  <c r="D56" i="7"/>
  <c r="L56" i="7"/>
  <c r="G58" i="7"/>
  <c r="K58" i="7"/>
  <c r="O58" i="7"/>
  <c r="G59" i="7"/>
  <c r="K59" i="7"/>
  <c r="O59" i="7"/>
  <c r="G60" i="7"/>
  <c r="K60" i="7"/>
  <c r="O60" i="7"/>
  <c r="G61" i="7"/>
  <c r="K61" i="7"/>
  <c r="O61" i="7"/>
  <c r="G62" i="7"/>
  <c r="K62" i="7"/>
  <c r="O62" i="7"/>
  <c r="G63" i="7"/>
  <c r="K63" i="7"/>
  <c r="O63" i="7"/>
  <c r="G64" i="7"/>
  <c r="K64" i="7"/>
  <c r="O64" i="7"/>
  <c r="G65" i="7"/>
  <c r="K65" i="7"/>
  <c r="O65" i="7"/>
  <c r="G66" i="7"/>
  <c r="K66" i="7"/>
  <c r="O66" i="7"/>
  <c r="G67" i="7"/>
  <c r="K67" i="7"/>
  <c r="O67" i="7"/>
  <c r="G69" i="7"/>
  <c r="K69" i="7"/>
  <c r="O69" i="7"/>
  <c r="G70" i="7"/>
  <c r="K70" i="7"/>
  <c r="O70" i="7"/>
  <c r="G71" i="7"/>
  <c r="K71" i="7"/>
  <c r="O71" i="7"/>
  <c r="G74" i="7"/>
  <c r="K74" i="7"/>
  <c r="O74" i="7"/>
  <c r="G75" i="7"/>
  <c r="K75" i="7"/>
  <c r="O75" i="7"/>
  <c r="G76" i="7"/>
  <c r="K76" i="7"/>
  <c r="O76" i="7"/>
  <c r="R22" i="7"/>
  <c r="AA27" i="7"/>
  <c r="L34" i="7"/>
  <c r="D37" i="7"/>
  <c r="L38" i="7"/>
  <c r="O40" i="7"/>
  <c r="G41" i="7"/>
  <c r="O42" i="7"/>
  <c r="G43" i="7"/>
  <c r="O44" i="7"/>
  <c r="G45" i="7"/>
  <c r="O46" i="7"/>
  <c r="G47" i="7"/>
  <c r="O48" i="7"/>
  <c r="G49" i="7"/>
  <c r="O50" i="7"/>
  <c r="G51" i="7"/>
  <c r="O52" i="7"/>
  <c r="G53" i="7"/>
  <c r="O54" i="7"/>
  <c r="G55" i="7"/>
  <c r="O56" i="7"/>
  <c r="H58" i="7"/>
  <c r="P58" i="7"/>
  <c r="H59" i="7"/>
  <c r="P59" i="7"/>
  <c r="H60" i="7"/>
  <c r="P60" i="7"/>
  <c r="H61" i="7"/>
  <c r="P61" i="7"/>
  <c r="H62" i="7"/>
  <c r="P62" i="7"/>
  <c r="H63" i="7"/>
  <c r="P63" i="7"/>
  <c r="H64" i="7"/>
  <c r="P64" i="7"/>
  <c r="H65" i="7"/>
  <c r="P65" i="7"/>
  <c r="H66" i="7"/>
  <c r="P66" i="7"/>
  <c r="H67" i="7"/>
  <c r="P67" i="7"/>
  <c r="H69" i="7"/>
  <c r="P69" i="7"/>
  <c r="H70" i="7"/>
  <c r="P70" i="7"/>
  <c r="H71" i="7"/>
  <c r="P71" i="7"/>
  <c r="H74" i="7"/>
  <c r="P74" i="7"/>
  <c r="H75" i="7"/>
  <c r="P75" i="7"/>
  <c r="H76" i="7"/>
  <c r="P76" i="7"/>
  <c r="D77" i="7"/>
  <c r="H77" i="7"/>
  <c r="L77" i="7"/>
  <c r="P77" i="7"/>
  <c r="D79" i="7"/>
  <c r="H79" i="7"/>
  <c r="L79" i="7"/>
  <c r="P79" i="7"/>
  <c r="D80" i="7"/>
  <c r="H80" i="7"/>
  <c r="L80" i="7"/>
  <c r="P80" i="7"/>
  <c r="D81" i="7"/>
  <c r="H81" i="7"/>
  <c r="L81" i="7"/>
  <c r="P81" i="7"/>
  <c r="D82" i="7"/>
  <c r="H82" i="7"/>
  <c r="L82" i="7"/>
  <c r="P82" i="7"/>
  <c r="D83" i="7"/>
  <c r="H83" i="7"/>
  <c r="L83" i="7"/>
  <c r="P83" i="7"/>
  <c r="D84" i="7"/>
  <c r="H84" i="7"/>
  <c r="L84" i="7"/>
  <c r="P84" i="7"/>
  <c r="D85" i="7"/>
  <c r="H85" i="7"/>
  <c r="L85" i="7"/>
  <c r="P85" i="7"/>
  <c r="D86" i="7"/>
  <c r="H86" i="7"/>
  <c r="L86" i="7"/>
  <c r="P86" i="7"/>
  <c r="D87" i="7"/>
  <c r="H87" i="7"/>
  <c r="L87" i="7"/>
  <c r="P87" i="7"/>
  <c r="D88" i="7"/>
  <c r="H88" i="7"/>
  <c r="L88" i="7"/>
  <c r="P88" i="7"/>
  <c r="D89" i="7"/>
  <c r="H89" i="7"/>
  <c r="L89" i="7"/>
  <c r="P89" i="7"/>
  <c r="D90" i="7"/>
  <c r="H90" i="7"/>
  <c r="L90" i="7"/>
  <c r="P90" i="7"/>
  <c r="D91" i="7"/>
  <c r="H91" i="7"/>
  <c r="L91" i="7"/>
  <c r="P91" i="7"/>
  <c r="D92" i="7"/>
  <c r="H92" i="7"/>
  <c r="L92" i="7"/>
  <c r="P92" i="7"/>
  <c r="D94" i="7"/>
  <c r="H94" i="7"/>
  <c r="L94" i="7"/>
  <c r="P94" i="7"/>
  <c r="D95" i="7"/>
  <c r="H95" i="7"/>
  <c r="L95" i="7"/>
  <c r="P95" i="7"/>
  <c r="D96" i="7"/>
  <c r="H96" i="7"/>
  <c r="L96" i="7"/>
  <c r="P96" i="7"/>
  <c r="D97" i="7"/>
  <c r="H97" i="7"/>
  <c r="L97" i="7"/>
  <c r="P97" i="7"/>
  <c r="D98" i="7"/>
  <c r="H98" i="7"/>
  <c r="L98" i="7"/>
  <c r="P98" i="7"/>
  <c r="D99" i="7"/>
  <c r="H99" i="7"/>
  <c r="L99" i="7"/>
  <c r="P99" i="7"/>
  <c r="D100" i="7"/>
  <c r="H100" i="7"/>
  <c r="L100" i="7"/>
  <c r="P100" i="7"/>
  <c r="D101" i="7"/>
  <c r="H101" i="7"/>
  <c r="L101" i="7"/>
  <c r="P101" i="7"/>
  <c r="D102" i="7"/>
  <c r="H102" i="7"/>
  <c r="L102" i="7"/>
  <c r="P102" i="7"/>
  <c r="D103" i="7"/>
  <c r="H103" i="7"/>
  <c r="L103" i="7"/>
  <c r="P103" i="7"/>
  <c r="D105" i="7"/>
  <c r="H105" i="7"/>
  <c r="L105" i="7"/>
  <c r="P105" i="7"/>
  <c r="D106" i="7"/>
  <c r="H106" i="7"/>
  <c r="L106" i="7"/>
  <c r="P106" i="7"/>
  <c r="D107" i="7"/>
  <c r="H107" i="7"/>
  <c r="L107" i="7"/>
  <c r="P107" i="7"/>
  <c r="D108" i="7"/>
  <c r="H108" i="7"/>
  <c r="L108" i="7"/>
  <c r="P108" i="7"/>
  <c r="D110" i="7"/>
  <c r="H110" i="7"/>
  <c r="L110" i="7"/>
  <c r="P110" i="7"/>
  <c r="D111" i="7"/>
  <c r="H111" i="7"/>
  <c r="L111" i="7"/>
  <c r="P111" i="7"/>
  <c r="D112" i="7"/>
  <c r="H112" i="7"/>
  <c r="L112" i="7"/>
  <c r="P112" i="7"/>
  <c r="D113" i="7"/>
  <c r="H113" i="7"/>
  <c r="L113" i="7"/>
  <c r="P113" i="7"/>
  <c r="D114" i="7"/>
  <c r="H114" i="7"/>
  <c r="L114" i="7"/>
  <c r="P114" i="7"/>
  <c r="P117" i="7"/>
  <c r="D118" i="7"/>
  <c r="H118" i="7"/>
  <c r="L118" i="7"/>
  <c r="P118" i="7"/>
  <c r="D119" i="7"/>
  <c r="H119" i="7"/>
  <c r="L119" i="7"/>
  <c r="P119" i="7"/>
  <c r="D120" i="7"/>
  <c r="H120" i="7"/>
  <c r="L120" i="7"/>
  <c r="P120" i="7"/>
  <c r="D121" i="7"/>
  <c r="H121" i="7"/>
  <c r="L121" i="7"/>
  <c r="P121" i="7"/>
  <c r="D122" i="7"/>
  <c r="H122" i="7"/>
  <c r="L122" i="7"/>
  <c r="P122" i="7"/>
  <c r="D123" i="7"/>
  <c r="H123" i="7"/>
  <c r="L123" i="7"/>
  <c r="O23" i="7"/>
  <c r="Q29" i="7"/>
  <c r="I32" i="7"/>
  <c r="P34" i="7"/>
  <c r="H37" i="7"/>
  <c r="P38" i="7"/>
  <c r="P40" i="7"/>
  <c r="H41" i="7"/>
  <c r="P42" i="7"/>
  <c r="H43" i="7"/>
  <c r="P44" i="7"/>
  <c r="H45" i="7"/>
  <c r="P46" i="7"/>
  <c r="H47" i="7"/>
  <c r="P48" i="7"/>
  <c r="H49" i="7"/>
  <c r="P50" i="7"/>
  <c r="H51" i="7"/>
  <c r="P52" i="7"/>
  <c r="H53" i="7"/>
  <c r="P54" i="7"/>
  <c r="H55" i="7"/>
  <c r="P56" i="7"/>
  <c r="I58" i="7"/>
  <c r="Q58" i="7"/>
  <c r="I59" i="7"/>
  <c r="Q59" i="7"/>
  <c r="I60" i="7"/>
  <c r="Q60" i="7"/>
  <c r="I61" i="7"/>
  <c r="Q61" i="7"/>
  <c r="I62" i="7"/>
  <c r="Q62" i="7"/>
  <c r="I63" i="7"/>
  <c r="Q63" i="7"/>
  <c r="I64" i="7"/>
  <c r="Q64" i="7"/>
  <c r="I65" i="7"/>
  <c r="Q65" i="7"/>
  <c r="I66" i="7"/>
  <c r="Q66" i="7"/>
  <c r="I67" i="7"/>
  <c r="Q67" i="7"/>
  <c r="I69" i="7"/>
  <c r="Q69" i="7"/>
  <c r="I70" i="7"/>
  <c r="Q70" i="7"/>
  <c r="I71" i="7"/>
  <c r="Q71" i="7"/>
  <c r="I74" i="7"/>
  <c r="Q74" i="7"/>
  <c r="I75" i="7"/>
  <c r="Q75" i="7"/>
  <c r="I76" i="7"/>
  <c r="Q76" i="7"/>
  <c r="E77" i="7"/>
  <c r="I77" i="7"/>
  <c r="M77" i="7"/>
  <c r="Q77" i="7"/>
  <c r="E79" i="7"/>
  <c r="I79" i="7"/>
  <c r="M79" i="7"/>
  <c r="Q79" i="7"/>
  <c r="E80" i="7"/>
  <c r="I80" i="7"/>
  <c r="M80" i="7"/>
  <c r="Q80" i="7"/>
  <c r="E81" i="7"/>
  <c r="I81" i="7"/>
  <c r="M81" i="7"/>
  <c r="Q81" i="7"/>
  <c r="E82" i="7"/>
  <c r="I82" i="7"/>
  <c r="M82" i="7"/>
  <c r="Q82" i="7"/>
  <c r="E83" i="7"/>
  <c r="I83" i="7"/>
  <c r="M83" i="7"/>
  <c r="Q83" i="7"/>
  <c r="E84" i="7"/>
  <c r="I84" i="7"/>
  <c r="M84" i="7"/>
  <c r="Q84" i="7"/>
  <c r="E85" i="7"/>
  <c r="I85" i="7"/>
  <c r="M85" i="7"/>
  <c r="Q85" i="7"/>
  <c r="E86" i="7"/>
  <c r="I86" i="7"/>
  <c r="M86" i="7"/>
  <c r="Q86" i="7"/>
  <c r="E87" i="7"/>
  <c r="I87" i="7"/>
  <c r="M87" i="7"/>
  <c r="Q87" i="7"/>
  <c r="E88" i="7"/>
  <c r="I88" i="7"/>
  <c r="M88" i="7"/>
  <c r="Q88" i="7"/>
  <c r="E89" i="7"/>
  <c r="I89" i="7"/>
  <c r="M89" i="7"/>
  <c r="Q89" i="7"/>
  <c r="E90" i="7"/>
  <c r="I90" i="7"/>
  <c r="M90" i="7"/>
  <c r="Q90" i="7"/>
  <c r="E91" i="7"/>
  <c r="I91" i="7"/>
  <c r="M91" i="7"/>
  <c r="Q91" i="7"/>
  <c r="E92" i="7"/>
  <c r="I92" i="7"/>
  <c r="M92" i="7"/>
  <c r="Q92" i="7"/>
  <c r="E94" i="7"/>
  <c r="I94" i="7"/>
  <c r="M94" i="7"/>
  <c r="Q94" i="7"/>
  <c r="E95" i="7"/>
  <c r="I95" i="7"/>
  <c r="M95" i="7"/>
  <c r="Q95" i="7"/>
  <c r="E96" i="7"/>
  <c r="I96" i="7"/>
  <c r="M96" i="7"/>
  <c r="Q96" i="7"/>
  <c r="E97" i="7"/>
  <c r="I97" i="7"/>
  <c r="M97" i="7"/>
  <c r="Q97" i="7"/>
  <c r="E98" i="7"/>
  <c r="I98" i="7"/>
  <c r="M98" i="7"/>
  <c r="Q98" i="7"/>
  <c r="E99" i="7"/>
  <c r="I99" i="7"/>
  <c r="M99" i="7"/>
  <c r="Q99" i="7"/>
  <c r="E100" i="7"/>
  <c r="I100" i="7"/>
  <c r="M100" i="7"/>
  <c r="Q100" i="7"/>
  <c r="E101" i="7"/>
  <c r="I101" i="7"/>
  <c r="M101" i="7"/>
  <c r="Q101" i="7"/>
  <c r="E102" i="7"/>
  <c r="I102" i="7"/>
  <c r="M102" i="7"/>
  <c r="Q102" i="7"/>
  <c r="E103" i="7"/>
  <c r="I103" i="7"/>
  <c r="M103" i="7"/>
  <c r="Q103" i="7"/>
  <c r="E105" i="7"/>
  <c r="I105" i="7"/>
  <c r="M105" i="7"/>
  <c r="Q105" i="7"/>
  <c r="E106" i="7"/>
  <c r="I106" i="7"/>
  <c r="M106" i="7"/>
  <c r="Q106" i="7"/>
  <c r="E107" i="7"/>
  <c r="I107" i="7"/>
  <c r="M107" i="7"/>
  <c r="Q107" i="7"/>
  <c r="E108" i="7"/>
  <c r="I108" i="7"/>
  <c r="M108" i="7"/>
  <c r="Q108" i="7"/>
  <c r="E110" i="7"/>
  <c r="I110" i="7"/>
  <c r="M110" i="7"/>
  <c r="Q110" i="7"/>
  <c r="E111" i="7"/>
  <c r="I111" i="7"/>
  <c r="M111" i="7"/>
  <c r="Q111" i="7"/>
  <c r="E112" i="7"/>
  <c r="I112" i="7"/>
  <c r="M112" i="7"/>
  <c r="Q112" i="7"/>
  <c r="E113" i="7"/>
  <c r="I113" i="7"/>
  <c r="M113" i="7"/>
  <c r="Q113" i="7"/>
  <c r="E114" i="7"/>
  <c r="I114" i="7"/>
  <c r="M114" i="7"/>
  <c r="Q114" i="7"/>
  <c r="Q117" i="7"/>
  <c r="E118" i="7"/>
  <c r="I118" i="7"/>
  <c r="M118" i="7"/>
  <c r="Q118" i="7"/>
  <c r="E119" i="7"/>
  <c r="I119" i="7"/>
  <c r="M119" i="7"/>
  <c r="Q119" i="7"/>
  <c r="E120" i="7"/>
  <c r="I120" i="7"/>
  <c r="M120" i="7"/>
  <c r="Q120" i="7"/>
  <c r="E121" i="7"/>
  <c r="I121" i="7"/>
  <c r="M121" i="7"/>
  <c r="Q121" i="7"/>
  <c r="E122" i="7"/>
  <c r="I122" i="7"/>
  <c r="M122" i="7"/>
  <c r="Q122" i="7"/>
  <c r="E123" i="7"/>
  <c r="I123" i="7"/>
  <c r="M123" i="7"/>
  <c r="Q30" i="7"/>
  <c r="D35" i="7"/>
  <c r="G40" i="7"/>
  <c r="O41" i="7"/>
  <c r="G44" i="7"/>
  <c r="O45" i="7"/>
  <c r="G48" i="7"/>
  <c r="O49" i="7"/>
  <c r="G52" i="7"/>
  <c r="O53" i="7"/>
  <c r="G56" i="7"/>
  <c r="D58" i="7"/>
  <c r="L59" i="7"/>
  <c r="D60" i="7"/>
  <c r="L61" i="7"/>
  <c r="D62" i="7"/>
  <c r="L63" i="7"/>
  <c r="D64" i="7"/>
  <c r="L65" i="7"/>
  <c r="D66" i="7"/>
  <c r="L67" i="7"/>
  <c r="D69" i="7"/>
  <c r="L70" i="7"/>
  <c r="D71" i="7"/>
  <c r="D74" i="7"/>
  <c r="L75" i="7"/>
  <c r="D76" i="7"/>
  <c r="F77" i="7"/>
  <c r="N77" i="7"/>
  <c r="F79" i="7"/>
  <c r="N79" i="7"/>
  <c r="F80" i="7"/>
  <c r="N80" i="7"/>
  <c r="F81" i="7"/>
  <c r="N81" i="7"/>
  <c r="F82" i="7"/>
  <c r="N82" i="7"/>
  <c r="F83" i="7"/>
  <c r="N83" i="7"/>
  <c r="F84" i="7"/>
  <c r="N84" i="7"/>
  <c r="F85" i="7"/>
  <c r="N85" i="7"/>
  <c r="F86" i="7"/>
  <c r="N86" i="7"/>
  <c r="F87" i="7"/>
  <c r="N87" i="7"/>
  <c r="F88" i="7"/>
  <c r="N88" i="7"/>
  <c r="F89" i="7"/>
  <c r="N89" i="7"/>
  <c r="F90" i="7"/>
  <c r="N90" i="7"/>
  <c r="F91" i="7"/>
  <c r="N91" i="7"/>
  <c r="F92" i="7"/>
  <c r="N92" i="7"/>
  <c r="F94" i="7"/>
  <c r="N94" i="7"/>
  <c r="F95" i="7"/>
  <c r="N95" i="7"/>
  <c r="F96" i="7"/>
  <c r="N96" i="7"/>
  <c r="F97" i="7"/>
  <c r="N97" i="7"/>
  <c r="F98" i="7"/>
  <c r="N98" i="7"/>
  <c r="F99" i="7"/>
  <c r="N99" i="7"/>
  <c r="F100" i="7"/>
  <c r="N100" i="7"/>
  <c r="F101" i="7"/>
  <c r="N101" i="7"/>
  <c r="F102" i="7"/>
  <c r="N102" i="7"/>
  <c r="F103" i="7"/>
  <c r="N103" i="7"/>
  <c r="F105" i="7"/>
  <c r="N105" i="7"/>
  <c r="F106" i="7"/>
  <c r="N106" i="7"/>
  <c r="F107" i="7"/>
  <c r="N107" i="7"/>
  <c r="F108" i="7"/>
  <c r="N108" i="7"/>
  <c r="F110" i="7"/>
  <c r="N110" i="7"/>
  <c r="F111" i="7"/>
  <c r="N111" i="7"/>
  <c r="F112" i="7"/>
  <c r="N112" i="7"/>
  <c r="F113" i="7"/>
  <c r="N113" i="7"/>
  <c r="F114" i="7"/>
  <c r="N114" i="7"/>
  <c r="N117" i="7"/>
  <c r="F118" i="7"/>
  <c r="N118" i="7"/>
  <c r="F119" i="7"/>
  <c r="N119" i="7"/>
  <c r="F120" i="7"/>
  <c r="N120" i="7"/>
  <c r="F121" i="7"/>
  <c r="N121" i="7"/>
  <c r="F122" i="7"/>
  <c r="N122" i="7"/>
  <c r="F123" i="7"/>
  <c r="N123" i="7"/>
  <c r="R123" i="7"/>
  <c r="AA118" i="7"/>
  <c r="F124" i="7"/>
  <c r="J124" i="7"/>
  <c r="N124" i="7"/>
  <c r="R124" i="7"/>
  <c r="AA119" i="7"/>
  <c r="F125" i="7"/>
  <c r="J125" i="7"/>
  <c r="N125" i="7"/>
  <c r="R125" i="7"/>
  <c r="AA120" i="7"/>
  <c r="AA121" i="7"/>
  <c r="F127" i="7"/>
  <c r="J127" i="7"/>
  <c r="N127" i="7"/>
  <c r="R127" i="7"/>
  <c r="AA122" i="7"/>
  <c r="F128" i="7"/>
  <c r="J128" i="7"/>
  <c r="N128" i="7"/>
  <c r="R128" i="7"/>
  <c r="AA123" i="7"/>
  <c r="AA124" i="7"/>
  <c r="F129" i="7"/>
  <c r="J129" i="7"/>
  <c r="N129" i="7"/>
  <c r="R129" i="7"/>
  <c r="AA125" i="7"/>
  <c r="F130" i="7"/>
  <c r="J130" i="7"/>
  <c r="N130" i="7"/>
  <c r="R130" i="7"/>
  <c r="AA126" i="7"/>
  <c r="F131" i="7"/>
  <c r="J131" i="7"/>
  <c r="N131" i="7"/>
  <c r="R131" i="7"/>
  <c r="AA127" i="7"/>
  <c r="F132" i="7"/>
  <c r="J132" i="7"/>
  <c r="N132" i="7"/>
  <c r="R132" i="7"/>
  <c r="AA128" i="7"/>
  <c r="F133" i="7"/>
  <c r="J133" i="7"/>
  <c r="N133" i="7"/>
  <c r="R133" i="7"/>
  <c r="F134" i="7"/>
  <c r="J134" i="7"/>
  <c r="N134" i="7"/>
  <c r="R134" i="7"/>
  <c r="AA129" i="7"/>
  <c r="F135" i="7"/>
  <c r="J135" i="7"/>
  <c r="N135" i="7"/>
  <c r="R135" i="7"/>
  <c r="AA130" i="7"/>
  <c r="F136" i="7"/>
  <c r="J136" i="7"/>
  <c r="N136" i="7"/>
  <c r="R136" i="7"/>
  <c r="AA131" i="7"/>
  <c r="F137" i="7"/>
  <c r="J137" i="7"/>
  <c r="N137" i="7"/>
  <c r="R137" i="7"/>
  <c r="AA132" i="7"/>
  <c r="F138" i="7"/>
  <c r="J138" i="7"/>
  <c r="N138" i="7"/>
  <c r="R138" i="7"/>
  <c r="AA133" i="7"/>
  <c r="F139" i="7"/>
  <c r="J139" i="7"/>
  <c r="N139" i="7"/>
  <c r="R139" i="7"/>
  <c r="AA134" i="7"/>
  <c r="F141" i="7"/>
  <c r="J141" i="7"/>
  <c r="N141" i="7"/>
  <c r="R141" i="7"/>
  <c r="AA135" i="7"/>
  <c r="F142" i="7"/>
  <c r="J142" i="7"/>
  <c r="N142" i="7"/>
  <c r="R142" i="7"/>
  <c r="AA136" i="7"/>
  <c r="F143" i="7"/>
  <c r="J143" i="7"/>
  <c r="N143" i="7"/>
  <c r="R143" i="7"/>
  <c r="AA137" i="7"/>
  <c r="F144" i="7"/>
  <c r="J144" i="7"/>
  <c r="N144" i="7"/>
  <c r="R144" i="7"/>
  <c r="AA138" i="7"/>
  <c r="F145" i="7"/>
  <c r="J145" i="7"/>
  <c r="N145" i="7"/>
  <c r="R145" i="7"/>
  <c r="AA139" i="7"/>
  <c r="F146" i="7"/>
  <c r="J146" i="7"/>
  <c r="N146" i="7"/>
  <c r="R146" i="7"/>
  <c r="AA140" i="7"/>
  <c r="F147" i="7"/>
  <c r="J147" i="7"/>
  <c r="N147" i="7"/>
  <c r="R147" i="7"/>
  <c r="AA141" i="7"/>
  <c r="F148" i="7"/>
  <c r="J148" i="7"/>
  <c r="N148" i="7"/>
  <c r="R148" i="7"/>
  <c r="AA142" i="7"/>
  <c r="F149" i="7"/>
  <c r="J149" i="7"/>
  <c r="N149" i="7"/>
  <c r="R149" i="7"/>
  <c r="AA143" i="7"/>
  <c r="F150" i="7"/>
  <c r="J150" i="7"/>
  <c r="N150" i="7"/>
  <c r="R150" i="7"/>
  <c r="AA144" i="7"/>
  <c r="F151" i="7"/>
  <c r="J151" i="7"/>
  <c r="N151" i="7"/>
  <c r="R151" i="7"/>
  <c r="K19" i="7"/>
  <c r="H35" i="7"/>
  <c r="H40" i="7"/>
  <c r="P41" i="7"/>
  <c r="H44" i="7"/>
  <c r="P45" i="7"/>
  <c r="H48" i="7"/>
  <c r="P49" i="7"/>
  <c r="H52" i="7"/>
  <c r="P53" i="7"/>
  <c r="H56" i="7"/>
  <c r="E58" i="7"/>
  <c r="M59" i="7"/>
  <c r="E60" i="7"/>
  <c r="M61" i="7"/>
  <c r="E62" i="7"/>
  <c r="M63" i="7"/>
  <c r="E64" i="7"/>
  <c r="M65" i="7"/>
  <c r="E66" i="7"/>
  <c r="M67" i="7"/>
  <c r="E69" i="7"/>
  <c r="M70" i="7"/>
  <c r="E71" i="7"/>
  <c r="E74" i="7"/>
  <c r="M75" i="7"/>
  <c r="E76" i="7"/>
  <c r="G77" i="7"/>
  <c r="O77" i="7"/>
  <c r="G79" i="7"/>
  <c r="O79" i="7"/>
  <c r="G80" i="7"/>
  <c r="O80" i="7"/>
  <c r="G81" i="7"/>
  <c r="O81" i="7"/>
  <c r="G82" i="7"/>
  <c r="O82" i="7"/>
  <c r="G83" i="7"/>
  <c r="O83" i="7"/>
  <c r="G84" i="7"/>
  <c r="O84" i="7"/>
  <c r="G85" i="7"/>
  <c r="O85" i="7"/>
  <c r="G86" i="7"/>
  <c r="O86" i="7"/>
  <c r="G87" i="7"/>
  <c r="O87" i="7"/>
  <c r="G88" i="7"/>
  <c r="O88" i="7"/>
  <c r="G89" i="7"/>
  <c r="O89" i="7"/>
  <c r="G90" i="7"/>
  <c r="O90" i="7"/>
  <c r="G91" i="7"/>
  <c r="O91" i="7"/>
  <c r="G92" i="7"/>
  <c r="O92" i="7"/>
  <c r="G94" i="7"/>
  <c r="O94" i="7"/>
  <c r="G95" i="7"/>
  <c r="O95" i="7"/>
  <c r="G96" i="7"/>
  <c r="O96" i="7"/>
  <c r="G97" i="7"/>
  <c r="O97" i="7"/>
  <c r="G98" i="7"/>
  <c r="O98" i="7"/>
  <c r="G99" i="7"/>
  <c r="O99" i="7"/>
  <c r="G100" i="7"/>
  <c r="O100" i="7"/>
  <c r="G101" i="7"/>
  <c r="O101" i="7"/>
  <c r="G102" i="7"/>
  <c r="O102" i="7"/>
  <c r="G103" i="7"/>
  <c r="O103" i="7"/>
  <c r="G105" i="7"/>
  <c r="O105" i="7"/>
  <c r="G106" i="7"/>
  <c r="O106" i="7"/>
  <c r="G107" i="7"/>
  <c r="O107" i="7"/>
  <c r="G108" i="7"/>
  <c r="O108" i="7"/>
  <c r="G110" i="7"/>
  <c r="O110" i="7"/>
  <c r="G111" i="7"/>
  <c r="O111" i="7"/>
  <c r="G112" i="7"/>
  <c r="O112" i="7"/>
  <c r="G113" i="7"/>
  <c r="O113" i="7"/>
  <c r="G114" i="7"/>
  <c r="O114" i="7"/>
  <c r="O117" i="7"/>
  <c r="G118" i="7"/>
  <c r="O118" i="7"/>
  <c r="G119" i="7"/>
  <c r="O119" i="7"/>
  <c r="G120" i="7"/>
  <c r="O120" i="7"/>
  <c r="G121" i="7"/>
  <c r="O121" i="7"/>
  <c r="G122" i="7"/>
  <c r="O122" i="7"/>
  <c r="G123" i="7"/>
  <c r="O123" i="7"/>
  <c r="G124" i="7"/>
  <c r="K124" i="7"/>
  <c r="O124" i="7"/>
  <c r="G125" i="7"/>
  <c r="K125" i="7"/>
  <c r="O125" i="7"/>
  <c r="G127" i="7"/>
  <c r="K127" i="7"/>
  <c r="O127" i="7"/>
  <c r="G128" i="7"/>
  <c r="K128" i="7"/>
  <c r="O128" i="7"/>
  <c r="G129" i="7"/>
  <c r="K129" i="7"/>
  <c r="O129" i="7"/>
  <c r="G130" i="7"/>
  <c r="K130" i="7"/>
  <c r="O130" i="7"/>
  <c r="G131" i="7"/>
  <c r="K131" i="7"/>
  <c r="O131" i="7"/>
  <c r="G132" i="7"/>
  <c r="K132" i="7"/>
  <c r="O132" i="7"/>
  <c r="G133" i="7"/>
  <c r="K133" i="7"/>
  <c r="O133" i="7"/>
  <c r="G134" i="7"/>
  <c r="K134" i="7"/>
  <c r="O134" i="7"/>
  <c r="G135" i="7"/>
  <c r="K135" i="7"/>
  <c r="O135" i="7"/>
  <c r="G136" i="7"/>
  <c r="K136" i="7"/>
  <c r="O136" i="7"/>
  <c r="G137" i="7"/>
  <c r="K137" i="7"/>
  <c r="O137" i="7"/>
  <c r="G138" i="7"/>
  <c r="K138" i="7"/>
  <c r="O138" i="7"/>
  <c r="G139" i="7"/>
  <c r="K139" i="7"/>
  <c r="O139" i="7"/>
  <c r="G141" i="7"/>
  <c r="K141" i="7"/>
  <c r="O141" i="7"/>
  <c r="G142" i="7"/>
  <c r="K142" i="7"/>
  <c r="O142" i="7"/>
  <c r="G143" i="7"/>
  <c r="K143" i="7"/>
  <c r="O143" i="7"/>
  <c r="G144" i="7"/>
  <c r="K144" i="7"/>
  <c r="O144" i="7"/>
  <c r="G145" i="7"/>
  <c r="K145" i="7"/>
  <c r="O145" i="7"/>
  <c r="G146" i="7"/>
  <c r="K146" i="7"/>
  <c r="O146" i="7"/>
  <c r="G147" i="7"/>
  <c r="K147" i="7"/>
  <c r="O147" i="7"/>
  <c r="G148" i="7"/>
  <c r="K148" i="7"/>
  <c r="O148" i="7"/>
  <c r="G149" i="7"/>
  <c r="K149" i="7"/>
  <c r="O149" i="7"/>
  <c r="G150" i="7"/>
  <c r="K150" i="7"/>
  <c r="O150" i="7"/>
  <c r="G151" i="7"/>
  <c r="K151" i="7"/>
  <c r="O151" i="7"/>
  <c r="G26" i="7"/>
  <c r="L36" i="7"/>
  <c r="O43" i="7"/>
  <c r="G46" i="7"/>
  <c r="O51" i="7"/>
  <c r="G54" i="7"/>
  <c r="D59" i="7"/>
  <c r="L60" i="7"/>
  <c r="D63" i="7"/>
  <c r="L64" i="7"/>
  <c r="D67" i="7"/>
  <c r="L69" i="7"/>
  <c r="L74" i="7"/>
  <c r="R77" i="7"/>
  <c r="J79" i="7"/>
  <c r="AA75" i="7"/>
  <c r="R80" i="7"/>
  <c r="J81" i="7"/>
  <c r="AA77" i="7"/>
  <c r="R82" i="7"/>
  <c r="J83" i="7"/>
  <c r="AA79" i="7"/>
  <c r="R84" i="7"/>
  <c r="J85" i="7"/>
  <c r="AA81" i="7"/>
  <c r="R86" i="7"/>
  <c r="J87" i="7"/>
  <c r="AA83" i="7"/>
  <c r="R88" i="7"/>
  <c r="J89" i="7"/>
  <c r="AA85" i="7"/>
  <c r="R90" i="7"/>
  <c r="J91" i="7"/>
  <c r="R92" i="7"/>
  <c r="J94" i="7"/>
  <c r="AA89" i="7"/>
  <c r="R95" i="7"/>
  <c r="J96" i="7"/>
  <c r="AA91" i="7"/>
  <c r="R97" i="7"/>
  <c r="J98" i="7"/>
  <c r="AA93" i="7"/>
  <c r="R99" i="7"/>
  <c r="J100" i="7"/>
  <c r="AA95" i="7"/>
  <c r="R101" i="7"/>
  <c r="J102" i="7"/>
  <c r="AA97" i="7"/>
  <c r="R103" i="7"/>
  <c r="J105" i="7"/>
  <c r="AA99" i="7"/>
  <c r="R106" i="7"/>
  <c r="J107" i="7"/>
  <c r="AA101" i="7"/>
  <c r="R108" i="7"/>
  <c r="AA103" i="7"/>
  <c r="R110" i="7"/>
  <c r="J111" i="7"/>
  <c r="AA106" i="7"/>
  <c r="R112" i="7"/>
  <c r="J113" i="7"/>
  <c r="AA108" i="7"/>
  <c r="R114" i="7"/>
  <c r="AA110" i="7"/>
  <c r="R117" i="7"/>
  <c r="J118" i="7"/>
  <c r="AA112" i="7"/>
  <c r="R119" i="7"/>
  <c r="J120" i="7"/>
  <c r="AA114" i="7"/>
  <c r="R121" i="7"/>
  <c r="J122" i="7"/>
  <c r="AA117" i="7"/>
  <c r="P123" i="7"/>
  <c r="H124" i="7"/>
  <c r="P124" i="7"/>
  <c r="H125" i="7"/>
  <c r="P125" i="7"/>
  <c r="H127" i="7"/>
  <c r="P127" i="7"/>
  <c r="H128" i="7"/>
  <c r="P128" i="7"/>
  <c r="H129" i="7"/>
  <c r="P129" i="7"/>
  <c r="H130" i="7"/>
  <c r="P130" i="7"/>
  <c r="H131" i="7"/>
  <c r="P131" i="7"/>
  <c r="H132" i="7"/>
  <c r="P132" i="7"/>
  <c r="H133" i="7"/>
  <c r="P133" i="7"/>
  <c r="H134" i="7"/>
  <c r="P134" i="7"/>
  <c r="H135" i="7"/>
  <c r="P135" i="7"/>
  <c r="H136" i="7"/>
  <c r="P136" i="7"/>
  <c r="H137" i="7"/>
  <c r="P137" i="7"/>
  <c r="H138" i="7"/>
  <c r="P138" i="7"/>
  <c r="H139" i="7"/>
  <c r="P139" i="7"/>
  <c r="H141" i="7"/>
  <c r="P141" i="7"/>
  <c r="H142" i="7"/>
  <c r="P142" i="7"/>
  <c r="H143" i="7"/>
  <c r="P143" i="7"/>
  <c r="H144" i="7"/>
  <c r="P144" i="7"/>
  <c r="H145" i="7"/>
  <c r="P145" i="7"/>
  <c r="H146" i="7"/>
  <c r="P146" i="7"/>
  <c r="H147" i="7"/>
  <c r="P147" i="7"/>
  <c r="H148" i="7"/>
  <c r="P148" i="7"/>
  <c r="H149" i="7"/>
  <c r="P149" i="7"/>
  <c r="H150" i="7"/>
  <c r="P150" i="7"/>
  <c r="H151" i="7"/>
  <c r="P151" i="7"/>
  <c r="E152" i="7"/>
  <c r="I152" i="7"/>
  <c r="M152" i="7"/>
  <c r="Q152" i="7"/>
  <c r="E153" i="7"/>
  <c r="I153" i="7"/>
  <c r="M153" i="7"/>
  <c r="Q153" i="7"/>
  <c r="E154" i="7"/>
  <c r="I154" i="7"/>
  <c r="M154" i="7"/>
  <c r="Q154" i="7"/>
  <c r="E156" i="7"/>
  <c r="I156" i="7"/>
  <c r="M156" i="7"/>
  <c r="Q156" i="7"/>
  <c r="E157" i="7"/>
  <c r="I157" i="7"/>
  <c r="M157" i="7"/>
  <c r="Q157" i="7"/>
  <c r="E158" i="7"/>
  <c r="I158" i="7"/>
  <c r="M158" i="7"/>
  <c r="Q158" i="7"/>
  <c r="E159" i="7"/>
  <c r="I159" i="7"/>
  <c r="M159" i="7"/>
  <c r="Q159" i="7"/>
  <c r="E160" i="7"/>
  <c r="I160" i="7"/>
  <c r="M160" i="7"/>
  <c r="Q160" i="7"/>
  <c r="E161" i="7"/>
  <c r="I161" i="7"/>
  <c r="M161" i="7"/>
  <c r="Q161" i="7"/>
  <c r="E162" i="7"/>
  <c r="I162" i="7"/>
  <c r="M162" i="7"/>
  <c r="Q162" i="7"/>
  <c r="E164" i="7"/>
  <c r="I164" i="7"/>
  <c r="M164" i="7"/>
  <c r="Q164" i="7"/>
  <c r="E165" i="7"/>
  <c r="I165" i="7"/>
  <c r="M165" i="7"/>
  <c r="Q165" i="7"/>
  <c r="E166" i="7"/>
  <c r="I166" i="7"/>
  <c r="M166" i="7"/>
  <c r="Q166" i="7"/>
  <c r="E167" i="7"/>
  <c r="I167" i="7"/>
  <c r="M167" i="7"/>
  <c r="Q167" i="7"/>
  <c r="E169" i="7"/>
  <c r="I169" i="7"/>
  <c r="M169" i="7"/>
  <c r="Q169" i="7"/>
  <c r="E170" i="7"/>
  <c r="I170" i="7"/>
  <c r="M170" i="7"/>
  <c r="Q170" i="7"/>
  <c r="E171" i="7"/>
  <c r="I171" i="7"/>
  <c r="M171" i="7"/>
  <c r="Q171" i="7"/>
  <c r="E172" i="7"/>
  <c r="I172" i="7"/>
  <c r="M172" i="7"/>
  <c r="Q172" i="7"/>
  <c r="E173" i="7"/>
  <c r="I173" i="7"/>
  <c r="M173" i="7"/>
  <c r="Q173" i="7"/>
  <c r="E174" i="7"/>
  <c r="I174" i="7"/>
  <c r="M174" i="7"/>
  <c r="Q174" i="7"/>
  <c r="E175" i="7"/>
  <c r="I175" i="7"/>
  <c r="M175" i="7"/>
  <c r="Q175" i="7"/>
  <c r="E176" i="7"/>
  <c r="I176" i="7"/>
  <c r="M176" i="7"/>
  <c r="Q176" i="7"/>
  <c r="E177" i="7"/>
  <c r="I177" i="7"/>
  <c r="M177" i="7"/>
  <c r="Q177" i="7"/>
  <c r="E178" i="7"/>
  <c r="I178" i="7"/>
  <c r="M178" i="7"/>
  <c r="Q178" i="7"/>
  <c r="E179" i="7"/>
  <c r="I179" i="7"/>
  <c r="M179" i="7"/>
  <c r="Q179" i="7"/>
  <c r="E180" i="7"/>
  <c r="I180" i="7"/>
  <c r="M180" i="7"/>
  <c r="Q180" i="7"/>
  <c r="E181" i="7"/>
  <c r="I181" i="7"/>
  <c r="M181" i="7"/>
  <c r="Q181" i="7"/>
  <c r="E183" i="7"/>
  <c r="I183" i="7"/>
  <c r="M183" i="7"/>
  <c r="Q183" i="7"/>
  <c r="E184" i="7"/>
  <c r="I184" i="7"/>
  <c r="M184" i="7"/>
  <c r="Q184" i="7"/>
  <c r="E185" i="7"/>
  <c r="I185" i="7"/>
  <c r="M185" i="7"/>
  <c r="Q185" i="7"/>
  <c r="E186" i="7"/>
  <c r="I186" i="7"/>
  <c r="M186" i="7"/>
  <c r="Q186" i="7"/>
  <c r="E187" i="7"/>
  <c r="I187" i="7"/>
  <c r="M187" i="7"/>
  <c r="Q187" i="7"/>
  <c r="E188" i="7"/>
  <c r="I188" i="7"/>
  <c r="M188" i="7"/>
  <c r="Q188" i="7"/>
  <c r="E189" i="7"/>
  <c r="I189" i="7"/>
  <c r="M189" i="7"/>
  <c r="Q189" i="7"/>
  <c r="E190" i="7"/>
  <c r="I190" i="7"/>
  <c r="M190" i="7"/>
  <c r="Q190" i="7"/>
  <c r="E191" i="7"/>
  <c r="I191" i="7"/>
  <c r="M191" i="7"/>
  <c r="Q191" i="7"/>
  <c r="E192" i="7"/>
  <c r="I192" i="7"/>
  <c r="M192" i="7"/>
  <c r="Q192" i="7"/>
  <c r="E193" i="7"/>
  <c r="I193" i="7"/>
  <c r="M193" i="7"/>
  <c r="Q193" i="7"/>
  <c r="E194" i="7"/>
  <c r="I194" i="7"/>
  <c r="M194" i="7"/>
  <c r="Q194" i="7"/>
  <c r="E195" i="7"/>
  <c r="I195" i="7"/>
  <c r="M195" i="7"/>
  <c r="Q195" i="7"/>
  <c r="E196" i="7"/>
  <c r="I196" i="7"/>
  <c r="M196" i="7"/>
  <c r="Q196" i="7"/>
  <c r="E197" i="7"/>
  <c r="I197" i="7"/>
  <c r="M197" i="7"/>
  <c r="Q197" i="7"/>
  <c r="E198" i="7"/>
  <c r="I198" i="7"/>
  <c r="M198" i="7"/>
  <c r="Q198" i="7"/>
  <c r="E199" i="7"/>
  <c r="I199" i="7"/>
  <c r="M199" i="7"/>
  <c r="Q199" i="7"/>
  <c r="E200" i="7"/>
  <c r="I200" i="7"/>
  <c r="M200" i="7"/>
  <c r="Q200" i="7"/>
  <c r="E201" i="7"/>
  <c r="I201" i="7"/>
  <c r="M201" i="7"/>
  <c r="Q201" i="7"/>
  <c r="E202" i="7"/>
  <c r="I202" i="7"/>
  <c r="M202" i="7"/>
  <c r="Q202" i="7"/>
  <c r="E203" i="7"/>
  <c r="I203" i="7"/>
  <c r="M203" i="7"/>
  <c r="Q203" i="7"/>
  <c r="E204" i="7"/>
  <c r="I204" i="7"/>
  <c r="M204" i="7"/>
  <c r="Q204" i="7"/>
  <c r="E206" i="7"/>
  <c r="I206" i="7"/>
  <c r="M206" i="7"/>
  <c r="Q206" i="7"/>
  <c r="E207" i="7"/>
  <c r="I207" i="7"/>
  <c r="M207" i="7"/>
  <c r="Q207" i="7"/>
  <c r="E208" i="7"/>
  <c r="I208" i="7"/>
  <c r="M208" i="7"/>
  <c r="Q208" i="7"/>
  <c r="E209" i="7"/>
  <c r="I209" i="7"/>
  <c r="M209" i="7"/>
  <c r="Q209" i="7"/>
  <c r="E210" i="7"/>
  <c r="I210" i="7"/>
  <c r="M210" i="7"/>
  <c r="Q210" i="7"/>
  <c r="E211" i="7"/>
  <c r="I211" i="7"/>
  <c r="M211" i="7"/>
  <c r="Q211" i="7"/>
  <c r="E212" i="7"/>
  <c r="I212" i="7"/>
  <c r="M212" i="7"/>
  <c r="Q212" i="7"/>
  <c r="E213" i="7"/>
  <c r="I213" i="7"/>
  <c r="M213" i="7"/>
  <c r="Q213" i="7"/>
  <c r="E215" i="7"/>
  <c r="I215" i="7"/>
  <c r="M215" i="7"/>
  <c r="Q215" i="7"/>
  <c r="E216" i="7"/>
  <c r="I216" i="7"/>
  <c r="M216" i="7"/>
  <c r="Q216" i="7"/>
  <c r="E217" i="7"/>
  <c r="I217" i="7"/>
  <c r="M217" i="7"/>
  <c r="Q217" i="7"/>
  <c r="E218" i="7"/>
  <c r="I218" i="7"/>
  <c r="M218" i="7"/>
  <c r="Q218" i="7"/>
  <c r="E220" i="7"/>
  <c r="I220" i="7"/>
  <c r="M220" i="7"/>
  <c r="Q220" i="7"/>
  <c r="E222" i="7"/>
  <c r="I222" i="7"/>
  <c r="M222" i="7"/>
  <c r="Q222" i="7"/>
  <c r="E223" i="7"/>
  <c r="I223" i="7"/>
  <c r="M223" i="7"/>
  <c r="Q223" i="7"/>
  <c r="E224" i="7"/>
  <c r="I224" i="7"/>
  <c r="M224" i="7"/>
  <c r="Q224" i="7"/>
  <c r="E225" i="7"/>
  <c r="I225" i="7"/>
  <c r="M225" i="7"/>
  <c r="Q225" i="7"/>
  <c r="E226" i="7"/>
  <c r="I226" i="7"/>
  <c r="M226" i="7"/>
  <c r="Q226" i="7"/>
  <c r="E227" i="7"/>
  <c r="I227" i="7"/>
  <c r="M227" i="7"/>
  <c r="Q227" i="7"/>
  <c r="E228" i="7"/>
  <c r="I228" i="7"/>
  <c r="M228" i="7"/>
  <c r="Q228" i="7"/>
  <c r="E229" i="7"/>
  <c r="I229" i="7"/>
  <c r="M229" i="7"/>
  <c r="Q229" i="7"/>
  <c r="E230" i="7"/>
  <c r="I230" i="7"/>
  <c r="M230" i="7"/>
  <c r="Q230" i="7"/>
  <c r="E231" i="7"/>
  <c r="I231" i="7"/>
  <c r="M231" i="7"/>
  <c r="Q231" i="7"/>
  <c r="E232" i="7"/>
  <c r="I232" i="7"/>
  <c r="M232" i="7"/>
  <c r="Q232" i="7"/>
  <c r="E233" i="7"/>
  <c r="I233" i="7"/>
  <c r="M233" i="7"/>
  <c r="Q233" i="7"/>
  <c r="E234" i="7"/>
  <c r="I234" i="7"/>
  <c r="M234" i="7"/>
  <c r="Q234" i="7"/>
  <c r="E235" i="7"/>
  <c r="I235" i="7"/>
  <c r="M235" i="7"/>
  <c r="Q235" i="7"/>
  <c r="E237" i="7"/>
  <c r="I237" i="7"/>
  <c r="M237" i="7"/>
  <c r="Q237" i="7"/>
  <c r="E238" i="7"/>
  <c r="I238" i="7"/>
  <c r="M238" i="7"/>
  <c r="Q238" i="7"/>
  <c r="E239" i="7"/>
  <c r="I239" i="7"/>
  <c r="M239" i="7"/>
  <c r="Q239" i="7"/>
  <c r="E240" i="7"/>
  <c r="I240" i="7"/>
  <c r="M240" i="7"/>
  <c r="Q240" i="7"/>
  <c r="E241" i="7"/>
  <c r="AA25" i="7"/>
  <c r="P36" i="7"/>
  <c r="P43" i="7"/>
  <c r="H46" i="7"/>
  <c r="P51" i="7"/>
  <c r="H54" i="7"/>
  <c r="E59" i="7"/>
  <c r="M60" i="7"/>
  <c r="E63" i="7"/>
  <c r="M64" i="7"/>
  <c r="E67" i="7"/>
  <c r="M69" i="7"/>
  <c r="M74" i="7"/>
  <c r="AA73" i="7"/>
  <c r="K79" i="7"/>
  <c r="K81" i="7"/>
  <c r="K83" i="7"/>
  <c r="K85" i="7"/>
  <c r="K87" i="7"/>
  <c r="K89" i="7"/>
  <c r="K91" i="7"/>
  <c r="K94" i="7"/>
  <c r="K96" i="7"/>
  <c r="K98" i="7"/>
  <c r="K100" i="7"/>
  <c r="K102" i="7"/>
  <c r="K105" i="7"/>
  <c r="K107" i="7"/>
  <c r="K111" i="7"/>
  <c r="K113" i="7"/>
  <c r="K118" i="7"/>
  <c r="K120" i="7"/>
  <c r="K122" i="7"/>
  <c r="Q123" i="7"/>
  <c r="I124" i="7"/>
  <c r="Q124" i="7"/>
  <c r="I125" i="7"/>
  <c r="Q125" i="7"/>
  <c r="I127" i="7"/>
  <c r="Q127" i="7"/>
  <c r="I128" i="7"/>
  <c r="Q128" i="7"/>
  <c r="I129" i="7"/>
  <c r="Q129" i="7"/>
  <c r="I130" i="7"/>
  <c r="Q130" i="7"/>
  <c r="I131" i="7"/>
  <c r="Q131" i="7"/>
  <c r="I132" i="7"/>
  <c r="Q132" i="7"/>
  <c r="I133" i="7"/>
  <c r="Q133" i="7"/>
  <c r="I134" i="7"/>
  <c r="Q134" i="7"/>
  <c r="I135" i="7"/>
  <c r="Q135" i="7"/>
  <c r="I136" i="7"/>
  <c r="Q136" i="7"/>
  <c r="I137" i="7"/>
  <c r="Q137" i="7"/>
  <c r="I138" i="7"/>
  <c r="Q138" i="7"/>
  <c r="I139" i="7"/>
  <c r="Q139" i="7"/>
  <c r="I141" i="7"/>
  <c r="Q141" i="7"/>
  <c r="I142" i="7"/>
  <c r="Q142" i="7"/>
  <c r="I143" i="7"/>
  <c r="Q143" i="7"/>
  <c r="I144" i="7"/>
  <c r="Q144" i="7"/>
  <c r="I145" i="7"/>
  <c r="Q145" i="7"/>
  <c r="I146" i="7"/>
  <c r="Q146" i="7"/>
  <c r="I147" i="7"/>
  <c r="Q147" i="7"/>
  <c r="I148" i="7"/>
  <c r="Q148" i="7"/>
  <c r="I149" i="7"/>
  <c r="Q149" i="7"/>
  <c r="I150" i="7"/>
  <c r="Q150" i="7"/>
  <c r="I151" i="7"/>
  <c r="Q151" i="7"/>
  <c r="F152" i="7"/>
  <c r="J152" i="7"/>
  <c r="N152" i="7"/>
  <c r="R152" i="7"/>
  <c r="AA146" i="7"/>
  <c r="F153" i="7"/>
  <c r="J153" i="7"/>
  <c r="N153" i="7"/>
  <c r="R153" i="7"/>
  <c r="AA147" i="7"/>
  <c r="F154" i="7"/>
  <c r="J154" i="7"/>
  <c r="N154" i="7"/>
  <c r="R154" i="7"/>
  <c r="AA148" i="7"/>
  <c r="AA149" i="7"/>
  <c r="F156" i="7"/>
  <c r="J156" i="7"/>
  <c r="N156" i="7"/>
  <c r="R156" i="7"/>
  <c r="AA150" i="7"/>
  <c r="F157" i="7"/>
  <c r="J157" i="7"/>
  <c r="N157" i="7"/>
  <c r="R157" i="7"/>
  <c r="AA151" i="7"/>
  <c r="F158" i="7"/>
  <c r="J158" i="7"/>
  <c r="N158" i="7"/>
  <c r="R158" i="7"/>
  <c r="AA152" i="7"/>
  <c r="F159" i="7"/>
  <c r="J159" i="7"/>
  <c r="N159" i="7"/>
  <c r="R159" i="7"/>
  <c r="AA153" i="7"/>
  <c r="F160" i="7"/>
  <c r="J160" i="7"/>
  <c r="N160" i="7"/>
  <c r="R160" i="7"/>
  <c r="AA154" i="7"/>
  <c r="F161" i="7"/>
  <c r="J161" i="7"/>
  <c r="N161" i="7"/>
  <c r="R161" i="7"/>
  <c r="AA155" i="7"/>
  <c r="F162" i="7"/>
  <c r="J162" i="7"/>
  <c r="N162" i="7"/>
  <c r="R162" i="7"/>
  <c r="AA156" i="7"/>
  <c r="AA157" i="7"/>
  <c r="F164" i="7"/>
  <c r="J164" i="7"/>
  <c r="N164" i="7"/>
  <c r="R164" i="7"/>
  <c r="AA158" i="7"/>
  <c r="F165" i="7"/>
  <c r="J165" i="7"/>
  <c r="N165" i="7"/>
  <c r="R165" i="7"/>
  <c r="AA159" i="7"/>
  <c r="F166" i="7"/>
  <c r="J166" i="7"/>
  <c r="N166" i="7"/>
  <c r="R166" i="7"/>
  <c r="AA160" i="7"/>
  <c r="F167" i="7"/>
  <c r="J167" i="7"/>
  <c r="N167" i="7"/>
  <c r="R167" i="7"/>
  <c r="AA161" i="7"/>
  <c r="AA162" i="7"/>
  <c r="F169" i="7"/>
  <c r="J169" i="7"/>
  <c r="N169" i="7"/>
  <c r="R169" i="7"/>
  <c r="AA163" i="7"/>
  <c r="F170" i="7"/>
  <c r="J170" i="7"/>
  <c r="N170" i="7"/>
  <c r="R170" i="7"/>
  <c r="AA164" i="7"/>
  <c r="F171" i="7"/>
  <c r="J171" i="7"/>
  <c r="N171" i="7"/>
  <c r="R171" i="7"/>
  <c r="AA165" i="7"/>
  <c r="F172" i="7"/>
  <c r="J172" i="7"/>
  <c r="N172" i="7"/>
  <c r="R172" i="7"/>
  <c r="AA166" i="7"/>
  <c r="F173" i="7"/>
  <c r="J173" i="7"/>
  <c r="N173" i="7"/>
  <c r="R173" i="7"/>
  <c r="AA167" i="7"/>
  <c r="F174" i="7"/>
  <c r="J174" i="7"/>
  <c r="N174" i="7"/>
  <c r="R174" i="7"/>
  <c r="AA168" i="7"/>
  <c r="F175" i="7"/>
  <c r="J175" i="7"/>
  <c r="N175" i="7"/>
  <c r="R175" i="7"/>
  <c r="AA169" i="7"/>
  <c r="F176" i="7"/>
  <c r="J176" i="7"/>
  <c r="N176" i="7"/>
  <c r="R176" i="7"/>
  <c r="AA170" i="7"/>
  <c r="F177" i="7"/>
  <c r="J177" i="7"/>
  <c r="N177" i="7"/>
  <c r="R177" i="7"/>
  <c r="AA171" i="7"/>
  <c r="F178" i="7"/>
  <c r="J178" i="7"/>
  <c r="N178" i="7"/>
  <c r="R178" i="7"/>
  <c r="AA172" i="7"/>
  <c r="F179" i="7"/>
  <c r="J179" i="7"/>
  <c r="N179" i="7"/>
  <c r="R179" i="7"/>
  <c r="AA173" i="7"/>
  <c r="F180" i="7"/>
  <c r="J180" i="7"/>
  <c r="N180" i="7"/>
  <c r="R180" i="7"/>
  <c r="AA174" i="7"/>
  <c r="F181" i="7"/>
  <c r="J181" i="7"/>
  <c r="N181" i="7"/>
  <c r="R181" i="7"/>
  <c r="AA175" i="7"/>
  <c r="F183" i="7"/>
  <c r="J183" i="7"/>
  <c r="N183" i="7"/>
  <c r="R183" i="7"/>
  <c r="AA176" i="7"/>
  <c r="F184" i="7"/>
  <c r="J184" i="7"/>
  <c r="N184" i="7"/>
  <c r="R184" i="7"/>
  <c r="AA177" i="7"/>
  <c r="F185" i="7"/>
  <c r="J185" i="7"/>
  <c r="N185" i="7"/>
  <c r="R185" i="7"/>
  <c r="AA178" i="7"/>
  <c r="F186" i="7"/>
  <c r="J186" i="7"/>
  <c r="N186" i="7"/>
  <c r="R186" i="7"/>
  <c r="AA179" i="7"/>
  <c r="F187" i="7"/>
  <c r="J187" i="7"/>
  <c r="N187" i="7"/>
  <c r="R187" i="7"/>
  <c r="AA180" i="7"/>
  <c r="F188" i="7"/>
  <c r="J188" i="7"/>
  <c r="N188" i="7"/>
  <c r="R188" i="7"/>
  <c r="AA181" i="7"/>
  <c r="F189" i="7"/>
  <c r="J189" i="7"/>
  <c r="N189" i="7"/>
  <c r="R189" i="7"/>
  <c r="AA183" i="7"/>
  <c r="F190" i="7"/>
  <c r="J190" i="7"/>
  <c r="N190" i="7"/>
  <c r="R190" i="7"/>
  <c r="AA184" i="7"/>
  <c r="F191" i="7"/>
  <c r="J191" i="7"/>
  <c r="N191" i="7"/>
  <c r="R191" i="7"/>
  <c r="AA185" i="7"/>
  <c r="F192" i="7"/>
  <c r="J192" i="7"/>
  <c r="N192" i="7"/>
  <c r="R192" i="7"/>
  <c r="AA186" i="7"/>
  <c r="F193" i="7"/>
  <c r="J193" i="7"/>
  <c r="N193" i="7"/>
  <c r="R193" i="7"/>
  <c r="AA187" i="7"/>
  <c r="F194" i="7"/>
  <c r="J194" i="7"/>
  <c r="N194" i="7"/>
  <c r="R194" i="7"/>
  <c r="AA188" i="7"/>
  <c r="F195" i="7"/>
  <c r="J195" i="7"/>
  <c r="N195" i="7"/>
  <c r="R195" i="7"/>
  <c r="AA189" i="7"/>
  <c r="F196" i="7"/>
  <c r="J196" i="7"/>
  <c r="N196" i="7"/>
  <c r="R196" i="7"/>
  <c r="AA190" i="7"/>
  <c r="F197" i="7"/>
  <c r="J197" i="7"/>
  <c r="N197" i="7"/>
  <c r="R197" i="7"/>
  <c r="AA191" i="7"/>
  <c r="F198" i="7"/>
  <c r="J198" i="7"/>
  <c r="N198" i="7"/>
  <c r="R198" i="7"/>
  <c r="AA192" i="7"/>
  <c r="F199" i="7"/>
  <c r="J199" i="7"/>
  <c r="N199" i="7"/>
  <c r="R199" i="7"/>
  <c r="AA193" i="7"/>
  <c r="F200" i="7"/>
  <c r="J200" i="7"/>
  <c r="N200" i="7"/>
  <c r="R200" i="7"/>
  <c r="AA194" i="7"/>
  <c r="F201" i="7"/>
  <c r="J201" i="7"/>
  <c r="N201" i="7"/>
  <c r="R201" i="7"/>
  <c r="AA195" i="7"/>
  <c r="F202" i="7"/>
  <c r="J202" i="7"/>
  <c r="N202" i="7"/>
  <c r="R202" i="7"/>
  <c r="AA196" i="7"/>
  <c r="F203" i="7"/>
  <c r="J203" i="7"/>
  <c r="N203" i="7"/>
  <c r="R203" i="7"/>
  <c r="AA197" i="7"/>
  <c r="F204" i="7"/>
  <c r="J204" i="7"/>
  <c r="N204" i="7"/>
  <c r="R204" i="7"/>
  <c r="AA198" i="7"/>
  <c r="AA199" i="7"/>
  <c r="F206" i="7"/>
  <c r="J206" i="7"/>
  <c r="N206" i="7"/>
  <c r="R206" i="7"/>
  <c r="AA200" i="7"/>
  <c r="F207" i="7"/>
  <c r="J207" i="7"/>
  <c r="N207" i="7"/>
  <c r="R207" i="7"/>
  <c r="AA201" i="7"/>
  <c r="F208" i="7"/>
  <c r="J208" i="7"/>
  <c r="N208" i="7"/>
  <c r="R208" i="7"/>
  <c r="AA202" i="7"/>
  <c r="F209" i="7"/>
  <c r="J209" i="7"/>
  <c r="N209" i="7"/>
  <c r="R209" i="7"/>
  <c r="AA203" i="7"/>
  <c r="F210" i="7"/>
  <c r="J210" i="7"/>
  <c r="N210" i="7"/>
  <c r="R210" i="7"/>
  <c r="AA204" i="7"/>
  <c r="F211" i="7"/>
  <c r="J211" i="7"/>
  <c r="N211" i="7"/>
  <c r="R211" i="7"/>
  <c r="AA205" i="7"/>
  <c r="F212" i="7"/>
  <c r="J212" i="7"/>
  <c r="N212" i="7"/>
  <c r="R212" i="7"/>
  <c r="AA206" i="7"/>
  <c r="F213" i="7"/>
  <c r="J213" i="7"/>
  <c r="N213" i="7"/>
  <c r="R213" i="7"/>
  <c r="AA207" i="7"/>
  <c r="F215" i="7"/>
  <c r="J215" i="7"/>
  <c r="N215" i="7"/>
  <c r="R215" i="7"/>
  <c r="AA208" i="7"/>
  <c r="F216" i="7"/>
  <c r="J216" i="7"/>
  <c r="N216" i="7"/>
  <c r="R216" i="7"/>
  <c r="AA209" i="7"/>
  <c r="F217" i="7"/>
  <c r="J217" i="7"/>
  <c r="N217" i="7"/>
  <c r="R217" i="7"/>
  <c r="AA210" i="7"/>
  <c r="F218" i="7"/>
  <c r="J218" i="7"/>
  <c r="N218" i="7"/>
  <c r="R218" i="7"/>
  <c r="AA211" i="7"/>
  <c r="AA212" i="7"/>
  <c r="F220" i="7"/>
  <c r="J220" i="7"/>
  <c r="N220" i="7"/>
  <c r="R220" i="7"/>
  <c r="AA213" i="7"/>
  <c r="F222" i="7"/>
  <c r="J222" i="7"/>
  <c r="N222" i="7"/>
  <c r="R222" i="7"/>
  <c r="AA214" i="7"/>
  <c r="F223" i="7"/>
  <c r="J223" i="7"/>
  <c r="N223" i="7"/>
  <c r="R223" i="7"/>
  <c r="AA215" i="7"/>
  <c r="F224" i="7"/>
  <c r="J224" i="7"/>
  <c r="N224" i="7"/>
  <c r="R224" i="7"/>
  <c r="AA216" i="7"/>
  <c r="F225" i="7"/>
  <c r="J225" i="7"/>
  <c r="N225" i="7"/>
  <c r="R225" i="7"/>
  <c r="AA217" i="7"/>
  <c r="F226" i="7"/>
  <c r="J226" i="7"/>
  <c r="N226" i="7"/>
  <c r="R226" i="7"/>
  <c r="AA218" i="7"/>
  <c r="F227" i="7"/>
  <c r="J227" i="7"/>
  <c r="N227" i="7"/>
  <c r="R227" i="7"/>
  <c r="AA219" i="7"/>
  <c r="F228" i="7"/>
  <c r="J228" i="7"/>
  <c r="N228" i="7"/>
  <c r="R228" i="7"/>
  <c r="AA220" i="7"/>
  <c r="F229" i="7"/>
  <c r="J229" i="7"/>
  <c r="N229" i="7"/>
  <c r="R229" i="7"/>
  <c r="AA222" i="7"/>
  <c r="F230" i="7"/>
  <c r="J230" i="7"/>
  <c r="N230" i="7"/>
  <c r="R230" i="7"/>
  <c r="AA223" i="7"/>
  <c r="F231" i="7"/>
  <c r="J231" i="7"/>
  <c r="N231" i="7"/>
  <c r="R231" i="7"/>
  <c r="AA224" i="7"/>
  <c r="F232" i="7"/>
  <c r="J232" i="7"/>
  <c r="N232" i="7"/>
  <c r="R232" i="7"/>
  <c r="AA225" i="7"/>
  <c r="F233" i="7"/>
  <c r="J233" i="7"/>
  <c r="N233" i="7"/>
  <c r="R233" i="7"/>
  <c r="AA226" i="7"/>
  <c r="F234" i="7"/>
  <c r="J234" i="7"/>
  <c r="N234" i="7"/>
  <c r="R234" i="7"/>
  <c r="AA227" i="7"/>
  <c r="F235" i="7"/>
  <c r="J235" i="7"/>
  <c r="N235" i="7"/>
  <c r="R235" i="7"/>
  <c r="AA228" i="7"/>
  <c r="F237" i="7"/>
  <c r="J237" i="7"/>
  <c r="N237" i="7"/>
  <c r="R237" i="7"/>
  <c r="AA229" i="7"/>
  <c r="F238" i="7"/>
  <c r="J238" i="7"/>
  <c r="N238" i="7"/>
  <c r="R238" i="7"/>
  <c r="AA230" i="7"/>
  <c r="F239" i="7"/>
  <c r="J239" i="7"/>
  <c r="N239" i="7"/>
  <c r="R239" i="7"/>
  <c r="AA231" i="7"/>
  <c r="F240" i="7"/>
  <c r="J240" i="7"/>
  <c r="N240" i="7"/>
  <c r="R240" i="7"/>
  <c r="I33" i="7"/>
  <c r="G42" i="7"/>
  <c r="O47" i="7"/>
  <c r="L58" i="7"/>
  <c r="D61" i="7"/>
  <c r="L66" i="7"/>
  <c r="D70" i="7"/>
  <c r="L76" i="7"/>
  <c r="AA74" i="7"/>
  <c r="J80" i="7"/>
  <c r="R81" i="7"/>
  <c r="AA78" i="7"/>
  <c r="J84" i="7"/>
  <c r="R85" i="7"/>
  <c r="AA82" i="7"/>
  <c r="J88" i="7"/>
  <c r="R89" i="7"/>
  <c r="AA86" i="7"/>
  <c r="J92" i="7"/>
  <c r="R94" i="7"/>
  <c r="AA90" i="7"/>
  <c r="J97" i="7"/>
  <c r="R98" i="7"/>
  <c r="AA94" i="7"/>
  <c r="J101" i="7"/>
  <c r="R102" i="7"/>
  <c r="AA98" i="7"/>
  <c r="J106" i="7"/>
  <c r="R107" i="7"/>
  <c r="AA102" i="7"/>
  <c r="J110" i="7"/>
  <c r="R111" i="7"/>
  <c r="AA107" i="7"/>
  <c r="J114" i="7"/>
  <c r="AA111" i="7"/>
  <c r="J119" i="7"/>
  <c r="R120" i="7"/>
  <c r="AA115" i="7"/>
  <c r="J123" i="7"/>
  <c r="D124" i="7"/>
  <c r="L125" i="7"/>
  <c r="L127" i="7"/>
  <c r="D128" i="7"/>
  <c r="D129" i="7"/>
  <c r="L130" i="7"/>
  <c r="D131" i="7"/>
  <c r="L132" i="7"/>
  <c r="D133" i="7"/>
  <c r="L134" i="7"/>
  <c r="D135" i="7"/>
  <c r="L136" i="7"/>
  <c r="D137" i="7"/>
  <c r="L138" i="7"/>
  <c r="D139" i="7"/>
  <c r="L141" i="7"/>
  <c r="D142" i="7"/>
  <c r="L143" i="7"/>
  <c r="D144" i="7"/>
  <c r="L145" i="7"/>
  <c r="D146" i="7"/>
  <c r="L147" i="7"/>
  <c r="D148" i="7"/>
  <c r="L149" i="7"/>
  <c r="D150" i="7"/>
  <c r="L151" i="7"/>
  <c r="AA145" i="7"/>
  <c r="K152" i="7"/>
  <c r="K153" i="7"/>
  <c r="K154" i="7"/>
  <c r="K156" i="7"/>
  <c r="K157" i="7"/>
  <c r="K158" i="7"/>
  <c r="K159" i="7"/>
  <c r="K160" i="7"/>
  <c r="K161" i="7"/>
  <c r="K162" i="7"/>
  <c r="K164" i="7"/>
  <c r="K165" i="7"/>
  <c r="K166" i="7"/>
  <c r="K167" i="7"/>
  <c r="K169" i="7"/>
  <c r="K170" i="7"/>
  <c r="K171" i="7"/>
  <c r="K172" i="7"/>
  <c r="K173" i="7"/>
  <c r="K174" i="7"/>
  <c r="K175" i="7"/>
  <c r="K176" i="7"/>
  <c r="K177" i="7"/>
  <c r="K178" i="7"/>
  <c r="K179" i="7"/>
  <c r="K180" i="7"/>
  <c r="Q33" i="7"/>
  <c r="H42" i="7"/>
  <c r="P47" i="7"/>
  <c r="M58" i="7"/>
  <c r="E61" i="7"/>
  <c r="M66" i="7"/>
  <c r="E70" i="7"/>
  <c r="M76" i="7"/>
  <c r="K80" i="7"/>
  <c r="K84" i="7"/>
  <c r="K88" i="7"/>
  <c r="K92" i="7"/>
  <c r="K97" i="7"/>
  <c r="K101" i="7"/>
  <c r="K106" i="7"/>
  <c r="K110" i="7"/>
  <c r="K114" i="7"/>
  <c r="K119" i="7"/>
  <c r="K123" i="7"/>
  <c r="E124" i="7"/>
  <c r="M125" i="7"/>
  <c r="M127" i="7"/>
  <c r="E128" i="7"/>
  <c r="E129" i="7"/>
  <c r="M130" i="7"/>
  <c r="E131" i="7"/>
  <c r="M132" i="7"/>
  <c r="E133" i="7"/>
  <c r="M134" i="7"/>
  <c r="E135" i="7"/>
  <c r="M136" i="7"/>
  <c r="E137" i="7"/>
  <c r="M138" i="7"/>
  <c r="E139" i="7"/>
  <c r="M141" i="7"/>
  <c r="E142" i="7"/>
  <c r="M143" i="7"/>
  <c r="E144" i="7"/>
  <c r="M145" i="7"/>
  <c r="E146" i="7"/>
  <c r="M147" i="7"/>
  <c r="E148" i="7"/>
  <c r="M149" i="7"/>
  <c r="E150" i="7"/>
  <c r="M151" i="7"/>
  <c r="D152" i="7"/>
  <c r="L152" i="7"/>
  <c r="D153" i="7"/>
  <c r="L153" i="7"/>
  <c r="D154" i="7"/>
  <c r="L154" i="7"/>
  <c r="D156" i="7"/>
  <c r="L156" i="7"/>
  <c r="D157" i="7"/>
  <c r="L157" i="7"/>
  <c r="D158" i="7"/>
  <c r="L158" i="7"/>
  <c r="D159" i="7"/>
  <c r="L159" i="7"/>
  <c r="D160" i="7"/>
  <c r="L160" i="7"/>
  <c r="D161" i="7"/>
  <c r="L161" i="7"/>
  <c r="D162" i="7"/>
  <c r="L162" i="7"/>
  <c r="D164" i="7"/>
  <c r="L164" i="7"/>
  <c r="D165" i="7"/>
  <c r="L165" i="7"/>
  <c r="D166" i="7"/>
  <c r="L166" i="7"/>
  <c r="D167" i="7"/>
  <c r="L167" i="7"/>
  <c r="D169" i="7"/>
  <c r="L169" i="7"/>
  <c r="D170" i="7"/>
  <c r="L170" i="7"/>
  <c r="D171" i="7"/>
  <c r="L171" i="7"/>
  <c r="D172" i="7"/>
  <c r="L172" i="7"/>
  <c r="D173" i="7"/>
  <c r="L173" i="7"/>
  <c r="D174" i="7"/>
  <c r="L174" i="7"/>
  <c r="D175" i="7"/>
  <c r="L175" i="7"/>
  <c r="D176" i="7"/>
  <c r="L176" i="7"/>
  <c r="D177" i="7"/>
  <c r="L177" i="7"/>
  <c r="D178" i="7"/>
  <c r="L178" i="7"/>
  <c r="D179" i="7"/>
  <c r="L179" i="7"/>
  <c r="D39" i="7"/>
  <c r="G50" i="7"/>
  <c r="O55" i="7"/>
  <c r="L62" i="7"/>
  <c r="D65" i="7"/>
  <c r="L71" i="7"/>
  <c r="D75" i="7"/>
  <c r="J77" i="7"/>
  <c r="R79" i="7"/>
  <c r="AA76" i="7"/>
  <c r="J82" i="7"/>
  <c r="R83" i="7"/>
  <c r="AA80" i="7"/>
  <c r="J86" i="7"/>
  <c r="R87" i="7"/>
  <c r="AA84" i="7"/>
  <c r="J90" i="7"/>
  <c r="R91" i="7"/>
  <c r="AA88" i="7"/>
  <c r="J95" i="7"/>
  <c r="R96" i="7"/>
  <c r="AA92" i="7"/>
  <c r="J99" i="7"/>
  <c r="R100" i="7"/>
  <c r="AA96" i="7"/>
  <c r="J103" i="7"/>
  <c r="R105" i="7"/>
  <c r="AA100" i="7"/>
  <c r="J108" i="7"/>
  <c r="AA105" i="7"/>
  <c r="J112" i="7"/>
  <c r="R113" i="7"/>
  <c r="AA109" i="7"/>
  <c r="R118" i="7"/>
  <c r="AA113" i="7"/>
  <c r="J121" i="7"/>
  <c r="R122" i="7"/>
  <c r="L124" i="7"/>
  <c r="D125" i="7"/>
  <c r="D127" i="7"/>
  <c r="L128" i="7"/>
  <c r="L129" i="7"/>
  <c r="D130" i="7"/>
  <c r="L131" i="7"/>
  <c r="D132" i="7"/>
  <c r="L133" i="7"/>
  <c r="D134" i="7"/>
  <c r="L135" i="7"/>
  <c r="D136" i="7"/>
  <c r="L137" i="7"/>
  <c r="D138" i="7"/>
  <c r="L139" i="7"/>
  <c r="D141" i="7"/>
  <c r="L142" i="7"/>
  <c r="D143" i="7"/>
  <c r="L144" i="7"/>
  <c r="D145" i="7"/>
  <c r="L146" i="7"/>
  <c r="D147" i="7"/>
  <c r="L148" i="7"/>
  <c r="D149" i="7"/>
  <c r="L150" i="7"/>
  <c r="D151" i="7"/>
  <c r="G152" i="7"/>
  <c r="O152" i="7"/>
  <c r="G153" i="7"/>
  <c r="O153" i="7"/>
  <c r="G154" i="7"/>
  <c r="O154" i="7"/>
  <c r="G156" i="7"/>
  <c r="O156" i="7"/>
  <c r="G157" i="7"/>
  <c r="O157" i="7"/>
  <c r="G158" i="7"/>
  <c r="O158" i="7"/>
  <c r="G159" i="7"/>
  <c r="O159" i="7"/>
  <c r="G160" i="7"/>
  <c r="O160" i="7"/>
  <c r="G161" i="7"/>
  <c r="O161" i="7"/>
  <c r="G162" i="7"/>
  <c r="O162" i="7"/>
  <c r="G164" i="7"/>
  <c r="O164" i="7"/>
  <c r="G165" i="7"/>
  <c r="O165" i="7"/>
  <c r="G166" i="7"/>
  <c r="O166" i="7"/>
  <c r="G167" i="7"/>
  <c r="O167" i="7"/>
  <c r="G169" i="7"/>
  <c r="O169" i="7"/>
  <c r="G170" i="7"/>
  <c r="O170" i="7"/>
  <c r="G171" i="7"/>
  <c r="O171" i="7"/>
  <c r="G172" i="7"/>
  <c r="O172" i="7"/>
  <c r="G173" i="7"/>
  <c r="O173" i="7"/>
  <c r="G174" i="7"/>
  <c r="O174" i="7"/>
  <c r="G175" i="7"/>
  <c r="O175" i="7"/>
  <c r="G176" i="7"/>
  <c r="O176" i="7"/>
  <c r="G177" i="7"/>
  <c r="O177" i="7"/>
  <c r="G178" i="7"/>
  <c r="O178" i="7"/>
  <c r="G179" i="7"/>
  <c r="O179" i="7"/>
  <c r="M62" i="7"/>
  <c r="E75" i="7"/>
  <c r="K82" i="7"/>
  <c r="K99" i="7"/>
  <c r="M128" i="7"/>
  <c r="E130" i="7"/>
  <c r="M135" i="7"/>
  <c r="E138" i="7"/>
  <c r="M144" i="7"/>
  <c r="E147" i="7"/>
  <c r="H152" i="7"/>
  <c r="P153" i="7"/>
  <c r="H156" i="7"/>
  <c r="P157" i="7"/>
  <c r="H160" i="7"/>
  <c r="P161" i="7"/>
  <c r="H164" i="7"/>
  <c r="P165" i="7"/>
  <c r="P169" i="7"/>
  <c r="H172" i="7"/>
  <c r="P173" i="7"/>
  <c r="H176" i="7"/>
  <c r="P177" i="7"/>
  <c r="D180" i="7"/>
  <c r="O180" i="7"/>
  <c r="K181" i="7"/>
  <c r="K183" i="7"/>
  <c r="K184" i="7"/>
  <c r="K185" i="7"/>
  <c r="K186" i="7"/>
  <c r="K187" i="7"/>
  <c r="K188" i="7"/>
  <c r="K189" i="7"/>
  <c r="K190" i="7"/>
  <c r="K191" i="7"/>
  <c r="K192" i="7"/>
  <c r="K193" i="7"/>
  <c r="K194" i="7"/>
  <c r="K195" i="7"/>
  <c r="K196" i="7"/>
  <c r="K197" i="7"/>
  <c r="K198" i="7"/>
  <c r="K199" i="7"/>
  <c r="K200" i="7"/>
  <c r="K201" i="7"/>
  <c r="K202" i="7"/>
  <c r="K203" i="7"/>
  <c r="K204" i="7"/>
  <c r="K206" i="7"/>
  <c r="K207" i="7"/>
  <c r="K208" i="7"/>
  <c r="K209" i="7"/>
  <c r="K210" i="7"/>
  <c r="K211" i="7"/>
  <c r="K212" i="7"/>
  <c r="K213" i="7"/>
  <c r="K215" i="7"/>
  <c r="K216" i="7"/>
  <c r="K217" i="7"/>
  <c r="K218" i="7"/>
  <c r="K220" i="7"/>
  <c r="K222" i="7"/>
  <c r="K223" i="7"/>
  <c r="K224" i="7"/>
  <c r="K225" i="7"/>
  <c r="K226" i="7"/>
  <c r="K227" i="7"/>
  <c r="K228" i="7"/>
  <c r="K229" i="7"/>
  <c r="K230" i="7"/>
  <c r="K231" i="7"/>
  <c r="K232" i="7"/>
  <c r="K233" i="7"/>
  <c r="K234" i="7"/>
  <c r="K235" i="7"/>
  <c r="K237" i="7"/>
  <c r="K238" i="7"/>
  <c r="K239" i="7"/>
  <c r="K240" i="7"/>
  <c r="AA232" i="7"/>
  <c r="G241" i="7"/>
  <c r="K241" i="7"/>
  <c r="O241" i="7"/>
  <c r="G242" i="7"/>
  <c r="K242" i="7"/>
  <c r="O242" i="7"/>
  <c r="G244" i="7"/>
  <c r="K244" i="7"/>
  <c r="O244" i="7"/>
  <c r="G245" i="7"/>
  <c r="K245" i="7"/>
  <c r="O245" i="7"/>
  <c r="G246" i="7"/>
  <c r="K246" i="7"/>
  <c r="O246" i="7"/>
  <c r="G247" i="7"/>
  <c r="K247" i="7"/>
  <c r="O247" i="7"/>
  <c r="G248" i="7"/>
  <c r="K248" i="7"/>
  <c r="O248" i="7"/>
  <c r="G249" i="7"/>
  <c r="K249" i="7"/>
  <c r="O249" i="7"/>
  <c r="G250" i="7"/>
  <c r="K250" i="7"/>
  <c r="O250" i="7"/>
  <c r="G251" i="7"/>
  <c r="K251" i="7"/>
  <c r="O251" i="7"/>
  <c r="G252" i="7"/>
  <c r="K252" i="7"/>
  <c r="O252" i="7"/>
  <c r="G253" i="7"/>
  <c r="K253" i="7"/>
  <c r="O253" i="7"/>
  <c r="G254" i="7"/>
  <c r="K254" i="7"/>
  <c r="O254" i="7"/>
  <c r="G255" i="7"/>
  <c r="K255" i="7"/>
  <c r="O255" i="7"/>
  <c r="G256" i="7"/>
  <c r="K256" i="7"/>
  <c r="O256" i="7"/>
  <c r="G257" i="7"/>
  <c r="K257" i="7"/>
  <c r="O257" i="7"/>
  <c r="G258" i="7"/>
  <c r="K258" i="7"/>
  <c r="O258" i="7"/>
  <c r="G259" i="7"/>
  <c r="K259" i="7"/>
  <c r="O259" i="7"/>
  <c r="G260" i="7"/>
  <c r="K260" i="7"/>
  <c r="O260" i="7"/>
  <c r="G261" i="7"/>
  <c r="K261" i="7"/>
  <c r="O261" i="7"/>
  <c r="G262" i="7"/>
  <c r="K262" i="7"/>
  <c r="O262" i="7"/>
  <c r="H50" i="7"/>
  <c r="E65" i="7"/>
  <c r="K77" i="7"/>
  <c r="K95" i="7"/>
  <c r="K112" i="7"/>
  <c r="M133" i="7"/>
  <c r="E136" i="7"/>
  <c r="M142" i="7"/>
  <c r="E145" i="7"/>
  <c r="M150" i="7"/>
  <c r="P152" i="7"/>
  <c r="P156" i="7"/>
  <c r="H159" i="7"/>
  <c r="P160" i="7"/>
  <c r="P164" i="7"/>
  <c r="H167" i="7"/>
  <c r="H171" i="7"/>
  <c r="P172" i="7"/>
  <c r="H175" i="7"/>
  <c r="P176" i="7"/>
  <c r="H179" i="7"/>
  <c r="G180" i="7"/>
  <c r="P180" i="7"/>
  <c r="D181" i="7"/>
  <c r="L181" i="7"/>
  <c r="D183" i="7"/>
  <c r="L183" i="7"/>
  <c r="D184" i="7"/>
  <c r="L184" i="7"/>
  <c r="D185" i="7"/>
  <c r="L185" i="7"/>
  <c r="D186" i="7"/>
  <c r="L186" i="7"/>
  <c r="D187" i="7"/>
  <c r="L187" i="7"/>
  <c r="D188" i="7"/>
  <c r="L188" i="7"/>
  <c r="D189" i="7"/>
  <c r="L189" i="7"/>
  <c r="D190" i="7"/>
  <c r="L190" i="7"/>
  <c r="D191" i="7"/>
  <c r="L191" i="7"/>
  <c r="D192" i="7"/>
  <c r="L192" i="7"/>
  <c r="D193" i="7"/>
  <c r="L193" i="7"/>
  <c r="D194" i="7"/>
  <c r="L194" i="7"/>
  <c r="D195" i="7"/>
  <c r="L195" i="7"/>
  <c r="D196" i="7"/>
  <c r="L196" i="7"/>
  <c r="D197" i="7"/>
  <c r="L197" i="7"/>
  <c r="D198" i="7"/>
  <c r="L198" i="7"/>
  <c r="D199" i="7"/>
  <c r="L199" i="7"/>
  <c r="D200" i="7"/>
  <c r="L200" i="7"/>
  <c r="D201" i="7"/>
  <c r="L201" i="7"/>
  <c r="D202" i="7"/>
  <c r="L202" i="7"/>
  <c r="D203" i="7"/>
  <c r="L203" i="7"/>
  <c r="D204" i="7"/>
  <c r="L204" i="7"/>
  <c r="D206" i="7"/>
  <c r="L206" i="7"/>
  <c r="D207" i="7"/>
  <c r="L207" i="7"/>
  <c r="D208" i="7"/>
  <c r="L208" i="7"/>
  <c r="D209" i="7"/>
  <c r="L209" i="7"/>
  <c r="D210" i="7"/>
  <c r="L210" i="7"/>
  <c r="D211" i="7"/>
  <c r="L211" i="7"/>
  <c r="D212" i="7"/>
  <c r="L212" i="7"/>
  <c r="D213" i="7"/>
  <c r="L213" i="7"/>
  <c r="D215" i="7"/>
  <c r="L215" i="7"/>
  <c r="D216" i="7"/>
  <c r="L216" i="7"/>
  <c r="D217" i="7"/>
  <c r="L217" i="7"/>
  <c r="D218" i="7"/>
  <c r="L218" i="7"/>
  <c r="D220" i="7"/>
  <c r="L220" i="7"/>
  <c r="D222" i="7"/>
  <c r="L222" i="7"/>
  <c r="D223" i="7"/>
  <c r="L223" i="7"/>
  <c r="D224" i="7"/>
  <c r="L224" i="7"/>
  <c r="D225" i="7"/>
  <c r="L225" i="7"/>
  <c r="D226" i="7"/>
  <c r="L226" i="7"/>
  <c r="D227" i="7"/>
  <c r="L227" i="7"/>
  <c r="D228" i="7"/>
  <c r="L228" i="7"/>
  <c r="D229" i="7"/>
  <c r="L229" i="7"/>
  <c r="D230" i="7"/>
  <c r="L230" i="7"/>
  <c r="D231" i="7"/>
  <c r="L231" i="7"/>
  <c r="D232" i="7"/>
  <c r="L232" i="7"/>
  <c r="D233" i="7"/>
  <c r="L233" i="7"/>
  <c r="D234" i="7"/>
  <c r="L234" i="7"/>
  <c r="D235" i="7"/>
  <c r="L235" i="7"/>
  <c r="D237" i="7"/>
  <c r="L237" i="7"/>
  <c r="D238" i="7"/>
  <c r="L238" i="7"/>
  <c r="D239" i="7"/>
  <c r="L239" i="7"/>
  <c r="D240" i="7"/>
  <c r="L240" i="7"/>
  <c r="H241" i="7"/>
  <c r="L241" i="7"/>
  <c r="P241" i="7"/>
  <c r="D242" i="7"/>
  <c r="H242" i="7"/>
  <c r="L242" i="7"/>
  <c r="P242" i="7"/>
  <c r="D244" i="7"/>
  <c r="H244" i="7"/>
  <c r="L244" i="7"/>
  <c r="P244" i="7"/>
  <c r="D245" i="7"/>
  <c r="H245" i="7"/>
  <c r="L245" i="7"/>
  <c r="P245" i="7"/>
  <c r="D246" i="7"/>
  <c r="H246" i="7"/>
  <c r="L246" i="7"/>
  <c r="P246" i="7"/>
  <c r="D247" i="7"/>
  <c r="H247" i="7"/>
  <c r="L247" i="7"/>
  <c r="P247" i="7"/>
  <c r="D248" i="7"/>
  <c r="H248" i="7"/>
  <c r="L248" i="7"/>
  <c r="P248" i="7"/>
  <c r="D249" i="7"/>
  <c r="H249" i="7"/>
  <c r="L249" i="7"/>
  <c r="P249" i="7"/>
  <c r="D250" i="7"/>
  <c r="H250" i="7"/>
  <c r="L250" i="7"/>
  <c r="P250" i="7"/>
  <c r="D251" i="7"/>
  <c r="H251" i="7"/>
  <c r="L251" i="7"/>
  <c r="P251" i="7"/>
  <c r="D252" i="7"/>
  <c r="H252" i="7"/>
  <c r="L252" i="7"/>
  <c r="P252" i="7"/>
  <c r="D253" i="7"/>
  <c r="H253" i="7"/>
  <c r="L253" i="7"/>
  <c r="P253" i="7"/>
  <c r="D254" i="7"/>
  <c r="H254" i="7"/>
  <c r="L254" i="7"/>
  <c r="P254" i="7"/>
  <c r="D255" i="7"/>
  <c r="H255" i="7"/>
  <c r="L255" i="7"/>
  <c r="P255" i="7"/>
  <c r="D256" i="7"/>
  <c r="H256" i="7"/>
  <c r="L256" i="7"/>
  <c r="P256" i="7"/>
  <c r="D257" i="7"/>
  <c r="H257" i="7"/>
  <c r="L257" i="7"/>
  <c r="P257" i="7"/>
  <c r="D258" i="7"/>
  <c r="H258" i="7"/>
  <c r="L258" i="7"/>
  <c r="P258" i="7"/>
  <c r="D259" i="7"/>
  <c r="H259" i="7"/>
  <c r="L259" i="7"/>
  <c r="P259" i="7"/>
  <c r="D260" i="7"/>
  <c r="H260" i="7"/>
  <c r="L260" i="7"/>
  <c r="P260" i="7"/>
  <c r="D261" i="7"/>
  <c r="H261" i="7"/>
  <c r="L261" i="7"/>
  <c r="P261" i="7"/>
  <c r="D262" i="7"/>
  <c r="H262" i="7"/>
  <c r="L262" i="7"/>
  <c r="P55" i="7"/>
  <c r="K90" i="7"/>
  <c r="K108" i="7"/>
  <c r="M124" i="7"/>
  <c r="E127" i="7"/>
  <c r="M131" i="7"/>
  <c r="E134" i="7"/>
  <c r="M139" i="7"/>
  <c r="E143" i="7"/>
  <c r="M148" i="7"/>
  <c r="E151" i="7"/>
  <c r="H154" i="7"/>
  <c r="H158" i="7"/>
  <c r="P159" i="7"/>
  <c r="H162" i="7"/>
  <c r="H166" i="7"/>
  <c r="P167" i="7"/>
  <c r="H170" i="7"/>
  <c r="P171" i="7"/>
  <c r="H174" i="7"/>
  <c r="P175" i="7"/>
  <c r="H178" i="7"/>
  <c r="P179" i="7"/>
  <c r="H180" i="7"/>
  <c r="G181" i="7"/>
  <c r="O181" i="7"/>
  <c r="G183" i="7"/>
  <c r="O183" i="7"/>
  <c r="G184" i="7"/>
  <c r="O184" i="7"/>
  <c r="G185" i="7"/>
  <c r="O185" i="7"/>
  <c r="G186" i="7"/>
  <c r="O186" i="7"/>
  <c r="G187" i="7"/>
  <c r="O187" i="7"/>
  <c r="G188" i="7"/>
  <c r="O188" i="7"/>
  <c r="G189" i="7"/>
  <c r="O189" i="7"/>
  <c r="G190" i="7"/>
  <c r="O190" i="7"/>
  <c r="G191" i="7"/>
  <c r="O191" i="7"/>
  <c r="G192" i="7"/>
  <c r="O192" i="7"/>
  <c r="G193" i="7"/>
  <c r="O193" i="7"/>
  <c r="G194" i="7"/>
  <c r="O194" i="7"/>
  <c r="G195" i="7"/>
  <c r="O195" i="7"/>
  <c r="G196" i="7"/>
  <c r="O196" i="7"/>
  <c r="G197" i="7"/>
  <c r="O197" i="7"/>
  <c r="G198" i="7"/>
  <c r="O198" i="7"/>
  <c r="G199" i="7"/>
  <c r="O199" i="7"/>
  <c r="G200" i="7"/>
  <c r="O200" i="7"/>
  <c r="G201" i="7"/>
  <c r="O201" i="7"/>
  <c r="G202" i="7"/>
  <c r="O202" i="7"/>
  <c r="G203" i="7"/>
  <c r="O203" i="7"/>
  <c r="G204" i="7"/>
  <c r="O204" i="7"/>
  <c r="G206" i="7"/>
  <c r="O206" i="7"/>
  <c r="G207" i="7"/>
  <c r="O207" i="7"/>
  <c r="G208" i="7"/>
  <c r="O208" i="7"/>
  <c r="G209" i="7"/>
  <c r="O209" i="7"/>
  <c r="G210" i="7"/>
  <c r="O210" i="7"/>
  <c r="G211" i="7"/>
  <c r="O211" i="7"/>
  <c r="G212" i="7"/>
  <c r="O212" i="7"/>
  <c r="G213" i="7"/>
  <c r="O213" i="7"/>
  <c r="G215" i="7"/>
  <c r="O215" i="7"/>
  <c r="G216" i="7"/>
  <c r="O216" i="7"/>
  <c r="G217" i="7"/>
  <c r="O217" i="7"/>
  <c r="G218" i="7"/>
  <c r="O218" i="7"/>
  <c r="G220" i="7"/>
  <c r="O220" i="7"/>
  <c r="G222" i="7"/>
  <c r="O222" i="7"/>
  <c r="G223" i="7"/>
  <c r="O223" i="7"/>
  <c r="G224" i="7"/>
  <c r="O224" i="7"/>
  <c r="G225" i="7"/>
  <c r="O225" i="7"/>
  <c r="G226" i="7"/>
  <c r="O226" i="7"/>
  <c r="G227" i="7"/>
  <c r="O227" i="7"/>
  <c r="G228" i="7"/>
  <c r="O228" i="7"/>
  <c r="G229" i="7"/>
  <c r="O229" i="7"/>
  <c r="G230" i="7"/>
  <c r="O230" i="7"/>
  <c r="G231" i="7"/>
  <c r="O231" i="7"/>
  <c r="G232" i="7"/>
  <c r="O232" i="7"/>
  <c r="G233" i="7"/>
  <c r="O233" i="7"/>
  <c r="G234" i="7"/>
  <c r="O234" i="7"/>
  <c r="G235" i="7"/>
  <c r="O235" i="7"/>
  <c r="G237" i="7"/>
  <c r="O237" i="7"/>
  <c r="G238" i="7"/>
  <c r="O238" i="7"/>
  <c r="G239" i="7"/>
  <c r="O239" i="7"/>
  <c r="G240" i="7"/>
  <c r="O240" i="7"/>
  <c r="D241" i="7"/>
  <c r="I241" i="7"/>
  <c r="M241" i="7"/>
  <c r="Q241" i="7"/>
  <c r="E242" i="7"/>
  <c r="I242" i="7"/>
  <c r="M242" i="7"/>
  <c r="Q242" i="7"/>
  <c r="E244" i="7"/>
  <c r="I244" i="7"/>
  <c r="M244" i="7"/>
  <c r="Q244" i="7"/>
  <c r="E245" i="7"/>
  <c r="I245" i="7"/>
  <c r="M245" i="7"/>
  <c r="Q245" i="7"/>
  <c r="E246" i="7"/>
  <c r="I246" i="7"/>
  <c r="M246" i="7"/>
  <c r="Q246" i="7"/>
  <c r="E247" i="7"/>
  <c r="I247" i="7"/>
  <c r="M247" i="7"/>
  <c r="Q247" i="7"/>
  <c r="E248" i="7"/>
  <c r="I248" i="7"/>
  <c r="M248" i="7"/>
  <c r="Q248" i="7"/>
  <c r="E249" i="7"/>
  <c r="I249" i="7"/>
  <c r="M249" i="7"/>
  <c r="Q249" i="7"/>
  <c r="E250" i="7"/>
  <c r="I250" i="7"/>
  <c r="M250" i="7"/>
  <c r="Q250" i="7"/>
  <c r="E251" i="7"/>
  <c r="I251" i="7"/>
  <c r="M251" i="7"/>
  <c r="Q251" i="7"/>
  <c r="E252" i="7"/>
  <c r="I252" i="7"/>
  <c r="M252" i="7"/>
  <c r="Q252" i="7"/>
  <c r="E253" i="7"/>
  <c r="I253" i="7"/>
  <c r="M253" i="7"/>
  <c r="Q253" i="7"/>
  <c r="E254" i="7"/>
  <c r="I254" i="7"/>
  <c r="M254" i="7"/>
  <c r="Q254" i="7"/>
  <c r="E255" i="7"/>
  <c r="I255" i="7"/>
  <c r="M255" i="7"/>
  <c r="Q255" i="7"/>
  <c r="E256" i="7"/>
  <c r="I256" i="7"/>
  <c r="M256" i="7"/>
  <c r="Q256" i="7"/>
  <c r="E257" i="7"/>
  <c r="I257" i="7"/>
  <c r="M257" i="7"/>
  <c r="Q257" i="7"/>
  <c r="E258" i="7"/>
  <c r="I258" i="7"/>
  <c r="M258" i="7"/>
  <c r="Q258" i="7"/>
  <c r="E259" i="7"/>
  <c r="I259" i="7"/>
  <c r="M259" i="7"/>
  <c r="Q259" i="7"/>
  <c r="E260" i="7"/>
  <c r="I260" i="7"/>
  <c r="M260" i="7"/>
  <c r="Q260" i="7"/>
  <c r="E261" i="7"/>
  <c r="I261" i="7"/>
  <c r="M261" i="7"/>
  <c r="Q261" i="7"/>
  <c r="E262" i="7"/>
  <c r="I262" i="7"/>
  <c r="M71" i="7"/>
  <c r="K121" i="7"/>
  <c r="E132" i="7"/>
  <c r="H153" i="7"/>
  <c r="P158" i="7"/>
  <c r="H169" i="7"/>
  <c r="P174" i="7"/>
  <c r="P181" i="7"/>
  <c r="H185" i="7"/>
  <c r="P186" i="7"/>
  <c r="H189" i="7"/>
  <c r="P190" i="7"/>
  <c r="H193" i="7"/>
  <c r="P194" i="7"/>
  <c r="H197" i="7"/>
  <c r="P198" i="7"/>
  <c r="H201" i="7"/>
  <c r="P202" i="7"/>
  <c r="P206" i="7"/>
  <c r="H209" i="7"/>
  <c r="P210" i="7"/>
  <c r="H213" i="7"/>
  <c r="P215" i="7"/>
  <c r="H218" i="7"/>
  <c r="H223" i="7"/>
  <c r="P224" i="7"/>
  <c r="H227" i="7"/>
  <c r="P228" i="7"/>
  <c r="H231" i="7"/>
  <c r="P232" i="7"/>
  <c r="H235" i="7"/>
  <c r="P237" i="7"/>
  <c r="H240" i="7"/>
  <c r="J241" i="7"/>
  <c r="AA233" i="7"/>
  <c r="R242" i="7"/>
  <c r="AA235" i="7"/>
  <c r="R244" i="7"/>
  <c r="J245" i="7"/>
  <c r="AA238" i="7"/>
  <c r="R246" i="7"/>
  <c r="J247" i="7"/>
  <c r="AA240" i="7"/>
  <c r="R248" i="7"/>
  <c r="J249" i="7"/>
  <c r="AA242" i="7"/>
  <c r="R250" i="7"/>
  <c r="J251" i="7"/>
  <c r="AA244" i="7"/>
  <c r="R252" i="7"/>
  <c r="J253" i="7"/>
  <c r="AA246" i="7"/>
  <c r="R254" i="7"/>
  <c r="J255" i="7"/>
  <c r="AA248" i="7"/>
  <c r="R256" i="7"/>
  <c r="J257" i="7"/>
  <c r="AA250" i="7"/>
  <c r="R258" i="7"/>
  <c r="J259" i="7"/>
  <c r="AA252" i="7"/>
  <c r="R260" i="7"/>
  <c r="J261" i="7"/>
  <c r="AA254" i="7"/>
  <c r="N262" i="7"/>
  <c r="D263" i="7"/>
  <c r="H263" i="7"/>
  <c r="L263" i="7"/>
  <c r="P263" i="7"/>
  <c r="D264" i="7"/>
  <c r="H264" i="7"/>
  <c r="L264" i="7"/>
  <c r="P264" i="7"/>
  <c r="D265" i="7"/>
  <c r="H265" i="7"/>
  <c r="L265" i="7"/>
  <c r="P265" i="7"/>
  <c r="D266" i="7"/>
  <c r="H266" i="7"/>
  <c r="L266" i="7"/>
  <c r="P266" i="7"/>
  <c r="D267" i="7"/>
  <c r="H267" i="7"/>
  <c r="L267" i="7"/>
  <c r="P267" i="7"/>
  <c r="D268" i="7"/>
  <c r="H268" i="7"/>
  <c r="K103" i="7"/>
  <c r="E125" i="7"/>
  <c r="M146" i="7"/>
  <c r="P154" i="7"/>
  <c r="H165" i="7"/>
  <c r="P170" i="7"/>
  <c r="L180" i="7"/>
  <c r="H184" i="7"/>
  <c r="P185" i="7"/>
  <c r="H188" i="7"/>
  <c r="P189" i="7"/>
  <c r="H192" i="7"/>
  <c r="P193" i="7"/>
  <c r="H196" i="7"/>
  <c r="P197" i="7"/>
  <c r="H200" i="7"/>
  <c r="P201" i="7"/>
  <c r="H204" i="7"/>
  <c r="H208" i="7"/>
  <c r="P209" i="7"/>
  <c r="H212" i="7"/>
  <c r="P213" i="7"/>
  <c r="H217" i="7"/>
  <c r="P218" i="7"/>
  <c r="H222" i="7"/>
  <c r="P223" i="7"/>
  <c r="H226" i="7"/>
  <c r="P227" i="7"/>
  <c r="H230" i="7"/>
  <c r="P231" i="7"/>
  <c r="H234" i="7"/>
  <c r="P235" i="7"/>
  <c r="H239" i="7"/>
  <c r="P240" i="7"/>
  <c r="N241" i="7"/>
  <c r="F242" i="7"/>
  <c r="F244" i="7"/>
  <c r="N245" i="7"/>
  <c r="F246" i="7"/>
  <c r="N247" i="7"/>
  <c r="F248" i="7"/>
  <c r="N249" i="7"/>
  <c r="F250" i="7"/>
  <c r="N251" i="7"/>
  <c r="F252" i="7"/>
  <c r="N253" i="7"/>
  <c r="F254" i="7"/>
  <c r="N255" i="7"/>
  <c r="F256" i="7"/>
  <c r="N257" i="7"/>
  <c r="F258" i="7"/>
  <c r="N259" i="7"/>
  <c r="F260" i="7"/>
  <c r="N261" i="7"/>
  <c r="F262" i="7"/>
  <c r="P262" i="7"/>
  <c r="E263" i="7"/>
  <c r="I263" i="7"/>
  <c r="M263" i="7"/>
  <c r="Q263" i="7"/>
  <c r="E264" i="7"/>
  <c r="I264" i="7"/>
  <c r="M264" i="7"/>
  <c r="Q264" i="7"/>
  <c r="E265" i="7"/>
  <c r="I265" i="7"/>
  <c r="M265" i="7"/>
  <c r="Q265" i="7"/>
  <c r="E266" i="7"/>
  <c r="I266" i="7"/>
  <c r="M266" i="7"/>
  <c r="Q266" i="7"/>
  <c r="E267" i="7"/>
  <c r="I267" i="7"/>
  <c r="M267" i="7"/>
  <c r="Q267" i="7"/>
  <c r="E268" i="7"/>
  <c r="I268" i="7"/>
  <c r="H39" i="7"/>
  <c r="K86" i="7"/>
  <c r="M137" i="7"/>
  <c r="E149" i="7"/>
  <c r="H161" i="7"/>
  <c r="P166" i="7"/>
  <c r="H177" i="7"/>
  <c r="H183" i="7"/>
  <c r="P184" i="7"/>
  <c r="H187" i="7"/>
  <c r="P188" i="7"/>
  <c r="H191" i="7"/>
  <c r="P192" i="7"/>
  <c r="H195" i="7"/>
  <c r="P196" i="7"/>
  <c r="H199" i="7"/>
  <c r="P200" i="7"/>
  <c r="H203" i="7"/>
  <c r="P204" i="7"/>
  <c r="H207" i="7"/>
  <c r="P208" i="7"/>
  <c r="H211" i="7"/>
  <c r="P212" i="7"/>
  <c r="H216" i="7"/>
  <c r="P217" i="7"/>
  <c r="H220" i="7"/>
  <c r="P222" i="7"/>
  <c r="H225" i="7"/>
  <c r="P226" i="7"/>
  <c r="H229" i="7"/>
  <c r="P230" i="7"/>
  <c r="H233" i="7"/>
  <c r="P234" i="7"/>
  <c r="H238" i="7"/>
  <c r="P239" i="7"/>
  <c r="R241" i="7"/>
  <c r="J242" i="7"/>
  <c r="AA234" i="7"/>
  <c r="J244" i="7"/>
  <c r="AA237" i="7"/>
  <c r="R245" i="7"/>
  <c r="J246" i="7"/>
  <c r="AA239" i="7"/>
  <c r="R247" i="7"/>
  <c r="J248" i="7"/>
  <c r="AA241" i="7"/>
  <c r="R249" i="7"/>
  <c r="J250" i="7"/>
  <c r="AA243" i="7"/>
  <c r="R251" i="7"/>
  <c r="J252" i="7"/>
  <c r="AA245" i="7"/>
  <c r="R253" i="7"/>
  <c r="J254" i="7"/>
  <c r="AA247" i="7"/>
  <c r="R255" i="7"/>
  <c r="J256" i="7"/>
  <c r="AA249" i="7"/>
  <c r="R257" i="7"/>
  <c r="J258" i="7"/>
  <c r="AA251" i="7"/>
  <c r="R259" i="7"/>
  <c r="J260" i="7"/>
  <c r="AA253" i="7"/>
  <c r="R261" i="7"/>
  <c r="J262" i="7"/>
  <c r="Q262" i="7"/>
  <c r="AA255" i="7"/>
  <c r="F263" i="7"/>
  <c r="J263" i="7"/>
  <c r="N263" i="7"/>
  <c r="R263" i="7"/>
  <c r="AA256" i="7"/>
  <c r="F264" i="7"/>
  <c r="J264" i="7"/>
  <c r="N264" i="7"/>
  <c r="R264" i="7"/>
  <c r="AA257" i="7"/>
  <c r="F265" i="7"/>
  <c r="J265" i="7"/>
  <c r="N265" i="7"/>
  <c r="R265" i="7"/>
  <c r="AA258" i="7"/>
  <c r="F266" i="7"/>
  <c r="J266" i="7"/>
  <c r="N266" i="7"/>
  <c r="R266" i="7"/>
  <c r="AA259" i="7"/>
  <c r="F267" i="7"/>
  <c r="J267" i="7"/>
  <c r="N267" i="7"/>
  <c r="R267" i="7"/>
  <c r="AA260" i="7"/>
  <c r="F268" i="7"/>
  <c r="M129" i="7"/>
  <c r="E141" i="7"/>
  <c r="H157" i="7"/>
  <c r="P162" i="7"/>
  <c r="H173" i="7"/>
  <c r="P178" i="7"/>
  <c r="H181" i="7"/>
  <c r="P183" i="7"/>
  <c r="H186" i="7"/>
  <c r="P187" i="7"/>
  <c r="H190" i="7"/>
  <c r="P191" i="7"/>
  <c r="H194" i="7"/>
  <c r="P195" i="7"/>
  <c r="H198" i="7"/>
  <c r="P199" i="7"/>
  <c r="H202" i="7"/>
  <c r="P203" i="7"/>
  <c r="H206" i="7"/>
  <c r="P207" i="7"/>
  <c r="H210" i="7"/>
  <c r="P211" i="7"/>
  <c r="H215" i="7"/>
  <c r="P216" i="7"/>
  <c r="P220" i="7"/>
  <c r="H224" i="7"/>
  <c r="P225" i="7"/>
  <c r="H228" i="7"/>
  <c r="P229" i="7"/>
  <c r="H232" i="7"/>
  <c r="P233" i="7"/>
  <c r="H237" i="7"/>
  <c r="P238" i="7"/>
  <c r="F241" i="7"/>
  <c r="N242" i="7"/>
  <c r="N244" i="7"/>
  <c r="F245" i="7"/>
  <c r="N246" i="7"/>
  <c r="F247" i="7"/>
  <c r="N248" i="7"/>
  <c r="F249" i="7"/>
  <c r="N250" i="7"/>
  <c r="F251" i="7"/>
  <c r="N252" i="7"/>
  <c r="F253" i="7"/>
  <c r="N254" i="7"/>
  <c r="F255" i="7"/>
  <c r="N256" i="7"/>
  <c r="F257" i="7"/>
  <c r="N258" i="7"/>
  <c r="F259" i="7"/>
  <c r="N260" i="7"/>
  <c r="F261" i="7"/>
  <c r="O263" i="7"/>
  <c r="G264" i="7"/>
  <c r="O265" i="7"/>
  <c r="G266" i="7"/>
  <c r="O267" i="7"/>
  <c r="G268" i="7"/>
  <c r="M268" i="7"/>
  <c r="Q268" i="7"/>
  <c r="E269" i="7"/>
  <c r="I269" i="7"/>
  <c r="M269" i="7"/>
  <c r="Q269" i="7"/>
  <c r="E270" i="7"/>
  <c r="I270" i="7"/>
  <c r="M270" i="7"/>
  <c r="Q270" i="7"/>
  <c r="E271" i="7"/>
  <c r="I271" i="7"/>
  <c r="M271" i="7"/>
  <c r="Q271" i="7"/>
  <c r="E272" i="7"/>
  <c r="I272" i="7"/>
  <c r="M272" i="7"/>
  <c r="Q272" i="7"/>
  <c r="E273" i="7"/>
  <c r="I273" i="7"/>
  <c r="M273" i="7"/>
  <c r="Q273" i="7"/>
  <c r="E274" i="7"/>
  <c r="I274" i="7"/>
  <c r="M274" i="7"/>
  <c r="Q274" i="7"/>
  <c r="E275" i="7"/>
  <c r="I275" i="7"/>
  <c r="M275" i="7"/>
  <c r="Q275" i="7"/>
  <c r="E276" i="7"/>
  <c r="I276" i="7"/>
  <c r="M276" i="7"/>
  <c r="Q276" i="7"/>
  <c r="E277" i="7"/>
  <c r="I277" i="7"/>
  <c r="M277" i="7"/>
  <c r="Q277" i="7"/>
  <c r="E278" i="7"/>
  <c r="I278" i="7"/>
  <c r="M278" i="7"/>
  <c r="Q278" i="7"/>
  <c r="E279" i="7"/>
  <c r="I279" i="7"/>
  <c r="M279" i="7"/>
  <c r="Q279" i="7"/>
  <c r="E280" i="7"/>
  <c r="I280" i="7"/>
  <c r="M280" i="7"/>
  <c r="Q280" i="7"/>
  <c r="E282" i="7"/>
  <c r="I282" i="7"/>
  <c r="M282" i="7"/>
  <c r="Q282" i="7"/>
  <c r="E284" i="7"/>
  <c r="I284" i="7"/>
  <c r="M284" i="7"/>
  <c r="Q284" i="7"/>
  <c r="E286" i="7"/>
  <c r="I286" i="7"/>
  <c r="M286" i="7"/>
  <c r="Q286" i="7"/>
  <c r="E287" i="7"/>
  <c r="I287" i="7"/>
  <c r="M287" i="7"/>
  <c r="Q287" i="7"/>
  <c r="E288" i="7"/>
  <c r="I288" i="7"/>
  <c r="M288" i="7"/>
  <c r="Q288" i="7"/>
  <c r="E289" i="7"/>
  <c r="I289" i="7"/>
  <c r="M289" i="7"/>
  <c r="Q289" i="7"/>
  <c r="E293" i="7"/>
  <c r="I293" i="7"/>
  <c r="M293" i="7"/>
  <c r="Q293" i="7"/>
  <c r="E294" i="7"/>
  <c r="I294" i="7"/>
  <c r="M294" i="7"/>
  <c r="Q294" i="7"/>
  <c r="E295" i="7"/>
  <c r="I295" i="7"/>
  <c r="M295" i="7"/>
  <c r="Q295" i="7"/>
  <c r="E296" i="7"/>
  <c r="K264" i="7"/>
  <c r="K266" i="7"/>
  <c r="J268" i="7"/>
  <c r="N268" i="7"/>
  <c r="R268" i="7"/>
  <c r="AA261" i="7"/>
  <c r="F269" i="7"/>
  <c r="J269" i="7"/>
  <c r="N269" i="7"/>
  <c r="R269" i="7"/>
  <c r="AA262" i="7"/>
  <c r="F270" i="7"/>
  <c r="J270" i="7"/>
  <c r="N270" i="7"/>
  <c r="R270" i="7"/>
  <c r="AA263" i="7"/>
  <c r="F271" i="7"/>
  <c r="J271" i="7"/>
  <c r="N271" i="7"/>
  <c r="R271" i="7"/>
  <c r="AA264" i="7"/>
  <c r="F272" i="7"/>
  <c r="J272" i="7"/>
  <c r="N272" i="7"/>
  <c r="R272" i="7"/>
  <c r="AA265" i="7"/>
  <c r="F273" i="7"/>
  <c r="J273" i="7"/>
  <c r="N273" i="7"/>
  <c r="R273" i="7"/>
  <c r="AA266" i="7"/>
  <c r="F274" i="7"/>
  <c r="J274" i="7"/>
  <c r="N274" i="7"/>
  <c r="R274" i="7"/>
  <c r="AA267" i="7"/>
  <c r="F275" i="7"/>
  <c r="J275" i="7"/>
  <c r="N275" i="7"/>
  <c r="R275" i="7"/>
  <c r="AA268" i="7"/>
  <c r="F276" i="7"/>
  <c r="J276" i="7"/>
  <c r="N276" i="7"/>
  <c r="R276" i="7"/>
  <c r="AA269" i="7"/>
  <c r="F277" i="7"/>
  <c r="J277" i="7"/>
  <c r="N277" i="7"/>
  <c r="R277" i="7"/>
  <c r="AA270" i="7"/>
  <c r="F278" i="7"/>
  <c r="J278" i="7"/>
  <c r="N278" i="7"/>
  <c r="R278" i="7"/>
  <c r="AA271" i="7"/>
  <c r="F279" i="7"/>
  <c r="J279" i="7"/>
  <c r="N279" i="7"/>
  <c r="R279" i="7"/>
  <c r="AA272" i="7"/>
  <c r="F280" i="7"/>
  <c r="J280" i="7"/>
  <c r="N280" i="7"/>
  <c r="R280" i="7"/>
  <c r="AA273" i="7"/>
  <c r="AA274" i="7"/>
  <c r="F282" i="7"/>
  <c r="J282" i="7"/>
  <c r="N282" i="7"/>
  <c r="R282" i="7"/>
  <c r="AA275" i="7"/>
  <c r="AA276" i="7"/>
  <c r="F284" i="7"/>
  <c r="J284" i="7"/>
  <c r="N284" i="7"/>
  <c r="R284" i="7"/>
  <c r="AA277" i="7"/>
  <c r="AA278" i="7"/>
  <c r="F286" i="7"/>
  <c r="J286" i="7"/>
  <c r="N286" i="7"/>
  <c r="R286" i="7"/>
  <c r="AA279" i="7"/>
  <c r="F287" i="7"/>
  <c r="J287" i="7"/>
  <c r="N287" i="7"/>
  <c r="R287" i="7"/>
  <c r="AA280" i="7"/>
  <c r="F288" i="7"/>
  <c r="J288" i="7"/>
  <c r="N288" i="7"/>
  <c r="R288" i="7"/>
  <c r="AA281" i="7"/>
  <c r="F289" i="7"/>
  <c r="J289" i="7"/>
  <c r="N289" i="7"/>
  <c r="R289" i="7"/>
  <c r="AA282" i="7"/>
  <c r="AA283" i="7"/>
  <c r="AA284" i="7"/>
  <c r="F293" i="7"/>
  <c r="J293" i="7"/>
  <c r="N293" i="7"/>
  <c r="R293" i="7"/>
  <c r="AA285" i="7"/>
  <c r="F294" i="7"/>
  <c r="J294" i="7"/>
  <c r="N294" i="7"/>
  <c r="R294" i="7"/>
  <c r="AA286" i="7"/>
  <c r="F295" i="7"/>
  <c r="J295" i="7"/>
  <c r="N295" i="7"/>
  <c r="R295" i="7"/>
  <c r="AA287" i="7"/>
  <c r="M262" i="7"/>
  <c r="G263" i="7"/>
  <c r="O264" i="7"/>
  <c r="G265" i="7"/>
  <c r="O266" i="7"/>
  <c r="G267" i="7"/>
  <c r="K268" i="7"/>
  <c r="O268" i="7"/>
  <c r="G269" i="7"/>
  <c r="K269" i="7"/>
  <c r="O269" i="7"/>
  <c r="G270" i="7"/>
  <c r="K270" i="7"/>
  <c r="O270" i="7"/>
  <c r="G271" i="7"/>
  <c r="K271" i="7"/>
  <c r="O271" i="7"/>
  <c r="G272" i="7"/>
  <c r="K272" i="7"/>
  <c r="O272" i="7"/>
  <c r="G273" i="7"/>
  <c r="K273" i="7"/>
  <c r="O273" i="7"/>
  <c r="G274" i="7"/>
  <c r="K274" i="7"/>
  <c r="O274" i="7"/>
  <c r="G275" i="7"/>
  <c r="K275" i="7"/>
  <c r="O275" i="7"/>
  <c r="G276" i="7"/>
  <c r="K276" i="7"/>
  <c r="O276" i="7"/>
  <c r="G277" i="7"/>
  <c r="K277" i="7"/>
  <c r="O277" i="7"/>
  <c r="G278" i="7"/>
  <c r="K278" i="7"/>
  <c r="O278" i="7"/>
  <c r="G279" i="7"/>
  <c r="K279" i="7"/>
  <c r="O279" i="7"/>
  <c r="G280" i="7"/>
  <c r="K280" i="7"/>
  <c r="O280" i="7"/>
  <c r="G282" i="7"/>
  <c r="K282" i="7"/>
  <c r="O282" i="7"/>
  <c r="G284" i="7"/>
  <c r="K284" i="7"/>
  <c r="O284" i="7"/>
  <c r="G286" i="7"/>
  <c r="K286" i="7"/>
  <c r="O286" i="7"/>
  <c r="G287" i="7"/>
  <c r="K287" i="7"/>
  <c r="O287" i="7"/>
  <c r="G288" i="7"/>
  <c r="K288" i="7"/>
  <c r="O288" i="7"/>
  <c r="G289" i="7"/>
  <c r="K289" i="7"/>
  <c r="O289" i="7"/>
  <c r="G293" i="7"/>
  <c r="K293" i="7"/>
  <c r="O293" i="7"/>
  <c r="G294" i="7"/>
  <c r="K294" i="7"/>
  <c r="O294" i="7"/>
  <c r="G295" i="7"/>
  <c r="K295" i="7"/>
  <c r="O295" i="7"/>
  <c r="R262" i="7"/>
  <c r="K263" i="7"/>
  <c r="K265" i="7"/>
  <c r="K267" i="7"/>
  <c r="L268" i="7"/>
  <c r="P268" i="7"/>
  <c r="D269" i="7"/>
  <c r="H269" i="7"/>
  <c r="L269" i="7"/>
  <c r="P269" i="7"/>
  <c r="D270" i="7"/>
  <c r="H270" i="7"/>
  <c r="L270" i="7"/>
  <c r="P270" i="7"/>
  <c r="D271" i="7"/>
  <c r="H271" i="7"/>
  <c r="L271" i="7"/>
  <c r="P271" i="7"/>
  <c r="D272" i="7"/>
  <c r="H272" i="7"/>
  <c r="L272" i="7"/>
  <c r="P272" i="7"/>
  <c r="D273" i="7"/>
  <c r="H273" i="7"/>
  <c r="L273" i="7"/>
  <c r="P273" i="7"/>
  <c r="D274" i="7"/>
  <c r="H274" i="7"/>
  <c r="L274" i="7"/>
  <c r="P274" i="7"/>
  <c r="D275" i="7"/>
  <c r="H275" i="7"/>
  <c r="L275" i="7"/>
  <c r="P275" i="7"/>
  <c r="D276" i="7"/>
  <c r="H276" i="7"/>
  <c r="L276" i="7"/>
  <c r="P276" i="7"/>
  <c r="D277" i="7"/>
  <c r="H277" i="7"/>
  <c r="L277" i="7"/>
  <c r="P277" i="7"/>
  <c r="D278" i="7"/>
  <c r="H278" i="7"/>
  <c r="L278" i="7"/>
  <c r="P278" i="7"/>
  <c r="D279" i="7"/>
  <c r="H279" i="7"/>
  <c r="L279" i="7"/>
  <c r="P279" i="7"/>
  <c r="D280" i="7"/>
  <c r="H280" i="7"/>
  <c r="L280" i="7"/>
  <c r="P280" i="7"/>
  <c r="D282" i="7"/>
  <c r="H282" i="7"/>
  <c r="L282" i="7"/>
  <c r="P282" i="7"/>
  <c r="D284" i="7"/>
  <c r="H284" i="7"/>
  <c r="L284" i="7"/>
  <c r="P284" i="7"/>
  <c r="D286" i="7"/>
  <c r="H286" i="7"/>
  <c r="L286" i="7"/>
  <c r="P286" i="7"/>
  <c r="D287" i="7"/>
  <c r="H287" i="7"/>
  <c r="L287" i="7"/>
  <c r="P287" i="7"/>
  <c r="D288" i="7"/>
  <c r="H288" i="7"/>
  <c r="L288" i="7"/>
  <c r="P288" i="7"/>
  <c r="D289" i="7"/>
  <c r="H289" i="7"/>
  <c r="L289" i="7"/>
  <c r="P289" i="7"/>
  <c r="D293" i="7"/>
  <c r="H293" i="7"/>
  <c r="L293" i="7"/>
  <c r="P293" i="7"/>
  <c r="D294" i="7"/>
  <c r="H294" i="7"/>
  <c r="L294" i="7"/>
  <c r="P294" i="7"/>
  <c r="D295" i="7"/>
  <c r="H295" i="7"/>
  <c r="L295" i="7"/>
  <c r="P295" i="7"/>
  <c r="D296" i="7"/>
  <c r="H296" i="7"/>
  <c r="L296" i="7"/>
  <c r="P296" i="7"/>
  <c r="D297" i="7"/>
  <c r="H297" i="7"/>
  <c r="L297" i="7"/>
  <c r="P297" i="7"/>
  <c r="D298" i="7"/>
  <c r="H298" i="7"/>
  <c r="L298" i="7"/>
  <c r="P298" i="7"/>
  <c r="D299" i="7"/>
  <c r="H299" i="7"/>
  <c r="L299" i="7"/>
  <c r="P299" i="7"/>
  <c r="D300" i="7"/>
  <c r="H300" i="7"/>
  <c r="L300" i="7"/>
  <c r="P300" i="7"/>
  <c r="D301" i="7"/>
  <c r="H301" i="7"/>
  <c r="L301" i="7"/>
  <c r="P301" i="7"/>
  <c r="D302" i="7"/>
  <c r="H302" i="7"/>
  <c r="L302" i="7"/>
  <c r="P302" i="7"/>
  <c r="D304" i="7"/>
  <c r="H304" i="7"/>
  <c r="L304" i="7"/>
  <c r="P304" i="7"/>
  <c r="D305" i="7"/>
  <c r="H305" i="7"/>
  <c r="L305" i="7"/>
  <c r="P305" i="7"/>
  <c r="D306" i="7"/>
  <c r="H306" i="7"/>
  <c r="L306" i="7"/>
  <c r="P306" i="7"/>
  <c r="D307" i="7"/>
  <c r="H307" i="7"/>
  <c r="L307" i="7"/>
  <c r="P307" i="7"/>
  <c r="D308" i="7"/>
  <c r="H308" i="7"/>
  <c r="L308" i="7"/>
  <c r="P308" i="7"/>
  <c r="D309" i="7"/>
  <c r="H309" i="7"/>
  <c r="L309" i="7"/>
  <c r="P309" i="7"/>
  <c r="D310" i="7"/>
  <c r="H310" i="7"/>
  <c r="L310" i="7"/>
  <c r="P310" i="7"/>
  <c r="D311" i="7"/>
  <c r="H311" i="7"/>
  <c r="L311" i="7"/>
  <c r="P311" i="7"/>
  <c r="D312" i="7"/>
  <c r="H312" i="7"/>
  <c r="L312" i="7"/>
  <c r="P312" i="7"/>
  <c r="D313" i="7"/>
  <c r="H313" i="7"/>
  <c r="L313" i="7"/>
  <c r="P313" i="7"/>
  <c r="D314" i="7"/>
  <c r="H314" i="7"/>
  <c r="L314" i="7"/>
  <c r="P314" i="7"/>
  <c r="D315" i="7"/>
  <c r="H315" i="7"/>
  <c r="L315" i="7"/>
  <c r="P315" i="7"/>
  <c r="D316" i="7"/>
  <c r="H316" i="7"/>
  <c r="L316" i="7"/>
  <c r="P316" i="7"/>
  <c r="D318" i="7"/>
  <c r="H318" i="7"/>
  <c r="L318" i="7"/>
  <c r="P318" i="7"/>
  <c r="D319" i="7"/>
  <c r="H319" i="7"/>
  <c r="L319" i="7"/>
  <c r="P319" i="7"/>
  <c r="D320" i="7"/>
  <c r="H320" i="7"/>
  <c r="L320" i="7"/>
  <c r="P320" i="7"/>
  <c r="D321" i="7"/>
  <c r="H321" i="7"/>
  <c r="L321" i="7"/>
  <c r="P321" i="7"/>
  <c r="D324" i="7"/>
  <c r="H324" i="7"/>
  <c r="L324" i="7"/>
  <c r="P324" i="7"/>
  <c r="D325" i="7"/>
  <c r="H325" i="7"/>
  <c r="L325" i="7"/>
  <c r="P325" i="7"/>
  <c r="D326" i="7"/>
  <c r="H326" i="7"/>
  <c r="L326" i="7"/>
  <c r="P326" i="7"/>
  <c r="D327" i="7"/>
  <c r="H327" i="7"/>
  <c r="L327" i="7"/>
  <c r="P327" i="7"/>
  <c r="D328" i="7"/>
  <c r="H328" i="7"/>
  <c r="L328" i="7"/>
  <c r="P328" i="7"/>
  <c r="D329" i="7"/>
  <c r="H329" i="7"/>
  <c r="L329" i="7"/>
  <c r="P329" i="7"/>
  <c r="D330" i="7"/>
  <c r="H330" i="7"/>
  <c r="L330" i="7"/>
  <c r="P330" i="7"/>
  <c r="D331" i="7"/>
  <c r="H331" i="7"/>
  <c r="L331" i="7"/>
  <c r="P331" i="7"/>
  <c r="D332" i="7"/>
  <c r="H332" i="7"/>
  <c r="L332" i="7"/>
  <c r="P332" i="7"/>
  <c r="D333" i="7"/>
  <c r="H333" i="7"/>
  <c r="L333" i="7"/>
  <c r="P333" i="7"/>
  <c r="D334" i="7"/>
  <c r="H334" i="7"/>
  <c r="L334" i="7"/>
  <c r="P334" i="7"/>
  <c r="D335" i="7"/>
  <c r="H335" i="7"/>
  <c r="L335" i="7"/>
  <c r="P335" i="7"/>
  <c r="D336" i="7"/>
  <c r="H336" i="7"/>
  <c r="L336" i="7"/>
  <c r="P336" i="7"/>
  <c r="D337" i="7"/>
  <c r="H337" i="7"/>
  <c r="L337" i="7"/>
  <c r="P337" i="7"/>
  <c r="D338" i="7"/>
  <c r="H338" i="7"/>
  <c r="L338" i="7"/>
  <c r="P338" i="7"/>
  <c r="D339" i="7"/>
  <c r="H339" i="7"/>
  <c r="L339" i="7"/>
  <c r="P339" i="7"/>
  <c r="D340" i="7"/>
  <c r="H340" i="7"/>
  <c r="L340" i="7"/>
  <c r="P340" i="7"/>
  <c r="D341" i="7"/>
  <c r="H341" i="7"/>
  <c r="L341" i="7"/>
  <c r="P341" i="7"/>
  <c r="D343" i="7"/>
  <c r="H343" i="7"/>
  <c r="L343" i="7"/>
  <c r="P343" i="7"/>
  <c r="D344" i="7"/>
  <c r="H344" i="7"/>
  <c r="L344" i="7"/>
  <c r="P344" i="7"/>
  <c r="D345" i="7"/>
  <c r="H345" i="7"/>
  <c r="L345" i="7"/>
  <c r="P345" i="7"/>
  <c r="D346" i="7"/>
  <c r="H346" i="7"/>
  <c r="L346" i="7"/>
  <c r="P346" i="7"/>
  <c r="D347" i="7"/>
  <c r="H347" i="7"/>
  <c r="L347" i="7"/>
  <c r="P347" i="7"/>
  <c r="D348" i="7"/>
  <c r="H348" i="7"/>
  <c r="L348" i="7"/>
  <c r="P348" i="7"/>
  <c r="D349" i="7"/>
  <c r="H349" i="7"/>
  <c r="L349" i="7"/>
  <c r="P349" i="7"/>
  <c r="D350" i="7"/>
  <c r="H350" i="7"/>
  <c r="L350" i="7"/>
  <c r="P350" i="7"/>
  <c r="D352" i="7"/>
  <c r="H352" i="7"/>
  <c r="L352" i="7"/>
  <c r="P352" i="7"/>
  <c r="D353" i="7"/>
  <c r="H353" i="7"/>
  <c r="L353" i="7"/>
  <c r="P353" i="7"/>
  <c r="D354" i="7"/>
  <c r="H354" i="7"/>
  <c r="L354" i="7"/>
  <c r="P354" i="7"/>
  <c r="I296" i="7"/>
  <c r="M296" i="7"/>
  <c r="Q296" i="7"/>
  <c r="E297" i="7"/>
  <c r="I297" i="7"/>
  <c r="M297" i="7"/>
  <c r="Q297" i="7"/>
  <c r="E298" i="7"/>
  <c r="I298" i="7"/>
  <c r="M298" i="7"/>
  <c r="Q298" i="7"/>
  <c r="E299" i="7"/>
  <c r="I299" i="7"/>
  <c r="M299" i="7"/>
  <c r="Q299" i="7"/>
  <c r="E300" i="7"/>
  <c r="I300" i="7"/>
  <c r="M300" i="7"/>
  <c r="Q300" i="7"/>
  <c r="E301" i="7"/>
  <c r="I301" i="7"/>
  <c r="M301" i="7"/>
  <c r="Q301" i="7"/>
  <c r="E302" i="7"/>
  <c r="I302" i="7"/>
  <c r="M302" i="7"/>
  <c r="Q302" i="7"/>
  <c r="E304" i="7"/>
  <c r="I304" i="7"/>
  <c r="M304" i="7"/>
  <c r="Q304" i="7"/>
  <c r="E305" i="7"/>
  <c r="I305" i="7"/>
  <c r="M305" i="7"/>
  <c r="Q305" i="7"/>
  <c r="E306" i="7"/>
  <c r="I306" i="7"/>
  <c r="M306" i="7"/>
  <c r="Q306" i="7"/>
  <c r="E307" i="7"/>
  <c r="I307" i="7"/>
  <c r="M307" i="7"/>
  <c r="Q307" i="7"/>
  <c r="E308" i="7"/>
  <c r="I308" i="7"/>
  <c r="M308" i="7"/>
  <c r="Q308" i="7"/>
  <c r="E309" i="7"/>
  <c r="I309" i="7"/>
  <c r="M309" i="7"/>
  <c r="Q309" i="7"/>
  <c r="E310" i="7"/>
  <c r="I310" i="7"/>
  <c r="M310" i="7"/>
  <c r="Q310" i="7"/>
  <c r="E311" i="7"/>
  <c r="I311" i="7"/>
  <c r="M311" i="7"/>
  <c r="Q311" i="7"/>
  <c r="E312" i="7"/>
  <c r="I312" i="7"/>
  <c r="M312" i="7"/>
  <c r="Q312" i="7"/>
  <c r="E313" i="7"/>
  <c r="I313" i="7"/>
  <c r="M313" i="7"/>
  <c r="Q313" i="7"/>
  <c r="E314" i="7"/>
  <c r="I314" i="7"/>
  <c r="M314" i="7"/>
  <c r="Q314" i="7"/>
  <c r="E315" i="7"/>
  <c r="I315" i="7"/>
  <c r="M315" i="7"/>
  <c r="Q315" i="7"/>
  <c r="E316" i="7"/>
  <c r="I316" i="7"/>
  <c r="M316" i="7"/>
  <c r="Q316" i="7"/>
  <c r="E318" i="7"/>
  <c r="I318" i="7"/>
  <c r="M318" i="7"/>
  <c r="Q318" i="7"/>
  <c r="E319" i="7"/>
  <c r="I319" i="7"/>
  <c r="M319" i="7"/>
  <c r="Q319" i="7"/>
  <c r="E320" i="7"/>
  <c r="I320" i="7"/>
  <c r="M320" i="7"/>
  <c r="Q320" i="7"/>
  <c r="E321" i="7"/>
  <c r="I321" i="7"/>
  <c r="M321" i="7"/>
  <c r="E324" i="7"/>
  <c r="I324" i="7"/>
  <c r="M324" i="7"/>
  <c r="Q324" i="7"/>
  <c r="E325" i="7"/>
  <c r="I325" i="7"/>
  <c r="M325" i="7"/>
  <c r="Q325" i="7"/>
  <c r="E326" i="7"/>
  <c r="I326" i="7"/>
  <c r="M326" i="7"/>
  <c r="Q326" i="7"/>
  <c r="E327" i="7"/>
  <c r="I327" i="7"/>
  <c r="M327" i="7"/>
  <c r="Q327" i="7"/>
  <c r="E328" i="7"/>
  <c r="I328" i="7"/>
  <c r="M328" i="7"/>
  <c r="Q328" i="7"/>
  <c r="E329" i="7"/>
  <c r="I329" i="7"/>
  <c r="M329" i="7"/>
  <c r="Q329" i="7"/>
  <c r="E330" i="7"/>
  <c r="I330" i="7"/>
  <c r="M330" i="7"/>
  <c r="Q330" i="7"/>
  <c r="E331" i="7"/>
  <c r="I331" i="7"/>
  <c r="M331" i="7"/>
  <c r="Q331" i="7"/>
  <c r="E332" i="7"/>
  <c r="I332" i="7"/>
  <c r="M332" i="7"/>
  <c r="Q332" i="7"/>
  <c r="E333" i="7"/>
  <c r="I333" i="7"/>
  <c r="M333" i="7"/>
  <c r="Q333" i="7"/>
  <c r="E334" i="7"/>
  <c r="I334" i="7"/>
  <c r="M334" i="7"/>
  <c r="Q334" i="7"/>
  <c r="E335" i="7"/>
  <c r="I335" i="7"/>
  <c r="M335" i="7"/>
  <c r="Q335" i="7"/>
  <c r="E336" i="7"/>
  <c r="I336" i="7"/>
  <c r="M336" i="7"/>
  <c r="Q336" i="7"/>
  <c r="E337" i="7"/>
  <c r="I337" i="7"/>
  <c r="M337" i="7"/>
  <c r="Q337" i="7"/>
  <c r="E338" i="7"/>
  <c r="I338" i="7"/>
  <c r="M338" i="7"/>
  <c r="Q338" i="7"/>
  <c r="E339" i="7"/>
  <c r="I339" i="7"/>
  <c r="M339" i="7"/>
  <c r="Q339" i="7"/>
  <c r="E340" i="7"/>
  <c r="I340" i="7"/>
  <c r="M340" i="7"/>
  <c r="Q340" i="7"/>
  <c r="E341" i="7"/>
  <c r="I341" i="7"/>
  <c r="M341" i="7"/>
  <c r="Q341" i="7"/>
  <c r="E343" i="7"/>
  <c r="I343" i="7"/>
  <c r="M343" i="7"/>
  <c r="Q343" i="7"/>
  <c r="E344" i="7"/>
  <c r="I344" i="7"/>
  <c r="M344" i="7"/>
  <c r="Q344" i="7"/>
  <c r="E345" i="7"/>
  <c r="I345" i="7"/>
  <c r="M345" i="7"/>
  <c r="Q345" i="7"/>
  <c r="E346" i="7"/>
  <c r="I346" i="7"/>
  <c r="M346" i="7"/>
  <c r="Q346" i="7"/>
  <c r="E347" i="7"/>
  <c r="I347" i="7"/>
  <c r="M347" i="7"/>
  <c r="Q347" i="7"/>
  <c r="E348" i="7"/>
  <c r="I348" i="7"/>
  <c r="M348" i="7"/>
  <c r="Q348" i="7"/>
  <c r="E349" i="7"/>
  <c r="I349" i="7"/>
  <c r="M349" i="7"/>
  <c r="Q349" i="7"/>
  <c r="E350" i="7"/>
  <c r="I350" i="7"/>
  <c r="M350" i="7"/>
  <c r="Q350" i="7"/>
  <c r="E352" i="7"/>
  <c r="I352" i="7"/>
  <c r="M352" i="7"/>
  <c r="Q352" i="7"/>
  <c r="E353" i="7"/>
  <c r="I353" i="7"/>
  <c r="M353" i="7"/>
  <c r="Q353" i="7"/>
  <c r="E354" i="7"/>
  <c r="I354" i="7"/>
  <c r="M354" i="7"/>
  <c r="Q354" i="7"/>
  <c r="F296" i="7"/>
  <c r="J296" i="7"/>
  <c r="N296" i="7"/>
  <c r="R296" i="7"/>
  <c r="AA288" i="7"/>
  <c r="F297" i="7"/>
  <c r="J297" i="7"/>
  <c r="N297" i="7"/>
  <c r="R297" i="7"/>
  <c r="AA289" i="7"/>
  <c r="F298" i="7"/>
  <c r="J298" i="7"/>
  <c r="N298" i="7"/>
  <c r="R298" i="7"/>
  <c r="AA290" i="7"/>
  <c r="F299" i="7"/>
  <c r="J299" i="7"/>
  <c r="N299" i="7"/>
  <c r="R299" i="7"/>
  <c r="AA291" i="7"/>
  <c r="F300" i="7"/>
  <c r="J300" i="7"/>
  <c r="N300" i="7"/>
  <c r="R300" i="7"/>
  <c r="AA293" i="7"/>
  <c r="F301" i="7"/>
  <c r="J301" i="7"/>
  <c r="N301" i="7"/>
  <c r="R301" i="7"/>
  <c r="AA294" i="7"/>
  <c r="F302" i="7"/>
  <c r="J302" i="7"/>
  <c r="N302" i="7"/>
  <c r="R302" i="7"/>
  <c r="AA295" i="7"/>
  <c r="AA296" i="7"/>
  <c r="F304" i="7"/>
  <c r="J304" i="7"/>
  <c r="N304" i="7"/>
  <c r="R304" i="7"/>
  <c r="AA297" i="7"/>
  <c r="F305" i="7"/>
  <c r="J305" i="7"/>
  <c r="N305" i="7"/>
  <c r="R305" i="7"/>
  <c r="AA298" i="7"/>
  <c r="F306" i="7"/>
  <c r="J306" i="7"/>
  <c r="N306" i="7"/>
  <c r="R306" i="7"/>
  <c r="AA299" i="7"/>
  <c r="F307" i="7"/>
  <c r="J307" i="7"/>
  <c r="N307" i="7"/>
  <c r="R307" i="7"/>
  <c r="AA300" i="7"/>
  <c r="F308" i="7"/>
  <c r="J308" i="7"/>
  <c r="N308" i="7"/>
  <c r="R308" i="7"/>
  <c r="AA301" i="7"/>
  <c r="F309" i="7"/>
  <c r="J309" i="7"/>
  <c r="N309" i="7"/>
  <c r="R309" i="7"/>
  <c r="AA302" i="7"/>
  <c r="F310" i="7"/>
  <c r="J310" i="7"/>
  <c r="N310" i="7"/>
  <c r="R310" i="7"/>
  <c r="AA303" i="7"/>
  <c r="F311" i="7"/>
  <c r="J311" i="7"/>
  <c r="N311" i="7"/>
  <c r="R311" i="7"/>
  <c r="AA304" i="7"/>
  <c r="F312" i="7"/>
  <c r="J312" i="7"/>
  <c r="N312" i="7"/>
  <c r="R312" i="7"/>
  <c r="AA305" i="7"/>
  <c r="F313" i="7"/>
  <c r="J313" i="7"/>
  <c r="N313" i="7"/>
  <c r="R313" i="7"/>
  <c r="AA306" i="7"/>
  <c r="F314" i="7"/>
  <c r="J314" i="7"/>
  <c r="N314" i="7"/>
  <c r="R314" i="7"/>
  <c r="AA307" i="7"/>
  <c r="F315" i="7"/>
  <c r="J315" i="7"/>
  <c r="N315" i="7"/>
  <c r="R315" i="7"/>
  <c r="AA308" i="7"/>
  <c r="F316" i="7"/>
  <c r="J316" i="7"/>
  <c r="N316" i="7"/>
  <c r="R316" i="7"/>
  <c r="AA309" i="7"/>
  <c r="AA310" i="7"/>
  <c r="F318" i="7"/>
  <c r="J318" i="7"/>
  <c r="N318" i="7"/>
  <c r="R318" i="7"/>
  <c r="AA311" i="7"/>
  <c r="F319" i="7"/>
  <c r="J319" i="7"/>
  <c r="N319" i="7"/>
  <c r="R319" i="7"/>
  <c r="AA312" i="7"/>
  <c r="F320" i="7"/>
  <c r="J320" i="7"/>
  <c r="N320" i="7"/>
  <c r="R320" i="7"/>
  <c r="AA313" i="7"/>
  <c r="F321" i="7"/>
  <c r="J321" i="7"/>
  <c r="N321" i="7"/>
  <c r="AA314" i="7"/>
  <c r="AA315" i="7"/>
  <c r="F324" i="7"/>
  <c r="J324" i="7"/>
  <c r="N324" i="7"/>
  <c r="R324" i="7"/>
  <c r="AA316" i="7"/>
  <c r="F325" i="7"/>
  <c r="J325" i="7"/>
  <c r="N325" i="7"/>
  <c r="R325" i="7"/>
  <c r="AA317" i="7"/>
  <c r="F326" i="7"/>
  <c r="J326" i="7"/>
  <c r="N326" i="7"/>
  <c r="R326" i="7"/>
  <c r="AA318" i="7"/>
  <c r="F327" i="7"/>
  <c r="J327" i="7"/>
  <c r="N327" i="7"/>
  <c r="R327" i="7"/>
  <c r="AA319" i="7"/>
  <c r="F328" i="7"/>
  <c r="J328" i="7"/>
  <c r="N328" i="7"/>
  <c r="R328" i="7"/>
  <c r="AA320" i="7"/>
  <c r="F329" i="7"/>
  <c r="J329" i="7"/>
  <c r="N329" i="7"/>
  <c r="R329" i="7"/>
  <c r="AA321" i="7"/>
  <c r="F330" i="7"/>
  <c r="J330" i="7"/>
  <c r="N330" i="7"/>
  <c r="R330" i="7"/>
  <c r="AA323" i="7"/>
  <c r="F331" i="7"/>
  <c r="J331" i="7"/>
  <c r="N331" i="7"/>
  <c r="R331" i="7"/>
  <c r="AA324" i="7"/>
  <c r="F332" i="7"/>
  <c r="J332" i="7"/>
  <c r="N332" i="7"/>
  <c r="R332" i="7"/>
  <c r="AA325" i="7"/>
  <c r="F333" i="7"/>
  <c r="J333" i="7"/>
  <c r="N333" i="7"/>
  <c r="R333" i="7"/>
  <c r="AA326" i="7"/>
  <c r="F334" i="7"/>
  <c r="J334" i="7"/>
  <c r="N334" i="7"/>
  <c r="R334" i="7"/>
  <c r="AA327" i="7"/>
  <c r="F335" i="7"/>
  <c r="J335" i="7"/>
  <c r="N335" i="7"/>
  <c r="R335" i="7"/>
  <c r="AA328" i="7"/>
  <c r="F336" i="7"/>
  <c r="J336" i="7"/>
  <c r="N336" i="7"/>
  <c r="R336" i="7"/>
  <c r="AA329" i="7"/>
  <c r="F337" i="7"/>
  <c r="J337" i="7"/>
  <c r="N337" i="7"/>
  <c r="R337" i="7"/>
  <c r="AA330" i="7"/>
  <c r="F338" i="7"/>
  <c r="J338" i="7"/>
  <c r="N338" i="7"/>
  <c r="R338" i="7"/>
  <c r="AA331" i="7"/>
  <c r="F339" i="7"/>
  <c r="J339" i="7"/>
  <c r="N339" i="7"/>
  <c r="R339" i="7"/>
  <c r="AA332" i="7"/>
  <c r="F340" i="7"/>
  <c r="J340" i="7"/>
  <c r="N340" i="7"/>
  <c r="R340" i="7"/>
  <c r="AA333" i="7"/>
  <c r="F341" i="7"/>
  <c r="J341" i="7"/>
  <c r="N341" i="7"/>
  <c r="R341" i="7"/>
  <c r="AA334" i="7"/>
  <c r="F343" i="7"/>
  <c r="J343" i="7"/>
  <c r="N343" i="7"/>
  <c r="R343" i="7"/>
  <c r="AA335" i="7"/>
  <c r="F344" i="7"/>
  <c r="J344" i="7"/>
  <c r="N344" i="7"/>
  <c r="R344" i="7"/>
  <c r="AA336" i="7"/>
  <c r="F345" i="7"/>
  <c r="J345" i="7"/>
  <c r="N345" i="7"/>
  <c r="R345" i="7"/>
  <c r="AA337" i="7"/>
  <c r="F346" i="7"/>
  <c r="J346" i="7"/>
  <c r="N346" i="7"/>
  <c r="R346" i="7"/>
  <c r="AA338" i="7"/>
  <c r="F347" i="7"/>
  <c r="J347" i="7"/>
  <c r="N347" i="7"/>
  <c r="R347" i="7"/>
  <c r="AA339" i="7"/>
  <c r="F348" i="7"/>
  <c r="J348" i="7"/>
  <c r="N348" i="7"/>
  <c r="R348" i="7"/>
  <c r="AA340" i="7"/>
  <c r="F349" i="7"/>
  <c r="J349" i="7"/>
  <c r="N349" i="7"/>
  <c r="R349" i="7"/>
  <c r="AA341" i="7"/>
  <c r="F350" i="7"/>
  <c r="J350" i="7"/>
  <c r="N350" i="7"/>
  <c r="R350" i="7"/>
  <c r="AA343" i="7"/>
  <c r="AA344" i="7"/>
  <c r="F352" i="7"/>
  <c r="J352" i="7"/>
  <c r="N352" i="7"/>
  <c r="R352" i="7"/>
  <c r="AA345" i="7"/>
  <c r="F353" i="7"/>
  <c r="J353" i="7"/>
  <c r="N353" i="7"/>
  <c r="R353" i="7"/>
  <c r="AA346" i="7"/>
  <c r="F354" i="7"/>
  <c r="J354" i="7"/>
  <c r="N354" i="7"/>
  <c r="R354" i="7"/>
  <c r="G296" i="7"/>
  <c r="K296" i="7"/>
  <c r="O296" i="7"/>
  <c r="G297" i="7"/>
  <c r="K297" i="7"/>
  <c r="O297" i="7"/>
  <c r="G298" i="7"/>
  <c r="K298" i="7"/>
  <c r="O298" i="7"/>
  <c r="G299" i="7"/>
  <c r="K299" i="7"/>
  <c r="O299" i="7"/>
  <c r="G300" i="7"/>
  <c r="K300" i="7"/>
  <c r="O300" i="7"/>
  <c r="G301" i="7"/>
  <c r="K301" i="7"/>
  <c r="O301" i="7"/>
  <c r="G302" i="7"/>
  <c r="K302" i="7"/>
  <c r="O302" i="7"/>
  <c r="G304" i="7"/>
  <c r="K304" i="7"/>
  <c r="O304" i="7"/>
  <c r="G305" i="7"/>
  <c r="K305" i="7"/>
  <c r="O305" i="7"/>
  <c r="G306" i="7"/>
  <c r="K306" i="7"/>
  <c r="O306" i="7"/>
  <c r="G307" i="7"/>
  <c r="K307" i="7"/>
  <c r="O307" i="7"/>
  <c r="G308" i="7"/>
  <c r="K308" i="7"/>
  <c r="O308" i="7"/>
  <c r="G309" i="7"/>
  <c r="K309" i="7"/>
  <c r="O309" i="7"/>
  <c r="G310" i="7"/>
  <c r="K310" i="7"/>
  <c r="O310" i="7"/>
  <c r="G311" i="7"/>
  <c r="K311" i="7"/>
  <c r="O311" i="7"/>
  <c r="G312" i="7"/>
  <c r="K312" i="7"/>
  <c r="O312" i="7"/>
  <c r="G313" i="7"/>
  <c r="K313" i="7"/>
  <c r="O313" i="7"/>
  <c r="G314" i="7"/>
  <c r="K314" i="7"/>
  <c r="O314" i="7"/>
  <c r="G315" i="7"/>
  <c r="K315" i="7"/>
  <c r="O315" i="7"/>
  <c r="G316" i="7"/>
  <c r="K316" i="7"/>
  <c r="O316" i="7"/>
  <c r="G318" i="7"/>
  <c r="K318" i="7"/>
  <c r="O318" i="7"/>
  <c r="G319" i="7"/>
  <c r="K319" i="7"/>
  <c r="O319" i="7"/>
  <c r="G320" i="7"/>
  <c r="K320" i="7"/>
  <c r="O320" i="7"/>
  <c r="G321" i="7"/>
  <c r="K321" i="7"/>
  <c r="O321" i="7"/>
  <c r="G324" i="7"/>
  <c r="K324" i="7"/>
  <c r="O324" i="7"/>
  <c r="G325" i="7"/>
  <c r="K325" i="7"/>
  <c r="O325" i="7"/>
  <c r="G326" i="7"/>
  <c r="K326" i="7"/>
  <c r="O326" i="7"/>
  <c r="G327" i="7"/>
  <c r="K327" i="7"/>
  <c r="O327" i="7"/>
  <c r="G328" i="7"/>
  <c r="K328" i="7"/>
  <c r="O328" i="7"/>
  <c r="G329" i="7"/>
  <c r="K329" i="7"/>
  <c r="O329" i="7"/>
  <c r="G330" i="7"/>
  <c r="K330" i="7"/>
  <c r="O330" i="7"/>
  <c r="G331" i="7"/>
  <c r="K331" i="7"/>
  <c r="O331" i="7"/>
  <c r="G332" i="7"/>
  <c r="K332" i="7"/>
  <c r="O332" i="7"/>
  <c r="G333" i="7"/>
  <c r="K333" i="7"/>
  <c r="O333" i="7"/>
  <c r="G334" i="7"/>
  <c r="K334" i="7"/>
  <c r="O334" i="7"/>
  <c r="G335" i="7"/>
  <c r="K335" i="7"/>
  <c r="O335" i="7"/>
  <c r="G336" i="7"/>
  <c r="K336" i="7"/>
  <c r="O336" i="7"/>
  <c r="G337" i="7"/>
  <c r="K337" i="7"/>
  <c r="O337" i="7"/>
  <c r="G338" i="7"/>
  <c r="K338" i="7"/>
  <c r="O338" i="7"/>
  <c r="G339" i="7"/>
  <c r="K339" i="7"/>
  <c r="O339" i="7"/>
  <c r="G340" i="7"/>
  <c r="K340" i="7"/>
  <c r="O340" i="7"/>
  <c r="G341" i="7"/>
  <c r="K341" i="7"/>
  <c r="O341" i="7"/>
  <c r="G343" i="7"/>
  <c r="K343" i="7"/>
  <c r="O343" i="7"/>
  <c r="G344" i="7"/>
  <c r="K344" i="7"/>
  <c r="O344" i="7"/>
  <c r="G345" i="7"/>
  <c r="K345" i="7"/>
  <c r="O345" i="7"/>
  <c r="G346" i="7"/>
  <c r="K346" i="7"/>
  <c r="O346" i="7"/>
  <c r="G347" i="7"/>
  <c r="K347" i="7"/>
  <c r="O347" i="7"/>
  <c r="G348" i="7"/>
  <c r="K348" i="7"/>
  <c r="O348" i="7"/>
  <c r="G349" i="7"/>
  <c r="K349" i="7"/>
  <c r="O349" i="7"/>
  <c r="G350" i="7"/>
  <c r="K350" i="7"/>
  <c r="O350" i="7"/>
  <c r="G352" i="7"/>
  <c r="K352" i="7"/>
  <c r="O352" i="7"/>
  <c r="G353" i="7"/>
  <c r="K353" i="7"/>
  <c r="O353" i="7"/>
  <c r="G354" i="7"/>
  <c r="K354" i="7"/>
  <c r="O354" i="7"/>
  <c r="AA347" i="7"/>
  <c r="AA348" i="7"/>
  <c r="F356" i="7"/>
  <c r="J356" i="7"/>
  <c r="N356" i="7"/>
  <c r="R356" i="7"/>
  <c r="AA349" i="7"/>
  <c r="F357" i="7"/>
  <c r="J357" i="7"/>
  <c r="N357" i="7"/>
  <c r="R357" i="7"/>
  <c r="AA350" i="7"/>
  <c r="F358" i="7"/>
  <c r="J358" i="7"/>
  <c r="N358" i="7"/>
  <c r="R358" i="7"/>
  <c r="AA351" i="7"/>
  <c r="F359" i="7"/>
  <c r="J359" i="7"/>
  <c r="N359" i="7"/>
  <c r="R359" i="7"/>
  <c r="AA352" i="7"/>
  <c r="F360" i="7"/>
  <c r="J360" i="7"/>
  <c r="N360" i="7"/>
  <c r="R360" i="7"/>
  <c r="AA353" i="7"/>
  <c r="F361" i="7"/>
  <c r="N361" i="7"/>
  <c r="R361" i="7"/>
  <c r="AA354" i="7"/>
  <c r="AA355" i="7"/>
  <c r="F364" i="7"/>
  <c r="J364" i="7"/>
  <c r="N364" i="7"/>
  <c r="R364" i="7"/>
  <c r="AA356" i="7"/>
  <c r="F365" i="7"/>
  <c r="J365" i="7"/>
  <c r="N365" i="7"/>
  <c r="R365" i="7"/>
  <c r="AA357" i="7"/>
  <c r="F366" i="7"/>
  <c r="J366" i="7"/>
  <c r="N366" i="7"/>
  <c r="R366" i="7"/>
  <c r="AA358" i="7"/>
  <c r="AA359" i="7"/>
  <c r="F368" i="7"/>
  <c r="J368" i="7"/>
  <c r="N368" i="7"/>
  <c r="R368" i="7"/>
  <c r="AA360" i="7"/>
  <c r="F369" i="7"/>
  <c r="J369" i="7"/>
  <c r="N369" i="7"/>
  <c r="R369" i="7"/>
  <c r="AA361" i="7"/>
  <c r="F370" i="7"/>
  <c r="J370" i="7"/>
  <c r="N370" i="7"/>
  <c r="R370" i="7"/>
  <c r="AA362" i="7"/>
  <c r="F371" i="7"/>
  <c r="J371" i="7"/>
  <c r="N371" i="7"/>
  <c r="R371" i="7"/>
  <c r="AA364" i="7"/>
  <c r="F372" i="7"/>
  <c r="J372" i="7"/>
  <c r="N372" i="7"/>
  <c r="R372" i="7"/>
  <c r="AA365" i="7"/>
  <c r="F373" i="7"/>
  <c r="J373" i="7"/>
  <c r="N373" i="7"/>
  <c r="R373" i="7"/>
  <c r="AA366" i="7"/>
  <c r="F374" i="7"/>
  <c r="J374" i="7"/>
  <c r="N374" i="7"/>
  <c r="R374" i="7"/>
  <c r="AA367" i="7"/>
  <c r="F375" i="7"/>
  <c r="J375" i="7"/>
  <c r="N375" i="7"/>
  <c r="R375" i="7"/>
  <c r="AA368" i="7"/>
  <c r="F376" i="7"/>
  <c r="J376" i="7"/>
  <c r="N376" i="7"/>
  <c r="R376" i="7"/>
  <c r="AA369" i="7"/>
  <c r="F377" i="7"/>
  <c r="J377" i="7"/>
  <c r="N377" i="7"/>
  <c r="R377" i="7"/>
  <c r="AA370" i="7"/>
  <c r="AA371" i="7"/>
  <c r="F379" i="7"/>
  <c r="J379" i="7"/>
  <c r="N379" i="7"/>
  <c r="R379" i="7"/>
  <c r="AA372" i="7"/>
  <c r="F380" i="7"/>
  <c r="J380" i="7"/>
  <c r="N380" i="7"/>
  <c r="R380" i="7"/>
  <c r="AA373" i="7"/>
  <c r="F381" i="7"/>
  <c r="J381" i="7"/>
  <c r="N381" i="7"/>
  <c r="R381" i="7"/>
  <c r="AA374" i="7"/>
  <c r="F382" i="7"/>
  <c r="J382" i="7"/>
  <c r="N382" i="7"/>
  <c r="R382" i="7"/>
  <c r="AA375" i="7"/>
  <c r="F383" i="7"/>
  <c r="J383" i="7"/>
  <c r="N383" i="7"/>
  <c r="R383" i="7"/>
  <c r="AA376" i="7"/>
  <c r="F384" i="7"/>
  <c r="J384" i="7"/>
  <c r="N384" i="7"/>
  <c r="R384" i="7"/>
  <c r="AA377" i="7"/>
  <c r="F385" i="7"/>
  <c r="J385" i="7"/>
  <c r="N385" i="7"/>
  <c r="R385" i="7"/>
  <c r="AA378" i="7"/>
  <c r="F386" i="7"/>
  <c r="J386" i="7"/>
  <c r="N386" i="7"/>
  <c r="R386" i="7"/>
  <c r="AA379" i="7"/>
  <c r="F387" i="7"/>
  <c r="J387" i="7"/>
  <c r="N387" i="7"/>
  <c r="R387" i="7"/>
  <c r="AA380" i="7"/>
  <c r="F388" i="7"/>
  <c r="J388" i="7"/>
  <c r="N388" i="7"/>
  <c r="R388" i="7"/>
  <c r="AA381" i="7"/>
  <c r="F389" i="7"/>
  <c r="J389" i="7"/>
  <c r="N389" i="7"/>
  <c r="R389" i="7"/>
  <c r="AA382" i="7"/>
  <c r="F390" i="7"/>
  <c r="J390" i="7"/>
  <c r="N390" i="7"/>
  <c r="R390" i="7"/>
  <c r="AA383" i="7"/>
  <c r="AA384" i="7"/>
  <c r="F392" i="7"/>
  <c r="J392" i="7"/>
  <c r="N392" i="7"/>
  <c r="R392" i="7"/>
  <c r="AA385" i="7"/>
  <c r="F393" i="7"/>
  <c r="J393" i="7"/>
  <c r="N393" i="7"/>
  <c r="R393" i="7"/>
  <c r="AA386" i="7"/>
  <c r="F394" i="7"/>
  <c r="J394" i="7"/>
  <c r="N394" i="7"/>
  <c r="R394" i="7"/>
  <c r="AA387" i="7"/>
  <c r="AA388" i="7"/>
  <c r="F396" i="7"/>
  <c r="J396" i="7"/>
  <c r="N396" i="7"/>
  <c r="R396" i="7"/>
  <c r="AA389" i="7"/>
  <c r="F397" i="7"/>
  <c r="J397" i="7"/>
  <c r="N397" i="7"/>
  <c r="R397" i="7"/>
  <c r="AA390" i="7"/>
  <c r="F398" i="7"/>
  <c r="J398" i="7"/>
  <c r="N398" i="7"/>
  <c r="R398" i="7"/>
  <c r="AA391" i="7"/>
  <c r="AA392" i="7"/>
  <c r="F400" i="7"/>
  <c r="J400" i="7"/>
  <c r="N400" i="7"/>
  <c r="R400" i="7"/>
  <c r="AA393" i="7"/>
  <c r="F401" i="7"/>
  <c r="J401" i="7"/>
  <c r="N401" i="7"/>
  <c r="R401" i="7"/>
  <c r="AA394" i="7"/>
  <c r="F402" i="7"/>
  <c r="J402" i="7"/>
  <c r="N402" i="7"/>
  <c r="R402" i="7"/>
  <c r="AA395" i="7"/>
  <c r="F403" i="7"/>
  <c r="J403" i="7"/>
  <c r="N403" i="7"/>
  <c r="R403" i="7"/>
  <c r="AA396" i="7"/>
  <c r="F404" i="7"/>
  <c r="J404" i="7"/>
  <c r="N404" i="7"/>
  <c r="R404" i="7"/>
  <c r="AA397" i="7"/>
  <c r="F405" i="7"/>
  <c r="J405" i="7"/>
  <c r="N405" i="7"/>
  <c r="R405" i="7"/>
  <c r="AA398" i="7"/>
  <c r="F406" i="7"/>
  <c r="J406" i="7"/>
  <c r="N406" i="7"/>
  <c r="R406" i="7"/>
  <c r="AA399" i="7"/>
  <c r="F407" i="7"/>
  <c r="J407" i="7"/>
  <c r="N407" i="7"/>
  <c r="R407" i="7"/>
  <c r="AA400" i="7"/>
  <c r="F408" i="7"/>
  <c r="J408" i="7"/>
  <c r="N408" i="7"/>
  <c r="R408" i="7"/>
  <c r="AA401" i="7"/>
  <c r="F409" i="7"/>
  <c r="J409" i="7"/>
  <c r="N409" i="7"/>
  <c r="R409" i="7"/>
  <c r="AA402" i="7"/>
  <c r="F410" i="7"/>
  <c r="J410" i="7"/>
  <c r="N410" i="7"/>
  <c r="R410" i="7"/>
  <c r="AA403" i="7"/>
  <c r="F411" i="7"/>
  <c r="J411" i="7"/>
  <c r="N411" i="7"/>
  <c r="R411" i="7"/>
  <c r="AA404" i="7"/>
  <c r="F412" i="7"/>
  <c r="J412" i="7"/>
  <c r="N412" i="7"/>
  <c r="R412" i="7"/>
  <c r="AA405" i="7"/>
  <c r="AA406" i="7"/>
  <c r="F415" i="7"/>
  <c r="J415" i="7"/>
  <c r="N415" i="7"/>
  <c r="R415" i="7"/>
  <c r="AA407" i="7"/>
  <c r="AA408" i="7"/>
  <c r="F417" i="7"/>
  <c r="J417" i="7"/>
  <c r="N417" i="7"/>
  <c r="R417" i="7"/>
  <c r="AA409" i="7"/>
  <c r="AA410" i="7"/>
  <c r="AA411" i="7"/>
  <c r="F420" i="7"/>
  <c r="J420" i="7"/>
  <c r="N420" i="7"/>
  <c r="R420" i="7"/>
  <c r="AA412" i="7"/>
  <c r="F423" i="7"/>
  <c r="J423" i="7"/>
  <c r="N423" i="7"/>
  <c r="R423" i="7"/>
  <c r="AA413" i="7"/>
  <c r="AA415" i="7"/>
  <c r="F425" i="7"/>
  <c r="J425" i="7"/>
  <c r="N425" i="7"/>
  <c r="R425" i="7"/>
  <c r="AA416" i="7"/>
  <c r="F426" i="7"/>
  <c r="J426" i="7"/>
  <c r="N426" i="7"/>
  <c r="R426" i="7"/>
  <c r="AA417" i="7"/>
  <c r="F427" i="7"/>
  <c r="J427" i="7"/>
  <c r="N427" i="7"/>
  <c r="R427" i="7"/>
  <c r="AA418" i="7"/>
  <c r="F428" i="7"/>
  <c r="J428" i="7"/>
  <c r="N428" i="7"/>
  <c r="R428" i="7"/>
  <c r="AA419" i="7"/>
  <c r="F430" i="7"/>
  <c r="J430" i="7"/>
  <c r="N430" i="7"/>
  <c r="R430" i="7"/>
  <c r="AA420" i="7"/>
  <c r="F431" i="7"/>
  <c r="J431" i="7"/>
  <c r="N431" i="7"/>
  <c r="R431" i="7"/>
  <c r="AA423" i="7"/>
  <c r="F432" i="7"/>
  <c r="J432" i="7"/>
  <c r="N432" i="7"/>
  <c r="R432" i="7"/>
  <c r="AA424" i="7"/>
  <c r="F433" i="7"/>
  <c r="J433" i="7"/>
  <c r="N433" i="7"/>
  <c r="R433" i="7"/>
  <c r="AA425" i="7"/>
  <c r="F434" i="7"/>
  <c r="J434" i="7"/>
  <c r="N434" i="7"/>
  <c r="R434" i="7"/>
  <c r="AA426" i="7"/>
  <c r="F435" i="7"/>
  <c r="J435" i="7"/>
  <c r="N435" i="7"/>
  <c r="R435" i="7"/>
  <c r="AA427" i="7"/>
  <c r="F436" i="7"/>
  <c r="J436" i="7"/>
  <c r="N436" i="7"/>
  <c r="R436" i="7"/>
  <c r="AA428" i="7"/>
  <c r="F437" i="7"/>
  <c r="J437" i="7"/>
  <c r="N437" i="7"/>
  <c r="R437" i="7"/>
  <c r="AA430" i="7"/>
  <c r="F438" i="7"/>
  <c r="J438" i="7"/>
  <c r="N438" i="7"/>
  <c r="R438" i="7"/>
  <c r="AA431" i="7"/>
  <c r="F439" i="7"/>
  <c r="J439" i="7"/>
  <c r="N439" i="7"/>
  <c r="R439" i="7"/>
  <c r="AA432" i="7"/>
  <c r="AA433" i="7"/>
  <c r="F441" i="7"/>
  <c r="J441" i="7"/>
  <c r="N441" i="7"/>
  <c r="R441" i="7"/>
  <c r="AA434" i="7"/>
  <c r="F442" i="7"/>
  <c r="J442" i="7"/>
  <c r="N442" i="7"/>
  <c r="R442" i="7"/>
  <c r="AA435" i="7"/>
  <c r="F443" i="7"/>
  <c r="J443" i="7"/>
  <c r="N443" i="7"/>
  <c r="R443" i="7"/>
  <c r="AA436" i="7"/>
  <c r="F444" i="7"/>
  <c r="J444" i="7"/>
  <c r="N444" i="7"/>
  <c r="R444" i="7"/>
  <c r="AA437" i="7"/>
  <c r="F445" i="7"/>
  <c r="J445" i="7"/>
  <c r="N445" i="7"/>
  <c r="R445" i="7"/>
  <c r="AA438" i="7"/>
  <c r="F446" i="7"/>
  <c r="J446" i="7"/>
  <c r="N446" i="7"/>
  <c r="R446" i="7"/>
  <c r="AA439" i="7"/>
  <c r="F447" i="7"/>
  <c r="J447" i="7"/>
  <c r="N447" i="7"/>
  <c r="R447" i="7"/>
  <c r="AA440" i="7"/>
  <c r="F448" i="7"/>
  <c r="J448" i="7"/>
  <c r="N448" i="7"/>
  <c r="R448" i="7"/>
  <c r="AA441" i="7"/>
  <c r="F449" i="7"/>
  <c r="J449" i="7"/>
  <c r="N449" i="7"/>
  <c r="R449" i="7"/>
  <c r="AA442" i="7"/>
  <c r="F450" i="7"/>
  <c r="J450" i="7"/>
  <c r="N450" i="7"/>
  <c r="R450" i="7"/>
  <c r="AA443" i="7"/>
  <c r="F451" i="7"/>
  <c r="J451" i="7"/>
  <c r="N451" i="7"/>
  <c r="R451" i="7"/>
  <c r="AA444" i="7"/>
  <c r="F452" i="7"/>
  <c r="J452" i="7"/>
  <c r="N452" i="7"/>
  <c r="R452" i="7"/>
  <c r="AA445" i="7"/>
  <c r="AA446" i="7"/>
  <c r="F454" i="7"/>
  <c r="J454" i="7"/>
  <c r="N454" i="7"/>
  <c r="R454" i="7"/>
  <c r="AA447" i="7"/>
  <c r="F455" i="7"/>
  <c r="N455" i="7"/>
  <c r="R455" i="7"/>
  <c r="AA448" i="7"/>
  <c r="F456" i="7"/>
  <c r="J456" i="7"/>
  <c r="N456" i="7"/>
  <c r="R456" i="7"/>
  <c r="AA449" i="7"/>
  <c r="AA450" i="7"/>
  <c r="F458" i="7"/>
  <c r="J458" i="7"/>
  <c r="N458" i="7"/>
  <c r="R458" i="7"/>
  <c r="AA451" i="7"/>
  <c r="F459" i="7"/>
  <c r="J459" i="7"/>
  <c r="N459" i="7"/>
  <c r="R459" i="7"/>
  <c r="AA452" i="7"/>
  <c r="F460" i="7"/>
  <c r="J460" i="7"/>
  <c r="N460" i="7"/>
  <c r="R460" i="7"/>
  <c r="AA453" i="7"/>
  <c r="F461" i="7"/>
  <c r="J461" i="7"/>
  <c r="N461" i="7"/>
  <c r="R461" i="7"/>
  <c r="E462" i="7"/>
  <c r="I462" i="7"/>
  <c r="M462" i="7"/>
  <c r="Q462" i="7"/>
  <c r="E463" i="7"/>
  <c r="I463" i="7"/>
  <c r="M463" i="7"/>
  <c r="Q463" i="7"/>
  <c r="E464" i="7"/>
  <c r="I464" i="7"/>
  <c r="M464" i="7"/>
  <c r="Q464" i="7"/>
  <c r="E465" i="7"/>
  <c r="I465" i="7"/>
  <c r="M465" i="7"/>
  <c r="Q465" i="7"/>
  <c r="E466" i="7"/>
  <c r="I466" i="7"/>
  <c r="M466" i="7"/>
  <c r="Q466" i="7"/>
  <c r="E467" i="7"/>
  <c r="I467" i="7"/>
  <c r="M467" i="7"/>
  <c r="Q467" i="7"/>
  <c r="E469" i="7"/>
  <c r="I469" i="7"/>
  <c r="M469" i="7"/>
  <c r="Q469" i="7"/>
  <c r="E470" i="7"/>
  <c r="I470" i="7"/>
  <c r="M470" i="7"/>
  <c r="Q470" i="7"/>
  <c r="E471" i="7"/>
  <c r="I471" i="7"/>
  <c r="M471" i="7"/>
  <c r="Q471" i="7"/>
  <c r="E472" i="7"/>
  <c r="I472" i="7"/>
  <c r="M472" i="7"/>
  <c r="Q472" i="7"/>
  <c r="E473" i="7"/>
  <c r="I473" i="7"/>
  <c r="M473" i="7"/>
  <c r="Q473" i="7"/>
  <c r="E474" i="7"/>
  <c r="I474" i="7"/>
  <c r="M474" i="7"/>
  <c r="Q474" i="7"/>
  <c r="G356" i="7"/>
  <c r="K356" i="7"/>
  <c r="O356" i="7"/>
  <c r="G357" i="7"/>
  <c r="K357" i="7"/>
  <c r="O357" i="7"/>
  <c r="G358" i="7"/>
  <c r="K358" i="7"/>
  <c r="O358" i="7"/>
  <c r="G359" i="7"/>
  <c r="K359" i="7"/>
  <c r="O359" i="7"/>
  <c r="G360" i="7"/>
  <c r="K360" i="7"/>
  <c r="O360" i="7"/>
  <c r="G361" i="7"/>
  <c r="O361" i="7"/>
  <c r="G364" i="7"/>
  <c r="K364" i="7"/>
  <c r="O364" i="7"/>
  <c r="G365" i="7"/>
  <c r="K365" i="7"/>
  <c r="O365" i="7"/>
  <c r="G366" i="7"/>
  <c r="K366" i="7"/>
  <c r="O366" i="7"/>
  <c r="G368" i="7"/>
  <c r="K368" i="7"/>
  <c r="O368" i="7"/>
  <c r="G369" i="7"/>
  <c r="K369" i="7"/>
  <c r="O369" i="7"/>
  <c r="G370" i="7"/>
  <c r="K370" i="7"/>
  <c r="O370" i="7"/>
  <c r="G371" i="7"/>
  <c r="K371" i="7"/>
  <c r="O371" i="7"/>
  <c r="G372" i="7"/>
  <c r="K372" i="7"/>
  <c r="O372" i="7"/>
  <c r="G373" i="7"/>
  <c r="K373" i="7"/>
  <c r="O373" i="7"/>
  <c r="G374" i="7"/>
  <c r="K374" i="7"/>
  <c r="O374" i="7"/>
  <c r="G375" i="7"/>
  <c r="K375" i="7"/>
  <c r="O375" i="7"/>
  <c r="G376" i="7"/>
  <c r="K376" i="7"/>
  <c r="O376" i="7"/>
  <c r="G377" i="7"/>
  <c r="K377" i="7"/>
  <c r="O377" i="7"/>
  <c r="G379" i="7"/>
  <c r="K379" i="7"/>
  <c r="O379" i="7"/>
  <c r="G380" i="7"/>
  <c r="K380" i="7"/>
  <c r="O380" i="7"/>
  <c r="G381" i="7"/>
  <c r="K381" i="7"/>
  <c r="O381" i="7"/>
  <c r="G382" i="7"/>
  <c r="K382" i="7"/>
  <c r="O382" i="7"/>
  <c r="G383" i="7"/>
  <c r="K383" i="7"/>
  <c r="O383" i="7"/>
  <c r="G384" i="7"/>
  <c r="K384" i="7"/>
  <c r="O384" i="7"/>
  <c r="G385" i="7"/>
  <c r="K385" i="7"/>
  <c r="O385" i="7"/>
  <c r="G386" i="7"/>
  <c r="K386" i="7"/>
  <c r="O386" i="7"/>
  <c r="G387" i="7"/>
  <c r="K387" i="7"/>
  <c r="O387" i="7"/>
  <c r="G388" i="7"/>
  <c r="K388" i="7"/>
  <c r="O388" i="7"/>
  <c r="G389" i="7"/>
  <c r="K389" i="7"/>
  <c r="O389" i="7"/>
  <c r="G390" i="7"/>
  <c r="K390" i="7"/>
  <c r="O390" i="7"/>
  <c r="G392" i="7"/>
  <c r="K392" i="7"/>
  <c r="O392" i="7"/>
  <c r="G393" i="7"/>
  <c r="K393" i="7"/>
  <c r="O393" i="7"/>
  <c r="G394" i="7"/>
  <c r="K394" i="7"/>
  <c r="O394" i="7"/>
  <c r="G396" i="7"/>
  <c r="K396" i="7"/>
  <c r="O396" i="7"/>
  <c r="G397" i="7"/>
  <c r="K397" i="7"/>
  <c r="O397" i="7"/>
  <c r="G398" i="7"/>
  <c r="K398" i="7"/>
  <c r="O398" i="7"/>
  <c r="G400" i="7"/>
  <c r="K400" i="7"/>
  <c r="O400" i="7"/>
  <c r="G401" i="7"/>
  <c r="K401" i="7"/>
  <c r="O401" i="7"/>
  <c r="G402" i="7"/>
  <c r="K402" i="7"/>
  <c r="O402" i="7"/>
  <c r="G403" i="7"/>
  <c r="K403" i="7"/>
  <c r="O403" i="7"/>
  <c r="G404" i="7"/>
  <c r="K404" i="7"/>
  <c r="O404" i="7"/>
  <c r="G405" i="7"/>
  <c r="K405" i="7"/>
  <c r="O405" i="7"/>
  <c r="G406" i="7"/>
  <c r="K406" i="7"/>
  <c r="O406" i="7"/>
  <c r="G407" i="7"/>
  <c r="O407" i="7"/>
  <c r="G408" i="7"/>
  <c r="K408" i="7"/>
  <c r="O408" i="7"/>
  <c r="G409" i="7"/>
  <c r="K409" i="7"/>
  <c r="O409" i="7"/>
  <c r="G410" i="7"/>
  <c r="K410" i="7"/>
  <c r="O410" i="7"/>
  <c r="G411" i="7"/>
  <c r="K411" i="7"/>
  <c r="O411" i="7"/>
  <c r="G412" i="7"/>
  <c r="K412" i="7"/>
  <c r="O412" i="7"/>
  <c r="G415" i="7"/>
  <c r="K415" i="7"/>
  <c r="O415" i="7"/>
  <c r="G417" i="7"/>
  <c r="K417" i="7"/>
  <c r="O417" i="7"/>
  <c r="G420" i="7"/>
  <c r="K420" i="7"/>
  <c r="O420" i="7"/>
  <c r="G423" i="7"/>
  <c r="K423" i="7"/>
  <c r="O423" i="7"/>
  <c r="G425" i="7"/>
  <c r="K425" i="7"/>
  <c r="O425" i="7"/>
  <c r="G426" i="7"/>
  <c r="K426" i="7"/>
  <c r="O426" i="7"/>
  <c r="G427" i="7"/>
  <c r="K427" i="7"/>
  <c r="O427" i="7"/>
  <c r="G428" i="7"/>
  <c r="K428" i="7"/>
  <c r="O428" i="7"/>
  <c r="G430" i="7"/>
  <c r="K430" i="7"/>
  <c r="O430" i="7"/>
  <c r="G431" i="7"/>
  <c r="K431" i="7"/>
  <c r="O431" i="7"/>
  <c r="G432" i="7"/>
  <c r="K432" i="7"/>
  <c r="O432" i="7"/>
  <c r="G433" i="7"/>
  <c r="K433" i="7"/>
  <c r="O433" i="7"/>
  <c r="G434" i="7"/>
  <c r="K434" i="7"/>
  <c r="O434" i="7"/>
  <c r="G435" i="7"/>
  <c r="K435" i="7"/>
  <c r="O435" i="7"/>
  <c r="G436" i="7"/>
  <c r="K436" i="7"/>
  <c r="O436" i="7"/>
  <c r="G437" i="7"/>
  <c r="K437" i="7"/>
  <c r="O437" i="7"/>
  <c r="G438" i="7"/>
  <c r="K438" i="7"/>
  <c r="O438" i="7"/>
  <c r="G439" i="7"/>
  <c r="K439" i="7"/>
  <c r="O439" i="7"/>
  <c r="G441" i="7"/>
  <c r="K441" i="7"/>
  <c r="O441" i="7"/>
  <c r="G442" i="7"/>
  <c r="K442" i="7"/>
  <c r="O442" i="7"/>
  <c r="G443" i="7"/>
  <c r="K443" i="7"/>
  <c r="O443" i="7"/>
  <c r="G444" i="7"/>
  <c r="K444" i="7"/>
  <c r="O444" i="7"/>
  <c r="G445" i="7"/>
  <c r="K445" i="7"/>
  <c r="O445" i="7"/>
  <c r="G446" i="7"/>
  <c r="K446" i="7"/>
  <c r="O446" i="7"/>
  <c r="G447" i="7"/>
  <c r="K447" i="7"/>
  <c r="O447" i="7"/>
  <c r="G448" i="7"/>
  <c r="K448" i="7"/>
  <c r="O448" i="7"/>
  <c r="G449" i="7"/>
  <c r="K449" i="7"/>
  <c r="O449" i="7"/>
  <c r="G450" i="7"/>
  <c r="K450" i="7"/>
  <c r="O450" i="7"/>
  <c r="G451" i="7"/>
  <c r="K451" i="7"/>
  <c r="O451" i="7"/>
  <c r="G452" i="7"/>
  <c r="K452" i="7"/>
  <c r="O452" i="7"/>
  <c r="G454" i="7"/>
  <c r="K454" i="7"/>
  <c r="O454" i="7"/>
  <c r="G455" i="7"/>
  <c r="K455" i="7"/>
  <c r="O455" i="7"/>
  <c r="G456" i="7"/>
  <c r="K456" i="7"/>
  <c r="O456" i="7"/>
  <c r="G458" i="7"/>
  <c r="K458" i="7"/>
  <c r="O458" i="7"/>
  <c r="G459" i="7"/>
  <c r="K459" i="7"/>
  <c r="O459" i="7"/>
  <c r="G460" i="7"/>
  <c r="K460" i="7"/>
  <c r="O460" i="7"/>
  <c r="G461" i="7"/>
  <c r="K461" i="7"/>
  <c r="O461" i="7"/>
  <c r="AA454" i="7"/>
  <c r="F462" i="7"/>
  <c r="J462" i="7"/>
  <c r="N462" i="7"/>
  <c r="R462" i="7"/>
  <c r="AA455" i="7"/>
  <c r="F463" i="7"/>
  <c r="J463" i="7"/>
  <c r="N463" i="7"/>
  <c r="R463" i="7"/>
  <c r="AA456" i="7"/>
  <c r="F464" i="7"/>
  <c r="J464" i="7"/>
  <c r="N464" i="7"/>
  <c r="R464" i="7"/>
  <c r="AA457" i="7"/>
  <c r="F465" i="7"/>
  <c r="J465" i="7"/>
  <c r="N465" i="7"/>
  <c r="R465" i="7"/>
  <c r="AA458" i="7"/>
  <c r="F466" i="7"/>
  <c r="J466" i="7"/>
  <c r="N466" i="7"/>
  <c r="R466" i="7"/>
  <c r="AA459" i="7"/>
  <c r="F467" i="7"/>
  <c r="J467" i="7"/>
  <c r="N467" i="7"/>
  <c r="R467" i="7"/>
  <c r="AA460" i="7"/>
  <c r="F469" i="7"/>
  <c r="J469" i="7"/>
  <c r="N469" i="7"/>
  <c r="R469" i="7"/>
  <c r="AA461" i="7"/>
  <c r="F470" i="7"/>
  <c r="J470" i="7"/>
  <c r="N470" i="7"/>
  <c r="R470" i="7"/>
  <c r="AA462" i="7"/>
  <c r="F471" i="7"/>
  <c r="J471" i="7"/>
  <c r="N471" i="7"/>
  <c r="R471" i="7"/>
  <c r="AA463" i="7"/>
  <c r="F472" i="7"/>
  <c r="J472" i="7"/>
  <c r="N472" i="7"/>
  <c r="R472" i="7"/>
  <c r="AA464" i="7"/>
  <c r="F473" i="7"/>
  <c r="J473" i="7"/>
  <c r="N473" i="7"/>
  <c r="R473" i="7"/>
  <c r="AA465" i="7"/>
  <c r="F474" i="7"/>
  <c r="J474" i="7"/>
  <c r="D356" i="7"/>
  <c r="H356" i="7"/>
  <c r="L356" i="7"/>
  <c r="P356" i="7"/>
  <c r="D357" i="7"/>
  <c r="H357" i="7"/>
  <c r="L357" i="7"/>
  <c r="P357" i="7"/>
  <c r="D358" i="7"/>
  <c r="H358" i="7"/>
  <c r="L358" i="7"/>
  <c r="P358" i="7"/>
  <c r="D359" i="7"/>
  <c r="H359" i="7"/>
  <c r="L359" i="7"/>
  <c r="P359" i="7"/>
  <c r="D360" i="7"/>
  <c r="H360" i="7"/>
  <c r="L360" i="7"/>
  <c r="P360" i="7"/>
  <c r="D361" i="7"/>
  <c r="H361" i="7"/>
  <c r="L361" i="7"/>
  <c r="P361" i="7"/>
  <c r="D364" i="7"/>
  <c r="H364" i="7"/>
  <c r="L364" i="7"/>
  <c r="P364" i="7"/>
  <c r="D365" i="7"/>
  <c r="H365" i="7"/>
  <c r="L365" i="7"/>
  <c r="P365" i="7"/>
  <c r="D366" i="7"/>
  <c r="H366" i="7"/>
  <c r="L366" i="7"/>
  <c r="P366" i="7"/>
  <c r="D368" i="7"/>
  <c r="H368" i="7"/>
  <c r="L368" i="7"/>
  <c r="P368" i="7"/>
  <c r="D369" i="7"/>
  <c r="H369" i="7"/>
  <c r="L369" i="7"/>
  <c r="P369" i="7"/>
  <c r="D370" i="7"/>
  <c r="H370" i="7"/>
  <c r="L370" i="7"/>
  <c r="P370" i="7"/>
  <c r="D371" i="7"/>
  <c r="H371" i="7"/>
  <c r="L371" i="7"/>
  <c r="P371" i="7"/>
  <c r="D372" i="7"/>
  <c r="H372" i="7"/>
  <c r="L372" i="7"/>
  <c r="P372" i="7"/>
  <c r="D373" i="7"/>
  <c r="H373" i="7"/>
  <c r="L373" i="7"/>
  <c r="P373" i="7"/>
  <c r="D374" i="7"/>
  <c r="H374" i="7"/>
  <c r="L374" i="7"/>
  <c r="P374" i="7"/>
  <c r="D375" i="7"/>
  <c r="H375" i="7"/>
  <c r="L375" i="7"/>
  <c r="P375" i="7"/>
  <c r="D376" i="7"/>
  <c r="H376" i="7"/>
  <c r="L376" i="7"/>
  <c r="P376" i="7"/>
  <c r="D377" i="7"/>
  <c r="H377" i="7"/>
  <c r="L377" i="7"/>
  <c r="P377" i="7"/>
  <c r="D379" i="7"/>
  <c r="H379" i="7"/>
  <c r="L379" i="7"/>
  <c r="P379" i="7"/>
  <c r="D380" i="7"/>
  <c r="H380" i="7"/>
  <c r="L380" i="7"/>
  <c r="P380" i="7"/>
  <c r="D381" i="7"/>
  <c r="H381" i="7"/>
  <c r="L381" i="7"/>
  <c r="P381" i="7"/>
  <c r="D382" i="7"/>
  <c r="H382" i="7"/>
  <c r="L382" i="7"/>
  <c r="P382" i="7"/>
  <c r="D383" i="7"/>
  <c r="H383" i="7"/>
  <c r="L383" i="7"/>
  <c r="P383" i="7"/>
  <c r="D384" i="7"/>
  <c r="H384" i="7"/>
  <c r="L384" i="7"/>
  <c r="P384" i="7"/>
  <c r="D385" i="7"/>
  <c r="H385" i="7"/>
  <c r="L385" i="7"/>
  <c r="P385" i="7"/>
  <c r="D386" i="7"/>
  <c r="H386" i="7"/>
  <c r="L386" i="7"/>
  <c r="P386" i="7"/>
  <c r="D387" i="7"/>
  <c r="H387" i="7"/>
  <c r="L387" i="7"/>
  <c r="P387" i="7"/>
  <c r="D388" i="7"/>
  <c r="H388" i="7"/>
  <c r="L388" i="7"/>
  <c r="P388" i="7"/>
  <c r="D389" i="7"/>
  <c r="H389" i="7"/>
  <c r="L389" i="7"/>
  <c r="P389" i="7"/>
  <c r="D390" i="7"/>
  <c r="H390" i="7"/>
  <c r="L390" i="7"/>
  <c r="P390" i="7"/>
  <c r="D392" i="7"/>
  <c r="H392" i="7"/>
  <c r="L392" i="7"/>
  <c r="P392" i="7"/>
  <c r="D393" i="7"/>
  <c r="H393" i="7"/>
  <c r="L393" i="7"/>
  <c r="P393" i="7"/>
  <c r="D394" i="7"/>
  <c r="H394" i="7"/>
  <c r="L394" i="7"/>
  <c r="P394" i="7"/>
  <c r="D396" i="7"/>
  <c r="H396" i="7"/>
  <c r="L396" i="7"/>
  <c r="P396" i="7"/>
  <c r="D397" i="7"/>
  <c r="H397" i="7"/>
  <c r="L397" i="7"/>
  <c r="P397" i="7"/>
  <c r="D398" i="7"/>
  <c r="H398" i="7"/>
  <c r="L398" i="7"/>
  <c r="P398" i="7"/>
  <c r="D400" i="7"/>
  <c r="H400" i="7"/>
  <c r="L400" i="7"/>
  <c r="P400" i="7"/>
  <c r="D401" i="7"/>
  <c r="H401" i="7"/>
  <c r="L401" i="7"/>
  <c r="P401" i="7"/>
  <c r="D402" i="7"/>
  <c r="H402" i="7"/>
  <c r="L402" i="7"/>
  <c r="P402" i="7"/>
  <c r="D403" i="7"/>
  <c r="H403" i="7"/>
  <c r="L403" i="7"/>
  <c r="P403" i="7"/>
  <c r="D404" i="7"/>
  <c r="H404" i="7"/>
  <c r="L404" i="7"/>
  <c r="P404" i="7"/>
  <c r="D405" i="7"/>
  <c r="H405" i="7"/>
  <c r="L405" i="7"/>
  <c r="P405" i="7"/>
  <c r="D406" i="7"/>
  <c r="H406" i="7"/>
  <c r="L406" i="7"/>
  <c r="P406" i="7"/>
  <c r="D407" i="7"/>
  <c r="H407" i="7"/>
  <c r="P407" i="7"/>
  <c r="D408" i="7"/>
  <c r="H408" i="7"/>
  <c r="L408" i="7"/>
  <c r="P408" i="7"/>
  <c r="D409" i="7"/>
  <c r="H409" i="7"/>
  <c r="L409" i="7"/>
  <c r="P409" i="7"/>
  <c r="D410" i="7"/>
  <c r="H410" i="7"/>
  <c r="L410" i="7"/>
  <c r="P410" i="7"/>
  <c r="D411" i="7"/>
  <c r="H411" i="7"/>
  <c r="L411" i="7"/>
  <c r="P411" i="7"/>
  <c r="D412" i="7"/>
  <c r="H412" i="7"/>
  <c r="L412" i="7"/>
  <c r="P412" i="7"/>
  <c r="D415" i="7"/>
  <c r="H415" i="7"/>
  <c r="L415" i="7"/>
  <c r="P415" i="7"/>
  <c r="D417" i="7"/>
  <c r="H417" i="7"/>
  <c r="L417" i="7"/>
  <c r="P417" i="7"/>
  <c r="D420" i="7"/>
  <c r="H420" i="7"/>
  <c r="L420" i="7"/>
  <c r="P420" i="7"/>
  <c r="D423" i="7"/>
  <c r="H423" i="7"/>
  <c r="L423" i="7"/>
  <c r="P423" i="7"/>
  <c r="D425" i="7"/>
  <c r="H425" i="7"/>
  <c r="L425" i="7"/>
  <c r="P425" i="7"/>
  <c r="D426" i="7"/>
  <c r="H426" i="7"/>
  <c r="L426" i="7"/>
  <c r="P426" i="7"/>
  <c r="D427" i="7"/>
  <c r="H427" i="7"/>
  <c r="L427" i="7"/>
  <c r="P427" i="7"/>
  <c r="D428" i="7"/>
  <c r="H428" i="7"/>
  <c r="L428" i="7"/>
  <c r="P428" i="7"/>
  <c r="D430" i="7"/>
  <c r="H430" i="7"/>
  <c r="L430" i="7"/>
  <c r="P430" i="7"/>
  <c r="D431" i="7"/>
  <c r="H431" i="7"/>
  <c r="L431" i="7"/>
  <c r="P431" i="7"/>
  <c r="D432" i="7"/>
  <c r="H432" i="7"/>
  <c r="L432" i="7"/>
  <c r="P432" i="7"/>
  <c r="D433" i="7"/>
  <c r="H433" i="7"/>
  <c r="L433" i="7"/>
  <c r="P433" i="7"/>
  <c r="D434" i="7"/>
  <c r="H434" i="7"/>
  <c r="L434" i="7"/>
  <c r="P434" i="7"/>
  <c r="D435" i="7"/>
  <c r="H435" i="7"/>
  <c r="L435" i="7"/>
  <c r="P435" i="7"/>
  <c r="D436" i="7"/>
  <c r="H436" i="7"/>
  <c r="L436" i="7"/>
  <c r="P436" i="7"/>
  <c r="D437" i="7"/>
  <c r="H437" i="7"/>
  <c r="L437" i="7"/>
  <c r="P437" i="7"/>
  <c r="D438" i="7"/>
  <c r="H438" i="7"/>
  <c r="L438" i="7"/>
  <c r="P438" i="7"/>
  <c r="D439" i="7"/>
  <c r="H439" i="7"/>
  <c r="L439" i="7"/>
  <c r="P439" i="7"/>
  <c r="D441" i="7"/>
  <c r="H441" i="7"/>
  <c r="L441" i="7"/>
  <c r="P441" i="7"/>
  <c r="D442" i="7"/>
  <c r="H442" i="7"/>
  <c r="L442" i="7"/>
  <c r="P442" i="7"/>
  <c r="D443" i="7"/>
  <c r="H443" i="7"/>
  <c r="L443" i="7"/>
  <c r="P443" i="7"/>
  <c r="D444" i="7"/>
  <c r="H444" i="7"/>
  <c r="L444" i="7"/>
  <c r="P444" i="7"/>
  <c r="D445" i="7"/>
  <c r="H445" i="7"/>
  <c r="L445" i="7"/>
  <c r="P445" i="7"/>
  <c r="D446" i="7"/>
  <c r="H446" i="7"/>
  <c r="L446" i="7"/>
  <c r="P446" i="7"/>
  <c r="D447" i="7"/>
  <c r="H447" i="7"/>
  <c r="L447" i="7"/>
  <c r="P447" i="7"/>
  <c r="D448" i="7"/>
  <c r="H448" i="7"/>
  <c r="L448" i="7"/>
  <c r="P448" i="7"/>
  <c r="D449" i="7"/>
  <c r="H449" i="7"/>
  <c r="L449" i="7"/>
  <c r="P449" i="7"/>
  <c r="D450" i="7"/>
  <c r="H450" i="7"/>
  <c r="L450" i="7"/>
  <c r="P450" i="7"/>
  <c r="D451" i="7"/>
  <c r="H451" i="7"/>
  <c r="L451" i="7"/>
  <c r="P451" i="7"/>
  <c r="D452" i="7"/>
  <c r="H452" i="7"/>
  <c r="L452" i="7"/>
  <c r="P452" i="7"/>
  <c r="D454" i="7"/>
  <c r="H454" i="7"/>
  <c r="L454" i="7"/>
  <c r="P454" i="7"/>
  <c r="D455" i="7"/>
  <c r="H455" i="7"/>
  <c r="L455" i="7"/>
  <c r="P455" i="7"/>
  <c r="D456" i="7"/>
  <c r="H456" i="7"/>
  <c r="L456" i="7"/>
  <c r="P456" i="7"/>
  <c r="D458" i="7"/>
  <c r="H458" i="7"/>
  <c r="L458" i="7"/>
  <c r="P458" i="7"/>
  <c r="D459" i="7"/>
  <c r="H459" i="7"/>
  <c r="L459" i="7"/>
  <c r="P459" i="7"/>
  <c r="D460" i="7"/>
  <c r="H460" i="7"/>
  <c r="L460" i="7"/>
  <c r="P460" i="7"/>
  <c r="D461" i="7"/>
  <c r="H461" i="7"/>
  <c r="L461" i="7"/>
  <c r="P461" i="7"/>
  <c r="G462" i="7"/>
  <c r="K462" i="7"/>
  <c r="O462" i="7"/>
  <c r="G463" i="7"/>
  <c r="K463" i="7"/>
  <c r="O463" i="7"/>
  <c r="G464" i="7"/>
  <c r="K464" i="7"/>
  <c r="O464" i="7"/>
  <c r="G465" i="7"/>
  <c r="K465" i="7"/>
  <c r="O465" i="7"/>
  <c r="G466" i="7"/>
  <c r="K466" i="7"/>
  <c r="O466" i="7"/>
  <c r="G467" i="7"/>
  <c r="K467" i="7"/>
  <c r="O467" i="7"/>
  <c r="G469" i="7"/>
  <c r="K469" i="7"/>
  <c r="O469" i="7"/>
  <c r="G470" i="7"/>
  <c r="K470" i="7"/>
  <c r="O470" i="7"/>
  <c r="G471" i="7"/>
  <c r="K471" i="7"/>
  <c r="O471" i="7"/>
  <c r="G472" i="7"/>
  <c r="K472" i="7"/>
  <c r="O472" i="7"/>
  <c r="G473" i="7"/>
  <c r="K473" i="7"/>
  <c r="O473" i="7"/>
  <c r="G474" i="7"/>
  <c r="K474" i="7"/>
  <c r="E356" i="7"/>
  <c r="I356" i="7"/>
  <c r="M356" i="7"/>
  <c r="Q356" i="7"/>
  <c r="E357" i="7"/>
  <c r="I357" i="7"/>
  <c r="M357" i="7"/>
  <c r="Q357" i="7"/>
  <c r="E358" i="7"/>
  <c r="I358" i="7"/>
  <c r="M358" i="7"/>
  <c r="Q358" i="7"/>
  <c r="E359" i="7"/>
  <c r="I359" i="7"/>
  <c r="M359" i="7"/>
  <c r="Q359" i="7"/>
  <c r="E360" i="7"/>
  <c r="I360" i="7"/>
  <c r="M360" i="7"/>
  <c r="Q360" i="7"/>
  <c r="E361" i="7"/>
  <c r="M361" i="7"/>
  <c r="Q361" i="7"/>
  <c r="E364" i="7"/>
  <c r="I364" i="7"/>
  <c r="M364" i="7"/>
  <c r="Q364" i="7"/>
  <c r="E365" i="7"/>
  <c r="I365" i="7"/>
  <c r="M365" i="7"/>
  <c r="Q365" i="7"/>
  <c r="E366" i="7"/>
  <c r="I366" i="7"/>
  <c r="M366" i="7"/>
  <c r="Q366" i="7"/>
  <c r="E368" i="7"/>
  <c r="I368" i="7"/>
  <c r="M368" i="7"/>
  <c r="Q368" i="7"/>
  <c r="E369" i="7"/>
  <c r="I369" i="7"/>
  <c r="M369" i="7"/>
  <c r="Q369" i="7"/>
  <c r="E370" i="7"/>
  <c r="I370" i="7"/>
  <c r="M370" i="7"/>
  <c r="Q370" i="7"/>
  <c r="E371" i="7"/>
  <c r="I371" i="7"/>
  <c r="M371" i="7"/>
  <c r="Q371" i="7"/>
  <c r="E372" i="7"/>
  <c r="I372" i="7"/>
  <c r="M372" i="7"/>
  <c r="Q372" i="7"/>
  <c r="E373" i="7"/>
  <c r="I373" i="7"/>
  <c r="M373" i="7"/>
  <c r="Q373" i="7"/>
  <c r="E374" i="7"/>
  <c r="I374" i="7"/>
  <c r="M374" i="7"/>
  <c r="Q374" i="7"/>
  <c r="E375" i="7"/>
  <c r="I375" i="7"/>
  <c r="M375" i="7"/>
  <c r="Q375" i="7"/>
  <c r="E376" i="7"/>
  <c r="I376" i="7"/>
  <c r="M376" i="7"/>
  <c r="Q376" i="7"/>
  <c r="E377" i="7"/>
  <c r="I377" i="7"/>
  <c r="M377" i="7"/>
  <c r="Q377" i="7"/>
  <c r="E379" i="7"/>
  <c r="I379" i="7"/>
  <c r="M379" i="7"/>
  <c r="Q379" i="7"/>
  <c r="E380" i="7"/>
  <c r="I380" i="7"/>
  <c r="M380" i="7"/>
  <c r="Q380" i="7"/>
  <c r="E381" i="7"/>
  <c r="I381" i="7"/>
  <c r="M381" i="7"/>
  <c r="Q381" i="7"/>
  <c r="E382" i="7"/>
  <c r="I382" i="7"/>
  <c r="M382" i="7"/>
  <c r="Q382" i="7"/>
  <c r="E383" i="7"/>
  <c r="I383" i="7"/>
  <c r="M383" i="7"/>
  <c r="Q383" i="7"/>
  <c r="E384" i="7"/>
  <c r="I384" i="7"/>
  <c r="M384" i="7"/>
  <c r="Q384" i="7"/>
  <c r="E385" i="7"/>
  <c r="I385" i="7"/>
  <c r="M385" i="7"/>
  <c r="Q385" i="7"/>
  <c r="E386" i="7"/>
  <c r="I386" i="7"/>
  <c r="M386" i="7"/>
  <c r="Q386" i="7"/>
  <c r="E387" i="7"/>
  <c r="I387" i="7"/>
  <c r="M387" i="7"/>
  <c r="Q387" i="7"/>
  <c r="E388" i="7"/>
  <c r="I388" i="7"/>
  <c r="M388" i="7"/>
  <c r="Q388" i="7"/>
  <c r="E389" i="7"/>
  <c r="I389" i="7"/>
  <c r="M389" i="7"/>
  <c r="Q389" i="7"/>
  <c r="E390" i="7"/>
  <c r="I390" i="7"/>
  <c r="M390" i="7"/>
  <c r="Q390" i="7"/>
  <c r="E392" i="7"/>
  <c r="I392" i="7"/>
  <c r="M392" i="7"/>
  <c r="Q392" i="7"/>
  <c r="E393" i="7"/>
  <c r="I393" i="7"/>
  <c r="M393" i="7"/>
  <c r="Q393" i="7"/>
  <c r="E394" i="7"/>
  <c r="I394" i="7"/>
  <c r="M394" i="7"/>
  <c r="Q394" i="7"/>
  <c r="E396" i="7"/>
  <c r="I396" i="7"/>
  <c r="M396" i="7"/>
  <c r="Q396" i="7"/>
  <c r="E397" i="7"/>
  <c r="I397" i="7"/>
  <c r="M397" i="7"/>
  <c r="Q397" i="7"/>
  <c r="E398" i="7"/>
  <c r="I398" i="7"/>
  <c r="M398" i="7"/>
  <c r="Q398" i="7"/>
  <c r="E400" i="7"/>
  <c r="I400" i="7"/>
  <c r="M400" i="7"/>
  <c r="Q400" i="7"/>
  <c r="E401" i="7"/>
  <c r="I401" i="7"/>
  <c r="M401" i="7"/>
  <c r="Q401" i="7"/>
  <c r="E402" i="7"/>
  <c r="I402" i="7"/>
  <c r="M402" i="7"/>
  <c r="Q402" i="7"/>
  <c r="E403" i="7"/>
  <c r="I403" i="7"/>
  <c r="M403" i="7"/>
  <c r="Q403" i="7"/>
  <c r="E404" i="7"/>
  <c r="I404" i="7"/>
  <c r="M404" i="7"/>
  <c r="Q404" i="7"/>
  <c r="E405" i="7"/>
  <c r="I405" i="7"/>
  <c r="M405" i="7"/>
  <c r="Q405" i="7"/>
  <c r="E406" i="7"/>
  <c r="I406" i="7"/>
  <c r="M406" i="7"/>
  <c r="Q406" i="7"/>
  <c r="E407" i="7"/>
  <c r="I407" i="7"/>
  <c r="M407" i="7"/>
  <c r="Q407" i="7"/>
  <c r="E408" i="7"/>
  <c r="I408" i="7"/>
  <c r="M408" i="7"/>
  <c r="Q408" i="7"/>
  <c r="E409" i="7"/>
  <c r="I409" i="7"/>
  <c r="M409" i="7"/>
  <c r="Q409" i="7"/>
  <c r="E410" i="7"/>
  <c r="I410" i="7"/>
  <c r="M410" i="7"/>
  <c r="Q410" i="7"/>
  <c r="E411" i="7"/>
  <c r="I411" i="7"/>
  <c r="M411" i="7"/>
  <c r="Q411" i="7"/>
  <c r="E412" i="7"/>
  <c r="I412" i="7"/>
  <c r="M412" i="7"/>
  <c r="Q412" i="7"/>
  <c r="E415" i="7"/>
  <c r="I415" i="7"/>
  <c r="M415" i="7"/>
  <c r="Q415" i="7"/>
  <c r="E417" i="7"/>
  <c r="I417" i="7"/>
  <c r="M417" i="7"/>
  <c r="Q417" i="7"/>
  <c r="E420" i="7"/>
  <c r="I420" i="7"/>
  <c r="M420" i="7"/>
  <c r="Q420" i="7"/>
  <c r="E423" i="7"/>
  <c r="I423" i="7"/>
  <c r="M423" i="7"/>
  <c r="Q423" i="7"/>
  <c r="E425" i="7"/>
  <c r="I425" i="7"/>
  <c r="M425" i="7"/>
  <c r="Q425" i="7"/>
  <c r="E426" i="7"/>
  <c r="I426" i="7"/>
  <c r="M426" i="7"/>
  <c r="Q426" i="7"/>
  <c r="E427" i="7"/>
  <c r="I427" i="7"/>
  <c r="M427" i="7"/>
  <c r="Q427" i="7"/>
  <c r="E428" i="7"/>
  <c r="I428" i="7"/>
  <c r="M428" i="7"/>
  <c r="Q428" i="7"/>
  <c r="E430" i="7"/>
  <c r="I430" i="7"/>
  <c r="M430" i="7"/>
  <c r="Q430" i="7"/>
  <c r="E431" i="7"/>
  <c r="I431" i="7"/>
  <c r="M431" i="7"/>
  <c r="Q431" i="7"/>
  <c r="E432" i="7"/>
  <c r="I432" i="7"/>
  <c r="M432" i="7"/>
  <c r="Q432" i="7"/>
  <c r="E433" i="7"/>
  <c r="I433" i="7"/>
  <c r="M433" i="7"/>
  <c r="Q433" i="7"/>
  <c r="E434" i="7"/>
  <c r="I434" i="7"/>
  <c r="M434" i="7"/>
  <c r="Q434" i="7"/>
  <c r="E435" i="7"/>
  <c r="I435" i="7"/>
  <c r="M435" i="7"/>
  <c r="Q435" i="7"/>
  <c r="E436" i="7"/>
  <c r="I436" i="7"/>
  <c r="M436" i="7"/>
  <c r="Q436" i="7"/>
  <c r="E437" i="7"/>
  <c r="I437" i="7"/>
  <c r="M437" i="7"/>
  <c r="Q437" i="7"/>
  <c r="E438" i="7"/>
  <c r="I438" i="7"/>
  <c r="M438" i="7"/>
  <c r="Q438" i="7"/>
  <c r="E439" i="7"/>
  <c r="I439" i="7"/>
  <c r="M439" i="7"/>
  <c r="Q439" i="7"/>
  <c r="E441" i="7"/>
  <c r="I441" i="7"/>
  <c r="M441" i="7"/>
  <c r="Q441" i="7"/>
  <c r="E442" i="7"/>
  <c r="I442" i="7"/>
  <c r="M442" i="7"/>
  <c r="Q442" i="7"/>
  <c r="E443" i="7"/>
  <c r="I443" i="7"/>
  <c r="M443" i="7"/>
  <c r="Q443" i="7"/>
  <c r="E444" i="7"/>
  <c r="I444" i="7"/>
  <c r="M444" i="7"/>
  <c r="Q444" i="7"/>
  <c r="E445" i="7"/>
  <c r="I445" i="7"/>
  <c r="M445" i="7"/>
  <c r="Q445" i="7"/>
  <c r="E446" i="7"/>
  <c r="I446" i="7"/>
  <c r="M446" i="7"/>
  <c r="Q446" i="7"/>
  <c r="E447" i="7"/>
  <c r="I447" i="7"/>
  <c r="M447" i="7"/>
  <c r="Q447" i="7"/>
  <c r="E448" i="7"/>
  <c r="I448" i="7"/>
  <c r="M448" i="7"/>
  <c r="Q448" i="7"/>
  <c r="E449" i="7"/>
  <c r="I449" i="7"/>
  <c r="M449" i="7"/>
  <c r="Q449" i="7"/>
  <c r="E450" i="7"/>
  <c r="I450" i="7"/>
  <c r="M450" i="7"/>
  <c r="Q450" i="7"/>
  <c r="E451" i="7"/>
  <c r="I451" i="7"/>
  <c r="M451" i="7"/>
  <c r="Q451" i="7"/>
  <c r="E452" i="7"/>
  <c r="I452" i="7"/>
  <c r="M452" i="7"/>
  <c r="Q452" i="7"/>
  <c r="E454" i="7"/>
  <c r="I454" i="7"/>
  <c r="M454" i="7"/>
  <c r="Q454" i="7"/>
  <c r="E455" i="7"/>
  <c r="M455" i="7"/>
  <c r="Q455" i="7"/>
  <c r="E456" i="7"/>
  <c r="I456" i="7"/>
  <c r="M456" i="7"/>
  <c r="Q456" i="7"/>
  <c r="E458" i="7"/>
  <c r="I458" i="7"/>
  <c r="M458" i="7"/>
  <c r="Q458" i="7"/>
  <c r="E459" i="7"/>
  <c r="I459" i="7"/>
  <c r="M459" i="7"/>
  <c r="Q459" i="7"/>
  <c r="E460" i="7"/>
  <c r="I460" i="7"/>
  <c r="M460" i="7"/>
  <c r="Q460" i="7"/>
  <c r="E461" i="7"/>
  <c r="I461" i="7"/>
  <c r="M461" i="7"/>
  <c r="Q461" i="7"/>
  <c r="D462" i="7"/>
  <c r="H462" i="7"/>
  <c r="L462" i="7"/>
  <c r="P462" i="7"/>
  <c r="D463" i="7"/>
  <c r="H463" i="7"/>
  <c r="L463" i="7"/>
  <c r="P463" i="7"/>
  <c r="D464" i="7"/>
  <c r="H464" i="7"/>
  <c r="L464" i="7"/>
  <c r="P464" i="7"/>
  <c r="D465" i="7"/>
  <c r="H465" i="7"/>
  <c r="L465" i="7"/>
  <c r="P465" i="7"/>
  <c r="D466" i="7"/>
  <c r="H466" i="7"/>
  <c r="L466" i="7"/>
  <c r="P466" i="7"/>
  <c r="D467" i="7"/>
  <c r="H467" i="7"/>
  <c r="L467" i="7"/>
  <c r="P467" i="7"/>
  <c r="D469" i="7"/>
  <c r="H469" i="7"/>
  <c r="L469" i="7"/>
  <c r="P469" i="7"/>
  <c r="D470" i="7"/>
  <c r="H470" i="7"/>
  <c r="L470" i="7"/>
  <c r="P470" i="7"/>
  <c r="D471" i="7"/>
  <c r="H471" i="7"/>
  <c r="L471" i="7"/>
  <c r="P471" i="7"/>
  <c r="D472" i="7"/>
  <c r="H472" i="7"/>
  <c r="L472" i="7"/>
  <c r="P472" i="7"/>
  <c r="D473" i="7"/>
  <c r="H473" i="7"/>
  <c r="L473" i="7"/>
  <c r="P473" i="7"/>
  <c r="D474" i="7"/>
  <c r="H474" i="7"/>
  <c r="L474" i="7"/>
  <c r="P474" i="7"/>
  <c r="E476" i="7"/>
  <c r="I476" i="7"/>
  <c r="M476" i="7"/>
  <c r="Q476" i="7"/>
  <c r="E477" i="7"/>
  <c r="I477" i="7"/>
  <c r="M477" i="7"/>
  <c r="Q477" i="7"/>
  <c r="E478" i="7"/>
  <c r="I478" i="7"/>
  <c r="M478" i="7"/>
  <c r="Q478" i="7"/>
  <c r="E479" i="7"/>
  <c r="I479" i="7"/>
  <c r="M479" i="7"/>
  <c r="Q479" i="7"/>
  <c r="E480" i="7"/>
  <c r="I480" i="7"/>
  <c r="M480" i="7"/>
  <c r="Q480" i="7"/>
  <c r="E481" i="7"/>
  <c r="I481" i="7"/>
  <c r="M481" i="7"/>
  <c r="Q481" i="7"/>
  <c r="E482" i="7"/>
  <c r="I482" i="7"/>
  <c r="M482" i="7"/>
  <c r="Q482" i="7"/>
  <c r="E483" i="7"/>
  <c r="I483" i="7"/>
  <c r="M483" i="7"/>
  <c r="Q483" i="7"/>
  <c r="E484" i="7"/>
  <c r="I484" i="7"/>
  <c r="M484" i="7"/>
  <c r="Q484" i="7"/>
  <c r="E485" i="7"/>
  <c r="I485" i="7"/>
  <c r="M485" i="7"/>
  <c r="Q485" i="7"/>
  <c r="E486" i="7"/>
  <c r="I486" i="7"/>
  <c r="M486" i="7"/>
  <c r="Q486" i="7"/>
  <c r="E487" i="7"/>
  <c r="I487" i="7"/>
  <c r="M487" i="7"/>
  <c r="Q487" i="7"/>
  <c r="E488" i="7"/>
  <c r="I488" i="7"/>
  <c r="M488" i="7"/>
  <c r="Q488" i="7"/>
  <c r="E489" i="7"/>
  <c r="I489" i="7"/>
  <c r="M489" i="7"/>
  <c r="Q489" i="7"/>
  <c r="E490" i="7"/>
  <c r="I490" i="7"/>
  <c r="M490" i="7"/>
  <c r="Q490" i="7"/>
  <c r="E491" i="7"/>
  <c r="I491" i="7"/>
  <c r="M491" i="7"/>
  <c r="Q491" i="7"/>
  <c r="E492" i="7"/>
  <c r="I492" i="7"/>
  <c r="M492" i="7"/>
  <c r="Q492" i="7"/>
  <c r="E493" i="7"/>
  <c r="I493" i="7"/>
  <c r="M493" i="7"/>
  <c r="Q493" i="7"/>
  <c r="E494" i="7"/>
  <c r="I494" i="7"/>
  <c r="M494" i="7"/>
  <c r="Q494" i="7"/>
  <c r="E495" i="7"/>
  <c r="I495" i="7"/>
  <c r="M495" i="7"/>
  <c r="Q495" i="7"/>
  <c r="E496" i="7"/>
  <c r="I496" i="7"/>
  <c r="M496" i="7"/>
  <c r="Q496" i="7"/>
  <c r="E497" i="7"/>
  <c r="I497" i="7"/>
  <c r="M497" i="7"/>
  <c r="Q497" i="7"/>
  <c r="E499" i="7"/>
  <c r="I499" i="7"/>
  <c r="M499" i="7"/>
  <c r="Q499" i="7"/>
  <c r="E500" i="7"/>
  <c r="I500" i="7"/>
  <c r="M500" i="7"/>
  <c r="Q500" i="7"/>
  <c r="E501" i="7"/>
  <c r="I501" i="7"/>
  <c r="M501" i="7"/>
  <c r="Q501" i="7"/>
  <c r="E502" i="7"/>
  <c r="I502" i="7"/>
  <c r="M502" i="7"/>
  <c r="Q502" i="7"/>
  <c r="E503" i="7"/>
  <c r="I503" i="7"/>
  <c r="M503" i="7"/>
  <c r="Q503" i="7"/>
  <c r="E504" i="7"/>
  <c r="I504" i="7"/>
  <c r="M504" i="7"/>
  <c r="Q504" i="7"/>
  <c r="E505" i="7"/>
  <c r="I505" i="7"/>
  <c r="M505" i="7"/>
  <c r="Q505" i="7"/>
  <c r="E506" i="7"/>
  <c r="I506" i="7"/>
  <c r="M506" i="7"/>
  <c r="Q506" i="7"/>
  <c r="E507" i="7"/>
  <c r="I507" i="7"/>
  <c r="M507" i="7"/>
  <c r="Q507" i="7"/>
  <c r="E508" i="7"/>
  <c r="I508" i="7"/>
  <c r="M508" i="7"/>
  <c r="Q508" i="7"/>
  <c r="E509" i="7"/>
  <c r="I509" i="7"/>
  <c r="M509" i="7"/>
  <c r="Q509" i="7"/>
  <c r="E510" i="7"/>
  <c r="I510" i="7"/>
  <c r="M510" i="7"/>
  <c r="Q510" i="7"/>
  <c r="E511" i="7"/>
  <c r="I511" i="7"/>
  <c r="M511" i="7"/>
  <c r="Q511" i="7"/>
  <c r="E512" i="7"/>
  <c r="I512" i="7"/>
  <c r="M512" i="7"/>
  <c r="Q512" i="7"/>
  <c r="E513" i="7"/>
  <c r="I513" i="7"/>
  <c r="M513" i="7"/>
  <c r="Q513" i="7"/>
  <c r="E514" i="7"/>
  <c r="I514" i="7"/>
  <c r="M514" i="7"/>
  <c r="Q514" i="7"/>
  <c r="E515" i="7"/>
  <c r="I515" i="7"/>
  <c r="M515" i="7"/>
  <c r="Q515" i="7"/>
  <c r="E516" i="7"/>
  <c r="I516" i="7"/>
  <c r="M516" i="7"/>
  <c r="Q516" i="7"/>
  <c r="F4" i="7"/>
  <c r="J4" i="7"/>
  <c r="N4" i="7"/>
  <c r="R4" i="7"/>
  <c r="W4" i="7"/>
  <c r="E4" i="4"/>
  <c r="I4" i="4"/>
  <c r="M4" i="4"/>
  <c r="Q4" i="4"/>
  <c r="G5" i="4"/>
  <c r="K5" i="4"/>
  <c r="O5" i="4"/>
  <c r="D6" i="4"/>
  <c r="H6" i="4"/>
  <c r="L6" i="4"/>
  <c r="P6" i="4"/>
  <c r="F8" i="4"/>
  <c r="J8" i="4"/>
  <c r="N8" i="4"/>
  <c r="G9" i="4"/>
  <c r="K9" i="4"/>
  <c r="O9" i="4"/>
  <c r="D10" i="4"/>
  <c r="H10" i="4"/>
  <c r="L10" i="4"/>
  <c r="P10" i="4"/>
  <c r="E12" i="4"/>
  <c r="I12" i="4"/>
  <c r="M12" i="4"/>
  <c r="Q12" i="4"/>
  <c r="F14" i="4"/>
  <c r="J14" i="4"/>
  <c r="N14" i="4"/>
  <c r="G15" i="4"/>
  <c r="K15" i="4"/>
  <c r="O15" i="4"/>
  <c r="D16" i="4"/>
  <c r="H16" i="4"/>
  <c r="L16" i="4"/>
  <c r="P16" i="4"/>
  <c r="E18" i="4"/>
  <c r="I18" i="4"/>
  <c r="M18" i="4"/>
  <c r="Q18" i="4"/>
  <c r="F19" i="4"/>
  <c r="J19" i="4"/>
  <c r="N19" i="4"/>
  <c r="G20" i="4"/>
  <c r="K20" i="4"/>
  <c r="O20" i="4"/>
  <c r="D21" i="4"/>
  <c r="H21" i="4"/>
  <c r="L21" i="4"/>
  <c r="P21" i="4"/>
  <c r="E22" i="4"/>
  <c r="I22" i="4"/>
  <c r="M22" i="4"/>
  <c r="Q22" i="4"/>
  <c r="F24" i="4"/>
  <c r="J24" i="4"/>
  <c r="N24" i="4"/>
  <c r="G25" i="4"/>
  <c r="K25" i="4"/>
  <c r="O25" i="4"/>
  <c r="D26" i="4"/>
  <c r="H26" i="4"/>
  <c r="L26" i="4"/>
  <c r="P26" i="4"/>
  <c r="E27" i="4"/>
  <c r="I27" i="4"/>
  <c r="M27" i="4"/>
  <c r="Q27" i="4"/>
  <c r="F28" i="4"/>
  <c r="J28" i="4"/>
  <c r="N28" i="4"/>
  <c r="G29" i="4"/>
  <c r="K29" i="4"/>
  <c r="O29" i="4"/>
  <c r="D31" i="4"/>
  <c r="H31" i="4"/>
  <c r="L31" i="4"/>
  <c r="P31" i="4"/>
  <c r="E32" i="4"/>
  <c r="I32" i="4"/>
  <c r="M32" i="4"/>
  <c r="Q32" i="4"/>
  <c r="F33" i="4"/>
  <c r="J33" i="4"/>
  <c r="N33" i="4"/>
  <c r="G34" i="4"/>
  <c r="K34" i="4"/>
  <c r="O34" i="4"/>
  <c r="D35" i="4"/>
  <c r="H35" i="4"/>
  <c r="L35" i="4"/>
  <c r="P35" i="4"/>
  <c r="E36" i="4"/>
  <c r="I36" i="4"/>
  <c r="M36" i="4"/>
  <c r="Q36" i="4"/>
  <c r="F37" i="4"/>
  <c r="J37" i="4"/>
  <c r="N37" i="4"/>
  <c r="G38" i="4"/>
  <c r="K38" i="4"/>
  <c r="O38" i="4"/>
  <c r="D39" i="4"/>
  <c r="H39" i="4"/>
  <c r="L39" i="4"/>
  <c r="P39" i="4"/>
  <c r="E40" i="4"/>
  <c r="I40" i="4"/>
  <c r="M40" i="4"/>
  <c r="Q40" i="4"/>
  <c r="F41" i="4"/>
  <c r="J41" i="4"/>
  <c r="N41" i="4"/>
  <c r="G42" i="4"/>
  <c r="K42" i="4"/>
  <c r="O42" i="4"/>
  <c r="D43" i="4"/>
  <c r="H43" i="4"/>
  <c r="L43" i="4"/>
  <c r="P43" i="4"/>
  <c r="E44" i="4"/>
  <c r="I44" i="4"/>
  <c r="M44" i="4"/>
  <c r="Q44" i="4"/>
  <c r="G45" i="4"/>
  <c r="K45" i="4"/>
  <c r="O45" i="4"/>
  <c r="D46" i="4"/>
  <c r="H46" i="4"/>
  <c r="L46" i="4"/>
  <c r="P46" i="4"/>
  <c r="F47" i="4"/>
  <c r="J47" i="4"/>
  <c r="N47" i="4"/>
  <c r="G48" i="4"/>
  <c r="K48" i="4"/>
  <c r="O48" i="4"/>
  <c r="E50" i="4"/>
  <c r="I50" i="4"/>
  <c r="M50" i="4"/>
  <c r="Q50" i="4"/>
  <c r="F51" i="4"/>
  <c r="J51" i="4"/>
  <c r="N51" i="4"/>
  <c r="G52" i="4"/>
  <c r="K52" i="4"/>
  <c r="O52" i="4"/>
  <c r="D53" i="4"/>
  <c r="H53" i="4"/>
  <c r="L53" i="4"/>
  <c r="P53" i="4"/>
  <c r="E54" i="4"/>
  <c r="I54" i="4"/>
  <c r="M54" i="4"/>
  <c r="Q54" i="4"/>
  <c r="F55" i="4"/>
  <c r="J55" i="4"/>
  <c r="N55" i="4"/>
  <c r="G56" i="4"/>
  <c r="K56" i="4"/>
  <c r="O56" i="4"/>
  <c r="D57" i="4"/>
  <c r="H57" i="4"/>
  <c r="L57" i="4"/>
  <c r="P57" i="4"/>
  <c r="E58" i="4"/>
  <c r="I58" i="4"/>
  <c r="M58" i="4"/>
  <c r="Q58" i="4"/>
  <c r="F59" i="4"/>
  <c r="J59" i="4"/>
  <c r="N59" i="4"/>
  <c r="G60" i="4"/>
  <c r="K60" i="4"/>
  <c r="O60" i="4"/>
  <c r="D61" i="4"/>
  <c r="H61" i="4"/>
  <c r="L61" i="4"/>
  <c r="P61" i="4"/>
  <c r="E62" i="4"/>
  <c r="I62" i="4"/>
  <c r="M62" i="4"/>
  <c r="Q62" i="4"/>
  <c r="F63" i="4"/>
  <c r="J63" i="4"/>
  <c r="N63" i="4"/>
  <c r="G64" i="4"/>
  <c r="K64" i="4"/>
  <c r="O64" i="4"/>
  <c r="D65" i="4"/>
  <c r="H65" i="4"/>
  <c r="L65" i="4"/>
  <c r="P65" i="4"/>
  <c r="E67" i="4"/>
  <c r="I67" i="4"/>
  <c r="M67" i="4"/>
  <c r="Q67" i="4"/>
  <c r="F68" i="4"/>
  <c r="J68" i="4"/>
  <c r="N68" i="4"/>
  <c r="G69" i="4"/>
  <c r="K69" i="4"/>
  <c r="O69" i="4"/>
  <c r="E72" i="4"/>
  <c r="I72" i="4"/>
  <c r="M72" i="4"/>
  <c r="Q72" i="4"/>
  <c r="F73" i="4"/>
  <c r="J73" i="4"/>
  <c r="N73" i="4"/>
  <c r="G74" i="4"/>
  <c r="K74" i="4"/>
  <c r="O74" i="4"/>
  <c r="E77" i="4"/>
  <c r="I77" i="4"/>
  <c r="M77" i="4"/>
  <c r="Q77" i="4"/>
  <c r="F78" i="4"/>
  <c r="J78" i="4"/>
  <c r="N78" i="4"/>
  <c r="G79" i="4"/>
  <c r="K79" i="4"/>
  <c r="O79" i="4"/>
  <c r="D80" i="4"/>
  <c r="H80" i="4"/>
  <c r="R474" i="7"/>
  <c r="AA466" i="7"/>
  <c r="AA467" i="7"/>
  <c r="F476" i="7"/>
  <c r="J476" i="7"/>
  <c r="N476" i="7"/>
  <c r="R476" i="7"/>
  <c r="AA469" i="7"/>
  <c r="F477" i="7"/>
  <c r="J477" i="7"/>
  <c r="N477" i="7"/>
  <c r="R477" i="7"/>
  <c r="AA470" i="7"/>
  <c r="F478" i="7"/>
  <c r="J478" i="7"/>
  <c r="N478" i="7"/>
  <c r="R478" i="7"/>
  <c r="AA471" i="7"/>
  <c r="F479" i="7"/>
  <c r="J479" i="7"/>
  <c r="N479" i="7"/>
  <c r="R479" i="7"/>
  <c r="AA472" i="7"/>
  <c r="F480" i="7"/>
  <c r="J480" i="7"/>
  <c r="N480" i="7"/>
  <c r="R480" i="7"/>
  <c r="AA473" i="7"/>
  <c r="F481" i="7"/>
  <c r="J481" i="7"/>
  <c r="N481" i="7"/>
  <c r="R481" i="7"/>
  <c r="AA474" i="7"/>
  <c r="F482" i="7"/>
  <c r="J482" i="7"/>
  <c r="N482" i="7"/>
  <c r="R482" i="7"/>
  <c r="AA475" i="7"/>
  <c r="F483" i="7"/>
  <c r="J483" i="7"/>
  <c r="N483" i="7"/>
  <c r="R483" i="7"/>
  <c r="AA476" i="7"/>
  <c r="F484" i="7"/>
  <c r="J484" i="7"/>
  <c r="N484" i="7"/>
  <c r="R484" i="7"/>
  <c r="AA477" i="7"/>
  <c r="F485" i="7"/>
  <c r="J485" i="7"/>
  <c r="N485" i="7"/>
  <c r="R485" i="7"/>
  <c r="AA478" i="7"/>
  <c r="F486" i="7"/>
  <c r="J486" i="7"/>
  <c r="N486" i="7"/>
  <c r="R486" i="7"/>
  <c r="AA479" i="7"/>
  <c r="F487" i="7"/>
  <c r="J487" i="7"/>
  <c r="N487" i="7"/>
  <c r="R487" i="7"/>
  <c r="AA480" i="7"/>
  <c r="F488" i="7"/>
  <c r="J488" i="7"/>
  <c r="N488" i="7"/>
  <c r="R488" i="7"/>
  <c r="AA481" i="7"/>
  <c r="F489" i="7"/>
  <c r="J489" i="7"/>
  <c r="N489" i="7"/>
  <c r="R489" i="7"/>
  <c r="AA482" i="7"/>
  <c r="F490" i="7"/>
  <c r="J490" i="7"/>
  <c r="N490" i="7"/>
  <c r="R490" i="7"/>
  <c r="AA483" i="7"/>
  <c r="F491" i="7"/>
  <c r="J491" i="7"/>
  <c r="N491" i="7"/>
  <c r="R491" i="7"/>
  <c r="AA484" i="7"/>
  <c r="F492" i="7"/>
  <c r="J492" i="7"/>
  <c r="N492" i="7"/>
  <c r="R492" i="7"/>
  <c r="AA485" i="7"/>
  <c r="F493" i="7"/>
  <c r="J493" i="7"/>
  <c r="N493" i="7"/>
  <c r="R493" i="7"/>
  <c r="AA486" i="7"/>
  <c r="F494" i="7"/>
  <c r="J494" i="7"/>
  <c r="N494" i="7"/>
  <c r="R494" i="7"/>
  <c r="AA487" i="7"/>
  <c r="F495" i="7"/>
  <c r="J495" i="7"/>
  <c r="N495" i="7"/>
  <c r="R495" i="7"/>
  <c r="AA488" i="7"/>
  <c r="F496" i="7"/>
  <c r="J496" i="7"/>
  <c r="N496" i="7"/>
  <c r="R496" i="7"/>
  <c r="AA489" i="7"/>
  <c r="F497" i="7"/>
  <c r="J497" i="7"/>
  <c r="N497" i="7"/>
  <c r="R497" i="7"/>
  <c r="AA490" i="7"/>
  <c r="AA491" i="7"/>
  <c r="F499" i="7"/>
  <c r="J499" i="7"/>
  <c r="N499" i="7"/>
  <c r="R499" i="7"/>
  <c r="AA492" i="7"/>
  <c r="F500" i="7"/>
  <c r="J500" i="7"/>
  <c r="N500" i="7"/>
  <c r="R500" i="7"/>
  <c r="AA493" i="7"/>
  <c r="F501" i="7"/>
  <c r="J501" i="7"/>
  <c r="N501" i="7"/>
  <c r="R501" i="7"/>
  <c r="AA494" i="7"/>
  <c r="F502" i="7"/>
  <c r="J502" i="7"/>
  <c r="N502" i="7"/>
  <c r="R502" i="7"/>
  <c r="AA495" i="7"/>
  <c r="F503" i="7"/>
  <c r="J503" i="7"/>
  <c r="N503" i="7"/>
  <c r="R503" i="7"/>
  <c r="AA496" i="7"/>
  <c r="F504" i="7"/>
  <c r="J504" i="7"/>
  <c r="N504" i="7"/>
  <c r="R504" i="7"/>
  <c r="AA497" i="7"/>
  <c r="F505" i="7"/>
  <c r="J505" i="7"/>
  <c r="N505" i="7"/>
  <c r="R505" i="7"/>
  <c r="AA498" i="7"/>
  <c r="F506" i="7"/>
  <c r="J506" i="7"/>
  <c r="N506" i="7"/>
  <c r="R506" i="7"/>
  <c r="AA499" i="7"/>
  <c r="F507" i="7"/>
  <c r="J507" i="7"/>
  <c r="N507" i="7"/>
  <c r="R507" i="7"/>
  <c r="AA500" i="7"/>
  <c r="F508" i="7"/>
  <c r="J508" i="7"/>
  <c r="N508" i="7"/>
  <c r="R508" i="7"/>
  <c r="AA501" i="7"/>
  <c r="F509" i="7"/>
  <c r="J509" i="7"/>
  <c r="N509" i="7"/>
  <c r="R509" i="7"/>
  <c r="AA502" i="7"/>
  <c r="F510" i="7"/>
  <c r="J510" i="7"/>
  <c r="N510" i="7"/>
  <c r="R510" i="7"/>
  <c r="AA503" i="7"/>
  <c r="F511" i="7"/>
  <c r="J511" i="7"/>
  <c r="N511" i="7"/>
  <c r="R511" i="7"/>
  <c r="AA504" i="7"/>
  <c r="F512" i="7"/>
  <c r="J512" i="7"/>
  <c r="N512" i="7"/>
  <c r="R512" i="7"/>
  <c r="AA505" i="7"/>
  <c r="F513" i="7"/>
  <c r="J513" i="7"/>
  <c r="N513" i="7"/>
  <c r="R513" i="7"/>
  <c r="AA506" i="7"/>
  <c r="F514" i="7"/>
  <c r="J514" i="7"/>
  <c r="N514" i="7"/>
  <c r="R514" i="7"/>
  <c r="AA507" i="7"/>
  <c r="F515" i="7"/>
  <c r="J515" i="7"/>
  <c r="N515" i="7"/>
  <c r="R515" i="7"/>
  <c r="AA508" i="7"/>
  <c r="F516" i="7"/>
  <c r="J516" i="7"/>
  <c r="N516" i="7"/>
  <c r="R516" i="7"/>
  <c r="AA509" i="7"/>
  <c r="AA510" i="7"/>
  <c r="G4" i="7"/>
  <c r="K4" i="7"/>
  <c r="O4" i="7"/>
  <c r="S4" i="7"/>
  <c r="F4" i="4"/>
  <c r="J4" i="4"/>
  <c r="N4" i="4"/>
  <c r="R4" i="4"/>
  <c r="D5" i="4"/>
  <c r="H5" i="4"/>
  <c r="L5" i="4"/>
  <c r="P5" i="4"/>
  <c r="E6" i="4"/>
  <c r="I6" i="4"/>
  <c r="M6" i="4"/>
  <c r="Q6" i="4"/>
  <c r="G8" i="4"/>
  <c r="K8" i="4"/>
  <c r="O8" i="4"/>
  <c r="D9" i="4"/>
  <c r="H9" i="4"/>
  <c r="L9" i="4"/>
  <c r="P9" i="4"/>
  <c r="E10" i="4"/>
  <c r="I10" i="4"/>
  <c r="M10" i="4"/>
  <c r="Q10" i="4"/>
  <c r="F12" i="4"/>
  <c r="J12" i="4"/>
  <c r="N12" i="4"/>
  <c r="G14" i="4"/>
  <c r="K14" i="4"/>
  <c r="O14" i="4"/>
  <c r="D15" i="4"/>
  <c r="H15" i="4"/>
  <c r="L15" i="4"/>
  <c r="P15" i="4"/>
  <c r="E16" i="4"/>
  <c r="I16" i="4"/>
  <c r="M16" i="4"/>
  <c r="Q16" i="4"/>
  <c r="F18" i="4"/>
  <c r="J18" i="4"/>
  <c r="N18" i="4"/>
  <c r="G19" i="4"/>
  <c r="K19" i="4"/>
  <c r="O19" i="4"/>
  <c r="D20" i="4"/>
  <c r="H20" i="4"/>
  <c r="L20" i="4"/>
  <c r="P20" i="4"/>
  <c r="E21" i="4"/>
  <c r="I21" i="4"/>
  <c r="M21" i="4"/>
  <c r="Q21" i="4"/>
  <c r="F22" i="4"/>
  <c r="J22" i="4"/>
  <c r="N22" i="4"/>
  <c r="G24" i="4"/>
  <c r="K24" i="4"/>
  <c r="O24" i="4"/>
  <c r="D25" i="4"/>
  <c r="H25" i="4"/>
  <c r="L25" i="4"/>
  <c r="P25" i="4"/>
  <c r="E26" i="4"/>
  <c r="I26" i="4"/>
  <c r="M26" i="4"/>
  <c r="Q26" i="4"/>
  <c r="F27" i="4"/>
  <c r="J27" i="4"/>
  <c r="N27" i="4"/>
  <c r="G28" i="4"/>
  <c r="K28" i="4"/>
  <c r="O28" i="4"/>
  <c r="D29" i="4"/>
  <c r="H29" i="4"/>
  <c r="L29" i="4"/>
  <c r="P29" i="4"/>
  <c r="E31" i="4"/>
  <c r="I31" i="4"/>
  <c r="M31" i="4"/>
  <c r="Q31" i="4"/>
  <c r="F32" i="4"/>
  <c r="J32" i="4"/>
  <c r="N32" i="4"/>
  <c r="G33" i="4"/>
  <c r="K33" i="4"/>
  <c r="O33" i="4"/>
  <c r="D34" i="4"/>
  <c r="H34" i="4"/>
  <c r="L34" i="4"/>
  <c r="P34" i="4"/>
  <c r="E35" i="4"/>
  <c r="I35" i="4"/>
  <c r="M35" i="4"/>
  <c r="Q35" i="4"/>
  <c r="F36" i="4"/>
  <c r="J36" i="4"/>
  <c r="N36" i="4"/>
  <c r="G37" i="4"/>
  <c r="K37" i="4"/>
  <c r="O37" i="4"/>
  <c r="D38" i="4"/>
  <c r="H38" i="4"/>
  <c r="L38" i="4"/>
  <c r="P38" i="4"/>
  <c r="E39" i="4"/>
  <c r="I39" i="4"/>
  <c r="M39" i="4"/>
  <c r="Q39" i="4"/>
  <c r="F40" i="4"/>
  <c r="J40" i="4"/>
  <c r="N40" i="4"/>
  <c r="G41" i="4"/>
  <c r="K41" i="4"/>
  <c r="O41" i="4"/>
  <c r="D42" i="4"/>
  <c r="H42" i="4"/>
  <c r="L42" i="4"/>
  <c r="P42" i="4"/>
  <c r="E43" i="4"/>
  <c r="I43" i="4"/>
  <c r="M43" i="4"/>
  <c r="Q43" i="4"/>
  <c r="F44" i="4"/>
  <c r="J44" i="4"/>
  <c r="N44" i="4"/>
  <c r="D45" i="4"/>
  <c r="H45" i="4"/>
  <c r="L45" i="4"/>
  <c r="P45" i="4"/>
  <c r="E46" i="4"/>
  <c r="I46" i="4"/>
  <c r="M46" i="4"/>
  <c r="Q46" i="4"/>
  <c r="G47" i="4"/>
  <c r="K47" i="4"/>
  <c r="O47" i="4"/>
  <c r="D48" i="4"/>
  <c r="H48" i="4"/>
  <c r="L48" i="4"/>
  <c r="P48" i="4"/>
  <c r="F50" i="4"/>
  <c r="J50" i="4"/>
  <c r="N50" i="4"/>
  <c r="G51" i="4"/>
  <c r="K51" i="4"/>
  <c r="O51" i="4"/>
  <c r="D52" i="4"/>
  <c r="H52" i="4"/>
  <c r="L52" i="4"/>
  <c r="P52" i="4"/>
  <c r="E53" i="4"/>
  <c r="I53" i="4"/>
  <c r="M53" i="4"/>
  <c r="Q53" i="4"/>
  <c r="F54" i="4"/>
  <c r="J54" i="4"/>
  <c r="N54" i="4"/>
  <c r="G55" i="4"/>
  <c r="K55" i="4"/>
  <c r="O55" i="4"/>
  <c r="D56" i="4"/>
  <c r="H56" i="4"/>
  <c r="L56" i="4"/>
  <c r="P56" i="4"/>
  <c r="E57" i="4"/>
  <c r="I57" i="4"/>
  <c r="M57" i="4"/>
  <c r="Q57" i="4"/>
  <c r="F58" i="4"/>
  <c r="J58" i="4"/>
  <c r="N58" i="4"/>
  <c r="G59" i="4"/>
  <c r="K59" i="4"/>
  <c r="O59" i="4"/>
  <c r="D60" i="4"/>
  <c r="H60" i="4"/>
  <c r="L60" i="4"/>
  <c r="P60" i="4"/>
  <c r="E61" i="4"/>
  <c r="I61" i="4"/>
  <c r="M61" i="4"/>
  <c r="Q61" i="4"/>
  <c r="F62" i="4"/>
  <c r="J62" i="4"/>
  <c r="N62" i="4"/>
  <c r="G63" i="4"/>
  <c r="K63" i="4"/>
  <c r="O63" i="4"/>
  <c r="D64" i="4"/>
  <c r="H64" i="4"/>
  <c r="L64" i="4"/>
  <c r="P64" i="4"/>
  <c r="E65" i="4"/>
  <c r="I65" i="4"/>
  <c r="M65" i="4"/>
  <c r="Q65" i="4"/>
  <c r="F67" i="4"/>
  <c r="J67" i="4"/>
  <c r="N67" i="4"/>
  <c r="G68" i="4"/>
  <c r="K68" i="4"/>
  <c r="O68" i="4"/>
  <c r="D69" i="4"/>
  <c r="H69" i="4"/>
  <c r="L69" i="4"/>
  <c r="P69" i="4"/>
  <c r="F72" i="4"/>
  <c r="J72" i="4"/>
  <c r="N72" i="4"/>
  <c r="G73" i="4"/>
  <c r="K73" i="4"/>
  <c r="O73" i="4"/>
  <c r="D74" i="4"/>
  <c r="H74" i="4"/>
  <c r="L74" i="4"/>
  <c r="P74" i="4"/>
  <c r="Q75" i="4"/>
  <c r="F77" i="4"/>
  <c r="J77" i="4"/>
  <c r="N77" i="4"/>
  <c r="G78" i="4"/>
  <c r="K78" i="4"/>
  <c r="O78" i="4"/>
  <c r="D79" i="4"/>
  <c r="H79" i="4"/>
  <c r="L79" i="4"/>
  <c r="P79" i="4"/>
  <c r="N474" i="7"/>
  <c r="G476" i="7"/>
  <c r="K476" i="7"/>
  <c r="O476" i="7"/>
  <c r="G477" i="7"/>
  <c r="K477" i="7"/>
  <c r="O477" i="7"/>
  <c r="G478" i="7"/>
  <c r="K478" i="7"/>
  <c r="O478" i="7"/>
  <c r="G479" i="7"/>
  <c r="K479" i="7"/>
  <c r="O479" i="7"/>
  <c r="G480" i="7"/>
  <c r="K480" i="7"/>
  <c r="O480" i="7"/>
  <c r="G481" i="7"/>
  <c r="K481" i="7"/>
  <c r="O481" i="7"/>
  <c r="G482" i="7"/>
  <c r="K482" i="7"/>
  <c r="O482" i="7"/>
  <c r="G483" i="7"/>
  <c r="K483" i="7"/>
  <c r="O483" i="7"/>
  <c r="G484" i="7"/>
  <c r="K484" i="7"/>
  <c r="O484" i="7"/>
  <c r="G485" i="7"/>
  <c r="K485" i="7"/>
  <c r="O485" i="7"/>
  <c r="G486" i="7"/>
  <c r="K486" i="7"/>
  <c r="O486" i="7"/>
  <c r="G487" i="7"/>
  <c r="K487" i="7"/>
  <c r="O487" i="7"/>
  <c r="G488" i="7"/>
  <c r="K488" i="7"/>
  <c r="O488" i="7"/>
  <c r="G489" i="7"/>
  <c r="K489" i="7"/>
  <c r="O489" i="7"/>
  <c r="G490" i="7"/>
  <c r="K490" i="7"/>
  <c r="O490" i="7"/>
  <c r="G491" i="7"/>
  <c r="K491" i="7"/>
  <c r="O491" i="7"/>
  <c r="G492" i="7"/>
  <c r="K492" i="7"/>
  <c r="O492" i="7"/>
  <c r="G493" i="7"/>
  <c r="K493" i="7"/>
  <c r="O493" i="7"/>
  <c r="G494" i="7"/>
  <c r="K494" i="7"/>
  <c r="O494" i="7"/>
  <c r="G495" i="7"/>
  <c r="K495" i="7"/>
  <c r="O495" i="7"/>
  <c r="G496" i="7"/>
  <c r="K496" i="7"/>
  <c r="O496" i="7"/>
  <c r="G497" i="7"/>
  <c r="K497" i="7"/>
  <c r="O497" i="7"/>
  <c r="G499" i="7"/>
  <c r="K499" i="7"/>
  <c r="O499" i="7"/>
  <c r="G500" i="7"/>
  <c r="K500" i="7"/>
  <c r="O500" i="7"/>
  <c r="G501" i="7"/>
  <c r="K501" i="7"/>
  <c r="O501" i="7"/>
  <c r="G502" i="7"/>
  <c r="K502" i="7"/>
  <c r="O502" i="7"/>
  <c r="G503" i="7"/>
  <c r="K503" i="7"/>
  <c r="O503" i="7"/>
  <c r="G504" i="7"/>
  <c r="K504" i="7"/>
  <c r="O504" i="7"/>
  <c r="G505" i="7"/>
  <c r="K505" i="7"/>
  <c r="O505" i="7"/>
  <c r="G506" i="7"/>
  <c r="K506" i="7"/>
  <c r="O506" i="7"/>
  <c r="G507" i="7"/>
  <c r="K507" i="7"/>
  <c r="O507" i="7"/>
  <c r="G508" i="7"/>
  <c r="K508" i="7"/>
  <c r="O508" i="7"/>
  <c r="G509" i="7"/>
  <c r="K509" i="7"/>
  <c r="O509" i="7"/>
  <c r="G510" i="7"/>
  <c r="K510" i="7"/>
  <c r="O510" i="7"/>
  <c r="G511" i="7"/>
  <c r="K511" i="7"/>
  <c r="O511" i="7"/>
  <c r="G512" i="7"/>
  <c r="K512" i="7"/>
  <c r="O512" i="7"/>
  <c r="G513" i="7"/>
  <c r="K513" i="7"/>
  <c r="O513" i="7"/>
  <c r="G514" i="7"/>
  <c r="K514" i="7"/>
  <c r="O514" i="7"/>
  <c r="G515" i="7"/>
  <c r="K515" i="7"/>
  <c r="O515" i="7"/>
  <c r="G516" i="7"/>
  <c r="K516" i="7"/>
  <c r="O516" i="7"/>
  <c r="D4" i="7"/>
  <c r="H4" i="7"/>
  <c r="L4" i="7"/>
  <c r="P4" i="7"/>
  <c r="T4" i="7"/>
  <c r="G4" i="4"/>
  <c r="K4" i="4"/>
  <c r="O4" i="4"/>
  <c r="S4" i="4"/>
  <c r="E5" i="4"/>
  <c r="I5" i="4"/>
  <c r="M5" i="4"/>
  <c r="Q5" i="4"/>
  <c r="F6" i="4"/>
  <c r="J6" i="4"/>
  <c r="N6" i="4"/>
  <c r="D8" i="4"/>
  <c r="H8" i="4"/>
  <c r="L8" i="4"/>
  <c r="P8" i="4"/>
  <c r="E9" i="4"/>
  <c r="I9" i="4"/>
  <c r="M9" i="4"/>
  <c r="Q9" i="4"/>
  <c r="F10" i="4"/>
  <c r="J10" i="4"/>
  <c r="N10" i="4"/>
  <c r="G12" i="4"/>
  <c r="K12" i="4"/>
  <c r="O12" i="4"/>
  <c r="D14" i="4"/>
  <c r="H14" i="4"/>
  <c r="L14" i="4"/>
  <c r="P14" i="4"/>
  <c r="E15" i="4"/>
  <c r="I15" i="4"/>
  <c r="M15" i="4"/>
  <c r="Q15" i="4"/>
  <c r="F16" i="4"/>
  <c r="J16" i="4"/>
  <c r="N16" i="4"/>
  <c r="G18" i="4"/>
  <c r="K18" i="4"/>
  <c r="O18" i="4"/>
  <c r="D19" i="4"/>
  <c r="H19" i="4"/>
  <c r="L19" i="4"/>
  <c r="P19" i="4"/>
  <c r="E20" i="4"/>
  <c r="I20" i="4"/>
  <c r="M20" i="4"/>
  <c r="Q20" i="4"/>
  <c r="F21" i="4"/>
  <c r="J21" i="4"/>
  <c r="N21" i="4"/>
  <c r="G22" i="4"/>
  <c r="K22" i="4"/>
  <c r="O22" i="4"/>
  <c r="D24" i="4"/>
  <c r="H24" i="4"/>
  <c r="L24" i="4"/>
  <c r="P24" i="4"/>
  <c r="E25" i="4"/>
  <c r="I25" i="4"/>
  <c r="M25" i="4"/>
  <c r="Q25" i="4"/>
  <c r="F26" i="4"/>
  <c r="J26" i="4"/>
  <c r="N26" i="4"/>
  <c r="G27" i="4"/>
  <c r="O27" i="4"/>
  <c r="D28" i="4"/>
  <c r="H28" i="4"/>
  <c r="L28" i="4"/>
  <c r="P28" i="4"/>
  <c r="E29" i="4"/>
  <c r="I29" i="4"/>
  <c r="M29" i="4"/>
  <c r="Q29" i="4"/>
  <c r="F31" i="4"/>
  <c r="J31" i="4"/>
  <c r="N31" i="4"/>
  <c r="G32" i="4"/>
  <c r="K32" i="4"/>
  <c r="O32" i="4"/>
  <c r="D33" i="4"/>
  <c r="H33" i="4"/>
  <c r="L33" i="4"/>
  <c r="P33" i="4"/>
  <c r="E34" i="4"/>
  <c r="I34" i="4"/>
  <c r="M34" i="4"/>
  <c r="Q34" i="4"/>
  <c r="F35" i="4"/>
  <c r="J35" i="4"/>
  <c r="N35" i="4"/>
  <c r="G36" i="4"/>
  <c r="K36" i="4"/>
  <c r="O36" i="4"/>
  <c r="D37" i="4"/>
  <c r="H37" i="4"/>
  <c r="L37" i="4"/>
  <c r="P37" i="4"/>
  <c r="E38" i="4"/>
  <c r="I38" i="4"/>
  <c r="M38" i="4"/>
  <c r="Q38" i="4"/>
  <c r="F39" i="4"/>
  <c r="J39" i="4"/>
  <c r="N39" i="4"/>
  <c r="G40" i="4"/>
  <c r="K40" i="4"/>
  <c r="O40" i="4"/>
  <c r="D41" i="4"/>
  <c r="H41" i="4"/>
  <c r="L41" i="4"/>
  <c r="P41" i="4"/>
  <c r="E42" i="4"/>
  <c r="I42" i="4"/>
  <c r="M42" i="4"/>
  <c r="Q42" i="4"/>
  <c r="F43" i="4"/>
  <c r="J43" i="4"/>
  <c r="N43" i="4"/>
  <c r="G44" i="4"/>
  <c r="K44" i="4"/>
  <c r="O44" i="4"/>
  <c r="E45" i="4"/>
  <c r="I45" i="4"/>
  <c r="M45" i="4"/>
  <c r="Q45" i="4"/>
  <c r="F46" i="4"/>
  <c r="J46" i="4"/>
  <c r="N46" i="4"/>
  <c r="D47" i="4"/>
  <c r="H47" i="4"/>
  <c r="L47" i="4"/>
  <c r="P47" i="4"/>
  <c r="E48" i="4"/>
  <c r="I48" i="4"/>
  <c r="M48" i="4"/>
  <c r="Q48" i="4"/>
  <c r="G50" i="4"/>
  <c r="K50" i="4"/>
  <c r="O50" i="4"/>
  <c r="D51" i="4"/>
  <c r="H51" i="4"/>
  <c r="L51" i="4"/>
  <c r="P51" i="4"/>
  <c r="E52" i="4"/>
  <c r="I52" i="4"/>
  <c r="M52" i="4"/>
  <c r="Q52" i="4"/>
  <c r="F53" i="4"/>
  <c r="J53" i="4"/>
  <c r="N53" i="4"/>
  <c r="G54" i="4"/>
  <c r="K54" i="4"/>
  <c r="O54" i="4"/>
  <c r="D55" i="4"/>
  <c r="H55" i="4"/>
  <c r="L55" i="4"/>
  <c r="P55" i="4"/>
  <c r="E56" i="4"/>
  <c r="I56" i="4"/>
  <c r="M56" i="4"/>
  <c r="Q56" i="4"/>
  <c r="F57" i="4"/>
  <c r="J57" i="4"/>
  <c r="N57" i="4"/>
  <c r="G58" i="4"/>
  <c r="K58" i="4"/>
  <c r="O58" i="4"/>
  <c r="D59" i="4"/>
  <c r="H59" i="4"/>
  <c r="L59" i="4"/>
  <c r="P59" i="4"/>
  <c r="E60" i="4"/>
  <c r="I60" i="4"/>
  <c r="M60" i="4"/>
  <c r="Q60" i="4"/>
  <c r="F61" i="4"/>
  <c r="J61" i="4"/>
  <c r="N61" i="4"/>
  <c r="G62" i="4"/>
  <c r="K62" i="4"/>
  <c r="O62" i="4"/>
  <c r="D63" i="4"/>
  <c r="H63" i="4"/>
  <c r="L63" i="4"/>
  <c r="P63" i="4"/>
  <c r="E64" i="4"/>
  <c r="I64" i="4"/>
  <c r="M64" i="4"/>
  <c r="Q64" i="4"/>
  <c r="F65" i="4"/>
  <c r="J65" i="4"/>
  <c r="N65" i="4"/>
  <c r="G67" i="4"/>
  <c r="K67" i="4"/>
  <c r="O67" i="4"/>
  <c r="D68" i="4"/>
  <c r="H68" i="4"/>
  <c r="L68" i="4"/>
  <c r="P68" i="4"/>
  <c r="E69" i="4"/>
  <c r="I69" i="4"/>
  <c r="M69" i="4"/>
  <c r="Q69" i="4"/>
  <c r="G72" i="4"/>
  <c r="K72" i="4"/>
  <c r="O72" i="4"/>
  <c r="D73" i="4"/>
  <c r="H73" i="4"/>
  <c r="L73" i="4"/>
  <c r="P73" i="4"/>
  <c r="E74" i="4"/>
  <c r="I74" i="4"/>
  <c r="M74" i="4"/>
  <c r="Q74" i="4"/>
  <c r="G77" i="4"/>
  <c r="K77" i="4"/>
  <c r="O77" i="4"/>
  <c r="D78" i="4"/>
  <c r="H78" i="4"/>
  <c r="L78" i="4"/>
  <c r="P78" i="4"/>
  <c r="E79" i="4"/>
  <c r="I79" i="4"/>
  <c r="M79" i="4"/>
  <c r="Q79" i="4"/>
  <c r="O474" i="7"/>
  <c r="D476" i="7"/>
  <c r="H476" i="7"/>
  <c r="L476" i="7"/>
  <c r="P476" i="7"/>
  <c r="D477" i="7"/>
  <c r="H477" i="7"/>
  <c r="L477" i="7"/>
  <c r="P477" i="7"/>
  <c r="D478" i="7"/>
  <c r="H478" i="7"/>
  <c r="L478" i="7"/>
  <c r="P478" i="7"/>
  <c r="D479" i="7"/>
  <c r="H479" i="7"/>
  <c r="L479" i="7"/>
  <c r="P479" i="7"/>
  <c r="D480" i="7"/>
  <c r="H480" i="7"/>
  <c r="L480" i="7"/>
  <c r="P480" i="7"/>
  <c r="D481" i="7"/>
  <c r="H481" i="7"/>
  <c r="L481" i="7"/>
  <c r="P481" i="7"/>
  <c r="D482" i="7"/>
  <c r="H482" i="7"/>
  <c r="L482" i="7"/>
  <c r="P482" i="7"/>
  <c r="D483" i="7"/>
  <c r="H483" i="7"/>
  <c r="L483" i="7"/>
  <c r="P483" i="7"/>
  <c r="D484" i="7"/>
  <c r="H484" i="7"/>
  <c r="L484" i="7"/>
  <c r="P484" i="7"/>
  <c r="D485" i="7"/>
  <c r="H485" i="7"/>
  <c r="L485" i="7"/>
  <c r="P485" i="7"/>
  <c r="D486" i="7"/>
  <c r="H486" i="7"/>
  <c r="L486" i="7"/>
  <c r="P486" i="7"/>
  <c r="D487" i="7"/>
  <c r="H487" i="7"/>
  <c r="L487" i="7"/>
  <c r="P487" i="7"/>
  <c r="D488" i="7"/>
  <c r="H488" i="7"/>
  <c r="L488" i="7"/>
  <c r="P488" i="7"/>
  <c r="D489" i="7"/>
  <c r="H489" i="7"/>
  <c r="L489" i="7"/>
  <c r="P489" i="7"/>
  <c r="D490" i="7"/>
  <c r="H490" i="7"/>
  <c r="L490" i="7"/>
  <c r="P490" i="7"/>
  <c r="D491" i="7"/>
  <c r="H491" i="7"/>
  <c r="L491" i="7"/>
  <c r="P491" i="7"/>
  <c r="D492" i="7"/>
  <c r="H492" i="7"/>
  <c r="L492" i="7"/>
  <c r="P492" i="7"/>
  <c r="D493" i="7"/>
  <c r="H493" i="7"/>
  <c r="L493" i="7"/>
  <c r="P493" i="7"/>
  <c r="D494" i="7"/>
  <c r="H494" i="7"/>
  <c r="L494" i="7"/>
  <c r="P494" i="7"/>
  <c r="D495" i="7"/>
  <c r="H495" i="7"/>
  <c r="L495" i="7"/>
  <c r="P495" i="7"/>
  <c r="D496" i="7"/>
  <c r="H496" i="7"/>
  <c r="L496" i="7"/>
  <c r="P496" i="7"/>
  <c r="D497" i="7"/>
  <c r="H497" i="7"/>
  <c r="L497" i="7"/>
  <c r="P497" i="7"/>
  <c r="D499" i="7"/>
  <c r="H499" i="7"/>
  <c r="L499" i="7"/>
  <c r="P499" i="7"/>
  <c r="D500" i="7"/>
  <c r="H500" i="7"/>
  <c r="L500" i="7"/>
  <c r="P500" i="7"/>
  <c r="D501" i="7"/>
  <c r="H501" i="7"/>
  <c r="L501" i="7"/>
  <c r="P501" i="7"/>
  <c r="D502" i="7"/>
  <c r="H502" i="7"/>
  <c r="L502" i="7"/>
  <c r="P502" i="7"/>
  <c r="D503" i="7"/>
  <c r="H503" i="7"/>
  <c r="L503" i="7"/>
  <c r="P503" i="7"/>
  <c r="D504" i="7"/>
  <c r="H504" i="7"/>
  <c r="L504" i="7"/>
  <c r="P504" i="7"/>
  <c r="D505" i="7"/>
  <c r="H505" i="7"/>
  <c r="L505" i="7"/>
  <c r="P505" i="7"/>
  <c r="D506" i="7"/>
  <c r="H506" i="7"/>
  <c r="L506" i="7"/>
  <c r="P506" i="7"/>
  <c r="D507" i="7"/>
  <c r="H507" i="7"/>
  <c r="L507" i="7"/>
  <c r="P507" i="7"/>
  <c r="D508" i="7"/>
  <c r="H508" i="7"/>
  <c r="L508" i="7"/>
  <c r="P508" i="7"/>
  <c r="D509" i="7"/>
  <c r="H509" i="7"/>
  <c r="L509" i="7"/>
  <c r="P509" i="7"/>
  <c r="D510" i="7"/>
  <c r="H510" i="7"/>
  <c r="L510" i="7"/>
  <c r="P510" i="7"/>
  <c r="D511" i="7"/>
  <c r="H511" i="7"/>
  <c r="L511" i="7"/>
  <c r="P511" i="7"/>
  <c r="D512" i="7"/>
  <c r="H512" i="7"/>
  <c r="L512" i="7"/>
  <c r="P512" i="7"/>
  <c r="D513" i="7"/>
  <c r="H513" i="7"/>
  <c r="L513" i="7"/>
  <c r="P513" i="7"/>
  <c r="D514" i="7"/>
  <c r="H514" i="7"/>
  <c r="L514" i="7"/>
  <c r="P514" i="7"/>
  <c r="D515" i="7"/>
  <c r="H515" i="7"/>
  <c r="L515" i="7"/>
  <c r="P515" i="7"/>
  <c r="D516" i="7"/>
  <c r="H516" i="7"/>
  <c r="L516" i="7"/>
  <c r="P516" i="7"/>
  <c r="E4" i="7"/>
  <c r="I4" i="7"/>
  <c r="M4" i="7"/>
  <c r="Q4" i="7"/>
  <c r="U4" i="7"/>
  <c r="D4" i="4"/>
  <c r="H4" i="4"/>
  <c r="L4" i="4"/>
  <c r="P4" i="4"/>
  <c r="T4" i="4"/>
  <c r="F5" i="4"/>
  <c r="J5" i="4"/>
  <c r="N5" i="4"/>
  <c r="G6" i="4"/>
  <c r="K6" i="4"/>
  <c r="O6" i="4"/>
  <c r="E8" i="4"/>
  <c r="I8" i="4"/>
  <c r="M8" i="4"/>
  <c r="Q8" i="4"/>
  <c r="F9" i="4"/>
  <c r="J9" i="4"/>
  <c r="N9" i="4"/>
  <c r="G10" i="4"/>
  <c r="K10" i="4"/>
  <c r="O10" i="4"/>
  <c r="D12" i="4"/>
  <c r="H12" i="4"/>
  <c r="L12" i="4"/>
  <c r="P12" i="4"/>
  <c r="E14" i="4"/>
  <c r="I14" i="4"/>
  <c r="M14" i="4"/>
  <c r="Q14" i="4"/>
  <c r="F15" i="4"/>
  <c r="J15" i="4"/>
  <c r="N15" i="4"/>
  <c r="G16" i="4"/>
  <c r="K16" i="4"/>
  <c r="O16" i="4"/>
  <c r="D18" i="4"/>
  <c r="H18" i="4"/>
  <c r="L18" i="4"/>
  <c r="P18" i="4"/>
  <c r="E19" i="4"/>
  <c r="I19" i="4"/>
  <c r="M19" i="4"/>
  <c r="Q19" i="4"/>
  <c r="F20" i="4"/>
  <c r="J20" i="4"/>
  <c r="N20" i="4"/>
  <c r="G21" i="4"/>
  <c r="K21" i="4"/>
  <c r="O21" i="4"/>
  <c r="D22" i="4"/>
  <c r="H22" i="4"/>
  <c r="L22" i="4"/>
  <c r="P22" i="4"/>
  <c r="E24" i="4"/>
  <c r="I24" i="4"/>
  <c r="M24" i="4"/>
  <c r="Q24" i="4"/>
  <c r="F25" i="4"/>
  <c r="J25" i="4"/>
  <c r="N25" i="4"/>
  <c r="G26" i="4"/>
  <c r="K26" i="4"/>
  <c r="O26" i="4"/>
  <c r="D27" i="4"/>
  <c r="H27" i="4"/>
  <c r="P27" i="4"/>
  <c r="E28" i="4"/>
  <c r="I28" i="4"/>
  <c r="M28" i="4"/>
  <c r="Q28" i="4"/>
  <c r="F29" i="4"/>
  <c r="J29" i="4"/>
  <c r="N29" i="4"/>
  <c r="G31" i="4"/>
  <c r="K31" i="4"/>
  <c r="O31" i="4"/>
  <c r="D32" i="4"/>
  <c r="H32" i="4"/>
  <c r="L32" i="4"/>
  <c r="P32" i="4"/>
  <c r="E33" i="4"/>
  <c r="I33" i="4"/>
  <c r="M33" i="4"/>
  <c r="F34" i="4"/>
  <c r="J34" i="4"/>
  <c r="N34" i="4"/>
  <c r="G35" i="4"/>
  <c r="K35" i="4"/>
  <c r="O35" i="4"/>
  <c r="D36" i="4"/>
  <c r="H36" i="4"/>
  <c r="L36" i="4"/>
  <c r="P36" i="4"/>
  <c r="E37" i="4"/>
  <c r="I37" i="4"/>
  <c r="M37" i="4"/>
  <c r="Q37" i="4"/>
  <c r="F38" i="4"/>
  <c r="J38" i="4"/>
  <c r="N38" i="4"/>
  <c r="G39" i="4"/>
  <c r="K39" i="4"/>
  <c r="O39" i="4"/>
  <c r="D40" i="4"/>
  <c r="H40" i="4"/>
  <c r="L40" i="4"/>
  <c r="P40" i="4"/>
  <c r="E41" i="4"/>
  <c r="I41" i="4"/>
  <c r="M41" i="4"/>
  <c r="Q41" i="4"/>
  <c r="F42" i="4"/>
  <c r="J42" i="4"/>
  <c r="N42" i="4"/>
  <c r="G43" i="4"/>
  <c r="K43" i="4"/>
  <c r="O43" i="4"/>
  <c r="D44" i="4"/>
  <c r="H44" i="4"/>
  <c r="L44" i="4"/>
  <c r="P44" i="4"/>
  <c r="F45" i="4"/>
  <c r="J45" i="4"/>
  <c r="N45" i="4"/>
  <c r="G46" i="4"/>
  <c r="K46" i="4"/>
  <c r="O46" i="4"/>
  <c r="E47" i="4"/>
  <c r="I47" i="4"/>
  <c r="M47" i="4"/>
  <c r="Q47" i="4"/>
  <c r="F48" i="4"/>
  <c r="J48" i="4"/>
  <c r="N48" i="4"/>
  <c r="D50" i="4"/>
  <c r="H50" i="4"/>
  <c r="L50" i="4"/>
  <c r="P50" i="4"/>
  <c r="E51" i="4"/>
  <c r="I51" i="4"/>
  <c r="M51" i="4"/>
  <c r="Q51" i="4"/>
  <c r="F52" i="4"/>
  <c r="J52" i="4"/>
  <c r="N52" i="4"/>
  <c r="G53" i="4"/>
  <c r="K53" i="4"/>
  <c r="O53" i="4"/>
  <c r="D54" i="4"/>
  <c r="H54" i="4"/>
  <c r="L54" i="4"/>
  <c r="P54" i="4"/>
  <c r="E55" i="4"/>
  <c r="I55" i="4"/>
  <c r="M55" i="4"/>
  <c r="Q55" i="4"/>
  <c r="F56" i="4"/>
  <c r="J56" i="4"/>
  <c r="N56" i="4"/>
  <c r="G57" i="4"/>
  <c r="K57" i="4"/>
  <c r="O57" i="4"/>
  <c r="D58" i="4"/>
  <c r="H58" i="4"/>
  <c r="L58" i="4"/>
  <c r="P58" i="4"/>
  <c r="E59" i="4"/>
  <c r="I59" i="4"/>
  <c r="M59" i="4"/>
  <c r="Q59" i="4"/>
  <c r="F60" i="4"/>
  <c r="J60" i="4"/>
  <c r="N60" i="4"/>
  <c r="G61" i="4"/>
  <c r="K61" i="4"/>
  <c r="O61" i="4"/>
  <c r="D62" i="4"/>
  <c r="H62" i="4"/>
  <c r="L62" i="4"/>
  <c r="P62" i="4"/>
  <c r="E63" i="4"/>
  <c r="I63" i="4"/>
  <c r="M63" i="4"/>
  <c r="Q63" i="4"/>
  <c r="F64" i="4"/>
  <c r="J64" i="4"/>
  <c r="N64" i="4"/>
  <c r="G65" i="4"/>
  <c r="K65" i="4"/>
  <c r="O65" i="4"/>
  <c r="D67" i="4"/>
  <c r="H67" i="4"/>
  <c r="L67" i="4"/>
  <c r="P67" i="4"/>
  <c r="E68" i="4"/>
  <c r="I68" i="4"/>
  <c r="M68" i="4"/>
  <c r="Q68" i="4"/>
  <c r="F69" i="4"/>
  <c r="J69" i="4"/>
  <c r="N69" i="4"/>
  <c r="D72" i="4"/>
  <c r="H72" i="4"/>
  <c r="L72" i="4"/>
  <c r="P72" i="4"/>
  <c r="E73" i="4"/>
  <c r="I73" i="4"/>
  <c r="M73" i="4"/>
  <c r="Q73" i="4"/>
  <c r="F74" i="4"/>
  <c r="J74" i="4"/>
  <c r="N74" i="4"/>
  <c r="D77" i="4"/>
  <c r="H77" i="4"/>
  <c r="L77" i="4"/>
  <c r="P77" i="4"/>
  <c r="E78" i="4"/>
  <c r="I78" i="4"/>
  <c r="M78" i="4"/>
  <c r="Q78" i="4"/>
  <c r="F79" i="4"/>
  <c r="J79" i="4"/>
  <c r="N79" i="4"/>
  <c r="G80" i="4"/>
  <c r="L80" i="4"/>
  <c r="P80" i="4"/>
  <c r="I81" i="4"/>
  <c r="M81" i="4"/>
  <c r="Q81" i="4"/>
  <c r="K82" i="4"/>
  <c r="O82" i="4"/>
  <c r="L83" i="4"/>
  <c r="P83" i="4"/>
  <c r="N85" i="4"/>
  <c r="D87" i="4"/>
  <c r="H87" i="4"/>
  <c r="L87" i="4"/>
  <c r="P87" i="4"/>
  <c r="Q88" i="4"/>
  <c r="F89" i="4"/>
  <c r="J89" i="4"/>
  <c r="N89" i="4"/>
  <c r="G92" i="4"/>
  <c r="K92" i="4"/>
  <c r="O92" i="4"/>
  <c r="D93" i="4"/>
  <c r="H93" i="4"/>
  <c r="L93" i="4"/>
  <c r="P93" i="4"/>
  <c r="E94" i="4"/>
  <c r="I94" i="4"/>
  <c r="M94" i="4"/>
  <c r="Q94" i="4"/>
  <c r="F95" i="4"/>
  <c r="J95" i="4"/>
  <c r="N95" i="4"/>
  <c r="G96" i="4"/>
  <c r="K96" i="4"/>
  <c r="O96" i="4"/>
  <c r="D97" i="4"/>
  <c r="H97" i="4"/>
  <c r="L97" i="4"/>
  <c r="P97" i="4"/>
  <c r="E98" i="4"/>
  <c r="I98" i="4"/>
  <c r="M98" i="4"/>
  <c r="Q98" i="4"/>
  <c r="F99" i="4"/>
  <c r="J99" i="4"/>
  <c r="N99" i="4"/>
  <c r="D100" i="4"/>
  <c r="H100" i="4"/>
  <c r="L100" i="4"/>
  <c r="P100" i="4"/>
  <c r="E102" i="4"/>
  <c r="I102" i="4"/>
  <c r="M102" i="4"/>
  <c r="Q102" i="4"/>
  <c r="F103" i="4"/>
  <c r="J103" i="4"/>
  <c r="N103" i="4"/>
  <c r="G104" i="4"/>
  <c r="K104" i="4"/>
  <c r="O104" i="4"/>
  <c r="D105" i="4"/>
  <c r="H105" i="4"/>
  <c r="L105" i="4"/>
  <c r="P105" i="4"/>
  <c r="F107" i="4"/>
  <c r="J107" i="4"/>
  <c r="N107" i="4"/>
  <c r="G108" i="4"/>
  <c r="K108" i="4"/>
  <c r="O108" i="4"/>
  <c r="D109" i="4"/>
  <c r="H109" i="4"/>
  <c r="L109" i="4"/>
  <c r="P109" i="4"/>
  <c r="E110" i="4"/>
  <c r="I110" i="4"/>
  <c r="M110" i="4"/>
  <c r="Q110" i="4"/>
  <c r="F111" i="4"/>
  <c r="J111" i="4"/>
  <c r="N111" i="4"/>
  <c r="D114" i="4"/>
  <c r="H114" i="4"/>
  <c r="L114" i="4"/>
  <c r="P114" i="4"/>
  <c r="E115" i="4"/>
  <c r="I115" i="4"/>
  <c r="M115" i="4"/>
  <c r="Q115" i="4"/>
  <c r="F116" i="4"/>
  <c r="J116" i="4"/>
  <c r="N116" i="4"/>
  <c r="G117" i="4"/>
  <c r="K117" i="4"/>
  <c r="O117" i="4"/>
  <c r="D118" i="4"/>
  <c r="H118" i="4"/>
  <c r="L118" i="4"/>
  <c r="P118" i="4"/>
  <c r="E119" i="4"/>
  <c r="I119" i="4"/>
  <c r="M119" i="4"/>
  <c r="Q119" i="4"/>
  <c r="F120" i="4"/>
  <c r="J120" i="4"/>
  <c r="N120" i="4"/>
  <c r="G121" i="4"/>
  <c r="K121" i="4"/>
  <c r="O121" i="4"/>
  <c r="D122" i="4"/>
  <c r="H122" i="4"/>
  <c r="L122" i="4"/>
  <c r="P122" i="4"/>
  <c r="F124" i="4"/>
  <c r="J124" i="4"/>
  <c r="N124" i="4"/>
  <c r="G125" i="4"/>
  <c r="K125" i="4"/>
  <c r="O125" i="4"/>
  <c r="E126" i="4"/>
  <c r="I126" i="4"/>
  <c r="M126" i="4"/>
  <c r="Q126" i="4"/>
  <c r="F127" i="4"/>
  <c r="J127" i="4"/>
  <c r="N127" i="4"/>
  <c r="G128" i="4"/>
  <c r="K128" i="4"/>
  <c r="O128" i="4"/>
  <c r="D129" i="4"/>
  <c r="H129" i="4"/>
  <c r="L129" i="4"/>
  <c r="P129" i="4"/>
  <c r="E130" i="4"/>
  <c r="I130" i="4"/>
  <c r="M130" i="4"/>
  <c r="Q130" i="4"/>
  <c r="F131" i="4"/>
  <c r="J131" i="4"/>
  <c r="N131" i="4"/>
  <c r="G132" i="4"/>
  <c r="K132" i="4"/>
  <c r="O132" i="4"/>
  <c r="D133" i="4"/>
  <c r="H133" i="4"/>
  <c r="L133" i="4"/>
  <c r="P133" i="4"/>
  <c r="E134" i="4"/>
  <c r="I134" i="4"/>
  <c r="M134" i="4"/>
  <c r="Q134" i="4"/>
  <c r="F135" i="4"/>
  <c r="J135" i="4"/>
  <c r="N135" i="4"/>
  <c r="G136" i="4"/>
  <c r="K136" i="4"/>
  <c r="O136" i="4"/>
  <c r="D138" i="4"/>
  <c r="H138" i="4"/>
  <c r="L138" i="4"/>
  <c r="P138" i="4"/>
  <c r="E139" i="4"/>
  <c r="I139" i="4"/>
  <c r="M139" i="4"/>
  <c r="Q139" i="4"/>
  <c r="F140" i="4"/>
  <c r="J140" i="4"/>
  <c r="N140" i="4"/>
  <c r="G141" i="4"/>
  <c r="K141" i="4"/>
  <c r="O141" i="4"/>
  <c r="D142" i="4"/>
  <c r="H142" i="4"/>
  <c r="L142" i="4"/>
  <c r="P142" i="4"/>
  <c r="E143" i="4"/>
  <c r="I143" i="4"/>
  <c r="M143" i="4"/>
  <c r="Q143" i="4"/>
  <c r="F144" i="4"/>
  <c r="J144" i="4"/>
  <c r="N144" i="4"/>
  <c r="G145" i="4"/>
  <c r="K145" i="4"/>
  <c r="O145" i="4"/>
  <c r="D146" i="4"/>
  <c r="H146" i="4"/>
  <c r="L146" i="4"/>
  <c r="P146" i="4"/>
  <c r="E147" i="4"/>
  <c r="I147" i="4"/>
  <c r="M147" i="4"/>
  <c r="Q147" i="4"/>
  <c r="F148" i="4"/>
  <c r="J148" i="4"/>
  <c r="N148" i="4"/>
  <c r="G149" i="4"/>
  <c r="K149" i="4"/>
  <c r="O149" i="4"/>
  <c r="D150" i="4"/>
  <c r="H150" i="4"/>
  <c r="L150" i="4"/>
  <c r="P150" i="4"/>
  <c r="E151" i="4"/>
  <c r="I151" i="4"/>
  <c r="M151" i="4"/>
  <c r="Q151" i="4"/>
  <c r="G153" i="4"/>
  <c r="K153" i="4"/>
  <c r="O153" i="4"/>
  <c r="D154" i="4"/>
  <c r="H154" i="4"/>
  <c r="L154" i="4"/>
  <c r="P154" i="4"/>
  <c r="E155" i="4"/>
  <c r="I155" i="4"/>
  <c r="M155" i="4"/>
  <c r="Q155" i="4"/>
  <c r="F156" i="4"/>
  <c r="J156" i="4"/>
  <c r="N156" i="4"/>
  <c r="G157" i="4"/>
  <c r="K157" i="4"/>
  <c r="O157" i="4"/>
  <c r="E158" i="4"/>
  <c r="I158" i="4"/>
  <c r="M158" i="4"/>
  <c r="Q158" i="4"/>
  <c r="G160" i="4"/>
  <c r="K160" i="4"/>
  <c r="O160" i="4"/>
  <c r="D161" i="4"/>
  <c r="H161" i="4"/>
  <c r="L161" i="4"/>
  <c r="P161" i="4"/>
  <c r="E162" i="4"/>
  <c r="I162" i="4"/>
  <c r="M162" i="4"/>
  <c r="Q162" i="4"/>
  <c r="F163" i="4"/>
  <c r="J163" i="4"/>
  <c r="N163" i="4"/>
  <c r="D165" i="4"/>
  <c r="H165" i="4"/>
  <c r="L165" i="4"/>
  <c r="P165" i="4"/>
  <c r="E166" i="4"/>
  <c r="I166" i="4"/>
  <c r="M166" i="4"/>
  <c r="Q166" i="4"/>
  <c r="F167" i="4"/>
  <c r="J167" i="4"/>
  <c r="N167" i="4"/>
  <c r="G168" i="4"/>
  <c r="K168" i="4"/>
  <c r="O168" i="4"/>
  <c r="D169" i="4"/>
  <c r="H169" i="4"/>
  <c r="L169" i="4"/>
  <c r="P169" i="4"/>
  <c r="E170" i="4"/>
  <c r="I170" i="4"/>
  <c r="M170" i="4"/>
  <c r="Q170" i="4"/>
  <c r="F171" i="4"/>
  <c r="J171" i="4"/>
  <c r="N171" i="4"/>
  <c r="G172" i="4"/>
  <c r="K172" i="4"/>
  <c r="O172" i="4"/>
  <c r="D173" i="4"/>
  <c r="H173" i="4"/>
  <c r="L173" i="4"/>
  <c r="P173" i="4"/>
  <c r="D176" i="4"/>
  <c r="H176" i="4"/>
  <c r="L176" i="4"/>
  <c r="P176" i="4"/>
  <c r="I178" i="4"/>
  <c r="M178" i="4"/>
  <c r="Q178" i="4"/>
  <c r="G179" i="4"/>
  <c r="K179" i="4"/>
  <c r="O179" i="4"/>
  <c r="D180" i="4"/>
  <c r="H180" i="4"/>
  <c r="L180" i="4"/>
  <c r="P180" i="4"/>
  <c r="E181" i="4"/>
  <c r="I181" i="4"/>
  <c r="M181" i="4"/>
  <c r="Q181" i="4"/>
  <c r="F182" i="4"/>
  <c r="J182" i="4"/>
  <c r="N182" i="4"/>
  <c r="D183" i="4"/>
  <c r="H183" i="4"/>
  <c r="L183" i="4"/>
  <c r="P183" i="4"/>
  <c r="F184" i="4"/>
  <c r="J184" i="4"/>
  <c r="N184" i="4"/>
  <c r="G185" i="4"/>
  <c r="K185" i="4"/>
  <c r="O185" i="4"/>
  <c r="D186" i="4"/>
  <c r="H186" i="4"/>
  <c r="L186" i="4"/>
  <c r="P186" i="4"/>
  <c r="E187" i="4"/>
  <c r="I187" i="4"/>
  <c r="M187" i="4"/>
  <c r="Q187" i="4"/>
  <c r="F188" i="4"/>
  <c r="J188" i="4"/>
  <c r="N188" i="4"/>
  <c r="G189" i="4"/>
  <c r="K189" i="4"/>
  <c r="O189" i="4"/>
  <c r="D190" i="4"/>
  <c r="H190" i="4"/>
  <c r="L190" i="4"/>
  <c r="P190" i="4"/>
  <c r="E191" i="4"/>
  <c r="I191" i="4"/>
  <c r="M191" i="4"/>
  <c r="Q191" i="4"/>
  <c r="F192" i="4"/>
  <c r="J192" i="4"/>
  <c r="N192" i="4"/>
  <c r="G193" i="4"/>
  <c r="K193" i="4"/>
  <c r="O193" i="4"/>
  <c r="D194" i="4"/>
  <c r="H194" i="4"/>
  <c r="L194" i="4"/>
  <c r="P194" i="4"/>
  <c r="E195" i="4"/>
  <c r="I195" i="4"/>
  <c r="M195" i="4"/>
  <c r="Q195" i="4"/>
  <c r="F196" i="4"/>
  <c r="J196" i="4"/>
  <c r="N196" i="4"/>
  <c r="I80" i="4"/>
  <c r="M80" i="4"/>
  <c r="Q80" i="4"/>
  <c r="J81" i="4"/>
  <c r="N81" i="4"/>
  <c r="L82" i="4"/>
  <c r="P82" i="4"/>
  <c r="M83" i="4"/>
  <c r="Q83" i="4"/>
  <c r="K85" i="4"/>
  <c r="O85" i="4"/>
  <c r="E87" i="4"/>
  <c r="I87" i="4"/>
  <c r="M87" i="4"/>
  <c r="Q87" i="4"/>
  <c r="G89" i="4"/>
  <c r="K89" i="4"/>
  <c r="O89" i="4"/>
  <c r="D92" i="4"/>
  <c r="H92" i="4"/>
  <c r="L92" i="4"/>
  <c r="P92" i="4"/>
  <c r="E93" i="4"/>
  <c r="I93" i="4"/>
  <c r="M93" i="4"/>
  <c r="Q93" i="4"/>
  <c r="F94" i="4"/>
  <c r="J94" i="4"/>
  <c r="N94" i="4"/>
  <c r="G95" i="4"/>
  <c r="K95" i="4"/>
  <c r="O95" i="4"/>
  <c r="D96" i="4"/>
  <c r="H96" i="4"/>
  <c r="L96" i="4"/>
  <c r="P96" i="4"/>
  <c r="E97" i="4"/>
  <c r="I97" i="4"/>
  <c r="M97" i="4"/>
  <c r="Q97" i="4"/>
  <c r="F98" i="4"/>
  <c r="J98" i="4"/>
  <c r="N98" i="4"/>
  <c r="G99" i="4"/>
  <c r="K99" i="4"/>
  <c r="O99" i="4"/>
  <c r="E100" i="4"/>
  <c r="I100" i="4"/>
  <c r="M100" i="4"/>
  <c r="Q100" i="4"/>
  <c r="F102" i="4"/>
  <c r="J102" i="4"/>
  <c r="N102" i="4"/>
  <c r="G103" i="4"/>
  <c r="K103" i="4"/>
  <c r="O103" i="4"/>
  <c r="D104" i="4"/>
  <c r="H104" i="4"/>
  <c r="L104" i="4"/>
  <c r="P104" i="4"/>
  <c r="E105" i="4"/>
  <c r="I105" i="4"/>
  <c r="M105" i="4"/>
  <c r="Q105" i="4"/>
  <c r="G107" i="4"/>
  <c r="K107" i="4"/>
  <c r="O107" i="4"/>
  <c r="D108" i="4"/>
  <c r="H108" i="4"/>
  <c r="L108" i="4"/>
  <c r="P108" i="4"/>
  <c r="E109" i="4"/>
  <c r="I109" i="4"/>
  <c r="M109" i="4"/>
  <c r="Q109" i="4"/>
  <c r="F110" i="4"/>
  <c r="J110" i="4"/>
  <c r="N110" i="4"/>
  <c r="G111" i="4"/>
  <c r="K111" i="4"/>
  <c r="O111" i="4"/>
  <c r="E114" i="4"/>
  <c r="I114" i="4"/>
  <c r="M114" i="4"/>
  <c r="Q114" i="4"/>
  <c r="F115" i="4"/>
  <c r="J115" i="4"/>
  <c r="N115" i="4"/>
  <c r="G116" i="4"/>
  <c r="K116" i="4"/>
  <c r="O116" i="4"/>
  <c r="D117" i="4"/>
  <c r="H117" i="4"/>
  <c r="L117" i="4"/>
  <c r="P117" i="4"/>
  <c r="E118" i="4"/>
  <c r="I118" i="4"/>
  <c r="M118" i="4"/>
  <c r="Q118" i="4"/>
  <c r="F119" i="4"/>
  <c r="J119" i="4"/>
  <c r="N119" i="4"/>
  <c r="G120" i="4"/>
  <c r="K120" i="4"/>
  <c r="O120" i="4"/>
  <c r="D121" i="4"/>
  <c r="H121" i="4"/>
  <c r="L121" i="4"/>
  <c r="P121" i="4"/>
  <c r="E122" i="4"/>
  <c r="I122" i="4"/>
  <c r="M122" i="4"/>
  <c r="Q122" i="4"/>
  <c r="G124" i="4"/>
  <c r="K124" i="4"/>
  <c r="O124" i="4"/>
  <c r="D125" i="4"/>
  <c r="H125" i="4"/>
  <c r="L125" i="4"/>
  <c r="P125" i="4"/>
  <c r="F126" i="4"/>
  <c r="J126" i="4"/>
  <c r="N126" i="4"/>
  <c r="G127" i="4"/>
  <c r="K127" i="4"/>
  <c r="O127" i="4"/>
  <c r="D128" i="4"/>
  <c r="H128" i="4"/>
  <c r="L128" i="4"/>
  <c r="P128" i="4"/>
  <c r="E129" i="4"/>
  <c r="I129" i="4"/>
  <c r="M129" i="4"/>
  <c r="Q129" i="4"/>
  <c r="F130" i="4"/>
  <c r="J130" i="4"/>
  <c r="N130" i="4"/>
  <c r="G131" i="4"/>
  <c r="K131" i="4"/>
  <c r="O131" i="4"/>
  <c r="D132" i="4"/>
  <c r="H132" i="4"/>
  <c r="L132" i="4"/>
  <c r="P132" i="4"/>
  <c r="E133" i="4"/>
  <c r="I133" i="4"/>
  <c r="M133" i="4"/>
  <c r="Q133" i="4"/>
  <c r="F134" i="4"/>
  <c r="J134" i="4"/>
  <c r="N134" i="4"/>
  <c r="G135" i="4"/>
  <c r="K135" i="4"/>
  <c r="O135" i="4"/>
  <c r="D136" i="4"/>
  <c r="H136" i="4"/>
  <c r="L136" i="4"/>
  <c r="P136" i="4"/>
  <c r="E138" i="4"/>
  <c r="I138" i="4"/>
  <c r="M138" i="4"/>
  <c r="Q138" i="4"/>
  <c r="F139" i="4"/>
  <c r="J139" i="4"/>
  <c r="N139" i="4"/>
  <c r="G140" i="4"/>
  <c r="K140" i="4"/>
  <c r="O140" i="4"/>
  <c r="D141" i="4"/>
  <c r="H141" i="4"/>
  <c r="L141" i="4"/>
  <c r="P141" i="4"/>
  <c r="E142" i="4"/>
  <c r="I142" i="4"/>
  <c r="M142" i="4"/>
  <c r="Q142" i="4"/>
  <c r="F143" i="4"/>
  <c r="J143" i="4"/>
  <c r="N143" i="4"/>
  <c r="G144" i="4"/>
  <c r="K144" i="4"/>
  <c r="O144" i="4"/>
  <c r="D145" i="4"/>
  <c r="H145" i="4"/>
  <c r="L145" i="4"/>
  <c r="P145" i="4"/>
  <c r="E146" i="4"/>
  <c r="I146" i="4"/>
  <c r="M146" i="4"/>
  <c r="Q146" i="4"/>
  <c r="F147" i="4"/>
  <c r="J147" i="4"/>
  <c r="N147" i="4"/>
  <c r="G148" i="4"/>
  <c r="K148" i="4"/>
  <c r="O148" i="4"/>
  <c r="D149" i="4"/>
  <c r="H149" i="4"/>
  <c r="L149" i="4"/>
  <c r="P149" i="4"/>
  <c r="E150" i="4"/>
  <c r="I150" i="4"/>
  <c r="M150" i="4"/>
  <c r="Q150" i="4"/>
  <c r="F151" i="4"/>
  <c r="J151" i="4"/>
  <c r="N151" i="4"/>
  <c r="D153" i="4"/>
  <c r="H153" i="4"/>
  <c r="L153" i="4"/>
  <c r="P153" i="4"/>
  <c r="E154" i="4"/>
  <c r="I154" i="4"/>
  <c r="M154" i="4"/>
  <c r="Q154" i="4"/>
  <c r="F155" i="4"/>
  <c r="J155" i="4"/>
  <c r="N155" i="4"/>
  <c r="G156" i="4"/>
  <c r="K156" i="4"/>
  <c r="O156" i="4"/>
  <c r="D157" i="4"/>
  <c r="H157" i="4"/>
  <c r="L157" i="4"/>
  <c r="P157" i="4"/>
  <c r="F158" i="4"/>
  <c r="J158" i="4"/>
  <c r="N158" i="4"/>
  <c r="D160" i="4"/>
  <c r="H160" i="4"/>
  <c r="L160" i="4"/>
  <c r="P160" i="4"/>
  <c r="E161" i="4"/>
  <c r="I161" i="4"/>
  <c r="M161" i="4"/>
  <c r="Q161" i="4"/>
  <c r="F162" i="4"/>
  <c r="N162" i="4"/>
  <c r="G163" i="4"/>
  <c r="K163" i="4"/>
  <c r="O163" i="4"/>
  <c r="E165" i="4"/>
  <c r="I165" i="4"/>
  <c r="M165" i="4"/>
  <c r="Q165" i="4"/>
  <c r="F166" i="4"/>
  <c r="J166" i="4"/>
  <c r="N166" i="4"/>
  <c r="G167" i="4"/>
  <c r="K167" i="4"/>
  <c r="O167" i="4"/>
  <c r="D168" i="4"/>
  <c r="H168" i="4"/>
  <c r="L168" i="4"/>
  <c r="P168" i="4"/>
  <c r="E169" i="4"/>
  <c r="I169" i="4"/>
  <c r="M169" i="4"/>
  <c r="Q169" i="4"/>
  <c r="F170" i="4"/>
  <c r="J170" i="4"/>
  <c r="N170" i="4"/>
  <c r="G171" i="4"/>
  <c r="K171" i="4"/>
  <c r="O171" i="4"/>
  <c r="D172" i="4"/>
  <c r="H172" i="4"/>
  <c r="L172" i="4"/>
  <c r="P172" i="4"/>
  <c r="E173" i="4"/>
  <c r="I173" i="4"/>
  <c r="M173" i="4"/>
  <c r="Q173" i="4"/>
  <c r="E176" i="4"/>
  <c r="I176" i="4"/>
  <c r="M176" i="4"/>
  <c r="Q176" i="4"/>
  <c r="J178" i="4"/>
  <c r="N178" i="4"/>
  <c r="H179" i="4"/>
  <c r="L179" i="4"/>
  <c r="P179" i="4"/>
  <c r="E180" i="4"/>
  <c r="I180" i="4"/>
  <c r="M180" i="4"/>
  <c r="Q180" i="4"/>
  <c r="F181" i="4"/>
  <c r="J181" i="4"/>
  <c r="N181" i="4"/>
  <c r="G182" i="4"/>
  <c r="K182" i="4"/>
  <c r="O182" i="4"/>
  <c r="E183" i="4"/>
  <c r="I183" i="4"/>
  <c r="M183" i="4"/>
  <c r="Q183" i="4"/>
  <c r="G184" i="4"/>
  <c r="K184" i="4"/>
  <c r="O184" i="4"/>
  <c r="D185" i="4"/>
  <c r="H185" i="4"/>
  <c r="L185" i="4"/>
  <c r="P185" i="4"/>
  <c r="E186" i="4"/>
  <c r="I186" i="4"/>
  <c r="M186" i="4"/>
  <c r="Q186" i="4"/>
  <c r="F187" i="4"/>
  <c r="J187" i="4"/>
  <c r="N187" i="4"/>
  <c r="G188" i="4"/>
  <c r="K188" i="4"/>
  <c r="O188" i="4"/>
  <c r="D189" i="4"/>
  <c r="H189" i="4"/>
  <c r="L189" i="4"/>
  <c r="P189" i="4"/>
  <c r="E190" i="4"/>
  <c r="I190" i="4"/>
  <c r="M190" i="4"/>
  <c r="Q190" i="4"/>
  <c r="F191" i="4"/>
  <c r="J191" i="4"/>
  <c r="N191" i="4"/>
  <c r="G192" i="4"/>
  <c r="K192" i="4"/>
  <c r="O192" i="4"/>
  <c r="D193" i="4"/>
  <c r="H193" i="4"/>
  <c r="L193" i="4"/>
  <c r="P193" i="4"/>
  <c r="E194" i="4"/>
  <c r="I194" i="4"/>
  <c r="M194" i="4"/>
  <c r="Q194" i="4"/>
  <c r="F195" i="4"/>
  <c r="J195" i="4"/>
  <c r="N195" i="4"/>
  <c r="G196" i="4"/>
  <c r="K196" i="4"/>
  <c r="O196" i="4"/>
  <c r="E80" i="4"/>
  <c r="J80" i="4"/>
  <c r="N80" i="4"/>
  <c r="K81" i="4"/>
  <c r="O81" i="4"/>
  <c r="I82" i="4"/>
  <c r="M82" i="4"/>
  <c r="Q82" i="4"/>
  <c r="N83" i="4"/>
  <c r="L85" i="4"/>
  <c r="P85" i="4"/>
  <c r="Q86" i="4"/>
  <c r="F87" i="4"/>
  <c r="J87" i="4"/>
  <c r="N87" i="4"/>
  <c r="D89" i="4"/>
  <c r="H89" i="4"/>
  <c r="L89" i="4"/>
  <c r="P89" i="4"/>
  <c r="E92" i="4"/>
  <c r="I92" i="4"/>
  <c r="M92" i="4"/>
  <c r="Q92" i="4"/>
  <c r="F93" i="4"/>
  <c r="J93" i="4"/>
  <c r="N93" i="4"/>
  <c r="G94" i="4"/>
  <c r="K94" i="4"/>
  <c r="O94" i="4"/>
  <c r="D95" i="4"/>
  <c r="H95" i="4"/>
  <c r="L95" i="4"/>
  <c r="P95" i="4"/>
  <c r="E96" i="4"/>
  <c r="I96" i="4"/>
  <c r="M96" i="4"/>
  <c r="Q96" i="4"/>
  <c r="F97" i="4"/>
  <c r="J97" i="4"/>
  <c r="N97" i="4"/>
  <c r="G98" i="4"/>
  <c r="K98" i="4"/>
  <c r="O98" i="4"/>
  <c r="D99" i="4"/>
  <c r="H99" i="4"/>
  <c r="L99" i="4"/>
  <c r="P99" i="4"/>
  <c r="F100" i="4"/>
  <c r="J100" i="4"/>
  <c r="N100" i="4"/>
  <c r="G102" i="4"/>
  <c r="K102" i="4"/>
  <c r="O102" i="4"/>
  <c r="D103" i="4"/>
  <c r="H103" i="4"/>
  <c r="L103" i="4"/>
  <c r="P103" i="4"/>
  <c r="E104" i="4"/>
  <c r="I104" i="4"/>
  <c r="M104" i="4"/>
  <c r="Q104" i="4"/>
  <c r="F105" i="4"/>
  <c r="J105" i="4"/>
  <c r="N105" i="4"/>
  <c r="D107" i="4"/>
  <c r="H107" i="4"/>
  <c r="L107" i="4"/>
  <c r="P107" i="4"/>
  <c r="E108" i="4"/>
  <c r="I108" i="4"/>
  <c r="M108" i="4"/>
  <c r="Q108" i="4"/>
  <c r="F109" i="4"/>
  <c r="J109" i="4"/>
  <c r="N109" i="4"/>
  <c r="G110" i="4"/>
  <c r="K110" i="4"/>
  <c r="O110" i="4"/>
  <c r="D111" i="4"/>
  <c r="H111" i="4"/>
  <c r="L111" i="4"/>
  <c r="P111" i="4"/>
  <c r="F114" i="4"/>
  <c r="J114" i="4"/>
  <c r="N114" i="4"/>
  <c r="G115" i="4"/>
  <c r="K115" i="4"/>
  <c r="O115" i="4"/>
  <c r="D116" i="4"/>
  <c r="H116" i="4"/>
  <c r="L116" i="4"/>
  <c r="P116" i="4"/>
  <c r="E117" i="4"/>
  <c r="I117" i="4"/>
  <c r="M117" i="4"/>
  <c r="Q117" i="4"/>
  <c r="F118" i="4"/>
  <c r="J118" i="4"/>
  <c r="N118" i="4"/>
  <c r="G119" i="4"/>
  <c r="K119" i="4"/>
  <c r="O119" i="4"/>
  <c r="D120" i="4"/>
  <c r="H120" i="4"/>
  <c r="L120" i="4"/>
  <c r="P120" i="4"/>
  <c r="E121" i="4"/>
  <c r="I121" i="4"/>
  <c r="M121" i="4"/>
  <c r="Q121" i="4"/>
  <c r="F122" i="4"/>
  <c r="J122" i="4"/>
  <c r="N122" i="4"/>
  <c r="D124" i="4"/>
  <c r="H124" i="4"/>
  <c r="L124" i="4"/>
  <c r="P124" i="4"/>
  <c r="E125" i="4"/>
  <c r="I125" i="4"/>
  <c r="M125" i="4"/>
  <c r="Q125" i="4"/>
  <c r="G126" i="4"/>
  <c r="K126" i="4"/>
  <c r="O126" i="4"/>
  <c r="D127" i="4"/>
  <c r="H127" i="4"/>
  <c r="L127" i="4"/>
  <c r="P127" i="4"/>
  <c r="E128" i="4"/>
  <c r="I128" i="4"/>
  <c r="M128" i="4"/>
  <c r="Q128" i="4"/>
  <c r="F129" i="4"/>
  <c r="J129" i="4"/>
  <c r="N129" i="4"/>
  <c r="G130" i="4"/>
  <c r="K130" i="4"/>
  <c r="O130" i="4"/>
  <c r="D131" i="4"/>
  <c r="H131" i="4"/>
  <c r="L131" i="4"/>
  <c r="P131" i="4"/>
  <c r="E132" i="4"/>
  <c r="I132" i="4"/>
  <c r="M132" i="4"/>
  <c r="Q132" i="4"/>
  <c r="F133" i="4"/>
  <c r="J133" i="4"/>
  <c r="N133" i="4"/>
  <c r="G134" i="4"/>
  <c r="K134" i="4"/>
  <c r="O134" i="4"/>
  <c r="D135" i="4"/>
  <c r="H135" i="4"/>
  <c r="L135" i="4"/>
  <c r="P135" i="4"/>
  <c r="E136" i="4"/>
  <c r="I136" i="4"/>
  <c r="M136" i="4"/>
  <c r="Q136" i="4"/>
  <c r="F138" i="4"/>
  <c r="J138" i="4"/>
  <c r="N138" i="4"/>
  <c r="G139" i="4"/>
  <c r="K139" i="4"/>
  <c r="O139" i="4"/>
  <c r="D140" i="4"/>
  <c r="H140" i="4"/>
  <c r="L140" i="4"/>
  <c r="P140" i="4"/>
  <c r="E141" i="4"/>
  <c r="I141" i="4"/>
  <c r="M141" i="4"/>
  <c r="Q141" i="4"/>
  <c r="F142" i="4"/>
  <c r="J142" i="4"/>
  <c r="N142" i="4"/>
  <c r="G143" i="4"/>
  <c r="K143" i="4"/>
  <c r="O143" i="4"/>
  <c r="D144" i="4"/>
  <c r="H144" i="4"/>
  <c r="L144" i="4"/>
  <c r="P144" i="4"/>
  <c r="E145" i="4"/>
  <c r="I145" i="4"/>
  <c r="M145" i="4"/>
  <c r="Q145" i="4"/>
  <c r="F146" i="4"/>
  <c r="J146" i="4"/>
  <c r="N146" i="4"/>
  <c r="G147" i="4"/>
  <c r="K147" i="4"/>
  <c r="O147" i="4"/>
  <c r="D148" i="4"/>
  <c r="H148" i="4"/>
  <c r="L148" i="4"/>
  <c r="P148" i="4"/>
  <c r="E149" i="4"/>
  <c r="I149" i="4"/>
  <c r="M149" i="4"/>
  <c r="Q149" i="4"/>
  <c r="F150" i="4"/>
  <c r="J150" i="4"/>
  <c r="N150" i="4"/>
  <c r="G151" i="4"/>
  <c r="K151" i="4"/>
  <c r="O151" i="4"/>
  <c r="E153" i="4"/>
  <c r="I153" i="4"/>
  <c r="M153" i="4"/>
  <c r="Q153" i="4"/>
  <c r="F154" i="4"/>
  <c r="J154" i="4"/>
  <c r="N154" i="4"/>
  <c r="G155" i="4"/>
  <c r="K155" i="4"/>
  <c r="O155" i="4"/>
  <c r="D156" i="4"/>
  <c r="H156" i="4"/>
  <c r="L156" i="4"/>
  <c r="P156" i="4"/>
  <c r="E157" i="4"/>
  <c r="I157" i="4"/>
  <c r="M157" i="4"/>
  <c r="Q157" i="4"/>
  <c r="G158" i="4"/>
  <c r="K158" i="4"/>
  <c r="O158" i="4"/>
  <c r="E160" i="4"/>
  <c r="I160" i="4"/>
  <c r="M160" i="4"/>
  <c r="Q160" i="4"/>
  <c r="F161" i="4"/>
  <c r="J161" i="4"/>
  <c r="N161" i="4"/>
  <c r="G162" i="4"/>
  <c r="K162" i="4"/>
  <c r="O162" i="4"/>
  <c r="D163" i="4"/>
  <c r="H163" i="4"/>
  <c r="L163" i="4"/>
  <c r="P163" i="4"/>
  <c r="F165" i="4"/>
  <c r="J165" i="4"/>
  <c r="N165" i="4"/>
  <c r="G166" i="4"/>
  <c r="K166" i="4"/>
  <c r="O166" i="4"/>
  <c r="D167" i="4"/>
  <c r="H167" i="4"/>
  <c r="L167" i="4"/>
  <c r="P167" i="4"/>
  <c r="E168" i="4"/>
  <c r="I168" i="4"/>
  <c r="M168" i="4"/>
  <c r="Q168" i="4"/>
  <c r="F169" i="4"/>
  <c r="J169" i="4"/>
  <c r="N169" i="4"/>
  <c r="G170" i="4"/>
  <c r="K170" i="4"/>
  <c r="O170" i="4"/>
  <c r="D171" i="4"/>
  <c r="H171" i="4"/>
  <c r="L171" i="4"/>
  <c r="P171" i="4"/>
  <c r="E172" i="4"/>
  <c r="I172" i="4"/>
  <c r="M172" i="4"/>
  <c r="Q172" i="4"/>
  <c r="F173" i="4"/>
  <c r="J173" i="4"/>
  <c r="N173" i="4"/>
  <c r="F176" i="4"/>
  <c r="J176" i="4"/>
  <c r="N176" i="4"/>
  <c r="K178" i="4"/>
  <c r="O178" i="4"/>
  <c r="E179" i="4"/>
  <c r="I179" i="4"/>
  <c r="M179" i="4"/>
  <c r="Q179" i="4"/>
  <c r="F180" i="4"/>
  <c r="J180" i="4"/>
  <c r="N180" i="4"/>
  <c r="G181" i="4"/>
  <c r="K181" i="4"/>
  <c r="O181" i="4"/>
  <c r="D182" i="4"/>
  <c r="H182" i="4"/>
  <c r="L182" i="4"/>
  <c r="P182" i="4"/>
  <c r="F183" i="4"/>
  <c r="J183" i="4"/>
  <c r="N183" i="4"/>
  <c r="D184" i="4"/>
  <c r="H184" i="4"/>
  <c r="L184" i="4"/>
  <c r="P184" i="4"/>
  <c r="E185" i="4"/>
  <c r="I185" i="4"/>
  <c r="M185" i="4"/>
  <c r="Q185" i="4"/>
  <c r="F186" i="4"/>
  <c r="J186" i="4"/>
  <c r="N186" i="4"/>
  <c r="G187" i="4"/>
  <c r="K187" i="4"/>
  <c r="O187" i="4"/>
  <c r="D188" i="4"/>
  <c r="H188" i="4"/>
  <c r="L188" i="4"/>
  <c r="P188" i="4"/>
  <c r="E189" i="4"/>
  <c r="I189" i="4"/>
  <c r="M189" i="4"/>
  <c r="Q189" i="4"/>
  <c r="F190" i="4"/>
  <c r="J190" i="4"/>
  <c r="N190" i="4"/>
  <c r="G191" i="4"/>
  <c r="K191" i="4"/>
  <c r="O191" i="4"/>
  <c r="D192" i="4"/>
  <c r="H192" i="4"/>
  <c r="L192" i="4"/>
  <c r="P192" i="4"/>
  <c r="E193" i="4"/>
  <c r="I193" i="4"/>
  <c r="M193" i="4"/>
  <c r="Q193" i="4"/>
  <c r="F194" i="4"/>
  <c r="J194" i="4"/>
  <c r="N194" i="4"/>
  <c r="G195" i="4"/>
  <c r="K195" i="4"/>
  <c r="O195" i="4"/>
  <c r="D196" i="4"/>
  <c r="H196" i="4"/>
  <c r="L196" i="4"/>
  <c r="P196" i="4"/>
  <c r="F80" i="4"/>
  <c r="K80" i="4"/>
  <c r="O80" i="4"/>
  <c r="L81" i="4"/>
  <c r="P81" i="4"/>
  <c r="J82" i="4"/>
  <c r="N82" i="4"/>
  <c r="K83" i="4"/>
  <c r="O83" i="4"/>
  <c r="M85" i="4"/>
  <c r="Q85" i="4"/>
  <c r="G87" i="4"/>
  <c r="K87" i="4"/>
  <c r="O87" i="4"/>
  <c r="E89" i="4"/>
  <c r="I89" i="4"/>
  <c r="M89" i="4"/>
  <c r="Q89" i="4"/>
  <c r="F92" i="4"/>
  <c r="J92" i="4"/>
  <c r="N92" i="4"/>
  <c r="G93" i="4"/>
  <c r="K93" i="4"/>
  <c r="O93" i="4"/>
  <c r="D94" i="4"/>
  <c r="H94" i="4"/>
  <c r="L94" i="4"/>
  <c r="P94" i="4"/>
  <c r="E95" i="4"/>
  <c r="I95" i="4"/>
  <c r="M95" i="4"/>
  <c r="Q95" i="4"/>
  <c r="F96" i="4"/>
  <c r="J96" i="4"/>
  <c r="N96" i="4"/>
  <c r="G97" i="4"/>
  <c r="K97" i="4"/>
  <c r="O97" i="4"/>
  <c r="D98" i="4"/>
  <c r="H98" i="4"/>
  <c r="L98" i="4"/>
  <c r="P98" i="4"/>
  <c r="E99" i="4"/>
  <c r="I99" i="4"/>
  <c r="M99" i="4"/>
  <c r="Q99" i="4"/>
  <c r="G100" i="4"/>
  <c r="K100" i="4"/>
  <c r="O100" i="4"/>
  <c r="D102" i="4"/>
  <c r="H102" i="4"/>
  <c r="L102" i="4"/>
  <c r="P102" i="4"/>
  <c r="E103" i="4"/>
  <c r="I103" i="4"/>
  <c r="M103" i="4"/>
  <c r="Q103" i="4"/>
  <c r="F104" i="4"/>
  <c r="J104" i="4"/>
  <c r="N104" i="4"/>
  <c r="G105" i="4"/>
  <c r="K105" i="4"/>
  <c r="O105" i="4"/>
  <c r="E107" i="4"/>
  <c r="I107" i="4"/>
  <c r="M107" i="4"/>
  <c r="Q107" i="4"/>
  <c r="F108" i="4"/>
  <c r="J108" i="4"/>
  <c r="N108" i="4"/>
  <c r="G109" i="4"/>
  <c r="K109" i="4"/>
  <c r="O109" i="4"/>
  <c r="D110" i="4"/>
  <c r="H110" i="4"/>
  <c r="L110" i="4"/>
  <c r="P110" i="4"/>
  <c r="E111" i="4"/>
  <c r="I111" i="4"/>
  <c r="M111" i="4"/>
  <c r="Q111" i="4"/>
  <c r="G114" i="4"/>
  <c r="K114" i="4"/>
  <c r="O114" i="4"/>
  <c r="D115" i="4"/>
  <c r="H115" i="4"/>
  <c r="L115" i="4"/>
  <c r="P115" i="4"/>
  <c r="E116" i="4"/>
  <c r="I116" i="4"/>
  <c r="M116" i="4"/>
  <c r="Q116" i="4"/>
  <c r="F117" i="4"/>
  <c r="J117" i="4"/>
  <c r="N117" i="4"/>
  <c r="G118" i="4"/>
  <c r="K118" i="4"/>
  <c r="O118" i="4"/>
  <c r="D119" i="4"/>
  <c r="H119" i="4"/>
  <c r="L119" i="4"/>
  <c r="P119" i="4"/>
  <c r="E120" i="4"/>
  <c r="I120" i="4"/>
  <c r="M120" i="4"/>
  <c r="Q120" i="4"/>
  <c r="F121" i="4"/>
  <c r="J121" i="4"/>
  <c r="N121" i="4"/>
  <c r="G122" i="4"/>
  <c r="K122" i="4"/>
  <c r="O122" i="4"/>
  <c r="E124" i="4"/>
  <c r="I124" i="4"/>
  <c r="M124" i="4"/>
  <c r="Q124" i="4"/>
  <c r="F125" i="4"/>
  <c r="J125" i="4"/>
  <c r="N125" i="4"/>
  <c r="D126" i="4"/>
  <c r="H126" i="4"/>
  <c r="L126" i="4"/>
  <c r="P126" i="4"/>
  <c r="E127" i="4"/>
  <c r="I127" i="4"/>
  <c r="M127" i="4"/>
  <c r="Q127" i="4"/>
  <c r="F128" i="4"/>
  <c r="J128" i="4"/>
  <c r="N128" i="4"/>
  <c r="G129" i="4"/>
  <c r="K129" i="4"/>
  <c r="O129" i="4"/>
  <c r="D130" i="4"/>
  <c r="H130" i="4"/>
  <c r="L130" i="4"/>
  <c r="P130" i="4"/>
  <c r="E131" i="4"/>
  <c r="I131" i="4"/>
  <c r="M131" i="4"/>
  <c r="Q131" i="4"/>
  <c r="F132" i="4"/>
  <c r="J132" i="4"/>
  <c r="N132" i="4"/>
  <c r="G133" i="4"/>
  <c r="K133" i="4"/>
  <c r="O133" i="4"/>
  <c r="D134" i="4"/>
  <c r="H134" i="4"/>
  <c r="L134" i="4"/>
  <c r="P134" i="4"/>
  <c r="E135" i="4"/>
  <c r="I135" i="4"/>
  <c r="M135" i="4"/>
  <c r="Q135" i="4"/>
  <c r="F136" i="4"/>
  <c r="J136" i="4"/>
  <c r="N136" i="4"/>
  <c r="G138" i="4"/>
  <c r="K138" i="4"/>
  <c r="O138" i="4"/>
  <c r="D139" i="4"/>
  <c r="H139" i="4"/>
  <c r="L139" i="4"/>
  <c r="P139" i="4"/>
  <c r="E140" i="4"/>
  <c r="I140" i="4"/>
  <c r="M140" i="4"/>
  <c r="Q140" i="4"/>
  <c r="F141" i="4"/>
  <c r="J141" i="4"/>
  <c r="N141" i="4"/>
  <c r="G142" i="4"/>
  <c r="K142" i="4"/>
  <c r="O142" i="4"/>
  <c r="D143" i="4"/>
  <c r="H143" i="4"/>
  <c r="L143" i="4"/>
  <c r="P143" i="4"/>
  <c r="E144" i="4"/>
  <c r="I144" i="4"/>
  <c r="M144" i="4"/>
  <c r="Q144" i="4"/>
  <c r="F145" i="4"/>
  <c r="J145" i="4"/>
  <c r="N145" i="4"/>
  <c r="G146" i="4"/>
  <c r="K146" i="4"/>
  <c r="O146" i="4"/>
  <c r="D147" i="4"/>
  <c r="H147" i="4"/>
  <c r="L147" i="4"/>
  <c r="P147" i="4"/>
  <c r="E148" i="4"/>
  <c r="I148" i="4"/>
  <c r="M148" i="4"/>
  <c r="Q148" i="4"/>
  <c r="F149" i="4"/>
  <c r="J149" i="4"/>
  <c r="N149" i="4"/>
  <c r="G150" i="4"/>
  <c r="K150" i="4"/>
  <c r="O150" i="4"/>
  <c r="D151" i="4"/>
  <c r="H151" i="4"/>
  <c r="L151" i="4"/>
  <c r="P151" i="4"/>
  <c r="F153" i="4"/>
  <c r="J153" i="4"/>
  <c r="N153" i="4"/>
  <c r="G154" i="4"/>
  <c r="K154" i="4"/>
  <c r="O154" i="4"/>
  <c r="D155" i="4"/>
  <c r="H155" i="4"/>
  <c r="L155" i="4"/>
  <c r="P155" i="4"/>
  <c r="E156" i="4"/>
  <c r="I156" i="4"/>
  <c r="M156" i="4"/>
  <c r="Q156" i="4"/>
  <c r="F157" i="4"/>
  <c r="J157" i="4"/>
  <c r="N157" i="4"/>
  <c r="D158" i="4"/>
  <c r="H158" i="4"/>
  <c r="L158" i="4"/>
  <c r="P158" i="4"/>
  <c r="F160" i="4"/>
  <c r="J160" i="4"/>
  <c r="N160" i="4"/>
  <c r="G161" i="4"/>
  <c r="K161" i="4"/>
  <c r="O161" i="4"/>
  <c r="D162" i="4"/>
  <c r="H162" i="4"/>
  <c r="L162" i="4"/>
  <c r="P162" i="4"/>
  <c r="E163" i="4"/>
  <c r="I163" i="4"/>
  <c r="M163" i="4"/>
  <c r="Q163" i="4"/>
  <c r="G165" i="4"/>
  <c r="K165" i="4"/>
  <c r="O165" i="4"/>
  <c r="D166" i="4"/>
  <c r="H166" i="4"/>
  <c r="L166" i="4"/>
  <c r="P166" i="4"/>
  <c r="E167" i="4"/>
  <c r="I167" i="4"/>
  <c r="M167" i="4"/>
  <c r="Q167" i="4"/>
  <c r="F168" i="4"/>
  <c r="J168" i="4"/>
  <c r="N168" i="4"/>
  <c r="G169" i="4"/>
  <c r="K169" i="4"/>
  <c r="O169" i="4"/>
  <c r="D170" i="4"/>
  <c r="H170" i="4"/>
  <c r="L170" i="4"/>
  <c r="P170" i="4"/>
  <c r="E171" i="4"/>
  <c r="I171" i="4"/>
  <c r="M171" i="4"/>
  <c r="Q171" i="4"/>
  <c r="F172" i="4"/>
  <c r="J172" i="4"/>
  <c r="N172" i="4"/>
  <c r="G173" i="4"/>
  <c r="K173" i="4"/>
  <c r="O173" i="4"/>
  <c r="G176" i="4"/>
  <c r="K176" i="4"/>
  <c r="O176" i="4"/>
  <c r="L178" i="4"/>
  <c r="P178" i="4"/>
  <c r="F179" i="4"/>
  <c r="J179" i="4"/>
  <c r="N179" i="4"/>
  <c r="G180" i="4"/>
  <c r="K180" i="4"/>
  <c r="O180" i="4"/>
  <c r="D181" i="4"/>
  <c r="H181" i="4"/>
  <c r="L181" i="4"/>
  <c r="P181" i="4"/>
  <c r="E182" i="4"/>
  <c r="I182" i="4"/>
  <c r="M182" i="4"/>
  <c r="Q182" i="4"/>
  <c r="G183" i="4"/>
  <c r="K183" i="4"/>
  <c r="O183" i="4"/>
  <c r="E184" i="4"/>
  <c r="I184" i="4"/>
  <c r="M184" i="4"/>
  <c r="Q184" i="4"/>
  <c r="F185" i="4"/>
  <c r="J185" i="4"/>
  <c r="N185" i="4"/>
  <c r="G186" i="4"/>
  <c r="K186" i="4"/>
  <c r="O186" i="4"/>
  <c r="D187" i="4"/>
  <c r="H187" i="4"/>
  <c r="L187" i="4"/>
  <c r="P187" i="4"/>
  <c r="E188" i="4"/>
  <c r="I188" i="4"/>
  <c r="M188" i="4"/>
  <c r="Q188" i="4"/>
  <c r="F189" i="4"/>
  <c r="J189" i="4"/>
  <c r="N189" i="4"/>
  <c r="G190" i="4"/>
  <c r="K190" i="4"/>
  <c r="O190" i="4"/>
  <c r="D191" i="4"/>
  <c r="H191" i="4"/>
  <c r="L191" i="4"/>
  <c r="P191" i="4"/>
  <c r="E192" i="4"/>
  <c r="I192" i="4"/>
  <c r="M192" i="4"/>
  <c r="Q192" i="4"/>
  <c r="F193" i="4"/>
  <c r="J193" i="4"/>
  <c r="N193" i="4"/>
  <c r="G194" i="4"/>
  <c r="K194" i="4"/>
  <c r="O194" i="4"/>
  <c r="D195" i="4"/>
  <c r="H195" i="4"/>
  <c r="L195" i="4"/>
  <c r="P195" i="4"/>
  <c r="E196" i="4"/>
  <c r="I196" i="4"/>
  <c r="M196" i="4"/>
  <c r="Q196" i="4"/>
  <c r="D198" i="4"/>
  <c r="H198" i="4"/>
  <c r="L198" i="4"/>
  <c r="P198" i="4"/>
  <c r="E199" i="4"/>
  <c r="I199" i="4"/>
  <c r="M199" i="4"/>
  <c r="Q199" i="4"/>
  <c r="F200" i="4"/>
  <c r="J200" i="4"/>
  <c r="N200" i="4"/>
  <c r="G201" i="4"/>
  <c r="K201" i="4"/>
  <c r="O201" i="4"/>
  <c r="D202" i="4"/>
  <c r="H202" i="4"/>
  <c r="L202" i="4"/>
  <c r="P202" i="4"/>
  <c r="E203" i="4"/>
  <c r="I203" i="4"/>
  <c r="M203" i="4"/>
  <c r="Q203" i="4"/>
  <c r="F204" i="4"/>
  <c r="J204" i="4"/>
  <c r="N204" i="4"/>
  <c r="G205" i="4"/>
  <c r="K205" i="4"/>
  <c r="O205" i="4"/>
  <c r="D207" i="4"/>
  <c r="H207" i="4"/>
  <c r="L207" i="4"/>
  <c r="P207" i="4"/>
  <c r="E208" i="4"/>
  <c r="I208" i="4"/>
  <c r="M208" i="4"/>
  <c r="Q208" i="4"/>
  <c r="G209" i="4"/>
  <c r="K209" i="4"/>
  <c r="O209" i="4"/>
  <c r="E211" i="4"/>
  <c r="I211" i="4"/>
  <c r="M211" i="4"/>
  <c r="Q211" i="4"/>
  <c r="F213" i="4"/>
  <c r="J213" i="4"/>
  <c r="N213" i="4"/>
  <c r="G214" i="4"/>
  <c r="K214" i="4"/>
  <c r="O214" i="4"/>
  <c r="D215" i="4"/>
  <c r="H215" i="4"/>
  <c r="L215" i="4"/>
  <c r="P215" i="4"/>
  <c r="E216" i="4"/>
  <c r="I216" i="4"/>
  <c r="M216" i="4"/>
  <c r="Q216" i="4"/>
  <c r="G217" i="4"/>
  <c r="K217" i="4"/>
  <c r="O217" i="4"/>
  <c r="D218" i="4"/>
  <c r="H218" i="4"/>
  <c r="L218" i="4"/>
  <c r="P218" i="4"/>
  <c r="E219" i="4"/>
  <c r="I219" i="4"/>
  <c r="M219" i="4"/>
  <c r="Q219" i="4"/>
  <c r="F220" i="4"/>
  <c r="J220" i="4"/>
  <c r="N220" i="4"/>
  <c r="G221" i="4"/>
  <c r="K221" i="4"/>
  <c r="O221" i="4"/>
  <c r="D222" i="4"/>
  <c r="H222" i="4"/>
  <c r="L222" i="4"/>
  <c r="P222" i="4"/>
  <c r="E223" i="4"/>
  <c r="I223" i="4"/>
  <c r="M223" i="4"/>
  <c r="Q223" i="4"/>
  <c r="F224" i="4"/>
  <c r="J224" i="4"/>
  <c r="N224" i="4"/>
  <c r="G225" i="4"/>
  <c r="K225" i="4"/>
  <c r="O225" i="4"/>
  <c r="D227" i="4"/>
  <c r="H227" i="4"/>
  <c r="L227" i="4"/>
  <c r="P227" i="4"/>
  <c r="E228" i="4"/>
  <c r="I228" i="4"/>
  <c r="M228" i="4"/>
  <c r="Q228" i="4"/>
  <c r="F229" i="4"/>
  <c r="J229" i="4"/>
  <c r="N229" i="4"/>
  <c r="G230" i="4"/>
  <c r="K230" i="4"/>
  <c r="O230" i="4"/>
  <c r="D231" i="4"/>
  <c r="H231" i="4"/>
  <c r="L231" i="4"/>
  <c r="P231" i="4"/>
  <c r="E232" i="4"/>
  <c r="I232" i="4"/>
  <c r="M232" i="4"/>
  <c r="Q232" i="4"/>
  <c r="G234" i="4"/>
  <c r="K234" i="4"/>
  <c r="O234" i="4"/>
  <c r="D235" i="4"/>
  <c r="H235" i="4"/>
  <c r="L235" i="4"/>
  <c r="P235" i="4"/>
  <c r="E236" i="4"/>
  <c r="I236" i="4"/>
  <c r="M236" i="4"/>
  <c r="Q236" i="4"/>
  <c r="F237" i="4"/>
  <c r="J237" i="4"/>
  <c r="N237" i="4"/>
  <c r="D238" i="4"/>
  <c r="H238" i="4"/>
  <c r="L238" i="4"/>
  <c r="P238" i="4"/>
  <c r="E239" i="4"/>
  <c r="I239" i="4"/>
  <c r="M239" i="4"/>
  <c r="Q239" i="4"/>
  <c r="F240" i="4"/>
  <c r="J240" i="4"/>
  <c r="N240" i="4"/>
  <c r="G241" i="4"/>
  <c r="K241" i="4"/>
  <c r="O241" i="4"/>
  <c r="D242" i="4"/>
  <c r="H242" i="4"/>
  <c r="L242" i="4"/>
  <c r="P242" i="4"/>
  <c r="E243" i="4"/>
  <c r="I243" i="4"/>
  <c r="M243" i="4"/>
  <c r="Q243" i="4"/>
  <c r="F244" i="4"/>
  <c r="J244" i="4"/>
  <c r="N244" i="4"/>
  <c r="G245" i="4"/>
  <c r="K245" i="4"/>
  <c r="O245" i="4"/>
  <c r="D246" i="4"/>
  <c r="H246" i="4"/>
  <c r="L246" i="4"/>
  <c r="P246" i="4"/>
  <c r="E247" i="4"/>
  <c r="I247" i="4"/>
  <c r="M247" i="4"/>
  <c r="Q247" i="4"/>
  <c r="F248" i="4"/>
  <c r="J248" i="4"/>
  <c r="N248" i="4"/>
  <c r="D249" i="4"/>
  <c r="H249" i="4"/>
  <c r="L249" i="4"/>
  <c r="P249" i="4"/>
  <c r="E250" i="4"/>
  <c r="I250" i="4"/>
  <c r="M250" i="4"/>
  <c r="Q250" i="4"/>
  <c r="F251" i="4"/>
  <c r="J251" i="4"/>
  <c r="N251" i="4"/>
  <c r="G252" i="4"/>
  <c r="K252" i="4"/>
  <c r="O252" i="4"/>
  <c r="D253" i="4"/>
  <c r="H253" i="4"/>
  <c r="L253" i="4"/>
  <c r="P253" i="4"/>
  <c r="E254" i="4"/>
  <c r="I254" i="4"/>
  <c r="M254" i="4"/>
  <c r="Q254" i="4"/>
  <c r="F255" i="4"/>
  <c r="J255" i="4"/>
  <c r="N255" i="4"/>
  <c r="G256" i="4"/>
  <c r="K256" i="4"/>
  <c r="O256" i="4"/>
  <c r="D257" i="4"/>
  <c r="H257" i="4"/>
  <c r="L257" i="4"/>
  <c r="P257" i="4"/>
  <c r="F258" i="4"/>
  <c r="J258" i="4"/>
  <c r="N258" i="4"/>
  <c r="D259" i="4"/>
  <c r="H259" i="4"/>
  <c r="L259" i="4"/>
  <c r="P259" i="4"/>
  <c r="E260" i="4"/>
  <c r="I260" i="4"/>
  <c r="M260" i="4"/>
  <c r="Q260" i="4"/>
  <c r="F261" i="4"/>
  <c r="J261" i="4"/>
  <c r="N261" i="4"/>
  <c r="G263" i="4"/>
  <c r="K263" i="4"/>
  <c r="O263" i="4"/>
  <c r="D264" i="4"/>
  <c r="H264" i="4"/>
  <c r="L264" i="4"/>
  <c r="P264" i="4"/>
  <c r="E265" i="4"/>
  <c r="I265" i="4"/>
  <c r="M265" i="4"/>
  <c r="Q265" i="4"/>
  <c r="G266" i="4"/>
  <c r="K266" i="4"/>
  <c r="O266" i="4"/>
  <c r="E268" i="4"/>
  <c r="I268" i="4"/>
  <c r="M268" i="4"/>
  <c r="Q268" i="4"/>
  <c r="E271" i="4"/>
  <c r="I271" i="4"/>
  <c r="M271" i="4"/>
  <c r="Q271" i="4"/>
  <c r="F272" i="4"/>
  <c r="J272" i="4"/>
  <c r="N272" i="4"/>
  <c r="D273" i="4"/>
  <c r="H273" i="4"/>
  <c r="L273" i="4"/>
  <c r="P273" i="4"/>
  <c r="G277" i="4"/>
  <c r="K277" i="4"/>
  <c r="O277" i="4"/>
  <c r="D278" i="4"/>
  <c r="H278" i="4"/>
  <c r="L278" i="4"/>
  <c r="P278" i="4"/>
  <c r="E279" i="4"/>
  <c r="I279" i="4"/>
  <c r="M279" i="4"/>
  <c r="Q279" i="4"/>
  <c r="F280" i="4"/>
  <c r="J280" i="4"/>
  <c r="N280" i="4"/>
  <c r="G282" i="4"/>
  <c r="K282" i="4"/>
  <c r="O282" i="4"/>
  <c r="D283" i="4"/>
  <c r="H283" i="4"/>
  <c r="L283" i="4"/>
  <c r="P283" i="4"/>
  <c r="E284" i="4"/>
  <c r="I284" i="4"/>
  <c r="M284" i="4"/>
  <c r="Q284" i="4"/>
  <c r="G285" i="4"/>
  <c r="K285" i="4"/>
  <c r="O285" i="4"/>
  <c r="D286" i="4"/>
  <c r="H286" i="4"/>
  <c r="L286" i="4"/>
  <c r="P286" i="4"/>
  <c r="F288" i="4"/>
  <c r="J288" i="4"/>
  <c r="N288" i="4"/>
  <c r="D289" i="4"/>
  <c r="H289" i="4"/>
  <c r="L289" i="4"/>
  <c r="P289" i="4"/>
  <c r="F290" i="4"/>
  <c r="J290" i="4"/>
  <c r="N290" i="4"/>
  <c r="G291" i="4"/>
  <c r="K291" i="4"/>
  <c r="O291" i="4"/>
  <c r="D292" i="4"/>
  <c r="H292" i="4"/>
  <c r="L292" i="4"/>
  <c r="P292" i="4"/>
  <c r="E293" i="4"/>
  <c r="I293" i="4"/>
  <c r="M293" i="4"/>
  <c r="Q293" i="4"/>
  <c r="F294" i="4"/>
  <c r="J294" i="4"/>
  <c r="N294" i="4"/>
  <c r="G295" i="4"/>
  <c r="K295" i="4"/>
  <c r="O295" i="4"/>
  <c r="E296" i="4"/>
  <c r="I296" i="4"/>
  <c r="M296" i="4"/>
  <c r="Q296" i="4"/>
  <c r="F297" i="4"/>
  <c r="J297" i="4"/>
  <c r="N297" i="4"/>
  <c r="D299" i="4"/>
  <c r="H299" i="4"/>
  <c r="L299" i="4"/>
  <c r="P299" i="4"/>
  <c r="E300" i="4"/>
  <c r="I300" i="4"/>
  <c r="M300" i="4"/>
  <c r="Q300" i="4"/>
  <c r="F301" i="4"/>
  <c r="J301" i="4"/>
  <c r="N301" i="4"/>
  <c r="G302" i="4"/>
  <c r="K302" i="4"/>
  <c r="O302" i="4"/>
  <c r="E305" i="4"/>
  <c r="I305" i="4"/>
  <c r="M305" i="4"/>
  <c r="Q305" i="4"/>
  <c r="F306" i="4"/>
  <c r="J306" i="4"/>
  <c r="N306" i="4"/>
  <c r="G307" i="4"/>
  <c r="K307" i="4"/>
  <c r="O307" i="4"/>
  <c r="D308" i="4"/>
  <c r="H308" i="4"/>
  <c r="L308" i="4"/>
  <c r="P308" i="4"/>
  <c r="E309" i="4"/>
  <c r="I309" i="4"/>
  <c r="M309" i="4"/>
  <c r="Q309" i="4"/>
  <c r="F310" i="4"/>
  <c r="J310" i="4"/>
  <c r="N310" i="4"/>
  <c r="G311" i="4"/>
  <c r="K311" i="4"/>
  <c r="O311" i="4"/>
  <c r="D312" i="4"/>
  <c r="H312" i="4"/>
  <c r="L312" i="4"/>
  <c r="P312" i="4"/>
  <c r="E313" i="4"/>
  <c r="I313" i="4"/>
  <c r="M313" i="4"/>
  <c r="Q313" i="4"/>
  <c r="F314" i="4"/>
  <c r="J314" i="4"/>
  <c r="N314" i="4"/>
  <c r="G315" i="4"/>
  <c r="K315" i="4"/>
  <c r="O315" i="4"/>
  <c r="D316" i="4"/>
  <c r="H316" i="4"/>
  <c r="L316" i="4"/>
  <c r="P316" i="4"/>
  <c r="E317" i="4"/>
  <c r="I317" i="4"/>
  <c r="M317" i="4"/>
  <c r="Q317" i="4"/>
  <c r="F318" i="4"/>
  <c r="J318" i="4"/>
  <c r="N318" i="4"/>
  <c r="G319" i="4"/>
  <c r="K319" i="4"/>
  <c r="O319" i="4"/>
  <c r="D320" i="4"/>
  <c r="H320" i="4"/>
  <c r="L320" i="4"/>
  <c r="P320" i="4"/>
  <c r="E321" i="4"/>
  <c r="I321" i="4"/>
  <c r="M321" i="4"/>
  <c r="Q321" i="4"/>
  <c r="F322" i="4"/>
  <c r="J322" i="4"/>
  <c r="N322" i="4"/>
  <c r="G324" i="4"/>
  <c r="K324" i="4"/>
  <c r="O324" i="4"/>
  <c r="D325" i="4"/>
  <c r="H325" i="4"/>
  <c r="L325" i="4"/>
  <c r="P325" i="4"/>
  <c r="E326" i="4"/>
  <c r="I326" i="4"/>
  <c r="M326" i="4"/>
  <c r="Q326" i="4"/>
  <c r="G327" i="4"/>
  <c r="K327" i="4"/>
  <c r="O327" i="4"/>
  <c r="D328" i="4"/>
  <c r="H328" i="4"/>
  <c r="L328" i="4"/>
  <c r="P328" i="4"/>
  <c r="E329" i="4"/>
  <c r="I329" i="4"/>
  <c r="M329" i="4"/>
  <c r="Q329" i="4"/>
  <c r="F330" i="4"/>
  <c r="J330" i="4"/>
  <c r="N330" i="4"/>
  <c r="D332" i="4"/>
  <c r="H332" i="4"/>
  <c r="L332" i="4"/>
  <c r="P332" i="4"/>
  <c r="E333" i="4"/>
  <c r="I333" i="4"/>
  <c r="M333" i="4"/>
  <c r="Q333" i="4"/>
  <c r="F334" i="4"/>
  <c r="J334" i="4"/>
  <c r="N334" i="4"/>
  <c r="D336" i="4"/>
  <c r="H336" i="4"/>
  <c r="L336" i="4"/>
  <c r="P336" i="4"/>
  <c r="E337" i="4"/>
  <c r="I337" i="4"/>
  <c r="M337" i="4"/>
  <c r="Q337" i="4"/>
  <c r="F338" i="4"/>
  <c r="J338" i="4"/>
  <c r="N338" i="4"/>
  <c r="G339" i="4"/>
  <c r="K339" i="4"/>
  <c r="O339" i="4"/>
  <c r="D340" i="4"/>
  <c r="H340" i="4"/>
  <c r="L340" i="4"/>
  <c r="P340" i="4"/>
  <c r="E342" i="4"/>
  <c r="M342" i="4"/>
  <c r="Q342" i="4"/>
  <c r="G345" i="4"/>
  <c r="K345" i="4"/>
  <c r="O345" i="4"/>
  <c r="D346" i="4"/>
  <c r="H346" i="4"/>
  <c r="L346" i="4"/>
  <c r="P346" i="4"/>
  <c r="E347" i="4"/>
  <c r="I347" i="4"/>
  <c r="M347" i="4"/>
  <c r="Q347" i="4"/>
  <c r="G349" i="4"/>
  <c r="K349" i="4"/>
  <c r="O349" i="4"/>
  <c r="D350" i="4"/>
  <c r="H350" i="4"/>
  <c r="L350" i="4"/>
  <c r="P350" i="4"/>
  <c r="E351" i="4"/>
  <c r="I351" i="4"/>
  <c r="M351" i="4"/>
  <c r="Q351" i="4"/>
  <c r="F352" i="4"/>
  <c r="J352" i="4"/>
  <c r="N352" i="4"/>
  <c r="G353" i="4"/>
  <c r="K353" i="4"/>
  <c r="O353" i="4"/>
  <c r="D354" i="4"/>
  <c r="H354" i="4"/>
  <c r="L354" i="4"/>
  <c r="P354" i="4"/>
  <c r="E355" i="4"/>
  <c r="I355" i="4"/>
  <c r="M355" i="4"/>
  <c r="Q355" i="4"/>
  <c r="F356" i="4"/>
  <c r="J356" i="4"/>
  <c r="N356" i="4"/>
  <c r="G357" i="4"/>
  <c r="K357" i="4"/>
  <c r="O357" i="4"/>
  <c r="D358" i="4"/>
  <c r="H358" i="4"/>
  <c r="L358" i="4"/>
  <c r="P358" i="4"/>
  <c r="F360" i="4"/>
  <c r="J360" i="4"/>
  <c r="N360" i="4"/>
  <c r="D361" i="4"/>
  <c r="H361" i="4"/>
  <c r="L361" i="4"/>
  <c r="P361" i="4"/>
  <c r="E362" i="4"/>
  <c r="I362" i="4"/>
  <c r="M362" i="4"/>
  <c r="Q362" i="4"/>
  <c r="G363" i="4"/>
  <c r="K363" i="4"/>
  <c r="O363" i="4"/>
  <c r="D364" i="4"/>
  <c r="H364" i="4"/>
  <c r="L364" i="4"/>
  <c r="P364" i="4"/>
  <c r="F365" i="4"/>
  <c r="J365" i="4"/>
  <c r="N365" i="4"/>
  <c r="G366" i="4"/>
  <c r="K366" i="4"/>
  <c r="O366" i="4"/>
  <c r="D367" i="4"/>
  <c r="H367" i="4"/>
  <c r="L367" i="4"/>
  <c r="P367" i="4"/>
  <c r="E368" i="4"/>
  <c r="I368" i="4"/>
  <c r="M368" i="4"/>
  <c r="Q368" i="4"/>
  <c r="G370" i="4"/>
  <c r="K370" i="4"/>
  <c r="O370" i="4"/>
  <c r="D371" i="4"/>
  <c r="H371" i="4"/>
  <c r="L371" i="4"/>
  <c r="P371" i="4"/>
  <c r="E372" i="4"/>
  <c r="I372" i="4"/>
  <c r="M372" i="4"/>
  <c r="Q372" i="4"/>
  <c r="G374" i="4"/>
  <c r="K374" i="4"/>
  <c r="O374" i="4"/>
  <c r="D375" i="4"/>
  <c r="H375" i="4"/>
  <c r="L375" i="4"/>
  <c r="P375" i="4"/>
  <c r="E376" i="4"/>
  <c r="I376" i="4"/>
  <c r="M376" i="4"/>
  <c r="Q376" i="4"/>
  <c r="D378" i="4"/>
  <c r="H378" i="4"/>
  <c r="L378" i="4"/>
  <c r="P378" i="4"/>
  <c r="E379" i="4"/>
  <c r="I379" i="4"/>
  <c r="M379" i="4"/>
  <c r="Q379" i="4"/>
  <c r="F380" i="4"/>
  <c r="J380" i="4"/>
  <c r="N380" i="4"/>
  <c r="G381" i="4"/>
  <c r="K381" i="4"/>
  <c r="O381" i="4"/>
  <c r="D382" i="4"/>
  <c r="H382" i="4"/>
  <c r="L382" i="4"/>
  <c r="P382" i="4"/>
  <c r="E383" i="4"/>
  <c r="I383" i="4"/>
  <c r="M383" i="4"/>
  <c r="Q383" i="4"/>
  <c r="F384" i="4"/>
  <c r="J384" i="4"/>
  <c r="N384" i="4"/>
  <c r="G385" i="4"/>
  <c r="K385" i="4"/>
  <c r="O385" i="4"/>
  <c r="D386" i="4"/>
  <c r="H386" i="4"/>
  <c r="L386" i="4"/>
  <c r="P386" i="4"/>
  <c r="E387" i="4"/>
  <c r="I387" i="4"/>
  <c r="M387" i="4"/>
  <c r="Q387" i="4"/>
  <c r="F388" i="4"/>
  <c r="J388" i="4"/>
  <c r="N388" i="4"/>
  <c r="G389" i="4"/>
  <c r="K389" i="4"/>
  <c r="O389" i="4"/>
  <c r="D390" i="4"/>
  <c r="H390" i="4"/>
  <c r="L390" i="4"/>
  <c r="P390" i="4"/>
  <c r="E392" i="4"/>
  <c r="I392" i="4"/>
  <c r="M392" i="4"/>
  <c r="Q392" i="4"/>
  <c r="G394" i="4"/>
  <c r="K394" i="4"/>
  <c r="O394" i="4"/>
  <c r="F398" i="4"/>
  <c r="J398" i="4"/>
  <c r="N398" i="4"/>
  <c r="G400" i="4"/>
  <c r="K400" i="4"/>
  <c r="O400" i="4"/>
  <c r="E402" i="4"/>
  <c r="I402" i="4"/>
  <c r="M402" i="4"/>
  <c r="Q402" i="4"/>
  <c r="F403" i="4"/>
  <c r="J403" i="4"/>
  <c r="N403" i="4"/>
  <c r="G404" i="4"/>
  <c r="K404" i="4"/>
  <c r="O404" i="4"/>
  <c r="D405" i="4"/>
  <c r="H405" i="4"/>
  <c r="L405" i="4"/>
  <c r="P405" i="4"/>
  <c r="E406" i="4"/>
  <c r="I406" i="4"/>
  <c r="M406" i="4"/>
  <c r="Q406" i="4"/>
  <c r="F408" i="4"/>
  <c r="J408" i="4"/>
  <c r="N408" i="4"/>
  <c r="G409" i="4"/>
  <c r="K409" i="4"/>
  <c r="O409" i="4"/>
  <c r="D410" i="4"/>
  <c r="H410" i="4"/>
  <c r="L410" i="4"/>
  <c r="P410" i="4"/>
  <c r="E411" i="4"/>
  <c r="I411" i="4"/>
  <c r="M411" i="4"/>
  <c r="Q411" i="4"/>
  <c r="F412" i="4"/>
  <c r="J412" i="4"/>
  <c r="N412" i="4"/>
  <c r="G413" i="4"/>
  <c r="K413" i="4"/>
  <c r="O413" i="4"/>
  <c r="D414" i="4"/>
  <c r="H414" i="4"/>
  <c r="L414" i="4"/>
  <c r="P414" i="4"/>
  <c r="E415" i="4"/>
  <c r="I415" i="4"/>
  <c r="M415" i="4"/>
  <c r="Q415" i="4"/>
  <c r="F416" i="4"/>
  <c r="J416" i="4"/>
  <c r="N416" i="4"/>
  <c r="D418" i="4"/>
  <c r="H418" i="4"/>
  <c r="L418" i="4"/>
  <c r="P418" i="4"/>
  <c r="E419" i="4"/>
  <c r="I419" i="4"/>
  <c r="M419" i="4"/>
  <c r="Q419" i="4"/>
  <c r="F420" i="4"/>
  <c r="J420" i="4"/>
  <c r="N420" i="4"/>
  <c r="G421" i="4"/>
  <c r="K421" i="4"/>
  <c r="O421" i="4"/>
  <c r="D422" i="4"/>
  <c r="H422" i="4"/>
  <c r="L422" i="4"/>
  <c r="P422" i="4"/>
  <c r="E423" i="4"/>
  <c r="I423" i="4"/>
  <c r="M423" i="4"/>
  <c r="Q423" i="4"/>
  <c r="F424" i="4"/>
  <c r="J424" i="4"/>
  <c r="N424" i="4"/>
  <c r="G425" i="4"/>
  <c r="K425" i="4"/>
  <c r="O425" i="4"/>
  <c r="D426" i="4"/>
  <c r="H426" i="4"/>
  <c r="L426" i="4"/>
  <c r="P426" i="4"/>
  <c r="F427" i="4"/>
  <c r="J427" i="4"/>
  <c r="N427" i="4"/>
  <c r="G428" i="4"/>
  <c r="K428" i="4"/>
  <c r="O428" i="4"/>
  <c r="E198" i="4"/>
  <c r="I198" i="4"/>
  <c r="M198" i="4"/>
  <c r="Q198" i="4"/>
  <c r="F199" i="4"/>
  <c r="J199" i="4"/>
  <c r="N199" i="4"/>
  <c r="G200" i="4"/>
  <c r="K200" i="4"/>
  <c r="O200" i="4"/>
  <c r="D201" i="4"/>
  <c r="H201" i="4"/>
  <c r="L201" i="4"/>
  <c r="P201" i="4"/>
  <c r="E202" i="4"/>
  <c r="I202" i="4"/>
  <c r="M202" i="4"/>
  <c r="Q202" i="4"/>
  <c r="F203" i="4"/>
  <c r="J203" i="4"/>
  <c r="N203" i="4"/>
  <c r="G204" i="4"/>
  <c r="K204" i="4"/>
  <c r="O204" i="4"/>
  <c r="D205" i="4"/>
  <c r="H205" i="4"/>
  <c r="L205" i="4"/>
  <c r="P205" i="4"/>
  <c r="E207" i="4"/>
  <c r="I207" i="4"/>
  <c r="M207" i="4"/>
  <c r="Q207" i="4"/>
  <c r="F208" i="4"/>
  <c r="J208" i="4"/>
  <c r="N208" i="4"/>
  <c r="D209" i="4"/>
  <c r="H209" i="4"/>
  <c r="L209" i="4"/>
  <c r="P209" i="4"/>
  <c r="F211" i="4"/>
  <c r="J211" i="4"/>
  <c r="N211" i="4"/>
  <c r="G213" i="4"/>
  <c r="K213" i="4"/>
  <c r="O213" i="4"/>
  <c r="D214" i="4"/>
  <c r="H214" i="4"/>
  <c r="L214" i="4"/>
  <c r="P214" i="4"/>
  <c r="E215" i="4"/>
  <c r="I215" i="4"/>
  <c r="M215" i="4"/>
  <c r="Q215" i="4"/>
  <c r="F216" i="4"/>
  <c r="J216" i="4"/>
  <c r="N216" i="4"/>
  <c r="D217" i="4"/>
  <c r="H217" i="4"/>
  <c r="L217" i="4"/>
  <c r="P217" i="4"/>
  <c r="E218" i="4"/>
  <c r="I218" i="4"/>
  <c r="M218" i="4"/>
  <c r="Q218" i="4"/>
  <c r="F219" i="4"/>
  <c r="J219" i="4"/>
  <c r="N219" i="4"/>
  <c r="G220" i="4"/>
  <c r="K220" i="4"/>
  <c r="O220" i="4"/>
  <c r="D221" i="4"/>
  <c r="H221" i="4"/>
  <c r="L221" i="4"/>
  <c r="P221" i="4"/>
  <c r="E222" i="4"/>
  <c r="I222" i="4"/>
  <c r="M222" i="4"/>
  <c r="Q222" i="4"/>
  <c r="F223" i="4"/>
  <c r="J223" i="4"/>
  <c r="N223" i="4"/>
  <c r="G224" i="4"/>
  <c r="K224" i="4"/>
  <c r="O224" i="4"/>
  <c r="D225" i="4"/>
  <c r="H225" i="4"/>
  <c r="L225" i="4"/>
  <c r="P225" i="4"/>
  <c r="E227" i="4"/>
  <c r="I227" i="4"/>
  <c r="M227" i="4"/>
  <c r="Q227" i="4"/>
  <c r="F228" i="4"/>
  <c r="J228" i="4"/>
  <c r="N228" i="4"/>
  <c r="G229" i="4"/>
  <c r="K229" i="4"/>
  <c r="O229" i="4"/>
  <c r="D230" i="4"/>
  <c r="H230" i="4"/>
  <c r="L230" i="4"/>
  <c r="P230" i="4"/>
  <c r="E231" i="4"/>
  <c r="I231" i="4"/>
  <c r="M231" i="4"/>
  <c r="Q231" i="4"/>
  <c r="F232" i="4"/>
  <c r="J232" i="4"/>
  <c r="N232" i="4"/>
  <c r="D234" i="4"/>
  <c r="H234" i="4"/>
  <c r="L234" i="4"/>
  <c r="P234" i="4"/>
  <c r="E235" i="4"/>
  <c r="I235" i="4"/>
  <c r="M235" i="4"/>
  <c r="Q235" i="4"/>
  <c r="F236" i="4"/>
  <c r="J236" i="4"/>
  <c r="N236" i="4"/>
  <c r="G237" i="4"/>
  <c r="K237" i="4"/>
  <c r="O237" i="4"/>
  <c r="E238" i="4"/>
  <c r="I238" i="4"/>
  <c r="M238" i="4"/>
  <c r="Q238" i="4"/>
  <c r="F239" i="4"/>
  <c r="J239" i="4"/>
  <c r="N239" i="4"/>
  <c r="G240" i="4"/>
  <c r="K240" i="4"/>
  <c r="O240" i="4"/>
  <c r="D241" i="4"/>
  <c r="H241" i="4"/>
  <c r="L241" i="4"/>
  <c r="P241" i="4"/>
  <c r="E242" i="4"/>
  <c r="I242" i="4"/>
  <c r="M242" i="4"/>
  <c r="Q242" i="4"/>
  <c r="F243" i="4"/>
  <c r="J243" i="4"/>
  <c r="N243" i="4"/>
  <c r="G244" i="4"/>
  <c r="K244" i="4"/>
  <c r="O244" i="4"/>
  <c r="D245" i="4"/>
  <c r="H245" i="4"/>
  <c r="L245" i="4"/>
  <c r="P245" i="4"/>
  <c r="E246" i="4"/>
  <c r="I246" i="4"/>
  <c r="M246" i="4"/>
  <c r="Q246" i="4"/>
  <c r="F247" i="4"/>
  <c r="J247" i="4"/>
  <c r="N247" i="4"/>
  <c r="G248" i="4"/>
  <c r="K248" i="4"/>
  <c r="O248" i="4"/>
  <c r="E249" i="4"/>
  <c r="I249" i="4"/>
  <c r="M249" i="4"/>
  <c r="Q249" i="4"/>
  <c r="F250" i="4"/>
  <c r="J250" i="4"/>
  <c r="N250" i="4"/>
  <c r="G251" i="4"/>
  <c r="K251" i="4"/>
  <c r="O251" i="4"/>
  <c r="D252" i="4"/>
  <c r="H252" i="4"/>
  <c r="L252" i="4"/>
  <c r="P252" i="4"/>
  <c r="E253" i="4"/>
  <c r="I253" i="4"/>
  <c r="M253" i="4"/>
  <c r="Q253" i="4"/>
  <c r="F254" i="4"/>
  <c r="J254" i="4"/>
  <c r="N254" i="4"/>
  <c r="G255" i="4"/>
  <c r="K255" i="4"/>
  <c r="O255" i="4"/>
  <c r="D256" i="4"/>
  <c r="H256" i="4"/>
  <c r="L256" i="4"/>
  <c r="P256" i="4"/>
  <c r="E257" i="4"/>
  <c r="I257" i="4"/>
  <c r="M257" i="4"/>
  <c r="Q257" i="4"/>
  <c r="G258" i="4"/>
  <c r="K258" i="4"/>
  <c r="O258" i="4"/>
  <c r="E259" i="4"/>
  <c r="I259" i="4"/>
  <c r="M259" i="4"/>
  <c r="Q259" i="4"/>
  <c r="F260" i="4"/>
  <c r="J260" i="4"/>
  <c r="N260" i="4"/>
  <c r="G261" i="4"/>
  <c r="K261" i="4"/>
  <c r="O261" i="4"/>
  <c r="D263" i="4"/>
  <c r="H263" i="4"/>
  <c r="L263" i="4"/>
  <c r="P263" i="4"/>
  <c r="E264" i="4"/>
  <c r="I264" i="4"/>
  <c r="M264" i="4"/>
  <c r="Q264" i="4"/>
  <c r="F265" i="4"/>
  <c r="J265" i="4"/>
  <c r="N265" i="4"/>
  <c r="D266" i="4"/>
  <c r="H266" i="4"/>
  <c r="L266" i="4"/>
  <c r="P266" i="4"/>
  <c r="F268" i="4"/>
  <c r="J268" i="4"/>
  <c r="N268" i="4"/>
  <c r="F271" i="4"/>
  <c r="J271" i="4"/>
  <c r="N271" i="4"/>
  <c r="G272" i="4"/>
  <c r="K272" i="4"/>
  <c r="O272" i="4"/>
  <c r="E273" i="4"/>
  <c r="I273" i="4"/>
  <c r="M273" i="4"/>
  <c r="Q273" i="4"/>
  <c r="D277" i="4"/>
  <c r="H277" i="4"/>
  <c r="L277" i="4"/>
  <c r="P277" i="4"/>
  <c r="E278" i="4"/>
  <c r="I278" i="4"/>
  <c r="M278" i="4"/>
  <c r="Q278" i="4"/>
  <c r="F279" i="4"/>
  <c r="J279" i="4"/>
  <c r="N279" i="4"/>
  <c r="G280" i="4"/>
  <c r="K280" i="4"/>
  <c r="O280" i="4"/>
  <c r="D282" i="4"/>
  <c r="H282" i="4"/>
  <c r="L282" i="4"/>
  <c r="P282" i="4"/>
  <c r="E283" i="4"/>
  <c r="I283" i="4"/>
  <c r="M283" i="4"/>
  <c r="Q283" i="4"/>
  <c r="F284" i="4"/>
  <c r="J284" i="4"/>
  <c r="N284" i="4"/>
  <c r="D285" i="4"/>
  <c r="H285" i="4"/>
  <c r="L285" i="4"/>
  <c r="P285" i="4"/>
  <c r="E286" i="4"/>
  <c r="I286" i="4"/>
  <c r="M286" i="4"/>
  <c r="Q286" i="4"/>
  <c r="G288" i="4"/>
  <c r="K288" i="4"/>
  <c r="O288" i="4"/>
  <c r="E289" i="4"/>
  <c r="I289" i="4"/>
  <c r="M289" i="4"/>
  <c r="Q289" i="4"/>
  <c r="G290" i="4"/>
  <c r="K290" i="4"/>
  <c r="O290" i="4"/>
  <c r="D291" i="4"/>
  <c r="H291" i="4"/>
  <c r="L291" i="4"/>
  <c r="P291" i="4"/>
  <c r="E292" i="4"/>
  <c r="I292" i="4"/>
  <c r="M292" i="4"/>
  <c r="Q292" i="4"/>
  <c r="F293" i="4"/>
  <c r="J293" i="4"/>
  <c r="N293" i="4"/>
  <c r="G294" i="4"/>
  <c r="K294" i="4"/>
  <c r="O294" i="4"/>
  <c r="D295" i="4"/>
  <c r="H295" i="4"/>
  <c r="L295" i="4"/>
  <c r="P295" i="4"/>
  <c r="F296" i="4"/>
  <c r="J296" i="4"/>
  <c r="N296" i="4"/>
  <c r="G297" i="4"/>
  <c r="K297" i="4"/>
  <c r="O297" i="4"/>
  <c r="E299" i="4"/>
  <c r="I299" i="4"/>
  <c r="M299" i="4"/>
  <c r="Q299" i="4"/>
  <c r="F300" i="4"/>
  <c r="J300" i="4"/>
  <c r="N300" i="4"/>
  <c r="G301" i="4"/>
  <c r="K301" i="4"/>
  <c r="O301" i="4"/>
  <c r="D302" i="4"/>
  <c r="H302" i="4"/>
  <c r="L302" i="4"/>
  <c r="P302" i="4"/>
  <c r="F305" i="4"/>
  <c r="J305" i="4"/>
  <c r="N305" i="4"/>
  <c r="G306" i="4"/>
  <c r="K306" i="4"/>
  <c r="O306" i="4"/>
  <c r="D307" i="4"/>
  <c r="H307" i="4"/>
  <c r="L307" i="4"/>
  <c r="P307" i="4"/>
  <c r="E308" i="4"/>
  <c r="I308" i="4"/>
  <c r="M308" i="4"/>
  <c r="Q308" i="4"/>
  <c r="F309" i="4"/>
  <c r="J309" i="4"/>
  <c r="N309" i="4"/>
  <c r="G310" i="4"/>
  <c r="K310" i="4"/>
  <c r="O310" i="4"/>
  <c r="D311" i="4"/>
  <c r="H311" i="4"/>
  <c r="L311" i="4"/>
  <c r="P311" i="4"/>
  <c r="E312" i="4"/>
  <c r="I312" i="4"/>
  <c r="M312" i="4"/>
  <c r="Q312" i="4"/>
  <c r="F313" i="4"/>
  <c r="J313" i="4"/>
  <c r="N313" i="4"/>
  <c r="G314" i="4"/>
  <c r="K314" i="4"/>
  <c r="O314" i="4"/>
  <c r="D315" i="4"/>
  <c r="H315" i="4"/>
  <c r="L315" i="4"/>
  <c r="P315" i="4"/>
  <c r="E316" i="4"/>
  <c r="I316" i="4"/>
  <c r="M316" i="4"/>
  <c r="Q316" i="4"/>
  <c r="F317" i="4"/>
  <c r="J317" i="4"/>
  <c r="N317" i="4"/>
  <c r="G318" i="4"/>
  <c r="K318" i="4"/>
  <c r="O318" i="4"/>
  <c r="D319" i="4"/>
  <c r="H319" i="4"/>
  <c r="L319" i="4"/>
  <c r="P319" i="4"/>
  <c r="E320" i="4"/>
  <c r="I320" i="4"/>
  <c r="M320" i="4"/>
  <c r="Q320" i="4"/>
  <c r="F321" i="4"/>
  <c r="J321" i="4"/>
  <c r="N321" i="4"/>
  <c r="G322" i="4"/>
  <c r="K322" i="4"/>
  <c r="O322" i="4"/>
  <c r="D324" i="4"/>
  <c r="H324" i="4"/>
  <c r="L324" i="4"/>
  <c r="P324" i="4"/>
  <c r="E325" i="4"/>
  <c r="I325" i="4"/>
  <c r="M325" i="4"/>
  <c r="Q325" i="4"/>
  <c r="F326" i="4"/>
  <c r="J326" i="4"/>
  <c r="N326" i="4"/>
  <c r="D327" i="4"/>
  <c r="H327" i="4"/>
  <c r="L327" i="4"/>
  <c r="P327" i="4"/>
  <c r="E328" i="4"/>
  <c r="I328" i="4"/>
  <c r="M328" i="4"/>
  <c r="Q328" i="4"/>
  <c r="F329" i="4"/>
  <c r="J329" i="4"/>
  <c r="N329" i="4"/>
  <c r="G330" i="4"/>
  <c r="K330" i="4"/>
  <c r="O330" i="4"/>
  <c r="E332" i="4"/>
  <c r="I332" i="4"/>
  <c r="M332" i="4"/>
  <c r="Q332" i="4"/>
  <c r="F333" i="4"/>
  <c r="J333" i="4"/>
  <c r="N333" i="4"/>
  <c r="G334" i="4"/>
  <c r="K334" i="4"/>
  <c r="O334" i="4"/>
  <c r="E336" i="4"/>
  <c r="I336" i="4"/>
  <c r="M336" i="4"/>
  <c r="Q336" i="4"/>
  <c r="F337" i="4"/>
  <c r="J337" i="4"/>
  <c r="N337" i="4"/>
  <c r="G338" i="4"/>
  <c r="K338" i="4"/>
  <c r="O338" i="4"/>
  <c r="D339" i="4"/>
  <c r="H339" i="4"/>
  <c r="L339" i="4"/>
  <c r="P339" i="4"/>
  <c r="E340" i="4"/>
  <c r="I340" i="4"/>
  <c r="M340" i="4"/>
  <c r="Q340" i="4"/>
  <c r="F342" i="4"/>
  <c r="N342" i="4"/>
  <c r="D345" i="4"/>
  <c r="H345" i="4"/>
  <c r="L345" i="4"/>
  <c r="P345" i="4"/>
  <c r="E346" i="4"/>
  <c r="I346" i="4"/>
  <c r="M346" i="4"/>
  <c r="Q346" i="4"/>
  <c r="F347" i="4"/>
  <c r="J347" i="4"/>
  <c r="N347" i="4"/>
  <c r="D349" i="4"/>
  <c r="H349" i="4"/>
  <c r="L349" i="4"/>
  <c r="P349" i="4"/>
  <c r="E350" i="4"/>
  <c r="I350" i="4"/>
  <c r="M350" i="4"/>
  <c r="Q350" i="4"/>
  <c r="F351" i="4"/>
  <c r="J351" i="4"/>
  <c r="N351" i="4"/>
  <c r="G352" i="4"/>
  <c r="K352" i="4"/>
  <c r="O352" i="4"/>
  <c r="D353" i="4"/>
  <c r="H353" i="4"/>
  <c r="L353" i="4"/>
  <c r="P353" i="4"/>
  <c r="E354" i="4"/>
  <c r="I354" i="4"/>
  <c r="M354" i="4"/>
  <c r="Q354" i="4"/>
  <c r="F355" i="4"/>
  <c r="J355" i="4"/>
  <c r="N355" i="4"/>
  <c r="G356" i="4"/>
  <c r="K356" i="4"/>
  <c r="O356" i="4"/>
  <c r="D357" i="4"/>
  <c r="H357" i="4"/>
  <c r="L357" i="4"/>
  <c r="P357" i="4"/>
  <c r="E358" i="4"/>
  <c r="I358" i="4"/>
  <c r="M358" i="4"/>
  <c r="Q358" i="4"/>
  <c r="G360" i="4"/>
  <c r="K360" i="4"/>
  <c r="O360" i="4"/>
  <c r="E361" i="4"/>
  <c r="I361" i="4"/>
  <c r="M361" i="4"/>
  <c r="Q361" i="4"/>
  <c r="F362" i="4"/>
  <c r="J362" i="4"/>
  <c r="N362" i="4"/>
  <c r="D363" i="4"/>
  <c r="H363" i="4"/>
  <c r="L363" i="4"/>
  <c r="P363" i="4"/>
  <c r="E364" i="4"/>
  <c r="I364" i="4"/>
  <c r="M364" i="4"/>
  <c r="Q364" i="4"/>
  <c r="G365" i="4"/>
  <c r="K365" i="4"/>
  <c r="O365" i="4"/>
  <c r="D366" i="4"/>
  <c r="H366" i="4"/>
  <c r="L366" i="4"/>
  <c r="P366" i="4"/>
  <c r="E367" i="4"/>
  <c r="I367" i="4"/>
  <c r="M367" i="4"/>
  <c r="Q367" i="4"/>
  <c r="F368" i="4"/>
  <c r="J368" i="4"/>
  <c r="N368" i="4"/>
  <c r="D370" i="4"/>
  <c r="H370" i="4"/>
  <c r="L370" i="4"/>
  <c r="P370" i="4"/>
  <c r="E371" i="4"/>
  <c r="I371" i="4"/>
  <c r="M371" i="4"/>
  <c r="Q371" i="4"/>
  <c r="F372" i="4"/>
  <c r="J372" i="4"/>
  <c r="N372" i="4"/>
  <c r="D374" i="4"/>
  <c r="H374" i="4"/>
  <c r="L374" i="4"/>
  <c r="P374" i="4"/>
  <c r="E375" i="4"/>
  <c r="I375" i="4"/>
  <c r="M375" i="4"/>
  <c r="Q375" i="4"/>
  <c r="F376" i="4"/>
  <c r="J376" i="4"/>
  <c r="N376" i="4"/>
  <c r="E378" i="4"/>
  <c r="I378" i="4"/>
  <c r="M378" i="4"/>
  <c r="Q378" i="4"/>
  <c r="F379" i="4"/>
  <c r="J379" i="4"/>
  <c r="N379" i="4"/>
  <c r="G380" i="4"/>
  <c r="K380" i="4"/>
  <c r="O380" i="4"/>
  <c r="D381" i="4"/>
  <c r="H381" i="4"/>
  <c r="L381" i="4"/>
  <c r="P381" i="4"/>
  <c r="E382" i="4"/>
  <c r="I382" i="4"/>
  <c r="M382" i="4"/>
  <c r="Q382" i="4"/>
  <c r="F383" i="4"/>
  <c r="J383" i="4"/>
  <c r="N383" i="4"/>
  <c r="G384" i="4"/>
  <c r="O384" i="4"/>
  <c r="D385" i="4"/>
  <c r="H385" i="4"/>
  <c r="L385" i="4"/>
  <c r="P385" i="4"/>
  <c r="E386" i="4"/>
  <c r="I386" i="4"/>
  <c r="M386" i="4"/>
  <c r="Q386" i="4"/>
  <c r="F387" i="4"/>
  <c r="J387" i="4"/>
  <c r="N387" i="4"/>
  <c r="G388" i="4"/>
  <c r="K388" i="4"/>
  <c r="O388" i="4"/>
  <c r="D389" i="4"/>
  <c r="H389" i="4"/>
  <c r="L389" i="4"/>
  <c r="P389" i="4"/>
  <c r="E390" i="4"/>
  <c r="I390" i="4"/>
  <c r="M390" i="4"/>
  <c r="Q390" i="4"/>
  <c r="F392" i="4"/>
  <c r="J392" i="4"/>
  <c r="N392" i="4"/>
  <c r="D394" i="4"/>
  <c r="H394" i="4"/>
  <c r="L394" i="4"/>
  <c r="P394" i="4"/>
  <c r="G398" i="4"/>
  <c r="K398" i="4"/>
  <c r="O398" i="4"/>
  <c r="D400" i="4"/>
  <c r="H400" i="4"/>
  <c r="L400" i="4"/>
  <c r="P400" i="4"/>
  <c r="F402" i="4"/>
  <c r="J402" i="4"/>
  <c r="N402" i="4"/>
  <c r="G403" i="4"/>
  <c r="K403" i="4"/>
  <c r="O403" i="4"/>
  <c r="D404" i="4"/>
  <c r="H404" i="4"/>
  <c r="L404" i="4"/>
  <c r="P404" i="4"/>
  <c r="E405" i="4"/>
  <c r="I405" i="4"/>
  <c r="M405" i="4"/>
  <c r="Q405" i="4"/>
  <c r="F406" i="4"/>
  <c r="J406" i="4"/>
  <c r="N406" i="4"/>
  <c r="G408" i="4"/>
  <c r="K408" i="4"/>
  <c r="O408" i="4"/>
  <c r="D409" i="4"/>
  <c r="H409" i="4"/>
  <c r="L409" i="4"/>
  <c r="P409" i="4"/>
  <c r="E410" i="4"/>
  <c r="I410" i="4"/>
  <c r="M410" i="4"/>
  <c r="Q410" i="4"/>
  <c r="F411" i="4"/>
  <c r="J411" i="4"/>
  <c r="N411" i="4"/>
  <c r="G412" i="4"/>
  <c r="K412" i="4"/>
  <c r="O412" i="4"/>
  <c r="D413" i="4"/>
  <c r="H413" i="4"/>
  <c r="L413" i="4"/>
  <c r="P413" i="4"/>
  <c r="E414" i="4"/>
  <c r="I414" i="4"/>
  <c r="M414" i="4"/>
  <c r="Q414" i="4"/>
  <c r="F415" i="4"/>
  <c r="J415" i="4"/>
  <c r="N415" i="4"/>
  <c r="G416" i="4"/>
  <c r="K416" i="4"/>
  <c r="O416" i="4"/>
  <c r="E418" i="4"/>
  <c r="I418" i="4"/>
  <c r="M418" i="4"/>
  <c r="Q418" i="4"/>
  <c r="F419" i="4"/>
  <c r="J419" i="4"/>
  <c r="N419" i="4"/>
  <c r="G420" i="4"/>
  <c r="K420" i="4"/>
  <c r="O420" i="4"/>
  <c r="D421" i="4"/>
  <c r="H421" i="4"/>
  <c r="L421" i="4"/>
  <c r="P421" i="4"/>
  <c r="E422" i="4"/>
  <c r="I422" i="4"/>
  <c r="M422" i="4"/>
  <c r="Q422" i="4"/>
  <c r="F423" i="4"/>
  <c r="J423" i="4"/>
  <c r="N423" i="4"/>
  <c r="G424" i="4"/>
  <c r="K424" i="4"/>
  <c r="O424" i="4"/>
  <c r="D425" i="4"/>
  <c r="H425" i="4"/>
  <c r="L425" i="4"/>
  <c r="P425" i="4"/>
  <c r="E426" i="4"/>
  <c r="I426" i="4"/>
  <c r="M426" i="4"/>
  <c r="Q426" i="4"/>
  <c r="G427" i="4"/>
  <c r="K427" i="4"/>
  <c r="O427" i="4"/>
  <c r="D428" i="4"/>
  <c r="H428" i="4"/>
  <c r="L428" i="4"/>
  <c r="P428" i="4"/>
  <c r="F198" i="4"/>
  <c r="J198" i="4"/>
  <c r="N198" i="4"/>
  <c r="G199" i="4"/>
  <c r="K199" i="4"/>
  <c r="O199" i="4"/>
  <c r="D200" i="4"/>
  <c r="H200" i="4"/>
  <c r="L200" i="4"/>
  <c r="P200" i="4"/>
  <c r="E201" i="4"/>
  <c r="I201" i="4"/>
  <c r="M201" i="4"/>
  <c r="Q201" i="4"/>
  <c r="F202" i="4"/>
  <c r="J202" i="4"/>
  <c r="N202" i="4"/>
  <c r="G203" i="4"/>
  <c r="K203" i="4"/>
  <c r="O203" i="4"/>
  <c r="D204" i="4"/>
  <c r="H204" i="4"/>
  <c r="L204" i="4"/>
  <c r="P204" i="4"/>
  <c r="E205" i="4"/>
  <c r="I205" i="4"/>
  <c r="M205" i="4"/>
  <c r="Q205" i="4"/>
  <c r="F207" i="4"/>
  <c r="J207" i="4"/>
  <c r="N207" i="4"/>
  <c r="G208" i="4"/>
  <c r="K208" i="4"/>
  <c r="O208" i="4"/>
  <c r="E209" i="4"/>
  <c r="I209" i="4"/>
  <c r="M209" i="4"/>
  <c r="Q209" i="4"/>
  <c r="G211" i="4"/>
  <c r="K211" i="4"/>
  <c r="O211" i="4"/>
  <c r="D213" i="4"/>
  <c r="H213" i="4"/>
  <c r="L213" i="4"/>
  <c r="P213" i="4"/>
  <c r="E214" i="4"/>
  <c r="I214" i="4"/>
  <c r="M214" i="4"/>
  <c r="Q214" i="4"/>
  <c r="F215" i="4"/>
  <c r="J215" i="4"/>
  <c r="N215" i="4"/>
  <c r="G216" i="4"/>
  <c r="K216" i="4"/>
  <c r="O216" i="4"/>
  <c r="E217" i="4"/>
  <c r="I217" i="4"/>
  <c r="M217" i="4"/>
  <c r="Q217" i="4"/>
  <c r="F218" i="4"/>
  <c r="J218" i="4"/>
  <c r="N218" i="4"/>
  <c r="G219" i="4"/>
  <c r="K219" i="4"/>
  <c r="O219" i="4"/>
  <c r="D220" i="4"/>
  <c r="H220" i="4"/>
  <c r="L220" i="4"/>
  <c r="P220" i="4"/>
  <c r="E221" i="4"/>
  <c r="I221" i="4"/>
  <c r="M221" i="4"/>
  <c r="Q221" i="4"/>
  <c r="F222" i="4"/>
  <c r="J222" i="4"/>
  <c r="N222" i="4"/>
  <c r="G223" i="4"/>
  <c r="K223" i="4"/>
  <c r="O223" i="4"/>
  <c r="D224" i="4"/>
  <c r="H224" i="4"/>
  <c r="L224" i="4"/>
  <c r="P224" i="4"/>
  <c r="E225" i="4"/>
  <c r="I225" i="4"/>
  <c r="M225" i="4"/>
  <c r="Q225" i="4"/>
  <c r="F227" i="4"/>
  <c r="J227" i="4"/>
  <c r="N227" i="4"/>
  <c r="G228" i="4"/>
  <c r="K228" i="4"/>
  <c r="O228" i="4"/>
  <c r="D229" i="4"/>
  <c r="H229" i="4"/>
  <c r="L229" i="4"/>
  <c r="P229" i="4"/>
  <c r="E230" i="4"/>
  <c r="I230" i="4"/>
  <c r="M230" i="4"/>
  <c r="Q230" i="4"/>
  <c r="F231" i="4"/>
  <c r="J231" i="4"/>
  <c r="N231" i="4"/>
  <c r="G232" i="4"/>
  <c r="K232" i="4"/>
  <c r="O232" i="4"/>
  <c r="E234" i="4"/>
  <c r="I234" i="4"/>
  <c r="M234" i="4"/>
  <c r="Q234" i="4"/>
  <c r="F235" i="4"/>
  <c r="J235" i="4"/>
  <c r="N235" i="4"/>
  <c r="G236" i="4"/>
  <c r="K236" i="4"/>
  <c r="O236" i="4"/>
  <c r="D237" i="4"/>
  <c r="H237" i="4"/>
  <c r="L237" i="4"/>
  <c r="P237" i="4"/>
  <c r="F238" i="4"/>
  <c r="J238" i="4"/>
  <c r="N238" i="4"/>
  <c r="G239" i="4"/>
  <c r="K239" i="4"/>
  <c r="O239" i="4"/>
  <c r="D240" i="4"/>
  <c r="H240" i="4"/>
  <c r="L240" i="4"/>
  <c r="P240" i="4"/>
  <c r="E241" i="4"/>
  <c r="I241" i="4"/>
  <c r="M241" i="4"/>
  <c r="Q241" i="4"/>
  <c r="F242" i="4"/>
  <c r="J242" i="4"/>
  <c r="N242" i="4"/>
  <c r="G243" i="4"/>
  <c r="K243" i="4"/>
  <c r="O243" i="4"/>
  <c r="D244" i="4"/>
  <c r="H244" i="4"/>
  <c r="L244" i="4"/>
  <c r="P244" i="4"/>
  <c r="E245" i="4"/>
  <c r="I245" i="4"/>
  <c r="M245" i="4"/>
  <c r="Q245" i="4"/>
  <c r="F246" i="4"/>
  <c r="J246" i="4"/>
  <c r="N246" i="4"/>
  <c r="G247" i="4"/>
  <c r="K247" i="4"/>
  <c r="O247" i="4"/>
  <c r="D248" i="4"/>
  <c r="H248" i="4"/>
  <c r="L248" i="4"/>
  <c r="P248" i="4"/>
  <c r="F249" i="4"/>
  <c r="J249" i="4"/>
  <c r="N249" i="4"/>
  <c r="G250" i="4"/>
  <c r="K250" i="4"/>
  <c r="O250" i="4"/>
  <c r="D251" i="4"/>
  <c r="H251" i="4"/>
  <c r="L251" i="4"/>
  <c r="P251" i="4"/>
  <c r="E252" i="4"/>
  <c r="I252" i="4"/>
  <c r="M252" i="4"/>
  <c r="Q252" i="4"/>
  <c r="F253" i="4"/>
  <c r="J253" i="4"/>
  <c r="N253" i="4"/>
  <c r="G254" i="4"/>
  <c r="K254" i="4"/>
  <c r="O254" i="4"/>
  <c r="D255" i="4"/>
  <c r="H255" i="4"/>
  <c r="L255" i="4"/>
  <c r="P255" i="4"/>
  <c r="E256" i="4"/>
  <c r="I256" i="4"/>
  <c r="M256" i="4"/>
  <c r="Q256" i="4"/>
  <c r="F257" i="4"/>
  <c r="J257" i="4"/>
  <c r="N257" i="4"/>
  <c r="D258" i="4"/>
  <c r="H258" i="4"/>
  <c r="L258" i="4"/>
  <c r="P258" i="4"/>
  <c r="F259" i="4"/>
  <c r="J259" i="4"/>
  <c r="N259" i="4"/>
  <c r="G260" i="4"/>
  <c r="K260" i="4"/>
  <c r="O260" i="4"/>
  <c r="D261" i="4"/>
  <c r="H261" i="4"/>
  <c r="L261" i="4"/>
  <c r="P261" i="4"/>
  <c r="E263" i="4"/>
  <c r="I263" i="4"/>
  <c r="M263" i="4"/>
  <c r="Q263" i="4"/>
  <c r="F264" i="4"/>
  <c r="J264" i="4"/>
  <c r="N264" i="4"/>
  <c r="G265" i="4"/>
  <c r="K265" i="4"/>
  <c r="O265" i="4"/>
  <c r="E266" i="4"/>
  <c r="I266" i="4"/>
  <c r="M266" i="4"/>
  <c r="Q266" i="4"/>
  <c r="G268" i="4"/>
  <c r="K268" i="4"/>
  <c r="O268" i="4"/>
  <c r="G271" i="4"/>
  <c r="K271" i="4"/>
  <c r="O271" i="4"/>
  <c r="D272" i="4"/>
  <c r="H272" i="4"/>
  <c r="L272" i="4"/>
  <c r="P272" i="4"/>
  <c r="F273" i="4"/>
  <c r="J273" i="4"/>
  <c r="N273" i="4"/>
  <c r="E277" i="4"/>
  <c r="I277" i="4"/>
  <c r="M277" i="4"/>
  <c r="Q277" i="4"/>
  <c r="F278" i="4"/>
  <c r="J278" i="4"/>
  <c r="N278" i="4"/>
  <c r="G279" i="4"/>
  <c r="K279" i="4"/>
  <c r="O279" i="4"/>
  <c r="D280" i="4"/>
  <c r="H280" i="4"/>
  <c r="L280" i="4"/>
  <c r="P280" i="4"/>
  <c r="E282" i="4"/>
  <c r="I282" i="4"/>
  <c r="M282" i="4"/>
  <c r="Q282" i="4"/>
  <c r="F283" i="4"/>
  <c r="J283" i="4"/>
  <c r="N283" i="4"/>
  <c r="G284" i="4"/>
  <c r="K284" i="4"/>
  <c r="O284" i="4"/>
  <c r="E285" i="4"/>
  <c r="I285" i="4"/>
  <c r="M285" i="4"/>
  <c r="Q285" i="4"/>
  <c r="F286" i="4"/>
  <c r="J286" i="4"/>
  <c r="N286" i="4"/>
  <c r="D288" i="4"/>
  <c r="H288" i="4"/>
  <c r="L288" i="4"/>
  <c r="P288" i="4"/>
  <c r="F289" i="4"/>
  <c r="J289" i="4"/>
  <c r="N289" i="4"/>
  <c r="D290" i="4"/>
  <c r="H290" i="4"/>
  <c r="L290" i="4"/>
  <c r="P290" i="4"/>
  <c r="E291" i="4"/>
  <c r="I291" i="4"/>
  <c r="M291" i="4"/>
  <c r="Q291" i="4"/>
  <c r="F292" i="4"/>
  <c r="J292" i="4"/>
  <c r="N292" i="4"/>
  <c r="G293" i="4"/>
  <c r="K293" i="4"/>
  <c r="O293" i="4"/>
  <c r="D294" i="4"/>
  <c r="H294" i="4"/>
  <c r="L294" i="4"/>
  <c r="P294" i="4"/>
  <c r="E295" i="4"/>
  <c r="I295" i="4"/>
  <c r="M295" i="4"/>
  <c r="Q295" i="4"/>
  <c r="G296" i="4"/>
  <c r="K296" i="4"/>
  <c r="O296" i="4"/>
  <c r="D297" i="4"/>
  <c r="H297" i="4"/>
  <c r="L297" i="4"/>
  <c r="P297" i="4"/>
  <c r="F299" i="4"/>
  <c r="J299" i="4"/>
  <c r="N299" i="4"/>
  <c r="G300" i="4"/>
  <c r="K300" i="4"/>
  <c r="O300" i="4"/>
  <c r="D301" i="4"/>
  <c r="H301" i="4"/>
  <c r="L301" i="4"/>
  <c r="P301" i="4"/>
  <c r="E302" i="4"/>
  <c r="I302" i="4"/>
  <c r="M302" i="4"/>
  <c r="G305" i="4"/>
  <c r="K305" i="4"/>
  <c r="O305" i="4"/>
  <c r="D306" i="4"/>
  <c r="H306" i="4"/>
  <c r="L306" i="4"/>
  <c r="P306" i="4"/>
  <c r="E307" i="4"/>
  <c r="I307" i="4"/>
  <c r="M307" i="4"/>
  <c r="Q307" i="4"/>
  <c r="F308" i="4"/>
  <c r="J308" i="4"/>
  <c r="N308" i="4"/>
  <c r="G309" i="4"/>
  <c r="K309" i="4"/>
  <c r="O309" i="4"/>
  <c r="D310" i="4"/>
  <c r="H310" i="4"/>
  <c r="L310" i="4"/>
  <c r="P310" i="4"/>
  <c r="E311" i="4"/>
  <c r="I311" i="4"/>
  <c r="M311" i="4"/>
  <c r="Q311" i="4"/>
  <c r="F312" i="4"/>
  <c r="J312" i="4"/>
  <c r="N312" i="4"/>
  <c r="G313" i="4"/>
  <c r="K313" i="4"/>
  <c r="O313" i="4"/>
  <c r="D314" i="4"/>
  <c r="H314" i="4"/>
  <c r="L314" i="4"/>
  <c r="P314" i="4"/>
  <c r="E315" i="4"/>
  <c r="I315" i="4"/>
  <c r="M315" i="4"/>
  <c r="Q315" i="4"/>
  <c r="F316" i="4"/>
  <c r="J316" i="4"/>
  <c r="N316" i="4"/>
  <c r="G317" i="4"/>
  <c r="K317" i="4"/>
  <c r="O317" i="4"/>
  <c r="D318" i="4"/>
  <c r="H318" i="4"/>
  <c r="L318" i="4"/>
  <c r="P318" i="4"/>
  <c r="E319" i="4"/>
  <c r="I319" i="4"/>
  <c r="M319" i="4"/>
  <c r="Q319" i="4"/>
  <c r="F320" i="4"/>
  <c r="J320" i="4"/>
  <c r="N320" i="4"/>
  <c r="G321" i="4"/>
  <c r="K321" i="4"/>
  <c r="O321" i="4"/>
  <c r="D322" i="4"/>
  <c r="H322" i="4"/>
  <c r="L322" i="4"/>
  <c r="P322" i="4"/>
  <c r="E324" i="4"/>
  <c r="I324" i="4"/>
  <c r="M324" i="4"/>
  <c r="Q324" i="4"/>
  <c r="F325" i="4"/>
  <c r="J325" i="4"/>
  <c r="N325" i="4"/>
  <c r="G326" i="4"/>
  <c r="K326" i="4"/>
  <c r="O326" i="4"/>
  <c r="E327" i="4"/>
  <c r="I327" i="4"/>
  <c r="M327" i="4"/>
  <c r="Q327" i="4"/>
  <c r="F328" i="4"/>
  <c r="J328" i="4"/>
  <c r="N328" i="4"/>
  <c r="G329" i="4"/>
  <c r="K329" i="4"/>
  <c r="O329" i="4"/>
  <c r="D330" i="4"/>
  <c r="H330" i="4"/>
  <c r="L330" i="4"/>
  <c r="P330" i="4"/>
  <c r="F332" i="4"/>
  <c r="J332" i="4"/>
  <c r="N332" i="4"/>
  <c r="G333" i="4"/>
  <c r="K333" i="4"/>
  <c r="O333" i="4"/>
  <c r="D334" i="4"/>
  <c r="H334" i="4"/>
  <c r="L334" i="4"/>
  <c r="P334" i="4"/>
  <c r="F336" i="4"/>
  <c r="J336" i="4"/>
  <c r="N336" i="4"/>
  <c r="G337" i="4"/>
  <c r="K337" i="4"/>
  <c r="O337" i="4"/>
  <c r="D338" i="4"/>
  <c r="H338" i="4"/>
  <c r="L338" i="4"/>
  <c r="P338" i="4"/>
  <c r="E339" i="4"/>
  <c r="I339" i="4"/>
  <c r="M339" i="4"/>
  <c r="Q339" i="4"/>
  <c r="F340" i="4"/>
  <c r="J340" i="4"/>
  <c r="N340" i="4"/>
  <c r="G342" i="4"/>
  <c r="O342" i="4"/>
  <c r="E345" i="4"/>
  <c r="I345" i="4"/>
  <c r="M345" i="4"/>
  <c r="Q345" i="4"/>
  <c r="F346" i="4"/>
  <c r="J346" i="4"/>
  <c r="N346" i="4"/>
  <c r="G347" i="4"/>
  <c r="K347" i="4"/>
  <c r="O347" i="4"/>
  <c r="E349" i="4"/>
  <c r="I349" i="4"/>
  <c r="M349" i="4"/>
  <c r="Q349" i="4"/>
  <c r="F350" i="4"/>
  <c r="J350" i="4"/>
  <c r="N350" i="4"/>
  <c r="G351" i="4"/>
  <c r="K351" i="4"/>
  <c r="O351" i="4"/>
  <c r="D352" i="4"/>
  <c r="H352" i="4"/>
  <c r="L352" i="4"/>
  <c r="P352" i="4"/>
  <c r="E353" i="4"/>
  <c r="I353" i="4"/>
  <c r="M353" i="4"/>
  <c r="Q353" i="4"/>
  <c r="F354" i="4"/>
  <c r="J354" i="4"/>
  <c r="N354" i="4"/>
  <c r="G355" i="4"/>
  <c r="K355" i="4"/>
  <c r="O355" i="4"/>
  <c r="D356" i="4"/>
  <c r="H356" i="4"/>
  <c r="L356" i="4"/>
  <c r="P356" i="4"/>
  <c r="E357" i="4"/>
  <c r="I357" i="4"/>
  <c r="M357" i="4"/>
  <c r="Q357" i="4"/>
  <c r="F358" i="4"/>
  <c r="J358" i="4"/>
  <c r="N358" i="4"/>
  <c r="D360" i="4"/>
  <c r="H360" i="4"/>
  <c r="L360" i="4"/>
  <c r="P360" i="4"/>
  <c r="F361" i="4"/>
  <c r="J361" i="4"/>
  <c r="N361" i="4"/>
  <c r="G362" i="4"/>
  <c r="K362" i="4"/>
  <c r="O362" i="4"/>
  <c r="E363" i="4"/>
  <c r="I363" i="4"/>
  <c r="M363" i="4"/>
  <c r="Q363" i="4"/>
  <c r="F364" i="4"/>
  <c r="J364" i="4"/>
  <c r="N364" i="4"/>
  <c r="D365" i="4"/>
  <c r="H365" i="4"/>
  <c r="L365" i="4"/>
  <c r="P365" i="4"/>
  <c r="E366" i="4"/>
  <c r="I366" i="4"/>
  <c r="M366" i="4"/>
  <c r="Q366" i="4"/>
  <c r="F367" i="4"/>
  <c r="J367" i="4"/>
  <c r="N367" i="4"/>
  <c r="G368" i="4"/>
  <c r="K368" i="4"/>
  <c r="O368" i="4"/>
  <c r="E370" i="4"/>
  <c r="I370" i="4"/>
  <c r="M370" i="4"/>
  <c r="Q370" i="4"/>
  <c r="F371" i="4"/>
  <c r="J371" i="4"/>
  <c r="N371" i="4"/>
  <c r="G372" i="4"/>
  <c r="K372" i="4"/>
  <c r="O372" i="4"/>
  <c r="E374" i="4"/>
  <c r="I374" i="4"/>
  <c r="M374" i="4"/>
  <c r="Q374" i="4"/>
  <c r="F375" i="4"/>
  <c r="J375" i="4"/>
  <c r="N375" i="4"/>
  <c r="G376" i="4"/>
  <c r="K376" i="4"/>
  <c r="O376" i="4"/>
  <c r="F378" i="4"/>
  <c r="J378" i="4"/>
  <c r="N378" i="4"/>
  <c r="G379" i="4"/>
  <c r="K379" i="4"/>
  <c r="O379" i="4"/>
  <c r="D380" i="4"/>
  <c r="H380" i="4"/>
  <c r="L380" i="4"/>
  <c r="P380" i="4"/>
  <c r="E381" i="4"/>
  <c r="I381" i="4"/>
  <c r="M381" i="4"/>
  <c r="Q381" i="4"/>
  <c r="F382" i="4"/>
  <c r="J382" i="4"/>
  <c r="N382" i="4"/>
  <c r="G383" i="4"/>
  <c r="K383" i="4"/>
  <c r="O383" i="4"/>
  <c r="D384" i="4"/>
  <c r="H384" i="4"/>
  <c r="P384" i="4"/>
  <c r="E385" i="4"/>
  <c r="I385" i="4"/>
  <c r="M385" i="4"/>
  <c r="Q385" i="4"/>
  <c r="F386" i="4"/>
  <c r="J386" i="4"/>
  <c r="N386" i="4"/>
  <c r="G387" i="4"/>
  <c r="K387" i="4"/>
  <c r="O387" i="4"/>
  <c r="D388" i="4"/>
  <c r="H388" i="4"/>
  <c r="L388" i="4"/>
  <c r="P388" i="4"/>
  <c r="E389" i="4"/>
  <c r="I389" i="4"/>
  <c r="M389" i="4"/>
  <c r="Q389" i="4"/>
  <c r="F390" i="4"/>
  <c r="J390" i="4"/>
  <c r="N390" i="4"/>
  <c r="G392" i="4"/>
  <c r="K392" i="4"/>
  <c r="O392" i="4"/>
  <c r="E394" i="4"/>
  <c r="I394" i="4"/>
  <c r="M394" i="4"/>
  <c r="Q394" i="4"/>
  <c r="D398" i="4"/>
  <c r="H398" i="4"/>
  <c r="L398" i="4"/>
  <c r="P398" i="4"/>
  <c r="E400" i="4"/>
  <c r="I400" i="4"/>
  <c r="M400" i="4"/>
  <c r="Q400" i="4"/>
  <c r="G402" i="4"/>
  <c r="K402" i="4"/>
  <c r="O402" i="4"/>
  <c r="D403" i="4"/>
  <c r="H403" i="4"/>
  <c r="L403" i="4"/>
  <c r="P403" i="4"/>
  <c r="E404" i="4"/>
  <c r="I404" i="4"/>
  <c r="M404" i="4"/>
  <c r="Q404" i="4"/>
  <c r="F405" i="4"/>
  <c r="J405" i="4"/>
  <c r="N405" i="4"/>
  <c r="G406" i="4"/>
  <c r="K406" i="4"/>
  <c r="O406" i="4"/>
  <c r="D408" i="4"/>
  <c r="H408" i="4"/>
  <c r="L408" i="4"/>
  <c r="P408" i="4"/>
  <c r="E409" i="4"/>
  <c r="I409" i="4"/>
  <c r="M409" i="4"/>
  <c r="Q409" i="4"/>
  <c r="F410" i="4"/>
  <c r="J410" i="4"/>
  <c r="N410" i="4"/>
  <c r="G411" i="4"/>
  <c r="K411" i="4"/>
  <c r="O411" i="4"/>
  <c r="D412" i="4"/>
  <c r="H412" i="4"/>
  <c r="L412" i="4"/>
  <c r="P412" i="4"/>
  <c r="E413" i="4"/>
  <c r="I413" i="4"/>
  <c r="M413" i="4"/>
  <c r="Q413" i="4"/>
  <c r="F414" i="4"/>
  <c r="J414" i="4"/>
  <c r="N414" i="4"/>
  <c r="G415" i="4"/>
  <c r="K415" i="4"/>
  <c r="O415" i="4"/>
  <c r="D416" i="4"/>
  <c r="H416" i="4"/>
  <c r="L416" i="4"/>
  <c r="P416" i="4"/>
  <c r="F418" i="4"/>
  <c r="J418" i="4"/>
  <c r="N418" i="4"/>
  <c r="G419" i="4"/>
  <c r="K419" i="4"/>
  <c r="O419" i="4"/>
  <c r="D420" i="4"/>
  <c r="H420" i="4"/>
  <c r="L420" i="4"/>
  <c r="P420" i="4"/>
  <c r="E421" i="4"/>
  <c r="I421" i="4"/>
  <c r="M421" i="4"/>
  <c r="Q421" i="4"/>
  <c r="F422" i="4"/>
  <c r="J422" i="4"/>
  <c r="N422" i="4"/>
  <c r="G423" i="4"/>
  <c r="K423" i="4"/>
  <c r="O423" i="4"/>
  <c r="D424" i="4"/>
  <c r="H424" i="4"/>
  <c r="L424" i="4"/>
  <c r="P424" i="4"/>
  <c r="E425" i="4"/>
  <c r="I425" i="4"/>
  <c r="M425" i="4"/>
  <c r="Q425" i="4"/>
  <c r="F426" i="4"/>
  <c r="J426" i="4"/>
  <c r="N426" i="4"/>
  <c r="D427" i="4"/>
  <c r="H427" i="4"/>
  <c r="L427" i="4"/>
  <c r="P427" i="4"/>
  <c r="E428" i="4"/>
  <c r="I428" i="4"/>
  <c r="M428" i="4"/>
  <c r="Q428" i="4"/>
  <c r="G198" i="4"/>
  <c r="K198" i="4"/>
  <c r="O198" i="4"/>
  <c r="D199" i="4"/>
  <c r="H199" i="4"/>
  <c r="L199" i="4"/>
  <c r="P199" i="4"/>
  <c r="E200" i="4"/>
  <c r="I200" i="4"/>
  <c r="M200" i="4"/>
  <c r="Q200" i="4"/>
  <c r="F201" i="4"/>
  <c r="J201" i="4"/>
  <c r="N201" i="4"/>
  <c r="G202" i="4"/>
  <c r="K202" i="4"/>
  <c r="O202" i="4"/>
  <c r="D203" i="4"/>
  <c r="H203" i="4"/>
  <c r="L203" i="4"/>
  <c r="P203" i="4"/>
  <c r="E204" i="4"/>
  <c r="I204" i="4"/>
  <c r="M204" i="4"/>
  <c r="Q204" i="4"/>
  <c r="F205" i="4"/>
  <c r="J205" i="4"/>
  <c r="N205" i="4"/>
  <c r="G207" i="4"/>
  <c r="K207" i="4"/>
  <c r="O207" i="4"/>
  <c r="D208" i="4"/>
  <c r="H208" i="4"/>
  <c r="L208" i="4"/>
  <c r="P208" i="4"/>
  <c r="F209" i="4"/>
  <c r="J209" i="4"/>
  <c r="N209" i="4"/>
  <c r="D211" i="4"/>
  <c r="H211" i="4"/>
  <c r="L211" i="4"/>
  <c r="P211" i="4"/>
  <c r="E213" i="4"/>
  <c r="I213" i="4"/>
  <c r="M213" i="4"/>
  <c r="Q213" i="4"/>
  <c r="F214" i="4"/>
  <c r="J214" i="4"/>
  <c r="N214" i="4"/>
  <c r="G215" i="4"/>
  <c r="K215" i="4"/>
  <c r="O215" i="4"/>
  <c r="D216" i="4"/>
  <c r="H216" i="4"/>
  <c r="L216" i="4"/>
  <c r="P216" i="4"/>
  <c r="F217" i="4"/>
  <c r="J217" i="4"/>
  <c r="N217" i="4"/>
  <c r="G218" i="4"/>
  <c r="K218" i="4"/>
  <c r="O218" i="4"/>
  <c r="D219" i="4"/>
  <c r="H219" i="4"/>
  <c r="L219" i="4"/>
  <c r="P219" i="4"/>
  <c r="E220" i="4"/>
  <c r="I220" i="4"/>
  <c r="M220" i="4"/>
  <c r="Q220" i="4"/>
  <c r="F221" i="4"/>
  <c r="J221" i="4"/>
  <c r="N221" i="4"/>
  <c r="G222" i="4"/>
  <c r="K222" i="4"/>
  <c r="O222" i="4"/>
  <c r="D223" i="4"/>
  <c r="H223" i="4"/>
  <c r="L223" i="4"/>
  <c r="P223" i="4"/>
  <c r="E224" i="4"/>
  <c r="I224" i="4"/>
  <c r="M224" i="4"/>
  <c r="Q224" i="4"/>
  <c r="F225" i="4"/>
  <c r="J225" i="4"/>
  <c r="N225" i="4"/>
  <c r="G227" i="4"/>
  <c r="K227" i="4"/>
  <c r="O227" i="4"/>
  <c r="D228" i="4"/>
  <c r="H228" i="4"/>
  <c r="L228" i="4"/>
  <c r="P228" i="4"/>
  <c r="E229" i="4"/>
  <c r="I229" i="4"/>
  <c r="M229" i="4"/>
  <c r="Q229" i="4"/>
  <c r="F230" i="4"/>
  <c r="J230" i="4"/>
  <c r="N230" i="4"/>
  <c r="G231" i="4"/>
  <c r="K231" i="4"/>
  <c r="O231" i="4"/>
  <c r="D232" i="4"/>
  <c r="H232" i="4"/>
  <c r="L232" i="4"/>
  <c r="P232" i="4"/>
  <c r="F234" i="4"/>
  <c r="J234" i="4"/>
  <c r="N234" i="4"/>
  <c r="G235" i="4"/>
  <c r="K235" i="4"/>
  <c r="O235" i="4"/>
  <c r="D236" i="4"/>
  <c r="H236" i="4"/>
  <c r="L236" i="4"/>
  <c r="P236" i="4"/>
  <c r="E237" i="4"/>
  <c r="I237" i="4"/>
  <c r="M237" i="4"/>
  <c r="Q237" i="4"/>
  <c r="G238" i="4"/>
  <c r="K238" i="4"/>
  <c r="O238" i="4"/>
  <c r="D239" i="4"/>
  <c r="H239" i="4"/>
  <c r="L239" i="4"/>
  <c r="P239" i="4"/>
  <c r="E240" i="4"/>
  <c r="I240" i="4"/>
  <c r="M240" i="4"/>
  <c r="Q240" i="4"/>
  <c r="F241" i="4"/>
  <c r="J241" i="4"/>
  <c r="N241" i="4"/>
  <c r="G242" i="4"/>
  <c r="K242" i="4"/>
  <c r="O242" i="4"/>
  <c r="D243" i="4"/>
  <c r="H243" i="4"/>
  <c r="L243" i="4"/>
  <c r="P243" i="4"/>
  <c r="E244" i="4"/>
  <c r="I244" i="4"/>
  <c r="M244" i="4"/>
  <c r="Q244" i="4"/>
  <c r="F245" i="4"/>
  <c r="J245" i="4"/>
  <c r="N245" i="4"/>
  <c r="G246" i="4"/>
  <c r="K246" i="4"/>
  <c r="O246" i="4"/>
  <c r="D247" i="4"/>
  <c r="H247" i="4"/>
  <c r="L247" i="4"/>
  <c r="P247" i="4"/>
  <c r="E248" i="4"/>
  <c r="I248" i="4"/>
  <c r="M248" i="4"/>
  <c r="Q248" i="4"/>
  <c r="G249" i="4"/>
  <c r="K249" i="4"/>
  <c r="O249" i="4"/>
  <c r="D250" i="4"/>
  <c r="H250" i="4"/>
  <c r="L250" i="4"/>
  <c r="P250" i="4"/>
  <c r="E251" i="4"/>
  <c r="I251" i="4"/>
  <c r="M251" i="4"/>
  <c r="Q251" i="4"/>
  <c r="F252" i="4"/>
  <c r="J252" i="4"/>
  <c r="N252" i="4"/>
  <c r="G253" i="4"/>
  <c r="K253" i="4"/>
  <c r="O253" i="4"/>
  <c r="D254" i="4"/>
  <c r="H254" i="4"/>
  <c r="L254" i="4"/>
  <c r="P254" i="4"/>
  <c r="E255" i="4"/>
  <c r="I255" i="4"/>
  <c r="M255" i="4"/>
  <c r="Q255" i="4"/>
  <c r="F256" i="4"/>
  <c r="J256" i="4"/>
  <c r="N256" i="4"/>
  <c r="G257" i="4"/>
  <c r="K257" i="4"/>
  <c r="O257" i="4"/>
  <c r="E258" i="4"/>
  <c r="I258" i="4"/>
  <c r="M258" i="4"/>
  <c r="Q258" i="4"/>
  <c r="G259" i="4"/>
  <c r="K259" i="4"/>
  <c r="O259" i="4"/>
  <c r="D260" i="4"/>
  <c r="H260" i="4"/>
  <c r="L260" i="4"/>
  <c r="P260" i="4"/>
  <c r="E261" i="4"/>
  <c r="I261" i="4"/>
  <c r="M261" i="4"/>
  <c r="Q261" i="4"/>
  <c r="F263" i="4"/>
  <c r="J263" i="4"/>
  <c r="N263" i="4"/>
  <c r="G264" i="4"/>
  <c r="K264" i="4"/>
  <c r="O264" i="4"/>
  <c r="D265" i="4"/>
  <c r="H265" i="4"/>
  <c r="L265" i="4"/>
  <c r="P265" i="4"/>
  <c r="F266" i="4"/>
  <c r="J266" i="4"/>
  <c r="N266" i="4"/>
  <c r="D268" i="4"/>
  <c r="H268" i="4"/>
  <c r="L268" i="4"/>
  <c r="P268" i="4"/>
  <c r="D271" i="4"/>
  <c r="H271" i="4"/>
  <c r="L271" i="4"/>
  <c r="P271" i="4"/>
  <c r="E272" i="4"/>
  <c r="I272" i="4"/>
  <c r="M272" i="4"/>
  <c r="Q272" i="4"/>
  <c r="G273" i="4"/>
  <c r="K273" i="4"/>
  <c r="O273" i="4"/>
  <c r="F277" i="4"/>
  <c r="J277" i="4"/>
  <c r="N277" i="4"/>
  <c r="G278" i="4"/>
  <c r="K278" i="4"/>
  <c r="O278" i="4"/>
  <c r="D279" i="4"/>
  <c r="H279" i="4"/>
  <c r="L279" i="4"/>
  <c r="P279" i="4"/>
  <c r="E280" i="4"/>
  <c r="I280" i="4"/>
  <c r="M280" i="4"/>
  <c r="Q280" i="4"/>
  <c r="F282" i="4"/>
  <c r="J282" i="4"/>
  <c r="N282" i="4"/>
  <c r="G283" i="4"/>
  <c r="K283" i="4"/>
  <c r="O283" i="4"/>
  <c r="D284" i="4"/>
  <c r="H284" i="4"/>
  <c r="L284" i="4"/>
  <c r="P284" i="4"/>
  <c r="F285" i="4"/>
  <c r="J285" i="4"/>
  <c r="N285" i="4"/>
  <c r="G286" i="4"/>
  <c r="K286" i="4"/>
  <c r="O286" i="4"/>
  <c r="E288" i="4"/>
  <c r="I288" i="4"/>
  <c r="M288" i="4"/>
  <c r="Q288" i="4"/>
  <c r="G289" i="4"/>
  <c r="K289" i="4"/>
  <c r="O289" i="4"/>
  <c r="E290" i="4"/>
  <c r="I290" i="4"/>
  <c r="M290" i="4"/>
  <c r="Q290" i="4"/>
  <c r="F291" i="4"/>
  <c r="J291" i="4"/>
  <c r="N291" i="4"/>
  <c r="G292" i="4"/>
  <c r="K292" i="4"/>
  <c r="O292" i="4"/>
  <c r="D293" i="4"/>
  <c r="H293" i="4"/>
  <c r="L293" i="4"/>
  <c r="P293" i="4"/>
  <c r="E294" i="4"/>
  <c r="I294" i="4"/>
  <c r="M294" i="4"/>
  <c r="Q294" i="4"/>
  <c r="F295" i="4"/>
  <c r="J295" i="4"/>
  <c r="N295" i="4"/>
  <c r="D296" i="4"/>
  <c r="H296" i="4"/>
  <c r="L296" i="4"/>
  <c r="P296" i="4"/>
  <c r="E297" i="4"/>
  <c r="I297" i="4"/>
  <c r="M297" i="4"/>
  <c r="Q297" i="4"/>
  <c r="G299" i="4"/>
  <c r="K299" i="4"/>
  <c r="O299" i="4"/>
  <c r="D300" i="4"/>
  <c r="H300" i="4"/>
  <c r="L300" i="4"/>
  <c r="P300" i="4"/>
  <c r="E301" i="4"/>
  <c r="I301" i="4"/>
  <c r="M301" i="4"/>
  <c r="Q301" i="4"/>
  <c r="F302" i="4"/>
  <c r="J302" i="4"/>
  <c r="N302" i="4"/>
  <c r="D305" i="4"/>
  <c r="H305" i="4"/>
  <c r="L305" i="4"/>
  <c r="P305" i="4"/>
  <c r="E306" i="4"/>
  <c r="I306" i="4"/>
  <c r="M306" i="4"/>
  <c r="Q306" i="4"/>
  <c r="F307" i="4"/>
  <c r="J307" i="4"/>
  <c r="N307" i="4"/>
  <c r="G308" i="4"/>
  <c r="K308" i="4"/>
  <c r="O308" i="4"/>
  <c r="D309" i="4"/>
  <c r="H309" i="4"/>
  <c r="L309" i="4"/>
  <c r="P309" i="4"/>
  <c r="E310" i="4"/>
  <c r="I310" i="4"/>
  <c r="M310" i="4"/>
  <c r="Q310" i="4"/>
  <c r="F311" i="4"/>
  <c r="J311" i="4"/>
  <c r="N311" i="4"/>
  <c r="G312" i="4"/>
  <c r="K312" i="4"/>
  <c r="O312" i="4"/>
  <c r="D313" i="4"/>
  <c r="H313" i="4"/>
  <c r="L313" i="4"/>
  <c r="P313" i="4"/>
  <c r="E314" i="4"/>
  <c r="I314" i="4"/>
  <c r="M314" i="4"/>
  <c r="Q314" i="4"/>
  <c r="F315" i="4"/>
  <c r="J315" i="4"/>
  <c r="N315" i="4"/>
  <c r="G316" i="4"/>
  <c r="K316" i="4"/>
  <c r="O316" i="4"/>
  <c r="D317" i="4"/>
  <c r="H317" i="4"/>
  <c r="L317" i="4"/>
  <c r="P317" i="4"/>
  <c r="E318" i="4"/>
  <c r="I318" i="4"/>
  <c r="M318" i="4"/>
  <c r="Q318" i="4"/>
  <c r="F319" i="4"/>
  <c r="J319" i="4"/>
  <c r="N319" i="4"/>
  <c r="G320" i="4"/>
  <c r="K320" i="4"/>
  <c r="O320" i="4"/>
  <c r="D321" i="4"/>
  <c r="H321" i="4"/>
  <c r="L321" i="4"/>
  <c r="P321" i="4"/>
  <c r="E322" i="4"/>
  <c r="I322" i="4"/>
  <c r="M322" i="4"/>
  <c r="Q322" i="4"/>
  <c r="F324" i="4"/>
  <c r="J324" i="4"/>
  <c r="N324" i="4"/>
  <c r="G325" i="4"/>
  <c r="K325" i="4"/>
  <c r="O325" i="4"/>
  <c r="D326" i="4"/>
  <c r="H326" i="4"/>
  <c r="L326" i="4"/>
  <c r="P326" i="4"/>
  <c r="F327" i="4"/>
  <c r="J327" i="4"/>
  <c r="N327" i="4"/>
  <c r="G328" i="4"/>
  <c r="K328" i="4"/>
  <c r="O328" i="4"/>
  <c r="D329" i="4"/>
  <c r="H329" i="4"/>
  <c r="L329" i="4"/>
  <c r="P329" i="4"/>
  <c r="E330" i="4"/>
  <c r="I330" i="4"/>
  <c r="M330" i="4"/>
  <c r="Q330" i="4"/>
  <c r="G332" i="4"/>
  <c r="K332" i="4"/>
  <c r="O332" i="4"/>
  <c r="D333" i="4"/>
  <c r="H333" i="4"/>
  <c r="L333" i="4"/>
  <c r="P333" i="4"/>
  <c r="E334" i="4"/>
  <c r="I334" i="4"/>
  <c r="M334" i="4"/>
  <c r="Q334" i="4"/>
  <c r="G336" i="4"/>
  <c r="K336" i="4"/>
  <c r="O336" i="4"/>
  <c r="D337" i="4"/>
  <c r="H337" i="4"/>
  <c r="L337" i="4"/>
  <c r="P337" i="4"/>
  <c r="E338" i="4"/>
  <c r="I338" i="4"/>
  <c r="M338" i="4"/>
  <c r="Q338" i="4"/>
  <c r="F339" i="4"/>
  <c r="J339" i="4"/>
  <c r="N339" i="4"/>
  <c r="G340" i="4"/>
  <c r="K340" i="4"/>
  <c r="O340" i="4"/>
  <c r="D342" i="4"/>
  <c r="H342" i="4"/>
  <c r="L342" i="4"/>
  <c r="P342" i="4"/>
  <c r="F345" i="4"/>
  <c r="J345" i="4"/>
  <c r="N345" i="4"/>
  <c r="G346" i="4"/>
  <c r="K346" i="4"/>
  <c r="O346" i="4"/>
  <c r="D347" i="4"/>
  <c r="H347" i="4"/>
  <c r="L347" i="4"/>
  <c r="P347" i="4"/>
  <c r="F349" i="4"/>
  <c r="J349" i="4"/>
  <c r="N349" i="4"/>
  <c r="G350" i="4"/>
  <c r="K350" i="4"/>
  <c r="O350" i="4"/>
  <c r="D351" i="4"/>
  <c r="H351" i="4"/>
  <c r="L351" i="4"/>
  <c r="P351" i="4"/>
  <c r="E352" i="4"/>
  <c r="I352" i="4"/>
  <c r="M352" i="4"/>
  <c r="Q352" i="4"/>
  <c r="F353" i="4"/>
  <c r="J353" i="4"/>
  <c r="N353" i="4"/>
  <c r="G354" i="4"/>
  <c r="K354" i="4"/>
  <c r="O354" i="4"/>
  <c r="D355" i="4"/>
  <c r="H355" i="4"/>
  <c r="L355" i="4"/>
  <c r="P355" i="4"/>
  <c r="E356" i="4"/>
  <c r="I356" i="4"/>
  <c r="M356" i="4"/>
  <c r="Q356" i="4"/>
  <c r="F357" i="4"/>
  <c r="J357" i="4"/>
  <c r="N357" i="4"/>
  <c r="G358" i="4"/>
  <c r="K358" i="4"/>
  <c r="O358" i="4"/>
  <c r="E360" i="4"/>
  <c r="I360" i="4"/>
  <c r="M360" i="4"/>
  <c r="Q360" i="4"/>
  <c r="G361" i="4"/>
  <c r="K361" i="4"/>
  <c r="O361" i="4"/>
  <c r="D362" i="4"/>
  <c r="H362" i="4"/>
  <c r="L362" i="4"/>
  <c r="P362" i="4"/>
  <c r="F363" i="4"/>
  <c r="J363" i="4"/>
  <c r="N363" i="4"/>
  <c r="G364" i="4"/>
  <c r="K364" i="4"/>
  <c r="O364" i="4"/>
  <c r="E365" i="4"/>
  <c r="I365" i="4"/>
  <c r="M365" i="4"/>
  <c r="Q365" i="4"/>
  <c r="F366" i="4"/>
  <c r="J366" i="4"/>
  <c r="N366" i="4"/>
  <c r="G367" i="4"/>
  <c r="K367" i="4"/>
  <c r="O367" i="4"/>
  <c r="D368" i="4"/>
  <c r="H368" i="4"/>
  <c r="L368" i="4"/>
  <c r="P368" i="4"/>
  <c r="F370" i="4"/>
  <c r="J370" i="4"/>
  <c r="N370" i="4"/>
  <c r="G371" i="4"/>
  <c r="K371" i="4"/>
  <c r="O371" i="4"/>
  <c r="D372" i="4"/>
  <c r="H372" i="4"/>
  <c r="L372" i="4"/>
  <c r="P372" i="4"/>
  <c r="F374" i="4"/>
  <c r="J374" i="4"/>
  <c r="N374" i="4"/>
  <c r="G375" i="4"/>
  <c r="K375" i="4"/>
  <c r="O375" i="4"/>
  <c r="D376" i="4"/>
  <c r="H376" i="4"/>
  <c r="L376" i="4"/>
  <c r="P376" i="4"/>
  <c r="G378" i="4"/>
  <c r="K378" i="4"/>
  <c r="O378" i="4"/>
  <c r="D379" i="4"/>
  <c r="H379" i="4"/>
  <c r="L379" i="4"/>
  <c r="P379" i="4"/>
  <c r="E380" i="4"/>
  <c r="I380" i="4"/>
  <c r="M380" i="4"/>
  <c r="Q380" i="4"/>
  <c r="F381" i="4"/>
  <c r="J381" i="4"/>
  <c r="N381" i="4"/>
  <c r="G382" i="4"/>
  <c r="K382" i="4"/>
  <c r="O382" i="4"/>
  <c r="D383" i="4"/>
  <c r="H383" i="4"/>
  <c r="L383" i="4"/>
  <c r="P383" i="4"/>
  <c r="E384" i="4"/>
  <c r="I384" i="4"/>
  <c r="M384" i="4"/>
  <c r="Q384" i="4"/>
  <c r="F385" i="4"/>
  <c r="J385" i="4"/>
  <c r="N385" i="4"/>
  <c r="G386" i="4"/>
  <c r="K386" i="4"/>
  <c r="O386" i="4"/>
  <c r="D387" i="4"/>
  <c r="H387" i="4"/>
  <c r="L387" i="4"/>
  <c r="P387" i="4"/>
  <c r="E388" i="4"/>
  <c r="I388" i="4"/>
  <c r="M388" i="4"/>
  <c r="Q388" i="4"/>
  <c r="F389" i="4"/>
  <c r="J389" i="4"/>
  <c r="N389" i="4"/>
  <c r="G390" i="4"/>
  <c r="K390" i="4"/>
  <c r="O390" i="4"/>
  <c r="D392" i="4"/>
  <c r="H392" i="4"/>
  <c r="L392" i="4"/>
  <c r="P392" i="4"/>
  <c r="F394" i="4"/>
  <c r="J394" i="4"/>
  <c r="N394" i="4"/>
  <c r="E398" i="4"/>
  <c r="I398" i="4"/>
  <c r="M398" i="4"/>
  <c r="Q398" i="4"/>
  <c r="F400" i="4"/>
  <c r="J400" i="4"/>
  <c r="N400" i="4"/>
  <c r="D402" i="4"/>
  <c r="H402" i="4"/>
  <c r="L402" i="4"/>
  <c r="P402" i="4"/>
  <c r="E403" i="4"/>
  <c r="I403" i="4"/>
  <c r="M403" i="4"/>
  <c r="Q403" i="4"/>
  <c r="F404" i="4"/>
  <c r="J404" i="4"/>
  <c r="N404" i="4"/>
  <c r="G405" i="4"/>
  <c r="K405" i="4"/>
  <c r="O405" i="4"/>
  <c r="D406" i="4"/>
  <c r="H406" i="4"/>
  <c r="L406" i="4"/>
  <c r="P406" i="4"/>
  <c r="E408" i="4"/>
  <c r="I408" i="4"/>
  <c r="M408" i="4"/>
  <c r="Q408" i="4"/>
  <c r="F409" i="4"/>
  <c r="J409" i="4"/>
  <c r="N409" i="4"/>
  <c r="G410" i="4"/>
  <c r="K410" i="4"/>
  <c r="O410" i="4"/>
  <c r="D411" i="4"/>
  <c r="H411" i="4"/>
  <c r="L411" i="4"/>
  <c r="P411" i="4"/>
  <c r="E412" i="4"/>
  <c r="I412" i="4"/>
  <c r="M412" i="4"/>
  <c r="Q412" i="4"/>
  <c r="F413" i="4"/>
  <c r="J413" i="4"/>
  <c r="N413" i="4"/>
  <c r="G414" i="4"/>
  <c r="K414" i="4"/>
  <c r="O414" i="4"/>
  <c r="D415" i="4"/>
  <c r="H415" i="4"/>
  <c r="L415" i="4"/>
  <c r="P415" i="4"/>
  <c r="E416" i="4"/>
  <c r="I416" i="4"/>
  <c r="M416" i="4"/>
  <c r="Q416" i="4"/>
  <c r="G418" i="4"/>
  <c r="K418" i="4"/>
  <c r="O418" i="4"/>
  <c r="D419" i="4"/>
  <c r="H419" i="4"/>
  <c r="L419" i="4"/>
  <c r="P419" i="4"/>
  <c r="E420" i="4"/>
  <c r="I420" i="4"/>
  <c r="M420" i="4"/>
  <c r="Q420" i="4"/>
  <c r="F421" i="4"/>
  <c r="J421" i="4"/>
  <c r="N421" i="4"/>
  <c r="G422" i="4"/>
  <c r="K422" i="4"/>
  <c r="O422" i="4"/>
  <c r="D423" i="4"/>
  <c r="H423" i="4"/>
  <c r="L423" i="4"/>
  <c r="P423" i="4"/>
  <c r="E424" i="4"/>
  <c r="I424" i="4"/>
  <c r="M424" i="4"/>
  <c r="Q424" i="4"/>
  <c r="F425" i="4"/>
  <c r="J425" i="4"/>
  <c r="N425" i="4"/>
  <c r="G426" i="4"/>
  <c r="K426" i="4"/>
  <c r="O426" i="4"/>
  <c r="E427" i="4"/>
  <c r="I427" i="4"/>
  <c r="M427" i="4"/>
  <c r="Q427" i="4"/>
  <c r="F428" i="4"/>
  <c r="J428" i="4"/>
  <c r="N428" i="4"/>
  <c r="F430" i="4"/>
  <c r="J430" i="4"/>
  <c r="N430" i="4"/>
  <c r="G431" i="4"/>
  <c r="K431" i="4"/>
  <c r="O431" i="4"/>
  <c r="D432" i="4"/>
  <c r="H432" i="4"/>
  <c r="L432" i="4"/>
  <c r="P432" i="4"/>
  <c r="F434" i="4"/>
  <c r="J434" i="4"/>
  <c r="N434" i="4"/>
  <c r="G435" i="4"/>
  <c r="K435" i="4"/>
  <c r="O435" i="4"/>
  <c r="D436" i="4"/>
  <c r="H436" i="4"/>
  <c r="L436" i="4"/>
  <c r="P436" i="4"/>
  <c r="E437" i="4"/>
  <c r="I437" i="4"/>
  <c r="M437" i="4"/>
  <c r="Q437" i="4"/>
  <c r="F438" i="4"/>
  <c r="J438" i="4"/>
  <c r="N438" i="4"/>
  <c r="G439" i="4"/>
  <c r="K439" i="4"/>
  <c r="O439" i="4"/>
  <c r="D440" i="4"/>
  <c r="H440" i="4"/>
  <c r="L440" i="4"/>
  <c r="P440" i="4"/>
  <c r="E441" i="4"/>
  <c r="I441" i="4"/>
  <c r="M441" i="4"/>
  <c r="Q441" i="4"/>
  <c r="F442" i="4"/>
  <c r="J442" i="4"/>
  <c r="N442" i="4"/>
  <c r="G444" i="4"/>
  <c r="K444" i="4"/>
  <c r="O444" i="4"/>
  <c r="D445" i="4"/>
  <c r="H445" i="4"/>
  <c r="L445" i="4"/>
  <c r="P445" i="4"/>
  <c r="E446" i="4"/>
  <c r="I446" i="4"/>
  <c r="M446" i="4"/>
  <c r="Q446" i="4"/>
  <c r="G447" i="4"/>
  <c r="K447" i="4"/>
  <c r="O447" i="4"/>
  <c r="G449" i="4"/>
  <c r="K449" i="4"/>
  <c r="O449" i="4"/>
  <c r="D450" i="4"/>
  <c r="H450" i="4"/>
  <c r="L450" i="4"/>
  <c r="P450" i="4"/>
  <c r="E451" i="4"/>
  <c r="I451" i="4"/>
  <c r="M451" i="4"/>
  <c r="Q451" i="4"/>
  <c r="F452" i="4"/>
  <c r="J452" i="4"/>
  <c r="N452" i="4"/>
  <c r="G453" i="4"/>
  <c r="K453" i="4"/>
  <c r="O453" i="4"/>
  <c r="D454" i="4"/>
  <c r="H454" i="4"/>
  <c r="L454" i="4"/>
  <c r="P454" i="4"/>
  <c r="E455" i="4"/>
  <c r="I455" i="4"/>
  <c r="M455" i="4"/>
  <c r="Q455" i="4"/>
  <c r="F456" i="4"/>
  <c r="J456" i="4"/>
  <c r="N456" i="4"/>
  <c r="G457" i="4"/>
  <c r="K457" i="4"/>
  <c r="O457" i="4"/>
  <c r="D458" i="4"/>
  <c r="H458" i="4"/>
  <c r="L458" i="4"/>
  <c r="P458" i="4"/>
  <c r="E459" i="4"/>
  <c r="I459" i="4"/>
  <c r="M459" i="4"/>
  <c r="Q459" i="4"/>
  <c r="F460" i="4"/>
  <c r="J460" i="4"/>
  <c r="N460" i="4"/>
  <c r="G461" i="4"/>
  <c r="K461" i="4"/>
  <c r="O461" i="4"/>
  <c r="D462" i="4"/>
  <c r="H462" i="4"/>
  <c r="L462" i="4"/>
  <c r="P462" i="4"/>
  <c r="E463" i="4"/>
  <c r="I463" i="4"/>
  <c r="M463" i="4"/>
  <c r="Q463" i="4"/>
  <c r="F464" i="4"/>
  <c r="J464" i="4"/>
  <c r="N464" i="4"/>
  <c r="G465" i="4"/>
  <c r="K465" i="4"/>
  <c r="O465" i="4"/>
  <c r="D466" i="4"/>
  <c r="H466" i="4"/>
  <c r="L466" i="4"/>
  <c r="P466" i="4"/>
  <c r="E467" i="4"/>
  <c r="I467" i="4"/>
  <c r="M467" i="4"/>
  <c r="Q467" i="4"/>
  <c r="F468" i="4"/>
  <c r="J468" i="4"/>
  <c r="N468" i="4"/>
  <c r="G469" i="4"/>
  <c r="K469" i="4"/>
  <c r="O469" i="4"/>
  <c r="E471" i="4"/>
  <c r="I471" i="4"/>
  <c r="M471" i="4"/>
  <c r="Q471" i="4"/>
  <c r="F472" i="4"/>
  <c r="J472" i="4"/>
  <c r="N472" i="4"/>
  <c r="G473" i="4"/>
  <c r="K473" i="4"/>
  <c r="O473" i="4"/>
  <c r="D474" i="4"/>
  <c r="H474" i="4"/>
  <c r="L474" i="4"/>
  <c r="P474" i="4"/>
  <c r="E475" i="4"/>
  <c r="I475" i="4"/>
  <c r="M475" i="4"/>
  <c r="Q475" i="4"/>
  <c r="F476" i="4"/>
  <c r="J476" i="4"/>
  <c r="N476" i="4"/>
  <c r="G477" i="4"/>
  <c r="K477" i="4"/>
  <c r="O477" i="4"/>
  <c r="D478" i="4"/>
  <c r="H478" i="4"/>
  <c r="L478" i="4"/>
  <c r="P478" i="4"/>
  <c r="E479" i="4"/>
  <c r="I479" i="4"/>
  <c r="M479" i="4"/>
  <c r="Q479" i="4"/>
  <c r="F480" i="4"/>
  <c r="J480" i="4"/>
  <c r="N480" i="4"/>
  <c r="G481" i="4"/>
  <c r="K481" i="4"/>
  <c r="O481" i="4"/>
  <c r="D482" i="4"/>
  <c r="H482" i="4"/>
  <c r="L482" i="4"/>
  <c r="P482" i="4"/>
  <c r="E483" i="4"/>
  <c r="I483" i="4"/>
  <c r="M483" i="4"/>
  <c r="Q483" i="4"/>
  <c r="F484" i="4"/>
  <c r="J484" i="4"/>
  <c r="N484" i="4"/>
  <c r="G485" i="4"/>
  <c r="K485" i="4"/>
  <c r="O485" i="4"/>
  <c r="D486" i="4"/>
  <c r="H486" i="4"/>
  <c r="L486" i="4"/>
  <c r="P486" i="4"/>
  <c r="E487" i="4"/>
  <c r="I487" i="4"/>
  <c r="M487" i="4"/>
  <c r="Q487" i="4"/>
  <c r="F488" i="4"/>
  <c r="J488" i="4"/>
  <c r="N488" i="4"/>
  <c r="C8" i="4"/>
  <c r="C14" i="4"/>
  <c r="C19" i="4"/>
  <c r="C24" i="4"/>
  <c r="C28" i="4"/>
  <c r="C33" i="4"/>
  <c r="C37" i="4"/>
  <c r="C41" i="4"/>
  <c r="C47" i="4"/>
  <c r="C51" i="4"/>
  <c r="C55" i="4"/>
  <c r="C59" i="4"/>
  <c r="C63" i="4"/>
  <c r="C68" i="4"/>
  <c r="C73" i="4"/>
  <c r="C78" i="4"/>
  <c r="C89" i="4"/>
  <c r="C95" i="4"/>
  <c r="C99" i="4"/>
  <c r="C103" i="4"/>
  <c r="C107" i="4"/>
  <c r="C111" i="4"/>
  <c r="C116" i="4"/>
  <c r="C120" i="4"/>
  <c r="C124" i="4"/>
  <c r="C127" i="4"/>
  <c r="C131" i="4"/>
  <c r="C135" i="4"/>
  <c r="C140" i="4"/>
  <c r="C144" i="4"/>
  <c r="C148" i="4"/>
  <c r="C156" i="4"/>
  <c r="C163" i="4"/>
  <c r="C167" i="4"/>
  <c r="C171" i="4"/>
  <c r="C182" i="4"/>
  <c r="C184" i="4"/>
  <c r="C188" i="4"/>
  <c r="C192" i="4"/>
  <c r="C196" i="4"/>
  <c r="C200" i="4"/>
  <c r="C204" i="4"/>
  <c r="C213" i="4"/>
  <c r="C220" i="4"/>
  <c r="C224" i="4"/>
  <c r="C229" i="4"/>
  <c r="C237" i="4"/>
  <c r="C240" i="4"/>
  <c r="C244" i="4"/>
  <c r="C248" i="4"/>
  <c r="C251" i="4"/>
  <c r="C255" i="4"/>
  <c r="C258" i="4"/>
  <c r="C261" i="4"/>
  <c r="C272" i="4"/>
  <c r="C280" i="4"/>
  <c r="C288" i="4"/>
  <c r="C290" i="4"/>
  <c r="C294" i="4"/>
  <c r="C297" i="4"/>
  <c r="C301" i="4"/>
  <c r="C306" i="4"/>
  <c r="C310" i="4"/>
  <c r="C314" i="4"/>
  <c r="C318" i="4"/>
  <c r="C322" i="4"/>
  <c r="C330" i="4"/>
  <c r="C334" i="4"/>
  <c r="C338" i="4"/>
  <c r="C352" i="4"/>
  <c r="C356" i="4"/>
  <c r="C360" i="4"/>
  <c r="C365" i="4"/>
  <c r="C380" i="4"/>
  <c r="C384" i="4"/>
  <c r="C388" i="4"/>
  <c r="C398" i="4"/>
  <c r="C403" i="4"/>
  <c r="C408" i="4"/>
  <c r="C412" i="4"/>
  <c r="C416" i="4"/>
  <c r="C420" i="4"/>
  <c r="C424" i="4"/>
  <c r="C427" i="4"/>
  <c r="C431" i="4"/>
  <c r="C442" i="4"/>
  <c r="C452" i="4"/>
  <c r="C468" i="4"/>
  <c r="C484" i="4"/>
  <c r="C477" i="4"/>
  <c r="G430" i="4"/>
  <c r="K430" i="4"/>
  <c r="O430" i="4"/>
  <c r="D431" i="4"/>
  <c r="H431" i="4"/>
  <c r="L431" i="4"/>
  <c r="P431" i="4"/>
  <c r="E432" i="4"/>
  <c r="I432" i="4"/>
  <c r="M432" i="4"/>
  <c r="Q432" i="4"/>
  <c r="G434" i="4"/>
  <c r="K434" i="4"/>
  <c r="O434" i="4"/>
  <c r="D435" i="4"/>
  <c r="H435" i="4"/>
  <c r="L435" i="4"/>
  <c r="P435" i="4"/>
  <c r="E436" i="4"/>
  <c r="I436" i="4"/>
  <c r="M436" i="4"/>
  <c r="Q436" i="4"/>
  <c r="F437" i="4"/>
  <c r="J437" i="4"/>
  <c r="N437" i="4"/>
  <c r="G438" i="4"/>
  <c r="K438" i="4"/>
  <c r="O438" i="4"/>
  <c r="D439" i="4"/>
  <c r="H439" i="4"/>
  <c r="L439" i="4"/>
  <c r="P439" i="4"/>
  <c r="E440" i="4"/>
  <c r="I440" i="4"/>
  <c r="M440" i="4"/>
  <c r="Q440" i="4"/>
  <c r="F441" i="4"/>
  <c r="J441" i="4"/>
  <c r="N441" i="4"/>
  <c r="G442" i="4"/>
  <c r="K442" i="4"/>
  <c r="O442" i="4"/>
  <c r="D444" i="4"/>
  <c r="H444" i="4"/>
  <c r="L444" i="4"/>
  <c r="P444" i="4"/>
  <c r="E445" i="4"/>
  <c r="I445" i="4"/>
  <c r="M445" i="4"/>
  <c r="Q445" i="4"/>
  <c r="F446" i="4"/>
  <c r="J446" i="4"/>
  <c r="N446" i="4"/>
  <c r="D447" i="4"/>
  <c r="H447" i="4"/>
  <c r="L447" i="4"/>
  <c r="P447" i="4"/>
  <c r="D449" i="4"/>
  <c r="H449" i="4"/>
  <c r="L449" i="4"/>
  <c r="P449" i="4"/>
  <c r="E450" i="4"/>
  <c r="I450" i="4"/>
  <c r="M450" i="4"/>
  <c r="Q450" i="4"/>
  <c r="F451" i="4"/>
  <c r="J451" i="4"/>
  <c r="N451" i="4"/>
  <c r="G452" i="4"/>
  <c r="K452" i="4"/>
  <c r="O452" i="4"/>
  <c r="D453" i="4"/>
  <c r="H453" i="4"/>
  <c r="L453" i="4"/>
  <c r="P453" i="4"/>
  <c r="E454" i="4"/>
  <c r="I454" i="4"/>
  <c r="M454" i="4"/>
  <c r="Q454" i="4"/>
  <c r="F455" i="4"/>
  <c r="J455" i="4"/>
  <c r="N455" i="4"/>
  <c r="G456" i="4"/>
  <c r="K456" i="4"/>
  <c r="O456" i="4"/>
  <c r="D457" i="4"/>
  <c r="H457" i="4"/>
  <c r="L457" i="4"/>
  <c r="P457" i="4"/>
  <c r="E458" i="4"/>
  <c r="I458" i="4"/>
  <c r="M458" i="4"/>
  <c r="Q458" i="4"/>
  <c r="F459" i="4"/>
  <c r="J459" i="4"/>
  <c r="N459" i="4"/>
  <c r="G460" i="4"/>
  <c r="K460" i="4"/>
  <c r="O460" i="4"/>
  <c r="D461" i="4"/>
  <c r="H461" i="4"/>
  <c r="L461" i="4"/>
  <c r="P461" i="4"/>
  <c r="E462" i="4"/>
  <c r="I462" i="4"/>
  <c r="M462" i="4"/>
  <c r="Q462" i="4"/>
  <c r="F463" i="4"/>
  <c r="J463" i="4"/>
  <c r="N463" i="4"/>
  <c r="G464" i="4"/>
  <c r="K464" i="4"/>
  <c r="O464" i="4"/>
  <c r="D465" i="4"/>
  <c r="H465" i="4"/>
  <c r="L465" i="4"/>
  <c r="P465" i="4"/>
  <c r="E466" i="4"/>
  <c r="I466" i="4"/>
  <c r="M466" i="4"/>
  <c r="Q466" i="4"/>
  <c r="F467" i="4"/>
  <c r="J467" i="4"/>
  <c r="N467" i="4"/>
  <c r="G468" i="4"/>
  <c r="K468" i="4"/>
  <c r="O468" i="4"/>
  <c r="D469" i="4"/>
  <c r="H469" i="4"/>
  <c r="L469" i="4"/>
  <c r="P469" i="4"/>
  <c r="F471" i="4"/>
  <c r="J471" i="4"/>
  <c r="N471" i="4"/>
  <c r="G472" i="4"/>
  <c r="K472" i="4"/>
  <c r="O472" i="4"/>
  <c r="D473" i="4"/>
  <c r="H473" i="4"/>
  <c r="L473" i="4"/>
  <c r="P473" i="4"/>
  <c r="E474" i="4"/>
  <c r="I474" i="4"/>
  <c r="M474" i="4"/>
  <c r="Q474" i="4"/>
  <c r="F475" i="4"/>
  <c r="J475" i="4"/>
  <c r="N475" i="4"/>
  <c r="G476" i="4"/>
  <c r="K476" i="4"/>
  <c r="O476" i="4"/>
  <c r="D477" i="4"/>
  <c r="H477" i="4"/>
  <c r="L477" i="4"/>
  <c r="P477" i="4"/>
  <c r="E478" i="4"/>
  <c r="I478" i="4"/>
  <c r="M478" i="4"/>
  <c r="Q478" i="4"/>
  <c r="F479" i="4"/>
  <c r="J479" i="4"/>
  <c r="N479" i="4"/>
  <c r="G480" i="4"/>
  <c r="K480" i="4"/>
  <c r="O480" i="4"/>
  <c r="D481" i="4"/>
  <c r="H481" i="4"/>
  <c r="L481" i="4"/>
  <c r="P481" i="4"/>
  <c r="E482" i="4"/>
  <c r="I482" i="4"/>
  <c r="M482" i="4"/>
  <c r="Q482" i="4"/>
  <c r="F483" i="4"/>
  <c r="J483" i="4"/>
  <c r="N483" i="4"/>
  <c r="G484" i="4"/>
  <c r="K484" i="4"/>
  <c r="O484" i="4"/>
  <c r="D485" i="4"/>
  <c r="H485" i="4"/>
  <c r="L485" i="4"/>
  <c r="P485" i="4"/>
  <c r="E486" i="4"/>
  <c r="I486" i="4"/>
  <c r="M486" i="4"/>
  <c r="Q486" i="4"/>
  <c r="F487" i="4"/>
  <c r="J487" i="4"/>
  <c r="N487" i="4"/>
  <c r="G488" i="4"/>
  <c r="K488" i="4"/>
  <c r="O488" i="4"/>
  <c r="C5" i="4"/>
  <c r="C9" i="4"/>
  <c r="C15" i="4"/>
  <c r="C20" i="4"/>
  <c r="C25" i="4"/>
  <c r="C29" i="4"/>
  <c r="C34" i="4"/>
  <c r="C38" i="4"/>
  <c r="C42" i="4"/>
  <c r="C45" i="4"/>
  <c r="C48" i="4"/>
  <c r="C52" i="4"/>
  <c r="C56" i="4"/>
  <c r="C60" i="4"/>
  <c r="C64" i="4"/>
  <c r="C69" i="4"/>
  <c r="C74" i="4"/>
  <c r="C79" i="4"/>
  <c r="C92" i="4"/>
  <c r="C96" i="4"/>
  <c r="C104" i="4"/>
  <c r="C108" i="4"/>
  <c r="C117" i="4"/>
  <c r="C121" i="4"/>
  <c r="C125" i="4"/>
  <c r="C128" i="4"/>
  <c r="C132" i="4"/>
  <c r="C136" i="4"/>
  <c r="C141" i="4"/>
  <c r="C145" i="4"/>
  <c r="C149" i="4"/>
  <c r="C153" i="4"/>
  <c r="C157" i="4"/>
  <c r="C160" i="4"/>
  <c r="C168" i="4"/>
  <c r="C172" i="4"/>
  <c r="C185" i="4"/>
  <c r="C189" i="4"/>
  <c r="C193" i="4"/>
  <c r="C201" i="4"/>
  <c r="C205" i="4"/>
  <c r="C209" i="4"/>
  <c r="C214" i="4"/>
  <c r="C217" i="4"/>
  <c r="C221" i="4"/>
  <c r="C225" i="4"/>
  <c r="C230" i="4"/>
  <c r="C234" i="4"/>
  <c r="C241" i="4"/>
  <c r="C245" i="4"/>
  <c r="C252" i="4"/>
  <c r="C256" i="4"/>
  <c r="C263" i="4"/>
  <c r="C266" i="4"/>
  <c r="C277" i="4"/>
  <c r="C282" i="4"/>
  <c r="C285" i="4"/>
  <c r="C291" i="4"/>
  <c r="C295" i="4"/>
  <c r="C302" i="4"/>
  <c r="C307" i="4"/>
  <c r="C311" i="4"/>
  <c r="C315" i="4"/>
  <c r="C319" i="4"/>
  <c r="C324" i="4"/>
  <c r="C327" i="4"/>
  <c r="C339" i="4"/>
  <c r="C345" i="4"/>
  <c r="C349" i="4"/>
  <c r="C353" i="4"/>
  <c r="C357" i="4"/>
  <c r="C363" i="4"/>
  <c r="C366" i="4"/>
  <c r="C370" i="4"/>
  <c r="C374" i="4"/>
  <c r="C381" i="4"/>
  <c r="C385" i="4"/>
  <c r="C389" i="4"/>
  <c r="C394" i="4"/>
  <c r="C400" i="4"/>
  <c r="C404" i="4"/>
  <c r="C409" i="4"/>
  <c r="C413" i="4"/>
  <c r="C421" i="4"/>
  <c r="C425" i="4"/>
  <c r="C428" i="4"/>
  <c r="C432" i="4"/>
  <c r="C436" i="4"/>
  <c r="C439" i="4"/>
  <c r="C444" i="4"/>
  <c r="C447" i="4"/>
  <c r="C449" i="4"/>
  <c r="C453" i="4"/>
  <c r="C457" i="4"/>
  <c r="C469" i="4"/>
  <c r="C481" i="4"/>
  <c r="D430" i="4"/>
  <c r="H430" i="4"/>
  <c r="L430" i="4"/>
  <c r="P430" i="4"/>
  <c r="E431" i="4"/>
  <c r="M431" i="4"/>
  <c r="Q431" i="4"/>
  <c r="F432" i="4"/>
  <c r="J432" i="4"/>
  <c r="N432" i="4"/>
  <c r="D434" i="4"/>
  <c r="H434" i="4"/>
  <c r="L434" i="4"/>
  <c r="P434" i="4"/>
  <c r="E435" i="4"/>
  <c r="I435" i="4"/>
  <c r="M435" i="4"/>
  <c r="Q435" i="4"/>
  <c r="F436" i="4"/>
  <c r="J436" i="4"/>
  <c r="N436" i="4"/>
  <c r="G437" i="4"/>
  <c r="K437" i="4"/>
  <c r="O437" i="4"/>
  <c r="D438" i="4"/>
  <c r="H438" i="4"/>
  <c r="L438" i="4"/>
  <c r="P438" i="4"/>
  <c r="E439" i="4"/>
  <c r="I439" i="4"/>
  <c r="M439" i="4"/>
  <c r="Q439" i="4"/>
  <c r="F440" i="4"/>
  <c r="J440" i="4"/>
  <c r="N440" i="4"/>
  <c r="G441" i="4"/>
  <c r="K441" i="4"/>
  <c r="O441" i="4"/>
  <c r="D442" i="4"/>
  <c r="H442" i="4"/>
  <c r="L442" i="4"/>
  <c r="P442" i="4"/>
  <c r="E444" i="4"/>
  <c r="I444" i="4"/>
  <c r="M444" i="4"/>
  <c r="Q444" i="4"/>
  <c r="F445" i="4"/>
  <c r="J445" i="4"/>
  <c r="N445" i="4"/>
  <c r="G446" i="4"/>
  <c r="K446" i="4"/>
  <c r="O446" i="4"/>
  <c r="E447" i="4"/>
  <c r="I447" i="4"/>
  <c r="M447" i="4"/>
  <c r="Q447" i="4"/>
  <c r="E449" i="4"/>
  <c r="I449" i="4"/>
  <c r="M449" i="4"/>
  <c r="Q449" i="4"/>
  <c r="F450" i="4"/>
  <c r="J450" i="4"/>
  <c r="N450" i="4"/>
  <c r="G451" i="4"/>
  <c r="K451" i="4"/>
  <c r="O451" i="4"/>
  <c r="D452" i="4"/>
  <c r="H452" i="4"/>
  <c r="L452" i="4"/>
  <c r="P452" i="4"/>
  <c r="E453" i="4"/>
  <c r="I453" i="4"/>
  <c r="M453" i="4"/>
  <c r="Q453" i="4"/>
  <c r="F454" i="4"/>
  <c r="J454" i="4"/>
  <c r="N454" i="4"/>
  <c r="G455" i="4"/>
  <c r="K455" i="4"/>
  <c r="O455" i="4"/>
  <c r="D456" i="4"/>
  <c r="H456" i="4"/>
  <c r="L456" i="4"/>
  <c r="P456" i="4"/>
  <c r="E457" i="4"/>
  <c r="I457" i="4"/>
  <c r="M457" i="4"/>
  <c r="Q457" i="4"/>
  <c r="F458" i="4"/>
  <c r="J458" i="4"/>
  <c r="N458" i="4"/>
  <c r="G459" i="4"/>
  <c r="K459" i="4"/>
  <c r="O459" i="4"/>
  <c r="D460" i="4"/>
  <c r="H460" i="4"/>
  <c r="L460" i="4"/>
  <c r="P460" i="4"/>
  <c r="E461" i="4"/>
  <c r="I461" i="4"/>
  <c r="M461" i="4"/>
  <c r="Q461" i="4"/>
  <c r="F462" i="4"/>
  <c r="J462" i="4"/>
  <c r="N462" i="4"/>
  <c r="G463" i="4"/>
  <c r="K463" i="4"/>
  <c r="O463" i="4"/>
  <c r="D464" i="4"/>
  <c r="H464" i="4"/>
  <c r="L464" i="4"/>
  <c r="P464" i="4"/>
  <c r="E465" i="4"/>
  <c r="I465" i="4"/>
  <c r="M465" i="4"/>
  <c r="Q465" i="4"/>
  <c r="F466" i="4"/>
  <c r="J466" i="4"/>
  <c r="N466" i="4"/>
  <c r="G467" i="4"/>
  <c r="K467" i="4"/>
  <c r="O467" i="4"/>
  <c r="D468" i="4"/>
  <c r="H468" i="4"/>
  <c r="L468" i="4"/>
  <c r="P468" i="4"/>
  <c r="E469" i="4"/>
  <c r="I469" i="4"/>
  <c r="M469" i="4"/>
  <c r="Q469" i="4"/>
  <c r="G471" i="4"/>
  <c r="K471" i="4"/>
  <c r="O471" i="4"/>
  <c r="D472" i="4"/>
  <c r="H472" i="4"/>
  <c r="L472" i="4"/>
  <c r="P472" i="4"/>
  <c r="E473" i="4"/>
  <c r="I473" i="4"/>
  <c r="M473" i="4"/>
  <c r="Q473" i="4"/>
  <c r="F474" i="4"/>
  <c r="J474" i="4"/>
  <c r="N474" i="4"/>
  <c r="G475" i="4"/>
  <c r="K475" i="4"/>
  <c r="O475" i="4"/>
  <c r="D476" i="4"/>
  <c r="H476" i="4"/>
  <c r="L476" i="4"/>
  <c r="P476" i="4"/>
  <c r="E477" i="4"/>
  <c r="I477" i="4"/>
  <c r="M477" i="4"/>
  <c r="Q477" i="4"/>
  <c r="F478" i="4"/>
  <c r="J478" i="4"/>
  <c r="N478" i="4"/>
  <c r="G479" i="4"/>
  <c r="K479" i="4"/>
  <c r="O479" i="4"/>
  <c r="D480" i="4"/>
  <c r="H480" i="4"/>
  <c r="L480" i="4"/>
  <c r="P480" i="4"/>
  <c r="E481" i="4"/>
  <c r="I481" i="4"/>
  <c r="M481" i="4"/>
  <c r="Q481" i="4"/>
  <c r="F482" i="4"/>
  <c r="J482" i="4"/>
  <c r="N482" i="4"/>
  <c r="G483" i="4"/>
  <c r="K483" i="4"/>
  <c r="O483" i="4"/>
  <c r="D484" i="4"/>
  <c r="H484" i="4"/>
  <c r="L484" i="4"/>
  <c r="P484" i="4"/>
  <c r="E485" i="4"/>
  <c r="I485" i="4"/>
  <c r="M485" i="4"/>
  <c r="Q485" i="4"/>
  <c r="F486" i="4"/>
  <c r="J486" i="4"/>
  <c r="N486" i="4"/>
  <c r="G487" i="4"/>
  <c r="K487" i="4"/>
  <c r="O487" i="4"/>
  <c r="D488" i="4"/>
  <c r="H488" i="4"/>
  <c r="L488" i="4"/>
  <c r="P488" i="4"/>
  <c r="C6" i="4"/>
  <c r="C10" i="4"/>
  <c r="C16" i="4"/>
  <c r="C21" i="4"/>
  <c r="C26" i="4"/>
  <c r="C31" i="4"/>
  <c r="C35" i="4"/>
  <c r="C39" i="4"/>
  <c r="C43" i="4"/>
  <c r="C46" i="4"/>
  <c r="C53" i="4"/>
  <c r="C57" i="4"/>
  <c r="C61" i="4"/>
  <c r="C65" i="4"/>
  <c r="C80" i="4"/>
  <c r="C87" i="4"/>
  <c r="C93" i="4"/>
  <c r="C97" i="4"/>
  <c r="C100" i="4"/>
  <c r="C105" i="4"/>
  <c r="C109" i="4"/>
  <c r="C114" i="4"/>
  <c r="C118" i="4"/>
  <c r="C122" i="4"/>
  <c r="C129" i="4"/>
  <c r="C133" i="4"/>
  <c r="C138" i="4"/>
  <c r="C142" i="4"/>
  <c r="C146" i="4"/>
  <c r="C150" i="4"/>
  <c r="C154" i="4"/>
  <c r="C161" i="4"/>
  <c r="C165" i="4"/>
  <c r="C169" i="4"/>
  <c r="C173" i="4"/>
  <c r="C176" i="4"/>
  <c r="C180" i="4"/>
  <c r="C183" i="4"/>
  <c r="C186" i="4"/>
  <c r="C190" i="4"/>
  <c r="C194" i="4"/>
  <c r="C198" i="4"/>
  <c r="C202" i="4"/>
  <c r="C207" i="4"/>
  <c r="C215" i="4"/>
  <c r="C218" i="4"/>
  <c r="C222" i="4"/>
  <c r="C227" i="4"/>
  <c r="C231" i="4"/>
  <c r="C235" i="4"/>
  <c r="C238" i="4"/>
  <c r="C242" i="4"/>
  <c r="C246" i="4"/>
  <c r="C249" i="4"/>
  <c r="C253" i="4"/>
  <c r="C257" i="4"/>
  <c r="C259" i="4"/>
  <c r="C264" i="4"/>
  <c r="C273" i="4"/>
  <c r="C278" i="4"/>
  <c r="C283" i="4"/>
  <c r="C286" i="4"/>
  <c r="C289" i="4"/>
  <c r="C292" i="4"/>
  <c r="C299" i="4"/>
  <c r="C308" i="4"/>
  <c r="C312" i="4"/>
  <c r="C316" i="4"/>
  <c r="C320" i="4"/>
  <c r="C325" i="4"/>
  <c r="C328" i="4"/>
  <c r="C332" i="4"/>
  <c r="C336" i="4"/>
  <c r="C340" i="4"/>
  <c r="C346" i="4"/>
  <c r="C350" i="4"/>
  <c r="C354" i="4"/>
  <c r="C358" i="4"/>
  <c r="C361" i="4"/>
  <c r="C364" i="4"/>
  <c r="C367" i="4"/>
  <c r="C371" i="4"/>
  <c r="C375" i="4"/>
  <c r="C378" i="4"/>
  <c r="C382" i="4"/>
  <c r="C386" i="4"/>
  <c r="C390" i="4"/>
  <c r="C405" i="4"/>
  <c r="C410" i="4"/>
  <c r="C414" i="4"/>
  <c r="C418" i="4"/>
  <c r="C422" i="4"/>
  <c r="C426" i="4"/>
  <c r="C440" i="4"/>
  <c r="C445" i="4"/>
  <c r="C450" i="4"/>
  <c r="C454" i="4"/>
  <c r="C458" i="4"/>
  <c r="C462" i="4"/>
  <c r="C466" i="4"/>
  <c r="C474" i="4"/>
  <c r="C478" i="4"/>
  <c r="C482" i="4"/>
  <c r="C486" i="4"/>
  <c r="C438" i="4"/>
  <c r="C456" i="4"/>
  <c r="C464" i="4"/>
  <c r="C476" i="4"/>
  <c r="C488" i="4"/>
  <c r="C465" i="4"/>
  <c r="E430" i="4"/>
  <c r="I430" i="4"/>
  <c r="M430" i="4"/>
  <c r="Q430" i="4"/>
  <c r="F431" i="4"/>
  <c r="N431" i="4"/>
  <c r="G432" i="4"/>
  <c r="K432" i="4"/>
  <c r="O432" i="4"/>
  <c r="E434" i="4"/>
  <c r="I434" i="4"/>
  <c r="M434" i="4"/>
  <c r="Q434" i="4"/>
  <c r="F435" i="4"/>
  <c r="J435" i="4"/>
  <c r="N435" i="4"/>
  <c r="G436" i="4"/>
  <c r="K436" i="4"/>
  <c r="O436" i="4"/>
  <c r="D437" i="4"/>
  <c r="H437" i="4"/>
  <c r="L437" i="4"/>
  <c r="P437" i="4"/>
  <c r="E438" i="4"/>
  <c r="I438" i="4"/>
  <c r="M438" i="4"/>
  <c r="Q438" i="4"/>
  <c r="F439" i="4"/>
  <c r="J439" i="4"/>
  <c r="N439" i="4"/>
  <c r="G440" i="4"/>
  <c r="K440" i="4"/>
  <c r="O440" i="4"/>
  <c r="D441" i="4"/>
  <c r="H441" i="4"/>
  <c r="L441" i="4"/>
  <c r="P441" i="4"/>
  <c r="E442" i="4"/>
  <c r="I442" i="4"/>
  <c r="M442" i="4"/>
  <c r="Q442" i="4"/>
  <c r="F444" i="4"/>
  <c r="J444" i="4"/>
  <c r="N444" i="4"/>
  <c r="G445" i="4"/>
  <c r="K445" i="4"/>
  <c r="O445" i="4"/>
  <c r="D446" i="4"/>
  <c r="H446" i="4"/>
  <c r="L446" i="4"/>
  <c r="P446" i="4"/>
  <c r="F447" i="4"/>
  <c r="J447" i="4"/>
  <c r="N447" i="4"/>
  <c r="F449" i="4"/>
  <c r="J449" i="4"/>
  <c r="N449" i="4"/>
  <c r="G450" i="4"/>
  <c r="K450" i="4"/>
  <c r="O450" i="4"/>
  <c r="D451" i="4"/>
  <c r="H451" i="4"/>
  <c r="L451" i="4"/>
  <c r="P451" i="4"/>
  <c r="E452" i="4"/>
  <c r="I452" i="4"/>
  <c r="M452" i="4"/>
  <c r="Q452" i="4"/>
  <c r="F453" i="4"/>
  <c r="J453" i="4"/>
  <c r="N453" i="4"/>
  <c r="G454" i="4"/>
  <c r="K454" i="4"/>
  <c r="O454" i="4"/>
  <c r="D455" i="4"/>
  <c r="H455" i="4"/>
  <c r="L455" i="4"/>
  <c r="P455" i="4"/>
  <c r="E456" i="4"/>
  <c r="I456" i="4"/>
  <c r="M456" i="4"/>
  <c r="Q456" i="4"/>
  <c r="F457" i="4"/>
  <c r="J457" i="4"/>
  <c r="N457" i="4"/>
  <c r="G458" i="4"/>
  <c r="K458" i="4"/>
  <c r="O458" i="4"/>
  <c r="D459" i="4"/>
  <c r="H459" i="4"/>
  <c r="L459" i="4"/>
  <c r="P459" i="4"/>
  <c r="E460" i="4"/>
  <c r="I460" i="4"/>
  <c r="M460" i="4"/>
  <c r="Q460" i="4"/>
  <c r="F461" i="4"/>
  <c r="J461" i="4"/>
  <c r="N461" i="4"/>
  <c r="G462" i="4"/>
  <c r="K462" i="4"/>
  <c r="O462" i="4"/>
  <c r="D463" i="4"/>
  <c r="H463" i="4"/>
  <c r="L463" i="4"/>
  <c r="P463" i="4"/>
  <c r="E464" i="4"/>
  <c r="I464" i="4"/>
  <c r="M464" i="4"/>
  <c r="Q464" i="4"/>
  <c r="F465" i="4"/>
  <c r="J465" i="4"/>
  <c r="N465" i="4"/>
  <c r="G466" i="4"/>
  <c r="K466" i="4"/>
  <c r="O466" i="4"/>
  <c r="D467" i="4"/>
  <c r="H467" i="4"/>
  <c r="L467" i="4"/>
  <c r="P467" i="4"/>
  <c r="E468" i="4"/>
  <c r="I468" i="4"/>
  <c r="M468" i="4"/>
  <c r="Q468" i="4"/>
  <c r="F469" i="4"/>
  <c r="J469" i="4"/>
  <c r="N469" i="4"/>
  <c r="D471" i="4"/>
  <c r="H471" i="4"/>
  <c r="L471" i="4"/>
  <c r="P471" i="4"/>
  <c r="E472" i="4"/>
  <c r="I472" i="4"/>
  <c r="M472" i="4"/>
  <c r="Q472" i="4"/>
  <c r="F473" i="4"/>
  <c r="J473" i="4"/>
  <c r="N473" i="4"/>
  <c r="G474" i="4"/>
  <c r="K474" i="4"/>
  <c r="O474" i="4"/>
  <c r="D475" i="4"/>
  <c r="H475" i="4"/>
  <c r="L475" i="4"/>
  <c r="P475" i="4"/>
  <c r="E476" i="4"/>
  <c r="I476" i="4"/>
  <c r="M476" i="4"/>
  <c r="Q476" i="4"/>
  <c r="F477" i="4"/>
  <c r="J477" i="4"/>
  <c r="N477" i="4"/>
  <c r="G478" i="4"/>
  <c r="K478" i="4"/>
  <c r="O478" i="4"/>
  <c r="D479" i="4"/>
  <c r="H479" i="4"/>
  <c r="L479" i="4"/>
  <c r="P479" i="4"/>
  <c r="E480" i="4"/>
  <c r="I480" i="4"/>
  <c r="M480" i="4"/>
  <c r="Q480" i="4"/>
  <c r="F481" i="4"/>
  <c r="J481" i="4"/>
  <c r="N481" i="4"/>
  <c r="G482" i="4"/>
  <c r="K482" i="4"/>
  <c r="O482" i="4"/>
  <c r="D483" i="4"/>
  <c r="H483" i="4"/>
  <c r="L483" i="4"/>
  <c r="P483" i="4"/>
  <c r="E484" i="4"/>
  <c r="I484" i="4"/>
  <c r="M484" i="4"/>
  <c r="Q484" i="4"/>
  <c r="F485" i="4"/>
  <c r="J485" i="4"/>
  <c r="N485" i="4"/>
  <c r="G486" i="4"/>
  <c r="K486" i="4"/>
  <c r="O486" i="4"/>
  <c r="D487" i="4"/>
  <c r="H487" i="4"/>
  <c r="L487" i="4"/>
  <c r="P487" i="4"/>
  <c r="E488" i="4"/>
  <c r="I488" i="4"/>
  <c r="M488" i="4"/>
  <c r="Q488" i="4"/>
  <c r="C12" i="4"/>
  <c r="C18" i="4"/>
  <c r="C22" i="4"/>
  <c r="C27" i="4"/>
  <c r="C32" i="4"/>
  <c r="C36" i="4"/>
  <c r="C40" i="4"/>
  <c r="C44" i="4"/>
  <c r="C50" i="4"/>
  <c r="C54" i="4"/>
  <c r="C58" i="4"/>
  <c r="C62" i="4"/>
  <c r="C67" i="4"/>
  <c r="C72" i="4"/>
  <c r="C77" i="4"/>
  <c r="C94" i="4"/>
  <c r="C98" i="4"/>
  <c r="C102" i="4"/>
  <c r="C110" i="4"/>
  <c r="C115" i="4"/>
  <c r="C119" i="4"/>
  <c r="C126" i="4"/>
  <c r="C130" i="4"/>
  <c r="C134" i="4"/>
  <c r="C139" i="4"/>
  <c r="C143" i="4"/>
  <c r="C147" i="4"/>
  <c r="C151" i="4"/>
  <c r="C155" i="4"/>
  <c r="C158" i="4"/>
  <c r="C162" i="4"/>
  <c r="C166" i="4"/>
  <c r="C170" i="4"/>
  <c r="C181" i="4"/>
  <c r="C187" i="4"/>
  <c r="C191" i="4"/>
  <c r="C195" i="4"/>
  <c r="C199" i="4"/>
  <c r="C203" i="4"/>
  <c r="C208" i="4"/>
  <c r="C211" i="4"/>
  <c r="C216" i="4"/>
  <c r="C219" i="4"/>
  <c r="C223" i="4"/>
  <c r="C228" i="4"/>
  <c r="C232" i="4"/>
  <c r="C236" i="4"/>
  <c r="C239" i="4"/>
  <c r="C243" i="4"/>
  <c r="C247" i="4"/>
  <c r="C250" i="4"/>
  <c r="C254" i="4"/>
  <c r="C260" i="4"/>
  <c r="C265" i="4"/>
  <c r="C268" i="4"/>
  <c r="C271" i="4"/>
  <c r="C279" i="4"/>
  <c r="C284" i="4"/>
  <c r="C293" i="4"/>
  <c r="C296" i="4"/>
  <c r="C300" i="4"/>
  <c r="C305" i="4"/>
  <c r="C309" i="4"/>
  <c r="C313" i="4"/>
  <c r="C317" i="4"/>
  <c r="C321" i="4"/>
  <c r="C326" i="4"/>
  <c r="C329" i="4"/>
  <c r="C333" i="4"/>
  <c r="C337" i="4"/>
  <c r="C342" i="4"/>
  <c r="C347" i="4"/>
  <c r="C351" i="4"/>
  <c r="C355" i="4"/>
  <c r="C362" i="4"/>
  <c r="C368" i="4"/>
  <c r="C372" i="4"/>
  <c r="C376" i="4"/>
  <c r="C379" i="4"/>
  <c r="C383" i="4"/>
  <c r="C387" i="4"/>
  <c r="C392" i="4"/>
  <c r="C402" i="4"/>
  <c r="C406" i="4"/>
  <c r="C411" i="4"/>
  <c r="C415" i="4"/>
  <c r="C419" i="4"/>
  <c r="C423" i="4"/>
  <c r="C430" i="4"/>
  <c r="C434" i="4"/>
  <c r="C437" i="4"/>
  <c r="C441" i="4"/>
  <c r="C446" i="4"/>
  <c r="C451" i="4"/>
  <c r="C455" i="4"/>
  <c r="C459" i="4"/>
  <c r="C463" i="4"/>
  <c r="C467" i="4"/>
  <c r="C471" i="4"/>
  <c r="C475" i="4"/>
  <c r="C479" i="4"/>
  <c r="C483" i="4"/>
  <c r="C487" i="4"/>
  <c r="C435" i="4"/>
  <c r="C460" i="4"/>
  <c r="C472" i="4"/>
  <c r="C480" i="4"/>
  <c r="C461" i="4"/>
  <c r="C473" i="4"/>
  <c r="C485" i="4"/>
  <c r="V4" i="7"/>
  <c r="C4" i="4"/>
  <c r="AB518" i="7" l="1"/>
  <c r="AB521" i="7" s="1"/>
  <c r="AB3" i="7" s="1"/>
  <c r="AA10" i="5" s="1"/>
  <c r="AB490" i="4"/>
  <c r="AB493" i="4" s="1"/>
  <c r="Z490" i="4"/>
  <c r="AA518" i="7"/>
  <c r="AA490" i="4"/>
  <c r="W518" i="7"/>
  <c r="Y518" i="7"/>
  <c r="Y521" i="7" s="1"/>
  <c r="Y3" i="7" s="1"/>
  <c r="X10" i="5" s="1"/>
  <c r="X518" i="7"/>
  <c r="X521" i="7" s="1"/>
  <c r="Z518" i="7"/>
  <c r="U518" i="7"/>
  <c r="Y490" i="4"/>
  <c r="Y493" i="4" s="1"/>
  <c r="Y3" i="4" s="1"/>
  <c r="X9" i="5" s="1"/>
  <c r="T490" i="4"/>
  <c r="S490" i="4"/>
  <c r="V490" i="4"/>
  <c r="W490" i="4"/>
  <c r="W493" i="4" s="1"/>
  <c r="X490" i="4"/>
  <c r="X493" i="4" s="1"/>
  <c r="X3" i="4" s="1"/>
  <c r="W9" i="5" s="1"/>
  <c r="U490" i="4"/>
  <c r="E518" i="7"/>
  <c r="M518" i="7"/>
  <c r="V518" i="7"/>
  <c r="T518" i="7"/>
  <c r="D518" i="7"/>
  <c r="C518" i="7"/>
  <c r="F518" i="7"/>
  <c r="P518" i="7"/>
  <c r="S518" i="7"/>
  <c r="N518" i="7"/>
  <c r="O518" i="7"/>
  <c r="D490" i="4"/>
  <c r="C490" i="4"/>
  <c r="AB3" i="4" l="1"/>
  <c r="AA9" i="5" s="1"/>
  <c r="AA493" i="4"/>
  <c r="AA521" i="7"/>
  <c r="AA3" i="7" s="1"/>
  <c r="Z10" i="5" s="1"/>
  <c r="Z521" i="7"/>
  <c r="Z493" i="4"/>
  <c r="Z3" i="4" s="1"/>
  <c r="X3" i="7"/>
  <c r="W10" i="5" s="1"/>
  <c r="W3" i="4"/>
  <c r="V9" i="5" s="1"/>
  <c r="E490" i="4"/>
  <c r="C436" i="10"/>
  <c r="AA3" i="4" l="1"/>
  <c r="Z9" i="5" s="1"/>
  <c r="Z3" i="7"/>
  <c r="Y10" i="5" s="1"/>
  <c r="Y9" i="5"/>
  <c r="F490" i="4"/>
  <c r="C451" i="9" l="1"/>
  <c r="C450" i="9"/>
  <c r="C449" i="9"/>
  <c r="C448" i="9"/>
  <c r="U527" i="1" l="1"/>
  <c r="C453" i="9"/>
  <c r="T527" i="1" l="1"/>
  <c r="U520" i="7"/>
  <c r="U521" i="7" s="1"/>
  <c r="U3" i="7" s="1"/>
  <c r="T10" i="5" s="1"/>
  <c r="U492" i="4"/>
  <c r="V527" i="1"/>
  <c r="Y527" i="1"/>
  <c r="AA524" i="1"/>
  <c r="S3" i="1"/>
  <c r="R11" i="5" s="1"/>
  <c r="X3" i="1"/>
  <c r="W11" i="5" s="1"/>
  <c r="Y3" i="1"/>
  <c r="X11" i="5" s="1"/>
  <c r="Z3" i="1"/>
  <c r="Y11" i="5" s="1"/>
  <c r="AA3" i="1"/>
  <c r="Z11" i="5" s="1"/>
  <c r="AA527" i="1" l="1"/>
  <c r="AA529" i="1"/>
  <c r="V492" i="4"/>
  <c r="V520" i="7"/>
  <c r="V521" i="7" s="1"/>
  <c r="V3" i="7" s="1"/>
  <c r="U10" i="5" s="1"/>
  <c r="W527" i="1"/>
  <c r="T492" i="4"/>
  <c r="T520" i="7"/>
  <c r="T521" i="7" s="1"/>
  <c r="T3" i="7" s="1"/>
  <c r="S10" i="5" s="1"/>
  <c r="Z527" i="1"/>
  <c r="X527" i="1"/>
  <c r="W520" i="7" l="1"/>
  <c r="W521" i="7" s="1"/>
  <c r="W3" i="7" s="1"/>
  <c r="V10" i="5" s="1"/>
  <c r="S527" i="1"/>
  <c r="S520" i="7" l="1"/>
  <c r="S521" i="7" s="1"/>
  <c r="S3" i="7" s="1"/>
  <c r="R10" i="5" s="1"/>
  <c r="S492" i="4"/>
  <c r="R3" i="1"/>
  <c r="Q11" i="5" s="1"/>
  <c r="R517" i="7" l="1"/>
  <c r="R520" i="7" l="1"/>
  <c r="R492" i="4"/>
  <c r="D3" i="1"/>
  <c r="C11" i="5" s="1"/>
  <c r="E3" i="1"/>
  <c r="D11" i="5" s="1"/>
  <c r="F3" i="1"/>
  <c r="E11" i="5" s="1"/>
  <c r="G3" i="1"/>
  <c r="F11" i="5" s="1"/>
  <c r="H3" i="1"/>
  <c r="G11" i="5" s="1"/>
  <c r="I3" i="1"/>
  <c r="H11" i="5" s="1"/>
  <c r="J3" i="1"/>
  <c r="I11" i="5" s="1"/>
  <c r="K3" i="1"/>
  <c r="J11" i="5" s="1"/>
  <c r="L3" i="1"/>
  <c r="K11" i="5" s="1"/>
  <c r="M3" i="1"/>
  <c r="L11" i="5" s="1"/>
  <c r="N3" i="1"/>
  <c r="M11" i="5" s="1"/>
  <c r="O3" i="1"/>
  <c r="N11" i="5" s="1"/>
  <c r="P3" i="1"/>
  <c r="O11" i="5" s="1"/>
  <c r="Q3" i="1"/>
  <c r="P11" i="5" s="1"/>
  <c r="C3" i="1"/>
  <c r="B11" i="5" s="1"/>
  <c r="N527" i="1" l="1"/>
  <c r="N489" i="4"/>
  <c r="N490" i="4" s="1"/>
  <c r="N517" i="7"/>
  <c r="C527" i="1"/>
  <c r="C489" i="4"/>
  <c r="E527" i="1"/>
  <c r="E517" i="7"/>
  <c r="E489" i="4"/>
  <c r="D527" i="1"/>
  <c r="D517" i="7"/>
  <c r="D489" i="4"/>
  <c r="F527" i="1"/>
  <c r="F489" i="4"/>
  <c r="F517" i="7"/>
  <c r="G489" i="4"/>
  <c r="G517" i="7"/>
  <c r="I517" i="7"/>
  <c r="I489" i="4"/>
  <c r="H489" i="4"/>
  <c r="H517" i="7"/>
  <c r="K517" i="7"/>
  <c r="K489" i="4"/>
  <c r="M527" i="1"/>
  <c r="M517" i="7"/>
  <c r="M489" i="4"/>
  <c r="M490" i="4" s="1"/>
  <c r="L489" i="4"/>
  <c r="L517" i="7"/>
  <c r="J517" i="7"/>
  <c r="J489" i="4"/>
  <c r="O527" i="1"/>
  <c r="O517" i="7"/>
  <c r="O489" i="4"/>
  <c r="O490" i="4" s="1"/>
  <c r="Q517" i="7"/>
  <c r="Q489" i="4"/>
  <c r="P527" i="1"/>
  <c r="P489" i="4"/>
  <c r="P490" i="4" s="1"/>
  <c r="P517" i="7"/>
  <c r="Q520" i="7" l="1"/>
  <c r="Q492" i="4"/>
  <c r="M520" i="7"/>
  <c r="M521" i="7" s="1"/>
  <c r="M3" i="7" s="1"/>
  <c r="L10" i="5" s="1"/>
  <c r="M492" i="4"/>
  <c r="M493" i="4" s="1"/>
  <c r="M3" i="4" s="1"/>
  <c r="L9" i="5" s="1"/>
  <c r="G520" i="7"/>
  <c r="G492" i="4"/>
  <c r="C492" i="4"/>
  <c r="C493" i="4" s="1"/>
  <c r="C3" i="4" s="1"/>
  <c r="B9" i="5" s="1"/>
  <c r="C520" i="7"/>
  <c r="C521" i="7" s="1"/>
  <c r="C3" i="7" s="1"/>
  <c r="B10" i="5" s="1"/>
  <c r="P492" i="4"/>
  <c r="P493" i="4" s="1"/>
  <c r="P3" i="4" s="1"/>
  <c r="O9" i="5" s="1"/>
  <c r="P520" i="7"/>
  <c r="P521" i="7" s="1"/>
  <c r="P3" i="7" s="1"/>
  <c r="O10" i="5" s="1"/>
  <c r="L492" i="4"/>
  <c r="L520" i="7"/>
  <c r="I520" i="7"/>
  <c r="I492" i="4"/>
  <c r="E520" i="7"/>
  <c r="E521" i="7" s="1"/>
  <c r="E3" i="7" s="1"/>
  <c r="D10" i="5" s="1"/>
  <c r="E492" i="4"/>
  <c r="E493" i="4" s="1"/>
  <c r="E3" i="4" s="1"/>
  <c r="D9" i="5" s="1"/>
  <c r="J520" i="7"/>
  <c r="H492" i="4"/>
  <c r="H520" i="7"/>
  <c r="D492" i="4"/>
  <c r="D493" i="4" s="1"/>
  <c r="D3" i="4" s="1"/>
  <c r="C9" i="5" s="1"/>
  <c r="D520" i="7"/>
  <c r="D521" i="7" s="1"/>
  <c r="D3" i="7" s="1"/>
  <c r="C10" i="5" s="1"/>
  <c r="O520" i="7"/>
  <c r="O521" i="7" s="1"/>
  <c r="O3" i="7" s="1"/>
  <c r="N10" i="5" s="1"/>
  <c r="O492" i="4"/>
  <c r="O493" i="4" s="1"/>
  <c r="O3" i="4" s="1"/>
  <c r="N9" i="5" s="1"/>
  <c r="K520" i="7"/>
  <c r="K492" i="4"/>
  <c r="F492" i="4"/>
  <c r="F493" i="4" s="1"/>
  <c r="F3" i="4" s="1"/>
  <c r="E9" i="5" s="1"/>
  <c r="F521" i="7"/>
  <c r="F3" i="7" s="1"/>
  <c r="E10" i="5" s="1"/>
  <c r="N520" i="7"/>
  <c r="N521" i="7" s="1"/>
  <c r="N3" i="7" s="1"/>
  <c r="M10" i="5" s="1"/>
  <c r="N492" i="4"/>
  <c r="N493" i="4" s="1"/>
  <c r="N3" i="4" s="1"/>
  <c r="M9" i="5" s="1"/>
  <c r="T493" i="4" l="1"/>
  <c r="T3" i="4" s="1"/>
  <c r="S9" i="5" s="1"/>
  <c r="S493" i="4"/>
  <c r="S3" i="4" s="1"/>
  <c r="R9" i="5" s="1"/>
  <c r="U493" i="4" l="1"/>
  <c r="U3" i="4" s="1"/>
  <c r="T9" i="5" s="1"/>
  <c r="V493" i="4" l="1"/>
  <c r="V3" i="4" s="1"/>
  <c r="U9" i="5" s="1"/>
  <c r="K27" i="7" l="1"/>
  <c r="L27" i="7"/>
  <c r="K27" i="4"/>
  <c r="L27" i="4" l="1"/>
  <c r="Q32" i="7" l="1"/>
  <c r="Q33" i="4"/>
  <c r="R33" i="4"/>
  <c r="R32" i="7"/>
  <c r="Q527" i="1"/>
  <c r="Q534" i="1"/>
  <c r="Q533" i="1"/>
  <c r="Q302" i="4"/>
  <c r="Q321" i="7"/>
  <c r="R533" i="1"/>
  <c r="Q518" i="7" l="1"/>
  <c r="Q521" i="7" s="1"/>
  <c r="Q490" i="4"/>
  <c r="Q493" i="4" s="1"/>
  <c r="Q3" i="4" s="1"/>
  <c r="P9" i="5" s="1"/>
  <c r="R534" i="1"/>
  <c r="R321" i="7"/>
  <c r="R518" i="7" s="1"/>
  <c r="R302" i="4"/>
  <c r="R490" i="4" s="1"/>
  <c r="Q3" i="7" l="1"/>
  <c r="P10" i="5" s="1"/>
  <c r="R493" i="4"/>
  <c r="R3" i="4" s="1"/>
  <c r="Q9" i="5" s="1"/>
  <c r="R521" i="7"/>
  <c r="R3" i="7" s="1"/>
  <c r="Q10" i="5" s="1"/>
  <c r="G524" i="1"/>
  <c r="G518" i="7"/>
  <c r="G490" i="4"/>
  <c r="G533" i="1"/>
  <c r="G534" i="1"/>
  <c r="H534" i="1"/>
  <c r="G527" i="1" l="1"/>
  <c r="G529" i="1"/>
  <c r="G521" i="7"/>
  <c r="G3" i="7" s="1"/>
  <c r="F10" i="5" s="1"/>
  <c r="G493" i="4"/>
  <c r="G3" i="4" s="1"/>
  <c r="F9" i="5" s="1"/>
  <c r="H490" i="4"/>
  <c r="H524" i="1"/>
  <c r="H533" i="1"/>
  <c r="H518" i="7"/>
  <c r="H527" i="1" l="1"/>
  <c r="H529" i="1"/>
  <c r="H521" i="7"/>
  <c r="H3" i="7" s="1"/>
  <c r="G10" i="5" s="1"/>
  <c r="H493" i="4"/>
  <c r="H3" i="4" s="1"/>
  <c r="G9" i="5" s="1"/>
  <c r="I455" i="7"/>
  <c r="J431" i="4"/>
  <c r="I431" i="4"/>
  <c r="J455" i="7"/>
  <c r="K407" i="7" l="1"/>
  <c r="K384" i="4"/>
  <c r="L407" i="7"/>
  <c r="L518" i="7" s="1"/>
  <c r="L524" i="1"/>
  <c r="L534" i="1"/>
  <c r="L384" i="4"/>
  <c r="L490" i="4" s="1"/>
  <c r="L533" i="1"/>
  <c r="L527" i="1" l="1"/>
  <c r="L529" i="1"/>
  <c r="L493" i="4"/>
  <c r="L3" i="4" s="1"/>
  <c r="K9" i="5" s="1"/>
  <c r="L521" i="7"/>
  <c r="L3" i="7" s="1"/>
  <c r="K10" i="5" s="1"/>
  <c r="I342" i="4"/>
  <c r="I490" i="4" s="1"/>
  <c r="I361" i="7"/>
  <c r="I518" i="7" s="1"/>
  <c r="I524" i="1"/>
  <c r="I533" i="1"/>
  <c r="I534" i="1"/>
  <c r="I527" i="1" l="1"/>
  <c r="I529" i="1"/>
  <c r="I521" i="7"/>
  <c r="I3" i="7" s="1"/>
  <c r="H10" i="5" s="1"/>
  <c r="I493" i="4"/>
  <c r="I3" i="4" s="1"/>
  <c r="H9" i="5" s="1"/>
  <c r="J533" i="1"/>
  <c r="J534" i="1"/>
  <c r="J342" i="4"/>
  <c r="J490" i="4" s="1"/>
  <c r="J361" i="7"/>
  <c r="J518" i="7" s="1"/>
  <c r="K524" i="1"/>
  <c r="K361" i="7"/>
  <c r="K518" i="7" s="1"/>
  <c r="K527" i="1" l="1"/>
  <c r="K529" i="1"/>
  <c r="J521" i="7"/>
  <c r="J3" i="7" s="1"/>
  <c r="I10" i="5" s="1"/>
  <c r="J493" i="4"/>
  <c r="J3" i="4" s="1"/>
  <c r="I9" i="5" s="1"/>
  <c r="K521" i="7"/>
  <c r="K3" i="7" s="1"/>
  <c r="J10" i="5" s="1"/>
  <c r="K342" i="4"/>
  <c r="K490" i="4" s="1"/>
  <c r="K534" i="1"/>
  <c r="K533" i="1"/>
  <c r="K493" i="4" l="1"/>
  <c r="K3" i="4" s="1"/>
  <c r="J9" i="5" s="1"/>
  <c r="I58" i="25" l="1"/>
  <c r="H58"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Sonya Trad</author>
  </authors>
  <commentList>
    <comment ref="A40" authorId="0" shapeId="0" xr:uid="{00000000-0006-0000-0300-000001000000}">
      <text>
        <r>
          <rPr>
            <b/>
            <sz val="8"/>
            <color indexed="81"/>
            <rFont val="Tahoma"/>
            <family val="2"/>
          </rPr>
          <t>Sonya Trad:</t>
        </r>
        <r>
          <rPr>
            <sz val="8"/>
            <color indexed="81"/>
            <rFont val="Tahoma"/>
            <family val="2"/>
          </rPr>
          <t xml:space="preserve">
innehåller också dalsjöfors, fristad  och sandared</t>
        </r>
      </text>
    </comment>
    <comment ref="A60" authorId="0" shapeId="0" xr:uid="{00000000-0006-0000-0300-000002000000}">
      <text>
        <r>
          <rPr>
            <b/>
            <sz val="8"/>
            <color indexed="81"/>
            <rFont val="Tahoma"/>
            <family val="2"/>
          </rPr>
          <t>Sonya Trad:</t>
        </r>
        <r>
          <rPr>
            <sz val="8"/>
            <color indexed="81"/>
            <rFont val="Tahoma"/>
            <family val="2"/>
          </rPr>
          <t xml:space="preserve">
inkluderar tyresö 1996-2003</t>
        </r>
      </text>
    </comment>
    <comment ref="A121" authorId="0" shapeId="0" xr:uid="{00000000-0006-0000-0300-000003000000}">
      <text>
        <r>
          <rPr>
            <b/>
            <sz val="8"/>
            <color indexed="81"/>
            <rFont val="Tahoma"/>
            <family val="2"/>
          </rPr>
          <t>Sonya Trad:</t>
        </r>
        <r>
          <rPr>
            <sz val="8"/>
            <color indexed="81"/>
            <rFont val="Tahoma"/>
            <family val="2"/>
          </rPr>
          <t xml:space="preserve">
inkluderar pratile ale</t>
        </r>
      </text>
    </comment>
    <comment ref="A130" authorId="0" shapeId="0" xr:uid="{00000000-0006-0000-0300-000004000000}">
      <text>
        <r>
          <rPr>
            <b/>
            <sz val="8"/>
            <color indexed="81"/>
            <rFont val="Tahoma"/>
            <family val="2"/>
          </rPr>
          <t>Sonya Trad:</t>
        </r>
        <r>
          <rPr>
            <sz val="8"/>
            <color indexed="81"/>
            <rFont val="Tahoma"/>
            <family val="2"/>
          </rPr>
          <t xml:space="preserve">
inkluderarTärnsjö, Östervåla, Heby sjukhem, Tegelmästaren, Horrsta, Morgongåva, Starfors, ej ledningsbundna. </t>
        </r>
      </text>
    </comment>
    <comment ref="A169" authorId="0" shapeId="0" xr:uid="{00000000-0006-0000-0300-000005000000}">
      <text>
        <r>
          <rPr>
            <b/>
            <sz val="8"/>
            <color indexed="81"/>
            <rFont val="Tahoma"/>
            <family val="2"/>
          </rPr>
          <t>Sonya Trad:</t>
        </r>
        <r>
          <rPr>
            <sz val="8"/>
            <color indexed="81"/>
            <rFont val="Tahoma"/>
            <family val="2"/>
          </rPr>
          <t xml:space="preserve">
ingår i Sundsvall övriga nät</t>
        </r>
      </text>
    </comment>
    <comment ref="A184" authorId="0" shapeId="0" xr:uid="{00000000-0006-0000-0300-000006000000}">
      <text>
        <r>
          <rPr>
            <b/>
            <sz val="8"/>
            <color indexed="81"/>
            <rFont val="Tahoma"/>
            <family val="2"/>
          </rPr>
          <t>Sonya Trad:</t>
        </r>
        <r>
          <rPr>
            <sz val="8"/>
            <color indexed="81"/>
            <rFont val="Tahoma"/>
            <family val="2"/>
          </rPr>
          <t xml:space="preserve">
ägs ej av rindi längre</t>
        </r>
      </text>
    </comment>
    <comment ref="B184" authorId="0" shapeId="0" xr:uid="{00000000-0006-0000-0300-000007000000}">
      <text>
        <r>
          <rPr>
            <b/>
            <sz val="8"/>
            <color indexed="81"/>
            <rFont val="Tahoma"/>
            <family val="2"/>
          </rPr>
          <t>Sonya Trad:</t>
        </r>
        <r>
          <rPr>
            <sz val="8"/>
            <color indexed="81"/>
            <rFont val="Tahoma"/>
            <family val="2"/>
          </rPr>
          <t xml:space="preserve">
ägs ej av rindi längre</t>
        </r>
      </text>
    </comment>
    <comment ref="A201" authorId="0" shapeId="0" xr:uid="{00000000-0006-0000-0300-000008000000}">
      <text>
        <r>
          <rPr>
            <b/>
            <sz val="8"/>
            <color indexed="81"/>
            <rFont val="Tahoma"/>
            <family val="2"/>
          </rPr>
          <t>Sonya Trad:</t>
        </r>
        <r>
          <rPr>
            <sz val="8"/>
            <color indexed="81"/>
            <rFont val="Tahoma"/>
            <family val="2"/>
          </rPr>
          <t xml:space="preserve">
Ingår i Sundsvall övriga</t>
        </r>
      </text>
    </comment>
    <comment ref="A229" authorId="0" shapeId="0" xr:uid="{00000000-0006-0000-0300-000009000000}">
      <text>
        <r>
          <rPr>
            <b/>
            <sz val="8"/>
            <color indexed="81"/>
            <rFont val="Tahoma"/>
            <family val="2"/>
          </rPr>
          <t>Sonya Trad:</t>
        </r>
        <r>
          <rPr>
            <sz val="8"/>
            <color indexed="81"/>
            <rFont val="Tahoma"/>
            <family val="2"/>
          </rPr>
          <t xml:space="preserve">
Ingår i sundsvalls övriga nät</t>
        </r>
      </text>
    </comment>
    <comment ref="A231" authorId="0" shapeId="0" xr:uid="{00000000-0006-0000-0300-00000A000000}">
      <text>
        <r>
          <rPr>
            <b/>
            <sz val="8"/>
            <color indexed="81"/>
            <rFont val="Tahoma"/>
            <family val="2"/>
          </rPr>
          <t>Sonya Trad:</t>
        </r>
        <r>
          <rPr>
            <sz val="8"/>
            <color indexed="81"/>
            <rFont val="Tahoma"/>
            <family val="2"/>
          </rPr>
          <t xml:space="preserve">
Ingår i fortums stockholmsnät</t>
        </r>
      </text>
    </comment>
    <comment ref="A235" authorId="0" shapeId="0" xr:uid="{00000000-0006-0000-0300-00000B000000}">
      <text>
        <r>
          <rPr>
            <b/>
            <sz val="8"/>
            <color indexed="81"/>
            <rFont val="Tahoma"/>
            <family val="2"/>
          </rPr>
          <t>Sonya Trad:</t>
        </r>
        <r>
          <rPr>
            <sz val="8"/>
            <color indexed="81"/>
            <rFont val="Tahoma"/>
            <family val="2"/>
          </rPr>
          <t xml:space="preserve">
inkulderar Ljungsbro, Malmslätt, sturefors, Långasjönäs</t>
        </r>
      </text>
    </comment>
    <comment ref="A242" authorId="0" shapeId="0" xr:uid="{00000000-0006-0000-0300-00000C000000}">
      <text>
        <r>
          <rPr>
            <b/>
            <sz val="8"/>
            <color indexed="81"/>
            <rFont val="Tahoma"/>
            <family val="2"/>
          </rPr>
          <t>Sonya Trad:</t>
        </r>
        <r>
          <rPr>
            <sz val="8"/>
            <color indexed="81"/>
            <rFont val="Tahoma"/>
            <family val="2"/>
          </rPr>
          <t xml:space="preserve">
Ingår i sunsvalls övriga nät</t>
        </r>
      </text>
    </comment>
    <comment ref="A286" authorId="0" shapeId="0" xr:uid="{00000000-0006-0000-0300-00000D000000}">
      <text>
        <r>
          <rPr>
            <b/>
            <sz val="8"/>
            <color indexed="81"/>
            <rFont val="Tahoma"/>
            <family val="2"/>
          </rPr>
          <t>Sonya Trad:</t>
        </r>
        <r>
          <rPr>
            <sz val="8"/>
            <color indexed="81"/>
            <rFont val="Tahoma"/>
            <family val="2"/>
          </rPr>
          <t xml:space="preserve">
såld till ?? </t>
        </r>
      </text>
    </comment>
    <comment ref="A376" authorId="0" shapeId="0" xr:uid="{00000000-0006-0000-0300-00000E000000}">
      <text>
        <r>
          <rPr>
            <b/>
            <sz val="8"/>
            <color indexed="81"/>
            <rFont val="Tahoma"/>
            <family val="2"/>
          </rPr>
          <t>Sonya Trad:</t>
        </r>
        <r>
          <rPr>
            <sz val="8"/>
            <color indexed="81"/>
            <rFont val="Tahoma"/>
            <family val="2"/>
          </rPr>
          <t xml:space="preserve">
tidigare Härjedalen</t>
        </r>
      </text>
    </comment>
    <comment ref="A383" authorId="0" shapeId="0" xr:uid="{00000000-0006-0000-0300-00000F000000}">
      <text>
        <r>
          <rPr>
            <b/>
            <sz val="8"/>
            <color indexed="81"/>
            <rFont val="Tahoma"/>
            <family val="2"/>
          </rPr>
          <t>Sonya Trad:</t>
        </r>
        <r>
          <rPr>
            <sz val="8"/>
            <color indexed="81"/>
            <rFont val="Tahoma"/>
            <family val="2"/>
          </rPr>
          <t xml:space="preserve">
Inkluderas i söderhamn</t>
        </r>
      </text>
    </comment>
    <comment ref="A401" authorId="0" shapeId="0" xr:uid="{00000000-0006-0000-0300-000010000000}">
      <text>
        <r>
          <rPr>
            <b/>
            <sz val="8"/>
            <color indexed="81"/>
            <rFont val="Tahoma"/>
            <family val="2"/>
          </rPr>
          <t>Sonya Trad:</t>
        </r>
        <r>
          <rPr>
            <sz val="8"/>
            <color indexed="81"/>
            <rFont val="Tahoma"/>
            <family val="2"/>
          </rPr>
          <t xml:space="preserve">
1996-2003 lagt ihop Bergforsen, söråker och Östrand till Timrå</t>
        </r>
      </text>
    </comment>
    <comment ref="A417" authorId="0" shapeId="0" xr:uid="{00000000-0006-0000-0300-000011000000}">
      <text>
        <r>
          <rPr>
            <b/>
            <sz val="8"/>
            <color indexed="81"/>
            <rFont val="Tahoma"/>
            <family val="2"/>
          </rPr>
          <t>Sonya Trad:</t>
        </r>
        <r>
          <rPr>
            <sz val="8"/>
            <color indexed="81"/>
            <rFont val="Tahoma"/>
            <family val="2"/>
          </rPr>
          <t xml:space="preserve">
nytt separat nät från och med 2009</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Holmström</author>
    <author>Hedman Mattias</author>
  </authors>
  <commentList>
    <comment ref="B67" authorId="0" shapeId="0" xr:uid="{00000000-0006-0000-0900-000001000000}">
      <text>
        <r>
          <rPr>
            <b/>
            <sz val="9"/>
            <color indexed="81"/>
            <rFont val="Tahoma"/>
            <family val="2"/>
          </rPr>
          <t>David Holmström:</t>
        </r>
        <r>
          <rPr>
            <sz val="9"/>
            <color indexed="81"/>
            <rFont val="Tahoma"/>
            <family val="2"/>
          </rPr>
          <t xml:space="preserve">
Tidigare "Eslöv-Lund-Lomma mfl"</t>
        </r>
      </text>
    </comment>
    <comment ref="C71" authorId="1" shapeId="0" xr:uid="{00000000-0006-0000-0900-000002000000}">
      <text>
        <r>
          <rPr>
            <sz val="11"/>
            <rFont val="Calibri"/>
            <family val="2"/>
          </rPr>
          <t>Total fakturerad värme Xellent + Värme till pelletsfabrik + Internvärme för uppvärmning av loklaler + Värme till FJK-produktion</t>
        </r>
      </text>
    </comment>
    <comment ref="C106" authorId="1" shapeId="0" xr:uid="{00000000-0006-0000-0900-000003000000}">
      <text>
        <r>
          <rPr>
            <sz val="11"/>
            <rFont val="Calibri"/>
            <family val="2"/>
          </rPr>
          <t>I siffrorna nedan ingår leveranser till bra miljöval. I såld värme ingår ej leverans för bra miljöval, denna finns i separat nät. //Charlotta Abrahamsson   Intern kommentar GE: Indata till miljöberäkningar, kontakta Charlotta Abrahamsson innan ändrin</t>
        </r>
      </text>
    </comment>
    <comment ref="C177" authorId="1" shapeId="0" xr:uid="{00000000-0006-0000-0900-000004000000}">
      <text>
        <r>
          <rPr>
            <sz val="11"/>
            <rFont val="Calibri"/>
            <family val="2"/>
          </rPr>
          <t>Debatt - Statistik per SCB-Kategori urval Kolsva Samma som SCB P4:11 Kolsva</t>
        </r>
      </text>
    </comment>
    <comment ref="C195" authorId="1" shapeId="0" xr:uid="{00000000-0006-0000-0900-000005000000}">
      <text>
        <r>
          <rPr>
            <sz val="11"/>
            <rFont val="Calibri"/>
            <family val="2"/>
          </rPr>
          <t>Från Debatt Statistik per SCB kategori samma som SCB P4:11</t>
        </r>
      </text>
    </comment>
    <comment ref="C250" authorId="1" shapeId="0" xr:uid="{00000000-0006-0000-0900-000006000000}">
      <text>
        <r>
          <rPr>
            <sz val="11"/>
            <rFont val="Calibri"/>
            <family val="2"/>
          </rPr>
          <t>Driftrapport</t>
        </r>
      </text>
    </comment>
    <comment ref="C253" authorId="1" shapeId="0" xr:uid="{00000000-0006-0000-0900-000007000000}">
      <text>
        <r>
          <rPr>
            <sz val="11"/>
            <rFont val="Calibri"/>
            <family val="2"/>
          </rPr>
          <t>P530: Såld Värme är inte möjlig att registrera i för Nyköping P530: såld Värme = 259,2 GWh</t>
        </r>
      </text>
    </comment>
    <comment ref="C427" authorId="1" shapeId="0" xr:uid="{00000000-0006-0000-0900-000008000000}">
      <text>
        <r>
          <rPr>
            <sz val="11"/>
            <rFont val="Calibri"/>
            <family val="2"/>
          </rPr>
          <t>För 2013 var allt sålt med, nu processånga separat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Åsa Lindqvist</author>
    <author>David Holmström</author>
  </authors>
  <commentList>
    <comment ref="B89" authorId="0" shapeId="0" xr:uid="{00000000-0006-0000-0800-00000100000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B233" authorId="1" shapeId="0" xr:uid="{00000000-0006-0000-0800-000002000000}">
      <text>
        <r>
          <rPr>
            <b/>
            <sz val="9"/>
            <color indexed="81"/>
            <rFont val="Tahoma"/>
            <family val="2"/>
          </rPr>
          <t>David Holmström:</t>
        </r>
        <r>
          <rPr>
            <sz val="9"/>
            <color indexed="81"/>
            <rFont val="Tahoma"/>
            <family val="2"/>
          </rPr>
          <t xml:space="preserve">
Tidigare mjölby skänninge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David Holmström</author>
  </authors>
  <commentList>
    <comment ref="B235" authorId="0" shapeId="0" xr:uid="{00000000-0006-0000-0700-000001000000}">
      <text>
        <r>
          <rPr>
            <b/>
            <sz val="9"/>
            <color indexed="81"/>
            <rFont val="Tahoma"/>
            <family val="2"/>
          </rPr>
          <t>David Holmström:</t>
        </r>
        <r>
          <rPr>
            <sz val="9"/>
            <color indexed="81"/>
            <rFont val="Tahoma"/>
            <family val="2"/>
          </rPr>
          <t xml:space="preserve">
Tidigare mjölby skänninge</t>
        </r>
      </text>
    </comment>
    <comment ref="E324" authorId="0" shapeId="0" xr:uid="{00000000-0006-0000-0700-000002000000}">
      <text>
        <r>
          <rPr>
            <b/>
            <sz val="9"/>
            <color indexed="81"/>
            <rFont val="Tahoma"/>
            <family val="2"/>
          </rPr>
          <t>David Holmström:</t>
        </r>
        <r>
          <rPr>
            <sz val="9"/>
            <color indexed="81"/>
            <rFont val="Tahoma"/>
            <family val="2"/>
          </rPr>
          <t xml:space="preserve">
Faxleleveranser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Nicole Burstein</author>
    <author>Sonya Trad</author>
    <author>tc={2BE81D2A-DEBE-4967-9505-DF9176E9E449}</author>
    <author>tc={A4D88032-EAED-4740-8E1B-2716CB6FD469}</author>
    <author>David Holmström</author>
    <author>tc={352F4ECE-727B-4875-B8B6-69BC521C8DDE}</author>
  </authors>
  <commentList>
    <comment ref="E12" authorId="0" shapeId="0" xr:uid="{27395992-FA8E-4C5C-96F9-DB2358734A69}">
      <text>
        <r>
          <rPr>
            <b/>
            <sz val="9"/>
            <color indexed="81"/>
            <rFont val="Tahoma"/>
            <family val="2"/>
          </rPr>
          <t>Nicole Burstein:</t>
        </r>
        <r>
          <rPr>
            <sz val="9"/>
            <color indexed="81"/>
            <rFont val="Tahoma"/>
            <family val="2"/>
          </rPr>
          <t xml:space="preserve">
Arboga-Köping sedan 2017</t>
        </r>
      </text>
    </comment>
    <comment ref="E13" authorId="0" shapeId="0" xr:uid="{25E2B6F9-7986-484A-B21C-BEA6F44099F2}">
      <text>
        <r>
          <rPr>
            <b/>
            <sz val="9"/>
            <color indexed="81"/>
            <rFont val="Tahoma"/>
            <family val="2"/>
          </rPr>
          <t>Nicole Burstein:</t>
        </r>
        <r>
          <rPr>
            <sz val="9"/>
            <color indexed="81"/>
            <rFont val="Tahoma"/>
            <family val="2"/>
          </rPr>
          <t xml:space="preserve">
Sammanslaget 2017</t>
        </r>
      </text>
    </comment>
    <comment ref="E19" authorId="0" shapeId="0" xr:uid="{80E6FECD-30AB-438D-95D2-F4474602BEE7}">
      <text>
        <r>
          <rPr>
            <b/>
            <sz val="9"/>
            <color indexed="81"/>
            <rFont val="Tahoma"/>
            <family val="2"/>
          </rPr>
          <t>Nicole Burstein:</t>
        </r>
        <r>
          <rPr>
            <sz val="9"/>
            <color indexed="81"/>
            <rFont val="Tahoma"/>
            <family val="2"/>
          </rPr>
          <t xml:space="preserve">
Sammanslaget 2017</t>
        </r>
      </text>
    </comment>
    <comment ref="E20" authorId="0" shapeId="0" xr:uid="{A15F81F8-FE80-45AA-BE7D-B43393ADAA28}">
      <text>
        <r>
          <rPr>
            <b/>
            <sz val="9"/>
            <color indexed="81"/>
            <rFont val="Tahoma"/>
            <family val="2"/>
          </rPr>
          <t>Nicole Burstein:</t>
        </r>
        <r>
          <rPr>
            <sz val="9"/>
            <color indexed="81"/>
            <rFont val="Tahoma"/>
            <family val="2"/>
          </rPr>
          <t xml:space="preserve">
Assberg - Fritslanäten från 2017</t>
        </r>
      </text>
    </comment>
    <comment ref="B43" authorId="1" shapeId="0" xr:uid="{DF24099E-1713-4ECA-ABF3-7E508A1C7589}">
      <text>
        <r>
          <rPr>
            <b/>
            <sz val="8"/>
            <color indexed="81"/>
            <rFont val="Tahoma"/>
            <family val="2"/>
          </rPr>
          <t>Sonya Trad:</t>
        </r>
        <r>
          <rPr>
            <sz val="8"/>
            <color indexed="81"/>
            <rFont val="Tahoma"/>
            <family val="2"/>
          </rPr>
          <t xml:space="preserve">
innehåller också dalsjöfors, fristad  och sandared</t>
        </r>
      </text>
    </comment>
    <comment ref="E43" authorId="1" shapeId="0" xr:uid="{573DEE74-B6E4-4B1C-9521-1445650D7A00}">
      <text>
        <r>
          <rPr>
            <b/>
            <sz val="8"/>
            <color indexed="81"/>
            <rFont val="Tahoma"/>
            <family val="2"/>
          </rPr>
          <t>Sonya Trad:</t>
        </r>
        <r>
          <rPr>
            <sz val="8"/>
            <color indexed="81"/>
            <rFont val="Tahoma"/>
            <family val="2"/>
          </rPr>
          <t xml:space="preserve">
innehåller också dalsjöfors, fristad  och sandared</t>
        </r>
      </text>
    </comment>
    <comment ref="B66" authorId="1" shapeId="0" xr:uid="{557C179E-F308-4623-8C8C-24FFA6EADEFD}">
      <text>
        <r>
          <rPr>
            <b/>
            <sz val="8"/>
            <color indexed="81"/>
            <rFont val="Tahoma"/>
            <family val="2"/>
          </rPr>
          <t>Sonya Trad:</t>
        </r>
        <r>
          <rPr>
            <sz val="8"/>
            <color indexed="81"/>
            <rFont val="Tahoma"/>
            <family val="2"/>
          </rPr>
          <t xml:space="preserve">
inkluderar tyresö 1996-2003</t>
        </r>
      </text>
    </comment>
    <comment ref="E66" authorId="1" shapeId="0" xr:uid="{EFD17C43-BD6D-4A92-8641-C0E05FADD5DB}">
      <text>
        <r>
          <rPr>
            <b/>
            <sz val="8"/>
            <color indexed="81"/>
            <rFont val="Tahoma"/>
            <family val="2"/>
          </rPr>
          <t>Sonya Trad:</t>
        </r>
        <r>
          <rPr>
            <sz val="8"/>
            <color indexed="81"/>
            <rFont val="Tahoma"/>
            <family val="2"/>
          </rPr>
          <t xml:space="preserve">
inkluderar tyresö 1996-2003</t>
        </r>
      </text>
    </comment>
    <comment ref="E81" authorId="0" shapeId="0" xr:uid="{AFC94634-D416-4656-80B2-D459D6F64326}">
      <text>
        <r>
          <rPr>
            <b/>
            <sz val="9"/>
            <color indexed="81"/>
            <rFont val="Tahoma"/>
            <family val="2"/>
          </rPr>
          <t>Nicole Burstein:</t>
        </r>
        <r>
          <rPr>
            <sz val="9"/>
            <color indexed="81"/>
            <rFont val="Tahoma"/>
            <family val="2"/>
          </rPr>
          <t xml:space="preserve">
Eslöv-Lund-Lomma m fl
från 2010
</t>
        </r>
      </text>
    </comment>
    <comment ref="E103" authorId="0" shapeId="0" xr:uid="{427118C3-7523-4984-B966-35688E28DDD3}">
      <text>
        <r>
          <rPr>
            <b/>
            <sz val="9"/>
            <color indexed="81"/>
            <rFont val="Tahoma"/>
            <family val="2"/>
          </rPr>
          <t xml:space="preserve">Nicole Burstein:
</t>
        </r>
        <r>
          <rPr>
            <sz val="9"/>
            <color indexed="81"/>
            <rFont val="Tahoma"/>
            <family val="2"/>
          </rPr>
          <t>Assberg - Fritslanäten från 2017</t>
        </r>
      </text>
    </comment>
    <comment ref="E113" authorId="0" shapeId="0" xr:uid="{D80E798A-1914-4300-A24F-4F7A770E77BC}">
      <text>
        <r>
          <rPr>
            <b/>
            <sz val="9"/>
            <color indexed="81"/>
            <rFont val="Tahoma"/>
            <family val="2"/>
          </rPr>
          <t>Nicole Burstein:</t>
        </r>
        <r>
          <rPr>
            <sz val="9"/>
            <color indexed="81"/>
            <rFont val="Tahoma"/>
            <family val="2"/>
          </rPr>
          <t xml:space="preserve">
Gisle tom. 2012</t>
        </r>
      </text>
    </comment>
    <comment ref="E114" authorId="0" shapeId="0" xr:uid="{083A906A-1ABA-49FB-899D-C098AF652D00}">
      <text>
        <r>
          <rPr>
            <b/>
            <sz val="9"/>
            <color indexed="81"/>
            <rFont val="Tahoma"/>
            <family val="2"/>
          </rPr>
          <t>Nicole Burstein:</t>
        </r>
        <r>
          <rPr>
            <sz val="9"/>
            <color indexed="81"/>
            <rFont val="Tahoma"/>
            <family val="2"/>
          </rPr>
          <t xml:space="preserve">
Gislaved från 2013</t>
        </r>
      </text>
    </comment>
    <comment ref="B133" authorId="1" shapeId="0" xr:uid="{62FAB494-EE78-48C5-A22A-060A0B852342}">
      <text>
        <r>
          <rPr>
            <b/>
            <sz val="8"/>
            <color indexed="81"/>
            <rFont val="Tahoma"/>
            <family val="2"/>
          </rPr>
          <t>Sonya Trad:</t>
        </r>
        <r>
          <rPr>
            <sz val="8"/>
            <color indexed="81"/>
            <rFont val="Tahoma"/>
            <family val="2"/>
          </rPr>
          <t xml:space="preserve">
inkluderar partille ale</t>
        </r>
      </text>
    </comment>
    <comment ref="E133" authorId="1" shapeId="0" xr:uid="{16298C93-B219-49AF-A047-8C77BBCA1F55}">
      <text>
        <r>
          <rPr>
            <b/>
            <sz val="8"/>
            <color indexed="81"/>
            <rFont val="Tahoma"/>
            <family val="2"/>
          </rPr>
          <t>Sonya Trad:</t>
        </r>
        <r>
          <rPr>
            <sz val="8"/>
            <color indexed="81"/>
            <rFont val="Tahoma"/>
            <family val="2"/>
          </rPr>
          <t xml:space="preserve">
inkluderar partille ale</t>
        </r>
      </text>
    </comment>
    <comment ref="B143" authorId="1" shapeId="0" xr:uid="{B76AABCA-92E5-4593-8A4E-1B26074CEB70}">
      <text>
        <r>
          <rPr>
            <b/>
            <sz val="8"/>
            <color indexed="81"/>
            <rFont val="Tahoma"/>
            <family val="2"/>
          </rPr>
          <t>Sonya Trad:</t>
        </r>
        <r>
          <rPr>
            <sz val="8"/>
            <color indexed="81"/>
            <rFont val="Tahoma"/>
            <family val="2"/>
          </rPr>
          <t xml:space="preserve">
inkluderarTärnsjö, Östervåla, Heby sjukhem, Tegelmästaren, Horrsta, Morgongåva, Starfors, ej ledningsbundna. </t>
        </r>
      </text>
    </comment>
    <comment ref="E143" authorId="1" shapeId="0" xr:uid="{93F77305-5854-433F-9671-27D2C11306F0}">
      <text>
        <r>
          <rPr>
            <b/>
            <sz val="8"/>
            <color indexed="81"/>
            <rFont val="Tahoma"/>
            <family val="2"/>
          </rPr>
          <t>Sonya Trad:</t>
        </r>
        <r>
          <rPr>
            <sz val="8"/>
            <color indexed="81"/>
            <rFont val="Tahoma"/>
            <family val="2"/>
          </rPr>
          <t xml:space="preserve">
inkluderarTärnsjö, Östervåla, Heby sjukhem, Tegelmästaren, Horrsta, Morgongåva, Starfors, ej ledningsbundna. </t>
        </r>
      </text>
    </comment>
    <comment ref="E167" authorId="2" shapeId="0" xr:uid="{2BE81D2A-DEBE-4967-9505-DF9176E9E449}">
      <text>
        <t>[Threaded comment]
Your version of Excel allows you to read this threaded comment; however, any edits to it will get removed if the file is opened in a newer version of Excel. Learn more: https://go.microsoft.com/fwlink/?linkid=870924
Comment:
    inkl. kvarnberg from. 2018</t>
      </text>
    </comment>
    <comment ref="B185" authorId="1" shapeId="0" xr:uid="{DF8DF284-50C7-49AD-91F6-8BD6979BD34B}">
      <text>
        <r>
          <rPr>
            <b/>
            <sz val="8"/>
            <color indexed="81"/>
            <rFont val="Tahoma"/>
            <family val="2"/>
          </rPr>
          <t>Sonya Trad:</t>
        </r>
        <r>
          <rPr>
            <sz val="8"/>
            <color indexed="81"/>
            <rFont val="Tahoma"/>
            <family val="2"/>
          </rPr>
          <t xml:space="preserve">
ingår i Sundsvall övriga nät</t>
        </r>
      </text>
    </comment>
    <comment ref="E185" authorId="1" shapeId="0" xr:uid="{4BCFB002-6A4A-4919-BCA1-FE88BCE8C72C}">
      <text>
        <r>
          <rPr>
            <b/>
            <sz val="8"/>
            <color indexed="81"/>
            <rFont val="Tahoma"/>
            <family val="2"/>
          </rPr>
          <t>Sonya Trad:</t>
        </r>
        <r>
          <rPr>
            <sz val="8"/>
            <color indexed="81"/>
            <rFont val="Tahoma"/>
            <family val="2"/>
          </rPr>
          <t xml:space="preserve">
ingår i Sundsvall övriga nät</t>
        </r>
      </text>
    </comment>
    <comment ref="B205" authorId="1" shapeId="0" xr:uid="{904327E9-E3E5-400A-8BEE-5E34D565BEBD}">
      <text>
        <r>
          <rPr>
            <b/>
            <sz val="8"/>
            <color indexed="81"/>
            <rFont val="Tahoma"/>
            <family val="2"/>
          </rPr>
          <t>Sonya Trad:</t>
        </r>
        <r>
          <rPr>
            <sz val="8"/>
            <color indexed="81"/>
            <rFont val="Tahoma"/>
            <family val="2"/>
          </rPr>
          <t xml:space="preserve">
ägs ej av rindi längre</t>
        </r>
      </text>
    </comment>
    <comment ref="E205" authorId="1" shapeId="0" xr:uid="{87B74032-ECFA-4145-AB1B-22EDC59F612D}">
      <text>
        <r>
          <rPr>
            <b/>
            <sz val="8"/>
            <color indexed="81"/>
            <rFont val="Tahoma"/>
            <family val="2"/>
          </rPr>
          <t>Sonya Trad:</t>
        </r>
        <r>
          <rPr>
            <sz val="8"/>
            <color indexed="81"/>
            <rFont val="Tahoma"/>
            <family val="2"/>
          </rPr>
          <t xml:space="preserve">
ägs ej av rindi längre</t>
        </r>
      </text>
    </comment>
    <comment ref="E220" authorId="0" shapeId="0" xr:uid="{47224A5A-9DB2-49D5-ADDB-50B70A7DFE2A}">
      <text>
        <r>
          <rPr>
            <b/>
            <sz val="9"/>
            <color indexed="81"/>
            <rFont val="Tahoma"/>
            <family val="2"/>
          </rPr>
          <t>Nicole Burstein:</t>
        </r>
        <r>
          <rPr>
            <sz val="9"/>
            <color indexed="81"/>
            <rFont val="Tahoma"/>
            <family val="2"/>
          </rPr>
          <t xml:space="preserve">
Västra Mälardalens Energi från 2017</t>
        </r>
      </text>
    </comment>
    <comment ref="B222" authorId="1" shapeId="0" xr:uid="{900A9776-198C-421E-A8C4-1B8F4C1E23B8}">
      <text>
        <r>
          <rPr>
            <b/>
            <sz val="8"/>
            <color indexed="81"/>
            <rFont val="Tahoma"/>
            <family val="2"/>
          </rPr>
          <t>Sonya Trad:</t>
        </r>
        <r>
          <rPr>
            <sz val="8"/>
            <color indexed="81"/>
            <rFont val="Tahoma"/>
            <family val="2"/>
          </rPr>
          <t xml:space="preserve">
Ingår i Sundsvall övriga</t>
        </r>
      </text>
    </comment>
    <comment ref="E222" authorId="1" shapeId="0" xr:uid="{9174685B-CD05-4E55-9E62-D956EFAECB6F}">
      <text>
        <r>
          <rPr>
            <b/>
            <sz val="8"/>
            <color indexed="81"/>
            <rFont val="Tahoma"/>
            <family val="2"/>
          </rPr>
          <t>Sonya Trad:</t>
        </r>
        <r>
          <rPr>
            <sz val="8"/>
            <color indexed="81"/>
            <rFont val="Tahoma"/>
            <family val="2"/>
          </rPr>
          <t xml:space="preserve">
Ingår i Sundsvall övriga</t>
        </r>
      </text>
    </comment>
    <comment ref="E225" authorId="0" shapeId="0" xr:uid="{F4A10490-A832-424E-9DB5-633C2484AF44}">
      <text>
        <r>
          <rPr>
            <b/>
            <sz val="9"/>
            <color indexed="81"/>
            <rFont val="Tahoma"/>
            <family val="2"/>
          </rPr>
          <t>Nicole Burstein:</t>
        </r>
        <r>
          <rPr>
            <sz val="9"/>
            <color indexed="81"/>
            <rFont val="Tahoma"/>
            <family val="2"/>
          </rPr>
          <t xml:space="preserve">
Avslutad 2015</t>
        </r>
      </text>
    </comment>
    <comment ref="E235" authorId="3" shapeId="0" xr:uid="{A4D88032-EAED-4740-8E1B-2716CB6FD469}">
      <text>
        <t>[Threaded comment]
Your version of Excel allows you to read this threaded comment; however, any edits to it will get removed if the file is opened in a newer version of Excel. Learn more: https://go.microsoft.com/fwlink/?linkid=870924
Comment:
    Ingår i HVC Degerfors from. 2018</t>
      </text>
    </comment>
    <comment ref="E241" authorId="0" shapeId="0" xr:uid="{2FF577B3-6815-4E9C-B18C-5A3EEA4D8E84}">
      <text>
        <r>
          <rPr>
            <b/>
            <sz val="9"/>
            <color indexed="81"/>
            <rFont val="Tahoma"/>
            <family val="2"/>
          </rPr>
          <t>Nicole Burstein:</t>
        </r>
        <r>
          <rPr>
            <sz val="9"/>
            <color indexed="81"/>
            <rFont val="Tahoma"/>
            <family val="2"/>
          </rPr>
          <t xml:space="preserve">
Ingår i Bräcke sedan 2009</t>
        </r>
      </text>
    </comment>
    <comment ref="E242" authorId="0" shapeId="0" xr:uid="{FDA06D0B-B30C-445E-AE46-95016A1AA34F}">
      <text>
        <r>
          <rPr>
            <b/>
            <sz val="9"/>
            <color indexed="81"/>
            <rFont val="Tahoma"/>
            <family val="2"/>
          </rPr>
          <t>Nicole Burstein:</t>
        </r>
        <r>
          <rPr>
            <sz val="9"/>
            <color indexed="81"/>
            <rFont val="Tahoma"/>
            <family val="2"/>
          </rPr>
          <t xml:space="preserve">
Arboga-Köping sedan 2017
</t>
        </r>
      </text>
    </comment>
    <comment ref="B252" authorId="1" shapeId="0" xr:uid="{F037217F-5D78-4629-A6B5-ADCCA5C6D838}">
      <text>
        <r>
          <rPr>
            <b/>
            <sz val="8"/>
            <color indexed="81"/>
            <rFont val="Tahoma"/>
            <family val="2"/>
          </rPr>
          <t>Sonya Trad:</t>
        </r>
        <r>
          <rPr>
            <sz val="8"/>
            <color indexed="81"/>
            <rFont val="Tahoma"/>
            <family val="2"/>
          </rPr>
          <t xml:space="preserve">
Ingår i sundsvalls övriga nät</t>
        </r>
      </text>
    </comment>
    <comment ref="E252" authorId="1" shapeId="0" xr:uid="{FD9BE504-9AF2-4CFB-B3D1-6B856DB8F158}">
      <text>
        <r>
          <rPr>
            <b/>
            <sz val="8"/>
            <color indexed="81"/>
            <rFont val="Tahoma"/>
            <family val="2"/>
          </rPr>
          <t>Sonya Trad:</t>
        </r>
        <r>
          <rPr>
            <sz val="8"/>
            <color indexed="81"/>
            <rFont val="Tahoma"/>
            <family val="2"/>
          </rPr>
          <t xml:space="preserve">
Ingår i sundsvalls övriga nät</t>
        </r>
      </text>
    </comment>
    <comment ref="B254" authorId="1" shapeId="0" xr:uid="{79C4AEB6-F4B0-4BE0-BF63-E8EA07AC2EE5}">
      <text>
        <r>
          <rPr>
            <b/>
            <sz val="8"/>
            <color indexed="81"/>
            <rFont val="Tahoma"/>
            <family val="2"/>
          </rPr>
          <t>Sonya Trad:</t>
        </r>
        <r>
          <rPr>
            <sz val="8"/>
            <color indexed="81"/>
            <rFont val="Tahoma"/>
            <family val="2"/>
          </rPr>
          <t xml:space="preserve">
Ingår i fortums stockholmsnät</t>
        </r>
      </text>
    </comment>
    <comment ref="E254" authorId="1" shapeId="0" xr:uid="{BFA33757-D32C-461B-862D-5A1E0645D558}">
      <text>
        <r>
          <rPr>
            <b/>
            <sz val="8"/>
            <color indexed="81"/>
            <rFont val="Tahoma"/>
            <family val="2"/>
          </rPr>
          <t>Sonya Trad:</t>
        </r>
        <r>
          <rPr>
            <sz val="8"/>
            <color indexed="81"/>
            <rFont val="Tahoma"/>
            <family val="2"/>
          </rPr>
          <t xml:space="preserve">
Ingår i fortums stockholmsnät</t>
        </r>
      </text>
    </comment>
    <comment ref="B259" authorId="1" shapeId="0" xr:uid="{FE7344B5-0DCA-43AE-93D3-FB7CBED62273}">
      <text>
        <r>
          <rPr>
            <b/>
            <sz val="8"/>
            <color indexed="81"/>
            <rFont val="Tahoma"/>
            <family val="2"/>
          </rPr>
          <t>Sonya Trad:</t>
        </r>
        <r>
          <rPr>
            <sz val="8"/>
            <color indexed="81"/>
            <rFont val="Tahoma"/>
            <family val="2"/>
          </rPr>
          <t xml:space="preserve">
inkulderar Ljungsbro, Malmslätt, sturefors, Långasjönäs</t>
        </r>
      </text>
    </comment>
    <comment ref="E259" authorId="1" shapeId="0" xr:uid="{272A9476-052A-44FE-836B-1F66A2638201}">
      <text>
        <r>
          <rPr>
            <b/>
            <sz val="8"/>
            <color indexed="81"/>
            <rFont val="Tahoma"/>
            <family val="2"/>
          </rPr>
          <t>Sonya Trad:</t>
        </r>
        <r>
          <rPr>
            <sz val="8"/>
            <color indexed="81"/>
            <rFont val="Tahoma"/>
            <family val="2"/>
          </rPr>
          <t xml:space="preserve">
inkulderar Ljungsbro, Malmslätt, sturefors, Långasjönäs</t>
        </r>
      </text>
    </comment>
    <comment ref="E260" authorId="0" shapeId="0" xr:uid="{5463B79C-D769-45A0-A154-AD21DD0ADD53}">
      <text>
        <r>
          <rPr>
            <b/>
            <sz val="9"/>
            <color indexed="81"/>
            <rFont val="Tahoma"/>
            <family val="2"/>
          </rPr>
          <t>Nicole Burstein:</t>
        </r>
        <r>
          <rPr>
            <sz val="9"/>
            <color indexed="81"/>
            <rFont val="Tahoma"/>
            <family val="2"/>
          </rPr>
          <t xml:space="preserve">
Nedstängd enl kontakt
</t>
        </r>
      </text>
    </comment>
    <comment ref="B267" authorId="1" shapeId="0" xr:uid="{0376499C-419D-4996-98A7-180D5CEB5A78}">
      <text>
        <r>
          <rPr>
            <b/>
            <sz val="8"/>
            <color indexed="81"/>
            <rFont val="Tahoma"/>
            <family val="2"/>
          </rPr>
          <t>Sonya Trad:</t>
        </r>
        <r>
          <rPr>
            <sz val="8"/>
            <color indexed="81"/>
            <rFont val="Tahoma"/>
            <family val="2"/>
          </rPr>
          <t xml:space="preserve">
Ingår i sunsvalls övriga nät</t>
        </r>
      </text>
    </comment>
    <comment ref="E267" authorId="1" shapeId="0" xr:uid="{C3DF4109-7E3A-4EC7-A8BE-91476BBE19A0}">
      <text>
        <r>
          <rPr>
            <b/>
            <sz val="8"/>
            <color indexed="81"/>
            <rFont val="Tahoma"/>
            <family val="2"/>
          </rPr>
          <t>Sonya Trad:</t>
        </r>
        <r>
          <rPr>
            <sz val="8"/>
            <color indexed="81"/>
            <rFont val="Tahoma"/>
            <family val="2"/>
          </rPr>
          <t xml:space="preserve">
Ingår i sunsvalls övriga nät</t>
        </r>
      </text>
    </comment>
    <comment ref="E270" authorId="0" shapeId="0" xr:uid="{78BAD20F-4432-40E2-A7B5-004DF1AA32C4}">
      <text>
        <r>
          <rPr>
            <b/>
            <sz val="9"/>
            <color indexed="81"/>
            <rFont val="Tahoma"/>
            <family val="2"/>
          </rPr>
          <t>Nicole Burstein:</t>
        </r>
        <r>
          <rPr>
            <sz val="9"/>
            <color indexed="81"/>
            <rFont val="Tahoma"/>
            <family val="2"/>
          </rPr>
          <t xml:space="preserve">
Nu även Eslöv</t>
        </r>
      </text>
    </comment>
    <comment ref="B288" authorId="4" shapeId="0" xr:uid="{FD0BE546-F8C5-4434-9CBA-948DA180FEA8}">
      <text>
        <r>
          <rPr>
            <b/>
            <sz val="9"/>
            <color indexed="81"/>
            <rFont val="Tahoma"/>
            <family val="2"/>
          </rPr>
          <t>David Holmström:</t>
        </r>
        <r>
          <rPr>
            <sz val="9"/>
            <color indexed="81"/>
            <rFont val="Tahoma"/>
            <family val="2"/>
          </rPr>
          <t xml:space="preserve">
Tidigare Mjölby skänninge
</t>
        </r>
      </text>
    </comment>
    <comment ref="E288" authorId="4" shapeId="0" xr:uid="{FDDB7D43-E700-4B3D-A06C-C549BDD935F4}">
      <text>
        <r>
          <rPr>
            <b/>
            <sz val="9"/>
            <color indexed="81"/>
            <rFont val="Tahoma"/>
            <family val="2"/>
          </rPr>
          <t>David Holmström:</t>
        </r>
        <r>
          <rPr>
            <sz val="9"/>
            <color indexed="81"/>
            <rFont val="Tahoma"/>
            <family val="2"/>
          </rPr>
          <t xml:space="preserve">
Tidigare Mjölby skänninge
</t>
        </r>
      </text>
    </comment>
    <comment ref="E310" authorId="0" shapeId="0" xr:uid="{956BBFDB-9D53-4F83-8883-0188EFD3617E}">
      <text>
        <r>
          <rPr>
            <b/>
            <sz val="9"/>
            <color indexed="81"/>
            <rFont val="Tahoma"/>
            <family val="2"/>
          </rPr>
          <t>Nicole Burstein:</t>
        </r>
        <r>
          <rPr>
            <sz val="9"/>
            <color indexed="81"/>
            <rFont val="Tahoma"/>
            <family val="2"/>
          </rPr>
          <t xml:space="preserve">
Norrköping-Söderköping från 2017</t>
        </r>
      </text>
    </comment>
    <comment ref="E311" authorId="0" shapeId="0" xr:uid="{6FFE1FB3-AC1E-4354-9C63-20B8B4DB1C23}">
      <text>
        <r>
          <rPr>
            <b/>
            <sz val="9"/>
            <color indexed="81"/>
            <rFont val="Tahoma"/>
            <family val="2"/>
          </rPr>
          <t>Nicole Burstein:</t>
        </r>
        <r>
          <rPr>
            <sz val="9"/>
            <color indexed="81"/>
            <rFont val="Tahoma"/>
            <family val="2"/>
          </rPr>
          <t xml:space="preserve">
Sammanslaget från 2017
</t>
        </r>
      </text>
    </comment>
    <comment ref="B317" authorId="1" shapeId="0" xr:uid="{9D0623F2-077F-4B02-A88C-4EF82915323B}">
      <text>
        <r>
          <rPr>
            <b/>
            <sz val="8"/>
            <color indexed="81"/>
            <rFont val="Tahoma"/>
            <family val="2"/>
          </rPr>
          <t>Sonya Trad:</t>
        </r>
        <r>
          <rPr>
            <sz val="8"/>
            <color indexed="81"/>
            <rFont val="Tahoma"/>
            <family val="2"/>
          </rPr>
          <t xml:space="preserve">
såld till ?? </t>
        </r>
      </text>
    </comment>
    <comment ref="E317" authorId="1" shapeId="0" xr:uid="{40A4F785-AE11-4EE8-936A-E2D74DB730D7}">
      <text>
        <r>
          <rPr>
            <b/>
            <sz val="8"/>
            <color indexed="81"/>
            <rFont val="Tahoma"/>
            <family val="2"/>
          </rPr>
          <t>Sonya Trad:</t>
        </r>
        <r>
          <rPr>
            <sz val="8"/>
            <color indexed="81"/>
            <rFont val="Tahoma"/>
            <family val="2"/>
          </rPr>
          <t xml:space="preserve">
såld till ?? </t>
        </r>
      </text>
    </comment>
    <comment ref="E318" authorId="0" shapeId="0" xr:uid="{4E56CB55-3783-4262-B78F-6C0A3D6C6DC4}">
      <text>
        <r>
          <rPr>
            <b/>
            <sz val="9"/>
            <color indexed="81"/>
            <rFont val="Tahoma"/>
            <family val="2"/>
          </rPr>
          <t>Nicole Burstein:</t>
        </r>
        <r>
          <rPr>
            <sz val="9"/>
            <color indexed="81"/>
            <rFont val="Tahoma"/>
            <family val="2"/>
          </rPr>
          <t xml:space="preserve">
Tillhör Södertälje</t>
        </r>
      </text>
    </comment>
    <comment ref="A362" authorId="5" shapeId="0" xr:uid="{352F4ECE-727B-4875-B8B6-69BC521C8DDE}">
      <text>
        <t>[Threaded comment]
Your version of Excel allows you to read this threaded comment; however, any edits to it will get removed if the file is opened in a newer version of Excel. Learn more: https://go.microsoft.com/fwlink/?linkid=870924
Comment:
    Rindi</t>
      </text>
    </comment>
    <comment ref="E411" authorId="0" shapeId="0" xr:uid="{31A71A75-41F3-4959-B0B2-3CF18504A852}">
      <text>
        <r>
          <rPr>
            <b/>
            <sz val="9"/>
            <color indexed="81"/>
            <rFont val="Tahoma"/>
            <family val="2"/>
          </rPr>
          <t>Nicole Burstein:</t>
        </r>
        <r>
          <rPr>
            <sz val="9"/>
            <color indexed="81"/>
            <rFont val="Tahoma"/>
            <family val="2"/>
          </rPr>
          <t xml:space="preserve">
Ingår i V-ÅS nätet från 2017</t>
        </r>
      </text>
    </comment>
    <comment ref="A414" authorId="1" shapeId="0" xr:uid="{D4CB9DF5-6491-4947-9182-945FFCEEE7AA}">
      <text>
        <r>
          <rPr>
            <b/>
            <sz val="8"/>
            <color indexed="81"/>
            <rFont val="Tahoma"/>
            <family val="2"/>
          </rPr>
          <t>Sonya Trad:</t>
        </r>
        <r>
          <rPr>
            <sz val="8"/>
            <color indexed="81"/>
            <rFont val="Tahoma"/>
            <family val="2"/>
          </rPr>
          <t xml:space="preserve">
tidigare Härjedalen</t>
        </r>
      </text>
    </comment>
    <comment ref="B414" authorId="1" shapeId="0" xr:uid="{0C495E8A-C604-4705-9442-92B160C953C3}">
      <text>
        <r>
          <rPr>
            <b/>
            <sz val="8"/>
            <color indexed="81"/>
            <rFont val="Tahoma"/>
            <family val="2"/>
          </rPr>
          <t>Sonya Trad:</t>
        </r>
        <r>
          <rPr>
            <sz val="8"/>
            <color indexed="81"/>
            <rFont val="Tahoma"/>
            <family val="2"/>
          </rPr>
          <t xml:space="preserve">
tidigare Härjedalen</t>
        </r>
      </text>
    </comment>
    <comment ref="E414" authorId="1" shapeId="0" xr:uid="{45D9A4CF-9D0A-4E3A-886A-52100E0A9C49}">
      <text>
        <r>
          <rPr>
            <b/>
            <sz val="8"/>
            <color indexed="81"/>
            <rFont val="Tahoma"/>
            <family val="2"/>
          </rPr>
          <t>Sonya Trad:</t>
        </r>
        <r>
          <rPr>
            <sz val="8"/>
            <color indexed="81"/>
            <rFont val="Tahoma"/>
            <family val="2"/>
          </rPr>
          <t xml:space="preserve">
tidigare Härjedalen</t>
        </r>
      </text>
    </comment>
    <comment ref="B422" authorId="1" shapeId="0" xr:uid="{25FD08C1-94D5-40FB-A596-9859B8B1C324}">
      <text>
        <r>
          <rPr>
            <b/>
            <sz val="8"/>
            <color indexed="81"/>
            <rFont val="Tahoma"/>
            <family val="2"/>
          </rPr>
          <t>Sonya Trad:</t>
        </r>
        <r>
          <rPr>
            <sz val="8"/>
            <color indexed="81"/>
            <rFont val="Tahoma"/>
            <family val="2"/>
          </rPr>
          <t xml:space="preserve">
Inkluderas i söderhamn</t>
        </r>
      </text>
    </comment>
    <comment ref="E422" authorId="1" shapeId="0" xr:uid="{E5A5038F-76C6-4928-8D6D-78C6C756E593}">
      <text>
        <r>
          <rPr>
            <b/>
            <sz val="8"/>
            <color indexed="81"/>
            <rFont val="Tahoma"/>
            <family val="2"/>
          </rPr>
          <t>Sonya Trad:</t>
        </r>
        <r>
          <rPr>
            <sz val="8"/>
            <color indexed="81"/>
            <rFont val="Tahoma"/>
            <family val="2"/>
          </rPr>
          <t xml:space="preserve">
Inkluderas i söderhamn</t>
        </r>
      </text>
    </comment>
    <comment ref="B441" authorId="1" shapeId="0" xr:uid="{B9BC1295-77BC-4C37-B4D8-4CD83D02A19F}">
      <text>
        <r>
          <rPr>
            <b/>
            <sz val="8"/>
            <color indexed="81"/>
            <rFont val="Tahoma"/>
            <family val="2"/>
          </rPr>
          <t>Sonya Trad:</t>
        </r>
        <r>
          <rPr>
            <sz val="8"/>
            <color indexed="81"/>
            <rFont val="Tahoma"/>
            <family val="2"/>
          </rPr>
          <t xml:space="preserve">
1996-2003 lagt ihop Bergforsen, söråker och Östrand till Timrå</t>
        </r>
      </text>
    </comment>
    <comment ref="E441" authorId="1" shapeId="0" xr:uid="{AD6198D3-5D8F-4074-9D54-C6D647428EB8}">
      <text>
        <r>
          <rPr>
            <b/>
            <sz val="8"/>
            <color indexed="81"/>
            <rFont val="Tahoma"/>
            <family val="2"/>
          </rPr>
          <t>Sonya Trad:</t>
        </r>
        <r>
          <rPr>
            <sz val="8"/>
            <color indexed="81"/>
            <rFont val="Tahoma"/>
            <family val="2"/>
          </rPr>
          <t xml:space="preserve">
1996-2003 lagt ihop Bergforsen, söråker och Östrand till Timrå</t>
        </r>
      </text>
    </comment>
    <comment ref="E444" authorId="0" shapeId="0" xr:uid="{9E63E67D-F1C2-4567-9D6B-0A8934ED2725}">
      <text>
        <r>
          <rPr>
            <b/>
            <sz val="9"/>
            <color indexed="81"/>
            <rFont val="Tahoma"/>
            <family val="2"/>
          </rPr>
          <t>Nicole Burstein:</t>
        </r>
        <r>
          <rPr>
            <sz val="9"/>
            <color indexed="81"/>
            <rFont val="Tahoma"/>
            <family val="2"/>
          </rPr>
          <t xml:space="preserve">
Både värmevärden och torsby kommun</t>
        </r>
      </text>
    </comment>
    <comment ref="B457" authorId="1" shapeId="0" xr:uid="{69F89EE3-E57E-4D04-8D73-7198045B2B12}">
      <text>
        <r>
          <rPr>
            <b/>
            <sz val="8"/>
            <color indexed="81"/>
            <rFont val="Tahoma"/>
            <family val="2"/>
          </rPr>
          <t>Sonya Trad:</t>
        </r>
        <r>
          <rPr>
            <sz val="8"/>
            <color indexed="81"/>
            <rFont val="Tahoma"/>
            <family val="2"/>
          </rPr>
          <t xml:space="preserve">
nytt separat nät från och med 2009</t>
        </r>
      </text>
    </comment>
    <comment ref="E457" authorId="1" shapeId="0" xr:uid="{FE7B0AB4-628C-4112-BBEC-4B3360C37650}">
      <text>
        <r>
          <rPr>
            <b/>
            <sz val="8"/>
            <color indexed="81"/>
            <rFont val="Tahoma"/>
            <family val="2"/>
          </rPr>
          <t>Sonya Trad:</t>
        </r>
        <r>
          <rPr>
            <sz val="8"/>
            <color indexed="81"/>
            <rFont val="Tahoma"/>
            <family val="2"/>
          </rPr>
          <t xml:space="preserve">
nytt separat nät från och med 2009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Sonya Trad</author>
  </authors>
  <commentList>
    <comment ref="A39" authorId="0" shapeId="0" xr:uid="{00000000-0006-0000-0400-000001000000}">
      <text>
        <r>
          <rPr>
            <b/>
            <sz val="8"/>
            <color indexed="81"/>
            <rFont val="Tahoma"/>
            <family val="2"/>
          </rPr>
          <t>Sonya Trad:</t>
        </r>
        <r>
          <rPr>
            <sz val="8"/>
            <color indexed="81"/>
            <rFont val="Tahoma"/>
            <family val="2"/>
          </rPr>
          <t xml:space="preserve">
innehåller också dalsjöfors, fristad  och sandared</t>
        </r>
      </text>
    </comment>
    <comment ref="A62" authorId="0" shapeId="0" xr:uid="{00000000-0006-0000-0400-000002000000}">
      <text>
        <r>
          <rPr>
            <b/>
            <sz val="8"/>
            <color indexed="81"/>
            <rFont val="Tahoma"/>
            <family val="2"/>
          </rPr>
          <t>Sonya Trad:</t>
        </r>
        <r>
          <rPr>
            <sz val="8"/>
            <color indexed="81"/>
            <rFont val="Tahoma"/>
            <family val="2"/>
          </rPr>
          <t xml:space="preserve">
inkluderar tyresö 1996-2003</t>
        </r>
      </text>
    </comment>
    <comment ref="A124" authorId="0" shapeId="0" xr:uid="{00000000-0006-0000-0400-000003000000}">
      <text>
        <r>
          <rPr>
            <b/>
            <sz val="8"/>
            <color indexed="81"/>
            <rFont val="Tahoma"/>
            <family val="2"/>
          </rPr>
          <t>Sonya Trad:</t>
        </r>
        <r>
          <rPr>
            <sz val="8"/>
            <color indexed="81"/>
            <rFont val="Tahoma"/>
            <family val="2"/>
          </rPr>
          <t xml:space="preserve">
inkluderar pratile ale</t>
        </r>
      </text>
    </comment>
    <comment ref="A133" authorId="0" shapeId="0" xr:uid="{00000000-0006-0000-0400-000004000000}">
      <text>
        <r>
          <rPr>
            <b/>
            <sz val="8"/>
            <color indexed="81"/>
            <rFont val="Tahoma"/>
            <family val="2"/>
          </rPr>
          <t>Sonya Trad:</t>
        </r>
        <r>
          <rPr>
            <sz val="8"/>
            <color indexed="81"/>
            <rFont val="Tahoma"/>
            <family val="2"/>
          </rPr>
          <t xml:space="preserve">
inkluderarTärnsjö, Östervåla, Heby sjukhem, Tegelmästaren, Horrsta, Morgongåva, Starfors, ej ledningsbundna. </t>
        </r>
      </text>
    </comment>
    <comment ref="A173" authorId="0" shapeId="0" xr:uid="{00000000-0006-0000-0400-000005000000}">
      <text>
        <r>
          <rPr>
            <b/>
            <sz val="8"/>
            <color indexed="81"/>
            <rFont val="Tahoma"/>
            <family val="2"/>
          </rPr>
          <t>Sonya Trad:</t>
        </r>
        <r>
          <rPr>
            <sz val="8"/>
            <color indexed="81"/>
            <rFont val="Tahoma"/>
            <family val="2"/>
          </rPr>
          <t xml:space="preserve">
ingår i Sundsvall övriga nät</t>
        </r>
      </text>
    </comment>
    <comment ref="A192" authorId="0" shapeId="0" xr:uid="{00000000-0006-0000-0400-000006000000}">
      <text>
        <r>
          <rPr>
            <b/>
            <sz val="8"/>
            <color indexed="81"/>
            <rFont val="Tahoma"/>
            <family val="2"/>
          </rPr>
          <t>Sonya Trad:</t>
        </r>
        <r>
          <rPr>
            <sz val="8"/>
            <color indexed="81"/>
            <rFont val="Tahoma"/>
            <family val="2"/>
          </rPr>
          <t xml:space="preserve">
ägs ej av rindi längre</t>
        </r>
      </text>
    </comment>
    <comment ref="B192" authorId="0" shapeId="0" xr:uid="{00000000-0006-0000-0400-000007000000}">
      <text>
        <r>
          <rPr>
            <b/>
            <sz val="8"/>
            <color indexed="81"/>
            <rFont val="Tahoma"/>
            <family val="2"/>
          </rPr>
          <t>Sonya Trad:</t>
        </r>
        <r>
          <rPr>
            <sz val="8"/>
            <color indexed="81"/>
            <rFont val="Tahoma"/>
            <family val="2"/>
          </rPr>
          <t xml:space="preserve">
ägs ej av rindi längre</t>
        </r>
      </text>
    </comment>
    <comment ref="A209" authorId="0" shapeId="0" xr:uid="{00000000-0006-0000-0400-000008000000}">
      <text>
        <r>
          <rPr>
            <b/>
            <sz val="8"/>
            <color indexed="81"/>
            <rFont val="Tahoma"/>
            <family val="2"/>
          </rPr>
          <t>Sonya Trad:</t>
        </r>
        <r>
          <rPr>
            <sz val="8"/>
            <color indexed="81"/>
            <rFont val="Tahoma"/>
            <family val="2"/>
          </rPr>
          <t xml:space="preserve">
Ingår i Sundsvall övriga</t>
        </r>
      </text>
    </comment>
    <comment ref="A239" authorId="0" shapeId="0" xr:uid="{00000000-0006-0000-0400-000009000000}">
      <text>
        <r>
          <rPr>
            <b/>
            <sz val="8"/>
            <color indexed="81"/>
            <rFont val="Tahoma"/>
            <family val="2"/>
          </rPr>
          <t>Sonya Trad:</t>
        </r>
        <r>
          <rPr>
            <sz val="8"/>
            <color indexed="81"/>
            <rFont val="Tahoma"/>
            <family val="2"/>
          </rPr>
          <t xml:space="preserve">
Ingår i sundsvalls övriga nät</t>
        </r>
      </text>
    </comment>
    <comment ref="A241" authorId="0" shapeId="0" xr:uid="{00000000-0006-0000-0400-00000A000000}">
      <text>
        <r>
          <rPr>
            <b/>
            <sz val="8"/>
            <color indexed="81"/>
            <rFont val="Tahoma"/>
            <family val="2"/>
          </rPr>
          <t>Sonya Trad:</t>
        </r>
        <r>
          <rPr>
            <sz val="8"/>
            <color indexed="81"/>
            <rFont val="Tahoma"/>
            <family val="2"/>
          </rPr>
          <t xml:space="preserve">
Ingår i fortums stockholmsnät</t>
        </r>
      </text>
    </comment>
    <comment ref="A245" authorId="0" shapeId="0" xr:uid="{00000000-0006-0000-0400-00000B000000}">
      <text>
        <r>
          <rPr>
            <b/>
            <sz val="8"/>
            <color indexed="81"/>
            <rFont val="Tahoma"/>
            <family val="2"/>
          </rPr>
          <t>Sonya Trad:</t>
        </r>
        <r>
          <rPr>
            <sz val="8"/>
            <color indexed="81"/>
            <rFont val="Tahoma"/>
            <family val="2"/>
          </rPr>
          <t xml:space="preserve">
inkulderar Ljungsbro, Malmslätt, sturefors, Långasjönäs</t>
        </r>
      </text>
    </comment>
    <comment ref="A253" authorId="0" shapeId="0" xr:uid="{00000000-0006-0000-0400-00000C000000}">
      <text>
        <r>
          <rPr>
            <b/>
            <sz val="8"/>
            <color indexed="81"/>
            <rFont val="Tahoma"/>
            <family val="2"/>
          </rPr>
          <t>Sonya Trad:</t>
        </r>
        <r>
          <rPr>
            <sz val="8"/>
            <color indexed="81"/>
            <rFont val="Tahoma"/>
            <family val="2"/>
          </rPr>
          <t xml:space="preserve">
Ingår i sunsvalls övriga nät</t>
        </r>
      </text>
    </comment>
    <comment ref="A302" authorId="0" shapeId="0" xr:uid="{00000000-0006-0000-0400-00000D000000}">
      <text>
        <r>
          <rPr>
            <b/>
            <sz val="8"/>
            <color indexed="81"/>
            <rFont val="Tahoma"/>
            <family val="2"/>
          </rPr>
          <t>Sonya Trad:</t>
        </r>
        <r>
          <rPr>
            <sz val="8"/>
            <color indexed="81"/>
            <rFont val="Tahoma"/>
            <family val="2"/>
          </rPr>
          <t xml:space="preserve">
såld till ?? </t>
        </r>
      </text>
    </comment>
    <comment ref="A398" authorId="0" shapeId="0" xr:uid="{00000000-0006-0000-0400-00000E000000}">
      <text>
        <r>
          <rPr>
            <b/>
            <sz val="8"/>
            <color indexed="81"/>
            <rFont val="Tahoma"/>
            <family val="2"/>
          </rPr>
          <t>Sonya Trad:</t>
        </r>
        <r>
          <rPr>
            <sz val="8"/>
            <color indexed="81"/>
            <rFont val="Tahoma"/>
            <family val="2"/>
          </rPr>
          <t xml:space="preserve">
tidigare Härjedalen</t>
        </r>
      </text>
    </comment>
    <comment ref="A406" authorId="0" shapeId="0" xr:uid="{00000000-0006-0000-0400-00000F000000}">
      <text>
        <r>
          <rPr>
            <b/>
            <sz val="8"/>
            <color indexed="81"/>
            <rFont val="Tahoma"/>
            <family val="2"/>
          </rPr>
          <t>Sonya Trad:</t>
        </r>
        <r>
          <rPr>
            <sz val="8"/>
            <color indexed="81"/>
            <rFont val="Tahoma"/>
            <family val="2"/>
          </rPr>
          <t xml:space="preserve">
Inkluderas i söderhamn</t>
        </r>
      </text>
    </comment>
    <comment ref="A424" authorId="0" shapeId="0" xr:uid="{00000000-0006-0000-0400-000010000000}">
      <text>
        <r>
          <rPr>
            <b/>
            <sz val="8"/>
            <color indexed="81"/>
            <rFont val="Tahoma"/>
            <family val="2"/>
          </rPr>
          <t>Sonya Trad:</t>
        </r>
        <r>
          <rPr>
            <sz val="8"/>
            <color indexed="81"/>
            <rFont val="Tahoma"/>
            <family val="2"/>
          </rPr>
          <t xml:space="preserve">
1996-2003 lagt ihop Bergforsen, söråker och Östrand till Timrå</t>
        </r>
      </text>
    </comment>
    <comment ref="A440" authorId="0" shapeId="0" xr:uid="{00000000-0006-0000-0400-000011000000}">
      <text>
        <r>
          <rPr>
            <b/>
            <sz val="8"/>
            <color indexed="81"/>
            <rFont val="Tahoma"/>
            <family val="2"/>
          </rPr>
          <t>Sonya Trad:</t>
        </r>
        <r>
          <rPr>
            <sz val="8"/>
            <color indexed="81"/>
            <rFont val="Tahoma"/>
            <family val="2"/>
          </rPr>
          <t xml:space="preserve">
nytt separat nät från och med 2009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tc={5CB28AE5-9E58-4346-A948-7E0575F95582}</author>
    <author>tc={C09C08EE-7524-442A-8E88-9BE22A75CE8F}</author>
    <author>tc={7BF9A728-DFDE-4E04-B03C-9264BD55C403}</author>
    <author>Nicole Burstein</author>
    <author>tc={3D892ABE-B0B1-4E36-A2D6-BF4011F34191}</author>
    <author>tc={FF7FC6A6-4DF4-492B-A478-511CAC7F84AC}</author>
    <author>tc={DF0A01BB-1887-478E-9005-20DF07B90D78}</author>
    <author>tc={BDC2E36A-7DA5-4D92-BCE8-B7581B2B6AC8}</author>
    <author>tc={DE9E73B1-C74D-4A16-8B6A-332BEE284C32}</author>
    <author>tc={8D6545A4-C8BE-4A18-B00B-8DA6A2581AE8}</author>
    <author>Sonya Trad</author>
    <author>tc={7923220D-796A-4683-8EF4-463E6381C095}</author>
    <author>tc={7D32F314-5292-41A6-AE6F-8D1372413588}</author>
    <author>tc={A5CAF87A-0A53-4146-A72F-2E01E20C5037}</author>
    <author>tc={4AE8B2AD-218C-49AB-A772-3ED7166C1660}</author>
    <author>tc={7DC906BE-FF92-4A97-9699-8E3B4A5EAB9D}</author>
    <author>tc={C8EECA85-7405-437B-8DA1-D14BED74D6D9}</author>
    <author>tc={1DC52C01-AE8B-4884-926F-FFBA69433429}</author>
    <author>tc={BFCA853F-A442-49A4-A0EA-86B6C94C25AD}</author>
    <author>tc={77AB822A-A64F-4A26-9544-D14370B920E5}</author>
    <author>tc={17F4710F-B9E5-4B14-A428-A2CFECBB4DEC}</author>
    <author>tc={5D055EA7-E516-4B1D-96D1-9CEB2CFEC632}</author>
    <author>tc={260B79E7-49D2-4B2E-A931-C44FFBAE0F6F}</author>
    <author>tc={A48E954C-C584-410F-A8CB-E108F365D13A}</author>
    <author>tc={05087447-F021-407B-954C-3D3C0AC23BF9}</author>
    <author>David Holmström</author>
    <author>tc={0779C6F2-043E-4636-9701-0A06C9CC4DD8}</author>
    <author>tc={2B9FF4CF-605E-4811-ADE5-2FD9ED7DACD0}</author>
    <author>tc={D6286416-FE85-4EE4-82F7-D44233B90ACF}</author>
    <author>tc={23F02CD5-E1F1-4B65-B435-60CB882CAEF5}</author>
    <author>tc={8EE5C740-A17B-4AAA-A1AD-FFECBFA42E40}</author>
    <author>tc={20647410-55E4-424D-99E2-5218A8D9D5C8}</author>
    <author>tc={8A387911-1397-48EA-9FDF-3192C2E738FE}</author>
    <author>tc={BFD17C73-2A8D-472A-9F0E-B60DE39927A6}</author>
    <author>tc={67090C24-57EA-404A-B0FE-582C995427DE}</author>
    <author>tc={169B097F-A7A3-434B-AF2D-FD6F9DD81745}</author>
    <author>tc={3082B5C4-597D-4EA8-A2D1-0AD656AA2352}</author>
    <author>tc={020BB15A-4A95-4624-881F-57657C71FC15}</author>
    <author>tc={D23AA891-CC2D-4FF8-8650-5678407B6288}</author>
    <author>tc={B22E8790-7389-4B12-98B4-08D90315FCE4}</author>
    <author>tc={CE34F5B1-6271-4452-8F64-CFF3B37090B4}</author>
    <author>tc={CDF2ED1F-BB00-4E05-B699-A44D07C6AF4A}</author>
    <author>tc={D4CC7327-0E64-46D3-B1CA-77CBFDFACAE0}</author>
    <author>tc={C6E82355-5F76-43FA-9DE8-AC4433443B21}</author>
    <author>tc={09E0AE8E-2C69-4D1F-8F98-737535BC26F1}</author>
    <author>tc={8DD8F0AA-1413-48CA-BFC6-46407BDACDBD}</author>
    <author>tc={61FE5898-29FA-40C9-AA0A-FD728C7E54B4}</author>
    <author>tc={A1578D7A-5158-4353-967F-8D25B0CB9691}</author>
    <author>tc={99ED7776-45AD-4BE4-A960-6717467E348A}</author>
    <author>tc={F765A839-072A-4E91-8EF8-73E4D1CD0E70}</author>
    <author>tc={DB5BCDAD-1DDC-4D1B-877E-0F06568AAC44}</author>
    <author>Felicia Östby</author>
    <author>tc={0201DB78-0A27-47DD-8F17-1068A7D9C657}</author>
    <author>tc={690B60CB-56F1-400A-B471-D3A37CBD7258}</author>
    <author>tc={B3CDC5D3-F3D1-47DB-9A6D-CB8ED7E7D8D8}</author>
    <author>tc={2839475C-CC54-44A2-A5E5-284C221EAA16}</author>
    <author>tc={9152275D-F04B-4CC4-BA7D-A20A62A1B358}</author>
    <author>tc={AF8AD439-7D93-4865-9AB6-B040C515966D}</author>
    <author>tc={887CB715-8767-49A1-88BC-8108DD056632}</author>
    <author>tc={E9973DC7-96A6-4282-826B-19C12A875C03}</author>
    <author>tc={525ED0D1-402D-49CE-9958-49F13560B77D}</author>
    <author>tc={8DA59AAE-D37A-450B-A99D-CB698375A777}</author>
    <author>tc={BC7A5FF9-DF00-43E5-B637-91637F5F153D}</author>
    <author>tc={FF9C3FE0-95FC-430F-884F-A32C194C00C0}</author>
    <author>tc={18E1F416-0915-4A83-B557-1CD42ADFD5DA}</author>
    <author>tc={5D211019-9AAF-4CD8-86B0-781493D67413}</author>
    <author>tc={B85C3933-DB58-4EB1-900B-1B09C5129427}</author>
    <author>tc={9A730BC9-C8B9-47E3-A722-D704342DF12A}</author>
    <author>tc={417C8FA4-E4F9-4FD4-9C87-FF22CDEFD545}</author>
    <author>tc={BFAD874B-CC41-4184-8C45-6AA8FFF7CF28}</author>
    <author>tc={D4172FDE-3590-4DE4-9C51-3B4E6EEEBD71}</author>
    <author>tc={1700A8E2-9989-42AE-8FEA-9BAEF62BD66F}</author>
    <author>tc={F903DE72-0F44-40E3-B017-2F9CF4194A37}</author>
    <author>tc={D0F16536-DDCC-4991-9245-099F308EBB54}</author>
    <author>tc={164BD532-1D2F-45D5-807D-919EC10DC5A8}</author>
    <author>tc={CE342374-248D-4970-A5E8-94914627D8EB}</author>
    <author>tc={0D09C314-B07E-4ACF-A0D2-8067139A150C}</author>
    <author>tc={983AD02D-C4AC-472A-94D3-5588F80B97EA}</author>
    <author>tc={305E5002-02DE-45BA-90B6-7A7CD2C44595}</author>
    <author>tc={099DCF4F-231D-4124-B8D0-FF2FE925F740}</author>
    <author>tc={77B8EC45-9E4D-4563-937B-D33DC8BE1BE6}</author>
    <author>tc={A63D9398-9409-4DBB-90A0-807B1272651B}</author>
    <author>tc={844087B5-B392-406A-BA86-A7C44098D307}</author>
    <author>tc={054DDD5A-9F9D-43F4-8146-FEE7C00BB85F}</author>
    <author>tc={30D65BCF-B131-4C0B-A501-FFF6783017A8}</author>
    <author>tc={6737FADF-E3E4-4AA9-B532-C7E93E39891C}</author>
    <author>tc={F4E24639-9E92-4F7A-91A3-509163EC8204}</author>
    <author>tc={0AEC150A-1D09-43E4-9935-632EC7BAFD68}</author>
    <author>tc={3042C502-A09E-47F4-B6F1-13A64C9B0C2B}</author>
    <author>tc={813277B8-6402-45DA-8725-BB0735C44E5D}</author>
    <author>tc={C0D46F07-9488-4040-9B9B-1406DA967380}</author>
    <author>tc={7B702F6E-FADB-4A83-AE0C-2CABD22265FB}</author>
    <author>tc={B8A97089-0491-4475-A22A-DAE5E9CE53C1}</author>
    <author>tc={C02E46DC-C724-432B-A244-CC92016852BD}</author>
    <author>tc={1A16BF1C-321C-4FC5-9B1F-40CAA1E78C41}</author>
    <author>tc={D5CBF47A-CD3C-4D47-A667-043B7C4A9C0A}</author>
    <author>tc={A29C9D69-8006-4FFE-8F7B-6AEFB97AFB60}</author>
    <author>tc={4354D7F1-E1E9-47CD-8AF1-9CEFE196E6EB}</author>
    <author>tc={CD1BC7A3-5144-418A-89AF-8580045714FA}</author>
    <author>tc={F972DE6C-1617-4095-8DE3-F284FDDDFBD5}</author>
    <author>tc={FFB69F7D-9B3A-4A50-8B5A-1641F428DFF9}</author>
    <author>tc={3298C1AE-158D-4A09-B5CC-36DE1509C472}</author>
    <author>tc={6BDF6F79-B6A6-41CF-ABFA-767442B14AF7}</author>
    <author>tc={16529E9F-DDF5-4523-ACEF-8AE782202D2C}</author>
    <author>tc={FC3F6990-90EB-4119-8CA8-279FB62AA045}</author>
    <author>tc={8E025EAD-EBA4-43F9-93DD-F02F29CB8AEF}</author>
    <author>tc={D30A9DBB-5AA0-430A-898A-DBCB435A0464}</author>
    <author>tc={ACC0C1A9-90D4-4874-B6AA-C88B122D5B1F}</author>
    <author>tc={6C64E182-F618-4162-97D1-94DDAEF92FF9}</author>
    <author>tc={8D1D02CB-1C8E-495C-82BB-D24FE53895E0}</author>
    <author>tc={68AB855B-00A4-46CD-A8D1-F5ACBA56D124}</author>
    <author>tc={9735E1E5-24F6-4848-9C56-387270C63A13}</author>
    <author>tc={CADA9114-400E-4AB9-A8DA-9DAA629300F5}</author>
    <author>tc={D5C0878E-72C1-4632-8BD7-EF8A254F5F50}</author>
    <author>tc={90D3BF2A-57EE-4012-9E8B-FECAEBCD310B}</author>
    <author>tc={4EDAC160-D724-40D6-9023-D53BB5593F97}</author>
    <author>tc={FCB2F538-C4DD-4831-8285-6307939CABB2}</author>
    <author>tc={8B5AEF22-99A3-439A-8371-6B004489F7B1}</author>
    <author>tc={F4B5AE4F-55A7-46B6-8E1B-05E30B026076}</author>
    <author>tc={2CD8FA0B-1AC3-4886-9705-FA2994D0C12E}</author>
    <author>tc={66473652-EEC7-4CFC-9685-6862D2DB1697}</author>
    <author>tc={ACE6E57C-7780-4929-AC6E-D6E465F56B65}</author>
    <author>tc={124AAA9A-71A1-48BF-BC29-2614C286D734}</author>
    <author>tc={DF737F6F-F6F4-47BB-82AE-2AD9590A7F19}</author>
    <author>tc={6340B1D6-D2F6-4965-8167-716F3A6C75CD}</author>
    <author>tc={B62B8125-7F08-40D3-9C60-1C74E79FD0E2}</author>
    <author>tc={4E741BFD-6B98-4E98-89AC-8B2B236F0D4C}</author>
    <author>tc={FF0198CA-B254-42B3-BDBE-52E7CF7C0E56}</author>
    <author>tc={7EA6B3CB-AA82-4EF0-BED8-44D9B15E9442}</author>
    <author>tc={005AFAB9-F6BD-4503-BC64-53D02F2D1A00}</author>
    <author>tc={B7D85E73-E1C4-4797-9927-1C489BBDDD8A}</author>
    <author>tc={FF63540D-39D2-4FDD-A8C7-1CE43E61FF51}</author>
    <author>tc={C3BE63A1-9D92-449A-B1B6-B7E9028E60C6}</author>
    <author>tc={4BEE4F42-5B4D-4C48-8322-589485D977FD}</author>
    <author>tc={5364F260-9DBC-45DB-A1CD-874F324C2704}</author>
    <author>tc={7F00077E-6764-4563-A4A9-95B66F8102B4}</author>
    <author>tc={47C9D7DD-F6B3-4ED2-9660-39E72922BCEB}</author>
    <author>tc={E03165BA-0AB4-4A7C-877D-D390DB447073}</author>
    <author>tc={65C3380E-BB97-43A8-9A24-182C3F4B6602}</author>
    <author>tc={16B7951C-1F1B-4E6A-9F95-79295C65A9F4}</author>
    <author>tc={796B249C-5F00-4A20-AE4A-BAA712D3092F}</author>
    <author>tc={F6422DAC-B933-4FCF-9E7F-28B05D25CAC5}</author>
    <author>tc={FFD2862E-F464-4461-A6EE-B79897AFBC64}</author>
    <author>tc={FFCA160A-FFF1-412F-8196-C0F601602916}</author>
    <author>tc={8281B7F9-F2CB-4FF1-8992-F648144E1CB8}</author>
    <author>tc={61DC7745-E458-4524-9156-D51459631537}</author>
    <author>tc={E81B5B4D-CC00-47A8-8127-41C305CAF514}</author>
    <author>tc={C8DF2210-48B9-41F1-9560-E057D69DA195}</author>
    <author>tc={1C3C96A1-3B04-4437-B1A2-3BDE495904E1}</author>
    <author>tc={D719DA50-7AD8-454A-BC16-4552542DC7EA}</author>
    <author>tc={5CD10562-D737-43C5-A0EA-19ECAF953394}</author>
    <author>tc={58F2AB27-1682-4791-BB3A-F77A75CA7B31}</author>
    <author>tc={0E6FD902-35BE-48F4-96CE-49AA3073DB84}</author>
    <author>tc={7ADDB03C-7203-4E25-8745-21208480EBD3}</author>
    <author>tc={103C76C6-3F7D-4BDE-AD30-C73C5D6E315F}</author>
    <author>tc={30860199-1657-4561-88E7-074504C7DE12}</author>
    <author>tc={A8A61354-750B-434D-A138-8229769C18CE}</author>
    <author>tc={0619BFB0-87C6-459A-BDBB-E6B03736866B}</author>
    <author>tc={8CC472E8-4672-48EE-B55B-C7940906E9D2}</author>
    <author>tc={4A8BBE32-5B48-4637-8157-DC53A2605059}</author>
    <author>tc={7596F97D-FC2E-4B01-875C-3F04E8C38A1D}</author>
    <author>tc={761F38BB-6761-4EAB-B9AB-42FA1AB3F07A}</author>
    <author>tc={73915AC5-91E7-4457-8AC9-3CDBED91A85F}</author>
    <author>tc={A3814C72-F0BD-402D-825A-CF8F71693089}</author>
    <author>tc={E99302DB-45F9-4A9D-BA5E-5FB18B39F34D}</author>
    <author>tc={D9FEB8FE-665B-4328-817F-364DAB567A9A}</author>
    <author>tc={CF06A1B7-7AAA-479D-88D7-52217E10F792}</author>
    <author>tc={73EF6943-7699-4EA3-8536-5E022C387CC9}</author>
    <author>tc={803BF268-F662-436D-9FA4-2864A48B45B7}</author>
    <author>tc={B8B5B002-2B80-4703-B64F-832B0247EF9C}</author>
    <author>tc={A442B86C-617F-4CE7-B17A-7EA4BCE5D934}</author>
    <author>tc={49A2D915-6674-4488-991F-BCFDA1D30746}</author>
    <author>Charlotta Abrahamsson</author>
    <author>tc={F809AA22-0EFB-4B4D-A348-B09A1E4340A0}</author>
    <author>tc={25FBA91D-449A-46EA-87F4-4D5643E201A8}</author>
    <author>tc={8D33E72E-ECF2-4626-AE4E-708B273A2C3E}</author>
    <author>tc={072683B2-6908-4F9F-8100-6A8B5BFA1E29}</author>
    <author>tc={EA6C6F4A-3E97-44AB-99A8-D37E83DABC2A}</author>
    <author>tc={A67CFD26-EDDB-439F-96DB-BBDBC58524D2}</author>
    <author>tc={1E00BDDF-7481-44E6-8808-C6D94DEC0424}</author>
  </authors>
  <commentList>
    <comment ref="T7" authorId="0" shapeId="0" xr:uid="{5CB28AE5-9E58-4346-A948-7E0575F95582}">
      <text>
        <t>[Threaded comment]
Your version of Excel allows you to read this threaded comment; however, any edits to it will get removed if the file is opened in a newer version of Excel. Learn more: https://go.microsoft.com/fwlink/?linkid=870924
Comment:
    Från EI</t>
      </text>
    </comment>
    <comment ref="U7" authorId="1" shapeId="0" xr:uid="{C09C08EE-7524-442A-8E88-9BE22A75CE8F}">
      <text>
        <t>[Threaded comment]
Your version of Excel allows you to read this threaded comment; however, any edits to it will get removed if the file is opened in a newer version of Excel. Learn more: https://go.microsoft.com/fwlink/?linkid=870924
Comment:
    Från EI</t>
      </text>
    </comment>
    <comment ref="V7" authorId="2" shapeId="0" xr:uid="{7BF9A728-DFDE-4E04-B03C-9264BD55C403}">
      <text>
        <t>[Threaded comment]
Your version of Excel allows you to read this threaded comment; however, any edits to it will get removed if the file is opened in a newer version of Excel. Learn more: https://go.microsoft.com/fwlink/?linkid=870924
Comment:
    Från EI</t>
      </text>
    </comment>
    <comment ref="X10" authorId="3" shapeId="0" xr:uid="{9CD63167-4728-4443-AA12-1383CBE402D4}">
      <text>
        <r>
          <rPr>
            <b/>
            <sz val="9"/>
            <color indexed="81"/>
            <rFont val="Tahoma"/>
            <family val="2"/>
          </rPr>
          <t>Nicole Burstein:</t>
        </r>
        <r>
          <rPr>
            <sz val="9"/>
            <color indexed="81"/>
            <rFont val="Tahoma"/>
            <family val="2"/>
          </rPr>
          <t xml:space="preserve">
Från EI
</t>
        </r>
      </text>
    </comment>
    <comment ref="A11" authorId="3" shapeId="0" xr:uid="{2EFA3C2A-72A7-4205-AA91-9D457747177E}">
      <text>
        <r>
          <rPr>
            <b/>
            <sz val="9"/>
            <color indexed="81"/>
            <rFont val="Tahoma"/>
            <family val="2"/>
          </rPr>
          <t>Nicole Burstein:</t>
        </r>
        <r>
          <rPr>
            <sz val="9"/>
            <color indexed="81"/>
            <rFont val="Tahoma"/>
            <family val="2"/>
          </rPr>
          <t xml:space="preserve">
Arboga-Köping sedan 2017</t>
        </r>
      </text>
    </comment>
    <comment ref="A12" authorId="3" shapeId="0" xr:uid="{10CFA463-432F-4404-AC8D-60386D7AE5B3}">
      <text>
        <r>
          <rPr>
            <b/>
            <sz val="9"/>
            <color indexed="81"/>
            <rFont val="Tahoma"/>
            <family val="2"/>
          </rPr>
          <t>Nicole Burstein:</t>
        </r>
        <r>
          <rPr>
            <sz val="9"/>
            <color indexed="81"/>
            <rFont val="Tahoma"/>
            <family val="2"/>
          </rPr>
          <t xml:space="preserve">
Sammanslaget 2017</t>
        </r>
      </text>
    </comment>
    <comment ref="A14" authorId="4" shapeId="0" xr:uid="{3D892ABE-B0B1-4E36-A2D6-BF4011F34191}">
      <text>
        <t>[Threaded comment]
Your version of Excel allows you to read this threaded comment; however, any edits to it will get removed if the file is opened in a newer version of Excel. Learn more: https://go.microsoft.com/fwlink/?linkid=870924
Comment:
    Arjepolgs kommun, ej medlem</t>
      </text>
    </comment>
    <comment ref="V14" authorId="3" shapeId="0" xr:uid="{A6EDD5F8-D5E8-4F76-89F8-C739E13B7C7A}">
      <text>
        <r>
          <rPr>
            <b/>
            <sz val="9"/>
            <color indexed="81"/>
            <rFont val="Tahoma"/>
            <family val="2"/>
          </rPr>
          <t>Nicole Burstein:</t>
        </r>
        <r>
          <rPr>
            <sz val="9"/>
            <color indexed="81"/>
            <rFont val="Tahoma"/>
            <family val="2"/>
          </rPr>
          <t xml:space="preserve">
Från EI bakåt</t>
        </r>
      </text>
    </comment>
    <comment ref="X14" authorId="5" shapeId="0" xr:uid="{FF7FC6A6-4DF4-492B-A478-511CAC7F84AC}">
      <text>
        <t>[Threaded comment]
Your version of Excel allows you to read this threaded comment; however, any edits to it will get removed if the file is opened in a newer version of Excel. Learn more: https://go.microsoft.com/fwlink/?linkid=870924
Comment:
    Från EI</t>
      </text>
    </comment>
    <comment ref="Z14" authorId="6" shapeId="0" xr:uid="{DF0A01BB-1887-478E-9005-20DF07B90D78}">
      <text>
        <t>[Threaded comment]
Your version of Excel allows you to read this threaded comment; however, any edits to it will get removed if the file is opened in a newer version of Excel. Learn more: https://go.microsoft.com/fwlink/?linkid=870924
Comment:
    från EI</t>
      </text>
    </comment>
    <comment ref="A15" authorId="7" shapeId="0" xr:uid="{BDC2E36A-7DA5-4D92-BCE8-B7581B2B6AC8}">
      <text>
        <t>[Threaded comment]
Your version of Excel allows you to read this threaded comment; however, any edits to it will get removed if the file is opened in a newer version of Excel. Learn more: https://go.microsoft.com/fwlink/?linkid=870924
Comment:
    Arvidsjaur Energi ej medlem</t>
      </text>
    </comment>
    <comment ref="X15" authorId="3" shapeId="0" xr:uid="{ADBC6D46-E846-4884-9BF2-BB1ED79DE21B}">
      <text>
        <r>
          <rPr>
            <b/>
            <sz val="9"/>
            <color indexed="81"/>
            <rFont val="Tahoma"/>
            <family val="2"/>
          </rPr>
          <t>Nicole Burstein:</t>
        </r>
        <r>
          <rPr>
            <sz val="9"/>
            <color indexed="81"/>
            <rFont val="Tahoma"/>
            <family val="2"/>
          </rPr>
          <t xml:space="preserve">
Från EI bakåt</t>
        </r>
      </text>
    </comment>
    <comment ref="Q16" authorId="3" shapeId="0" xr:uid="{8C975B7B-D1E3-4A88-A91F-479AE8B1CBE6}">
      <text>
        <r>
          <rPr>
            <b/>
            <sz val="9"/>
            <color indexed="81"/>
            <rFont val="Tahoma"/>
            <family val="2"/>
          </rPr>
          <t>Nicole Burstein:</t>
        </r>
        <r>
          <rPr>
            <sz val="9"/>
            <color indexed="81"/>
            <rFont val="Tahoma"/>
            <family val="2"/>
          </rPr>
          <t xml:space="preserve">
EI</t>
        </r>
      </text>
    </comment>
    <comment ref="A18" authorId="3" shapeId="0" xr:uid="{4DFBABDA-E201-41B2-8340-0834CBB99310}">
      <text>
        <r>
          <rPr>
            <b/>
            <sz val="9"/>
            <color indexed="81"/>
            <rFont val="Tahoma"/>
            <family val="2"/>
          </rPr>
          <t>Nicole Burstein:</t>
        </r>
        <r>
          <rPr>
            <sz val="9"/>
            <color indexed="81"/>
            <rFont val="Tahoma"/>
            <family val="2"/>
          </rPr>
          <t xml:space="preserve">
Sammanslaget 2017</t>
        </r>
      </text>
    </comment>
    <comment ref="A19" authorId="3" shapeId="0" xr:uid="{977703B6-872B-4A4E-B112-B22E17C1BA78}">
      <text>
        <r>
          <rPr>
            <b/>
            <sz val="9"/>
            <color indexed="81"/>
            <rFont val="Tahoma"/>
            <family val="2"/>
          </rPr>
          <t>Nicole Burstein:</t>
        </r>
        <r>
          <rPr>
            <sz val="9"/>
            <color indexed="81"/>
            <rFont val="Tahoma"/>
            <family val="2"/>
          </rPr>
          <t xml:space="preserve">
Assberg - Fritslanäten från 2017</t>
        </r>
      </text>
    </comment>
    <comment ref="X23" authorId="3" shapeId="0" xr:uid="{560F03FE-7D79-4342-9BD2-B88510273017}">
      <text>
        <r>
          <rPr>
            <b/>
            <sz val="9"/>
            <color indexed="81"/>
            <rFont val="Tahoma"/>
            <family val="2"/>
          </rPr>
          <t>Nicole Burstein:</t>
        </r>
        <r>
          <rPr>
            <sz val="9"/>
            <color indexed="81"/>
            <rFont val="Tahoma"/>
            <family val="2"/>
          </rPr>
          <t xml:space="preserve">
Från EI
</t>
        </r>
      </text>
    </comment>
    <comment ref="V24" authorId="3" shapeId="0" xr:uid="{EC259FDE-482A-4A38-A8D2-4CCEAF7DA65A}">
      <text>
        <r>
          <rPr>
            <b/>
            <sz val="9"/>
            <color indexed="81"/>
            <rFont val="Tahoma"/>
            <family val="2"/>
          </rPr>
          <t>Nicole Burstein:</t>
        </r>
        <r>
          <rPr>
            <sz val="9"/>
            <color indexed="81"/>
            <rFont val="Tahoma"/>
            <family val="2"/>
          </rPr>
          <t xml:space="preserve">
Från EI
</t>
        </r>
      </text>
    </comment>
    <comment ref="W24" authorId="3" shapeId="0" xr:uid="{69985755-3F85-4059-AF37-8E2789BCBA7C}">
      <text>
        <r>
          <rPr>
            <b/>
            <sz val="9"/>
            <color indexed="81"/>
            <rFont val="Tahoma"/>
            <family val="2"/>
          </rPr>
          <t>Nicole Burstein:</t>
        </r>
        <r>
          <rPr>
            <sz val="9"/>
            <color indexed="81"/>
            <rFont val="Tahoma"/>
            <family val="2"/>
          </rPr>
          <t xml:space="preserve">
Från EI</t>
        </r>
      </text>
    </comment>
    <comment ref="A25" authorId="8" shapeId="0" xr:uid="{DE9E73B1-C74D-4A16-8B6A-332BEE284C32}">
      <text>
        <t>[Threaded comment]
Your version of Excel allows you to read this threaded comment; however, any edits to it will get removed if the file is opened in a newer version of Excel. Learn more: https://go.microsoft.com/fwlink/?linkid=870924
Comment:
    Bionär</t>
      </text>
    </comment>
    <comment ref="X25" authorId="3" shapeId="0" xr:uid="{BD75CDDF-769D-4DE8-9E8E-EF85C5E21B67}">
      <text>
        <r>
          <rPr>
            <b/>
            <sz val="9"/>
            <color indexed="81"/>
            <rFont val="Tahoma"/>
            <family val="2"/>
          </rPr>
          <t>Nicole Burstein:</t>
        </r>
        <r>
          <rPr>
            <sz val="9"/>
            <color indexed="81"/>
            <rFont val="Tahoma"/>
            <family val="2"/>
          </rPr>
          <t xml:space="preserve">
Från EI
</t>
        </r>
      </text>
    </comment>
    <comment ref="Z25" authorId="9" shapeId="0" xr:uid="{8D6545A4-C8BE-4A18-B00B-8DA6A2581AE8}">
      <text>
        <t>[Threaded comment]
Your version of Excel allows you to read this threaded comment; however, any edits to it will get removed if the file is opened in a newer version of Excel. Learn more: https://go.microsoft.com/fwlink/?linkid=870924
Comment:
    frånn EI</t>
      </text>
    </comment>
    <comment ref="P26" authorId="10" shapeId="0" xr:uid="{00000000-0006-0000-0600-000001000000}">
      <text>
        <r>
          <rPr>
            <b/>
            <sz val="8"/>
            <color indexed="81"/>
            <rFont val="Tahoma"/>
            <family val="2"/>
          </rPr>
          <t>Sonya Trad:</t>
        </r>
        <r>
          <rPr>
            <sz val="8"/>
            <color indexed="81"/>
            <rFont val="Tahoma"/>
            <family val="2"/>
          </rPr>
          <t xml:space="preserve">
decimalfel</t>
        </r>
      </text>
    </comment>
    <comment ref="A28" authorId="3" shapeId="0" xr:uid="{D83AF845-BCC6-4E1A-82F6-1BC738AEF10E}">
      <text>
        <r>
          <rPr>
            <b/>
            <sz val="9"/>
            <color indexed="81"/>
            <rFont val="Tahoma"/>
            <family val="2"/>
          </rPr>
          <t>Nicole Burstein:</t>
        </r>
        <r>
          <rPr>
            <sz val="9"/>
            <color indexed="81"/>
            <rFont val="Tahoma"/>
            <family val="2"/>
          </rPr>
          <t xml:space="preserve">
Inklusive billesholm</t>
        </r>
      </text>
    </comment>
    <comment ref="R28" authorId="3" shapeId="0" xr:uid="{4ACB6A51-1273-4A1B-AD07-ABAFA4827AE3}">
      <text>
        <r>
          <rPr>
            <b/>
            <sz val="9"/>
            <color indexed="81"/>
            <rFont val="Tahoma"/>
            <family val="2"/>
          </rPr>
          <t>Nicole Burstein:</t>
        </r>
        <r>
          <rPr>
            <sz val="9"/>
            <color indexed="81"/>
            <rFont val="Tahoma"/>
            <family val="2"/>
          </rPr>
          <t xml:space="preserve">
EI</t>
        </r>
      </text>
    </comment>
    <comment ref="X28" authorId="11" shapeId="0" xr:uid="{7923220D-796A-4683-8EF4-463E6381C095}">
      <text>
        <t>[Threaded comment]
Your version of Excel allows you to read this threaded comment; however, any edits to it will get removed if the file is opened in a newer version of Excel. Learn more: https://go.microsoft.com/fwlink/?linkid=870924
Comment:
    Från EI bakåt</t>
      </text>
    </comment>
    <comment ref="P34" authorId="10" shapeId="0" xr:uid="{00000000-0006-0000-0600-000002000000}">
      <text>
        <r>
          <rPr>
            <b/>
            <sz val="8"/>
            <color indexed="81"/>
            <rFont val="Tahoma"/>
            <family val="2"/>
          </rPr>
          <t>Sonya Trad:</t>
        </r>
        <r>
          <rPr>
            <sz val="8"/>
            <color indexed="81"/>
            <rFont val="Tahoma"/>
            <family val="2"/>
          </rPr>
          <t xml:space="preserve">
hämtat från årsredovisning</t>
        </r>
      </text>
    </comment>
    <comment ref="W34" authorId="3" shapeId="0" xr:uid="{46D64373-45AA-4C57-961D-02EB7C8A867C}">
      <text>
        <r>
          <rPr>
            <b/>
            <sz val="9"/>
            <color indexed="81"/>
            <rFont val="Tahoma"/>
            <family val="2"/>
          </rPr>
          <t>Nicole Burstein:</t>
        </r>
        <r>
          <rPr>
            <sz val="9"/>
            <color indexed="81"/>
            <rFont val="Tahoma"/>
            <family val="2"/>
          </rPr>
          <t xml:space="preserve">
Från EI bakåt
</t>
        </r>
      </text>
    </comment>
    <comment ref="U37" authorId="12" shapeId="0" xr:uid="{7D32F314-5292-41A6-AE6F-8D1372413588}">
      <text>
        <t>[Threaded comment]
Your version of Excel allows you to read this threaded comment; however, any edits to it will get removed if the file is opened in a newer version of Excel. Learn more: https://go.microsoft.com/fwlink/?linkid=870924
Comment:
    Från EI</t>
      </text>
    </comment>
    <comment ref="P39" authorId="10" shapeId="0" xr:uid="{00000000-0006-0000-0600-000003000000}">
      <text>
        <r>
          <rPr>
            <b/>
            <sz val="8"/>
            <color indexed="81"/>
            <rFont val="Tahoma"/>
            <family val="2"/>
          </rPr>
          <t>Sonya Trad:</t>
        </r>
        <r>
          <rPr>
            <sz val="8"/>
            <color indexed="81"/>
            <rFont val="Tahoma"/>
            <family val="2"/>
          </rPr>
          <t xml:space="preserve">
taget från EI</t>
        </r>
      </text>
    </comment>
    <comment ref="A41" authorId="10" shapeId="0" xr:uid="{00000000-0006-0000-0600-000004000000}">
      <text>
        <r>
          <rPr>
            <b/>
            <sz val="8"/>
            <color indexed="81"/>
            <rFont val="Tahoma"/>
            <family val="2"/>
          </rPr>
          <t>Sonya Trad:</t>
        </r>
        <r>
          <rPr>
            <sz val="8"/>
            <color indexed="81"/>
            <rFont val="Tahoma"/>
            <family val="2"/>
          </rPr>
          <t xml:space="preserve">
innehåller också dalsjöfors, fristad  och sandared</t>
        </r>
      </text>
    </comment>
    <comment ref="L44" authorId="3" shapeId="0" xr:uid="{F93F3AD9-754F-4586-AAEA-CC6770AFAF59}">
      <text>
        <r>
          <rPr>
            <b/>
            <sz val="9"/>
            <color indexed="81"/>
            <rFont val="Tahoma"/>
            <family val="2"/>
          </rPr>
          <t>Nicole Burstein:</t>
        </r>
        <r>
          <rPr>
            <sz val="9"/>
            <color indexed="81"/>
            <rFont val="Tahoma"/>
            <family val="2"/>
          </rPr>
          <t xml:space="preserve">
Tidigare 173,93 av okänd anlednign..</t>
        </r>
      </text>
    </comment>
    <comment ref="R44" authorId="3" shapeId="0" xr:uid="{EAEFDC73-1ABE-4B73-A9DE-4FA598045C19}">
      <text>
        <r>
          <rPr>
            <b/>
            <sz val="9"/>
            <color indexed="81"/>
            <rFont val="Tahoma"/>
            <family val="2"/>
          </rPr>
          <t>Nicole Burstein:</t>
        </r>
        <r>
          <rPr>
            <sz val="9"/>
            <color indexed="81"/>
            <rFont val="Tahoma"/>
            <family val="2"/>
          </rPr>
          <t xml:space="preserve">
EI</t>
        </r>
      </text>
    </comment>
    <comment ref="A45" authorId="13" shapeId="0" xr:uid="{A5CAF87A-0A53-4146-A72F-2E01E20C5037}">
      <text>
        <t>[Threaded comment]
Your version of Excel allows you to read this threaded comment; however, any edits to it will get removed if the file is opened in a newer version of Excel. Learn more: https://go.microsoft.com/fwlink/?linkid=870924
Comment:
    Sammanslaget 2019</t>
      </text>
    </comment>
    <comment ref="A47" authorId="14" shapeId="0" xr:uid="{4AE8B2AD-218C-49AB-A772-3ED7166C1660}">
      <text>
        <t>[Threaded comment]
Your version of Excel allows you to read this threaded comment; however, any edits to it will get removed if the file is opened in a newer version of Excel. Learn more: https://go.microsoft.com/fwlink/?linkid=870924
Comment:
    Solör</t>
      </text>
    </comment>
    <comment ref="Y47" authorId="15" shapeId="0" xr:uid="{7DC906BE-FF92-4A97-9699-8E3B4A5EAB9D}">
      <text>
        <t>[Threaded comment]
Your version of Excel allows you to read this threaded comment; however, any edits to it will get removed if the file is opened in a newer version of Excel. Learn more: https://go.microsoft.com/fwlink/?linkid=870924
Comment:
    Från EI bakåt</t>
      </text>
    </comment>
    <comment ref="X48" authorId="16" shapeId="0" xr:uid="{C8EECA85-7405-437B-8DA1-D14BED74D6D9}">
      <text>
        <t>[Threaded comment]
Your version of Excel allows you to read this threaded comment; however, any edits to it will get removed if the file is opened in a newer version of Excel. Learn more: https://go.microsoft.com/fwlink/?linkid=870924
Comment:
    Från EI</t>
      </text>
    </comment>
    <comment ref="Y48" authorId="17" shapeId="0" xr:uid="{1DC52C01-AE8B-4884-926F-FFBA69433429}">
      <text>
        <t>[Threaded comment]
Your version of Excel allows you to read this threaded comment; however, any edits to it will get removed if the file is opened in a newer version of Excel. Learn more: https://go.microsoft.com/fwlink/?linkid=870924
Comment:
    Från EI</t>
      </text>
    </comment>
    <comment ref="P50" authorId="10" shapeId="0" xr:uid="{00000000-0006-0000-0600-000005000000}">
      <text>
        <r>
          <rPr>
            <b/>
            <sz val="8"/>
            <color indexed="81"/>
            <rFont val="Tahoma"/>
            <family val="2"/>
          </rPr>
          <t>Sonya Trad:</t>
        </r>
        <r>
          <rPr>
            <sz val="8"/>
            <color indexed="81"/>
            <rFont val="Tahoma"/>
            <family val="2"/>
          </rPr>
          <t xml:space="preserve">
taget från EI bräcke + kälarne</t>
        </r>
      </text>
    </comment>
    <comment ref="U50" authorId="3" shapeId="0" xr:uid="{D8677387-85CC-4724-9176-F0688CAC8DDC}">
      <text>
        <r>
          <rPr>
            <b/>
            <sz val="9"/>
            <color indexed="81"/>
            <rFont val="Tahoma"/>
            <family val="2"/>
          </rPr>
          <t>Nicole Burstein:</t>
        </r>
        <r>
          <rPr>
            <sz val="9"/>
            <color indexed="81"/>
            <rFont val="Tahoma"/>
            <family val="2"/>
          </rPr>
          <t xml:space="preserve">
Från EI bakåt
</t>
        </r>
      </text>
    </comment>
    <comment ref="L51" authorId="3" shapeId="0" xr:uid="{A8D5B699-5D66-46BD-A6FF-D0143F08F4EA}">
      <text>
        <r>
          <rPr>
            <b/>
            <sz val="9"/>
            <color indexed="81"/>
            <rFont val="Tahoma"/>
            <family val="2"/>
          </rPr>
          <t>Nicole Burstein:</t>
        </r>
        <r>
          <rPr>
            <sz val="9"/>
            <color indexed="81"/>
            <rFont val="Tahoma"/>
            <family val="2"/>
          </rPr>
          <t xml:space="preserve">
Tidigare 87,98</t>
        </r>
      </text>
    </comment>
    <comment ref="A57" authorId="18" shapeId="0" xr:uid="{BFCA853F-A442-49A4-A0EA-86B6C94C25AD}">
      <text>
        <t>[Threaded comment]
Your version of Excel allows you to read this threaded comment; however, any edits to it will get removed if the file is opened in a newer version of Excel. Learn more: https://go.microsoft.com/fwlink/?linkid=870924
Comment:
    Solör</t>
      </text>
    </comment>
    <comment ref="W57" authorId="3" shapeId="0" xr:uid="{27FE7DEC-7F2B-43D6-8298-79E00E63DCE5}">
      <text>
        <r>
          <rPr>
            <b/>
            <sz val="9"/>
            <color indexed="81"/>
            <rFont val="Tahoma"/>
            <family val="2"/>
          </rPr>
          <t>Nicole Burstein:</t>
        </r>
        <r>
          <rPr>
            <sz val="9"/>
            <color indexed="81"/>
            <rFont val="Tahoma"/>
            <family val="2"/>
          </rPr>
          <t xml:space="preserve">
Enligt EI
</t>
        </r>
      </text>
    </comment>
    <comment ref="X57" authorId="3" shapeId="0" xr:uid="{34311066-DBAF-47D9-A837-F9D2ABDA2BC0}">
      <text>
        <r>
          <rPr>
            <b/>
            <sz val="9"/>
            <color indexed="81"/>
            <rFont val="Tahoma"/>
            <family val="2"/>
          </rPr>
          <t>Nicole Burstein:</t>
        </r>
        <r>
          <rPr>
            <sz val="9"/>
            <color indexed="81"/>
            <rFont val="Tahoma"/>
            <family val="2"/>
          </rPr>
          <t xml:space="preserve">
Från EI</t>
        </r>
      </text>
    </comment>
    <comment ref="Y57" authorId="3" shapeId="0" xr:uid="{17F6CFEF-7A83-42F9-A810-32AB3BD4678E}">
      <text>
        <r>
          <rPr>
            <b/>
            <sz val="9"/>
            <color indexed="81"/>
            <rFont val="Tahoma"/>
            <family val="2"/>
          </rPr>
          <t>Nicole Burstein:</t>
        </r>
        <r>
          <rPr>
            <sz val="9"/>
            <color indexed="81"/>
            <rFont val="Tahoma"/>
            <family val="2"/>
          </rPr>
          <t xml:space="preserve">
Från EI</t>
        </r>
      </text>
    </comment>
    <comment ref="Z57" authorId="19" shapeId="0" xr:uid="{77AB822A-A64F-4A26-9544-D14370B920E5}">
      <text>
        <t>[Threaded comment]
Your version of Excel allows you to read this threaded comment; however, any edits to it will get removed if the file is opened in a newer version of Excel. Learn more: https://go.microsoft.com/fwlink/?linkid=870924
Comment:
    från EI</t>
      </text>
    </comment>
    <comment ref="A58" authorId="20" shapeId="0" xr:uid="{17F4710F-B9E5-4B14-A428-A2CFECBB4DEC}">
      <text>
        <t>[Threaded comment]
Your version of Excel allows you to read this threaded comment; however, any edits to it will get removed if the file is opened in a newer version of Excel. Learn more: https://go.microsoft.com/fwlink/?linkid=870924
Comment:
    Bionär</t>
      </text>
    </comment>
    <comment ref="X58" authorId="3" shapeId="0" xr:uid="{5620A7B4-3E89-43C3-8EB5-82FFAA52D8A7}">
      <text>
        <r>
          <rPr>
            <b/>
            <sz val="9"/>
            <color indexed="81"/>
            <rFont val="Tahoma"/>
            <family val="2"/>
          </rPr>
          <t>Nicole Burstein:</t>
        </r>
        <r>
          <rPr>
            <sz val="9"/>
            <color indexed="81"/>
            <rFont val="Tahoma"/>
            <family val="2"/>
          </rPr>
          <t xml:space="preserve">
Från EI</t>
        </r>
      </text>
    </comment>
    <comment ref="Z58" authorId="21" shapeId="0" xr:uid="{5D055EA7-E516-4B1D-96D1-9CEB2CFEC632}">
      <text>
        <t>[Threaded comment]
Your version of Excel allows you to read this threaded comment; however, any edits to it will get removed if the file is opened in a newer version of Excel. Learn more: https://go.microsoft.com/fwlink/?linkid=870924
Comment:
    från EI</t>
      </text>
    </comment>
    <comment ref="T62" authorId="22" shapeId="0" xr:uid="{260B79E7-49D2-4B2E-A931-C44FFBAE0F6F}">
      <text>
        <t>[Threaded comment]
Your version of Excel allows you to read this threaded comment; however, any edits to it will get removed if the file is opened in a newer version of Excel. Learn more: https://go.microsoft.com/fwlink/?linkid=870924
Comment:
    Från EI</t>
      </text>
    </comment>
    <comment ref="U62" authorId="23" shapeId="0" xr:uid="{A48E954C-C584-410F-A8CB-E108F365D13A}">
      <text>
        <t>[Threaded comment]
Your version of Excel allows you to read this threaded comment; however, any edits to it will get removed if the file is opened in a newer version of Excel. Learn more: https://go.microsoft.com/fwlink/?linkid=870924
Comment:
    Från EI</t>
      </text>
    </comment>
    <comment ref="A63" authorId="10" shapeId="0" xr:uid="{00000000-0006-0000-0600-000006000000}">
      <text>
        <r>
          <rPr>
            <b/>
            <sz val="8"/>
            <color indexed="81"/>
            <rFont val="Tahoma"/>
            <family val="2"/>
          </rPr>
          <t>Sonya Trad:</t>
        </r>
        <r>
          <rPr>
            <sz val="8"/>
            <color indexed="81"/>
            <rFont val="Tahoma"/>
            <family val="2"/>
          </rPr>
          <t xml:space="preserve">
inkluderar tyresö 1996-2003</t>
        </r>
      </text>
    </comment>
    <comment ref="X66" authorId="3" shapeId="0" xr:uid="{324A3BF8-5999-48F6-9E29-E8E107B0841F}">
      <text>
        <r>
          <rPr>
            <b/>
            <sz val="9"/>
            <color indexed="81"/>
            <rFont val="Tahoma"/>
            <family val="2"/>
          </rPr>
          <t>Nicole Burstein:</t>
        </r>
        <r>
          <rPr>
            <sz val="9"/>
            <color indexed="81"/>
            <rFont val="Tahoma"/>
            <family val="2"/>
          </rPr>
          <t xml:space="preserve">
Inget i KVLN 2017</t>
        </r>
      </text>
    </comment>
    <comment ref="Z66" authorId="3" shapeId="0" xr:uid="{35822E6E-7BB7-43DE-8034-C6E97E36FB02}">
      <text>
        <r>
          <rPr>
            <b/>
            <sz val="9"/>
            <color indexed="81"/>
            <rFont val="Tahoma"/>
            <family val="2"/>
          </rPr>
          <t>Nicole Burstein:</t>
        </r>
        <r>
          <rPr>
            <sz val="9"/>
            <color indexed="81"/>
            <rFont val="Tahoma"/>
            <family val="2"/>
          </rPr>
          <t xml:space="preserve">
från EI 
/DW</t>
        </r>
      </text>
    </comment>
    <comment ref="A72" authorId="24" shapeId="0" xr:uid="{05087447-F021-407B-954C-3D3C0AC23BF9}">
      <text>
        <t>[Threaded comment]
Your version of Excel allows you to read this threaded comment; however, any edits to it will get removed if the file is opened in a newer version of Excel. Learn more: https://go.microsoft.com/fwlink/?linkid=870924
Comment:
    Eksta Bostads, ej medlem</t>
      </text>
    </comment>
    <comment ref="O72" authorId="10" shapeId="0" xr:uid="{00000000-0006-0000-0600-000007000000}">
      <text>
        <r>
          <rPr>
            <b/>
            <sz val="8"/>
            <color indexed="81"/>
            <rFont val="Tahoma"/>
            <family val="2"/>
          </rPr>
          <t>Sonya Trad:</t>
        </r>
        <r>
          <rPr>
            <sz val="8"/>
            <color indexed="81"/>
            <rFont val="Tahoma"/>
            <family val="2"/>
          </rPr>
          <t xml:space="preserve">
Hämtat från EI särskildarapporten</t>
        </r>
      </text>
    </comment>
    <comment ref="P72" authorId="10" shapeId="0" xr:uid="{00000000-0006-0000-0600-000008000000}">
      <text>
        <r>
          <rPr>
            <b/>
            <sz val="8"/>
            <color indexed="81"/>
            <rFont val="Tahoma"/>
            <family val="2"/>
          </rPr>
          <t>Sonya Trad:</t>
        </r>
        <r>
          <rPr>
            <sz val="8"/>
            <color indexed="81"/>
            <rFont val="Tahoma"/>
            <family val="2"/>
          </rPr>
          <t xml:space="preserve">
Taget från EI</t>
        </r>
      </text>
    </comment>
    <comment ref="Q72" authorId="25" shapeId="0" xr:uid="{00000000-0006-0000-0600-000009000000}">
      <text>
        <r>
          <rPr>
            <b/>
            <sz val="9"/>
            <color indexed="81"/>
            <rFont val="Tahoma"/>
            <family val="2"/>
          </rPr>
          <t>David Holmström:</t>
        </r>
        <r>
          <rPr>
            <sz val="9"/>
            <color indexed="81"/>
            <rFont val="Tahoma"/>
            <family val="2"/>
          </rPr>
          <t xml:space="preserve">
Värmeanvändning från miljörapport 2013
</t>
        </r>
      </text>
    </comment>
    <comment ref="R72" authorId="25" shapeId="0" xr:uid="{00000000-0006-0000-0600-00000A000000}">
      <text>
        <r>
          <rPr>
            <b/>
            <sz val="9"/>
            <color indexed="81"/>
            <rFont val="Tahoma"/>
            <family val="2"/>
          </rPr>
          <t>David Holmström:</t>
        </r>
        <r>
          <rPr>
            <sz val="9"/>
            <color indexed="81"/>
            <rFont val="Tahoma"/>
            <family val="2"/>
          </rPr>
          <t xml:space="preserve">
Värmeanvändning från miljörapport 2013
</t>
        </r>
      </text>
    </comment>
    <comment ref="S72" authorId="3" shapeId="0" xr:uid="{C8A56457-95B5-47DD-8EA5-8C4C6FCBA17E}">
      <text>
        <r>
          <rPr>
            <b/>
            <sz val="9"/>
            <color indexed="81"/>
            <rFont val="Tahoma"/>
            <family val="2"/>
          </rPr>
          <t>Nicole Burstein:</t>
        </r>
        <r>
          <rPr>
            <sz val="9"/>
            <color indexed="81"/>
            <rFont val="Tahoma"/>
            <family val="2"/>
          </rPr>
          <t xml:space="preserve">
Från EI</t>
        </r>
      </text>
    </comment>
    <comment ref="X72" authorId="3" shapeId="0" xr:uid="{97048762-2061-479A-AA0A-B2B27FF93453}">
      <text>
        <r>
          <rPr>
            <b/>
            <sz val="9"/>
            <color indexed="81"/>
            <rFont val="Tahoma"/>
            <family val="2"/>
          </rPr>
          <t>Nicole Burstein:</t>
        </r>
        <r>
          <rPr>
            <sz val="9"/>
            <color indexed="81"/>
            <rFont val="Tahoma"/>
            <family val="2"/>
          </rPr>
          <t xml:space="preserve">
Från EI</t>
        </r>
      </text>
    </comment>
    <comment ref="Z72" authorId="26" shapeId="0" xr:uid="{0779C6F2-043E-4636-9701-0A06C9CC4DD8}">
      <text>
        <t>[Threaded comment]
Your version of Excel allows you to read this threaded comment; however, any edits to it will get removed if the file is opened in a newer version of Excel. Learn more: https://go.microsoft.com/fwlink/?linkid=870924
Comment:
    från EI</t>
      </text>
    </comment>
    <comment ref="V73" authorId="27" shapeId="0" xr:uid="{2B9FF4CF-605E-4811-ADE5-2FD9ED7DACD0}">
      <text>
        <t>[Threaded comment]
Your version of Excel allows you to read this threaded comment; however, any edits to it will get removed if the file is opened in a newer version of Excel. Learn more: https://go.microsoft.com/fwlink/?linkid=870924
Comment:
    Från EI bakåt</t>
      </text>
    </comment>
    <comment ref="X73" authorId="3" shapeId="0" xr:uid="{D041C8EA-62A9-4531-ABA7-D78F59001466}">
      <text>
        <r>
          <rPr>
            <b/>
            <sz val="9"/>
            <color indexed="81"/>
            <rFont val="Tahoma"/>
            <family val="2"/>
          </rPr>
          <t>Nicole Burstein:</t>
        </r>
        <r>
          <rPr>
            <sz val="9"/>
            <color indexed="81"/>
            <rFont val="Tahoma"/>
            <family val="2"/>
          </rPr>
          <t xml:space="preserve">
Från EI</t>
        </r>
      </text>
    </comment>
    <comment ref="Y73" authorId="28" shapeId="0" xr:uid="{D6286416-FE85-4EE4-82F7-D44233B90ACF}">
      <text>
        <t>[Threaded comment]
Your version of Excel allows you to read this threaded comment; however, any edits to it will get removed if the file is opened in a newer version of Excel. Learn more: https://go.microsoft.com/fwlink/?linkid=870924
Comment:
    Från EI</t>
      </text>
    </comment>
    <comment ref="Z73" authorId="29" shapeId="0" xr:uid="{23F02CD5-E1F1-4B65-B435-60CB882CAEF5}">
      <text>
        <t>[Threaded comment]
Your version of Excel allows you to read this threaded comment; however, any edits to it will get removed if the file is opened in a newer version of Excel. Learn more: https://go.microsoft.com/fwlink/?linkid=870924
Comment:
    från EI</t>
      </text>
    </comment>
    <comment ref="AA73" authorId="30" shapeId="0" xr:uid="{8EE5C740-A17B-4AAA-A1AD-FFECBFA42E40}">
      <text>
        <t>[Threaded comment]
Your version of Excel allows you to read this threaded comment; however, any edits to it will get removed if the file is opened in a newer version of Excel. Learn more: https://go.microsoft.com/fwlink/?linkid=870924
Comment:
    Summa av två företag från EI</t>
      </text>
    </comment>
    <comment ref="A77" authorId="3" shapeId="0" xr:uid="{448CB3D0-D89E-43AE-9924-8D307786F61C}">
      <text>
        <r>
          <rPr>
            <b/>
            <sz val="9"/>
            <color indexed="81"/>
            <rFont val="Tahoma"/>
            <family val="2"/>
          </rPr>
          <t>Nicole Burstein:</t>
        </r>
        <r>
          <rPr>
            <sz val="9"/>
            <color indexed="81"/>
            <rFont val="Tahoma"/>
            <family val="2"/>
          </rPr>
          <t xml:space="preserve">
Eslöv-Lund-Lomma m fl
från 2010
</t>
        </r>
      </text>
    </comment>
    <comment ref="S82" authorId="3" shapeId="0" xr:uid="{20684D00-958A-4975-AB85-D4FBEDAA5288}">
      <text>
        <r>
          <rPr>
            <b/>
            <sz val="9"/>
            <color indexed="81"/>
            <rFont val="Tahoma"/>
            <family val="2"/>
          </rPr>
          <t>Nicole Burstein:</t>
        </r>
        <r>
          <rPr>
            <sz val="9"/>
            <color indexed="81"/>
            <rFont val="Tahoma"/>
            <family val="2"/>
          </rPr>
          <t xml:space="preserve">
EI</t>
        </r>
      </text>
    </comment>
    <comment ref="A84" authorId="31" shapeId="0" xr:uid="{20647410-55E4-424D-99E2-5218A8D9D5C8}">
      <text>
        <t>[Threaded comment]
Your version of Excel allows you to read this threaded comment; however, any edits to it will get removed if the file is opened in a newer version of Excel. Learn more: https://go.microsoft.com/fwlink/?linkid=870924
Comment:
    Rindi</t>
      </text>
    </comment>
    <comment ref="W84" authorId="32" shapeId="0" xr:uid="{8A387911-1397-48EA-9FDF-3192C2E738FE}">
      <text>
        <t>[Threaded comment]
Your version of Excel allows you to read this threaded comment; however, any edits to it will get removed if the file is opened in a newer version of Excel. Learn more: https://go.microsoft.com/fwlink/?linkid=870924
Comment:
    Från EI</t>
      </text>
    </comment>
    <comment ref="X84" authorId="3" shapeId="0" xr:uid="{18173F50-62BA-4EDF-AC46-8E1328C9C0A2}">
      <text>
        <r>
          <rPr>
            <b/>
            <sz val="9"/>
            <color indexed="81"/>
            <rFont val="Tahoma"/>
            <family val="2"/>
          </rPr>
          <t>Nicole Burstein:</t>
        </r>
        <r>
          <rPr>
            <sz val="9"/>
            <color indexed="81"/>
            <rFont val="Tahoma"/>
            <family val="2"/>
          </rPr>
          <t xml:space="preserve">
Från EI
</t>
        </r>
      </text>
    </comment>
    <comment ref="Y84" authorId="3" shapeId="0" xr:uid="{8788D30D-16B8-421E-A69E-BECA95C5D892}">
      <text>
        <r>
          <rPr>
            <b/>
            <sz val="9"/>
            <color indexed="81"/>
            <rFont val="Tahoma"/>
            <family val="2"/>
          </rPr>
          <t>Nicole Burstein:</t>
        </r>
        <r>
          <rPr>
            <sz val="9"/>
            <color indexed="81"/>
            <rFont val="Tahoma"/>
            <family val="2"/>
          </rPr>
          <t xml:space="preserve">
Från EI</t>
        </r>
      </text>
    </comment>
    <comment ref="Z84" authorId="33" shapeId="0" xr:uid="{BFD17C73-2A8D-472A-9F0E-B60DE39927A6}">
      <text>
        <t>[Threaded comment]
Your version of Excel allows you to read this threaded comment; however, any edits to it will get removed if the file is opened in a newer version of Excel. Learn more: https://go.microsoft.com/fwlink/?linkid=870924
Comment:
    Från EI</t>
      </text>
    </comment>
    <comment ref="A89" authorId="34" shapeId="0" xr:uid="{67090C24-57EA-404A-B0FE-582C995427DE}">
      <text>
        <t>[Threaded comment]
Your version of Excel allows you to read this threaded comment; however, any edits to it will get removed if the file is opened in a newer version of Excel. Learn more: https://go.microsoft.com/fwlink/?linkid=870924
Comment:
    Rindi</t>
      </text>
    </comment>
    <comment ref="R89" authorId="3" shapeId="0" xr:uid="{4A2F5D19-CAAA-4499-929C-79489E254FD0}">
      <text>
        <r>
          <rPr>
            <b/>
            <sz val="9"/>
            <color indexed="81"/>
            <rFont val="Tahoma"/>
            <family val="2"/>
          </rPr>
          <t>Nicole Burstein:</t>
        </r>
        <r>
          <rPr>
            <sz val="9"/>
            <color indexed="81"/>
            <rFont val="Tahoma"/>
            <family val="2"/>
          </rPr>
          <t xml:space="preserve">
EI</t>
        </r>
      </text>
    </comment>
    <comment ref="X89" authorId="3" shapeId="0" xr:uid="{66D2BCF5-F23A-4FF6-8231-A69E87313A70}">
      <text>
        <r>
          <rPr>
            <b/>
            <sz val="9"/>
            <color indexed="81"/>
            <rFont val="Tahoma"/>
            <family val="2"/>
          </rPr>
          <t>Nicole Burstein:</t>
        </r>
        <r>
          <rPr>
            <sz val="9"/>
            <color indexed="81"/>
            <rFont val="Tahoma"/>
            <family val="2"/>
          </rPr>
          <t xml:space="preserve">
Från EI
</t>
        </r>
      </text>
    </comment>
    <comment ref="Z89" authorId="35" shapeId="0" xr:uid="{169B097F-A7A3-434B-AF2D-FD6F9DD81745}">
      <text>
        <t>[Threaded comment]
Your version of Excel allows you to read this threaded comment; however, any edits to it will get removed if the file is opened in a newer version of Excel. Learn more: https://go.microsoft.com/fwlink/?linkid=870924
Comment:
    från EI</t>
      </text>
    </comment>
    <comment ref="A90" authorId="36" shapeId="0" xr:uid="{3082B5C4-597D-4EA8-A2D1-0AD656AA2352}">
      <text>
        <t>[Threaded comment]
Your version of Excel allows you to read this threaded comment; however, any edits to it will get removed if the file is opened in a newer version of Excel. Learn more: https://go.microsoft.com/fwlink/?linkid=870924
Comment:
    Solör</t>
      </text>
    </comment>
    <comment ref="X90" authorId="37" shapeId="0" xr:uid="{020BB15A-4A95-4624-881F-57657C71FC15}">
      <text>
        <t>[Threaded comment]
Your version of Excel allows you to read this threaded comment; however, any edits to it will get removed if the file is opened in a newer version of Excel. Learn more: https://go.microsoft.com/fwlink/?linkid=870924
Comment:
    Från EI tom 2014</t>
      </text>
    </comment>
    <comment ref="S91" authorId="3" shapeId="0" xr:uid="{BD3D45DB-5A54-4FCA-A83A-A168445D58AE}">
      <text>
        <r>
          <rPr>
            <b/>
            <sz val="9"/>
            <color indexed="81"/>
            <rFont val="Tahoma"/>
            <family val="2"/>
          </rPr>
          <t>Nicole Burstein:</t>
        </r>
        <r>
          <rPr>
            <sz val="9"/>
            <color indexed="81"/>
            <rFont val="Tahoma"/>
            <family val="2"/>
          </rPr>
          <t xml:space="preserve">
EI</t>
        </r>
      </text>
    </comment>
    <comment ref="A93" authorId="38" shapeId="0" xr:uid="{D23AA891-CC2D-4FF8-8650-5678407B6288}">
      <text>
        <t>[Threaded comment]
Your version of Excel allows you to read this threaded comment; however, any edits to it will get removed if the file is opened in a newer version of Excel. Learn more: https://go.microsoft.com/fwlink/?linkid=870924
Comment:
    Bionär</t>
      </text>
    </comment>
    <comment ref="P93" authorId="3" shapeId="0" xr:uid="{A2444A3F-C6F4-46C6-9CB0-3C5BEAA37207}">
      <text>
        <r>
          <rPr>
            <b/>
            <sz val="9"/>
            <color indexed="81"/>
            <rFont val="Tahoma"/>
            <family val="2"/>
          </rPr>
          <t>Nicole Burstein:</t>
        </r>
        <r>
          <rPr>
            <sz val="9"/>
            <color indexed="81"/>
            <rFont val="Tahoma"/>
            <family val="2"/>
          </rPr>
          <t xml:space="preserve">
EI</t>
        </r>
      </text>
    </comment>
    <comment ref="X93" authorId="3" shapeId="0" xr:uid="{69290C2E-193E-4D2B-9E1E-DD9CBDE55DC8}">
      <text>
        <r>
          <rPr>
            <b/>
            <sz val="9"/>
            <color indexed="81"/>
            <rFont val="Tahoma"/>
            <family val="2"/>
          </rPr>
          <t>Nicole Burstein:</t>
        </r>
        <r>
          <rPr>
            <sz val="9"/>
            <color indexed="81"/>
            <rFont val="Tahoma"/>
            <family val="2"/>
          </rPr>
          <t xml:space="preserve">
Från EI</t>
        </r>
      </text>
    </comment>
    <comment ref="Z93" authorId="39" shapeId="0" xr:uid="{B22E8790-7389-4B12-98B4-08D90315FCE4}">
      <text>
        <t>[Threaded comment]
Your version of Excel allows you to read this threaded comment; however, any edits to it will get removed if the file is opened in a newer version of Excel. Learn more: https://go.microsoft.com/fwlink/?linkid=870924
Comment:
    från EI</t>
      </text>
    </comment>
    <comment ref="U96" authorId="40" shapeId="0" xr:uid="{CE34F5B1-6271-4452-8F64-CFF3B37090B4}">
      <text>
        <t>[Threaded comment]
Your version of Excel allows you to read this threaded comment; however, any edits to it will get removed if the file is opened in a newer version of Excel. Learn more: https://go.microsoft.com/fwlink/?linkid=870924
Comment:
    Från EI</t>
      </text>
    </comment>
    <comment ref="A97" authorId="41" shapeId="0" xr:uid="{CDF2ED1F-BB00-4E05-B699-A44D07C6AF4A}">
      <text>
        <t>[Threaded comment]
Your version of Excel allows you to read this threaded comment; however, any edits to it will get removed if the file is opened in a newer version of Excel. Learn more: https://go.microsoft.com/fwlink/?linkid=870924
Comment:
    Räknas till borås-nätet sedan 2019</t>
      </text>
    </comment>
    <comment ref="P97" authorId="3" shapeId="0" xr:uid="{B75FFDD4-4DF5-409B-B229-AA7240BB982F}">
      <text>
        <r>
          <rPr>
            <b/>
            <sz val="9"/>
            <color indexed="81"/>
            <rFont val="Tahoma"/>
            <family val="2"/>
          </rPr>
          <t>Nicole Burstein:</t>
        </r>
        <r>
          <rPr>
            <sz val="9"/>
            <color indexed="81"/>
            <rFont val="Tahoma"/>
            <family val="2"/>
          </rPr>
          <t xml:space="preserve">
Tidigare 45,3</t>
        </r>
      </text>
    </comment>
    <comment ref="A98" authorId="3" shapeId="0" xr:uid="{56579E9E-33E8-4A12-9DE8-37C5615FBA1D}">
      <text>
        <r>
          <rPr>
            <b/>
            <sz val="9"/>
            <color indexed="81"/>
            <rFont val="Tahoma"/>
            <family val="2"/>
          </rPr>
          <t xml:space="preserve">Nicole Burstein:
</t>
        </r>
        <r>
          <rPr>
            <sz val="9"/>
            <color indexed="81"/>
            <rFont val="Tahoma"/>
            <family val="2"/>
          </rPr>
          <t>Assberg - Fritslanäten från 2017</t>
        </r>
      </text>
    </comment>
    <comment ref="T99" authorId="3" shapeId="0" xr:uid="{F4BC8890-E089-4D3D-96BC-8B73671E09EC}">
      <text>
        <r>
          <rPr>
            <b/>
            <sz val="9"/>
            <color indexed="81"/>
            <rFont val="Tahoma"/>
            <family val="2"/>
          </rPr>
          <t>Nicole Burstein:</t>
        </r>
        <r>
          <rPr>
            <sz val="9"/>
            <color indexed="81"/>
            <rFont val="Tahoma"/>
            <family val="2"/>
          </rPr>
          <t xml:space="preserve">
Från EI</t>
        </r>
      </text>
    </comment>
    <comment ref="S101" authorId="42" shapeId="0" xr:uid="{D4CC7327-0E64-46D3-B1CA-77CBFDFACAE0}">
      <text>
        <t>[Threaded comment]
Your version of Excel allows you to read this threaded comment; however, any edits to it will get removed if the file is opened in a newer version of Excel. Learn more: https://go.microsoft.com/fwlink/?linkid=870924
Comment:
    Från EI</t>
      </text>
    </comment>
    <comment ref="U102" authorId="43" shapeId="0" xr:uid="{C6E82355-5F76-43FA-9DE8-AC4433443B21}">
      <text>
        <t>[Threaded comment]
Your version of Excel allows you to read this threaded comment; however, any edits to it will get removed if the file is opened in a newer version of Excel. Learn more: https://go.microsoft.com/fwlink/?linkid=870924
Comment:
    Från EI</t>
      </text>
    </comment>
    <comment ref="R107" authorId="44" shapeId="0" xr:uid="{09E0AE8E-2C69-4D1F-8F98-737535BC26F1}">
      <text>
        <t>[Threaded comment]
Your version of Excel allows you to read this threaded comment; however, any edits to it will get removed if the file is opened in a newer version of Excel. Learn more: https://go.microsoft.com/fwlink/?linkid=870924
Comment:
    Schablonmässigt fördelad bakåt enligt % i KVLN 2018 mot total för Gimo Östhammar, österbybruk från  EI.</t>
      </text>
    </comment>
    <comment ref="W107" authorId="45" shapeId="0" xr:uid="{8DD8F0AA-1413-48CA-BFC6-46407BDACDBD}">
      <text>
        <t>[Threaded comment]
Your version of Excel allows you to read this threaded comment; however, any edits to it will get removed if the file is opened in a newer version of Excel. Learn more: https://go.microsoft.com/fwlink/?linkid=870924
Comment:
    Schablonmässigt fördelad bakåt enligt % i KVLN 2018 mot total för Gimo Östhammar, österbybruk från  EI.</t>
      </text>
    </comment>
    <comment ref="A108" authorId="3" shapeId="0" xr:uid="{77AC2F41-38DA-49A6-8F85-7178549DBC6B}">
      <text>
        <r>
          <rPr>
            <b/>
            <sz val="9"/>
            <color indexed="81"/>
            <rFont val="Tahoma"/>
            <family val="2"/>
          </rPr>
          <t>Nicole Burstein:</t>
        </r>
        <r>
          <rPr>
            <sz val="9"/>
            <color indexed="81"/>
            <rFont val="Tahoma"/>
            <family val="2"/>
          </rPr>
          <t xml:space="preserve">
Gisle tom. 2012</t>
        </r>
      </text>
    </comment>
    <comment ref="A109" authorId="3" shapeId="0" xr:uid="{38DB6D18-746F-4C21-A4A0-29A360644117}">
      <text>
        <r>
          <rPr>
            <b/>
            <sz val="9"/>
            <color indexed="81"/>
            <rFont val="Tahoma"/>
            <family val="2"/>
          </rPr>
          <t>Nicole Burstein:</t>
        </r>
        <r>
          <rPr>
            <sz val="9"/>
            <color indexed="81"/>
            <rFont val="Tahoma"/>
            <family val="2"/>
          </rPr>
          <t xml:space="preserve">
Gislaved från 2013</t>
        </r>
      </text>
    </comment>
    <comment ref="R110" authorId="3" shapeId="0" xr:uid="{A80CF74F-02BB-4D6F-962C-E44238CA90A6}">
      <text>
        <r>
          <rPr>
            <b/>
            <sz val="9"/>
            <color indexed="81"/>
            <rFont val="Tahoma"/>
            <family val="2"/>
          </rPr>
          <t>Nicole Burstein:</t>
        </r>
        <r>
          <rPr>
            <sz val="9"/>
            <color indexed="81"/>
            <rFont val="Tahoma"/>
            <family val="2"/>
          </rPr>
          <t xml:space="preserve">
EI</t>
        </r>
      </text>
    </comment>
    <comment ref="X110" authorId="3" shapeId="0" xr:uid="{9600D96F-26CD-4308-B127-78562A04C47A}">
      <text>
        <r>
          <rPr>
            <b/>
            <sz val="9"/>
            <color indexed="81"/>
            <rFont val="Tahoma"/>
            <family val="2"/>
          </rPr>
          <t>Nicole Burstein:</t>
        </r>
        <r>
          <rPr>
            <sz val="9"/>
            <color indexed="81"/>
            <rFont val="Tahoma"/>
            <family val="2"/>
          </rPr>
          <t xml:space="preserve">
Från EI (Rindi)
</t>
        </r>
      </text>
    </comment>
    <comment ref="Z110" authorId="46" shapeId="0" xr:uid="{61FE5898-29FA-40C9-AA0A-FD728C7E54B4}">
      <text>
        <t>[Threaded comment]
Your version of Excel allows you to read this threaded comment; however, any edits to it will get removed if the file is opened in a newer version of Excel. Learn more: https://go.microsoft.com/fwlink/?linkid=870924
Comment:
    från EI</t>
      </text>
    </comment>
    <comment ref="Q113" authorId="3" shapeId="0" xr:uid="{6FE23ECD-437F-42F2-BAA3-805D3F3B4964}">
      <text>
        <r>
          <rPr>
            <b/>
            <sz val="9"/>
            <color indexed="81"/>
            <rFont val="Tahoma"/>
            <family val="2"/>
          </rPr>
          <t>Nicole Burstein:</t>
        </r>
        <r>
          <rPr>
            <sz val="9"/>
            <color indexed="81"/>
            <rFont val="Tahoma"/>
            <family val="2"/>
          </rPr>
          <t xml:space="preserve">
EI</t>
        </r>
      </text>
    </comment>
    <comment ref="X123" authorId="47" shapeId="0" xr:uid="{A1578D7A-5158-4353-967F-8D25B0CB9691}">
      <text>
        <t>[Threaded comment]
Your version of Excel allows you to read this threaded comment; however, any edits to it will get removed if the file is opened in a newer version of Excel. Learn more: https://go.microsoft.com/fwlink/?linkid=870924
Comment:
    Från EI</t>
      </text>
    </comment>
    <comment ref="A126" authorId="48" shapeId="0" xr:uid="{99ED7776-45AD-4BE4-A960-6717467E348A}">
      <text>
        <t>[Threaded comment]
Your version of Excel allows you to read this threaded comment; however, any edits to it will get removed if the file is opened in a newer version of Excel. Learn more: https://go.microsoft.com/fwlink/?linkid=870924
Comment:
    Inkluderade även Partille tom 2017 (inkluderat)</t>
      </text>
    </comment>
    <comment ref="P131" authorId="10" shapeId="0" xr:uid="{00000000-0006-0000-0600-00000C000000}">
      <text>
        <r>
          <rPr>
            <b/>
            <sz val="8"/>
            <color indexed="81"/>
            <rFont val="Tahoma"/>
            <family val="2"/>
          </rPr>
          <t>Sonya Trad:</t>
        </r>
        <r>
          <rPr>
            <sz val="8"/>
            <color indexed="81"/>
            <rFont val="Tahoma"/>
            <family val="2"/>
          </rPr>
          <t xml:space="preserve">
tagit från EI</t>
        </r>
      </text>
    </comment>
    <comment ref="A134" authorId="49" shapeId="0" xr:uid="{F765A839-072A-4E91-8EF8-73E4D1CD0E70}">
      <text>
        <t>[Threaded comment]
Your version of Excel allows you to read this threaded comment; however, any edits to it will get removed if the file is opened in a newer version of Excel. Learn more: https://go.microsoft.com/fwlink/?linkid=870924
Comment:
    RAGUNDA</t>
      </text>
    </comment>
    <comment ref="Y134" authorId="50" shapeId="0" xr:uid="{DB5BCDAD-1DDC-4D1B-877E-0F06568AAC44}">
      <text>
        <t>[Threaded comment]
Your version of Excel allows you to read this threaded comment; however, any edits to it will get removed if the file is opened in a newer version of Excel. Learn more: https://go.microsoft.com/fwlink/?linkid=870924
Comment:
    Från EI</t>
      </text>
    </comment>
    <comment ref="AB134" authorId="51" shapeId="0" xr:uid="{FE1CB93D-63BB-4A71-A265-EB304565117F}">
      <text>
        <r>
          <rPr>
            <b/>
            <sz val="9"/>
            <color indexed="81"/>
            <rFont val="Tahoma"/>
            <family val="2"/>
          </rPr>
          <t>Felicia Östby:</t>
        </r>
        <r>
          <rPr>
            <sz val="9"/>
            <color indexed="81"/>
            <rFont val="Tahoma"/>
            <family val="2"/>
          </rPr>
          <t xml:space="preserve">
 EI
</t>
        </r>
      </text>
    </comment>
    <comment ref="W135" authorId="3" shapeId="0" xr:uid="{8CA67896-9F0C-4C81-8795-89F13ABCCEF2}">
      <text>
        <r>
          <rPr>
            <b/>
            <sz val="9"/>
            <color indexed="81"/>
            <rFont val="Tahoma"/>
            <family val="2"/>
          </rPr>
          <t>Nicole Burstein:</t>
        </r>
        <r>
          <rPr>
            <sz val="9"/>
            <color indexed="81"/>
            <rFont val="Tahoma"/>
            <family val="2"/>
          </rPr>
          <t xml:space="preserve">
Från EI</t>
        </r>
      </text>
    </comment>
    <comment ref="X135" authorId="52" shapeId="0" xr:uid="{0201DB78-0A27-47DD-8F17-1068A7D9C657}">
      <text>
        <t>[Threaded comment]
Your version of Excel allows you to read this threaded comment; however, any edits to it will get removed if the file is opened in a newer version of Excel. Learn more: https://go.microsoft.com/fwlink/?linkid=870924
Comment:
    Från EI</t>
      </text>
    </comment>
    <comment ref="A136" authorId="10" shapeId="0" xr:uid="{00000000-0006-0000-0600-00000D000000}">
      <text>
        <r>
          <rPr>
            <b/>
            <sz val="8"/>
            <color indexed="81"/>
            <rFont val="Tahoma"/>
            <family val="2"/>
          </rPr>
          <t>Sonya Trad:</t>
        </r>
        <r>
          <rPr>
            <sz val="8"/>
            <color indexed="81"/>
            <rFont val="Tahoma"/>
            <family val="2"/>
          </rPr>
          <t xml:space="preserve">
inkluderarTärnsjö, Östervåla, Heby sjukhem, Tegelmästaren, Horrsta, Morgongåva, Starfors, ej ledningsbundna. </t>
        </r>
      </text>
    </comment>
    <comment ref="U137" authorId="3" shapeId="0" xr:uid="{10AF19A4-973E-4758-9401-0E43B557A206}">
      <text>
        <r>
          <rPr>
            <b/>
            <sz val="9"/>
            <color indexed="81"/>
            <rFont val="Tahoma"/>
            <family val="2"/>
          </rPr>
          <t>Nicole Burstein:</t>
        </r>
        <r>
          <rPr>
            <sz val="9"/>
            <color indexed="81"/>
            <rFont val="Tahoma"/>
            <family val="2"/>
          </rPr>
          <t xml:space="preserve">
EI</t>
        </r>
      </text>
    </comment>
    <comment ref="Q138" authorId="3" shapeId="0" xr:uid="{1265D798-E4A0-4C00-828A-539E6CC7F246}">
      <text>
        <r>
          <rPr>
            <b/>
            <sz val="9"/>
            <color indexed="81"/>
            <rFont val="Tahoma"/>
            <family val="2"/>
          </rPr>
          <t>Nicole Burstein:</t>
        </r>
        <r>
          <rPr>
            <sz val="9"/>
            <color indexed="81"/>
            <rFont val="Tahoma"/>
            <family val="2"/>
          </rPr>
          <t xml:space="preserve">
EI</t>
        </r>
      </text>
    </comment>
    <comment ref="X138" authorId="3" shapeId="0" xr:uid="{83C096C0-B1A9-4196-8411-FA1539B18CF1}">
      <text>
        <r>
          <rPr>
            <b/>
            <sz val="9"/>
            <color indexed="81"/>
            <rFont val="Tahoma"/>
            <family val="2"/>
          </rPr>
          <t>Nicole Burstein:</t>
        </r>
        <r>
          <rPr>
            <sz val="9"/>
            <color indexed="81"/>
            <rFont val="Tahoma"/>
            <family val="2"/>
          </rPr>
          <t xml:space="preserve">
Från EI
</t>
        </r>
      </text>
    </comment>
    <comment ref="A139" authorId="53" shapeId="0" xr:uid="{690B60CB-56F1-400A-B471-D3A37CBD7258}">
      <text>
        <t>[Threaded comment]
Your version of Excel allows you to read this threaded comment; however, any edits to it will get removed if the file is opened in a newer version of Excel. Learn more: https://go.microsoft.com/fwlink/?linkid=870924
Comment:
    Bionär</t>
      </text>
    </comment>
    <comment ref="X139" authorId="3" shapeId="0" xr:uid="{CEA44383-5F28-4FCB-93FA-14F08A39A63C}">
      <text>
        <r>
          <rPr>
            <b/>
            <sz val="9"/>
            <color indexed="81"/>
            <rFont val="Tahoma"/>
            <family val="2"/>
          </rPr>
          <t>Nicole Burstein:</t>
        </r>
        <r>
          <rPr>
            <sz val="9"/>
            <color indexed="81"/>
            <rFont val="Tahoma"/>
            <family val="2"/>
          </rPr>
          <t xml:space="preserve">
Från EI (Bionär)
</t>
        </r>
      </text>
    </comment>
    <comment ref="Z139" authorId="54" shapeId="0" xr:uid="{B3CDC5D3-F3D1-47DB-9A6D-CB8ED7E7D8D8}">
      <text>
        <t>[Threaded comment]
Your version of Excel allows you to read this threaded comment; however, any edits to it will get removed if the file is opened in a newer version of Excel. Learn more: https://go.microsoft.com/fwlink/?linkid=870924
Comment:
    från EI</t>
      </text>
    </comment>
    <comment ref="V143" authorId="55" shapeId="0" xr:uid="{2839475C-CC54-44A2-A5E5-284C221EAA16}">
      <text>
        <t>[Threaded comment]
Your version of Excel allows you to read this threaded comment; however, any edits to it will get removed if the file is opened in a newer version of Excel. Learn more: https://go.microsoft.com/fwlink/?linkid=870924
Comment:
    Från EI bakåt</t>
      </text>
    </comment>
    <comment ref="X143" authorId="3" shapeId="0" xr:uid="{4278890A-0C98-42C5-A701-28393482023F}">
      <text>
        <r>
          <rPr>
            <b/>
            <sz val="9"/>
            <color indexed="81"/>
            <rFont val="Tahoma"/>
            <family val="2"/>
          </rPr>
          <t>Nicole Burstein:</t>
        </r>
        <r>
          <rPr>
            <sz val="9"/>
            <color indexed="81"/>
            <rFont val="Tahoma"/>
            <family val="2"/>
          </rPr>
          <t xml:space="preserve">
Från EI</t>
        </r>
      </text>
    </comment>
    <comment ref="Z143" authorId="56" shapeId="0" xr:uid="{9152275D-F04B-4CC4-BA7D-A20A62A1B358}">
      <text>
        <t>[Threaded comment]
Your version of Excel allows you to read this threaded comment; however, any edits to it will get removed if the file is opened in a newer version of Excel. Learn more: https://go.microsoft.com/fwlink/?linkid=870924
Comment:
    Från EI</t>
      </text>
    </comment>
    <comment ref="W144" authorId="57" shapeId="0" xr:uid="{AF8AD439-7D93-4865-9AB6-B040C515966D}">
      <text>
        <t>[Threaded comment]
Your version of Excel allows you to read this threaded comment; however, any edits to it will get removed if the file is opened in a newer version of Excel. Learn more: https://go.microsoft.com/fwlink/?linkid=870924
Comment:
    Från EI bakåt</t>
      </text>
    </comment>
    <comment ref="P149" authorId="10" shapeId="0" xr:uid="{00000000-0006-0000-0600-00000E000000}">
      <text>
        <r>
          <rPr>
            <b/>
            <sz val="8"/>
            <color indexed="81"/>
            <rFont val="Tahoma"/>
            <family val="2"/>
          </rPr>
          <t>Sonya Trad:</t>
        </r>
        <r>
          <rPr>
            <sz val="8"/>
            <color indexed="81"/>
            <rFont val="Tahoma"/>
            <family val="2"/>
          </rPr>
          <t xml:space="preserve">
decimalfel</t>
        </r>
      </text>
    </comment>
    <comment ref="X151" authorId="58" shapeId="0" xr:uid="{887CB715-8767-49A1-88BC-8108DD056632}">
      <text>
        <t>[Threaded comment]
Your version of Excel allows you to read this threaded comment; however, any edits to it will get removed if the file is opened in a newer version of Excel. Learn more: https://go.microsoft.com/fwlink/?linkid=870924
Comment:
    Från ei tom 2013</t>
      </text>
    </comment>
    <comment ref="Z151" authorId="59" shapeId="0" xr:uid="{E9973DC7-96A6-4282-826B-19C12A875C03}">
      <text>
        <t>[Threaded comment]
Your version of Excel allows you to read this threaded comment; however, any edits to it will get removed if the file is opened in a newer version of Excel. Learn more: https://go.microsoft.com/fwlink/?linkid=870924
Comment:
    från EI</t>
      </text>
    </comment>
    <comment ref="A154" authorId="60" shapeId="0" xr:uid="{525ED0D1-402D-49CE-9958-49F13560B77D}">
      <text>
        <t>[Threaded comment]
Your version of Excel allows you to read this threaded comment; however, any edits to it will get removed if the file is opened in a newer version of Excel. Learn more: https://go.microsoft.com/fwlink/?linkid=870924
Comment:
    Jämtlands Värme</t>
      </text>
    </comment>
    <comment ref="X154" authorId="61" shapeId="0" xr:uid="{8DA59AAE-D37A-450B-A99D-CB698375A777}">
      <text>
        <t>[Threaded comment]
Your version of Excel allows you to read this threaded comment; however, any edits to it will get removed if the file is opened in a newer version of Excel. Learn more: https://go.microsoft.com/fwlink/?linkid=870924
Comment:
    Från EI bakåt</t>
      </text>
    </comment>
    <comment ref="W157" authorId="62" shapeId="0" xr:uid="{BC7A5FF9-DF00-43E5-B637-91637F5F153D}">
      <text>
        <t>[Threaded comment]
Your version of Excel allows you to read this threaded comment; however, any edits to it will get removed if the file is opened in a newer version of Excel. Learn more: https://go.microsoft.com/fwlink/?linkid=870924
Comment:
    Från EI bakåt tom. 2012</t>
      </text>
    </comment>
    <comment ref="X157" authorId="3" shapeId="0" xr:uid="{9D6581CF-9CFE-4266-8DC2-EE79CAA476F9}">
      <text>
        <r>
          <rPr>
            <b/>
            <sz val="9"/>
            <color indexed="81"/>
            <rFont val="Tahoma"/>
            <family val="2"/>
          </rPr>
          <t>Nicole Burstein:</t>
        </r>
        <r>
          <rPr>
            <sz val="9"/>
            <color indexed="81"/>
            <rFont val="Tahoma"/>
            <family val="2"/>
          </rPr>
          <t xml:space="preserve">
Från EI</t>
        </r>
      </text>
    </comment>
    <comment ref="L158" authorId="3" shapeId="0" xr:uid="{F7C3A739-875C-49B7-8858-F9C894602368}">
      <text>
        <r>
          <rPr>
            <b/>
            <sz val="9"/>
            <color indexed="81"/>
            <rFont val="Tahoma"/>
            <family val="2"/>
          </rPr>
          <t>Nicole Burstein:</t>
        </r>
        <r>
          <rPr>
            <sz val="9"/>
            <color indexed="81"/>
            <rFont val="Tahoma"/>
            <family val="2"/>
          </rPr>
          <t xml:space="preserve">
Uppenbart fel, tidigare 452,76</t>
        </r>
      </text>
    </comment>
    <comment ref="R158" authorId="3" shapeId="0" xr:uid="{BF78F1D5-AA95-4940-847D-D84D661DEAB8}">
      <text>
        <r>
          <rPr>
            <b/>
            <sz val="9"/>
            <color indexed="81"/>
            <rFont val="Tahoma"/>
            <family val="2"/>
          </rPr>
          <t>Nicole Burstein:</t>
        </r>
        <r>
          <rPr>
            <sz val="9"/>
            <color indexed="81"/>
            <rFont val="Tahoma"/>
            <family val="2"/>
          </rPr>
          <t xml:space="preserve">
EI</t>
        </r>
      </text>
    </comment>
    <comment ref="A159" authorId="63" shapeId="0" xr:uid="{FF9C3FE0-95FC-430F-884F-A32C194C00C0}">
      <text>
        <t>[Threaded comment]
Your version of Excel allows you to read this threaded comment; however, any edits to it will get removed if the file is opened in a newer version of Excel. Learn more: https://go.microsoft.com/fwlink/?linkid=870924
Comment:
    inkl. kvarnberg from. 2018</t>
      </text>
    </comment>
    <comment ref="X173" authorId="3" shapeId="0" xr:uid="{FCCAC994-C93A-482F-AE9B-FBDD36A6490A}">
      <text>
        <r>
          <rPr>
            <b/>
            <sz val="9"/>
            <color indexed="81"/>
            <rFont val="Tahoma"/>
            <family val="2"/>
          </rPr>
          <t>Nicole Burstein:</t>
        </r>
        <r>
          <rPr>
            <sz val="9"/>
            <color indexed="81"/>
            <rFont val="Tahoma"/>
            <family val="2"/>
          </rPr>
          <t xml:space="preserve">
Från EI (RINDI)
</t>
        </r>
      </text>
    </comment>
    <comment ref="Z173" authorId="64" shapeId="0" xr:uid="{18E1F416-0915-4A83-B557-1CD42ADFD5DA}">
      <text>
        <t>[Threaded comment]
Your version of Excel allows you to read this threaded comment; however, any edits to it will get removed if the file is opened in a newer version of Excel. Learn more: https://go.microsoft.com/fwlink/?linkid=870924
Comment:
    från EI</t>
      </text>
    </comment>
    <comment ref="P174" authorId="10" shapeId="0" xr:uid="{00000000-0006-0000-0600-00000F000000}">
      <text>
        <r>
          <rPr>
            <b/>
            <sz val="8"/>
            <color indexed="81"/>
            <rFont val="Tahoma"/>
            <family val="2"/>
          </rPr>
          <t>Sonya Trad:</t>
        </r>
        <r>
          <rPr>
            <sz val="8"/>
            <color indexed="81"/>
            <rFont val="Tahoma"/>
            <family val="2"/>
          </rPr>
          <t xml:space="preserve">
decimalfel
</t>
        </r>
      </text>
    </comment>
    <comment ref="X175" authorId="3" shapeId="0" xr:uid="{F71E71FC-A03B-40F5-8EDC-003A83B8A376}">
      <text>
        <r>
          <rPr>
            <b/>
            <sz val="9"/>
            <color indexed="81"/>
            <rFont val="Tahoma"/>
            <family val="2"/>
          </rPr>
          <t>Nicole Burstein:</t>
        </r>
        <r>
          <rPr>
            <sz val="9"/>
            <color indexed="81"/>
            <rFont val="Tahoma"/>
            <family val="2"/>
          </rPr>
          <t xml:space="preserve">
Från EI (RINDI)</t>
        </r>
      </text>
    </comment>
    <comment ref="Z175" authorId="65" shapeId="0" xr:uid="{5D211019-9AAF-4CD8-86B0-781493D67413}">
      <text>
        <t>[Threaded comment]
Your version of Excel allows you to read this threaded comment; however, any edits to it will get removed if the file is opened in a newer version of Excel. Learn more: https://go.microsoft.com/fwlink/?linkid=870924
Comment:
    från EI</t>
      </text>
    </comment>
    <comment ref="A177" authorId="10" shapeId="0" xr:uid="{00000000-0006-0000-0600-000010000000}">
      <text>
        <r>
          <rPr>
            <b/>
            <sz val="8"/>
            <color indexed="81"/>
            <rFont val="Tahoma"/>
            <family val="2"/>
          </rPr>
          <t>Sonya Trad:</t>
        </r>
        <r>
          <rPr>
            <sz val="8"/>
            <color indexed="81"/>
            <rFont val="Tahoma"/>
            <family val="2"/>
          </rPr>
          <t xml:space="preserve">
ingår i Sundsvall övriga nät</t>
        </r>
      </text>
    </comment>
    <comment ref="P181" authorId="10" shapeId="0" xr:uid="{00000000-0006-0000-0600-000011000000}">
      <text>
        <r>
          <rPr>
            <b/>
            <sz val="8"/>
            <color indexed="81"/>
            <rFont val="Tahoma"/>
            <family val="2"/>
          </rPr>
          <t>Sonya Trad:</t>
        </r>
        <r>
          <rPr>
            <sz val="8"/>
            <color indexed="81"/>
            <rFont val="Tahoma"/>
            <family val="2"/>
          </rPr>
          <t xml:space="preserve">
Deciamlfel</t>
        </r>
      </text>
    </comment>
    <comment ref="A185" authorId="66" shapeId="0" xr:uid="{B85C3933-DB58-4EB1-900B-1B09C5129427}">
      <text>
        <t>[Threaded comment]
Your version of Excel allows you to read this threaded comment; however, any edits to it will get removed if the file is opened in a newer version of Excel. Learn more: https://go.microsoft.com/fwlink/?linkid=870924
Comment:
    Sandviken energi</t>
      </text>
    </comment>
    <comment ref="T186" authorId="3" shapeId="0" xr:uid="{1161B099-2E02-4989-905A-F91A2D058A16}">
      <text>
        <r>
          <rPr>
            <b/>
            <sz val="9"/>
            <color indexed="81"/>
            <rFont val="Tahoma"/>
            <family val="2"/>
          </rPr>
          <t>Nicole Burstein:</t>
        </r>
        <r>
          <rPr>
            <sz val="9"/>
            <color indexed="81"/>
            <rFont val="Tahoma"/>
            <family val="2"/>
          </rPr>
          <t xml:space="preserve">
Framgissad såld värme i KVLN beroende på trend</t>
        </r>
      </text>
    </comment>
    <comment ref="A197" authorId="10" shapeId="0" xr:uid="{00000000-0006-0000-0600-000012000000}">
      <text>
        <r>
          <rPr>
            <b/>
            <sz val="8"/>
            <color indexed="81"/>
            <rFont val="Tahoma"/>
            <family val="2"/>
          </rPr>
          <t>Sonya Trad:</t>
        </r>
        <r>
          <rPr>
            <sz val="8"/>
            <color indexed="81"/>
            <rFont val="Tahoma"/>
            <family val="2"/>
          </rPr>
          <t xml:space="preserve">
ägs ej av rindi längre</t>
        </r>
      </text>
    </comment>
    <comment ref="P197" authorId="10" shapeId="0" xr:uid="{00000000-0006-0000-0600-000013000000}">
      <text>
        <r>
          <rPr>
            <b/>
            <sz val="8"/>
            <color indexed="81"/>
            <rFont val="Tahoma"/>
            <family val="2"/>
          </rPr>
          <t>Sonya Trad:</t>
        </r>
        <r>
          <rPr>
            <sz val="8"/>
            <color indexed="81"/>
            <rFont val="Tahoma"/>
            <family val="2"/>
          </rPr>
          <t xml:space="preserve">
Från EI</t>
        </r>
      </text>
    </comment>
    <comment ref="R198" authorId="3" shapeId="0" xr:uid="{60295760-A116-41F5-84AB-A8D6BF5D7755}">
      <text>
        <r>
          <rPr>
            <b/>
            <sz val="9"/>
            <color indexed="81"/>
            <rFont val="Tahoma"/>
            <family val="2"/>
          </rPr>
          <t>Nicole Burstein:</t>
        </r>
        <r>
          <rPr>
            <sz val="9"/>
            <color indexed="81"/>
            <rFont val="Tahoma"/>
            <family val="2"/>
          </rPr>
          <t xml:space="preserve">
EI</t>
        </r>
      </text>
    </comment>
    <comment ref="B206" authorId="51" shapeId="0" xr:uid="{47761C69-C7C3-4175-A8C5-6E27DA6A8936}">
      <text>
        <r>
          <rPr>
            <b/>
            <sz val="9"/>
            <color indexed="81"/>
            <rFont val="Tahoma"/>
            <family val="2"/>
          </rPr>
          <t>Felicia Östby:</t>
        </r>
        <r>
          <rPr>
            <sz val="9"/>
            <color indexed="81"/>
            <rFont val="Tahoma"/>
            <family val="2"/>
          </rPr>
          <t xml:space="preserve">
Ihopslaget med Vittangi sedan 2022</t>
        </r>
      </text>
    </comment>
    <comment ref="L207" authorId="3" shapeId="0" xr:uid="{5E732BC1-9167-47BF-970A-68D5069A1D72}">
      <text>
        <r>
          <rPr>
            <b/>
            <sz val="9"/>
            <color indexed="81"/>
            <rFont val="Tahoma"/>
            <family val="2"/>
          </rPr>
          <t>Nicole Burstein:</t>
        </r>
        <r>
          <rPr>
            <sz val="9"/>
            <color indexed="81"/>
            <rFont val="Tahoma"/>
            <family val="2"/>
          </rPr>
          <t xml:space="preserve">
Ägdes av VF, idag TVL</t>
        </r>
      </text>
    </comment>
    <comment ref="A212" authorId="3" shapeId="0" xr:uid="{F0724FCA-6FBF-4BA5-97BB-7D2A4DDC9952}">
      <text>
        <r>
          <rPr>
            <b/>
            <sz val="9"/>
            <color indexed="81"/>
            <rFont val="Tahoma"/>
            <family val="2"/>
          </rPr>
          <t>Nicole Burstein:</t>
        </r>
        <r>
          <rPr>
            <sz val="9"/>
            <color indexed="81"/>
            <rFont val="Tahoma"/>
            <family val="2"/>
          </rPr>
          <t xml:space="preserve">
Västra Mälardalens Energi från 2017</t>
        </r>
      </text>
    </comment>
    <comment ref="X212" authorId="67" shapeId="0" xr:uid="{9A730BC9-C8B9-47E3-A722-D704342DF12A}">
      <text>
        <t>[Threaded comment]
Your version of Excel allows you to read this threaded comment; however, any edits to it will get removed if the file is opened in a newer version of Excel. Learn more: https://go.microsoft.com/fwlink/?linkid=870924
Comment:
    VästraMälardalen rapporterat total på EI, inget i KVLN..</t>
      </text>
    </comment>
    <comment ref="A213" authorId="68" shapeId="0" xr:uid="{417C8FA4-E4F9-4FD4-9C87-FF22CDEFD545}">
      <text>
        <t>[Threaded comment]
Your version of Excel allows you to read this threaded comment; however, any edits to it will get removed if the file is opened in a newer version of Excel. Learn more: https://go.microsoft.com/fwlink/?linkid=870924
Comment:
    Ljusnarberg hos EI</t>
      </text>
    </comment>
    <comment ref="A214" authorId="10" shapeId="0" xr:uid="{00000000-0006-0000-0600-000014000000}">
      <text>
        <r>
          <rPr>
            <b/>
            <sz val="8"/>
            <color indexed="81"/>
            <rFont val="Tahoma"/>
            <family val="2"/>
          </rPr>
          <t>Sonya Trad:</t>
        </r>
        <r>
          <rPr>
            <sz val="8"/>
            <color indexed="81"/>
            <rFont val="Tahoma"/>
            <family val="2"/>
          </rPr>
          <t xml:space="preserve">
Ingår i Sundsvall övriga</t>
        </r>
      </text>
    </comment>
    <comment ref="R215" authorId="3" shapeId="0" xr:uid="{AFA9607B-3BCD-403E-8BF0-5642257873CE}">
      <text>
        <r>
          <rPr>
            <b/>
            <sz val="9"/>
            <color indexed="81"/>
            <rFont val="Tahoma"/>
            <family val="2"/>
          </rPr>
          <t>Nicole Burstein:</t>
        </r>
        <r>
          <rPr>
            <sz val="9"/>
            <color indexed="81"/>
            <rFont val="Tahoma"/>
            <family val="2"/>
          </rPr>
          <t xml:space="preserve">
EI</t>
        </r>
      </text>
    </comment>
    <comment ref="W215" authorId="69" shapeId="0" xr:uid="{BFAD874B-CC41-4184-8C45-6AA8FFF7CF28}">
      <text>
        <t>[Threaded comment]
Your version of Excel allows you to read this threaded comment; however, any edits to it will get removed if the file is opened in a newer version of Excel. Learn more: https://go.microsoft.com/fwlink/?linkid=870924
Comment:
    Från EI bakåt</t>
      </text>
    </comment>
    <comment ref="A217" authorId="3" shapeId="0" xr:uid="{5B3BDFC4-7EA7-4E20-BB37-D20DF1C0E76B}">
      <text>
        <r>
          <rPr>
            <b/>
            <sz val="9"/>
            <color indexed="81"/>
            <rFont val="Tahoma"/>
            <family val="2"/>
          </rPr>
          <t>Nicole Burstein:</t>
        </r>
        <r>
          <rPr>
            <sz val="9"/>
            <color indexed="81"/>
            <rFont val="Tahoma"/>
            <family val="2"/>
          </rPr>
          <t xml:space="preserve">
Avslutad 2015</t>
        </r>
      </text>
    </comment>
    <comment ref="R218" authorId="3" shapeId="0" xr:uid="{E0294679-EDB0-46F3-9D48-50486767EAFC}">
      <text>
        <r>
          <rPr>
            <b/>
            <sz val="9"/>
            <color indexed="81"/>
            <rFont val="Tahoma"/>
            <family val="2"/>
          </rPr>
          <t>Nicole Burstein:</t>
        </r>
        <r>
          <rPr>
            <sz val="9"/>
            <color indexed="81"/>
            <rFont val="Tahoma"/>
            <family val="2"/>
          </rPr>
          <t xml:space="preserve">
tidigare 210,72 Orimligt!</t>
        </r>
      </text>
    </comment>
    <comment ref="A223" authorId="70" shapeId="0" xr:uid="{D4172FDE-3590-4DE4-9C51-3B4E6EEEBD71}">
      <text>
        <t>[Threaded comment]
Your version of Excel allows you to read this threaded comment; however, any edits to it will get removed if the file is opened in a newer version of Excel. Learn more: https://go.microsoft.com/fwlink/?linkid=870924
Comment:
    Sammanslaget med HVC Degerfors</t>
      </text>
    </comment>
    <comment ref="A227" authorId="71" shapeId="0" xr:uid="{1700A8E2-9989-42AE-8FEA-9BAEF62BD66F}">
      <text>
        <t>[Threaded comment]
Your version of Excel allows you to read this threaded comment; however, any edits to it will get removed if the file is opened in a newer version of Excel. Learn more: https://go.microsoft.com/fwlink/?linkid=870924
Comment:
    Ingår i HVC Degerfors from. 2018</t>
      </text>
    </comment>
    <comment ref="A233" authorId="3" shapeId="0" xr:uid="{26FB0CC2-7848-49A2-B9F8-FFE2B6E75B4C}">
      <text>
        <r>
          <rPr>
            <b/>
            <sz val="9"/>
            <color indexed="81"/>
            <rFont val="Tahoma"/>
            <family val="2"/>
          </rPr>
          <t>Nicole Burstein:</t>
        </r>
        <r>
          <rPr>
            <sz val="9"/>
            <color indexed="81"/>
            <rFont val="Tahoma"/>
            <family val="2"/>
          </rPr>
          <t xml:space="preserve">
Ingår i Bräcke sedan 2009</t>
        </r>
      </text>
    </comment>
    <comment ref="P233" authorId="10" shapeId="0" xr:uid="{00000000-0006-0000-0600-000015000000}">
      <text>
        <r>
          <rPr>
            <b/>
            <sz val="8"/>
            <color indexed="81"/>
            <rFont val="Tahoma"/>
            <family val="2"/>
          </rPr>
          <t>Sonya Trad:</t>
        </r>
        <r>
          <rPr>
            <sz val="8"/>
            <color indexed="81"/>
            <rFont val="Tahoma"/>
            <family val="2"/>
          </rPr>
          <t xml:space="preserve">
ingår i bräcke</t>
        </r>
      </text>
    </comment>
    <comment ref="A234" authorId="3" shapeId="0" xr:uid="{46B86B79-37E5-4161-94EB-FC0830042569}">
      <text>
        <r>
          <rPr>
            <b/>
            <sz val="9"/>
            <color indexed="81"/>
            <rFont val="Tahoma"/>
            <family val="2"/>
          </rPr>
          <t>Nicole Burstein:</t>
        </r>
        <r>
          <rPr>
            <sz val="9"/>
            <color indexed="81"/>
            <rFont val="Tahoma"/>
            <family val="2"/>
          </rPr>
          <t xml:space="preserve">
Arboga-Köping sedan 2017
</t>
        </r>
      </text>
    </comment>
    <comment ref="A235" authorId="72" shapeId="0" xr:uid="{F903DE72-0F44-40E3-B017-2F9CF4194A37}">
      <text>
        <t>[Threaded comment]
Your version of Excel allows you to read this threaded comment; however, any edits to it will get removed if the file is opened in a newer version of Excel. Learn more: https://go.microsoft.com/fwlink/?linkid=870924
Comment:
    Solör</t>
      </text>
    </comment>
    <comment ref="X235" authorId="73" shapeId="0" xr:uid="{D0F16536-DDCC-4991-9245-099F308EBB54}">
      <text>
        <t>[Threaded comment]
Your version of Excel allows you to read this threaded comment; however, any edits to it will get removed if the file is opened in a newer version of Excel. Learn more: https://go.microsoft.com/fwlink/?linkid=870924
Comment:
    EI from. 2014 PGA solör</t>
      </text>
    </comment>
    <comment ref="Z235" authorId="74" shapeId="0" xr:uid="{164BD532-1D2F-45D5-807D-919EC10DC5A8}">
      <text>
        <t>[Threaded comment]
Your version of Excel allows you to read this threaded comment; however, any edits to it will get removed if the file is opened in a newer version of Excel. Learn more: https://go.microsoft.com/fwlink/?linkid=870924
Comment:
    från EI</t>
      </text>
    </comment>
    <comment ref="A236" authorId="75" shapeId="0" xr:uid="{CE342374-248D-4970-A5E8-94914627D8EB}">
      <text>
        <t>[Threaded comment]
Your version of Excel allows you to read this threaded comment; however, any edits to it will get removed if the file is opened in a newer version of Excel. Learn more: https://go.microsoft.com/fwlink/?linkid=870924
Comment:
    Solör</t>
      </text>
    </comment>
    <comment ref="X236" authorId="76" shapeId="0" xr:uid="{0D09C314-B07E-4ACF-A0D2-8067139A150C}">
      <text>
        <t>[Threaded comment]
Your version of Excel allows you to read this threaded comment; however, any edits to it will get removed if the file is opened in a newer version of Excel. Learn more: https://go.microsoft.com/fwlink/?linkid=870924
Comment:
    Från EI sedan 2014 pga solör</t>
      </text>
    </comment>
    <comment ref="Z236" authorId="77" shapeId="0" xr:uid="{983AD02D-C4AC-472A-94D3-5588F80B97EA}">
      <text>
        <t>[Threaded comment]
Your version of Excel allows you to read this threaded comment; however, any edits to it will get removed if the file is opened in a newer version of Excel. Learn more: https://go.microsoft.com/fwlink/?linkid=870924
Comment:
    från EI</t>
      </text>
    </comment>
    <comment ref="X238" authorId="78" shapeId="0" xr:uid="{305E5002-02DE-45BA-90B6-7A7CD2C44595}">
      <text>
        <t>[Threaded comment]
Your version of Excel allows you to read this threaded comment; however, any edits to it will get removed if the file is opened in a newer version of Excel. Learn more: https://go.microsoft.com/fwlink/?linkid=870924
Comment:
    Från EI sedan 2014 pga Solör</t>
      </text>
    </comment>
    <comment ref="Z238" authorId="79" shapeId="0" xr:uid="{099DCF4F-231D-4124-B8D0-FF2FE925F740}">
      <text>
        <t>[Threaded comment]
Your version of Excel allows you to read this threaded comment; however, any edits to it will get removed if the file is opened in a newer version of Excel. Learn more: https://go.microsoft.com/fwlink/?linkid=870924
Comment:
    från EI</t>
      </text>
    </comment>
    <comment ref="X241" authorId="80" shapeId="0" xr:uid="{77B8EC45-9E4D-4563-937B-D33DC8BE1BE6}">
      <text>
        <t>[Threaded comment]
Your version of Excel allows you to read this threaded comment; however, any edits to it will get removed if the file is opened in a newer version of Excel. Learn more: https://go.microsoft.com/fwlink/?linkid=870924
Comment:
    Från EI bakåt</t>
      </text>
    </comment>
    <comment ref="A244" authorId="10" shapeId="0" xr:uid="{00000000-0006-0000-0600-000016000000}">
      <text>
        <r>
          <rPr>
            <b/>
            <sz val="8"/>
            <color indexed="81"/>
            <rFont val="Tahoma"/>
            <family val="2"/>
          </rPr>
          <t>Sonya Trad:</t>
        </r>
        <r>
          <rPr>
            <sz val="8"/>
            <color indexed="81"/>
            <rFont val="Tahoma"/>
            <family val="2"/>
          </rPr>
          <t xml:space="preserve">
Ingår i sundsvalls övriga nät</t>
        </r>
      </text>
    </comment>
    <comment ref="X245" authorId="81" shapeId="0" xr:uid="{A63D9398-9409-4DBB-90A0-807B1272651B}">
      <text>
        <t>[Threaded comment]
Your version of Excel allows you to read this threaded comment; however, any edits to it will get removed if the file is opened in a newer version of Excel. Learn more: https://go.microsoft.com/fwlink/?linkid=870924
Comment:
    Från EI from 2014 pga Solör</t>
      </text>
    </comment>
    <comment ref="Z245" authorId="82" shapeId="0" xr:uid="{844087B5-B392-406A-BA86-A7C44098D307}">
      <text>
        <t>[Threaded comment]
Your version of Excel allows you to read this threaded comment; however, any edits to it will get removed if the file is opened in a newer version of Excel. Learn more: https://go.microsoft.com/fwlink/?linkid=870924
Comment:
    fråån EI</t>
      </text>
    </comment>
    <comment ref="A246" authorId="10" shapeId="0" xr:uid="{00000000-0006-0000-0600-000017000000}">
      <text>
        <r>
          <rPr>
            <b/>
            <sz val="8"/>
            <color indexed="81"/>
            <rFont val="Tahoma"/>
            <family val="2"/>
          </rPr>
          <t>Sonya Trad:</t>
        </r>
        <r>
          <rPr>
            <sz val="8"/>
            <color indexed="81"/>
            <rFont val="Tahoma"/>
            <family val="2"/>
          </rPr>
          <t xml:space="preserve">
Ingår i fortums stockholmsnät</t>
        </r>
      </text>
    </comment>
    <comment ref="A247" authorId="83" shapeId="0" xr:uid="{054DDD5A-9F9D-43F4-8146-FEE7C00BB85F}">
      <text>
        <t>[Threaded comment]
Your version of Excel allows you to read this threaded comment; however, any edits to it will get removed if the file is opened in a newer version of Excel. Learn more: https://go.microsoft.com/fwlink/?linkid=870924
Comment:
    Lidköing+Lidköping miljö</t>
      </text>
    </comment>
    <comment ref="P247" authorId="10" shapeId="0" xr:uid="{00000000-0006-0000-0600-000018000000}">
      <text>
        <r>
          <rPr>
            <b/>
            <sz val="8"/>
            <color indexed="81"/>
            <rFont val="Tahoma"/>
            <family val="2"/>
          </rPr>
          <t>Sonya Trad:</t>
        </r>
        <r>
          <rPr>
            <sz val="8"/>
            <color indexed="81"/>
            <rFont val="Tahoma"/>
            <family val="2"/>
          </rPr>
          <t xml:space="preserve">
decimalfel</t>
        </r>
      </text>
    </comment>
    <comment ref="X248" authorId="84" shapeId="0" xr:uid="{30D65BCF-B131-4C0B-A501-FFF6783017A8}">
      <text>
        <t>[Threaded comment]
Your version of Excel allows you to read this threaded comment; however, any edits to it will get removed if the file is opened in a newer version of Excel. Learn more: https://go.microsoft.com/fwlink/?linkid=870924
Comment:
    Från EI</t>
      </text>
    </comment>
    <comment ref="S249" authorId="85" shapeId="0" xr:uid="{6737FADF-E3E4-4AA9-B532-C7E93E39891C}">
      <text>
        <t>[Threaded comment]
Your version of Excel allows you to read this threaded comment; however, any edits to it will get removed if the file is opened in a newer version of Excel. Learn more: https://go.microsoft.com/fwlink/?linkid=870924
Comment:
    Från EI</t>
      </text>
    </comment>
    <comment ref="A250" authorId="10" shapeId="0" xr:uid="{00000000-0006-0000-0600-000019000000}">
      <text>
        <r>
          <rPr>
            <b/>
            <sz val="8"/>
            <color indexed="81"/>
            <rFont val="Tahoma"/>
            <family val="2"/>
          </rPr>
          <t>Sonya Trad:</t>
        </r>
        <r>
          <rPr>
            <sz val="8"/>
            <color indexed="81"/>
            <rFont val="Tahoma"/>
            <family val="2"/>
          </rPr>
          <t xml:space="preserve">
inkulderar Ljungsbro, Malmslätt, sturefors, Långasjönäs</t>
        </r>
      </text>
    </comment>
    <comment ref="A251" authorId="3" shapeId="0" xr:uid="{972D1032-95D6-48D9-824B-47214346663A}">
      <text>
        <r>
          <rPr>
            <b/>
            <sz val="9"/>
            <color indexed="81"/>
            <rFont val="Tahoma"/>
            <family val="2"/>
          </rPr>
          <t>Nicole Burstein:</t>
        </r>
        <r>
          <rPr>
            <sz val="9"/>
            <color indexed="81"/>
            <rFont val="Tahoma"/>
            <family val="2"/>
          </rPr>
          <t xml:space="preserve">
Nedstängd enl kontakt
</t>
        </r>
      </text>
    </comment>
    <comment ref="A258" authorId="10" shapeId="0" xr:uid="{00000000-0006-0000-0600-00001A000000}">
      <text>
        <r>
          <rPr>
            <b/>
            <sz val="8"/>
            <color indexed="81"/>
            <rFont val="Tahoma"/>
            <family val="2"/>
          </rPr>
          <t>Sonya Trad:</t>
        </r>
        <r>
          <rPr>
            <sz val="8"/>
            <color indexed="81"/>
            <rFont val="Tahoma"/>
            <family val="2"/>
          </rPr>
          <t xml:space="preserve">
Ingår i sunsvalls övriga nät</t>
        </r>
      </text>
    </comment>
    <comment ref="A260" authorId="86" shapeId="0" xr:uid="{F4E24639-9E92-4F7A-91A3-509163EC8204}">
      <text>
        <t>[Threaded comment]
Your version of Excel allows you to read this threaded comment; however, any edits to it will get removed if the file is opened in a newer version of Excel. Learn more: https://go.microsoft.com/fwlink/?linkid=870924
Comment:
    Luleå + Luleå klimat/miljö</t>
      </text>
    </comment>
    <comment ref="P260" authorId="10" shapeId="0" xr:uid="{00000000-0006-0000-0600-00001B000000}">
      <text>
        <r>
          <rPr>
            <b/>
            <sz val="8"/>
            <color indexed="81"/>
            <rFont val="Tahoma"/>
            <family val="2"/>
          </rPr>
          <t>Sonya Trad:</t>
        </r>
        <r>
          <rPr>
            <sz val="8"/>
            <color indexed="81"/>
            <rFont val="Tahoma"/>
            <family val="2"/>
          </rPr>
          <t xml:space="preserve">
taget från EI</t>
        </r>
      </text>
    </comment>
    <comment ref="A261" authorId="3" shapeId="0" xr:uid="{33AFCE5C-8998-4DA0-8773-1FEDF1861737}">
      <text>
        <r>
          <rPr>
            <b/>
            <sz val="9"/>
            <color indexed="81"/>
            <rFont val="Tahoma"/>
            <family val="2"/>
          </rPr>
          <t>Nicole Burstein:</t>
        </r>
        <r>
          <rPr>
            <sz val="9"/>
            <color indexed="81"/>
            <rFont val="Tahoma"/>
            <family val="2"/>
          </rPr>
          <t xml:space="preserve">
Nu även Eslöv</t>
        </r>
      </text>
    </comment>
    <comment ref="U266" authorId="87" shapeId="0" xr:uid="{0AEC150A-1D09-43E4-9935-632EC7BAFD68}">
      <text>
        <t>[Threaded comment]
Your version of Excel allows you to read this threaded comment; however, any edits to it will get removed if the file is opened in a newer version of Excel. Learn more: https://go.microsoft.com/fwlink/?linkid=870924
Comment:
    Från EI</t>
      </text>
    </comment>
    <comment ref="Q267" authorId="3" shapeId="0" xr:uid="{B664D9B6-830F-4200-8B9C-CAC2D5B478D8}">
      <text>
        <r>
          <rPr>
            <b/>
            <sz val="9"/>
            <color indexed="81"/>
            <rFont val="Tahoma"/>
            <family val="2"/>
          </rPr>
          <t>Nicole Burstein:</t>
        </r>
        <r>
          <rPr>
            <sz val="9"/>
            <color indexed="81"/>
            <rFont val="Tahoma"/>
            <family val="2"/>
          </rPr>
          <t xml:space="preserve">
EI</t>
        </r>
      </text>
    </comment>
    <comment ref="X267" authorId="3" shapeId="0" xr:uid="{509C5DED-CD34-4B74-BAE2-1FC1F463F390}">
      <text>
        <r>
          <rPr>
            <b/>
            <sz val="9"/>
            <color indexed="81"/>
            <rFont val="Tahoma"/>
            <family val="2"/>
          </rPr>
          <t>Nicole Burstein:</t>
        </r>
        <r>
          <rPr>
            <sz val="9"/>
            <color indexed="81"/>
            <rFont val="Tahoma"/>
            <family val="2"/>
          </rPr>
          <t xml:space="preserve">
Från EI</t>
        </r>
      </text>
    </comment>
    <comment ref="A277" authorId="88" shapeId="0" xr:uid="{3042C502-A09E-47F4-B6F1-13A64C9B0C2B}">
      <text>
        <t>[Threaded comment]
Your version of Excel allows you to read this threaded comment; however, any edits to it will get removed if the file is opened in a newer version of Excel. Learn more: https://go.microsoft.com/fwlink/?linkid=870924
Comment:
    Solör</t>
      </text>
    </comment>
    <comment ref="X277" authorId="89" shapeId="0" xr:uid="{813277B8-6402-45DA-8725-BB0735C44E5D}">
      <text>
        <t>[Threaded comment]
Your version of Excel allows you to read this threaded comment; however, any edits to it will get removed if the file is opened in a newer version of Excel. Learn more: https://go.microsoft.com/fwlink/?linkid=870924
Comment:
    Från EI bakåt</t>
      </text>
    </comment>
    <comment ref="Z277" authorId="90" shapeId="0" xr:uid="{C0D46F07-9488-4040-9B9B-1406DA967380}">
      <text>
        <t>[Threaded comment]
Your version of Excel allows you to read this threaded comment; however, any edits to it will get removed if the file is opened in a newer version of Excel. Learn more: https://go.microsoft.com/fwlink/?linkid=870924
Comment:
    från EI</t>
      </text>
    </comment>
    <comment ref="A279" authorId="25" shapeId="0" xr:uid="{00000000-0006-0000-0600-00001C000000}">
      <text>
        <r>
          <rPr>
            <b/>
            <sz val="9"/>
            <color indexed="81"/>
            <rFont val="Tahoma"/>
            <family val="2"/>
          </rPr>
          <t>David Holmström:</t>
        </r>
        <r>
          <rPr>
            <sz val="9"/>
            <color indexed="81"/>
            <rFont val="Tahoma"/>
            <family val="2"/>
          </rPr>
          <t xml:space="preserve">
Tidigare Mjölby skänninge
</t>
        </r>
      </text>
    </comment>
    <comment ref="T281" authorId="91" shapeId="0" xr:uid="{7B702F6E-FADB-4A83-AE0C-2CABD22265FB}">
      <text>
        <t>[Threaded comment]
Your version of Excel allows you to read this threaded comment; however, any edits to it will get removed if the file is opened in a newer version of Excel. Learn more: https://go.microsoft.com/fwlink/?linkid=870924
Comment:
    Från EI</t>
      </text>
    </comment>
    <comment ref="U281" authorId="92" shapeId="0" xr:uid="{B8A97089-0491-4475-A22A-DAE5E9CE53C1}">
      <text>
        <t>[Threaded comment]
Your version of Excel allows you to read this threaded comment; however, any edits to it will get removed if the file is opened in a newer version of Excel. Learn more: https://go.microsoft.com/fwlink/?linkid=870924
Comment:
    Från EI</t>
      </text>
    </comment>
    <comment ref="V281" authorId="3" shapeId="0" xr:uid="{5432F345-61E9-47E2-8A29-D330DD8FA976}">
      <text>
        <r>
          <rPr>
            <b/>
            <sz val="9"/>
            <color indexed="81"/>
            <rFont val="Tahoma"/>
            <family val="2"/>
          </rPr>
          <t>Nicole Burstein:</t>
        </r>
        <r>
          <rPr>
            <sz val="9"/>
            <color indexed="81"/>
            <rFont val="Tahoma"/>
            <family val="2"/>
          </rPr>
          <t xml:space="preserve">
Från EI</t>
        </r>
      </text>
    </comment>
    <comment ref="R282" authorId="3" shapeId="0" xr:uid="{3045D0A6-CF33-46B4-9E6C-A8CFC71748DD}">
      <text>
        <r>
          <rPr>
            <b/>
            <sz val="9"/>
            <color indexed="81"/>
            <rFont val="Tahoma"/>
            <family val="2"/>
          </rPr>
          <t>Nicole Burstein:</t>
        </r>
        <r>
          <rPr>
            <sz val="9"/>
            <color indexed="81"/>
            <rFont val="Tahoma"/>
            <family val="2"/>
          </rPr>
          <t xml:space="preserve">
EI</t>
        </r>
      </text>
    </comment>
    <comment ref="S286" authorId="93" shapeId="0" xr:uid="{C02E46DC-C724-432B-A244-CC92016852BD}">
      <text>
        <t>[Threaded comment]
Your version of Excel allows you to read this threaded comment; however, any edits to it will get removed if the file is opened in a newer version of Excel. Learn more: https://go.microsoft.com/fwlink/?linkid=870924
Comment:
    Från EI</t>
      </text>
    </comment>
    <comment ref="T286" authorId="94" shapeId="0" xr:uid="{1A16BF1C-321C-4FC5-9B1F-40CAA1E78C41}">
      <text>
        <t>[Threaded comment]
Your version of Excel allows you to read this threaded comment; however, any edits to it will get removed if the file is opened in a newer version of Excel. Learn more: https://go.microsoft.com/fwlink/?linkid=870924
Comment:
    Från EI</t>
      </text>
    </comment>
    <comment ref="Z286" authorId="95" shapeId="0" xr:uid="{D5CBF47A-CD3C-4D47-A667-043B7C4A9C0A}">
      <text>
        <t>[Threaded comment]
Your version of Excel allows you to read this threaded comment; however, any edits to it will get removed if the file is opened in a newer version of Excel. Learn more: https://go.microsoft.com/fwlink/?linkid=870924
Comment:
    från EI</t>
      </text>
    </comment>
    <comment ref="A288" authorId="96" shapeId="0" xr:uid="{A29C9D69-8006-4FFE-8F7B-6AEFB97AFB60}">
      <text>
        <t>[Threaded comment]
Your version of Excel allows you to read this threaded comment; however, any edits to it will get removed if the file is opened in a newer version of Excel. Learn more: https://go.microsoft.com/fwlink/?linkid=870924
Comment:
    Munkfors energi rapporterar ej</t>
      </text>
    </comment>
    <comment ref="X288" authorId="97" shapeId="0" xr:uid="{4354D7F1-E1E9-47CD-8AF1-9CEFE196E6EB}">
      <text>
        <t>[Threaded comment]
Your version of Excel allows you to read this threaded comment; however, any edits to it will get removed if the file is opened in a newer version of Excel. Learn more: https://go.microsoft.com/fwlink/?linkid=870924
Comment:
    Från EI tom 2012</t>
      </text>
    </comment>
    <comment ref="Z288" authorId="98" shapeId="0" xr:uid="{CD1BC7A3-5144-418A-89AF-8580045714FA}">
      <text>
        <t>[Threaded comment]
Your version of Excel allows you to read this threaded comment; however, any edits to it will get removed if the file is opened in a newer version of Excel. Learn more: https://go.microsoft.com/fwlink/?linkid=870924
Comment:
    från EI</t>
      </text>
    </comment>
    <comment ref="A290" authorId="3" shapeId="0" xr:uid="{E9309889-F0ED-4E15-863F-78E730C99142}">
      <text>
        <r>
          <rPr>
            <b/>
            <sz val="9"/>
            <color indexed="81"/>
            <rFont val="Tahoma"/>
            <family val="2"/>
          </rPr>
          <t>Nicole Burstein:</t>
        </r>
        <r>
          <rPr>
            <sz val="9"/>
            <color indexed="81"/>
            <rFont val="Tahoma"/>
            <family val="2"/>
          </rPr>
          <t xml:space="preserve">
Mölndal+mälndal biovärmepaket</t>
        </r>
      </text>
    </comment>
    <comment ref="X291" authorId="99" shapeId="0" xr:uid="{F972DE6C-1617-4095-8DE3-F284FDDDFBD5}">
      <text>
        <t>[Threaded comment]
Your version of Excel allows you to read this threaded comment; however, any edits to it will get removed if the file is opened in a newer version of Excel. Learn more: https://go.microsoft.com/fwlink/?linkid=870924
Comment:
    Från EI bakåt</t>
      </text>
    </comment>
    <comment ref="X292" authorId="100" shapeId="0" xr:uid="{FFB69F7D-9B3A-4A50-8B5A-1641F428DFF9}">
      <text>
        <t>[Threaded comment]
Your version of Excel allows you to read this threaded comment; however, any edits to it will get removed if the file is opened in a newer version of Excel. Learn more: https://go.microsoft.com/fwlink/?linkid=870924
Comment:
    Från EI bakåt</t>
      </text>
    </comment>
    <comment ref="Z292" authorId="101" shapeId="0" xr:uid="{3298C1AE-158D-4A09-B5CC-36DE1509C472}">
      <text>
        <t>[Threaded comment]
Your version of Excel allows you to read this threaded comment; however, any edits to it will get removed if the file is opened in a newer version of Excel. Learn more: https://go.microsoft.com/fwlink/?linkid=870924
Comment:
    från EI</t>
      </text>
    </comment>
    <comment ref="A294" authorId="102" shapeId="0" xr:uid="{6BDF6F79-B6A6-41CF-ABFA-767442B14AF7}">
      <text>
        <t>[Threaded comment]
Your version of Excel allows you to read this threaded comment; however, any edits to it will get removed if the file is opened in a newer version of Excel. Learn more: https://go.microsoft.com/fwlink/?linkid=870924
Comment:
    Ingår i stockholm</t>
      </text>
    </comment>
    <comment ref="Z295" authorId="103" shapeId="0" xr:uid="{16529E9F-DDF5-4523-ACEF-8AE782202D2C}">
      <text>
        <t>[Threaded comment]
Your version of Excel allows you to read this threaded comment; however, any edits to it will get removed if the file is opened in a newer version of Excel. Learn more: https://go.microsoft.com/fwlink/?linkid=870924
Comment:
    från EI</t>
      </text>
    </comment>
    <comment ref="L296" authorId="3" shapeId="0" xr:uid="{9E357553-2B7F-4BC5-9A6D-360925850DD5}">
      <text>
        <r>
          <rPr>
            <b/>
            <sz val="9"/>
            <color indexed="81"/>
            <rFont val="Tahoma"/>
            <family val="2"/>
          </rPr>
          <t>Nicole Burstein:</t>
        </r>
        <r>
          <rPr>
            <sz val="9"/>
            <color indexed="81"/>
            <rFont val="Tahoma"/>
            <family val="2"/>
          </rPr>
          <t xml:space="preserve">
ÄGARE=VATTENFALL</t>
        </r>
      </text>
    </comment>
    <comment ref="A297" authorId="104" shapeId="0" xr:uid="{FC3F6990-90EB-4119-8CA8-279FB62AA045}">
      <text>
        <t>[Threaded comment]
Your version of Excel allows you to read this threaded comment; however, any edits to it will get removed if the file is opened in a newer version of Excel. Learn more: https://go.microsoft.com/fwlink/?linkid=870924
Comment:
    Nordanstig fjärrvärme tre nät Bergsjö, Harmånger, Strömsbruk</t>
      </text>
    </comment>
    <comment ref="W297" authorId="3" shapeId="0" xr:uid="{7C76D3A9-4A33-4ADF-A56B-E58A3A5F8155}">
      <text>
        <r>
          <rPr>
            <b/>
            <sz val="9"/>
            <color indexed="81"/>
            <rFont val="Tahoma"/>
            <family val="2"/>
          </rPr>
          <t>Nicole Burstein:</t>
        </r>
        <r>
          <rPr>
            <sz val="9"/>
            <color indexed="81"/>
            <rFont val="Tahoma"/>
            <family val="2"/>
          </rPr>
          <t xml:space="preserve">
EI bakåt</t>
        </r>
      </text>
    </comment>
    <comment ref="X298" authorId="3" shapeId="0" xr:uid="{441ADA55-8CB5-4FED-B397-BFBDC16B90AC}">
      <text>
        <r>
          <rPr>
            <b/>
            <sz val="9"/>
            <color indexed="81"/>
            <rFont val="Tahoma"/>
            <family val="2"/>
          </rPr>
          <t>Nicole Burstein:</t>
        </r>
        <r>
          <rPr>
            <sz val="9"/>
            <color indexed="81"/>
            <rFont val="Tahoma"/>
            <family val="2"/>
          </rPr>
          <t xml:space="preserve">
EI till 2015</t>
        </r>
      </text>
    </comment>
    <comment ref="Z298" authorId="105" shapeId="0" xr:uid="{8E025EAD-EBA4-43F9-93DD-F02F29CB8AEF}">
      <text>
        <t>[Threaded comment]
Your version of Excel allows you to read this threaded comment; however, any edits to it will get removed if the file is opened in a newer version of Excel. Learn more: https://go.microsoft.com/fwlink/?linkid=870924
Comment:
    Från Ei</t>
      </text>
    </comment>
    <comment ref="A301" authorId="3" shapeId="0" xr:uid="{F9119EEA-9BD4-4A58-AB93-3F6301A85227}">
      <text>
        <r>
          <rPr>
            <b/>
            <sz val="9"/>
            <color indexed="81"/>
            <rFont val="Tahoma"/>
            <family val="2"/>
          </rPr>
          <t>Nicole Burstein:</t>
        </r>
        <r>
          <rPr>
            <sz val="9"/>
            <color indexed="81"/>
            <rFont val="Tahoma"/>
            <family val="2"/>
          </rPr>
          <t xml:space="preserve">
Norrköping-Söderköping från 2017</t>
        </r>
      </text>
    </comment>
    <comment ref="P301" authorId="3" shapeId="0" xr:uid="{DB3A1644-78EC-4F89-BB47-A39D0CB837C1}">
      <text>
        <r>
          <rPr>
            <b/>
            <sz val="9"/>
            <color indexed="81"/>
            <rFont val="Tahoma"/>
            <family val="2"/>
          </rPr>
          <t>Nicole Burstein:</t>
        </r>
        <r>
          <rPr>
            <sz val="9"/>
            <color indexed="81"/>
            <rFont val="Tahoma"/>
            <family val="2"/>
          </rPr>
          <t xml:space="preserve">
EI</t>
        </r>
      </text>
    </comment>
    <comment ref="A302" authorId="3" shapeId="0" xr:uid="{CDFA31FA-E5A6-407C-AF72-BD7392DA1697}">
      <text>
        <r>
          <rPr>
            <b/>
            <sz val="9"/>
            <color indexed="81"/>
            <rFont val="Tahoma"/>
            <family val="2"/>
          </rPr>
          <t>Nicole Burstein:</t>
        </r>
        <r>
          <rPr>
            <sz val="9"/>
            <color indexed="81"/>
            <rFont val="Tahoma"/>
            <family val="2"/>
          </rPr>
          <t xml:space="preserve">
Sammanslaget från 2017
</t>
        </r>
      </text>
    </comment>
    <comment ref="A303" authorId="106" shapeId="0" xr:uid="{D30A9DBB-5AA0-430A-898A-DBCB435A0464}">
      <text>
        <t>[Threaded comment]
Your version of Excel allows you to read this threaded comment; however, any edits to it will get removed if the file is opened in a newer version of Excel. Learn more: https://go.microsoft.com/fwlink/?linkid=870924
Comment:
    Bionär</t>
      </text>
    </comment>
    <comment ref="P303" authorId="3" shapeId="0" xr:uid="{E6455F95-68B0-4E2C-971A-5A885A9567C2}">
      <text>
        <r>
          <rPr>
            <b/>
            <sz val="9"/>
            <color indexed="81"/>
            <rFont val="Tahoma"/>
            <family val="2"/>
          </rPr>
          <t>Nicole Burstein:</t>
        </r>
        <r>
          <rPr>
            <sz val="9"/>
            <color indexed="81"/>
            <rFont val="Tahoma"/>
            <family val="2"/>
          </rPr>
          <t xml:space="preserve">
EI
</t>
        </r>
      </text>
    </comment>
    <comment ref="X303" authorId="3" shapeId="0" xr:uid="{E19BC147-DE4A-4591-818B-3A038ED5D265}">
      <text>
        <r>
          <rPr>
            <b/>
            <sz val="9"/>
            <color indexed="81"/>
            <rFont val="Tahoma"/>
            <family val="2"/>
          </rPr>
          <t>Nicole Burstein:</t>
        </r>
        <r>
          <rPr>
            <sz val="9"/>
            <color indexed="81"/>
            <rFont val="Tahoma"/>
            <family val="2"/>
          </rPr>
          <t xml:space="preserve">
Från EI</t>
        </r>
      </text>
    </comment>
    <comment ref="Z303" authorId="107" shapeId="0" xr:uid="{ACC0C1A9-90D4-4874-B6AA-C88B122D5B1F}">
      <text>
        <t>[Threaded comment]
Your version of Excel allows you to read this threaded comment; however, any edits to it will get removed if the file is opened in a newer version of Excel. Learn more: https://go.microsoft.com/fwlink/?linkid=870924
Comment:
    Från EI</t>
      </text>
    </comment>
    <comment ref="P307" authorId="10" shapeId="0" xr:uid="{00000000-0006-0000-0600-00001D000000}">
      <text>
        <r>
          <rPr>
            <b/>
            <sz val="8"/>
            <color indexed="81"/>
            <rFont val="Tahoma"/>
            <family val="2"/>
          </rPr>
          <t>Sonya Trad:</t>
        </r>
        <r>
          <rPr>
            <sz val="8"/>
            <color indexed="81"/>
            <rFont val="Tahoma"/>
            <family val="2"/>
          </rPr>
          <t xml:space="preserve">
taget från EI</t>
        </r>
      </text>
    </comment>
    <comment ref="A308" authorId="10" shapeId="0" xr:uid="{00000000-0006-0000-0600-00001E000000}">
      <text>
        <r>
          <rPr>
            <b/>
            <sz val="8"/>
            <color indexed="81"/>
            <rFont val="Tahoma"/>
            <family val="2"/>
          </rPr>
          <t>Sonya Trad:</t>
        </r>
        <r>
          <rPr>
            <sz val="8"/>
            <color indexed="81"/>
            <rFont val="Tahoma"/>
            <family val="2"/>
          </rPr>
          <t xml:space="preserve">
såld till ?? </t>
        </r>
      </text>
    </comment>
    <comment ref="A309" authorId="3" shapeId="0" xr:uid="{C2F3999B-5C4C-4C71-B9B6-9349B7E8655B}">
      <text>
        <r>
          <rPr>
            <b/>
            <sz val="9"/>
            <color indexed="81"/>
            <rFont val="Tahoma"/>
            <family val="2"/>
          </rPr>
          <t>Nicole Burstein:</t>
        </r>
        <r>
          <rPr>
            <sz val="9"/>
            <color indexed="81"/>
            <rFont val="Tahoma"/>
            <family val="2"/>
          </rPr>
          <t xml:space="preserve">
Tillhör Södertälje</t>
        </r>
      </text>
    </comment>
    <comment ref="A312" authorId="108" shapeId="0" xr:uid="{6C64E182-F618-4162-97D1-94DDAEF92FF9}">
      <text>
        <t>[Threaded comment]
Your version of Excel allows you to read this threaded comment; however, any edits to it will get removed if the file is opened in a newer version of Excel. Learn more: https://go.microsoft.com/fwlink/?linkid=870924
Comment:
    Ingår i Östersund</t>
      </text>
    </comment>
    <comment ref="X313" authorId="3" shapeId="0" xr:uid="{9BE54425-3FBD-43B2-B76B-B73164ADC7C6}">
      <text>
        <r>
          <rPr>
            <b/>
            <sz val="9"/>
            <color indexed="81"/>
            <rFont val="Tahoma"/>
            <family val="2"/>
          </rPr>
          <t>Nicole Burstein:</t>
        </r>
        <r>
          <rPr>
            <sz val="9"/>
            <color indexed="81"/>
            <rFont val="Tahoma"/>
            <family val="2"/>
          </rPr>
          <t xml:space="preserve">
Från EI</t>
        </r>
      </text>
    </comment>
    <comment ref="A314" authorId="109" shapeId="0" xr:uid="{8D1D02CB-1C8E-495C-82BB-D24FE53895E0}">
      <text>
        <t>[Threaded comment]
Your version of Excel allows you to read this threaded comment; however, any edits to it will get removed if the file is opened in a newer version of Excel. Learn more: https://go.microsoft.com/fwlink/?linkid=870924
Comment:
    Solör</t>
      </text>
    </comment>
    <comment ref="W314" authorId="3" shapeId="0" xr:uid="{5E8E4511-9F31-4E9A-B366-4D89967DBF22}">
      <text>
        <r>
          <rPr>
            <b/>
            <sz val="9"/>
            <color indexed="81"/>
            <rFont val="Tahoma"/>
            <family val="2"/>
          </rPr>
          <t>Nicole Burstein:</t>
        </r>
        <r>
          <rPr>
            <sz val="9"/>
            <color indexed="81"/>
            <rFont val="Tahoma"/>
            <family val="2"/>
          </rPr>
          <t xml:space="preserve">
Från EI</t>
        </r>
      </text>
    </comment>
    <comment ref="X314" authorId="3" shapeId="0" xr:uid="{A9E0A27E-97F4-4664-A625-4A1214AB24FF}">
      <text>
        <r>
          <rPr>
            <b/>
            <sz val="9"/>
            <color indexed="81"/>
            <rFont val="Tahoma"/>
            <family val="2"/>
          </rPr>
          <t>Nicole Burstein:</t>
        </r>
        <r>
          <rPr>
            <sz val="9"/>
            <color indexed="81"/>
            <rFont val="Tahoma"/>
            <family val="2"/>
          </rPr>
          <t xml:space="preserve">
Från ei</t>
        </r>
      </text>
    </comment>
    <comment ref="S315" authorId="110" shapeId="0" xr:uid="{68AB855B-00A4-46CD-A8D1-F5ACBA56D124}">
      <text>
        <t>[Threaded comment]
Your version of Excel allows you to read this threaded comment; however, any edits to it will get removed if the file is opened in a newer version of Excel. Learn more: https://go.microsoft.com/fwlink/?linkid=870924
Comment:
    Från EI</t>
      </text>
    </comment>
    <comment ref="U315" authorId="3" shapeId="0" xr:uid="{0198970B-65FA-404C-90DA-7E7BDDDA5CC9}">
      <text>
        <r>
          <rPr>
            <b/>
            <sz val="9"/>
            <color indexed="81"/>
            <rFont val="Tahoma"/>
            <family val="2"/>
          </rPr>
          <t>Nicole Burstein:</t>
        </r>
        <r>
          <rPr>
            <sz val="9"/>
            <color indexed="81"/>
            <rFont val="Tahoma"/>
            <family val="2"/>
          </rPr>
          <t xml:space="preserve">
Från EI</t>
        </r>
      </text>
    </comment>
    <comment ref="A317" authorId="111" shapeId="0" xr:uid="{9735E1E5-24F6-4848-9C56-387270C63A13}">
      <text>
        <t>[Threaded comment]
Your version of Excel allows you to read this threaded comment; however, any edits to it will get removed if the file is opened in a newer version of Excel. Learn more: https://go.microsoft.com/fwlink/?linkid=870924
Comment:
    Bionär</t>
      </text>
    </comment>
    <comment ref="P317" authorId="10" shapeId="0" xr:uid="{00000000-0006-0000-0600-00001F000000}">
      <text>
        <r>
          <rPr>
            <b/>
            <sz val="8"/>
            <color indexed="81"/>
            <rFont val="Tahoma"/>
            <family val="2"/>
          </rPr>
          <t>Sonya Trad:</t>
        </r>
        <r>
          <rPr>
            <sz val="8"/>
            <color indexed="81"/>
            <rFont val="Tahoma"/>
            <family val="2"/>
          </rPr>
          <t xml:space="preserve">
taget från EI</t>
        </r>
      </text>
    </comment>
    <comment ref="X317" authorId="3" shapeId="0" xr:uid="{3E2E0922-6D91-46BE-AF9F-F41D76A71677}">
      <text>
        <r>
          <rPr>
            <b/>
            <sz val="9"/>
            <color indexed="81"/>
            <rFont val="Tahoma"/>
            <family val="2"/>
          </rPr>
          <t>Nicole Burstein:</t>
        </r>
        <r>
          <rPr>
            <sz val="9"/>
            <color indexed="81"/>
            <rFont val="Tahoma"/>
            <family val="2"/>
          </rPr>
          <t xml:space="preserve">
Från EI</t>
        </r>
      </text>
    </comment>
    <comment ref="Z317" authorId="112" shapeId="0" xr:uid="{CADA9114-400E-4AB9-A8DA-9DAA629300F5}">
      <text>
        <t>[Threaded comment]
Your version of Excel allows you to read this threaded comment; however, any edits to it will get removed if the file is opened in a newer version of Excel. Learn more: https://go.microsoft.com/fwlink/?linkid=870924
Comment:
    från EI</t>
      </text>
    </comment>
    <comment ref="X318" authorId="3" shapeId="0" xr:uid="{326BA69F-01DD-4457-A95C-360C2D5928A6}">
      <text>
        <r>
          <rPr>
            <b/>
            <sz val="9"/>
            <color indexed="81"/>
            <rFont val="Tahoma"/>
            <family val="2"/>
          </rPr>
          <t>Nicole Burstein:</t>
        </r>
        <r>
          <rPr>
            <sz val="9"/>
            <color indexed="81"/>
            <rFont val="Tahoma"/>
            <family val="2"/>
          </rPr>
          <t xml:space="preserve">
EI tom 2015</t>
        </r>
      </text>
    </comment>
    <comment ref="A323" authorId="113" shapeId="0" xr:uid="{D5C0878E-72C1-4632-8BD7-EF8A254F5F50}">
      <text>
        <t>[Threaded comment]
Your version of Excel allows you to read this threaded comment; however, any edits to it will get removed if the file is opened in a newer version of Excel. Learn more: https://go.microsoft.com/fwlink/?linkid=870924
Comment:
    Fjärrvärme i Osby. slutat rapportera</t>
      </text>
    </comment>
    <comment ref="P323" authorId="10" shapeId="0" xr:uid="{00000000-0006-0000-0600-000020000000}">
      <text>
        <r>
          <rPr>
            <b/>
            <sz val="8"/>
            <color indexed="81"/>
            <rFont val="Tahoma"/>
            <family val="2"/>
          </rPr>
          <t>Sonya Trad:</t>
        </r>
        <r>
          <rPr>
            <sz val="8"/>
            <color indexed="81"/>
            <rFont val="Tahoma"/>
            <family val="2"/>
          </rPr>
          <t xml:space="preserve">
tagit från EI</t>
        </r>
      </text>
    </comment>
    <comment ref="X323" authorId="3" shapeId="0" xr:uid="{70E7BFBF-AAB7-4F7C-8E4F-4812BA931D87}">
      <text>
        <r>
          <rPr>
            <b/>
            <sz val="9"/>
            <color indexed="81"/>
            <rFont val="Tahoma"/>
            <family val="2"/>
          </rPr>
          <t>Nicole Burstein:</t>
        </r>
        <r>
          <rPr>
            <sz val="9"/>
            <color indexed="81"/>
            <rFont val="Tahoma"/>
            <family val="2"/>
          </rPr>
          <t xml:space="preserve">
EI tom 2013</t>
        </r>
      </text>
    </comment>
    <comment ref="Z323" authorId="114" shapeId="0" xr:uid="{90D3BF2A-57EE-4012-9E8B-FECAEBCD310B}">
      <text>
        <t>[Threaded comment]
Your version of Excel allows you to read this threaded comment; however, any edits to it will get removed if the file is opened in a newer version of Excel. Learn more: https://go.microsoft.com/fwlink/?linkid=870924
Comment:
    från EI</t>
      </text>
    </comment>
    <comment ref="N326" authorId="10" shapeId="0" xr:uid="{00000000-0006-0000-0600-000021000000}">
      <text>
        <r>
          <rPr>
            <b/>
            <sz val="8"/>
            <color indexed="81"/>
            <rFont val="Tahoma"/>
            <family val="2"/>
          </rPr>
          <t>Sonya Trad:</t>
        </r>
        <r>
          <rPr>
            <sz val="8"/>
            <color indexed="81"/>
            <rFont val="Tahoma"/>
            <family val="2"/>
          </rPr>
          <t xml:space="preserve">
EI särskildarapporten</t>
        </r>
      </text>
    </comment>
    <comment ref="O326" authorId="10" shapeId="0" xr:uid="{00000000-0006-0000-0600-000022000000}">
      <text>
        <r>
          <rPr>
            <b/>
            <sz val="8"/>
            <color indexed="81"/>
            <rFont val="Tahoma"/>
            <family val="2"/>
          </rPr>
          <t>Sonya Trad:</t>
        </r>
        <r>
          <rPr>
            <sz val="8"/>
            <color indexed="81"/>
            <rFont val="Tahoma"/>
            <family val="2"/>
          </rPr>
          <t xml:space="preserve">
EI särskildarapporten</t>
        </r>
      </text>
    </comment>
    <comment ref="P326" authorId="10" shapeId="0" xr:uid="{00000000-0006-0000-0600-000023000000}">
      <text>
        <r>
          <rPr>
            <b/>
            <sz val="8"/>
            <color indexed="81"/>
            <rFont val="Tahoma"/>
            <family val="2"/>
          </rPr>
          <t>Sonya Trad:</t>
        </r>
        <r>
          <rPr>
            <sz val="8"/>
            <color indexed="81"/>
            <rFont val="Tahoma"/>
            <family val="2"/>
          </rPr>
          <t xml:space="preserve">
Hämtat från hemsidan</t>
        </r>
      </text>
    </comment>
    <comment ref="Q326" authorId="3" shapeId="0" xr:uid="{6EA392EE-CB3B-47FD-B144-7AEA21265B9C}">
      <text>
        <r>
          <rPr>
            <b/>
            <sz val="9"/>
            <color indexed="81"/>
            <rFont val="Tahoma"/>
            <family val="2"/>
          </rPr>
          <t>Nicole Burstein:</t>
        </r>
        <r>
          <rPr>
            <sz val="9"/>
            <color indexed="81"/>
            <rFont val="Tahoma"/>
            <family val="2"/>
          </rPr>
          <t xml:space="preserve">
EI</t>
        </r>
      </text>
    </comment>
    <comment ref="R326" authorId="3" shapeId="0" xr:uid="{08DC4C4C-22F4-4640-8886-12B6EE1AFE08}">
      <text>
        <r>
          <rPr>
            <b/>
            <sz val="9"/>
            <color indexed="81"/>
            <rFont val="Tahoma"/>
            <family val="2"/>
          </rPr>
          <t>Nicole Burstein:</t>
        </r>
        <r>
          <rPr>
            <sz val="9"/>
            <color indexed="81"/>
            <rFont val="Tahoma"/>
            <family val="2"/>
          </rPr>
          <t xml:space="preserve">
EI</t>
        </r>
      </text>
    </comment>
    <comment ref="X326" authorId="3" shapeId="0" xr:uid="{602BCAD9-7D87-4730-B0D4-98357E96F018}">
      <text>
        <r>
          <rPr>
            <b/>
            <sz val="9"/>
            <color indexed="81"/>
            <rFont val="Tahoma"/>
            <family val="2"/>
          </rPr>
          <t>Nicole Burstein:</t>
        </r>
        <r>
          <rPr>
            <sz val="9"/>
            <color indexed="81"/>
            <rFont val="Tahoma"/>
            <family val="2"/>
          </rPr>
          <t xml:space="preserve">
EI bakåt</t>
        </r>
      </text>
    </comment>
    <comment ref="A327" authorId="115" shapeId="0" xr:uid="{4EDAC160-D724-40D6-9023-D53BB5593F97}">
      <text>
        <t>[Threaded comment]
Your version of Excel allows you to read this threaded comment; however, any edits to it will get removed if the file is opened in a newer version of Excel. Learn more: https://go.microsoft.com/fwlink/?linkid=870924
Comment:
    Med Göteborg Ale tom 2018</t>
      </text>
    </comment>
    <comment ref="P330" authorId="3" shapeId="0" xr:uid="{597CE5EC-E936-46CD-B3CC-B13EC95FC8B8}">
      <text>
        <r>
          <rPr>
            <b/>
            <sz val="9"/>
            <color indexed="81"/>
            <rFont val="Tahoma"/>
            <family val="2"/>
          </rPr>
          <t>Nicole Burstein:</t>
        </r>
        <r>
          <rPr>
            <sz val="9"/>
            <color indexed="81"/>
            <rFont val="Tahoma"/>
            <family val="2"/>
          </rPr>
          <t xml:space="preserve">
EI</t>
        </r>
      </text>
    </comment>
    <comment ref="Q330" authorId="3" shapeId="0" xr:uid="{C87C8551-1649-4CA9-9917-E8655C72F223}">
      <text>
        <r>
          <rPr>
            <b/>
            <sz val="9"/>
            <color indexed="81"/>
            <rFont val="Tahoma"/>
            <family val="2"/>
          </rPr>
          <t>Nicole Burstein:</t>
        </r>
        <r>
          <rPr>
            <sz val="9"/>
            <color indexed="81"/>
            <rFont val="Tahoma"/>
            <family val="2"/>
          </rPr>
          <t xml:space="preserve">
EI</t>
        </r>
      </text>
    </comment>
    <comment ref="U331" authorId="3" shapeId="0" xr:uid="{E87192CC-4735-4EF0-B261-EEA2B72A37C9}">
      <text>
        <r>
          <rPr>
            <b/>
            <sz val="9"/>
            <color indexed="81"/>
            <rFont val="Tahoma"/>
            <family val="2"/>
          </rPr>
          <t>Nicole Burstein:</t>
        </r>
        <r>
          <rPr>
            <sz val="9"/>
            <color indexed="81"/>
            <rFont val="Tahoma"/>
            <family val="2"/>
          </rPr>
          <t xml:space="preserve">
EI</t>
        </r>
      </text>
    </comment>
    <comment ref="X338" authorId="3" shapeId="0" xr:uid="{4ECC762F-AE21-4E08-8DE5-1AF1C4D0D638}">
      <text>
        <r>
          <rPr>
            <b/>
            <sz val="9"/>
            <color indexed="81"/>
            <rFont val="Tahoma"/>
            <family val="2"/>
          </rPr>
          <t>Nicole Burstein:</t>
        </r>
        <r>
          <rPr>
            <sz val="9"/>
            <color indexed="81"/>
            <rFont val="Tahoma"/>
            <family val="2"/>
          </rPr>
          <t xml:space="preserve">
EI bak till 2014</t>
        </r>
      </text>
    </comment>
    <comment ref="Z338" authorId="116" shapeId="0" xr:uid="{FCB2F538-C4DD-4831-8285-6307939CABB2}">
      <text>
        <t>[Threaded comment]
Your version of Excel allows you to read this threaded comment; however, any edits to it will get removed if the file is opened in a newer version of Excel. Learn more: https://go.microsoft.com/fwlink/?linkid=870924
Comment:
    från EI</t>
      </text>
    </comment>
    <comment ref="X339" authorId="3" shapeId="0" xr:uid="{46E882B2-A362-4D79-9C6C-3A3B85229AB6}">
      <text>
        <r>
          <rPr>
            <b/>
            <sz val="9"/>
            <color indexed="81"/>
            <rFont val="Tahoma"/>
            <family val="2"/>
          </rPr>
          <t>Nicole Burstein:</t>
        </r>
        <r>
          <rPr>
            <sz val="9"/>
            <color indexed="81"/>
            <rFont val="Tahoma"/>
            <family val="2"/>
          </rPr>
          <t xml:space="preserve">
EI bak till 2015</t>
        </r>
      </text>
    </comment>
    <comment ref="Z339" authorId="117" shapeId="0" xr:uid="{8B5AEF22-99A3-439A-8371-6B004489F7B1}">
      <text>
        <t>[Threaded comment]
Your version of Excel allows you to read this threaded comment; however, any edits to it will get removed if the file is opened in a newer version of Excel. Learn more: https://go.microsoft.com/fwlink/?linkid=870924
Comment:
    från EI</t>
      </text>
    </comment>
    <comment ref="P341" authorId="10" shapeId="0" xr:uid="{00000000-0006-0000-0600-000024000000}">
      <text>
        <r>
          <rPr>
            <b/>
            <sz val="8"/>
            <color indexed="81"/>
            <rFont val="Tahoma"/>
            <family val="2"/>
          </rPr>
          <t>Sonya Trad:</t>
        </r>
        <r>
          <rPr>
            <sz val="8"/>
            <color indexed="81"/>
            <rFont val="Tahoma"/>
            <family val="2"/>
          </rPr>
          <t xml:space="preserve">
taget från EI</t>
        </r>
      </text>
    </comment>
    <comment ref="X342" authorId="3" shapeId="0" xr:uid="{054F4BED-BE55-42DD-BF39-2778012EE2F0}">
      <text>
        <r>
          <rPr>
            <b/>
            <sz val="9"/>
            <color indexed="81"/>
            <rFont val="Tahoma"/>
            <family val="2"/>
          </rPr>
          <t>Nicole Burstein:</t>
        </r>
        <r>
          <rPr>
            <sz val="9"/>
            <color indexed="81"/>
            <rFont val="Tahoma"/>
            <family val="2"/>
          </rPr>
          <t xml:space="preserve">
Från EI</t>
        </r>
      </text>
    </comment>
    <comment ref="T347" authorId="3" shapeId="0" xr:uid="{13667C7A-32EC-42CD-A7E8-BC2423E6C788}">
      <text>
        <r>
          <rPr>
            <b/>
            <sz val="9"/>
            <color indexed="81"/>
            <rFont val="Tahoma"/>
            <family val="2"/>
          </rPr>
          <t>Nicole Burstein:</t>
        </r>
        <r>
          <rPr>
            <sz val="9"/>
            <color indexed="81"/>
            <rFont val="Tahoma"/>
            <family val="2"/>
          </rPr>
          <t xml:space="preserve">
EI</t>
        </r>
      </text>
    </comment>
    <comment ref="X352" authorId="3" shapeId="0" xr:uid="{17CCD0DE-980C-4E4D-BF40-AEF709DF7D65}">
      <text>
        <r>
          <rPr>
            <b/>
            <sz val="9"/>
            <color indexed="81"/>
            <rFont val="Tahoma"/>
            <family val="2"/>
          </rPr>
          <t>Nicole Burstein:</t>
        </r>
        <r>
          <rPr>
            <sz val="9"/>
            <color indexed="81"/>
            <rFont val="Tahoma"/>
            <family val="2"/>
          </rPr>
          <t xml:space="preserve">
Från EI</t>
        </r>
      </text>
    </comment>
    <comment ref="Z352" authorId="118" shapeId="0" xr:uid="{F4B5AE4F-55A7-46B6-8E1B-05E30B026076}">
      <text>
        <t>[Threaded comment]
Your version of Excel allows you to read this threaded comment; however, any edits to it will get removed if the file is opened in a newer version of Excel. Learn more: https://go.microsoft.com/fwlink/?linkid=870924
Comment:
    från EI</t>
      </text>
    </comment>
    <comment ref="X356" authorId="119" shapeId="0" xr:uid="{2CD8FA0B-1AC3-4886-9705-FA2994D0C12E}">
      <text>
        <t>[Threaded comment]
Your version of Excel allows you to read this threaded comment; however, any edits to it will get removed if the file is opened in a newer version of Excel. Learn more: https://go.microsoft.com/fwlink/?linkid=870924
Comment:
    Från EI bakåt</t>
      </text>
    </comment>
    <comment ref="Z356" authorId="120" shapeId="0" xr:uid="{66473652-EEC7-4CFC-9685-6862D2DB1697}">
      <text>
        <t>[Threaded comment]
Your version of Excel allows you to read this threaded comment; however, any edits to it will get removed if the file is opened in a newer version of Excel. Learn more: https://go.microsoft.com/fwlink/?linkid=870924
Comment:
    från EI</t>
      </text>
    </comment>
    <comment ref="AB357" authorId="51" shapeId="0" xr:uid="{EB39B302-4CEF-4ECC-A5D6-D1922E61DCE7}">
      <text>
        <r>
          <rPr>
            <b/>
            <sz val="9"/>
            <color indexed="81"/>
            <rFont val="Tahoma"/>
            <family val="2"/>
          </rPr>
          <t>Felicia Östby
Ej rapporterat för 2021, siffror från EI</t>
        </r>
      </text>
    </comment>
    <comment ref="A361" authorId="121" shapeId="0" xr:uid="{ACE6E57C-7780-4929-AC6E-D6E465F56B65}">
      <text>
        <t>[Threaded comment]
Your version of Excel allows you to read this threaded comment; however, any edits to it will get removed if the file is opened in a newer version of Excel. Learn more: https://go.microsoft.com/fwlink/?linkid=870924
Comment:
    Bionär</t>
      </text>
    </comment>
    <comment ref="X361" authorId="3" shapeId="0" xr:uid="{137D7F6D-4245-40EC-9794-CC6DF22D06C6}">
      <text>
        <r>
          <rPr>
            <b/>
            <sz val="9"/>
            <color indexed="81"/>
            <rFont val="Tahoma"/>
            <family val="2"/>
          </rPr>
          <t>Nicole Burstein:</t>
        </r>
        <r>
          <rPr>
            <sz val="9"/>
            <color indexed="81"/>
            <rFont val="Tahoma"/>
            <family val="2"/>
          </rPr>
          <t xml:space="preserve">
Från EI</t>
        </r>
      </text>
    </comment>
    <comment ref="X366" authorId="3" shapeId="0" xr:uid="{160FCD26-93E0-4B6D-BFAC-137DF75BE39D}">
      <text>
        <r>
          <rPr>
            <b/>
            <sz val="9"/>
            <color indexed="81"/>
            <rFont val="Tahoma"/>
            <family val="2"/>
          </rPr>
          <t>Nicole Burstein:</t>
        </r>
        <r>
          <rPr>
            <sz val="9"/>
            <color indexed="81"/>
            <rFont val="Tahoma"/>
            <family val="2"/>
          </rPr>
          <t xml:space="preserve">
Inget i KVLN 2017</t>
        </r>
      </text>
    </comment>
    <comment ref="Q380" authorId="25" shapeId="0" xr:uid="{00000000-0006-0000-0600-000025000000}">
      <text>
        <r>
          <rPr>
            <b/>
            <sz val="9"/>
            <color indexed="81"/>
            <rFont val="Tahoma"/>
            <family val="2"/>
          </rPr>
          <t>David Holmström:</t>
        </r>
        <r>
          <rPr>
            <sz val="9"/>
            <color indexed="81"/>
            <rFont val="Tahoma"/>
            <family val="2"/>
          </rPr>
          <t xml:space="preserve">
Uppdaterad, 2015-09-26</t>
        </r>
      </text>
    </comment>
    <comment ref="A384" authorId="122" shapeId="0" xr:uid="{124AAA9A-71A1-48BF-BC29-2614C286D734}">
      <text>
        <t>[Threaded comment]
Your version of Excel allows you to read this threaded comment; however, any edits to it will get removed if the file is opened in a newer version of Excel. Learn more: https://go.microsoft.com/fwlink/?linkid=870924
Comment:
    Potentiellt Rindi
Reply:
    Har antaagligen slagits ihop med Karskoga 2016</t>
      </text>
    </comment>
    <comment ref="B384" authorId="123" shapeId="0" xr:uid="{DF737F6F-F6F4-47BB-82AE-2AD9590A7F19}">
      <text>
        <t>[Threaded comment]
Your version of Excel allows you to read this threaded comment; however, any edits to it will get removed if the file is opened in a newer version of Excel. Learn more: https://go.microsoft.com/fwlink/?linkid=870924
Comment:
    Potentiellt Rindi
Reply:
    Har antaagligen slagits ihop med Karskoga 2016</t>
      </text>
    </comment>
    <comment ref="X384" authorId="3" shapeId="0" xr:uid="{0DEBCC8D-3BCC-402E-8F95-AF1846287B33}">
      <text>
        <r>
          <rPr>
            <b/>
            <sz val="9"/>
            <color indexed="81"/>
            <rFont val="Tahoma"/>
            <family val="2"/>
          </rPr>
          <t>Nicole Burstein:</t>
        </r>
        <r>
          <rPr>
            <sz val="9"/>
            <color indexed="81"/>
            <rFont val="Tahoma"/>
            <family val="2"/>
          </rPr>
          <t xml:space="preserve">
Inget i KVLN 2017 eller 2016</t>
        </r>
      </text>
    </comment>
    <comment ref="W391" authorId="3" shapeId="0" xr:uid="{0A581CA1-F928-4A4A-91C5-14D3770945BF}">
      <text>
        <r>
          <rPr>
            <b/>
            <sz val="9"/>
            <color indexed="81"/>
            <rFont val="Tahoma"/>
            <family val="2"/>
          </rPr>
          <t>Nicole Burstein:</t>
        </r>
        <r>
          <rPr>
            <sz val="9"/>
            <color indexed="81"/>
            <rFont val="Tahoma"/>
            <family val="2"/>
          </rPr>
          <t xml:space="preserve">
Från EI bakåt
</t>
        </r>
      </text>
    </comment>
    <comment ref="A398" authorId="124" shapeId="0" xr:uid="{6340B1D6-D2F6-4965-8167-716F3A6C75CD}">
      <text>
        <t>[Threaded comment]
Your version of Excel allows you to read this threaded comment; however, any edits to it will get removed if the file is opened in a newer version of Excel. Learn more: https://go.microsoft.com/fwlink/?linkid=870924
Comment:
    Inklusive övriga nät</t>
      </text>
    </comment>
    <comment ref="W399" authorId="3" shapeId="0" xr:uid="{71E1ED12-9810-4CE6-BA0B-A6C4DD8F2D09}">
      <text>
        <r>
          <rPr>
            <b/>
            <sz val="9"/>
            <color indexed="81"/>
            <rFont val="Tahoma"/>
            <family val="2"/>
          </rPr>
          <t>Nicole Burstein:</t>
        </r>
        <r>
          <rPr>
            <sz val="9"/>
            <color indexed="81"/>
            <rFont val="Tahoma"/>
            <family val="2"/>
          </rPr>
          <t xml:space="preserve">
Från EI</t>
        </r>
      </text>
    </comment>
    <comment ref="X399" authorId="3" shapeId="0" xr:uid="{0FBA9C5B-9FC6-417F-89CF-C570F2C1E8C3}">
      <text>
        <r>
          <rPr>
            <b/>
            <sz val="9"/>
            <color indexed="81"/>
            <rFont val="Tahoma"/>
            <family val="2"/>
          </rPr>
          <t>Nicole Burstein:</t>
        </r>
        <r>
          <rPr>
            <sz val="9"/>
            <color indexed="81"/>
            <rFont val="Tahoma"/>
            <family val="2"/>
          </rPr>
          <t xml:space="preserve">
Från EI</t>
        </r>
      </text>
    </comment>
    <comment ref="Z399" authorId="125" shapeId="0" xr:uid="{B62B8125-7F08-40D3-9C60-1C74E79FD0E2}">
      <text>
        <t>[Threaded comment]
Your version of Excel allows you to read this threaded comment; however, any edits to it will get removed if the file is opened in a newer version of Excel. Learn more: https://go.microsoft.com/fwlink/?linkid=870924
Comment:
    från EI</t>
      </text>
    </comment>
    <comment ref="A401" authorId="3" shapeId="0" xr:uid="{9CE572D5-168C-4050-8E46-480B85A631B4}">
      <text>
        <r>
          <rPr>
            <b/>
            <sz val="9"/>
            <color indexed="81"/>
            <rFont val="Tahoma"/>
            <family val="2"/>
          </rPr>
          <t>Nicole Burstein:</t>
        </r>
        <r>
          <rPr>
            <sz val="9"/>
            <color indexed="81"/>
            <rFont val="Tahoma"/>
            <family val="2"/>
          </rPr>
          <t xml:space="preserve">
Ingår i V-ÅS nätet från 2017</t>
        </r>
      </text>
    </comment>
    <comment ref="B401" authorId="3" shapeId="0" xr:uid="{6D8B0C84-9E33-496F-992E-04514D733428}">
      <text>
        <r>
          <rPr>
            <b/>
            <sz val="9"/>
            <color indexed="81"/>
            <rFont val="Tahoma"/>
            <family val="2"/>
          </rPr>
          <t>Nicole Burstein:</t>
        </r>
        <r>
          <rPr>
            <sz val="9"/>
            <color indexed="81"/>
            <rFont val="Tahoma"/>
            <family val="2"/>
          </rPr>
          <t xml:space="preserve">
Ingår i V-ÅS nätet från 2017</t>
        </r>
      </text>
    </comment>
    <comment ref="X402" authorId="126" shapeId="0" xr:uid="{4E741BFD-6B98-4E98-89AC-8B2B236F0D4C}">
      <text>
        <t>[Threaded comment]
Your version of Excel allows you to read this threaded comment; however, any edits to it will get removed if the file is opened in a newer version of Excel. Learn more: https://go.microsoft.com/fwlink/?linkid=870924
Comment:
    Från EI bakåt</t>
      </text>
    </comment>
    <comment ref="Z402" authorId="127" shapeId="0" xr:uid="{FF0198CA-B254-42B3-BDBE-52E7CF7C0E56}">
      <text>
        <t>[Threaded comment]
Your version of Excel allows you to read this threaded comment; however, any edits to it will get removed if the file is opened in a newer version of Excel. Learn more: https://go.microsoft.com/fwlink/?linkid=870924
Comment:
    från EI</t>
      </text>
    </comment>
    <comment ref="X404" authorId="128" shapeId="0" xr:uid="{7EA6B3CB-AA82-4EF0-BED8-44D9B15E9442}">
      <text>
        <t>[Threaded comment]
Your version of Excel allows you to read this threaded comment; however, any edits to it will get removed if the file is opened in a newer version of Excel. Learn more: https://go.microsoft.com/fwlink/?linkid=870924
Comment:
    Från EI bakåt</t>
      </text>
    </comment>
    <comment ref="Z404" authorId="129" shapeId="0" xr:uid="{005AFAB9-F6BD-4503-BC64-53D02F2D1A00}">
      <text>
        <t>[Threaded comment]
Your version of Excel allows you to read this threaded comment; however, any edits to it will get removed if the file is opened in a newer version of Excel. Learn more: https://go.microsoft.com/fwlink/?linkid=870924
Comment:
    från EI</t>
      </text>
    </comment>
    <comment ref="Z405" authorId="130" shapeId="0" xr:uid="{B7D85E73-E1C4-4797-9927-1C489BBDDD8A}">
      <text>
        <t>[Threaded comment]
Your version of Excel allows you to read this threaded comment; however, any edits to it will get removed if the file is opened in a newer version of Excel. Learn more: https://go.microsoft.com/fwlink/?linkid=870924
Comment:
    EI Svenljunga korrelerar ej med rapporterade Svenljnga, därför har dessa lämnats tomma då vi inte vet vad mer de inkluderat</t>
      </text>
    </comment>
    <comment ref="X409" authorId="3" shapeId="0" xr:uid="{FAB5A989-6D0C-46D7-B10E-572D2305413A}">
      <text>
        <r>
          <rPr>
            <b/>
            <sz val="9"/>
            <color indexed="81"/>
            <rFont val="Tahoma"/>
            <family val="2"/>
          </rPr>
          <t>Nicole Burstein:</t>
        </r>
        <r>
          <rPr>
            <sz val="9"/>
            <color indexed="81"/>
            <rFont val="Tahoma"/>
            <family val="2"/>
          </rPr>
          <t xml:space="preserve">
Från EI</t>
        </r>
      </text>
    </comment>
    <comment ref="P410" authorId="10" shapeId="0" xr:uid="{00000000-0006-0000-0600-000027000000}">
      <text>
        <r>
          <rPr>
            <b/>
            <sz val="8"/>
            <color indexed="81"/>
            <rFont val="Tahoma"/>
            <family val="2"/>
          </rPr>
          <t>Sonya Trad:</t>
        </r>
        <r>
          <rPr>
            <sz val="8"/>
            <color indexed="81"/>
            <rFont val="Tahoma"/>
            <family val="2"/>
          </rPr>
          <t xml:space="preserve">
decimalfel
</t>
        </r>
      </text>
    </comment>
    <comment ref="A412" authorId="10" shapeId="0" xr:uid="{00000000-0006-0000-0600-000028000000}">
      <text>
        <r>
          <rPr>
            <b/>
            <sz val="8"/>
            <color indexed="81"/>
            <rFont val="Tahoma"/>
            <family val="2"/>
          </rPr>
          <t>Sonya Trad:</t>
        </r>
        <r>
          <rPr>
            <sz val="8"/>
            <color indexed="81"/>
            <rFont val="Tahoma"/>
            <family val="2"/>
          </rPr>
          <t xml:space="preserve">
Inkluderas i söderhamn</t>
        </r>
      </text>
    </comment>
    <comment ref="X414" authorId="131" shapeId="0" xr:uid="{FF63540D-39D2-4FDD-A8C7-1CE43E61FF51}">
      <text>
        <t>[Threaded comment]
Your version of Excel allows you to read this threaded comment; however, any edits to it will get removed if the file is opened in a newer version of Excel. Learn more: https://go.microsoft.com/fwlink/?linkid=870924
Comment:
    Från EI</t>
      </text>
    </comment>
    <comment ref="Z414" authorId="132" shapeId="0" xr:uid="{C3BE63A1-9D92-449A-B1B6-B7E9028E60C6}">
      <text>
        <t>[Threaded comment]
Your version of Excel allows you to read this threaded comment; however, any edits to it will get removed if the file is opened in a newer version of Excel. Learn more: https://go.microsoft.com/fwlink/?linkid=870924
Comment:
    från EI</t>
      </text>
    </comment>
    <comment ref="K417" authorId="3" shapeId="0" xr:uid="{3413D697-D816-40C5-B59B-B341BBC17B05}">
      <text>
        <r>
          <rPr>
            <b/>
            <sz val="9"/>
            <color indexed="81"/>
            <rFont val="Tahoma"/>
            <family val="2"/>
          </rPr>
          <t>Nicole Burstein:</t>
        </r>
        <r>
          <rPr>
            <sz val="9"/>
            <color indexed="81"/>
            <rFont val="Tahoma"/>
            <family val="2"/>
          </rPr>
          <t xml:space="preserve">
Innan 1000 mer, oklart?</t>
        </r>
      </text>
    </comment>
    <comment ref="L417" authorId="3" shapeId="0" xr:uid="{FDD3809C-0C55-478E-8E1B-04EFC82F301C}">
      <text>
        <r>
          <rPr>
            <b/>
            <sz val="9"/>
            <color indexed="81"/>
            <rFont val="Tahoma"/>
            <family val="2"/>
          </rPr>
          <t>Nicole Burstein:</t>
        </r>
        <r>
          <rPr>
            <sz val="9"/>
            <color indexed="81"/>
            <rFont val="Tahoma"/>
            <family val="2"/>
          </rPr>
          <t xml:space="preserve">
Innan 1000 mer (1741,57). Oklart?</t>
        </r>
      </text>
    </comment>
    <comment ref="R423" authorId="3" shapeId="0" xr:uid="{2EAF93B2-6119-4C97-BDE5-EE8AD8178432}">
      <text>
        <r>
          <rPr>
            <b/>
            <sz val="9"/>
            <color indexed="81"/>
            <rFont val="Tahoma"/>
            <family val="2"/>
          </rPr>
          <t>Nicole Burstein:</t>
        </r>
        <r>
          <rPr>
            <sz val="9"/>
            <color indexed="81"/>
            <rFont val="Tahoma"/>
            <family val="2"/>
          </rPr>
          <t xml:space="preserve">
EI</t>
        </r>
      </text>
    </comment>
    <comment ref="W423" authorId="133" shapeId="0" xr:uid="{4BEE4F42-5B4D-4C48-8322-589485D977FD}">
      <text>
        <t>[Threaded comment]
Your version of Excel allows you to read this threaded comment; however, any edits to it will get removed if the file is opened in a newer version of Excel. Learn more: https://go.microsoft.com/fwlink/?linkid=870924
Comment:
    Från EI bakåt</t>
      </text>
    </comment>
    <comment ref="R425" authorId="3" shapeId="0" xr:uid="{D7AFE7DB-5C7B-4049-BA4B-7C64328B0C97}">
      <text>
        <r>
          <rPr>
            <b/>
            <sz val="9"/>
            <color indexed="81"/>
            <rFont val="Tahoma"/>
            <family val="2"/>
          </rPr>
          <t>Nicole Burstein:</t>
        </r>
        <r>
          <rPr>
            <sz val="9"/>
            <color indexed="81"/>
            <rFont val="Tahoma"/>
            <family val="2"/>
          </rPr>
          <t xml:space="preserve">
EI</t>
        </r>
      </text>
    </comment>
    <comment ref="W425" authorId="134" shapeId="0" xr:uid="{5364F260-9DBC-45DB-A1CD-874F324C2704}">
      <text>
        <t>[Threaded comment]
Your version of Excel allows you to read this threaded comment; however, any edits to it will get removed if the file is opened in a newer version of Excel. Learn more: https://go.microsoft.com/fwlink/?linkid=870924
Comment:
    Från EI bakåt</t>
      </text>
    </comment>
    <comment ref="Y425" authorId="135" shapeId="0" xr:uid="{7F00077E-6764-4563-A4A9-95B66F8102B4}">
      <text>
        <t>[Threaded comment]
Your version of Excel allows you to read this threaded comment; however, any edits to it will get removed if the file is opened in a newer version of Excel. Learn more: https://go.microsoft.com/fwlink/?linkid=870924
Comment:
    Sålda värmen (Neova) gått till Tibro Kommun, ej medlemmar.</t>
      </text>
    </comment>
    <comment ref="A431" authorId="10" shapeId="0" xr:uid="{00000000-0006-0000-0600-000029000000}">
      <text>
        <r>
          <rPr>
            <b/>
            <sz val="8"/>
            <color indexed="81"/>
            <rFont val="Tahoma"/>
            <family val="2"/>
          </rPr>
          <t>Sonya Trad:</t>
        </r>
        <r>
          <rPr>
            <sz val="8"/>
            <color indexed="81"/>
            <rFont val="Tahoma"/>
            <family val="2"/>
          </rPr>
          <t xml:space="preserve">
1996-2003 lagt ihop Bergforsen, söråker och Östrand till Timrå</t>
        </r>
      </text>
    </comment>
    <comment ref="B431" authorId="10" shapeId="0" xr:uid="{6975F75A-8421-4E64-BB95-8B9D4C56FB65}">
      <text>
        <r>
          <rPr>
            <b/>
            <sz val="8"/>
            <color indexed="81"/>
            <rFont val="Tahoma"/>
            <family val="2"/>
          </rPr>
          <t>Sonya Trad:</t>
        </r>
        <r>
          <rPr>
            <sz val="8"/>
            <color indexed="81"/>
            <rFont val="Tahoma"/>
            <family val="2"/>
          </rPr>
          <t xml:space="preserve">
1996-2003 lagt ihop Bergforsen, söråker och Östrand till Timrå</t>
        </r>
      </text>
    </comment>
    <comment ref="K431" authorId="10" shapeId="0" xr:uid="{00000000-0006-0000-0600-00002A000000}">
      <text>
        <r>
          <rPr>
            <b/>
            <sz val="8"/>
            <color indexed="81"/>
            <rFont val="Tahoma"/>
            <family val="2"/>
          </rPr>
          <t>Sonya Trad:</t>
        </r>
        <r>
          <rPr>
            <sz val="8"/>
            <color indexed="81"/>
            <rFont val="Tahoma"/>
            <family val="2"/>
          </rPr>
          <t xml:space="preserve">
orgina l65,28 lagt på bergforsen och söråker</t>
        </r>
      </text>
    </comment>
    <comment ref="T431" authorId="3" shapeId="0" xr:uid="{35A02C78-9E62-4F43-AE48-EA654DA20D75}">
      <text>
        <r>
          <rPr>
            <b/>
            <sz val="9"/>
            <color indexed="81"/>
            <rFont val="Tahoma"/>
            <family val="2"/>
          </rPr>
          <t>Nicole Burstein:</t>
        </r>
        <r>
          <rPr>
            <sz val="9"/>
            <color indexed="81"/>
            <rFont val="Tahoma"/>
            <family val="2"/>
          </rPr>
          <t xml:space="preserve">
EI</t>
        </r>
      </text>
    </comment>
    <comment ref="X433" authorId="3" shapeId="0" xr:uid="{2C1F11B7-95F2-4545-BEE0-A0D7A655A9CB}">
      <text>
        <r>
          <rPr>
            <b/>
            <sz val="9"/>
            <color indexed="81"/>
            <rFont val="Tahoma"/>
            <family val="2"/>
          </rPr>
          <t>Nicole Burstein:</t>
        </r>
        <r>
          <rPr>
            <sz val="9"/>
            <color indexed="81"/>
            <rFont val="Tahoma"/>
            <family val="2"/>
          </rPr>
          <t xml:space="preserve">
Från EI (RINDI)</t>
        </r>
      </text>
    </comment>
    <comment ref="Z433" authorId="136" shapeId="0" xr:uid="{47C9D7DD-F6B3-4ED2-9660-39E72922BCEB}">
      <text>
        <t>[Threaded comment]
Your version of Excel allows you to read this threaded comment; however, any edits to it will get removed if the file is opened in a newer version of Excel. Learn more: https://go.microsoft.com/fwlink/?linkid=870924
Comment:
    från EI</t>
      </text>
    </comment>
    <comment ref="X434" authorId="3" shapeId="0" xr:uid="{D4CF4582-4CE3-4E81-AAC3-F41915225C17}">
      <text>
        <r>
          <rPr>
            <b/>
            <sz val="9"/>
            <color indexed="81"/>
            <rFont val="Tahoma"/>
            <family val="2"/>
          </rPr>
          <t>Nicole Burstein:</t>
        </r>
        <r>
          <rPr>
            <sz val="9"/>
            <color indexed="81"/>
            <rFont val="Tahoma"/>
            <family val="2"/>
          </rPr>
          <t xml:space="preserve">
Torsby kommun och Värmevärden torsby</t>
        </r>
      </text>
    </comment>
    <comment ref="Y434" authorId="137" shapeId="0" xr:uid="{E03165BA-0AB4-4A7C-877D-D390DB447073}">
      <text>
        <t>[Threaded comment]
Your version of Excel allows you to read this threaded comment; however, any edits to it will get removed if the file is opened in a newer version of Excel. Learn more: https://go.microsoft.com/fwlink/?linkid=870924
Comment:
    Både Torsby kommun och värmevärden</t>
      </text>
    </comment>
    <comment ref="A435" authorId="138" shapeId="0" xr:uid="{65C3380E-BB97-43A8-9A24-182C3F4B6602}">
      <text>
        <t>[Threaded comment]
Your version of Excel allows you to read this threaded comment; however, any edits to it will get removed if the file is opened in a newer version of Excel. Learn more: https://go.microsoft.com/fwlink/?linkid=870924
Comment:
    Ägs från 2014 av Bionär</t>
      </text>
    </comment>
    <comment ref="P435" authorId="10" shapeId="0" xr:uid="{00000000-0006-0000-0600-00002B000000}">
      <text>
        <r>
          <rPr>
            <b/>
            <sz val="8"/>
            <color indexed="81"/>
            <rFont val="Tahoma"/>
            <family val="2"/>
          </rPr>
          <t>Sonya Trad:</t>
        </r>
        <r>
          <rPr>
            <sz val="8"/>
            <color indexed="81"/>
            <rFont val="Tahoma"/>
            <family val="2"/>
          </rPr>
          <t xml:space="preserve">
taget från EI</t>
        </r>
      </text>
    </comment>
    <comment ref="S435" authorId="3" shapeId="0" xr:uid="{48A45B6D-B809-4589-91D4-34E143AB8092}">
      <text>
        <r>
          <rPr>
            <b/>
            <sz val="9"/>
            <color indexed="81"/>
            <rFont val="Tahoma"/>
            <family val="2"/>
          </rPr>
          <t>Nicole Burstein:</t>
        </r>
        <r>
          <rPr>
            <sz val="9"/>
            <color indexed="81"/>
            <rFont val="Tahoma"/>
            <family val="2"/>
          </rPr>
          <t xml:space="preserve">
EI</t>
        </r>
      </text>
    </comment>
    <comment ref="X435" authorId="3" shapeId="0" xr:uid="{344E2CD0-C312-4D66-A927-15BAC059C48C}">
      <text>
        <r>
          <rPr>
            <b/>
            <sz val="9"/>
            <color indexed="81"/>
            <rFont val="Tahoma"/>
            <family val="2"/>
          </rPr>
          <t>Nicole Burstein:</t>
        </r>
        <r>
          <rPr>
            <sz val="9"/>
            <color indexed="81"/>
            <rFont val="Tahoma"/>
            <family val="2"/>
          </rPr>
          <t xml:space="preserve">
EI bakåt</t>
        </r>
      </text>
    </comment>
    <comment ref="X437" authorId="3" shapeId="0" xr:uid="{8F865171-7A94-48CC-B58D-ADB539FAA37D}">
      <text>
        <r>
          <rPr>
            <b/>
            <sz val="9"/>
            <color indexed="81"/>
            <rFont val="Tahoma"/>
            <family val="2"/>
          </rPr>
          <t>Nicole Burstein:</t>
        </r>
        <r>
          <rPr>
            <sz val="9"/>
            <color indexed="81"/>
            <rFont val="Tahoma"/>
            <family val="2"/>
          </rPr>
          <t xml:space="preserve">
Från EI
</t>
        </r>
      </text>
    </comment>
    <comment ref="A446" authorId="3" shapeId="0" xr:uid="{B9C408FC-F882-4907-86D0-82FE99AF55BE}">
      <text>
        <r>
          <rPr>
            <b/>
            <sz val="9"/>
            <color indexed="81"/>
            <rFont val="Tahoma"/>
            <family val="2"/>
          </rPr>
          <t>Nicole Burstein:</t>
        </r>
        <r>
          <rPr>
            <sz val="9"/>
            <color indexed="81"/>
            <rFont val="Tahoma"/>
            <family val="2"/>
          </rPr>
          <t xml:space="preserve">
Både E.ON och Sthlm Exergi</t>
        </r>
      </text>
    </comment>
    <comment ref="A447" authorId="10" shapeId="0" xr:uid="{00000000-0006-0000-0600-00002C000000}">
      <text>
        <r>
          <rPr>
            <b/>
            <sz val="8"/>
            <color indexed="81"/>
            <rFont val="Tahoma"/>
            <family val="2"/>
          </rPr>
          <t>Sonya Trad:</t>
        </r>
        <r>
          <rPr>
            <sz val="8"/>
            <color indexed="81"/>
            <rFont val="Tahoma"/>
            <family val="2"/>
          </rPr>
          <t xml:space="preserve">
nytt separat nät från och med 2009</t>
        </r>
      </text>
    </comment>
    <comment ref="P451" authorId="10" shapeId="0" xr:uid="{00000000-0006-0000-0600-00002D000000}">
      <text>
        <r>
          <rPr>
            <b/>
            <sz val="8"/>
            <color indexed="81"/>
            <rFont val="Tahoma"/>
            <family val="2"/>
          </rPr>
          <t>Sonya Trad:</t>
        </r>
        <r>
          <rPr>
            <sz val="8"/>
            <color indexed="81"/>
            <rFont val="Tahoma"/>
            <family val="2"/>
          </rPr>
          <t xml:space="preserve">
decimalfel</t>
        </r>
      </text>
    </comment>
    <comment ref="R454" authorId="3" shapeId="0" xr:uid="{8A1FFE9A-D93C-4301-9D83-2A17AB4B874C}">
      <text>
        <r>
          <rPr>
            <b/>
            <sz val="9"/>
            <color indexed="81"/>
            <rFont val="Tahoma"/>
            <family val="2"/>
          </rPr>
          <t>Nicole Burstein:</t>
        </r>
        <r>
          <rPr>
            <sz val="9"/>
            <color indexed="81"/>
            <rFont val="Tahoma"/>
            <family val="2"/>
          </rPr>
          <t xml:space="preserve">
EI</t>
        </r>
      </text>
    </comment>
    <comment ref="S454" authorId="3" shapeId="0" xr:uid="{F01C8349-8DD6-4D4B-8F02-594AB40B51C1}">
      <text>
        <r>
          <rPr>
            <b/>
            <sz val="9"/>
            <color indexed="81"/>
            <rFont val="Tahoma"/>
            <family val="2"/>
          </rPr>
          <t>Nicole Burstein:</t>
        </r>
        <r>
          <rPr>
            <sz val="9"/>
            <color indexed="81"/>
            <rFont val="Tahoma"/>
            <family val="2"/>
          </rPr>
          <t xml:space="preserve">
EI</t>
        </r>
      </text>
    </comment>
    <comment ref="X454" authorId="3" shapeId="0" xr:uid="{3BA584BC-0F88-4CAE-A917-1BB0AA8E272A}">
      <text>
        <r>
          <rPr>
            <b/>
            <sz val="9"/>
            <color indexed="81"/>
            <rFont val="Tahoma"/>
            <family val="2"/>
          </rPr>
          <t>Nicole Burstein:</t>
        </r>
        <r>
          <rPr>
            <sz val="9"/>
            <color indexed="81"/>
            <rFont val="Tahoma"/>
            <family val="2"/>
          </rPr>
          <t xml:space="preserve">
Från EI</t>
        </r>
      </text>
    </comment>
    <comment ref="Z454" authorId="139" shapeId="0" xr:uid="{16B7951C-1F1B-4E6A-9F95-79295C65A9F4}">
      <text>
        <t>[Threaded comment]
Your version of Excel allows you to read this threaded comment; however, any edits to it will get removed if the file is opened in a newer version of Excel. Learn more: https://go.microsoft.com/fwlink/?linkid=870924
Comment:
    från EI</t>
      </text>
    </comment>
    <comment ref="R458" authorId="3" shapeId="0" xr:uid="{437894F2-9824-4B4E-93A9-3D4FEE0B6C0A}">
      <text>
        <r>
          <rPr>
            <b/>
            <sz val="9"/>
            <color indexed="81"/>
            <rFont val="Tahoma"/>
            <family val="2"/>
          </rPr>
          <t>Nicole Burstein:</t>
        </r>
        <r>
          <rPr>
            <sz val="9"/>
            <color indexed="81"/>
            <rFont val="Tahoma"/>
            <family val="2"/>
          </rPr>
          <t xml:space="preserve">
EI</t>
        </r>
      </text>
    </comment>
    <comment ref="W458" authorId="3" shapeId="0" xr:uid="{370C4CAF-EBB9-4C89-8685-C21FFE682AA3}">
      <text>
        <r>
          <rPr>
            <b/>
            <sz val="9"/>
            <color indexed="81"/>
            <rFont val="Tahoma"/>
            <family val="2"/>
          </rPr>
          <t>Nicole Burstein:</t>
        </r>
        <r>
          <rPr>
            <sz val="9"/>
            <color indexed="81"/>
            <rFont val="Tahoma"/>
            <family val="2"/>
          </rPr>
          <t xml:space="preserve">
EI bakåt</t>
        </r>
      </text>
    </comment>
    <comment ref="A459" authorId="140" shapeId="0" xr:uid="{796B249C-5F00-4A20-AE4A-BAA712D3092F}">
      <text>
        <t>[Threaded comment]
Your version of Excel allows you to read this threaded comment; however, any edits to it will get removed if the file is opened in a newer version of Excel. Learn more: https://go.microsoft.com/fwlink/?linkid=870924
Comment:
    Tillhör gimmersta</t>
      </text>
    </comment>
    <comment ref="X459" authorId="3" shapeId="0" xr:uid="{AC765A99-4386-40C7-8E6E-843515F629BF}">
      <text>
        <r>
          <rPr>
            <b/>
            <sz val="9"/>
            <color indexed="81"/>
            <rFont val="Tahoma"/>
            <family val="2"/>
          </rPr>
          <t>Nicole Burstein:</t>
        </r>
        <r>
          <rPr>
            <sz val="9"/>
            <color indexed="81"/>
            <rFont val="Tahoma"/>
            <family val="2"/>
          </rPr>
          <t xml:space="preserve">
Från EI bakåt</t>
        </r>
      </text>
    </comment>
    <comment ref="Z459" authorId="141" shapeId="0" xr:uid="{F6422DAC-B933-4FCF-9E7F-28B05D25CAC5}">
      <text>
        <t>[Threaded comment]
Your version of Excel allows you to read this threaded comment; however, any edits to it will get removed if the file is opened in a newer version of Excel. Learn more: https://go.microsoft.com/fwlink/?linkid=870924
Comment:
    från EI</t>
      </text>
    </comment>
    <comment ref="W461" authorId="3" shapeId="0" xr:uid="{A5EAB3D5-64FA-45B1-AD89-7147CB21875E}">
      <text>
        <r>
          <rPr>
            <b/>
            <sz val="9"/>
            <color indexed="81"/>
            <rFont val="Tahoma"/>
            <family val="2"/>
          </rPr>
          <t>Nicole Burstein:</t>
        </r>
        <r>
          <rPr>
            <sz val="9"/>
            <color indexed="81"/>
            <rFont val="Tahoma"/>
            <family val="2"/>
          </rPr>
          <t xml:space="preserve">
Från EI</t>
        </r>
      </text>
    </comment>
    <comment ref="X461" authorId="3" shapeId="0" xr:uid="{D0D7071D-46D9-4DDF-B142-2F18A8FDC85A}">
      <text>
        <r>
          <rPr>
            <b/>
            <sz val="9"/>
            <color indexed="81"/>
            <rFont val="Tahoma"/>
            <family val="2"/>
          </rPr>
          <t>Nicole Burstein:</t>
        </r>
        <r>
          <rPr>
            <sz val="9"/>
            <color indexed="81"/>
            <rFont val="Tahoma"/>
            <family val="2"/>
          </rPr>
          <t xml:space="preserve">
Finns ej hos EI</t>
        </r>
      </text>
    </comment>
    <comment ref="R462" authorId="3" shapeId="0" xr:uid="{21ECA46F-9EA0-4891-B026-61A28FE3E98A}">
      <text>
        <r>
          <rPr>
            <b/>
            <sz val="9"/>
            <color indexed="81"/>
            <rFont val="Tahoma"/>
            <family val="2"/>
          </rPr>
          <t>Nicole Burstein:</t>
        </r>
        <r>
          <rPr>
            <sz val="9"/>
            <color indexed="81"/>
            <rFont val="Tahoma"/>
            <family val="2"/>
          </rPr>
          <t xml:space="preserve">
EI</t>
        </r>
      </text>
    </comment>
    <comment ref="S466" authorId="142" shapeId="0" xr:uid="{FFD2862E-F464-4461-A6EE-B79897AFBC64}">
      <text>
        <t>[Threaded comment]
Your version of Excel allows you to read this threaded comment; however, any edits to it will get removed if the file is opened in a newer version of Excel. Learn more: https://go.microsoft.com/fwlink/?linkid=870924
Comment:
    Från EI</t>
      </text>
    </comment>
    <comment ref="X470" authorId="143" shapeId="0" xr:uid="{FFCA160A-FFF1-412F-8196-C0F601602916}">
      <text>
        <t>[Threaded comment]
Your version of Excel allows you to read this threaded comment; however, any edits to it will get removed if the file is opened in a newer version of Excel. Learn more: https://go.microsoft.com/fwlink/?linkid=870924
Comment:
    Från EI tom 2013</t>
      </text>
    </comment>
    <comment ref="R473" authorId="3" shapeId="0" xr:uid="{EDA16699-DD78-49F6-8379-6086DB3D1F1F}">
      <text>
        <r>
          <rPr>
            <b/>
            <sz val="9"/>
            <color indexed="81"/>
            <rFont val="Tahoma"/>
            <family val="2"/>
          </rPr>
          <t>Nicole Burstein:</t>
        </r>
        <r>
          <rPr>
            <sz val="9"/>
            <color indexed="81"/>
            <rFont val="Tahoma"/>
            <family val="2"/>
          </rPr>
          <t xml:space="preserve">
EI</t>
        </r>
      </text>
    </comment>
    <comment ref="X473" authorId="3" shapeId="0" xr:uid="{D60EDCDC-1ADC-4E0A-A5FD-A1CB26762438}">
      <text>
        <r>
          <rPr>
            <b/>
            <sz val="9"/>
            <color indexed="81"/>
            <rFont val="Tahoma"/>
            <family val="2"/>
          </rPr>
          <t>Nicole Burstein:</t>
        </r>
        <r>
          <rPr>
            <sz val="9"/>
            <color indexed="81"/>
            <rFont val="Tahoma"/>
            <family val="2"/>
          </rPr>
          <t xml:space="preserve">
Från EI</t>
        </r>
      </text>
    </comment>
    <comment ref="Z473" authorId="144" shapeId="0" xr:uid="{8281B7F9-F2CB-4FF1-8992-F648144E1CB8}">
      <text>
        <t>[Threaded comment]
Your version of Excel allows you to read this threaded comment; however, any edits to it will get removed if the file is opened in a newer version of Excel. Learn more: https://go.microsoft.com/fwlink/?linkid=870924
Comment:
    från EI</t>
      </text>
    </comment>
    <comment ref="Q475" authorId="3" shapeId="0" xr:uid="{85A47643-8B4C-4452-9278-1FEFBC16F677}">
      <text>
        <r>
          <rPr>
            <b/>
            <sz val="9"/>
            <color indexed="81"/>
            <rFont val="Tahoma"/>
            <family val="2"/>
          </rPr>
          <t>Nicole Burstein:</t>
        </r>
        <r>
          <rPr>
            <sz val="9"/>
            <color indexed="81"/>
            <rFont val="Tahoma"/>
            <family val="2"/>
          </rPr>
          <t xml:space="preserve">
EI</t>
        </r>
      </text>
    </comment>
    <comment ref="S475" authorId="145" shapeId="0" xr:uid="{61DC7745-E458-4524-9156-D51459631537}">
      <text>
        <t>[Threaded comment]
Your version of Excel allows you to read this threaded comment; however, any edits to it will get removed if the file is opened in a newer version of Excel. Learn more: https://go.microsoft.com/fwlink/?linkid=870924
Comment:
    Från EI</t>
      </text>
    </comment>
    <comment ref="V477" authorId="146" shapeId="0" xr:uid="{E81B5B4D-CC00-47A8-8127-41C305CAF514}">
      <text>
        <t>[Threaded comment]
Your version of Excel allows you to read this threaded comment; however, any edits to it will get removed if the file is opened in a newer version of Excel. Learn more: https://go.microsoft.com/fwlink/?linkid=870924
Comment:
    Från EI tom. 2012</t>
      </text>
    </comment>
    <comment ref="AC479" authorId="51" shapeId="0" xr:uid="{28070174-6C5B-4C4D-BA5A-6EE9F6DB4EE5}">
      <text>
        <r>
          <rPr>
            <b/>
            <sz val="9"/>
            <color indexed="81"/>
            <rFont val="Tahoma"/>
            <family val="2"/>
          </rPr>
          <t>Felicia Östby:</t>
        </r>
        <r>
          <rPr>
            <sz val="9"/>
            <color indexed="81"/>
            <rFont val="Tahoma"/>
            <family val="2"/>
          </rPr>
          <t xml:space="preserve">
Ihopslaget med Kiruna C sen 2022</t>
        </r>
      </text>
    </comment>
    <comment ref="X481" authorId="3" shapeId="0" xr:uid="{E1862D21-6387-41E5-B23C-02B9BA556B86}">
      <text>
        <r>
          <rPr>
            <b/>
            <sz val="9"/>
            <color indexed="81"/>
            <rFont val="Tahoma"/>
            <family val="2"/>
          </rPr>
          <t>Nicole Burstein:</t>
        </r>
        <r>
          <rPr>
            <sz val="9"/>
            <color indexed="81"/>
            <rFont val="Tahoma"/>
            <family val="2"/>
          </rPr>
          <t xml:space="preserve">
Ojämn rapportering</t>
        </r>
      </text>
    </comment>
    <comment ref="AA481" authorId="147" shapeId="0" xr:uid="{C8DF2210-48B9-41F1-9560-E057D69DA195}">
      <text>
        <t>[Threaded comment]
Your version of Excel allows you to read this threaded comment; however, any edits to it will get removed if the file is opened in a newer version of Excel. Learn more: https://go.microsoft.com/fwlink/?linkid=870924
Comment:
    Stämmer ej överrens med EI framåt.. Något räknas olika hos EI vs oss.</t>
      </text>
    </comment>
    <comment ref="A484" authorId="148" shapeId="0" xr:uid="{1C3C96A1-3B04-4437-B1A2-3BDE495904E1}">
      <text>
        <t>[Threaded comment]
Your version of Excel allows you to read this threaded comment; however, any edits to it will get removed if the file is opened in a newer version of Excel. Learn more: https://go.microsoft.com/fwlink/?linkid=870924
Comment:
    Bionär</t>
      </text>
    </comment>
    <comment ref="Q484" authorId="3" shapeId="0" xr:uid="{96BD2C09-2D98-4FCC-8270-6D3DAF3E5202}">
      <text>
        <r>
          <rPr>
            <b/>
            <sz val="9"/>
            <color indexed="81"/>
            <rFont val="Tahoma"/>
            <family val="2"/>
          </rPr>
          <t>Nicole Burstein:</t>
        </r>
        <r>
          <rPr>
            <sz val="9"/>
            <color indexed="81"/>
            <rFont val="Tahoma"/>
            <family val="2"/>
          </rPr>
          <t xml:space="preserve">
EI</t>
        </r>
      </text>
    </comment>
    <comment ref="R484" authorId="3" shapeId="0" xr:uid="{E09A430F-F1B8-4AC3-A9BE-E26264C45F9B}">
      <text>
        <r>
          <rPr>
            <b/>
            <sz val="9"/>
            <color indexed="81"/>
            <rFont val="Tahoma"/>
            <family val="2"/>
          </rPr>
          <t>Nicole Burstein:</t>
        </r>
        <r>
          <rPr>
            <sz val="9"/>
            <color indexed="81"/>
            <rFont val="Tahoma"/>
            <family val="2"/>
          </rPr>
          <t xml:space="preserve">
EI</t>
        </r>
      </text>
    </comment>
    <comment ref="X484" authorId="3" shapeId="0" xr:uid="{63BAD2CD-BBE9-4EFD-9FA7-6D4CDB3274E2}">
      <text>
        <r>
          <rPr>
            <b/>
            <sz val="9"/>
            <color indexed="81"/>
            <rFont val="Tahoma"/>
            <family val="2"/>
          </rPr>
          <t xml:space="preserve">Nicole Burstein:
</t>
        </r>
        <r>
          <rPr>
            <sz val="9"/>
            <color indexed="81"/>
            <rFont val="Tahoma"/>
            <family val="2"/>
          </rPr>
          <t>Från EI</t>
        </r>
      </text>
    </comment>
    <comment ref="Z484" authorId="149" shapeId="0" xr:uid="{D719DA50-7AD8-454A-BC16-4552542DC7EA}">
      <text>
        <t>[Threaded comment]
Your version of Excel allows you to read this threaded comment; however, any edits to it will get removed if the file is opened in a newer version of Excel. Learn more: https://go.microsoft.com/fwlink/?linkid=870924
Comment:
    från EI</t>
      </text>
    </comment>
    <comment ref="X485" authorId="150" shapeId="0" xr:uid="{5CD10562-D737-43C5-A0EA-19ECAF953394}">
      <text>
        <t>[Threaded comment]
Your version of Excel allows you to read this threaded comment; however, any edits to it will get removed if the file is opened in a newer version of Excel. Learn more: https://go.microsoft.com/fwlink/?linkid=870924
Comment:
    Från EI tom 2013</t>
      </text>
    </comment>
    <comment ref="Z485" authorId="151" shapeId="0" xr:uid="{58F2AB27-1682-4791-BB3A-F77A75CA7B31}">
      <text>
        <t>[Threaded comment]
Your version of Excel allows you to read this threaded comment; however, any edits to it will get removed if the file is opened in a newer version of Excel. Learn more: https://go.microsoft.com/fwlink/?linkid=870924
Comment:
    från EI</t>
      </text>
    </comment>
    <comment ref="A487" authorId="152" shapeId="0" xr:uid="{0E6FD902-35BE-48F4-96CE-49AA3073DB84}">
      <text>
        <t>[Threaded comment]
Your version of Excel allows you to read this threaded comment; however, any edits to it will get removed if the file is opened in a newer version of Excel. Learn more: https://go.microsoft.com/fwlink/?linkid=870924
Comment:
    Inkluderar Bor och LAnna från 2018</t>
      </text>
    </comment>
    <comment ref="A492" authorId="3" shapeId="0" xr:uid="{903B4389-638B-49C2-9303-F0465FD8917A}">
      <text>
        <r>
          <rPr>
            <b/>
            <sz val="9"/>
            <color indexed="81"/>
            <rFont val="Tahoma"/>
            <family val="2"/>
          </rPr>
          <t>Nicole Burstein:</t>
        </r>
        <r>
          <rPr>
            <sz val="9"/>
            <color indexed="81"/>
            <rFont val="Tahoma"/>
            <family val="2"/>
          </rPr>
          <t xml:space="preserve">
Västerås+Västerås miljömärkt
</t>
        </r>
      </text>
    </comment>
    <comment ref="T499" authorId="3" shapeId="0" xr:uid="{7D4B9C44-DC33-4543-AECA-E8D103CEFECB}">
      <text>
        <r>
          <rPr>
            <b/>
            <sz val="9"/>
            <color indexed="81"/>
            <rFont val="Tahoma"/>
            <family val="2"/>
          </rPr>
          <t>Nicole Burstein:</t>
        </r>
        <r>
          <rPr>
            <sz val="9"/>
            <color indexed="81"/>
            <rFont val="Tahoma"/>
            <family val="2"/>
          </rPr>
          <t xml:space="preserve">
Från EI</t>
        </r>
      </text>
    </comment>
    <comment ref="R502" authorId="3" shapeId="0" xr:uid="{19BC756F-E536-4665-9F7C-CBE988EF6318}">
      <text>
        <r>
          <rPr>
            <b/>
            <sz val="9"/>
            <color indexed="81"/>
            <rFont val="Tahoma"/>
            <family val="2"/>
          </rPr>
          <t>Nicole Burstein:</t>
        </r>
        <r>
          <rPr>
            <sz val="9"/>
            <color indexed="81"/>
            <rFont val="Tahoma"/>
            <family val="2"/>
          </rPr>
          <t xml:space="preserve">
EI</t>
        </r>
      </text>
    </comment>
    <comment ref="S502" authorId="3" shapeId="0" xr:uid="{8B82C721-685B-4223-BB4F-F1428CB48208}">
      <text>
        <r>
          <rPr>
            <b/>
            <sz val="9"/>
            <color indexed="81"/>
            <rFont val="Tahoma"/>
            <family val="2"/>
          </rPr>
          <t>Nicole Burstein:</t>
        </r>
        <r>
          <rPr>
            <sz val="9"/>
            <color indexed="81"/>
            <rFont val="Tahoma"/>
            <family val="2"/>
          </rPr>
          <t xml:space="preserve">
EI</t>
        </r>
      </text>
    </comment>
    <comment ref="X503" authorId="153" shapeId="0" xr:uid="{7ADDB03C-7203-4E25-8745-21208480EBD3}">
      <text>
        <t>[Threaded comment]
Your version of Excel allows you to read this threaded comment; however, any edits to it will get removed if the file is opened in a newer version of Excel. Learn more: https://go.microsoft.com/fwlink/?linkid=870924
Comment:
    Från EI bakåt</t>
      </text>
    </comment>
    <comment ref="Z503" authorId="154" shapeId="0" xr:uid="{103C76C6-3F7D-4BDE-AD30-C73C5D6E315F}">
      <text>
        <t>[Threaded comment]
Your version of Excel allows you to read this threaded comment; however, any edits to it will get removed if the file is opened in a newer version of Excel. Learn more: https://go.microsoft.com/fwlink/?linkid=870924
Comment:
    från EI</t>
      </text>
    </comment>
    <comment ref="W504" authorId="155" shapeId="0" xr:uid="{30860199-1657-4561-88E7-074504C7DE12}">
      <text>
        <t>[Threaded comment]
Your version of Excel allows you to read this threaded comment; however, any edits to it will get removed if the file is opened in a newer version of Excel. Learn more: https://go.microsoft.com/fwlink/?linkid=870924
Comment:
    EI tom. 2012</t>
      </text>
    </comment>
    <comment ref="U508" authorId="156" shapeId="0" xr:uid="{A8A61354-750B-434D-A138-8229769C18CE}">
      <text>
        <t>[Threaded comment]
Your version of Excel allows you to read this threaded comment; however, any edits to it will get removed if the file is opened in a newer version of Excel. Learn more: https://go.microsoft.com/fwlink/?linkid=870924
Comment:
    Från EI Rindi</t>
      </text>
    </comment>
    <comment ref="X508" authorId="157" shapeId="0" xr:uid="{0619BFB0-87C6-459A-BDBB-E6B03736866B}">
      <text>
        <t>[Threaded comment]
Your version of Excel allows you to read this threaded comment; however, any edits to it will get removed if the file is opened in a newer version of Excel. Learn more: https://go.microsoft.com/fwlink/?linkid=870924
Comment:
    Från EI Solör</t>
      </text>
    </comment>
    <comment ref="Z508" authorId="158" shapeId="0" xr:uid="{8CC472E8-4672-48EE-B55B-C7940906E9D2}">
      <text>
        <t>[Threaded comment]
Your version of Excel allows you to read this threaded comment; however, any edits to it will get removed if the file is opened in a newer version of Excel. Learn more: https://go.microsoft.com/fwlink/?linkid=870924
Comment:
    stämmer med EI</t>
      </text>
    </comment>
    <comment ref="A509" authorId="159" shapeId="0" xr:uid="{4A8BBE32-5B48-4637-8157-DC53A2605059}">
      <text>
        <t>[Threaded comment]
Your version of Excel allows you to read this threaded comment; however, any edits to it will get removed if the file is opened in a newer version of Excel. Learn more: https://go.microsoft.com/fwlink/?linkid=870924
Comment:
    Bionär</t>
      </text>
    </comment>
    <comment ref="X509" authorId="160" shapeId="0" xr:uid="{7596F97D-FC2E-4B01-875C-3F04E8C38A1D}">
      <text>
        <t>[Threaded comment]
Your version of Excel allows you to read this threaded comment; however, any edits to it will get removed if the file is opened in a newer version of Excel. Learn more: https://go.microsoft.com/fwlink/?linkid=870924
Comment:
    Från EI</t>
      </text>
    </comment>
    <comment ref="Z509" authorId="161" shapeId="0" xr:uid="{761F38BB-6761-4EAB-B9AB-42FA1AB3F07A}">
      <text>
        <t>[Threaded comment]
Your version of Excel allows you to read this threaded comment; however, any edits to it will get removed if the file is opened in a newer version of Excel. Learn more: https://go.microsoft.com/fwlink/?linkid=870924
Comment:
    från EI</t>
      </text>
    </comment>
    <comment ref="A510" authorId="162" shapeId="0" xr:uid="{73915AC5-91E7-4457-8AC9-3CDBED91A85F}">
      <text>
        <t>[Threaded comment]
Your version of Excel allows you to read this threaded comment; however, any edits to it will get removed if the file is opened in a newer version of Excel. Learn more: https://go.microsoft.com/fwlink/?linkid=870924
Comment:
    Älvsbyns Energi</t>
      </text>
    </comment>
    <comment ref="N510" authorId="10" shapeId="0" xr:uid="{00000000-0006-0000-0600-00002E000000}">
      <text>
        <r>
          <rPr>
            <b/>
            <sz val="8"/>
            <color indexed="81"/>
            <rFont val="Tahoma"/>
            <family val="2"/>
          </rPr>
          <t>Sonya Trad:</t>
        </r>
        <r>
          <rPr>
            <sz val="8"/>
            <color indexed="81"/>
            <rFont val="Tahoma"/>
            <family val="2"/>
          </rPr>
          <t xml:space="preserve">
Enl EI särskildarapporten</t>
        </r>
      </text>
    </comment>
    <comment ref="O510" authorId="10" shapeId="0" xr:uid="{00000000-0006-0000-0600-00002F000000}">
      <text>
        <r>
          <rPr>
            <b/>
            <sz val="8"/>
            <color indexed="81"/>
            <rFont val="Tahoma"/>
            <family val="2"/>
          </rPr>
          <t>Sonya Trad:</t>
        </r>
        <r>
          <rPr>
            <sz val="8"/>
            <color indexed="81"/>
            <rFont val="Tahoma"/>
            <family val="2"/>
          </rPr>
          <t xml:space="preserve">
enl årsredovisning 2009</t>
        </r>
      </text>
    </comment>
    <comment ref="X510" authorId="163" shapeId="0" xr:uid="{A3814C72-F0BD-402D-825A-CF8F71693089}">
      <text>
        <t>[Threaded comment]
Your version of Excel allows you to read this threaded comment; however, any edits to it will get removed if the file is opened in a newer version of Excel. Learn more: https://go.microsoft.com/fwlink/?linkid=870924
Comment:
    Från EI bakåt</t>
      </text>
    </comment>
    <comment ref="Z510" authorId="164" shapeId="0" xr:uid="{E99302DB-45F9-4A9D-BA5E-5FB18B39F34D}">
      <text>
        <t>[Threaded comment]
Your version of Excel allows you to read this threaded comment; however, any edits to it will get removed if the file is opened in a newer version of Excel. Learn more: https://go.microsoft.com/fwlink/?linkid=870924
Comment:
    Från EI</t>
      </text>
    </comment>
    <comment ref="N514" authorId="3" shapeId="0" xr:uid="{86470228-17B9-4E18-A869-1A6D26D7B59C}">
      <text>
        <r>
          <rPr>
            <b/>
            <sz val="9"/>
            <color indexed="81"/>
            <rFont val="Tahoma"/>
            <family val="2"/>
          </rPr>
          <t>Nicole Burstein:</t>
        </r>
        <r>
          <rPr>
            <sz val="9"/>
            <color indexed="81"/>
            <rFont val="Tahoma"/>
            <family val="2"/>
          </rPr>
          <t xml:space="preserve">
Tierp hade ingen data</t>
        </r>
      </text>
    </comment>
    <comment ref="W514" authorId="3" shapeId="0" xr:uid="{8247633F-9DA2-4ABE-9E84-AA85E8E42781}">
      <text>
        <r>
          <rPr>
            <b/>
            <sz val="9"/>
            <color indexed="81"/>
            <rFont val="Tahoma"/>
            <family val="2"/>
          </rPr>
          <t>Nicole Burstein:</t>
        </r>
        <r>
          <rPr>
            <sz val="9"/>
            <color indexed="81"/>
            <rFont val="Tahoma"/>
            <family val="2"/>
          </rPr>
          <t xml:space="preserve">
Från EI
</t>
        </r>
      </text>
    </comment>
    <comment ref="Q516" authorId="3" shapeId="0" xr:uid="{1F4893E2-7906-4FCD-B0B2-623DE2960C6E}">
      <text>
        <r>
          <rPr>
            <b/>
            <sz val="9"/>
            <color indexed="81"/>
            <rFont val="Tahoma"/>
            <family val="2"/>
          </rPr>
          <t>Nicole Burstein:</t>
        </r>
        <r>
          <rPr>
            <sz val="9"/>
            <color indexed="81"/>
            <rFont val="Tahoma"/>
            <family val="2"/>
          </rPr>
          <t xml:space="preserve">
Uträknad exl. processånga</t>
        </r>
      </text>
    </comment>
    <comment ref="R516" authorId="3" shapeId="0" xr:uid="{8F2D730B-CB45-45DE-9280-78FA621E6262}">
      <text>
        <r>
          <rPr>
            <b/>
            <sz val="9"/>
            <color indexed="81"/>
            <rFont val="Tahoma"/>
            <family val="2"/>
          </rPr>
          <t>Nicole Burstein:</t>
        </r>
        <r>
          <rPr>
            <sz val="9"/>
            <color indexed="81"/>
            <rFont val="Tahoma"/>
            <family val="2"/>
          </rPr>
          <t xml:space="preserve">
Uträknad</t>
        </r>
      </text>
    </comment>
    <comment ref="T516" authorId="3" shapeId="0" xr:uid="{762709CB-3C44-4698-9A5F-66BAB763F230}">
      <text>
        <r>
          <rPr>
            <b/>
            <sz val="9"/>
            <color indexed="81"/>
            <rFont val="Tahoma"/>
            <family val="2"/>
          </rPr>
          <t>Nicole Burstein:</t>
        </r>
        <r>
          <rPr>
            <sz val="9"/>
            <color indexed="81"/>
            <rFont val="Tahoma"/>
            <family val="2"/>
          </rPr>
          <t xml:space="preserve">
Uträknad exl. processånga</t>
        </r>
      </text>
    </comment>
    <comment ref="R518" authorId="165" shapeId="0" xr:uid="{D9FEB8FE-665B-4328-817F-364DAB567A9A}">
      <text>
        <t>[Threaded comment]
Your version of Excel allows you to read this threaded comment; however, any edits to it will get removed if the file is opened in a newer version of Excel. Learn more: https://go.microsoft.com/fwlink/?linkid=870924
Comment:
    Schablonmässigt fördelad bakåt enligt % i KVLN 2018 mot total för Gimo Östhammar, österbybruk från  EI.</t>
      </text>
    </comment>
    <comment ref="W518" authorId="166" shapeId="0" xr:uid="{CF06A1B7-7AAA-479D-88D7-52217E10F792}">
      <text>
        <t>[Threaded comment]
Your version of Excel allows you to read this threaded comment; however, any edits to it will get removed if the file is opened in a newer version of Excel. Learn more: https://go.microsoft.com/fwlink/?linkid=870924
Comment:
    Schablonmässigt fördelad bakåt enligt % i KVLN 2018 mot total för Gimo Östhammar, österbybruk från  EI.</t>
      </text>
    </comment>
    <comment ref="A521" authorId="167" shapeId="0" xr:uid="{73EF6943-7699-4EA3-8536-5E022C387CC9}">
      <text>
        <t>[Threaded comment]
Your version of Excel allows you to read this threaded comment; however, any edits to it will get removed if the file is opened in a newer version of Excel. Learn more: https://go.microsoft.com/fwlink/?linkid=870924
Comment:
    Tidigare Östhammar Frösåker</t>
      </text>
    </comment>
    <comment ref="R521" authorId="168" shapeId="0" xr:uid="{803BF268-F662-436D-9FA4-2864A48B45B7}">
      <text>
        <t>[Threaded comment]
Your version of Excel allows you to read this threaded comment; however, any edits to it will get removed if the file is opened in a newer version of Excel. Learn more: https://go.microsoft.com/fwlink/?linkid=870924
Comment:
    Schablonmässigt fördelad bakåt enligt % i KVLN 2018 mot total för Gimo Östhammar, österbybruk från  EI.</t>
      </text>
    </comment>
    <comment ref="W521" authorId="169" shapeId="0" xr:uid="{B8B5B002-2B80-4703-B64F-832B0247EF9C}">
      <text>
        <t>[Threaded comment]
Your version of Excel allows you to read this threaded comment; however, any edits to it will get removed if the file is opened in a newer version of Excel. Learn more: https://go.microsoft.com/fwlink/?linkid=870924
Comment:
    Schablonmässigt fördelad bakåt enligt % i KVLN 2018 mot total för Gimo Östhammar, österbybruk från  EI.</t>
      </text>
    </comment>
    <comment ref="X522" authorId="3" shapeId="0" xr:uid="{BB6C94EF-B1CA-4433-B8A3-D137C2CBC669}">
      <text>
        <r>
          <rPr>
            <b/>
            <sz val="9"/>
            <color indexed="81"/>
            <rFont val="Tahoma"/>
            <family val="2"/>
          </rPr>
          <t>Nicole Burstein:</t>
        </r>
        <r>
          <rPr>
            <sz val="9"/>
            <color indexed="81"/>
            <rFont val="Tahoma"/>
            <family val="2"/>
          </rPr>
          <t xml:space="preserve">
Från EI tom 2012</t>
        </r>
      </text>
    </comment>
    <comment ref="Z522" authorId="170" shapeId="0" xr:uid="{A442B86C-617F-4CE7-B17A-7EA4BCE5D934}">
      <text>
        <t>[Threaded comment]
Your version of Excel allows you to read this threaded comment; however, any edits to it will get removed if the file is opened in a newer version of Excel. Learn more: https://go.microsoft.com/fwlink/?linkid=870924
Comment:
    från EI</t>
      </text>
    </comment>
    <comment ref="V523" authorId="3" shapeId="0" xr:uid="{FAB25D43-FE42-4228-9763-53BFD642ED4A}">
      <text>
        <r>
          <rPr>
            <b/>
            <sz val="9"/>
            <color indexed="81"/>
            <rFont val="Tahoma"/>
            <family val="2"/>
          </rPr>
          <t>Nicole Burstein:</t>
        </r>
        <r>
          <rPr>
            <sz val="9"/>
            <color indexed="81"/>
            <rFont val="Tahoma"/>
            <family val="2"/>
          </rPr>
          <t xml:space="preserve">
Från EI</t>
        </r>
      </text>
    </comment>
    <comment ref="W523" authorId="3" shapeId="0" xr:uid="{2B926A19-370B-455F-B8CA-232207EB683E}">
      <text>
        <r>
          <rPr>
            <b/>
            <sz val="9"/>
            <color indexed="81"/>
            <rFont val="Tahoma"/>
            <family val="2"/>
          </rPr>
          <t>Nicole Burstein:</t>
        </r>
        <r>
          <rPr>
            <sz val="9"/>
            <color indexed="81"/>
            <rFont val="Tahoma"/>
            <family val="2"/>
          </rPr>
          <t xml:space="preserve">
Från EI
</t>
        </r>
      </text>
    </comment>
    <comment ref="X523" authorId="3" shapeId="0" xr:uid="{B83B70F4-901E-49CF-BADA-E76CC404C0AF}">
      <text>
        <r>
          <rPr>
            <b/>
            <sz val="9"/>
            <color indexed="81"/>
            <rFont val="Tahoma"/>
            <family val="2"/>
          </rPr>
          <t>Nicole Burstein:</t>
        </r>
        <r>
          <rPr>
            <sz val="9"/>
            <color indexed="81"/>
            <rFont val="Tahoma"/>
            <family val="2"/>
          </rPr>
          <t xml:space="preserve">
Från EI</t>
        </r>
      </text>
    </comment>
    <comment ref="Z523" authorId="171" shapeId="0" xr:uid="{49A2D915-6674-4488-991F-BCFDA1D30746}">
      <text>
        <t>[Threaded comment]
Your version of Excel allows you to read this threaded comment; however, any edits to it will get removed if the file is opened in a newer version of Excel. Learn more: https://go.microsoft.com/fwlink/?linkid=870924
Comment:
    stämmer med EI</t>
      </text>
    </comment>
    <comment ref="L526" authorId="172" shapeId="0" xr:uid="{8A4B5456-8109-4980-AD9A-BCFB14111580}">
      <text>
        <r>
          <rPr>
            <b/>
            <sz val="8"/>
            <color indexed="81"/>
            <rFont val="Tahoma"/>
            <family val="2"/>
          </rPr>
          <t>Charlotta Abrahamsson:</t>
        </r>
        <r>
          <rPr>
            <sz val="8"/>
            <color indexed="81"/>
            <rFont val="Tahoma"/>
            <family val="2"/>
          </rPr>
          <t xml:space="preserve">
uppdaterat efter profus kvalitetssäkrade data</t>
        </r>
      </text>
    </comment>
    <comment ref="M526" authorId="10" shapeId="0" xr:uid="{5E24CA95-45D2-4B4E-AE53-C3EA2B95E4E4}">
      <text>
        <r>
          <rPr>
            <b/>
            <sz val="8"/>
            <color indexed="81"/>
            <rFont val="Tahoma"/>
            <family val="2"/>
          </rPr>
          <t>Sonya Trad:</t>
        </r>
        <r>
          <rPr>
            <sz val="8"/>
            <color indexed="81"/>
            <rFont val="Tahoma"/>
            <family val="2"/>
          </rPr>
          <t xml:space="preserve">
tagit från summering värmeleveranser per nät</t>
        </r>
      </text>
    </comment>
    <comment ref="N526" authorId="10" shapeId="0" xr:uid="{71DAC495-21F9-4576-98CA-6357ECE5FA17}">
      <text>
        <r>
          <rPr>
            <b/>
            <sz val="8"/>
            <color indexed="81"/>
            <rFont val="Tahoma"/>
            <family val="2"/>
          </rPr>
          <t>Sonya Trad:</t>
        </r>
        <r>
          <rPr>
            <sz val="8"/>
            <color indexed="81"/>
            <rFont val="Tahoma"/>
            <family val="2"/>
          </rPr>
          <t xml:space="preserve">
tagit från summering av värme leveranser per nät</t>
        </r>
      </text>
    </comment>
    <comment ref="O526" authorId="10" shapeId="0" xr:uid="{5DBD6C90-FCAF-46C7-8F71-1B55C5EA7880}">
      <text>
        <r>
          <rPr>
            <b/>
            <sz val="8"/>
            <color indexed="81"/>
            <rFont val="Tahoma"/>
            <family val="2"/>
          </rPr>
          <t>Sonya Trad:</t>
        </r>
        <r>
          <rPr>
            <sz val="8"/>
            <color indexed="81"/>
            <rFont val="Tahoma"/>
            <family val="2"/>
          </rPr>
          <t xml:space="preserve">
tagit från summering fjärrvärmeleveransr per nät</t>
        </r>
      </text>
    </comment>
    <comment ref="P526" authorId="10" shapeId="0" xr:uid="{E32C52D3-6CA0-4C63-9589-338636184569}">
      <text>
        <r>
          <rPr>
            <b/>
            <sz val="8"/>
            <color indexed="81"/>
            <rFont val="Tahoma"/>
            <family val="2"/>
          </rPr>
          <t>Sonya Trad:</t>
        </r>
        <r>
          <rPr>
            <sz val="8"/>
            <color indexed="81"/>
            <rFont val="Tahoma"/>
            <family val="2"/>
          </rPr>
          <t xml:space="preserve">
tagit ifrån fax leveranser</t>
        </r>
      </text>
    </comment>
    <comment ref="Q526" authorId="10" shapeId="0" xr:uid="{1EB9CFAD-C4DD-453E-A7FD-5CC9FA2F814D}">
      <text>
        <r>
          <rPr>
            <b/>
            <sz val="8"/>
            <color indexed="81"/>
            <rFont val="Tahoma"/>
            <family val="2"/>
          </rPr>
          <t>Sonya Trad:</t>
        </r>
        <r>
          <rPr>
            <sz val="8"/>
            <color indexed="81"/>
            <rFont val="Tahoma"/>
            <family val="2"/>
          </rPr>
          <t xml:space="preserve">
FAX leveranser 2010 
</t>
        </r>
      </text>
    </comment>
    <comment ref="T526" authorId="173" shapeId="0" xr:uid="{F809AA22-0EFB-4B4D-A348-B09A1E4340A0}">
      <text>
        <t>[Threaded comment]
Your version of Excel allows you to read this threaded comment; however, any edits to it will get removed if the file is opened in a newer version of Excel. Learn more: https://go.microsoft.com/fwlink/?linkid=870924
Comment:
    SCB</t>
      </text>
    </comment>
    <comment ref="U526" authorId="174" shapeId="0" xr:uid="{25FBA91D-449A-46EA-87F4-4D5643E201A8}">
      <text>
        <t>[Threaded comment]
Your version of Excel allows you to read this threaded comment; however, any edits to it will get removed if the file is opened in a newer version of Excel. Learn more: https://go.microsoft.com/fwlink/?linkid=870924
Comment:
    SCB</t>
      </text>
    </comment>
    <comment ref="V526" authorId="175" shapeId="0" xr:uid="{8D33E72E-ECF2-4626-AE4E-708B273A2C3E}">
      <text>
        <t>[Threaded comment]
Your version of Excel allows you to read this threaded comment; however, any edits to it will get removed if the file is opened in a newer version of Excel. Learn more: https://go.microsoft.com/fwlink/?linkid=870924
Comment:
    Från SCB</t>
      </text>
    </comment>
    <comment ref="W526" authorId="176" shapeId="0" xr:uid="{072683B2-6908-4F9F-8100-6A8B5BFA1E29}">
      <text>
        <t>[Threaded comment]
Your version of Excel allows you to read this threaded comment; however, any edits to it will get removed if the file is opened in a newer version of Excel. Learn more: https://go.microsoft.com/fwlink/?linkid=870924
Comment:
    Från SCB</t>
      </text>
    </comment>
    <comment ref="X526" authorId="177" shapeId="0" xr:uid="{EA6C6F4A-3E97-44AB-99A8-D37E83DABC2A}">
      <text>
        <t>[Threaded comment]
Your version of Excel allows you to read this threaded comment; however, any edits to it will get removed if the file is opened in a newer version of Excel. Learn more: https://go.microsoft.com/fwlink/?linkid=870924
Comment:
    Från SCB</t>
      </text>
    </comment>
    <comment ref="Y526" authorId="178" shapeId="0" xr:uid="{A67CFD26-EDDB-439F-96DB-BBDBC58524D2}">
      <text>
        <t>[Threaded comment]
Your version of Excel allows you to read this threaded comment; however, any edits to it will get removed if the file is opened in a newer version of Excel. Learn more: https://go.microsoft.com/fwlink/?linkid=870924
Comment:
    SCB</t>
      </text>
    </comment>
    <comment ref="Z526" authorId="179" shapeId="0" xr:uid="{1E00BDDF-7481-44E6-8808-C6D94DEC0424}">
      <text>
        <t>[Threaded comment]
Your version of Excel allows you to read this threaded comment; however, any edits to it will get removed if the file is opened in a newer version of Excel. Learn more: https://go.microsoft.com/fwlink/?linkid=870924
Comment:
    SCB, 2020-11-03</t>
      </text>
    </comment>
    <comment ref="L537" authorId="172" shapeId="0" xr:uid="{E5C9E777-AC1B-403D-A9B6-13A212E773D3}">
      <text>
        <r>
          <rPr>
            <b/>
            <sz val="8"/>
            <color indexed="81"/>
            <rFont val="Tahoma"/>
            <family val="2"/>
          </rPr>
          <t>Charlotta Abrahamsson:</t>
        </r>
        <r>
          <rPr>
            <sz val="8"/>
            <color indexed="81"/>
            <rFont val="Tahoma"/>
            <family val="2"/>
          </rPr>
          <t xml:space="preserve">
uppdaterat efter profus kvalitetssäkrade data</t>
        </r>
      </text>
    </comment>
    <comment ref="M537" authorId="10" shapeId="0" xr:uid="{077DF58B-8CA8-4D59-B38F-ACDA0057AA69}">
      <text>
        <r>
          <rPr>
            <b/>
            <sz val="8"/>
            <color indexed="81"/>
            <rFont val="Tahoma"/>
            <family val="2"/>
          </rPr>
          <t>Sonya Trad:</t>
        </r>
        <r>
          <rPr>
            <sz val="8"/>
            <color indexed="81"/>
            <rFont val="Tahoma"/>
            <family val="2"/>
          </rPr>
          <t xml:space="preserve">
tagit från summering värmeleveranser per nät</t>
        </r>
      </text>
    </comment>
    <comment ref="N537" authorId="10" shapeId="0" xr:uid="{401D467F-7C8E-4FF5-B235-D386924F3159}">
      <text>
        <r>
          <rPr>
            <b/>
            <sz val="8"/>
            <color indexed="81"/>
            <rFont val="Tahoma"/>
            <family val="2"/>
          </rPr>
          <t>Sonya Trad:</t>
        </r>
        <r>
          <rPr>
            <sz val="8"/>
            <color indexed="81"/>
            <rFont val="Tahoma"/>
            <family val="2"/>
          </rPr>
          <t xml:space="preserve">
tagit från summering av värme leveranser per nät</t>
        </r>
      </text>
    </comment>
    <comment ref="O537" authorId="10" shapeId="0" xr:uid="{34B38F10-1C5D-408E-A96E-82B910C38684}">
      <text>
        <r>
          <rPr>
            <b/>
            <sz val="8"/>
            <color indexed="81"/>
            <rFont val="Tahoma"/>
            <family val="2"/>
          </rPr>
          <t>Sonya Trad:</t>
        </r>
        <r>
          <rPr>
            <sz val="8"/>
            <color indexed="81"/>
            <rFont val="Tahoma"/>
            <family val="2"/>
          </rPr>
          <t xml:space="preserve">
tagit från summering fjärrvärmeleveransr per nät</t>
        </r>
      </text>
    </comment>
    <comment ref="P537" authorId="10" shapeId="0" xr:uid="{467D4511-9153-4A0A-AA9E-878D22782D19}">
      <text>
        <r>
          <rPr>
            <b/>
            <sz val="8"/>
            <color indexed="81"/>
            <rFont val="Tahoma"/>
            <family val="2"/>
          </rPr>
          <t>Sonya Trad:</t>
        </r>
        <r>
          <rPr>
            <sz val="8"/>
            <color indexed="81"/>
            <rFont val="Tahoma"/>
            <family val="2"/>
          </rPr>
          <t xml:space="preserve">
tagit ifrån fax leveranser</t>
        </r>
      </text>
    </comment>
    <comment ref="Q537" authorId="10" shapeId="0" xr:uid="{21E09EE0-FA56-4ACC-948A-B67E3956CC53}">
      <text>
        <r>
          <rPr>
            <b/>
            <sz val="8"/>
            <color indexed="81"/>
            <rFont val="Tahoma"/>
            <family val="2"/>
          </rPr>
          <t>Sonya Trad:</t>
        </r>
        <r>
          <rPr>
            <sz val="8"/>
            <color indexed="81"/>
            <rFont val="Tahoma"/>
            <family val="2"/>
          </rPr>
          <t xml:space="preserve">
FAX leveranser 2010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Felicia Östby</author>
    <author>Hedman Mattias</author>
    <author>Sonya Trad</author>
    <author>tc={B4FFD54B-27A5-45F1-B0C1-620FB046F7BE}</author>
    <author>tc={4D339CA5-D859-47CD-A2CC-9582DB48097F}</author>
    <author>Nicole Burstein</author>
    <author>tc={E8A47BF9-DAA4-41BB-90F6-8B141FB5AAEE}</author>
    <author>tc={E8535F0B-6D91-42C4-A7CB-E100F46F6A3E}</author>
    <author>tc={D076CE63-E240-4270-B0B4-D1B1744D074F}</author>
  </authors>
  <commentList>
    <comment ref="Q5" authorId="0" shapeId="0" xr:uid="{BA91A55F-AE38-4A66-A840-CA5586954197}">
      <text>
        <r>
          <rPr>
            <b/>
            <sz val="9"/>
            <color indexed="81"/>
            <rFont val="Tahoma"/>
            <family val="2"/>
          </rPr>
          <t>Felicia Östby:</t>
        </r>
        <r>
          <rPr>
            <sz val="9"/>
            <color indexed="81"/>
            <rFont val="Tahoma"/>
            <family val="2"/>
          </rPr>
          <t xml:space="preserve">
Sundborn inkluderad
</t>
        </r>
      </text>
    </comment>
    <comment ref="D7" authorId="1" shapeId="0" xr:uid="{AE8AB877-F522-4FCB-A93E-6B4BFEB91AB1}">
      <text>
        <r>
          <rPr>
            <sz val="11"/>
            <rFont val="Calibri"/>
            <family val="2"/>
          </rPr>
          <t>Nätområde Sundborn, uppskattad siffra 300 MWh 2022 då inte alla anläggningar är registrerade på Nät = Sundborn</t>
        </r>
      </text>
    </comment>
    <comment ref="J29" authorId="0" shapeId="0" xr:uid="{B4F71C44-511F-4818-8B00-1083EF7E6C5C}">
      <text>
        <r>
          <rPr>
            <b/>
            <sz val="9"/>
            <color indexed="81"/>
            <rFont val="Tahoma"/>
            <family val="2"/>
          </rPr>
          <t>Felicia Östby:</t>
        </r>
        <r>
          <rPr>
            <sz val="9"/>
            <color indexed="81"/>
            <rFont val="Tahoma"/>
            <family val="2"/>
          </rPr>
          <t xml:space="preserve">
Inkluderat Fagerhult
</t>
        </r>
      </text>
    </comment>
    <comment ref="D38" authorId="1" shapeId="0" xr:uid="{93570048-A2DE-4292-8DD9-AF5FB347E514}">
      <text>
        <r>
          <rPr>
            <sz val="11"/>
            <rFont val="Calibri"/>
            <family val="2"/>
          </rPr>
          <t>59% av Finlands leverans är fossilfri. Resten baserat på torv. Det ger 79% fossilfri leverans, totalt 44,2 av 55,9 GWh.</t>
        </r>
      </text>
    </comment>
    <comment ref="J57" authorId="0" shapeId="0" xr:uid="{560EDDEB-95F9-4A18-806C-87638BA98103}">
      <text>
        <r>
          <rPr>
            <b/>
            <sz val="9"/>
            <color indexed="81"/>
            <rFont val="Tahoma"/>
            <family val="2"/>
          </rPr>
          <t>Felicia Östby:</t>
        </r>
        <r>
          <rPr>
            <sz val="9"/>
            <color indexed="81"/>
            <rFont val="Tahoma"/>
            <family val="2"/>
          </rPr>
          <t xml:space="preserve">
Inklusive Kall
</t>
        </r>
      </text>
    </comment>
    <comment ref="E74" authorId="1" shapeId="0" xr:uid="{25AD50B3-FBAE-4F6D-A520-DFDAEFE116B5}">
      <text>
        <r>
          <rPr>
            <sz val="11"/>
            <rFont val="Calibri"/>
            <family val="2"/>
          </rPr>
          <t xml:space="preserve">Ändrat efter samtal med Kraftringen </t>
        </r>
      </text>
    </comment>
    <comment ref="F74" authorId="1" shapeId="0" xr:uid="{9710361F-62B7-4FBC-9498-92FC8FBEE489}">
      <text>
        <r>
          <rPr>
            <sz val="11"/>
            <rFont val="Calibri"/>
            <family val="2"/>
          </rPr>
          <t xml:space="preserve">Värde ändrat efter samtal med Kraftringen </t>
        </r>
      </text>
    </comment>
    <comment ref="E110" authorId="1" shapeId="0" xr:uid="{6196C3C5-E3EF-4C7F-BB06-4E2CE9A2910D}">
      <text>
        <r>
          <rPr>
            <sz val="11"/>
            <rFont val="Calibri"/>
            <family val="2"/>
          </rPr>
          <t>Levererat skiljer sig från fakturerat 2022 pga leverans av ofakturerad värme då Riskulla gick för elproduktion</t>
        </r>
      </text>
    </comment>
    <comment ref="J112" authorId="0" shapeId="0" xr:uid="{CE47C72F-B697-4A09-8F86-B48C37F7F928}">
      <text>
        <r>
          <rPr>
            <b/>
            <sz val="9"/>
            <color indexed="81"/>
            <rFont val="Tahoma"/>
            <family val="2"/>
          </rPr>
          <t>Felicia Östby:</t>
        </r>
        <r>
          <rPr>
            <sz val="9"/>
            <color indexed="81"/>
            <rFont val="Tahoma"/>
            <family val="2"/>
          </rPr>
          <t xml:space="preserve">
Inklusive Billesholm
</t>
        </r>
      </text>
    </comment>
    <comment ref="O192" authorId="2" shapeId="0" xr:uid="{B01E0EFD-2DCA-4026-A3D0-ABE96938258C}">
      <text>
        <r>
          <rPr>
            <b/>
            <sz val="8"/>
            <color indexed="81"/>
            <rFont val="Tahoma"/>
            <family val="2"/>
          </rPr>
          <t>Sonya Trad:</t>
        </r>
        <r>
          <rPr>
            <sz val="8"/>
            <color indexed="81"/>
            <rFont val="Tahoma"/>
            <family val="2"/>
          </rPr>
          <t xml:space="preserve">
ägs ej av rindi längre</t>
        </r>
      </text>
    </comment>
    <comment ref="J201" authorId="0" shapeId="0" xr:uid="{7AB62132-67A4-49A2-B90D-DFE08909B6EC}">
      <text>
        <r>
          <rPr>
            <b/>
            <sz val="9"/>
            <color indexed="81"/>
            <rFont val="Tahoma"/>
            <family val="2"/>
          </rPr>
          <t>Felicia Östby:</t>
        </r>
        <r>
          <rPr>
            <sz val="9"/>
            <color indexed="81"/>
            <rFont val="Tahoma"/>
            <family val="2"/>
          </rPr>
          <t xml:space="preserve">
Inklusive Alsike
</t>
        </r>
      </text>
    </comment>
    <comment ref="J209" authorId="0" shapeId="0" xr:uid="{4B667352-143C-4EC7-8F2D-C6022C91C8A0}">
      <text>
        <r>
          <rPr>
            <b/>
            <sz val="9"/>
            <color indexed="81"/>
            <rFont val="Tahoma"/>
            <family val="2"/>
          </rPr>
          <t>Felicia Östby:</t>
        </r>
        <r>
          <rPr>
            <sz val="9"/>
            <color indexed="81"/>
            <rFont val="Tahoma"/>
            <family val="2"/>
          </rPr>
          <t xml:space="preserve">
Inklusive Garphyttan
</t>
        </r>
      </text>
    </comment>
    <comment ref="J227" authorId="0" shapeId="0" xr:uid="{12BFCCE8-2B0E-4C07-969D-5AF112AD538A}">
      <text>
        <r>
          <rPr>
            <b/>
            <sz val="9"/>
            <color indexed="81"/>
            <rFont val="Tahoma"/>
            <family val="2"/>
          </rPr>
          <t>Felicia Östby:</t>
        </r>
        <r>
          <rPr>
            <sz val="9"/>
            <color indexed="81"/>
            <rFont val="Tahoma"/>
            <family val="2"/>
          </rPr>
          <t xml:space="preserve">
Inklusive Garphyttan, Pershyttan
</t>
        </r>
      </text>
    </comment>
    <comment ref="D296" authorId="1" shapeId="0" xr:uid="{394A3D79-6BC2-442A-A839-520AD6E62DDC}">
      <text>
        <r>
          <rPr>
            <sz val="11"/>
            <rFont val="Calibri"/>
            <family val="2"/>
          </rPr>
          <t>Inkluderat leveranser till Pelletsfabriken</t>
        </r>
      </text>
    </comment>
    <comment ref="D318" authorId="1" shapeId="0" xr:uid="{622494D1-4CD0-4983-826A-3B7D2291D033}">
      <text>
        <r>
          <rPr>
            <sz val="11"/>
            <rFont val="Calibri"/>
            <family val="2"/>
          </rPr>
          <t>Såld värme 2022 skall vara 54,965 GWh</t>
        </r>
      </text>
    </comment>
    <comment ref="J429" authorId="0" shapeId="0" xr:uid="{7730F201-A5BF-442E-A5A6-F0D7ACC7046F}">
      <text>
        <r>
          <rPr>
            <b/>
            <sz val="9"/>
            <color indexed="81"/>
            <rFont val="Tahoma"/>
            <family val="2"/>
          </rPr>
          <t>Felicia Östby:</t>
        </r>
        <r>
          <rPr>
            <sz val="9"/>
            <color indexed="81"/>
            <rFont val="Tahoma"/>
            <family val="2"/>
          </rPr>
          <t xml:space="preserve">
Inklusive Rengsjö</t>
        </r>
      </text>
    </comment>
    <comment ref="H484" authorId="3" shapeId="0" xr:uid="{B4FFD54B-27A5-45F1-B0C1-620FB046F7BE}">
      <text>
        <t>[Threaded comment]
Your version of Excel allows you to read this threaded comment; however, any edits to it will get removed if the file is opened in a newer version of Excel. Learn more: https://go.microsoft.com/fwlink/?linkid=870924
Comment:
    Bionär</t>
      </text>
    </comment>
    <comment ref="H487" authorId="4" shapeId="0" xr:uid="{4D339CA5-D859-47CD-A2CC-9582DB48097F}">
      <text>
        <t>[Threaded comment]
Your version of Excel allows you to read this threaded comment; however, any edits to it will get removed if the file is opened in a newer version of Excel. Learn more: https://go.microsoft.com/fwlink/?linkid=870924
Comment:
    Inkluderar Bor och LAnna från 2018</t>
      </text>
    </comment>
    <comment ref="H492" authorId="5" shapeId="0" xr:uid="{D53EAE04-0648-4174-8644-76BE5C1E7376}">
      <text>
        <r>
          <rPr>
            <b/>
            <sz val="9"/>
            <color indexed="81"/>
            <rFont val="Tahoma"/>
            <family val="2"/>
          </rPr>
          <t>Nicole Burstein:</t>
        </r>
        <r>
          <rPr>
            <sz val="9"/>
            <color indexed="81"/>
            <rFont val="Tahoma"/>
            <family val="2"/>
          </rPr>
          <t xml:space="preserve">
Västerås+Västerås miljömärkt
</t>
        </r>
      </text>
    </comment>
    <comment ref="H509" authorId="6" shapeId="0" xr:uid="{E8A47BF9-DAA4-41BB-90F6-8B141FB5AAEE}">
      <text>
        <t>[Threaded comment]
Your version of Excel allows you to read this threaded comment; however, any edits to it will get removed if the file is opened in a newer version of Excel. Learn more: https://go.microsoft.com/fwlink/?linkid=870924
Comment:
    Bionär</t>
      </text>
    </comment>
    <comment ref="H510" authorId="7" shapeId="0" xr:uid="{E8535F0B-6D91-42C4-A7CB-E100F46F6A3E}">
      <text>
        <t>[Threaded comment]
Your version of Excel allows you to read this threaded comment; however, any edits to it will get removed if the file is opened in a newer version of Excel. Learn more: https://go.microsoft.com/fwlink/?linkid=870924
Comment:
    Älvsbyns Energi</t>
      </text>
    </comment>
    <comment ref="H521" authorId="8" shapeId="0" xr:uid="{D076CE63-E240-4270-B0B4-D1B1744D074F}">
      <text>
        <t>[Threaded comment]
Your version of Excel allows you to read this threaded comment; however, any edits to it will get removed if the file is opened in a newer version of Excel. Learn more: https://go.microsoft.com/fwlink/?linkid=870924
Comment:
    Tidigare Östhammar Frösåker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Sonya Trad</author>
    <author>Hedman Mattias</author>
    <author>Nicole Burstein</author>
  </authors>
  <commentList>
    <comment ref="T39" authorId="0" shapeId="0" xr:uid="{6EE2E141-8B4A-4097-B089-605CBF3858EA}">
      <text>
        <r>
          <rPr>
            <b/>
            <sz val="8"/>
            <color indexed="81"/>
            <rFont val="Tahoma"/>
            <family val="2"/>
          </rPr>
          <t>Sonya Trad:</t>
        </r>
        <r>
          <rPr>
            <sz val="8"/>
            <color indexed="81"/>
            <rFont val="Tahoma"/>
            <family val="2"/>
          </rPr>
          <t xml:space="preserve">
innehåller också dalsjöfors, fristad  och sandared</t>
        </r>
      </text>
    </comment>
    <comment ref="R40" authorId="0" shapeId="0" xr:uid="{B4634F34-A0A1-46C2-AA56-E13FE432EB7A}">
      <text>
        <r>
          <rPr>
            <b/>
            <sz val="8"/>
            <color indexed="81"/>
            <rFont val="Tahoma"/>
            <family val="2"/>
          </rPr>
          <t>Sonya Trad:</t>
        </r>
        <r>
          <rPr>
            <sz val="8"/>
            <color indexed="81"/>
            <rFont val="Tahoma"/>
            <family val="2"/>
          </rPr>
          <t xml:space="preserve">
innehåller också dalsjöfors, fristad  och sandared</t>
        </r>
      </text>
    </comment>
    <comment ref="D51" authorId="1" shapeId="0" xr:uid="{2829CF2C-DAC1-4A9A-ADE2-C77CEA361896}">
      <text>
        <r>
          <rPr>
            <sz val="11"/>
            <rFont val="Calibri"/>
            <family val="2"/>
          </rPr>
          <t xml:space="preserve">Uppskatta värde, Degerfors Energi äger inte Åtorp PC kan bara uppskatta såld värme </t>
        </r>
      </text>
    </comment>
    <comment ref="R60" authorId="0" shapeId="0" xr:uid="{7D9CDE32-015E-4E22-BBFD-F4CE48D8A0F2}">
      <text>
        <r>
          <rPr>
            <b/>
            <sz val="8"/>
            <color indexed="81"/>
            <rFont val="Tahoma"/>
            <family val="2"/>
          </rPr>
          <t>Sonya Trad:</t>
        </r>
        <r>
          <rPr>
            <sz val="8"/>
            <color indexed="81"/>
            <rFont val="Tahoma"/>
            <family val="2"/>
          </rPr>
          <t xml:space="preserve">
inkluderar tyresö 1996-2003</t>
        </r>
      </text>
    </comment>
    <comment ref="T62" authorId="0" shapeId="0" xr:uid="{CAF74052-239E-480B-BFCC-38D9D20FB254}">
      <text>
        <r>
          <rPr>
            <b/>
            <sz val="8"/>
            <color indexed="81"/>
            <rFont val="Tahoma"/>
            <family val="2"/>
          </rPr>
          <t>Sonya Trad:</t>
        </r>
        <r>
          <rPr>
            <sz val="8"/>
            <color indexed="81"/>
            <rFont val="Tahoma"/>
            <family val="2"/>
          </rPr>
          <t xml:space="preserve">
inkluderar tyresö 1996-2003</t>
        </r>
      </text>
    </comment>
    <comment ref="D75" authorId="1" shapeId="0" xr:uid="{741FE909-B10F-47AD-9386-FF29C12E11DB}">
      <text>
        <r>
          <rPr>
            <sz val="11"/>
            <rFont val="Calibri"/>
            <family val="2"/>
          </rPr>
          <t>Totalt uppmätt såld energi till slutkunder (BFUS/Tableau) +  Värme till Pelletsfabrik + ABS + Försäljning till BE</t>
        </r>
      </text>
    </comment>
    <comment ref="F75" authorId="1" shapeId="0" xr:uid="{41E860B8-85F7-4D78-AE7C-D95EB90B1275}">
      <text>
        <r>
          <rPr>
            <sz val="11"/>
            <rFont val="Calibri"/>
            <family val="2"/>
          </rPr>
          <t>Optima levererad MWh till BE</t>
        </r>
      </text>
    </comment>
    <comment ref="D117" authorId="1" shapeId="0" xr:uid="{5714564D-10D2-4B82-956A-7725B57736B2}">
      <text>
        <r>
          <rPr>
            <sz val="11"/>
            <rFont val="Calibri"/>
            <family val="2"/>
          </rPr>
          <t xml:space="preserve">Måste fyllas i under början av januari för att få fram miljövärden till sista januari. </t>
        </r>
      </text>
    </comment>
    <comment ref="E121" authorId="1" shapeId="0" xr:uid="{0D830B70-810A-470E-8CBA-A5B47806F5ED}">
      <text>
        <r>
          <rPr>
            <sz val="11"/>
            <rFont val="Calibri"/>
            <family val="2"/>
          </rPr>
          <t>Hammarö Energi AB</t>
        </r>
      </text>
    </comment>
    <comment ref="R121" authorId="0" shapeId="0" xr:uid="{7FB317E1-9CAF-44B7-9157-B8AEB18E7751}">
      <text>
        <r>
          <rPr>
            <b/>
            <sz val="8"/>
            <color indexed="81"/>
            <rFont val="Tahoma"/>
            <family val="2"/>
          </rPr>
          <t>Sonya Trad:</t>
        </r>
        <r>
          <rPr>
            <sz val="8"/>
            <color indexed="81"/>
            <rFont val="Tahoma"/>
            <family val="2"/>
          </rPr>
          <t xml:space="preserve">
inkluderar pratile ale</t>
        </r>
      </text>
    </comment>
    <comment ref="T124" authorId="0" shapeId="0" xr:uid="{613CC4ED-9878-48BB-B000-215BF42A97DE}">
      <text>
        <r>
          <rPr>
            <b/>
            <sz val="8"/>
            <color indexed="81"/>
            <rFont val="Tahoma"/>
            <family val="2"/>
          </rPr>
          <t>Sonya Trad:</t>
        </r>
        <r>
          <rPr>
            <sz val="8"/>
            <color indexed="81"/>
            <rFont val="Tahoma"/>
            <family val="2"/>
          </rPr>
          <t xml:space="preserve">
inkluderar pratile ale</t>
        </r>
      </text>
    </comment>
    <comment ref="R130" authorId="0" shapeId="0" xr:uid="{2AFBCF71-3AEA-4C70-AFD1-6E8ACDB73E33}">
      <text>
        <r>
          <rPr>
            <b/>
            <sz val="8"/>
            <color indexed="81"/>
            <rFont val="Tahoma"/>
            <family val="2"/>
          </rPr>
          <t>Sonya Trad:</t>
        </r>
        <r>
          <rPr>
            <sz val="8"/>
            <color indexed="81"/>
            <rFont val="Tahoma"/>
            <family val="2"/>
          </rPr>
          <t xml:space="preserve">
inkluderarTärnsjö, Östervåla, Heby sjukhem, Tegelmästaren, Horrsta, Morgongåva, Starfors, ej ledningsbundna. </t>
        </r>
      </text>
    </comment>
    <comment ref="T133" authorId="0" shapeId="0" xr:uid="{AC784060-E95E-4844-A12E-B88C624C81EE}">
      <text>
        <r>
          <rPr>
            <b/>
            <sz val="8"/>
            <color indexed="81"/>
            <rFont val="Tahoma"/>
            <family val="2"/>
          </rPr>
          <t>Sonya Trad:</t>
        </r>
        <r>
          <rPr>
            <sz val="8"/>
            <color indexed="81"/>
            <rFont val="Tahoma"/>
            <family val="2"/>
          </rPr>
          <t xml:space="preserve">
inkluderarTärnsjö, Östervåla, Heby sjukhem, Tegelmästaren, Horrsta, Morgongåva, Starfors, ej ledningsbundna. </t>
        </r>
      </text>
    </comment>
    <comment ref="D163" authorId="1" shapeId="0" xr:uid="{2154BA36-3C59-4515-BB28-63B74570DBD2}">
      <text>
        <r>
          <rPr>
            <sz val="11"/>
            <rFont val="Calibri"/>
            <family val="2"/>
          </rPr>
          <t>Varav ånga 5,57 GWh.</t>
        </r>
      </text>
    </comment>
    <comment ref="R169" authorId="0" shapeId="0" xr:uid="{6A4D5479-C58A-4EDE-8F22-AC1F9742473A}">
      <text>
        <r>
          <rPr>
            <b/>
            <sz val="8"/>
            <color indexed="81"/>
            <rFont val="Tahoma"/>
            <family val="2"/>
          </rPr>
          <t>Sonya Trad:</t>
        </r>
        <r>
          <rPr>
            <sz val="8"/>
            <color indexed="81"/>
            <rFont val="Tahoma"/>
            <family val="2"/>
          </rPr>
          <t xml:space="preserve">
ingår i Sundsvall övriga nät</t>
        </r>
      </text>
    </comment>
    <comment ref="T173" authorId="0" shapeId="0" xr:uid="{3B5F703D-5656-4D32-8BD2-D3C18543F15D}">
      <text>
        <r>
          <rPr>
            <b/>
            <sz val="8"/>
            <color indexed="81"/>
            <rFont val="Tahoma"/>
            <family val="2"/>
          </rPr>
          <t>Sonya Trad:</t>
        </r>
        <r>
          <rPr>
            <sz val="8"/>
            <color indexed="81"/>
            <rFont val="Tahoma"/>
            <family val="2"/>
          </rPr>
          <t xml:space="preserve">
ingår i Sundsvall övriga nät</t>
        </r>
      </text>
    </comment>
    <comment ref="R184" authorId="0" shapeId="0" xr:uid="{31AA19B3-9D74-4CFA-96C2-C80294EEFB2A}">
      <text>
        <r>
          <rPr>
            <b/>
            <sz val="8"/>
            <color indexed="81"/>
            <rFont val="Tahoma"/>
            <family val="2"/>
          </rPr>
          <t>Sonya Trad:</t>
        </r>
        <r>
          <rPr>
            <sz val="8"/>
            <color indexed="81"/>
            <rFont val="Tahoma"/>
            <family val="2"/>
          </rPr>
          <t xml:space="preserve">
ägs ej av rindi längre</t>
        </r>
      </text>
    </comment>
    <comment ref="S184" authorId="0" shapeId="0" xr:uid="{F96A11A8-F8D1-46E3-BDC2-EF90FE2347AF}">
      <text>
        <r>
          <rPr>
            <b/>
            <sz val="8"/>
            <color indexed="81"/>
            <rFont val="Tahoma"/>
            <family val="2"/>
          </rPr>
          <t>Sonya Trad:</t>
        </r>
        <r>
          <rPr>
            <sz val="8"/>
            <color indexed="81"/>
            <rFont val="Tahoma"/>
            <family val="2"/>
          </rPr>
          <t xml:space="preserve">
ägs ej av rindi längre</t>
        </r>
      </text>
    </comment>
    <comment ref="T192" authorId="0" shapeId="0" xr:uid="{1F820804-006E-4F81-9820-E1C3423C4393}">
      <text>
        <r>
          <rPr>
            <b/>
            <sz val="8"/>
            <color indexed="81"/>
            <rFont val="Tahoma"/>
            <family val="2"/>
          </rPr>
          <t>Sonya Trad:</t>
        </r>
        <r>
          <rPr>
            <sz val="8"/>
            <color indexed="81"/>
            <rFont val="Tahoma"/>
            <family val="2"/>
          </rPr>
          <t xml:space="preserve">
ägs ej av rindi längre</t>
        </r>
      </text>
    </comment>
    <comment ref="U192" authorId="0" shapeId="0" xr:uid="{494C6DAB-3BB7-43BC-A44F-639D5FF79B59}">
      <text>
        <r>
          <rPr>
            <b/>
            <sz val="8"/>
            <color indexed="81"/>
            <rFont val="Tahoma"/>
            <family val="2"/>
          </rPr>
          <t>Sonya Trad:</t>
        </r>
        <r>
          <rPr>
            <sz val="8"/>
            <color indexed="81"/>
            <rFont val="Tahoma"/>
            <family val="2"/>
          </rPr>
          <t xml:space="preserve">
ägs ej av rindi längre</t>
        </r>
      </text>
    </comment>
    <comment ref="R201" authorId="0" shapeId="0" xr:uid="{E5FBB938-F2AF-4B45-8EB9-B2F41242100E}">
      <text>
        <r>
          <rPr>
            <b/>
            <sz val="8"/>
            <color indexed="81"/>
            <rFont val="Tahoma"/>
            <family val="2"/>
          </rPr>
          <t>Sonya Trad:</t>
        </r>
        <r>
          <rPr>
            <sz val="8"/>
            <color indexed="81"/>
            <rFont val="Tahoma"/>
            <family val="2"/>
          </rPr>
          <t xml:space="preserve">
Ingår i Sundsvall övriga</t>
        </r>
      </text>
    </comment>
    <comment ref="T209" authorId="0" shapeId="0" xr:uid="{636BA66E-A0C9-412C-B54B-53A2DCCC64A5}">
      <text>
        <r>
          <rPr>
            <b/>
            <sz val="8"/>
            <color indexed="81"/>
            <rFont val="Tahoma"/>
            <family val="2"/>
          </rPr>
          <t>Sonya Trad:</t>
        </r>
        <r>
          <rPr>
            <sz val="8"/>
            <color indexed="81"/>
            <rFont val="Tahoma"/>
            <family val="2"/>
          </rPr>
          <t xml:space="preserve">
Ingår i Sundsvall övriga</t>
        </r>
      </text>
    </comment>
    <comment ref="R229" authorId="0" shapeId="0" xr:uid="{252004F4-A0B6-4011-A5F4-5E7E81066294}">
      <text>
        <r>
          <rPr>
            <b/>
            <sz val="8"/>
            <color indexed="81"/>
            <rFont val="Tahoma"/>
            <family val="2"/>
          </rPr>
          <t>Sonya Trad:</t>
        </r>
        <r>
          <rPr>
            <sz val="8"/>
            <color indexed="81"/>
            <rFont val="Tahoma"/>
            <family val="2"/>
          </rPr>
          <t xml:space="preserve">
Ingår i sundsvalls övriga nät</t>
        </r>
      </text>
    </comment>
    <comment ref="R231" authorId="0" shapeId="0" xr:uid="{6A7E31A3-EE45-4297-93D1-C90C5A2B60E0}">
      <text>
        <r>
          <rPr>
            <b/>
            <sz val="8"/>
            <color indexed="81"/>
            <rFont val="Tahoma"/>
            <family val="2"/>
          </rPr>
          <t>Sonya Trad:</t>
        </r>
        <r>
          <rPr>
            <sz val="8"/>
            <color indexed="81"/>
            <rFont val="Tahoma"/>
            <family val="2"/>
          </rPr>
          <t xml:space="preserve">
Ingår i fortums stockholmsnät</t>
        </r>
      </text>
    </comment>
    <comment ref="R235" authorId="0" shapeId="0" xr:uid="{47F972CC-60B2-41B3-8C60-DB620B333F94}">
      <text>
        <r>
          <rPr>
            <b/>
            <sz val="8"/>
            <color indexed="81"/>
            <rFont val="Tahoma"/>
            <family val="2"/>
          </rPr>
          <t>Sonya Trad:</t>
        </r>
        <r>
          <rPr>
            <sz val="8"/>
            <color indexed="81"/>
            <rFont val="Tahoma"/>
            <family val="2"/>
          </rPr>
          <t xml:space="preserve">
inkulderar Ljungsbro, Malmslätt, sturefors, Långasjönäs</t>
        </r>
      </text>
    </comment>
    <comment ref="T239" authorId="0" shapeId="0" xr:uid="{B27783BB-B32F-4864-91C3-4C2F4A2473D5}">
      <text>
        <r>
          <rPr>
            <b/>
            <sz val="8"/>
            <color indexed="81"/>
            <rFont val="Tahoma"/>
            <family val="2"/>
          </rPr>
          <t>Sonya Trad:</t>
        </r>
        <r>
          <rPr>
            <sz val="8"/>
            <color indexed="81"/>
            <rFont val="Tahoma"/>
            <family val="2"/>
          </rPr>
          <t xml:space="preserve">
Ingår i sundsvalls övriga nät</t>
        </r>
      </text>
    </comment>
    <comment ref="T241" authorId="0" shapeId="0" xr:uid="{46D1C694-CBB1-4B6C-9466-95BDB16D5674}">
      <text>
        <r>
          <rPr>
            <b/>
            <sz val="8"/>
            <color indexed="81"/>
            <rFont val="Tahoma"/>
            <family val="2"/>
          </rPr>
          <t>Sonya Trad:</t>
        </r>
        <r>
          <rPr>
            <sz val="8"/>
            <color indexed="81"/>
            <rFont val="Tahoma"/>
            <family val="2"/>
          </rPr>
          <t xml:space="preserve">
Ingår i fortums stockholmsnät</t>
        </r>
      </text>
    </comment>
    <comment ref="R242" authorId="0" shapeId="0" xr:uid="{9AC473C6-0F9F-46F6-92F7-895185B1BCFC}">
      <text>
        <r>
          <rPr>
            <b/>
            <sz val="8"/>
            <color indexed="81"/>
            <rFont val="Tahoma"/>
            <family val="2"/>
          </rPr>
          <t>Sonya Trad:</t>
        </r>
        <r>
          <rPr>
            <sz val="8"/>
            <color indexed="81"/>
            <rFont val="Tahoma"/>
            <family val="2"/>
          </rPr>
          <t xml:space="preserve">
Ingår i sunsvalls övriga nät</t>
        </r>
      </text>
    </comment>
    <comment ref="T245" authorId="0" shapeId="0" xr:uid="{EEAC6338-D67F-426B-8191-7B25BDF017AA}">
      <text>
        <r>
          <rPr>
            <b/>
            <sz val="8"/>
            <color indexed="81"/>
            <rFont val="Tahoma"/>
            <family val="2"/>
          </rPr>
          <t>Sonya Trad:</t>
        </r>
        <r>
          <rPr>
            <sz val="8"/>
            <color indexed="81"/>
            <rFont val="Tahoma"/>
            <family val="2"/>
          </rPr>
          <t xml:space="preserve">
inkulderar Ljungsbro, Malmslätt, sturefors, Långasjönäs</t>
        </r>
      </text>
    </comment>
    <comment ref="T253" authorId="0" shapeId="0" xr:uid="{8CB0BDAD-A795-4C3A-A8D4-D314E27BDE58}">
      <text>
        <r>
          <rPr>
            <b/>
            <sz val="8"/>
            <color indexed="81"/>
            <rFont val="Tahoma"/>
            <family val="2"/>
          </rPr>
          <t>Sonya Trad:</t>
        </r>
        <r>
          <rPr>
            <sz val="8"/>
            <color indexed="81"/>
            <rFont val="Tahoma"/>
            <family val="2"/>
          </rPr>
          <t xml:space="preserve">
Ingår i sunsvalls övriga nät</t>
        </r>
      </text>
    </comment>
    <comment ref="R286" authorId="0" shapeId="0" xr:uid="{CC7327E0-5A32-492A-8788-60059F65EEC5}">
      <text>
        <r>
          <rPr>
            <b/>
            <sz val="8"/>
            <color indexed="81"/>
            <rFont val="Tahoma"/>
            <family val="2"/>
          </rPr>
          <t>Sonya Trad:</t>
        </r>
        <r>
          <rPr>
            <sz val="8"/>
            <color indexed="81"/>
            <rFont val="Tahoma"/>
            <family val="2"/>
          </rPr>
          <t xml:space="preserve">
såld till ?? </t>
        </r>
      </text>
    </comment>
    <comment ref="T302" authorId="0" shapeId="0" xr:uid="{8DF4C9F6-7C50-4C13-97F6-3700174496B7}">
      <text>
        <r>
          <rPr>
            <b/>
            <sz val="8"/>
            <color indexed="81"/>
            <rFont val="Tahoma"/>
            <family val="2"/>
          </rPr>
          <t>Sonya Trad:</t>
        </r>
        <r>
          <rPr>
            <sz val="8"/>
            <color indexed="81"/>
            <rFont val="Tahoma"/>
            <family val="2"/>
          </rPr>
          <t xml:space="preserve">
såld till ?? </t>
        </r>
      </text>
    </comment>
    <comment ref="R376" authorId="0" shapeId="0" xr:uid="{093B43C5-EB7C-4F23-9E17-0ADDAD674674}">
      <text>
        <r>
          <rPr>
            <b/>
            <sz val="8"/>
            <color indexed="81"/>
            <rFont val="Tahoma"/>
            <family val="2"/>
          </rPr>
          <t>Sonya Trad:</t>
        </r>
        <r>
          <rPr>
            <sz val="8"/>
            <color indexed="81"/>
            <rFont val="Tahoma"/>
            <family val="2"/>
          </rPr>
          <t xml:space="preserve">
tidigare Härjedalen</t>
        </r>
      </text>
    </comment>
    <comment ref="B377" authorId="2" shapeId="0" xr:uid="{E854724C-B780-4D55-826D-A1CA03BEBC91}">
      <text>
        <r>
          <rPr>
            <b/>
            <sz val="9"/>
            <color indexed="81"/>
            <rFont val="Tahoma"/>
            <family val="2"/>
          </rPr>
          <t>Nicole Burstein:</t>
        </r>
        <r>
          <rPr>
            <sz val="9"/>
            <color indexed="81"/>
            <rFont val="Tahoma"/>
            <family val="2"/>
          </rPr>
          <t xml:space="preserve">
Ljusnarberg hos EI
</t>
        </r>
      </text>
    </comment>
    <comment ref="R383" authorId="0" shapeId="0" xr:uid="{4B1AA51C-FF35-41E4-9D56-D226C5F791B6}">
      <text>
        <r>
          <rPr>
            <b/>
            <sz val="8"/>
            <color indexed="81"/>
            <rFont val="Tahoma"/>
            <family val="2"/>
          </rPr>
          <t>Sonya Trad:</t>
        </r>
        <r>
          <rPr>
            <sz val="8"/>
            <color indexed="81"/>
            <rFont val="Tahoma"/>
            <family val="2"/>
          </rPr>
          <t xml:space="preserve">
Inkluderas i söderhamn</t>
        </r>
      </text>
    </comment>
    <comment ref="T398" authorId="0" shapeId="0" xr:uid="{09D98ED2-9E3B-493F-94E0-54808C6C72C3}">
      <text>
        <r>
          <rPr>
            <b/>
            <sz val="8"/>
            <color indexed="81"/>
            <rFont val="Tahoma"/>
            <family val="2"/>
          </rPr>
          <t>Sonya Trad:</t>
        </r>
        <r>
          <rPr>
            <sz val="8"/>
            <color indexed="81"/>
            <rFont val="Tahoma"/>
            <family val="2"/>
          </rPr>
          <t xml:space="preserve">
tidigare Härjedalen</t>
        </r>
      </text>
    </comment>
    <comment ref="R401" authorId="0" shapeId="0" xr:uid="{E8762A51-9727-4222-8A48-344EB41DC9BD}">
      <text>
        <r>
          <rPr>
            <b/>
            <sz val="8"/>
            <color indexed="81"/>
            <rFont val="Tahoma"/>
            <family val="2"/>
          </rPr>
          <t>Sonya Trad:</t>
        </r>
        <r>
          <rPr>
            <sz val="8"/>
            <color indexed="81"/>
            <rFont val="Tahoma"/>
            <family val="2"/>
          </rPr>
          <t xml:space="preserve">
1996-2003 lagt ihop Bergforsen, söråker och Östrand till Timrå</t>
        </r>
      </text>
    </comment>
    <comment ref="T406" authorId="0" shapeId="0" xr:uid="{0D797991-74F6-4FE9-A8AF-DD976F261167}">
      <text>
        <r>
          <rPr>
            <b/>
            <sz val="8"/>
            <color indexed="81"/>
            <rFont val="Tahoma"/>
            <family val="2"/>
          </rPr>
          <t>Sonya Trad:</t>
        </r>
        <r>
          <rPr>
            <sz val="8"/>
            <color indexed="81"/>
            <rFont val="Tahoma"/>
            <family val="2"/>
          </rPr>
          <t xml:space="preserve">
Inkluderas i söderhamn</t>
        </r>
      </text>
    </comment>
    <comment ref="D408" authorId="1" shapeId="0" xr:uid="{0405AFA3-6CC7-4E65-B43A-183B3E10D73D}">
      <text>
        <r>
          <rPr>
            <sz val="11"/>
            <rFont val="Calibri"/>
            <family val="2"/>
          </rPr>
          <t>Wihlborgs volym är frånräknad. Redovisas i fiktivt nät Helsingborg ursprungsmärkt</t>
        </r>
      </text>
    </comment>
    <comment ref="R417" authorId="0" shapeId="0" xr:uid="{EA288635-B7C4-4A8D-9C27-F4D14F65637A}">
      <text>
        <r>
          <rPr>
            <b/>
            <sz val="8"/>
            <color indexed="81"/>
            <rFont val="Tahoma"/>
            <family val="2"/>
          </rPr>
          <t>Sonya Trad:</t>
        </r>
        <r>
          <rPr>
            <sz val="8"/>
            <color indexed="81"/>
            <rFont val="Tahoma"/>
            <family val="2"/>
          </rPr>
          <t xml:space="preserve">
nytt separat nät från och med 2009</t>
        </r>
      </text>
    </comment>
    <comment ref="T424" authorId="0" shapeId="0" xr:uid="{C6634616-EFCD-4B38-87EE-84FE047F059F}">
      <text>
        <r>
          <rPr>
            <b/>
            <sz val="8"/>
            <color indexed="81"/>
            <rFont val="Tahoma"/>
            <family val="2"/>
          </rPr>
          <t>Sonya Trad:</t>
        </r>
        <r>
          <rPr>
            <sz val="8"/>
            <color indexed="81"/>
            <rFont val="Tahoma"/>
            <family val="2"/>
          </rPr>
          <t xml:space="preserve">
1996-2003 lagt ihop Bergforsen, söråker och Östrand till Timrå</t>
        </r>
      </text>
    </comment>
    <comment ref="T440" authorId="0" shapeId="0" xr:uid="{DAB4C40B-4DB3-4E12-BB90-CBC97994B39B}">
      <text>
        <r>
          <rPr>
            <b/>
            <sz val="8"/>
            <color indexed="81"/>
            <rFont val="Tahoma"/>
            <family val="2"/>
          </rPr>
          <t>Sonya Trad:</t>
        </r>
        <r>
          <rPr>
            <sz val="8"/>
            <color indexed="81"/>
            <rFont val="Tahoma"/>
            <family val="2"/>
          </rPr>
          <t xml:space="preserve">
nytt separat nät från och med 2009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C34" authorId="0" shapeId="0" xr:uid="{8432C3E3-BF57-4BDF-A9CC-CA77CC58026B}">
      <text>
        <r>
          <rPr>
            <sz val="11"/>
            <rFont val="Calibri"/>
            <family val="2"/>
          </rPr>
          <t>Analys - Debitering: Bokmärke FV Såld värme SCB</t>
        </r>
      </text>
    </comment>
    <comment ref="C56" authorId="0" shapeId="0" xr:uid="{3BB52C6D-9DCB-4322-B86A-42A7703C9D77}">
      <text>
        <r>
          <rPr>
            <sz val="11"/>
            <rFont val="Calibri"/>
            <family val="2"/>
          </rPr>
          <t>Totala leveranser, (kunder + Stockholm exergi)</t>
        </r>
      </text>
    </comment>
    <comment ref="E56" authorId="0" shapeId="0" xr:uid="{709F063B-29C7-4FC2-AC23-2D250BA45FBE}">
      <text>
        <r>
          <rPr>
            <sz val="11"/>
            <rFont val="Calibri"/>
            <family val="2"/>
          </rPr>
          <t>La till kylning får högre CO2 utsläpp utan</t>
        </r>
      </text>
    </comment>
    <comment ref="P56" authorId="0" shapeId="0" xr:uid="{DD53F70C-EEE7-4D4E-AF52-2F58525E3FFE}">
      <text>
        <r>
          <rPr>
            <sz val="11"/>
            <rFont val="Calibri"/>
            <family val="2"/>
          </rPr>
          <t>La till kylning får högre CO2 utsläpp utan</t>
        </r>
      </text>
    </comment>
    <comment ref="C319" authorId="0" shapeId="0" xr:uid="{25A05280-04DE-4AD9-91BE-4AB4D2A33694}">
      <text>
        <r>
          <rPr>
            <sz val="11"/>
            <rFont val="Calibri"/>
            <family val="2"/>
          </rPr>
          <t>Inkl 18 GWh ånga. Inklusive leveranser av värme i produktionssamverkan. Endast Stockholmsnätet (Täby exkluderat):; 7223820-33133</t>
        </r>
      </text>
    </comment>
    <comment ref="C355" authorId="0" shapeId="0" xr:uid="{609C38CF-0CB0-4168-B3DF-2C2ECB873B37}">
      <text>
        <r>
          <rPr>
            <sz val="11"/>
            <rFont val="Calibri"/>
            <family val="2"/>
          </rPr>
          <t>Inkluderat leveranser till Pelletsfabriken</t>
        </r>
      </text>
    </comment>
    <comment ref="C384" authorId="0" shapeId="0" xr:uid="{662306DF-6B78-4DD9-8442-DBDBF8EB815B}">
      <text>
        <r>
          <rPr>
            <sz val="11"/>
            <rFont val="Calibri"/>
            <family val="2"/>
          </rPr>
          <t>Sålt till Vänersborgs kunder 120,5 GWh. Levererat till Trollhättan 52,8 GWh. Summan blir 173,2 GWh. I uppgift om den sålda värmen ingår 12% distributionsförlust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C43" authorId="0" shapeId="0" xr:uid="{C84038CA-CF97-45D6-9D08-8D027451B563}">
      <text>
        <r>
          <rPr>
            <sz val="11"/>
            <rFont val="Calibri"/>
            <family val="2"/>
          </rPr>
          <t>Leveranser inkluderar leveranser i Fristad efter sammankoppling 31/3.</t>
        </r>
      </text>
    </comment>
    <comment ref="C44" authorId="0" shapeId="0" xr:uid="{01E274E2-920F-4604-9B03-C7A425C8309D}">
      <text>
        <r>
          <rPr>
            <sz val="11"/>
            <rFont val="Calibri"/>
            <family val="2"/>
          </rPr>
          <t>Leveranser avser enbart perioden jan-mars 2019. Efter sammankoppling med Borås-nätet redovisas leveranser i Fristad efter 31/3 som leveranser i Borås.</t>
        </r>
      </text>
    </comment>
    <comment ref="C59" authorId="0" shapeId="0" xr:uid="{D976A9BA-62E0-4B68-AAF2-31802F66641F}">
      <text>
        <r>
          <rPr>
            <sz val="11"/>
            <rFont val="Calibri"/>
            <family val="2"/>
          </rPr>
          <t>I P530 så är 380 GWh försåld volym till egen kund, 82 GWh är sålt till Stockholm Exergi</t>
        </r>
      </text>
    </comment>
    <comment ref="C82" authorId="0" shapeId="0" xr:uid="{270FAF3D-6806-4C29-8DD7-4698F607F79E}">
      <text>
        <r>
          <rPr>
            <sz val="11"/>
            <rFont val="Calibri"/>
            <family val="2"/>
          </rPr>
          <t>Totalt uppmätt såld energi (Tableau) + värme som mäts men ej faktureras dvs.  (pelletsfabrik + internvärme för uppvärmning av FJV-loklaler + värme till FJK-produktion)</t>
        </r>
      </text>
    </comment>
    <comment ref="C317" authorId="0" shapeId="0" xr:uid="{56E43EFF-20F9-41D4-AC51-02E76EA1BC0C}">
      <text>
        <r>
          <rPr>
            <sz val="11"/>
            <rFont val="Calibri"/>
            <family val="2"/>
          </rPr>
          <t>Inkluderat leveranser till Pelletsfabriken</t>
        </r>
      </text>
    </comment>
    <comment ref="C385" authorId="0" shapeId="0" xr:uid="{66AAC2A1-A88C-47C7-962D-4A34AD77B0B4}">
      <text>
        <r>
          <rPr>
            <sz val="11"/>
            <rFont val="Calibri"/>
            <family val="2"/>
          </rPr>
          <t>Källa: eView/Fjärrvärme/Detaljer/2019</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G50" authorId="0" shapeId="0" xr:uid="{2528C32D-8949-4A50-AD4E-C3731141F9BD}">
      <text>
        <r>
          <rPr>
            <sz val="11"/>
            <rFont val="Calibri"/>
            <family val="2"/>
          </rPr>
          <t>Högre 2018 än 2017 pga att fd HVC Kvarnberg ingår i HVC Degerfors fr 2018</t>
        </r>
      </text>
    </comment>
    <comment ref="S52" authorId="0" shapeId="0" xr:uid="{9896A3EB-EA77-4326-B8A5-1FD7E0FD8BF9}">
      <text>
        <r>
          <rPr>
            <sz val="11"/>
            <rFont val="Calibri"/>
            <family val="2"/>
          </rPr>
          <t>Vi har inte kvar Åtorp, Degerfors Kommun har tagit över verksamheten</t>
        </r>
      </text>
    </comment>
    <comment ref="D80" authorId="0" shapeId="0" xr:uid="{A3B1589D-0530-474A-A5CD-01D8135391B1}">
      <text>
        <r>
          <rPr>
            <sz val="11"/>
            <rFont val="Calibri"/>
            <family val="2"/>
          </rPr>
          <t>Totalt uppmätt förbrukning BFUS + värme som mäts men ej faktureras (pelletsfabrik + internvärme för uppvärmning av FJV-loklaler + värme till FJK-produktion)</t>
        </r>
      </text>
    </comment>
    <comment ref="G80" authorId="0" shapeId="0" xr:uid="{C29DA108-0B62-42CD-B30E-B6BC52B83865}">
      <text>
        <r>
          <rPr>
            <sz val="11"/>
            <rFont val="Calibri"/>
            <family val="2"/>
          </rPr>
          <t>Industrier enligt BFUS, ingen koll på om de är tillverkande eller inte här</t>
        </r>
      </text>
    </comment>
    <comment ref="J80" authorId="0" shapeId="0" xr:uid="{A990E2D5-E9DB-483D-8129-E2A61C608053}">
      <text>
        <r>
          <rPr>
            <sz val="11"/>
            <rFont val="Calibri"/>
            <family val="2"/>
          </rPr>
          <t xml:space="preserve">Fakturerat övriga lokaler: Offentlig förvaltning, myndigheter, sjukvård etc. </t>
        </r>
      </text>
    </comment>
    <comment ref="M80" authorId="0" shapeId="0" xr:uid="{4F8630D1-C5F9-494E-BE9D-2858A8F446E5}">
      <text>
        <r>
          <rPr>
            <sz val="11"/>
            <rFont val="Calibri"/>
            <family val="2"/>
          </rPr>
          <t>Pelletsfabriken 45,2 GWh och FJV till ABS 4 GWh</t>
        </r>
      </text>
    </comment>
    <comment ref="D93" authorId="0" shapeId="0" xr:uid="{CB900F7B-2907-4343-B301-EF25BE3A7BAB}">
      <text>
        <r>
          <rPr>
            <sz val="11"/>
            <rFont val="Calibri"/>
            <family val="2"/>
          </rPr>
          <t>From 2018 ingår Göteborg Ale. (Ingår i Göteborg Ale Partille)</t>
        </r>
      </text>
    </comment>
    <comment ref="D94" authorId="0" shapeId="0" xr:uid="{1E262775-DE15-4485-891F-B319560600CB}">
      <text>
        <r>
          <rPr>
            <sz val="11"/>
            <rFont val="Calibri"/>
            <family val="2"/>
          </rPr>
          <t xml:space="preserve">From 2018 ingår inte Partille/Thomas J  I summan ingår såld värme till kyla /Thomas J.   2014 I siffrorna nedan ingår leveranser till bra miljöval. I såld värme ingår ej leverans för bra miljöval, denna finns i separat nät. //Charlotta Abrahamsson   </t>
        </r>
      </text>
    </comment>
    <comment ref="H94" authorId="0" shapeId="0" xr:uid="{A1FEC97E-BFFA-44CA-80C7-851A9983F1C7}">
      <text>
        <r>
          <rPr>
            <sz val="11"/>
            <rFont val="Calibri"/>
            <family val="2"/>
          </rPr>
          <t>2015 ET 2016 ET 2017 ET 2018 ET</t>
        </r>
      </text>
    </comment>
    <comment ref="L94" authorId="0" shapeId="0" xr:uid="{CD9EB49E-463F-4D5F-9D8A-8D5741166D2B}">
      <text>
        <r>
          <rPr>
            <sz val="11"/>
            <rFont val="Calibri"/>
            <family val="2"/>
          </rPr>
          <t>2017 DS 2018 DS</t>
        </r>
      </text>
    </comment>
    <comment ref="M94" authorId="0" shapeId="0" xr:uid="{E35FA4B0-4BCE-49B9-8705-09D6D3642F4D}">
      <text>
        <r>
          <rPr>
            <sz val="11"/>
            <rFont val="Calibri"/>
            <family val="2"/>
          </rPr>
          <t>2017 DS 2018 DS</t>
        </r>
      </text>
    </comment>
    <comment ref="D96" authorId="0" shapeId="0" xr:uid="{4F0ACEE8-7678-4FA9-A946-7D8E0D41173C}">
      <text>
        <r>
          <rPr>
            <sz val="11"/>
            <rFont val="Calibri"/>
            <family val="2"/>
          </rPr>
          <t>From 2018 ingår Göteborg Ale. (Ingår i Göteborg Ale Partille)</t>
        </r>
      </text>
    </comment>
    <comment ref="D99" authorId="0" shapeId="0" xr:uid="{1D2617AA-9E91-46DE-B9BA-316107D2E063}">
      <text>
        <r>
          <rPr>
            <sz val="11"/>
            <rFont val="Calibri"/>
            <family val="2"/>
          </rPr>
          <t>From 2018 ingår Göteborg Ale. (Ingår i Göteborg Ale Partille)</t>
        </r>
      </text>
    </comment>
    <comment ref="D177" authorId="0" shapeId="0" xr:uid="{92AEA4EB-24F5-48F3-9FF0-A2FF154E0F28}">
      <text>
        <r>
          <rPr>
            <sz val="11"/>
            <rFont val="Calibri"/>
            <family val="2"/>
          </rPr>
          <t>Varav ånga 7,19 GWh.</t>
        </r>
      </text>
    </comment>
    <comment ref="K299" authorId="0" shapeId="0" xr:uid="{4B15D477-F12B-4C9F-8BF6-358BC3E36C17}">
      <text>
        <r>
          <rPr>
            <sz val="11"/>
            <rFont val="Calibri"/>
            <family val="2"/>
          </rPr>
          <t>2018 inkluderas även Energi som används för produktion av Fjärrkyla.</t>
        </r>
      </text>
    </comment>
    <comment ref="D315" authorId="0" shapeId="0" xr:uid="{FEFD967D-3CE8-4D7A-9537-DA906DA29669}">
      <text>
        <r>
          <rPr>
            <sz val="11"/>
            <rFont val="Calibri"/>
            <family val="2"/>
          </rPr>
          <t>Inkluderat leveranser till Pelletsfabriken</t>
        </r>
      </text>
    </comment>
    <comment ref="F315" authorId="0" shapeId="0" xr:uid="{2C0F49D1-DCC1-4DA8-9491-4CB9E23C17D1}">
      <text>
        <r>
          <rPr>
            <sz val="11"/>
            <rFont val="Calibri"/>
            <family val="2"/>
          </rPr>
          <t xml:space="preserve">Här ingår även gruppanslutna småhus </t>
        </r>
      </text>
    </comment>
    <comment ref="K315" authorId="0" shapeId="0" xr:uid="{0DF275CA-C451-4775-8BA6-232A9B3F3FD5}">
      <text>
        <r>
          <rPr>
            <sz val="11"/>
            <rFont val="Calibri"/>
            <family val="2"/>
          </rPr>
          <t>Företaget har ingen markvärme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Nicole Burstein</author>
    <author>Hedman Mattias</author>
  </authors>
  <commentList>
    <comment ref="A119" authorId="0" shapeId="0" xr:uid="{B8F157BF-EF64-4300-BBD9-46EE6385E5E8}">
      <text>
        <r>
          <rPr>
            <b/>
            <sz val="9"/>
            <color indexed="81"/>
            <rFont val="Tahoma"/>
            <family val="2"/>
          </rPr>
          <t>Nicole Burstein:</t>
        </r>
        <r>
          <rPr>
            <sz val="9"/>
            <color indexed="81"/>
            <rFont val="Tahoma"/>
            <family val="2"/>
          </rPr>
          <t xml:space="preserve">
Ingår i GBG
</t>
        </r>
      </text>
    </comment>
    <comment ref="C147" authorId="1" shapeId="0" xr:uid="{22E0199D-5E96-4773-B37D-11FE7F9B73F6}">
      <text>
        <r>
          <rPr>
            <sz val="11"/>
            <rFont val="Calibri"/>
            <family val="2"/>
          </rPr>
          <t>se kommentarer på P531 och P535.</t>
        </r>
      </text>
    </comment>
    <comment ref="A188" authorId="0" shapeId="0" xr:uid="{E8CFAF10-7CA6-4268-9BFA-A6D36EB7955E}">
      <text>
        <r>
          <rPr>
            <b/>
            <sz val="9"/>
            <color indexed="81"/>
            <rFont val="Tahoma"/>
            <family val="2"/>
          </rPr>
          <t>Nicole Burstein:</t>
        </r>
        <r>
          <rPr>
            <sz val="9"/>
            <color indexed="81"/>
            <rFont val="Tahoma"/>
            <family val="2"/>
          </rPr>
          <t xml:space="preserve">
Ingår i Lidköping
</t>
        </r>
      </text>
    </comment>
    <comment ref="A201" authorId="0" shapeId="0" xr:uid="{2651652D-462E-4F7D-9D00-2661034E6BD7}">
      <text>
        <r>
          <rPr>
            <b/>
            <sz val="9"/>
            <color indexed="81"/>
            <rFont val="Tahoma"/>
            <family val="2"/>
          </rPr>
          <t>Nicole Burstein:</t>
        </r>
        <r>
          <rPr>
            <sz val="9"/>
            <color indexed="81"/>
            <rFont val="Tahoma"/>
            <family val="2"/>
          </rPr>
          <t xml:space="preserve">
Ingår i Luleå
</t>
        </r>
      </text>
    </comment>
    <comment ref="A212" authorId="0" shapeId="0" xr:uid="{DFC943DF-66F3-4B93-8E11-A7292935981A}">
      <text>
        <r>
          <rPr>
            <b/>
            <sz val="9"/>
            <color indexed="81"/>
            <rFont val="Tahoma"/>
            <family val="2"/>
          </rPr>
          <t>Nicole Burstein:</t>
        </r>
        <r>
          <rPr>
            <sz val="9"/>
            <color indexed="81"/>
            <rFont val="Tahoma"/>
            <family val="2"/>
          </rPr>
          <t xml:space="preserve">
Ingår i V-ÅS</t>
        </r>
      </text>
    </comment>
    <comment ref="A214" authorId="0" shapeId="0" xr:uid="{D4EBA74D-4D0E-4615-BC07-FE52C144D310}">
      <text>
        <r>
          <rPr>
            <b/>
            <sz val="9"/>
            <color indexed="81"/>
            <rFont val="Tahoma"/>
            <family val="2"/>
          </rPr>
          <t>Nicole Burstein:</t>
        </r>
        <r>
          <rPr>
            <sz val="9"/>
            <color indexed="81"/>
            <rFont val="Tahoma"/>
            <family val="2"/>
          </rPr>
          <t xml:space="preserve">
Ingår i Mölndal
</t>
        </r>
      </text>
    </comment>
    <comment ref="A215" authorId="0" shapeId="0" xr:uid="{A7B8BC4B-5D3D-402D-B1C9-81CAF54B6778}">
      <text>
        <r>
          <rPr>
            <b/>
            <sz val="9"/>
            <color indexed="81"/>
            <rFont val="Tahoma"/>
            <family val="2"/>
          </rPr>
          <t>Nicole Burstein:</t>
        </r>
        <r>
          <rPr>
            <sz val="9"/>
            <color indexed="81"/>
            <rFont val="Tahoma"/>
            <family val="2"/>
          </rPr>
          <t xml:space="preserve">
Ingår i Mölndal</t>
        </r>
      </text>
    </comment>
    <comment ref="A343" authorId="0" shapeId="0" xr:uid="{1D33DF6B-D77D-4678-93C6-CB6808CA5BC6}">
      <text>
        <r>
          <rPr>
            <b/>
            <sz val="9"/>
            <color indexed="81"/>
            <rFont val="Tahoma"/>
            <family val="2"/>
          </rPr>
          <t>Nicole Burstein:</t>
        </r>
        <r>
          <rPr>
            <sz val="9"/>
            <color indexed="81"/>
            <rFont val="Tahoma"/>
            <family val="2"/>
          </rPr>
          <t xml:space="preserve">
Ingår i Sundsvall
</t>
        </r>
      </text>
    </comment>
    <comment ref="A452" authorId="0" shapeId="0" xr:uid="{5DB536F8-8C91-4F94-8E1F-4DAE7A1F0DC5}">
      <text>
        <r>
          <rPr>
            <b/>
            <sz val="9"/>
            <color indexed="81"/>
            <rFont val="Tahoma"/>
            <family val="2"/>
          </rPr>
          <t>Nicole Burstein:</t>
        </r>
        <r>
          <rPr>
            <sz val="9"/>
            <color indexed="81"/>
            <rFont val="Tahoma"/>
            <family val="2"/>
          </rPr>
          <t xml:space="preserve">
Ingår i Växjö
</t>
        </r>
      </text>
    </comment>
  </commentList>
</comments>
</file>

<file path=xl/sharedStrings.xml><?xml version="1.0" encoding="utf-8"?>
<sst xmlns="http://schemas.openxmlformats.org/spreadsheetml/2006/main" count="22438" uniqueCount="1238">
  <si>
    <t>Karlskrona</t>
  </si>
  <si>
    <t>Alingsås</t>
  </si>
  <si>
    <t>Alvesta</t>
  </si>
  <si>
    <t>Moheda</t>
  </si>
  <si>
    <t>Vislanda</t>
  </si>
  <si>
    <t>Arboga</t>
  </si>
  <si>
    <t>Arvidsjaur</t>
  </si>
  <si>
    <t>Bengtsfors</t>
  </si>
  <si>
    <t>Ockelbo</t>
  </si>
  <si>
    <t>Bergby</t>
  </si>
  <si>
    <t>Forsbacka</t>
  </si>
  <si>
    <t>Rörberg</t>
  </si>
  <si>
    <t>Skogskyrkogården</t>
  </si>
  <si>
    <t>Strömgården</t>
  </si>
  <si>
    <t>Valbo</t>
  </si>
  <si>
    <t>Skutskär</t>
  </si>
  <si>
    <t>Hedesunda</t>
  </si>
  <si>
    <t>Söderfors</t>
  </si>
  <si>
    <t>Horndal</t>
  </si>
  <si>
    <t>Boden</t>
  </si>
  <si>
    <t>Arbrå</t>
  </si>
  <si>
    <t>Bollnäs</t>
  </si>
  <si>
    <t>Kilafors</t>
  </si>
  <si>
    <t>Borgholm</t>
  </si>
  <si>
    <t>Löttorp</t>
  </si>
  <si>
    <t>Borlänge</t>
  </si>
  <si>
    <t>Ornäs</t>
  </si>
  <si>
    <t>Torsång</t>
  </si>
  <si>
    <t>Fristad</t>
  </si>
  <si>
    <t>Borås</t>
  </si>
  <si>
    <t>Bromölla</t>
  </si>
  <si>
    <t>Bräcke</t>
  </si>
  <si>
    <t>Kälarne</t>
  </si>
  <si>
    <t>Fjälkinge</t>
  </si>
  <si>
    <t>Kristianstad</t>
  </si>
  <si>
    <t>Tollarp</t>
  </si>
  <si>
    <t>Åhus</t>
  </si>
  <si>
    <t>Insjön</t>
  </si>
  <si>
    <t>Leksand</t>
  </si>
  <si>
    <t>Svartå</t>
  </si>
  <si>
    <t>Åtorp</t>
  </si>
  <si>
    <t>Boxholm</t>
  </si>
  <si>
    <t>Svalöv</t>
  </si>
  <si>
    <t>Malmö</t>
  </si>
  <si>
    <t>Staffanstorp</t>
  </si>
  <si>
    <t>Vilhelmina</t>
  </si>
  <si>
    <t>Dorotea</t>
  </si>
  <si>
    <t>Junsele</t>
  </si>
  <si>
    <t>Sveg</t>
  </si>
  <si>
    <t>Sollefteå</t>
  </si>
  <si>
    <t>Vännäs</t>
  </si>
  <si>
    <t>Nordmaling</t>
  </si>
  <si>
    <t>Mora</t>
  </si>
  <si>
    <t>Orsa</t>
  </si>
  <si>
    <t>Timrå</t>
  </si>
  <si>
    <t>Skinnskatteberg</t>
  </si>
  <si>
    <t>Odensbacken</t>
  </si>
  <si>
    <t>Österåker</t>
  </si>
  <si>
    <t>Vaxholm</t>
  </si>
  <si>
    <t>Vallentuna</t>
  </si>
  <si>
    <t>Bollstabruk</t>
  </si>
  <si>
    <t>Bro</t>
  </si>
  <si>
    <t>Bålsta</t>
  </si>
  <si>
    <t>Bällstaberg</t>
  </si>
  <si>
    <t>Hede</t>
  </si>
  <si>
    <t>Hägernäs</t>
  </si>
  <si>
    <t>Järfälla</t>
  </si>
  <si>
    <t>Kalmarsand</t>
  </si>
  <si>
    <t>Kungsängen</t>
  </si>
  <si>
    <t>Långsele</t>
  </si>
  <si>
    <t>Nora</t>
  </si>
  <si>
    <t>Näsåker</t>
  </si>
  <si>
    <t>Ramsele</t>
  </si>
  <si>
    <t>Rundvik</t>
  </si>
  <si>
    <t>Västerskog</t>
  </si>
  <si>
    <t>Söderköping</t>
  </si>
  <si>
    <t>Lammhult</t>
  </si>
  <si>
    <t>Åseda</t>
  </si>
  <si>
    <t>Ljungby</t>
  </si>
  <si>
    <t>Älmhult</t>
  </si>
  <si>
    <t>Mönsterås</t>
  </si>
  <si>
    <t>Broby</t>
  </si>
  <si>
    <t>Markaryd</t>
  </si>
  <si>
    <t>Landvetter</t>
  </si>
  <si>
    <t>Mölnlycke</t>
  </si>
  <si>
    <t>Bara</t>
  </si>
  <si>
    <t>Lagan</t>
  </si>
  <si>
    <t>Ryd</t>
  </si>
  <si>
    <t>Norrköping</t>
  </si>
  <si>
    <t>HÖK</t>
  </si>
  <si>
    <t>Eda</t>
  </si>
  <si>
    <t>Eksjö</t>
  </si>
  <si>
    <t>Ingatorp</t>
  </si>
  <si>
    <t>Mariannelund</t>
  </si>
  <si>
    <t>Eksta</t>
  </si>
  <si>
    <t>Alfta</t>
  </si>
  <si>
    <t>Edsbyn</t>
  </si>
  <si>
    <t>Broakulla</t>
  </si>
  <si>
    <t>Emmaboda</t>
  </si>
  <si>
    <t>Långasjö</t>
  </si>
  <si>
    <t>Vissefjärda</t>
  </si>
  <si>
    <t>Enköping</t>
  </si>
  <si>
    <t>Eskilstuna-Torshälla</t>
  </si>
  <si>
    <t>Hällbybrunn</t>
  </si>
  <si>
    <t>Kvicksund</t>
  </si>
  <si>
    <t>Ärla</t>
  </si>
  <si>
    <t>Falköping</t>
  </si>
  <si>
    <t>Floby</t>
  </si>
  <si>
    <t>Falkenberg</t>
  </si>
  <si>
    <t>Bjursås</t>
  </si>
  <si>
    <t>Falun</t>
  </si>
  <si>
    <t>Grycksbo</t>
  </si>
  <si>
    <t>Svärdsjö</t>
  </si>
  <si>
    <t>Finspång</t>
  </si>
  <si>
    <t>Osby</t>
  </si>
  <si>
    <t>Delsbo</t>
  </si>
  <si>
    <t>Hofors</t>
  </si>
  <si>
    <t>Hudiksvall</t>
  </si>
  <si>
    <t>Avesta</t>
  </si>
  <si>
    <t>Arvika</t>
  </si>
  <si>
    <t>Säffle</t>
  </si>
  <si>
    <t>Nynäshamn</t>
  </si>
  <si>
    <t>Finnboda</t>
  </si>
  <si>
    <t>Grums</t>
  </si>
  <si>
    <t>Grythyttan</t>
  </si>
  <si>
    <t>Hällefors</t>
  </si>
  <si>
    <t>Kopparberg</t>
  </si>
  <si>
    <t>Näsviken</t>
  </si>
  <si>
    <t>Stöllet</t>
  </si>
  <si>
    <t>Sörforsa</t>
  </si>
  <si>
    <t>Torsby</t>
  </si>
  <si>
    <t>Henja</t>
  </si>
  <si>
    <t>Hestra</t>
  </si>
  <si>
    <t>Visby</t>
  </si>
  <si>
    <t>Hemse</t>
  </si>
  <si>
    <t>Klintehamn</t>
  </si>
  <si>
    <t>Slite</t>
  </si>
  <si>
    <t>Gällivare-Malmberget</t>
  </si>
  <si>
    <t>Gävle</t>
  </si>
  <si>
    <t>Götene</t>
  </si>
  <si>
    <t>Hällekis</t>
  </si>
  <si>
    <t>Habo</t>
  </si>
  <si>
    <t>Halmstad</t>
  </si>
  <si>
    <t>Skoghall</t>
  </si>
  <si>
    <t>Säter</t>
  </si>
  <si>
    <t>Hedemora</t>
  </si>
  <si>
    <t>Gustafs</t>
  </si>
  <si>
    <t>Långshyttan</t>
  </si>
  <si>
    <t>Hjo</t>
  </si>
  <si>
    <t>Torsåker</t>
  </si>
  <si>
    <t>Härnösand</t>
  </si>
  <si>
    <t>Hässleholm</t>
  </si>
  <si>
    <t>Tyringe</t>
  </si>
  <si>
    <t>Höganäs</t>
  </si>
  <si>
    <t>Jokkmokk</t>
  </si>
  <si>
    <t>Krokom</t>
  </si>
  <si>
    <t>Åre</t>
  </si>
  <si>
    <t>Östersund</t>
  </si>
  <si>
    <t>Bankeryd</t>
  </si>
  <si>
    <t>Gränna</t>
  </si>
  <si>
    <t>Jönköping</t>
  </si>
  <si>
    <t>Norrahammar</t>
  </si>
  <si>
    <t>Kalmar</t>
  </si>
  <si>
    <t>Nybro</t>
  </si>
  <si>
    <t>Karlshamn</t>
  </si>
  <si>
    <t>Karlskoga</t>
  </si>
  <si>
    <t>Karlstad</t>
  </si>
  <si>
    <t>Skåre</t>
  </si>
  <si>
    <t>Katrineholm</t>
  </si>
  <si>
    <t>Valla</t>
  </si>
  <si>
    <t>Kil</t>
  </si>
  <si>
    <t>Nyland</t>
  </si>
  <si>
    <t>Kristinehamn</t>
  </si>
  <si>
    <t>Kungälv</t>
  </si>
  <si>
    <t>Köping</t>
  </si>
  <si>
    <t>Kolsva</t>
  </si>
  <si>
    <t>Landskrona</t>
  </si>
  <si>
    <t>Ödeshög</t>
  </si>
  <si>
    <t>Bjärnum</t>
  </si>
  <si>
    <t>Ed</t>
  </si>
  <si>
    <t>Grästorp</t>
  </si>
  <si>
    <t>Horred</t>
  </si>
  <si>
    <t>Kvänum</t>
  </si>
  <si>
    <t>Skurup</t>
  </si>
  <si>
    <t>Laxå</t>
  </si>
  <si>
    <t>Gråbo</t>
  </si>
  <si>
    <t>Lerum</t>
  </si>
  <si>
    <t>Lysekil</t>
  </si>
  <si>
    <t>Lidköping</t>
  </si>
  <si>
    <t>Lilla Edet</t>
  </si>
  <si>
    <t>Lindesberg</t>
  </si>
  <si>
    <t>Frövi</t>
  </si>
  <si>
    <t>Vedevåg</t>
  </si>
  <si>
    <t>Ljusdal</t>
  </si>
  <si>
    <t>Färila</t>
  </si>
  <si>
    <t>Järvsö</t>
  </si>
  <si>
    <t>Luleå</t>
  </si>
  <si>
    <t>Råneå</t>
  </si>
  <si>
    <t>Eslöv</t>
  </si>
  <si>
    <t>Lund</t>
  </si>
  <si>
    <t>Malmköping</t>
  </si>
  <si>
    <t>Malung</t>
  </si>
  <si>
    <t>Mariestad</t>
  </si>
  <si>
    <t>Kinna</t>
  </si>
  <si>
    <t>Fritsla</t>
  </si>
  <si>
    <t>Mjölby</t>
  </si>
  <si>
    <t>Munkfors</t>
  </si>
  <si>
    <t>Västerås</t>
  </si>
  <si>
    <t>Hallstahammar</t>
  </si>
  <si>
    <t>Kungsör</t>
  </si>
  <si>
    <t>Mölndal</t>
  </si>
  <si>
    <t>Kramfors</t>
  </si>
  <si>
    <t>Valdemarsvik</t>
  </si>
  <si>
    <t>Bjuv</t>
  </si>
  <si>
    <t>Gimo</t>
  </si>
  <si>
    <t>Hultsfred</t>
  </si>
  <si>
    <t>Tibro</t>
  </si>
  <si>
    <t>Årjäng</t>
  </si>
  <si>
    <t>Österbybruk</t>
  </si>
  <si>
    <t>Sundbyberg-Solna</t>
  </si>
  <si>
    <t>Hallstavik</t>
  </si>
  <si>
    <t>Norrtälje</t>
  </si>
  <si>
    <t>Rimbo</t>
  </si>
  <si>
    <t>Nässjö</t>
  </si>
  <si>
    <t>Anneberg</t>
  </si>
  <si>
    <t>Bodafors</t>
  </si>
  <si>
    <t>Olofström</t>
  </si>
  <si>
    <t>Oskarshamn</t>
  </si>
  <si>
    <t>Oxelösund</t>
  </si>
  <si>
    <t>Perstorp</t>
  </si>
  <si>
    <t>Piteå</t>
  </si>
  <si>
    <t>Hortlax</t>
  </si>
  <si>
    <t>Norrfjärden</t>
  </si>
  <si>
    <t>Rosvik</t>
  </si>
  <si>
    <t>Sjulnäs</t>
  </si>
  <si>
    <t>Vansbro</t>
  </si>
  <si>
    <t>Sunne</t>
  </si>
  <si>
    <t>Karlsborg</t>
  </si>
  <si>
    <t>Vadstena</t>
  </si>
  <si>
    <t>Flen</t>
  </si>
  <si>
    <t>Vingåker</t>
  </si>
  <si>
    <t>Gnesta</t>
  </si>
  <si>
    <t>Hörby</t>
  </si>
  <si>
    <t>Höör</t>
  </si>
  <si>
    <t>Sjöbo</t>
  </si>
  <si>
    <t>Tomelilla</t>
  </si>
  <si>
    <t>Filipstad</t>
  </si>
  <si>
    <t>Storfors</t>
  </si>
  <si>
    <t>Vårgårda</t>
  </si>
  <si>
    <t>Västerdala</t>
  </si>
  <si>
    <t>Bräkne-Hoby</t>
  </si>
  <si>
    <t>Kallinge</t>
  </si>
  <si>
    <t>Rättvik</t>
  </si>
  <si>
    <t>Sala</t>
  </si>
  <si>
    <t>Heby</t>
  </si>
  <si>
    <t>Sandviken</t>
  </si>
  <si>
    <t>Skara</t>
  </si>
  <si>
    <t>Malå</t>
  </si>
  <si>
    <t>Norsjö</t>
  </si>
  <si>
    <t>Lycksele</t>
  </si>
  <si>
    <t>Vindeln</t>
  </si>
  <si>
    <t>Skellefteå</t>
  </si>
  <si>
    <t>Robertsfors</t>
  </si>
  <si>
    <t>Boliden</t>
  </si>
  <si>
    <t>Bureå</t>
  </si>
  <si>
    <t>Burträsk</t>
  </si>
  <si>
    <t>Byske</t>
  </si>
  <si>
    <t>Jörn</t>
  </si>
  <si>
    <t>Kristineberg</t>
  </si>
  <si>
    <t>Kåge</t>
  </si>
  <si>
    <t>Lidbacken</t>
  </si>
  <si>
    <t>Lövånger</t>
  </si>
  <si>
    <t>Storuman</t>
  </si>
  <si>
    <t>Ursviken-Skelleftehamn</t>
  </si>
  <si>
    <t>Ånäset</t>
  </si>
  <si>
    <t>Skövde</t>
  </si>
  <si>
    <t>Skultorp</t>
  </si>
  <si>
    <t>Stöpen</t>
  </si>
  <si>
    <t>Smedjebacken</t>
  </si>
  <si>
    <t>Söderbärke</t>
  </si>
  <si>
    <t>Sollentuna</t>
  </si>
  <si>
    <t>Åmål</t>
  </si>
  <si>
    <t>Trosa</t>
  </si>
  <si>
    <t>Kungsbacka</t>
  </si>
  <si>
    <t>Vagnhärad</t>
  </si>
  <si>
    <t>Strängnäs</t>
  </si>
  <si>
    <t>Sundby Park</t>
  </si>
  <si>
    <t>Åkers styckebruk</t>
  </si>
  <si>
    <t>Sundsvall</t>
  </si>
  <si>
    <t>Indal</t>
  </si>
  <si>
    <t>Kovland</t>
  </si>
  <si>
    <t>Kvissleby</t>
  </si>
  <si>
    <t>Liden</t>
  </si>
  <si>
    <t>Lucksta</t>
  </si>
  <si>
    <t>Matfors</t>
  </si>
  <si>
    <t>Ramnäs</t>
  </si>
  <si>
    <t>Surahammar</t>
  </si>
  <si>
    <t>Virsbo</t>
  </si>
  <si>
    <t>Svenljunga</t>
  </si>
  <si>
    <t>Sävsjö</t>
  </si>
  <si>
    <t>Rörvik</t>
  </si>
  <si>
    <t>Söderhamn</t>
  </si>
  <si>
    <t>Ljusne</t>
  </si>
  <si>
    <t>Söderala</t>
  </si>
  <si>
    <t>Södertörn Fjärrvärme Totalt</t>
  </si>
  <si>
    <t>Vittangi</t>
  </si>
  <si>
    <t>Borensberg</t>
  </si>
  <si>
    <t>Kisa</t>
  </si>
  <si>
    <t>Linköping</t>
  </si>
  <si>
    <t>Skärblacka</t>
  </si>
  <si>
    <t>Åtvidaberg</t>
  </si>
  <si>
    <t>Södertälje</t>
  </si>
  <si>
    <t>Järna</t>
  </si>
  <si>
    <t>Nykvarn</t>
  </si>
  <si>
    <t>Tidaholm</t>
  </si>
  <si>
    <t>Tierp</t>
  </si>
  <si>
    <t>Tranås</t>
  </si>
  <si>
    <t>Trelleborg</t>
  </si>
  <si>
    <t>Trollhättan</t>
  </si>
  <si>
    <t>Munkedal</t>
  </si>
  <si>
    <t>Uddevalla</t>
  </si>
  <si>
    <t>Ulricehamn</t>
  </si>
  <si>
    <t>Gällstad</t>
  </si>
  <si>
    <t>Bjurholm</t>
  </si>
  <si>
    <t>Umeå</t>
  </si>
  <si>
    <t>Holmsund</t>
  </si>
  <si>
    <t>Hörnefors</t>
  </si>
  <si>
    <t>Sävar</t>
  </si>
  <si>
    <t>Vaggeryd</t>
  </si>
  <si>
    <t>Skillingaryd</t>
  </si>
  <si>
    <t>Vara</t>
  </si>
  <si>
    <t>Träslövsläge</t>
  </si>
  <si>
    <t>Varberg (Fjv)</t>
  </si>
  <si>
    <t>Veddige</t>
  </si>
  <si>
    <t>Askersund</t>
  </si>
  <si>
    <t>Uppsala</t>
  </si>
  <si>
    <t>Motala</t>
  </si>
  <si>
    <t>Nyköping</t>
  </si>
  <si>
    <t>Vänersborg</t>
  </si>
  <si>
    <t>Drefviken</t>
  </si>
  <si>
    <t>Gustavsberg</t>
  </si>
  <si>
    <t>Knivsta</t>
  </si>
  <si>
    <t>Saltsjöbaden</t>
  </si>
  <si>
    <t>Storvreta</t>
  </si>
  <si>
    <t>Överkalix</t>
  </si>
  <si>
    <t>Haparanda</t>
  </si>
  <si>
    <t>Kalix</t>
  </si>
  <si>
    <t>Övertorneå</t>
  </si>
  <si>
    <t>Vetlanda</t>
  </si>
  <si>
    <t>Holsby</t>
  </si>
  <si>
    <t>Vimmerby</t>
  </si>
  <si>
    <t>Frödinge</t>
  </si>
  <si>
    <t>Gullringen</t>
  </si>
  <si>
    <t>Storebro</t>
  </si>
  <si>
    <t>Rydaholm</t>
  </si>
  <si>
    <t>Värnamo</t>
  </si>
  <si>
    <t>Norberg</t>
  </si>
  <si>
    <t>Fagersta</t>
  </si>
  <si>
    <t>Grängesberg</t>
  </si>
  <si>
    <t>Ludvika</t>
  </si>
  <si>
    <t>Ankarsrum</t>
  </si>
  <si>
    <t>Gamleby</t>
  </si>
  <si>
    <t>Västervik</t>
  </si>
  <si>
    <t>Växjö</t>
  </si>
  <si>
    <t>Braås</t>
  </si>
  <si>
    <t>Ingelstad</t>
  </si>
  <si>
    <t>Rottne</t>
  </si>
  <si>
    <t>Ystad</t>
  </si>
  <si>
    <t>Fränsta</t>
  </si>
  <si>
    <t>Ljungaverk</t>
  </si>
  <si>
    <t>Ånge</t>
  </si>
  <si>
    <t>Älvsbyn</t>
  </si>
  <si>
    <t>Ängelholm</t>
  </si>
  <si>
    <t>Helsingborg</t>
  </si>
  <si>
    <t>Örkelljunga</t>
  </si>
  <si>
    <t>Simrishamn</t>
  </si>
  <si>
    <t>Örnsköldsvik</t>
  </si>
  <si>
    <t>Bjästa</t>
  </si>
  <si>
    <t>Bredbyn</t>
  </si>
  <si>
    <t>Husum</t>
  </si>
  <si>
    <t>Vännäs by</t>
  </si>
  <si>
    <t>Ljungby E ON</t>
  </si>
  <si>
    <t>Algustboda</t>
  </si>
  <si>
    <t>Ullared-närvärme</t>
  </si>
  <si>
    <t>Nybro (Kalmar Energi)</t>
  </si>
  <si>
    <t>HVC Kode</t>
  </si>
  <si>
    <t>HVC Kärna</t>
  </si>
  <si>
    <t>HVC Stålkullen</t>
  </si>
  <si>
    <t>Lund-Lomma</t>
  </si>
  <si>
    <t>Östhammar Frösåker</t>
  </si>
  <si>
    <t>Kiruna C</t>
  </si>
  <si>
    <t>Södra Vi</t>
  </si>
  <si>
    <t>Assbergs nätet</t>
  </si>
  <si>
    <t>Brunflo</t>
  </si>
  <si>
    <t>Bränninge</t>
  </si>
  <si>
    <t>Danderyd</t>
  </si>
  <si>
    <t>Duved</t>
  </si>
  <si>
    <t>Floda</t>
  </si>
  <si>
    <t>Föllinge</t>
  </si>
  <si>
    <t>Gullspång</t>
  </si>
  <si>
    <t>Hjärnarp</t>
  </si>
  <si>
    <t>Hoting</t>
  </si>
  <si>
    <t>Kolbäck</t>
  </si>
  <si>
    <t>Lidingö</t>
  </si>
  <si>
    <t>Ljungskile</t>
  </si>
  <si>
    <t>Lyrestad</t>
  </si>
  <si>
    <t>Mariefred</t>
  </si>
  <si>
    <t>Mark</t>
  </si>
  <si>
    <t>Nacka</t>
  </si>
  <si>
    <t>NV Karlskrona</t>
  </si>
  <si>
    <t>Nälden</t>
  </si>
  <si>
    <t>Olfsta</t>
  </si>
  <si>
    <t>Pajala</t>
  </si>
  <si>
    <t>Reftele</t>
  </si>
  <si>
    <t>Ronneby-Kallinge</t>
  </si>
  <si>
    <t>Sjuntorp</t>
  </si>
  <si>
    <t>St Skedvi</t>
  </si>
  <si>
    <t>Stenkullen</t>
  </si>
  <si>
    <t>Stenungsund</t>
  </si>
  <si>
    <t>Stockfallet</t>
  </si>
  <si>
    <t>Stockholm</t>
  </si>
  <si>
    <t>Stora Höga</t>
  </si>
  <si>
    <t>Stora Vika</t>
  </si>
  <si>
    <t>Storvik</t>
  </si>
  <si>
    <t>Stugsund</t>
  </si>
  <si>
    <t>Svista</t>
  </si>
  <si>
    <t>Tanumshede</t>
  </si>
  <si>
    <t>Teckomatorp</t>
  </si>
  <si>
    <t>Timmersdala</t>
  </si>
  <si>
    <t>Tvååker (Närv)</t>
  </si>
  <si>
    <t>Töreboda</t>
  </si>
  <si>
    <t>Vejbystrand</t>
  </si>
  <si>
    <t>Vessigebro -närvärme</t>
  </si>
  <si>
    <t>Vågbro</t>
  </si>
  <si>
    <t>Väderstad</t>
  </si>
  <si>
    <t>Vänge</t>
  </si>
  <si>
    <t>Väsby</t>
  </si>
  <si>
    <t>Åkersberga</t>
  </si>
  <si>
    <t>Älvdalen</t>
  </si>
  <si>
    <t>Örbyhus</t>
  </si>
  <si>
    <t>Örsundsbro</t>
  </si>
  <si>
    <t>Upplands-Bro</t>
  </si>
  <si>
    <t>Täby</t>
  </si>
  <si>
    <t>Gislaved</t>
  </si>
  <si>
    <t>Stockholm-Bromma</t>
  </si>
  <si>
    <t>Varberg</t>
  </si>
  <si>
    <t>Herrljunga</t>
  </si>
  <si>
    <t>Films Kyrkby</t>
  </si>
  <si>
    <t>Klippan</t>
  </si>
  <si>
    <t>Arjeplog</t>
  </si>
  <si>
    <t>Charlottenberg</t>
  </si>
  <si>
    <t>Falsterbo</t>
  </si>
  <si>
    <t>Gäddede</t>
  </si>
  <si>
    <t>Haninge</t>
  </si>
  <si>
    <t>Hemavan</t>
  </si>
  <si>
    <t>Karesuando</t>
  </si>
  <si>
    <t>Kumla</t>
  </si>
  <si>
    <t>Kvikkjokk</t>
  </si>
  <si>
    <t>Kävlinge</t>
  </si>
  <si>
    <t>Laholm</t>
  </si>
  <si>
    <t>Svedala</t>
  </si>
  <si>
    <t>Såtenäs</t>
  </si>
  <si>
    <t>Särna</t>
  </si>
  <si>
    <t>Sölvesborg</t>
  </si>
  <si>
    <t>Tingsryd</t>
  </si>
  <si>
    <t>Faktisk</t>
  </si>
  <si>
    <t>Strömsund</t>
  </si>
  <si>
    <t>Ort</t>
  </si>
  <si>
    <t>Klimatstation</t>
  </si>
  <si>
    <t>Mörsil</t>
  </si>
  <si>
    <t>Summa</t>
  </si>
  <si>
    <t>Nationell</t>
  </si>
  <si>
    <t>Diff</t>
  </si>
  <si>
    <t>Gisle</t>
  </si>
  <si>
    <t>Häljarp</t>
  </si>
  <si>
    <t>Järbo</t>
  </si>
  <si>
    <t>Järpen</t>
  </si>
  <si>
    <t>Kungsmarken</t>
  </si>
  <si>
    <t>Kyrkeryd</t>
  </si>
  <si>
    <t>Ljusnarsberg</t>
  </si>
  <si>
    <t>Myrviken</t>
  </si>
  <si>
    <t>Skällsta</t>
  </si>
  <si>
    <t>Åstorp</t>
  </si>
  <si>
    <t>Medel</t>
  </si>
  <si>
    <t>Alla orter</t>
  </si>
  <si>
    <t>Blomstermåla</t>
  </si>
  <si>
    <t>Fliseryd</t>
  </si>
  <si>
    <t>Hagaström</t>
  </si>
  <si>
    <t>Huddinge</t>
  </si>
  <si>
    <t>Iggesund</t>
  </si>
  <si>
    <t>Lidhult</t>
  </si>
  <si>
    <t>Moliden</t>
  </si>
  <si>
    <t>Morgongåva</t>
  </si>
  <si>
    <t>Mullsjö</t>
  </si>
  <si>
    <t>Norrsundet</t>
  </si>
  <si>
    <t>Strömsnäsbruk</t>
  </si>
  <si>
    <t>Bångbro</t>
  </si>
  <si>
    <t>Fjärdhundra</t>
  </si>
  <si>
    <t>Kryssruta</t>
  </si>
  <si>
    <t>Listruta</t>
  </si>
  <si>
    <t>Andel klimatberoende värme</t>
  </si>
  <si>
    <t>placenr</t>
  </si>
  <si>
    <t>name</t>
  </si>
  <si>
    <t>Ritsem</t>
  </si>
  <si>
    <t>Gällivare</t>
  </si>
  <si>
    <t>Kiruna</t>
  </si>
  <si>
    <t xml:space="preserve">Abisko </t>
  </si>
  <si>
    <t>Ronneby</t>
  </si>
  <si>
    <t xml:space="preserve">Hörby </t>
  </si>
  <si>
    <t>Båstad</t>
  </si>
  <si>
    <t>Göteborg</t>
  </si>
  <si>
    <t>Mellerud</t>
  </si>
  <si>
    <t>Strömstad</t>
  </si>
  <si>
    <t xml:space="preserve">Ullared </t>
  </si>
  <si>
    <t>Torsås</t>
  </si>
  <si>
    <t>Lessebo</t>
  </si>
  <si>
    <t>Hyltebruk</t>
  </si>
  <si>
    <t>Valdermarsvik</t>
  </si>
  <si>
    <t>Eskilstuna</t>
  </si>
  <si>
    <t xml:space="preserve">Malexander </t>
  </si>
  <si>
    <t>Hagfors</t>
  </si>
  <si>
    <t>Örebro</t>
  </si>
  <si>
    <t>Östmark</t>
  </si>
  <si>
    <t xml:space="preserve">Vara  </t>
  </si>
  <si>
    <t>Hova</t>
  </si>
  <si>
    <t>Tyresö</t>
  </si>
  <si>
    <t>Märsta</t>
  </si>
  <si>
    <t>Tärnsjö</t>
  </si>
  <si>
    <t>Östhammar</t>
  </si>
  <si>
    <t>Värmdö</t>
  </si>
  <si>
    <t xml:space="preserve">Adelsö </t>
  </si>
  <si>
    <t>Sälen-Högfjällshotell</t>
  </si>
  <si>
    <t>Storlien</t>
  </si>
  <si>
    <t>Hammarstrand</t>
  </si>
  <si>
    <t xml:space="preserve">Tännäs </t>
  </si>
  <si>
    <t xml:space="preserve">Föllinge </t>
  </si>
  <si>
    <t>Svenstavik</t>
  </si>
  <si>
    <t>Fredrika</t>
  </si>
  <si>
    <t>Sorsele</t>
  </si>
  <si>
    <t xml:space="preserve">Norsjö </t>
  </si>
  <si>
    <t>Korr, fakt, baserat på Graddagar</t>
  </si>
  <si>
    <t>c) Copyright SMHI, Uppgifterna omfattas av upphovs- och äganderätt som tillfaller SMHI och får inte vidareförmedlas till tredje part,</t>
  </si>
  <si>
    <t>Korr, fakt, baserat på EnergiIndex</t>
  </si>
  <si>
    <t>Företag</t>
  </si>
  <si>
    <t>Nät</t>
  </si>
  <si>
    <t>Elektra Värme AB</t>
  </si>
  <si>
    <t>Emmaboda Energi &amp; Miljö AB</t>
  </si>
  <si>
    <t>Algutsboda</t>
  </si>
  <si>
    <t>Alingsås Energi Nät AB</t>
  </si>
  <si>
    <t>Alvesta Energi AB</t>
  </si>
  <si>
    <t>Västervik Miljö &amp; Energi AB</t>
  </si>
  <si>
    <t>Nässjö Affärsverk AB</t>
  </si>
  <si>
    <t>Arboga Energi AB</t>
  </si>
  <si>
    <t>Bollnäs Energi AB</t>
  </si>
  <si>
    <t>Arvidsjaurs Energi AB</t>
  </si>
  <si>
    <t>Arvika Fjärrvärme AB</t>
  </si>
  <si>
    <t>Vattenfall AB Värme</t>
  </si>
  <si>
    <t>Mark Kraftvärme AB</t>
  </si>
  <si>
    <t>Värmevärden AB</t>
  </si>
  <si>
    <t>Jönköping Energi AB</t>
  </si>
  <si>
    <t>Axamo</t>
  </si>
  <si>
    <t>E.ON Värme Sverige AB</t>
  </si>
  <si>
    <t>Bengtsfors Energi</t>
  </si>
  <si>
    <t>Bionär Närvärme AB</t>
  </si>
  <si>
    <t>Gimmersta Energi AB</t>
  </si>
  <si>
    <t>Bie</t>
  </si>
  <si>
    <t>Umeå Energi AB</t>
  </si>
  <si>
    <t>Falu Energi &amp; Vatten AB</t>
  </si>
  <si>
    <t>Lantmännen Agrovärme AB</t>
  </si>
  <si>
    <t>Övik Energi AB</t>
  </si>
  <si>
    <t>Björkvik</t>
  </si>
  <si>
    <t>Skellefteå Kraft AB</t>
  </si>
  <si>
    <t>Enycon AB</t>
  </si>
  <si>
    <t>Tekniska Verken i Linköping AB</t>
  </si>
  <si>
    <t>Borgholm Energi AB</t>
  </si>
  <si>
    <t>Borlänge Energi AB</t>
  </si>
  <si>
    <t>Borås Energi och Miljö AB</t>
  </si>
  <si>
    <t>Växjö Energi AB</t>
  </si>
  <si>
    <t>Bromölla Fjärrvärme AB</t>
  </si>
  <si>
    <t>Jämtkraft AB</t>
  </si>
  <si>
    <t>Bräcke kommun</t>
  </si>
  <si>
    <t>Ronneby Miljö och Teknik AB</t>
  </si>
  <si>
    <t>Bällinge</t>
  </si>
  <si>
    <t>Coop</t>
  </si>
  <si>
    <t>Eda Energi AB</t>
  </si>
  <si>
    <t>Vetlanda Energi och Teknik AB</t>
  </si>
  <si>
    <t>Ekenäs sjön</t>
  </si>
  <si>
    <t>Hagfors Energi AB</t>
  </si>
  <si>
    <t>Ekshärad</t>
  </si>
  <si>
    <t>Eksjö Energi AB</t>
  </si>
  <si>
    <t>Eksta Bostads AB</t>
  </si>
  <si>
    <t>Ena Energi AB</t>
  </si>
  <si>
    <t>Eskilstuna Energi &amp; Miljö AB</t>
  </si>
  <si>
    <t>Kraftringen AB</t>
  </si>
  <si>
    <t>Eslöv-Lund-Lomma</t>
  </si>
  <si>
    <t>Västerbergslagens Energi AB</t>
  </si>
  <si>
    <t>Falkenberg Energi AB</t>
  </si>
  <si>
    <t>Falbygdens Energi AB</t>
  </si>
  <si>
    <t>Rindi Energi AB</t>
  </si>
  <si>
    <t>Finspångs Tekniska Verk AB</t>
  </si>
  <si>
    <t>C4 Energi AB</t>
  </si>
  <si>
    <t>Lerum Fjärrvärme AB</t>
  </si>
  <si>
    <t>Forssjö</t>
  </si>
  <si>
    <t>Friggesund</t>
  </si>
  <si>
    <t>Ånge Energi AB</t>
  </si>
  <si>
    <t>Vimmerby Energi &amp; Miljö AB</t>
  </si>
  <si>
    <t>Linde Energi AB</t>
  </si>
  <si>
    <t>Funäsdalen</t>
  </si>
  <si>
    <t>Ljusdal Energi AB</t>
  </si>
  <si>
    <t>Gimmersta Floda</t>
  </si>
  <si>
    <t>Gislaved Energi AB</t>
  </si>
  <si>
    <t>Hedemora Energi AB</t>
  </si>
  <si>
    <t>Gustafs finns ej i vår ägo längre</t>
  </si>
  <si>
    <t>Gällivare Energi AB</t>
  </si>
  <si>
    <t>Ulricehamns Energi AB</t>
  </si>
  <si>
    <t>Gävle Energi AB</t>
  </si>
  <si>
    <t>Göteborg Energi AB</t>
  </si>
  <si>
    <t>Göteborg. Övrigt: Bra Miljöval</t>
  </si>
  <si>
    <t>Götene Vatten &amp; Värme AB</t>
  </si>
  <si>
    <t>Habo Energi AB</t>
  </si>
  <si>
    <t>Mälarenergi AB</t>
  </si>
  <si>
    <t>Norrtälje Energi AB</t>
  </si>
  <si>
    <t>Halmstads Energi och Miljö AB</t>
  </si>
  <si>
    <t>Ragunda Energi och Teknik AB</t>
  </si>
  <si>
    <t>Hampnäs</t>
  </si>
  <si>
    <t>Sala-Heby Energi AB</t>
  </si>
  <si>
    <t>Öresundskraft AB</t>
  </si>
  <si>
    <t>Gotlands Energi AB</t>
  </si>
  <si>
    <t>Hjo Energi AB</t>
  </si>
  <si>
    <t>Hofors(Värmevärden)</t>
  </si>
  <si>
    <t>Degerfors Energi AB</t>
  </si>
  <si>
    <t>HVC Degerfors</t>
  </si>
  <si>
    <t>Kungälv Energi AB</t>
  </si>
  <si>
    <t>Härnösand Energi &amp; Miljö AB</t>
  </si>
  <si>
    <t>Hässleholm Miljö AB</t>
  </si>
  <si>
    <t>Höganäs Energi AB</t>
  </si>
  <si>
    <t>Dala Energi Värme AB</t>
  </si>
  <si>
    <t>Jokkmokks Värmeverk AB</t>
  </si>
  <si>
    <t>Julita</t>
  </si>
  <si>
    <t>Affärsverken Karlskrona AB</t>
  </si>
  <si>
    <t>Jämjö</t>
  </si>
  <si>
    <t>Telge Nät AB</t>
  </si>
  <si>
    <t>Järna (ingår i Södertälje)</t>
  </si>
  <si>
    <t>Kalmar Energi Värme AB</t>
  </si>
  <si>
    <t>Karlsborg- Äger ej längre!</t>
  </si>
  <si>
    <t>Karlshamn Energi AB</t>
  </si>
  <si>
    <t>Karlstads Energi AB</t>
  </si>
  <si>
    <t>Katrinefors Kraftvärme AB</t>
  </si>
  <si>
    <t>Katrinefors Kraftvärme (producent)</t>
  </si>
  <si>
    <t>Kils Energi AB</t>
  </si>
  <si>
    <t>Tekniska Verken i Kiruna AB</t>
  </si>
  <si>
    <t>Köpings kommun</t>
  </si>
  <si>
    <t>Kristineberg - Ej Fjärrvärme</t>
  </si>
  <si>
    <t>Kristinehamns Fjärrvärme AB</t>
  </si>
  <si>
    <t>Kristinehamn(Värmevärden)</t>
  </si>
  <si>
    <t>Statkraft Värme AB</t>
  </si>
  <si>
    <t>Kvarnberg</t>
  </si>
  <si>
    <t>Sundsvall Energi AB</t>
  </si>
  <si>
    <t>Landskrona Energi AB</t>
  </si>
  <si>
    <t>Laxå Värme AB</t>
  </si>
  <si>
    <t>Lessebo Fjärrvärme AB</t>
  </si>
  <si>
    <t>Lidköpings Värmeverk AB</t>
  </si>
  <si>
    <t>Lilla Edets Fjärrvärme AB</t>
  </si>
  <si>
    <t>Ljungby Energi AB</t>
  </si>
  <si>
    <t>Ljungby E.ON</t>
  </si>
  <si>
    <t>Uddevalla Energi AB</t>
  </si>
  <si>
    <t>Söderhamn Nära AB</t>
  </si>
  <si>
    <t>Luleå Energi AB</t>
  </si>
  <si>
    <t>Väner Energi AB</t>
  </si>
  <si>
    <t>LEVA i Lysekil AB</t>
  </si>
  <si>
    <t>Malma Kraft &amp; Värme AB</t>
  </si>
  <si>
    <t>Malung-Sälens kommun</t>
  </si>
  <si>
    <t>Melleruds kommun</t>
  </si>
  <si>
    <t>Mjölby-Svartådalen Energi AB</t>
  </si>
  <si>
    <t>Mullsjö Energi &amp; Miljö AB</t>
  </si>
  <si>
    <t>Munkfors Energi AB</t>
  </si>
  <si>
    <t>Mölndal Energi AB</t>
  </si>
  <si>
    <t>Mölndal Bra Miljöval</t>
  </si>
  <si>
    <t>PiteEnergi AB</t>
  </si>
  <si>
    <t>Nybro Energi AB</t>
  </si>
  <si>
    <t>Nybro, ta bort detta nät</t>
  </si>
  <si>
    <t>Nykvarn (ingår i Södertälje)</t>
  </si>
  <si>
    <t>Nättraby</t>
  </si>
  <si>
    <t>Olofströms Kraft AB</t>
  </si>
  <si>
    <t>Fjärrvärme i Osby AB</t>
  </si>
  <si>
    <t>Oskarshamn Energi AB</t>
  </si>
  <si>
    <t>Oxelö Energi AB</t>
  </si>
  <si>
    <t>Perstorps Fjärrvärme AB</t>
  </si>
  <si>
    <t>Surahammars Kommunal Teknik AB</t>
  </si>
  <si>
    <t>Värnamo Energi AB</t>
  </si>
  <si>
    <t>Rättviks Teknik AB</t>
  </si>
  <si>
    <t>Rödeby</t>
  </si>
  <si>
    <t>Sävsjö Energi AB</t>
  </si>
  <si>
    <t>Sala-Heby</t>
  </si>
  <si>
    <t>Sandviken Energi AB</t>
  </si>
  <si>
    <t>Österlens Kraft AB</t>
  </si>
  <si>
    <t>Skara Energi AB</t>
  </si>
  <si>
    <t>Vaggeryds Energi AB</t>
  </si>
  <si>
    <t>Hammarö Energi AB</t>
  </si>
  <si>
    <t>Skövde Värmeverk AB</t>
  </si>
  <si>
    <t>Sköldinge</t>
  </si>
  <si>
    <t>Smedjebacken Energi AB</t>
  </si>
  <si>
    <t>Sollentuna Energi AB</t>
  </si>
  <si>
    <t>Spillvattennät</t>
  </si>
  <si>
    <t>Stensholm</t>
  </si>
  <si>
    <t>Stenstorp</t>
  </si>
  <si>
    <t>Stenungsunds Energi &amp; Miljö AB</t>
  </si>
  <si>
    <t>Fortum Värme,  AB s.m. Stockholms stad</t>
  </si>
  <si>
    <t>Strångsjö</t>
  </si>
  <si>
    <t>Strängnäs Energi AB, SEVAB</t>
  </si>
  <si>
    <t>Sturkö</t>
  </si>
  <si>
    <t>Norrenergi AB</t>
  </si>
  <si>
    <t>Sunnemo</t>
  </si>
  <si>
    <t>Solör Bioenergi Svenljunga AB</t>
  </si>
  <si>
    <t xml:space="preserve">Säffle </t>
  </si>
  <si>
    <t>Söderenergi AB</t>
  </si>
  <si>
    <t>Söderenergi</t>
  </si>
  <si>
    <t>Södertörns Fjärrvärme AB</t>
  </si>
  <si>
    <t>Tidaholms Energi AB</t>
  </si>
  <si>
    <t>Tidan</t>
  </si>
  <si>
    <t>Tierps Fjärrvärme AB</t>
  </si>
  <si>
    <t>Torsås fjärrvärmenät AB</t>
  </si>
  <si>
    <t>Tranås Energi AB</t>
  </si>
  <si>
    <t>Trelleborgs Fjärrvärme AB</t>
  </si>
  <si>
    <t>Trelleborg Fjärrvärme AB</t>
  </si>
  <si>
    <t>Trollhättan Energi AB</t>
  </si>
  <si>
    <t>Varberg Energi AB</t>
  </si>
  <si>
    <t>Tunadal</t>
  </si>
  <si>
    <t>Vara Värme AB</t>
  </si>
  <si>
    <t>Vessigebro-närvärme</t>
  </si>
  <si>
    <t>Vännäsby</t>
  </si>
  <si>
    <t>VännäsInd.</t>
  </si>
  <si>
    <t>Västerdala,samma nät som Vansbro. Ta bort detta.</t>
  </si>
  <si>
    <t>Västsura</t>
  </si>
  <si>
    <t>Ystad Energi AB</t>
  </si>
  <si>
    <t>Peab Energi AB</t>
  </si>
  <si>
    <t>Åstorps Bioenergi</t>
  </si>
  <si>
    <t>Älvkarleby</t>
  </si>
  <si>
    <t>Älvsbyns Energi AB</t>
  </si>
  <si>
    <t>Örebro Kartongbruk</t>
  </si>
  <si>
    <t>Örkelljunga Fjärrvärmeverk AB</t>
  </si>
  <si>
    <t>Östervåla</t>
  </si>
  <si>
    <t>Övriga nät Sundsvall energi</t>
  </si>
  <si>
    <t>Övrigt (närvärme, närkyla m m)</t>
  </si>
  <si>
    <t>Sverige totalt kvalitetsgranskade:</t>
  </si>
  <si>
    <t>Små nät</t>
  </si>
  <si>
    <t>leverans &lt;150 GWh</t>
  </si>
  <si>
    <t>Medelstora nät</t>
  </si>
  <si>
    <t>150GWh&lt;leverans&lt;1000 GWh</t>
  </si>
  <si>
    <t>Stora nät</t>
  </si>
  <si>
    <t>Leverans &gt;1000 GWh</t>
  </si>
  <si>
    <t>Summa alla:</t>
  </si>
  <si>
    <t>Leveranser:</t>
  </si>
  <si>
    <t>Björke</t>
  </si>
  <si>
    <t>Björklinge</t>
  </si>
  <si>
    <t>Forsbackatvätten</t>
  </si>
  <si>
    <t>Gåvsta</t>
  </si>
  <si>
    <t>Hemlingby</t>
  </si>
  <si>
    <t>Mackmyra Whiskyby</t>
  </si>
  <si>
    <t>Skärplinge</t>
  </si>
  <si>
    <t>Tom</t>
  </si>
  <si>
    <t>Tomoko</t>
  </si>
  <si>
    <t>Trödje</t>
  </si>
  <si>
    <t>Vattholma</t>
  </si>
  <si>
    <t>Ytterharnäs</t>
  </si>
  <si>
    <t>Åbyggeby</t>
  </si>
  <si>
    <t>Byavärme AB</t>
  </si>
  <si>
    <t>Byavärmes Fjärrvärmenät</t>
  </si>
  <si>
    <t>Industri-Degerfors</t>
  </si>
  <si>
    <t>Fortum Värme, AB s.m. Stockholms stad</t>
  </si>
  <si>
    <t>Höganäs Fjärrvärme AB</t>
  </si>
  <si>
    <t>Lunds Energikoncernen AB (publ)</t>
  </si>
  <si>
    <t>Hyssna</t>
  </si>
  <si>
    <t>Sura</t>
  </si>
  <si>
    <t>Skall tas bort</t>
  </si>
  <si>
    <t>Söderala nu ihop m Söderhamn</t>
  </si>
  <si>
    <t>Sturefors - ingår i Linköping ska ej lämnas separa</t>
  </si>
  <si>
    <t>Torsby kommun</t>
  </si>
  <si>
    <t>Täby Kommun</t>
  </si>
  <si>
    <t/>
  </si>
  <si>
    <t xml:space="preserve">Företag </t>
  </si>
  <si>
    <t>Gruvberget</t>
  </si>
  <si>
    <t>Statkraft Alingsås</t>
  </si>
  <si>
    <t>Kommun/ förbund</t>
  </si>
  <si>
    <t xml:space="preserve">Aneby Miljö &amp; Vatten AB </t>
  </si>
  <si>
    <t>Täby E.ON.</t>
  </si>
  <si>
    <t>Kraftringen Energi AB (publ)</t>
  </si>
  <si>
    <t>Eslöv-Lund-Lomma m fl</t>
  </si>
  <si>
    <t>Klippan-Ljungbyhed-Östra Ljungby</t>
  </si>
  <si>
    <t>Surahammar Mälarenergi</t>
  </si>
  <si>
    <t>Västerås Miljömärkt</t>
  </si>
  <si>
    <t>POB Energi i Aneby AB</t>
  </si>
  <si>
    <t>Aneby</t>
  </si>
  <si>
    <t xml:space="preserve">Skall tas bort </t>
  </si>
  <si>
    <t>Ej aktiv</t>
  </si>
  <si>
    <t>Mohed</t>
  </si>
  <si>
    <t>Sandarne</t>
  </si>
  <si>
    <t xml:space="preserve"> </t>
  </si>
  <si>
    <t>Timmele</t>
  </si>
  <si>
    <t>Vara Energi Värme AB</t>
  </si>
  <si>
    <t>Vasa Värme Holding AB</t>
  </si>
  <si>
    <t>Krokek</t>
  </si>
  <si>
    <t>Processånga</t>
  </si>
  <si>
    <t>Såld värme (GWh)</t>
  </si>
  <si>
    <t>DS</t>
  </si>
  <si>
    <t>-</t>
  </si>
  <si>
    <t>ET</t>
  </si>
  <si>
    <t>Andel klimatoberoende värme</t>
  </si>
  <si>
    <t>Botkyrka</t>
  </si>
  <si>
    <t>Adven Värme AB.</t>
  </si>
  <si>
    <t>Ale Fjärrvärme AB</t>
  </si>
  <si>
    <t>Göteborg Ale och Partille</t>
  </si>
  <si>
    <t>Göteborg Ale och Partille Bra Miljöval</t>
  </si>
  <si>
    <t>Partille Energi AB</t>
  </si>
  <si>
    <t>Skarvik</t>
  </si>
  <si>
    <t>Sörred Energi AB</t>
  </si>
  <si>
    <t>Stigamo</t>
  </si>
  <si>
    <t>Kiruna Kraft AB</t>
  </si>
  <si>
    <t>Malma Kraft &amp; Värme AB Malmköping</t>
  </si>
  <si>
    <t>Mölndal Biovärmepaket</t>
  </si>
  <si>
    <t>Nybro stadsnät</t>
  </si>
  <si>
    <t>Finns i listan?</t>
  </si>
  <si>
    <t>Indexnamn</t>
  </si>
  <si>
    <t>Fortum+E.ON</t>
  </si>
  <si>
    <t>Täby, fortum</t>
  </si>
  <si>
    <t>Täby. Fortum</t>
  </si>
  <si>
    <t>Fortum + Eon</t>
  </si>
  <si>
    <t>slås samman till Täby</t>
  </si>
  <si>
    <t>Bälinge</t>
  </si>
  <si>
    <t>Antal värden</t>
  </si>
  <si>
    <t>Antal skiljt från 0</t>
  </si>
  <si>
    <t>Normalårskorrigerad, Graddagar</t>
  </si>
  <si>
    <t>Normalårskorrigerad, Energi-Index</t>
  </si>
  <si>
    <t>Leveranser till annat fjärrvärmeföretag</t>
  </si>
  <si>
    <t>Leveranser annat fjärrvärmeföretag</t>
  </si>
  <si>
    <t>Leveranser eget nät</t>
  </si>
  <si>
    <t>Leveranser till annat fjärrvärmebolag</t>
  </si>
  <si>
    <t>Leveranser till eget nät</t>
  </si>
  <si>
    <t>Fridlevstad</t>
  </si>
  <si>
    <t>Arjeplogs Kommun</t>
  </si>
  <si>
    <t>Arvidsjaur Energi AB</t>
  </si>
  <si>
    <t>Bodens Energi AB</t>
  </si>
  <si>
    <t>Bostadsstiftelsen Hyltebostäder</t>
  </si>
  <si>
    <t>Hylte</t>
  </si>
  <si>
    <t>BTEA Energi</t>
  </si>
  <si>
    <t>Berg</t>
  </si>
  <si>
    <t>Östra Göinge ska osynliggöras</t>
  </si>
  <si>
    <t>Fjärrvärme Osby AB</t>
  </si>
  <si>
    <t>Forshaga Energi AB</t>
  </si>
  <si>
    <t>Forshaga</t>
  </si>
  <si>
    <t>Herrljunga Elektriska AB</t>
  </si>
  <si>
    <t>Hylte Kommun</t>
  </si>
  <si>
    <t xml:space="preserve">Jämtlandsvärme </t>
  </si>
  <si>
    <t>Karlsborg Energi AB</t>
  </si>
  <si>
    <t>Karlskoga Energi och Miljö AB</t>
  </si>
  <si>
    <t>Vinslöv</t>
  </si>
  <si>
    <t>Lekeberg Bioenergi AB</t>
  </si>
  <si>
    <t>Lekeberg</t>
  </si>
  <si>
    <t>Lessebo fjärrvärme</t>
  </si>
  <si>
    <t>Klimateffektiv fjärrvärme</t>
  </si>
  <si>
    <t>Luleå Klimatneutral</t>
  </si>
  <si>
    <t>Assberg - Fritslanäten</t>
  </si>
  <si>
    <t>Mörbylånga Kommun</t>
  </si>
  <si>
    <t>Mörbylånga</t>
  </si>
  <si>
    <t>Neova AB</t>
  </si>
  <si>
    <t>Tanum</t>
  </si>
  <si>
    <t>Njudung Energi Sävsjö AB</t>
  </si>
  <si>
    <t>Njudung Energi Vetlanda AB</t>
  </si>
  <si>
    <t>Ekenäs sjön-finns inte längre</t>
  </si>
  <si>
    <t>Nordanstigs Fjärrvärme AB</t>
  </si>
  <si>
    <t>Nordanstig</t>
  </si>
  <si>
    <t>Nossebro Energi</t>
  </si>
  <si>
    <t>Essunga</t>
  </si>
  <si>
    <t>Orust Kommun</t>
  </si>
  <si>
    <t>Ellös fjärrvärmenät</t>
  </si>
  <si>
    <t>Henåns fjärrvärmenät</t>
  </si>
  <si>
    <t>Pajala Värmeverk AB</t>
  </si>
  <si>
    <t>Pemco Energi</t>
  </si>
  <si>
    <t xml:space="preserve">Rindi Energi AB Filipstad </t>
  </si>
  <si>
    <t>Sollentuna Energi och Miljö AB</t>
  </si>
  <si>
    <t>Solör Bioenergi Fjärrvärme AB (ej medlem)</t>
  </si>
  <si>
    <t>Härjedalen</t>
  </si>
  <si>
    <t>Härryda</t>
  </si>
  <si>
    <t xml:space="preserve">Sorsele Värmeverk AB </t>
  </si>
  <si>
    <t>Stockholm Exergi AB</t>
  </si>
  <si>
    <t>Lidingö (för prisrapport)</t>
  </si>
  <si>
    <t>Nacka (för prisrapport)</t>
  </si>
  <si>
    <t>Sigtuna (för prisrapport)</t>
  </si>
  <si>
    <t>Stockholm – Aktiv (för prisrapport)</t>
  </si>
  <si>
    <t>Stockholm – Invest24 (för prisrapport)</t>
  </si>
  <si>
    <t>Stockholm – Invest60 (för prisrapport)</t>
  </si>
  <si>
    <t>Upplands Väsby (för prisrapport)</t>
  </si>
  <si>
    <t>Strömstads Kommun</t>
  </si>
  <si>
    <t>Svensk Fjärrvärme</t>
  </si>
  <si>
    <t>Demonät 1</t>
  </si>
  <si>
    <t>Demonät 2016</t>
  </si>
  <si>
    <t>Demonät 2017</t>
  </si>
  <si>
    <t xml:space="preserve">Sölvesborgs Energi och Vatten AB  </t>
  </si>
  <si>
    <t>Nykvarn- tillhör Södertäljenät ska osynliggöras</t>
  </si>
  <si>
    <t>Tingsryds Energi AB</t>
  </si>
  <si>
    <t>Tranemo Kommun</t>
  </si>
  <si>
    <t>Tranemo</t>
  </si>
  <si>
    <t>Täby Miljövärme AB</t>
  </si>
  <si>
    <t>Haparanda har sålts</t>
  </si>
  <si>
    <t>Veolia</t>
  </si>
  <si>
    <t>Ekerö</t>
  </si>
  <si>
    <t>Växjö fjärrkyla</t>
  </si>
  <si>
    <t>Växjö fjärrvärme</t>
  </si>
  <si>
    <t>Växjö klimatneutral</t>
  </si>
  <si>
    <t>Ydre Kommun</t>
  </si>
  <si>
    <t>Ydre</t>
  </si>
  <si>
    <t>Åsele Energi AB</t>
  </si>
  <si>
    <t>Åsele</t>
  </si>
  <si>
    <t>Älvsbyns Energi</t>
  </si>
  <si>
    <t>Överkalix Kommun</t>
  </si>
  <si>
    <t>Övertorneå Energi</t>
  </si>
  <si>
    <t>Övertorneå Värmeverk AB</t>
  </si>
  <si>
    <t>Hampnäs ska osynliggöras</t>
  </si>
  <si>
    <t>Temp ort</t>
  </si>
  <si>
    <t>Levererad värme, andra fjärrvärmeföretag, företag 1 (GWh)</t>
  </si>
  <si>
    <t>Levererad värme, andra fjärrvärmeföretag, företag 2 (GWh)</t>
  </si>
  <si>
    <t>Levererad värme, andra fjärrvärmeföretag, företag 3 (GWh)</t>
  </si>
  <si>
    <t>D</t>
  </si>
  <si>
    <t>E</t>
  </si>
  <si>
    <t>F</t>
  </si>
  <si>
    <t>Bräcke, Enycon</t>
  </si>
  <si>
    <t xml:space="preserve">Aneby </t>
  </si>
  <si>
    <t>Norrköping - Söderköping</t>
  </si>
  <si>
    <t>Haparanda Värmeverk AB</t>
  </si>
  <si>
    <t>Karlsborg Värme AB</t>
  </si>
  <si>
    <t>Guldsmedhyttan</t>
  </si>
  <si>
    <t>Smålandsstenar</t>
  </si>
  <si>
    <t>Partille</t>
  </si>
  <si>
    <t>Stockholm - Förskottsbetalning 24 (för prissättnin</t>
  </si>
  <si>
    <t>Stockholm - Förskottsbetalning 60 (för prissättnin</t>
  </si>
  <si>
    <t>Stockholm (för prissättning)</t>
  </si>
  <si>
    <t>Demonät 2</t>
  </si>
  <si>
    <t>Västra Mälardalens Energi Miljö AB (VME)</t>
  </si>
  <si>
    <t>Arboga - Köping</t>
  </si>
  <si>
    <t>Arboga - Priser</t>
  </si>
  <si>
    <t>Köping - Priser</t>
  </si>
  <si>
    <t>Övertorneå Energi som tas bort</t>
  </si>
  <si>
    <t>Nätnamn</t>
  </si>
  <si>
    <t>C</t>
  </si>
  <si>
    <t>OK?</t>
  </si>
  <si>
    <t>Adelsö</t>
  </si>
  <si>
    <t xml:space="preserve">Finns i listan </t>
  </si>
  <si>
    <t>År</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</si>
  <si>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</si>
  <si>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</si>
  <si>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</si>
  <si>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</si>
  <si>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</si>
  <si>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</si>
  <si>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</si>
  <si>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Levererad värme tillverkningsindustri inkl mineralutvinning (GWh)</t>
  </si>
  <si>
    <t>Adven Energilösningar AB</t>
  </si>
  <si>
    <t>Lenhovda</t>
  </si>
  <si>
    <t>Sösdala</t>
  </si>
  <si>
    <t>Aneby Miljö &amp; Vatten AB</t>
  </si>
  <si>
    <t>'Falu Energi &amp; Vatten'</t>
  </si>
  <si>
    <t>Borås Energi &amp; Miljö AB</t>
  </si>
  <si>
    <t>'-'</t>
  </si>
  <si>
    <t>BTEA Energi AB</t>
  </si>
  <si>
    <t>Emmaboda Energi och Miljö AB</t>
  </si>
  <si>
    <t>'Borlänge Energi'</t>
  </si>
  <si>
    <t>Göteborg Ale</t>
  </si>
  <si>
    <t>'Kungälv Energi'</t>
  </si>
  <si>
    <t>'Mölndal Energi'</t>
  </si>
  <si>
    <t>'Partille Energi'</t>
  </si>
  <si>
    <t>Göteborg Ale Bra Miljöval</t>
  </si>
  <si>
    <t>Partille Energi AB (Skall döljas)</t>
  </si>
  <si>
    <t>Hagfors Energi</t>
  </si>
  <si>
    <t>Min miljö</t>
  </si>
  <si>
    <t>Övriga nät</t>
  </si>
  <si>
    <t>Jämtlands Värme AB</t>
  </si>
  <si>
    <t>Karlsborgs Värme AB</t>
  </si>
  <si>
    <t>Karlskoga Kraftvärmeverk AB</t>
  </si>
  <si>
    <t>'Hammarö Energi'</t>
  </si>
  <si>
    <t>'Landskrona energi'</t>
  </si>
  <si>
    <t>'Öresundskraft'</t>
  </si>
  <si>
    <t>'Öresundskraft AB'</t>
  </si>
  <si>
    <t>'Kraftringen AB'</t>
  </si>
  <si>
    <t>Lidköping Energi AB</t>
  </si>
  <si>
    <t>'Solör Bioenergi'</t>
  </si>
  <si>
    <t>'Tekniska verken i Linköping AB'</t>
  </si>
  <si>
    <t>'Göteborg Energi'</t>
  </si>
  <si>
    <t>Billesholm</t>
  </si>
  <si>
    <t>'Tibro kommun'</t>
  </si>
  <si>
    <t>'Stockholm Exergi'</t>
  </si>
  <si>
    <t>Nossebro Energi Värme AB</t>
  </si>
  <si>
    <t>'0'</t>
  </si>
  <si>
    <t>Rättvik Energi AB</t>
  </si>
  <si>
    <t>SEVAB Strängnäs Energi AB</t>
  </si>
  <si>
    <t>Skövde Energi AB</t>
  </si>
  <si>
    <t>Sollentuna Energi &amp; Miljö AB</t>
  </si>
  <si>
    <t>Stenungsunds Energi och Miljö AB</t>
  </si>
  <si>
    <t>'Norrenergi + Sollentuna Energi'</t>
  </si>
  <si>
    <t>'E.ON + Söderenergi'</t>
  </si>
  <si>
    <t>'SFAB'</t>
  </si>
  <si>
    <t>'Mjölby Svartådalen Energi AB'</t>
  </si>
  <si>
    <t>'Vattenfall'</t>
  </si>
  <si>
    <t>Vattenfall AB</t>
  </si>
  <si>
    <t>'Veolia'</t>
  </si>
  <si>
    <t>VänerEnergi AB</t>
  </si>
  <si>
    <t>Bor</t>
  </si>
  <si>
    <t>Bredaryd</t>
  </si>
  <si>
    <t>Forsheda</t>
  </si>
  <si>
    <t>Lanna</t>
  </si>
  <si>
    <t>Västra Mälardalens Energi och Miljö AB</t>
  </si>
  <si>
    <t>Växjö klimatneutral, Ej gilltig</t>
  </si>
  <si>
    <t>Åsele Energiverk AB</t>
  </si>
  <si>
    <t>'Landskrona Energi och Kraftringen'</t>
  </si>
  <si>
    <t>Kolumn1</t>
  </si>
  <si>
    <t>Leverad värme samfälligher (GWh)</t>
  </si>
  <si>
    <t>Namn förag 1 ()</t>
  </si>
  <si>
    <t>Levererad värme, andra fjärrvärmeförag, förag 1 (GWh)</t>
  </si>
  <si>
    <t>Namn förag 2 ()</t>
  </si>
  <si>
    <t>Levererad värme, andra fjärrvärmeförag, förag 2 (GWh)</t>
  </si>
  <si>
    <t>Namn förag 3 ()</t>
  </si>
  <si>
    <t>Levererad värme, andra fjärrvärmeförag, förag 3 (GWh)</t>
  </si>
  <si>
    <t>Gällivare-Malmberg</t>
  </si>
  <si>
    <t>Lilla Eds Fjärrvärme AB</t>
  </si>
  <si>
    <t>Lilla Ed</t>
  </si>
  <si>
    <t>Mölndal Biovärmepak</t>
  </si>
  <si>
    <t>Njudung Energi Vlanda AB</t>
  </si>
  <si>
    <t>Ånäs</t>
  </si>
  <si>
    <t>Stockholm - Förskottsbalning 24 (för prissättnin</t>
  </si>
  <si>
    <t>Stockholm - Förskottsbalning 60 (för prissättnin</t>
  </si>
  <si>
    <t>Indexnmamn</t>
  </si>
  <si>
    <t>Addera E.ON och sthlm exergi!</t>
  </si>
  <si>
    <t>OBSERVERA dubletter att addera</t>
  </si>
  <si>
    <t>Ale</t>
  </si>
  <si>
    <t>Bollebygd</t>
  </si>
  <si>
    <t>Burlöv</t>
  </si>
  <si>
    <t>Degerfors</t>
  </si>
  <si>
    <t>Färgelanda</t>
  </si>
  <si>
    <t>Gagnef</t>
  </si>
  <si>
    <t>Gnosjö</t>
  </si>
  <si>
    <t>Hallsberg</t>
  </si>
  <si>
    <t>Hammarö</t>
  </si>
  <si>
    <t>Håbo</t>
  </si>
  <si>
    <t>Högsby</t>
  </si>
  <si>
    <t>LillaEdet</t>
  </si>
  <si>
    <t>Lomma</t>
  </si>
  <si>
    <t>Orust</t>
  </si>
  <si>
    <t>Salem</t>
  </si>
  <si>
    <t>Sigtuna</t>
  </si>
  <si>
    <t>Solna</t>
  </si>
  <si>
    <t>Sotenäs</t>
  </si>
  <si>
    <t>Sundbyberg</t>
  </si>
  <si>
    <t>Tjörn</t>
  </si>
  <si>
    <t>Upplands-Väsby</t>
  </si>
  <si>
    <t>Öckerö</t>
  </si>
  <si>
    <t>_8_Östhammar</t>
  </si>
  <si>
    <t>INGÅR I BJUV</t>
  </si>
  <si>
    <t>Kolumn2</t>
  </si>
  <si>
    <t>Blå ruta</t>
  </si>
  <si>
    <t>"Nätet" innehåller flera nät från kvln.</t>
  </si>
  <si>
    <t>Oreange text</t>
  </si>
  <si>
    <t>Företaget rapporterar inte i kvalitetsnyckeln</t>
  </si>
  <si>
    <t>Röd text</t>
  </si>
  <si>
    <t>Genomstruken text</t>
  </si>
  <si>
    <t>Nätet ej i bruk/ingår i annat nät</t>
  </si>
  <si>
    <t>Hallsberg- Örebro- Kumla</t>
  </si>
  <si>
    <t xml:space="preserve">Grafen baserar städer på flik "Korrigerade leveranser GD". </t>
  </si>
  <si>
    <t>Samtliga värden/nät finns samlade i Totala leveranser.</t>
  </si>
  <si>
    <t>Vill man ta bort stad från grafen behöver detta enbart göras i flik "Korrigerade leveranser GD"</t>
  </si>
  <si>
    <t>Graddagar och Energiindex beställs från SMHI via epost till kontaktperson enl. hemsidan.</t>
  </si>
  <si>
    <t>Från 2018 lades ytterligare orter till i SMHI's lista. Orter som blivit tilldelade ny, egen ort och kan flyttas från tidigare temperaturort har därför hårdkodat tidigare temperaturort tom. 2017.</t>
  </si>
  <si>
    <t>Källor: Energiföretagen, SMHI, Energimarknadsinspektionen, SCB</t>
  </si>
  <si>
    <t>Total produktion "Nationell" fås från SCBs årsrapport "El-, gas- och fjärrvärmeförsörjning" som publiceras i slutet av november. Komplettering med detta kan ske vis senare tillfälle vid behov.</t>
  </si>
  <si>
    <t xml:space="preserve"> Nationell är normalt = +2 TWh +/- 0,5 mot Energiföretagens produktion.</t>
  </si>
  <si>
    <t>Statistiken kommer från Energiföretagens egen rapportering av fjärrvärme. Viss komplettering från Energimarknadsinspektionen, och företagens egna årsrapporter. Enstaka saknade värden har interpolerats linjärt.
De nät som inte hör till Energiföretagens medlemmar saknar rapportering för senaste året.</t>
  </si>
  <si>
    <t>Tidigare Nationell, ersatts av SCB</t>
  </si>
  <si>
    <t>Beräknat (Interpolerat) värde pga sakdnad rapportering</t>
  </si>
  <si>
    <t>Lila text</t>
  </si>
  <si>
    <t>Beräknat på annat sätt</t>
  </si>
  <si>
    <t>Nät kan i serien ha slagits ihop med andra nät, eller delats upp till flera nät.</t>
  </si>
  <si>
    <t>Kvarnberg (sammanslaget med HVC Degerfors 2018)</t>
  </si>
  <si>
    <t>E.ON Energilösningar AB</t>
  </si>
  <si>
    <t>Bro_bör osynliggöras</t>
  </si>
  <si>
    <t>Coop_bör osynliggöras</t>
  </si>
  <si>
    <t>Kungsängen_bör osynliggöras</t>
  </si>
  <si>
    <t>Haparanda Miljö</t>
  </si>
  <si>
    <t>Haparanda Residual</t>
  </si>
  <si>
    <t>Brunflo Prisområde</t>
  </si>
  <si>
    <t>Östersund Produktspecifik</t>
  </si>
  <si>
    <t>Lekeberg Bioenergi AB (Priser)</t>
  </si>
  <si>
    <t>Spillvattennät_Linde</t>
  </si>
  <si>
    <t>Surahammar_Prisområde</t>
  </si>
  <si>
    <t>Nevel AB</t>
  </si>
  <si>
    <t xml:space="preserve">Peab Energi AB / Åstorp bioenergi (Ej medlem) </t>
  </si>
  <si>
    <t>Ragunda Energi och Teknik AB (Priser)</t>
  </si>
  <si>
    <t>Sundsvall Klimatneutralt (Preliminärt)</t>
  </si>
  <si>
    <t>Söderenergi AB (endast information)</t>
  </si>
  <si>
    <t>Mohed- bör osynliggöras</t>
  </si>
  <si>
    <t>Karlholmsbruk</t>
  </si>
  <si>
    <t>Knivsta (Vattenfall AB)</t>
  </si>
  <si>
    <t>Ortsnr</t>
  </si>
  <si>
    <t>Solör Bioenergi Fjärrvärme AB</t>
  </si>
  <si>
    <t>Torsnet AB</t>
  </si>
  <si>
    <t>Rengsjö</t>
  </si>
  <si>
    <t>Borås, Bra Miljöval</t>
  </si>
  <si>
    <t>Järfälla - Kungsängen - Bro</t>
  </si>
  <si>
    <t xml:space="preserve">Täby </t>
  </si>
  <si>
    <t>Örebro - Hallsberg - Kumla</t>
  </si>
  <si>
    <t>Fagerhult</t>
  </si>
  <si>
    <t>Gimmersta</t>
  </si>
  <si>
    <t>Mölndal Bra Miljöval_Tas bort</t>
  </si>
  <si>
    <t>Alsike</t>
  </si>
  <si>
    <t>Garphyttan</t>
  </si>
  <si>
    <t>Herrljunga - använd ej</t>
  </si>
  <si>
    <t>Härjedalen - använd ej</t>
  </si>
  <si>
    <t>Härryda - använd ej</t>
  </si>
  <si>
    <t>Knislinge</t>
  </si>
  <si>
    <t>Markaryd - använd ej</t>
  </si>
  <si>
    <t>Mönsterås - använd ej</t>
  </si>
  <si>
    <t>Nora - använd ej</t>
  </si>
  <si>
    <t>Pershyttan</t>
  </si>
  <si>
    <t>Sandudden</t>
  </si>
  <si>
    <t>Svalöv - använd ej</t>
  </si>
  <si>
    <t>Sveg - använd ej</t>
  </si>
  <si>
    <t>Bua</t>
  </si>
  <si>
    <t>Boda</t>
  </si>
  <si>
    <t>Vikarbyn</t>
  </si>
  <si>
    <t>E.ON Energiinfrastruktur AB</t>
  </si>
  <si>
    <t>Bålsta nätspecifikt - total</t>
  </si>
  <si>
    <t>Järfälla - Kungsängen - Bro - Residual</t>
  </si>
  <si>
    <t>Järfälla - Kungsängen - Bro - Särskilt miljöval</t>
  </si>
  <si>
    <t>Malmö - Residual</t>
  </si>
  <si>
    <t>Malmö - Särskilt miljöval</t>
  </si>
  <si>
    <t>Norrköping - Söderköping nätspecifikt - total</t>
  </si>
  <si>
    <t>Täby nätspecifikt - total</t>
  </si>
  <si>
    <t>Vallentuna - Residual</t>
  </si>
  <si>
    <t>Vallentuna - Särskilt miljöval</t>
  </si>
  <si>
    <t>Örebro - Hallsberg - Kumla nätspecifikt - total</t>
  </si>
  <si>
    <t>Österåker nätspecifikt - total</t>
  </si>
  <si>
    <t>Gällivare ursprungsmärkt</t>
  </si>
  <si>
    <t>Kungälv-Ytterby</t>
  </si>
  <si>
    <t>Marks Energi AB</t>
  </si>
  <si>
    <t>Ellös</t>
  </si>
  <si>
    <t>Henån</t>
  </si>
  <si>
    <t>Solör Bioenergi Falköping AB</t>
  </si>
  <si>
    <t>Töcksfors</t>
  </si>
  <si>
    <t>Södra Stigamo</t>
  </si>
  <si>
    <t>Drefviken klimatneutral värme</t>
  </si>
  <si>
    <t>Knivsta  klimatneutral värme</t>
  </si>
  <si>
    <t>Storvreta klimatneutral värme</t>
  </si>
  <si>
    <t>Uppsala klimatneutral värme</t>
  </si>
  <si>
    <t>Helsingborg ursprungsmärkt</t>
  </si>
  <si>
    <t>Namn företag 1 ()</t>
  </si>
  <si>
    <t>Namn företag 2 ()</t>
  </si>
  <si>
    <t>Namn företag 3 ()</t>
  </si>
  <si>
    <t>'Borlänge Energi AB'</t>
  </si>
  <si>
    <t>'Landskrona Energi'</t>
  </si>
  <si>
    <t>'Tibro Kommun'</t>
  </si>
  <si>
    <t>'Solör Bioenergi AB'</t>
  </si>
  <si>
    <t>'Trollhättan Energi AB'</t>
  </si>
  <si>
    <t>Såld minus ftg</t>
  </si>
  <si>
    <t xml:space="preserve">Korr </t>
  </si>
  <si>
    <t>Dubbelkolla 2022</t>
  </si>
  <si>
    <t>Gällivare- Gällivare/Malmberget</t>
  </si>
  <si>
    <t>Litet</t>
  </si>
  <si>
    <t>Vad gör jag av det?</t>
  </si>
  <si>
    <t>%</t>
  </si>
  <si>
    <t>s</t>
  </si>
  <si>
    <t>vv</t>
  </si>
  <si>
    <t>h</t>
  </si>
  <si>
    <t>n</t>
  </si>
  <si>
    <t>Kolumn3</t>
  </si>
  <si>
    <t>Kristinehamns Värme AB</t>
  </si>
  <si>
    <t>Ljusnarberg</t>
  </si>
  <si>
    <t>Säffle Fjärrvärme AB</t>
  </si>
  <si>
    <t>hudiks</t>
  </si>
  <si>
    <t>torsby</t>
  </si>
  <si>
    <t>hällefors</t>
  </si>
  <si>
    <t>Abisko</t>
  </si>
  <si>
    <t>Sundborn</t>
  </si>
  <si>
    <t>Göteborg Biovärme</t>
  </si>
  <si>
    <t>Göteborg Bra Miljöval</t>
  </si>
  <si>
    <t>Halmstad - 1. Huvudnät</t>
  </si>
  <si>
    <t>Halmstad - 2. Förnybar fjärrvärme</t>
  </si>
  <si>
    <t>Halmstad - 3. Högtempnät</t>
  </si>
  <si>
    <t>Björnen</t>
  </si>
  <si>
    <t>Hallen</t>
  </si>
  <si>
    <t>Kall</t>
  </si>
  <si>
    <t>Nordanstigs Fjärrvärme AB (Priser)</t>
  </si>
  <si>
    <t>Fjärrvärmenät (Priser)</t>
  </si>
  <si>
    <t>Kraftvärmenät (Priser)</t>
  </si>
  <si>
    <t>Solör Bioenergi Agrovärme AB</t>
  </si>
  <si>
    <t>Vretstorp</t>
  </si>
  <si>
    <t>Solör Bioenergi Strängnäs AB</t>
  </si>
  <si>
    <t>Trelleborgs Energi AB</t>
  </si>
  <si>
    <t>Umeå Fossilfri</t>
  </si>
  <si>
    <t>Järfälla/Kungsängen/Bro - Residual</t>
  </si>
  <si>
    <t>Järfälla/Kungsängen/Bro - Slammertorps värmepumpar</t>
  </si>
  <si>
    <t>Järfälla/Kungsängen/Bro - Särskilt miljöval</t>
  </si>
  <si>
    <t>Malmö/Burlöv - Industriell spillvärme</t>
  </si>
  <si>
    <t>Malmö/Burlöv - Residual</t>
  </si>
  <si>
    <t>Malmö/Burlöv - Sjölunda värmepumpar</t>
  </si>
  <si>
    <t>Malmö/Burlöv - Särskilt miljöval</t>
  </si>
  <si>
    <t>Norrköping/Söderköping</t>
  </si>
  <si>
    <t>Norrköping/Söderköping - Residual</t>
  </si>
  <si>
    <t>Norrköping/Söderköping - Särskilt miljöval</t>
  </si>
  <si>
    <t>Sigtuna Stadsängar</t>
  </si>
  <si>
    <t>Örebro/Hallsberg/Kumla</t>
  </si>
  <si>
    <t>Örebro/Hallsberg/Kumla - Residual</t>
  </si>
  <si>
    <t>Örebro/Hallsberg/Kumla - Särskilt miljöval</t>
  </si>
  <si>
    <t>Levererad värme, andra fjärrvärmeför0ag, för0ag 1 (GWh)</t>
  </si>
  <si>
    <t>Levererad värme, andra fjärrvärmeför0ag, för0ag 2 (GWh)</t>
  </si>
  <si>
    <t>Levererad värme, andra fjärrvärmeför0ag, för0ag 3 (GWh)</t>
  </si>
  <si>
    <t>Korr</t>
  </si>
  <si>
    <t>Ihopslagna</t>
  </si>
  <si>
    <t>Från Leveransr per nät</t>
  </si>
  <si>
    <t>Färdig</t>
  </si>
  <si>
    <t>Diff 21-22</t>
  </si>
  <si>
    <t>Arlöv</t>
  </si>
  <si>
    <t>Bergsjö</t>
  </si>
  <si>
    <t>Djurås</t>
  </si>
  <si>
    <t>Fjugesta</t>
  </si>
  <si>
    <t>Jakobsberg</t>
  </si>
  <si>
    <t>Kungshamn</t>
  </si>
  <si>
    <t>Malexander</t>
  </si>
  <si>
    <t>Nossebro</t>
  </si>
  <si>
    <t>Nödinge-Nol</t>
  </si>
  <si>
    <t>Skärhamn</t>
  </si>
  <si>
    <t>Tumba</t>
  </si>
  <si>
    <t>Tännäs</t>
  </si>
  <si>
    <t>Ullared</t>
  </si>
  <si>
    <t>Upplands Väsby</t>
  </si>
  <si>
    <t>Västerhaninge</t>
  </si>
  <si>
    <t>Österbymo</t>
  </si>
  <si>
    <t>Årsvärden för SMHI Energiindex och SMHI Graddagar</t>
  </si>
  <si>
    <t>Graddagar</t>
  </si>
  <si>
    <t>Aktuell</t>
  </si>
  <si>
    <t>Normal</t>
  </si>
  <si>
    <t>Energiindex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</si>
</sst>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k_r_-;\-* #,##0.00\ _k_r_-;_-* &quot;-&quot;??\ _k_r_-;_-@_-"/>
    <numFmt numFmtId="165" formatCode="_-* #,##0\ _k_r_-;\-* #,##0\ _k_r_-;_-* &quot;-&quot;??\ _k_r_-;_-@_-"/>
    <numFmt numFmtId="166" formatCode="#,##0.0"/>
    <numFmt numFmtId="167" formatCode="0.0%"/>
    <numFmt numFmtId="168" formatCode="0.0"/>
  </numFmts>
  <fonts count="56" x14ac:knownFonts="1">
    <font>
      <sz val="11"/>
      <color theme="1"/>
      <name val="Calibri"/>
      <family val="2"/>
      <scheme val="minor"/>
    </font>
    <font>
      <b/>
      <sz val="11"/>
      <color theme="1"/>
      <name val="Calibri"/>
      <family val="2"/>
      <scheme val="minor"/>
    </font>
    <font>
      <sz val="10"/>
      <name val="Calibri"/>
      <family val="2"/>
      <scheme val="minor"/>
    </font>
    <font>
      <sz val="10"/>
      <color theme="1"/>
      <name val="Calibri"/>
      <family val="2"/>
      <scheme val="minor"/>
    </font>
    <font>
      <sz val="11"/>
      <name val="Calibri"/>
      <family val="2"/>
      <scheme val="minor"/>
    </font>
    <font>
      <b/>
      <sz val="8"/>
      <color indexed="81"/>
      <name val="Tahoma"/>
      <family val="2"/>
    </font>
    <font>
      <sz val="8"/>
      <color indexed="81"/>
      <name val="Tahoma"/>
      <family val="2"/>
    </font>
    <font>
      <b/>
      <sz val="10"/>
      <name val="Arial"/>
      <family val="2"/>
    </font>
    <font>
      <sz val="11"/>
      <color theme="1"/>
      <name val="Calibri"/>
      <family val="2"/>
      <scheme val="minor"/>
    </font>
    <font>
      <sz val="10"/>
      <name val="Arial"/>
      <family val="2"/>
    </font>
    <font>
      <b/>
      <sz val="9"/>
      <color indexed="81"/>
      <name val="Tahoma"/>
      <family val="2"/>
    </font>
    <font>
      <sz val="9"/>
      <color indexed="81"/>
      <name val="Tahoma"/>
      <family val="2"/>
    </font>
    <font>
      <b/>
      <sz val="11"/>
      <color indexed="62"/>
      <name val="Calibri"/>
      <family val="2"/>
    </font>
    <font>
      <sz val="11"/>
      <name val="Calibri"/>
      <family val="2"/>
    </font>
    <font>
      <sz val="11"/>
      <color theme="1"/>
      <name val="Calibri"/>
      <family val="2"/>
    </font>
    <font>
      <sz val="8"/>
      <color rgb="FF000000"/>
      <name val="Tahoma"/>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b/>
      <sz val="11"/>
      <color theme="0"/>
      <name val="Calibri"/>
      <family val="2"/>
    </font>
    <font>
      <sz val="8"/>
      <name val="Calibri"/>
      <family val="2"/>
      <scheme val="minor"/>
    </font>
    <font>
      <strike/>
      <sz val="11"/>
      <color theme="1"/>
      <name val="Calibri"/>
      <family val="2"/>
      <scheme val="minor"/>
    </font>
    <font>
      <strike/>
      <sz val="10"/>
      <color theme="1"/>
      <name val="Calibri"/>
      <family val="2"/>
      <scheme val="minor"/>
    </font>
    <font>
      <strike/>
      <sz val="10"/>
      <name val="Calibri"/>
      <family val="2"/>
      <scheme val="minor"/>
    </font>
    <font>
      <sz val="11"/>
      <color theme="9"/>
      <name val="Calibri"/>
      <family val="2"/>
      <scheme val="minor"/>
    </font>
    <font>
      <strike/>
      <sz val="11"/>
      <name val="Calibri"/>
      <family val="2"/>
      <scheme val="minor"/>
    </font>
    <font>
      <strike/>
      <sz val="11"/>
      <color rgb="FFFF0000"/>
      <name val="Calibri"/>
      <family val="2"/>
      <scheme val="minor"/>
    </font>
    <font>
      <strike/>
      <sz val="10"/>
      <name val="Arial"/>
      <family val="2"/>
    </font>
    <font>
      <sz val="10"/>
      <color theme="9"/>
      <name val="Calibri"/>
      <family val="2"/>
      <scheme val="minor"/>
    </font>
    <font>
      <sz val="10"/>
      <color theme="9"/>
      <name val="Arial"/>
      <family val="2"/>
    </font>
    <font>
      <b/>
      <sz val="10"/>
      <color theme="9"/>
      <name val="Arial"/>
      <family val="2"/>
    </font>
    <font>
      <sz val="11"/>
      <color theme="0" tint="-0.499984740745262"/>
      <name val="Calibri"/>
      <family val="2"/>
      <scheme val="minor"/>
    </font>
    <font>
      <sz val="11"/>
      <color theme="0" tint="-0.34998626667073579"/>
      <name val="Calibri"/>
      <family val="2"/>
      <scheme val="minor"/>
    </font>
    <font>
      <sz val="11"/>
      <color rgb="FF7030A0"/>
      <name val="Calibri"/>
      <family val="2"/>
      <scheme val="minor"/>
    </font>
    <font>
      <strike/>
      <sz val="11"/>
      <color theme="9"/>
      <name val="Calibri"/>
      <family val="2"/>
      <scheme val="minor"/>
    </font>
    <font>
      <sz val="11"/>
      <color indexed="62"/>
      <name val="Calibri"/>
      <family val="2"/>
    </font>
    <font>
      <b/>
      <strike/>
      <sz val="10"/>
      <name val="Calibri"/>
      <family val="2"/>
      <scheme val="minor"/>
    </font>
    <font>
      <b/>
      <sz val="11"/>
      <name val="Calibri"/>
      <family val="2"/>
      <scheme val="minor"/>
    </font>
    <font>
      <b/>
      <strike/>
      <sz val="11"/>
      <color theme="1"/>
      <name val="Calibri"/>
      <family val="2"/>
      <scheme val="minor"/>
    </font>
    <font>
      <b/>
      <sz val="11"/>
      <color theme="9"/>
      <name val="Calibri"/>
      <family val="2"/>
      <scheme val="minor"/>
    </font>
    <font>
      <b/>
      <sz val="10"/>
      <color theme="9"/>
      <name val="Calibri"/>
      <family val="2"/>
      <scheme val="minor"/>
    </font>
    <font>
      <b/>
      <sz val="10"/>
      <name val="Calibri"/>
      <family val="2"/>
      <scheme val="minor"/>
    </font>
    <font>
      <b/>
      <strike/>
      <sz val="11"/>
      <name val="Calibri"/>
      <family val="2"/>
      <scheme val="minor"/>
    </font>
    <font>
      <b/>
      <sz val="10"/>
      <color theme="1"/>
      <name val="Calibri"/>
      <family val="2"/>
      <scheme val="minor"/>
    </font>
  </fonts>
  <fills count="52">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0000"/>
        <bgColor indexed="64"/>
      </patternFill>
    </fill>
    <fill>
      <patternFill patternType="solid">
        <fgColor theme="6"/>
        <bgColor indexed="64"/>
      </patternFill>
    </fill>
    <fill>
      <patternFill patternType="solid">
        <fgColor theme="9"/>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CE6F1"/>
        <bgColor indexed="64"/>
      </patternFill>
    </fill>
    <fill>
      <patternFill patternType="solid">
        <fgColor rgb="FFF2DCDB"/>
        <bgColor indexed="64"/>
      </patternFill>
    </fill>
    <fill>
      <patternFill patternType="solid">
        <fgColor indexed="9"/>
        <bgColor indexed="64"/>
      </patternFill>
    </fill>
    <fill>
      <patternFill patternType="solid">
        <fgColor indexed="55"/>
        <bgColor indexed="64"/>
      </patternFill>
    </fill>
    <fill>
      <patternFill patternType="solid">
        <fgColor theme="8" tint="0.39997558519241921"/>
        <bgColor indexed="64"/>
      </patternFill>
    </fill>
    <fill>
      <patternFill patternType="solid">
        <fgColor theme="8"/>
        <bgColor indexed="64"/>
      </patternFill>
    </fill>
  </fills>
  <borders count="20">
    <border>
      <left/>
      <right/>
      <top/>
      <bottom/>
      <diagonal/>
    </border>
    <border>
      <left/>
      <right/>
      <top/>
      <bottom style="thin">
        <color indexed="64"/>
      </bottom>
      <diagonal/>
    </border>
    <border>
      <left/>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right/>
      <top/>
      <bottom style="medium">
        <color rgb="FF95B3D7"/>
      </bottom>
      <diagonal/>
    </border>
    <border>
      <left style="thin">
        <color theme="0"/>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diagonal/>
    </border>
  </borders>
  <cellStyleXfs count="46">
    <xf numFmtId="0" fontId="0" fillId="0" borderId="0"/>
    <xf numFmtId="164" fontId="8" fillId="0" borderId="0" applyFont="0" applyFill="0" applyBorder="0" applyAlignment="0" applyProtection="0"/>
    <xf numFmtId="9" fontId="8" fillId="0" borderId="0" applyFont="0" applyFill="0" applyBorder="0" applyAlignment="0" applyProtection="0"/>
    <xf numFmtId="0" fontId="8" fillId="0" borderId="0"/>
    <xf numFmtId="0" fontId="12" fillId="0" borderId="6" applyNumberFormat="0" applyFill="0" applyAlignment="0" applyProtection="0"/>
    <xf numFmtId="0" fontId="17" fillId="0" borderId="8" applyNumberFormat="0" applyFill="0" applyAlignment="0" applyProtection="0"/>
    <xf numFmtId="0" fontId="18" fillId="0" borderId="9" applyNumberFormat="0" applyFill="0" applyAlignment="0" applyProtection="0"/>
    <xf numFmtId="0" fontId="19" fillId="0" borderId="10" applyNumberFormat="0" applyFill="0" applyAlignment="0" applyProtection="0"/>
    <xf numFmtId="0" fontId="19" fillId="0" borderId="0" applyNumberFormat="0" applyFill="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2" fillId="18" borderId="11" applyNumberFormat="0" applyAlignment="0" applyProtection="0"/>
    <xf numFmtId="0" fontId="23" fillId="19" borderId="12" applyNumberFormat="0" applyAlignment="0" applyProtection="0"/>
    <xf numFmtId="0" fontId="24" fillId="19" borderId="11" applyNumberFormat="0" applyAlignment="0" applyProtection="0"/>
    <xf numFmtId="0" fontId="25" fillId="0" borderId="13" applyNumberFormat="0" applyFill="0" applyAlignment="0" applyProtection="0"/>
    <xf numFmtId="0" fontId="26" fillId="20" borderId="14" applyNumberFormat="0" applyAlignment="0" applyProtection="0"/>
    <xf numFmtId="0" fontId="16" fillId="0" borderId="0" applyNumberFormat="0" applyFill="0" applyBorder="0" applyAlignment="0" applyProtection="0"/>
    <xf numFmtId="0" fontId="8" fillId="21" borderId="15" applyNumberFormat="0" applyFont="0" applyAlignment="0" applyProtection="0"/>
    <xf numFmtId="0" fontId="27" fillId="0" borderId="0" applyNumberFormat="0" applyFill="0" applyBorder="0" applyAlignment="0" applyProtection="0"/>
    <xf numFmtId="0" fontId="1" fillId="0" borderId="16" applyNumberFormat="0" applyFill="0" applyAlignment="0" applyProtection="0"/>
    <xf numFmtId="0" fontId="2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8"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28"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28"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29" fillId="0" borderId="0" applyNumberFormat="0" applyFill="0" applyBorder="0" applyAlignment="0" applyProtection="0"/>
    <xf numFmtId="0" fontId="30" fillId="17"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cellStyleXfs>
  <cellXfs count="136">
    <xf numFmtId="0" fontId="0" fillId="0" borderId="0" xfId="0"/>
    <xf numFmtId="0" fontId="1" fillId="0" borderId="0" xfId="0" applyFont="1"/>
    <xf numFmtId="4" fontId="0" fillId="0" borderId="0" xfId="0" applyNumberFormat="1"/>
    <xf numFmtId="0" fontId="2" fillId="0" borderId="0" xfId="0" applyFont="1"/>
    <xf numFmtId="0" fontId="3" fillId="0" borderId="0" xfId="0" applyFont="1" applyAlignment="1">
      <alignment wrapText="1"/>
    </xf>
    <xf numFmtId="0" fontId="4" fillId="0" borderId="0" xfId="0" applyFont="1"/>
    <xf numFmtId="3" fontId="0" fillId="0" borderId="0" xfId="0" applyNumberFormat="1"/>
    <xf numFmtId="1" fontId="1" fillId="0" borderId="0" xfId="0" applyNumberFormat="1" applyFont="1"/>
    <xf numFmtId="2" fontId="0" fillId="0" borderId="0" xfId="0" applyNumberFormat="1"/>
    <xf numFmtId="165" fontId="0" fillId="0" borderId="0" xfId="1" applyNumberFormat="1" applyFont="1"/>
    <xf numFmtId="4" fontId="0" fillId="2" borderId="0" xfId="0" applyNumberFormat="1" applyFill="1"/>
    <xf numFmtId="4" fontId="3" fillId="2" borderId="0" xfId="0" applyNumberFormat="1" applyFont="1" applyFill="1" applyAlignment="1">
      <alignment wrapText="1"/>
    </xf>
    <xf numFmtId="4" fontId="0" fillId="3" borderId="0" xfId="0" applyNumberFormat="1" applyFill="1"/>
    <xf numFmtId="3" fontId="0" fillId="2" borderId="0" xfId="0" applyNumberFormat="1" applyFill="1"/>
    <xf numFmtId="3" fontId="1" fillId="3" borderId="0" xfId="0" applyNumberFormat="1" applyFont="1" applyFill="1"/>
    <xf numFmtId="3" fontId="0" fillId="3" borderId="0" xfId="0" applyNumberFormat="1" applyFill="1"/>
    <xf numFmtId="9" fontId="0" fillId="2" borderId="0" xfId="2" applyFont="1" applyFill="1"/>
    <xf numFmtId="1" fontId="0" fillId="3" borderId="0" xfId="0" applyNumberFormat="1" applyFill="1"/>
    <xf numFmtId="2" fontId="0" fillId="3" borderId="0" xfId="0" applyNumberFormat="1" applyFill="1"/>
    <xf numFmtId="165" fontId="0" fillId="3" borderId="0" xfId="1" applyNumberFormat="1" applyFont="1" applyFill="1"/>
    <xf numFmtId="0" fontId="0" fillId="0" borderId="0" xfId="0" applyAlignment="1">
      <alignment horizontal="left"/>
    </xf>
    <xf numFmtId="0" fontId="1" fillId="0" borderId="0" xfId="0" applyFont="1" applyAlignment="1">
      <alignment horizontal="center"/>
    </xf>
    <xf numFmtId="0" fontId="7" fillId="0" borderId="0" xfId="3" applyFont="1" applyAlignment="1">
      <alignment horizontal="center" vertical="center" wrapText="1"/>
    </xf>
    <xf numFmtId="0" fontId="0" fillId="4" borderId="0" xfId="0" applyFill="1"/>
    <xf numFmtId="0" fontId="7" fillId="5" borderId="0" xfId="0" applyFont="1" applyFill="1"/>
    <xf numFmtId="0" fontId="9" fillId="6" borderId="0" xfId="0" applyFont="1" applyFill="1"/>
    <xf numFmtId="0" fontId="7" fillId="0" borderId="0" xfId="0" applyFont="1"/>
    <xf numFmtId="0" fontId="9" fillId="0" borderId="0" xfId="0" applyFont="1"/>
    <xf numFmtId="0" fontId="9" fillId="0" borderId="0" xfId="3" applyFont="1"/>
    <xf numFmtId="0" fontId="9" fillId="7" borderId="0" xfId="3" applyFont="1" applyFill="1"/>
    <xf numFmtId="0" fontId="9" fillId="5" borderId="0" xfId="3" applyFont="1" applyFill="1"/>
    <xf numFmtId="0" fontId="9" fillId="6" borderId="0" xfId="3" applyFont="1" applyFill="1"/>
    <xf numFmtId="0" fontId="0" fillId="8" borderId="0" xfId="0" applyFill="1"/>
    <xf numFmtId="0" fontId="1" fillId="8" borderId="0" xfId="0" applyFont="1" applyFill="1"/>
    <xf numFmtId="0" fontId="1" fillId="8" borderId="1" xfId="0" applyFont="1" applyFill="1" applyBorder="1"/>
    <xf numFmtId="0" fontId="0" fillId="8" borderId="2" xfId="0" applyFill="1" applyBorder="1"/>
    <xf numFmtId="0" fontId="0" fillId="8" borderId="3" xfId="0" applyFill="1" applyBorder="1"/>
    <xf numFmtId="0" fontId="0" fillId="8" borderId="4" xfId="0" applyFill="1" applyBorder="1"/>
    <xf numFmtId="0" fontId="0" fillId="8" borderId="5" xfId="0" applyFill="1" applyBorder="1"/>
    <xf numFmtId="0" fontId="12" fillId="0" borderId="6" xfId="4" applyFill="1"/>
    <xf numFmtId="2" fontId="12" fillId="0" borderId="6" xfId="4" applyNumberFormat="1" applyFill="1"/>
    <xf numFmtId="0" fontId="14" fillId="0" borderId="0" xfId="0" applyFont="1"/>
    <xf numFmtId="9" fontId="0" fillId="3" borderId="0" xfId="0" applyNumberFormat="1" applyFill="1"/>
    <xf numFmtId="0" fontId="16" fillId="0" borderId="0" xfId="0" applyFont="1"/>
    <xf numFmtId="0" fontId="0" fillId="9" borderId="7" xfId="0" applyFill="1" applyBorder="1"/>
    <xf numFmtId="0" fontId="0" fillId="9" borderId="0" xfId="0" applyFill="1"/>
    <xf numFmtId="0" fontId="0" fillId="0" borderId="7" xfId="0" applyBorder="1"/>
    <xf numFmtId="0" fontId="0" fillId="10" borderId="0" xfId="0" applyFill="1"/>
    <xf numFmtId="0" fontId="3" fillId="0" borderId="7" xfId="0" applyFont="1" applyBorder="1" applyAlignment="1">
      <alignment wrapText="1"/>
    </xf>
    <xf numFmtId="0" fontId="12" fillId="0" borderId="0" xfId="4" applyNumberFormat="1" applyFill="1" applyBorder="1" applyAlignment="1" applyProtection="1"/>
    <xf numFmtId="0" fontId="12" fillId="0" borderId="6" xfId="4" applyNumberFormat="1" applyFill="1" applyAlignment="1" applyProtection="1"/>
    <xf numFmtId="0" fontId="0" fillId="11" borderId="0" xfId="0" applyFill="1"/>
    <xf numFmtId="0" fontId="0" fillId="12" borderId="0" xfId="0" applyFill="1"/>
    <xf numFmtId="0" fontId="0" fillId="14" borderId="0" xfId="0" applyFill="1"/>
    <xf numFmtId="0" fontId="4" fillId="12" borderId="0" xfId="0" applyFont="1" applyFill="1"/>
    <xf numFmtId="4" fontId="9" fillId="2" borderId="0" xfId="0" applyNumberFormat="1" applyFont="1" applyFill="1"/>
    <xf numFmtId="4" fontId="16" fillId="2" borderId="0" xfId="0" applyNumberFormat="1" applyFont="1" applyFill="1"/>
    <xf numFmtId="3" fontId="4" fillId="2" borderId="0" xfId="0" applyNumberFormat="1" applyFont="1" applyFill="1"/>
    <xf numFmtId="4" fontId="4" fillId="2" borderId="0" xfId="0" applyNumberFormat="1" applyFont="1" applyFill="1"/>
    <xf numFmtId="0" fontId="4" fillId="0" borderId="7" xfId="0" applyFont="1" applyBorder="1"/>
    <xf numFmtId="0" fontId="31" fillId="0" borderId="6" xfId="4" applyFont="1" applyFill="1"/>
    <xf numFmtId="0" fontId="28" fillId="0" borderId="0" xfId="0" applyFont="1"/>
    <xf numFmtId="0" fontId="0" fillId="13" borderId="0" xfId="0" applyFill="1"/>
    <xf numFmtId="4" fontId="0" fillId="46" borderId="0" xfId="0" applyNumberFormat="1" applyFill="1"/>
    <xf numFmtId="4" fontId="4" fillId="46" borderId="0" xfId="0" applyNumberFormat="1" applyFont="1" applyFill="1"/>
    <xf numFmtId="0" fontId="33" fillId="0" borderId="0" xfId="0" applyFont="1"/>
    <xf numFmtId="0" fontId="34" fillId="0" borderId="0" xfId="0" applyFont="1" applyAlignment="1">
      <alignment wrapText="1"/>
    </xf>
    <xf numFmtId="0" fontId="35" fillId="0" borderId="0" xfId="0" applyFont="1"/>
    <xf numFmtId="4" fontId="33" fillId="2" borderId="0" xfId="0" applyNumberFormat="1" applyFont="1" applyFill="1"/>
    <xf numFmtId="4" fontId="36" fillId="2" borderId="0" xfId="0" applyNumberFormat="1" applyFont="1" applyFill="1"/>
    <xf numFmtId="0" fontId="37" fillId="0" borderId="0" xfId="0" applyFont="1"/>
    <xf numFmtId="4" fontId="38" fillId="2" borderId="0" xfId="0" applyNumberFormat="1" applyFont="1" applyFill="1"/>
    <xf numFmtId="4" fontId="16" fillId="46" borderId="0" xfId="0" applyNumberFormat="1" applyFont="1" applyFill="1"/>
    <xf numFmtId="4" fontId="33" fillId="11" borderId="0" xfId="0" applyNumberFormat="1" applyFont="1" applyFill="1"/>
    <xf numFmtId="4" fontId="39" fillId="2" borderId="0" xfId="0" applyNumberFormat="1" applyFont="1" applyFill="1"/>
    <xf numFmtId="4" fontId="33" fillId="46" borderId="0" xfId="0" applyNumberFormat="1" applyFont="1" applyFill="1"/>
    <xf numFmtId="4" fontId="37" fillId="2" borderId="0" xfId="0" applyNumberFormat="1" applyFont="1" applyFill="1"/>
    <xf numFmtId="0" fontId="36" fillId="0" borderId="0" xfId="0" applyFont="1"/>
    <xf numFmtId="165" fontId="0" fillId="47" borderId="0" xfId="1" applyNumberFormat="1" applyFont="1" applyFill="1"/>
    <xf numFmtId="165" fontId="0" fillId="47" borderId="0" xfId="0" applyNumberFormat="1" applyFill="1"/>
    <xf numFmtId="4" fontId="41" fillId="2" borderId="0" xfId="0" applyNumberFormat="1" applyFont="1" applyFill="1"/>
    <xf numFmtId="0" fontId="40" fillId="0" borderId="0" xfId="0" applyFont="1"/>
    <xf numFmtId="0" fontId="36" fillId="0" borderId="7" xfId="0" applyFont="1" applyBorder="1"/>
    <xf numFmtId="4" fontId="42" fillId="2" borderId="0" xfId="0" applyNumberFormat="1" applyFont="1" applyFill="1"/>
    <xf numFmtId="0" fontId="0" fillId="10" borderId="7" xfId="0" applyFill="1" applyBorder="1"/>
    <xf numFmtId="4" fontId="36" fillId="46" borderId="0" xfId="0" applyNumberFormat="1" applyFont="1" applyFill="1"/>
    <xf numFmtId="0" fontId="40" fillId="0" borderId="0" xfId="0" applyFont="1" applyAlignment="1">
      <alignment wrapText="1"/>
    </xf>
    <xf numFmtId="0" fontId="9" fillId="0" borderId="18" xfId="0" applyFont="1" applyBorder="1"/>
    <xf numFmtId="166" fontId="7" fillId="48" borderId="18" xfId="0" applyNumberFormat="1" applyFont="1" applyFill="1" applyBorder="1"/>
    <xf numFmtId="3" fontId="7" fillId="49" borderId="0" xfId="0" applyNumberFormat="1" applyFont="1" applyFill="1"/>
    <xf numFmtId="0" fontId="16" fillId="46" borderId="0" xfId="0" applyFont="1" applyFill="1"/>
    <xf numFmtId="0" fontId="0" fillId="0" borderId="17" xfId="0" applyBorder="1"/>
    <xf numFmtId="0" fontId="0" fillId="50" borderId="0" xfId="0" applyFill="1"/>
    <xf numFmtId="0" fontId="43" fillId="0" borderId="0" xfId="0" applyFont="1"/>
    <xf numFmtId="2" fontId="43" fillId="0" borderId="0" xfId="0" applyNumberFormat="1" applyFont="1"/>
    <xf numFmtId="2" fontId="0" fillId="47" borderId="0" xfId="0" applyNumberFormat="1" applyFill="1"/>
    <xf numFmtId="0" fontId="44" fillId="0" borderId="0" xfId="0" applyFont="1"/>
    <xf numFmtId="2" fontId="44" fillId="0" borderId="0" xfId="0" applyNumberFormat="1" applyFont="1"/>
    <xf numFmtId="0" fontId="0" fillId="8" borderId="0" xfId="0" applyFill="1" applyAlignment="1">
      <alignment wrapText="1"/>
    </xf>
    <xf numFmtId="4" fontId="45" fillId="2" borderId="0" xfId="0" applyNumberFormat="1" applyFont="1" applyFill="1"/>
    <xf numFmtId="0" fontId="45" fillId="0" borderId="0" xfId="0" applyFont="1"/>
    <xf numFmtId="1" fontId="0" fillId="0" borderId="0" xfId="0" applyNumberFormat="1"/>
    <xf numFmtId="0" fontId="0" fillId="2" borderId="0" xfId="0" applyFill="1"/>
    <xf numFmtId="9" fontId="0" fillId="0" borderId="0" xfId="2" applyFont="1"/>
    <xf numFmtId="0" fontId="0" fillId="51" borderId="0" xfId="0" applyFill="1"/>
    <xf numFmtId="2" fontId="0" fillId="2" borderId="0" xfId="0" applyNumberFormat="1" applyFill="1"/>
    <xf numFmtId="1" fontId="16" fillId="0" borderId="0" xfId="0" applyNumberFormat="1" applyFont="1"/>
    <xf numFmtId="2" fontId="16" fillId="2" borderId="0" xfId="0" applyNumberFormat="1" applyFont="1" applyFill="1"/>
    <xf numFmtId="0" fontId="16" fillId="2" borderId="0" xfId="0" applyFont="1" applyFill="1"/>
    <xf numFmtId="167" fontId="0" fillId="0" borderId="0" xfId="2" applyNumberFormat="1" applyFont="1"/>
    <xf numFmtId="1" fontId="1" fillId="0" borderId="0" xfId="0" applyNumberFormat="1" applyFont="1" applyAlignment="1">
      <alignment horizontal="center"/>
    </xf>
    <xf numFmtId="0" fontId="0" fillId="10" borderId="19" xfId="0" applyFill="1" applyBorder="1"/>
    <xf numFmtId="4" fontId="46" fillId="2" borderId="0" xfId="0" applyNumberFormat="1" applyFont="1" applyFill="1"/>
    <xf numFmtId="0" fontId="2" fillId="0" borderId="0" xfId="0" applyFont="1" applyAlignment="1">
      <alignment wrapText="1"/>
    </xf>
    <xf numFmtId="0" fontId="36" fillId="51" borderId="0" xfId="0" applyFont="1" applyFill="1"/>
    <xf numFmtId="4" fontId="0" fillId="6" borderId="0" xfId="0" applyNumberFormat="1" applyFill="1"/>
    <xf numFmtId="0" fontId="48" fillId="0" borderId="0" xfId="0" applyFont="1"/>
    <xf numFmtId="0" fontId="49" fillId="0" borderId="0" xfId="0" applyFont="1"/>
    <xf numFmtId="0" fontId="50" fillId="0" borderId="0" xfId="0" applyFont="1"/>
    <xf numFmtId="0" fontId="51" fillId="0" borderId="0" xfId="0" applyFont="1"/>
    <xf numFmtId="0" fontId="52" fillId="0" borderId="0" xfId="0" applyFont="1" applyAlignment="1">
      <alignment wrapText="1"/>
    </xf>
    <xf numFmtId="0" fontId="1" fillId="51" borderId="0" xfId="0" applyFont="1" applyFill="1"/>
    <xf numFmtId="0" fontId="54" fillId="0" borderId="0" xfId="0" applyFont="1"/>
    <xf numFmtId="0" fontId="1" fillId="50" borderId="0" xfId="0" applyFont="1" applyFill="1"/>
    <xf numFmtId="0" fontId="53" fillId="0" borderId="0" xfId="0" applyFont="1" applyAlignment="1">
      <alignment wrapText="1"/>
    </xf>
    <xf numFmtId="0" fontId="55" fillId="0" borderId="7" xfId="0" applyFont="1" applyBorder="1" applyAlignment="1">
      <alignment wrapText="1"/>
    </xf>
    <xf numFmtId="0" fontId="51" fillId="0" borderId="7" xfId="0" applyFont="1" applyBorder="1"/>
    <xf numFmtId="0" fontId="12" fillId="0" borderId="6" xfId="4" applyFill="1" applyAlignment="1">
      <alignment wrapText="1"/>
    </xf>
    <xf numFmtId="0" fontId="47" fillId="0" borderId="6" xfId="4" applyFont="1" applyFill="1" applyAlignment="1">
      <alignment wrapText="1"/>
    </xf>
    <xf numFmtId="0" fontId="1" fillId="0" borderId="0" xfId="0" applyFont="1" applyAlignment="1">
      <alignment wrapText="1"/>
    </xf>
    <xf numFmtId="0" fontId="12" fillId="0" borderId="0" xfId="4" applyFill="1" applyBorder="1" applyAlignment="1">
      <alignment wrapText="1"/>
    </xf>
    <xf numFmtId="0" fontId="12" fillId="0" borderId="0" xfId="4" applyFill="1" applyBorder="1" applyAlignment="1">
      <alignment horizontal="center" wrapText="1"/>
    </xf>
    <xf numFmtId="0" fontId="0" fillId="0" borderId="0" xfId="0" applyAlignment="1">
      <alignment wrapText="1"/>
    </xf>
    <xf numFmtId="168" fontId="0" fillId="0" borderId="0" xfId="0" applyNumberFormat="1"/>
    <xf numFmtId="3" fontId="16" fillId="2" borderId="0" xfId="0" applyNumberFormat="1" applyFont="1" applyFill="1"/>
    <xf numFmtId="2" fontId="16" fillId="0" borderId="0" xfId="0" applyNumberFormat="1" applyFont="1"/>
  </cellXfs>
  <cellStyles count="46">
    <cellStyle name="20% - Accent1" xfId="21" builtinId="30" customBuiltin="1"/>
    <cellStyle name="20% - Accent2" xfId="24" builtinId="34" customBuiltin="1"/>
    <cellStyle name="20% - Accent3" xfId="27" builtinId="38" customBuiltin="1"/>
    <cellStyle name="20% - Accent4" xfId="30" builtinId="42" customBuiltin="1"/>
    <cellStyle name="20% - Accent5" xfId="33" builtinId="46" customBuiltin="1"/>
    <cellStyle name="20% - Accent6" xfId="36" builtinId="50" customBuiltin="1"/>
    <cellStyle name="40% - Accent1" xfId="22" builtinId="31" customBuiltin="1"/>
    <cellStyle name="40% - Accent2" xfId="25" builtinId="35" customBuiltin="1"/>
    <cellStyle name="40% - Accent3" xfId="28" builtinId="39" customBuiltin="1"/>
    <cellStyle name="40% - Accent4" xfId="31" builtinId="43" customBuiltin="1"/>
    <cellStyle name="40% - Accent5" xfId="34" builtinId="47" customBuiltin="1"/>
    <cellStyle name="40% - Accent6" xfId="37" builtinId="51" customBuiltin="1"/>
    <cellStyle name="60 % - Dekorfärg1 2" xfId="40" xr:uid="{00000000-0005-0000-0000-000031000000}"/>
    <cellStyle name="60 % - Dekorfärg2 2" xfId="41" xr:uid="{00000000-0005-0000-0000-000032000000}"/>
    <cellStyle name="60 % - Dekorfärg3 2" xfId="42" xr:uid="{00000000-0005-0000-0000-000033000000}"/>
    <cellStyle name="60 % - Dekorfärg4 2" xfId="43" xr:uid="{00000000-0005-0000-0000-000034000000}"/>
    <cellStyle name="60 % - Dekorfärg5 2" xfId="44" xr:uid="{00000000-0005-0000-0000-000035000000}"/>
    <cellStyle name="60 % - Dekorfärg6 2" xfId="45" xr:uid="{00000000-0005-0000-0000-000036000000}"/>
    <cellStyle name="Accent1" xfId="20" builtinId="29" customBuiltin="1"/>
    <cellStyle name="Accent2" xfId="23" builtinId="33" customBuiltin="1"/>
    <cellStyle name="Accent3" xfId="26" builtinId="37" customBuiltin="1"/>
    <cellStyle name="Accent4" xfId="29" builtinId="41" customBuiltin="1"/>
    <cellStyle name="Accent5" xfId="32" builtinId="45" customBuiltin="1"/>
    <cellStyle name="Accent6" xfId="35" builtinId="49" customBuiltin="1"/>
    <cellStyle name="Bad" xfId="10" builtinId="27" customBuiltin="1"/>
    <cellStyle name="Calculation" xfId="13" builtinId="22" customBuiltin="1"/>
    <cellStyle name="Check Cell" xfId="15" builtinId="23" customBuiltin="1"/>
    <cellStyle name="Comma" xfId="1" builtinId="3"/>
    <cellStyle name="Explanatory Text" xfId="18" builtinId="53" customBuiltin="1"/>
    <cellStyle name="Good" xfId="9" builtinId="26" customBuiltin="1"/>
    <cellStyle name="Head" xfId="4" xr:uid="{00000000-0005-0000-0000-000000000000}"/>
    <cellStyle name="Heading 1" xfId="5" builtinId="16" customBuiltin="1"/>
    <cellStyle name="Heading 2" xfId="6" builtinId="17" customBuiltin="1"/>
    <cellStyle name="Heading 3" xfId="7" builtinId="18" customBuiltin="1"/>
    <cellStyle name="Heading 4" xfId="8" builtinId="19" customBuiltin="1"/>
    <cellStyle name="Input" xfId="11" builtinId="20" customBuiltin="1"/>
    <cellStyle name="Linked Cell" xfId="14" builtinId="24" customBuiltin="1"/>
    <cellStyle name="Neutral 2" xfId="39" xr:uid="{00000000-0005-0000-0000-000037000000}"/>
    <cellStyle name="Normal" xfId="0" builtinId="0"/>
    <cellStyle name="Normal 5" xfId="3" xr:uid="{00000000-0005-0000-0000-000002000000}"/>
    <cellStyle name="Note" xfId="17" builtinId="10" customBuiltin="1"/>
    <cellStyle name="Output" xfId="12" builtinId="21" customBuiltin="1"/>
    <cellStyle name="Percent" xfId="2" builtinId="5"/>
    <cellStyle name="Rubrik 5" xfId="38" xr:uid="{00000000-0005-0000-0000-000038000000}"/>
    <cellStyle name="Total" xfId="19" builtinId="25" customBuiltin="1"/>
    <cellStyle name="Warning Text" xfId="16" builtinId="11" customBuiltin="1"/>
  </cellStyles>
  <dxfs count="46">
    <dxf>
      <font>
        <color rgb="FF9C0006"/>
      </font>
      <fill>
        <patternFill>
          <bgColor rgb="FFFFC7CE"/>
        </patternFill>
      </fill>
    </dxf>
    <dxf>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11"/>
        <color indexed="62"/>
        <name val="Calibri"/>
        <family val="2"/>
        <scheme val="none"/>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dxf>
    <dxf>
      <numFmt numFmtId="0" formatCode="General"/>
    </dxf>
    <dxf>
      <border outline="0">
        <bottom style="medium">
          <color rgb="FF95B3D7"/>
        </bottom>
      </border>
    </dxf>
    <dxf>
      <font>
        <strike val="0"/>
        <outline val="0"/>
        <shadow val="0"/>
        <u val="none"/>
        <vertAlign val="baseline"/>
        <sz val="11"/>
        <color theme="0"/>
        <name val="Calibri"/>
        <family val="2"/>
      </font>
      <fill>
        <patternFill patternType="none">
          <fgColor indexed="64"/>
          <bgColor indexed="65"/>
        </patternFill>
      </fill>
    </dxf>
    <dxf>
      <numFmt numFmtId="0" formatCode="General"/>
    </dxf>
    <dxf>
      <numFmt numFmtId="0" formatCode="General"/>
      <fill>
        <patternFill patternType="solid">
          <fgColor indexed="64"/>
          <bgColor theme="4" tint="0.79998168889431442"/>
        </patternFill>
      </fill>
    </dxf>
    <dxf>
      <numFmt numFmtId="2" formatCode="0.00"/>
      <fill>
        <patternFill patternType="solid">
          <fgColor indexed="64"/>
          <bgColor theme="4" tint="0.79998168889431442"/>
        </patternFill>
      </fill>
    </dxf>
    <dxf>
      <numFmt numFmtId="1" formatCode="0"/>
    </dxf>
    <dxf>
      <border outline="0">
        <bottom style="medium">
          <color rgb="FF95B3D7"/>
        </bottom>
      </border>
    </dxf>
    <dxf>
      <fill>
        <patternFill patternType="none">
          <fgColor indexed="64"/>
          <bgColor indexed="65"/>
        </patternFill>
      </fill>
    </dxf>
    <dxf>
      <numFmt numFmtId="0" formatCode="General"/>
    </dxf>
    <dxf>
      <numFmt numFmtId="0" formatCode="General"/>
      <fill>
        <patternFill patternType="solid">
          <fgColor indexed="64"/>
          <bgColor theme="4" tint="0.79998168889431442"/>
        </patternFill>
      </fill>
    </dxf>
    <dxf>
      <numFmt numFmtId="2" formatCode="0.00"/>
      <fill>
        <patternFill patternType="solid">
          <fgColor indexed="64"/>
          <bgColor theme="4" tint="0.79998168889431442"/>
        </patternFill>
      </fill>
    </dxf>
    <dxf>
      <numFmt numFmtId="1" formatCode="0"/>
    </dxf>
    <dxf>
      <border outline="0">
        <bottom style="medium">
          <color rgb="FF95B3D7"/>
        </bottom>
      </border>
    </dxf>
    <dxf>
      <fill>
        <patternFill patternType="none">
          <fgColor indexed="64"/>
          <bgColor indexed="65"/>
        </patternFill>
      </fill>
    </dxf>
    <dxf>
      <numFmt numFmtId="0" formatCode="General"/>
    </dxf>
    <dxf>
      <numFmt numFmtId="0" formatCode="General"/>
    </dxf>
    <dxf>
      <numFmt numFmtId="0" formatCode="General"/>
    </dxf>
    <dxf>
      <numFmt numFmtId="0" formatCode="General"/>
    </dxf>
    <dxf>
      <border outline="0">
        <bottom style="medium">
          <color rgb="FF95B3D7"/>
        </bottom>
      </border>
    </dxf>
    <dxf>
      <fill>
        <patternFill patternType="none">
          <fgColor indexed="64"/>
          <bgColor indexed="65"/>
        </patternFill>
      </fill>
    </dxf>
  </dxfs>
  <tableStyles count="0" defaultTableStyle="TableStyleMedium9" defaultPivotStyle="PivotStyleLight16"/>
  <colors>
    <mruColors>
      <color rgb="FFDCE6F1"/>
      <color rgb="FFFFCC00"/>
      <color rgb="FFF2DCDB"/>
      <color rgb="FFFFE500"/>
      <color rgb="FFFF671F"/>
      <color rgb="FF009FE3"/>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a:pPr>
            <a:r>
              <a:rPr lang="en-US" sz="1600" b="0"/>
              <a:t>Fjärrvärmeleveranser</a:t>
            </a:r>
          </a:p>
        </c:rich>
      </c:tx>
      <c:layout>
        <c:manualLayout>
          <c:xMode val="edge"/>
          <c:yMode val="edge"/>
          <c:x val="4.2867764970775449E-2"/>
          <c:y val="1.8823529411764829E-2"/>
        </c:manualLayout>
      </c:layout>
      <c:overlay val="0"/>
    </c:title>
    <c:autoTitleDeleted val="0"/>
    <c:plotArea>
      <c:layout>
        <c:manualLayout>
          <c:layoutTarget val="inner"/>
          <c:xMode val="edge"/>
          <c:yMode val="edge"/>
          <c:x val="0.10542588472509892"/>
          <c:y val="0.20102763625135095"/>
          <c:w val="0.85708281236167905"/>
          <c:h val="0.7040123209031045"/>
        </c:manualLayout>
      </c:layout>
      <c:lineChart>
        <c:grouping val="standard"/>
        <c:varyColors val="0"/>
        <c:ser>
          <c:idx val="0"/>
          <c:order val="0"/>
          <c:tx>
            <c:strRef>
              <c:f>Funktionsblad!$A$9</c:f>
              <c:strCache>
                <c:ptCount val="1"/>
                <c:pt idx="0">
                  <c:v>Normalårskorrigerad, Graddagar</c:v>
                </c:pt>
              </c:strCache>
            </c:strRef>
          </c:tx>
          <c:spPr>
            <a:ln>
              <a:solidFill>
                <a:srgbClr val="FF671F"/>
              </a:solidFill>
            </a:ln>
          </c:spPr>
          <c:marker>
            <c:symbol val="circle"/>
            <c:size val="6"/>
            <c:spPr>
              <a:solidFill>
                <a:srgbClr val="FF671F"/>
              </a:solidFill>
              <a:ln>
                <a:solidFill>
                  <a:srgbClr val="FF671F"/>
                </a:solidFill>
              </a:ln>
            </c:spPr>
          </c:marker>
          <c:cat>
            <c:numRef>
              <c:f>Funktionsblad!$B$8:$AB$8</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Funktionsblad!$B$9:$AB$9</c:f>
              <c:numCache>
                <c:formatCode>_-* #\ ##0\ _k_r_-;\-* #\ ##0\ _k_r_-;_-* "-"??\ _k_r_-;_-@_-</c:formatCode>
                <c:ptCount val="27"/>
                <c:pt idx="0">
                  <c:v>39908.924137931041</c:v>
                </c:pt>
                <c:pt idx="1">
                  <c:v>40412.598039215685</c:v>
                </c:pt>
                <c:pt idx="2">
                  <c:v>43316.125252525249</c:v>
                </c:pt>
                <c:pt idx="3">
                  <c:v>44453.41864512123</c:v>
                </c:pt>
                <c:pt idx="4">
                  <c:v>44993.323574582413</c:v>
                </c:pt>
                <c:pt idx="5">
                  <c:v>46463.371486969852</c:v>
                </c:pt>
                <c:pt idx="6">
                  <c:v>48193.918639865427</c:v>
                </c:pt>
                <c:pt idx="7">
                  <c:v>48384.403860337297</c:v>
                </c:pt>
                <c:pt idx="8">
                  <c:v>48714.291720864865</c:v>
                </c:pt>
                <c:pt idx="9">
                  <c:v>50629.957062505644</c:v>
                </c:pt>
                <c:pt idx="10">
                  <c:v>50365.739265329918</c:v>
                </c:pt>
                <c:pt idx="11">
                  <c:v>53870.902313866092</c:v>
                </c:pt>
                <c:pt idx="12">
                  <c:v>54896.656794641283</c:v>
                </c:pt>
                <c:pt idx="13">
                  <c:v>53872.628832496368</c:v>
                </c:pt>
                <c:pt idx="14">
                  <c:v>54637.195565624286</c:v>
                </c:pt>
                <c:pt idx="15">
                  <c:v>54220.87952494176</c:v>
                </c:pt>
                <c:pt idx="16">
                  <c:v>52943.193010005503</c:v>
                </c:pt>
                <c:pt idx="17">
                  <c:v>53418.749999999985</c:v>
                </c:pt>
                <c:pt idx="18">
                  <c:v>52980.243808049512</c:v>
                </c:pt>
                <c:pt idx="19">
                  <c:v>53095.226310648024</c:v>
                </c:pt>
                <c:pt idx="20">
                  <c:v>53845.242718446621</c:v>
                </c:pt>
                <c:pt idx="21">
                  <c:v>53162.054173832534</c:v>
                </c:pt>
                <c:pt idx="22">
                  <c:v>53900.719810002833</c:v>
                </c:pt>
                <c:pt idx="23">
                  <c:v>53778.339028788199</c:v>
                </c:pt>
                <c:pt idx="24">
                  <c:v>53278.790095081938</c:v>
                </c:pt>
                <c:pt idx="25">
                  <c:v>52591.935345572623</c:v>
                </c:pt>
                <c:pt idx="26">
                  <c:v>50780.94305315175</c:v>
                </c:pt>
              </c:numCache>
            </c:numRef>
          </c:val>
          <c:smooth val="0"/>
          <c:extLst>
            <c:ext xmlns:c16="http://schemas.microsoft.com/office/drawing/2014/chart" uri="{C3380CC4-5D6E-409C-BE32-E72D297353CC}">
              <c16:uniqueId val="{00000000-A06D-4201-9AE7-F32368590292}"/>
            </c:ext>
          </c:extLst>
        </c:ser>
        <c:ser>
          <c:idx val="1"/>
          <c:order val="1"/>
          <c:tx>
            <c:strRef>
              <c:f>Funktionsblad!$A$10</c:f>
              <c:strCache>
                <c:ptCount val="1"/>
                <c:pt idx="0">
                  <c:v>Normalårskorrigerad, Energi-Index</c:v>
                </c:pt>
              </c:strCache>
            </c:strRef>
          </c:tx>
          <c:spPr>
            <a:ln>
              <a:solidFill>
                <a:srgbClr val="FFE500"/>
              </a:solidFill>
            </a:ln>
          </c:spPr>
          <c:marker>
            <c:symbol val="circle"/>
            <c:size val="6"/>
            <c:spPr>
              <a:solidFill>
                <a:srgbClr val="FFE500"/>
              </a:solidFill>
              <a:ln>
                <a:solidFill>
                  <a:srgbClr val="FFE500"/>
                </a:solidFill>
              </a:ln>
            </c:spPr>
          </c:marker>
          <c:cat>
            <c:numRef>
              <c:f>Funktionsblad!$B$8:$AB$8</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Funktionsblad!$B$10:$AB$10</c:f>
              <c:numCache>
                <c:formatCode>_-* #\ ##0\ _k_r_-;\-* #\ ##0\ _k_r_-;_-* "-"??\ _k_r_-;_-@_-</c:formatCode>
                <c:ptCount val="27"/>
                <c:pt idx="0">
                  <c:v>41759.437024061954</c:v>
                </c:pt>
                <c:pt idx="1">
                  <c:v>41285.222126756293</c:v>
                </c:pt>
                <c:pt idx="2">
                  <c:v>42103.871554650381</c:v>
                </c:pt>
                <c:pt idx="3">
                  <c:v>44105.857365933844</c:v>
                </c:pt>
                <c:pt idx="4">
                  <c:v>44177.746359356177</c:v>
                </c:pt>
                <c:pt idx="5">
                  <c:v>46557.191765763964</c:v>
                </c:pt>
                <c:pt idx="6">
                  <c:v>48569.352969519219</c:v>
                </c:pt>
                <c:pt idx="7">
                  <c:v>48404.147171067241</c:v>
                </c:pt>
                <c:pt idx="8">
                  <c:v>48607.796207073297</c:v>
                </c:pt>
                <c:pt idx="9">
                  <c:v>50312.610678590216</c:v>
                </c:pt>
                <c:pt idx="10">
                  <c:v>50294.089607929738</c:v>
                </c:pt>
                <c:pt idx="11">
                  <c:v>54267.367691696076</c:v>
                </c:pt>
                <c:pt idx="12">
                  <c:v>54673.56625705176</c:v>
                </c:pt>
                <c:pt idx="13">
                  <c:v>54730.223174596991</c:v>
                </c:pt>
                <c:pt idx="14">
                  <c:v>55903.329131451173</c:v>
                </c:pt>
                <c:pt idx="15">
                  <c:v>53970.358299733271</c:v>
                </c:pt>
                <c:pt idx="16">
                  <c:v>52921.901018773409</c:v>
                </c:pt>
                <c:pt idx="17">
                  <c:v>53306.899281324862</c:v>
                </c:pt>
                <c:pt idx="18">
                  <c:v>52781.981981981982</c:v>
                </c:pt>
                <c:pt idx="19">
                  <c:v>52385.85635359116</c:v>
                </c:pt>
                <c:pt idx="20">
                  <c:v>53397.622968123287</c:v>
                </c:pt>
                <c:pt idx="21">
                  <c:v>52768.142623297077</c:v>
                </c:pt>
                <c:pt idx="22">
                  <c:v>54276.991264895594</c:v>
                </c:pt>
                <c:pt idx="23">
                  <c:v>53834.952404938274</c:v>
                </c:pt>
                <c:pt idx="24">
                  <c:v>51995.333971228822</c:v>
                </c:pt>
                <c:pt idx="25">
                  <c:v>52942.412547001783</c:v>
                </c:pt>
                <c:pt idx="26">
                  <c:v>51006.346275752774</c:v>
                </c:pt>
              </c:numCache>
            </c:numRef>
          </c:val>
          <c:smooth val="0"/>
          <c:extLst>
            <c:ext xmlns:c16="http://schemas.microsoft.com/office/drawing/2014/chart" uri="{C3380CC4-5D6E-409C-BE32-E72D297353CC}">
              <c16:uniqueId val="{00000001-A06D-4201-9AE7-F32368590292}"/>
            </c:ext>
          </c:extLst>
        </c:ser>
        <c:ser>
          <c:idx val="2"/>
          <c:order val="2"/>
          <c:tx>
            <c:strRef>
              <c:f>Funktionsblad!$A$11</c:f>
              <c:strCache>
                <c:ptCount val="1"/>
                <c:pt idx="0">
                  <c:v>Faktisk</c:v>
                </c:pt>
              </c:strCache>
            </c:strRef>
          </c:tx>
          <c:spPr>
            <a:ln>
              <a:solidFill>
                <a:srgbClr val="009FE3"/>
              </a:solidFill>
            </a:ln>
          </c:spPr>
          <c:marker>
            <c:symbol val="circle"/>
            <c:size val="6"/>
            <c:spPr>
              <a:solidFill>
                <a:srgbClr val="009FE3"/>
              </a:solidFill>
              <a:ln>
                <a:solidFill>
                  <a:srgbClr val="009FE3"/>
                </a:solidFill>
              </a:ln>
            </c:spPr>
          </c:marker>
          <c:cat>
            <c:numRef>
              <c:f>Funktionsblad!$B$8:$AB$8</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Funktionsblad!$B$11:$AB$11</c:f>
              <c:numCache>
                <c:formatCode>_-* #\ ##0\ _k_r_-;\-* #\ ##0\ _k_r_-;_-* "-"??\ _k_r_-;_-@_-</c:formatCode>
                <c:ptCount val="27"/>
                <c:pt idx="0">
                  <c:v>44174</c:v>
                </c:pt>
                <c:pt idx="1">
                  <c:v>40975</c:v>
                </c:pt>
                <c:pt idx="2">
                  <c:v>43012</c:v>
                </c:pt>
                <c:pt idx="3">
                  <c:v>43278</c:v>
                </c:pt>
                <c:pt idx="4">
                  <c:v>41425</c:v>
                </c:pt>
                <c:pt idx="5">
                  <c:v>46580</c:v>
                </c:pt>
                <c:pt idx="6">
                  <c:v>47008</c:v>
                </c:pt>
                <c:pt idx="7">
                  <c:v>47468.061000000002</c:v>
                </c:pt>
                <c:pt idx="8">
                  <c:v>47768</c:v>
                </c:pt>
                <c:pt idx="9">
                  <c:v>48543</c:v>
                </c:pt>
                <c:pt idx="10">
                  <c:v>47460.082920000059</c:v>
                </c:pt>
                <c:pt idx="11">
                  <c:v>51201.502640000028</c:v>
                </c:pt>
                <c:pt idx="12">
                  <c:v>51359.540839000074</c:v>
                </c:pt>
                <c:pt idx="13">
                  <c:v>53332.048200000041</c:v>
                </c:pt>
                <c:pt idx="14">
                  <c:v>60151</c:v>
                </c:pt>
                <c:pt idx="15">
                  <c:v>50631.317377999978</c:v>
                </c:pt>
                <c:pt idx="16">
                  <c:v>53003.346991999984</c:v>
                </c:pt>
                <c:pt idx="17">
                  <c:v>51800</c:v>
                </c:pt>
                <c:pt idx="18">
                  <c:v>48500</c:v>
                </c:pt>
                <c:pt idx="19">
                  <c:v>48800</c:v>
                </c:pt>
                <c:pt idx="20">
                  <c:v>51400</c:v>
                </c:pt>
                <c:pt idx="21">
                  <c:v>50775</c:v>
                </c:pt>
                <c:pt idx="22">
                  <c:v>50951</c:v>
                </c:pt>
                <c:pt idx="23">
                  <c:v>50237.686000000002</c:v>
                </c:pt>
                <c:pt idx="24">
                  <c:v>45874.21977839122</c:v>
                </c:pt>
                <c:pt idx="25">
                  <c:v>53334</c:v>
                </c:pt>
                <c:pt idx="26">
                  <c:v>49065</c:v>
                </c:pt>
              </c:numCache>
            </c:numRef>
          </c:val>
          <c:smooth val="0"/>
          <c:extLst>
            <c:ext xmlns:c16="http://schemas.microsoft.com/office/drawing/2014/chart" uri="{C3380CC4-5D6E-409C-BE32-E72D297353CC}">
              <c16:uniqueId val="{00000002-A06D-4201-9AE7-F32368590292}"/>
            </c:ext>
          </c:extLst>
        </c:ser>
        <c:dLbls>
          <c:showLegendKey val="0"/>
          <c:showVal val="0"/>
          <c:showCatName val="0"/>
          <c:showSerName val="0"/>
          <c:showPercent val="0"/>
          <c:showBubbleSize val="0"/>
        </c:dLbls>
        <c:marker val="1"/>
        <c:smooth val="0"/>
        <c:axId val="68393600"/>
        <c:axId val="68403584"/>
      </c:lineChart>
      <c:catAx>
        <c:axId val="68393600"/>
        <c:scaling>
          <c:orientation val="minMax"/>
        </c:scaling>
        <c:delete val="0"/>
        <c:axPos val="b"/>
        <c:numFmt formatCode="General" sourceLinked="1"/>
        <c:majorTickMark val="out"/>
        <c:minorTickMark val="none"/>
        <c:tickLblPos val="nextTo"/>
        <c:crossAx val="68403584"/>
        <c:crosses val="autoZero"/>
        <c:auto val="1"/>
        <c:lblAlgn val="ctr"/>
        <c:lblOffset val="100"/>
        <c:tickLblSkip val="2"/>
        <c:noMultiLvlLbl val="0"/>
      </c:catAx>
      <c:valAx>
        <c:axId val="68403584"/>
        <c:scaling>
          <c:orientation val="minMax"/>
          <c:min val="0"/>
        </c:scaling>
        <c:delete val="0"/>
        <c:axPos val="l"/>
        <c:majorGridlines>
          <c:spPr>
            <a:ln>
              <a:solidFill>
                <a:schemeClr val="bg1">
                  <a:lumMod val="65000"/>
                </a:schemeClr>
              </a:solidFill>
            </a:ln>
          </c:spPr>
        </c:majorGridlines>
        <c:title>
          <c:tx>
            <c:rich>
              <a:bodyPr rot="0" vert="horz"/>
              <a:lstStyle/>
              <a:p>
                <a:pPr>
                  <a:defRPr/>
                </a:pPr>
                <a:r>
                  <a:rPr lang="sv-SE"/>
                  <a:t>GWh</a:t>
                </a:r>
              </a:p>
            </c:rich>
          </c:tx>
          <c:layout>
            <c:manualLayout>
              <c:xMode val="edge"/>
              <c:yMode val="edge"/>
              <c:x val="6.6750104297037963E-3"/>
              <c:y val="0.14050331943801142"/>
            </c:manualLayout>
          </c:layout>
          <c:overlay val="0"/>
        </c:title>
        <c:numFmt formatCode="#,##0" sourceLinked="0"/>
        <c:majorTickMark val="out"/>
        <c:minorTickMark val="none"/>
        <c:tickLblPos val="nextTo"/>
        <c:crossAx val="68393600"/>
        <c:crosses val="autoZero"/>
        <c:crossBetween val="midCat"/>
      </c:valAx>
      <c:spPr>
        <a:ln>
          <a:solidFill>
            <a:schemeClr val="bg1">
              <a:lumMod val="65000"/>
            </a:schemeClr>
          </a:solidFill>
        </a:ln>
      </c:spPr>
    </c:plotArea>
    <c:legend>
      <c:legendPos val="r"/>
      <c:layout>
        <c:manualLayout>
          <c:xMode val="edge"/>
          <c:yMode val="edge"/>
          <c:x val="0.55003804284122015"/>
          <c:y val="7.9728728800624871E-2"/>
          <c:w val="0.44742386985426968"/>
          <c:h val="0.11706830394924853"/>
        </c:manualLayout>
      </c:layout>
      <c:overlay val="0"/>
      <c:spPr>
        <a:solidFill>
          <a:schemeClr val="bg1"/>
        </a:solidFill>
        <a:ln>
          <a:solidFill>
            <a:schemeClr val="bg1">
              <a:lumMod val="65000"/>
            </a:schemeClr>
          </a:solidFill>
        </a:ln>
        <a:effectLst>
          <a:outerShdw blurRad="50800" dist="38100" dir="2700000" algn="tl" rotWithShape="0">
            <a:prstClr val="black">
              <a:alpha val="40000"/>
            </a:prstClr>
          </a:outerShdw>
        </a:effectLst>
      </c:spPr>
    </c:legend>
    <c:plotVisOnly val="1"/>
    <c:dispBlanksAs val="span"/>
    <c:showDLblsOverMax val="0"/>
  </c:chart>
  <c:txPr>
    <a:bodyPr/>
    <a:lstStyle/>
    <a:p>
      <a:pPr>
        <a:defRPr>
          <a:latin typeface="Calibri Light" panose="020F0302020204030204" pitchFamily="34" charset="0"/>
        </a:defRPr>
      </a:pPr>
      <a:endParaRPr lang="sv-SE"/>
    </a:p>
  </c:txPr>
  <c:printSettings>
    <c:headerFooter/>
    <c:pageMargins b="0.75000000000000266" l="0.70000000000000062" r="0.70000000000000062" t="0.75000000000000266" header="0.30000000000000032" footer="0.30000000000000032"/>
    <c:pageSetup/>
  </c:printSettings>
  <c:userShapes r:id="rId1"/>
</c:chartSpace>
</file>

<file path=xl/ctrlProps/ctrlProp1.xml><?xml version="1.0" encoding="utf-8"?>
<formControlPr xmlns="http://schemas.microsoft.com/office/spreadsheetml/2009/9/main" objectType="Drop" dropStyle="combo" dx="16" fmlaLink="Funktionsblad!$A$3" fmlaRange="'Korrigerade leveranser GD'!$A$3:$A$482" noThreeD="1" sel="1" val="0"/>
</file>

<file path=xl/ctrlProps/ctrlProp2.xml><?xml version="1.0" encoding="utf-8"?>
<formControlPr xmlns="http://schemas.microsoft.com/office/spreadsheetml/2009/9/main" objectType="CheckBox" checked="Checked" fmlaLink="Funktionsblad!$B$5" lockText="1" noThreeD="1"/>
</file>

<file path=xl/ctrlProps/ctrlProp3.xml><?xml version="1.0" encoding="utf-8"?>
<formControlPr xmlns="http://schemas.microsoft.com/office/spreadsheetml/2009/9/main" objectType="CheckBox" checked="Checked" fmlaLink="Funktionsblad!$B$3" lockText="1" noThreeD="1"/>
</file>

<file path=xl/ctrlProps/ctrlProp4.xml><?xml version="1.0" encoding="utf-8"?>
<formControlPr xmlns="http://schemas.microsoft.com/office/spreadsheetml/2009/9/main" objectType="CheckBox" checked="Checked" fmlaLink="Funktionsblad!$B$4"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533402</xdr:colOff>
      <xdr:row>7</xdr:row>
      <xdr:rowOff>116680</xdr:rowOff>
    </xdr:from>
    <xdr:to>
      <xdr:col>11</xdr:col>
      <xdr:colOff>559594</xdr:colOff>
      <xdr:row>31</xdr:row>
      <xdr:rowOff>0</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166687</xdr:colOff>
      <xdr:row>31</xdr:row>
      <xdr:rowOff>11906</xdr:rowOff>
    </xdr:from>
    <xdr:to>
      <xdr:col>9</xdr:col>
      <xdr:colOff>71437</xdr:colOff>
      <xdr:row>32</xdr:row>
      <xdr:rowOff>83344</xdr:rowOff>
    </xdr:to>
    <xdr:sp macro="" textlink="">
      <xdr:nvSpPr>
        <xdr:cNvPr id="5" name="textruta 4">
          <a:extLst>
            <a:ext uri="{FF2B5EF4-FFF2-40B4-BE49-F238E27FC236}">
              <a16:creationId xmlns:a16="http://schemas.microsoft.com/office/drawing/2014/main" id="{00000000-0008-0000-0200-000005000000}"/>
            </a:ext>
          </a:extLst>
        </xdr:cNvPr>
        <xdr:cNvSpPr txBox="1"/>
      </xdr:nvSpPr>
      <xdr:spPr>
        <a:xfrm>
          <a:off x="773906" y="5917406"/>
          <a:ext cx="4762500" cy="261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Normalårskorrigering</a:t>
          </a:r>
          <a:r>
            <a:rPr lang="sv-SE" sz="1100" baseline="0"/>
            <a:t> görs från SMHI:s statistik för graddagar och Energi-Index</a:t>
          </a:r>
          <a:endParaRPr lang="sv-SE" sz="1100"/>
        </a:p>
      </xdr:txBody>
    </xdr:sp>
    <xdr:clientData/>
  </xdr:twoCellAnchor>
  <xdr:twoCellAnchor>
    <xdr:from>
      <xdr:col>9</xdr:col>
      <xdr:colOff>107157</xdr:colOff>
      <xdr:row>2</xdr:row>
      <xdr:rowOff>14288</xdr:rowOff>
    </xdr:from>
    <xdr:to>
      <xdr:col>12</xdr:col>
      <xdr:colOff>92717</xdr:colOff>
      <xdr:row>5</xdr:row>
      <xdr:rowOff>95250</xdr:rowOff>
    </xdr:to>
    <xdr:pic>
      <xdr:nvPicPr>
        <xdr:cNvPr id="9" name="Bildobjekt 8" descr="E-ftg logo 3000px rgb.png">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72126" y="395288"/>
          <a:ext cx="1807216" cy="652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1</xdr:row>
          <xdr:rowOff>180975</xdr:rowOff>
        </xdr:from>
        <xdr:to>
          <xdr:col>5</xdr:col>
          <xdr:colOff>9525</xdr:colOff>
          <xdr:row>3</xdr:row>
          <xdr:rowOff>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xdr:row>
          <xdr:rowOff>161925</xdr:rowOff>
        </xdr:from>
        <xdr:to>
          <xdr:col>7</xdr:col>
          <xdr:colOff>476250</xdr:colOff>
          <xdr:row>5</xdr:row>
          <xdr:rowOff>38100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solidFill>
              <a:srgbClr val="009FE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Tahoma"/>
                  <a:ea typeface="Tahoma"/>
                  <a:cs typeface="Tahoma"/>
                </a:rPr>
                <a:t>Faktiska leveranser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152400</xdr:rowOff>
        </xdr:from>
        <xdr:to>
          <xdr:col>5</xdr:col>
          <xdr:colOff>104775</xdr:colOff>
          <xdr:row>5</xdr:row>
          <xdr:rowOff>19050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solidFill>
              <a:srgbClr val="FF671F"/>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Tahoma"/>
                  <a:ea typeface="Tahoma"/>
                  <a:cs typeface="Tahoma"/>
                </a:rPr>
                <a:t>Normalårskorrigerade leveranser, Graddagar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xdr:row>
          <xdr:rowOff>76200</xdr:rowOff>
        </xdr:from>
        <xdr:to>
          <xdr:col>5</xdr:col>
          <xdr:colOff>104775</xdr:colOff>
          <xdr:row>6</xdr:row>
          <xdr:rowOff>142875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solidFill>
              <a:srgbClr val="FFE50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v-SE" sz="800" b="0" i="0" u="none" strike="noStrike" baseline="0">
                  <a:solidFill>
                    <a:srgbClr val="000000"/>
                  </a:solidFill>
                  <a:latin typeface="Tahoma"/>
                  <a:ea typeface="Tahoma"/>
                  <a:cs typeface="Tahoma"/>
                </a:rPr>
                <a:t>Normalårskorrigerade leveranser, Energi-Index</a:t>
              </a:r>
            </a:p>
          </xdr:txBody>
        </xdr:sp>
        <xdr:clientData/>
      </xdr:twoCellAnchor>
    </mc:Choice>
    <mc:Fallback/>
  </mc:AlternateContent>
</xdr:wsDr>
</file>

<file path=xl/drawings/drawing2.xml><?xml version="1.0" encoding="utf-8"?>
<c:userShapes xmlns:c="http://schemas.openxmlformats.org/drawingml/2006/chart">
  <cdr:relSizeAnchor xmlns:cdr="http://schemas.openxmlformats.org/drawingml/2006/chartDrawing">
    <cdr:from>
      <cdr:x>0.34978</cdr:x>
      <cdr:y>0.01412</cdr:y>
    </cdr:from>
    <cdr:to>
      <cdr:x>0.53805</cdr:x>
      <cdr:y>0.09647</cdr:y>
    </cdr:to>
    <cdr:sp macro="" textlink="Funktionsblad!$A$5">
      <cdr:nvSpPr>
        <cdr:cNvPr id="3" name="textruta 2"/>
        <cdr:cNvSpPr txBox="1"/>
      </cdr:nvSpPr>
      <cdr:spPr>
        <a:xfrm xmlns:a="http://schemas.openxmlformats.org/drawingml/2006/main">
          <a:off x="2137250" y="59043"/>
          <a:ext cx="1150383" cy="3443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0F06DBC-0AED-40F0-8598-156200DDF8E3}" type="TxLink">
            <a:rPr lang="en-US" sz="1600" b="0" i="0" u="none" strike="noStrike">
              <a:solidFill>
                <a:srgbClr val="000000"/>
              </a:solidFill>
              <a:latin typeface="Calibri"/>
            </a:rPr>
            <a:pPr/>
            <a:t>Alla orter</a:t>
          </a:fld>
          <a:endParaRPr lang="sv-SE" sz="1600" b="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7_Enheter/Energisystem/Statistik/Fj&#228;rrv&#228;rme/Leveranser%20och%20graddagar/Graddagar%202021/Levererad-v&#228;rme-per-prisomr&#229;de-tekniska-uppgifter-2015-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vererad värme"/>
    </sheetNames>
    <sheetDataSet>
      <sheetData sheetId="0">
        <row r="636">
          <cell r="HG636">
            <v>2.2999999999999998</v>
          </cell>
        </row>
      </sheetData>
    </sheetDataSet>
  </externalBook>
</externalLink>
</file>

<file path=xl/persons/person.xml><?xml version="1.0" encoding="utf-8"?>
<personList xmlns="http://schemas.microsoft.com/office/spreadsheetml/2018/threadedcomments" xmlns:x="http://schemas.openxmlformats.org/spreadsheetml/2006/main">
  <person displayName="David Wästljung" id="{64E70CCF-AD52-4CEC-B892-8A67A42681B4}" userId="S::David.Wastljung@energiforetagen.se::2ca5c627-8872-42a6-8718-ad5cd62c0a6f" providerId="AD"/>
  <person displayName="Nicole Burstein" id="{411C92D9-59DD-4AC9-A483-CFC0495A6903}" userId="S::nicole.burstein@energiforetagen.se::d78574ee-bf23-4fb5-b4e5-76153ddc9e1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D6C2CAD-2A15-47C8-BDCE-DD4ECED19D7A}" name="Tabell9" displayName="Tabell9" ref="A1:O418" totalsRowShown="0" headerRowDxfId="45" headerRowBorderDxfId="44" headerRowCellStyle="Head">
  <autoFilter ref="A1:O418" xr:uid="{4D6C2CAD-2A15-47C8-BDCE-DD4ECED19D7A}"/>
  <tableColumns count="15">
    <tableColumn id="1" xr3:uid="{707763E7-62C1-44D8-81DE-CA522B1CDC32}" name="Kommun/ förbund"/>
    <tableColumn id="2" xr3:uid="{0A25D1A4-6953-48C8-9A23-F753A419A5FD}" name="Nät"/>
    <tableColumn id="3" xr3:uid="{EC81DB2F-DEAD-4BB3-AEB4-72E7212E90B2}" name="År"/>
    <tableColumn id="4" xr3:uid="{7330A736-5CB9-4E16-B53A-A9D0C78DFAF0}" name="Såld värme (GWh)"/>
    <tableColumn id="5" xr3:uid="{D444B5B9-A960-4ADC-93D9-C5A880204B97}" name="Namn företag 1 ()"/>
    <tableColumn id="6" xr3:uid="{DE4CA4C3-FC82-44BA-9110-040935A646FC}" name="Levererad värme, andra fjärrvärmeföretag, företag 1 (GWh)"/>
    <tableColumn id="7" xr3:uid="{C5A1A02A-C030-473D-9AAE-E74CC0C32830}" name="Namn företag 2 ()"/>
    <tableColumn id="8" xr3:uid="{99D577A9-A584-4E68-88C8-35CCD6E81B75}" name="Levererad värme, andra fjärrvärmeföretag, företag 2 (GWh)"/>
    <tableColumn id="9" xr3:uid="{BFB83964-F621-469E-81C7-0780AAAB23A4}" name="Namn företag 3 ()"/>
    <tableColumn id="10" xr3:uid="{93DD489F-7596-4F33-B50E-1453607CCDFB}" name="Levererad värme, andra fjärrvärmeföretag, företag 3 (GWh)"/>
    <tableColumn id="11" xr3:uid="{820D0654-4D18-4AE5-80FE-F411B290E6F7}" name="Såld minus ftg" dataDxfId="43">
      <calculatedColumnFormula>Tabell9[[#This Row],[Såld värme (GWh)]]-Tabell9[[#This Row],[Levererad värme, andra fjärrvärmeföretag, företag 1 (GWh)]]-Tabell9[[#This Row],[Levererad värme, andra fjärrvärmeföretag, företag 2 (GWh)]]-Tabell9[[#This Row],[Levererad värme, andra fjärrvärmeföretag, företag 3 (GWh)]]</calculatedColumnFormula>
    </tableColumn>
    <tableColumn id="12" xr3:uid="{15F20EC6-0FB9-4C1E-BE63-236176BC75EC}" name="Indexnamn" dataDxfId="42">
      <calculatedColumnFormula>VLOOKUP(Tabell9[[#This Row],[Nät]],Tabell5[],2,FALSE)</calculatedColumnFormula>
    </tableColumn>
    <tableColumn id="13" xr3:uid="{BE1DDC95-1A78-4BF9-92FB-C6C8D7D7A6E7}" name="Korr "/>
    <tableColumn id="14" xr3:uid="{C26F82F2-53E0-450B-9032-7FC95B651B69}" name="Kolumn1" dataDxfId="41">
      <calculatedColumnFormula>IF(Tabell9[[#This Row],[Korr ]]&gt;0,Tabell9[[#This Row],[Korr ]],Tabell9[[#This Row],[Såld minus ftg]])</calculatedColumnFormula>
    </tableColumn>
    <tableColumn id="15" xr3:uid="{388E104A-2D1F-49CC-A777-D3FCD8BF85EC}" name="Kolumn2" dataDxfId="40"/>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DD523D5-04A4-46A1-B1D1-5E07CF363CC0}" name="Tabell38" displayName="Tabell38" ref="A1:J451" totalsRowShown="0" headerRowDxfId="39" headerRowBorderDxfId="38" headerRowCellStyle="Head">
  <autoFilter ref="A1:J451" xr:uid="{6DD523D5-04A4-46A1-B1D1-5E07CF363CC0}"/>
  <tableColumns count="10">
    <tableColumn id="1" xr3:uid="{BE1DB1B5-2868-40DD-99C2-4BA9E210A5F9}" name="Kommun/ förbund"/>
    <tableColumn id="2" xr3:uid="{27D6D1B6-C983-4FD1-9F86-8E569F31E696}" name="Nät"/>
    <tableColumn id="3" xr3:uid="{CE37EF93-C905-4322-A1C0-5E24BDDFAE52}" name="Såld värme (GWh)" dataDxfId="37"/>
    <tableColumn id="5" xr3:uid="{1A5206C2-1B6E-4529-B9E1-5B37AA61F176}" name="Levererad värme, andra fjärrvärmeföretag, företag 1 (GWh)"/>
    <tableColumn id="6" xr3:uid="{6E1AEE1C-B55D-4159-8640-6F6FB20C4358}" name="Levererad värme, andra fjärrvärmeföretag, företag 2 (GWh)"/>
    <tableColumn id="7" xr3:uid="{422AA98E-96F1-4EF9-BDDA-B6132B18CEB1}" name="Levererad värme, andra fjärrvärmeföretag, företag 3 (GWh)"/>
    <tableColumn id="8" xr3:uid="{22A3B4B4-6B2B-460E-9D8B-1C9165996B73}" name="Kolumn1" dataDxfId="36">
      <calculatedColumnFormula>Tabell38[[#This Row],[Såld värme (GWh)]]-Tabell38[[#This Row],[Levererad värme, andra fjärrvärmeföretag, företag 1 (GWh)]]-Tabell38[[#This Row],[Levererad värme, andra fjärrvärmeföretag, företag 2 (GWh)]]-Tabell38[[#This Row],[Levererad värme, andra fjärrvärmeföretag, företag 3 (GWh)]]</calculatedColumnFormula>
    </tableColumn>
    <tableColumn id="9" xr3:uid="{90F035BB-FAEA-4B6F-97AF-084154046774}" name="Indexnmamn" dataDxfId="35">
      <calculatedColumnFormula>VLOOKUP(Tabell38[[#This Row],[Nät]],Tabell5[],2,FALSE)</calculatedColumnFormula>
    </tableColumn>
    <tableColumn id="10" xr3:uid="{48C42330-81C7-4D32-AB11-063535DAF105}" name="Kolumn2" dataDxfId="34">
      <calculatedColumnFormula>VLOOKUP(Tabell38[[#This Row],[Nät]],'Leveranser per nät'!A:A,1,FALSE)</calculatedColumnFormula>
    </tableColumn>
    <tableColumn id="4" xr3:uid="{71AA7B96-4EBC-443A-8206-37ACC401A2FA}" name="Kolumn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1E4AEE-FDC3-44B7-80CC-1B8886DAA259}" name="Tabell3" displayName="Tabell3" ref="A1:I408" totalsRowShown="0" headerRowDxfId="33" headerRowBorderDxfId="32" headerRowCellStyle="Head">
  <autoFilter ref="A1:I408" xr:uid="{B8AC6A83-5F67-475B-ACDE-17F12FBBC428}"/>
  <tableColumns count="9">
    <tableColumn id="1" xr3:uid="{478B782C-1D0B-45CE-92AE-617BA7CBE4E7}" name="Kommun/ förbund"/>
    <tableColumn id="2" xr3:uid="{FC9B5681-9047-4629-9277-15DE9E762A37}" name="Nät"/>
    <tableColumn id="3" xr3:uid="{95F44D1B-AF5C-4FDD-828B-CEFCB89D411E}" name="Såld värme (GWh)" dataDxfId="31"/>
    <tableColumn id="5" xr3:uid="{B78F29EE-3DC4-4874-8F96-AA5C0E9F2269}" name="Levererad värme, andra fjärrvärmeföretag, företag 1 (GWh)"/>
    <tableColumn id="6" xr3:uid="{1AB799A3-9DCC-47BA-83F7-0389814EA8D8}" name="Levererad värme, andra fjärrvärmeföretag, företag 2 (GWh)"/>
    <tableColumn id="7" xr3:uid="{15FEACEE-B13F-4E38-9FE0-C852451034AA}" name="Levererad värme, andra fjärrvärmeföretag, företag 3 (GWh)"/>
    <tableColumn id="8" xr3:uid="{9688A1CF-9644-4C45-91F8-6280606A8B9F}" name="Kolumn1" dataDxfId="30">
      <calculatedColumnFormula>Tabell3[[#This Row],[Såld värme (GWh)]]-Tabell3[[#This Row],[Levererad värme, andra fjärrvärmeföretag, företag 1 (GWh)]]-Tabell3[[#This Row],[Levererad värme, andra fjärrvärmeföretag, företag 2 (GWh)]]-Tabell3[[#This Row],[Levererad värme, andra fjärrvärmeföretag, företag 3 (GWh)]]</calculatedColumnFormula>
    </tableColumn>
    <tableColumn id="9" xr3:uid="{337AE441-D98E-4980-BF19-014D67577A18}" name="Indexnmamn" dataDxfId="29">
      <calculatedColumnFormula>VLOOKUP(Tabell3[[#This Row],[Nät]],Tabell5[],2,FALSE)</calculatedColumnFormula>
    </tableColumn>
    <tableColumn id="10" xr3:uid="{9CC7616A-EC63-47FE-A86F-25E8FF8166F1}" name="Kolumn2" dataDxfId="28">
      <calculatedColumnFormula>VLOOKUP(Tabell3[[#This Row],[Nät]],'Leveranser per nät'!A:A,1,FALSE)</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33A48FE-1C5E-41E9-AF4B-CBAA26C0E551}" name="Tabell6" displayName="Tabell6" ref="A1:V410" totalsRowShown="0" headerRowDxfId="27" headerRowBorderDxfId="26" headerRowCellStyle="Head">
  <autoFilter ref="A1:V410" xr:uid="{0DEE8757-BCA2-4662-8A5C-AAC0DF286FBE}"/>
  <tableColumns count="22">
    <tableColumn id="1" xr3:uid="{3E9D69C8-A555-4100-842D-DC100A25AAAF}" name="Kommun/ förbund"/>
    <tableColumn id="2" xr3:uid="{F0ECB8FA-4299-44B1-8F30-3925E2630ECA}" name="Nät"/>
    <tableColumn id="3" xr3:uid="{BAE829D6-B62D-4F2F-9D07-D992BD230D13}" name="År"/>
    <tableColumn id="4" xr3:uid="{6EE4BB49-BF7D-4A6F-AE52-29D6EECD5D7B}" name="Såld värme (GWh)"/>
    <tableColumn id="5" xr3:uid="{511FAE94-B4E4-4698-BFA7-AA4C91830FF9}" name="Levererad värme, flerbostadshus (GWh)"/>
    <tableColumn id="6" xr3:uid="{1F331B27-81DF-4640-A08F-C59FDA4651D0}" name="Levererad värme, småhus (GWh)"/>
    <tableColumn id="7" xr3:uid="{EBDB4BBC-EC0C-4739-A1D2-C31FBB31E676}" name="Levererad värme, industrier (GWh)"/>
    <tableColumn id="8" xr3:uid="{22B26F8A-BA63-4FCC-85A2-99B9BE98CB3D}" name="- varav värmeleveranser av är ånga (GWh)"/>
    <tableColumn id="9" xr3:uid="{9113D0BC-1554-4440-99AB-EF802DF860AB}" name="Levererad värme, offentliga lokaler (GWh)"/>
    <tableColumn id="10" xr3:uid="{F957A2D1-440D-45C3-8403-87DC249A17B5}" name="Levererad värme, övriga lokaler (GWh)"/>
    <tableColumn id="11" xr3:uid="{7B9B2152-1B0B-46CE-B6D1-1EBEEDF65CE3}" name="Övriga kunder ex markvärme (GWh)"/>
    <tableColumn id="12" xr3:uid="{E0540EA1-1016-4217-83A8-227A19BE064F}" name="Leverad värme samfälligher (GWh)"/>
    <tableColumn id="13" xr3:uid="{97CAA158-A1B9-410A-9049-58B6EB8222B3}" name="Levererad värme tillverkningsindustri inkl mineralutvinning (GWh)"/>
    <tableColumn id="14" xr3:uid="{95520ECC-EFEC-450C-B995-E4E4F49C78FE}" name="Namn förag 1 ()"/>
    <tableColumn id="15" xr3:uid="{3C78037D-983D-4FE3-A29C-A9650F386960}" name="Levererad värme, andra fjärrvärmeförag, förag 1 (GWh)"/>
    <tableColumn id="16" xr3:uid="{D297A63A-C73B-416D-BA00-BD63A2689164}" name="Namn förag 2 ()"/>
    <tableColumn id="17" xr3:uid="{49A980EB-8D32-4BEE-B350-B73F1F2C9941}" name="Levererad värme, andra fjärrvärmeförag, förag 2 (GWh)"/>
    <tableColumn id="18" xr3:uid="{F204B6DE-B237-4C23-BCEF-5ECAA3AA5720}" name="Namn förag 3 ()"/>
    <tableColumn id="19" xr3:uid="{FE7D6135-D174-4467-BC5A-BC26282EB1B4}" name="Levererad värme, andra fjärrvärmeförag, förag 3 (GWh)"/>
    <tableColumn id="21" xr3:uid="{3948E75A-5CC0-4C92-8B3F-A7DE8589FF7D}" name="Kolumn1" dataDxfId="25">
      <calculatedColumnFormula>Tabell6[[#This Row],[Såld värme (GWh)]]-Tabell6[[#This Row],[Levererad värme, andra fjärrvärmeförag, förag 1 (GWh)]]-Tabell6[[#This Row],[Levererad värme, andra fjärrvärmeförag, förag 2 (GWh)]]-Tabell6[[#This Row],[Levererad värme, andra fjärrvärmeförag, förag 3 (GWh)]]</calculatedColumnFormula>
    </tableColumn>
    <tableColumn id="20" xr3:uid="{BC96A74D-0998-4966-BEA0-404804E8BC3A}" name="Indexnmamn" dataDxfId="24">
      <calculatedColumnFormula>VLOOKUP(Tabell6[[#This Row],[Nät]],Tabell5[],2,FALSE)</calculatedColumnFormula>
    </tableColumn>
    <tableColumn id="22" xr3:uid="{02F1DC3A-AC8D-4637-9F52-DA1F631A10DD}" name="Kolumn2"/>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9F20BE9-39C5-4971-8923-04B231FFD3E9}" name="Tabell4" displayName="Tabell4" ref="A1:N474" totalsRowShown="0" headerRowDxfId="23" dataDxfId="22" headerRowCellStyle="Head">
  <autoFilter ref="A1:N474" xr:uid="{4BD1669C-8CDF-4ED3-9187-58ACDB804928}"/>
  <tableColumns count="14">
    <tableColumn id="1" xr3:uid="{E1991977-A5AB-4E0D-BD0D-FB1F5C91B310}" name="Kommun/ förbund" dataDxfId="21"/>
    <tableColumn id="2" xr3:uid="{5D6D489B-FEB3-4788-92E3-ED9FBF681194}" name="Nät" dataDxfId="20"/>
    <tableColumn id="3" xr3:uid="{E696BBF2-607F-4CF3-8A4F-46CD0BEFD94B}" name="Såld värme (GWh)" dataDxfId="19"/>
    <tableColumn id="4" xr3:uid="{EEA4C17C-4628-4A69-B373-53096A63636A}" name="Levererad värme, andra fjärrvärmeföretag, företag 1 (GWh)" dataDxfId="18"/>
    <tableColumn id="5" xr3:uid="{C9C352CB-3F0D-45F6-9E75-DA7E9E939948}" name="Levererad värme, andra fjärrvärmeföretag, företag 2 (GWh)" dataDxfId="17"/>
    <tableColumn id="6" xr3:uid="{B2A7483F-D424-40D9-8B81-EF403058C5C1}" name="Levererad värme, andra fjärrvärmeföretag, företag 3 (GWh)" dataDxfId="16"/>
    <tableColumn id="7" xr3:uid="{84089F4A-0CE1-4CE3-91A9-1F4AD0F9E41A}" name="C" dataDxfId="15">
      <calculatedColumnFormula>IF(ISTEXT(C2),0,C2)</calculatedColumnFormula>
    </tableColumn>
    <tableColumn id="8" xr3:uid="{729C716C-4AC1-45FC-8082-3114FB31E5EF}" name="D" dataDxfId="14">
      <calculatedColumnFormula>IF(ISTEXT(D2),0,D2)</calculatedColumnFormula>
    </tableColumn>
    <tableColumn id="9" xr3:uid="{C6BF7213-B1A8-4D37-A710-FD3F373F3D7C}" name="E" dataDxfId="13">
      <calculatedColumnFormula>IF(ISTEXT(E2),0,E2)</calculatedColumnFormula>
    </tableColumn>
    <tableColumn id="10" xr3:uid="{47001EF9-BBED-4C83-8953-E6233A2B9E0A}" name="F" dataDxfId="12">
      <calculatedColumnFormula>IF(ISTEXT(F2),0,F2)</calculatedColumnFormula>
    </tableColumn>
    <tableColumn id="11" xr3:uid="{95924059-71D0-4689-B869-03191563C31B}" name="Leveranser till eget nät" dataDxfId="11">
      <calculatedColumnFormula>G2-H2-I2-J2</calculatedColumnFormula>
    </tableColumn>
    <tableColumn id="12" xr3:uid="{EAD0A83D-E5D6-4901-9317-CC933A829545}" name="Indexnamn" dataDxfId="10">
      <calculatedColumnFormula>VLOOKUP(Tabell4[[#This Row],[Nät]],Indexnamn!A:A,1,FALSE)</calculatedColumnFormula>
    </tableColumn>
    <tableColumn id="13" xr3:uid="{4993F3B0-B1A5-4663-8D3E-5A57E939F1C9}" name="Finns i listan " dataDxfId="9">
      <calculatedColumnFormula>IF(ISTEXT(Tabell4[[#This Row],[Indexnamn]]),Tabell4[[#This Row],[Indexnamn]],LOOKUP(Tabell4[[#This Row],[Nät]],Tabell5[Nätnamn],#REF!))</calculatedColumnFormula>
    </tableColumn>
    <tableColumn id="14" xr3:uid="{B38BEDA0-F362-4591-99ED-A587054C516F}" name="OK?" dataDxfId="8">
      <calculatedColumnFormula>IF(Tabell4[[#This Row],[Finns i listan ]]=Tabell4[[#This Row],[Indexnamn]],"","NEJ")</calculatedColumnFormula>
    </tableColumn>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Levererat_2016" displayName="Levererat_2016" ref="A2:G471" totalsRowShown="0">
  <autoFilter ref="A2:G471" xr:uid="{00000000-0009-0000-0100-000002000000}"/>
  <sortState xmlns:xlrd2="http://schemas.microsoft.com/office/spreadsheetml/2017/richdata2" ref="A3:E395">
    <sortCondition ref="A2:A395"/>
  </sortState>
  <tableColumns count="7">
    <tableColumn id="1" xr3:uid="{00000000-0010-0000-0100-000001000000}" name="Företag"/>
    <tableColumn id="2" xr3:uid="{00000000-0010-0000-0100-000002000000}" name="Nät"/>
    <tableColumn id="5" xr3:uid="{00000000-0010-0000-0100-000005000000}" name="Indexnamn"/>
    <tableColumn id="3" xr3:uid="{00000000-0010-0000-0100-000003000000}" name="Leveranser:"/>
    <tableColumn id="6" xr3:uid="{00000000-0010-0000-0100-000006000000}" name="Leveranser till annat fjärrvärmebolag" dataDxfId="7"/>
    <tableColumn id="7" xr3:uid="{00000000-0010-0000-0100-000007000000}" name="Leveranser till eget nät" dataDxfId="6">
      <calculatedColumnFormula>IFERROR(Levererat_2016[[#This Row],[Leveranser:]]-Levererat_2016[[#This Row],[Leveranser till annat fjärrvärmebolag]],"")</calculatedColumnFormula>
    </tableColumn>
    <tableColumn id="4" xr3:uid="{00000000-0010-0000-0100-000004000000}" name="Finns i listan?" dataDxfId="5">
      <calculatedColumnFormula>VLOOKUP(Levererat_2016[[#This Row],[Indexnamn]],'Leveranser per nät'!$A$4:$A$526,1,FALSE)</calculatedColumnFormula>
    </tableColumn>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evererat_2015" displayName="Levererat_2015" ref="A2:G395" totalsRowShown="0">
  <autoFilter ref="A2:G395" xr:uid="{00000000-0009-0000-0100-000001000000}"/>
  <sortState xmlns:xlrd2="http://schemas.microsoft.com/office/spreadsheetml/2017/richdata2" ref="A3:G395">
    <sortCondition ref="B2:B395"/>
  </sortState>
  <tableColumns count="7">
    <tableColumn id="1" xr3:uid="{00000000-0010-0000-0000-000001000000}" name="Företag"/>
    <tableColumn id="2" xr3:uid="{00000000-0010-0000-0000-000002000000}" name="Nät"/>
    <tableColumn id="5" xr3:uid="{00000000-0010-0000-0000-000005000000}" name="Indexnamn"/>
    <tableColumn id="3" xr3:uid="{00000000-0010-0000-0000-000003000000}" name="Leveranser:"/>
    <tableColumn id="6" xr3:uid="{00000000-0010-0000-0000-000006000000}" name="Leveranser till annat fjärrvärmebolag" dataDxfId="4"/>
    <tableColumn id="7" xr3:uid="{00000000-0010-0000-0000-000007000000}" name="Leveranser till eget nät" dataDxfId="3">
      <calculatedColumnFormula>IFERROR(Levererat_2015[[#This Row],[Leveranser:]]-Levererat_2015[[#This Row],[Leveranser till annat fjärrvärmebolag]],"")</calculatedColumnFormula>
    </tableColumn>
    <tableColumn id="4" xr3:uid="{00000000-0010-0000-0000-000004000000}" name="Finns i listan?" dataDxfId="2">
      <calculatedColumnFormula>VLOOKUP(Levererat_2015[[#This Row],[Nät]],'Leveranser per nät'!$A$4:$A$514,1,FALSE)</calculatedColumnFormula>
    </tableColumn>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97C6B71-5E49-490F-9104-B990C0CD92E4}" name="Tabell5" displayName="Tabell5" ref="A3:B535" totalsRowShown="0">
  <autoFilter ref="A3:B535" xr:uid="{27426E51-82A0-430C-A190-00028BF3BE3B}"/>
  <tableColumns count="2">
    <tableColumn id="2" xr3:uid="{E8C4B15A-E677-443D-A393-69FB39C31132}" name="Nätnamn"/>
    <tableColumn id="3" xr3:uid="{5E744CBD-825B-4BF9-8D9D-3708D1565806}" name="Indexnamn" dataDxfId="1"/>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Energiföretagen">
      <a:dk1>
        <a:srgbClr val="000000"/>
      </a:dk1>
      <a:lt1>
        <a:srgbClr val="FFFFFF"/>
      </a:lt1>
      <a:dk2>
        <a:srgbClr val="000000"/>
      </a:dk2>
      <a:lt2>
        <a:srgbClr val="FFFFFF"/>
      </a:lt2>
      <a:accent1>
        <a:srgbClr val="E6007E"/>
      </a:accent1>
      <a:accent2>
        <a:srgbClr val="777777"/>
      </a:accent2>
      <a:accent3>
        <a:srgbClr val="66CC33"/>
      </a:accent3>
      <a:accent4>
        <a:srgbClr val="8B33B7"/>
      </a:accent4>
      <a:accent5>
        <a:srgbClr val="009FE3"/>
      </a:accent5>
      <a:accent6>
        <a:srgbClr val="FF671F"/>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T7" dT="2019-11-11T15:18:18.79" personId="{411C92D9-59DD-4AC9-A483-CFC0495A6903}" id="{5CB28AE5-9E58-4346-A948-7E0575F95582}">
    <text>Från EI</text>
  </threadedComment>
  <threadedComment ref="U7" dT="2019-11-11T15:18:34.45" personId="{411C92D9-59DD-4AC9-A483-CFC0495A6903}" id="{C09C08EE-7524-442A-8E88-9BE22A75CE8F}">
    <text>Från EI</text>
  </threadedComment>
  <threadedComment ref="V7" dT="2019-11-11T15:18:52.15" personId="{411C92D9-59DD-4AC9-A483-CFC0495A6903}" id="{7BF9A728-DFDE-4E04-B03C-9264BD55C403}">
    <text>Från EI</text>
  </threadedComment>
  <threadedComment ref="A14" dT="2019-11-20T09:32:32.10" personId="{411C92D9-59DD-4AC9-A483-CFC0495A6903}" id="{3D892ABE-B0B1-4E36-A2D6-BF4011F34191}">
    <text>Arjepolgs kommun, ej medlem</text>
  </threadedComment>
  <threadedComment ref="X14" dT="2019-11-11T15:39:14.58" personId="{411C92D9-59DD-4AC9-A483-CFC0495A6903}" id="{FF7FC6A6-4DF4-492B-A478-511CAC7F84AC}">
    <text>Från EI</text>
  </threadedComment>
  <threadedComment ref="Z14" dT="2021-06-03T14:06:37.55" personId="{64E70CCF-AD52-4CEC-B892-8A67A42681B4}" id="{DF0A01BB-1887-478E-9005-20DF07B90D78}">
    <text>från EI</text>
  </threadedComment>
  <threadedComment ref="A15" dT="2019-11-20T09:33:52.70" personId="{411C92D9-59DD-4AC9-A483-CFC0495A6903}" id="{BDC2E36A-7DA5-4D92-BCE8-B7581B2B6AC8}">
    <text>Arvidsjaur Energi ej medlem</text>
  </threadedComment>
  <threadedComment ref="A25" dT="2019-11-20T09:35:05.64" personId="{411C92D9-59DD-4AC9-A483-CFC0495A6903}" id="{DE9E73B1-C74D-4A16-8B6A-332BEE284C32}">
    <text>Bionär</text>
  </threadedComment>
  <threadedComment ref="Z25" dT="2021-06-03T13:17:55.61" personId="{64E70CCF-AD52-4CEC-B892-8A67A42681B4}" id="{8D6545A4-C8BE-4A18-B00B-8DA6A2581AE8}">
    <text>frånn EI</text>
  </threadedComment>
  <threadedComment ref="X28" dT="2019-11-20T09:35:54.80" personId="{411C92D9-59DD-4AC9-A483-CFC0495A6903}" id="{7923220D-796A-4683-8EF4-463E6381C095}">
    <text>Från EI bakåt</text>
  </threadedComment>
  <threadedComment ref="U37" dT="2019-11-11T15:44:19.65" personId="{411C92D9-59DD-4AC9-A483-CFC0495A6903}" id="{7D32F314-5292-41A6-AE6F-8D1372413588}">
    <text>Från EI</text>
  </threadedComment>
  <threadedComment ref="A45" dT="2020-07-06T13:44:07.53" personId="{411C92D9-59DD-4AC9-A483-CFC0495A6903}" id="{A5CAF87A-0A53-4146-A72F-2E01E20C5037}">
    <text>Sammanslaget 2019</text>
  </threadedComment>
  <threadedComment ref="A47" dT="2019-11-14T15:58:20.60" personId="{411C92D9-59DD-4AC9-A483-CFC0495A6903}" id="{4AE8B2AD-218C-49AB-A772-3ED7166C1660}">
    <text>Solör</text>
  </threadedComment>
  <threadedComment ref="Y47" dT="2019-11-20T09:29:38.98" personId="{411C92D9-59DD-4AC9-A483-CFC0495A6903}" id="{7DC906BE-FF92-4A97-9699-8E3B4A5EAB9D}">
    <text>Från EI bakåt</text>
  </threadedComment>
  <threadedComment ref="X48" dT="2020-09-01T08:15:15.43" personId="{411C92D9-59DD-4AC9-A483-CFC0495A6903}" id="{C8EECA85-7405-437B-8DA1-D14BED74D6D9}">
    <text>Från EI</text>
  </threadedComment>
  <threadedComment ref="Y48" dT="2019-11-11T15:45:59.59" personId="{411C92D9-59DD-4AC9-A483-CFC0495A6903}" id="{1DC52C01-AE8B-4884-926F-FFBA69433429}">
    <text>Från EI</text>
  </threadedComment>
  <threadedComment ref="A57" dT="2019-11-20T09:27:46.45" personId="{411C92D9-59DD-4AC9-A483-CFC0495A6903}" id="{BFCA853F-A442-49A4-A0EA-86B6C94C25AD}">
    <text>Solör</text>
  </threadedComment>
  <threadedComment ref="Z57" dT="2021-06-03T13:41:39.29" personId="{64E70CCF-AD52-4CEC-B892-8A67A42681B4}" id="{77AB822A-A64F-4A26-9544-D14370B920E5}">
    <text>från EI</text>
  </threadedComment>
  <threadedComment ref="A58" dT="2020-09-01T08:16:40.33" personId="{411C92D9-59DD-4AC9-A483-CFC0495A6903}" id="{17F4710F-B9E5-4B14-A428-A2CFECBB4DEC}">
    <text>Bionär</text>
  </threadedComment>
  <threadedComment ref="Z58" dT="2021-06-03T13:42:44.03" personId="{64E70CCF-AD52-4CEC-B892-8A67A42681B4}" id="{5D055EA7-E516-4B1D-96D1-9CEB2CFEC632}">
    <text>från EI</text>
  </threadedComment>
  <threadedComment ref="T62" dT="2019-11-11T15:51:28.82" personId="{411C92D9-59DD-4AC9-A483-CFC0495A6903}" id="{260B79E7-49D2-4B2E-A931-C44FFBAE0F6F}">
    <text>Från EI</text>
  </threadedComment>
  <threadedComment ref="U62" dT="2019-11-11T15:51:40.57" personId="{411C92D9-59DD-4AC9-A483-CFC0495A6903}" id="{A48E954C-C584-410F-A8CB-E108F365D13A}">
    <text>Från EI</text>
  </threadedComment>
  <threadedComment ref="A72" dT="2019-11-20T09:23:52.70" personId="{411C92D9-59DD-4AC9-A483-CFC0495A6903}" id="{05087447-F021-407B-954C-3D3C0AC23BF9}">
    <text>Eksta Bostads, ej medlem</text>
  </threadedComment>
  <threadedComment ref="Z72" dT="2021-06-03T14:20:41.44" personId="{64E70CCF-AD52-4CEC-B892-8A67A42681B4}" id="{0779C6F2-043E-4636-9701-0A06C9CC4DD8}">
    <text>från EI</text>
  </threadedComment>
  <threadedComment ref="V73" dT="2019-11-20T09:24:40.26" personId="{411C92D9-59DD-4AC9-A483-CFC0495A6903}" id="{2B9FF4CF-605E-4811-ADE5-2FD9ED7DACD0}">
    <text>Från EI bakåt</text>
  </threadedComment>
  <threadedComment ref="Y73" dT="2020-09-01T08:21:45.57" personId="{411C92D9-59DD-4AC9-A483-CFC0495A6903}" id="{D6286416-FE85-4EE4-82F7-D44233B90ACF}">
    <text>Från EI</text>
  </threadedComment>
  <threadedComment ref="Z73" dT="2021-06-03T14:21:34.43" personId="{64E70CCF-AD52-4CEC-B892-8A67A42681B4}" id="{23F02CD5-E1F1-4B65-B435-60CB882CAEF5}">
    <text>från EI</text>
  </threadedComment>
  <threadedComment ref="AA73" dT="2022-08-17T14:44:45.99" personId="{411C92D9-59DD-4AC9-A483-CFC0495A6903}" id="{8EE5C740-A17B-4AAA-A1AD-FFECBFA42E40}">
    <text>Summa av två företag från EI</text>
  </threadedComment>
  <threadedComment ref="A84" dT="2019-11-20T09:45:08.71" personId="{411C92D9-59DD-4AC9-A483-CFC0495A6903}" id="{20647410-55E4-424D-99E2-5218A8D9D5C8}">
    <text>Rindi</text>
  </threadedComment>
  <threadedComment ref="W84" dT="2019-11-11T16:05:15.76" personId="{411C92D9-59DD-4AC9-A483-CFC0495A6903}" id="{8A387911-1397-48EA-9FDF-3192C2E738FE}">
    <text>Från EI</text>
  </threadedComment>
  <threadedComment ref="Z84" dT="2021-06-03T14:36:02.54" personId="{64E70CCF-AD52-4CEC-B892-8A67A42681B4}" id="{BFD17C73-2A8D-472A-9F0E-B60DE39927A6}">
    <text>Från EI</text>
  </threadedComment>
  <threadedComment ref="A89" dT="2019-11-20T09:45:40.71" personId="{411C92D9-59DD-4AC9-A483-CFC0495A6903}" id="{67090C24-57EA-404A-B0FE-582C995427DE}">
    <text>Rindi</text>
  </threadedComment>
  <threadedComment ref="Z89" dT="2021-06-03T14:38:30.01" personId="{64E70CCF-AD52-4CEC-B892-8A67A42681B4}" id="{169B097F-A7A3-434B-AF2D-FD6F9DD81745}">
    <text>från EI</text>
  </threadedComment>
  <threadedComment ref="A90" dT="2019-11-20T09:45:55.74" personId="{411C92D9-59DD-4AC9-A483-CFC0495A6903}" id="{3082B5C4-597D-4EA8-A2D1-0AD656AA2352}">
    <text>Solör</text>
  </threadedComment>
  <threadedComment ref="X90" dT="2019-11-11T16:09:30.59" personId="{411C92D9-59DD-4AC9-A483-CFC0495A6903}" id="{020BB15A-4A95-4624-881F-57657C71FC15}">
    <text>Från EI tom 2014</text>
  </threadedComment>
  <threadedComment ref="A93" dT="2019-11-20T09:46:15.11" personId="{411C92D9-59DD-4AC9-A483-CFC0495A6903}" id="{D23AA891-CC2D-4FF8-8650-5678407B6288}">
    <text>Bionär</text>
  </threadedComment>
  <threadedComment ref="Z93" dT="2021-06-03T14:38:38.53" personId="{64E70CCF-AD52-4CEC-B892-8A67A42681B4}" id="{B22E8790-7389-4B12-98B4-08D90315FCE4}">
    <text>från EI</text>
  </threadedComment>
  <threadedComment ref="U96" dT="2019-11-14T16:05:51.88" personId="{411C92D9-59DD-4AC9-A483-CFC0495A6903}" id="{CE34F5B1-6271-4452-8F64-CFF3B37090B4}">
    <text>Från EI</text>
  </threadedComment>
  <threadedComment ref="A97" dT="2022-08-18T07:48:41.32" personId="{411C92D9-59DD-4AC9-A483-CFC0495A6903}" id="{CDF2ED1F-BB00-4E05-B699-A44D07C6AF4A}">
    <text>Räknas till borås-nätet sedan 2019</text>
  </threadedComment>
  <threadedComment ref="S101" dT="2019-11-14T16:07:14.64" personId="{411C92D9-59DD-4AC9-A483-CFC0495A6903}" id="{D4CC7327-0E64-46D3-B1CA-77CBFDFACAE0}">
    <text>Från EI</text>
  </threadedComment>
  <threadedComment ref="U102" dT="2019-11-14T16:07:52.58" personId="{411C92D9-59DD-4AC9-A483-CFC0495A6903}" id="{C6E82355-5F76-43FA-9DE8-AC4433443B21}">
    <text>Från EI</text>
  </threadedComment>
  <threadedComment ref="R107" dT="2019-11-29T18:06:59.47" personId="{411C92D9-59DD-4AC9-A483-CFC0495A6903}" id="{09E0AE8E-2C69-4D1F-8F98-737535BC26F1}">
    <text>Schablonmässigt fördelad bakåt enligt % i KVLN 2018 mot total för Gimo Östhammar, österbybruk från  EI.</text>
  </threadedComment>
  <threadedComment ref="W107" dT="2019-11-20T09:09:46.97" personId="{411C92D9-59DD-4AC9-A483-CFC0495A6903}" id="{8DD8F0AA-1413-48CA-BFC6-46407BDACDBD}">
    <text>Schablonmässigt fördelad bakåt enligt % i KVLN 2018 mot total för Gimo Östhammar, österbybruk från  EI.</text>
  </threadedComment>
  <threadedComment ref="Z110" dT="2021-06-03T14:39:29.22" personId="{64E70CCF-AD52-4CEC-B892-8A67A42681B4}" id="{61FE5898-29FA-40C9-AA0A-FD728C7E54B4}">
    <text>från EI</text>
  </threadedComment>
  <threadedComment ref="X123" dT="2019-11-11T16:13:58.23" personId="{411C92D9-59DD-4AC9-A483-CFC0495A6903}" id="{A1578D7A-5158-4353-967F-8D25B0CB9691}">
    <text>Från EI</text>
  </threadedComment>
  <threadedComment ref="A126" dT="2019-11-21T09:07:34.46" personId="{411C92D9-59DD-4AC9-A483-CFC0495A6903}" id="{99ED7776-45AD-4BE4-A960-6717467E348A}">
    <text>Inkluderade även Partille tom 2017 (inkluderat)</text>
  </threadedComment>
  <threadedComment ref="A134" dT="2022-08-18T08:33:47.31" personId="{411C92D9-59DD-4AC9-A483-CFC0495A6903}" id="{F765A839-072A-4E91-8EF8-73E4D1CD0E70}">
    <text>RAGUNDA</text>
  </threadedComment>
  <threadedComment ref="Y134" dT="2020-09-01T08:25:14.97" personId="{411C92D9-59DD-4AC9-A483-CFC0495A6903}" id="{DB5BCDAD-1DDC-4D1B-877E-0F06568AAC44}">
    <text>Från EI</text>
  </threadedComment>
  <threadedComment ref="X135" dT="2019-11-14T14:20:16.38" personId="{411C92D9-59DD-4AC9-A483-CFC0495A6903}" id="{0201DB78-0A27-47DD-8F17-1068A7D9C657}">
    <text>Från EI</text>
  </threadedComment>
  <threadedComment ref="A139" dT="2019-11-20T09:48:38.34" personId="{411C92D9-59DD-4AC9-A483-CFC0495A6903}" id="{690B60CB-56F1-400A-B471-D3A37CBD7258}">
    <text>Bionär</text>
  </threadedComment>
  <threadedComment ref="Z139" dT="2021-06-03T14:43:59.13" personId="{64E70CCF-AD52-4CEC-B892-8A67A42681B4}" id="{B3CDC5D3-F3D1-47DB-9A6D-CB8ED7E7D8D8}">
    <text>från EI</text>
  </threadedComment>
  <threadedComment ref="V143" dT="2019-11-20T09:49:43.59" personId="{411C92D9-59DD-4AC9-A483-CFC0495A6903}" id="{2839475C-CC54-44A2-A5E5-284C221EAA16}">
    <text>Från EI bakåt</text>
  </threadedComment>
  <threadedComment ref="Z143" dT="2021-06-03T14:45:13.60" personId="{64E70CCF-AD52-4CEC-B892-8A67A42681B4}" id="{9152275D-F04B-4CC4-BA7D-A20A62A1B358}">
    <text>Från EI</text>
  </threadedComment>
  <threadedComment ref="W144" dT="2019-11-14T16:11:53.91" personId="{411C92D9-59DD-4AC9-A483-CFC0495A6903}" id="{AF8AD439-7D93-4865-9AB6-B040C515966D}">
    <text>Från EI bakåt</text>
  </threadedComment>
  <threadedComment ref="X151" dT="2019-11-20T09:51:58.08" personId="{411C92D9-59DD-4AC9-A483-CFC0495A6903}" id="{887CB715-8767-49A1-88BC-8108DD056632}">
    <text>Från ei tom 2013</text>
  </threadedComment>
  <threadedComment ref="Z151" dT="2021-06-03T14:45:52.89" personId="{64E70CCF-AD52-4CEC-B892-8A67A42681B4}" id="{E9973DC7-96A6-4282-826B-19C12A875C03}">
    <text>från EI</text>
  </threadedComment>
  <threadedComment ref="A154" dT="2019-11-15T14:46:29.30" personId="{411C92D9-59DD-4AC9-A483-CFC0495A6903}" id="{525ED0D1-402D-49CE-9958-49F13560B77D}">
    <text>Jämtlands Värme</text>
  </threadedComment>
  <threadedComment ref="X154" dT="2019-11-20T09:50:47.99" personId="{411C92D9-59DD-4AC9-A483-CFC0495A6903}" id="{8DA59AAE-D37A-450B-A99D-CB698375A777}">
    <text>Från EI bakåt</text>
  </threadedComment>
  <threadedComment ref="W157" dT="2019-11-14T16:14:56.79" personId="{411C92D9-59DD-4AC9-A483-CFC0495A6903}" id="{BC7A5FF9-DF00-43E5-B637-91637F5F153D}">
    <text>Från EI bakåt tom. 2012</text>
  </threadedComment>
  <threadedComment ref="A159" dT="2019-11-11T11:08:17.79" personId="{411C92D9-59DD-4AC9-A483-CFC0495A6903}" id="{FF9C3FE0-95FC-430F-884F-A32C194C00C0}">
    <text>inkl. kvarnberg from. 2018</text>
  </threadedComment>
  <threadedComment ref="Z173" dT="2021-06-03T14:47:29.29" personId="{64E70CCF-AD52-4CEC-B892-8A67A42681B4}" id="{18E1F416-0915-4A83-B557-1CD42ADFD5DA}">
    <text>från EI</text>
  </threadedComment>
  <threadedComment ref="Z175" dT="2021-06-03T14:48:30.30" personId="{64E70CCF-AD52-4CEC-B892-8A67A42681B4}" id="{5D211019-9AAF-4CD8-86B0-781493D67413}">
    <text>från EI</text>
  </threadedComment>
  <threadedComment ref="A185" dT="2019-11-20T10:01:22.88" personId="{411C92D9-59DD-4AC9-A483-CFC0495A6903}" id="{B85C3933-DB58-4EB1-900B-1B09C5129427}">
    <text>Sandviken energi</text>
  </threadedComment>
  <threadedComment ref="X212" dT="2019-11-14T16:22:23.79" personId="{411C92D9-59DD-4AC9-A483-CFC0495A6903}" id="{9A730BC9-C8B9-47E3-A722-D704342DF12A}">
    <text>VästraMälardalen rapporterat total på EI, inget i KVLN..</text>
  </threadedComment>
  <threadedComment ref="A213" dT="2022-08-18T08:55:47.12" personId="{411C92D9-59DD-4AC9-A483-CFC0495A6903}" id="{417C8FA4-E4F9-4FD4-9C87-FF22CDEFD545}">
    <text>Ljusnarberg hos EI</text>
  </threadedComment>
  <threadedComment ref="W215" dT="2019-11-14T16:23:50.01" personId="{411C92D9-59DD-4AC9-A483-CFC0495A6903}" id="{BFAD874B-CC41-4184-8C45-6AA8FFF7CF28}">
    <text>Från EI bakåt</text>
  </threadedComment>
  <threadedComment ref="A223" dT="2020-07-06T13:16:53.71" personId="{411C92D9-59DD-4AC9-A483-CFC0495A6903}" id="{D4172FDE-3590-4DE4-9C51-3B4E6EEEBD71}">
    <text>Sammanslaget med HVC Degerfors</text>
  </threadedComment>
  <threadedComment ref="A227" dT="2019-11-11T11:08:40.94" personId="{411C92D9-59DD-4AC9-A483-CFC0495A6903}" id="{1700A8E2-9989-42AE-8FEA-9BAEF62BD66F}">
    <text>Ingår i HVC Degerfors from. 2018</text>
  </threadedComment>
  <threadedComment ref="A235" dT="2019-11-14T16:28:53.06" personId="{411C92D9-59DD-4AC9-A483-CFC0495A6903}" id="{F903DE72-0F44-40E3-B017-2F9CF4194A37}">
    <text>Solör</text>
  </threadedComment>
  <threadedComment ref="X235" dT="2019-11-14T16:29:30.79" personId="{411C92D9-59DD-4AC9-A483-CFC0495A6903}" id="{D0F16536-DDCC-4991-9245-099F308EBB54}">
    <text>EI from. 2014 PGA solör</text>
  </threadedComment>
  <threadedComment ref="Z235" dT="2021-06-03T14:50:14.29" personId="{64E70CCF-AD52-4CEC-B892-8A67A42681B4}" id="{164BD532-1D2F-45D5-807D-919EC10DC5A8}">
    <text>från EI</text>
  </threadedComment>
  <threadedComment ref="A236" dT="2019-11-14T16:30:08.31" personId="{411C92D9-59DD-4AC9-A483-CFC0495A6903}" id="{CE342374-248D-4970-A5E8-94914627D8EB}">
    <text>Solör</text>
  </threadedComment>
  <threadedComment ref="X236" dT="2019-11-14T16:30:23.98" personId="{411C92D9-59DD-4AC9-A483-CFC0495A6903}" id="{0D09C314-B07E-4ACF-A0D2-8067139A150C}">
    <text>Från EI sedan 2014 pga solör</text>
  </threadedComment>
  <threadedComment ref="Z236" dT="2021-06-03T14:50:30.29" personId="{64E70CCF-AD52-4CEC-B892-8A67A42681B4}" id="{983AD02D-C4AC-472A-94D3-5588F80B97EA}">
    <text>från EI</text>
  </threadedComment>
  <threadedComment ref="X238" dT="2019-11-14T16:31:24.94" personId="{411C92D9-59DD-4AC9-A483-CFC0495A6903}" id="{305E5002-02DE-45BA-90B6-7A7CD2C44595}">
    <text>Från EI sedan 2014 pga Solör</text>
  </threadedComment>
  <threadedComment ref="Z238" dT="2021-06-03T14:52:17.66" personId="{64E70CCF-AD52-4CEC-B892-8A67A42681B4}" id="{099DCF4F-231D-4124-B8D0-FF2FE925F740}">
    <text>från EI</text>
  </threadedComment>
  <threadedComment ref="X241" dT="2019-11-14T16:33:34.99" personId="{411C92D9-59DD-4AC9-A483-CFC0495A6903}" id="{77B8EC45-9E4D-4563-937B-D33DC8BE1BE6}">
    <text>Från EI bakåt</text>
  </threadedComment>
  <threadedComment ref="X245" dT="2019-11-14T16:35:09.68" personId="{411C92D9-59DD-4AC9-A483-CFC0495A6903}" id="{A63D9398-9409-4DBB-90A0-807B1272651B}">
    <text>Från EI from 2014 pga Solör</text>
  </threadedComment>
  <threadedComment ref="Z245" dT="2021-06-03T14:52:59.96" personId="{64E70CCF-AD52-4CEC-B892-8A67A42681B4}" id="{844087B5-B392-406A-BA86-A7C44098D307}">
    <text>fråån EI</text>
  </threadedComment>
  <threadedComment ref="A247" dT="2020-07-06T13:52:41.92" personId="{411C92D9-59DD-4AC9-A483-CFC0495A6903}" id="{054DDD5A-9F9D-43F4-8146-FEE7C00BB85F}">
    <text>Lidköing+Lidköping miljö</text>
  </threadedComment>
  <threadedComment ref="X248" dT="2019-11-14T16:36:27.99" personId="{411C92D9-59DD-4AC9-A483-CFC0495A6903}" id="{30D65BCF-B131-4C0B-A501-FFF6783017A8}">
    <text>Från EI</text>
  </threadedComment>
  <threadedComment ref="S249" dT="2019-11-14T16:36:53.81" personId="{411C92D9-59DD-4AC9-A483-CFC0495A6903}" id="{6737FADF-E3E4-4AA9-B532-C7E93E39891C}">
    <text>Från EI</text>
  </threadedComment>
  <threadedComment ref="A260" dT="2020-07-06T14:02:58.83" personId="{411C92D9-59DD-4AC9-A483-CFC0495A6903}" id="{F4E24639-9E92-4F7A-91A3-509163EC8204}">
    <text>Luleå + Luleå klimat/miljö</text>
  </threadedComment>
  <threadedComment ref="U266" dT="2019-11-15T15:04:55.79" personId="{411C92D9-59DD-4AC9-A483-CFC0495A6903}" id="{0AEC150A-1D09-43E4-9935-632EC7BAFD68}">
    <text>Från EI</text>
  </threadedComment>
  <threadedComment ref="A277" dT="2019-11-15T15:07:46.12" personId="{411C92D9-59DD-4AC9-A483-CFC0495A6903}" id="{3042C502-A09E-47F4-B6F1-13A64C9B0C2B}">
    <text>Solör</text>
  </threadedComment>
  <threadedComment ref="X277" dT="2019-11-20T10:03:13.06" personId="{411C92D9-59DD-4AC9-A483-CFC0495A6903}" id="{813277B8-6402-45DA-8725-BB0735C44E5D}">
    <text>Från EI bakåt</text>
  </threadedComment>
  <threadedComment ref="Z277" dT="2021-06-03T14:54:15.52" personId="{64E70CCF-AD52-4CEC-B892-8A67A42681B4}" id="{C0D46F07-9488-4040-9B9B-1406DA967380}">
    <text>från EI</text>
  </threadedComment>
  <threadedComment ref="T281" dT="2019-11-15T15:09:16.11" personId="{411C92D9-59DD-4AC9-A483-CFC0495A6903}" id="{7B702F6E-FADB-4A83-AE0C-2CABD22265FB}">
    <text>Från EI</text>
  </threadedComment>
  <threadedComment ref="U281" dT="2019-11-15T15:09:07.95" personId="{411C92D9-59DD-4AC9-A483-CFC0495A6903}" id="{B8A97089-0491-4475-A22A-DAE5E9CE53C1}">
    <text>Från EI</text>
  </threadedComment>
  <threadedComment ref="S286" dT="2019-11-20T10:01:40.68" personId="{411C92D9-59DD-4AC9-A483-CFC0495A6903}" id="{C02E46DC-C724-432B-A244-CC92016852BD}">
    <text>Från EI</text>
  </threadedComment>
  <threadedComment ref="T286" dT="2019-11-20T10:01:34.44" personId="{411C92D9-59DD-4AC9-A483-CFC0495A6903}" id="{1A16BF1C-321C-4FC5-9B1F-40CAA1E78C41}">
    <text>Från EI</text>
  </threadedComment>
  <threadedComment ref="Z286" dT="2021-06-04T06:49:32.44" personId="{64E70CCF-AD52-4CEC-B892-8A67A42681B4}" id="{D5CBF47A-CD3C-4D47-A667-043B7C4A9C0A}">
    <text>från EI</text>
  </threadedComment>
  <threadedComment ref="A288" dT="2019-11-15T15:12:26.96" personId="{411C92D9-59DD-4AC9-A483-CFC0495A6903}" id="{A29C9D69-8006-4FFE-8F7B-6AEFB97AFB60}">
    <text>Munkfors energi rapporterar ej</text>
  </threadedComment>
  <threadedComment ref="X288" dT="2019-11-20T10:02:28.64" personId="{411C92D9-59DD-4AC9-A483-CFC0495A6903}" id="{4354D7F1-E1E9-47CD-8AF1-9CEFE196E6EB}">
    <text>Från EI tom 2012</text>
  </threadedComment>
  <threadedComment ref="Z288" dT="2021-06-04T06:50:17.13" personId="{64E70CCF-AD52-4CEC-B892-8A67A42681B4}" id="{CD1BC7A3-5144-418A-89AF-8580045714FA}">
    <text>från EI</text>
  </threadedComment>
  <threadedComment ref="X291" dT="2019-11-20T10:04:12.47" personId="{411C92D9-59DD-4AC9-A483-CFC0495A6903}" id="{F972DE6C-1617-4095-8DE3-F284FDDDFBD5}">
    <text>Från EI bakåt</text>
  </threadedComment>
  <threadedComment ref="X292" dT="2019-11-20T10:04:42.48" personId="{411C92D9-59DD-4AC9-A483-CFC0495A6903}" id="{FFB69F7D-9B3A-4A50-8B5A-1641F428DFF9}">
    <text>Från EI bakåt</text>
  </threadedComment>
  <threadedComment ref="Z292" dT="2021-06-04T06:51:10.58" personId="{64E70CCF-AD52-4CEC-B892-8A67A42681B4}" id="{3298C1AE-158D-4A09-B5CC-36DE1509C472}">
    <text>från EI</text>
  </threadedComment>
  <threadedComment ref="A294" dT="2019-11-15T15:14:37.09" personId="{411C92D9-59DD-4AC9-A483-CFC0495A6903}" id="{6BDF6F79-B6A6-41CF-ABFA-767442B14AF7}">
    <text>Ingår i stockholm</text>
  </threadedComment>
  <threadedComment ref="Z295" dT="2021-06-04T06:51:51.34" personId="{64E70CCF-AD52-4CEC-B892-8A67A42681B4}" id="{16529E9F-DDF5-4523-ACEF-8AE782202D2C}">
    <text>från EI</text>
  </threadedComment>
  <threadedComment ref="A297" dT="2022-08-18T12:32:18.03" personId="{411C92D9-59DD-4AC9-A483-CFC0495A6903}" id="{FC3F6990-90EB-4119-8CA8-279FB62AA045}">
    <text>Nordanstig fjärrvärme tre nät Bergsjö, Harmånger, Strömsbruk</text>
  </threadedComment>
  <threadedComment ref="Z298" dT="2021-06-04T06:52:39.87" personId="{64E70CCF-AD52-4CEC-B892-8A67A42681B4}" id="{8E025EAD-EBA4-43F9-93DD-F02F29CB8AEF}">
    <text>Från Ei</text>
  </threadedComment>
  <threadedComment ref="A303" dT="2019-11-15T15:18:05.98" personId="{411C92D9-59DD-4AC9-A483-CFC0495A6903}" id="{D30A9DBB-5AA0-430A-898A-DBCB435A0464}">
    <text>Bionär</text>
  </threadedComment>
  <threadedComment ref="Z303" dT="2021-06-04T06:53:13.72" personId="{64E70CCF-AD52-4CEC-B892-8A67A42681B4}" id="{ACC0C1A9-90D4-4874-B6AA-C88B122D5B1F}">
    <text>Från EI</text>
  </threadedComment>
  <threadedComment ref="A312" dT="2019-11-15T15:21:49.64" personId="{411C92D9-59DD-4AC9-A483-CFC0495A6903}" id="{6C64E182-F618-4162-97D1-94DDAEF92FF9}">
    <text>Ingår i Östersund</text>
  </threadedComment>
  <threadedComment ref="A314" dT="2019-11-15T15:24:31.13" personId="{411C92D9-59DD-4AC9-A483-CFC0495A6903}" id="{8D1D02CB-1C8E-495C-82BB-D24FE53895E0}">
    <text>Solör</text>
  </threadedComment>
  <threadedComment ref="S315" dT="2019-11-15T15:26:18.91" personId="{411C92D9-59DD-4AC9-A483-CFC0495A6903}" id="{68AB855B-00A4-46CD-A8D1-F5ACBA56D124}">
    <text>Från EI</text>
  </threadedComment>
  <threadedComment ref="A317" dT="2019-11-15T15:27:24.85" personId="{411C92D9-59DD-4AC9-A483-CFC0495A6903}" id="{9735E1E5-24F6-4848-9C56-387270C63A13}">
    <text>Bionär</text>
  </threadedComment>
  <threadedComment ref="Z317" dT="2021-06-04T09:17:35.03" personId="{64E70CCF-AD52-4CEC-B892-8A67A42681B4}" id="{CADA9114-400E-4AB9-A8DA-9DAA629300F5}">
    <text>från EI</text>
  </threadedComment>
  <threadedComment ref="A323" dT="2019-11-15T15:28:45.21" personId="{411C92D9-59DD-4AC9-A483-CFC0495A6903}" id="{D5C0878E-72C1-4632-8BD7-EF8A254F5F50}">
    <text>Fjärrvärme i Osby. slutat rapportera</text>
  </threadedComment>
  <threadedComment ref="Z323" dT="2021-06-04T09:18:54.76" personId="{64E70CCF-AD52-4CEC-B892-8A67A42681B4}" id="{90D3BF2A-57EE-4012-9E8B-FECAEBCD310B}">
    <text>från EI</text>
  </threadedComment>
  <threadedComment ref="A327" dT="2019-11-21T09:11:52.45" personId="{411C92D9-59DD-4AC9-A483-CFC0495A6903}" id="{4EDAC160-D724-40D6-9023-D53BB5593F97}">
    <text>Med Göteborg Ale tom 2018</text>
  </threadedComment>
  <threadedComment ref="Z338" dT="2021-06-04T09:19:38.98" personId="{64E70CCF-AD52-4CEC-B892-8A67A42681B4}" id="{FCB2F538-C4DD-4831-8285-6307939CABB2}">
    <text>från EI</text>
  </threadedComment>
  <threadedComment ref="Z339" dT="2021-06-04T09:20:11.17" personId="{64E70CCF-AD52-4CEC-B892-8A67A42681B4}" id="{8B5AEF22-99A3-439A-8371-6B004489F7B1}">
    <text>från EI</text>
  </threadedComment>
  <threadedComment ref="Z352" dT="2021-06-04T09:20:53.32" personId="{64E70CCF-AD52-4CEC-B892-8A67A42681B4}" id="{F4B5AE4F-55A7-46B6-8E1B-05E30B026076}">
    <text>från EI</text>
  </threadedComment>
  <threadedComment ref="X356" dT="2019-11-20T10:21:56.39" personId="{411C92D9-59DD-4AC9-A483-CFC0495A6903}" id="{2CD8FA0B-1AC3-4886-9705-FA2994D0C12E}">
    <text>Från EI bakåt</text>
  </threadedComment>
  <threadedComment ref="Z356" dT="2021-06-04T09:21:53.91" personId="{64E70CCF-AD52-4CEC-B892-8A67A42681B4}" id="{66473652-EEC7-4CFC-9685-6862D2DB1697}">
    <text>från EI</text>
  </threadedComment>
  <threadedComment ref="A361" dT="2019-11-19T14:25:55.51" personId="{411C92D9-59DD-4AC9-A483-CFC0495A6903}" id="{ACE6E57C-7780-4929-AC6E-D6E465F56B65}">
    <text>Bionär</text>
  </threadedComment>
  <threadedComment ref="A384" dT="2019-11-19T14:32:26.06" personId="{411C92D9-59DD-4AC9-A483-CFC0495A6903}" id="{124AAA9A-71A1-48BF-BC29-2614C286D734}">
    <text>Potentiellt Rindi</text>
  </threadedComment>
  <threadedComment ref="A384" dT="2019-11-20T10:30:51.25" personId="{411C92D9-59DD-4AC9-A483-CFC0495A6903}" id="{CC93C0A4-0213-45AF-B000-F83376821F74}" parentId="{124AAA9A-71A1-48BF-BC29-2614C286D734}">
    <text>Har antaagligen slagits ihop med Karskoga 2016</text>
  </threadedComment>
  <threadedComment ref="B384" dT="2019-11-19T14:32:26.06" personId="{411C92D9-59DD-4AC9-A483-CFC0495A6903}" id="{DF737F6F-F6F4-47BB-82AE-2AD9590A7F19}">
    <text>Potentiellt Rindi</text>
  </threadedComment>
  <threadedComment ref="B384" dT="2019-11-20T10:30:51.25" personId="{411C92D9-59DD-4AC9-A483-CFC0495A6903}" id="{A0509ADC-E663-42B0-8D57-53A75C193E47}" parentId="{DF737F6F-F6F4-47BB-82AE-2AD9590A7F19}">
    <text>Har antaagligen slagits ihop med Karskoga 2016</text>
  </threadedComment>
  <threadedComment ref="A398" dT="2019-11-21T09:15:41.83" personId="{411C92D9-59DD-4AC9-A483-CFC0495A6903}" id="{6340B1D6-D2F6-4965-8167-716F3A6C75CD}">
    <text>Inklusive övriga nät</text>
  </threadedComment>
  <threadedComment ref="Z399" dT="2021-06-04T09:22:51.60" personId="{64E70CCF-AD52-4CEC-B892-8A67A42681B4}" id="{B62B8125-7F08-40D3-9C60-1C74E79FD0E2}">
    <text>från EI</text>
  </threadedComment>
  <threadedComment ref="X402" dT="2019-11-19T14:42:06.95" personId="{411C92D9-59DD-4AC9-A483-CFC0495A6903}" id="{4E741BFD-6B98-4E98-89AC-8B2B236F0D4C}">
    <text>Från EI bakåt</text>
  </threadedComment>
  <threadedComment ref="Z402" dT="2021-06-04T09:23:19.38" personId="{64E70CCF-AD52-4CEC-B892-8A67A42681B4}" id="{FF0198CA-B254-42B3-BDBE-52E7CF7C0E56}">
    <text>från EI</text>
  </threadedComment>
  <threadedComment ref="X404" dT="2019-11-19T14:45:24.41" personId="{411C92D9-59DD-4AC9-A483-CFC0495A6903}" id="{7EA6B3CB-AA82-4EF0-BED8-44D9B15E9442}">
    <text>Från EI bakåt</text>
  </threadedComment>
  <threadedComment ref="Z404" dT="2021-06-04T09:23:45.56" personId="{64E70CCF-AD52-4CEC-B892-8A67A42681B4}" id="{005AFAB9-F6BD-4503-BC64-53D02F2D1A00}">
    <text>från EI</text>
  </threadedComment>
  <threadedComment ref="Z405" dT="2022-08-18T11:56:01.18" personId="{411C92D9-59DD-4AC9-A483-CFC0495A6903}" id="{B7D85E73-E1C4-4797-9927-1C489BBDDD8A}">
    <text>EI Svenljunga korrelerar ej med rapporterade Svenljnga, därför har dessa lämnats tomma då vi inte vet vad mer de inkluderat</text>
  </threadedComment>
  <threadedComment ref="X414" dT="2019-11-19T14:48:02.13" personId="{411C92D9-59DD-4AC9-A483-CFC0495A6903}" id="{FF63540D-39D2-4FDD-A8C7-1CE43E61FF51}">
    <text>Från EI</text>
  </threadedComment>
  <threadedComment ref="Z414" dT="2021-06-04T09:24:50.36" personId="{64E70CCF-AD52-4CEC-B892-8A67A42681B4}" id="{C3BE63A1-9D92-449A-B1B6-B7E9028E60C6}">
    <text>från EI</text>
  </threadedComment>
  <threadedComment ref="W423" dT="2019-11-19T14:52:17.86" personId="{411C92D9-59DD-4AC9-A483-CFC0495A6903}" id="{4BEE4F42-5B4D-4C48-8322-589485D977FD}">
    <text>Från EI bakåt</text>
  </threadedComment>
  <threadedComment ref="W425" dT="2019-11-22T15:43:29.05" personId="{411C92D9-59DD-4AC9-A483-CFC0495A6903}" id="{5364F260-9DBC-45DB-A1CD-874F324C2704}">
    <text>Från EI bakåt</text>
  </threadedComment>
  <threadedComment ref="Y425" dT="2019-11-22T15:45:47.61" personId="{411C92D9-59DD-4AC9-A483-CFC0495A6903}" id="{7F00077E-6764-4563-A4A9-95B66F8102B4}">
    <text>Sålda värmen (Neova) gått till Tibro Kommun, ej medlemmar.</text>
  </threadedComment>
  <threadedComment ref="Z433" dT="2021-06-04T09:25:23.41" personId="{64E70CCF-AD52-4CEC-B892-8A67A42681B4}" id="{47C9D7DD-F6B3-4ED2-9660-39E72922BCEB}">
    <text>från EI</text>
  </threadedComment>
  <threadedComment ref="Y434" dT="2020-07-06T13:22:33.52" personId="{411C92D9-59DD-4AC9-A483-CFC0495A6903}" id="{E03165BA-0AB4-4A7C-877D-D390DB447073}">
    <text>Både Torsby kommun och värmevärden</text>
  </threadedComment>
  <threadedComment ref="A435" dT="2019-11-14T15:56:00.85" personId="{411C92D9-59DD-4AC9-A483-CFC0495A6903}" id="{65C3380E-BB97-43A8-9A24-182C3F4B6602}">
    <text>Ägs från 2014 av Bionär</text>
  </threadedComment>
  <threadedComment ref="Z454" dT="2021-06-04T09:27:08.12" personId="{64E70CCF-AD52-4CEC-B892-8A67A42681B4}" id="{16B7951C-1F1B-4E6A-9F95-79295C65A9F4}">
    <text>från EI</text>
  </threadedComment>
  <threadedComment ref="A459" dT="2019-11-19T15:12:25.76" personId="{411C92D9-59DD-4AC9-A483-CFC0495A6903}" id="{796B249C-5F00-4A20-AE4A-BAA712D3092F}">
    <text>Tillhör gimmersta</text>
  </threadedComment>
  <threadedComment ref="Z459" dT="2021-06-04T09:28:11.13" personId="{64E70CCF-AD52-4CEC-B892-8A67A42681B4}" id="{F6422DAC-B933-4FCF-9E7F-28B05D25CAC5}">
    <text>från EI</text>
  </threadedComment>
  <threadedComment ref="S466" dT="2019-11-20T07:54:39.97" personId="{411C92D9-59DD-4AC9-A483-CFC0495A6903}" id="{FFD2862E-F464-4461-A6EE-B79897AFBC64}">
    <text>Från EI</text>
  </threadedComment>
  <threadedComment ref="X470" dT="2019-11-19T15:15:35.54" personId="{411C92D9-59DD-4AC9-A483-CFC0495A6903}" id="{FFCA160A-FFF1-412F-8196-C0F601602916}">
    <text>Från EI tom 2013</text>
  </threadedComment>
  <threadedComment ref="Z473" dT="2021-06-04T09:29:08.76" personId="{64E70CCF-AD52-4CEC-B892-8A67A42681B4}" id="{8281B7F9-F2CB-4FF1-8992-F648144E1CB8}">
    <text>från EI</text>
  </threadedComment>
  <threadedComment ref="S475" dT="2019-11-19T15:18:07.83" personId="{411C92D9-59DD-4AC9-A483-CFC0495A6903}" id="{61DC7745-E458-4524-9156-D51459631537}">
    <text>Från EI</text>
  </threadedComment>
  <threadedComment ref="V477" dT="2019-11-19T15:23:30.12" personId="{411C92D9-59DD-4AC9-A483-CFC0495A6903}" id="{E81B5B4D-CC00-47A8-8127-41C305CAF514}">
    <text>Från EI tom. 2012</text>
  </threadedComment>
  <threadedComment ref="AA481" dT="2022-08-18T12:05:42.43" personId="{411C92D9-59DD-4AC9-A483-CFC0495A6903}" id="{C8DF2210-48B9-41F1-9560-E057D69DA195}">
    <text>Stämmer ej överrens med EI framåt.. Något räknas olika hos EI vs oss.</text>
  </threadedComment>
  <threadedComment ref="A484" dT="2019-11-19T15:26:16.36" personId="{411C92D9-59DD-4AC9-A483-CFC0495A6903}" id="{1C3C96A1-3B04-4437-B1A2-3BDE495904E1}">
    <text>Bionär</text>
  </threadedComment>
  <threadedComment ref="Z484" dT="2021-06-04T09:30:18.97" personId="{64E70CCF-AD52-4CEC-B892-8A67A42681B4}" id="{D719DA50-7AD8-454A-BC16-4552542DC7EA}">
    <text>från EI</text>
  </threadedComment>
  <threadedComment ref="X485" dT="2019-11-19T15:28:26.88" personId="{411C92D9-59DD-4AC9-A483-CFC0495A6903}" id="{5CD10562-D737-43C5-A0EA-19ECAF953394}">
    <text>Från EI tom 2013</text>
  </threadedComment>
  <threadedComment ref="Z485" dT="2021-06-04T09:30:51.09" personId="{64E70CCF-AD52-4CEC-B892-8A67A42681B4}" id="{58F2AB27-1682-4791-BB3A-F77A75CA7B31}">
    <text>från EI</text>
  </threadedComment>
  <threadedComment ref="A487" dT="2019-11-21T09:30:08.76" personId="{411C92D9-59DD-4AC9-A483-CFC0495A6903}" id="{0E6FD902-35BE-48F4-96CE-49AA3073DB84}">
    <text>Inkluderar Bor och LAnna från 2018</text>
  </threadedComment>
  <threadedComment ref="X503" dT="2019-11-20T07:56:14.80" personId="{411C92D9-59DD-4AC9-A483-CFC0495A6903}" id="{7ADDB03C-7203-4E25-8745-21208480EBD3}">
    <text>Från EI bakåt</text>
  </threadedComment>
  <threadedComment ref="Z503" dT="2021-06-04T09:31:27.50" personId="{64E70CCF-AD52-4CEC-B892-8A67A42681B4}" id="{103C76C6-3F7D-4BDE-AD30-C73C5D6E315F}">
    <text>från EI</text>
  </threadedComment>
  <threadedComment ref="W504" dT="2019-11-19T15:35:18.47" personId="{411C92D9-59DD-4AC9-A483-CFC0495A6903}" id="{30860199-1657-4561-88E7-074504C7DE12}">
    <text>EI tom. 2012</text>
  </threadedComment>
  <threadedComment ref="U508" dT="2019-11-20T10:34:18.75" personId="{411C92D9-59DD-4AC9-A483-CFC0495A6903}" id="{A8A61354-750B-434D-A138-8229769C18CE}">
    <text>Från EI Rindi</text>
  </threadedComment>
  <threadedComment ref="X508" dT="2019-11-20T10:34:30.08" personId="{411C92D9-59DD-4AC9-A483-CFC0495A6903}" id="{0619BFB0-87C6-459A-BDBB-E6B03736866B}">
    <text>Från EI Solör</text>
  </threadedComment>
  <threadedComment ref="Z508" dT="2021-06-04T09:32:04.62" personId="{64E70CCF-AD52-4CEC-B892-8A67A42681B4}" id="{8CC472E8-4672-48EE-B55B-C7940906E9D2}">
    <text>stämmer med EI</text>
  </threadedComment>
  <threadedComment ref="A509" dT="2019-11-19T15:37:51.00" personId="{411C92D9-59DD-4AC9-A483-CFC0495A6903}" id="{4A8BBE32-5B48-4637-8157-DC53A2605059}">
    <text>Bionär</text>
  </threadedComment>
  <threadedComment ref="X509" dT="2019-11-19T15:37:36.70" personId="{411C92D9-59DD-4AC9-A483-CFC0495A6903}" id="{7596F97D-FC2E-4B01-875C-3F04E8C38A1D}">
    <text>Från EI</text>
  </threadedComment>
  <threadedComment ref="Z509" dT="2021-06-04T09:32:36.89" personId="{64E70CCF-AD52-4CEC-B892-8A67A42681B4}" id="{761F38BB-6761-4EAB-B9AB-42FA1AB3F07A}">
    <text>från EI</text>
  </threadedComment>
  <threadedComment ref="A510" dT="2019-11-19T15:40:30.10" personId="{411C92D9-59DD-4AC9-A483-CFC0495A6903}" id="{73915AC5-91E7-4457-8AC9-3CDBED91A85F}">
    <text>Älvsbyns Energi</text>
  </threadedComment>
  <threadedComment ref="X510" dT="2019-11-19T15:40:07.33" personId="{411C92D9-59DD-4AC9-A483-CFC0495A6903}" id="{A3814C72-F0BD-402D-825A-CF8F71693089}">
    <text>Från EI bakåt</text>
  </threadedComment>
  <threadedComment ref="Z510" dT="2021-06-04T09:33:10.52" personId="{64E70CCF-AD52-4CEC-B892-8A67A42681B4}" id="{E99302DB-45F9-4A9D-BA5E-5FB18B39F34D}">
    <text>Från EI</text>
  </threadedComment>
  <threadedComment ref="R518" dT="2019-11-29T18:06:36.43" personId="{411C92D9-59DD-4AC9-A483-CFC0495A6903}" id="{D9FEB8FE-665B-4328-817F-364DAB567A9A}">
    <text>Schablonmässigt fördelad bakåt enligt % i KVLN 2018 mot total för Gimo Östhammar, österbybruk från  EI.</text>
  </threadedComment>
  <threadedComment ref="W518" dT="2019-11-20T09:07:06.85" personId="{411C92D9-59DD-4AC9-A483-CFC0495A6903}" id="{CF06A1B7-7AAA-479D-88D7-52217E10F792}">
    <text>Schablonmässigt fördelad bakåt enligt % i KVLN 2018 mot total för Gimo Östhammar, österbybruk från  EI.</text>
  </threadedComment>
  <threadedComment ref="A521" dT="2019-11-20T07:59:34.68" personId="{411C92D9-59DD-4AC9-A483-CFC0495A6903}" id="{73EF6943-7699-4EA3-8536-5E022C387CC9}">
    <text>Tidigare Östhammar Frösåker</text>
  </threadedComment>
  <threadedComment ref="R521" dT="2019-11-29T18:06:11.40" personId="{411C92D9-59DD-4AC9-A483-CFC0495A6903}" id="{803BF268-F662-436D-9FA4-2864A48B45B7}">
    <text>Schablonmässigt fördelad bakåt enligt % i KVLN 2018 mot total för Gimo Östhammar, österbybruk från  EI.</text>
  </threadedComment>
  <threadedComment ref="W521" dT="2019-11-20T09:06:37.52" personId="{411C92D9-59DD-4AC9-A483-CFC0495A6903}" id="{B8B5B002-2B80-4703-B64F-832B0247EF9C}">
    <text>Schablonmässigt fördelad bakåt enligt % i KVLN 2018 mot total för Gimo Östhammar, österbybruk från  EI.</text>
  </threadedComment>
  <threadedComment ref="Z522" dT="2021-06-04T09:33:36.94" personId="{64E70CCF-AD52-4CEC-B892-8A67A42681B4}" id="{A442B86C-617F-4CE7-B17A-7EA4BCE5D934}">
    <text>från EI</text>
  </threadedComment>
  <threadedComment ref="Z523" dT="2021-06-04T09:34:41.32" personId="{64E70CCF-AD52-4CEC-B892-8A67A42681B4}" id="{49A2D915-6674-4488-991F-BCFDA1D30746}">
    <text>stämmer med EI</text>
  </threadedComment>
  <threadedComment ref="T526" dT="2019-11-27T09:23:28.63" personId="{411C92D9-59DD-4AC9-A483-CFC0495A6903}" id="{F809AA22-0EFB-4B4D-A348-B09A1E4340A0}">
    <text>SCB</text>
  </threadedComment>
  <threadedComment ref="U526" dT="2019-11-27T09:23:23.26" personId="{411C92D9-59DD-4AC9-A483-CFC0495A6903}" id="{25FBA91D-449A-46EA-87F4-4D5643E201A8}">
    <text>SCB</text>
  </threadedComment>
  <threadedComment ref="V526" dT="2019-06-19T09:58:55.77" personId="{411C92D9-59DD-4AC9-A483-CFC0495A6903}" id="{8D33E72E-ECF2-4626-AE4E-708B273A2C3E}">
    <text>Från SCB</text>
  </threadedComment>
  <threadedComment ref="W526" dT="2019-06-19T09:59:05.55" personId="{411C92D9-59DD-4AC9-A483-CFC0495A6903}" id="{072683B2-6908-4F9F-8100-6A8B5BFA1E29}">
    <text>Från SCB</text>
  </threadedComment>
  <threadedComment ref="X526" dT="2019-06-19T09:59:21.30" personId="{411C92D9-59DD-4AC9-A483-CFC0495A6903}" id="{EA6C6F4A-3E97-44AB-99A8-D37E83DABC2A}">
    <text>Från SCB</text>
  </threadedComment>
  <threadedComment ref="Y526" dT="2019-11-27T09:47:17.31" personId="{411C92D9-59DD-4AC9-A483-CFC0495A6903}" id="{A67CFD26-EDDB-439F-96DB-BBDBC58524D2}">
    <text>SCB</text>
  </threadedComment>
  <threadedComment ref="Z526" dT="2021-06-03T12:49:54.67" personId="{64E70CCF-AD52-4CEC-B892-8A67A42681B4}" id="{1E00BDDF-7481-44E6-8808-C6D94DEC0424}">
    <text>SCB, 2020-11-03</text>
  </threadedComment>
</ThreadedComments>
</file>

<file path=xl/threadedComments/threadedComment2.xml><?xml version="1.0" encoding="utf-8"?>
<ThreadedComments xmlns="http://schemas.microsoft.com/office/spreadsheetml/2018/threadedcomments" xmlns:x="http://schemas.openxmlformats.org/spreadsheetml/2006/main">
  <threadedComment ref="H484" dT="2019-11-19T15:26:16.36" personId="{411C92D9-59DD-4AC9-A483-CFC0495A6903}" id="{B4FFD54B-27A5-45F1-B0C1-620FB046F7BE}">
    <text>Bionär</text>
  </threadedComment>
  <threadedComment ref="H487" dT="2019-11-21T09:30:08.76" personId="{411C92D9-59DD-4AC9-A483-CFC0495A6903}" id="{4D339CA5-D859-47CD-A2CC-9582DB48097F}">
    <text>Inkluderar Bor och LAnna från 2018</text>
  </threadedComment>
  <threadedComment ref="H509" dT="2019-11-19T15:37:51.00" personId="{411C92D9-59DD-4AC9-A483-CFC0495A6903}" id="{E8A47BF9-DAA4-41BB-90F6-8B141FB5AAEE}">
    <text>Bionär</text>
  </threadedComment>
  <threadedComment ref="H510" dT="2019-11-19T15:40:30.10" personId="{411C92D9-59DD-4AC9-A483-CFC0495A6903}" id="{E8535F0B-6D91-42C4-A7CB-E100F46F6A3E}">
    <text>Älvsbyns Energi</text>
  </threadedComment>
  <threadedComment ref="H521" dT="2019-11-20T07:59:34.68" personId="{411C92D9-59DD-4AC9-A483-CFC0495A6903}" id="{D076CE63-E240-4270-B0B4-D1B1744D074F}">
    <text>Tidigare Östhammar Frösåker</text>
  </threadedComment>
</ThreadedComments>
</file>

<file path=xl/threadedComments/threadedComment3.xml><?xml version="1.0" encoding="utf-8"?>
<ThreadedComments xmlns="http://schemas.microsoft.com/office/spreadsheetml/2018/threadedcomments" xmlns:x="http://schemas.openxmlformats.org/spreadsheetml/2006/main">
  <threadedComment ref="E167" dT="2019-11-11T11:08:17.79" personId="{411C92D9-59DD-4AC9-A483-CFC0495A6903}" id="{2BE81D2A-DEBE-4967-9505-DF9176E9E449}">
    <text>inkl. kvarnberg from. 2018</text>
  </threadedComment>
  <threadedComment ref="E235" dT="2019-11-11T11:08:40.94" personId="{411C92D9-59DD-4AC9-A483-CFC0495A6903}" id="{A4D88032-EAED-4740-8E1B-2716CB6FD469}">
    <text>Ingår i HVC Degerfors from. 2018</text>
  </threadedComment>
  <threadedComment ref="A362" dT="2019-11-15T15:36:10.77" personId="{411C92D9-59DD-4AC9-A483-CFC0495A6903}" id="{352F4ECE-727B-4875-B8B6-69BC521C8DDE}">
    <text>Rindi</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table" Target="../tables/table2.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table" Target="../tables/table3.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table" Target="../tables/table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table" Target="../tables/table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table" Target="../tables/table8.xml"/><Relationship Id="rId1" Type="http://schemas.openxmlformats.org/officeDocument/2006/relationships/vmlDrawing" Target="../drawings/vmlDrawing14.vml"/><Relationship Id="rId4" Type="http://schemas.microsoft.com/office/2017/10/relationships/threadedComment" Target="../threadedComments/threadedComment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2541-909F-48F9-9BB9-9DD2187C323D}">
  <sheetPr codeName="Blad15"/>
  <dimension ref="A2:A6"/>
  <sheetViews>
    <sheetView tabSelected="1" workbookViewId="0">
      <selection activeCell="S17" sqref="S17"/>
    </sheetView>
  </sheetViews>
  <sheetFormatPr defaultColWidth="9.140625" defaultRowHeight="15" x14ac:dyDescent="0.25"/>
  <cols>
    <col min="1" max="1" width="110" style="32" customWidth="1"/>
    <col min="2" max="16384" width="9.140625" style="32"/>
  </cols>
  <sheetData>
    <row r="2" spans="1:1" ht="45" x14ac:dyDescent="0.25">
      <c r="A2" s="98" t="s">
        <v>1073</v>
      </c>
    </row>
    <row r="3" spans="1:1" x14ac:dyDescent="0.25">
      <c r="A3" s="98"/>
    </row>
    <row r="4" spans="1:1" x14ac:dyDescent="0.25">
      <c r="A4" s="98" t="s">
        <v>1078</v>
      </c>
    </row>
    <row r="6" spans="1:1" x14ac:dyDescent="0.25">
      <c r="A6" s="32" t="s">
        <v>1070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3"/>
  <dimension ref="A1:XEZ569"/>
  <sheetViews>
    <sheetView zoomScale="70" zoomScaleNormal="70" workbookViewId="0">
      <pane xSplit="2" ySplit="3" topLeftCell="C5" activePane="bottomRight" state="frozen"/>
      <selection activeCell="O22" sqref="O22"/>
      <selection pane="topRight" activeCell="O22" sqref="O22"/>
      <selection pane="bottomLeft" activeCell="O22" sqref="O22"/>
      <selection pane="bottomRight" activeCell="O22" sqref="O22"/>
    </sheetView>
  </sheetViews>
  <sheetFormatPr defaultRowHeight="15" x14ac:dyDescent="0.25"/>
  <cols>
    <col min="1" max="1" width="32.140625" bestFit="1" customWidth="1"/>
    <col min="2" max="2" width="26.42578125" customWidth="1"/>
    <col min="3" max="4" width="10.28515625" bestFit="1" customWidth="1"/>
    <col min="5" max="5" width="10.140625" bestFit="1" customWidth="1"/>
    <col min="6" max="9" width="10.28515625" bestFit="1" customWidth="1"/>
    <col min="10" max="15" width="10.42578125" bestFit="1" customWidth="1"/>
    <col min="16" max="16" width="10.5703125" bestFit="1" customWidth="1"/>
    <col min="17" max="17" width="10.42578125" bestFit="1" customWidth="1"/>
    <col min="18" max="18" width="10.5703125" bestFit="1" customWidth="1"/>
    <col min="19" max="19" width="12" bestFit="1" customWidth="1"/>
    <col min="20" max="21" width="10.42578125" bestFit="1" customWidth="1"/>
    <col min="22" max="22" width="11.28515625" customWidth="1"/>
    <col min="23" max="24" width="10.42578125" bestFit="1" customWidth="1"/>
    <col min="25" max="25" width="10.85546875" bestFit="1" customWidth="1"/>
    <col min="26" max="26" width="10.42578125" bestFit="1" customWidth="1"/>
    <col min="27" max="27" width="9.5703125" bestFit="1" customWidth="1"/>
    <col min="28" max="28" width="11" bestFit="1" customWidth="1"/>
    <col min="29" max="29" width="10.28515625" customWidth="1"/>
    <col min="30" max="30" width="11.7109375" bestFit="1" customWidth="1"/>
    <col min="31" max="31" width="10.140625" bestFit="1" customWidth="1"/>
    <col min="33" max="33" width="11.7109375" bestFit="1" customWidth="1"/>
    <col min="34" max="34" width="12.7109375" bestFit="1" customWidth="1"/>
  </cols>
  <sheetData>
    <row r="1" spans="1:34" x14ac:dyDescent="0.25">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row>
    <row r="2" spans="1:34" s="1" customFormat="1" x14ac:dyDescent="0.25">
      <c r="A2" s="1" t="s">
        <v>544</v>
      </c>
      <c r="B2" s="1" t="s">
        <v>918</v>
      </c>
      <c r="C2" s="1">
        <v>1996</v>
      </c>
      <c r="D2" s="1">
        <v>1997</v>
      </c>
      <c r="E2" s="1">
        <v>1998</v>
      </c>
      <c r="F2" s="1">
        <v>1999</v>
      </c>
      <c r="G2" s="1">
        <v>2000</v>
      </c>
      <c r="H2" s="1">
        <v>2001</v>
      </c>
      <c r="I2" s="1">
        <v>2002</v>
      </c>
      <c r="J2" s="1">
        <v>2003</v>
      </c>
      <c r="K2" s="1">
        <v>2004</v>
      </c>
      <c r="L2" s="1">
        <v>2005</v>
      </c>
      <c r="M2" s="1">
        <v>2006</v>
      </c>
      <c r="N2" s="1">
        <v>2007</v>
      </c>
      <c r="O2" s="1">
        <v>2008</v>
      </c>
      <c r="P2" s="1">
        <v>2009</v>
      </c>
      <c r="Q2" s="1">
        <v>2010</v>
      </c>
      <c r="R2" s="1">
        <v>2011</v>
      </c>
      <c r="S2" s="1">
        <v>2012</v>
      </c>
      <c r="T2" s="1">
        <v>2013</v>
      </c>
      <c r="U2" s="1">
        <v>2014</v>
      </c>
      <c r="V2" s="1">
        <v>2015</v>
      </c>
      <c r="W2" s="1">
        <v>2016</v>
      </c>
      <c r="X2" s="1">
        <v>2017</v>
      </c>
      <c r="Y2" s="1">
        <v>2018</v>
      </c>
      <c r="Z2" s="1">
        <v>2019</v>
      </c>
      <c r="AA2" s="1">
        <v>2020</v>
      </c>
      <c r="AB2" s="1">
        <v>2021</v>
      </c>
      <c r="AC2" s="1">
        <v>2022</v>
      </c>
    </row>
    <row r="3" spans="1:34" s="1" customFormat="1" x14ac:dyDescent="0.25">
      <c r="A3" t="s">
        <v>484</v>
      </c>
      <c r="B3"/>
      <c r="C3" s="12">
        <f t="shared" ref="C3:AA3" si="0">C526</f>
        <v>44174</v>
      </c>
      <c r="D3" s="12">
        <f t="shared" si="0"/>
        <v>40975</v>
      </c>
      <c r="E3" s="12">
        <f t="shared" si="0"/>
        <v>43012</v>
      </c>
      <c r="F3" s="12">
        <f t="shared" si="0"/>
        <v>43278</v>
      </c>
      <c r="G3" s="12">
        <f t="shared" si="0"/>
        <v>41425</v>
      </c>
      <c r="H3" s="12">
        <f t="shared" si="0"/>
        <v>46580</v>
      </c>
      <c r="I3" s="12">
        <f t="shared" si="0"/>
        <v>47008</v>
      </c>
      <c r="J3" s="12">
        <f t="shared" si="0"/>
        <v>47468.061000000002</v>
      </c>
      <c r="K3" s="12">
        <f t="shared" si="0"/>
        <v>47768</v>
      </c>
      <c r="L3" s="12">
        <f t="shared" si="0"/>
        <v>48543</v>
      </c>
      <c r="M3" s="12">
        <f t="shared" si="0"/>
        <v>47460.082920000059</v>
      </c>
      <c r="N3" s="12">
        <f t="shared" si="0"/>
        <v>51201.502640000028</v>
      </c>
      <c r="O3" s="12">
        <f t="shared" si="0"/>
        <v>51359.540839000074</v>
      </c>
      <c r="P3" s="12">
        <f t="shared" si="0"/>
        <v>53332.048200000041</v>
      </c>
      <c r="Q3" s="12">
        <f t="shared" si="0"/>
        <v>60151</v>
      </c>
      <c r="R3" s="12">
        <f t="shared" si="0"/>
        <v>50631.317377999978</v>
      </c>
      <c r="S3" s="12">
        <f t="shared" si="0"/>
        <v>53003.346991999984</v>
      </c>
      <c r="T3" s="12">
        <f t="shared" si="0"/>
        <v>51800</v>
      </c>
      <c r="U3" s="12">
        <f t="shared" si="0"/>
        <v>48500</v>
      </c>
      <c r="V3" s="12">
        <f t="shared" si="0"/>
        <v>48800</v>
      </c>
      <c r="W3" s="12">
        <f t="shared" si="0"/>
        <v>51400</v>
      </c>
      <c r="X3" s="12">
        <f t="shared" si="0"/>
        <v>50775</v>
      </c>
      <c r="Y3" s="12">
        <f t="shared" si="0"/>
        <v>50951</v>
      </c>
      <c r="Z3" s="12">
        <f t="shared" si="0"/>
        <v>50237.686000000002</v>
      </c>
      <c r="AA3" s="12">
        <f t="shared" si="0"/>
        <v>45874.21977839122</v>
      </c>
      <c r="AB3" s="12">
        <f>AB526</f>
        <v>53334</v>
      </c>
      <c r="AC3" s="12">
        <f>AC526</f>
        <v>49065</v>
      </c>
      <c r="AG3" s="1" t="s">
        <v>1216</v>
      </c>
      <c r="AH3" s="1" t="s">
        <v>1165</v>
      </c>
    </row>
    <row r="4" spans="1:34" x14ac:dyDescent="0.25">
      <c r="A4" t="s">
        <v>95</v>
      </c>
      <c r="B4" t="str">
        <f>VLOOKUP(A4,'Korrigerade leveranser GD'!$A$4:$B$482,2,FALSE)</f>
        <v>Edsbyn</v>
      </c>
      <c r="C4" s="10">
        <v>2</v>
      </c>
      <c r="D4" s="10">
        <v>12.83</v>
      </c>
      <c r="E4" s="10">
        <v>15</v>
      </c>
      <c r="F4" s="10">
        <v>14</v>
      </c>
      <c r="G4" s="10">
        <v>14</v>
      </c>
      <c r="H4" s="10">
        <v>15</v>
      </c>
      <c r="I4" s="10">
        <v>14</v>
      </c>
      <c r="J4" s="10">
        <v>15</v>
      </c>
      <c r="K4" s="10">
        <v>12.580778748031657</v>
      </c>
      <c r="L4" s="10">
        <v>12.580778748031657</v>
      </c>
      <c r="M4" s="10">
        <v>13.244</v>
      </c>
      <c r="N4" s="10">
        <v>13.771000000000001</v>
      </c>
      <c r="O4" s="10">
        <v>15.052</v>
      </c>
      <c r="P4" s="10">
        <v>18.010000000000002</v>
      </c>
      <c r="Q4" s="10">
        <v>20.454999999999998</v>
      </c>
      <c r="R4" s="10">
        <v>16.683</v>
      </c>
      <c r="S4" s="10">
        <f>IFERROR(VLOOKUP('Leveranser per nät'!A4,'lev 2012'!$B$2:$E$445,4,FALSE),"")</f>
        <v>18.53</v>
      </c>
      <c r="T4" s="10">
        <f>IFERROR(VLOOKUP('Leveranser per nät'!A4,'lev 2013'!$B$2:$E$445,4,FALSE),"")</f>
        <v>16.774000000000001</v>
      </c>
      <c r="U4" s="10">
        <f>IFERROR(VLOOKUP('Leveranser per nät'!A4,'lev 2014'!$B$2:$E$432,4,FALSE),"")</f>
        <v>15.928000000000001</v>
      </c>
      <c r="V4" s="10">
        <f>IFERROR(INDEX(Levererat_2015[Leveranser till eget nät],MATCH($A4,Levererat_2015[Indexnamn],0)),"")</f>
        <v>17.48</v>
      </c>
      <c r="W4" s="10">
        <f>IFERROR(INDEX(Levererat_2016[Leveranser till eget nät],MATCH($A4,Levererat_2016[Indexnamn],0)),"")</f>
        <v>18.303000000000001</v>
      </c>
      <c r="X4" s="10">
        <f>IFERROR(INDEX(Tabell4[Leveranser till eget nät],MATCH('Leveranser per nät'!A4,Tabell4[[Finns i listan ]],0)),"")</f>
        <v>19.661000000000001</v>
      </c>
      <c r="Y4" s="10">
        <f>IFERROR(INDEX(Tabell6[Kolumn1],MATCH($A4,Tabell6[Indexnmamn],0)),"")</f>
        <v>18.7</v>
      </c>
      <c r="Z4" s="10">
        <v>17.913</v>
      </c>
      <c r="AA4" s="10">
        <v>15.295</v>
      </c>
      <c r="AB4" s="10">
        <f>VLOOKUP(A4,Tabell9[[Indexnamn]:[Kolumn1]],3,FALSE)</f>
        <v>17.725000000000001</v>
      </c>
      <c r="AC4" s="10">
        <f>VLOOKUP($A4,'Lev 2022'!$K$2:$L$474,2,FALSE)</f>
        <v>16.3</v>
      </c>
      <c r="AG4" s="2">
        <f>AC4-AB4</f>
        <v>-1.4250000000000007</v>
      </c>
      <c r="AH4" s="103">
        <f>AG4/AB4</f>
        <v>-8.0394922425952073E-2</v>
      </c>
    </row>
    <row r="5" spans="1:34" s="65" customFormat="1" x14ac:dyDescent="0.25">
      <c r="A5" s="67" t="s">
        <v>382</v>
      </c>
      <c r="B5" s="65" t="s">
        <v>163</v>
      </c>
      <c r="C5" s="68"/>
      <c r="D5" s="68"/>
      <c r="E5" s="68"/>
      <c r="F5" s="68"/>
      <c r="G5" s="68"/>
      <c r="H5" s="68"/>
      <c r="I5" s="68"/>
      <c r="J5" s="68"/>
      <c r="K5" s="68"/>
      <c r="L5" s="68"/>
      <c r="M5" s="68"/>
      <c r="N5" s="68"/>
      <c r="O5" s="68">
        <v>0</v>
      </c>
      <c r="P5" s="68">
        <v>1</v>
      </c>
      <c r="Q5" s="68">
        <v>0.91</v>
      </c>
      <c r="R5" s="68">
        <v>0</v>
      </c>
      <c r="S5" s="68" t="str">
        <f>IFERROR(VLOOKUP('Leveranser per nät'!A5,'lev 2012'!$B$2:$E$445,4,FALSE),"")</f>
        <v/>
      </c>
      <c r="T5" s="68" t="str">
        <f>IFERROR(VLOOKUP('Leveranser per nät'!A5,'lev 2013'!$B$2:$E$445,4,FALSE),"")</f>
        <v/>
      </c>
      <c r="U5" s="68" t="str">
        <f>IFERROR(VLOOKUP('Leveranser per nät'!A5,'lev 2014'!$B$2:$E$432,4,FALSE),"")</f>
        <v/>
      </c>
      <c r="V5" s="68" t="str">
        <f>IFERROR(INDEX(Levererat_2015[Leveranser till eget nät],MATCH($A5,Levererat_2015[Indexnamn],0)),"")</f>
        <v/>
      </c>
      <c r="W5" s="68" t="str">
        <f>IFERROR(INDEX(Levererat_2016[Leveranser till eget nät],MATCH($A5,Levererat_2016[Indexnamn],0)),"")</f>
        <v/>
      </c>
      <c r="X5" s="68" t="str">
        <f>IFERROR(INDEX(Tabell4[Leveranser till eget nät],MATCH('Leveranser per nät'!A5,Tabell4[[Finns i listan ]],0)),"")</f>
        <v/>
      </c>
      <c r="Y5" s="68" t="str">
        <f>IFERROR(INDEX(Tabell6[Kolumn1],MATCH($A5,Tabell6[Indexnmamn],0)),"")</f>
        <v/>
      </c>
      <c r="Z5" s="68"/>
      <c r="AA5" s="68" t="s">
        <v>779</v>
      </c>
      <c r="AB5" s="10"/>
      <c r="AC5" s="10"/>
      <c r="AD5"/>
      <c r="AE5"/>
      <c r="AG5" s="2">
        <f t="shared" ref="AG5:AG68" si="1">AC5-AB5</f>
        <v>0</v>
      </c>
      <c r="AH5" s="103"/>
    </row>
    <row r="6" spans="1:34" x14ac:dyDescent="0.25">
      <c r="A6" t="s">
        <v>1</v>
      </c>
      <c r="B6" t="str">
        <f>VLOOKUP(A6,'Korrigerade leveranser GD'!$A$4:$B$482,2,FALSE)</f>
        <v>Alingsås</v>
      </c>
      <c r="C6" s="10">
        <v>69</v>
      </c>
      <c r="D6" s="10">
        <v>63.3</v>
      </c>
      <c r="E6" s="10">
        <v>64</v>
      </c>
      <c r="F6" s="10">
        <v>72</v>
      </c>
      <c r="G6" s="10">
        <v>73</v>
      </c>
      <c r="H6" s="10">
        <v>89</v>
      </c>
      <c r="I6" s="10">
        <v>86</v>
      </c>
      <c r="J6" s="10">
        <v>99</v>
      </c>
      <c r="K6" s="10">
        <v>100.8</v>
      </c>
      <c r="L6" s="10">
        <v>99.995999999999995</v>
      </c>
      <c r="M6" s="10">
        <v>105.5</v>
      </c>
      <c r="N6" s="10">
        <v>105.3</v>
      </c>
      <c r="O6" s="10">
        <v>109.2</v>
      </c>
      <c r="P6" s="10">
        <v>121.5</v>
      </c>
      <c r="Q6" s="10">
        <v>142.80000000000001</v>
      </c>
      <c r="R6" s="10">
        <v>114.1</v>
      </c>
      <c r="S6" s="10">
        <f>IFERROR(VLOOKUP('Leveranser per nät'!A6,'lev 2012'!$B$2:$E$445,4,FALSE),"")</f>
        <v>124</v>
      </c>
      <c r="T6" s="10">
        <f>IFERROR(VLOOKUP('Leveranser per nät'!A6,'lev 2013'!$B$2:$E$445,4,FALSE),"")</f>
        <v>121.9</v>
      </c>
      <c r="U6" s="10">
        <f>IFERROR(VLOOKUP('Leveranser per nät'!A6,'lev 2014'!$B$2:$E$432,4,FALSE),"")</f>
        <v>107.5</v>
      </c>
      <c r="V6" s="10">
        <f>IFERROR(INDEX(Levererat_2015[Leveranser till eget nät],MATCH($A6,Levererat_2015[Indexnamn],0)),"")</f>
        <v>112.4</v>
      </c>
      <c r="W6" s="10">
        <f>IFERROR(INDEX(Levererat_2016[Leveranser till eget nät],MATCH($A6,Levererat_2016[Indexnamn],0)),"")</f>
        <v>121.6</v>
      </c>
      <c r="X6" s="10">
        <f>IFERROR(INDEX(Tabell4[Leveranser till eget nät],MATCH('Leveranser per nät'!A6,Tabell4[[Finns i listan ]],0)),"")</f>
        <v>119.3</v>
      </c>
      <c r="Y6" s="10">
        <f>IFERROR(INDEX(Tabell6[Kolumn1],MATCH($A6,Tabell6[Indexnmamn],0)),"")</f>
        <v>121.5</v>
      </c>
      <c r="Z6" s="10">
        <v>119.2</v>
      </c>
      <c r="AA6" s="10">
        <v>110.9</v>
      </c>
      <c r="AB6" s="10">
        <f>VLOOKUP(A6,Tabell9[[Indexnamn]:[Kolumn1]],3,FALSE)</f>
        <v>130.69999999999999</v>
      </c>
      <c r="AC6" s="10">
        <f>VLOOKUP($A6,'Lev 2022'!$K$2:$L$474,2,FALSE)</f>
        <v>118.5</v>
      </c>
      <c r="AG6" s="2">
        <f t="shared" si="1"/>
        <v>-12.199999999999989</v>
      </c>
      <c r="AH6" s="103">
        <f t="shared" ref="AH6:AH67" si="2">AG6/AB6</f>
        <v>-9.3343534812547743E-2</v>
      </c>
    </row>
    <row r="7" spans="1:34" x14ac:dyDescent="0.25">
      <c r="A7" t="s">
        <v>2</v>
      </c>
      <c r="B7" t="str">
        <f>VLOOKUP(A7,'Korrigerade leveranser GD'!$A$4:$B$482,2,FALSE)</f>
        <v>Alvesta</v>
      </c>
      <c r="C7" s="10"/>
      <c r="D7" s="10">
        <v>0</v>
      </c>
      <c r="E7" s="10">
        <v>35.448999999999998</v>
      </c>
      <c r="F7" s="10">
        <v>52</v>
      </c>
      <c r="G7" s="10">
        <v>52</v>
      </c>
      <c r="H7" s="10">
        <v>82</v>
      </c>
      <c r="I7" s="10">
        <v>74</v>
      </c>
      <c r="J7" s="10">
        <v>83</v>
      </c>
      <c r="K7" s="10">
        <v>92.328000000000003</v>
      </c>
      <c r="L7" s="10">
        <v>92.328000000000003</v>
      </c>
      <c r="M7" s="10">
        <v>85</v>
      </c>
      <c r="N7" s="10">
        <v>92</v>
      </c>
      <c r="O7" s="10">
        <v>91</v>
      </c>
      <c r="P7" s="10">
        <v>100</v>
      </c>
      <c r="Q7" s="10">
        <v>112</v>
      </c>
      <c r="R7" s="10">
        <v>101.236</v>
      </c>
      <c r="S7" s="10">
        <f>IFERROR(VLOOKUP('Leveranser per nät'!A7,'lev 2012'!$B$2:$E$445,4,FALSE),"")</f>
        <v>106</v>
      </c>
      <c r="T7" s="63">
        <v>91</v>
      </c>
      <c r="U7" s="63">
        <v>88</v>
      </c>
      <c r="V7" s="64">
        <v>91</v>
      </c>
      <c r="W7" s="10">
        <f>IFERROR(INDEX(Levererat_2016[Leveranser till eget nät],MATCH($A7,Levererat_2016[Indexnamn],0)),"")</f>
        <v>56.3</v>
      </c>
      <c r="X7" s="10">
        <f>IFERROR(INDEX(Tabell4[Leveranser till eget nät],MATCH('Leveranser per nät'!A7,Tabell4[[Finns i listan ]],0)),"")</f>
        <v>58.7</v>
      </c>
      <c r="Y7" s="10">
        <f>IFERROR(INDEX(Tabell6[Kolumn1],MATCH($A7,Tabell6[Indexnmamn],0)),"")</f>
        <v>55.97</v>
      </c>
      <c r="Z7" s="10">
        <v>54.71</v>
      </c>
      <c r="AA7" s="10">
        <v>50.5</v>
      </c>
      <c r="AB7" s="10">
        <f>VLOOKUP(A7,Tabell9[[Indexnamn]:[Kolumn1]],3,FALSE)</f>
        <v>58.35</v>
      </c>
      <c r="AC7" s="10">
        <f>VLOOKUP($A7,'Lev 2022'!$K$2:$L$474,2,FALSE)</f>
        <v>53.42</v>
      </c>
      <c r="AG7" s="2">
        <f t="shared" si="1"/>
        <v>-4.93</v>
      </c>
      <c r="AH7" s="103">
        <f t="shared" si="2"/>
        <v>-8.449014567266494E-2</v>
      </c>
    </row>
    <row r="8" spans="1:34" s="5" customFormat="1" x14ac:dyDescent="0.25">
      <c r="A8" s="5" t="s">
        <v>792</v>
      </c>
      <c r="B8" s="5" t="s">
        <v>792</v>
      </c>
      <c r="C8" s="58"/>
      <c r="D8" s="58"/>
      <c r="E8" s="58"/>
      <c r="F8" s="58"/>
      <c r="G8" s="58"/>
      <c r="H8" s="58"/>
      <c r="I8" s="58"/>
      <c r="J8" s="58"/>
      <c r="K8" s="58"/>
      <c r="L8" s="58"/>
      <c r="M8" s="58"/>
      <c r="N8" s="58"/>
      <c r="O8" s="58"/>
      <c r="P8" s="58"/>
      <c r="Q8" s="58"/>
      <c r="R8" s="58"/>
      <c r="S8" s="58" t="str">
        <f>IFERROR(VLOOKUP('Leveranser per nät'!A8,'lev 2012'!$B$2:$E$445,4,FALSE),"")</f>
        <v/>
      </c>
      <c r="T8" s="58" t="str">
        <f>IFERROR(VLOOKUP('Leveranser per nät'!A8,'lev 2013'!$B$2:$E$445,4,FALSE),"")</f>
        <v/>
      </c>
      <c r="U8" s="58">
        <f>IFERROR(VLOOKUP('Leveranser per nät'!A8,'lev 2014'!$B$2:$E$432,4,FALSE),"")</f>
        <v>21.15</v>
      </c>
      <c r="V8" s="58">
        <f>IFERROR(INDEX(Levererat_2015[Leveranser till eget nät],MATCH($A8,Levererat_2015[Indexnamn],0)),"")</f>
        <v>22.36</v>
      </c>
      <c r="W8" s="58">
        <f>IFERROR(INDEX(Levererat_2016[Leveranser till eget nät],MATCH($A8,Levererat_2016[Indexnamn],0)),"")</f>
        <v>24.77</v>
      </c>
      <c r="X8" s="58">
        <v>24.727</v>
      </c>
      <c r="Y8" s="58">
        <v>25.97</v>
      </c>
      <c r="Z8" s="58">
        <v>24.748999999999999</v>
      </c>
      <c r="AA8" s="58">
        <v>21.72</v>
      </c>
      <c r="AB8" s="10">
        <f>VLOOKUP(A8,Tabell9[[Indexnamn]:[Kolumn1]],3,FALSE)</f>
        <v>26.138999999999999</v>
      </c>
      <c r="AC8" s="10">
        <f>VLOOKUP($A8,'Lev 2022'!$K$2:$L$474,2,FALSE)</f>
        <v>23.853000000000002</v>
      </c>
      <c r="AE8"/>
      <c r="AG8" s="2">
        <f t="shared" si="1"/>
        <v>-2.2859999999999978</v>
      </c>
      <c r="AH8" s="103">
        <f t="shared" si="2"/>
        <v>-8.7455526225180685E-2</v>
      </c>
    </row>
    <row r="9" spans="1:34" x14ac:dyDescent="0.25">
      <c r="A9" t="s">
        <v>360</v>
      </c>
      <c r="B9" t="str">
        <f>VLOOKUP(A9,'Korrigerade leveranser GD'!$A$4:$B$482,2,FALSE)</f>
        <v>Västervik</v>
      </c>
      <c r="C9" s="10">
        <v>0</v>
      </c>
      <c r="D9" s="10">
        <v>5.8</v>
      </c>
      <c r="E9" s="10">
        <v>6</v>
      </c>
      <c r="F9" s="10">
        <v>7</v>
      </c>
      <c r="G9" s="10">
        <v>6</v>
      </c>
      <c r="H9" s="10">
        <v>7</v>
      </c>
      <c r="I9" s="10">
        <v>5</v>
      </c>
      <c r="J9" s="10">
        <v>8</v>
      </c>
      <c r="K9" s="10">
        <v>4.9669999999999996</v>
      </c>
      <c r="L9" s="10">
        <v>7.2629999999999999</v>
      </c>
      <c r="M9" s="10">
        <v>6.4649999999999999</v>
      </c>
      <c r="N9" s="10">
        <v>6.4889999999999999</v>
      </c>
      <c r="O9" s="10">
        <v>6.2450000000000001</v>
      </c>
      <c r="P9" s="10">
        <v>6.77</v>
      </c>
      <c r="Q9" s="10">
        <v>7.5270000000000001</v>
      </c>
      <c r="R9" s="10">
        <v>6.5369999999999999</v>
      </c>
      <c r="S9" s="10">
        <f>IFERROR(VLOOKUP('Leveranser per nät'!A9,'lev 2012'!$B$2:$E$445,4,FALSE),"")</f>
        <v>6.5</v>
      </c>
      <c r="T9" s="10">
        <f>IFERROR(VLOOKUP('Leveranser per nät'!A9,'lev 2013'!$B$2:$E$445,4,FALSE),"")</f>
        <v>6.4</v>
      </c>
      <c r="U9" s="10">
        <f>IFERROR(VLOOKUP('Leveranser per nät'!A9,'lev 2014'!$B$2:$E$432,4,FALSE),"")</f>
        <v>5.8</v>
      </c>
      <c r="V9" s="10">
        <f>IFERROR(INDEX(Levererat_2015[Leveranser till eget nät],MATCH($A9,Levererat_2015[Indexnamn],0)),"")</f>
        <v>5.9</v>
      </c>
      <c r="W9" s="10">
        <f>IFERROR(INDEX(Levererat_2016[Leveranser till eget nät],MATCH($A9,Levererat_2016[Indexnamn],0)),"")</f>
        <v>6.181</v>
      </c>
      <c r="X9" s="10">
        <f>IFERROR(INDEX(Tabell4[Leveranser till eget nät],MATCH('Leveranser per nät'!A9,Tabell4[[Finns i listan ]],0)),"")</f>
        <v>6.4</v>
      </c>
      <c r="Y9" s="10">
        <f>IFERROR(INDEX(Tabell6[Kolumn1],MATCH($A9,Tabell6[Indexnmamn],0)),"")</f>
        <v>6.3</v>
      </c>
      <c r="Z9" s="10">
        <v>6.2</v>
      </c>
      <c r="AA9" s="10">
        <v>5.76</v>
      </c>
      <c r="AB9" s="10">
        <f>VLOOKUP(A9,Tabell9[[Indexnamn]:[Kolumn1]],3,FALSE)</f>
        <v>6.73</v>
      </c>
      <c r="AC9" s="10">
        <f>VLOOKUP($A9,'Lev 2022'!$K$2:$L$474,2,FALSE)</f>
        <v>6.28</v>
      </c>
      <c r="AG9" s="2">
        <f t="shared" si="1"/>
        <v>-0.45000000000000018</v>
      </c>
      <c r="AH9" s="103">
        <f t="shared" si="2"/>
        <v>-6.6864784546805375E-2</v>
      </c>
    </row>
    <row r="10" spans="1:34" x14ac:dyDescent="0.25">
      <c r="A10" t="s">
        <v>224</v>
      </c>
      <c r="B10" t="str">
        <f>VLOOKUP(A10,'Korrigerade leveranser GD'!$A$4:$B$482,2,FALSE)</f>
        <v>Nässjö</v>
      </c>
      <c r="C10" s="10"/>
      <c r="D10" s="10"/>
      <c r="E10" s="10"/>
      <c r="F10" s="10"/>
      <c r="G10" s="10"/>
      <c r="H10" s="10"/>
      <c r="I10" s="10"/>
      <c r="J10" s="10">
        <v>0</v>
      </c>
      <c r="K10" s="10">
        <v>1.81</v>
      </c>
      <c r="L10" s="10">
        <v>1.782</v>
      </c>
      <c r="M10" s="10">
        <v>1.833</v>
      </c>
      <c r="N10" s="10">
        <v>1.927</v>
      </c>
      <c r="O10" s="10">
        <v>1.98</v>
      </c>
      <c r="P10" s="10">
        <v>2.1080000000000001</v>
      </c>
      <c r="Q10" s="10">
        <v>2.3820000000000001</v>
      </c>
      <c r="R10" s="10">
        <v>1.9450000000000001</v>
      </c>
      <c r="S10" s="10">
        <f>IFERROR(VLOOKUP('Leveranser per nät'!A10,'lev 2012'!$B$2:$E$445,4,FALSE),"")</f>
        <v>2</v>
      </c>
      <c r="T10" s="10">
        <f>IFERROR(VLOOKUP('Leveranser per nät'!A10,'lev 2013'!$B$2:$E$445,4,FALSE),"")</f>
        <v>2.1190000000000002</v>
      </c>
      <c r="U10" s="10">
        <f>IFERROR(VLOOKUP('Leveranser per nät'!A10,'lev 2014'!$B$2:$E$432,4,FALSE),"")</f>
        <v>1.8129999999999999</v>
      </c>
      <c r="V10" s="10">
        <f>IFERROR(INDEX(Levererat_2015[Leveranser till eget nät],MATCH($A10,Levererat_2015[Indexnamn],0)),"")</f>
        <v>1.7749999999999999</v>
      </c>
      <c r="W10" s="10">
        <f>IFERROR(INDEX(Levererat_2016[Leveranser till eget nät],MATCH($A10,Levererat_2016[Indexnamn],0)),"")</f>
        <v>1.64</v>
      </c>
      <c r="X10" s="63">
        <v>1.7</v>
      </c>
      <c r="Y10" s="10">
        <f>IFERROR(INDEX(Tabell6[Kolumn1],MATCH($A10,Tabell6[Indexnmamn],0)),"")</f>
        <v>1.72</v>
      </c>
      <c r="Z10" s="10">
        <v>1.6</v>
      </c>
      <c r="AA10" s="10">
        <v>1.43</v>
      </c>
      <c r="AB10" s="10">
        <f>VLOOKUP(A10,Tabell9[[Indexnamn]:[Kolumn1]],3,FALSE)</f>
        <v>1.59</v>
      </c>
      <c r="AC10" s="10">
        <f>VLOOKUP($A10,'Lev 2022'!$K$2:$L$474,2,FALSE)</f>
        <v>1.51</v>
      </c>
      <c r="AG10" s="2">
        <f t="shared" si="1"/>
        <v>-8.0000000000000071E-2</v>
      </c>
      <c r="AH10" s="103">
        <f t="shared" si="2"/>
        <v>-5.0314465408805076E-2</v>
      </c>
    </row>
    <row r="11" spans="1:34" s="65" customFormat="1" x14ac:dyDescent="0.25">
      <c r="A11" s="65" t="s">
        <v>5</v>
      </c>
      <c r="B11" s="65" t="str">
        <f>VLOOKUP(A11,'Korrigerade leveranser GD'!$A$4:$B$482,2,FALSE)</f>
        <v>Arboga</v>
      </c>
      <c r="C11" s="68">
        <v>75</v>
      </c>
      <c r="D11" s="68">
        <v>66.680000000000007</v>
      </c>
      <c r="E11" s="68">
        <v>75</v>
      </c>
      <c r="F11" s="68">
        <v>78</v>
      </c>
      <c r="G11" s="68">
        <v>73</v>
      </c>
      <c r="H11" s="68">
        <v>84</v>
      </c>
      <c r="I11" s="68">
        <v>91.001000000000005</v>
      </c>
      <c r="J11" s="68">
        <v>88</v>
      </c>
      <c r="K11" s="68">
        <v>83.341999999999999</v>
      </c>
      <c r="L11" s="68">
        <v>83.066999999999993</v>
      </c>
      <c r="M11" s="68">
        <v>82</v>
      </c>
      <c r="N11" s="68">
        <v>80.662000000000006</v>
      </c>
      <c r="O11" s="68">
        <v>78.320999999999998</v>
      </c>
      <c r="P11" s="68">
        <v>89.251999999999995</v>
      </c>
      <c r="Q11" s="68">
        <v>105.46899999999999</v>
      </c>
      <c r="R11" s="68">
        <v>88.802000000000007</v>
      </c>
      <c r="S11" s="68">
        <f>IFERROR(VLOOKUP('Leveranser per nät'!A11,'lev 2012'!$B$2:$E$445,4,FALSE),"")</f>
        <v>100</v>
      </c>
      <c r="T11" s="68">
        <f>IFERROR(VLOOKUP('Leveranser per nät'!A11,'lev 2013'!$B$2:$E$445,4,FALSE),"")</f>
        <v>96.3</v>
      </c>
      <c r="U11" s="68">
        <f>IFERROR(VLOOKUP('Leveranser per nät'!A11,'lev 2014'!$B$2:$E$432,4,FALSE),"")</f>
        <v>88.1</v>
      </c>
      <c r="V11" s="68">
        <f>IFERROR(INDEX(Levererat_2015[Leveranser till eget nät],MATCH($A11,Levererat_2015[Indexnamn],0)),"")</f>
        <v>89.6</v>
      </c>
      <c r="W11" s="68">
        <f>IFERROR(INDEX(Levererat_2016[Leveranser till eget nät],MATCH($A11,Levererat_2016[Indexnamn],0)),"")</f>
        <v>96</v>
      </c>
      <c r="X11" s="68" t="str">
        <f>IFERROR(INDEX(Tabell4[Leveranser till eget nät],MATCH('Leveranser per nät'!A11,Tabell4[[Finns i listan ]],0)),"")</f>
        <v/>
      </c>
      <c r="Y11" s="68" t="str">
        <f>IFERROR(INDEX(Tabell6[Kolumn1],MATCH($A11,Tabell6[Indexnmamn],0)),"")</f>
        <v/>
      </c>
      <c r="Z11" s="68"/>
      <c r="AA11" s="68" t="s">
        <v>779</v>
      </c>
      <c r="AB11" s="10"/>
      <c r="AC11" s="10"/>
      <c r="AD11"/>
      <c r="AE11"/>
      <c r="AG11" s="2">
        <f t="shared" si="1"/>
        <v>0</v>
      </c>
      <c r="AH11" s="103"/>
    </row>
    <row r="12" spans="1:34" x14ac:dyDescent="0.25">
      <c r="A12" t="s">
        <v>938</v>
      </c>
      <c r="B12" t="s">
        <v>5</v>
      </c>
      <c r="C12" s="10"/>
      <c r="D12" s="10"/>
      <c r="E12" s="10"/>
      <c r="F12" s="10"/>
      <c r="G12" s="10"/>
      <c r="H12" s="10"/>
      <c r="I12" s="10"/>
      <c r="J12" s="10"/>
      <c r="K12" s="10"/>
      <c r="L12" s="10"/>
      <c r="M12" s="10"/>
      <c r="N12" s="10"/>
      <c r="O12" s="10"/>
      <c r="P12" s="10"/>
      <c r="Q12" s="10"/>
      <c r="R12" s="10"/>
      <c r="S12" s="10"/>
      <c r="T12" s="10"/>
      <c r="U12" s="63"/>
      <c r="V12" s="10"/>
      <c r="W12" s="10"/>
      <c r="X12" s="10">
        <f>IFERROR(INDEX(Tabell4[Leveranser till eget nät],MATCH('Leveranser per nät'!A12,Tabell4[[Finns i listan ]],0)),"")</f>
        <v>302</v>
      </c>
      <c r="Y12" s="10">
        <f>IFERROR(INDEX(Tabell6[Kolumn1],MATCH($A12,Tabell6[Indexnmamn],0)),"")</f>
        <v>302</v>
      </c>
      <c r="Z12" s="10">
        <v>300</v>
      </c>
      <c r="AA12" s="10">
        <v>268</v>
      </c>
      <c r="AB12" s="10">
        <f>VLOOKUP(A12,Tabell9[[Indexnamn]:[Kolumn1]],3,FALSE)</f>
        <v>316</v>
      </c>
      <c r="AC12" s="10">
        <f>VLOOKUP($A12,'Lev 2022'!$K$2:$L$474,2,FALSE)</f>
        <v>296</v>
      </c>
      <c r="AG12" s="2">
        <f t="shared" si="1"/>
        <v>-20</v>
      </c>
      <c r="AH12" s="103">
        <f t="shared" si="2"/>
        <v>-6.3291139240506333E-2</v>
      </c>
    </row>
    <row r="13" spans="1:34" x14ac:dyDescent="0.25">
      <c r="A13" t="s">
        <v>20</v>
      </c>
      <c r="B13" t="str">
        <f>VLOOKUP(A13,'Korrigerade leveranser GD'!$A$4:$B$482,2,FALSE)</f>
        <v>Bollnäs</v>
      </c>
      <c r="C13" s="10">
        <v>12</v>
      </c>
      <c r="D13" s="10">
        <v>9.59</v>
      </c>
      <c r="E13" s="10">
        <v>11</v>
      </c>
      <c r="F13" s="10">
        <v>10</v>
      </c>
      <c r="G13" s="10">
        <v>10</v>
      </c>
      <c r="H13" s="10">
        <v>11</v>
      </c>
      <c r="I13" s="10">
        <v>10</v>
      </c>
      <c r="J13" s="10">
        <v>11</v>
      </c>
      <c r="K13" s="10">
        <v>11.1655</v>
      </c>
      <c r="L13" s="10">
        <v>11.55</v>
      </c>
      <c r="M13" s="10">
        <v>10.46</v>
      </c>
      <c r="N13" s="10">
        <v>12.1</v>
      </c>
      <c r="O13" s="10">
        <v>11.3</v>
      </c>
      <c r="P13" s="10">
        <v>13.4</v>
      </c>
      <c r="Q13" s="10">
        <v>16.135000000000002</v>
      </c>
      <c r="R13" s="10">
        <v>14.263999999999999</v>
      </c>
      <c r="S13" s="10">
        <f>IFERROR(VLOOKUP('Leveranser per nät'!A13,'lev 2012'!$B$2:$E$445,4,FALSE),"")</f>
        <v>15.68</v>
      </c>
      <c r="T13" s="10">
        <f>IFERROR(VLOOKUP('Leveranser per nät'!A13,'lev 2013'!$B$2:$E$445,4,FALSE),"")</f>
        <v>14.782</v>
      </c>
      <c r="U13" s="10">
        <f>IFERROR(VLOOKUP('Leveranser per nät'!A13,'lev 2014'!$B$2:$E$432,4,FALSE),"")</f>
        <v>13.773999999999999</v>
      </c>
      <c r="V13" s="10">
        <f>IFERROR(INDEX(Levererat_2015[Leveranser till eget nät],MATCH($A13,Levererat_2015[Indexnamn],0)),"")</f>
        <v>14.587</v>
      </c>
      <c r="W13" s="10">
        <f>IFERROR(INDEX(Levererat_2016[Leveranser till eget nät],MATCH($A13,Levererat_2016[Indexnamn],0)),"")</f>
        <v>16.440000000000001</v>
      </c>
      <c r="X13" s="10">
        <f>IFERROR(INDEX(Tabell4[Leveranser till eget nät],MATCH('Leveranser per nät'!A13,Tabell4[[Finns i listan ]],0)),"")</f>
        <v>16.936</v>
      </c>
      <c r="Y13" s="10">
        <f>IFERROR(INDEX(Tabell6[Kolumn1],MATCH($A13,Tabell6[Indexnmamn],0)),"")</f>
        <v>17.327999999999999</v>
      </c>
      <c r="Z13" s="10">
        <v>17.331</v>
      </c>
      <c r="AA13" s="10">
        <v>15.297000000000001</v>
      </c>
      <c r="AB13" s="10">
        <f>VLOOKUP(A13,Tabell9[[Indexnamn]:[Kolumn1]],3,FALSE)</f>
        <v>17.748000000000001</v>
      </c>
      <c r="AC13" s="10">
        <f>VLOOKUP($A13,'Lev 2022'!$K$2:$L$474,2,FALSE)</f>
        <v>16.849</v>
      </c>
      <c r="AG13" s="2">
        <f t="shared" si="1"/>
        <v>-0.89900000000000091</v>
      </c>
      <c r="AH13" s="103">
        <f t="shared" si="2"/>
        <v>-5.0653594771241879E-2</v>
      </c>
    </row>
    <row r="14" spans="1:34" s="77" customFormat="1" x14ac:dyDescent="0.25">
      <c r="A14" s="77" t="s">
        <v>449</v>
      </c>
      <c r="B14" s="77" t="s">
        <v>449</v>
      </c>
      <c r="C14" s="69"/>
      <c r="D14" s="69"/>
      <c r="E14" s="69"/>
      <c r="F14" s="69"/>
      <c r="G14" s="69"/>
      <c r="H14" s="69"/>
      <c r="I14" s="69"/>
      <c r="J14" s="69"/>
      <c r="K14" s="69"/>
      <c r="L14" s="69"/>
      <c r="M14" s="69"/>
      <c r="N14" s="69"/>
      <c r="O14" s="69"/>
      <c r="P14" s="69"/>
      <c r="Q14" s="69"/>
      <c r="R14" s="69"/>
      <c r="S14" s="69">
        <v>14.3</v>
      </c>
      <c r="T14" s="69">
        <v>14.6</v>
      </c>
      <c r="U14" s="69">
        <v>13.6</v>
      </c>
      <c r="V14" s="69">
        <v>13.6</v>
      </c>
      <c r="W14" s="69">
        <f>IFERROR(INDEX(Levererat_2016[Leveranser till eget nät],MATCH($A14,Levererat_2016[Indexnamn],0)),"")</f>
        <v>14.6</v>
      </c>
      <c r="X14" s="85">
        <v>15.6</v>
      </c>
      <c r="Y14" s="69">
        <v>16.600000000000001</v>
      </c>
      <c r="Z14" s="69">
        <v>16.2</v>
      </c>
      <c r="AA14" s="69">
        <v>14.3</v>
      </c>
      <c r="AB14" s="69">
        <v>16</v>
      </c>
      <c r="AC14" s="56">
        <f>AB14*(1-0.07)</f>
        <v>14.879999999999999</v>
      </c>
      <c r="AE14"/>
      <c r="AG14" s="2"/>
      <c r="AH14" s="103"/>
    </row>
    <row r="15" spans="1:34" s="5" customFormat="1" x14ac:dyDescent="0.25">
      <c r="A15" s="5" t="s">
        <v>6</v>
      </c>
      <c r="B15" s="5" t="str">
        <f>VLOOKUP(A15,'Korrigerade leveranser GD'!$A$4:$B$482,2,FALSE)</f>
        <v>Arvidsjaur</v>
      </c>
      <c r="C15" s="58"/>
      <c r="D15" s="58"/>
      <c r="E15" s="58"/>
      <c r="F15" s="58"/>
      <c r="G15" s="58"/>
      <c r="H15" s="58"/>
      <c r="I15" s="58"/>
      <c r="J15" s="58"/>
      <c r="K15" s="58"/>
      <c r="L15" s="58">
        <v>0</v>
      </c>
      <c r="M15" s="58">
        <v>28.891999999999999</v>
      </c>
      <c r="N15" s="58">
        <v>32.156999999999996</v>
      </c>
      <c r="O15" s="58">
        <v>34.558999999999997</v>
      </c>
      <c r="P15" s="58">
        <v>37.497</v>
      </c>
      <c r="Q15" s="58">
        <v>42.4</v>
      </c>
      <c r="R15" s="64">
        <v>42</v>
      </c>
      <c r="S15" s="58">
        <v>41</v>
      </c>
      <c r="T15" s="58">
        <v>38</v>
      </c>
      <c r="U15" s="58">
        <v>38</v>
      </c>
      <c r="V15" s="58">
        <v>38</v>
      </c>
      <c r="W15" s="58">
        <v>40</v>
      </c>
      <c r="X15" s="58">
        <v>40</v>
      </c>
      <c r="Y15" s="58">
        <v>40.200000000000003</v>
      </c>
      <c r="Z15" s="58">
        <v>41.6</v>
      </c>
      <c r="AA15" s="58">
        <v>37.1</v>
      </c>
      <c r="AB15" s="10">
        <f>VLOOKUP(A15,Tabell9[[Indexnamn]:[Kolumn1]],3,FALSE)</f>
        <v>41.5</v>
      </c>
      <c r="AC15" s="10">
        <f>VLOOKUP($A15,'Lev 2022'!$K$2:$L$474,2,FALSE)</f>
        <v>39.5</v>
      </c>
      <c r="AE15"/>
      <c r="AG15" s="2">
        <f t="shared" si="1"/>
        <v>-2</v>
      </c>
      <c r="AH15" s="103">
        <f t="shared" si="2"/>
        <v>-4.8192771084337352E-2</v>
      </c>
    </row>
    <row r="16" spans="1:34" x14ac:dyDescent="0.25">
      <c r="A16" t="s">
        <v>119</v>
      </c>
      <c r="B16" t="str">
        <f>VLOOKUP(A16,'Korrigerade leveranser GD'!$A$4:$B$482,2,FALSE)</f>
        <v>Arvika</v>
      </c>
      <c r="C16" s="10"/>
      <c r="D16" s="10"/>
      <c r="E16" s="10">
        <v>0</v>
      </c>
      <c r="F16" s="10">
        <v>52</v>
      </c>
      <c r="G16" s="10">
        <v>50</v>
      </c>
      <c r="H16" s="10">
        <v>76</v>
      </c>
      <c r="I16" s="10">
        <v>81.260000000000005</v>
      </c>
      <c r="J16" s="10">
        <v>83</v>
      </c>
      <c r="K16" s="56">
        <f>J16+(L16-J16)/2</f>
        <v>82</v>
      </c>
      <c r="L16" s="10">
        <v>81</v>
      </c>
      <c r="M16" s="56">
        <f>($L16-$P16)/4*3+$P16</f>
        <v>89.224999999999994</v>
      </c>
      <c r="N16" s="56">
        <f>($L16-$P16)/4*2+$P16</f>
        <v>97.45</v>
      </c>
      <c r="O16" s="56">
        <f>($L16-$P16)/4*2+$P16</f>
        <v>97.45</v>
      </c>
      <c r="P16" s="10">
        <v>113.9</v>
      </c>
      <c r="Q16" s="58">
        <v>140.1</v>
      </c>
      <c r="R16" s="10">
        <v>111.5</v>
      </c>
      <c r="S16" s="10">
        <f>IFERROR(VLOOKUP('Leveranser per nät'!A16,'lev 2012'!$B$2:$E$445,4,FALSE),"")</f>
        <v>117</v>
      </c>
      <c r="T16" s="10">
        <f>IFERROR(VLOOKUP('Leveranser per nät'!A16,'lev 2013'!$B$2:$E$445,4,FALSE),"")</f>
        <v>114.7</v>
      </c>
      <c r="U16" s="10">
        <f>IFERROR(VLOOKUP('Leveranser per nät'!A16,'lev 2014'!$B$2:$E$432,4,FALSE),"")</f>
        <v>99.6</v>
      </c>
      <c r="V16" s="10">
        <f>IFERROR(INDEX(Levererat_2015[Leveranser till eget nät],MATCH($A16,Levererat_2015[Indexnamn],0)),"")</f>
        <v>98.9</v>
      </c>
      <c r="W16" s="10">
        <f>IFERROR(INDEX(Levererat_2016[Leveranser till eget nät],MATCH($A16,Levererat_2016[Indexnamn],0)),"")</f>
        <v>108.4</v>
      </c>
      <c r="X16" s="10">
        <f>IFERROR(INDEX(Tabell4[Leveranser till eget nät],MATCH('Leveranser per nät'!A16,Tabell4[[Finns i listan ]],0)),"")</f>
        <v>107.4</v>
      </c>
      <c r="Y16" s="10">
        <f>IFERROR(INDEX(Tabell6[Kolumn1],MATCH($A16,Tabell6[Indexnmamn],0)),"")</f>
        <v>108.3</v>
      </c>
      <c r="Z16" s="10">
        <v>106.7</v>
      </c>
      <c r="AA16" s="10">
        <v>86.5</v>
      </c>
      <c r="AB16" s="10">
        <f>VLOOKUP(A16,Tabell9[[Indexnamn]:[Kolumn1]],3,FALSE)</f>
        <v>111.9</v>
      </c>
      <c r="AC16" s="10">
        <f>VLOOKUP($A16,'Lev 2022'!$K$2:$L$474,2,FALSE)</f>
        <v>103.6</v>
      </c>
      <c r="AG16" s="2">
        <f t="shared" si="1"/>
        <v>-8.3000000000000114</v>
      </c>
      <c r="AH16" s="103">
        <f t="shared" si="2"/>
        <v>-7.4173369079535395E-2</v>
      </c>
    </row>
    <row r="17" spans="1:34" x14ac:dyDescent="0.25">
      <c r="A17" t="s">
        <v>334</v>
      </c>
      <c r="B17" t="str">
        <f>VLOOKUP(A17,'Korrigerade leveranser GD'!$A$4:$B$482,2,FALSE)</f>
        <v>Askersund</v>
      </c>
      <c r="C17" s="10">
        <v>22</v>
      </c>
      <c r="D17" s="10">
        <v>18.489999999999998</v>
      </c>
      <c r="E17" s="10">
        <v>19</v>
      </c>
      <c r="F17" s="10">
        <v>23</v>
      </c>
      <c r="G17" s="10">
        <v>16</v>
      </c>
      <c r="H17" s="10">
        <v>18</v>
      </c>
      <c r="I17" s="56">
        <f>H17+(J17-H17)/2</f>
        <v>17.999499999999998</v>
      </c>
      <c r="J17" s="10">
        <v>17.998999999999999</v>
      </c>
      <c r="K17" s="10">
        <v>16.216028974027683</v>
      </c>
      <c r="L17" s="10">
        <v>16.216028974027683</v>
      </c>
      <c r="M17" s="10">
        <v>20.085999999999999</v>
      </c>
      <c r="N17" s="10">
        <v>17.899999999999999</v>
      </c>
      <c r="O17" s="10">
        <v>17.600000000000001</v>
      </c>
      <c r="P17" s="10">
        <v>19.100000000000001</v>
      </c>
      <c r="Q17" s="10">
        <v>22.54</v>
      </c>
      <c r="R17" s="10">
        <v>18.399999999999999</v>
      </c>
      <c r="S17" s="10">
        <f>IFERROR(VLOOKUP('Leveranser per nät'!A17,'lev 2012'!$B$2:$E$445,4,FALSE),"")</f>
        <v>19.2</v>
      </c>
      <c r="T17" s="10">
        <f>IFERROR(VLOOKUP('Leveranser per nät'!A17,'lev 2013'!$B$2:$E$445,4,FALSE),"")</f>
        <v>18.63</v>
      </c>
      <c r="U17" s="10">
        <f>IFERROR(VLOOKUP('Leveranser per nät'!A17,'lev 2014'!$B$2:$E$432,4,FALSE),"")</f>
        <v>16.93</v>
      </c>
      <c r="V17" s="10">
        <f>IFERROR(INDEX(Levererat_2015[Leveranser till eget nät],MATCH($A17,Levererat_2015[Indexnamn],0)),"")</f>
        <v>17.3</v>
      </c>
      <c r="W17" s="10">
        <f>IFERROR(INDEX(Levererat_2016[Leveranser till eget nät],MATCH($A17,Levererat_2016[Indexnamn],0)),"")</f>
        <v>19.239999999999998</v>
      </c>
      <c r="X17" s="10">
        <f>IFERROR(INDEX(Tabell4[Leveranser till eget nät],MATCH('Leveranser per nät'!A17,Tabell4[[Finns i listan ]],0)),"")</f>
        <v>18.503</v>
      </c>
      <c r="Y17" s="10">
        <f>IFERROR(INDEX(Tabell6[Kolumn1],MATCH($A17,Tabell6[Indexnmamn],0)),"")</f>
        <v>18.920000000000002</v>
      </c>
      <c r="Z17" s="10">
        <v>19.093</v>
      </c>
      <c r="AA17" s="10">
        <v>16.835999999999999</v>
      </c>
      <c r="AB17" s="10">
        <f>VLOOKUP(A17,Tabell9[[Indexnamn]:[Kolumn1]],3,FALSE)</f>
        <v>19.244</v>
      </c>
      <c r="AC17" s="10">
        <f>VLOOKUP($A17,'Lev 2022'!$K$2:$L$474,2,FALSE)</f>
        <v>18.013000000000002</v>
      </c>
      <c r="AG17" s="2">
        <f t="shared" si="1"/>
        <v>-1.2309999999999981</v>
      </c>
      <c r="AH17" s="103">
        <f t="shared" si="2"/>
        <v>-6.3967990022864171E-2</v>
      </c>
    </row>
    <row r="18" spans="1:34" x14ac:dyDescent="0.25">
      <c r="A18" t="s">
        <v>861</v>
      </c>
      <c r="B18" t="s">
        <v>203</v>
      </c>
      <c r="C18" s="10"/>
      <c r="D18" s="10"/>
      <c r="E18" s="10"/>
      <c r="F18" s="10"/>
      <c r="G18" s="10"/>
      <c r="H18" s="10"/>
      <c r="I18" s="10"/>
      <c r="J18" s="10"/>
      <c r="K18" s="10"/>
      <c r="L18" s="10"/>
      <c r="M18" s="10"/>
      <c r="N18" s="10"/>
      <c r="O18" s="10"/>
      <c r="P18" s="10"/>
      <c r="Q18" s="10"/>
      <c r="R18" s="10"/>
      <c r="S18" s="10"/>
      <c r="T18" s="10"/>
      <c r="U18" s="10"/>
      <c r="V18" s="10"/>
      <c r="W18" s="10"/>
      <c r="X18" s="10">
        <f>IFERROR(INDEX(Tabell4[Leveranser till eget nät],MATCH('Leveranser per nät'!A18,Tabell4[[Finns i listan ]],0)),"")</f>
        <v>91.42</v>
      </c>
      <c r="Y18" s="10">
        <f>IFERROR(INDEX(Tabell6[Kolumn1],MATCH($A18,Tabell6[Indexnmamn],0)),"")</f>
        <v>93.07</v>
      </c>
      <c r="Z18" s="10">
        <v>90.04</v>
      </c>
      <c r="AA18" s="10">
        <v>85.46</v>
      </c>
      <c r="AB18" s="10">
        <f>VLOOKUP(A18,Tabell9[[Indexnamn]:[Kolumn1]],3,FALSE)</f>
        <v>99.05</v>
      </c>
      <c r="AC18" s="10">
        <f>VLOOKUP($A18,'Lev 2022'!$K$2:$L$474,2,FALSE)</f>
        <v>86.95</v>
      </c>
      <c r="AG18" s="2">
        <f t="shared" si="1"/>
        <v>-12.099999999999994</v>
      </c>
      <c r="AH18" s="103">
        <f t="shared" si="2"/>
        <v>-0.12216052498738006</v>
      </c>
    </row>
    <row r="19" spans="1:34" s="65" customFormat="1" x14ac:dyDescent="0.25">
      <c r="A19" s="66" t="s">
        <v>392</v>
      </c>
      <c r="B19" s="65" t="str">
        <f>VLOOKUP(A19,'Korrigerade leveranser GD'!$A$4:$B$482,2,FALSE)</f>
        <v>Kinna</v>
      </c>
      <c r="C19" s="68"/>
      <c r="D19" s="68"/>
      <c r="E19" s="68"/>
      <c r="F19" s="68"/>
      <c r="G19" s="68"/>
      <c r="H19" s="68"/>
      <c r="I19" s="68"/>
      <c r="J19" s="68"/>
      <c r="K19" s="68"/>
      <c r="L19" s="68"/>
      <c r="M19" s="68">
        <v>0</v>
      </c>
      <c r="N19" s="68">
        <v>80</v>
      </c>
      <c r="O19" s="68">
        <v>79.599999999999994</v>
      </c>
      <c r="P19" s="68">
        <v>79.730999999999995</v>
      </c>
      <c r="Q19" s="68">
        <v>102.236</v>
      </c>
      <c r="R19" s="68">
        <v>82.7</v>
      </c>
      <c r="S19" s="68">
        <f>IFERROR(VLOOKUP('Leveranser per nät'!A19,'lev 2012'!$B$2:$E$445,4,FALSE),"")</f>
        <v>90</v>
      </c>
      <c r="T19" s="68">
        <f>IFERROR(VLOOKUP('Leveranser per nät'!A19,'lev 2013'!$B$2:$E$445,4,FALSE),"")</f>
        <v>88</v>
      </c>
      <c r="U19" s="68">
        <f>IFERROR(VLOOKUP('Leveranser per nät'!A19,'lev 2014'!$B$2:$E$432,4,FALSE),"")</f>
        <v>69.8</v>
      </c>
      <c r="V19" s="68">
        <f>IFERROR(INDEX(Levererat_2015[Leveranser till eget nät],MATCH($A19,Levererat_2015[Indexnamn],0)),"")</f>
        <v>82.8</v>
      </c>
      <c r="W19" s="68">
        <f>IFERROR(INDEX(Levererat_2016[Leveranser till eget nät],MATCH($A19,Levererat_2016[Indexnamn],0)),"")</f>
        <v>85.4</v>
      </c>
      <c r="X19" s="68" t="str">
        <f>IFERROR(INDEX(Tabell4[Leveranser till eget nät],MATCH('Leveranser per nät'!A19,Tabell4[[Finns i listan ]],0)),"")</f>
        <v/>
      </c>
      <c r="Y19" s="68" t="str">
        <f>IFERROR(INDEX(Tabell6[Kolumn1],MATCH($A19,Tabell6[Indexnmamn],0)),"")</f>
        <v/>
      </c>
      <c r="Z19" s="68"/>
      <c r="AA19" s="68" t="s">
        <v>779</v>
      </c>
      <c r="AB19" s="10"/>
      <c r="AC19" s="10"/>
      <c r="AD19"/>
      <c r="AE19"/>
      <c r="AG19" s="2">
        <f t="shared" si="1"/>
        <v>0</v>
      </c>
      <c r="AH19" s="103"/>
    </row>
    <row r="20" spans="1:34" x14ac:dyDescent="0.25">
      <c r="A20" t="s">
        <v>118</v>
      </c>
      <c r="B20" t="str">
        <f>VLOOKUP(A20,'Korrigerade leveranser GD'!$A$4:$B$482,2,FALSE)</f>
        <v>Avesta</v>
      </c>
      <c r="C20" s="10">
        <v>155</v>
      </c>
      <c r="D20" s="10">
        <v>152.87</v>
      </c>
      <c r="E20" s="10">
        <v>171</v>
      </c>
      <c r="F20" s="10">
        <v>173.93700000000001</v>
      </c>
      <c r="G20" s="10">
        <v>161.767</v>
      </c>
      <c r="H20" s="10">
        <v>186</v>
      </c>
      <c r="I20" s="10">
        <v>227</v>
      </c>
      <c r="J20" s="10">
        <v>195</v>
      </c>
      <c r="K20" s="10"/>
      <c r="L20" s="10"/>
      <c r="M20" s="10"/>
      <c r="N20" s="10"/>
      <c r="O20" s="10"/>
      <c r="P20" s="10">
        <v>202.8</v>
      </c>
      <c r="Q20" s="10">
        <v>220</v>
      </c>
      <c r="R20" s="10">
        <v>197</v>
      </c>
      <c r="S20" s="10">
        <f>IFERROR(VLOOKUP('Leveranser per nät'!A20,'lev 2012'!$B$2:$E$445,4,FALSE),"")</f>
        <v>221</v>
      </c>
      <c r="T20" s="10">
        <f>IFERROR(VLOOKUP('Leveranser per nät'!A20,'lev 2013'!$B$2:$E$445,4,FALSE),"")</f>
        <v>219.642</v>
      </c>
      <c r="U20" s="10">
        <f>IFERROR(VLOOKUP('Leveranser per nät'!A20,'lev 2014'!$B$2:$E$432,4,FALSE),"")</f>
        <v>205.21799999999999</v>
      </c>
      <c r="V20" s="10">
        <f>IFERROR(INDEX(Levererat_2015[Leveranser till eget nät],MATCH($A20,Levererat_2015[Indexnamn],0)),"")</f>
        <v>209.69399999999999</v>
      </c>
      <c r="W20" s="10">
        <f>IFERROR(INDEX(Levererat_2016[Leveranser till eget nät],MATCH($A20,Levererat_2016[Indexnamn],0)),"")</f>
        <v>222.572</v>
      </c>
      <c r="X20" s="10">
        <f>IFERROR(INDEX(Tabell4[Leveranser till eget nät],MATCH('Leveranser per nät'!A20,Tabell4[[Finns i listan ]],0)),"")</f>
        <v>214.83799999999999</v>
      </c>
      <c r="Y20" s="10">
        <f>IFERROR(INDEX(Tabell6[Kolumn1],MATCH($A20,Tabell6[Indexnmamn],0)),"")</f>
        <v>203.3</v>
      </c>
      <c r="Z20" s="10">
        <v>127.65</v>
      </c>
      <c r="AA20" s="10">
        <v>112.83499999999999</v>
      </c>
      <c r="AB20" s="10">
        <f>VLOOKUP(A20,Tabell9[[Indexnamn]:[Kolumn1]],3,FALSE)</f>
        <v>127.357</v>
      </c>
      <c r="AC20" s="10">
        <f>VLOOKUP($A20,'Lev 2022'!$K$2:$L$474,2,FALSE)</f>
        <v>116.05800000000001</v>
      </c>
      <c r="AG20" s="2">
        <f t="shared" si="1"/>
        <v>-11.298999999999992</v>
      </c>
      <c r="AH20" s="103">
        <f t="shared" si="2"/>
        <v>-8.8719112416278584E-2</v>
      </c>
    </row>
    <row r="21" spans="1:34" s="65" customFormat="1" x14ac:dyDescent="0.25">
      <c r="A21" s="65" t="s">
        <v>158</v>
      </c>
      <c r="B21" s="65" t="str">
        <f>VLOOKUP(A21,'Korrigerade leveranser GD'!$A$4:$B$482,2,FALSE)</f>
        <v>Jönköping</v>
      </c>
      <c r="C21" s="68">
        <v>13</v>
      </c>
      <c r="D21" s="68">
        <v>11.17</v>
      </c>
      <c r="E21" s="68">
        <v>12</v>
      </c>
      <c r="F21" s="68">
        <v>11</v>
      </c>
      <c r="G21" s="68">
        <v>11</v>
      </c>
      <c r="H21" s="68">
        <v>13</v>
      </c>
      <c r="I21" s="68">
        <v>17</v>
      </c>
      <c r="J21" s="68">
        <v>17</v>
      </c>
      <c r="K21" s="68">
        <v>22.29</v>
      </c>
      <c r="L21" s="68">
        <v>25.489000000000001</v>
      </c>
      <c r="M21" s="68">
        <v>29.5</v>
      </c>
      <c r="N21" s="68">
        <v>31</v>
      </c>
      <c r="O21" s="68">
        <v>29.928999999999998</v>
      </c>
      <c r="P21" s="68">
        <v>33.661000000000001</v>
      </c>
      <c r="Q21" s="68">
        <v>38.683</v>
      </c>
      <c r="R21" s="68">
        <v>32.700000000000003</v>
      </c>
      <c r="S21" s="68">
        <f>IFERROR(VLOOKUP('Leveranser per nät'!A21,'lev 2012'!$B$2:$E$445,4,FALSE),"")</f>
        <v>36</v>
      </c>
      <c r="T21" s="75" t="str">
        <f>IFERROR(VLOOKUP('Leveranser per nät'!A21,'lev 2013'!$B$2:$E$445,4,FALSE),"")</f>
        <v/>
      </c>
      <c r="U21" s="75"/>
      <c r="V21" s="75" t="str">
        <f>IFERROR(INDEX(Levererat_2015[Leveranser till eget nät],MATCH($A21,Levererat_2015[Indexnamn],0)),"")</f>
        <v/>
      </c>
      <c r="W21" s="75" t="str">
        <f>IFERROR(INDEX(Levererat_2016[Leveranser till eget nät],MATCH($A21,Levererat_2016[Indexnamn],0)),"")</f>
        <v/>
      </c>
      <c r="X21" s="75" t="str">
        <f>IFERROR(INDEX(Tabell4[Leveranser till eget nät],MATCH('Leveranser per nät'!A21,Tabell4[[Finns i listan ]],0)),"")</f>
        <v/>
      </c>
      <c r="Y21" s="75" t="str">
        <f>IFERROR(INDEX(Tabell6[Kolumn1],MATCH($A21,Tabell6[Indexnmamn],0)),"")</f>
        <v/>
      </c>
      <c r="Z21" s="68"/>
      <c r="AA21" s="68" t="s">
        <v>779</v>
      </c>
      <c r="AB21" s="10"/>
      <c r="AC21" s="10"/>
      <c r="AD21"/>
      <c r="AE21"/>
      <c r="AG21" s="2">
        <f t="shared" si="1"/>
        <v>0</v>
      </c>
      <c r="AH21" s="103"/>
    </row>
    <row r="22" spans="1:34" x14ac:dyDescent="0.25">
      <c r="A22" t="s">
        <v>85</v>
      </c>
      <c r="B22" t="str">
        <f>VLOOKUP(A22,'Korrigerade leveranser GD'!$A$4:$B$482,2,FALSE)</f>
        <v>Svedala</v>
      </c>
      <c r="C22" s="10"/>
      <c r="D22" s="10"/>
      <c r="E22" s="10"/>
      <c r="F22" s="10"/>
      <c r="G22" s="10"/>
      <c r="H22" s="10"/>
      <c r="I22" s="10"/>
      <c r="J22" s="10"/>
      <c r="K22" s="10">
        <v>0</v>
      </c>
      <c r="L22" s="10">
        <v>9.5407436560185293</v>
      </c>
      <c r="M22" s="10">
        <v>7.3</v>
      </c>
      <c r="N22" s="10">
        <v>7.0460000000000003</v>
      </c>
      <c r="O22" s="10">
        <v>7.0229999999999997</v>
      </c>
      <c r="P22" s="10">
        <v>7.6379999999999999</v>
      </c>
      <c r="Q22" s="10">
        <v>8</v>
      </c>
      <c r="R22" s="10">
        <v>7.3016430000000003</v>
      </c>
      <c r="S22" s="10">
        <f>IFERROR(VLOOKUP('Leveranser per nät'!A22,'lev 2012'!$B$2:$E$445,4,FALSE),"")</f>
        <v>7.99</v>
      </c>
      <c r="T22" s="10">
        <f>IFERROR(VLOOKUP('Leveranser per nät'!A22,'lev 2013'!$B$2:$E$445,4,FALSE),"")</f>
        <v>8.09</v>
      </c>
      <c r="U22" s="10">
        <f>IFERROR(VLOOKUP('Leveranser per nät'!A22,'lev 2014'!$B$2:$E$432,4,FALSE),"")</f>
        <v>6.95</v>
      </c>
      <c r="V22" s="10">
        <f>IFERROR(INDEX(Levererat_2015[Leveranser till eget nät],MATCH($A22,Levererat_2015[Indexnamn],0)),"")</f>
        <v>7.18</v>
      </c>
      <c r="W22" s="10">
        <f>IFERROR(INDEX(Levererat_2016[Leveranser till eget nät],MATCH($A22,Levererat_2016[Indexnamn],0)),"")</f>
        <v>7.6</v>
      </c>
      <c r="X22" s="10">
        <f>IFERROR(INDEX(Tabell4[Leveranser till eget nät],MATCH('Leveranser per nät'!A22,Tabell4[[Finns i listan ]],0)),"")</f>
        <v>7.4710000000000001</v>
      </c>
      <c r="Y22" s="10">
        <f>IFERROR(INDEX(Tabell6[Kolumn1],MATCH($A22,Tabell6[Indexnmamn],0)),"")</f>
        <v>7.4930000000000003</v>
      </c>
      <c r="Z22" s="10">
        <v>7.4340000000000002</v>
      </c>
      <c r="AA22" s="10">
        <v>7.2229999999999999</v>
      </c>
      <c r="AB22" s="10">
        <f>VLOOKUP(A22,Tabell9[[Indexnamn]:[Kolumn1]],3,FALSE)</f>
        <v>8.5</v>
      </c>
      <c r="AC22" s="10">
        <f>VLOOKUP($A22,'Lev 2022'!$K$2:$L$474,2,FALSE)</f>
        <v>7.78</v>
      </c>
      <c r="AG22" s="2">
        <f t="shared" si="1"/>
        <v>-0.71999999999999975</v>
      </c>
      <c r="AH22" s="103">
        <f t="shared" si="2"/>
        <v>-8.4705882352941145E-2</v>
      </c>
    </row>
    <row r="23" spans="1:34" x14ac:dyDescent="0.25">
      <c r="A23" t="s">
        <v>7</v>
      </c>
      <c r="B23" t="str">
        <f>VLOOKUP(A23,'Korrigerade leveranser GD'!$A$4:$B$482,2,FALSE)</f>
        <v>Bengtsfors</v>
      </c>
      <c r="C23" s="10"/>
      <c r="D23" s="10"/>
      <c r="E23" s="10"/>
      <c r="F23" s="10"/>
      <c r="G23" s="10"/>
      <c r="H23" s="10"/>
      <c r="I23" s="10"/>
      <c r="J23" s="10"/>
      <c r="K23" s="10"/>
      <c r="L23" s="10">
        <v>0</v>
      </c>
      <c r="M23" s="10">
        <v>7.6</v>
      </c>
      <c r="N23" s="10">
        <v>6.8</v>
      </c>
      <c r="O23" s="10">
        <v>8</v>
      </c>
      <c r="P23" s="10">
        <v>8.1999999999999993</v>
      </c>
      <c r="Q23" s="10">
        <v>10.199999999999999</v>
      </c>
      <c r="R23" s="10">
        <v>8.01</v>
      </c>
      <c r="S23" s="10">
        <f>IFERROR(VLOOKUP('Leveranser per nät'!A23,'lev 2012'!$B$2:$E$445,4,FALSE),"")</f>
        <v>8.14</v>
      </c>
      <c r="T23" s="10">
        <f>IFERROR(VLOOKUP('Leveranser per nät'!A23,'lev 2013'!$B$2:$E$445,4,FALSE),"")</f>
        <v>8.0500000000000007</v>
      </c>
      <c r="U23" s="10">
        <f>IFERROR(VLOOKUP('Leveranser per nät'!A23,'lev 2014'!$B$2:$E$432,4,FALSE),"")</f>
        <v>7.5</v>
      </c>
      <c r="V23" s="10">
        <f>IFERROR(INDEX(Levererat_2015[Leveranser till eget nät],MATCH($A23,Levererat_2015[Indexnamn],0)),"")</f>
        <v>7.9</v>
      </c>
      <c r="W23" s="10">
        <f>IFERROR(INDEX(Levererat_2016[Leveranser till eget nät],MATCH($A23,Levererat_2016[Indexnamn],0)),"")</f>
        <v>8.6999999999999993</v>
      </c>
      <c r="X23" s="63">
        <v>8.3000000000000007</v>
      </c>
      <c r="Y23" s="10">
        <f>IFERROR(INDEX(Tabell6[Kolumn1],MATCH($A23,Tabell6[Indexnmamn],0)),"")</f>
        <v>8.4</v>
      </c>
      <c r="Z23" s="10">
        <v>8.6999999999999993</v>
      </c>
      <c r="AA23" s="10">
        <v>8.8000000000000007</v>
      </c>
      <c r="AB23" s="10">
        <f>VLOOKUP(A23,Tabell9[[Indexnamn]:[Kolumn1]],3,FALSE)</f>
        <v>9.8000000000000007</v>
      </c>
      <c r="AC23" s="10">
        <f>VLOOKUP($A23,'Lev 2022'!$K$2:$L$474,2,FALSE)</f>
        <v>9.4</v>
      </c>
      <c r="AG23" s="2">
        <f t="shared" si="1"/>
        <v>-0.40000000000000036</v>
      </c>
      <c r="AH23" s="103">
        <f t="shared" si="2"/>
        <v>-4.0816326530612276E-2</v>
      </c>
    </row>
    <row r="24" spans="1:34" x14ac:dyDescent="0.25">
      <c r="A24" t="s">
        <v>845</v>
      </c>
      <c r="B24" t="s">
        <v>536</v>
      </c>
      <c r="C24" s="10"/>
      <c r="D24" s="10"/>
      <c r="E24" s="10"/>
      <c r="F24" s="10"/>
      <c r="G24" s="10"/>
      <c r="H24" s="10"/>
      <c r="I24" s="10"/>
      <c r="J24" s="10"/>
      <c r="K24" s="10"/>
      <c r="L24" s="10"/>
      <c r="M24" s="10"/>
      <c r="N24" s="10"/>
      <c r="O24" s="10"/>
      <c r="P24" s="10"/>
      <c r="Q24" s="10"/>
      <c r="R24" s="10"/>
      <c r="S24" s="10"/>
      <c r="T24" s="10"/>
      <c r="U24" s="10"/>
      <c r="V24" s="10">
        <v>10.4</v>
      </c>
      <c r="W24" s="10">
        <v>11.5</v>
      </c>
      <c r="X24" s="10">
        <f>IFERROR(INDEX(Tabell4[Leveranser till eget nät],MATCH('Leveranser per nät'!A24,Tabell4[[Finns i listan ]],0)),"")</f>
        <v>11.116</v>
      </c>
      <c r="Y24" s="10">
        <f>IFERROR(INDEX(Tabell6[Kolumn1],MATCH($A24,Tabell6[Indexnmamn],0)),"")</f>
        <v>11.193</v>
      </c>
      <c r="Z24" s="10">
        <v>11.253</v>
      </c>
      <c r="AA24" s="10">
        <v>10.295</v>
      </c>
      <c r="AB24" s="10">
        <f>VLOOKUP(A24,Tabell9[[Indexnamn]:[Kolumn1]],3,FALSE)</f>
        <v>11.198</v>
      </c>
      <c r="AC24" s="10">
        <f>VLOOKUP($A24,'Lev 2022'!$K$2:$L$474,2,FALSE)</f>
        <v>10.8</v>
      </c>
      <c r="AG24" s="2">
        <f t="shared" si="1"/>
        <v>-0.39799999999999969</v>
      </c>
      <c r="AH24" s="103">
        <f t="shared" si="2"/>
        <v>-3.5542061082336103E-2</v>
      </c>
    </row>
    <row r="25" spans="1:34" s="77" customFormat="1" x14ac:dyDescent="0.25">
      <c r="A25" s="86" t="s">
        <v>9</v>
      </c>
      <c r="B25" s="77" t="str">
        <f>VLOOKUP(A25,'Korrigerade leveranser GD'!$A$4:$B$482,2,FALSE)</f>
        <v>Gävle</v>
      </c>
      <c r="C25" s="69"/>
      <c r="D25" s="69"/>
      <c r="E25" s="69"/>
      <c r="F25" s="69"/>
      <c r="G25" s="69"/>
      <c r="H25" s="69"/>
      <c r="I25" s="69"/>
      <c r="J25" s="69"/>
      <c r="K25" s="69"/>
      <c r="L25" s="69"/>
      <c r="M25" s="69"/>
      <c r="N25" s="69"/>
      <c r="O25" s="69"/>
      <c r="P25" s="69">
        <v>0</v>
      </c>
      <c r="Q25" s="69">
        <v>3.9</v>
      </c>
      <c r="R25" s="69">
        <v>3.3</v>
      </c>
      <c r="S25" s="69">
        <f>IFERROR(VLOOKUP('Leveranser per nät'!A25,'lev 2012'!$B$2:$E$445,4,FALSE),"")</f>
        <v>3.5</v>
      </c>
      <c r="T25" s="69">
        <f>IFERROR(VLOOKUP('Leveranser per nät'!A25,'lev 2013'!$B$2:$E$445,4,FALSE),"")</f>
        <v>3.3</v>
      </c>
      <c r="U25" s="69">
        <f>IFERROR(VLOOKUP('Leveranser per nät'!A25,'lev 2014'!$B$2:$E$432,4,FALSE),"")</f>
        <v>3.2</v>
      </c>
      <c r="V25" s="69">
        <f>IFERROR(INDEX(Levererat_2015[Leveranser till eget nät],MATCH($A25,Levererat_2015[Indexnamn],0)),"")</f>
        <v>3.2959999999999998</v>
      </c>
      <c r="W25" s="69">
        <f>IFERROR(INDEX(Levererat_2016[Leveranser till eget nät],MATCH($A25,Levererat_2016[Indexnamn],0)),"")</f>
        <v>3.4689999999999999</v>
      </c>
      <c r="X25" s="69">
        <v>3.5</v>
      </c>
      <c r="Y25" s="69">
        <v>3.5</v>
      </c>
      <c r="Z25" s="69">
        <v>3.4</v>
      </c>
      <c r="AA25" s="69">
        <v>3.1</v>
      </c>
      <c r="AB25" s="69">
        <v>3.3</v>
      </c>
      <c r="AC25" s="56">
        <f>AB25*(1-0.07)</f>
        <v>3.0689999999999995</v>
      </c>
      <c r="AD25"/>
      <c r="AE25"/>
      <c r="AG25" s="2"/>
      <c r="AH25" s="103"/>
    </row>
    <row r="26" spans="1:34" x14ac:dyDescent="0.25">
      <c r="A26" t="s">
        <v>323</v>
      </c>
      <c r="B26" t="str">
        <f>VLOOKUP(A26,'Korrigerade leveranser GD'!$A$4:$B$482,2,FALSE)</f>
        <v>Bjurholm</v>
      </c>
      <c r="C26" s="10"/>
      <c r="D26" s="10"/>
      <c r="E26" s="10"/>
      <c r="F26" s="10"/>
      <c r="G26" s="10"/>
      <c r="H26" s="10"/>
      <c r="I26" s="10">
        <v>0</v>
      </c>
      <c r="J26" s="10">
        <v>4.125</v>
      </c>
      <c r="K26" s="10">
        <v>4.7510000000000003</v>
      </c>
      <c r="L26" s="10">
        <v>6.6682621053606814</v>
      </c>
      <c r="M26" s="56">
        <f>L26+(N26-L26)/2</f>
        <v>6.6636310526803406</v>
      </c>
      <c r="N26" s="10">
        <v>6.6589999999999998</v>
      </c>
      <c r="O26" s="10">
        <v>6.7519999999999998</v>
      </c>
      <c r="P26" s="10">
        <v>7.3330000000000002</v>
      </c>
      <c r="Q26" s="10">
        <v>8.577</v>
      </c>
      <c r="R26" s="10">
        <v>6.8</v>
      </c>
      <c r="S26" s="10">
        <f>IFERROR(VLOOKUP('Leveranser per nät'!A26,'lev 2012'!$B$2:$E$445,4,FALSE),"")</f>
        <v>7.77</v>
      </c>
      <c r="T26" s="10">
        <f>IFERROR(VLOOKUP('Leveranser per nät'!A26,'lev 2013'!$B$2:$E$445,4,FALSE),"")</f>
        <v>7.5839999999999996</v>
      </c>
      <c r="U26" s="10">
        <f>IFERROR(VLOOKUP('Leveranser per nät'!A26,'lev 2014'!$B$2:$E$432,4,FALSE),"")</f>
        <v>7.5430000000000001</v>
      </c>
      <c r="V26" s="10">
        <f>IFERROR(INDEX(Levererat_2015[Leveranser till eget nät],MATCH($A26,Levererat_2015[Indexnamn],0)),"")</f>
        <v>7.0940000000000003</v>
      </c>
      <c r="W26" s="10">
        <f>IFERROR(INDEX(Levererat_2016[Leveranser till eget nät],MATCH($A26,Levererat_2016[Indexnamn],0)),"")</f>
        <v>7.633</v>
      </c>
      <c r="X26" s="10">
        <f>IFERROR(INDEX(Tabell4[Leveranser till eget nät],MATCH('Leveranser per nät'!A26,Tabell4[[Finns i listan ]],0)),"")</f>
        <v>7.73</v>
      </c>
      <c r="Y26" s="10">
        <f>IFERROR(INDEX(Tabell6[Kolumn1],MATCH($A26,Tabell6[Indexnmamn],0)),"")</f>
        <v>7.55</v>
      </c>
      <c r="Z26" s="10">
        <v>7.46</v>
      </c>
      <c r="AA26" s="10">
        <v>6.78</v>
      </c>
      <c r="AB26" s="10">
        <f>VLOOKUP(A26,Tabell9[[Indexnamn]:[Kolumn1]],3,FALSE)</f>
        <v>7.53</v>
      </c>
      <c r="AC26" s="10">
        <f>VLOOKUP($A26,'Lev 2022'!$K$2:$L$474,2,FALSE)</f>
        <v>6.65</v>
      </c>
      <c r="AG26" s="2">
        <f t="shared" si="1"/>
        <v>-0.87999999999999989</v>
      </c>
      <c r="AH26" s="103">
        <f t="shared" si="2"/>
        <v>-0.11686586985391764</v>
      </c>
    </row>
    <row r="27" spans="1:34" x14ac:dyDescent="0.25">
      <c r="A27" t="s">
        <v>109</v>
      </c>
      <c r="B27" t="str">
        <f>VLOOKUP(A27,'Korrigerade leveranser GD'!$A$4:$B$482,2,FALSE)</f>
        <v>Falun</v>
      </c>
      <c r="C27" s="10"/>
      <c r="D27" s="10"/>
      <c r="E27" s="10"/>
      <c r="F27" s="10"/>
      <c r="G27" s="10"/>
      <c r="H27" s="10"/>
      <c r="I27" s="10"/>
      <c r="J27" s="10"/>
      <c r="K27" s="10"/>
      <c r="L27" s="10"/>
      <c r="M27" s="10">
        <v>0</v>
      </c>
      <c r="N27" s="10">
        <v>1.23</v>
      </c>
      <c r="O27" s="10">
        <v>3.03</v>
      </c>
      <c r="P27" s="10">
        <v>3.081</v>
      </c>
      <c r="Q27" s="10">
        <v>4.0380000000000003</v>
      </c>
      <c r="R27" s="10">
        <v>4.0999999999999996</v>
      </c>
      <c r="S27" s="10">
        <f>IFERROR(VLOOKUP('Leveranser per nät'!A27,'lev 2012'!$B$2:$E$445,4,FALSE),"")</f>
        <v>4.9000000000000004</v>
      </c>
      <c r="T27" s="10">
        <f>IFERROR(VLOOKUP('Leveranser per nät'!A27,'lev 2013'!$B$2:$E$445,4,FALSE),"")</f>
        <v>4.6509999999999998</v>
      </c>
      <c r="U27" s="10">
        <f>IFERROR(VLOOKUP('Leveranser per nät'!A27,'lev 2014'!$B$2:$E$432,4,FALSE),"")</f>
        <v>4.43</v>
      </c>
      <c r="V27" s="10">
        <f>IFERROR(INDEX(Levererat_2015[Leveranser till eget nät],MATCH($A27,Levererat_2015[Indexnamn],0)),"")</f>
        <v>4.54</v>
      </c>
      <c r="W27" s="10">
        <f>IFERROR(INDEX(Levererat_2016[Leveranser till eget nät],MATCH($A27,Levererat_2016[Indexnamn],0)),"")</f>
        <v>3.67</v>
      </c>
      <c r="X27" s="10">
        <f>IFERROR(INDEX(Tabell4[Leveranser till eget nät],MATCH('Leveranser per nät'!A27,Tabell4[[Finns i listan ]],0)),"")</f>
        <v>3.16</v>
      </c>
      <c r="Y27" s="10">
        <f>IFERROR(INDEX(Tabell6[Kolumn1],MATCH($A27,Tabell6[Indexnmamn],0)),"")</f>
        <v>3.71</v>
      </c>
      <c r="Z27" s="10">
        <v>3.96</v>
      </c>
      <c r="AA27" s="10">
        <v>3.45</v>
      </c>
      <c r="AB27" s="10">
        <f>VLOOKUP(A27,Tabell9[[Indexnamn]:[Kolumn1]],3,FALSE)</f>
        <v>3.94</v>
      </c>
      <c r="AC27" s="10">
        <f>VLOOKUP($A27,'Lev 2022'!$K$2:$L$474,2,FALSE)</f>
        <v>3.8</v>
      </c>
      <c r="AG27" s="2">
        <f t="shared" si="1"/>
        <v>-0.14000000000000012</v>
      </c>
      <c r="AH27" s="103">
        <f t="shared" si="2"/>
        <v>-3.5532994923857898E-2</v>
      </c>
    </row>
    <row r="28" spans="1:34" x14ac:dyDescent="0.25">
      <c r="A28" s="104" t="s">
        <v>213</v>
      </c>
      <c r="B28" t="str">
        <f>VLOOKUP(A28,'Korrigerade leveranser GD'!$A$4:$B$482,2,FALSE)</f>
        <v>Bjuv</v>
      </c>
      <c r="C28" s="10"/>
      <c r="D28" s="10"/>
      <c r="E28" s="10"/>
      <c r="F28" s="10"/>
      <c r="G28" s="10">
        <v>0</v>
      </c>
      <c r="H28" s="10">
        <v>19</v>
      </c>
      <c r="I28" s="10">
        <v>20.512</v>
      </c>
      <c r="J28" s="10">
        <v>21.155000000000001</v>
      </c>
      <c r="K28" s="56">
        <f>J28+(M28-J28)/3*2</f>
        <v>22.123000000000001</v>
      </c>
      <c r="L28" s="56">
        <f>J28+(M28-J28)/3</f>
        <v>21.638999999999999</v>
      </c>
      <c r="M28" s="10">
        <v>22.606999999999999</v>
      </c>
      <c r="N28" s="10">
        <v>5.2</v>
      </c>
      <c r="O28" s="10">
        <v>21.7</v>
      </c>
      <c r="P28" s="10">
        <v>27.1</v>
      </c>
      <c r="Q28" s="10">
        <v>34.229999999999997</v>
      </c>
      <c r="R28" s="58">
        <v>34.9</v>
      </c>
      <c r="S28" s="10">
        <v>35.700000000000003</v>
      </c>
      <c r="T28" s="10">
        <v>50.4</v>
      </c>
      <c r="U28" s="10">
        <v>24.6</v>
      </c>
      <c r="V28" s="10">
        <v>25.4</v>
      </c>
      <c r="W28" s="10">
        <v>25.6</v>
      </c>
      <c r="X28" s="10">
        <v>26.9</v>
      </c>
      <c r="Y28" s="10">
        <v>25.617000000000001</v>
      </c>
      <c r="Z28" s="10">
        <f>21.034+'Lev2019'!G190</f>
        <v>23.824999999999999</v>
      </c>
      <c r="AA28" s="10">
        <v>21.134</v>
      </c>
      <c r="AB28" s="10">
        <f>VLOOKUP(A28,Tabell9[[Indexnamn]:[Kolumn1]],3,FALSE)</f>
        <v>26.222999999999999</v>
      </c>
      <c r="AC28" s="10">
        <f>VLOOKUP($A28,'Lev 2022'!$K$2:$L$474,2,FALSE)</f>
        <v>27.692</v>
      </c>
      <c r="AG28" s="2">
        <f t="shared" si="1"/>
        <v>1.4690000000000012</v>
      </c>
      <c r="AH28" s="103">
        <f t="shared" si="2"/>
        <v>5.6019524844602112E-2</v>
      </c>
    </row>
    <row r="29" spans="1:34" x14ac:dyDescent="0.25">
      <c r="A29" t="s">
        <v>178</v>
      </c>
      <c r="B29" t="str">
        <f>VLOOKUP(A29,'Korrigerade leveranser GD'!$A$4:$B$482,2,FALSE)</f>
        <v>Hässleholm</v>
      </c>
      <c r="C29" s="10"/>
      <c r="D29" s="10"/>
      <c r="E29" s="10"/>
      <c r="F29" s="10"/>
      <c r="G29" s="10"/>
      <c r="H29" s="10"/>
      <c r="I29" s="10"/>
      <c r="J29" s="10"/>
      <c r="K29" s="10"/>
      <c r="L29" s="10">
        <v>0</v>
      </c>
      <c r="M29" s="10">
        <v>0.107</v>
      </c>
      <c r="N29" s="10">
        <v>0.107</v>
      </c>
      <c r="O29" s="56">
        <f>N29+(P29-N29)/2</f>
        <v>4.4300000000000006</v>
      </c>
      <c r="P29" s="10">
        <v>8.7530000000000001</v>
      </c>
      <c r="Q29" s="10">
        <v>10.593</v>
      </c>
      <c r="R29" s="10">
        <v>9.0109999999999992</v>
      </c>
      <c r="S29" s="10">
        <f>IFERROR(VLOOKUP('Leveranser per nät'!A29,'lev 2012'!$B$2:$E$445,4,FALSE),"")</f>
        <v>9.06</v>
      </c>
      <c r="T29" s="10">
        <f>IFERROR(VLOOKUP('Leveranser per nät'!A29,'lev 2013'!$B$2:$E$445,4,FALSE),"")</f>
        <v>9.2490000000000006</v>
      </c>
      <c r="U29" s="10">
        <f>IFERROR(VLOOKUP('Leveranser per nät'!A29,'lev 2014'!$B$2:$E$432,4,FALSE),"")</f>
        <v>8.1340000000000003</v>
      </c>
      <c r="V29" s="10">
        <f>IFERROR(INDEX(Levererat_2015[Leveranser till eget nät],MATCH($A29,Levererat_2015[Indexnamn],0)),"")</f>
        <v>8.1</v>
      </c>
      <c r="W29" s="10">
        <f>IFERROR(INDEX(Levererat_2016[Leveranser till eget nät],MATCH($A29,Levererat_2016[Indexnamn],0)),"")</f>
        <v>9.1620000000000008</v>
      </c>
      <c r="X29" s="10">
        <f>IFERROR(INDEX(Tabell4[Leveranser till eget nät],MATCH('Leveranser per nät'!A29,Tabell4[[Finns i listan ]],0)),"")</f>
        <v>8.77</v>
      </c>
      <c r="Y29" s="10">
        <f>IFERROR(INDEX(Tabell6[Kolumn1],MATCH($A29,Tabell6[Indexnmamn],0)),"")</f>
        <v>8.68</v>
      </c>
      <c r="Z29" s="10">
        <v>8.15</v>
      </c>
      <c r="AA29" s="10">
        <v>7.2880000000000003</v>
      </c>
      <c r="AB29" s="10">
        <f>VLOOKUP(A29,Tabell9[[Indexnamn]:[Kolumn1]],3,FALSE)</f>
        <v>9.09</v>
      </c>
      <c r="AC29" s="10">
        <f>VLOOKUP($A29,'Lev 2022'!$K$2:$L$474,2,FALSE)</f>
        <v>8.34</v>
      </c>
      <c r="AG29" s="2">
        <f t="shared" si="1"/>
        <v>-0.75</v>
      </c>
      <c r="AH29" s="103">
        <f t="shared" si="2"/>
        <v>-8.2508250825082508E-2</v>
      </c>
    </row>
    <row r="30" spans="1:34" x14ac:dyDescent="0.25">
      <c r="A30" t="s">
        <v>377</v>
      </c>
      <c r="B30" t="str">
        <f>VLOOKUP(A30,'Korrigerade leveranser GD'!$A$4:$B$482,2,FALSE)</f>
        <v>Örnsköldsvik</v>
      </c>
      <c r="C30" s="10"/>
      <c r="D30" s="10"/>
      <c r="E30" s="10"/>
      <c r="F30" s="10"/>
      <c r="G30" s="10"/>
      <c r="H30" s="10"/>
      <c r="I30" s="10"/>
      <c r="J30" s="10"/>
      <c r="K30" s="10">
        <v>0</v>
      </c>
      <c r="L30" s="10">
        <v>9.9840999999999998</v>
      </c>
      <c r="M30" s="10">
        <v>10.119999999999999</v>
      </c>
      <c r="N30" s="10">
        <v>7.6070000000000002</v>
      </c>
      <c r="O30" s="10">
        <v>7.5910000000000002</v>
      </c>
      <c r="P30" s="10">
        <v>8.1582299999999996</v>
      </c>
      <c r="Q30" s="10">
        <v>9.6210000000000004</v>
      </c>
      <c r="R30" s="56">
        <f>Q30+(S30-Q30)/2</f>
        <v>8.8354999999999997</v>
      </c>
      <c r="S30" s="10">
        <f>IFERROR(VLOOKUP('Leveranser per nät'!A30,'lev 2012'!$B$2:$E$445,4,FALSE),"")</f>
        <v>8.0500000000000007</v>
      </c>
      <c r="T30" s="10">
        <f>IFERROR(VLOOKUP('Leveranser per nät'!A30,'lev 2013'!$B$2:$E$445,4,FALSE),"")</f>
        <v>7.4340000000000002</v>
      </c>
      <c r="U30" s="10">
        <f>IFERROR(VLOOKUP('Leveranser per nät'!A30,'lev 2014'!$B$2:$E$432,4,FALSE),"")</f>
        <v>6.9749999999999996</v>
      </c>
      <c r="V30" s="10">
        <f>IFERROR(INDEX(Levererat_2015[Leveranser till eget nät],MATCH($A30,Levererat_2015[Indexnamn],0)),"")</f>
        <v>6.6630000000000003</v>
      </c>
      <c r="W30" s="10">
        <f>IFERROR(INDEX(Levererat_2016[Leveranser till eget nät],MATCH($A30,Levererat_2016[Indexnamn],0)),"")</f>
        <v>7.343</v>
      </c>
      <c r="X30" s="10">
        <f>IFERROR(INDEX(Tabell4[Leveranser till eget nät],MATCH('Leveranser per nät'!A30,Tabell4[[Finns i listan ]],0)),"")</f>
        <v>7.19</v>
      </c>
      <c r="Y30" s="10">
        <f>IFERROR(INDEX(Tabell6[Kolumn1],MATCH($A30,Tabell6[Indexnmamn],0)),"")</f>
        <v>7.19</v>
      </c>
      <c r="Z30" s="10">
        <v>6.83</v>
      </c>
      <c r="AA30" s="10">
        <v>5.98</v>
      </c>
      <c r="AB30" s="10">
        <f>VLOOKUP(A30,Tabell9[[Indexnamn]:[Kolumn1]],3,FALSE)</f>
        <v>7</v>
      </c>
      <c r="AC30" s="10">
        <f>VLOOKUP($A30,'Lev 2022'!$K$2:$L$474,2,FALSE)</f>
        <v>6.59</v>
      </c>
      <c r="AG30" s="2">
        <f t="shared" si="1"/>
        <v>-0.41000000000000014</v>
      </c>
      <c r="AH30" s="103">
        <f t="shared" si="2"/>
        <v>-5.8571428571428594E-2</v>
      </c>
    </row>
    <row r="31" spans="1:34" s="65" customFormat="1" x14ac:dyDescent="0.25">
      <c r="A31" s="65" t="s">
        <v>570</v>
      </c>
      <c r="B31" s="65" t="s">
        <v>337</v>
      </c>
      <c r="C31" s="68"/>
      <c r="D31" s="68"/>
      <c r="E31" s="68"/>
      <c r="F31" s="68"/>
      <c r="G31" s="68"/>
      <c r="H31" s="68"/>
      <c r="I31" s="68"/>
      <c r="J31" s="68"/>
      <c r="K31" s="68"/>
      <c r="L31" s="68"/>
      <c r="M31" s="68"/>
      <c r="N31" s="68"/>
      <c r="O31" s="68"/>
      <c r="P31" s="68"/>
      <c r="Q31" s="68"/>
      <c r="R31" s="68"/>
      <c r="S31" s="68"/>
      <c r="T31" s="68"/>
      <c r="U31" s="68"/>
      <c r="V31" s="68">
        <v>0.8</v>
      </c>
      <c r="W31" s="68">
        <v>0.8</v>
      </c>
      <c r="X31" s="68"/>
      <c r="Y31" s="68" t="str">
        <f>IFERROR(INDEX(Tabell6[Kolumn1],MATCH($A31,Tabell6[Indexnmamn],0)),"")</f>
        <v/>
      </c>
      <c r="Z31" s="68"/>
      <c r="AA31" s="68" t="s">
        <v>779</v>
      </c>
      <c r="AB31" s="10"/>
      <c r="AC31" s="10"/>
      <c r="AD31"/>
      <c r="AE31"/>
      <c r="AG31" s="2">
        <f t="shared" si="1"/>
        <v>0</v>
      </c>
      <c r="AH31" s="103"/>
    </row>
    <row r="32" spans="1:34" s="65" customFormat="1" x14ac:dyDescent="0.25">
      <c r="A32" s="65" t="s">
        <v>485</v>
      </c>
      <c r="B32" s="65" t="str">
        <f>VLOOKUP(A32,'Korrigerade leveranser GD'!$A$4:$B$482,2,FALSE)</f>
        <v>Mönsterås</v>
      </c>
      <c r="C32" s="68"/>
      <c r="D32" s="68"/>
      <c r="E32" s="68"/>
      <c r="F32" s="68"/>
      <c r="G32" s="68"/>
      <c r="H32" s="68"/>
      <c r="I32" s="68"/>
      <c r="J32" s="68"/>
      <c r="K32" s="68"/>
      <c r="L32" s="68"/>
      <c r="M32" s="68"/>
      <c r="N32" s="68"/>
      <c r="O32" s="68"/>
      <c r="P32" s="68">
        <v>0</v>
      </c>
      <c r="Q32" s="68">
        <v>10.1</v>
      </c>
      <c r="R32" s="68">
        <v>8.7337980000000002</v>
      </c>
      <c r="S32" s="68">
        <f>IFERROR(VLOOKUP('Leveranser per nät'!A32,'lev 2012'!$B$2:$E$445,4,FALSE),"")</f>
        <v>9.4700000000000006</v>
      </c>
      <c r="T32" s="68">
        <f>IFERROR(VLOOKUP('Leveranser per nät'!A32,'lev 2013'!$B$2:$E$445,4,FALSE),"")</f>
        <v>9.01</v>
      </c>
      <c r="U32" s="68" t="str">
        <f>IFERROR(VLOOKUP('Leveranser per nät'!A32,'lev 2014'!$B$2:$E$432,4,FALSE),"")</f>
        <v/>
      </c>
      <c r="V32" s="68" t="str">
        <f>IFERROR(INDEX(Levererat_2015[Leveranser till eget nät],MATCH($A32,Levererat_2015[Indexnamn],0)),"")</f>
        <v/>
      </c>
      <c r="W32" s="68" t="str">
        <f>IFERROR(INDEX(Levererat_2016[Leveranser till eget nät],MATCH($A32,Levererat_2016[Indexnamn],0)),"")</f>
        <v/>
      </c>
      <c r="X32" s="68" t="str">
        <f>IFERROR(INDEX(Tabell4[Leveranser till eget nät],MATCH('Leveranser per nät'!A32,Tabell4[[Finns i listan ]],0)),"")</f>
        <v/>
      </c>
      <c r="Y32" s="68" t="str">
        <f>IFERROR(INDEX(Tabell6[Kolumn1],MATCH($A32,Tabell6[Indexnmamn],0)),"")</f>
        <v/>
      </c>
      <c r="Z32" s="68"/>
      <c r="AA32" s="68" t="s">
        <v>779</v>
      </c>
      <c r="AB32" s="10"/>
      <c r="AC32" s="10"/>
      <c r="AD32"/>
      <c r="AE32"/>
      <c r="AG32" s="2">
        <f t="shared" si="1"/>
        <v>0</v>
      </c>
      <c r="AH32" s="103"/>
    </row>
    <row r="33" spans="1:34" x14ac:dyDescent="0.25">
      <c r="A33" t="s">
        <v>225</v>
      </c>
      <c r="B33" t="str">
        <f>VLOOKUP(A33,'Korrigerade leveranser GD'!$A$4:$B$482,2,FALSE)</f>
        <v>Nässjö</v>
      </c>
      <c r="C33" s="10"/>
      <c r="D33" s="10"/>
      <c r="E33" s="10"/>
      <c r="F33" s="10"/>
      <c r="G33" s="10"/>
      <c r="H33" s="10"/>
      <c r="I33" s="10"/>
      <c r="J33" s="10">
        <v>0</v>
      </c>
      <c r="K33" s="10">
        <v>3.3359999999999999</v>
      </c>
      <c r="L33" s="10">
        <v>3.3290000000000002</v>
      </c>
      <c r="M33" s="10">
        <v>3.3450000000000002</v>
      </c>
      <c r="N33" s="10">
        <v>4.8470000000000004</v>
      </c>
      <c r="O33" s="10">
        <v>6.4249999999999998</v>
      </c>
      <c r="P33" s="10">
        <v>9.2810000000000006</v>
      </c>
      <c r="Q33" s="10">
        <v>11.237</v>
      </c>
      <c r="R33" s="10">
        <v>9.8000000000000007</v>
      </c>
      <c r="S33" s="10">
        <f>IFERROR(VLOOKUP('Leveranser per nät'!A33,'lev 2012'!$B$2:$E$445,4,FALSE),"")</f>
        <v>10.9</v>
      </c>
      <c r="T33" s="10">
        <f>IFERROR(VLOOKUP('Leveranser per nät'!A33,'lev 2013'!$B$2:$E$445,4,FALSE),"")</f>
        <v>10.849</v>
      </c>
      <c r="U33" s="10">
        <f>IFERROR(VLOOKUP('Leveranser per nät'!A33,'lev 2014'!$B$2:$E$432,4,FALSE),"")</f>
        <v>9.7029999999999994</v>
      </c>
      <c r="V33" s="10">
        <f>IFERROR(INDEX(Levererat_2015[Leveranser till eget nät],MATCH($A33,Levererat_2015[Indexnamn],0)),"")</f>
        <v>10.31</v>
      </c>
      <c r="W33" s="10">
        <f>IFERROR(INDEX(Levererat_2016[Leveranser till eget nät],MATCH($A33,Levererat_2016[Indexnamn],0)),"")</f>
        <v>11.096</v>
      </c>
      <c r="X33" s="64">
        <v>10.6</v>
      </c>
      <c r="Y33" s="10">
        <f>IFERROR(INDEX(Tabell6[Kolumn1],MATCH($A33,Tabell6[Indexnmamn],0)),"")</f>
        <v>10.56</v>
      </c>
      <c r="Z33" s="10">
        <v>10.36</v>
      </c>
      <c r="AA33" s="10">
        <v>9</v>
      </c>
      <c r="AB33" s="10">
        <f>VLOOKUP(A33,Tabell9[[Indexnamn]:[Kolumn1]],3,FALSE)</f>
        <v>9.26</v>
      </c>
      <c r="AC33" s="10">
        <f>VLOOKUP($A33,'Lev 2022'!$K$2:$L$474,2,FALSE)</f>
        <v>9.4600000000000009</v>
      </c>
      <c r="AG33" s="2">
        <f t="shared" si="1"/>
        <v>0.20000000000000107</v>
      </c>
      <c r="AH33" s="103">
        <f t="shared" si="2"/>
        <v>2.1598272138229058E-2</v>
      </c>
    </row>
    <row r="34" spans="1:34" x14ac:dyDescent="0.25">
      <c r="A34" t="s">
        <v>19</v>
      </c>
      <c r="B34" t="str">
        <f>VLOOKUP(A34,'Korrigerade leveranser GD'!$A$4:$B$482,2,FALSE)</f>
        <v>Boden</v>
      </c>
      <c r="C34" s="10">
        <v>252</v>
      </c>
      <c r="D34" s="10">
        <v>239.9</v>
      </c>
      <c r="E34" s="10">
        <v>261</v>
      </c>
      <c r="F34" s="10">
        <v>266</v>
      </c>
      <c r="G34" s="10">
        <v>235</v>
      </c>
      <c r="H34" s="10">
        <v>259</v>
      </c>
      <c r="I34" s="10">
        <v>259</v>
      </c>
      <c r="J34" s="56">
        <f>I34+(K34-I34)/2</f>
        <v>259</v>
      </c>
      <c r="K34" s="10">
        <v>259</v>
      </c>
      <c r="L34" s="10">
        <v>259</v>
      </c>
      <c r="M34" s="10">
        <v>234</v>
      </c>
      <c r="N34" s="10">
        <v>236</v>
      </c>
      <c r="O34" s="10">
        <v>229</v>
      </c>
      <c r="P34" s="10">
        <v>246</v>
      </c>
      <c r="Q34" s="58">
        <v>289</v>
      </c>
      <c r="R34" s="58">
        <v>241</v>
      </c>
      <c r="S34" s="63">
        <v>271</v>
      </c>
      <c r="T34" s="63">
        <v>256</v>
      </c>
      <c r="U34" s="63">
        <v>251</v>
      </c>
      <c r="V34" s="10">
        <v>243.1</v>
      </c>
      <c r="W34" s="10">
        <v>267.10000000000002</v>
      </c>
      <c r="X34" s="10">
        <f>IFERROR(INDEX(Tabell4[Leveranser till eget nät],MATCH('Leveranser per nät'!A34,Tabell4[[Finns i listan ]],0)),"")</f>
        <v>272</v>
      </c>
      <c r="Y34" s="10">
        <f>IFERROR(INDEX(Tabell6[Kolumn1],MATCH($A34,Tabell6[Indexnmamn],0)),"")</f>
        <v>273</v>
      </c>
      <c r="Z34" s="10">
        <v>275</v>
      </c>
      <c r="AA34" s="10">
        <v>242</v>
      </c>
      <c r="AB34" s="10">
        <f>VLOOKUP(A34,Tabell9[[Indexnamn]:[Kolumn1]],3,FALSE)</f>
        <v>267.7</v>
      </c>
      <c r="AC34" s="10">
        <f>VLOOKUP($A34,'Lev 2022'!$K$2:$L$474,2,FALSE)</f>
        <v>261.39999999999998</v>
      </c>
      <c r="AG34" s="2">
        <f t="shared" si="1"/>
        <v>-6.3000000000000114</v>
      </c>
      <c r="AH34" s="103">
        <f t="shared" si="2"/>
        <v>-2.3533806499813268E-2</v>
      </c>
    </row>
    <row r="35" spans="1:34" x14ac:dyDescent="0.25">
      <c r="A35" t="s">
        <v>263</v>
      </c>
      <c r="B35" t="str">
        <f>VLOOKUP(A35,'Korrigerade leveranser GD'!$A$4:$B$482,2,FALSE)</f>
        <v>Skellefteå</v>
      </c>
      <c r="C35" s="10"/>
      <c r="D35" s="10"/>
      <c r="E35" s="10">
        <v>0</v>
      </c>
      <c r="F35" s="10">
        <v>3</v>
      </c>
      <c r="G35" s="10">
        <v>3</v>
      </c>
      <c r="H35" s="10">
        <v>5.7119999999999997</v>
      </c>
      <c r="I35" s="10">
        <v>6</v>
      </c>
      <c r="J35" s="10">
        <v>6</v>
      </c>
      <c r="K35" s="10">
        <v>5.7363999999999997</v>
      </c>
      <c r="L35" s="10">
        <v>5.5693999999999999</v>
      </c>
      <c r="M35" s="10">
        <v>6.6909999999999998</v>
      </c>
      <c r="N35" s="10">
        <v>7.1440000000000001</v>
      </c>
      <c r="O35" s="10">
        <v>7.5129999999999999</v>
      </c>
      <c r="P35" s="10">
        <v>8.2940000000000005</v>
      </c>
      <c r="Q35" s="10">
        <v>8.9380000000000006</v>
      </c>
      <c r="R35" s="10">
        <v>7.7329999999999997</v>
      </c>
      <c r="S35" s="10">
        <f>IFERROR(VLOOKUP('Leveranser per nät'!A35,'lev 2012'!$B$2:$E$445,4,FALSE),"")</f>
        <v>8.64</v>
      </c>
      <c r="T35" s="10">
        <f>IFERROR(VLOOKUP('Leveranser per nät'!A35,'lev 2013'!$B$2:$E$445,4,FALSE),"")</f>
        <v>8.0299999999999994</v>
      </c>
      <c r="U35" s="10">
        <f>IFERROR(VLOOKUP('Leveranser per nät'!A35,'lev 2014'!$B$2:$E$432,4,FALSE),"")</f>
        <v>7.851</v>
      </c>
      <c r="V35" s="10">
        <f>IFERROR(INDEX(Levererat_2015[Leveranser till eget nät],MATCH($A35,Levererat_2015[Indexnamn],0)),"")</f>
        <v>7.7149999999999999</v>
      </c>
      <c r="W35" s="10">
        <f>IFERROR(INDEX(Levererat_2016[Leveranser till eget nät],MATCH($A35,Levererat_2016[Indexnamn],0)),"")</f>
        <v>8.0709999999999997</v>
      </c>
      <c r="X35" s="10">
        <f>IFERROR(INDEX(Tabell4[Leveranser till eget nät],MATCH('Leveranser per nät'!A35,Tabell4[[Finns i listan ]],0)),"")</f>
        <v>7.9630000000000001</v>
      </c>
      <c r="Y35" s="10">
        <f>IFERROR(INDEX(Tabell6[Kolumn1],MATCH($A35,Tabell6[Indexnmamn],0)),"")</f>
        <v>7.9029999999999996</v>
      </c>
      <c r="Z35" s="10">
        <v>7.8650000000000002</v>
      </c>
      <c r="AA35" s="10">
        <v>6.9827000000000004</v>
      </c>
      <c r="AB35" s="10">
        <f>VLOOKUP(A35,Tabell9[[Indexnamn]:[Kolumn1]],3,FALSE)</f>
        <v>7.7615999999999996</v>
      </c>
      <c r="AC35" s="10">
        <f>VLOOKUP($A35,'Lev 2022'!$K$2:$L$474,2,FALSE)</f>
        <v>6.9737</v>
      </c>
      <c r="AG35" s="2">
        <f t="shared" si="1"/>
        <v>-0.7878999999999996</v>
      </c>
      <c r="AH35" s="103">
        <f t="shared" si="2"/>
        <v>-0.1015125747268604</v>
      </c>
    </row>
    <row r="36" spans="1:34" x14ac:dyDescent="0.25">
      <c r="A36" t="s">
        <v>21</v>
      </c>
      <c r="B36" t="str">
        <f>VLOOKUP(A36,'Korrigerade leveranser GD'!$A$4:$B$482,2,FALSE)</f>
        <v>Bollnäs</v>
      </c>
      <c r="C36" s="10">
        <v>112</v>
      </c>
      <c r="D36" s="10">
        <v>105.02</v>
      </c>
      <c r="E36" s="10">
        <v>107</v>
      </c>
      <c r="F36" s="10">
        <v>116</v>
      </c>
      <c r="G36" s="10">
        <v>115</v>
      </c>
      <c r="H36" s="10">
        <v>130</v>
      </c>
      <c r="I36" s="10">
        <v>126</v>
      </c>
      <c r="J36" s="10">
        <v>128</v>
      </c>
      <c r="K36" s="10">
        <v>130.03399999999999</v>
      </c>
      <c r="L36" s="10">
        <v>125.268</v>
      </c>
      <c r="M36" s="10">
        <v>131.54792</v>
      </c>
      <c r="N36" s="10">
        <v>122.3</v>
      </c>
      <c r="O36" s="10">
        <v>127.2</v>
      </c>
      <c r="P36" s="10">
        <v>133.9</v>
      </c>
      <c r="Q36" s="10">
        <v>151.648</v>
      </c>
      <c r="R36" s="10">
        <v>122.754</v>
      </c>
      <c r="S36" s="10">
        <f>IFERROR(VLOOKUP('Leveranser per nät'!A36,'lev 2012'!$B$2:$E$445,4,FALSE),"")</f>
        <v>130</v>
      </c>
      <c r="T36" s="10">
        <f>IFERROR(VLOOKUP('Leveranser per nät'!A36,'lev 2013'!$B$2:$E$445,4,FALSE),"")</f>
        <v>125.747</v>
      </c>
      <c r="U36" s="10">
        <f>IFERROR(VLOOKUP('Leveranser per nät'!A36,'lev 2014'!$B$2:$E$432,4,FALSE),"")</f>
        <v>116.577</v>
      </c>
      <c r="V36" s="10">
        <f>IFERROR(INDEX(Levererat_2015[Leveranser till eget nät],MATCH($A36,Levererat_2015[Indexnamn],0)),"")</f>
        <v>117.59399999999999</v>
      </c>
      <c r="W36" s="10">
        <f>IFERROR(INDEX(Levererat_2016[Leveranser till eget nät],MATCH($A36,Levererat_2016[Indexnamn],0)),"")</f>
        <v>123.122</v>
      </c>
      <c r="X36" s="10">
        <f>IFERROR(INDEX(Tabell4[Leveranser till eget nät],MATCH('Leveranser per nät'!A36,Tabell4[[Finns i listan ]],0)),"")</f>
        <v>125.47199999999999</v>
      </c>
      <c r="Y36" s="10">
        <f>IFERROR(INDEX(Tabell6[Kolumn1],MATCH($A36,Tabell6[Indexnmamn],0)),"")</f>
        <v>125.789</v>
      </c>
      <c r="Z36" s="10">
        <v>123.673</v>
      </c>
      <c r="AA36" s="10">
        <v>108.492</v>
      </c>
      <c r="AB36" s="10">
        <f>VLOOKUP(A36,Tabell9[[Indexnamn]:[Kolumn1]],3,FALSE)</f>
        <v>129.869</v>
      </c>
      <c r="AC36" s="10">
        <f>VLOOKUP($A36,'Lev 2022'!$K$2:$L$474,2,FALSE)</f>
        <v>124.684</v>
      </c>
      <c r="AG36" s="2">
        <f t="shared" si="1"/>
        <v>-5.1850000000000023</v>
      </c>
      <c r="AH36" s="103">
        <f t="shared" si="2"/>
        <v>-3.9924847346171931E-2</v>
      </c>
    </row>
    <row r="37" spans="1:34" x14ac:dyDescent="0.25">
      <c r="A37" t="s">
        <v>60</v>
      </c>
      <c r="B37" t="str">
        <f>VLOOKUP(A37,'Korrigerade leveranser GD'!$A$4:$B$482,2,FALSE)</f>
        <v>Kramfors</v>
      </c>
      <c r="C37" s="10">
        <v>8</v>
      </c>
      <c r="D37" s="10">
        <v>7.1879999999999997</v>
      </c>
      <c r="E37" s="10">
        <v>9.1999999999999993</v>
      </c>
      <c r="F37" s="10">
        <v>7.4779999999999998</v>
      </c>
      <c r="G37" s="10">
        <v>7.4779999999999998</v>
      </c>
      <c r="H37" s="10">
        <v>8</v>
      </c>
      <c r="I37" s="10">
        <v>7</v>
      </c>
      <c r="J37" s="10">
        <v>6.91</v>
      </c>
      <c r="K37" s="10">
        <v>6.7901317191939592</v>
      </c>
      <c r="L37" s="10">
        <v>6.7901317191939592</v>
      </c>
      <c r="M37" s="10">
        <v>7.97</v>
      </c>
      <c r="N37" s="10">
        <v>6.3</v>
      </c>
      <c r="O37" s="10">
        <v>6</v>
      </c>
      <c r="P37" s="10">
        <v>6</v>
      </c>
      <c r="Q37" s="10">
        <v>6</v>
      </c>
      <c r="R37" s="56">
        <f>Q37+(S37-Q37)/2</f>
        <v>5.5250000000000004</v>
      </c>
      <c r="S37" s="10">
        <f>IFERROR(VLOOKUP('Leveranser per nät'!A37,'lev 2012'!$B$2:$E$445,4,FALSE),"")</f>
        <v>5.05</v>
      </c>
      <c r="T37" s="10">
        <f>IFERROR(VLOOKUP('Leveranser per nät'!A37,'lev 2013'!$B$2:$E$445,4,FALSE),"")</f>
        <v>4.9000000000000004</v>
      </c>
      <c r="U37" s="10">
        <v>4.5999999999999996</v>
      </c>
      <c r="V37" s="10">
        <f>IFERROR(INDEX(Levererat_2015[Leveranser till eget nät],MATCH($A37,Levererat_2015[Indexnamn],0)),"")</f>
        <v>4.5999999999999996</v>
      </c>
      <c r="W37" s="10">
        <f>IFERROR(INDEX(Levererat_2016[Leveranser till eget nät],MATCH($A37,Levererat_2016[Indexnamn],0)),"")</f>
        <v>5.2</v>
      </c>
      <c r="X37" s="10">
        <f>IFERROR(INDEX(Tabell4[Leveranser till eget nät],MATCH('Leveranser per nät'!A37,Tabell4[[Finns i listan ]],0)),"")</f>
        <v>5.0999999999999996</v>
      </c>
      <c r="Y37" s="10">
        <f>IFERROR(INDEX(Tabell6[Kolumn1],MATCH($A37,Tabell6[Indexnmamn],0)),"")</f>
        <v>5.3</v>
      </c>
      <c r="Z37" s="10">
        <v>4.9000000000000004</v>
      </c>
      <c r="AA37" s="10">
        <v>4.88</v>
      </c>
      <c r="AB37" s="10">
        <f>VLOOKUP(A37,Tabell9[[Indexnamn]:[Kolumn1]],3,FALSE)</f>
        <v>5.4359999999999999</v>
      </c>
      <c r="AC37" s="10">
        <f>VLOOKUP($A37,'Lev 2022'!$K$2:$L$474,2,FALSE)</f>
        <v>5.51</v>
      </c>
      <c r="AG37" s="2">
        <f t="shared" si="1"/>
        <v>7.3999999999999844E-2</v>
      </c>
      <c r="AH37" s="103">
        <f t="shared" si="2"/>
        <v>1.3612950699043386E-2</v>
      </c>
    </row>
    <row r="38" spans="1:34" x14ac:dyDescent="0.25">
      <c r="A38" t="s">
        <v>306</v>
      </c>
      <c r="B38" t="str">
        <f>VLOOKUP(A38,'Korrigerade leveranser GD'!$A$4:$B$482,2,FALSE)</f>
        <v>Motala</v>
      </c>
      <c r="C38" s="10"/>
      <c r="D38" s="10"/>
      <c r="E38" s="10"/>
      <c r="F38" s="10"/>
      <c r="G38" s="10"/>
      <c r="H38" s="10"/>
      <c r="I38" s="10"/>
      <c r="J38" s="10">
        <v>0</v>
      </c>
      <c r="K38" s="10">
        <v>8.48</v>
      </c>
      <c r="L38" s="10">
        <v>9.6999999999999993</v>
      </c>
      <c r="M38" s="10">
        <v>9.9</v>
      </c>
      <c r="N38" s="10">
        <v>12.7</v>
      </c>
      <c r="O38" s="10">
        <v>11.3</v>
      </c>
      <c r="P38" s="10">
        <v>11.9</v>
      </c>
      <c r="Q38" s="10">
        <v>14.5</v>
      </c>
      <c r="R38" s="10">
        <v>12</v>
      </c>
      <c r="S38" s="10">
        <f>IFERROR(VLOOKUP('Leveranser per nät'!A38,'lev 2012'!$B$2:$E$445,4,FALSE),"")</f>
        <v>12.7</v>
      </c>
      <c r="T38" s="10">
        <f>IFERROR(VLOOKUP('Leveranser per nät'!A38,'lev 2013'!$B$2:$E$445,4,FALSE),"")</f>
        <v>12.1</v>
      </c>
      <c r="U38" s="10">
        <f>IFERROR(VLOOKUP('Leveranser per nät'!A38,'lev 2014'!$B$2:$E$432,4,FALSE),"")</f>
        <v>10.9</v>
      </c>
      <c r="V38" s="10">
        <f>IFERROR(INDEX(Levererat_2015[Leveranser till eget nät],MATCH($A38,Levererat_2015[Indexnamn],0)),"")</f>
        <v>10.9</v>
      </c>
      <c r="W38" s="10">
        <f>IFERROR(INDEX(Levererat_2016[Leveranser till eget nät],MATCH($A38,Levererat_2016[Indexnamn],0)),"")</f>
        <v>11.3</v>
      </c>
      <c r="X38" s="10">
        <f>IFERROR(INDEX(Tabell4[Leveranser till eget nät],MATCH('Leveranser per nät'!A38,Tabell4[[Finns i listan ]],0)),"")</f>
        <v>11.1</v>
      </c>
      <c r="Y38" s="10">
        <f>IFERROR(INDEX(Tabell6[Kolumn1],MATCH($A38,Tabell6[Indexnmamn],0)),"")</f>
        <v>11.2</v>
      </c>
      <c r="Z38" s="10">
        <v>10.795999999999999</v>
      </c>
      <c r="AA38" s="10">
        <v>9.9920000000000009</v>
      </c>
      <c r="AB38" s="10">
        <f>VLOOKUP(A38,Tabell9[[Indexnamn]:[Kolumn1]],3,FALSE)</f>
        <v>11.695</v>
      </c>
      <c r="AC38" s="10">
        <f>VLOOKUP($A38,'Lev 2022'!$K$2:$L$474,2,FALSE)</f>
        <v>10.654</v>
      </c>
      <c r="AG38" s="2">
        <f t="shared" si="1"/>
        <v>-1.0410000000000004</v>
      </c>
      <c r="AH38" s="103">
        <f t="shared" si="2"/>
        <v>-8.9012398460880743E-2</v>
      </c>
    </row>
    <row r="39" spans="1:34" x14ac:dyDescent="0.25">
      <c r="A39" s="3" t="s">
        <v>23</v>
      </c>
      <c r="B39" t="str">
        <f>VLOOKUP(A39,'Korrigerade leveranser GD'!$A$4:$B$482,2,FALSE)</f>
        <v>Borgholm</v>
      </c>
      <c r="C39" s="10"/>
      <c r="D39" s="10"/>
      <c r="E39" s="10"/>
      <c r="F39" s="10"/>
      <c r="G39" s="10"/>
      <c r="H39" s="10"/>
      <c r="I39" s="10"/>
      <c r="J39" s="10"/>
      <c r="K39" s="10"/>
      <c r="L39" s="10"/>
      <c r="M39" s="10"/>
      <c r="N39" s="10"/>
      <c r="O39" s="10">
        <v>0</v>
      </c>
      <c r="P39" s="10">
        <v>28</v>
      </c>
      <c r="Q39" s="10">
        <v>29.222000000000001</v>
      </c>
      <c r="R39" s="10">
        <v>26.1</v>
      </c>
      <c r="S39" s="10">
        <f>IFERROR(VLOOKUP('Leveranser per nät'!A39,'lev 2012'!$B$2:$E$445,4,FALSE),"")</f>
        <v>29</v>
      </c>
      <c r="T39" s="10">
        <f>IFERROR(VLOOKUP('Leveranser per nät'!A39,'lev 2013'!$B$2:$E$445,4,FALSE),"")</f>
        <v>26.876000000000001</v>
      </c>
      <c r="U39" s="10">
        <f>IFERROR(VLOOKUP('Leveranser per nät'!A39,'lev 2014'!$B$2:$E$432,4,FALSE),"")</f>
        <v>24.24</v>
      </c>
      <c r="V39" s="10">
        <f>IFERROR(INDEX(Levererat_2015[Leveranser till eget nät],MATCH($A39,Levererat_2015[Indexnamn],0)),"")</f>
        <v>24.138999999999999</v>
      </c>
      <c r="W39" s="10">
        <f>IFERROR(INDEX(Levererat_2016[Leveranser till eget nät],MATCH($A39,Levererat_2016[Indexnamn],0)),"")</f>
        <v>25.77</v>
      </c>
      <c r="X39" s="10">
        <f>IFERROR(INDEX(Tabell4[Leveranser till eget nät],MATCH('Leveranser per nät'!A39,Tabell4[[Finns i listan ]],0)),"")</f>
        <v>25.67</v>
      </c>
      <c r="Y39" s="10">
        <f>IFERROR(INDEX(Tabell6[Kolumn1],MATCH($A39,Tabell6[Indexnmamn],0)),"")</f>
        <v>25.062000000000001</v>
      </c>
      <c r="Z39" s="10">
        <v>23.08</v>
      </c>
      <c r="AA39" s="10">
        <v>22.2</v>
      </c>
      <c r="AB39" s="10">
        <f>VLOOKUP(A39,Tabell9[[Indexnamn]:[Kolumn1]],3,FALSE)</f>
        <v>25</v>
      </c>
      <c r="AC39" s="10">
        <f>VLOOKUP($A39,'Lev 2022'!$K$2:$L$474,2,FALSE)</f>
        <v>24.7</v>
      </c>
      <c r="AG39" s="2">
        <f t="shared" si="1"/>
        <v>-0.30000000000000071</v>
      </c>
      <c r="AH39" s="103">
        <f t="shared" si="2"/>
        <v>-1.2000000000000028E-2</v>
      </c>
    </row>
    <row r="40" spans="1:34" x14ac:dyDescent="0.25">
      <c r="A40" t="s">
        <v>25</v>
      </c>
      <c r="B40" t="str">
        <f>VLOOKUP(A40,'Korrigerade leveranser GD'!$A$4:$B$482,2,FALSE)</f>
        <v>Borlänge</v>
      </c>
      <c r="C40" s="10">
        <v>327</v>
      </c>
      <c r="D40" s="10">
        <v>286.49</v>
      </c>
      <c r="E40" s="10">
        <v>298</v>
      </c>
      <c r="F40" s="10">
        <v>297</v>
      </c>
      <c r="G40" s="10">
        <v>283</v>
      </c>
      <c r="H40" s="10">
        <v>340</v>
      </c>
      <c r="I40" s="10">
        <v>338</v>
      </c>
      <c r="J40" s="10">
        <v>370.46800000000002</v>
      </c>
      <c r="K40" s="10">
        <v>364.92200000000003</v>
      </c>
      <c r="L40" s="10">
        <v>351.45699999999999</v>
      </c>
      <c r="M40" s="10">
        <v>358.7</v>
      </c>
      <c r="N40" s="10">
        <v>359.6</v>
      </c>
      <c r="O40" s="10">
        <v>357.5</v>
      </c>
      <c r="P40" s="10">
        <v>376.8</v>
      </c>
      <c r="Q40" s="10">
        <v>437.9</v>
      </c>
      <c r="R40" s="10">
        <v>360</v>
      </c>
      <c r="S40" s="10">
        <f>IFERROR(VLOOKUP('Leveranser per nät'!A40,'lev 2012'!$B$2:$E$445,4,FALSE),"")</f>
        <v>385</v>
      </c>
      <c r="T40" s="10">
        <f>IFERROR(VLOOKUP('Leveranser per nät'!A40,'lev 2013'!$B$2:$E$445,4,FALSE),"")</f>
        <v>370.77</v>
      </c>
      <c r="U40" s="10">
        <f>IFERROR(VLOOKUP('Leveranser per nät'!A40,'lev 2014'!$B$2:$E$432,4,FALSE),"")</f>
        <v>349.774</v>
      </c>
      <c r="V40" s="10">
        <f>IFERROR(INDEX(Levererat_2015[Leveranser till eget nät],MATCH($A40,Levererat_2015[Indexnamn],0)),"")</f>
        <v>356.13400000000001</v>
      </c>
      <c r="W40" s="10">
        <f>IFERROR(INDEX(Levererat_2016[Leveranser till eget nät],MATCH($A40,Levererat_2016[Indexnamn],0)),"")</f>
        <v>371.541</v>
      </c>
      <c r="X40" s="10">
        <f>IFERROR(INDEX(Tabell4[Leveranser till eget nät],MATCH('Leveranser per nät'!A40,Tabell4[[Finns i listan ]],0)),"")</f>
        <v>374.45</v>
      </c>
      <c r="Y40" s="10">
        <f>IFERROR(INDEX(Tabell6[Kolumn1],MATCH($A40,Tabell6[Indexnmamn],0)),"")</f>
        <v>380.52799999999996</v>
      </c>
      <c r="Z40" s="10">
        <v>380.76400000000001</v>
      </c>
      <c r="AA40" s="10">
        <v>378.29</v>
      </c>
      <c r="AB40" s="10">
        <f>VLOOKUP(A40,Tabell9[[Indexnamn]:[Kolumn1]],3,FALSE)</f>
        <v>391.27</v>
      </c>
      <c r="AC40" s="10">
        <f>VLOOKUP($A40,'Lev 2022'!$K$2:$L$474,2,FALSE)</f>
        <v>366.79899999999998</v>
      </c>
      <c r="AG40" s="2">
        <f t="shared" si="1"/>
        <v>-24.471000000000004</v>
      </c>
      <c r="AH40" s="103">
        <f t="shared" si="2"/>
        <v>-6.2542489840774929E-2</v>
      </c>
    </row>
    <row r="41" spans="1:34" x14ac:dyDescent="0.25">
      <c r="A41" t="s">
        <v>29</v>
      </c>
      <c r="B41" t="str">
        <f>VLOOKUP(A41,'Korrigerade leveranser GD'!$A$4:$B$482,2,FALSE)</f>
        <v>Borås</v>
      </c>
      <c r="C41" s="10">
        <v>630</v>
      </c>
      <c r="D41" s="10">
        <v>589</v>
      </c>
      <c r="E41" s="10">
        <v>596</v>
      </c>
      <c r="F41" s="10">
        <v>587</v>
      </c>
      <c r="G41" s="10">
        <v>587</v>
      </c>
      <c r="H41" s="10">
        <v>603</v>
      </c>
      <c r="I41" s="10">
        <v>591.02499999999998</v>
      </c>
      <c r="J41" s="10">
        <v>596.56200000000001</v>
      </c>
      <c r="K41" s="10">
        <v>591.19200000000001</v>
      </c>
      <c r="L41" s="10">
        <v>629.12699999999995</v>
      </c>
      <c r="M41" s="10">
        <v>634.08200000000011</v>
      </c>
      <c r="N41" s="10">
        <v>625.87099999999998</v>
      </c>
      <c r="O41" s="10">
        <v>572.79</v>
      </c>
      <c r="P41" s="10">
        <v>613.97199999999998</v>
      </c>
      <c r="Q41" s="10">
        <v>726.20899999999995</v>
      </c>
      <c r="R41" s="10">
        <v>596.71299999999997</v>
      </c>
      <c r="S41" s="10">
        <f>IFERROR(VLOOKUP('Leveranser per nät'!A41,'lev 2012'!$B$2:$E$445,4,FALSE),"")</f>
        <v>645</v>
      </c>
      <c r="T41" s="10">
        <f>IFERROR(VLOOKUP('Leveranser per nät'!A41,'lev 2013'!$B$2:$E$445,4,FALSE),"")</f>
        <v>628.78800000000001</v>
      </c>
      <c r="U41" s="10">
        <f>IFERROR(VLOOKUP('Leveranser per nät'!A41,'lev 2014'!$B$2:$E$432,4,FALSE),"")</f>
        <v>550.18899999999996</v>
      </c>
      <c r="V41" s="10">
        <f>IFERROR(INDEX(Levererat_2015[Leveranser till eget nät],MATCH($A41,Levererat_2015[Indexnamn],0)),"")</f>
        <v>573.59799999999996</v>
      </c>
      <c r="W41" s="10">
        <f>IFERROR(INDEX(Levererat_2016[Leveranser till eget nät],MATCH($A41,Levererat_2016[Indexnamn],0)),"")</f>
        <v>607.60299999999995</v>
      </c>
      <c r="X41" s="10">
        <f>IFERROR(INDEX(Tabell4[Leveranser till eget nät],MATCH('Leveranser per nät'!A41,Tabell4[[Finns i listan ]],0)),"")</f>
        <v>593.62199999999996</v>
      </c>
      <c r="Y41" s="10">
        <f>IFERROR(INDEX(Tabell6[Kolumn1],MATCH($A41,Tabell6[Indexnmamn],0)),"")</f>
        <v>598.46799999999996</v>
      </c>
      <c r="Z41" s="10">
        <v>586.19399999999996</v>
      </c>
      <c r="AA41" s="10">
        <v>558.84500000000003</v>
      </c>
      <c r="AB41" s="10">
        <f>VLOOKUP(A41,Tabell9[[Indexnamn]:[Kolumn1]],3,FALSE)</f>
        <v>651.46899999999994</v>
      </c>
      <c r="AC41" s="10">
        <f>VLOOKUP($A41,'Lev 2022'!$K$2:$L$474,2,FALSE)</f>
        <v>591.96799999999996</v>
      </c>
      <c r="AG41" s="2">
        <f t="shared" si="1"/>
        <v>-59.500999999999976</v>
      </c>
      <c r="AH41" s="103">
        <f t="shared" si="2"/>
        <v>-9.1333586095424316E-2</v>
      </c>
    </row>
    <row r="42" spans="1:34" x14ac:dyDescent="0.25">
      <c r="A42" t="s">
        <v>41</v>
      </c>
      <c r="B42" t="str">
        <f>VLOOKUP(A42,'Korrigerade leveranser GD'!$A$4:$B$482,2,FALSE)</f>
        <v>Tranås</v>
      </c>
      <c r="C42" s="10"/>
      <c r="D42" s="10"/>
      <c r="E42" s="10"/>
      <c r="F42" s="10">
        <v>0</v>
      </c>
      <c r="G42" s="10">
        <v>12</v>
      </c>
      <c r="H42" s="10">
        <v>14</v>
      </c>
      <c r="I42" s="56">
        <f>H42+(J42-H42)/2</f>
        <v>14.3515</v>
      </c>
      <c r="J42" s="10">
        <v>14.702999999999999</v>
      </c>
      <c r="K42" s="10">
        <v>0</v>
      </c>
      <c r="L42" s="10">
        <v>0</v>
      </c>
      <c r="M42" s="10">
        <v>73.085999999999999</v>
      </c>
      <c r="N42" s="10">
        <v>80.900000000000006</v>
      </c>
      <c r="O42" s="10">
        <v>5.8220000000000001</v>
      </c>
      <c r="P42" s="10">
        <v>16.154</v>
      </c>
      <c r="Q42" s="10">
        <v>19</v>
      </c>
      <c r="R42" s="10">
        <v>50</v>
      </c>
      <c r="S42" s="10">
        <f>IFERROR(VLOOKUP('Leveranser per nät'!A42,'lev 2012'!$B$2:$E$445,4,FALSE),"")</f>
        <v>54</v>
      </c>
      <c r="T42" s="10">
        <f>IFERROR(VLOOKUP('Leveranser per nät'!A42,'lev 2013'!$B$2:$E$445,4,FALSE),"")</f>
        <v>44.95</v>
      </c>
      <c r="U42" s="10">
        <f>IFERROR(VLOOKUP('Leveranser per nät'!A42,'lev 2014'!$B$2:$E$432,4,FALSE),"")</f>
        <v>54.47</v>
      </c>
      <c r="V42" s="10">
        <f>IFERROR(INDEX(Levererat_2015[Leveranser till eget nät],MATCH($A42,Levererat_2015[Indexnamn],0)),"")</f>
        <v>58.777000000000001</v>
      </c>
      <c r="W42" s="10">
        <f>IFERROR(INDEX(Levererat_2016[Leveranser till eget nät],MATCH($A42,Levererat_2016[Indexnamn],0)),"")</f>
        <v>43.3</v>
      </c>
      <c r="X42" s="10">
        <f>IFERROR(INDEX(Tabell4[Leveranser till eget nät],MATCH('Leveranser per nät'!A42,Tabell4[[Finns i listan ]],0)),"")</f>
        <v>24.338000000000001</v>
      </c>
      <c r="Y42" s="10">
        <f>IFERROR(INDEX(Tabell6[Kolumn1],MATCH($A42,Tabell6[Indexnmamn],0)),"")</f>
        <v>16.2</v>
      </c>
      <c r="Z42" s="10">
        <v>15.275</v>
      </c>
      <c r="AA42" s="10">
        <v>13.282999999999999</v>
      </c>
      <c r="AB42" s="10">
        <f>VLOOKUP(A42,Tabell9[[Indexnamn]:[Kolumn1]],3,FALSE)</f>
        <v>15.894</v>
      </c>
      <c r="AC42" s="10">
        <f>VLOOKUP($A42,'Lev 2022'!$K$2:$L$474,2,FALSE)</f>
        <v>15.539</v>
      </c>
      <c r="AG42" s="2">
        <f t="shared" si="1"/>
        <v>-0.35500000000000043</v>
      </c>
      <c r="AH42" s="103">
        <f t="shared" si="2"/>
        <v>-2.2335472505347957E-2</v>
      </c>
    </row>
    <row r="43" spans="1:34" x14ac:dyDescent="0.25">
      <c r="A43" t="s">
        <v>364</v>
      </c>
      <c r="B43" t="str">
        <f>VLOOKUP(A43,'Korrigerade leveranser GD'!$A$4:$B$482,2,FALSE)</f>
        <v>Växjö</v>
      </c>
      <c r="C43" s="10"/>
      <c r="D43" s="10"/>
      <c r="E43" s="10">
        <v>0</v>
      </c>
      <c r="F43" s="10">
        <v>7</v>
      </c>
      <c r="G43" s="10">
        <v>13</v>
      </c>
      <c r="H43" s="10">
        <v>16.143000000000001</v>
      </c>
      <c r="I43" s="10">
        <v>15</v>
      </c>
      <c r="J43" s="10">
        <v>17</v>
      </c>
      <c r="K43" s="10">
        <v>17.399999999999999</v>
      </c>
      <c r="L43" s="10">
        <v>16.276</v>
      </c>
      <c r="M43" s="10">
        <v>17.256</v>
      </c>
      <c r="N43" s="10">
        <v>17.256</v>
      </c>
      <c r="O43" s="10">
        <v>17.638000000000002</v>
      </c>
      <c r="P43" s="10">
        <v>15.637</v>
      </c>
      <c r="Q43" s="10">
        <v>19.707999999999998</v>
      </c>
      <c r="R43" s="10">
        <v>17.193999999999999</v>
      </c>
      <c r="S43" s="10">
        <f>IFERROR(VLOOKUP('Leveranser per nät'!A43,'lev 2012'!$B$2:$E$445,4,FALSE),"")</f>
        <v>18.14</v>
      </c>
      <c r="T43" s="10">
        <f>IFERROR(VLOOKUP('Leveranser per nät'!A43,'lev 2013'!$B$2:$E$445,4,FALSE),"")</f>
        <v>21.873999999999999</v>
      </c>
      <c r="U43" s="10">
        <f>IFERROR(VLOOKUP('Leveranser per nät'!A43,'lev 2014'!$B$2:$E$432,4,FALSE),"")</f>
        <v>15.46</v>
      </c>
      <c r="V43" s="10">
        <f>IFERROR(INDEX(Levererat_2015[Leveranser till eget nät],MATCH($A43,Levererat_2015[Indexnamn],0)),"")</f>
        <v>14.526</v>
      </c>
      <c r="W43" s="10">
        <f>IFERROR(INDEX(Levererat_2016[Leveranser till eget nät],MATCH($A43,Levererat_2016[Indexnamn],0)),"")</f>
        <v>14.83</v>
      </c>
      <c r="X43" s="10">
        <f>IFERROR(INDEX(Tabell4[Leveranser till eget nät],MATCH('Leveranser per nät'!A43,Tabell4[[Finns i listan ]],0)),"")</f>
        <v>13.175000000000001</v>
      </c>
      <c r="Y43" s="10">
        <f>IFERROR(INDEX(Tabell6[Kolumn1],MATCH($A43,Tabell6[Indexnmamn],0)),"")</f>
        <v>13.83</v>
      </c>
      <c r="Z43" s="10">
        <v>12.743</v>
      </c>
      <c r="AA43" s="10">
        <v>11.036</v>
      </c>
      <c r="AB43" s="10">
        <f>VLOOKUP(A43,Tabell9[[Indexnamn]:[Kolumn1]],3,FALSE)</f>
        <v>14.407</v>
      </c>
      <c r="AC43" s="10">
        <f>VLOOKUP($A43,'Lev 2022'!$K$2:$L$474,2,FALSE)</f>
        <v>13.305</v>
      </c>
      <c r="AG43" s="2">
        <f t="shared" si="1"/>
        <v>-1.1020000000000003</v>
      </c>
      <c r="AH43" s="103">
        <f t="shared" si="2"/>
        <v>-7.6490594849725854E-2</v>
      </c>
    </row>
    <row r="44" spans="1:34" x14ac:dyDescent="0.25">
      <c r="A44" t="s">
        <v>378</v>
      </c>
      <c r="B44" t="str">
        <f>VLOOKUP(A44,'Korrigerade leveranser GD'!$A$4:$B$482,2,FALSE)</f>
        <v>Örnsköldsvik</v>
      </c>
      <c r="C44" s="10"/>
      <c r="D44" s="10"/>
      <c r="E44" s="10"/>
      <c r="F44" s="10"/>
      <c r="G44" s="10"/>
      <c r="H44" s="10"/>
      <c r="I44" s="10"/>
      <c r="J44" s="10"/>
      <c r="K44" s="10">
        <v>0</v>
      </c>
      <c r="L44" s="10">
        <v>0</v>
      </c>
      <c r="M44" s="10">
        <v>6.1</v>
      </c>
      <c r="N44" s="10">
        <v>4.8860000000000001</v>
      </c>
      <c r="O44" s="10">
        <v>5.0019999999999998</v>
      </c>
      <c r="P44" s="10">
        <v>5.2800500000000001</v>
      </c>
      <c r="Q44" s="10">
        <v>6.3250000000000002</v>
      </c>
      <c r="R44" s="58">
        <v>5.2</v>
      </c>
      <c r="S44" s="10">
        <f>IFERROR(VLOOKUP('Leveranser per nät'!A44,'lev 2012'!$B$2:$E$445,4,FALSE),"")</f>
        <v>5.76</v>
      </c>
      <c r="T44" s="10">
        <f>IFERROR(VLOOKUP('Leveranser per nät'!A44,'lev 2013'!$B$2:$E$445,4,FALSE),"")</f>
        <v>5.51</v>
      </c>
      <c r="U44" s="10">
        <f>IFERROR(VLOOKUP('Leveranser per nät'!A44,'lev 2014'!$B$2:$E$432,4,FALSE),"")</f>
        <v>4.6550000000000002</v>
      </c>
      <c r="V44" s="10">
        <f>IFERROR(INDEX(Levererat_2015[Leveranser till eget nät],MATCH($A44,Levererat_2015[Indexnamn],0)),"")</f>
        <v>5.1539999999999999</v>
      </c>
      <c r="W44" s="10">
        <f>IFERROR(INDEX(Levererat_2016[Leveranser till eget nät],MATCH($A44,Levererat_2016[Indexnamn],0)),"")</f>
        <v>5.4939999999999998</v>
      </c>
      <c r="X44" s="10">
        <f>IFERROR(INDEX(Tabell4[Leveranser till eget nät],MATCH('Leveranser per nät'!A44,Tabell4[[Finns i listan ]],0)),"")</f>
        <v>5.4290000000000003</v>
      </c>
      <c r="Y44" s="10">
        <f>IFERROR(INDEX(Tabell6[Kolumn1],MATCH($A44,Tabell6[Indexnmamn],0)),"")</f>
        <v>5.62</v>
      </c>
      <c r="Z44" s="10">
        <v>5.35</v>
      </c>
      <c r="AA44" s="10">
        <v>4.45</v>
      </c>
      <c r="AB44" s="10">
        <f>VLOOKUP(A44,Tabell9[[Indexnamn]:[Kolumn1]],3,FALSE)</f>
        <v>5.36</v>
      </c>
      <c r="AC44" s="10">
        <f>VLOOKUP($A44,'Lev 2022'!$K$2:$L$474,2,FALSE)</f>
        <v>4.92</v>
      </c>
      <c r="AG44" s="2">
        <f t="shared" si="1"/>
        <v>-0.44000000000000039</v>
      </c>
      <c r="AH44" s="103">
        <f t="shared" si="2"/>
        <v>-8.2089552238806041E-2</v>
      </c>
    </row>
    <row r="45" spans="1:34" s="70" customFormat="1" x14ac:dyDescent="0.25">
      <c r="A45" s="70" t="s">
        <v>61</v>
      </c>
      <c r="B45" s="70" t="str">
        <f>VLOOKUP(A45,'Korrigerade leveranser GD'!$A$4:$B$482,2,FALSE)</f>
        <v>Upplands-Bro</v>
      </c>
      <c r="C45" s="76">
        <v>29</v>
      </c>
      <c r="D45" s="76">
        <v>24.489000000000001</v>
      </c>
      <c r="E45" s="76">
        <v>26</v>
      </c>
      <c r="F45" s="76">
        <v>23.231000000000002</v>
      </c>
      <c r="G45" s="76">
        <v>26.4</v>
      </c>
      <c r="H45" s="76">
        <v>30</v>
      </c>
      <c r="I45" s="76">
        <v>26.6</v>
      </c>
      <c r="J45" s="76">
        <v>26.85</v>
      </c>
      <c r="K45" s="76">
        <v>49.146999999999998</v>
      </c>
      <c r="L45" s="76">
        <v>30.136099963708144</v>
      </c>
      <c r="M45" s="76">
        <v>26.4</v>
      </c>
      <c r="N45" s="76">
        <v>27.95</v>
      </c>
      <c r="O45" s="76">
        <v>27</v>
      </c>
      <c r="P45" s="76">
        <v>29</v>
      </c>
      <c r="Q45" s="76">
        <v>32.4</v>
      </c>
      <c r="R45" s="76">
        <v>26.3</v>
      </c>
      <c r="S45" s="76">
        <f>IFERROR(VLOOKUP('Leveranser per nät'!A45,'lev 2012'!$B$2:$E$445,4,FALSE),"")</f>
        <v>34</v>
      </c>
      <c r="T45" s="76">
        <f>IFERROR(VLOOKUP('Leveranser per nät'!A45,'lev 2013'!$B$2:$E$445,4,FALSE),"")</f>
        <v>29.8</v>
      </c>
      <c r="U45" s="76">
        <f>IFERROR(VLOOKUP('Leveranser per nät'!A45,'lev 2014'!$B$2:$E$432,4,FALSE),"")</f>
        <v>27.039000000000001</v>
      </c>
      <c r="V45" s="76">
        <f>IFERROR(INDEX(Levererat_2015[Leveranser till eget nät],MATCH($A45,Levererat_2015[Indexnamn],0)),"")</f>
        <v>28.2</v>
      </c>
      <c r="W45" s="76">
        <f>IFERROR(INDEX(Levererat_2016[Leveranser till eget nät],MATCH($A45,Levererat_2016[Indexnamn],0)),"")</f>
        <v>26</v>
      </c>
      <c r="X45" s="76">
        <f>IFERROR(INDEX(Tabell4[Leveranser till eget nät],MATCH('Leveranser per nät'!A45,Tabell4[[Finns i listan ]],0)),"")</f>
        <v>29</v>
      </c>
      <c r="Y45" s="76">
        <f>IFERROR(INDEX(Tabell6[Kolumn1],MATCH($A45,Tabell6[Indexnmamn],0)),"")</f>
        <v>28.38</v>
      </c>
      <c r="Z45" s="76"/>
      <c r="AA45" s="76" t="s">
        <v>779</v>
      </c>
      <c r="AB45" s="10"/>
      <c r="AC45" s="10"/>
      <c r="AE45"/>
      <c r="AG45" s="2">
        <f t="shared" si="1"/>
        <v>0</v>
      </c>
      <c r="AH45" s="103"/>
    </row>
    <row r="46" spans="1:34" s="65" customFormat="1" x14ac:dyDescent="0.25">
      <c r="A46" s="67" t="s">
        <v>97</v>
      </c>
      <c r="B46" s="65" t="s">
        <v>163</v>
      </c>
      <c r="C46" s="68"/>
      <c r="D46" s="68"/>
      <c r="E46" s="68"/>
      <c r="F46" s="68"/>
      <c r="G46" s="68"/>
      <c r="H46" s="68"/>
      <c r="I46" s="68"/>
      <c r="J46" s="68"/>
      <c r="K46" s="68"/>
      <c r="L46" s="68"/>
      <c r="M46" s="68"/>
      <c r="N46" s="68"/>
      <c r="O46" s="68">
        <v>0</v>
      </c>
      <c r="P46" s="68">
        <v>1.54</v>
      </c>
      <c r="Q46" s="68">
        <v>1.44</v>
      </c>
      <c r="R46" s="68">
        <v>0</v>
      </c>
      <c r="S46" s="68" t="str">
        <f>IFERROR(VLOOKUP('Leveranser per nät'!A46,'lev 2012'!$B$2:$E$445,4,FALSE),"")</f>
        <v/>
      </c>
      <c r="T46" s="68" t="str">
        <f>IFERROR(VLOOKUP('Leveranser per nät'!A46,'lev 2013'!$B$2:$E$445,4,FALSE),"")</f>
        <v/>
      </c>
      <c r="U46" s="68" t="str">
        <f>IFERROR(VLOOKUP('Leveranser per nät'!A46,'lev 2014'!$B$2:$E$432,4,FALSE),"")</f>
        <v/>
      </c>
      <c r="V46" s="68" t="str">
        <f>IFERROR(INDEX(Levererat_2015[Leveranser till eget nät],MATCH($A46,Levererat_2015[Indexnamn],0)),"")</f>
        <v/>
      </c>
      <c r="W46" s="68" t="str">
        <f>IFERROR(INDEX(Levererat_2016[Leveranser till eget nät],MATCH($A46,Levererat_2016[Indexnamn],0)),"")</f>
        <v/>
      </c>
      <c r="X46" s="68" t="str">
        <f>IFERROR(INDEX(Tabell4[Leveranser till eget nät],MATCH('Leveranser per nät'!A46,Tabell4[[Finns i listan ]],0)),"")</f>
        <v/>
      </c>
      <c r="Y46" s="68" t="str">
        <f>IFERROR(INDEX(Tabell6[Kolumn1],MATCH($A46,Tabell6[Indexnmamn],0)),"")</f>
        <v/>
      </c>
      <c r="Z46" s="68"/>
      <c r="AA46" s="68" t="s">
        <v>779</v>
      </c>
      <c r="AB46" s="10"/>
      <c r="AC46" s="10"/>
      <c r="AD46"/>
      <c r="AE46"/>
      <c r="AG46" s="2">
        <f t="shared" si="1"/>
        <v>0</v>
      </c>
      <c r="AH46" s="103"/>
    </row>
    <row r="47" spans="1:34" s="77" customFormat="1" x14ac:dyDescent="0.25">
      <c r="A47" s="5" t="s">
        <v>81</v>
      </c>
      <c r="B47" s="5" t="str">
        <f>VLOOKUP(A47,'Korrigerade leveranser GD'!$A$4:$B$482,2,FALSE)</f>
        <v>Broby</v>
      </c>
      <c r="C47" s="69"/>
      <c r="D47" s="69"/>
      <c r="E47" s="69"/>
      <c r="F47" s="69"/>
      <c r="G47" s="69"/>
      <c r="H47" s="69"/>
      <c r="I47" s="69"/>
      <c r="J47" s="69"/>
      <c r="K47" s="69">
        <v>0</v>
      </c>
      <c r="L47" s="69">
        <v>4.9121951617728383</v>
      </c>
      <c r="M47" s="69">
        <v>5.87</v>
      </c>
      <c r="N47" s="69">
        <v>11</v>
      </c>
      <c r="O47" s="69">
        <v>10.894</v>
      </c>
      <c r="P47" s="69">
        <v>12.316000000000001</v>
      </c>
      <c r="Q47" s="69">
        <v>14</v>
      </c>
      <c r="R47" s="69">
        <v>12.082774000000001</v>
      </c>
      <c r="S47" s="69">
        <f>IFERROR(VLOOKUP('Leveranser per nät'!A47,'lev 2012'!$B$2:$E$445,4,FALSE),"")</f>
        <v>12.17</v>
      </c>
      <c r="T47" s="69">
        <f>IFERROR(VLOOKUP('Leveranser per nät'!A47,'lev 2013'!$B$2:$E$445,4,FALSE),"")</f>
        <v>13.8</v>
      </c>
      <c r="U47" s="69">
        <f>T47+(V47-T47)/2</f>
        <v>12.2</v>
      </c>
      <c r="V47" s="69">
        <v>10.6</v>
      </c>
      <c r="W47" s="69">
        <v>11.1</v>
      </c>
      <c r="X47" s="69">
        <v>11.9</v>
      </c>
      <c r="Y47" s="112">
        <v>12.7</v>
      </c>
      <c r="Z47" s="69">
        <v>12.1</v>
      </c>
      <c r="AA47" s="58">
        <v>11.976000000000001</v>
      </c>
      <c r="AB47" s="10">
        <f>VLOOKUP(A47,Tabell9[[Indexnamn]:[Kolumn1]],3,FALSE)</f>
        <v>13.7</v>
      </c>
      <c r="AC47" s="10">
        <f>VLOOKUP($A47,'Lev 2022'!$K$2:$L$474,2,FALSE)</f>
        <v>12.2</v>
      </c>
      <c r="AD47"/>
      <c r="AE47"/>
      <c r="AG47" s="2">
        <f t="shared" si="1"/>
        <v>-1.5</v>
      </c>
      <c r="AH47" s="103">
        <f t="shared" si="2"/>
        <v>-0.10948905109489052</v>
      </c>
    </row>
    <row r="48" spans="1:34" x14ac:dyDescent="0.25">
      <c r="A48" s="77" t="s">
        <v>30</v>
      </c>
      <c r="B48" s="77" t="str">
        <f>VLOOKUP(A48,'Korrigerade leveranser GD'!$A$4:$B$482,2,FALSE)</f>
        <v>Bromölla</v>
      </c>
      <c r="C48" s="10"/>
      <c r="D48" s="10"/>
      <c r="E48" s="10">
        <v>0</v>
      </c>
      <c r="F48" s="10">
        <v>10</v>
      </c>
      <c r="G48" s="10">
        <v>36</v>
      </c>
      <c r="H48" s="10">
        <v>47</v>
      </c>
      <c r="I48" s="10">
        <v>49</v>
      </c>
      <c r="J48" s="10">
        <v>51</v>
      </c>
      <c r="K48" s="10">
        <v>50.256</v>
      </c>
      <c r="L48" s="10">
        <v>48.832999999999998</v>
      </c>
      <c r="M48" s="10">
        <v>48.8</v>
      </c>
      <c r="N48" s="10">
        <v>48</v>
      </c>
      <c r="O48" s="10">
        <v>45.8</v>
      </c>
      <c r="P48" s="10">
        <v>43.8</v>
      </c>
      <c r="Q48" s="10">
        <v>48.7</v>
      </c>
      <c r="R48" s="10">
        <v>41.1</v>
      </c>
      <c r="S48" s="10">
        <f>IFERROR(VLOOKUP('Leveranser per nät'!A48,'lev 2012'!$B$2:$E$445,4,FALSE),"")</f>
        <v>39</v>
      </c>
      <c r="T48" s="10">
        <f>IFERROR(VLOOKUP('Leveranser per nät'!A48,'lev 2013'!$B$2:$E$445,4,FALSE),"")</f>
        <v>39.9</v>
      </c>
      <c r="U48" s="10">
        <f>IFERROR(VLOOKUP('Leveranser per nät'!A48,'lev 2014'!$B$2:$E$432,4,FALSE),"")</f>
        <v>34.799999999999997</v>
      </c>
      <c r="V48" s="10">
        <f>IFERROR(INDEX(Levererat_2015[Leveranser till eget nät],MATCH($A48,Levererat_2015[Indexnamn],0)),"")</f>
        <v>33.799999999999997</v>
      </c>
      <c r="W48" s="10">
        <f>IFERROR(INDEX(Levererat_2016[Leveranser till eget nät],MATCH($A48,Levererat_2016[Indexnamn],0)),"")</f>
        <v>35.5</v>
      </c>
      <c r="X48" s="69">
        <v>37.200000000000003</v>
      </c>
      <c r="Y48" s="85">
        <v>36.6</v>
      </c>
      <c r="Z48" s="69">
        <v>34.299999999999997</v>
      </c>
      <c r="AA48" s="69">
        <v>31.7</v>
      </c>
      <c r="AB48" s="69">
        <v>35.4</v>
      </c>
      <c r="AC48" s="56">
        <f>AB48*(1-0.07)</f>
        <v>32.921999999999997</v>
      </c>
      <c r="AG48" s="2">
        <f t="shared" si="1"/>
        <v>-2.4780000000000015</v>
      </c>
      <c r="AH48" s="103"/>
    </row>
    <row r="49" spans="1:34" s="65" customFormat="1" x14ac:dyDescent="0.25">
      <c r="A49" s="65" t="s">
        <v>393</v>
      </c>
      <c r="B49" s="65" t="s">
        <v>157</v>
      </c>
      <c r="C49" s="68"/>
      <c r="D49" s="68"/>
      <c r="E49" s="68"/>
      <c r="F49" s="68"/>
      <c r="G49" s="68"/>
      <c r="H49" s="68"/>
      <c r="I49" s="68"/>
      <c r="J49" s="68"/>
      <c r="K49" s="68"/>
      <c r="L49" s="68"/>
      <c r="M49" s="68"/>
      <c r="N49" s="68"/>
      <c r="O49" s="68"/>
      <c r="P49" s="68">
        <v>0</v>
      </c>
      <c r="Q49" s="68">
        <v>16.5</v>
      </c>
      <c r="R49" s="68">
        <v>0</v>
      </c>
      <c r="S49" s="68" t="str">
        <f>IFERROR(VLOOKUP('Leveranser per nät'!A49,'lev 2012'!$B$2:$E$445,4,FALSE),"")</f>
        <v/>
      </c>
      <c r="T49" s="68" t="str">
        <f>IFERROR(VLOOKUP('Leveranser per nät'!A49,'lev 2013'!$B$2:$E$445,4,FALSE),"")</f>
        <v/>
      </c>
      <c r="U49" s="68"/>
      <c r="V49" s="68" t="str">
        <f>IFERROR(INDEX(Levererat_2015[Leveranser till eget nät],MATCH($A49,Levererat_2015[Indexnamn],0)),"")</f>
        <v/>
      </c>
      <c r="W49" s="68" t="str">
        <f>IFERROR(INDEX(Levererat_2016[Leveranser till eget nät],MATCH($A49,Levererat_2016[Indexnamn],0)),"")</f>
        <v/>
      </c>
      <c r="X49" s="68"/>
      <c r="Y49" s="68"/>
      <c r="Z49" s="68"/>
      <c r="AA49" s="68" t="s">
        <v>779</v>
      </c>
      <c r="AB49" s="10"/>
      <c r="AC49" s="10"/>
      <c r="AD49"/>
      <c r="AE49"/>
      <c r="AG49" s="2">
        <f t="shared" si="1"/>
        <v>0</v>
      </c>
      <c r="AH49" s="103"/>
    </row>
    <row r="50" spans="1:34" x14ac:dyDescent="0.25">
      <c r="A50" t="s">
        <v>31</v>
      </c>
      <c r="B50" t="str">
        <f>VLOOKUP(A50,'Korrigerade leveranser GD'!$A$4:$B$482,2,FALSE)</f>
        <v>Ånge</v>
      </c>
      <c r="C50" s="10">
        <v>17</v>
      </c>
      <c r="D50" s="10">
        <v>16.52</v>
      </c>
      <c r="E50" s="10">
        <v>16</v>
      </c>
      <c r="F50" s="10">
        <v>15</v>
      </c>
      <c r="G50" s="10">
        <v>15</v>
      </c>
      <c r="H50" s="10">
        <v>16</v>
      </c>
      <c r="I50" s="10">
        <v>16</v>
      </c>
      <c r="J50" s="10">
        <v>16</v>
      </c>
      <c r="K50" s="10">
        <v>16.026</v>
      </c>
      <c r="L50" s="10">
        <v>15.596</v>
      </c>
      <c r="M50" s="10">
        <v>12.023</v>
      </c>
      <c r="N50" s="10">
        <v>14.45</v>
      </c>
      <c r="O50" s="10">
        <v>14.45</v>
      </c>
      <c r="P50" s="10">
        <v>17</v>
      </c>
      <c r="Q50" s="58">
        <v>17.7</v>
      </c>
      <c r="R50" s="58">
        <v>14.4</v>
      </c>
      <c r="S50" s="10">
        <v>16.5</v>
      </c>
      <c r="T50" s="10">
        <v>16.5</v>
      </c>
      <c r="U50" s="10">
        <v>14.5</v>
      </c>
      <c r="V50" s="10">
        <f>IFERROR(INDEX(Levererat_2015[Leveranser till eget nät],MATCH($A50,Levererat_2015[Indexnamn],0)),"")</f>
        <v>14.7</v>
      </c>
      <c r="W50" s="10">
        <f>IFERROR(INDEX(Levererat_2016[Leveranser till eget nät],MATCH($A50,Levererat_2016[Indexnamn],0)),"")</f>
        <v>16.2</v>
      </c>
      <c r="X50" s="10">
        <v>17.899999999999999</v>
      </c>
      <c r="Y50" s="10">
        <f>IFERROR(INDEX(Tabell6[Kolumn1],MATCH($A50,Tabell6[Indexnmamn],0)),"")</f>
        <v>18.2</v>
      </c>
      <c r="Z50" s="10">
        <v>14.776999999999999</v>
      </c>
      <c r="AA50" s="58">
        <v>16.600000000000001</v>
      </c>
      <c r="AB50" s="10">
        <f>VLOOKUP(A50,Tabell9[[Indexnamn]:[Kolumn1]],3,FALSE)</f>
        <v>15.693</v>
      </c>
      <c r="AC50" s="10">
        <f>VLOOKUP($A50,'Lev 2022'!$K$2:$L$474,2,FALSE)</f>
        <v>14.423</v>
      </c>
      <c r="AG50" s="2">
        <f t="shared" si="1"/>
        <v>-1.2699999999999996</v>
      </c>
      <c r="AH50" s="103">
        <f t="shared" si="2"/>
        <v>-8.0927802204804666E-2</v>
      </c>
    </row>
    <row r="51" spans="1:34" x14ac:dyDescent="0.25">
      <c r="A51" t="s">
        <v>250</v>
      </c>
      <c r="B51" t="str">
        <f>VLOOKUP(A51,'Korrigerade leveranser GD'!$A$4:$B$482,2,FALSE)</f>
        <v>Ronneby</v>
      </c>
      <c r="C51" s="10"/>
      <c r="D51" s="10"/>
      <c r="E51" s="10"/>
      <c r="F51" s="10"/>
      <c r="G51" s="10"/>
      <c r="H51" s="10"/>
      <c r="I51" s="10"/>
      <c r="J51" s="10"/>
      <c r="K51" s="10">
        <v>0</v>
      </c>
      <c r="L51" s="10">
        <v>0</v>
      </c>
      <c r="M51" s="10">
        <v>28.96</v>
      </c>
      <c r="N51" s="10">
        <v>28.96</v>
      </c>
      <c r="O51" s="10">
        <v>28.6</v>
      </c>
      <c r="P51" s="10">
        <v>29.7</v>
      </c>
      <c r="Q51" s="10">
        <v>35.5</v>
      </c>
      <c r="R51" s="10">
        <v>14.7</v>
      </c>
      <c r="S51" s="10">
        <f>IFERROR(VLOOKUP('Leveranser per nät'!A51,'lev 2012'!$B$2:$E$445,4,FALSE),"")</f>
        <v>14.5</v>
      </c>
      <c r="T51" s="10">
        <f>IFERROR(VLOOKUP('Leveranser per nät'!A51,'lev 2013'!$B$2:$E$445,4,FALSE),"")</f>
        <v>15.4</v>
      </c>
      <c r="U51" s="10">
        <f>IFERROR(VLOOKUP('Leveranser per nät'!A51,'lev 2014'!$B$2:$E$432,4,FALSE),"")</f>
        <v>13.2</v>
      </c>
      <c r="V51" s="10">
        <f>IFERROR(INDEX(Levererat_2015[Leveranser till eget nät],MATCH($A51,Levererat_2015[Indexnamn],0)),"")</f>
        <v>12.2</v>
      </c>
      <c r="W51" s="10">
        <f>IFERROR(INDEX(Levererat_2016[Leveranser till eget nät],MATCH($A51,Levererat_2016[Indexnamn],0)),"")</f>
        <v>14.3</v>
      </c>
      <c r="X51" s="10">
        <f>IFERROR(INDEX(Tabell4[Leveranser till eget nät],MATCH('Leveranser per nät'!A51,Tabell4[[Finns i listan ]],0)),"")</f>
        <v>14.4</v>
      </c>
      <c r="Y51" s="10">
        <f>IFERROR(INDEX(Tabell6[Kolumn1],MATCH($A51,Tabell6[Indexnmamn],0)),"")</f>
        <v>14.6</v>
      </c>
      <c r="Z51" s="10">
        <v>13.4</v>
      </c>
      <c r="AA51" s="10">
        <v>12.8</v>
      </c>
      <c r="AB51" s="10">
        <f>VLOOKUP(A51,Tabell9[[Indexnamn]:[Kolumn1]],3,FALSE)</f>
        <v>14.8</v>
      </c>
      <c r="AC51" s="10">
        <f>VLOOKUP($A51,'Lev 2022'!$K$2:$L$474,2,FALSE)</f>
        <v>13.3</v>
      </c>
      <c r="AG51" s="2">
        <f t="shared" si="1"/>
        <v>-1.5</v>
      </c>
      <c r="AH51" s="103">
        <f t="shared" si="2"/>
        <v>-0.10135135135135134</v>
      </c>
    </row>
    <row r="52" spans="1:34" s="65" customFormat="1" x14ac:dyDescent="0.25">
      <c r="A52" s="65" t="s">
        <v>394</v>
      </c>
      <c r="B52" s="65" t="str">
        <f>VLOOKUP(A52,'Korrigerade leveranser GD'!$A$4:$B$482,2,FALSE)</f>
        <v>Jönköping</v>
      </c>
      <c r="C52" s="68">
        <v>0</v>
      </c>
      <c r="D52" s="68">
        <v>3.18</v>
      </c>
      <c r="E52" s="68">
        <v>8.9979999999999993</v>
      </c>
      <c r="F52" s="68">
        <v>9</v>
      </c>
      <c r="G52" s="68">
        <v>0</v>
      </c>
      <c r="H52" s="68"/>
      <c r="I52" s="68"/>
      <c r="J52" s="68"/>
      <c r="K52" s="68"/>
      <c r="L52" s="68"/>
      <c r="M52" s="68"/>
      <c r="N52" s="68"/>
      <c r="O52" s="68"/>
      <c r="P52" s="68"/>
      <c r="Q52" s="68"/>
      <c r="R52" s="68"/>
      <c r="S52" s="68" t="str">
        <f>IFERROR(VLOOKUP('Leveranser per nät'!A52,'lev 2012'!$B$2:$E$445,4,FALSE),"")</f>
        <v/>
      </c>
      <c r="T52" s="68" t="str">
        <f>IFERROR(VLOOKUP('Leveranser per nät'!A52,'lev 2013'!$B$2:$E$445,4,FALSE),"")</f>
        <v/>
      </c>
      <c r="U52" s="68" t="str">
        <f>IFERROR(VLOOKUP('Leveranser per nät'!A52,'lev 2014'!$B$2:$E$432,4,FALSE),"")</f>
        <v/>
      </c>
      <c r="V52" s="68" t="str">
        <f>IFERROR(INDEX(Levererat_2015[Leveranser till eget nät],MATCH($A52,Levererat_2015[Indexnamn],0)),"")</f>
        <v/>
      </c>
      <c r="W52" s="68" t="str">
        <f>IFERROR(INDEX(Levererat_2016[Leveranser till eget nät],MATCH($A52,Levererat_2016[Indexnamn],0)),"")</f>
        <v/>
      </c>
      <c r="X52" s="68" t="str">
        <f>IFERROR(INDEX(Tabell4[Leveranser till eget nät],MATCH('Leveranser per nät'!A52,Tabell4[[Finns i listan ]],0)),"")</f>
        <v/>
      </c>
      <c r="Y52" s="68" t="str">
        <f>IFERROR(INDEX(Tabell6[Kolumn1],MATCH($A52,Tabell6[Indexnmamn],0)),"")</f>
        <v/>
      </c>
      <c r="Z52" s="68"/>
      <c r="AA52" s="68" t="s">
        <v>779</v>
      </c>
      <c r="AB52" s="10"/>
      <c r="AC52" s="10"/>
      <c r="AD52"/>
      <c r="AE52"/>
      <c r="AG52" s="2">
        <f t="shared" si="1"/>
        <v>0</v>
      </c>
      <c r="AH52" s="103"/>
    </row>
    <row r="53" spans="1:34" x14ac:dyDescent="0.25">
      <c r="A53" t="s">
        <v>264</v>
      </c>
      <c r="B53" t="str">
        <f>VLOOKUP(A53,'Korrigerade leveranser GD'!$A$4:$B$482,2,FALSE)</f>
        <v>Skellefteå</v>
      </c>
      <c r="C53" s="10"/>
      <c r="D53" s="10"/>
      <c r="E53" s="10">
        <v>0</v>
      </c>
      <c r="F53" s="10">
        <v>5</v>
      </c>
      <c r="G53" s="10">
        <v>5</v>
      </c>
      <c r="H53" s="10">
        <v>6.3289999999999997</v>
      </c>
      <c r="I53" s="10">
        <v>6</v>
      </c>
      <c r="J53" s="10">
        <v>6</v>
      </c>
      <c r="K53" s="10">
        <v>6.2088000000000001</v>
      </c>
      <c r="L53" s="10">
        <v>5.7184999999999997</v>
      </c>
      <c r="M53" s="10">
        <v>6.8369999999999997</v>
      </c>
      <c r="N53" s="10">
        <v>7.74</v>
      </c>
      <c r="O53" s="10">
        <v>7.798</v>
      </c>
      <c r="P53" s="10">
        <v>7.9459999999999997</v>
      </c>
      <c r="Q53" s="10">
        <v>8.83</v>
      </c>
      <c r="R53" s="10">
        <v>7.726</v>
      </c>
      <c r="S53" s="10">
        <f>IFERROR(VLOOKUP('Leveranser per nät'!A53,'lev 2012'!$B$2:$E$445,4,FALSE),"")</f>
        <v>8.27</v>
      </c>
      <c r="T53" s="10">
        <f>IFERROR(VLOOKUP('Leveranser per nät'!A53,'lev 2013'!$B$2:$E$445,4,FALSE),"")</f>
        <v>7.8897000000000004</v>
      </c>
      <c r="U53" s="10">
        <f>IFERROR(VLOOKUP('Leveranser per nät'!A53,'lev 2014'!$B$2:$E$432,4,FALSE),"")</f>
        <v>7.5919999999999996</v>
      </c>
      <c r="V53" s="10">
        <f>IFERROR(INDEX(Levererat_2015[Leveranser till eget nät],MATCH($A53,Levererat_2015[Indexnamn],0)),"")</f>
        <v>7.06</v>
      </c>
      <c r="W53" s="10">
        <f>IFERROR(INDEX(Levererat_2016[Leveranser till eget nät],MATCH($A53,Levererat_2016[Indexnamn],0)),"")</f>
        <v>7.7930000000000001</v>
      </c>
      <c r="X53" s="10">
        <f>IFERROR(INDEX(Tabell4[Leveranser till eget nät],MATCH('Leveranser per nät'!A53,Tabell4[[Finns i listan ]],0)),"")</f>
        <v>8.0190000000000001</v>
      </c>
      <c r="Y53" s="10">
        <f>IFERROR(INDEX(Tabell6[Kolumn1],MATCH($A53,Tabell6[Indexnmamn],0)),"")</f>
        <v>7.8559999999999999</v>
      </c>
      <c r="Z53" s="10">
        <v>8.0250000000000004</v>
      </c>
      <c r="AA53" s="10">
        <v>6.8208000000000002</v>
      </c>
      <c r="AB53" s="10">
        <f>VLOOKUP(A53,Tabell9[[Indexnamn]:[Kolumn1]],3,FALSE)</f>
        <v>7.7927</v>
      </c>
      <c r="AC53" s="10">
        <f>VLOOKUP($A53,'Lev 2022'!$K$2:$L$474,2,FALSE)</f>
        <v>7.2408000000000001</v>
      </c>
      <c r="AG53" s="2">
        <f t="shared" si="1"/>
        <v>-0.55189999999999984</v>
      </c>
      <c r="AH53" s="103">
        <f t="shared" si="2"/>
        <v>-7.0822693033223375E-2</v>
      </c>
    </row>
    <row r="54" spans="1:34" x14ac:dyDescent="0.25">
      <c r="A54" t="s">
        <v>265</v>
      </c>
      <c r="B54" t="str">
        <f>VLOOKUP(A54,'Korrigerade leveranser GD'!$A$4:$B$482,2,FALSE)</f>
        <v>Skellefteå</v>
      </c>
      <c r="C54" s="10"/>
      <c r="D54" s="10"/>
      <c r="E54" s="10">
        <v>0</v>
      </c>
      <c r="F54" s="10">
        <v>11</v>
      </c>
      <c r="G54" s="10">
        <v>11</v>
      </c>
      <c r="H54" s="10">
        <v>13.954000000000001</v>
      </c>
      <c r="I54" s="10">
        <v>13</v>
      </c>
      <c r="J54" s="10">
        <v>13</v>
      </c>
      <c r="K54" s="10">
        <v>13.253200000000001</v>
      </c>
      <c r="L54" s="10">
        <v>12.2723</v>
      </c>
      <c r="M54" s="10">
        <v>13.598000000000001</v>
      </c>
      <c r="N54" s="10">
        <v>14.3</v>
      </c>
      <c r="O54" s="10">
        <v>14.202</v>
      </c>
      <c r="P54" s="10">
        <v>14.651</v>
      </c>
      <c r="Q54" s="10">
        <v>15.601000000000001</v>
      </c>
      <c r="R54" s="10">
        <v>13.058</v>
      </c>
      <c r="S54" s="10">
        <f>IFERROR(VLOOKUP('Leveranser per nät'!A54,'lev 2012'!$B$2:$E$445,4,FALSE),"")</f>
        <v>14.64</v>
      </c>
      <c r="T54" s="10">
        <f>IFERROR(VLOOKUP('Leveranser per nät'!A54,'lev 2013'!$B$2:$E$445,4,FALSE),"")</f>
        <v>14.098000000000001</v>
      </c>
      <c r="U54" s="10">
        <f>IFERROR(VLOOKUP('Leveranser per nät'!A54,'lev 2014'!$B$2:$E$432,4,FALSE),"")</f>
        <v>13.845000000000001</v>
      </c>
      <c r="V54" s="10">
        <f>IFERROR(INDEX(Levererat_2015[Leveranser till eget nät],MATCH($A54,Levererat_2015[Indexnamn],0)),"")</f>
        <v>12.5</v>
      </c>
      <c r="W54" s="10">
        <f>IFERROR(INDEX(Levererat_2016[Leveranser till eget nät],MATCH($A54,Levererat_2016[Indexnamn],0)),"")</f>
        <v>14.366</v>
      </c>
      <c r="X54" s="10">
        <f>IFERROR(INDEX(Tabell4[Leveranser till eget nät],MATCH('Leveranser per nät'!A54,Tabell4[[Finns i listan ]],0)),"")</f>
        <v>15.135999999999999</v>
      </c>
      <c r="Y54" s="10">
        <f>IFERROR(INDEX(Tabell6[Kolumn1],MATCH($A54,Tabell6[Indexnmamn],0)),"")</f>
        <v>15.5</v>
      </c>
      <c r="Z54" s="10">
        <v>15.529</v>
      </c>
      <c r="AA54" s="10">
        <v>13.162000000000001</v>
      </c>
      <c r="AB54" s="10">
        <f>VLOOKUP(A54,Tabell9[[Indexnamn]:[Kolumn1]],3,FALSE)</f>
        <v>15.158300000000001</v>
      </c>
      <c r="AC54" s="10">
        <f>VLOOKUP($A54,'Lev 2022'!$K$2:$L$474,2,FALSE)</f>
        <v>13.983000000000001</v>
      </c>
      <c r="AG54" s="2">
        <f t="shared" si="1"/>
        <v>-1.1753</v>
      </c>
      <c r="AH54" s="103">
        <f t="shared" si="2"/>
        <v>-7.7535079791269473E-2</v>
      </c>
    </row>
    <row r="55" spans="1:34" x14ac:dyDescent="0.25">
      <c r="A55" t="s">
        <v>266</v>
      </c>
      <c r="B55" t="str">
        <f>VLOOKUP(A55,'Korrigerade leveranser GD'!$A$4:$B$482,2,FALSE)</f>
        <v>Piteå</v>
      </c>
      <c r="C55" s="10"/>
      <c r="D55" s="10"/>
      <c r="E55" s="10"/>
      <c r="F55" s="10"/>
      <c r="G55" s="10">
        <v>0</v>
      </c>
      <c r="H55" s="10">
        <v>1.3120000000000001</v>
      </c>
      <c r="I55" s="10">
        <v>7</v>
      </c>
      <c r="J55" s="10">
        <v>8</v>
      </c>
      <c r="K55" s="10">
        <v>8.4077999999999999</v>
      </c>
      <c r="L55" s="10">
        <v>8.0190999999999999</v>
      </c>
      <c r="M55" s="10">
        <v>8.2710000000000008</v>
      </c>
      <c r="N55" s="10">
        <v>8.5210000000000008</v>
      </c>
      <c r="O55" s="10">
        <v>8.5570000000000004</v>
      </c>
      <c r="P55" s="10">
        <v>9.2010000000000005</v>
      </c>
      <c r="Q55" s="10">
        <v>9.3689999999999998</v>
      </c>
      <c r="R55" s="10">
        <v>8.1959999999999997</v>
      </c>
      <c r="S55" s="10">
        <f>IFERROR(VLOOKUP('Leveranser per nät'!A55,'lev 2012'!$B$2:$E$445,4,FALSE),"")</f>
        <v>10.35</v>
      </c>
      <c r="T55" s="10">
        <f>IFERROR(VLOOKUP('Leveranser per nät'!A55,'lev 2013'!$B$2:$E$445,4,FALSE),"")</f>
        <v>9.7270000000000003</v>
      </c>
      <c r="U55" s="10">
        <f>IFERROR(VLOOKUP('Leveranser per nät'!A55,'lev 2014'!$B$2:$E$432,4,FALSE),"")</f>
        <v>9.6989999999999998</v>
      </c>
      <c r="V55" s="10">
        <f>IFERROR(INDEX(Levererat_2015[Leveranser till eget nät],MATCH($A55,Levererat_2015[Indexnamn],0)),"")</f>
        <v>9.6669999999999998</v>
      </c>
      <c r="W55" s="10">
        <f>IFERROR(INDEX(Levererat_2016[Leveranser till eget nät],MATCH($A55,Levererat_2016[Indexnamn],0)),"")</f>
        <v>11.364000000000001</v>
      </c>
      <c r="X55" s="10">
        <f>IFERROR(INDEX(Tabell4[Leveranser till eget nät],MATCH('Leveranser per nät'!A55,Tabell4[[Finns i listan ]],0)),"")</f>
        <v>10.656000000000001</v>
      </c>
      <c r="Y55" s="10">
        <f>IFERROR(INDEX(Tabell6[Kolumn1],MATCH($A55,Tabell6[Indexnmamn],0)),"")</f>
        <v>10.94</v>
      </c>
      <c r="Z55" s="10">
        <v>10.827</v>
      </c>
      <c r="AA55" s="10">
        <v>8.6649999999999991</v>
      </c>
      <c r="AB55" s="10">
        <f>VLOOKUP(A55,Tabell9[[Indexnamn]:[Kolumn1]],3,FALSE)</f>
        <v>10.2918</v>
      </c>
      <c r="AC55" s="10">
        <f>VLOOKUP($A55,'Lev 2022'!$K$2:$L$474,2,FALSE)</f>
        <v>9.5807000000000002</v>
      </c>
      <c r="AG55" s="2">
        <f t="shared" si="1"/>
        <v>-0.71110000000000007</v>
      </c>
      <c r="AH55" s="103">
        <f t="shared" si="2"/>
        <v>-6.9093841699216854E-2</v>
      </c>
    </row>
    <row r="56" spans="1:34" x14ac:dyDescent="0.25">
      <c r="A56" t="s">
        <v>62</v>
      </c>
      <c r="B56" t="str">
        <f>VLOOKUP(A56,'Korrigerade leveranser GD'!$A$4:$B$482,2,FALSE)</f>
        <v>Upplands-Bro</v>
      </c>
      <c r="C56" s="10">
        <v>18.57</v>
      </c>
      <c r="D56" s="10">
        <v>19.413</v>
      </c>
      <c r="E56" s="10">
        <v>19</v>
      </c>
      <c r="F56" s="10">
        <v>17.004999999999999</v>
      </c>
      <c r="G56" s="10">
        <v>20</v>
      </c>
      <c r="H56" s="10">
        <v>20</v>
      </c>
      <c r="I56" s="10">
        <v>23.4</v>
      </c>
      <c r="J56" s="10">
        <v>23.7</v>
      </c>
      <c r="K56" s="10">
        <v>28.512</v>
      </c>
      <c r="L56" s="10">
        <v>25.555</v>
      </c>
      <c r="M56" s="10">
        <v>22.6</v>
      </c>
      <c r="N56" s="10">
        <v>22.33</v>
      </c>
      <c r="O56" s="10">
        <v>26.9</v>
      </c>
      <c r="P56" s="10">
        <v>31</v>
      </c>
      <c r="Q56" s="10">
        <v>37.5</v>
      </c>
      <c r="R56" s="10">
        <v>37.5</v>
      </c>
      <c r="S56" s="10">
        <f>IFERROR(VLOOKUP('Leveranser per nät'!A56,'lev 2012'!$B$2:$E$445,4,FALSE),"")</f>
        <v>34</v>
      </c>
      <c r="T56" s="10">
        <f>IFERROR(VLOOKUP('Leveranser per nät'!A56,'lev 2013'!$B$2:$E$445,4,FALSE),"")</f>
        <v>32.9</v>
      </c>
      <c r="U56" s="10">
        <f>IFERROR(VLOOKUP('Leveranser per nät'!A56,'lev 2014'!$B$2:$E$432,4,FALSE),"")</f>
        <v>26.3</v>
      </c>
      <c r="V56" s="10">
        <f>IFERROR(INDEX(Levererat_2015[Leveranser till eget nät],MATCH($A56,Levererat_2015[Indexnamn],0)),"")</f>
        <v>29.9</v>
      </c>
      <c r="W56" s="10">
        <f>IFERROR(INDEX(Levererat_2016[Leveranser till eget nät],MATCH($A56,Levererat_2016[Indexnamn],0)),"")</f>
        <v>32.200000000000003</v>
      </c>
      <c r="X56" s="10" t="str">
        <f>IFERROR(INDEX(Tabell4[Leveranser till eget nät],MATCH('Leveranser per nät'!A56,Tabell4[[Finns i listan ]],0)),"")</f>
        <v/>
      </c>
      <c r="Y56" s="10" t="str">
        <f>IFERROR(INDEX(Tabell6[Kolumn1],MATCH($A56,Tabell6[Indexnmamn],0)),"")</f>
        <v/>
      </c>
      <c r="Z56" s="10">
        <v>33.200000000000003</v>
      </c>
      <c r="AA56" s="10">
        <v>30</v>
      </c>
      <c r="AB56" s="10">
        <f>VLOOKUP(A56,Tabell9[[Indexnamn]:[Kolumn1]],3,FALSE)</f>
        <v>35.533999999999999</v>
      </c>
      <c r="AC56" s="10">
        <f>VLOOKUP($A56,'Lev 2022'!$K$2:$L$474,2,FALSE)</f>
        <v>33.6</v>
      </c>
      <c r="AG56" s="2">
        <f t="shared" si="1"/>
        <v>-1.9339999999999975</v>
      </c>
      <c r="AH56" s="103">
        <f t="shared" si="2"/>
        <v>-5.4426746214892713E-2</v>
      </c>
    </row>
    <row r="57" spans="1:34" s="77" customFormat="1" x14ac:dyDescent="0.25">
      <c r="A57" s="77" t="s">
        <v>496</v>
      </c>
      <c r="B57" s="77" t="str">
        <f>VLOOKUP(A57,'Korrigerade leveranser GD'!$A$4:$B$482,2,FALSE)</f>
        <v>Kopparberg</v>
      </c>
      <c r="C57" s="69"/>
      <c r="D57" s="69"/>
      <c r="E57" s="69"/>
      <c r="F57" s="69"/>
      <c r="G57" s="69"/>
      <c r="H57" s="69"/>
      <c r="I57" s="69"/>
      <c r="J57" s="69"/>
      <c r="K57" s="69"/>
      <c r="L57" s="69"/>
      <c r="M57" s="69"/>
      <c r="N57" s="69"/>
      <c r="O57" s="69"/>
      <c r="P57" s="69"/>
      <c r="Q57" s="69">
        <v>0</v>
      </c>
      <c r="R57" s="69">
        <v>1.913</v>
      </c>
      <c r="S57" s="69">
        <f>IFERROR(VLOOKUP('Leveranser per nät'!A57,'lev 2012'!$B$2:$E$445,4,FALSE),"")</f>
        <v>2.06</v>
      </c>
      <c r="T57" s="69">
        <f>IFERROR(VLOOKUP('Leveranser per nät'!A57,'lev 2013'!$B$2:$E$445,4,FALSE),"")</f>
        <v>2.0030000000000001</v>
      </c>
      <c r="U57" s="69">
        <f>IFERROR(VLOOKUP('Leveranser per nät'!A57,'lev 2014'!$B$2:$E$432,4,FALSE),"")</f>
        <v>2.133</v>
      </c>
      <c r="V57" s="69">
        <f>IFERROR(INDEX(Levererat_2015[Leveranser till eget nät],MATCH($A57,Levererat_2015[Indexnamn],0)),"")</f>
        <v>2.5910000000000002</v>
      </c>
      <c r="W57" s="69">
        <v>2.6</v>
      </c>
      <c r="X57" s="85">
        <v>2.2999999999999998</v>
      </c>
      <c r="Y57" s="69">
        <v>2.4</v>
      </c>
      <c r="Z57" s="69">
        <v>2.5</v>
      </c>
      <c r="AA57" s="69">
        <v>2</v>
      </c>
      <c r="AB57" s="69">
        <v>1.8</v>
      </c>
      <c r="AC57" s="56">
        <f>AB57*(1-0.07)</f>
        <v>1.6739999999999999</v>
      </c>
      <c r="AD57"/>
      <c r="AE57"/>
      <c r="AG57" s="2"/>
      <c r="AH57" s="103"/>
    </row>
    <row r="58" spans="1:34" s="77" customFormat="1" x14ac:dyDescent="0.25">
      <c r="A58" s="77" t="s">
        <v>828</v>
      </c>
      <c r="B58" s="77" t="str">
        <f>VLOOKUP(A58,'Korrigerade leveranser GD'!$A$4:$B$482,2,FALSE)</f>
        <v>Uppsala</v>
      </c>
      <c r="C58" s="69"/>
      <c r="D58" s="69"/>
      <c r="E58" s="69"/>
      <c r="F58" s="69"/>
      <c r="G58" s="69"/>
      <c r="H58" s="69"/>
      <c r="I58" s="69"/>
      <c r="J58" s="69"/>
      <c r="K58" s="69"/>
      <c r="L58" s="69"/>
      <c r="M58" s="69"/>
      <c r="N58" s="69"/>
      <c r="O58" s="69"/>
      <c r="P58" s="69"/>
      <c r="Q58" s="69"/>
      <c r="R58" s="69"/>
      <c r="S58" s="69">
        <v>2</v>
      </c>
      <c r="T58" s="69">
        <v>2</v>
      </c>
      <c r="U58" s="69">
        <v>1.8520000000000001</v>
      </c>
      <c r="V58" s="69">
        <f>IFERROR(INDEX(Levererat_2015[Leveranser till eget nät],MATCH($A58,Levererat_2015[Indexnamn],0)),"")</f>
        <v>1.833</v>
      </c>
      <c r="W58" s="69">
        <f>IFERROR(INDEX(Levererat_2016[Leveranser till eget nät],MATCH($A58,Levererat_2016[Indexnamn],0)),"")</f>
        <v>1.752</v>
      </c>
      <c r="X58" s="69">
        <v>1.8</v>
      </c>
      <c r="Y58" s="69">
        <v>1.7</v>
      </c>
      <c r="Z58" s="69">
        <v>1.5</v>
      </c>
      <c r="AA58" s="69">
        <v>1.4</v>
      </c>
      <c r="AB58" s="69">
        <v>1.8</v>
      </c>
      <c r="AC58" s="56">
        <f>AB58*(1-0.07)</f>
        <v>1.6739999999999999</v>
      </c>
      <c r="AE58"/>
      <c r="AG58" s="2"/>
      <c r="AH58" s="103"/>
    </row>
    <row r="59" spans="1:34" s="65" customFormat="1" x14ac:dyDescent="0.25">
      <c r="A59" s="65" t="s">
        <v>63</v>
      </c>
      <c r="B59" s="65" t="str">
        <f>VLOOKUP(A59,'Korrigerade leveranser GD'!$A$4:$B$482,2,FALSE)</f>
        <v>Kopparberg</v>
      </c>
      <c r="C59" s="68"/>
      <c r="D59" s="68"/>
      <c r="E59" s="68"/>
      <c r="F59" s="68"/>
      <c r="G59" s="68"/>
      <c r="H59" s="68"/>
      <c r="I59" s="68"/>
      <c r="J59" s="68"/>
      <c r="K59" s="68"/>
      <c r="L59" s="68">
        <v>0</v>
      </c>
      <c r="M59" s="68">
        <v>9.8000000000000007</v>
      </c>
      <c r="N59" s="68">
        <v>8.8000000000000007</v>
      </c>
      <c r="O59" s="68">
        <v>8.3000000000000007</v>
      </c>
      <c r="P59" s="68">
        <v>0</v>
      </c>
      <c r="Q59" s="68"/>
      <c r="R59" s="68"/>
      <c r="S59" s="68" t="str">
        <f>IFERROR(VLOOKUP('Leveranser per nät'!A59,'lev 2012'!$B$2:$E$445,4,FALSE),"")</f>
        <v/>
      </c>
      <c r="T59" s="68" t="str">
        <f>IFERROR(VLOOKUP('Leveranser per nät'!A59,'lev 2013'!$B$2:$E$445,4,FALSE),"")</f>
        <v/>
      </c>
      <c r="U59" s="68"/>
      <c r="V59" s="68" t="str">
        <f>IFERROR(INDEX(Levererat_2015[Leveranser till eget nät],MATCH($A59,Levererat_2015[Indexnamn],0)),"")</f>
        <v/>
      </c>
      <c r="W59" s="68" t="str">
        <f>IFERROR(INDEX(Levererat_2016[Leveranser till eget nät],MATCH($A59,Levererat_2016[Indexnamn],0)),"")</f>
        <v/>
      </c>
      <c r="X59" s="68" t="str">
        <f>IFERROR(INDEX(Tabell4[Leveranser till eget nät],MATCH('Leveranser per nät'!A59,Tabell4[[Finns i listan ]],0)),"")</f>
        <v/>
      </c>
      <c r="Y59" s="68" t="str">
        <f>IFERROR(INDEX(Tabell6[Kolumn1],MATCH($A59,Tabell6[Indexnmamn],0)),"")</f>
        <v/>
      </c>
      <c r="Z59" s="68"/>
      <c r="AA59" s="68" t="s">
        <v>779</v>
      </c>
      <c r="AB59" s="10"/>
      <c r="AC59" s="10"/>
      <c r="AD59"/>
      <c r="AE59"/>
      <c r="AG59" s="2">
        <f t="shared" si="1"/>
        <v>0</v>
      </c>
      <c r="AH59" s="103"/>
    </row>
    <row r="60" spans="1:34" s="65" customFormat="1" x14ac:dyDescent="0.25">
      <c r="A60" s="65" t="s">
        <v>395</v>
      </c>
      <c r="B60" s="65" t="str">
        <f>VLOOKUP(A60,'Korrigerade leveranser GD'!$A$4:$B$482,2,FALSE)</f>
        <v>Stockholm-Bromma</v>
      </c>
      <c r="C60" s="68">
        <v>5.16</v>
      </c>
      <c r="D60" s="68">
        <v>5.085</v>
      </c>
      <c r="E60" s="68">
        <v>6.0060000000000002</v>
      </c>
      <c r="F60" s="68">
        <v>5</v>
      </c>
      <c r="G60" s="68">
        <v>8</v>
      </c>
      <c r="H60" s="68">
        <v>8</v>
      </c>
      <c r="I60" s="68">
        <v>0</v>
      </c>
      <c r="J60" s="68"/>
      <c r="K60" s="68"/>
      <c r="L60" s="68"/>
      <c r="M60" s="68"/>
      <c r="N60" s="68"/>
      <c r="O60" s="68"/>
      <c r="P60" s="68"/>
      <c r="Q60" s="68"/>
      <c r="R60" s="68"/>
      <c r="S60" s="68" t="str">
        <f>IFERROR(VLOOKUP('Leveranser per nät'!A60,'lev 2012'!$B$2:$E$445,4,FALSE),"")</f>
        <v/>
      </c>
      <c r="T60" s="68" t="str">
        <f>IFERROR(VLOOKUP('Leveranser per nät'!A60,'lev 2013'!$B$2:$E$445,4,FALSE),"")</f>
        <v/>
      </c>
      <c r="U60" s="68" t="str">
        <f>IFERROR(VLOOKUP('Leveranser per nät'!A60,'lev 2014'!$B$2:$E$432,4,FALSE),"")</f>
        <v/>
      </c>
      <c r="V60" s="68" t="str">
        <f>IFERROR(INDEX(Levererat_2015[Leveranser till eget nät],MATCH($A60,Levererat_2015[Indexnamn],0)),"")</f>
        <v/>
      </c>
      <c r="W60" s="68" t="str">
        <f>IFERROR(INDEX(Levererat_2016[Leveranser till eget nät],MATCH($A60,Levererat_2016[Indexnamn],0)),"")</f>
        <v/>
      </c>
      <c r="X60" s="68" t="str">
        <f>IFERROR(INDEX(Tabell4[Leveranser till eget nät],MATCH('Leveranser per nät'!A60,Tabell4[[Finns i listan ]],0)),"")</f>
        <v/>
      </c>
      <c r="Y60" s="68" t="str">
        <f>IFERROR(INDEX(Tabell6[Kolumn1],MATCH($A60,Tabell6[Indexnmamn],0)),"")</f>
        <v/>
      </c>
      <c r="Z60" s="68"/>
      <c r="AA60" s="68" t="s">
        <v>779</v>
      </c>
      <c r="AB60" s="10"/>
      <c r="AC60" s="10"/>
      <c r="AD60"/>
      <c r="AE60"/>
      <c r="AG60" s="2">
        <f t="shared" si="1"/>
        <v>0</v>
      </c>
      <c r="AH60" s="103"/>
    </row>
    <row r="61" spans="1:34" x14ac:dyDescent="0.25">
      <c r="A61" t="s">
        <v>115</v>
      </c>
      <c r="B61" t="str">
        <f>VLOOKUP(A61,'Korrigerade leveranser GD'!$A$4:$B$482,2,FALSE)</f>
        <v>Delsbo</v>
      </c>
      <c r="C61" s="10"/>
      <c r="D61" s="10"/>
      <c r="E61" s="10"/>
      <c r="F61" s="10"/>
      <c r="G61" s="10"/>
      <c r="H61" s="10"/>
      <c r="I61" s="10"/>
      <c r="J61" s="10"/>
      <c r="K61" s="10"/>
      <c r="L61" s="10"/>
      <c r="M61" s="10"/>
      <c r="N61" s="10"/>
      <c r="O61" s="10">
        <v>0</v>
      </c>
      <c r="P61" s="10">
        <v>14.6</v>
      </c>
      <c r="Q61" s="10">
        <v>17.167000000000002</v>
      </c>
      <c r="R61" s="10">
        <v>13.923</v>
      </c>
      <c r="S61" s="10">
        <f>IFERROR(VLOOKUP('Leveranser per nät'!A61,'lev 2012'!$B$2:$E$445,4,FALSE),"")</f>
        <v>15.04</v>
      </c>
      <c r="T61" s="10">
        <f>IFERROR(VLOOKUP('Leveranser per nät'!A61,'lev 2013'!$B$2:$E$445,4,FALSE),"")</f>
        <v>14.608000000000001</v>
      </c>
      <c r="U61" s="10">
        <f>IFERROR(VLOOKUP('Leveranser per nät'!A61,'lev 2014'!$B$2:$E$432,4,FALSE),"")</f>
        <v>13.263999999999999</v>
      </c>
      <c r="V61" s="10">
        <f>IFERROR(INDEX(Levererat_2015[Leveranser till eget nät],MATCH($A61,Levererat_2015[Indexnamn],0)),"")</f>
        <v>13.726000000000001</v>
      </c>
      <c r="W61" s="10">
        <f>IFERROR(INDEX(Levererat_2016[Leveranser till eget nät],MATCH($A61,Levererat_2016[Indexnamn],0)),"")</f>
        <v>14.346</v>
      </c>
      <c r="X61" s="10">
        <f>IFERROR(INDEX(Tabell4[Leveranser till eget nät],MATCH('Leveranser per nät'!A61,Tabell4[[Finns i listan ]],0)),"")</f>
        <v>14.494999999999999</v>
      </c>
      <c r="Y61" s="10">
        <f>IFERROR(INDEX(Tabell6[Kolumn1],MATCH($A61,Tabell6[Indexnmamn],0)),"")</f>
        <v>14.8</v>
      </c>
      <c r="Z61" s="10">
        <v>14.688000000000001</v>
      </c>
      <c r="AA61" s="10">
        <v>13.176</v>
      </c>
      <c r="AB61" s="10">
        <f>VLOOKUP(A61,Tabell9[[Indexnamn]:[Kolumn1]],3,FALSE)</f>
        <v>15.191000000000001</v>
      </c>
      <c r="AC61" s="10">
        <f>VLOOKUP($A61,'Lev 2022'!$K$2:$L$474,2,FALSE)</f>
        <v>14.067</v>
      </c>
      <c r="AG61" s="2">
        <f t="shared" si="1"/>
        <v>-1.1240000000000006</v>
      </c>
      <c r="AH61" s="103">
        <f t="shared" si="2"/>
        <v>-7.3991178987558456E-2</v>
      </c>
    </row>
    <row r="62" spans="1:34" x14ac:dyDescent="0.25">
      <c r="A62" t="s">
        <v>46</v>
      </c>
      <c r="B62" t="str">
        <f>VLOOKUP(A62,'Korrigerade leveranser GD'!$A$4:$B$482,2,FALSE)</f>
        <v>Dorotea</v>
      </c>
      <c r="C62" s="10">
        <v>0</v>
      </c>
      <c r="D62" s="10">
        <v>9.6470000000000002</v>
      </c>
      <c r="E62" s="10">
        <v>13.4</v>
      </c>
      <c r="F62" s="10">
        <v>11.32</v>
      </c>
      <c r="G62" s="10">
        <v>12.44</v>
      </c>
      <c r="H62" s="10">
        <v>14</v>
      </c>
      <c r="I62" s="10">
        <v>13</v>
      </c>
      <c r="J62" s="10">
        <v>12.9</v>
      </c>
      <c r="K62" s="10">
        <v>12.9</v>
      </c>
      <c r="L62" s="10">
        <v>20.105223560353433</v>
      </c>
      <c r="M62" s="10">
        <v>15.6</v>
      </c>
      <c r="N62" s="10">
        <v>16.399999999999999</v>
      </c>
      <c r="O62" s="10">
        <v>15.9</v>
      </c>
      <c r="P62" s="10">
        <v>17</v>
      </c>
      <c r="Q62" s="10">
        <v>19.5</v>
      </c>
      <c r="R62" s="10">
        <v>16.25</v>
      </c>
      <c r="S62" s="10">
        <f>IFERROR(VLOOKUP('Leveranser per nät'!A62,'lev 2012'!$B$2:$E$445,4,FALSE),"")</f>
        <v>17.02</v>
      </c>
      <c r="T62" s="10">
        <v>16.3</v>
      </c>
      <c r="U62" s="10">
        <v>12.6</v>
      </c>
      <c r="V62" s="69">
        <v>16</v>
      </c>
      <c r="W62" s="69">
        <v>17</v>
      </c>
      <c r="X62" s="69">
        <v>17.100000000000001</v>
      </c>
      <c r="Y62" s="69">
        <v>16.5</v>
      </c>
      <c r="Z62" s="69">
        <v>16.600000000000001</v>
      </c>
      <c r="AA62" s="10">
        <v>14.516</v>
      </c>
      <c r="AB62" s="10">
        <f>VLOOKUP(A62,Tabell9[[Indexnamn]:[Kolumn1]],3,FALSE)</f>
        <v>16.571999999999999</v>
      </c>
      <c r="AC62" s="10">
        <f>VLOOKUP($A62,'Lev 2022'!$K$2:$L$474,2,FALSE)</f>
        <v>16.463999999999999</v>
      </c>
      <c r="AG62" s="2">
        <f t="shared" si="1"/>
        <v>-0.10800000000000054</v>
      </c>
      <c r="AH62" s="103">
        <f t="shared" si="2"/>
        <v>-6.5170166545981505E-3</v>
      </c>
    </row>
    <row r="63" spans="1:34" x14ac:dyDescent="0.25">
      <c r="A63" t="s">
        <v>339</v>
      </c>
      <c r="B63" t="str">
        <f>VLOOKUP(A63,'Korrigerade leveranser GD'!$A$4:$B$482,2,FALSE)</f>
        <v>Botkyrka</v>
      </c>
      <c r="C63" s="10">
        <v>484</v>
      </c>
      <c r="D63" s="10">
        <v>444.90999999999997</v>
      </c>
      <c r="E63" s="10">
        <v>495</v>
      </c>
      <c r="F63" s="10">
        <v>440</v>
      </c>
      <c r="G63" s="10">
        <v>407</v>
      </c>
      <c r="H63" s="10">
        <v>479</v>
      </c>
      <c r="I63" s="10">
        <v>470.37200000000001</v>
      </c>
      <c r="J63" s="10">
        <v>475</v>
      </c>
      <c r="K63" s="10">
        <v>464.34800000000001</v>
      </c>
      <c r="L63" s="10">
        <v>425.28801229282811</v>
      </c>
      <c r="M63" s="10">
        <v>501.572</v>
      </c>
      <c r="N63" s="10">
        <v>460.5</v>
      </c>
      <c r="O63" s="10">
        <v>487.2</v>
      </c>
      <c r="P63" s="10">
        <v>469.1</v>
      </c>
      <c r="Q63" s="10">
        <v>538.4</v>
      </c>
      <c r="R63" s="10">
        <v>450.2</v>
      </c>
      <c r="S63" s="10">
        <f>IFERROR(VLOOKUP('Leveranser per nät'!A63,'lev 2012'!$B$2:$E$445,4,FALSE),"")</f>
        <v>484</v>
      </c>
      <c r="T63" s="10">
        <f>IFERROR(VLOOKUP('Leveranser per nät'!A63,'lev 2013'!$B$2:$E$445,4,FALSE),"")</f>
        <v>482.91</v>
      </c>
      <c r="U63" s="10">
        <f>IFERROR(VLOOKUP('Leveranser per nät'!A63,'lev 2014'!$B$2:$E$432,4,FALSE),"")</f>
        <v>451.9</v>
      </c>
      <c r="V63" s="10">
        <f>IFERROR(INDEX(Levererat_2015[Leveranser till eget nät],MATCH($A63,Levererat_2015[Indexnamn],0)),"")</f>
        <v>446.6</v>
      </c>
      <c r="W63" s="10">
        <f>IFERROR(INDEX(Levererat_2016[Leveranser till eget nät],MATCH($A63,Levererat_2016[Indexnamn],0)),"")</f>
        <v>477.26</v>
      </c>
      <c r="X63" s="10">
        <f>IFERROR(INDEX(Tabell4[Leveranser till eget nät],MATCH('Leveranser per nät'!A63,Tabell4[[Finns i listan ]],0)),"")</f>
        <v>478.3</v>
      </c>
      <c r="Y63" s="10">
        <f>IFERROR(INDEX(Tabell6[Kolumn1],MATCH($A63,Tabell6[Indexnmamn],0)),"")</f>
        <v>467.84800000000001</v>
      </c>
      <c r="Z63" s="10">
        <v>452.48099999999999</v>
      </c>
      <c r="AA63" s="10">
        <v>413.41199999999998</v>
      </c>
      <c r="AB63" s="10">
        <f>VLOOKUP(A63,Tabell9[[Indexnamn]:[Kolumn1]],3,FALSE)</f>
        <v>473.38996999999995</v>
      </c>
      <c r="AC63" s="10">
        <f>VLOOKUP($A63,'Lev 2022'!$K$2:$L$474,2,FALSE)</f>
        <v>448.50599999999997</v>
      </c>
      <c r="AG63" s="2">
        <f t="shared" si="1"/>
        <v>-24.883969999999977</v>
      </c>
      <c r="AH63" s="103">
        <f t="shared" si="2"/>
        <v>-5.2565477887078972E-2</v>
      </c>
    </row>
    <row r="64" spans="1:34" s="65" customFormat="1" x14ac:dyDescent="0.25">
      <c r="A64" s="65" t="s">
        <v>396</v>
      </c>
      <c r="B64" s="65" t="str">
        <f>VLOOKUP(A64,'Korrigerade leveranser GD'!$A$4:$B$482,2,FALSE)</f>
        <v>Östersund</v>
      </c>
      <c r="C64" s="68"/>
      <c r="D64" s="68"/>
      <c r="E64" s="68"/>
      <c r="F64" s="68"/>
      <c r="G64" s="68"/>
      <c r="H64" s="68"/>
      <c r="I64" s="68"/>
      <c r="J64" s="68"/>
      <c r="K64" s="68">
        <v>0</v>
      </c>
      <c r="L64" s="68">
        <v>3.3085</v>
      </c>
      <c r="M64" s="68">
        <v>0</v>
      </c>
      <c r="N64" s="68"/>
      <c r="O64" s="68"/>
      <c r="P64" s="68"/>
      <c r="Q64" s="68"/>
      <c r="R64" s="68"/>
      <c r="S64" s="68" t="str">
        <f>IFERROR(VLOOKUP('Leveranser per nät'!A64,'lev 2012'!$B$2:$E$445,4,FALSE),"")</f>
        <v/>
      </c>
      <c r="T64" s="68" t="str">
        <f>IFERROR(VLOOKUP('Leveranser per nät'!A64,'lev 2013'!$B$2:$E$445,4,FALSE),"")</f>
        <v/>
      </c>
      <c r="U64" s="68" t="str">
        <f>IFERROR(VLOOKUP('Leveranser per nät'!A64,'lev 2014'!$B$2:$E$432,4,FALSE),"")</f>
        <v/>
      </c>
      <c r="V64" s="68" t="str">
        <f>IFERROR(INDEX(Levererat_2015[Leveranser till eget nät],MATCH($A64,Levererat_2015[Indexnamn],0)),"")</f>
        <v/>
      </c>
      <c r="W64" s="68" t="str">
        <f>IFERROR(INDEX(Levererat_2016[Leveranser till eget nät],MATCH($A64,Levererat_2016[Indexnamn],0)),"")</f>
        <v/>
      </c>
      <c r="X64" s="68" t="str">
        <f>IFERROR(INDEX(Tabell4[Leveranser till eget nät],MATCH('Leveranser per nät'!A64,Tabell4[[Finns i listan ]],0)),"")</f>
        <v/>
      </c>
      <c r="Y64" s="68" t="str">
        <f>IFERROR(INDEX(Tabell6[Kolumn1],MATCH($A64,Tabell6[Indexnmamn],0)),"")</f>
        <v/>
      </c>
      <c r="Z64" s="68"/>
      <c r="AA64" s="68" t="s">
        <v>779</v>
      </c>
      <c r="AB64" s="10"/>
      <c r="AC64" s="10">
        <f>VLOOKUP($A64,'Lev 2022'!$K$2:$L$474,2,FALSE)</f>
        <v>4.84</v>
      </c>
      <c r="AD64"/>
      <c r="AE64"/>
      <c r="AG64" s="2">
        <f t="shared" si="1"/>
        <v>4.84</v>
      </c>
      <c r="AH64" s="103"/>
    </row>
    <row r="65" spans="1:34" x14ac:dyDescent="0.25">
      <c r="A65" t="s">
        <v>179</v>
      </c>
      <c r="B65" t="str">
        <f>VLOOKUP(A65,'Korrigerade leveranser GD'!$A$4:$B$482,2,FALSE)</f>
        <v>Hagfors</v>
      </c>
      <c r="C65" s="10"/>
      <c r="D65" s="10"/>
      <c r="E65" s="10"/>
      <c r="F65" s="10"/>
      <c r="G65" s="10"/>
      <c r="H65" s="10"/>
      <c r="I65" s="10"/>
      <c r="J65" s="10"/>
      <c r="K65" s="10"/>
      <c r="L65" s="10">
        <v>0</v>
      </c>
      <c r="M65" s="10">
        <v>6.7649999999999997</v>
      </c>
      <c r="N65" s="10">
        <v>6.7649999999999997</v>
      </c>
      <c r="O65" s="56">
        <f>N65+(P65-N65)/2</f>
        <v>7.1199999999999992</v>
      </c>
      <c r="P65" s="10">
        <v>7.4749999999999996</v>
      </c>
      <c r="Q65" s="10">
        <v>8.3989999999999991</v>
      </c>
      <c r="R65" s="10">
        <v>7.1020000000000003</v>
      </c>
      <c r="S65" s="10">
        <f>IFERROR(VLOOKUP('Leveranser per nät'!A65,'lev 2012'!$B$2:$E$445,4,FALSE),"")</f>
        <v>7.43</v>
      </c>
      <c r="T65" s="10">
        <f>IFERROR(VLOOKUP('Leveranser per nät'!A65,'lev 2013'!$B$2:$E$445,4,FALSE),"")</f>
        <v>7.5039999999999996</v>
      </c>
      <c r="U65" s="10">
        <f>IFERROR(VLOOKUP('Leveranser per nät'!A65,'lev 2014'!$B$2:$E$432,4,FALSE),"")</f>
        <v>6.7670000000000003</v>
      </c>
      <c r="V65" s="10">
        <f>IFERROR(INDEX(Levererat_2015[Leveranser till eget nät],MATCH($A65,Levererat_2015[Indexnamn],0)),"")</f>
        <v>7</v>
      </c>
      <c r="W65" s="10">
        <f>IFERROR(INDEX(Levererat_2016[Leveranser till eget nät],MATCH($A65,Levererat_2016[Indexnamn],0)),"")</f>
        <v>7.4820000000000002</v>
      </c>
      <c r="X65" s="10">
        <f>IFERROR(INDEX(Tabell4[Leveranser till eget nät],MATCH('Leveranser per nät'!A65,Tabell4[[Finns i listan ]],0)),"")</f>
        <v>7.34</v>
      </c>
      <c r="Y65" s="10">
        <f>IFERROR(INDEX(Tabell6[Kolumn1],MATCH($A65,Tabell6[Indexnmamn],0)),"")</f>
        <v>6.98</v>
      </c>
      <c r="Z65" s="10">
        <v>6.86</v>
      </c>
      <c r="AA65" s="10">
        <v>6.5</v>
      </c>
      <c r="AB65" s="10">
        <f>VLOOKUP(A65,Tabell9[[Indexnamn]:[Kolumn1]],3,FALSE)</f>
        <v>7.54</v>
      </c>
      <c r="AC65" s="10">
        <f>VLOOKUP($A65,'Lev 2022'!$K$2:$L$474,2,FALSE)</f>
        <v>6.96</v>
      </c>
      <c r="AG65" s="2">
        <f t="shared" si="1"/>
        <v>-0.58000000000000007</v>
      </c>
      <c r="AH65" s="103">
        <f t="shared" si="2"/>
        <v>-7.6923076923076927E-2</v>
      </c>
    </row>
    <row r="66" spans="1:34" s="77" customFormat="1" x14ac:dyDescent="0.25">
      <c r="A66" s="81" t="s">
        <v>90</v>
      </c>
      <c r="B66" s="77" t="str">
        <f>VLOOKUP(A66,'Korrigerade leveranser GD'!$A$4:$B$482,2,FALSE)</f>
        <v>Arvika</v>
      </c>
      <c r="C66" s="69"/>
      <c r="D66" s="69"/>
      <c r="E66" s="69"/>
      <c r="F66" s="69"/>
      <c r="G66" s="69"/>
      <c r="H66" s="69"/>
      <c r="I66" s="69"/>
      <c r="J66" s="69"/>
      <c r="K66" s="69"/>
      <c r="L66" s="69"/>
      <c r="M66" s="69"/>
      <c r="N66" s="69"/>
      <c r="O66" s="69"/>
      <c r="P66" s="69"/>
      <c r="Q66" s="69"/>
      <c r="R66" s="69">
        <v>0</v>
      </c>
      <c r="S66" s="69">
        <f>IFERROR(VLOOKUP('Leveranser per nät'!A66,'lev 2012'!$B$2:$E$445,4,FALSE),"")</f>
        <v>7</v>
      </c>
      <c r="T66" s="69">
        <f>IFERROR(VLOOKUP('Leveranser per nät'!A66,'lev 2013'!$B$2:$E$445,4,FALSE),"")</f>
        <v>7.6</v>
      </c>
      <c r="U66" s="69">
        <f>IFERROR(VLOOKUP('Leveranser per nät'!A66,'lev 2014'!$B$2:$E$432,4,FALSE),"")</f>
        <v>7.1</v>
      </c>
      <c r="V66" s="69">
        <f>IFERROR(INDEX(Levererat_2015[Leveranser till eget nät],MATCH($A66,Levererat_2015[Indexnamn],0)),"")</f>
        <v>7.359</v>
      </c>
      <c r="W66" s="69">
        <f>IFERROR(INDEX(Levererat_2016[Leveranser till eget nät],MATCH($A66,Levererat_2016[Indexnamn],0)),"")</f>
        <v>7.9</v>
      </c>
      <c r="X66" s="69">
        <v>7.9</v>
      </c>
      <c r="Y66" s="69">
        <f>IFERROR(INDEX(Tabell6[Kolumn1],MATCH($A66,Tabell6[Indexnmamn],0)),"")</f>
        <v>7.95</v>
      </c>
      <c r="Z66" s="69">
        <v>8</v>
      </c>
      <c r="AA66" s="69">
        <v>7</v>
      </c>
      <c r="AB66" s="69">
        <v>8.8000000000000007</v>
      </c>
      <c r="AC66" s="56">
        <f>AB66*(1-0.07)</f>
        <v>8.1839999999999993</v>
      </c>
      <c r="AG66" s="2"/>
      <c r="AH66" s="103"/>
    </row>
    <row r="67" spans="1:34" x14ac:dyDescent="0.25">
      <c r="A67" t="s">
        <v>96</v>
      </c>
      <c r="B67" t="str">
        <f>VLOOKUP(A67,'Korrigerade leveranser GD'!$A$4:$B$482,2,FALSE)</f>
        <v>Edsbyn</v>
      </c>
      <c r="C67" s="10">
        <v>18</v>
      </c>
      <c r="D67" s="10">
        <v>15.99</v>
      </c>
      <c r="E67" s="10">
        <v>17</v>
      </c>
      <c r="F67" s="10">
        <v>17</v>
      </c>
      <c r="G67" s="10">
        <v>17</v>
      </c>
      <c r="H67" s="10">
        <v>19</v>
      </c>
      <c r="I67" s="10">
        <v>20</v>
      </c>
      <c r="J67" s="10">
        <v>20</v>
      </c>
      <c r="K67" s="10">
        <v>34.793999999999997</v>
      </c>
      <c r="L67" s="10">
        <v>26.791221251968341</v>
      </c>
      <c r="M67" s="10">
        <v>30.119</v>
      </c>
      <c r="N67" s="10">
        <v>33.777000000000001</v>
      </c>
      <c r="O67" s="10">
        <v>32.418999999999997</v>
      </c>
      <c r="P67" s="10">
        <v>32.741</v>
      </c>
      <c r="Q67" s="10">
        <v>38.128</v>
      </c>
      <c r="R67" s="10">
        <v>31.132000000000001</v>
      </c>
      <c r="S67" s="10">
        <f>IFERROR(VLOOKUP('Leveranser per nät'!A67,'lev 2012'!$B$2:$E$445,4,FALSE),"")</f>
        <v>33</v>
      </c>
      <c r="T67" s="10">
        <f>IFERROR(VLOOKUP('Leveranser per nät'!A67,'lev 2013'!$B$2:$E$445,4,FALSE),"")</f>
        <v>32.234999999999999</v>
      </c>
      <c r="U67" s="10">
        <f>IFERROR(VLOOKUP('Leveranser per nät'!A67,'lev 2014'!$B$2:$E$432,4,FALSE),"")</f>
        <v>29.317</v>
      </c>
      <c r="V67" s="10">
        <f>IFERROR(INDEX(Levererat_2015[Leveranser till eget nät],MATCH($A67,Levererat_2015[Indexnamn],0)),"")</f>
        <v>30.053999999999998</v>
      </c>
      <c r="W67" s="10">
        <f>IFERROR(INDEX(Levererat_2016[Leveranser till eget nät],MATCH($A67,Levererat_2016[Indexnamn],0)),"")</f>
        <v>31.611999999999998</v>
      </c>
      <c r="X67" s="10">
        <f>IFERROR(INDEX(Tabell4[Leveranser till eget nät],MATCH('Leveranser per nät'!A67,Tabell4[[Finns i listan ]],0)),"")</f>
        <v>30.535</v>
      </c>
      <c r="Y67" s="10">
        <f>IFERROR(INDEX(Tabell6[Kolumn1],MATCH($A67,Tabell6[Indexnmamn],0)),"")</f>
        <v>32.299999999999997</v>
      </c>
      <c r="Z67" s="10">
        <v>31.899000000000001</v>
      </c>
      <c r="AA67" s="10">
        <v>28.837</v>
      </c>
      <c r="AB67" s="10">
        <f>VLOOKUP(A67,Tabell9[[Indexnamn]:[Kolumn1]],3,FALSE)</f>
        <v>33.405999999999999</v>
      </c>
      <c r="AC67" s="10">
        <f>VLOOKUP($A67,'Lev 2022'!$K$2:$L$474,2,FALSE)</f>
        <v>31.07</v>
      </c>
      <c r="AG67" s="2">
        <f t="shared" si="1"/>
        <v>-2.3359999999999985</v>
      </c>
      <c r="AH67" s="103">
        <f t="shared" si="2"/>
        <v>-6.9927557923726236E-2</v>
      </c>
    </row>
    <row r="68" spans="1:34" s="65" customFormat="1" x14ac:dyDescent="0.25">
      <c r="A68" s="65" t="s">
        <v>586</v>
      </c>
      <c r="B68" s="65" t="str">
        <f>VLOOKUP(A68,'Korrigerade leveranser GD'!$A$4:$B$482,2,FALSE)</f>
        <v>Vetlanda</v>
      </c>
      <c r="C68" s="68"/>
      <c r="D68" s="68"/>
      <c r="E68" s="68"/>
      <c r="F68" s="68"/>
      <c r="G68" s="68"/>
      <c r="H68" s="68"/>
      <c r="I68" s="68"/>
      <c r="J68" s="68"/>
      <c r="K68" s="68"/>
      <c r="L68" s="68"/>
      <c r="M68" s="68"/>
      <c r="N68" s="68"/>
      <c r="O68" s="68">
        <v>0</v>
      </c>
      <c r="P68" s="68">
        <v>0.9</v>
      </c>
      <c r="Q68" s="68">
        <v>2.254</v>
      </c>
      <c r="R68" s="68">
        <v>1.81</v>
      </c>
      <c r="S68" s="68">
        <f>IFERROR(VLOOKUP('Leveranser per nät'!A68,'lev 2012'!$B$2:$E$445,4,FALSE),"")</f>
        <v>1.93</v>
      </c>
      <c r="T68" s="68">
        <f>IFERROR(VLOOKUP('Leveranser per nät'!A68,'lev 2013'!$B$2:$E$445,4,FALSE),"")</f>
        <v>2.6</v>
      </c>
      <c r="U68" s="68">
        <f>IFERROR(VLOOKUP('Leveranser per nät'!A68,'lev 2014'!$B$2:$E$432,4,FALSE),"")</f>
        <v>3.9</v>
      </c>
      <c r="V68" s="68">
        <f>IFERROR(INDEX(Levererat_2015[Leveranser till eget nät],MATCH($A68,Levererat_2015[Indexnamn],0)),"")</f>
        <v>4.9000000000000004</v>
      </c>
      <c r="W68" s="68" t="str">
        <f>IFERROR(INDEX(Levererat_2016[Leveranser till eget nät],MATCH($A68,Levererat_2016[Indexnamn],0)),"")</f>
        <v/>
      </c>
      <c r="X68" s="68" t="str">
        <f>IFERROR(INDEX(Tabell4[Leveranser till eget nät],MATCH('Leveranser per nät'!A68,Tabell4[[Finns i listan ]],0)),"")</f>
        <v/>
      </c>
      <c r="Y68" s="68" t="str">
        <f>IFERROR(INDEX(Tabell6[Kolumn1],MATCH($A68,Tabell6[Indexnmamn],0)),"")</f>
        <v/>
      </c>
      <c r="Z68" s="68"/>
      <c r="AA68" s="68" t="s">
        <v>779</v>
      </c>
      <c r="AB68" s="10"/>
      <c r="AC68" s="10"/>
      <c r="AD68"/>
      <c r="AE68"/>
      <c r="AG68" s="2">
        <f t="shared" si="1"/>
        <v>0</v>
      </c>
      <c r="AH68" s="103"/>
    </row>
    <row r="69" spans="1:34" s="65" customFormat="1" x14ac:dyDescent="0.25">
      <c r="A69" s="65" t="s">
        <v>905</v>
      </c>
      <c r="B69" s="65" t="s">
        <v>945</v>
      </c>
      <c r="C69" s="68"/>
      <c r="D69" s="68"/>
      <c r="E69" s="68"/>
      <c r="F69" s="68"/>
      <c r="G69" s="68"/>
      <c r="H69" s="68"/>
      <c r="I69" s="68"/>
      <c r="J69" s="68"/>
      <c r="K69" s="68"/>
      <c r="L69" s="68"/>
      <c r="M69" s="68"/>
      <c r="N69" s="68"/>
      <c r="O69" s="68"/>
      <c r="P69" s="68"/>
      <c r="Q69" s="68"/>
      <c r="R69" s="68"/>
      <c r="S69" s="68"/>
      <c r="T69" s="68"/>
      <c r="U69" s="68"/>
      <c r="V69" s="68">
        <v>4.7</v>
      </c>
      <c r="W69" s="68">
        <v>5.39</v>
      </c>
      <c r="X69" s="68">
        <f>IFERROR(INDEX(Tabell4[Leveranser till eget nät],MATCH('Leveranser per nät'!A69,Tabell4[[Finns i listan ]],0)),"")</f>
        <v>5.3</v>
      </c>
      <c r="Y69" s="68">
        <f>IFERROR(INDEX(Tabell6[Kolumn1],MATCH($A69,Tabell6[Indexnmamn],0)),"")</f>
        <v>5.5</v>
      </c>
      <c r="Z69" s="68"/>
      <c r="AA69" s="68" t="s">
        <v>779</v>
      </c>
      <c r="AB69" s="68"/>
      <c r="AC69" s="10"/>
      <c r="AG69" s="2">
        <f t="shared" ref="AG69:AG132" si="3">AC69-AB69</f>
        <v>0</v>
      </c>
      <c r="AH69" s="103"/>
    </row>
    <row r="70" spans="1:34" x14ac:dyDescent="0.25">
      <c r="A70" t="s">
        <v>588</v>
      </c>
      <c r="B70" t="str">
        <f>VLOOKUP(A70,'Korrigerade leveranser GD'!$A$4:$B$482,2,FALSE)</f>
        <v>Hagfors</v>
      </c>
      <c r="C70" s="10"/>
      <c r="D70" s="10"/>
      <c r="E70" s="10"/>
      <c r="F70" s="10"/>
      <c r="G70" s="10"/>
      <c r="H70" s="10"/>
      <c r="I70" s="10"/>
      <c r="J70" s="10"/>
      <c r="K70" s="10"/>
      <c r="L70" s="10"/>
      <c r="M70" s="10"/>
      <c r="N70" s="10"/>
      <c r="O70" s="10"/>
      <c r="P70" s="10"/>
      <c r="Q70" s="10"/>
      <c r="R70" s="10"/>
      <c r="S70" s="10" t="str">
        <f>IFERROR(VLOOKUP('Leveranser per nät'!A70,'lev 2012'!$B$2:$E$445,4,FALSE),"")</f>
        <v/>
      </c>
      <c r="T70" s="10">
        <f>IFERROR(VLOOKUP('Leveranser per nät'!A70,'lev 2013'!$B$2:$E$445,4,FALSE),"")</f>
        <v>11.286</v>
      </c>
      <c r="U70" s="10">
        <f>IFERROR(VLOOKUP('Leveranser per nät'!A70,'lev 2014'!$B$2:$E$432,4,FALSE),"")</f>
        <v>10.49</v>
      </c>
      <c r="V70" s="10">
        <f>IFERROR(INDEX(Levererat_2015[Leveranser till eget nät],MATCH($A70,Levererat_2015[Indexnamn],0)),"")</f>
        <v>11.45</v>
      </c>
      <c r="W70" s="10">
        <f>IFERROR(INDEX(Levererat_2016[Leveranser till eget nät],MATCH($A70,Levererat_2016[Indexnamn],0)),"")</f>
        <v>11.565000000000001</v>
      </c>
      <c r="X70" s="10">
        <f>IFERROR(INDEX(Tabell4[Leveranser till eget nät],MATCH('Leveranser per nät'!A70,Tabell4[[Finns i listan ]],0)),"")</f>
        <v>12.06</v>
      </c>
      <c r="Y70" s="10">
        <f>IFERROR(INDEX(Tabell6[Kolumn1],MATCH($A70,Tabell6[Indexnmamn],0)),"")</f>
        <v>11.32</v>
      </c>
      <c r="Z70" s="10">
        <v>10.96</v>
      </c>
      <c r="AA70" s="10">
        <v>9.8989999999999991</v>
      </c>
      <c r="AB70" s="10">
        <f>VLOOKUP(A70,Tabell9[[Indexnamn]:[Kolumn1]],3,FALSE)</f>
        <v>11.18</v>
      </c>
      <c r="AC70" s="10">
        <f>VLOOKUP($A70,'Lev 2022'!$K$2:$L$474,2,FALSE)</f>
        <v>10.428000000000001</v>
      </c>
      <c r="AG70" s="2">
        <f t="shared" si="3"/>
        <v>-0.75199999999999889</v>
      </c>
      <c r="AH70" s="103">
        <f t="shared" ref="AH70:AH132" si="4">AG70/AB70</f>
        <v>-6.726296958855088E-2</v>
      </c>
    </row>
    <row r="71" spans="1:34" x14ac:dyDescent="0.25">
      <c r="A71" t="s">
        <v>91</v>
      </c>
      <c r="B71" t="str">
        <f>VLOOKUP(A71,'Korrigerade leveranser GD'!$A$4:$B$482,2,FALSE)</f>
        <v>Eksjö</v>
      </c>
      <c r="C71" s="10">
        <v>106</v>
      </c>
      <c r="D71" s="10">
        <v>96.1</v>
      </c>
      <c r="E71" s="10">
        <v>95.641000000000005</v>
      </c>
      <c r="F71" s="10">
        <v>103.194</v>
      </c>
      <c r="G71" s="10">
        <v>91</v>
      </c>
      <c r="H71" s="10">
        <v>97</v>
      </c>
      <c r="I71" s="10">
        <v>97</v>
      </c>
      <c r="J71" s="10">
        <v>107</v>
      </c>
      <c r="K71" s="10">
        <v>102.682</v>
      </c>
      <c r="L71" s="10">
        <v>113.0292703600058</v>
      </c>
      <c r="M71" s="10">
        <v>93.99</v>
      </c>
      <c r="N71" s="10">
        <v>93</v>
      </c>
      <c r="O71" s="10">
        <v>99</v>
      </c>
      <c r="P71" s="10">
        <v>103.96</v>
      </c>
      <c r="Q71" s="10">
        <v>119.21</v>
      </c>
      <c r="R71" s="10">
        <v>101.29</v>
      </c>
      <c r="S71" s="10">
        <f>IFERROR(VLOOKUP('Leveranser per nät'!A71,'lev 2012'!$B$2:$E$445,4,FALSE),"")</f>
        <v>106</v>
      </c>
      <c r="T71" s="10">
        <f>IFERROR(VLOOKUP('Leveranser per nät'!A71,'lev 2013'!$B$2:$E$445,4,FALSE),"")</f>
        <v>105.97799999999999</v>
      </c>
      <c r="U71" s="10">
        <f>IFERROR(VLOOKUP('Leveranser per nät'!A71,'lev 2014'!$B$2:$E$432,4,FALSE),"")</f>
        <v>98.885999999999996</v>
      </c>
      <c r="V71" s="10">
        <f>IFERROR(INDEX(Levererat_2015[Leveranser till eget nät],MATCH($A71,Levererat_2015[Indexnamn],0)),"")</f>
        <v>101.02</v>
      </c>
      <c r="W71" s="10">
        <f>IFERROR(INDEX(Levererat_2016[Leveranser till eget nät],MATCH($A71,Levererat_2016[Indexnamn],0)),"")</f>
        <v>105.55200000000001</v>
      </c>
      <c r="X71" s="10">
        <f>IFERROR(INDEX(Tabell4[Leveranser till eget nät],MATCH('Leveranser per nät'!A71,Tabell4[[Finns i listan ]],0)),"")</f>
        <v>105.378</v>
      </c>
      <c r="Y71" s="10">
        <f>IFERROR(INDEX(Tabell6[Kolumn1],MATCH($A71,Tabell6[Indexnmamn],0)),"")</f>
        <v>106.69499999999999</v>
      </c>
      <c r="Z71" s="10">
        <v>102.72199999999999</v>
      </c>
      <c r="AA71" s="10">
        <v>102.794</v>
      </c>
      <c r="AB71" s="10">
        <f>VLOOKUP(A71,Tabell9[[Indexnamn]:[Kolumn1]],3,FALSE)</f>
        <v>121.777</v>
      </c>
      <c r="AC71" s="10">
        <f>VLOOKUP($A71,'Lev 2022'!$K$2:$L$474,2,FALSE)</f>
        <v>116.223</v>
      </c>
      <c r="AG71" s="2">
        <f t="shared" si="3"/>
        <v>-5.554000000000002</v>
      </c>
      <c r="AH71" s="103">
        <f t="shared" si="4"/>
        <v>-4.5607955525263408E-2</v>
      </c>
    </row>
    <row r="72" spans="1:34" s="77" customFormat="1" x14ac:dyDescent="0.25">
      <c r="A72" s="77" t="s">
        <v>94</v>
      </c>
      <c r="B72" s="77" t="str">
        <f>VLOOKUP(A72,'Korrigerade leveranser GD'!$A$4:$B$482,2,FALSE)</f>
        <v>Kungsbacka</v>
      </c>
      <c r="C72" s="69"/>
      <c r="D72" s="69"/>
      <c r="E72" s="69"/>
      <c r="F72" s="69"/>
      <c r="G72" s="69"/>
      <c r="H72" s="69"/>
      <c r="I72" s="69"/>
      <c r="J72" s="69"/>
      <c r="K72" s="69">
        <v>0</v>
      </c>
      <c r="L72" s="69">
        <v>12.5</v>
      </c>
      <c r="M72" s="69">
        <v>26.3</v>
      </c>
      <c r="N72" s="69">
        <v>30.283000000000001</v>
      </c>
      <c r="O72" s="69">
        <v>25</v>
      </c>
      <c r="P72" s="69">
        <v>30</v>
      </c>
      <c r="Q72" s="69">
        <v>32.299999999999997</v>
      </c>
      <c r="R72" s="69">
        <v>27.7</v>
      </c>
      <c r="S72" s="69">
        <v>33.1</v>
      </c>
      <c r="T72" s="69">
        <f>IFERROR(VLOOKUP('Leveranser per nät'!A72,'lev 2013'!$B$2:$E$445,4,FALSE),"")</f>
        <v>33.770000000000003</v>
      </c>
      <c r="U72" s="69">
        <f>IFERROR(VLOOKUP('Leveranser per nät'!A72,'lev 2014'!$B$2:$E$432,4,FALSE),"")</f>
        <v>16.306000000000001</v>
      </c>
      <c r="V72" s="69">
        <f>IFERROR(INDEX(Levererat_2015[Leveranser till eget nät],MATCH($A72,Levererat_2015[Indexnamn],0)),"")</f>
        <v>31.344000000000001</v>
      </c>
      <c r="W72" s="69">
        <f>IFERROR(INDEX(Levererat_2016[Leveranser till eget nät],MATCH($A72,Levererat_2016[Indexnamn],0)),"")</f>
        <v>30.029</v>
      </c>
      <c r="X72" s="69">
        <v>30.6</v>
      </c>
      <c r="Y72" s="69">
        <v>30.1</v>
      </c>
      <c r="Z72" s="69">
        <v>29.1</v>
      </c>
      <c r="AA72" s="69">
        <v>28.5</v>
      </c>
      <c r="AB72" s="69">
        <v>33.200000000000003</v>
      </c>
      <c r="AC72" s="56">
        <f>AB72*(1-0.07)</f>
        <v>30.876000000000001</v>
      </c>
      <c r="AD72"/>
      <c r="AE72"/>
      <c r="AG72" s="2"/>
      <c r="AH72" s="103"/>
    </row>
    <row r="73" spans="1:34" x14ac:dyDescent="0.25">
      <c r="A73" t="s">
        <v>1141</v>
      </c>
      <c r="B73" t="s">
        <v>187</v>
      </c>
      <c r="C73" s="10"/>
      <c r="D73" s="10"/>
      <c r="E73" s="10"/>
      <c r="F73" s="10"/>
      <c r="G73" s="10"/>
      <c r="H73" s="10"/>
      <c r="I73" s="10"/>
      <c r="J73" s="10"/>
      <c r="K73" s="10"/>
      <c r="L73" s="10"/>
      <c r="M73" s="10"/>
      <c r="N73" s="10"/>
      <c r="O73" s="10"/>
      <c r="P73" s="10"/>
      <c r="Q73" s="10"/>
      <c r="R73" s="10"/>
      <c r="S73" s="10">
        <v>4.3</v>
      </c>
      <c r="T73" s="10">
        <v>4.7</v>
      </c>
      <c r="U73" s="10">
        <v>4.8</v>
      </c>
      <c r="V73" s="69">
        <v>5.3</v>
      </c>
      <c r="W73" s="69">
        <v>5.7</v>
      </c>
      <c r="X73" s="69">
        <v>5.7</v>
      </c>
      <c r="Y73" s="69">
        <v>5.4</v>
      </c>
      <c r="Z73" s="69">
        <v>4.7</v>
      </c>
      <c r="AA73" s="69">
        <v>4</v>
      </c>
      <c r="AB73" s="10">
        <f>VLOOKUP(A73,Tabell9[[Indexnamn]:[Kolumn1]],3,FALSE)</f>
        <v>5.3650000000000002</v>
      </c>
      <c r="AC73" s="10">
        <f>VLOOKUP($A73,'Lev 2022'!$K$2:$L$474,2,FALSE)</f>
        <v>5.7450000000000001</v>
      </c>
      <c r="AG73" s="2">
        <f t="shared" si="3"/>
        <v>0.37999999999999989</v>
      </c>
      <c r="AH73" s="103">
        <f t="shared" si="4"/>
        <v>7.0829450139794942E-2</v>
      </c>
    </row>
    <row r="74" spans="1:34" x14ac:dyDescent="0.25">
      <c r="A74" s="3" t="s">
        <v>98</v>
      </c>
      <c r="B74" t="str">
        <f>VLOOKUP(A74,'Korrigerade leveranser GD'!$A$4:$B$482,2,FALSE)</f>
        <v>Emmaboda</v>
      </c>
      <c r="C74" s="10"/>
      <c r="D74" s="10"/>
      <c r="E74" s="10"/>
      <c r="F74" s="10"/>
      <c r="G74" s="10"/>
      <c r="H74" s="10"/>
      <c r="I74" s="10"/>
      <c r="J74" s="10"/>
      <c r="K74" s="10"/>
      <c r="L74" s="10"/>
      <c r="M74" s="10"/>
      <c r="N74" s="10"/>
      <c r="O74" s="10">
        <v>0</v>
      </c>
      <c r="P74" s="10">
        <v>53.4</v>
      </c>
      <c r="Q74" s="10">
        <v>50.4</v>
      </c>
      <c r="R74" s="10">
        <v>47.3</v>
      </c>
      <c r="S74" s="10">
        <f>IFERROR(VLOOKUP('Leveranser per nät'!A74,'lev 2012'!$B$2:$E$445,4,FALSE),"")</f>
        <v>47</v>
      </c>
      <c r="T74" s="10">
        <f>IFERROR(VLOOKUP('Leveranser per nät'!A74,'lev 2013'!$B$2:$E$445,4,FALSE),"")</f>
        <v>47.4</v>
      </c>
      <c r="U74" s="10">
        <f>IFERROR(VLOOKUP('Leveranser per nät'!A74,'lev 2014'!$B$2:$E$432,4,FALSE),"")</f>
        <v>41.4</v>
      </c>
      <c r="V74" s="10">
        <f>IFERROR(INDEX(Levererat_2015[Leveranser till eget nät],MATCH($A74,Levererat_2015[Indexnamn],0)),"")</f>
        <v>43</v>
      </c>
      <c r="W74" s="10">
        <f>IFERROR(INDEX(Levererat_2016[Leveranser till eget nät],MATCH($A74,Levererat_2016[Indexnamn],0)),"")</f>
        <v>46</v>
      </c>
      <c r="X74" s="10">
        <f>IFERROR(INDEX(Tabell4[Leveranser till eget nät],MATCH('Leveranser per nät'!A74,Tabell4[[Finns i listan ]],0)),"")</f>
        <v>46</v>
      </c>
      <c r="Y74" s="10">
        <f>IFERROR(INDEX(Tabell6[Kolumn1],MATCH($A74,Tabell6[Indexnmamn],0)),"")</f>
        <v>46.8</v>
      </c>
      <c r="Z74" s="10">
        <v>42.5</v>
      </c>
      <c r="AA74" s="10">
        <v>40.9</v>
      </c>
      <c r="AB74" s="10">
        <f>VLOOKUP(A74,Tabell9[[Indexnamn]:[Kolumn1]],3,FALSE)</f>
        <v>48</v>
      </c>
      <c r="AC74" s="10">
        <f>VLOOKUP($A74,'Lev 2022'!$K$2:$L$474,2,FALSE)</f>
        <v>50.6</v>
      </c>
      <c r="AG74" s="2">
        <f t="shared" si="3"/>
        <v>2.6000000000000014</v>
      </c>
      <c r="AH74" s="103">
        <f t="shared" si="4"/>
        <v>5.4166666666666696E-2</v>
      </c>
    </row>
    <row r="75" spans="1:34" x14ac:dyDescent="0.25">
      <c r="A75" t="s">
        <v>101</v>
      </c>
      <c r="B75" t="str">
        <f>VLOOKUP(A75,'Korrigerade leveranser GD'!$A$4:$B$482,2,FALSE)</f>
        <v>Enköping</v>
      </c>
      <c r="C75" s="10">
        <v>234</v>
      </c>
      <c r="D75" s="10">
        <v>209.5</v>
      </c>
      <c r="E75" s="10">
        <v>219</v>
      </c>
      <c r="F75" s="10">
        <v>202</v>
      </c>
      <c r="G75" s="10">
        <v>198</v>
      </c>
      <c r="H75" s="10">
        <v>212</v>
      </c>
      <c r="I75" s="10">
        <v>212.72200000000001</v>
      </c>
      <c r="J75" s="10">
        <v>213</v>
      </c>
      <c r="K75" s="10">
        <v>211</v>
      </c>
      <c r="L75" s="10">
        <v>206</v>
      </c>
      <c r="M75" s="10">
        <v>206</v>
      </c>
      <c r="N75" s="10">
        <v>207</v>
      </c>
      <c r="O75" s="10">
        <v>195</v>
      </c>
      <c r="P75" s="10">
        <v>205</v>
      </c>
      <c r="Q75" s="10">
        <v>237</v>
      </c>
      <c r="R75" s="10">
        <v>195</v>
      </c>
      <c r="S75" s="10">
        <f>IFERROR(VLOOKUP('Leveranser per nät'!A75,'lev 2012'!$B$2:$E$445,4,FALSE),"")</f>
        <v>211</v>
      </c>
      <c r="T75" s="10">
        <f>IFERROR(VLOOKUP('Leveranser per nät'!A75,'lev 2013'!$B$2:$E$445,4,FALSE),"")</f>
        <v>208</v>
      </c>
      <c r="U75" s="10">
        <f>IFERROR(VLOOKUP('Leveranser per nät'!A75,'lev 2014'!$B$2:$E$432,4,FALSE),"")</f>
        <v>195</v>
      </c>
      <c r="V75" s="10">
        <f>IFERROR(INDEX(Levererat_2015[Leveranser till eget nät],MATCH($A75,Levererat_2015[Indexnamn],0)),"")</f>
        <v>197</v>
      </c>
      <c r="W75" s="10">
        <f>IFERROR(INDEX(Levererat_2016[Leveranser till eget nät],MATCH($A75,Levererat_2016[Indexnamn],0)),"")</f>
        <v>210</v>
      </c>
      <c r="X75" s="10">
        <f>IFERROR(INDEX(Tabell4[Leveranser till eget nät],MATCH('Leveranser per nät'!A75,Tabell4[[Finns i listan ]],0)),"")</f>
        <v>212</v>
      </c>
      <c r="Y75" s="10">
        <f>IFERROR(INDEX(Tabell6[Kolumn1],MATCH($A75,Tabell6[Indexnmamn],0)),"")</f>
        <v>213</v>
      </c>
      <c r="Z75" s="10">
        <v>213</v>
      </c>
      <c r="AA75" s="10">
        <v>194</v>
      </c>
      <c r="AB75" s="10">
        <f>VLOOKUP(A75,Tabell9[[Indexnamn]:[Kolumn1]],3,FALSE)</f>
        <v>226</v>
      </c>
      <c r="AC75" s="10">
        <f>VLOOKUP($A75,'Lev 2022'!$K$2:$L$474,2,FALSE)</f>
        <v>213</v>
      </c>
      <c r="AG75" s="2">
        <f t="shared" si="3"/>
        <v>-13</v>
      </c>
      <c r="AH75" s="103">
        <f t="shared" si="4"/>
        <v>-5.7522123893805309E-2</v>
      </c>
    </row>
    <row r="76" spans="1:34" x14ac:dyDescent="0.25">
      <c r="A76" t="s">
        <v>102</v>
      </c>
      <c r="B76" t="str">
        <f>VLOOKUP(A76,'Korrigerade leveranser GD'!$A$4:$B$482,2,FALSE)</f>
        <v>Eskilstuna</v>
      </c>
      <c r="C76" s="10">
        <v>714.471</v>
      </c>
      <c r="D76" s="10">
        <v>672.92</v>
      </c>
      <c r="E76" s="10">
        <v>693</v>
      </c>
      <c r="F76" s="10">
        <v>631</v>
      </c>
      <c r="G76" s="10">
        <v>595</v>
      </c>
      <c r="H76" s="10">
        <v>666</v>
      </c>
      <c r="I76" s="10">
        <v>665</v>
      </c>
      <c r="J76" s="10">
        <v>674</v>
      </c>
      <c r="K76" s="10">
        <v>667.56799999999998</v>
      </c>
      <c r="L76" s="10">
        <v>649.27300000000002</v>
      </c>
      <c r="M76" s="10">
        <v>653.37199999999996</v>
      </c>
      <c r="N76" s="10">
        <v>685.33799999999997</v>
      </c>
      <c r="O76" s="10">
        <v>668.875</v>
      </c>
      <c r="P76" s="10">
        <v>717.82100000000003</v>
      </c>
      <c r="Q76" s="10">
        <v>812.74800000000005</v>
      </c>
      <c r="R76" s="10">
        <v>753.35599999999999</v>
      </c>
      <c r="S76" s="10">
        <f>IFERROR(VLOOKUP('Leveranser per nät'!A76,'lev 2012'!$B$2:$E$445,4,FALSE),"")</f>
        <v>712</v>
      </c>
      <c r="T76" s="10">
        <f>IFERROR(VLOOKUP('Leveranser per nät'!A76,'lev 2013'!$B$2:$E$445,4,FALSE),"")</f>
        <v>676</v>
      </c>
      <c r="U76" s="10">
        <f>IFERROR(VLOOKUP('Leveranser per nät'!A76,'lev 2014'!$B$2:$E$432,4,FALSE),"")</f>
        <v>623.6</v>
      </c>
      <c r="V76" s="10">
        <f>IFERROR(INDEX(Levererat_2015[Leveranser till eget nät],MATCH($A76,Levererat_2015[Indexnamn],0)),"")</f>
        <v>603.85699999999997</v>
      </c>
      <c r="W76" s="10">
        <f>IFERROR(INDEX(Levererat_2016[Leveranser till eget nät],MATCH($A76,Levererat_2016[Indexnamn],0)),"")</f>
        <v>647.93600000000004</v>
      </c>
      <c r="X76" s="10">
        <f>IFERROR(INDEX(Tabell4[Leveranser till eget nät],MATCH('Leveranser per nät'!A76,Tabell4[[Finns i listan ]],0)),"")</f>
        <v>645.70000000000005</v>
      </c>
      <c r="Y76" s="10">
        <f>IFERROR(INDEX(Tabell6[Kolumn1],MATCH($A76,Tabell6[Indexnmamn],0)),"")</f>
        <v>628.12400000000002</v>
      </c>
      <c r="Z76" s="10">
        <v>640.34</v>
      </c>
      <c r="AA76" s="10">
        <v>569.14400000000001</v>
      </c>
      <c r="AB76" s="10">
        <f>VLOOKUP(A76,Tabell9[[Indexnamn]:[Kolumn1]],3,FALSE)</f>
        <v>683.78899999999999</v>
      </c>
      <c r="AC76" s="10">
        <f>VLOOKUP($A76,'Lev 2022'!$K$2:$L$474,2,FALSE)</f>
        <v>639.95299999999997</v>
      </c>
      <c r="AG76" s="2">
        <f t="shared" si="3"/>
        <v>-43.836000000000013</v>
      </c>
      <c r="AH76" s="103">
        <f t="shared" si="4"/>
        <v>-6.4107495148357188E-2</v>
      </c>
    </row>
    <row r="77" spans="1:34" s="65" customFormat="1" x14ac:dyDescent="0.25">
      <c r="A77" s="65" t="s">
        <v>198</v>
      </c>
      <c r="B77" s="65" t="str">
        <f>VLOOKUP(A77,'Korrigerade leveranser GD'!$A$4:$B$482,2,FALSE)</f>
        <v>Eslöv</v>
      </c>
      <c r="C77" s="68">
        <v>74</v>
      </c>
      <c r="D77" s="68">
        <v>72.209999999999994</v>
      </c>
      <c r="E77" s="68">
        <v>74</v>
      </c>
      <c r="F77" s="68">
        <v>74</v>
      </c>
      <c r="G77" s="68">
        <v>81</v>
      </c>
      <c r="H77" s="68">
        <v>90</v>
      </c>
      <c r="I77" s="68">
        <v>91</v>
      </c>
      <c r="J77" s="68">
        <v>93</v>
      </c>
      <c r="K77" s="68">
        <v>91.784999999999997</v>
      </c>
      <c r="L77" s="68">
        <v>91.131</v>
      </c>
      <c r="M77" s="68">
        <v>88.07</v>
      </c>
      <c r="N77" s="68">
        <v>85</v>
      </c>
      <c r="O77" s="68">
        <v>88.5</v>
      </c>
      <c r="P77" s="68">
        <v>93.5</v>
      </c>
      <c r="Q77" s="68">
        <v>0</v>
      </c>
      <c r="R77" s="68"/>
      <c r="S77" s="68" t="str">
        <f>IFERROR(VLOOKUP('Leveranser per nät'!A77,'lev 2012'!$B$2:$E$445,4,FALSE),"")</f>
        <v/>
      </c>
      <c r="T77" s="68" t="str">
        <f>IFERROR(VLOOKUP('Leveranser per nät'!A77,'lev 2013'!$B$2:$E$445,4,FALSE),"")</f>
        <v/>
      </c>
      <c r="U77" s="68" t="str">
        <f>IFERROR(VLOOKUP('Leveranser per nät'!A77,'lev 2014'!$B$2:$E$432,4,FALSE),"")</f>
        <v/>
      </c>
      <c r="V77" s="68" t="str">
        <f>IFERROR(INDEX(Levererat_2015[Leveranser till eget nät],MATCH($A77,Levererat_2015[Indexnamn],0)),"")</f>
        <v/>
      </c>
      <c r="W77" s="68" t="str">
        <f>IFERROR(INDEX(Levererat_2016[Leveranser till eget nät],MATCH($A77,Levererat_2016[Indexnamn],0)),"")</f>
        <v/>
      </c>
      <c r="X77" s="68" t="str">
        <f>IFERROR(INDEX(Tabell4[Leveranser till eget nät],MATCH('Leveranser per nät'!A77,Tabell4[[Finns i listan ]],0)),"")</f>
        <v/>
      </c>
      <c r="Y77" s="68" t="str">
        <f>IFERROR(INDEX(Tabell6[Kolumn1],MATCH($A77,Tabell6[Indexnmamn],0)),"")</f>
        <v/>
      </c>
      <c r="Z77" s="68"/>
      <c r="AA77" s="68" t="s">
        <v>779</v>
      </c>
      <c r="AB77" s="10"/>
      <c r="AC77" s="10"/>
      <c r="AD77"/>
      <c r="AE77"/>
      <c r="AG77" s="2">
        <f t="shared" si="3"/>
        <v>0</v>
      </c>
      <c r="AH77" s="103"/>
    </row>
    <row r="78" spans="1:34" x14ac:dyDescent="0.25">
      <c r="A78" t="s">
        <v>787</v>
      </c>
      <c r="B78" t="str">
        <f>VLOOKUP(A78,'Korrigerade leveranser GD'!$A$4:$B$482,2,FALSE)</f>
        <v>Eslöv-Lund-Lomma</v>
      </c>
      <c r="C78" s="10"/>
      <c r="D78" s="10"/>
      <c r="E78" s="10"/>
      <c r="F78" s="10"/>
      <c r="G78" s="10"/>
      <c r="H78" s="10"/>
      <c r="I78" s="10"/>
      <c r="J78" s="10"/>
      <c r="K78" s="10"/>
      <c r="L78" s="10"/>
      <c r="M78" s="10"/>
      <c r="N78" s="10"/>
      <c r="O78" s="10"/>
      <c r="P78" s="10"/>
      <c r="Q78" s="10">
        <v>969.38</v>
      </c>
      <c r="R78" s="10">
        <v>849.5</v>
      </c>
      <c r="S78" s="10">
        <f>IFERROR(VLOOKUP('Leveranser per nät'!A78,'lev 2012'!$B$2:$E$445,4,FALSE),"")</f>
        <v>888</v>
      </c>
      <c r="T78" s="56">
        <f>S78+(U78-S78)/2</f>
        <v>838</v>
      </c>
      <c r="U78" s="10">
        <f>IFERROR(VLOOKUP('Leveranser per nät'!A78,'lev 2014'!$B$2:$E$432,4,FALSE),"")</f>
        <v>788</v>
      </c>
      <c r="V78" s="10">
        <f>IFERROR(INDEX(Levererat_2015[Leveranser till eget nät],MATCH($A78,Levererat_2015[Indexnamn],0)),"")</f>
        <v>831.6</v>
      </c>
      <c r="W78" s="10">
        <f>IFERROR(INDEX(Levererat_2016[Leveranser till eget nät],MATCH($A78,Levererat_2016[Indexnamn],0)),"")</f>
        <v>861</v>
      </c>
      <c r="X78" s="10">
        <f>IFERROR(INDEX(Tabell4[Leveranser till eget nät],MATCH('Leveranser per nät'!A78,Tabell4[[Finns i listan ]],0)),"")</f>
        <v>857</v>
      </c>
      <c r="Y78" s="10">
        <f>IFERROR(INDEX(Tabell6[Kolumn1],MATCH($A78,Tabell6[Indexnmamn],0)),"")</f>
        <v>825.5</v>
      </c>
      <c r="Z78" s="10">
        <v>781</v>
      </c>
      <c r="AA78" s="10">
        <v>783.84100000000001</v>
      </c>
      <c r="AB78" s="10">
        <f>VLOOKUP(A78,Tabell9[[Indexnamn]:[Kolumn1]],3,FALSE)</f>
        <v>872.39599999999996</v>
      </c>
      <c r="AC78" s="10">
        <f>VLOOKUP($A78,'Lev 2022'!$K$2:$L$474,2,FALSE)</f>
        <v>823.53499999999997</v>
      </c>
      <c r="AG78" s="2">
        <f t="shared" si="3"/>
        <v>-48.86099999999999</v>
      </c>
      <c r="AH78" s="103">
        <f t="shared" si="4"/>
        <v>-5.6007822135819049E-2</v>
      </c>
    </row>
    <row r="79" spans="1:34" x14ac:dyDescent="0.25">
      <c r="A79" t="s">
        <v>872</v>
      </c>
      <c r="B79" t="s">
        <v>872</v>
      </c>
      <c r="C79" s="10"/>
      <c r="D79" s="10"/>
      <c r="E79" s="10"/>
      <c r="F79" s="10"/>
      <c r="G79" s="10"/>
      <c r="H79" s="10"/>
      <c r="I79" s="10"/>
      <c r="J79" s="10"/>
      <c r="K79" s="10"/>
      <c r="L79" s="10"/>
      <c r="M79" s="10"/>
      <c r="N79" s="10"/>
      <c r="O79" s="10"/>
      <c r="P79" s="10"/>
      <c r="Q79" s="10"/>
      <c r="R79" s="10"/>
      <c r="S79" s="10" t="str">
        <f>IFERROR(VLOOKUP('Leveranser per nät'!A79,'lev 2012'!$B$2:$E$445,4,FALSE),"")</f>
        <v/>
      </c>
      <c r="T79" s="10" t="str">
        <f>IFERROR(VLOOKUP('Leveranser per nät'!A79,'lev 2013'!$B$2:$E$445,4,FALSE),"")</f>
        <v/>
      </c>
      <c r="U79" s="10" t="str">
        <f>IFERROR(VLOOKUP('Leveranser per nät'!A79,'lev 2014'!$B$2:$E$432,4,FALSE),"")</f>
        <v/>
      </c>
      <c r="V79" s="69">
        <v>6.7</v>
      </c>
      <c r="W79" s="69">
        <v>7.6</v>
      </c>
      <c r="X79" s="69">
        <v>7.7</v>
      </c>
      <c r="Y79" s="69">
        <v>7.8</v>
      </c>
      <c r="Z79" s="10">
        <v>7.96</v>
      </c>
      <c r="AA79" s="69">
        <v>7.6</v>
      </c>
      <c r="AB79" s="69">
        <v>9</v>
      </c>
      <c r="AC79" s="56">
        <f>AB79*(1-0.07)</f>
        <v>8.3699999999999992</v>
      </c>
      <c r="AG79" s="2"/>
      <c r="AH79" s="103"/>
    </row>
    <row r="80" spans="1:34" x14ac:dyDescent="0.25">
      <c r="A80" t="s">
        <v>357</v>
      </c>
      <c r="B80" t="str">
        <f>VLOOKUP(A80,'Korrigerade leveranser GD'!$A$4:$B$482,2,FALSE)</f>
        <v>Fagersta</v>
      </c>
      <c r="C80" s="10">
        <v>102</v>
      </c>
      <c r="D80" s="10">
        <v>90.31</v>
      </c>
      <c r="E80" s="10">
        <v>100</v>
      </c>
      <c r="F80" s="10">
        <v>97</v>
      </c>
      <c r="G80" s="10">
        <v>97</v>
      </c>
      <c r="H80" s="10">
        <v>109.19499999999999</v>
      </c>
      <c r="I80" s="10">
        <v>101</v>
      </c>
      <c r="J80" s="10">
        <v>105</v>
      </c>
      <c r="K80" s="10">
        <v>98.953000000000003</v>
      </c>
      <c r="L80" s="10">
        <v>89.581999999999994</v>
      </c>
      <c r="M80" s="10">
        <v>94.486999999999995</v>
      </c>
      <c r="N80" s="10">
        <v>89.918000000000006</v>
      </c>
      <c r="O80" s="10">
        <v>89.3</v>
      </c>
      <c r="P80" s="10">
        <v>97.123000000000005</v>
      </c>
      <c r="Q80" s="10">
        <v>112.42400000000001</v>
      </c>
      <c r="R80" s="10">
        <v>91.867999999999995</v>
      </c>
      <c r="S80" s="10">
        <f>IFERROR(VLOOKUP('Leveranser per nät'!A80,'lev 2012'!$B$2:$E$445,4,FALSE),"")</f>
        <v>101</v>
      </c>
      <c r="T80" s="10">
        <f>IFERROR(VLOOKUP('Leveranser per nät'!A80,'lev 2013'!$B$2:$E$445,4,FALSE),"")</f>
        <v>98.44</v>
      </c>
      <c r="U80" s="10">
        <f>IFERROR(VLOOKUP('Leveranser per nät'!A80,'lev 2014'!$B$2:$E$432,4,FALSE),"")</f>
        <v>90.245999999999995</v>
      </c>
      <c r="V80" s="10">
        <f>IFERROR(INDEX(Levererat_2015[Leveranser till eget nät],MATCH($A80,Levererat_2015[Indexnamn],0)),"")</f>
        <v>90.768000000000001</v>
      </c>
      <c r="W80" s="10">
        <f>IFERROR(INDEX(Levererat_2016[Leveranser till eget nät],MATCH($A80,Levererat_2016[Indexnamn],0)),"")</f>
        <v>94.56</v>
      </c>
      <c r="X80" s="10">
        <f>IFERROR(INDEX(Tabell4[Leveranser till eget nät],MATCH('Leveranser per nät'!A80,Tabell4[[Finns i listan ]],0)),"")</f>
        <v>93.858000000000004</v>
      </c>
      <c r="Y80" s="10">
        <f>IFERROR(INDEX(Tabell6[Kolumn1],MATCH($A80,Tabell6[Indexnmamn],0)),"")</f>
        <v>94.965999999999994</v>
      </c>
      <c r="Z80" s="10">
        <v>94.289000000000001</v>
      </c>
      <c r="AA80" s="10">
        <v>82.043999999999997</v>
      </c>
      <c r="AB80" s="10">
        <f>VLOOKUP(A80,Tabell9[[Indexnamn]:[Kolumn1]],3,FALSE)</f>
        <v>95.129000000000005</v>
      </c>
      <c r="AC80" s="10">
        <f>VLOOKUP($A80,'Lev 2022'!$K$2:$L$474,2,FALSE)</f>
        <v>88</v>
      </c>
      <c r="AG80" s="2">
        <f t="shared" si="3"/>
        <v>-7.1290000000000049</v>
      </c>
      <c r="AH80" s="103">
        <f t="shared" si="4"/>
        <v>-7.4940344164240183E-2</v>
      </c>
    </row>
    <row r="81" spans="1:34" x14ac:dyDescent="0.25">
      <c r="A81" t="s">
        <v>108</v>
      </c>
      <c r="B81" t="str">
        <f>VLOOKUP(A81,'Korrigerade leveranser GD'!$A$4:$B$482,2,FALSE)</f>
        <v>Falkenberg</v>
      </c>
      <c r="C81" s="10">
        <v>38</v>
      </c>
      <c r="D81" s="10">
        <v>36.25</v>
      </c>
      <c r="E81" s="10">
        <v>35</v>
      </c>
      <c r="F81" s="10">
        <v>30</v>
      </c>
      <c r="G81" s="10">
        <v>30</v>
      </c>
      <c r="H81" s="10">
        <v>38</v>
      </c>
      <c r="I81" s="10">
        <v>39</v>
      </c>
      <c r="J81" s="10">
        <v>44.991</v>
      </c>
      <c r="K81" s="10">
        <v>44.124000000000002</v>
      </c>
      <c r="L81" s="10">
        <v>51.433</v>
      </c>
      <c r="M81" s="10">
        <v>55.3</v>
      </c>
      <c r="N81" s="10">
        <v>52.688000000000002</v>
      </c>
      <c r="O81" s="10">
        <v>55.43</v>
      </c>
      <c r="P81" s="10">
        <v>63.36</v>
      </c>
      <c r="Q81" s="10">
        <v>77.040999999999997</v>
      </c>
      <c r="R81" s="10">
        <v>63.917999999999999</v>
      </c>
      <c r="S81" s="10">
        <f>IFERROR(VLOOKUP('Leveranser per nät'!A81,'lev 2012'!$B$2:$E$445,4,FALSE),"")</f>
        <v>67</v>
      </c>
      <c r="T81" s="10">
        <f>IFERROR(VLOOKUP('Leveranser per nät'!A81,'lev 2013'!$B$2:$E$445,4,FALSE),"")</f>
        <v>64.465999999999994</v>
      </c>
      <c r="U81" s="10">
        <f>IFERROR(VLOOKUP('Leveranser per nät'!A81,'lev 2014'!$B$2:$E$432,4,FALSE),"")</f>
        <v>55.631</v>
      </c>
      <c r="V81" s="10">
        <f>IFERROR(INDEX(Levererat_2015[Leveranser till eget nät],MATCH($A81,Levererat_2015[Indexnamn],0)),"")</f>
        <v>57.997</v>
      </c>
      <c r="W81" s="10">
        <f>IFERROR(INDEX(Levererat_2016[Leveranser till eget nät],MATCH($A81,Levererat_2016[Indexnamn],0)),"")</f>
        <v>61.244999999999997</v>
      </c>
      <c r="X81" s="10">
        <f>IFERROR(INDEX(Tabell4[Leveranser till eget nät],MATCH('Leveranser per nät'!A81,Tabell4[[Finns i listan ]],0)),"")</f>
        <v>61.26</v>
      </c>
      <c r="Y81" s="10">
        <f>IFERROR(INDEX(Tabell6[Kolumn1],MATCH($A81,Tabell6[Indexnmamn],0)),"")</f>
        <v>63.59</v>
      </c>
      <c r="Z81" s="10">
        <v>63.613999999999997</v>
      </c>
      <c r="AA81" s="10">
        <v>61.665999999999997</v>
      </c>
      <c r="AB81" s="10">
        <f>VLOOKUP(A81,Tabell9[[Indexnamn]:[Kolumn1]],3,FALSE)</f>
        <v>73.772999999999996</v>
      </c>
      <c r="AC81" s="10">
        <f>VLOOKUP($A81,'Lev 2022'!$K$2:$L$474,2,FALSE)</f>
        <v>69.885000000000005</v>
      </c>
      <c r="AG81" s="2">
        <f t="shared" si="3"/>
        <v>-3.887999999999991</v>
      </c>
      <c r="AH81" s="103">
        <f t="shared" si="4"/>
        <v>-5.2702208124923634E-2</v>
      </c>
    </row>
    <row r="82" spans="1:34" x14ac:dyDescent="0.25">
      <c r="A82" t="s">
        <v>106</v>
      </c>
      <c r="B82" t="str">
        <f>VLOOKUP(A82,'Korrigerade leveranser GD'!$A$4:$B$482,2,FALSE)</f>
        <v>Falköping</v>
      </c>
      <c r="C82" s="10">
        <v>50</v>
      </c>
      <c r="D82" s="10">
        <v>44.15</v>
      </c>
      <c r="E82" s="10">
        <v>47.024000000000001</v>
      </c>
      <c r="F82" s="10">
        <v>48</v>
      </c>
      <c r="G82" s="10">
        <v>51</v>
      </c>
      <c r="H82" s="10">
        <v>65</v>
      </c>
      <c r="I82" s="10">
        <v>74</v>
      </c>
      <c r="J82" s="10">
        <v>82</v>
      </c>
      <c r="K82" s="10">
        <v>87.787000000000006</v>
      </c>
      <c r="L82" s="10">
        <v>88.906000000000006</v>
      </c>
      <c r="M82" s="10">
        <v>90</v>
      </c>
      <c r="N82" s="10">
        <v>102</v>
      </c>
      <c r="O82" s="10">
        <v>102</v>
      </c>
      <c r="P82" s="10">
        <v>106</v>
      </c>
      <c r="Q82" s="10">
        <v>125.34</v>
      </c>
      <c r="R82" s="10">
        <v>106.22</v>
      </c>
      <c r="S82" s="58">
        <v>114.4</v>
      </c>
      <c r="T82" s="10">
        <f>IFERROR(VLOOKUP('Leveranser per nät'!A82,'lev 2013'!$B$2:$E$445,4,FALSE),"")</f>
        <v>111.873</v>
      </c>
      <c r="U82" s="10">
        <f>IFERROR(VLOOKUP('Leveranser per nät'!A82,'lev 2014'!$B$2:$E$432,4,FALSE),"")</f>
        <v>100.4</v>
      </c>
      <c r="V82" s="10">
        <f>IFERROR(INDEX(Levererat_2015[Leveranser till eget nät],MATCH($A82,Levererat_2015[Indexnamn],0)),"")</f>
        <v>104.4</v>
      </c>
      <c r="W82" s="10">
        <f>IFERROR(INDEX(Levererat_2016[Leveranser till eget nät],MATCH($A82,Levererat_2016[Indexnamn],0)),"")</f>
        <v>106.7</v>
      </c>
      <c r="X82" s="10">
        <f>IFERROR(INDEX(Tabell4[Leveranser till eget nät],MATCH('Leveranser per nät'!A82,Tabell4[[Finns i listan ]],0)),"")</f>
        <v>103.6</v>
      </c>
      <c r="Y82" s="10">
        <f>IFERROR(INDEX(Tabell6[Kolumn1],MATCH($A82,Tabell6[Indexnmamn],0)),"")</f>
        <v>103.4</v>
      </c>
      <c r="Z82" s="10">
        <v>102.3</v>
      </c>
      <c r="AA82" s="10">
        <v>95.9</v>
      </c>
      <c r="AB82" s="10">
        <f>VLOOKUP(A82,Tabell9[[Indexnamn]:[Kolumn1]],3,FALSE)</f>
        <v>107.4</v>
      </c>
      <c r="AC82" s="10">
        <f>VLOOKUP($A82,'Lev 2022'!$K$2:$L$474,2,FALSE)</f>
        <v>98.03</v>
      </c>
      <c r="AG82" s="2">
        <f t="shared" si="3"/>
        <v>-9.3700000000000045</v>
      </c>
      <c r="AH82" s="103">
        <f t="shared" si="4"/>
        <v>-8.7243947858473031E-2</v>
      </c>
    </row>
    <row r="83" spans="1:34" x14ac:dyDescent="0.25">
      <c r="A83" t="s">
        <v>110</v>
      </c>
      <c r="B83" t="str">
        <f>VLOOKUP(A83,'Korrigerade leveranser GD'!$A$4:$B$482,2,FALSE)</f>
        <v>Falun</v>
      </c>
      <c r="C83" s="10">
        <v>141</v>
      </c>
      <c r="D83" s="10">
        <v>143.35</v>
      </c>
      <c r="E83" s="10">
        <v>170</v>
      </c>
      <c r="F83" s="10">
        <v>188</v>
      </c>
      <c r="G83" s="10">
        <v>181</v>
      </c>
      <c r="H83" s="10">
        <v>230</v>
      </c>
      <c r="I83" s="10">
        <v>242.38300000000001</v>
      </c>
      <c r="J83" s="10">
        <v>259</v>
      </c>
      <c r="K83" s="10">
        <v>266.7</v>
      </c>
      <c r="L83" s="10">
        <v>243.626</v>
      </c>
      <c r="M83" s="10">
        <v>250.84</v>
      </c>
      <c r="N83" s="10">
        <v>259.5</v>
      </c>
      <c r="O83" s="10">
        <v>254.5</v>
      </c>
      <c r="P83" s="10">
        <v>279.39999999999998</v>
      </c>
      <c r="Q83" s="10">
        <v>340.4</v>
      </c>
      <c r="R83" s="10">
        <v>279.3</v>
      </c>
      <c r="S83" s="10">
        <f>IFERROR(VLOOKUP('Leveranser per nät'!A83,'lev 2012'!$B$2:$E$445,4,FALSE),"")</f>
        <v>284.89</v>
      </c>
      <c r="T83" s="10">
        <f>IFERROR(VLOOKUP('Leveranser per nät'!A83,'lev 2013'!$B$2:$E$445,4,FALSE),"")</f>
        <v>297.43799999999999</v>
      </c>
      <c r="U83" s="10">
        <f>IFERROR(VLOOKUP('Leveranser per nät'!A83,'lev 2014'!$B$2:$E$432,4,FALSE),"")</f>
        <v>271.58000000000004</v>
      </c>
      <c r="V83" s="10">
        <f>IFERROR(INDEX(Levererat_2015[Leveranser till eget nät],MATCH($A83,Levererat_2015[Indexnamn],0)),"")</f>
        <v>332.34999999999997</v>
      </c>
      <c r="W83" s="10">
        <f>IFERROR(INDEX(Levererat_2016[Leveranser till eget nät],MATCH($A83,Levererat_2016[Indexnamn],0)),"")</f>
        <v>347.2</v>
      </c>
      <c r="X83" s="10">
        <f>IFERROR(INDEX(Tabell4[Leveranser till eget nät],MATCH('Leveranser per nät'!A83,Tabell4[[Finns i listan ]],0)),"")</f>
        <v>366.09</v>
      </c>
      <c r="Y83" s="10">
        <f>IFERROR(INDEX(Tabell6[Kolumn1],MATCH($A83,Tabell6[Indexnmamn],0)),"")</f>
        <v>351.98</v>
      </c>
      <c r="Z83" s="10">
        <v>350.01</v>
      </c>
      <c r="AA83" s="10">
        <v>307.51</v>
      </c>
      <c r="AB83" s="10">
        <f>VLOOKUP(A83,Tabell9[[Indexnamn]:[Kolumn1]],3,FALSE)</f>
        <v>364.64000000000004</v>
      </c>
      <c r="AC83" s="10">
        <f>VLOOKUP($A83,'Lev 2022'!$K$2:$L$474,2,FALSE)</f>
        <v>352.11</v>
      </c>
      <c r="AG83" s="2">
        <f t="shared" si="3"/>
        <v>-12.53000000000003</v>
      </c>
      <c r="AH83" s="103">
        <f t="shared" si="4"/>
        <v>-3.4362659060991743E-2</v>
      </c>
    </row>
    <row r="84" spans="1:34" s="77" customFormat="1" x14ac:dyDescent="0.25">
      <c r="A84" s="77" t="s">
        <v>246</v>
      </c>
      <c r="B84" s="77" t="str">
        <f>VLOOKUP(A84,'Korrigerade leveranser GD'!$A$4:$B$482,2,FALSE)</f>
        <v>Filipstad</v>
      </c>
      <c r="C84" s="69"/>
      <c r="D84" s="69"/>
      <c r="E84" s="69"/>
      <c r="F84" s="69"/>
      <c r="G84" s="69"/>
      <c r="H84" s="69">
        <v>0</v>
      </c>
      <c r="I84" s="69">
        <v>38</v>
      </c>
      <c r="J84" s="69">
        <v>38</v>
      </c>
      <c r="K84" s="69">
        <v>36.796999999999997</v>
      </c>
      <c r="L84" s="69">
        <v>35.978999999999999</v>
      </c>
      <c r="M84" s="69">
        <v>38.799999999999997</v>
      </c>
      <c r="N84" s="69">
        <v>40.54</v>
      </c>
      <c r="O84" s="69">
        <v>39.357999999999997</v>
      </c>
      <c r="P84" s="69">
        <v>42.35</v>
      </c>
      <c r="Q84" s="69">
        <v>49.215000000000003</v>
      </c>
      <c r="R84" s="69">
        <v>39.06</v>
      </c>
      <c r="S84" s="69">
        <f>IFERROR(VLOOKUP('Leveranser per nät'!A84,'lev 2012'!$B$2:$E$445,4,FALSE),"")</f>
        <v>43</v>
      </c>
      <c r="T84" s="69">
        <f>IFERROR(VLOOKUP('Leveranser per nät'!A84,'lev 2013'!$B$2:$E$445,4,FALSE),"")</f>
        <v>40.314</v>
      </c>
      <c r="U84" s="69">
        <f>IFERROR(VLOOKUP('Leveranser per nät'!A84,'lev 2014'!$B$2:$E$432,4,FALSE),"")</f>
        <v>38.555</v>
      </c>
      <c r="V84" s="69">
        <f>IFERROR(INDEX(Levererat_2015[Leveranser till eget nät],MATCH($A84,Levererat_2015[Indexnamn],0)),"")</f>
        <v>39.218000000000004</v>
      </c>
      <c r="W84" s="69">
        <v>55</v>
      </c>
      <c r="X84" s="69">
        <v>54</v>
      </c>
      <c r="Y84" s="69">
        <v>53.3</v>
      </c>
      <c r="Z84" s="69">
        <v>51.4</v>
      </c>
      <c r="AA84" s="69">
        <v>47.2</v>
      </c>
      <c r="AB84" s="69">
        <v>55.2</v>
      </c>
      <c r="AC84" s="56">
        <f>AB84*(1-0.07)</f>
        <v>51.335999999999999</v>
      </c>
      <c r="AD84"/>
      <c r="AE84"/>
      <c r="AG84" s="2"/>
      <c r="AH84" s="103"/>
    </row>
    <row r="85" spans="1:34" s="65" customFormat="1" x14ac:dyDescent="0.25">
      <c r="A85" s="65" t="s">
        <v>122</v>
      </c>
      <c r="B85" s="65" t="s">
        <v>420</v>
      </c>
      <c r="C85" s="68"/>
      <c r="D85" s="68"/>
      <c r="E85" s="68"/>
      <c r="F85" s="68"/>
      <c r="G85" s="68"/>
      <c r="H85" s="68"/>
      <c r="I85" s="68"/>
      <c r="J85" s="68"/>
      <c r="K85" s="68"/>
      <c r="L85" s="68"/>
      <c r="M85" s="68">
        <v>0</v>
      </c>
      <c r="N85" s="68">
        <v>7.3</v>
      </c>
      <c r="O85" s="68">
        <v>0</v>
      </c>
      <c r="P85" s="68"/>
      <c r="Q85" s="68"/>
      <c r="R85" s="68"/>
      <c r="S85" s="68" t="str">
        <f>IFERROR(VLOOKUP('Leveranser per nät'!A85,'lev 2012'!$B$2:$E$445,4,FALSE),"")</f>
        <v/>
      </c>
      <c r="T85" s="68" t="str">
        <f>IFERROR(VLOOKUP('Leveranser per nät'!A85,'lev 2013'!$B$2:$E$445,4,FALSE),"")</f>
        <v/>
      </c>
      <c r="U85" s="68" t="str">
        <f>IFERROR(VLOOKUP('Leveranser per nät'!A85,'lev 2014'!$B$2:$E$432,4,FALSE),"")</f>
        <v/>
      </c>
      <c r="V85" s="68" t="str">
        <f>IFERROR(INDEX(Levererat_2015[Leveranser till eget nät],MATCH($A85,Levererat_2015[Indexnamn],0)),"")</f>
        <v/>
      </c>
      <c r="W85" s="68" t="str">
        <f>IFERROR(INDEX(Levererat_2016[Leveranser till eget nät],MATCH($A85,Levererat_2016[Indexnamn],0)),"")</f>
        <v/>
      </c>
      <c r="X85" s="68" t="str">
        <f>IFERROR(INDEX(Tabell4[Leveranser till eget nät],MATCH('Leveranser per nät'!A85,Tabell4[[Finns i listan ]],0)),"")</f>
        <v/>
      </c>
      <c r="Y85" s="68" t="str">
        <f>IFERROR(INDEX(Tabell6[Kolumn1],MATCH($A85,Tabell6[Indexnmamn],0)),"")</f>
        <v/>
      </c>
      <c r="Z85" s="68"/>
      <c r="AA85" s="68" t="s">
        <v>779</v>
      </c>
      <c r="AB85" s="10"/>
      <c r="AC85" s="10"/>
      <c r="AD85"/>
      <c r="AE85"/>
      <c r="AG85" s="2"/>
      <c r="AH85" s="103"/>
    </row>
    <row r="86" spans="1:34" x14ac:dyDescent="0.25">
      <c r="A86" t="s">
        <v>113</v>
      </c>
      <c r="B86" t="str">
        <f>VLOOKUP(A86,'Korrigerade leveranser GD'!$A$4:$B$482,2,FALSE)</f>
        <v>Finspång</v>
      </c>
      <c r="C86" s="10"/>
      <c r="D86" s="10"/>
      <c r="E86" s="10"/>
      <c r="F86" s="10"/>
      <c r="G86" s="10"/>
      <c r="H86" s="10"/>
      <c r="I86" s="10">
        <v>72</v>
      </c>
      <c r="J86" s="10">
        <v>79.304000000000002</v>
      </c>
      <c r="K86" s="10">
        <v>87.364000000000004</v>
      </c>
      <c r="L86" s="10">
        <v>100.93300000000001</v>
      </c>
      <c r="M86" s="10">
        <v>101</v>
      </c>
      <c r="N86" s="10">
        <v>104</v>
      </c>
      <c r="O86" s="10">
        <v>105</v>
      </c>
      <c r="P86" s="10">
        <v>123</v>
      </c>
      <c r="Q86" s="10">
        <v>135</v>
      </c>
      <c r="R86" s="10">
        <v>108</v>
      </c>
      <c r="S86" s="10">
        <f>IFERROR(VLOOKUP('Leveranser per nät'!A86,'lev 2012'!$B$2:$E$445,4,FALSE),"")</f>
        <v>117</v>
      </c>
      <c r="T86" s="10">
        <f>IFERROR(VLOOKUP('Leveranser per nät'!A86,'lev 2013'!$B$2:$E$445,4,FALSE),"")</f>
        <v>115</v>
      </c>
      <c r="U86" s="10">
        <f>IFERROR(VLOOKUP('Leveranser per nät'!A86,'lev 2014'!$B$2:$E$432,4,FALSE),"")</f>
        <v>105</v>
      </c>
      <c r="V86" s="10">
        <f>IFERROR(INDEX(Levererat_2015[Leveranser till eget nät],MATCH($A86,Levererat_2015[Indexnamn],0)),"")</f>
        <v>103</v>
      </c>
      <c r="W86" s="10">
        <f>IFERROR(INDEX(Levererat_2016[Leveranser till eget nät],MATCH($A86,Levererat_2016[Indexnamn],0)),"")</f>
        <v>112</v>
      </c>
      <c r="X86" s="10">
        <f>IFERROR(INDEX(Tabell4[Leveranser till eget nät],MATCH('Leveranser per nät'!A86,Tabell4[[Finns i listan ]],0)),"")</f>
        <v>107</v>
      </c>
      <c r="Y86" s="10">
        <f>IFERROR(INDEX(Tabell6[Kolumn1],MATCH($A86,Tabell6[Indexnmamn],0)),"")</f>
        <v>107</v>
      </c>
      <c r="Z86" s="10">
        <v>110</v>
      </c>
      <c r="AA86" s="10">
        <v>100</v>
      </c>
      <c r="AB86" s="10">
        <f>VLOOKUP(A86,Tabell9[[Indexnamn]:[Kolumn1]],3,FALSE)</f>
        <v>117</v>
      </c>
      <c r="AC86" s="10">
        <f>VLOOKUP($A86,'Lev 2022'!$K$2:$L$474,2,FALSE)</f>
        <v>110</v>
      </c>
      <c r="AG86" s="2">
        <f t="shared" si="3"/>
        <v>-7</v>
      </c>
      <c r="AH86" s="103">
        <f t="shared" si="4"/>
        <v>-5.9829059829059832E-2</v>
      </c>
    </row>
    <row r="87" spans="1:34" x14ac:dyDescent="0.25">
      <c r="A87" t="s">
        <v>33</v>
      </c>
      <c r="B87" t="str">
        <f>VLOOKUP(A87,'Korrigerade leveranser GD'!$A$4:$B$482,2,FALSE)</f>
        <v>Kristianstad</v>
      </c>
      <c r="C87" s="10"/>
      <c r="D87" s="10"/>
      <c r="E87" s="10"/>
      <c r="F87" s="10"/>
      <c r="G87" s="10"/>
      <c r="H87" s="10"/>
      <c r="I87" s="10"/>
      <c r="J87" s="10"/>
      <c r="K87" s="10">
        <v>2.1640000000000001</v>
      </c>
      <c r="L87" s="10">
        <v>2.5179999999999998</v>
      </c>
      <c r="M87" s="10">
        <v>2.9319999999999999</v>
      </c>
      <c r="N87" s="10">
        <v>3.198</v>
      </c>
      <c r="O87" s="10">
        <v>3.6309999999999998</v>
      </c>
      <c r="P87" s="10">
        <v>4.0739999999999998</v>
      </c>
      <c r="Q87" s="10">
        <v>5.077</v>
      </c>
      <c r="R87" s="10">
        <v>4.4130000000000003</v>
      </c>
      <c r="S87" s="10">
        <f>IFERROR(VLOOKUP('Leveranser per nät'!A87,'lev 2012'!$B$2:$E$445,4,FALSE),"")</f>
        <v>4.79</v>
      </c>
      <c r="T87" s="10">
        <f>IFERROR(VLOOKUP('Leveranser per nät'!A87,'lev 2013'!$B$2:$E$445,4,FALSE),"")</f>
        <v>4.5389999999999997</v>
      </c>
      <c r="U87" s="10">
        <f>IFERROR(VLOOKUP('Leveranser per nät'!A87,'lev 2014'!$B$2:$E$432,4,FALSE),"")</f>
        <v>4.0190000000000001</v>
      </c>
      <c r="V87" s="10">
        <f>IFERROR(INDEX(Levererat_2015[Leveranser till eget nät],MATCH($A87,Levererat_2015[Indexnamn],0)),"")</f>
        <v>4.2450000000000001</v>
      </c>
      <c r="W87" s="10">
        <f>IFERROR(INDEX(Levererat_2016[Leveranser till eget nät],MATCH($A87,Levererat_2016[Indexnamn],0)),"")</f>
        <v>4.5990000000000002</v>
      </c>
      <c r="X87" s="10">
        <f>IFERROR(INDEX(Tabell4[Leveranser till eget nät],MATCH('Leveranser per nät'!A87,Tabell4[[Finns i listan ]],0)),"")</f>
        <v>4.6260000000000003</v>
      </c>
      <c r="Y87" s="10">
        <f>IFERROR(INDEX(Tabell6[Kolumn1],MATCH($A87,Tabell6[Indexnmamn],0)),"")</f>
        <v>4.5830000000000002</v>
      </c>
      <c r="Z87" s="10">
        <v>4.4779999999999998</v>
      </c>
      <c r="AA87" s="10">
        <v>4.2590000000000003</v>
      </c>
      <c r="AB87" s="10">
        <f>VLOOKUP(A87,Tabell9[[Indexnamn]:[Kolumn1]],3,FALSE)</f>
        <v>4.8449999999999998</v>
      </c>
      <c r="AC87" s="10">
        <f>VLOOKUP($A87,'Lev 2022'!$K$2:$L$474,2,FALSE)</f>
        <v>4.4669999999999996</v>
      </c>
      <c r="AG87" s="2">
        <f t="shared" si="3"/>
        <v>-0.37800000000000011</v>
      </c>
      <c r="AH87" s="103">
        <f t="shared" si="4"/>
        <v>-7.8018575851393213E-2</v>
      </c>
    </row>
    <row r="88" spans="1:34" x14ac:dyDescent="0.25">
      <c r="A88" s="4" t="s">
        <v>497</v>
      </c>
      <c r="B88" t="s">
        <v>253</v>
      </c>
      <c r="C88" s="10"/>
      <c r="D88" s="10"/>
      <c r="E88" s="10"/>
      <c r="F88" s="10"/>
      <c r="G88" s="10"/>
      <c r="H88" s="10"/>
      <c r="I88" s="10"/>
      <c r="J88" s="10"/>
      <c r="K88" s="10"/>
      <c r="L88" s="10"/>
      <c r="M88" s="10"/>
      <c r="N88" s="10"/>
      <c r="O88" s="10"/>
      <c r="P88" s="10">
        <v>0</v>
      </c>
      <c r="Q88" s="10">
        <v>2.395</v>
      </c>
      <c r="R88" s="10">
        <v>1.8540000000000001</v>
      </c>
      <c r="S88" s="10" t="str">
        <f>IFERROR(VLOOKUP('Leveranser per nät'!A88,'lev 2012'!$B$2:$E$445,4,FALSE),"")</f>
        <v/>
      </c>
      <c r="T88" s="10" t="str">
        <f>IFERROR(VLOOKUP('Leveranser per nät'!A88,'lev 2013'!$B$2:$E$445,4,FALSE),"")</f>
        <v/>
      </c>
      <c r="U88" s="10" t="str">
        <f>IFERROR(VLOOKUP('Leveranser per nät'!A88,'lev 2014'!$B$2:$E$432,4,FALSE),"")</f>
        <v/>
      </c>
      <c r="V88" s="10" t="str">
        <f>IFERROR(INDEX(Levererat_2015[Leveranser till eget nät],MATCH($A88,Levererat_2015[Indexnamn],0)),"")</f>
        <v/>
      </c>
      <c r="W88" s="10" t="str">
        <f>IFERROR(INDEX(Levererat_2016[Leveranser till eget nät],MATCH($A88,Levererat_2016[Indexnamn],0)),"")</f>
        <v/>
      </c>
      <c r="X88" s="10" t="str">
        <f>IFERROR(INDEX(Tabell4[Leveranser till eget nät],MATCH('Leveranser per nät'!A88,Tabell4[[Finns i listan ]],0)),"")</f>
        <v/>
      </c>
      <c r="Y88" s="10" t="str">
        <f>IFERROR(INDEX(Tabell6[Kolumn1],MATCH($A88,Tabell6[Indexnmamn],0)),"")</f>
        <v/>
      </c>
      <c r="Z88" s="10"/>
      <c r="AA88" s="10" t="s">
        <v>779</v>
      </c>
      <c r="AB88" s="10">
        <f>VLOOKUP(A88,Tabell9[[Indexnamn]:[Kolumn1]],3,FALSE)</f>
        <v>2.1459999999999999</v>
      </c>
      <c r="AC88" s="10">
        <f>VLOOKUP($A88,'Lev 2022'!$K$2:$L$474,2,FALSE)</f>
        <v>2.1259999999999999</v>
      </c>
      <c r="AG88" s="2">
        <f t="shared" si="3"/>
        <v>-2.0000000000000018E-2</v>
      </c>
      <c r="AH88" s="103">
        <f t="shared" si="4"/>
        <v>-9.3196644920782931E-3</v>
      </c>
    </row>
    <row r="89" spans="1:34" s="77" customFormat="1" x14ac:dyDescent="0.25">
      <c r="A89" s="77" t="s">
        <v>239</v>
      </c>
      <c r="B89" s="77" t="str">
        <f>VLOOKUP(A89,'Korrigerade leveranser GD'!$A$4:$B$482,2,FALSE)</f>
        <v>Flen</v>
      </c>
      <c r="C89" s="69"/>
      <c r="D89" s="69"/>
      <c r="E89" s="69"/>
      <c r="F89" s="69"/>
      <c r="G89" s="69"/>
      <c r="H89" s="69"/>
      <c r="I89" s="69"/>
      <c r="J89" s="69">
        <v>0</v>
      </c>
      <c r="K89" s="69">
        <v>40.335999999999999</v>
      </c>
      <c r="L89" s="69">
        <v>40.048200000000001</v>
      </c>
      <c r="M89" s="69">
        <v>44.841000000000001</v>
      </c>
      <c r="N89" s="69">
        <v>46.566000000000003</v>
      </c>
      <c r="O89" s="69">
        <v>46.463999999999999</v>
      </c>
      <c r="P89" s="69">
        <v>48.816000000000003</v>
      </c>
      <c r="Q89" s="69">
        <v>54.697000000000003</v>
      </c>
      <c r="R89" s="69">
        <v>44.6</v>
      </c>
      <c r="S89" s="69">
        <f>IFERROR(VLOOKUP('Leveranser per nät'!A89,'lev 2012'!$B$2:$E$445,4,FALSE),"")</f>
        <v>49</v>
      </c>
      <c r="T89" s="69">
        <f>IFERROR(VLOOKUP('Leveranser per nät'!A89,'lev 2013'!$B$2:$E$445,4,FALSE),"")</f>
        <v>48.5</v>
      </c>
      <c r="U89" s="69">
        <f>IFERROR(VLOOKUP('Leveranser per nät'!A89,'lev 2014'!$B$2:$E$432,4,FALSE),"")</f>
        <v>45.4</v>
      </c>
      <c r="V89" s="69">
        <f>IFERROR(INDEX(Levererat_2015[Leveranser till eget nät],MATCH($A89,Levererat_2015[Indexnamn],0)),"")</f>
        <v>45</v>
      </c>
      <c r="W89" s="69">
        <f>IFERROR(INDEX(Levererat_2016[Leveranser till eget nät],MATCH($A89,Levererat_2016[Indexnamn],0)),"")</f>
        <v>48</v>
      </c>
      <c r="X89" s="69">
        <v>47.3</v>
      </c>
      <c r="Y89" s="69">
        <v>47.6</v>
      </c>
      <c r="Z89" s="69">
        <v>44.8</v>
      </c>
      <c r="AA89" s="69">
        <v>39.700000000000003</v>
      </c>
      <c r="AB89" s="69">
        <v>47.4</v>
      </c>
      <c r="AC89" s="10">
        <f>VLOOKUP($A89,'Lev 2022'!$K$2:$L$474,2,FALSE)</f>
        <v>43.4</v>
      </c>
      <c r="AD89"/>
      <c r="AE89"/>
      <c r="AG89" s="2">
        <f t="shared" si="3"/>
        <v>-4</v>
      </c>
      <c r="AH89" s="103">
        <f t="shared" si="4"/>
        <v>-8.4388185654008435E-2</v>
      </c>
    </row>
    <row r="90" spans="1:34" s="77" customFormat="1" x14ac:dyDescent="0.25">
      <c r="A90" s="77" t="s">
        <v>486</v>
      </c>
      <c r="B90" s="77" t="str">
        <f>VLOOKUP(A90,'Korrigerade leveranser GD'!$A$4:$B$482,2,FALSE)</f>
        <v>Mönsterås</v>
      </c>
      <c r="C90" s="69"/>
      <c r="D90" s="69"/>
      <c r="E90" s="69"/>
      <c r="F90" s="69"/>
      <c r="G90" s="69"/>
      <c r="H90" s="69"/>
      <c r="I90" s="69"/>
      <c r="J90" s="69"/>
      <c r="K90" s="69"/>
      <c r="L90" s="69"/>
      <c r="M90" s="69"/>
      <c r="N90" s="69"/>
      <c r="O90" s="69"/>
      <c r="P90" s="69">
        <v>0</v>
      </c>
      <c r="Q90" s="69">
        <v>1.9</v>
      </c>
      <c r="R90" s="69">
        <v>1.425481</v>
      </c>
      <c r="S90" s="69">
        <f>IFERROR(VLOOKUP('Leveranser per nät'!A90,'lev 2012'!$B$2:$E$445,4,FALSE),"")</f>
        <v>1.58</v>
      </c>
      <c r="T90" s="69">
        <f>IFERROR(VLOOKUP('Leveranser per nät'!A90,'lev 2013'!$B$2:$E$445,4,FALSE),"")</f>
        <v>1.58</v>
      </c>
      <c r="U90" s="69">
        <v>0.3</v>
      </c>
      <c r="V90" s="69">
        <v>1.6</v>
      </c>
      <c r="W90" s="69">
        <v>1.5</v>
      </c>
      <c r="X90" s="69">
        <v>1.5</v>
      </c>
      <c r="Y90" s="69">
        <v>1.4</v>
      </c>
      <c r="Z90" s="69">
        <v>1.4</v>
      </c>
      <c r="AA90" s="69">
        <v>1.2</v>
      </c>
      <c r="AB90" s="69">
        <v>1.5</v>
      </c>
      <c r="AC90" s="10">
        <f>VLOOKUP($A90,'Lev 2022'!$K$2:$L$474,2,FALSE)</f>
        <v>1.3</v>
      </c>
      <c r="AD90"/>
      <c r="AE90"/>
      <c r="AG90" s="2">
        <f t="shared" si="3"/>
        <v>-0.19999999999999996</v>
      </c>
      <c r="AH90" s="103">
        <f t="shared" si="4"/>
        <v>-0.1333333333333333</v>
      </c>
    </row>
    <row r="91" spans="1:34" x14ac:dyDescent="0.25">
      <c r="A91" t="s">
        <v>107</v>
      </c>
      <c r="B91" t="str">
        <f>VLOOKUP(A91,'Korrigerade leveranser GD'!$A$4:$B$482,2,FALSE)</f>
        <v>Falköping</v>
      </c>
      <c r="C91" s="10">
        <v>8</v>
      </c>
      <c r="D91" s="10">
        <v>5.73</v>
      </c>
      <c r="E91" s="10">
        <v>7</v>
      </c>
      <c r="F91" s="10">
        <v>7</v>
      </c>
      <c r="G91" s="10">
        <v>7</v>
      </c>
      <c r="H91" s="10">
        <v>8</v>
      </c>
      <c r="I91" s="10">
        <v>8</v>
      </c>
      <c r="J91" s="10">
        <v>8</v>
      </c>
      <c r="K91" s="10">
        <v>7.851</v>
      </c>
      <c r="L91" s="10">
        <v>8.0180000000000007</v>
      </c>
      <c r="M91" s="10">
        <v>8.5</v>
      </c>
      <c r="N91" s="10">
        <v>10.7</v>
      </c>
      <c r="O91" s="10">
        <v>9.5</v>
      </c>
      <c r="P91" s="10">
        <v>10.9</v>
      </c>
      <c r="Q91" s="10">
        <v>12.9</v>
      </c>
      <c r="R91" s="10">
        <v>10.66</v>
      </c>
      <c r="S91" s="58">
        <v>11.8</v>
      </c>
      <c r="T91" s="10">
        <f>IFERROR(VLOOKUP('Leveranser per nät'!A91,'lev 2013'!$B$2:$E$445,4,FALSE),"")</f>
        <v>11.672000000000001</v>
      </c>
      <c r="U91" s="10">
        <f>IFERROR(VLOOKUP('Leveranser per nät'!A91,'lev 2014'!$B$2:$E$432,4,FALSE),"")</f>
        <v>9.1999999999999993</v>
      </c>
      <c r="V91" s="10">
        <f>IFERROR(INDEX(Levererat_2015[Leveranser till eget nät],MATCH($A91,Levererat_2015[Indexnamn],0)),"")</f>
        <v>9.6999999999999993</v>
      </c>
      <c r="W91" s="10">
        <f>IFERROR(INDEX(Levererat_2016[Leveranser till eget nät],MATCH($A91,Levererat_2016[Indexnamn],0)),"")</f>
        <v>10.7</v>
      </c>
      <c r="X91" s="10">
        <f>IFERROR(INDEX(Tabell4[Leveranser till eget nät],MATCH('Leveranser per nät'!A91,Tabell4[[Finns i listan ]],0)),"")</f>
        <v>10.1</v>
      </c>
      <c r="Y91" s="10">
        <f>IFERROR(INDEX(Tabell6[Kolumn1],MATCH($A91,Tabell6[Indexnmamn],0)),"")</f>
        <v>10.9</v>
      </c>
      <c r="Z91" s="10">
        <v>9.1</v>
      </c>
      <c r="AA91" s="10">
        <v>7.9</v>
      </c>
      <c r="AB91" s="10">
        <f>VLOOKUP(A91,Tabell9[[Indexnamn]:[Kolumn1]],3,FALSE)</f>
        <v>9.8000000000000007</v>
      </c>
      <c r="AC91" s="10">
        <f>VLOOKUP($A91,'Lev 2022'!$K$2:$L$474,2,FALSE)</f>
        <v>9.14</v>
      </c>
      <c r="AG91" s="2">
        <f t="shared" si="3"/>
        <v>-0.66000000000000014</v>
      </c>
      <c r="AH91" s="103">
        <f t="shared" si="4"/>
        <v>-6.7346938775510221E-2</v>
      </c>
    </row>
    <row r="92" spans="1:34" x14ac:dyDescent="0.25">
      <c r="A92" t="s">
        <v>397</v>
      </c>
      <c r="B92" t="str">
        <f>VLOOKUP(A92,'Korrigerade leveranser GD'!$A$4:$B$482,2,FALSE)</f>
        <v>Alingsås</v>
      </c>
      <c r="C92" s="10"/>
      <c r="D92" s="10"/>
      <c r="E92" s="10"/>
      <c r="F92" s="10"/>
      <c r="G92" s="10"/>
      <c r="H92" s="10"/>
      <c r="I92" s="10"/>
      <c r="J92" s="10"/>
      <c r="K92" s="10"/>
      <c r="L92" s="10"/>
      <c r="M92" s="10"/>
      <c r="N92" s="10"/>
      <c r="O92" s="10"/>
      <c r="P92" s="10"/>
      <c r="Q92" s="10">
        <v>7.9</v>
      </c>
      <c r="R92" s="10">
        <v>6.5</v>
      </c>
      <c r="S92" s="10">
        <f>IFERROR(VLOOKUP('Leveranser per nät'!A92,'lev 2012'!$B$2:$E$445,4,FALSE),"")</f>
        <v>7.5</v>
      </c>
      <c r="T92" s="10">
        <f>IFERROR(VLOOKUP('Leveranser per nät'!A92,'lev 2013'!$B$2:$E$445,4,FALSE),"")</f>
        <v>8.8000000000000007</v>
      </c>
      <c r="U92" s="10">
        <v>7.7</v>
      </c>
      <c r="V92" s="10">
        <f>IFERROR(INDEX(Levererat_2015[Leveranser till eget nät],MATCH($A92,Levererat_2015[Indexnamn],0)),"")</f>
        <v>8.1</v>
      </c>
      <c r="W92" s="10">
        <f>IFERROR(INDEX(Levererat_2016[Leveranser till eget nät],MATCH($A92,Levererat_2016[Indexnamn],0)),"")</f>
        <v>8.3000000000000007</v>
      </c>
      <c r="X92" s="10">
        <f>IFERROR(INDEX(Tabell4[Leveranser till eget nät],MATCH('Leveranser per nät'!A92,Tabell4[[Finns i listan ]],0)),"")</f>
        <v>8.1999999999999993</v>
      </c>
      <c r="Y92" s="10">
        <f>IFERROR(INDEX(Tabell6[Kolumn1],MATCH($A92,Tabell6[Indexnmamn],0)),"")</f>
        <v>8.3000000000000007</v>
      </c>
      <c r="Z92" s="10">
        <v>7.47</v>
      </c>
      <c r="AA92" s="10">
        <v>6.9489999999999998</v>
      </c>
      <c r="AB92" s="10">
        <f>VLOOKUP(A92,Tabell9[[Indexnamn]:[Kolumn1]],3,FALSE)</f>
        <v>7.89</v>
      </c>
      <c r="AC92" s="10">
        <f>VLOOKUP($A92,'Lev 2022'!$K$2:$L$474,2,FALSE)</f>
        <v>7.63</v>
      </c>
      <c r="AG92" s="2">
        <f t="shared" si="3"/>
        <v>-0.25999999999999979</v>
      </c>
      <c r="AH92" s="103">
        <f t="shared" si="4"/>
        <v>-3.2953105196451178E-2</v>
      </c>
    </row>
    <row r="93" spans="1:34" s="77" customFormat="1" x14ac:dyDescent="0.25">
      <c r="A93" s="77" t="s">
        <v>10</v>
      </c>
      <c r="B93" s="77" t="str">
        <f>VLOOKUP(A93,'Korrigerade leveranser GD'!$A$4:$B$482,2,FALSE)</f>
        <v>Gävle</v>
      </c>
      <c r="C93" s="69">
        <v>0</v>
      </c>
      <c r="D93" s="69">
        <v>7.64</v>
      </c>
      <c r="E93" s="69">
        <v>8</v>
      </c>
      <c r="F93" s="69"/>
      <c r="G93" s="69"/>
      <c r="H93" s="69"/>
      <c r="I93" s="69"/>
      <c r="J93" s="69"/>
      <c r="K93" s="69"/>
      <c r="L93" s="69"/>
      <c r="M93" s="69"/>
      <c r="N93" s="69"/>
      <c r="O93" s="69"/>
      <c r="P93" s="69">
        <v>10.3</v>
      </c>
      <c r="Q93" s="69">
        <v>12.5</v>
      </c>
      <c r="R93" s="69">
        <v>7.9</v>
      </c>
      <c r="S93" s="69">
        <f>IFERROR(VLOOKUP('Leveranser per nät'!A93,'lev 2012'!$B$2:$E$445,4,FALSE),"")</f>
        <v>8.6</v>
      </c>
      <c r="T93" s="69">
        <f>IFERROR(VLOOKUP('Leveranser per nät'!A93,'lev 2013'!$B$2:$E$445,4,FALSE),"")</f>
        <v>8.1</v>
      </c>
      <c r="U93" s="69">
        <f>IFERROR(VLOOKUP('Leveranser per nät'!A93,'lev 2014'!$B$2:$E$432,4,FALSE),"")</f>
        <v>7.3579999999999997</v>
      </c>
      <c r="V93" s="69">
        <f>IFERROR(INDEX(Levererat_2015[Leveranser till eget nät],MATCH($A93,Levererat_2015[Indexnamn],0)),"")</f>
        <v>7.41</v>
      </c>
      <c r="W93" s="69">
        <f>IFERROR(INDEX(Levererat_2016[Leveranser till eget nät],MATCH($A93,Levererat_2016[Indexnamn],0)),"")</f>
        <v>7.7190000000000003</v>
      </c>
      <c r="X93" s="69">
        <v>7.8</v>
      </c>
      <c r="Y93" s="69">
        <v>7.5</v>
      </c>
      <c r="Z93" s="69">
        <v>7.4</v>
      </c>
      <c r="AA93" s="69">
        <v>6.8</v>
      </c>
      <c r="AB93" s="69">
        <v>8.4</v>
      </c>
      <c r="AC93" s="56">
        <f>AB93*(1-0.07)</f>
        <v>7.8119999999999994</v>
      </c>
      <c r="AD93"/>
      <c r="AE93"/>
      <c r="AG93" s="2"/>
      <c r="AH93" s="103"/>
    </row>
    <row r="94" spans="1:34" s="65" customFormat="1" x14ac:dyDescent="0.25">
      <c r="A94" s="70" t="s">
        <v>602</v>
      </c>
      <c r="B94" s="65" t="s">
        <v>168</v>
      </c>
      <c r="C94" s="68"/>
      <c r="D94" s="68"/>
      <c r="E94" s="68"/>
      <c r="F94" s="68"/>
      <c r="G94" s="68"/>
      <c r="H94" s="68"/>
      <c r="I94" s="68"/>
      <c r="J94" s="68"/>
      <c r="K94" s="68"/>
      <c r="L94" s="68"/>
      <c r="M94" s="68"/>
      <c r="N94" s="68"/>
      <c r="O94" s="68"/>
      <c r="P94" s="68"/>
      <c r="Q94" s="68"/>
      <c r="R94" s="68"/>
      <c r="S94" s="68"/>
      <c r="T94" s="68"/>
      <c r="U94" s="68">
        <v>0</v>
      </c>
      <c r="V94" s="68">
        <v>0.3</v>
      </c>
      <c r="W94" s="68">
        <v>0.3</v>
      </c>
      <c r="X94" s="71"/>
      <c r="Y94" s="68" t="str">
        <f>IFERROR(INDEX(Tabell6[Kolumn1],MATCH($A94,Tabell6[Indexnmamn],0)),"")</f>
        <v/>
      </c>
      <c r="Z94" s="68"/>
      <c r="AA94" s="68" t="s">
        <v>779</v>
      </c>
      <c r="AB94" s="10"/>
      <c r="AC94" s="10"/>
      <c r="AD94"/>
      <c r="AE94"/>
      <c r="AG94" s="2">
        <f t="shared" si="3"/>
        <v>0</v>
      </c>
      <c r="AH94" s="103"/>
    </row>
    <row r="95" spans="1:34" x14ac:dyDescent="0.25">
      <c r="A95" t="s">
        <v>838</v>
      </c>
      <c r="B95" t="s">
        <v>507</v>
      </c>
      <c r="C95" s="10"/>
      <c r="D95" s="10"/>
      <c r="E95" s="10"/>
      <c r="F95" s="10"/>
      <c r="G95" s="10"/>
      <c r="H95" s="10"/>
      <c r="I95" s="10"/>
      <c r="J95" s="10"/>
      <c r="K95" s="10"/>
      <c r="L95" s="10"/>
      <c r="M95" s="10"/>
      <c r="N95" s="10"/>
      <c r="O95" s="10"/>
      <c r="P95" s="10"/>
      <c r="Q95" s="10"/>
      <c r="R95" s="10"/>
      <c r="S95" s="10" t="str">
        <f>IFERROR(VLOOKUP('Leveranser per nät'!A95,'lev 2012'!$B$2:$E$445,4,FALSE),"")</f>
        <v/>
      </c>
      <c r="T95" s="10" t="str">
        <f>IFERROR(VLOOKUP('Leveranser per nät'!A95,'lev 2013'!$B$2:$E$445,4,FALSE),"")</f>
        <v/>
      </c>
      <c r="U95" s="10" t="str">
        <f>IFERROR(VLOOKUP('Leveranser per nät'!A95,'lev 2014'!$B$2:$E$432,4,FALSE),"")</f>
        <v/>
      </c>
      <c r="V95" s="10" t="str">
        <f>IFERROR(INDEX(Levererat_2015[Leveranser till eget nät],MATCH($A95,Levererat_2015[Indexnamn],0)),"")</f>
        <v/>
      </c>
      <c r="W95" s="10">
        <f>IFERROR(INDEX(Levererat_2016[Leveranser till eget nät],MATCH($A95,Levererat_2016[Indexnamn],0)),"")</f>
        <v>0.34</v>
      </c>
      <c r="X95" s="10">
        <f>IFERROR(INDEX(Tabell4[Leveranser till eget nät],MATCH('Leveranser per nät'!A95,Tabell4[[Finns i listan ]],0)),"")</f>
        <v>0.37</v>
      </c>
      <c r="Y95" s="10">
        <f>IFERROR(INDEX(Tabell6[Kolumn1],MATCH($A95,Tabell6[Indexnmamn],0)),"")</f>
        <v>0.38</v>
      </c>
      <c r="Z95" s="10">
        <v>0.39</v>
      </c>
      <c r="AA95" s="10">
        <v>0.38700000000000001</v>
      </c>
      <c r="AB95" s="10">
        <f>VLOOKUP(A95,Tabell9[[Indexnamn]:[Kolumn1]],3,FALSE)</f>
        <v>0.432</v>
      </c>
      <c r="AC95" s="10">
        <f>VLOOKUP($A95,'Lev 2022'!$K$2:$L$474,2,FALSE)</f>
        <v>0.372</v>
      </c>
      <c r="AG95" s="2">
        <f t="shared" si="3"/>
        <v>-0.06</v>
      </c>
      <c r="AH95" s="103">
        <f t="shared" si="4"/>
        <v>-0.1388888888888889</v>
      </c>
    </row>
    <row r="96" spans="1:34" x14ac:dyDescent="0.25">
      <c r="A96" s="5" t="s">
        <v>603</v>
      </c>
      <c r="B96" t="str">
        <f>VLOOKUP(A96,'Korrigerade leveranser GD'!$A$4:$B$482,2,FALSE)</f>
        <v>Delsbo</v>
      </c>
      <c r="C96" s="10"/>
      <c r="D96" s="10">
        <v>7.64</v>
      </c>
      <c r="E96" s="10">
        <v>8</v>
      </c>
      <c r="F96" s="10"/>
      <c r="G96" s="10"/>
      <c r="H96" s="10"/>
      <c r="I96" s="10"/>
      <c r="J96" s="10"/>
      <c r="K96" s="10"/>
      <c r="L96" s="10"/>
      <c r="M96" s="10"/>
      <c r="N96" s="10"/>
      <c r="O96" s="10"/>
      <c r="P96" s="10"/>
      <c r="Q96" s="10">
        <v>12.5</v>
      </c>
      <c r="R96" s="10">
        <v>7.9</v>
      </c>
      <c r="S96" s="10">
        <f>IFERROR(VLOOKUP('Leveranser per nät'!A96,'lev 2012'!$B$2:$E$445,4,FALSE),"")</f>
        <v>3.36</v>
      </c>
      <c r="T96" s="10">
        <f>IFERROR(VLOOKUP('Leveranser per nät'!A96,'lev 2013'!$B$2:$E$445,4,FALSE),"")</f>
        <v>3.27</v>
      </c>
      <c r="U96" s="10">
        <v>3.4</v>
      </c>
      <c r="V96" s="10">
        <f>IFERROR(INDEX(Levererat_2015[Leveranser till eget nät],MATCH($A96,Levererat_2015[Indexnamn],0)),"")</f>
        <v>3.2</v>
      </c>
      <c r="W96" s="10">
        <f>IFERROR(INDEX(Levererat_2016[Leveranser till eget nät],MATCH($A96,Levererat_2016[Indexnamn],0)),"")</f>
        <v>3.3</v>
      </c>
      <c r="X96" s="10">
        <f>IFERROR(INDEX(Tabell4[Leveranser till eget nät],MATCH('Leveranser per nät'!A96,Tabell4[[Finns i listan ]],0)),"")</f>
        <v>3.3</v>
      </c>
      <c r="Y96" s="10">
        <f>IFERROR(INDEX(Tabell6[Kolumn1],MATCH($A96,Tabell6[Indexnmamn],0)),"")</f>
        <v>3.5</v>
      </c>
      <c r="Z96" s="10">
        <v>4.1840000000000002</v>
      </c>
      <c r="AA96" s="10">
        <v>4.0659999999999998</v>
      </c>
      <c r="AB96" s="10">
        <f>VLOOKUP(A96,Tabell9[[Indexnamn]:[Kolumn1]],3,FALSE)</f>
        <v>5.37</v>
      </c>
      <c r="AC96" s="10">
        <f>VLOOKUP($A96,'Lev 2022'!$K$2:$L$474,2,FALSE)</f>
        <v>4.5949999999999998</v>
      </c>
      <c r="AG96" s="2">
        <f t="shared" si="3"/>
        <v>-0.77500000000000036</v>
      </c>
      <c r="AH96" s="103">
        <f t="shared" si="4"/>
        <v>-0.14432029795158294</v>
      </c>
    </row>
    <row r="97" spans="1:34" s="65" customFormat="1" x14ac:dyDescent="0.25">
      <c r="A97" s="66" t="s">
        <v>28</v>
      </c>
      <c r="B97" s="65" t="str">
        <f>VLOOKUP(A97,'Korrigerade leveranser GD'!$A$4:$B$482,2,FALSE)</f>
        <v>Borås</v>
      </c>
      <c r="C97" s="68"/>
      <c r="D97" s="68"/>
      <c r="E97" s="68"/>
      <c r="F97" s="68"/>
      <c r="G97" s="68"/>
      <c r="H97" s="68"/>
      <c r="I97" s="68"/>
      <c r="J97" s="68"/>
      <c r="K97" s="68"/>
      <c r="L97" s="68"/>
      <c r="M97" s="68"/>
      <c r="N97" s="68"/>
      <c r="O97" s="68"/>
      <c r="P97" s="68">
        <v>0</v>
      </c>
      <c r="Q97" s="68">
        <v>24.99</v>
      </c>
      <c r="R97" s="68">
        <v>21.73</v>
      </c>
      <c r="S97" s="68">
        <f>IFERROR(VLOOKUP('Leveranser per nät'!A97,'lev 2012'!$B$2:$E$445,4,FALSE),"")</f>
        <v>20</v>
      </c>
      <c r="T97" s="68">
        <f>IFERROR(VLOOKUP('Leveranser per nät'!A97,'lev 2013'!$B$2:$E$445,4,FALSE),"")</f>
        <v>19.709</v>
      </c>
      <c r="U97" s="68">
        <f>IFERROR(VLOOKUP('Leveranser per nät'!A97,'lev 2014'!$B$2:$E$432,4,FALSE),"")</f>
        <v>17.352</v>
      </c>
      <c r="V97" s="68">
        <f>IFERROR(INDEX(Levererat_2015[Leveranser till eget nät],MATCH($A97,Levererat_2015[Indexnamn],0)),"")</f>
        <v>18.294</v>
      </c>
      <c r="W97" s="68">
        <f>IFERROR(INDEX(Levererat_2016[Leveranser till eget nät],MATCH($A97,Levererat_2016[Indexnamn],0)),"")</f>
        <v>19.433</v>
      </c>
      <c r="X97" s="68">
        <f>IFERROR(INDEX(Tabell4[Leveranser till eget nät],MATCH('Leveranser per nät'!A97,Tabell4[[Finns i listan ]],0)),"")</f>
        <v>18.178000000000001</v>
      </c>
      <c r="Y97" s="68">
        <f>IFERROR(INDEX(Tabell6[Kolumn1],MATCH($A97,Tabell6[Indexnmamn],0)),"")</f>
        <v>17.98</v>
      </c>
      <c r="Z97" s="68"/>
      <c r="AA97" s="71"/>
      <c r="AB97" s="68"/>
      <c r="AC97" s="10"/>
      <c r="AG97" s="2">
        <f t="shared" si="3"/>
        <v>0</v>
      </c>
      <c r="AH97" s="103"/>
    </row>
    <row r="98" spans="1:34" s="65" customFormat="1" x14ac:dyDescent="0.25">
      <c r="A98" s="65" t="s">
        <v>204</v>
      </c>
      <c r="B98" s="65" t="str">
        <f>VLOOKUP(A98,'Korrigerade leveranser GD'!$A$4:$B$482,2,FALSE)</f>
        <v>Kinna</v>
      </c>
      <c r="C98" s="68"/>
      <c r="D98" s="68"/>
      <c r="E98" s="68"/>
      <c r="F98" s="68"/>
      <c r="G98" s="68">
        <v>2</v>
      </c>
      <c r="H98" s="68">
        <v>6</v>
      </c>
      <c r="I98" s="68">
        <v>7</v>
      </c>
      <c r="J98" s="68">
        <v>7</v>
      </c>
      <c r="K98" s="68">
        <v>6.8410000000000002</v>
      </c>
      <c r="L98" s="68">
        <v>6.8410000000000002</v>
      </c>
      <c r="M98" s="68">
        <v>6.7850000000000001</v>
      </c>
      <c r="N98" s="68">
        <v>6.9</v>
      </c>
      <c r="O98" s="68">
        <v>6.66</v>
      </c>
      <c r="P98" s="68">
        <v>6.88</v>
      </c>
      <c r="Q98" s="68">
        <v>8.7899999999999991</v>
      </c>
      <c r="R98" s="68">
        <v>7.5</v>
      </c>
      <c r="S98" s="68">
        <f>IFERROR(VLOOKUP('Leveranser per nät'!A98,'lev 2012'!$B$2:$E$445,4,FALSE),"")</f>
        <v>8.4700000000000006</v>
      </c>
      <c r="T98" s="68">
        <f>IFERROR(VLOOKUP('Leveranser per nät'!A98,'lev 2013'!$B$2:$E$445,4,FALSE),"")</f>
        <v>8.07</v>
      </c>
      <c r="U98" s="68">
        <f>IFERROR(VLOOKUP('Leveranser per nät'!A98,'lev 2014'!$B$2:$E$432,4,FALSE),"")</f>
        <v>7.19</v>
      </c>
      <c r="V98" s="68">
        <f>IFERROR(INDEX(Levererat_2015[Leveranser till eget nät],MATCH($A98,Levererat_2015[Indexnamn],0)),"")</f>
        <v>7.55</v>
      </c>
      <c r="W98" s="68">
        <f>IFERROR(INDEX(Levererat_2016[Leveranser till eget nät],MATCH($A98,Levererat_2016[Indexnamn],0)),"")</f>
        <v>8</v>
      </c>
      <c r="X98" s="68" t="str">
        <f>IFERROR(INDEX(Tabell4[Leveranser till eget nät],MATCH('Leveranser per nät'!A98,Tabell4[[Finns i listan ]],0)),"")</f>
        <v/>
      </c>
      <c r="Y98" s="68" t="str">
        <f>IFERROR(INDEX(Tabell6[Kolumn1],MATCH($A98,Tabell6[Indexnmamn],0)),"")</f>
        <v/>
      </c>
      <c r="Z98" s="68"/>
      <c r="AA98" s="68" t="s">
        <v>779</v>
      </c>
      <c r="AB98" s="10"/>
      <c r="AC98" s="10"/>
      <c r="AD98"/>
      <c r="AE98"/>
      <c r="AG98" s="2">
        <f t="shared" si="3"/>
        <v>0</v>
      </c>
      <c r="AH98" s="103"/>
    </row>
    <row r="99" spans="1:34" x14ac:dyDescent="0.25">
      <c r="A99" t="s">
        <v>368</v>
      </c>
      <c r="B99" t="str">
        <f>VLOOKUP(A99,'Korrigerade leveranser GD'!$A$4:$B$482,2,FALSE)</f>
        <v>Ånge</v>
      </c>
      <c r="C99" s="10"/>
      <c r="D99" s="10"/>
      <c r="E99" s="10"/>
      <c r="F99" s="10"/>
      <c r="G99" s="10"/>
      <c r="H99" s="10"/>
      <c r="I99" s="10">
        <v>0</v>
      </c>
      <c r="J99" s="10">
        <v>0</v>
      </c>
      <c r="K99" s="10">
        <v>7.1269999999999998</v>
      </c>
      <c r="L99" s="10">
        <v>7.2880000000000003</v>
      </c>
      <c r="M99" s="10">
        <v>7</v>
      </c>
      <c r="N99" s="10">
        <v>7.556</v>
      </c>
      <c r="O99" s="10">
        <v>7.4969999999999999</v>
      </c>
      <c r="P99" s="10">
        <v>7.944</v>
      </c>
      <c r="Q99" s="10">
        <v>8.2409999999999997</v>
      </c>
      <c r="R99" s="10">
        <v>7.2</v>
      </c>
      <c r="S99" s="10">
        <f>IFERROR(VLOOKUP('Leveranser per nät'!A99,'lev 2012'!$B$2:$E$445,4,FALSE),"")</f>
        <v>7.6</v>
      </c>
      <c r="T99" s="10">
        <v>7.1</v>
      </c>
      <c r="U99" s="10">
        <f>IFERROR(VLOOKUP('Leveranser per nät'!A99,'lev 2014'!$B$2:$E$432,4,FALSE),"")</f>
        <v>6.8</v>
      </c>
      <c r="V99" s="10">
        <f>IFERROR(INDEX(Levererat_2015[Leveranser till eget nät],MATCH($A99,Levererat_2015[Indexnamn],0)),"")</f>
        <v>6.6</v>
      </c>
      <c r="W99" s="10">
        <f>IFERROR(INDEX(Levererat_2016[Leveranser till eget nät],MATCH($A99,Levererat_2016[Indexnamn],0)),"")</f>
        <v>6.9</v>
      </c>
      <c r="X99" s="10">
        <f>IFERROR(INDEX(Tabell4[Leveranser till eget nät],MATCH('Leveranser per nät'!A99,Tabell4[[Finns i listan ]],0)),"")</f>
        <v>6.8</v>
      </c>
      <c r="Y99" s="10">
        <f>IFERROR(INDEX(Tabell6[Kolumn1],MATCH($A99,Tabell6[Indexnmamn],0)),"")</f>
        <v>6.7</v>
      </c>
      <c r="Z99" s="10">
        <v>6.4</v>
      </c>
      <c r="AA99" s="10">
        <v>5.6829999999999998</v>
      </c>
      <c r="AB99" s="10">
        <f>VLOOKUP(A99,Tabell9[[Indexnamn]:[Kolumn1]],3,FALSE)</f>
        <v>7.5229999999999997</v>
      </c>
      <c r="AC99" s="10">
        <f>VLOOKUP($A99,'Lev 2022'!$K$2:$L$474,2,FALSE)</f>
        <v>7.8140000000000001</v>
      </c>
      <c r="AG99" s="2">
        <f t="shared" si="3"/>
        <v>0.29100000000000037</v>
      </c>
      <c r="AH99" s="103">
        <f t="shared" si="4"/>
        <v>3.8681377110195453E-2</v>
      </c>
    </row>
    <row r="100" spans="1:34" x14ac:dyDescent="0.25">
      <c r="A100" t="s">
        <v>351</v>
      </c>
      <c r="B100" t="str">
        <f>VLOOKUP(A100,'Korrigerade leveranser GD'!$A$4:$B$482,2,FALSE)</f>
        <v>Vimmerby</v>
      </c>
      <c r="C100" s="10"/>
      <c r="D100" s="10"/>
      <c r="E100" s="10"/>
      <c r="F100" s="10"/>
      <c r="G100" s="10"/>
      <c r="H100" s="10"/>
      <c r="I100" s="10"/>
      <c r="J100" s="10"/>
      <c r="K100" s="10"/>
      <c r="L100" s="10"/>
      <c r="M100" s="10"/>
      <c r="N100" s="10"/>
      <c r="O100" s="10">
        <v>4.4000000000000004</v>
      </c>
      <c r="P100" s="10">
        <v>5.0999999999999996</v>
      </c>
      <c r="Q100" s="10">
        <v>4.47</v>
      </c>
      <c r="R100" s="10">
        <v>4.13</v>
      </c>
      <c r="S100" s="10">
        <f>IFERROR(VLOOKUP('Leveranser per nät'!A100,'lev 2012'!$B$2:$E$445,4,FALSE),"")</f>
        <v>4.24</v>
      </c>
      <c r="T100" s="10">
        <f>IFERROR(VLOOKUP('Leveranser per nät'!A100,'lev 2013'!$B$2:$E$445,4,FALSE),"")</f>
        <v>4.2720000000000002</v>
      </c>
      <c r="U100" s="10">
        <f>IFERROR(VLOOKUP('Leveranser per nät'!A100,'lev 2014'!$B$2:$E$432,4,FALSE),"")</f>
        <v>4.399</v>
      </c>
      <c r="V100" s="10">
        <f>IFERROR(INDEX(Levererat_2015[Leveranser till eget nät],MATCH($A100,Levererat_2015[Indexnamn],0)),"")</f>
        <v>4.9000000000000004</v>
      </c>
      <c r="W100" s="10">
        <f>IFERROR(INDEX(Levererat_2016[Leveranser till eget nät],MATCH($A100,Levererat_2016[Indexnamn],0)),"")</f>
        <v>5.048</v>
      </c>
      <c r="X100" s="10">
        <f>IFERROR(INDEX(Tabell4[Leveranser till eget nät],MATCH('Leveranser per nät'!A100,Tabell4[[Finns i listan ]],0)),"")</f>
        <v>4.7409999999999997</v>
      </c>
      <c r="Y100" s="10">
        <f>IFERROR(INDEX(Tabell6[Kolumn1],MATCH($A100,Tabell6[Indexnmamn],0)),"")</f>
        <v>4.5229999999999997</v>
      </c>
      <c r="Z100" s="10">
        <v>3.51</v>
      </c>
      <c r="AA100" s="10">
        <v>3.1</v>
      </c>
      <c r="AB100" s="10">
        <f>VLOOKUP(A100,Tabell9[[Indexnamn]:[Kolumn1]],3,FALSE)</f>
        <v>3.4569999999999999</v>
      </c>
      <c r="AC100" s="10">
        <f>VLOOKUP($A100,'Lev 2022'!$K$2:$L$474,2,FALSE)</f>
        <v>3.0990000000000002</v>
      </c>
      <c r="AG100" s="2">
        <f t="shared" si="3"/>
        <v>-0.35799999999999965</v>
      </c>
      <c r="AH100" s="103">
        <f t="shared" si="4"/>
        <v>-0.10355799826439099</v>
      </c>
    </row>
    <row r="101" spans="1:34" x14ac:dyDescent="0.25">
      <c r="A101" t="s">
        <v>191</v>
      </c>
      <c r="B101" t="str">
        <f>VLOOKUP(A101,'Korrigerade leveranser GD'!$A$4:$B$482,2,FALSE)</f>
        <v>Lindesberg</v>
      </c>
      <c r="C101" s="10"/>
      <c r="D101" s="10"/>
      <c r="E101" s="10"/>
      <c r="F101" s="10">
        <v>0</v>
      </c>
      <c r="G101" s="10">
        <v>2</v>
      </c>
      <c r="H101" s="10">
        <v>13</v>
      </c>
      <c r="I101" s="10">
        <v>13</v>
      </c>
      <c r="J101" s="10">
        <v>14</v>
      </c>
      <c r="K101" s="10">
        <v>19.913</v>
      </c>
      <c r="L101" s="10">
        <v>13.319000000000001</v>
      </c>
      <c r="M101" s="10">
        <v>13.127000000000001</v>
      </c>
      <c r="N101" s="10">
        <v>12.938000000000001</v>
      </c>
      <c r="O101" s="10">
        <v>12.651999999999999</v>
      </c>
      <c r="P101" s="10">
        <v>13.77</v>
      </c>
      <c r="Q101" s="10">
        <v>15.63</v>
      </c>
      <c r="R101" s="10">
        <v>12.3</v>
      </c>
      <c r="S101" s="10">
        <v>14.1</v>
      </c>
      <c r="T101" s="10">
        <f>IFERROR(VLOOKUP('Leveranser per nät'!A101,'lev 2013'!$B$2:$E$445,4,FALSE),"")</f>
        <v>14.5</v>
      </c>
      <c r="U101" s="10">
        <f>IFERROR(VLOOKUP('Leveranser per nät'!A101,'lev 2014'!$B$2:$E$432,4,FALSE),"")</f>
        <v>13.4</v>
      </c>
      <c r="V101" s="10">
        <f>IFERROR(INDEX(Levererat_2015[Leveranser till eget nät],MATCH($A101,Levererat_2015[Indexnamn],0)),"")</f>
        <v>13.6</v>
      </c>
      <c r="W101" s="10">
        <f>IFERROR(INDEX(Levererat_2016[Leveranser till eget nät],MATCH($A101,Levererat_2016[Indexnamn],0)),"")</f>
        <v>14.45</v>
      </c>
      <c r="X101" s="10">
        <f>IFERROR(INDEX(Tabell4[Leveranser till eget nät],MATCH('Leveranser per nät'!A101,Tabell4[[Finns i listan ]],0)),"")</f>
        <v>13.99</v>
      </c>
      <c r="Y101" s="10">
        <f>IFERROR(INDEX(Tabell6[Kolumn1],MATCH($A101,Tabell6[Indexnmamn],0)),"")</f>
        <v>14.1</v>
      </c>
      <c r="Z101" s="10">
        <v>14.1</v>
      </c>
      <c r="AA101" s="10">
        <v>12.8</v>
      </c>
      <c r="AB101" s="10">
        <f>VLOOKUP(A101,Tabell9[[Indexnamn]:[Kolumn1]],3,FALSE)</f>
        <v>14.8</v>
      </c>
      <c r="AC101" s="10">
        <f>VLOOKUP($A101,'Lev 2022'!$K$2:$L$474,2,FALSE)</f>
        <v>13.9</v>
      </c>
      <c r="AG101" s="2">
        <f t="shared" si="3"/>
        <v>-0.90000000000000036</v>
      </c>
      <c r="AH101" s="103">
        <f t="shared" si="4"/>
        <v>-6.0810810810810835E-2</v>
      </c>
    </row>
    <row r="102" spans="1:34" x14ac:dyDescent="0.25">
      <c r="A102" t="s">
        <v>607</v>
      </c>
      <c r="B102" t="str">
        <f>VLOOKUP(A102,'Korrigerade leveranser GD'!$A$4:$B$482,2,FALSE)</f>
        <v xml:space="preserve">Tännäs </v>
      </c>
      <c r="C102" s="10"/>
      <c r="D102" s="10"/>
      <c r="E102" s="10"/>
      <c r="F102" s="10"/>
      <c r="G102" s="10"/>
      <c r="H102" s="10"/>
      <c r="I102" s="10"/>
      <c r="J102" s="10"/>
      <c r="K102" s="10"/>
      <c r="L102" s="10"/>
      <c r="M102" s="10"/>
      <c r="N102" s="10"/>
      <c r="O102" s="10"/>
      <c r="P102" s="10"/>
      <c r="Q102" s="10"/>
      <c r="R102" s="10"/>
      <c r="S102" s="10">
        <f>IFERROR(VLOOKUP('Leveranser per nät'!A102,'lev 2012'!$B$2:$E$445,4,FALSE),"")</f>
        <v>5.3</v>
      </c>
      <c r="T102" s="10">
        <f>IFERROR(VLOOKUP('Leveranser per nät'!A102,'lev 2013'!$B$2:$E$445,4,FALSE),"")</f>
        <v>4.9509999999999996</v>
      </c>
      <c r="U102" s="10">
        <v>4.8</v>
      </c>
      <c r="V102" s="10">
        <f>IFERROR(INDEX(Levererat_2015[Leveranser till eget nät],MATCH($A102,Levererat_2015[Indexnamn],0)),"")</f>
        <v>5.2</v>
      </c>
      <c r="W102" s="10">
        <f>IFERROR(INDEX(Levererat_2016[Leveranser till eget nät],MATCH($A102,Levererat_2016[Indexnamn],0)),"")</f>
        <v>5.8</v>
      </c>
      <c r="X102" s="10">
        <f>IFERROR(INDEX(Tabell4[Leveranser till eget nät],MATCH('Leveranser per nät'!A102,Tabell4[[Finns i listan ]],0)),"")</f>
        <v>5.7</v>
      </c>
      <c r="Y102" s="10">
        <f>IFERROR(INDEX(Tabell6[Kolumn1],MATCH($A102,Tabell6[Indexnmamn],0)),"")</f>
        <v>5.4</v>
      </c>
      <c r="Z102" s="10">
        <v>5.5890000000000004</v>
      </c>
      <c r="AA102" s="10">
        <v>5.2</v>
      </c>
      <c r="AB102" s="10">
        <f>VLOOKUP(A102,Tabell9[[Indexnamn]:[Kolumn1]],3,FALSE)</f>
        <v>5.5759999999999996</v>
      </c>
      <c r="AC102" s="10">
        <f>VLOOKUP($A102,'Lev 2022'!$K$2:$L$474,2,FALSE)</f>
        <v>5.0819999999999999</v>
      </c>
      <c r="AG102" s="2">
        <f t="shared" si="3"/>
        <v>-0.49399999999999977</v>
      </c>
      <c r="AH102" s="103">
        <f t="shared" si="4"/>
        <v>-8.8593974175035839E-2</v>
      </c>
    </row>
    <row r="103" spans="1:34" x14ac:dyDescent="0.25">
      <c r="A103" t="s">
        <v>194</v>
      </c>
      <c r="B103" t="str">
        <f>VLOOKUP(A103,'Korrigerade leveranser GD'!$A$4:$B$482,2,FALSE)</f>
        <v>Ljusdal</v>
      </c>
      <c r="C103" s="10">
        <v>6</v>
      </c>
      <c r="D103" s="10">
        <v>5.35</v>
      </c>
      <c r="E103" s="10">
        <v>6</v>
      </c>
      <c r="F103" s="10">
        <v>7</v>
      </c>
      <c r="G103" s="10">
        <v>7</v>
      </c>
      <c r="H103" s="10">
        <v>8</v>
      </c>
      <c r="I103" s="10">
        <v>7</v>
      </c>
      <c r="J103" s="10">
        <v>7</v>
      </c>
      <c r="K103" s="10">
        <v>7.3220000000000001</v>
      </c>
      <c r="L103" s="10">
        <v>7.0519999999999996</v>
      </c>
      <c r="M103" s="10">
        <v>6.9930000000000003</v>
      </c>
      <c r="N103" s="10">
        <v>8.0760000000000005</v>
      </c>
      <c r="O103" s="10">
        <v>8.2739999999999991</v>
      </c>
      <c r="P103" s="10">
        <v>8.4719999999999995</v>
      </c>
      <c r="Q103" s="10">
        <v>10.16</v>
      </c>
      <c r="R103" s="10">
        <v>8.0359999999999996</v>
      </c>
      <c r="S103" s="10">
        <f>IFERROR(VLOOKUP('Leveranser per nät'!A103,'lev 2012'!$B$2:$E$445,4,FALSE),"")</f>
        <v>8.8000000000000007</v>
      </c>
      <c r="T103" s="10">
        <f>IFERROR(VLOOKUP('Leveranser per nät'!A103,'lev 2013'!$B$2:$E$445,4,FALSE),"")</f>
        <v>8.3000000000000007</v>
      </c>
      <c r="U103" s="10">
        <f>IFERROR(VLOOKUP('Leveranser per nät'!A103,'lev 2014'!$B$2:$E$432,4,FALSE),"")</f>
        <v>7</v>
      </c>
      <c r="V103" s="10">
        <f>IFERROR(INDEX(Levererat_2015[Leveranser till eget nät],MATCH($A103,Levererat_2015[Indexnamn],0)),"")</f>
        <v>7.8</v>
      </c>
      <c r="W103" s="10">
        <f>IFERROR(INDEX(Levererat_2016[Leveranser till eget nät],MATCH($A103,Levererat_2016[Indexnamn],0)),"")</f>
        <v>8</v>
      </c>
      <c r="X103" s="10">
        <f>IFERROR(INDEX(Tabell4[Leveranser till eget nät],MATCH('Leveranser per nät'!A103,Tabell4[[Finns i listan ]],0)),"")</f>
        <v>8</v>
      </c>
      <c r="Y103" s="10">
        <f>IFERROR(INDEX(Tabell6[Kolumn1],MATCH($A103,Tabell6[Indexnmamn],0)),"")</f>
        <v>8.1</v>
      </c>
      <c r="Z103" s="10">
        <v>8.1</v>
      </c>
      <c r="AA103" s="10">
        <v>7.29</v>
      </c>
      <c r="AB103" s="10">
        <f>VLOOKUP(A103,Tabell9[[Indexnamn]:[Kolumn1]],3,FALSE)</f>
        <v>8.1300000000000008</v>
      </c>
      <c r="AC103" s="10">
        <f>VLOOKUP($A103,'Lev 2022'!$K$2:$L$474,2,FALSE)</f>
        <v>7.2960000000000003</v>
      </c>
      <c r="AG103" s="2">
        <f t="shared" si="3"/>
        <v>-0.83400000000000052</v>
      </c>
      <c r="AH103" s="103">
        <f t="shared" si="4"/>
        <v>-0.10258302583025836</v>
      </c>
    </row>
    <row r="104" spans="1:34" s="65" customFormat="1" x14ac:dyDescent="0.25">
      <c r="A104" s="65" t="s">
        <v>398</v>
      </c>
      <c r="B104" s="65" t="s">
        <v>157</v>
      </c>
      <c r="C104" s="68"/>
      <c r="D104" s="68"/>
      <c r="E104" s="68"/>
      <c r="F104" s="68"/>
      <c r="G104" s="68"/>
      <c r="H104" s="68"/>
      <c r="I104" s="68"/>
      <c r="J104" s="68"/>
      <c r="K104" s="68"/>
      <c r="L104" s="68">
        <v>1.9476</v>
      </c>
      <c r="M104" s="68"/>
      <c r="N104" s="68"/>
      <c r="O104" s="68"/>
      <c r="P104" s="68"/>
      <c r="Q104" s="68"/>
      <c r="R104" s="68"/>
      <c r="S104" s="68" t="str">
        <f>IFERROR(VLOOKUP('Leveranser per nät'!A104,'lev 2012'!$B$2:$E$445,4,FALSE),"")</f>
        <v/>
      </c>
      <c r="T104" s="68" t="str">
        <f>IFERROR(VLOOKUP('Leveranser per nät'!A104,'lev 2013'!$B$2:$E$445,4,FALSE),"")</f>
        <v/>
      </c>
      <c r="U104" s="68" t="str">
        <f>IFERROR(VLOOKUP('Leveranser per nät'!A104,'lev 2014'!$B$2:$E$432,4,FALSE),"")</f>
        <v/>
      </c>
      <c r="V104" s="68" t="str">
        <f>IFERROR(INDEX(Levererat_2015[Leveranser till eget nät],MATCH($A104,Levererat_2015[Indexnamn],0)),"")</f>
        <v/>
      </c>
      <c r="W104" s="68" t="str">
        <f>IFERROR(INDEX(Levererat_2016[Leveranser till eget nät],MATCH($A104,Levererat_2016[Indexnamn],0)),"")</f>
        <v/>
      </c>
      <c r="X104" s="68" t="str">
        <f>IFERROR(INDEX(Tabell4[Leveranser till eget nät],MATCH('Leveranser per nät'!A104,Tabell4[[Finns i listan ]],0)),"")</f>
        <v/>
      </c>
      <c r="Y104" s="68" t="str">
        <f>IFERROR(INDEX(Tabell6[Kolumn1],MATCH($A104,Tabell6[Indexnmamn],0)),"")</f>
        <v/>
      </c>
      <c r="Z104" s="68"/>
      <c r="AA104" s="68" t="s">
        <v>779</v>
      </c>
      <c r="AB104" s="10"/>
      <c r="AC104" s="10">
        <f>VLOOKUP($A104,'Lev 2022'!$K$2:$L$474,2,FALSE)</f>
        <v>1.9930000000000001</v>
      </c>
      <c r="AD104"/>
      <c r="AE104"/>
      <c r="AG104" s="2">
        <f t="shared" si="3"/>
        <v>1.9930000000000001</v>
      </c>
      <c r="AH104" s="103"/>
    </row>
    <row r="105" spans="1:34" x14ac:dyDescent="0.25">
      <c r="A105" t="s">
        <v>361</v>
      </c>
      <c r="B105" t="str">
        <f>VLOOKUP(A105,'Korrigerade leveranser GD'!$A$4:$B$482,2,FALSE)</f>
        <v>Västervik</v>
      </c>
      <c r="C105" s="10">
        <v>0</v>
      </c>
      <c r="D105" s="10">
        <v>20.68</v>
      </c>
      <c r="E105" s="10">
        <v>22</v>
      </c>
      <c r="F105" s="10">
        <v>22</v>
      </c>
      <c r="G105" s="10">
        <v>21</v>
      </c>
      <c r="H105" s="10">
        <v>21</v>
      </c>
      <c r="I105" s="10">
        <v>24</v>
      </c>
      <c r="J105" s="10">
        <v>26</v>
      </c>
      <c r="K105" s="10">
        <v>17.085999999999999</v>
      </c>
      <c r="L105" s="10">
        <v>23.86</v>
      </c>
      <c r="M105" s="10">
        <v>22.83</v>
      </c>
      <c r="N105" s="10">
        <v>24.187999999999999</v>
      </c>
      <c r="O105" s="10">
        <v>23.327000000000002</v>
      </c>
      <c r="P105" s="10">
        <v>25.52</v>
      </c>
      <c r="Q105" s="10">
        <v>30.305</v>
      </c>
      <c r="R105" s="10">
        <v>25.632000000000001</v>
      </c>
      <c r="S105" s="10">
        <f>IFERROR(VLOOKUP('Leveranser per nät'!A105,'lev 2012'!$B$2:$E$445,4,FALSE),"")</f>
        <v>27</v>
      </c>
      <c r="T105" s="10">
        <f>IFERROR(VLOOKUP('Leveranser per nät'!A105,'lev 2013'!$B$2:$E$445,4,FALSE),"")</f>
        <v>26.1</v>
      </c>
      <c r="U105" s="10">
        <f>IFERROR(VLOOKUP('Leveranser per nät'!A105,'lev 2014'!$B$2:$E$432,4,FALSE),"")</f>
        <v>23.9</v>
      </c>
      <c r="V105" s="10">
        <f>IFERROR(INDEX(Levererat_2015[Leveranser till eget nät],MATCH($A105,Levererat_2015[Indexnamn],0)),"")</f>
        <v>23.9</v>
      </c>
      <c r="W105" s="10">
        <f>IFERROR(INDEX(Levererat_2016[Leveranser till eget nät],MATCH($A105,Levererat_2016[Indexnamn],0)),"")</f>
        <v>25.184999999999999</v>
      </c>
      <c r="X105" s="10">
        <f>IFERROR(INDEX(Tabell4[Leveranser till eget nät],MATCH('Leveranser per nät'!A105,Tabell4[[Finns i listan ]],0)),"")</f>
        <v>25.1</v>
      </c>
      <c r="Y105" s="10">
        <f>IFERROR(INDEX(Tabell6[Kolumn1],MATCH($A105,Tabell6[Indexnmamn],0)),"")</f>
        <v>24.6</v>
      </c>
      <c r="Z105" s="10">
        <v>23.6</v>
      </c>
      <c r="AA105" s="10">
        <v>21.7</v>
      </c>
      <c r="AB105" s="10">
        <f>VLOOKUP(A105,Tabell9[[Indexnamn]:[Kolumn1]],3,FALSE)</f>
        <v>24.97</v>
      </c>
      <c r="AC105" s="10">
        <f>VLOOKUP($A105,'Lev 2022'!$K$2:$L$474,2,FALSE)</f>
        <v>24</v>
      </c>
      <c r="AG105" s="2">
        <f t="shared" si="3"/>
        <v>-0.96999999999999886</v>
      </c>
      <c r="AH105" s="103">
        <f t="shared" si="4"/>
        <v>-3.8846615939126909E-2</v>
      </c>
    </row>
    <row r="106" spans="1:34" x14ac:dyDescent="0.25">
      <c r="A106" t="s">
        <v>1108</v>
      </c>
      <c r="B106" t="str">
        <f>VLOOKUP(A106,'Korrigerade leveranser GD'!$A$4:$B$482,2,FALSE)</f>
        <v>Katrineholm</v>
      </c>
      <c r="C106" s="10"/>
      <c r="D106" s="10"/>
      <c r="E106" s="10"/>
      <c r="F106" s="10"/>
      <c r="G106" s="10"/>
      <c r="H106" s="10"/>
      <c r="I106" s="10"/>
      <c r="J106" s="10"/>
      <c r="K106" s="10"/>
      <c r="L106" s="10"/>
      <c r="M106" s="10"/>
      <c r="N106" s="10"/>
      <c r="O106" s="10"/>
      <c r="P106" s="10"/>
      <c r="Q106" s="10"/>
      <c r="R106" s="10"/>
      <c r="S106" s="10"/>
      <c r="T106" s="10"/>
      <c r="U106" s="10"/>
      <c r="V106" s="10">
        <v>5.6</v>
      </c>
      <c r="W106" s="10">
        <v>4.4000000000000004</v>
      </c>
      <c r="X106" s="10">
        <v>6.7</v>
      </c>
      <c r="Y106" s="10">
        <v>6.3</v>
      </c>
      <c r="Z106" s="10">
        <v>2.1</v>
      </c>
      <c r="AA106" s="10">
        <v>26.2</v>
      </c>
      <c r="AB106" s="10">
        <f>VLOOKUP(A106,Tabell9[[Indexnamn]:[Kolumn1]],3,FALSE)</f>
        <v>24.24</v>
      </c>
      <c r="AC106" s="10">
        <f>VLOOKUP($A106,'Lev 2022'!$K$2:$L$474,2,FALSE)</f>
        <v>27.12</v>
      </c>
      <c r="AG106" s="2">
        <f t="shared" si="3"/>
        <v>2.8800000000000026</v>
      </c>
      <c r="AH106" s="103">
        <f t="shared" si="4"/>
        <v>0.11881188118811893</v>
      </c>
    </row>
    <row r="107" spans="1:34" x14ac:dyDescent="0.25">
      <c r="A107" t="s">
        <v>214</v>
      </c>
      <c r="B107" t="str">
        <f>VLOOKUP(A107,'Korrigerade leveranser GD'!$A$4:$B$482,2,FALSE)</f>
        <v>Films Kyrkby</v>
      </c>
      <c r="C107" s="10"/>
      <c r="D107" s="10"/>
      <c r="E107" s="10"/>
      <c r="F107" s="10"/>
      <c r="G107" s="10"/>
      <c r="H107" s="10"/>
      <c r="I107" s="10"/>
      <c r="J107" s="10"/>
      <c r="K107" s="10">
        <v>0</v>
      </c>
      <c r="L107" s="10">
        <v>9.0063012558063189</v>
      </c>
      <c r="M107" s="10">
        <v>12.659000000000001</v>
      </c>
      <c r="N107" s="10">
        <v>2.6</v>
      </c>
      <c r="O107" s="10">
        <v>12.5</v>
      </c>
      <c r="P107" s="10">
        <v>11.9</v>
      </c>
      <c r="Q107" s="10">
        <v>12.73</v>
      </c>
      <c r="R107" s="99">
        <v>11.428000000000001</v>
      </c>
      <c r="S107" s="10">
        <v>12.138215782833418</v>
      </c>
      <c r="T107" s="10">
        <v>14.474441414675834</v>
      </c>
      <c r="U107" s="10">
        <v>9.5988400960481837</v>
      </c>
      <c r="V107" s="10">
        <v>9.7512026372552985</v>
      </c>
      <c r="W107" s="99">
        <v>11.07167799438362</v>
      </c>
      <c r="X107" s="56">
        <f>W107+(Y107-W107)/2</f>
        <v>11.77533899719181</v>
      </c>
      <c r="Y107" s="10">
        <f>IFERROR(INDEX(Tabell6[Kolumn1],MATCH($A107,Tabell6[Indexnmamn],0)),"")</f>
        <v>12.478999999999999</v>
      </c>
      <c r="Z107" s="10">
        <v>15.481999999999999</v>
      </c>
      <c r="AA107" s="10">
        <v>13.991</v>
      </c>
      <c r="AB107" s="10">
        <f>VLOOKUP(A107,Tabell9[[Indexnamn]:[Kolumn1]],3,FALSE)</f>
        <v>17.186</v>
      </c>
      <c r="AC107" s="10">
        <f>VLOOKUP($A107,'Lev 2022'!$K$2:$L$474,2,FALSE)</f>
        <v>16.309000000000001</v>
      </c>
      <c r="AG107" s="2">
        <f t="shared" si="3"/>
        <v>-0.87699999999999889</v>
      </c>
      <c r="AH107" s="103">
        <f t="shared" si="4"/>
        <v>-5.1029908064703762E-2</v>
      </c>
    </row>
    <row r="108" spans="1:34" x14ac:dyDescent="0.25">
      <c r="A108" t="s">
        <v>443</v>
      </c>
      <c r="B108" t="str">
        <f>VLOOKUP(A108,'Korrigerade leveranser GD'!$A$4:$B$482,2,FALSE)</f>
        <v>Gislaved</v>
      </c>
      <c r="C108" s="10"/>
      <c r="D108" s="10"/>
      <c r="E108" s="10"/>
      <c r="F108" s="10"/>
      <c r="G108" s="10"/>
      <c r="H108" s="10"/>
      <c r="I108" s="10"/>
      <c r="J108" s="10"/>
      <c r="K108" s="10"/>
      <c r="L108" s="10"/>
      <c r="M108" s="10"/>
      <c r="N108" s="10"/>
      <c r="O108" s="10"/>
      <c r="P108" s="10"/>
      <c r="Q108" s="10"/>
      <c r="R108" s="10"/>
      <c r="S108" s="10"/>
      <c r="T108" s="10">
        <f>IFERROR(VLOOKUP('Leveranser per nät'!A108,'lev 2013'!$B$2:$E$445,4,FALSE),"")</f>
        <v>18.036999999999999</v>
      </c>
      <c r="U108" s="10">
        <f>IFERROR(VLOOKUP('Leveranser per nät'!A108,'lev 2014'!$B$2:$E$432,4,FALSE),"")</f>
        <v>21.509</v>
      </c>
      <c r="V108" s="10">
        <f>IFERROR(INDEX(Levererat_2015[Leveranser till eget nät],MATCH($A108,Levererat_2015[Indexnamn],0)),"")</f>
        <v>23.420999999999999</v>
      </c>
      <c r="W108" s="10">
        <f>IFERROR(INDEX(Levererat_2016[Leveranser till eget nät],MATCH($A108,Levererat_2016[Indexnamn],0)),"")</f>
        <v>26.135000000000002</v>
      </c>
      <c r="X108" s="10">
        <f>IFERROR(INDEX(Tabell4[Leveranser till eget nät],MATCH('Leveranser per nät'!A108,Tabell4[[Finns i listan ]],0)),"")</f>
        <v>27.074999999999999</v>
      </c>
      <c r="Y108" s="10">
        <f>IFERROR(INDEX(Tabell6[Kolumn1],MATCH($A108,Tabell6[Indexnmamn],0)),"")</f>
        <v>33.445</v>
      </c>
      <c r="Z108" s="10">
        <v>39.652999999999999</v>
      </c>
      <c r="AA108" s="10">
        <v>38.799999999999997</v>
      </c>
      <c r="AB108" s="10">
        <f>VLOOKUP(A108,Tabell9[[Indexnamn]:[Kolumn1]],3,FALSE)</f>
        <v>47.941000000000003</v>
      </c>
      <c r="AC108" s="10">
        <f>VLOOKUP($A108,'Lev 2022'!$K$2:$L$474,2,FALSE)</f>
        <v>44.570999999999998</v>
      </c>
      <c r="AG108" s="2">
        <f t="shared" si="3"/>
        <v>-3.3700000000000045</v>
      </c>
      <c r="AH108" s="103">
        <f t="shared" si="4"/>
        <v>-7.0294737281241623E-2</v>
      </c>
    </row>
    <row r="109" spans="1:34" s="65" customFormat="1" x14ac:dyDescent="0.25">
      <c r="A109" s="65" t="s">
        <v>473</v>
      </c>
      <c r="B109" s="65" t="str">
        <f>VLOOKUP(A109,'Korrigerade leveranser GD'!$A$4:$B$482,2,FALSE)</f>
        <v>Gislaved</v>
      </c>
      <c r="C109" s="68"/>
      <c r="D109" s="68"/>
      <c r="E109" s="68"/>
      <c r="F109" s="68"/>
      <c r="G109" s="68"/>
      <c r="H109" s="68"/>
      <c r="I109" s="68"/>
      <c r="J109" s="68"/>
      <c r="K109" s="68"/>
      <c r="L109" s="68"/>
      <c r="M109" s="68">
        <v>0</v>
      </c>
      <c r="N109" s="68">
        <v>3.621</v>
      </c>
      <c r="O109" s="68">
        <v>4.26</v>
      </c>
      <c r="P109" s="68">
        <v>4.609</v>
      </c>
      <c r="Q109" s="68">
        <v>5.2270000000000003</v>
      </c>
      <c r="R109" s="68">
        <v>4.9020000000000001</v>
      </c>
      <c r="S109" s="68">
        <f>IFERROR(VLOOKUP('Leveranser per nät'!A109,'lev 2012'!$B$2:$E$445,4,FALSE),"")</f>
        <v>11.9</v>
      </c>
      <c r="T109" s="68" t="str">
        <f>IFERROR(VLOOKUP('Leveranser per nät'!A109,'lev 2013'!$B$2:$E$445,4,FALSE),"")</f>
        <v/>
      </c>
      <c r="U109" s="68" t="str">
        <f>IFERROR(VLOOKUP('Leveranser per nät'!A109,'lev 2014'!$B$2:$E$432,4,FALSE),"")</f>
        <v/>
      </c>
      <c r="V109" s="68" t="str">
        <f>IFERROR(INDEX(Levererat_2015[Leveranser till eget nät],MATCH($A109,Levererat_2015[Indexnamn],0)),"")</f>
        <v/>
      </c>
      <c r="W109" s="68" t="str">
        <f>IFERROR(INDEX(Levererat_2016[Leveranser till eget nät],MATCH($A109,Levererat_2016[Indexnamn],0)),"")</f>
        <v/>
      </c>
      <c r="X109" s="68" t="str">
        <f>IFERROR(INDEX(Tabell4[Leveranser till eget nät],MATCH('Leveranser per nät'!A109,Tabell4[[Finns i listan ]],0)),"")</f>
        <v/>
      </c>
      <c r="Y109" s="68" t="str">
        <f>IFERROR(INDEX(Tabell6[Kolumn1],MATCH($A109,Tabell6[Indexnmamn],0)),"")</f>
        <v/>
      </c>
      <c r="Z109" s="68"/>
      <c r="AA109" s="68" t="s">
        <v>779</v>
      </c>
      <c r="AB109" s="10"/>
      <c r="AC109" s="10"/>
      <c r="AD109"/>
      <c r="AE109"/>
      <c r="AG109" s="2">
        <f t="shared" si="3"/>
        <v>0</v>
      </c>
      <c r="AH109" s="103"/>
    </row>
    <row r="110" spans="1:34" s="77" customFormat="1" x14ac:dyDescent="0.25">
      <c r="A110" s="5" t="s">
        <v>241</v>
      </c>
      <c r="B110" s="5" t="str">
        <f>VLOOKUP(A110,'Korrigerade leveranser GD'!$A$4:$B$482,2,FALSE)</f>
        <v>Gnesta</v>
      </c>
      <c r="C110" s="69"/>
      <c r="D110" s="69">
        <v>17.489999999999998</v>
      </c>
      <c r="E110" s="69">
        <v>0</v>
      </c>
      <c r="F110" s="69">
        <v>0</v>
      </c>
      <c r="G110" s="69">
        <v>18</v>
      </c>
      <c r="H110" s="69">
        <v>19.734000000000002</v>
      </c>
      <c r="I110" s="69">
        <v>19.734000000000002</v>
      </c>
      <c r="J110" s="69">
        <v>19.734000000000002</v>
      </c>
      <c r="K110" s="69">
        <v>18.577999999999999</v>
      </c>
      <c r="L110" s="69">
        <v>19.510000000000002</v>
      </c>
      <c r="M110" s="69">
        <v>16.398</v>
      </c>
      <c r="N110" s="69">
        <v>17.664000000000001</v>
      </c>
      <c r="O110" s="69">
        <v>17.433</v>
      </c>
      <c r="P110" s="69">
        <v>18.616</v>
      </c>
      <c r="Q110" s="69">
        <v>21.689</v>
      </c>
      <c r="R110" s="69">
        <v>17.5</v>
      </c>
      <c r="S110" s="69">
        <f>IFERROR(VLOOKUP('Leveranser per nät'!A110,'lev 2012'!$B$2:$E$445,4,FALSE),"")</f>
        <v>18.7</v>
      </c>
      <c r="T110" s="69">
        <f>IFERROR(VLOOKUP('Leveranser per nät'!A110,'lev 2013'!$B$2:$E$445,4,FALSE),"")</f>
        <v>18.2</v>
      </c>
      <c r="U110" s="69">
        <f>IFERROR(VLOOKUP('Leveranser per nät'!A110,'lev 2014'!$B$2:$E$432,4,FALSE),"")</f>
        <v>17.100000000000001</v>
      </c>
      <c r="V110" s="69">
        <f>IFERROR(INDEX(Levererat_2015[Leveranser till eget nät],MATCH($A110,Levererat_2015[Indexnamn],0)),"")</f>
        <v>17</v>
      </c>
      <c r="W110" s="69">
        <f>IFERROR(INDEX(Levererat_2016[Leveranser till eget nät],MATCH($A110,Levererat_2016[Indexnamn],0)),"")</f>
        <v>19</v>
      </c>
      <c r="X110" s="69">
        <v>19.100000000000001</v>
      </c>
      <c r="Y110" s="69">
        <v>19.399999999999999</v>
      </c>
      <c r="Z110" s="69">
        <v>19.8</v>
      </c>
      <c r="AA110" s="58">
        <v>17.8</v>
      </c>
      <c r="AB110" s="10">
        <f>VLOOKUP(A110,Tabell9[[Indexnamn]:[Kolumn1]],3,FALSE)</f>
        <v>20.7</v>
      </c>
      <c r="AC110" s="10">
        <f>VLOOKUP($A110,'Lev 2022'!$K$2:$L$474,2,FALSE)</f>
        <v>19.7</v>
      </c>
      <c r="AD110"/>
      <c r="AE110"/>
      <c r="AG110" s="2">
        <f t="shared" si="3"/>
        <v>-1</v>
      </c>
      <c r="AH110" s="103">
        <f t="shared" si="4"/>
        <v>-4.8309178743961352E-2</v>
      </c>
    </row>
    <row r="111" spans="1:34" x14ac:dyDescent="0.25">
      <c r="A111" t="s">
        <v>123</v>
      </c>
      <c r="B111" t="str">
        <f>VLOOKUP(A111,'Korrigerade leveranser GD'!$A$4:$B$482,2,FALSE)</f>
        <v>Grums</v>
      </c>
      <c r="C111" s="10"/>
      <c r="D111" s="10"/>
      <c r="E111" s="10"/>
      <c r="F111" s="10"/>
      <c r="G111" s="10"/>
      <c r="H111" s="10"/>
      <c r="I111" s="10">
        <v>0</v>
      </c>
      <c r="J111" s="10">
        <v>19</v>
      </c>
      <c r="K111" s="10">
        <v>0</v>
      </c>
      <c r="L111" s="10"/>
      <c r="M111" s="10"/>
      <c r="N111" s="10"/>
      <c r="O111" s="10">
        <v>0</v>
      </c>
      <c r="P111" s="10">
        <v>25.7</v>
      </c>
      <c r="Q111" s="10">
        <v>28.86835</v>
      </c>
      <c r="R111" s="10">
        <v>23</v>
      </c>
      <c r="S111" s="10">
        <f>IFERROR(VLOOKUP('Leveranser per nät'!A111,'lev 2012'!$B$2:$E$445,4,FALSE),"")</f>
        <v>28</v>
      </c>
      <c r="T111" s="10">
        <f>IFERROR(VLOOKUP('Leveranser per nät'!A111,'lev 2013'!$B$2:$E$445,4,FALSE),"")</f>
        <v>23.454999999999998</v>
      </c>
      <c r="U111" s="10">
        <f>IFERROR(VLOOKUP('Leveranser per nät'!A111,'lev 2014'!$B$2:$E$432,4,FALSE),"")</f>
        <v>21.56</v>
      </c>
      <c r="V111" s="10">
        <f>IFERROR(INDEX(Levererat_2015[Leveranser till eget nät],MATCH($A111,Levererat_2015[Indexnamn],0)),"")</f>
        <v>21.375</v>
      </c>
      <c r="W111" s="10">
        <f>IFERROR(INDEX(Levererat_2016[Leveranser till eget nät],MATCH($A111,Levererat_2016[Indexnamn],0)),"")</f>
        <v>22.568999999999999</v>
      </c>
      <c r="X111" s="10">
        <f>IFERROR(INDEX(Tabell4[Leveranser till eget nät],MATCH('Leveranser per nät'!A111,Tabell4[[Finns i listan ]],0)),"")</f>
        <v>21.808</v>
      </c>
      <c r="Y111" s="10">
        <f>IFERROR(INDEX(Tabell6[Kolumn1],MATCH($A111,Tabell6[Indexnmamn],0)),"")</f>
        <v>21.974</v>
      </c>
      <c r="Z111" s="10">
        <v>22.847999999999999</v>
      </c>
      <c r="AA111" s="10">
        <v>19.341999999999999</v>
      </c>
      <c r="AB111" s="10">
        <f>VLOOKUP(A111,Tabell9[[Indexnamn]:[Kolumn1]],3,FALSE)</f>
        <v>22.864999999999998</v>
      </c>
      <c r="AC111" s="10">
        <f>VLOOKUP($A111,'Lev 2022'!$K$2:$L$474,2,FALSE)</f>
        <v>21.43</v>
      </c>
      <c r="AG111" s="2">
        <f t="shared" si="3"/>
        <v>-1.4349999999999987</v>
      </c>
      <c r="AH111" s="103">
        <f t="shared" si="4"/>
        <v>-6.2759676361250766E-2</v>
      </c>
    </row>
    <row r="112" spans="1:34" x14ac:dyDescent="0.25">
      <c r="A112" t="s">
        <v>111</v>
      </c>
      <c r="B112" t="str">
        <f>VLOOKUP(A112,'Korrigerade leveranser GD'!$A$4:$B$482,2,FALSE)</f>
        <v>Falun</v>
      </c>
      <c r="C112" s="10"/>
      <c r="D112" s="10"/>
      <c r="E112" s="10"/>
      <c r="F112" s="10"/>
      <c r="G112" s="10"/>
      <c r="H112" s="10"/>
      <c r="I112" s="10"/>
      <c r="J112" s="10">
        <v>0</v>
      </c>
      <c r="K112" s="10">
        <v>3.0680000000000001</v>
      </c>
      <c r="L112" s="10">
        <v>4.47</v>
      </c>
      <c r="M112" s="10">
        <v>4.9050000000000002</v>
      </c>
      <c r="N112" s="10">
        <v>4.9210000000000003</v>
      </c>
      <c r="O112" s="10">
        <v>4.7949999999999999</v>
      </c>
      <c r="P112" s="10">
        <v>5.0999999999999996</v>
      </c>
      <c r="Q112" s="10">
        <v>5.2050000000000001</v>
      </c>
      <c r="R112" s="10">
        <v>4.9329999999999998</v>
      </c>
      <c r="S112" s="10">
        <f>IFERROR(VLOOKUP('Leveranser per nät'!A112,'lev 2012'!$B$2:$E$445,4,FALSE),"")</f>
        <v>5.05</v>
      </c>
      <c r="T112" s="10">
        <f>IFERROR(VLOOKUP('Leveranser per nät'!A112,'lev 2013'!$B$2:$E$445,4,FALSE),"")</f>
        <v>4.8970000000000002</v>
      </c>
      <c r="U112" s="10">
        <f>IFERROR(VLOOKUP('Leveranser per nät'!A112,'lev 2014'!$B$2:$E$432,4,FALSE),"")</f>
        <v>4.3</v>
      </c>
      <c r="V112" s="10">
        <f>IFERROR(INDEX(Levererat_2015[Leveranser till eget nät],MATCH($A112,Levererat_2015[Indexnamn],0)),"")</f>
        <v>4.7</v>
      </c>
      <c r="W112" s="10">
        <f>IFERROR(INDEX(Levererat_2016[Leveranser till eget nät],MATCH($A112,Levererat_2016[Indexnamn],0)),"")</f>
        <v>4.74</v>
      </c>
      <c r="X112" s="10">
        <f>IFERROR(INDEX(Tabell4[Leveranser till eget nät],MATCH('Leveranser per nät'!A112,Tabell4[[Finns i listan ]],0)),"")</f>
        <v>4.8600000000000003</v>
      </c>
      <c r="Y112" s="10">
        <f>IFERROR(INDEX(Tabell6[Kolumn1],MATCH($A112,Tabell6[Indexnmamn],0)),"")</f>
        <v>4.93</v>
      </c>
      <c r="Z112" s="10">
        <v>4.2699999999999996</v>
      </c>
      <c r="AA112" s="10">
        <v>3.63</v>
      </c>
      <c r="AB112" s="10">
        <f>VLOOKUP(A112,Tabell9[[Indexnamn]:[Kolumn1]],3,FALSE)</f>
        <v>4.1900000000000004</v>
      </c>
      <c r="AC112" s="10">
        <f>VLOOKUP($A112,'Lev 2022'!$K$2:$L$474,2,FALSE)</f>
        <v>4.0199999999999996</v>
      </c>
      <c r="AG112" s="2">
        <f t="shared" si="3"/>
        <v>-0.17000000000000082</v>
      </c>
      <c r="AH112" s="103">
        <f t="shared" si="4"/>
        <v>-4.0572792362768687E-2</v>
      </c>
    </row>
    <row r="113" spans="1:16380" x14ac:dyDescent="0.25">
      <c r="A113" t="s">
        <v>124</v>
      </c>
      <c r="B113" t="str">
        <f>VLOOKUP(A113,'Korrigerade leveranser GD'!$A$4:$B$482,2,FALSE)</f>
        <v>Filipstad</v>
      </c>
      <c r="C113" s="10"/>
      <c r="D113" s="10"/>
      <c r="E113" s="10"/>
      <c r="F113" s="10"/>
      <c r="G113" s="10">
        <v>0</v>
      </c>
      <c r="H113" s="10">
        <v>6</v>
      </c>
      <c r="I113" s="10">
        <v>6</v>
      </c>
      <c r="J113" s="10">
        <v>0</v>
      </c>
      <c r="K113" s="10"/>
      <c r="L113" s="10"/>
      <c r="M113" s="10"/>
      <c r="N113" s="10"/>
      <c r="O113" s="10">
        <v>0</v>
      </c>
      <c r="P113" s="10">
        <v>6.7</v>
      </c>
      <c r="Q113" s="58">
        <v>7.2</v>
      </c>
      <c r="R113" s="10">
        <v>4.97</v>
      </c>
      <c r="S113" s="10">
        <f>IFERROR(VLOOKUP('Leveranser per nät'!A113,'lev 2012'!$B$2:$E$445,4,FALSE),"")</f>
        <v>6.67</v>
      </c>
      <c r="T113" s="10">
        <f>IFERROR(VLOOKUP('Leveranser per nät'!A113,'lev 2013'!$B$2:$E$445,4,FALSE),"")</f>
        <v>6.133</v>
      </c>
      <c r="U113" s="10">
        <f>IFERROR(VLOOKUP('Leveranser per nät'!A113,'lev 2014'!$B$2:$E$432,4,FALSE),"")</f>
        <v>5.6680000000000001</v>
      </c>
      <c r="V113" s="10">
        <f>IFERROR(INDEX(Levererat_2015[Leveranser till eget nät],MATCH($A113,Levererat_2015[Indexnamn],0)),"")</f>
        <v>5.5469999999999997</v>
      </c>
      <c r="W113" s="10">
        <f>IFERROR(INDEX(Levererat_2016[Leveranser till eget nät],MATCH($A113,Levererat_2016[Indexnamn],0)),"")</f>
        <v>5.3769999999999998</v>
      </c>
      <c r="X113" s="10">
        <f>IFERROR(INDEX(Tabell4[Leveranser till eget nät],MATCH('Leveranser per nät'!A113,Tabell4[[Finns i listan ]],0)),"")</f>
        <v>5.9489999999999998</v>
      </c>
      <c r="Y113" s="10">
        <f>IFERROR(INDEX(Tabell6[Kolumn1],MATCH($A113,Tabell6[Indexnmamn],0)),"")</f>
        <v>5.8</v>
      </c>
      <c r="Z113" s="10">
        <v>5.5330000000000004</v>
      </c>
      <c r="AA113" s="10">
        <v>4.9580000000000002</v>
      </c>
      <c r="AB113" s="10">
        <f>VLOOKUP(A113,Tabell9[[Indexnamn]:[Kolumn1]],3,FALSE)</f>
        <v>5.5910000000000002</v>
      </c>
      <c r="AC113" s="10">
        <f>VLOOKUP($A113,'Lev 2022'!$K$2:$L$474,2,FALSE)</f>
        <v>5.1189999999999998</v>
      </c>
      <c r="AG113" s="2">
        <f t="shared" si="3"/>
        <v>-0.47200000000000042</v>
      </c>
      <c r="AH113" s="103">
        <f t="shared" si="4"/>
        <v>-8.4421391522089148E-2</v>
      </c>
    </row>
    <row r="114" spans="1:16380" x14ac:dyDescent="0.25">
      <c r="A114" t="s">
        <v>185</v>
      </c>
      <c r="B114" t="str">
        <f>VLOOKUP(A114,'Korrigerade leveranser GD'!$A$4:$B$482,2,FALSE)</f>
        <v>Alingsås</v>
      </c>
      <c r="C114" s="10">
        <v>5</v>
      </c>
      <c r="D114" s="10">
        <v>4.91</v>
      </c>
      <c r="E114" s="10">
        <v>5</v>
      </c>
      <c r="F114" s="10">
        <v>5</v>
      </c>
      <c r="G114" s="10">
        <v>5</v>
      </c>
      <c r="H114" s="10">
        <v>6</v>
      </c>
      <c r="I114" s="10">
        <v>5</v>
      </c>
      <c r="J114" s="10">
        <v>7</v>
      </c>
      <c r="K114" s="10">
        <v>7.766</v>
      </c>
      <c r="L114" s="10">
        <v>9.1</v>
      </c>
      <c r="M114" s="10">
        <v>9.3000000000000007</v>
      </c>
      <c r="N114" s="10">
        <v>9.3000000000000007</v>
      </c>
      <c r="O114" s="10">
        <v>8.1999999999999993</v>
      </c>
      <c r="P114" s="10">
        <v>9</v>
      </c>
      <c r="Q114" s="10">
        <v>11.1</v>
      </c>
      <c r="R114" s="10">
        <v>9.1</v>
      </c>
      <c r="S114" s="10">
        <f>IFERROR(VLOOKUP('Leveranser per nät'!A114,'lev 2012'!$B$2:$E$445,4,FALSE),"")</f>
        <v>10</v>
      </c>
      <c r="T114" s="10">
        <f>IFERROR(VLOOKUP('Leveranser per nät'!A114,'lev 2013'!$B$2:$E$445,4,FALSE),"")</f>
        <v>9.6</v>
      </c>
      <c r="U114" s="10">
        <f>IFERROR(VLOOKUP('Leveranser per nät'!A114,'lev 2014'!$B$2:$E$432,4,FALSE),"")</f>
        <v>9</v>
      </c>
      <c r="V114" s="10">
        <f>IFERROR(INDEX(Levererat_2015[Leveranser till eget nät],MATCH($A114,Levererat_2015[Indexnamn],0)),"")</f>
        <v>9.1</v>
      </c>
      <c r="W114" s="10">
        <f>IFERROR(INDEX(Levererat_2016[Leveranser till eget nät],MATCH($A114,Levererat_2016[Indexnamn],0)),"")</f>
        <v>9.6</v>
      </c>
      <c r="X114" s="10">
        <f>IFERROR(INDEX(Tabell4[Leveranser till eget nät],MATCH('Leveranser per nät'!A114,Tabell4[[Finns i listan ]],0)),"")</f>
        <v>10</v>
      </c>
      <c r="Y114" s="10">
        <f>IFERROR(INDEX(Tabell6[Kolumn1],MATCH($A114,Tabell6[Indexnmamn],0)),"")</f>
        <v>10.7</v>
      </c>
      <c r="Z114" s="10">
        <v>10.64</v>
      </c>
      <c r="AA114" s="10">
        <v>8.52</v>
      </c>
      <c r="AB114" s="10">
        <f>VLOOKUP(A114,Tabell9[[Indexnamn]:[Kolumn1]],3,FALSE)</f>
        <v>10.39</v>
      </c>
      <c r="AC114" s="10">
        <f>VLOOKUP($A114,'Lev 2022'!$K$2:$L$474,2,FALSE)</f>
        <v>9.2899999999999991</v>
      </c>
      <c r="AG114" s="2">
        <f t="shared" si="3"/>
        <v>-1.1000000000000014</v>
      </c>
      <c r="AH114" s="103">
        <f t="shared" si="4"/>
        <v>-0.10587102983638126</v>
      </c>
    </row>
    <row r="115" spans="1:16380" x14ac:dyDescent="0.25">
      <c r="A115" t="s">
        <v>358</v>
      </c>
      <c r="B115" t="str">
        <f>VLOOKUP(A115,'Korrigerade leveranser GD'!$A$4:$B$482,2,FALSE)</f>
        <v>Kopparberg</v>
      </c>
      <c r="C115" s="10">
        <v>2</v>
      </c>
      <c r="D115" s="10">
        <v>1.68</v>
      </c>
      <c r="E115" s="10">
        <v>2</v>
      </c>
      <c r="F115" s="10">
        <v>2</v>
      </c>
      <c r="G115" s="10">
        <v>2</v>
      </c>
      <c r="H115" s="10">
        <v>5.1669999999999998</v>
      </c>
      <c r="I115" s="10">
        <v>10</v>
      </c>
      <c r="J115" s="10">
        <v>10</v>
      </c>
      <c r="K115" s="10">
        <v>10.502000000000001</v>
      </c>
      <c r="L115" s="10">
        <v>9.9749999999999996</v>
      </c>
      <c r="M115" s="10">
        <v>9.9480000000000004</v>
      </c>
      <c r="N115" s="10">
        <v>9.5990000000000002</v>
      </c>
      <c r="O115" s="10">
        <v>9.7460000000000004</v>
      </c>
      <c r="P115" s="10">
        <v>10.093</v>
      </c>
      <c r="Q115" s="10">
        <v>12.593999999999999</v>
      </c>
      <c r="R115" s="10">
        <v>11.438000000000001</v>
      </c>
      <c r="S115" s="10">
        <f>IFERROR(VLOOKUP('Leveranser per nät'!A115,'lev 2012'!$B$2:$E$445,4,FALSE),"")</f>
        <v>12.27</v>
      </c>
      <c r="T115" s="10">
        <f>IFERROR(VLOOKUP('Leveranser per nät'!A115,'lev 2013'!$B$2:$E$445,4,FALSE),"")</f>
        <v>11.818</v>
      </c>
      <c r="U115" s="10">
        <f>IFERROR(VLOOKUP('Leveranser per nät'!A115,'lev 2014'!$B$2:$E$432,4,FALSE),"")</f>
        <v>10.625999999999999</v>
      </c>
      <c r="V115" s="10">
        <f>IFERROR(INDEX(Levererat_2015[Leveranser till eget nät],MATCH($A115,Levererat_2015[Indexnamn],0)),"")</f>
        <v>10.457000000000001</v>
      </c>
      <c r="W115" s="10">
        <f>IFERROR(INDEX(Levererat_2016[Leveranser till eget nät],MATCH($A115,Levererat_2016[Indexnamn],0)),"")</f>
        <v>11.263999999999999</v>
      </c>
      <c r="X115" s="10">
        <f>IFERROR(INDEX(Tabell4[Leveranser till eget nät],MATCH('Leveranser per nät'!A115,Tabell4[[Finns i listan ]],0)),"")</f>
        <v>11.9</v>
      </c>
      <c r="Y115" s="10">
        <f>IFERROR(INDEX(Tabell6[Kolumn1],MATCH($A115,Tabell6[Indexnmamn],0)),"")</f>
        <v>12.122999999999999</v>
      </c>
      <c r="Z115" s="10">
        <v>12.691000000000001</v>
      </c>
      <c r="AA115" s="10">
        <v>11.929</v>
      </c>
      <c r="AB115" s="10">
        <f>VLOOKUP(A115,Tabell9[[Indexnamn]:[Kolumn1]],3,FALSE)</f>
        <v>13.363</v>
      </c>
      <c r="AC115" s="10">
        <f>VLOOKUP($A115,'Lev 2022'!$K$2:$L$474,2,FALSE)</f>
        <v>12.4</v>
      </c>
      <c r="AG115" s="2">
        <f t="shared" si="3"/>
        <v>-0.96299999999999919</v>
      </c>
      <c r="AH115" s="103">
        <f t="shared" si="4"/>
        <v>-7.2064656140088251E-2</v>
      </c>
    </row>
    <row r="116" spans="1:16380" x14ac:dyDescent="0.25">
      <c r="A116" t="s">
        <v>159</v>
      </c>
      <c r="B116" t="str">
        <f>VLOOKUP(A116,'Korrigerade leveranser GD'!$A$4:$B$482,2,FALSE)</f>
        <v>Jönköping</v>
      </c>
      <c r="C116" s="10"/>
      <c r="D116" s="10"/>
      <c r="E116" s="10"/>
      <c r="F116" s="10"/>
      <c r="G116" s="10">
        <v>0</v>
      </c>
      <c r="H116" s="10">
        <v>1</v>
      </c>
      <c r="I116" s="10">
        <v>7</v>
      </c>
      <c r="J116" s="10">
        <v>10</v>
      </c>
      <c r="K116" s="10">
        <v>11.473000000000001</v>
      </c>
      <c r="L116" s="10">
        <v>11.43</v>
      </c>
      <c r="M116" s="10">
        <v>11.5</v>
      </c>
      <c r="N116" s="10">
        <v>11.096</v>
      </c>
      <c r="O116" s="10">
        <v>10.727</v>
      </c>
      <c r="P116" s="10">
        <v>11.151</v>
      </c>
      <c r="Q116" s="10">
        <v>13.224</v>
      </c>
      <c r="R116" s="10">
        <v>10.9</v>
      </c>
      <c r="S116" s="10">
        <f>IFERROR(VLOOKUP('Leveranser per nät'!A116,'lev 2012'!$B$2:$E$445,4,FALSE),"")</f>
        <v>12.1</v>
      </c>
      <c r="T116" s="10">
        <f>IFERROR(VLOOKUP('Leveranser per nät'!A116,'lev 2013'!$B$2:$E$445,4,FALSE),"")</f>
        <v>12.1</v>
      </c>
      <c r="U116" s="10">
        <f>IFERROR(VLOOKUP('Leveranser per nät'!A116,'lev 2014'!$B$2:$E$432,4,FALSE),"")</f>
        <v>11.72</v>
      </c>
      <c r="V116" s="10">
        <f>IFERROR(INDEX(Levererat_2015[Leveranser till eget nät],MATCH($A116,Levererat_2015[Indexnamn],0)),"")</f>
        <v>11.76</v>
      </c>
      <c r="W116" s="10">
        <f>IFERROR(INDEX(Levererat_2016[Leveranser till eget nät],MATCH($A116,Levererat_2016[Indexnamn],0)),"")</f>
        <v>12.343999999999999</v>
      </c>
      <c r="X116" s="10">
        <f>IFERROR(INDEX(Tabell4[Leveranser till eget nät],MATCH('Leveranser per nät'!A116,Tabell4[[Finns i listan ]],0)),"")</f>
        <v>11.551</v>
      </c>
      <c r="Y116" s="10">
        <f>IFERROR(INDEX(Tabell6[Kolumn1],MATCH($A116,Tabell6[Indexnmamn],0)),"")</f>
        <v>11.7</v>
      </c>
      <c r="Z116" s="10">
        <v>11.73</v>
      </c>
      <c r="AA116" s="10">
        <v>11.36</v>
      </c>
      <c r="AB116" s="10">
        <f>VLOOKUP(A116,Tabell9[[Indexnamn]:[Kolumn1]],3,FALSE)</f>
        <v>12.368</v>
      </c>
      <c r="AC116" s="10">
        <f>VLOOKUP($A116,'Lev 2022'!$K$2:$L$474,2,FALSE)</f>
        <v>11.598000000000001</v>
      </c>
      <c r="AG116" s="2">
        <f t="shared" si="3"/>
        <v>-0.76999999999999957</v>
      </c>
      <c r="AH116" s="103">
        <f t="shared" si="4"/>
        <v>-6.2257438551099574E-2</v>
      </c>
    </row>
    <row r="117" spans="1:16380" x14ac:dyDescent="0.25">
      <c r="A117" t="s">
        <v>180</v>
      </c>
      <c r="B117" t="s">
        <v>180</v>
      </c>
      <c r="C117" s="10">
        <v>7</v>
      </c>
      <c r="D117" s="10">
        <v>0</v>
      </c>
      <c r="E117" s="10"/>
      <c r="F117" s="10"/>
      <c r="G117" s="10"/>
      <c r="H117" s="10"/>
      <c r="I117" s="10"/>
      <c r="J117" s="10"/>
      <c r="K117" s="10"/>
      <c r="L117" s="10">
        <v>0</v>
      </c>
      <c r="M117" s="10">
        <v>10.127000000000001</v>
      </c>
      <c r="N117" s="10">
        <v>10.127000000000001</v>
      </c>
      <c r="O117" s="56">
        <f>N117+(P117-N117)/2</f>
        <v>10.566000000000001</v>
      </c>
      <c r="P117" s="10">
        <v>11.005000000000001</v>
      </c>
      <c r="Q117" s="10">
        <v>13.154999999999999</v>
      </c>
      <c r="R117" s="10">
        <v>10.852</v>
      </c>
      <c r="S117" s="10">
        <f>IFERROR(VLOOKUP('Leveranser per nät'!A117,'lev 2012'!$B$2:$E$445,4,FALSE),"")</f>
        <v>11.7</v>
      </c>
      <c r="T117" s="10">
        <f>IFERROR(VLOOKUP('Leveranser per nät'!A117,'lev 2013'!$B$2:$E$445,4,FALSE),"")</f>
        <v>11.754</v>
      </c>
      <c r="U117" s="10">
        <f>IFERROR(VLOOKUP('Leveranser per nät'!A117,'lev 2014'!$B$2:$E$432,4,FALSE),"")</f>
        <v>10.448</v>
      </c>
      <c r="V117" s="10">
        <f>IFERROR(INDEX(Levererat_2015[Leveranser till eget nät],MATCH($A117,Levererat_2015[Indexnamn],0)),"")</f>
        <v>10.478</v>
      </c>
      <c r="W117" s="10">
        <f>IFERROR(INDEX(Levererat_2016[Leveranser till eget nät],MATCH($A117,Levererat_2016[Indexnamn],0)),"")</f>
        <v>11.081</v>
      </c>
      <c r="X117" s="10">
        <f>IFERROR(INDEX(Tabell4[Leveranser till eget nät],MATCH('Leveranser per nät'!A117,Tabell4[[Finns i listan ]],0)),"")</f>
        <v>10.52</v>
      </c>
      <c r="Y117" s="10">
        <f>IFERROR(INDEX(Tabell6[Kolumn1],MATCH($A117,Tabell6[Indexnmamn],0)),"")</f>
        <v>10.95</v>
      </c>
      <c r="Z117" s="10">
        <v>10.81</v>
      </c>
      <c r="AA117" s="10">
        <v>9.9499999999999993</v>
      </c>
      <c r="AB117" s="10">
        <f>VLOOKUP(A117,Tabell9[[Indexnamn]:[Kolumn1]],3,FALSE)</f>
        <v>11.12</v>
      </c>
      <c r="AC117" s="10">
        <f>VLOOKUP($A117,'Lev 2022'!$K$2:$L$474,2,FALSE)</f>
        <v>9.93</v>
      </c>
      <c r="AG117" s="2">
        <f t="shared" si="3"/>
        <v>-1.1899999999999995</v>
      </c>
      <c r="AH117" s="103">
        <f t="shared" si="4"/>
        <v>-0.10701438848920859</v>
      </c>
    </row>
    <row r="118" spans="1:16380" x14ac:dyDescent="0.25">
      <c r="A118" t="s">
        <v>930</v>
      </c>
      <c r="B118" t="s">
        <v>190</v>
      </c>
      <c r="C118" s="10"/>
      <c r="D118" s="10"/>
      <c r="E118" s="10"/>
      <c r="F118" s="10"/>
      <c r="G118" s="10"/>
      <c r="H118" s="10"/>
      <c r="I118" s="10"/>
      <c r="J118" s="10"/>
      <c r="K118" s="10"/>
      <c r="L118" s="10"/>
      <c r="M118" s="10"/>
      <c r="N118" s="10"/>
      <c r="O118" s="56"/>
      <c r="P118" s="10"/>
      <c r="Q118" s="10"/>
      <c r="R118" s="10" t="str">
        <f>IFERROR(INDEX(Tabell4[Levererad värme, andra fjärrvärmeföretag, företag 2 (GWh)],MATCH('Leveranser per nät'!#REF!,Tabell4[C],0)),"")</f>
        <v/>
      </c>
      <c r="S118" s="10" t="str">
        <f>IFERROR(INDEX(Tabell4[Levererad värme, andra fjärrvärmeföretag, företag 3 (GWh)],MATCH('Leveranser per nät'!#REF!,Tabell4[D],0)),"")</f>
        <v/>
      </c>
      <c r="T118" s="10" t="str">
        <f>IFERROR(INDEX(Tabell4[C],MATCH('Leveranser per nät'!#REF!,Tabell4[E],0)),"")</f>
        <v/>
      </c>
      <c r="U118" s="10" t="str">
        <f>IFERROR(INDEX(Tabell4[D],MATCH('Leveranser per nät'!#REF!,Tabell4[F],0)),"")</f>
        <v/>
      </c>
      <c r="V118" s="10" t="str">
        <f>IFERROR(INDEX(Tabell4[E],MATCH('Leveranser per nät'!#REF!,Tabell4[Leveranser till eget nät],0)),"")</f>
        <v/>
      </c>
      <c r="W118" s="10" t="str">
        <f>IFERROR(INDEX(Tabell4[F],MATCH('Leveranser per nät'!#REF!,Tabell4[Indexnamn],0)),"")</f>
        <v/>
      </c>
      <c r="X118" s="10">
        <f>IFERROR(INDEX(Tabell4[Leveranser till eget nät],MATCH('Leveranser per nät'!A118,Tabell4[[Finns i listan ]],0)),"")</f>
        <v>1.3</v>
      </c>
      <c r="Y118" s="10">
        <f>IFERROR(INDEX(Tabell6[Kolumn1],MATCH($A118,Tabell6[Indexnmamn],0)),"")</f>
        <v>4.4000000000000004</v>
      </c>
      <c r="Z118" s="10">
        <v>4.7</v>
      </c>
      <c r="AA118" s="10">
        <v>4.3</v>
      </c>
      <c r="AB118" s="10">
        <f>VLOOKUP(A118,Tabell9[[Indexnamn]:[Kolumn1]],3,FALSE)</f>
        <v>5.2</v>
      </c>
      <c r="AC118" s="10">
        <f>VLOOKUP($A118,'Lev 2022'!$K$2:$L$474,2,FALSE)</f>
        <v>4.7</v>
      </c>
      <c r="AG118" s="2">
        <f t="shared" si="3"/>
        <v>-0.5</v>
      </c>
      <c r="AH118" s="103">
        <f t="shared" si="4"/>
        <v>-9.6153846153846145E-2</v>
      </c>
    </row>
    <row r="119" spans="1:16380" x14ac:dyDescent="0.25">
      <c r="A119" t="s">
        <v>352</v>
      </c>
      <c r="B119" t="str">
        <f>VLOOKUP(A119,'Korrigerade leveranser GD'!$A$4:$B$482,2,FALSE)</f>
        <v>Vimmerby</v>
      </c>
      <c r="C119" s="10"/>
      <c r="D119" s="10"/>
      <c r="E119" s="10"/>
      <c r="F119" s="10"/>
      <c r="G119" s="10"/>
      <c r="H119" s="10"/>
      <c r="I119" s="10"/>
      <c r="J119" s="10"/>
      <c r="K119" s="10"/>
      <c r="L119" s="10"/>
      <c r="M119" s="10"/>
      <c r="N119" s="10">
        <v>2.23</v>
      </c>
      <c r="O119" s="10">
        <v>3.1</v>
      </c>
      <c r="P119" s="10">
        <v>3.6</v>
      </c>
      <c r="Q119" s="10">
        <v>4.4400000000000004</v>
      </c>
      <c r="R119" s="10">
        <v>3.87</v>
      </c>
      <c r="S119" s="10">
        <f>IFERROR(VLOOKUP('Leveranser per nät'!A119,'lev 2012'!$B$2:$E$445,4,FALSE),"")</f>
        <v>4.21</v>
      </c>
      <c r="T119" s="10">
        <f>IFERROR(VLOOKUP('Leveranser per nät'!A119,'lev 2013'!$B$2:$E$445,4,FALSE),"")</f>
        <v>4.3840000000000003</v>
      </c>
      <c r="U119" s="10">
        <f>IFERROR(VLOOKUP('Leveranser per nät'!A119,'lev 2014'!$B$2:$E$432,4,FALSE),"")</f>
        <v>4.226</v>
      </c>
      <c r="V119" s="10">
        <f>IFERROR(INDEX(Levererat_2015[Leveranser till eget nät],MATCH($A119,Levererat_2015[Indexnamn],0)),"")</f>
        <v>3.8250000000000002</v>
      </c>
      <c r="W119" s="10">
        <f>IFERROR(INDEX(Levererat_2016[Leveranser till eget nät],MATCH($A119,Levererat_2016[Indexnamn],0)),"")</f>
        <v>4.1260000000000003</v>
      </c>
      <c r="X119" s="10">
        <f>IFERROR(INDEX(Tabell4[Leveranser till eget nät],MATCH('Leveranser per nät'!A119,Tabell4[[Finns i listan ]],0)),"")</f>
        <v>4.016</v>
      </c>
      <c r="Y119" s="10">
        <f>IFERROR(INDEX(Tabell6[Kolumn1],MATCH($A119,Tabell6[Indexnmamn],0)),"")</f>
        <v>4.0510000000000002</v>
      </c>
      <c r="Z119" s="10">
        <v>3.8069999999999999</v>
      </c>
      <c r="AA119" s="10">
        <v>3.8380000000000001</v>
      </c>
      <c r="AB119" s="10">
        <f>VLOOKUP(A119,Tabell9[[Indexnamn]:[Kolumn1]],3,FALSE)</f>
        <v>4.5419999999999998</v>
      </c>
      <c r="AC119" s="10">
        <f>VLOOKUP($A119,'Lev 2022'!$K$2:$L$474,2,FALSE)</f>
        <v>4.0540000000000003</v>
      </c>
      <c r="AG119" s="2">
        <f t="shared" si="3"/>
        <v>-0.48799999999999955</v>
      </c>
      <c r="AH119" s="103">
        <f t="shared" si="4"/>
        <v>-0.10744165565830022</v>
      </c>
    </row>
    <row r="120" spans="1:16380" x14ac:dyDescent="0.25">
      <c r="A120" s="65" t="s">
        <v>399</v>
      </c>
      <c r="B120" s="65" t="str">
        <f>VLOOKUP(A120,'Korrigerade leveranser GD'!$A$4:$B$482,2,FALSE)</f>
        <v>Hova</v>
      </c>
      <c r="C120" s="68">
        <v>9</v>
      </c>
      <c r="D120" s="68">
        <v>3.86</v>
      </c>
      <c r="E120" s="68">
        <v>0</v>
      </c>
      <c r="F120" s="68">
        <v>4.181</v>
      </c>
      <c r="G120" s="68">
        <v>4.181</v>
      </c>
      <c r="H120" s="68">
        <v>0</v>
      </c>
      <c r="I120" s="68">
        <v>0</v>
      </c>
      <c r="J120" s="68">
        <v>4.181</v>
      </c>
      <c r="K120" s="68">
        <v>0</v>
      </c>
      <c r="L120" s="68"/>
      <c r="M120" s="68"/>
      <c r="N120" s="68"/>
      <c r="O120" s="68"/>
      <c r="P120" s="68"/>
      <c r="Q120" s="68">
        <v>0</v>
      </c>
      <c r="R120" s="68">
        <v>3.5739999999999998</v>
      </c>
      <c r="S120" s="68">
        <f>IFERROR(VLOOKUP('Leveranser per nät'!A120,'lev 2012'!$B$2:$E$445,4,FALSE),"")</f>
        <v>3.62</v>
      </c>
      <c r="T120" s="68">
        <f>IFERROR(VLOOKUP('Leveranser per nät'!A120,'lev 2013'!$B$2:$E$445,4,FALSE),"")</f>
        <v>3.6190000000000002</v>
      </c>
      <c r="U120" s="68">
        <f>IFERROR(VLOOKUP('Leveranser per nät'!A120,'lev 2014'!$B$2:$E$432,4,FALSE),"")</f>
        <v>1.841</v>
      </c>
      <c r="V120" s="68" t="str">
        <f>IFERROR(INDEX(Levererat_2015[Leveranser till eget nät],MATCH($A120,Levererat_2015[Indexnamn],0)),"")</f>
        <v/>
      </c>
      <c r="W120" s="68" t="str">
        <f>IFERROR(INDEX(Levererat_2016[Leveranser till eget nät],MATCH($A120,Levererat_2016[Indexnamn],0)),"")</f>
        <v/>
      </c>
      <c r="X120" s="68" t="str">
        <f>IFERROR(INDEX(Tabell4[Leveranser till eget nät],MATCH('Leveranser per nät'!A120,Tabell4[[Finns i listan ]],0)),"")</f>
        <v/>
      </c>
      <c r="Y120" s="68" t="str">
        <f>IFERROR(INDEX(Tabell6[Kolumn1],MATCH($A120,Tabell6[Indexnmamn],0)),"")</f>
        <v/>
      </c>
      <c r="Z120" s="68"/>
      <c r="AA120" s="68" t="s">
        <v>779</v>
      </c>
      <c r="AB120" s="10"/>
      <c r="AC120" s="10"/>
      <c r="AF120" s="65"/>
      <c r="AG120" s="2">
        <f t="shared" si="3"/>
        <v>0</v>
      </c>
      <c r="AH120" s="103"/>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65"/>
      <c r="CC120" s="65"/>
      <c r="CD120" s="65"/>
      <c r="CE120" s="65"/>
      <c r="CF120" s="65"/>
      <c r="CG120" s="65"/>
      <c r="CH120" s="65"/>
      <c r="CI120" s="65"/>
      <c r="CJ120" s="65"/>
      <c r="CK120" s="65"/>
      <c r="CL120" s="65"/>
      <c r="CM120" s="65"/>
      <c r="CN120" s="65"/>
      <c r="CO120" s="65"/>
      <c r="CP120" s="65"/>
      <c r="CQ120" s="65"/>
      <c r="CR120" s="65"/>
      <c r="CS120" s="65"/>
      <c r="CT120" s="65"/>
      <c r="CU120" s="65"/>
      <c r="CV120" s="65"/>
      <c r="CW120" s="65"/>
      <c r="CX120" s="65"/>
      <c r="CY120" s="65"/>
      <c r="CZ120" s="65"/>
      <c r="DA120" s="65"/>
      <c r="DB120" s="65"/>
      <c r="DC120" s="65"/>
      <c r="DD120" s="65"/>
      <c r="DE120" s="65"/>
      <c r="DF120" s="65"/>
      <c r="DG120" s="65"/>
      <c r="DH120" s="65"/>
      <c r="DI120" s="65"/>
      <c r="DJ120" s="65"/>
      <c r="DK120" s="65"/>
      <c r="DL120" s="65"/>
      <c r="DM120" s="65"/>
      <c r="DN120" s="65"/>
      <c r="DO120" s="65"/>
      <c r="DP120" s="65"/>
      <c r="DQ120" s="65"/>
      <c r="DR120" s="65"/>
      <c r="DS120" s="65"/>
      <c r="DT120" s="65"/>
      <c r="DU120" s="65"/>
      <c r="DV120" s="65"/>
      <c r="DW120" s="65"/>
      <c r="DX120" s="65"/>
      <c r="DY120" s="65"/>
      <c r="DZ120" s="65"/>
      <c r="EA120" s="65"/>
      <c r="EB120" s="65"/>
      <c r="EC120" s="65"/>
      <c r="ED120" s="65"/>
      <c r="EE120" s="65"/>
      <c r="EF120" s="65"/>
      <c r="EG120" s="65"/>
      <c r="EH120" s="65"/>
      <c r="EI120" s="65"/>
      <c r="EJ120" s="65"/>
      <c r="EK120" s="65"/>
      <c r="EL120" s="65"/>
      <c r="EM120" s="65"/>
      <c r="EN120" s="65"/>
      <c r="EO120" s="65"/>
      <c r="EP120" s="65"/>
      <c r="EQ120" s="65"/>
      <c r="ER120" s="65"/>
      <c r="ES120" s="65"/>
      <c r="ET120" s="65"/>
      <c r="EU120" s="65"/>
      <c r="EV120" s="65"/>
      <c r="EW120" s="65"/>
      <c r="EX120" s="65"/>
      <c r="EY120" s="65"/>
      <c r="EZ120" s="65"/>
      <c r="FA120" s="65"/>
      <c r="FB120" s="65"/>
      <c r="FC120" s="65"/>
      <c r="FD120" s="65"/>
      <c r="FE120" s="65"/>
      <c r="FF120" s="65"/>
      <c r="FG120" s="65"/>
      <c r="FH120" s="65"/>
      <c r="FI120" s="65"/>
      <c r="FJ120" s="65"/>
      <c r="FK120" s="65"/>
      <c r="FL120" s="65"/>
      <c r="FM120" s="65"/>
      <c r="FN120" s="65"/>
      <c r="FO120" s="65"/>
      <c r="FP120" s="65"/>
      <c r="FQ120" s="65"/>
      <c r="FR120" s="65"/>
      <c r="FS120" s="65"/>
      <c r="FT120" s="65"/>
      <c r="FU120" s="65"/>
      <c r="FV120" s="65"/>
      <c r="FW120" s="65"/>
      <c r="FX120" s="65"/>
      <c r="FY120" s="65"/>
      <c r="FZ120" s="65"/>
      <c r="GA120" s="65"/>
      <c r="GB120" s="65"/>
      <c r="GC120" s="65"/>
      <c r="GD120" s="65"/>
      <c r="GE120" s="65"/>
      <c r="GF120" s="65"/>
      <c r="GG120" s="65"/>
      <c r="GH120" s="65"/>
      <c r="GI120" s="65"/>
      <c r="GJ120" s="65"/>
      <c r="GK120" s="65"/>
      <c r="GL120" s="65"/>
      <c r="GM120" s="65"/>
      <c r="GN120" s="65"/>
      <c r="GO120" s="65"/>
      <c r="GP120" s="65"/>
      <c r="GQ120" s="65"/>
      <c r="GR120" s="65"/>
      <c r="GS120" s="65"/>
      <c r="GT120" s="65"/>
      <c r="GU120" s="65"/>
      <c r="GV120" s="65"/>
      <c r="GW120" s="65"/>
      <c r="GX120" s="65"/>
      <c r="GY120" s="65"/>
      <c r="GZ120" s="65"/>
      <c r="HA120" s="65"/>
      <c r="HB120" s="65"/>
      <c r="HC120" s="65"/>
      <c r="HD120" s="65"/>
      <c r="HE120" s="65"/>
      <c r="HF120" s="65"/>
      <c r="HG120" s="65"/>
      <c r="HH120" s="65"/>
      <c r="HI120" s="65"/>
      <c r="HJ120" s="65"/>
      <c r="HK120" s="65"/>
      <c r="HL120" s="65"/>
      <c r="HM120" s="65"/>
      <c r="HN120" s="65"/>
      <c r="HO120" s="65"/>
      <c r="HP120" s="65"/>
      <c r="HQ120" s="65"/>
      <c r="HR120" s="65"/>
      <c r="HS120" s="65"/>
      <c r="HT120" s="65"/>
      <c r="HU120" s="65"/>
      <c r="HV120" s="65"/>
      <c r="HW120" s="65"/>
      <c r="HX120" s="65"/>
      <c r="HY120" s="65"/>
      <c r="HZ120" s="65"/>
      <c r="IA120" s="65"/>
      <c r="IB120" s="65"/>
      <c r="IC120" s="65"/>
      <c r="ID120" s="65"/>
      <c r="IE120" s="65"/>
      <c r="IF120" s="65"/>
      <c r="IG120" s="65"/>
      <c r="IH120" s="65"/>
      <c r="II120" s="65"/>
      <c r="IJ120" s="65"/>
      <c r="IK120" s="65"/>
      <c r="IL120" s="65"/>
      <c r="IM120" s="65"/>
      <c r="IN120" s="65"/>
      <c r="IO120" s="65"/>
      <c r="IP120" s="65"/>
      <c r="IQ120" s="65"/>
      <c r="IR120" s="65"/>
      <c r="IS120" s="65"/>
      <c r="IT120" s="65"/>
      <c r="IU120" s="65"/>
      <c r="IV120" s="65"/>
      <c r="IW120" s="65"/>
      <c r="IX120" s="65"/>
      <c r="IY120" s="65"/>
      <c r="IZ120" s="65"/>
      <c r="JA120" s="65"/>
      <c r="JB120" s="65"/>
      <c r="JC120" s="65"/>
      <c r="JD120" s="65"/>
      <c r="JE120" s="65"/>
      <c r="JF120" s="65"/>
      <c r="JG120" s="65"/>
      <c r="JH120" s="65"/>
      <c r="JI120" s="65"/>
      <c r="JJ120" s="65"/>
      <c r="JK120" s="65"/>
      <c r="JL120" s="65"/>
      <c r="JM120" s="65"/>
      <c r="JN120" s="65"/>
      <c r="JO120" s="65"/>
      <c r="JP120" s="65"/>
      <c r="JQ120" s="65"/>
      <c r="JR120" s="65"/>
      <c r="JS120" s="65"/>
      <c r="JT120" s="65"/>
      <c r="JU120" s="65"/>
      <c r="JV120" s="65"/>
      <c r="JW120" s="65"/>
      <c r="JX120" s="65"/>
      <c r="JY120" s="65"/>
      <c r="JZ120" s="65"/>
      <c r="KA120" s="65"/>
      <c r="KB120" s="65"/>
      <c r="KC120" s="65"/>
      <c r="KD120" s="65"/>
      <c r="KE120" s="65"/>
      <c r="KF120" s="65"/>
      <c r="KG120" s="65"/>
      <c r="KH120" s="65"/>
      <c r="KI120" s="65"/>
      <c r="KJ120" s="65"/>
      <c r="KK120" s="65"/>
      <c r="KL120" s="65"/>
      <c r="KM120" s="65"/>
      <c r="KN120" s="65"/>
      <c r="KO120" s="65"/>
      <c r="KP120" s="65"/>
      <c r="KQ120" s="65"/>
      <c r="KR120" s="65"/>
      <c r="KS120" s="65"/>
      <c r="KT120" s="65"/>
      <c r="KU120" s="65"/>
      <c r="KV120" s="65"/>
      <c r="KW120" s="65"/>
      <c r="KX120" s="65"/>
      <c r="KY120" s="65"/>
      <c r="KZ120" s="65"/>
      <c r="LA120" s="65"/>
      <c r="LB120" s="65"/>
      <c r="LC120" s="65"/>
      <c r="LD120" s="65"/>
      <c r="LE120" s="65"/>
      <c r="LF120" s="65"/>
      <c r="LG120" s="65"/>
      <c r="LH120" s="65"/>
      <c r="LI120" s="65"/>
      <c r="LJ120" s="65"/>
      <c r="LK120" s="65"/>
      <c r="LL120" s="65"/>
      <c r="LM120" s="65"/>
      <c r="LN120" s="65"/>
      <c r="LO120" s="65"/>
      <c r="LP120" s="65"/>
      <c r="LQ120" s="65"/>
      <c r="LR120" s="65"/>
      <c r="LS120" s="65"/>
      <c r="LT120" s="65"/>
      <c r="LU120" s="65"/>
      <c r="LV120" s="65"/>
      <c r="LW120" s="65"/>
      <c r="LX120" s="65"/>
      <c r="LY120" s="65"/>
      <c r="LZ120" s="65"/>
      <c r="MA120" s="65"/>
      <c r="MB120" s="65"/>
      <c r="MC120" s="65"/>
      <c r="MD120" s="65"/>
      <c r="ME120" s="65"/>
      <c r="MF120" s="65"/>
      <c r="MG120" s="65"/>
      <c r="MH120" s="65"/>
      <c r="MI120" s="65"/>
      <c r="MJ120" s="65"/>
      <c r="MK120" s="65"/>
      <c r="ML120" s="65"/>
      <c r="MM120" s="65"/>
      <c r="MN120" s="65"/>
      <c r="MO120" s="65"/>
      <c r="MP120" s="65"/>
      <c r="MQ120" s="65"/>
      <c r="MR120" s="65"/>
      <c r="MS120" s="65"/>
      <c r="MT120" s="65"/>
      <c r="MU120" s="65"/>
      <c r="MV120" s="65"/>
      <c r="MW120" s="65"/>
      <c r="MX120" s="65"/>
      <c r="MY120" s="65"/>
      <c r="MZ120" s="65"/>
      <c r="NA120" s="65"/>
      <c r="NB120" s="65"/>
      <c r="NC120" s="65"/>
      <c r="ND120" s="65"/>
      <c r="NE120" s="65"/>
      <c r="NF120" s="65"/>
      <c r="NG120" s="65"/>
      <c r="NH120" s="65"/>
      <c r="NI120" s="65"/>
      <c r="NJ120" s="65"/>
      <c r="NK120" s="65"/>
      <c r="NL120" s="65"/>
      <c r="NM120" s="65"/>
      <c r="NN120" s="65"/>
      <c r="NO120" s="65"/>
      <c r="NP120" s="65"/>
      <c r="NQ120" s="65"/>
      <c r="NR120" s="65"/>
      <c r="NS120" s="65"/>
      <c r="NT120" s="65"/>
      <c r="NU120" s="65"/>
      <c r="NV120" s="65"/>
      <c r="NW120" s="65"/>
      <c r="NX120" s="65"/>
      <c r="NY120" s="65"/>
      <c r="NZ120" s="65"/>
      <c r="OA120" s="65"/>
      <c r="OB120" s="65"/>
      <c r="OC120" s="65"/>
      <c r="OD120" s="65"/>
      <c r="OE120" s="65"/>
      <c r="OF120" s="65"/>
      <c r="OG120" s="65"/>
      <c r="OH120" s="65"/>
      <c r="OI120" s="65"/>
      <c r="OJ120" s="65"/>
      <c r="OK120" s="65"/>
      <c r="OL120" s="65"/>
      <c r="OM120" s="65"/>
      <c r="ON120" s="65"/>
      <c r="OO120" s="65"/>
      <c r="OP120" s="65"/>
      <c r="OQ120" s="65"/>
      <c r="OR120" s="65"/>
      <c r="OS120" s="65"/>
      <c r="OT120" s="65"/>
      <c r="OU120" s="65"/>
      <c r="OV120" s="65"/>
      <c r="OW120" s="65"/>
      <c r="OX120" s="65"/>
      <c r="OY120" s="65"/>
      <c r="OZ120" s="65"/>
      <c r="PA120" s="65"/>
      <c r="PB120" s="65"/>
      <c r="PC120" s="65"/>
      <c r="PD120" s="65"/>
      <c r="PE120" s="65"/>
      <c r="PF120" s="65"/>
      <c r="PG120" s="65"/>
      <c r="PH120" s="65"/>
      <c r="PI120" s="65"/>
      <c r="PJ120" s="65"/>
      <c r="PK120" s="65"/>
      <c r="PL120" s="65"/>
      <c r="PM120" s="65"/>
      <c r="PN120" s="65"/>
      <c r="PO120" s="65"/>
      <c r="PP120" s="65"/>
      <c r="PQ120" s="65"/>
      <c r="PR120" s="65"/>
      <c r="PS120" s="65"/>
      <c r="PT120" s="65"/>
      <c r="PU120" s="65"/>
      <c r="PV120" s="65"/>
      <c r="PW120" s="65"/>
      <c r="PX120" s="65"/>
      <c r="PY120" s="65"/>
      <c r="PZ120" s="65"/>
      <c r="QA120" s="65"/>
      <c r="QB120" s="65"/>
      <c r="QC120" s="65"/>
      <c r="QD120" s="65"/>
      <c r="QE120" s="65"/>
      <c r="QF120" s="65"/>
      <c r="QG120" s="65"/>
      <c r="QH120" s="65"/>
      <c r="QI120" s="65"/>
      <c r="QJ120" s="65"/>
      <c r="QK120" s="65"/>
      <c r="QL120" s="65"/>
      <c r="QM120" s="65"/>
      <c r="QN120" s="65"/>
      <c r="QO120" s="65"/>
      <c r="QP120" s="65"/>
      <c r="QQ120" s="65"/>
      <c r="QR120" s="65"/>
      <c r="QS120" s="65"/>
      <c r="QT120" s="65"/>
      <c r="QU120" s="65"/>
      <c r="QV120" s="65"/>
      <c r="QW120" s="65"/>
      <c r="QX120" s="65"/>
      <c r="QY120" s="65"/>
      <c r="QZ120" s="65"/>
      <c r="RA120" s="65"/>
      <c r="RB120" s="65"/>
      <c r="RC120" s="65"/>
      <c r="RD120" s="65"/>
      <c r="RE120" s="65"/>
      <c r="RF120" s="65"/>
      <c r="RG120" s="65"/>
      <c r="RH120" s="65"/>
      <c r="RI120" s="65"/>
      <c r="RJ120" s="65"/>
      <c r="RK120" s="65"/>
      <c r="RL120" s="65"/>
      <c r="RM120" s="65"/>
      <c r="RN120" s="65"/>
      <c r="RO120" s="65"/>
      <c r="RP120" s="65"/>
      <c r="RQ120" s="65"/>
      <c r="RR120" s="65"/>
      <c r="RS120" s="65"/>
      <c r="RT120" s="65"/>
      <c r="RU120" s="65"/>
      <c r="RV120" s="65"/>
      <c r="RW120" s="65"/>
      <c r="RX120" s="65"/>
      <c r="RY120" s="65"/>
      <c r="RZ120" s="65"/>
      <c r="SA120" s="65"/>
      <c r="SB120" s="65"/>
      <c r="SC120" s="65"/>
      <c r="SD120" s="65"/>
      <c r="SE120" s="65"/>
      <c r="SF120" s="65"/>
      <c r="SG120" s="65"/>
      <c r="SH120" s="65"/>
      <c r="SI120" s="65"/>
      <c r="SJ120" s="65"/>
      <c r="SK120" s="65"/>
      <c r="SL120" s="65"/>
      <c r="SM120" s="65"/>
      <c r="SN120" s="65"/>
      <c r="SO120" s="65"/>
      <c r="SP120" s="65"/>
      <c r="SQ120" s="65"/>
      <c r="SR120" s="65"/>
      <c r="SS120" s="65"/>
      <c r="ST120" s="65"/>
      <c r="SU120" s="65"/>
      <c r="SV120" s="65"/>
      <c r="SW120" s="65"/>
      <c r="SX120" s="65"/>
      <c r="SY120" s="65"/>
      <c r="SZ120" s="65"/>
      <c r="TA120" s="65"/>
      <c r="TB120" s="65"/>
      <c r="TC120" s="65"/>
      <c r="TD120" s="65"/>
      <c r="TE120" s="65"/>
      <c r="TF120" s="65"/>
      <c r="TG120" s="65"/>
      <c r="TH120" s="65"/>
      <c r="TI120" s="65"/>
      <c r="TJ120" s="65"/>
      <c r="TK120" s="65"/>
      <c r="TL120" s="65"/>
      <c r="TM120" s="65"/>
      <c r="TN120" s="65"/>
      <c r="TO120" s="65"/>
      <c r="TP120" s="65"/>
      <c r="TQ120" s="65"/>
      <c r="TR120" s="65"/>
      <c r="TS120" s="65"/>
      <c r="TT120" s="65"/>
      <c r="TU120" s="65"/>
      <c r="TV120" s="65"/>
      <c r="TW120" s="65"/>
      <c r="TX120" s="65"/>
      <c r="TY120" s="65"/>
      <c r="TZ120" s="65"/>
      <c r="UA120" s="65"/>
      <c r="UB120" s="65"/>
      <c r="UC120" s="65"/>
      <c r="UD120" s="65"/>
      <c r="UE120" s="65"/>
      <c r="UF120" s="65"/>
      <c r="UG120" s="65"/>
      <c r="UH120" s="65"/>
      <c r="UI120" s="65"/>
      <c r="UJ120" s="65"/>
      <c r="UK120" s="65"/>
      <c r="UL120" s="65"/>
      <c r="UM120" s="65"/>
      <c r="UN120" s="65"/>
      <c r="UO120" s="65"/>
      <c r="UP120" s="65"/>
      <c r="UQ120" s="65"/>
      <c r="UR120" s="65"/>
      <c r="US120" s="65"/>
      <c r="UT120" s="65"/>
      <c r="UU120" s="65"/>
      <c r="UV120" s="65"/>
      <c r="UW120" s="65"/>
      <c r="UX120" s="65"/>
      <c r="UY120" s="65"/>
      <c r="UZ120" s="65"/>
      <c r="VA120" s="65"/>
      <c r="VB120" s="65"/>
      <c r="VC120" s="65"/>
      <c r="VD120" s="65"/>
      <c r="VE120" s="65"/>
      <c r="VF120" s="65"/>
      <c r="VG120" s="65"/>
      <c r="VH120" s="65"/>
      <c r="VI120" s="65"/>
      <c r="VJ120" s="65"/>
      <c r="VK120" s="65"/>
      <c r="VL120" s="65"/>
      <c r="VM120" s="65"/>
      <c r="VN120" s="65"/>
      <c r="VO120" s="65"/>
      <c r="VP120" s="65"/>
      <c r="VQ120" s="65"/>
      <c r="VR120" s="65"/>
      <c r="VS120" s="65"/>
      <c r="VT120" s="65"/>
      <c r="VU120" s="65"/>
      <c r="VV120" s="65"/>
      <c r="VW120" s="65"/>
      <c r="VX120" s="65"/>
      <c r="VY120" s="65"/>
      <c r="VZ120" s="65"/>
      <c r="WA120" s="65"/>
      <c r="WB120" s="65"/>
      <c r="WC120" s="65"/>
      <c r="WD120" s="65"/>
      <c r="WE120" s="65"/>
      <c r="WF120" s="65"/>
      <c r="WG120" s="65"/>
      <c r="WH120" s="65"/>
      <c r="WI120" s="65"/>
      <c r="WJ120" s="65"/>
      <c r="WK120" s="65"/>
      <c r="WL120" s="65"/>
      <c r="WM120" s="65"/>
      <c r="WN120" s="65"/>
      <c r="WO120" s="65"/>
      <c r="WP120" s="65"/>
      <c r="WQ120" s="65"/>
      <c r="WR120" s="65"/>
      <c r="WS120" s="65"/>
      <c r="WT120" s="65"/>
      <c r="WU120" s="65"/>
      <c r="WV120" s="65"/>
      <c r="WW120" s="65"/>
      <c r="WX120" s="65"/>
      <c r="WY120" s="65"/>
      <c r="WZ120" s="65"/>
      <c r="XA120" s="65"/>
      <c r="XB120" s="65"/>
      <c r="XC120" s="65"/>
      <c r="XD120" s="65"/>
      <c r="XE120" s="65"/>
      <c r="XF120" s="65"/>
      <c r="XG120" s="65"/>
      <c r="XH120" s="65"/>
      <c r="XI120" s="65"/>
      <c r="XJ120" s="65"/>
      <c r="XK120" s="65"/>
      <c r="XL120" s="65"/>
      <c r="XM120" s="65"/>
      <c r="XN120" s="65"/>
      <c r="XO120" s="65"/>
      <c r="XP120" s="65"/>
      <c r="XQ120" s="65"/>
      <c r="XR120" s="65"/>
      <c r="XS120" s="65"/>
      <c r="XT120" s="65"/>
      <c r="XU120" s="65"/>
      <c r="XV120" s="65"/>
      <c r="XW120" s="65"/>
      <c r="XX120" s="65"/>
      <c r="XY120" s="65"/>
      <c r="XZ120" s="65"/>
      <c r="YA120" s="65"/>
      <c r="YB120" s="65"/>
      <c r="YC120" s="65"/>
      <c r="YD120" s="65"/>
      <c r="YE120" s="65"/>
      <c r="YF120" s="65"/>
      <c r="YG120" s="65"/>
      <c r="YH120" s="65"/>
      <c r="YI120" s="65"/>
      <c r="YJ120" s="65"/>
      <c r="YK120" s="65"/>
      <c r="YL120" s="65"/>
      <c r="YM120" s="65"/>
      <c r="YN120" s="65"/>
      <c r="YO120" s="65"/>
      <c r="YP120" s="65"/>
      <c r="YQ120" s="65"/>
      <c r="YR120" s="65"/>
      <c r="YS120" s="65"/>
      <c r="YT120" s="65"/>
      <c r="YU120" s="65"/>
      <c r="YV120" s="65"/>
      <c r="YW120" s="65"/>
      <c r="YX120" s="65"/>
      <c r="YY120" s="65"/>
      <c r="YZ120" s="65"/>
      <c r="ZA120" s="65"/>
      <c r="ZB120" s="65"/>
      <c r="ZC120" s="65"/>
      <c r="ZD120" s="65"/>
      <c r="ZE120" s="65"/>
      <c r="ZF120" s="65"/>
      <c r="ZG120" s="65"/>
      <c r="ZH120" s="65"/>
      <c r="ZI120" s="65"/>
      <c r="ZJ120" s="65"/>
      <c r="ZK120" s="65"/>
      <c r="ZL120" s="65"/>
      <c r="ZM120" s="65"/>
      <c r="ZN120" s="65"/>
      <c r="ZO120" s="65"/>
      <c r="ZP120" s="65"/>
      <c r="ZQ120" s="65"/>
      <c r="ZR120" s="65"/>
      <c r="ZS120" s="65"/>
      <c r="ZT120" s="65"/>
      <c r="ZU120" s="65"/>
      <c r="ZV120" s="65"/>
      <c r="ZW120" s="65"/>
      <c r="ZX120" s="65"/>
      <c r="ZY120" s="65"/>
      <c r="ZZ120" s="65"/>
      <c r="AAA120" s="65"/>
      <c r="AAB120" s="65"/>
      <c r="AAC120" s="65"/>
      <c r="AAD120" s="65"/>
      <c r="AAE120" s="65"/>
      <c r="AAF120" s="65"/>
      <c r="AAG120" s="65"/>
      <c r="AAH120" s="65"/>
      <c r="AAI120" s="65"/>
      <c r="AAJ120" s="65"/>
      <c r="AAK120" s="65"/>
      <c r="AAL120" s="65"/>
      <c r="AAM120" s="65"/>
      <c r="AAN120" s="65"/>
      <c r="AAO120" s="65"/>
      <c r="AAP120" s="65"/>
      <c r="AAQ120" s="65"/>
      <c r="AAR120" s="65"/>
      <c r="AAS120" s="65"/>
      <c r="AAT120" s="65"/>
      <c r="AAU120" s="65"/>
      <c r="AAV120" s="65"/>
      <c r="AAW120" s="65"/>
      <c r="AAX120" s="65"/>
      <c r="AAY120" s="65"/>
      <c r="AAZ120" s="65"/>
      <c r="ABA120" s="65"/>
      <c r="ABB120" s="65"/>
      <c r="ABC120" s="65"/>
      <c r="ABD120" s="65"/>
      <c r="ABE120" s="65"/>
      <c r="ABF120" s="65"/>
      <c r="ABG120" s="65"/>
      <c r="ABH120" s="65"/>
      <c r="ABI120" s="65"/>
      <c r="ABJ120" s="65"/>
      <c r="ABK120" s="65"/>
      <c r="ABL120" s="65"/>
      <c r="ABM120" s="65"/>
      <c r="ABN120" s="65"/>
      <c r="ABO120" s="65"/>
      <c r="ABP120" s="65"/>
      <c r="ABQ120" s="65"/>
      <c r="ABR120" s="65"/>
      <c r="ABS120" s="65"/>
      <c r="ABT120" s="65"/>
      <c r="ABU120" s="65"/>
      <c r="ABV120" s="65"/>
      <c r="ABW120" s="65"/>
      <c r="ABX120" s="65"/>
      <c r="ABY120" s="65"/>
      <c r="ABZ120" s="65"/>
      <c r="ACA120" s="65"/>
      <c r="ACB120" s="65"/>
      <c r="ACC120" s="65"/>
      <c r="ACD120" s="65"/>
      <c r="ACE120" s="65"/>
      <c r="ACF120" s="65"/>
      <c r="ACG120" s="65"/>
      <c r="ACH120" s="65"/>
      <c r="ACI120" s="65"/>
      <c r="ACJ120" s="65"/>
      <c r="ACK120" s="65"/>
      <c r="ACL120" s="65"/>
      <c r="ACM120" s="65"/>
      <c r="ACN120" s="65"/>
      <c r="ACO120" s="65"/>
      <c r="ACP120" s="65"/>
      <c r="ACQ120" s="65"/>
      <c r="ACR120" s="65"/>
      <c r="ACS120" s="65"/>
      <c r="ACT120" s="65"/>
      <c r="ACU120" s="65"/>
      <c r="ACV120" s="65"/>
      <c r="ACW120" s="65"/>
      <c r="ACX120" s="65"/>
      <c r="ACY120" s="65"/>
      <c r="ACZ120" s="65"/>
      <c r="ADA120" s="65"/>
      <c r="ADB120" s="65"/>
      <c r="ADC120" s="65"/>
      <c r="ADD120" s="65"/>
      <c r="ADE120" s="65"/>
      <c r="ADF120" s="65"/>
      <c r="ADG120" s="65"/>
      <c r="ADH120" s="65"/>
      <c r="ADI120" s="65"/>
      <c r="ADJ120" s="65"/>
      <c r="ADK120" s="65"/>
      <c r="ADL120" s="65"/>
      <c r="ADM120" s="65"/>
      <c r="ADN120" s="65"/>
      <c r="ADO120" s="65"/>
      <c r="ADP120" s="65"/>
      <c r="ADQ120" s="65"/>
      <c r="ADR120" s="65"/>
      <c r="ADS120" s="65"/>
      <c r="ADT120" s="65"/>
      <c r="ADU120" s="65"/>
      <c r="ADV120" s="65"/>
      <c r="ADW120" s="65"/>
      <c r="ADX120" s="65"/>
      <c r="ADY120" s="65"/>
      <c r="ADZ120" s="65"/>
      <c r="AEA120" s="65"/>
      <c r="AEB120" s="65"/>
      <c r="AEC120" s="65"/>
      <c r="AED120" s="65"/>
      <c r="AEE120" s="65"/>
      <c r="AEF120" s="65"/>
      <c r="AEG120" s="65"/>
      <c r="AEH120" s="65"/>
      <c r="AEI120" s="65"/>
      <c r="AEJ120" s="65"/>
      <c r="AEK120" s="65"/>
      <c r="AEL120" s="65"/>
      <c r="AEM120" s="65"/>
      <c r="AEN120" s="65"/>
      <c r="AEO120" s="65"/>
      <c r="AEP120" s="65"/>
      <c r="AEQ120" s="65"/>
      <c r="AER120" s="65"/>
      <c r="AES120" s="65"/>
      <c r="AET120" s="65"/>
      <c r="AEU120" s="65"/>
      <c r="AEV120" s="65"/>
      <c r="AEW120" s="65"/>
      <c r="AEX120" s="65"/>
      <c r="AEY120" s="65"/>
      <c r="AEZ120" s="65"/>
      <c r="AFA120" s="65"/>
      <c r="AFB120" s="65"/>
      <c r="AFC120" s="65"/>
      <c r="AFD120" s="65"/>
      <c r="AFE120" s="65"/>
      <c r="AFF120" s="65"/>
      <c r="AFG120" s="65"/>
      <c r="AFH120" s="65"/>
      <c r="AFI120" s="65"/>
      <c r="AFJ120" s="65"/>
      <c r="AFK120" s="65"/>
      <c r="AFL120" s="65"/>
      <c r="AFM120" s="65"/>
      <c r="AFN120" s="65"/>
      <c r="AFO120" s="65"/>
      <c r="AFP120" s="65"/>
      <c r="AFQ120" s="65"/>
      <c r="AFR120" s="65"/>
      <c r="AFS120" s="65"/>
      <c r="AFT120" s="65"/>
      <c r="AFU120" s="65"/>
      <c r="AFV120" s="65"/>
      <c r="AFW120" s="65"/>
      <c r="AFX120" s="65"/>
      <c r="AFY120" s="65"/>
      <c r="AFZ120" s="65"/>
      <c r="AGA120" s="65"/>
      <c r="AGB120" s="65"/>
      <c r="AGC120" s="65"/>
      <c r="AGD120" s="65"/>
      <c r="AGE120" s="65"/>
      <c r="AGF120" s="65"/>
      <c r="AGG120" s="65"/>
      <c r="AGH120" s="65"/>
      <c r="AGI120" s="65"/>
      <c r="AGJ120" s="65"/>
      <c r="AGK120" s="65"/>
      <c r="AGL120" s="65"/>
      <c r="AGM120" s="65"/>
      <c r="AGN120" s="65"/>
      <c r="AGO120" s="65"/>
      <c r="AGP120" s="65"/>
      <c r="AGQ120" s="65"/>
      <c r="AGR120" s="65"/>
      <c r="AGS120" s="65"/>
      <c r="AGT120" s="65"/>
      <c r="AGU120" s="65"/>
      <c r="AGV120" s="65"/>
      <c r="AGW120" s="65"/>
      <c r="AGX120" s="65"/>
      <c r="AGY120" s="65"/>
      <c r="AGZ120" s="65"/>
      <c r="AHA120" s="65"/>
      <c r="AHB120" s="65"/>
      <c r="AHC120" s="65"/>
      <c r="AHD120" s="65"/>
      <c r="AHE120" s="65"/>
      <c r="AHF120" s="65"/>
      <c r="AHG120" s="65"/>
      <c r="AHH120" s="65"/>
      <c r="AHI120" s="65"/>
      <c r="AHJ120" s="65"/>
      <c r="AHK120" s="65"/>
      <c r="AHL120" s="65"/>
      <c r="AHM120" s="65"/>
      <c r="AHN120" s="65"/>
      <c r="AHO120" s="65"/>
      <c r="AHP120" s="65"/>
      <c r="AHQ120" s="65"/>
      <c r="AHR120" s="65"/>
      <c r="AHS120" s="65"/>
      <c r="AHT120" s="65"/>
      <c r="AHU120" s="65"/>
      <c r="AHV120" s="65"/>
      <c r="AHW120" s="65"/>
      <c r="AHX120" s="65"/>
      <c r="AHY120" s="65"/>
      <c r="AHZ120" s="65"/>
      <c r="AIA120" s="65"/>
      <c r="AIB120" s="65"/>
      <c r="AIC120" s="65"/>
      <c r="AID120" s="65"/>
      <c r="AIE120" s="65"/>
      <c r="AIF120" s="65"/>
      <c r="AIG120" s="65"/>
      <c r="AIH120" s="65"/>
      <c r="AII120" s="65"/>
      <c r="AIJ120" s="65"/>
      <c r="AIK120" s="65"/>
      <c r="AIL120" s="65"/>
      <c r="AIM120" s="65"/>
      <c r="AIN120" s="65"/>
      <c r="AIO120" s="65"/>
      <c r="AIP120" s="65"/>
      <c r="AIQ120" s="65"/>
      <c r="AIR120" s="65"/>
      <c r="AIS120" s="65"/>
      <c r="AIT120" s="65"/>
      <c r="AIU120" s="65"/>
      <c r="AIV120" s="65"/>
      <c r="AIW120" s="65"/>
      <c r="AIX120" s="65"/>
      <c r="AIY120" s="65"/>
      <c r="AIZ120" s="65"/>
      <c r="AJA120" s="65"/>
      <c r="AJB120" s="65"/>
      <c r="AJC120" s="65"/>
      <c r="AJD120" s="65"/>
      <c r="AJE120" s="65"/>
      <c r="AJF120" s="65"/>
      <c r="AJG120" s="65"/>
      <c r="AJH120" s="65"/>
      <c r="AJI120" s="65"/>
      <c r="AJJ120" s="65"/>
      <c r="AJK120" s="65"/>
      <c r="AJL120" s="65"/>
      <c r="AJM120" s="65"/>
      <c r="AJN120" s="65"/>
      <c r="AJO120" s="65"/>
      <c r="AJP120" s="65"/>
      <c r="AJQ120" s="65"/>
      <c r="AJR120" s="65"/>
      <c r="AJS120" s="65"/>
      <c r="AJT120" s="65"/>
      <c r="AJU120" s="65"/>
      <c r="AJV120" s="65"/>
      <c r="AJW120" s="65"/>
      <c r="AJX120" s="65"/>
      <c r="AJY120" s="65"/>
      <c r="AJZ120" s="65"/>
      <c r="AKA120" s="65"/>
      <c r="AKB120" s="65"/>
      <c r="AKC120" s="65"/>
      <c r="AKD120" s="65"/>
      <c r="AKE120" s="65"/>
      <c r="AKF120" s="65"/>
      <c r="AKG120" s="65"/>
      <c r="AKH120" s="65"/>
      <c r="AKI120" s="65"/>
      <c r="AKJ120" s="65"/>
      <c r="AKK120" s="65"/>
      <c r="AKL120" s="65"/>
      <c r="AKM120" s="65"/>
      <c r="AKN120" s="65"/>
      <c r="AKO120" s="65"/>
      <c r="AKP120" s="65"/>
      <c r="AKQ120" s="65"/>
      <c r="AKR120" s="65"/>
      <c r="AKS120" s="65"/>
      <c r="AKT120" s="65"/>
      <c r="AKU120" s="65"/>
      <c r="AKV120" s="65"/>
      <c r="AKW120" s="65"/>
      <c r="AKX120" s="65"/>
      <c r="AKY120" s="65"/>
      <c r="AKZ120" s="65"/>
      <c r="ALA120" s="65"/>
      <c r="ALB120" s="65"/>
      <c r="ALC120" s="65"/>
      <c r="ALD120" s="65"/>
      <c r="ALE120" s="65"/>
      <c r="ALF120" s="65"/>
      <c r="ALG120" s="65"/>
      <c r="ALH120" s="65"/>
      <c r="ALI120" s="65"/>
      <c r="ALJ120" s="65"/>
      <c r="ALK120" s="65"/>
      <c r="ALL120" s="65"/>
      <c r="ALM120" s="65"/>
      <c r="ALN120" s="65"/>
      <c r="ALO120" s="65"/>
      <c r="ALP120" s="65"/>
      <c r="ALQ120" s="65"/>
      <c r="ALR120" s="65"/>
      <c r="ALS120" s="65"/>
      <c r="ALT120" s="65"/>
      <c r="ALU120" s="65"/>
      <c r="ALV120" s="65"/>
      <c r="ALW120" s="65"/>
      <c r="ALX120" s="65"/>
      <c r="ALY120" s="65"/>
      <c r="ALZ120" s="65"/>
      <c r="AMA120" s="65"/>
      <c r="AMB120" s="65"/>
      <c r="AMC120" s="65"/>
      <c r="AMD120" s="65"/>
      <c r="AME120" s="65"/>
      <c r="AMF120" s="65"/>
      <c r="AMG120" s="65"/>
      <c r="AMH120" s="65"/>
      <c r="AMI120" s="65"/>
      <c r="AMJ120" s="65"/>
      <c r="AMK120" s="65"/>
      <c r="AML120" s="65"/>
      <c r="AMM120" s="65"/>
      <c r="AMN120" s="65"/>
      <c r="AMO120" s="65"/>
      <c r="AMP120" s="65"/>
      <c r="AMQ120" s="65"/>
      <c r="AMR120" s="65"/>
      <c r="AMS120" s="65"/>
      <c r="AMT120" s="65"/>
      <c r="AMU120" s="65"/>
      <c r="AMV120" s="65"/>
      <c r="AMW120" s="65"/>
      <c r="AMX120" s="65"/>
      <c r="AMY120" s="65"/>
      <c r="AMZ120" s="65"/>
      <c r="ANA120" s="65"/>
      <c r="ANB120" s="65"/>
      <c r="ANC120" s="65"/>
      <c r="AND120" s="65"/>
      <c r="ANE120" s="65"/>
      <c r="ANF120" s="65"/>
      <c r="ANG120" s="65"/>
      <c r="ANH120" s="65"/>
      <c r="ANI120" s="65"/>
      <c r="ANJ120" s="65"/>
      <c r="ANK120" s="65"/>
      <c r="ANL120" s="65"/>
      <c r="ANM120" s="65"/>
      <c r="ANN120" s="65"/>
      <c r="ANO120" s="65"/>
      <c r="ANP120" s="65"/>
      <c r="ANQ120" s="65"/>
      <c r="ANR120" s="65"/>
      <c r="ANS120" s="65"/>
      <c r="ANT120" s="65"/>
      <c r="ANU120" s="65"/>
      <c r="ANV120" s="65"/>
      <c r="ANW120" s="65"/>
      <c r="ANX120" s="65"/>
      <c r="ANY120" s="65"/>
      <c r="ANZ120" s="65"/>
      <c r="AOA120" s="65"/>
      <c r="AOB120" s="65"/>
      <c r="AOC120" s="65"/>
      <c r="AOD120" s="65"/>
      <c r="AOE120" s="65"/>
      <c r="AOF120" s="65"/>
      <c r="AOG120" s="65"/>
      <c r="AOH120" s="65"/>
      <c r="AOI120" s="65"/>
      <c r="AOJ120" s="65"/>
      <c r="AOK120" s="65"/>
      <c r="AOL120" s="65"/>
      <c r="AOM120" s="65"/>
      <c r="AON120" s="65"/>
      <c r="AOO120" s="65"/>
      <c r="AOP120" s="65"/>
      <c r="AOQ120" s="65"/>
      <c r="AOR120" s="65"/>
      <c r="AOS120" s="65"/>
      <c r="AOT120" s="65"/>
      <c r="AOU120" s="65"/>
      <c r="AOV120" s="65"/>
      <c r="AOW120" s="65"/>
      <c r="AOX120" s="65"/>
      <c r="AOY120" s="65"/>
      <c r="AOZ120" s="65"/>
      <c r="APA120" s="65"/>
      <c r="APB120" s="65"/>
      <c r="APC120" s="65"/>
      <c r="APD120" s="65"/>
      <c r="APE120" s="65"/>
      <c r="APF120" s="65"/>
      <c r="APG120" s="65"/>
      <c r="APH120" s="65"/>
      <c r="API120" s="65"/>
      <c r="APJ120" s="65"/>
      <c r="APK120" s="65"/>
      <c r="APL120" s="65"/>
      <c r="APM120" s="65"/>
      <c r="APN120" s="65"/>
      <c r="APO120" s="65"/>
      <c r="APP120" s="65"/>
      <c r="APQ120" s="65"/>
      <c r="APR120" s="65"/>
      <c r="APS120" s="65"/>
      <c r="APT120" s="65"/>
      <c r="APU120" s="65"/>
      <c r="APV120" s="65"/>
      <c r="APW120" s="65"/>
      <c r="APX120" s="65"/>
      <c r="APY120" s="65"/>
      <c r="APZ120" s="65"/>
      <c r="AQA120" s="65"/>
      <c r="AQB120" s="65"/>
      <c r="AQC120" s="65"/>
      <c r="AQD120" s="65"/>
      <c r="AQE120" s="65"/>
      <c r="AQF120" s="65"/>
      <c r="AQG120" s="65"/>
      <c r="AQH120" s="65"/>
      <c r="AQI120" s="65"/>
      <c r="AQJ120" s="65"/>
      <c r="AQK120" s="65"/>
      <c r="AQL120" s="65"/>
      <c r="AQM120" s="65"/>
      <c r="AQN120" s="65"/>
      <c r="AQO120" s="65"/>
      <c r="AQP120" s="65"/>
      <c r="AQQ120" s="65"/>
      <c r="AQR120" s="65"/>
      <c r="AQS120" s="65"/>
      <c r="AQT120" s="65"/>
      <c r="AQU120" s="65"/>
      <c r="AQV120" s="65"/>
      <c r="AQW120" s="65"/>
      <c r="AQX120" s="65"/>
      <c r="AQY120" s="65"/>
      <c r="AQZ120" s="65"/>
      <c r="ARA120" s="65"/>
      <c r="ARB120" s="65"/>
      <c r="ARC120" s="65"/>
      <c r="ARD120" s="65"/>
      <c r="ARE120" s="65"/>
      <c r="ARF120" s="65"/>
      <c r="ARG120" s="65"/>
      <c r="ARH120" s="65"/>
      <c r="ARI120" s="65"/>
      <c r="ARJ120" s="65"/>
      <c r="ARK120" s="65"/>
      <c r="ARL120" s="65"/>
      <c r="ARM120" s="65"/>
      <c r="ARN120" s="65"/>
      <c r="ARO120" s="65"/>
      <c r="ARP120" s="65"/>
      <c r="ARQ120" s="65"/>
      <c r="ARR120" s="65"/>
      <c r="ARS120" s="65"/>
      <c r="ART120" s="65"/>
      <c r="ARU120" s="65"/>
      <c r="ARV120" s="65"/>
      <c r="ARW120" s="65"/>
      <c r="ARX120" s="65"/>
      <c r="ARY120" s="65"/>
      <c r="ARZ120" s="65"/>
      <c r="ASA120" s="65"/>
      <c r="ASB120" s="65"/>
      <c r="ASC120" s="65"/>
      <c r="ASD120" s="65"/>
      <c r="ASE120" s="65"/>
      <c r="ASF120" s="65"/>
      <c r="ASG120" s="65"/>
      <c r="ASH120" s="65"/>
      <c r="ASI120" s="65"/>
      <c r="ASJ120" s="65"/>
      <c r="ASK120" s="65"/>
      <c r="ASL120" s="65"/>
      <c r="ASM120" s="65"/>
      <c r="ASN120" s="65"/>
      <c r="ASO120" s="65"/>
      <c r="ASP120" s="65"/>
      <c r="ASQ120" s="65"/>
      <c r="ASR120" s="65"/>
      <c r="ASS120" s="65"/>
      <c r="AST120" s="65"/>
      <c r="ASU120" s="65"/>
      <c r="ASV120" s="65"/>
      <c r="ASW120" s="65"/>
      <c r="ASX120" s="65"/>
      <c r="ASY120" s="65"/>
      <c r="ASZ120" s="65"/>
      <c r="ATA120" s="65"/>
      <c r="ATB120" s="65"/>
      <c r="ATC120" s="65"/>
      <c r="ATD120" s="65"/>
      <c r="ATE120" s="65"/>
      <c r="ATF120" s="65"/>
      <c r="ATG120" s="65"/>
      <c r="ATH120" s="65"/>
      <c r="ATI120" s="65"/>
      <c r="ATJ120" s="65"/>
      <c r="ATK120" s="65"/>
      <c r="ATL120" s="65"/>
      <c r="ATM120" s="65"/>
      <c r="ATN120" s="65"/>
      <c r="ATO120" s="65"/>
      <c r="ATP120" s="65"/>
      <c r="ATQ120" s="65"/>
      <c r="ATR120" s="65"/>
      <c r="ATS120" s="65"/>
      <c r="ATT120" s="65"/>
      <c r="ATU120" s="65"/>
      <c r="ATV120" s="65"/>
      <c r="ATW120" s="65"/>
      <c r="ATX120" s="65"/>
      <c r="ATY120" s="65"/>
      <c r="ATZ120" s="65"/>
      <c r="AUA120" s="65"/>
      <c r="AUB120" s="65"/>
      <c r="AUC120" s="65"/>
      <c r="AUD120" s="65"/>
      <c r="AUE120" s="65"/>
      <c r="AUF120" s="65"/>
      <c r="AUG120" s="65"/>
      <c r="AUH120" s="65"/>
      <c r="AUI120" s="65"/>
      <c r="AUJ120" s="65"/>
      <c r="AUK120" s="65"/>
      <c r="AUL120" s="65"/>
      <c r="AUM120" s="65"/>
      <c r="AUN120" s="65"/>
      <c r="AUO120" s="65"/>
      <c r="AUP120" s="65"/>
      <c r="AUQ120" s="65"/>
      <c r="AUR120" s="65"/>
      <c r="AUS120" s="65"/>
      <c r="AUT120" s="65"/>
      <c r="AUU120" s="65"/>
      <c r="AUV120" s="65"/>
      <c r="AUW120" s="65"/>
      <c r="AUX120" s="65"/>
      <c r="AUY120" s="65"/>
      <c r="AUZ120" s="65"/>
      <c r="AVA120" s="65"/>
      <c r="AVB120" s="65"/>
      <c r="AVC120" s="65"/>
      <c r="AVD120" s="65"/>
      <c r="AVE120" s="65"/>
      <c r="AVF120" s="65"/>
      <c r="AVG120" s="65"/>
      <c r="AVH120" s="65"/>
      <c r="AVI120" s="65"/>
      <c r="AVJ120" s="65"/>
      <c r="AVK120" s="65"/>
      <c r="AVL120" s="65"/>
      <c r="AVM120" s="65"/>
      <c r="AVN120" s="65"/>
      <c r="AVO120" s="65"/>
      <c r="AVP120" s="65"/>
      <c r="AVQ120" s="65"/>
      <c r="AVR120" s="65"/>
      <c r="AVS120" s="65"/>
      <c r="AVT120" s="65"/>
      <c r="AVU120" s="65"/>
      <c r="AVV120" s="65"/>
      <c r="AVW120" s="65"/>
      <c r="AVX120" s="65"/>
      <c r="AVY120" s="65"/>
      <c r="AVZ120" s="65"/>
      <c r="AWA120" s="65"/>
      <c r="AWB120" s="65"/>
      <c r="AWC120" s="65"/>
      <c r="AWD120" s="65"/>
      <c r="AWE120" s="65"/>
      <c r="AWF120" s="65"/>
      <c r="AWG120" s="65"/>
      <c r="AWH120" s="65"/>
      <c r="AWI120" s="65"/>
      <c r="AWJ120" s="65"/>
      <c r="AWK120" s="65"/>
      <c r="AWL120" s="65"/>
      <c r="AWM120" s="65"/>
      <c r="AWN120" s="65"/>
      <c r="AWO120" s="65"/>
      <c r="AWP120" s="65"/>
      <c r="AWQ120" s="65"/>
      <c r="AWR120" s="65"/>
      <c r="AWS120" s="65"/>
      <c r="AWT120" s="65"/>
      <c r="AWU120" s="65"/>
      <c r="AWV120" s="65"/>
      <c r="AWW120" s="65"/>
      <c r="AWX120" s="65"/>
      <c r="AWY120" s="65"/>
      <c r="AWZ120" s="65"/>
      <c r="AXA120" s="65"/>
      <c r="AXB120" s="65"/>
      <c r="AXC120" s="65"/>
      <c r="AXD120" s="65"/>
      <c r="AXE120" s="65"/>
      <c r="AXF120" s="65"/>
      <c r="AXG120" s="65"/>
      <c r="AXH120" s="65"/>
      <c r="AXI120" s="65"/>
      <c r="AXJ120" s="65"/>
      <c r="AXK120" s="65"/>
      <c r="AXL120" s="65"/>
      <c r="AXM120" s="65"/>
      <c r="AXN120" s="65"/>
      <c r="AXO120" s="65"/>
      <c r="AXP120" s="65"/>
      <c r="AXQ120" s="65"/>
      <c r="AXR120" s="65"/>
      <c r="AXS120" s="65"/>
      <c r="AXT120" s="65"/>
      <c r="AXU120" s="65"/>
      <c r="AXV120" s="65"/>
      <c r="AXW120" s="65"/>
      <c r="AXX120" s="65"/>
      <c r="AXY120" s="65"/>
      <c r="AXZ120" s="65"/>
      <c r="AYA120" s="65"/>
      <c r="AYB120" s="65"/>
      <c r="AYC120" s="65"/>
      <c r="AYD120" s="65"/>
      <c r="AYE120" s="65"/>
      <c r="AYF120" s="65"/>
      <c r="AYG120" s="65"/>
      <c r="AYH120" s="65"/>
      <c r="AYI120" s="65"/>
      <c r="AYJ120" s="65"/>
      <c r="AYK120" s="65"/>
      <c r="AYL120" s="65"/>
      <c r="AYM120" s="65"/>
      <c r="AYN120" s="65"/>
      <c r="AYO120" s="65"/>
      <c r="AYP120" s="65"/>
      <c r="AYQ120" s="65"/>
      <c r="AYR120" s="65"/>
      <c r="AYS120" s="65"/>
      <c r="AYT120" s="65"/>
      <c r="AYU120" s="65"/>
      <c r="AYV120" s="65"/>
      <c r="AYW120" s="65"/>
      <c r="AYX120" s="65"/>
      <c r="AYY120" s="65"/>
      <c r="AYZ120" s="65"/>
      <c r="AZA120" s="65"/>
      <c r="AZB120" s="65"/>
      <c r="AZC120" s="65"/>
      <c r="AZD120" s="65"/>
      <c r="AZE120" s="65"/>
      <c r="AZF120" s="65"/>
      <c r="AZG120" s="65"/>
      <c r="AZH120" s="65"/>
      <c r="AZI120" s="65"/>
      <c r="AZJ120" s="65"/>
      <c r="AZK120" s="65"/>
      <c r="AZL120" s="65"/>
      <c r="AZM120" s="65"/>
      <c r="AZN120" s="65"/>
      <c r="AZO120" s="65"/>
      <c r="AZP120" s="65"/>
      <c r="AZQ120" s="65"/>
      <c r="AZR120" s="65"/>
      <c r="AZS120" s="65"/>
      <c r="AZT120" s="65"/>
      <c r="AZU120" s="65"/>
      <c r="AZV120" s="65"/>
      <c r="AZW120" s="65"/>
      <c r="AZX120" s="65"/>
      <c r="AZY120" s="65"/>
      <c r="AZZ120" s="65"/>
      <c r="BAA120" s="65"/>
      <c r="BAB120" s="65"/>
      <c r="BAC120" s="65"/>
      <c r="BAD120" s="65"/>
      <c r="BAE120" s="65"/>
      <c r="BAF120" s="65"/>
      <c r="BAG120" s="65"/>
      <c r="BAH120" s="65"/>
      <c r="BAI120" s="65"/>
      <c r="BAJ120" s="65"/>
      <c r="BAK120" s="65"/>
      <c r="BAL120" s="65"/>
      <c r="BAM120" s="65"/>
      <c r="BAN120" s="65"/>
      <c r="BAO120" s="65"/>
      <c r="BAP120" s="65"/>
      <c r="BAQ120" s="65"/>
      <c r="BAR120" s="65"/>
      <c r="BAS120" s="65"/>
      <c r="BAT120" s="65"/>
      <c r="BAU120" s="65"/>
      <c r="BAV120" s="65"/>
      <c r="BAW120" s="65"/>
      <c r="BAX120" s="65"/>
      <c r="BAY120" s="65"/>
      <c r="BAZ120" s="65"/>
      <c r="BBA120" s="65"/>
      <c r="BBB120" s="65"/>
      <c r="BBC120" s="65"/>
      <c r="BBD120" s="65"/>
      <c r="BBE120" s="65"/>
      <c r="BBF120" s="65"/>
      <c r="BBG120" s="65"/>
      <c r="BBH120" s="65"/>
      <c r="BBI120" s="65"/>
      <c r="BBJ120" s="65"/>
      <c r="BBK120" s="65"/>
      <c r="BBL120" s="65"/>
      <c r="BBM120" s="65"/>
      <c r="BBN120" s="65"/>
      <c r="BBO120" s="65"/>
      <c r="BBP120" s="65"/>
      <c r="BBQ120" s="65"/>
      <c r="BBR120" s="65"/>
      <c r="BBS120" s="65"/>
      <c r="BBT120" s="65"/>
      <c r="BBU120" s="65"/>
      <c r="BBV120" s="65"/>
      <c r="BBW120" s="65"/>
      <c r="BBX120" s="65"/>
      <c r="BBY120" s="65"/>
      <c r="BBZ120" s="65"/>
      <c r="BCA120" s="65"/>
      <c r="BCB120" s="65"/>
      <c r="BCC120" s="65"/>
      <c r="BCD120" s="65"/>
      <c r="BCE120" s="65"/>
      <c r="BCF120" s="65"/>
      <c r="BCG120" s="65"/>
      <c r="BCH120" s="65"/>
      <c r="BCI120" s="65"/>
      <c r="BCJ120" s="65"/>
      <c r="BCK120" s="65"/>
      <c r="BCL120" s="65"/>
      <c r="BCM120" s="65"/>
      <c r="BCN120" s="65"/>
      <c r="BCO120" s="65"/>
      <c r="BCP120" s="65"/>
      <c r="BCQ120" s="65"/>
      <c r="BCR120" s="65"/>
      <c r="BCS120" s="65"/>
      <c r="BCT120" s="65"/>
      <c r="BCU120" s="65"/>
      <c r="BCV120" s="65"/>
      <c r="BCW120" s="65"/>
      <c r="BCX120" s="65"/>
      <c r="BCY120" s="65"/>
      <c r="BCZ120" s="65"/>
      <c r="BDA120" s="65"/>
      <c r="BDB120" s="65"/>
      <c r="BDC120" s="65"/>
      <c r="BDD120" s="65"/>
      <c r="BDE120" s="65"/>
      <c r="BDF120" s="65"/>
      <c r="BDG120" s="65"/>
      <c r="BDH120" s="65"/>
      <c r="BDI120" s="65"/>
      <c r="BDJ120" s="65"/>
      <c r="BDK120" s="65"/>
      <c r="BDL120" s="65"/>
      <c r="BDM120" s="65"/>
      <c r="BDN120" s="65"/>
      <c r="BDO120" s="65"/>
      <c r="BDP120" s="65"/>
      <c r="BDQ120" s="65"/>
      <c r="BDR120" s="65"/>
      <c r="BDS120" s="65"/>
      <c r="BDT120" s="65"/>
      <c r="BDU120" s="65"/>
      <c r="BDV120" s="65"/>
      <c r="BDW120" s="65"/>
      <c r="BDX120" s="65"/>
      <c r="BDY120" s="65"/>
      <c r="BDZ120" s="65"/>
      <c r="BEA120" s="65"/>
      <c r="BEB120" s="65"/>
      <c r="BEC120" s="65"/>
      <c r="BED120" s="65"/>
      <c r="BEE120" s="65"/>
      <c r="BEF120" s="65"/>
      <c r="BEG120" s="65"/>
      <c r="BEH120" s="65"/>
      <c r="BEI120" s="65"/>
      <c r="BEJ120" s="65"/>
      <c r="BEK120" s="65"/>
      <c r="BEL120" s="65"/>
      <c r="BEM120" s="65"/>
      <c r="BEN120" s="65"/>
      <c r="BEO120" s="65"/>
      <c r="BEP120" s="65"/>
      <c r="BEQ120" s="65"/>
      <c r="BER120" s="65"/>
      <c r="BES120" s="65"/>
      <c r="BET120" s="65"/>
      <c r="BEU120" s="65"/>
      <c r="BEV120" s="65"/>
      <c r="BEW120" s="65"/>
      <c r="BEX120" s="65"/>
      <c r="BEY120" s="65"/>
      <c r="BEZ120" s="65"/>
      <c r="BFA120" s="65"/>
      <c r="BFB120" s="65"/>
      <c r="BFC120" s="65"/>
      <c r="BFD120" s="65"/>
      <c r="BFE120" s="65"/>
      <c r="BFF120" s="65"/>
      <c r="BFG120" s="65"/>
      <c r="BFH120" s="65"/>
      <c r="BFI120" s="65"/>
      <c r="BFJ120" s="65"/>
      <c r="BFK120" s="65"/>
      <c r="BFL120" s="65"/>
      <c r="BFM120" s="65"/>
      <c r="BFN120" s="65"/>
      <c r="BFO120" s="65"/>
      <c r="BFP120" s="65"/>
      <c r="BFQ120" s="65"/>
      <c r="BFR120" s="65"/>
      <c r="BFS120" s="65"/>
      <c r="BFT120" s="65"/>
      <c r="BFU120" s="65"/>
      <c r="BFV120" s="65"/>
      <c r="BFW120" s="65"/>
      <c r="BFX120" s="65"/>
      <c r="BFY120" s="65"/>
      <c r="BFZ120" s="65"/>
      <c r="BGA120" s="65"/>
      <c r="BGB120" s="65"/>
      <c r="BGC120" s="65"/>
      <c r="BGD120" s="65"/>
      <c r="BGE120" s="65"/>
      <c r="BGF120" s="65"/>
      <c r="BGG120" s="65"/>
      <c r="BGH120" s="65"/>
      <c r="BGI120" s="65"/>
      <c r="BGJ120" s="65"/>
      <c r="BGK120" s="65"/>
      <c r="BGL120" s="65"/>
      <c r="BGM120" s="65"/>
      <c r="BGN120" s="65"/>
      <c r="BGO120" s="65"/>
      <c r="BGP120" s="65"/>
      <c r="BGQ120" s="65"/>
      <c r="BGR120" s="65"/>
      <c r="BGS120" s="65"/>
      <c r="BGT120" s="65"/>
      <c r="BGU120" s="65"/>
      <c r="BGV120" s="65"/>
      <c r="BGW120" s="65"/>
      <c r="BGX120" s="65"/>
      <c r="BGY120" s="65"/>
      <c r="BGZ120" s="65"/>
      <c r="BHA120" s="65"/>
      <c r="BHB120" s="65"/>
      <c r="BHC120" s="65"/>
      <c r="BHD120" s="65"/>
      <c r="BHE120" s="65"/>
      <c r="BHF120" s="65"/>
      <c r="BHG120" s="65"/>
      <c r="BHH120" s="65"/>
      <c r="BHI120" s="65"/>
      <c r="BHJ120" s="65"/>
      <c r="BHK120" s="65"/>
      <c r="BHL120" s="65"/>
      <c r="BHM120" s="65"/>
      <c r="BHN120" s="65"/>
      <c r="BHO120" s="65"/>
      <c r="BHP120" s="65"/>
      <c r="BHQ120" s="65"/>
      <c r="BHR120" s="65"/>
      <c r="BHS120" s="65"/>
      <c r="BHT120" s="65"/>
      <c r="BHU120" s="65"/>
      <c r="BHV120" s="65"/>
      <c r="BHW120" s="65"/>
      <c r="BHX120" s="65"/>
      <c r="BHY120" s="65"/>
      <c r="BHZ120" s="65"/>
      <c r="BIA120" s="65"/>
      <c r="BIB120" s="65"/>
      <c r="BIC120" s="65"/>
      <c r="BID120" s="65"/>
      <c r="BIE120" s="65"/>
      <c r="BIF120" s="65"/>
      <c r="BIG120" s="65"/>
      <c r="BIH120" s="65"/>
      <c r="BII120" s="65"/>
      <c r="BIJ120" s="65"/>
      <c r="BIK120" s="65"/>
      <c r="BIL120" s="65"/>
      <c r="BIM120" s="65"/>
      <c r="BIN120" s="65"/>
      <c r="BIO120" s="65"/>
      <c r="BIP120" s="65"/>
      <c r="BIQ120" s="65"/>
      <c r="BIR120" s="65"/>
      <c r="BIS120" s="65"/>
      <c r="BIT120" s="65"/>
      <c r="BIU120" s="65"/>
      <c r="BIV120" s="65"/>
      <c r="BIW120" s="65"/>
      <c r="BIX120" s="65"/>
      <c r="BIY120" s="65"/>
      <c r="BIZ120" s="65"/>
      <c r="BJA120" s="65"/>
      <c r="BJB120" s="65"/>
      <c r="BJC120" s="65"/>
      <c r="BJD120" s="65"/>
      <c r="BJE120" s="65"/>
      <c r="BJF120" s="65"/>
      <c r="BJG120" s="65"/>
      <c r="BJH120" s="65"/>
      <c r="BJI120" s="65"/>
      <c r="BJJ120" s="65"/>
      <c r="BJK120" s="65"/>
      <c r="BJL120" s="65"/>
      <c r="BJM120" s="65"/>
      <c r="BJN120" s="65"/>
      <c r="BJO120" s="65"/>
      <c r="BJP120" s="65"/>
      <c r="BJQ120" s="65"/>
      <c r="BJR120" s="65"/>
      <c r="BJS120" s="65"/>
      <c r="BJT120" s="65"/>
      <c r="BJU120" s="65"/>
      <c r="BJV120" s="65"/>
      <c r="BJW120" s="65"/>
      <c r="BJX120" s="65"/>
      <c r="BJY120" s="65"/>
      <c r="BJZ120" s="65"/>
      <c r="BKA120" s="65"/>
      <c r="BKB120" s="65"/>
      <c r="BKC120" s="65"/>
      <c r="BKD120" s="65"/>
      <c r="BKE120" s="65"/>
      <c r="BKF120" s="65"/>
      <c r="BKG120" s="65"/>
      <c r="BKH120" s="65"/>
      <c r="BKI120" s="65"/>
      <c r="BKJ120" s="65"/>
      <c r="BKK120" s="65"/>
      <c r="BKL120" s="65"/>
      <c r="BKM120" s="65"/>
      <c r="BKN120" s="65"/>
      <c r="BKO120" s="65"/>
      <c r="BKP120" s="65"/>
      <c r="BKQ120" s="65"/>
      <c r="BKR120" s="65"/>
      <c r="BKS120" s="65"/>
      <c r="BKT120" s="65"/>
      <c r="BKU120" s="65"/>
      <c r="BKV120" s="65"/>
      <c r="BKW120" s="65"/>
      <c r="BKX120" s="65"/>
      <c r="BKY120" s="65"/>
      <c r="BKZ120" s="65"/>
      <c r="BLA120" s="65"/>
      <c r="BLB120" s="65"/>
      <c r="BLC120" s="65"/>
      <c r="BLD120" s="65"/>
      <c r="BLE120" s="65"/>
      <c r="BLF120" s="65"/>
      <c r="BLG120" s="65"/>
      <c r="BLH120" s="65"/>
      <c r="BLI120" s="65"/>
      <c r="BLJ120" s="65"/>
      <c r="BLK120" s="65"/>
      <c r="BLL120" s="65"/>
      <c r="BLM120" s="65"/>
      <c r="BLN120" s="65"/>
      <c r="BLO120" s="65"/>
      <c r="BLP120" s="65"/>
      <c r="BLQ120" s="65"/>
      <c r="BLR120" s="65"/>
      <c r="BLS120" s="65"/>
      <c r="BLT120" s="65"/>
      <c r="BLU120" s="65"/>
      <c r="BLV120" s="65"/>
      <c r="BLW120" s="65"/>
      <c r="BLX120" s="65"/>
      <c r="BLY120" s="65"/>
      <c r="BLZ120" s="65"/>
      <c r="BMA120" s="65"/>
      <c r="BMB120" s="65"/>
      <c r="BMC120" s="65"/>
      <c r="BMD120" s="65"/>
      <c r="BME120" s="65"/>
      <c r="BMF120" s="65"/>
      <c r="BMG120" s="65"/>
      <c r="BMH120" s="65"/>
      <c r="BMI120" s="65"/>
      <c r="BMJ120" s="65"/>
      <c r="BMK120" s="65"/>
      <c r="BML120" s="65"/>
      <c r="BMM120" s="65"/>
      <c r="BMN120" s="65"/>
      <c r="BMO120" s="65"/>
      <c r="BMP120" s="65"/>
      <c r="BMQ120" s="65"/>
      <c r="BMR120" s="65"/>
      <c r="BMS120" s="65"/>
      <c r="BMT120" s="65"/>
      <c r="BMU120" s="65"/>
      <c r="BMV120" s="65"/>
      <c r="BMW120" s="65"/>
      <c r="BMX120" s="65"/>
      <c r="BMY120" s="65"/>
      <c r="BMZ120" s="65"/>
      <c r="BNA120" s="65"/>
      <c r="BNB120" s="65"/>
      <c r="BNC120" s="65"/>
      <c r="BND120" s="65"/>
      <c r="BNE120" s="65"/>
      <c r="BNF120" s="65"/>
      <c r="BNG120" s="65"/>
      <c r="BNH120" s="65"/>
      <c r="BNI120" s="65"/>
      <c r="BNJ120" s="65"/>
      <c r="BNK120" s="65"/>
      <c r="BNL120" s="65"/>
      <c r="BNM120" s="65"/>
      <c r="BNN120" s="65"/>
      <c r="BNO120" s="65"/>
      <c r="BNP120" s="65"/>
      <c r="BNQ120" s="65"/>
      <c r="BNR120" s="65"/>
      <c r="BNS120" s="65"/>
      <c r="BNT120" s="65"/>
      <c r="BNU120" s="65"/>
      <c r="BNV120" s="65"/>
      <c r="BNW120" s="65"/>
      <c r="BNX120" s="65"/>
      <c r="BNY120" s="65"/>
      <c r="BNZ120" s="65"/>
      <c r="BOA120" s="65"/>
      <c r="BOB120" s="65"/>
      <c r="BOC120" s="65"/>
      <c r="BOD120" s="65"/>
      <c r="BOE120" s="65"/>
      <c r="BOF120" s="65"/>
      <c r="BOG120" s="65"/>
      <c r="BOH120" s="65"/>
      <c r="BOI120" s="65"/>
      <c r="BOJ120" s="65"/>
      <c r="BOK120" s="65"/>
      <c r="BOL120" s="65"/>
      <c r="BOM120" s="65"/>
      <c r="BON120" s="65"/>
      <c r="BOO120" s="65"/>
      <c r="BOP120" s="65"/>
      <c r="BOQ120" s="65"/>
      <c r="BOR120" s="65"/>
      <c r="BOS120" s="65"/>
      <c r="BOT120" s="65"/>
      <c r="BOU120" s="65"/>
      <c r="BOV120" s="65"/>
      <c r="BOW120" s="65"/>
      <c r="BOX120" s="65"/>
      <c r="BOY120" s="65"/>
      <c r="BOZ120" s="65"/>
      <c r="BPA120" s="65"/>
      <c r="BPB120" s="65"/>
      <c r="BPC120" s="65"/>
      <c r="BPD120" s="65"/>
      <c r="BPE120" s="65"/>
      <c r="BPF120" s="65"/>
      <c r="BPG120" s="65"/>
      <c r="BPH120" s="65"/>
      <c r="BPI120" s="65"/>
      <c r="BPJ120" s="65"/>
      <c r="BPK120" s="65"/>
      <c r="BPL120" s="65"/>
      <c r="BPM120" s="65"/>
      <c r="BPN120" s="65"/>
      <c r="BPO120" s="65"/>
      <c r="BPP120" s="65"/>
      <c r="BPQ120" s="65"/>
      <c r="BPR120" s="65"/>
      <c r="BPS120" s="65"/>
      <c r="BPT120" s="65"/>
      <c r="BPU120" s="65"/>
      <c r="BPV120" s="65"/>
      <c r="BPW120" s="65"/>
      <c r="BPX120" s="65"/>
      <c r="BPY120" s="65"/>
      <c r="BPZ120" s="65"/>
      <c r="BQA120" s="65"/>
      <c r="BQB120" s="65"/>
      <c r="BQC120" s="65"/>
      <c r="BQD120" s="65"/>
      <c r="BQE120" s="65"/>
      <c r="BQF120" s="65"/>
      <c r="BQG120" s="65"/>
      <c r="BQH120" s="65"/>
      <c r="BQI120" s="65"/>
      <c r="BQJ120" s="65"/>
      <c r="BQK120" s="65"/>
      <c r="BQL120" s="65"/>
      <c r="BQM120" s="65"/>
      <c r="BQN120" s="65"/>
      <c r="BQO120" s="65"/>
      <c r="BQP120" s="65"/>
      <c r="BQQ120" s="65"/>
      <c r="BQR120" s="65"/>
      <c r="BQS120" s="65"/>
      <c r="BQT120" s="65"/>
      <c r="BQU120" s="65"/>
      <c r="BQV120" s="65"/>
      <c r="BQW120" s="65"/>
      <c r="BQX120" s="65"/>
      <c r="BQY120" s="65"/>
      <c r="BQZ120" s="65"/>
      <c r="BRA120" s="65"/>
      <c r="BRB120" s="65"/>
      <c r="BRC120" s="65"/>
      <c r="BRD120" s="65"/>
      <c r="BRE120" s="65"/>
      <c r="BRF120" s="65"/>
      <c r="BRG120" s="65"/>
      <c r="BRH120" s="65"/>
      <c r="BRI120" s="65"/>
      <c r="BRJ120" s="65"/>
      <c r="BRK120" s="65"/>
      <c r="BRL120" s="65"/>
      <c r="BRM120" s="65"/>
      <c r="BRN120" s="65"/>
      <c r="BRO120" s="65"/>
      <c r="BRP120" s="65"/>
      <c r="BRQ120" s="65"/>
      <c r="BRR120" s="65"/>
      <c r="BRS120" s="65"/>
      <c r="BRT120" s="65"/>
      <c r="BRU120" s="65"/>
      <c r="BRV120" s="65"/>
      <c r="BRW120" s="65"/>
      <c r="BRX120" s="65"/>
      <c r="BRY120" s="65"/>
      <c r="BRZ120" s="65"/>
      <c r="BSA120" s="65"/>
      <c r="BSB120" s="65"/>
      <c r="BSC120" s="65"/>
      <c r="BSD120" s="65"/>
      <c r="BSE120" s="65"/>
      <c r="BSF120" s="65"/>
      <c r="BSG120" s="65"/>
      <c r="BSH120" s="65"/>
      <c r="BSI120" s="65"/>
      <c r="BSJ120" s="65"/>
      <c r="BSK120" s="65"/>
      <c r="BSL120" s="65"/>
      <c r="BSM120" s="65"/>
      <c r="BSN120" s="65"/>
      <c r="BSO120" s="65"/>
      <c r="BSP120" s="65"/>
      <c r="BSQ120" s="65"/>
      <c r="BSR120" s="65"/>
      <c r="BSS120" s="65"/>
      <c r="BST120" s="65"/>
      <c r="BSU120" s="65"/>
      <c r="BSV120" s="65"/>
      <c r="BSW120" s="65"/>
      <c r="BSX120" s="65"/>
      <c r="BSY120" s="65"/>
      <c r="BSZ120" s="65"/>
      <c r="BTA120" s="65"/>
      <c r="BTB120" s="65"/>
      <c r="BTC120" s="65"/>
      <c r="BTD120" s="65"/>
      <c r="BTE120" s="65"/>
      <c r="BTF120" s="65"/>
      <c r="BTG120" s="65"/>
      <c r="BTH120" s="65"/>
      <c r="BTI120" s="65"/>
      <c r="BTJ120" s="65"/>
      <c r="BTK120" s="65"/>
      <c r="BTL120" s="65"/>
      <c r="BTM120" s="65"/>
      <c r="BTN120" s="65"/>
      <c r="BTO120" s="65"/>
      <c r="BTP120" s="65"/>
      <c r="BTQ120" s="65"/>
      <c r="BTR120" s="65"/>
      <c r="BTS120" s="65"/>
      <c r="BTT120" s="65"/>
      <c r="BTU120" s="65"/>
      <c r="BTV120" s="65"/>
      <c r="BTW120" s="65"/>
      <c r="BTX120" s="65"/>
      <c r="BTY120" s="65"/>
      <c r="BTZ120" s="65"/>
      <c r="BUA120" s="65"/>
      <c r="BUB120" s="65"/>
      <c r="BUC120" s="65"/>
      <c r="BUD120" s="65"/>
      <c r="BUE120" s="65"/>
      <c r="BUF120" s="65"/>
      <c r="BUG120" s="65"/>
      <c r="BUH120" s="65"/>
      <c r="BUI120" s="65"/>
      <c r="BUJ120" s="65"/>
      <c r="BUK120" s="65"/>
      <c r="BUL120" s="65"/>
      <c r="BUM120" s="65"/>
      <c r="BUN120" s="65"/>
      <c r="BUO120" s="65"/>
      <c r="BUP120" s="65"/>
      <c r="BUQ120" s="65"/>
      <c r="BUR120" s="65"/>
      <c r="BUS120" s="65"/>
      <c r="BUT120" s="65"/>
      <c r="BUU120" s="65"/>
      <c r="BUV120" s="65"/>
      <c r="BUW120" s="65"/>
      <c r="BUX120" s="65"/>
      <c r="BUY120" s="65"/>
      <c r="BUZ120" s="65"/>
      <c r="BVA120" s="65"/>
      <c r="BVB120" s="65"/>
      <c r="BVC120" s="65"/>
      <c r="BVD120" s="65"/>
      <c r="BVE120" s="65"/>
      <c r="BVF120" s="65"/>
      <c r="BVG120" s="65"/>
      <c r="BVH120" s="65"/>
      <c r="BVI120" s="65"/>
      <c r="BVJ120" s="65"/>
      <c r="BVK120" s="65"/>
      <c r="BVL120" s="65"/>
      <c r="BVM120" s="65"/>
      <c r="BVN120" s="65"/>
      <c r="BVO120" s="65"/>
      <c r="BVP120" s="65"/>
      <c r="BVQ120" s="65"/>
      <c r="BVR120" s="65"/>
      <c r="BVS120" s="65"/>
      <c r="BVT120" s="65"/>
      <c r="BVU120" s="65"/>
      <c r="BVV120" s="65"/>
      <c r="BVW120" s="65"/>
      <c r="BVX120" s="65"/>
      <c r="BVY120" s="65"/>
      <c r="BVZ120" s="65"/>
      <c r="BWA120" s="65"/>
      <c r="BWB120" s="65"/>
      <c r="BWC120" s="65"/>
      <c r="BWD120" s="65"/>
      <c r="BWE120" s="65"/>
      <c r="BWF120" s="65"/>
      <c r="BWG120" s="65"/>
      <c r="BWH120" s="65"/>
      <c r="BWI120" s="65"/>
      <c r="BWJ120" s="65"/>
      <c r="BWK120" s="65"/>
      <c r="BWL120" s="65"/>
      <c r="BWM120" s="65"/>
      <c r="BWN120" s="65"/>
      <c r="BWO120" s="65"/>
      <c r="BWP120" s="65"/>
      <c r="BWQ120" s="65"/>
      <c r="BWR120" s="65"/>
      <c r="BWS120" s="65"/>
      <c r="BWT120" s="65"/>
      <c r="BWU120" s="65"/>
      <c r="BWV120" s="65"/>
      <c r="BWW120" s="65"/>
      <c r="BWX120" s="65"/>
      <c r="BWY120" s="65"/>
      <c r="BWZ120" s="65"/>
      <c r="BXA120" s="65"/>
      <c r="BXB120" s="65"/>
      <c r="BXC120" s="65"/>
      <c r="BXD120" s="65"/>
      <c r="BXE120" s="65"/>
      <c r="BXF120" s="65"/>
      <c r="BXG120" s="65"/>
      <c r="BXH120" s="65"/>
      <c r="BXI120" s="65"/>
      <c r="BXJ120" s="65"/>
      <c r="BXK120" s="65"/>
      <c r="BXL120" s="65"/>
      <c r="BXM120" s="65"/>
      <c r="BXN120" s="65"/>
      <c r="BXO120" s="65"/>
      <c r="BXP120" s="65"/>
      <c r="BXQ120" s="65"/>
      <c r="BXR120" s="65"/>
      <c r="BXS120" s="65"/>
      <c r="BXT120" s="65"/>
      <c r="BXU120" s="65"/>
      <c r="BXV120" s="65"/>
      <c r="BXW120" s="65"/>
      <c r="BXX120" s="65"/>
      <c r="BXY120" s="65"/>
      <c r="BXZ120" s="65"/>
      <c r="BYA120" s="65"/>
      <c r="BYB120" s="65"/>
      <c r="BYC120" s="65"/>
      <c r="BYD120" s="65"/>
      <c r="BYE120" s="65"/>
      <c r="BYF120" s="65"/>
      <c r="BYG120" s="65"/>
      <c r="BYH120" s="65"/>
      <c r="BYI120" s="65"/>
      <c r="BYJ120" s="65"/>
      <c r="BYK120" s="65"/>
      <c r="BYL120" s="65"/>
      <c r="BYM120" s="65"/>
      <c r="BYN120" s="65"/>
      <c r="BYO120" s="65"/>
      <c r="BYP120" s="65"/>
      <c r="BYQ120" s="65"/>
      <c r="BYR120" s="65"/>
      <c r="BYS120" s="65"/>
      <c r="BYT120" s="65"/>
      <c r="BYU120" s="65"/>
      <c r="BYV120" s="65"/>
      <c r="BYW120" s="65"/>
      <c r="BYX120" s="65"/>
      <c r="BYY120" s="65"/>
      <c r="BYZ120" s="65"/>
      <c r="BZA120" s="65"/>
      <c r="BZB120" s="65"/>
      <c r="BZC120" s="65"/>
      <c r="BZD120" s="65"/>
      <c r="BZE120" s="65"/>
      <c r="BZF120" s="65"/>
      <c r="BZG120" s="65"/>
      <c r="BZH120" s="65"/>
      <c r="BZI120" s="65"/>
      <c r="BZJ120" s="65"/>
      <c r="BZK120" s="65"/>
      <c r="BZL120" s="65"/>
      <c r="BZM120" s="65"/>
      <c r="BZN120" s="65"/>
      <c r="BZO120" s="65"/>
      <c r="BZP120" s="65"/>
      <c r="BZQ120" s="65"/>
      <c r="BZR120" s="65"/>
      <c r="BZS120" s="65"/>
      <c r="BZT120" s="65"/>
      <c r="BZU120" s="65"/>
      <c r="BZV120" s="65"/>
      <c r="BZW120" s="65"/>
      <c r="BZX120" s="65"/>
      <c r="BZY120" s="65"/>
      <c r="BZZ120" s="65"/>
      <c r="CAA120" s="65"/>
      <c r="CAB120" s="65"/>
      <c r="CAC120" s="65"/>
      <c r="CAD120" s="65"/>
      <c r="CAE120" s="65"/>
      <c r="CAF120" s="65"/>
      <c r="CAG120" s="65"/>
      <c r="CAH120" s="65"/>
      <c r="CAI120" s="65"/>
      <c r="CAJ120" s="65"/>
      <c r="CAK120" s="65"/>
      <c r="CAL120" s="65"/>
      <c r="CAM120" s="65"/>
      <c r="CAN120" s="65"/>
      <c r="CAO120" s="65"/>
      <c r="CAP120" s="65"/>
      <c r="CAQ120" s="65"/>
      <c r="CAR120" s="65"/>
      <c r="CAS120" s="65"/>
      <c r="CAT120" s="65"/>
      <c r="CAU120" s="65"/>
      <c r="CAV120" s="65"/>
      <c r="CAW120" s="65"/>
      <c r="CAX120" s="65"/>
      <c r="CAY120" s="65"/>
      <c r="CAZ120" s="65"/>
      <c r="CBA120" s="65"/>
      <c r="CBB120" s="65"/>
      <c r="CBC120" s="65"/>
      <c r="CBD120" s="65"/>
      <c r="CBE120" s="65"/>
      <c r="CBF120" s="65"/>
      <c r="CBG120" s="65"/>
      <c r="CBH120" s="65"/>
      <c r="CBI120" s="65"/>
      <c r="CBJ120" s="65"/>
      <c r="CBK120" s="65"/>
      <c r="CBL120" s="65"/>
      <c r="CBM120" s="65"/>
      <c r="CBN120" s="65"/>
      <c r="CBO120" s="65"/>
      <c r="CBP120" s="65"/>
      <c r="CBQ120" s="65"/>
      <c r="CBR120" s="65"/>
      <c r="CBS120" s="65"/>
      <c r="CBT120" s="65"/>
      <c r="CBU120" s="65"/>
      <c r="CBV120" s="65"/>
      <c r="CBW120" s="65"/>
      <c r="CBX120" s="65"/>
      <c r="CBY120" s="65"/>
      <c r="CBZ120" s="65"/>
      <c r="CCA120" s="65"/>
      <c r="CCB120" s="65"/>
      <c r="CCC120" s="65"/>
      <c r="CCD120" s="65"/>
      <c r="CCE120" s="65"/>
      <c r="CCF120" s="65"/>
      <c r="CCG120" s="65"/>
      <c r="CCH120" s="65"/>
      <c r="CCI120" s="65"/>
      <c r="CCJ120" s="65"/>
      <c r="CCK120" s="65"/>
      <c r="CCL120" s="65"/>
      <c r="CCM120" s="65"/>
      <c r="CCN120" s="65"/>
      <c r="CCO120" s="65"/>
      <c r="CCP120" s="65"/>
      <c r="CCQ120" s="65"/>
      <c r="CCR120" s="65"/>
      <c r="CCS120" s="65"/>
      <c r="CCT120" s="65"/>
      <c r="CCU120" s="65"/>
      <c r="CCV120" s="65"/>
      <c r="CCW120" s="65"/>
      <c r="CCX120" s="65"/>
      <c r="CCY120" s="65"/>
      <c r="CCZ120" s="65"/>
      <c r="CDA120" s="65"/>
      <c r="CDB120" s="65"/>
      <c r="CDC120" s="65"/>
      <c r="CDD120" s="65"/>
      <c r="CDE120" s="65"/>
      <c r="CDF120" s="65"/>
      <c r="CDG120" s="65"/>
      <c r="CDH120" s="65"/>
      <c r="CDI120" s="65"/>
      <c r="CDJ120" s="65"/>
      <c r="CDK120" s="65"/>
      <c r="CDL120" s="65"/>
      <c r="CDM120" s="65"/>
      <c r="CDN120" s="65"/>
      <c r="CDO120" s="65"/>
      <c r="CDP120" s="65"/>
      <c r="CDQ120" s="65"/>
      <c r="CDR120" s="65"/>
      <c r="CDS120" s="65"/>
      <c r="CDT120" s="65"/>
      <c r="CDU120" s="65"/>
      <c r="CDV120" s="65"/>
      <c r="CDW120" s="65"/>
      <c r="CDX120" s="65"/>
      <c r="CDY120" s="65"/>
      <c r="CDZ120" s="65"/>
      <c r="CEA120" s="65"/>
      <c r="CEB120" s="65"/>
      <c r="CEC120" s="65"/>
      <c r="CED120" s="65"/>
      <c r="CEE120" s="65"/>
      <c r="CEF120" s="65"/>
      <c r="CEG120" s="65"/>
      <c r="CEH120" s="65"/>
      <c r="CEI120" s="65"/>
      <c r="CEJ120" s="65"/>
      <c r="CEK120" s="65"/>
      <c r="CEL120" s="65"/>
      <c r="CEM120" s="65"/>
      <c r="CEN120" s="65"/>
      <c r="CEO120" s="65"/>
      <c r="CEP120" s="65"/>
      <c r="CEQ120" s="65"/>
      <c r="CER120" s="65"/>
      <c r="CES120" s="65"/>
      <c r="CET120" s="65"/>
      <c r="CEU120" s="65"/>
      <c r="CEV120" s="65"/>
      <c r="CEW120" s="65"/>
      <c r="CEX120" s="65"/>
      <c r="CEY120" s="65"/>
      <c r="CEZ120" s="65"/>
      <c r="CFA120" s="65"/>
      <c r="CFB120" s="65"/>
      <c r="CFC120" s="65"/>
      <c r="CFD120" s="65"/>
      <c r="CFE120" s="65"/>
      <c r="CFF120" s="65"/>
      <c r="CFG120" s="65"/>
      <c r="CFH120" s="65"/>
      <c r="CFI120" s="65"/>
      <c r="CFJ120" s="65"/>
      <c r="CFK120" s="65"/>
      <c r="CFL120" s="65"/>
      <c r="CFM120" s="65"/>
      <c r="CFN120" s="65"/>
      <c r="CFO120" s="65"/>
      <c r="CFP120" s="65"/>
      <c r="CFQ120" s="65"/>
      <c r="CFR120" s="65"/>
      <c r="CFS120" s="65"/>
      <c r="CFT120" s="65"/>
      <c r="CFU120" s="65"/>
      <c r="CFV120" s="65"/>
      <c r="CFW120" s="65"/>
      <c r="CFX120" s="65"/>
      <c r="CFY120" s="65"/>
      <c r="CFZ120" s="65"/>
      <c r="CGA120" s="65"/>
      <c r="CGB120" s="65"/>
      <c r="CGC120" s="65"/>
      <c r="CGD120" s="65"/>
      <c r="CGE120" s="65"/>
      <c r="CGF120" s="65"/>
      <c r="CGG120" s="65"/>
      <c r="CGH120" s="65"/>
      <c r="CGI120" s="65"/>
      <c r="CGJ120" s="65"/>
      <c r="CGK120" s="65"/>
      <c r="CGL120" s="65"/>
      <c r="CGM120" s="65"/>
      <c r="CGN120" s="65"/>
      <c r="CGO120" s="65"/>
      <c r="CGP120" s="65"/>
      <c r="CGQ120" s="65"/>
      <c r="CGR120" s="65"/>
      <c r="CGS120" s="65"/>
      <c r="CGT120" s="65"/>
      <c r="CGU120" s="65"/>
      <c r="CGV120" s="65"/>
      <c r="CGW120" s="65"/>
      <c r="CGX120" s="65"/>
      <c r="CGY120" s="65"/>
      <c r="CGZ120" s="65"/>
      <c r="CHA120" s="65"/>
      <c r="CHB120" s="65"/>
      <c r="CHC120" s="65"/>
      <c r="CHD120" s="65"/>
      <c r="CHE120" s="65"/>
      <c r="CHF120" s="65"/>
      <c r="CHG120" s="65"/>
      <c r="CHH120" s="65"/>
      <c r="CHI120" s="65"/>
      <c r="CHJ120" s="65"/>
      <c r="CHK120" s="65"/>
      <c r="CHL120" s="65"/>
      <c r="CHM120" s="65"/>
      <c r="CHN120" s="65"/>
      <c r="CHO120" s="65"/>
      <c r="CHP120" s="65"/>
      <c r="CHQ120" s="65"/>
      <c r="CHR120" s="65"/>
      <c r="CHS120" s="65"/>
      <c r="CHT120" s="65"/>
      <c r="CHU120" s="65"/>
      <c r="CHV120" s="65"/>
      <c r="CHW120" s="65"/>
      <c r="CHX120" s="65"/>
      <c r="CHY120" s="65"/>
      <c r="CHZ120" s="65"/>
      <c r="CIA120" s="65"/>
      <c r="CIB120" s="65"/>
      <c r="CIC120" s="65"/>
      <c r="CID120" s="65"/>
      <c r="CIE120" s="65"/>
      <c r="CIF120" s="65"/>
      <c r="CIG120" s="65"/>
      <c r="CIH120" s="65"/>
      <c r="CII120" s="65"/>
      <c r="CIJ120" s="65"/>
      <c r="CIK120" s="65"/>
      <c r="CIL120" s="65"/>
      <c r="CIM120" s="65"/>
      <c r="CIN120" s="65"/>
      <c r="CIO120" s="65"/>
      <c r="CIP120" s="65"/>
      <c r="CIQ120" s="65"/>
      <c r="CIR120" s="65"/>
      <c r="CIS120" s="65"/>
      <c r="CIT120" s="65"/>
      <c r="CIU120" s="65"/>
      <c r="CIV120" s="65"/>
      <c r="CIW120" s="65"/>
      <c r="CIX120" s="65"/>
      <c r="CIY120" s="65"/>
      <c r="CIZ120" s="65"/>
      <c r="CJA120" s="65"/>
      <c r="CJB120" s="65"/>
      <c r="CJC120" s="65"/>
      <c r="CJD120" s="65"/>
      <c r="CJE120" s="65"/>
      <c r="CJF120" s="65"/>
      <c r="CJG120" s="65"/>
      <c r="CJH120" s="65"/>
      <c r="CJI120" s="65"/>
      <c r="CJJ120" s="65"/>
      <c r="CJK120" s="65"/>
      <c r="CJL120" s="65"/>
      <c r="CJM120" s="65"/>
      <c r="CJN120" s="65"/>
      <c r="CJO120" s="65"/>
      <c r="CJP120" s="65"/>
      <c r="CJQ120" s="65"/>
      <c r="CJR120" s="65"/>
      <c r="CJS120" s="65"/>
      <c r="CJT120" s="65"/>
      <c r="CJU120" s="65"/>
      <c r="CJV120" s="65"/>
      <c r="CJW120" s="65"/>
      <c r="CJX120" s="65"/>
      <c r="CJY120" s="65"/>
      <c r="CJZ120" s="65"/>
      <c r="CKA120" s="65"/>
      <c r="CKB120" s="65"/>
      <c r="CKC120" s="65"/>
      <c r="CKD120" s="65"/>
      <c r="CKE120" s="65"/>
      <c r="CKF120" s="65"/>
      <c r="CKG120" s="65"/>
      <c r="CKH120" s="65"/>
      <c r="CKI120" s="65"/>
      <c r="CKJ120" s="65"/>
      <c r="CKK120" s="65"/>
      <c r="CKL120" s="65"/>
      <c r="CKM120" s="65"/>
      <c r="CKN120" s="65"/>
      <c r="CKO120" s="65"/>
      <c r="CKP120" s="65"/>
      <c r="CKQ120" s="65"/>
      <c r="CKR120" s="65"/>
      <c r="CKS120" s="65"/>
      <c r="CKT120" s="65"/>
      <c r="CKU120" s="65"/>
      <c r="CKV120" s="65"/>
      <c r="CKW120" s="65"/>
      <c r="CKX120" s="65"/>
      <c r="CKY120" s="65"/>
      <c r="CKZ120" s="65"/>
      <c r="CLA120" s="65"/>
      <c r="CLB120" s="65"/>
      <c r="CLC120" s="65"/>
      <c r="CLD120" s="65"/>
      <c r="CLE120" s="65"/>
      <c r="CLF120" s="65"/>
      <c r="CLG120" s="65"/>
      <c r="CLH120" s="65"/>
      <c r="CLI120" s="65"/>
      <c r="CLJ120" s="65"/>
      <c r="CLK120" s="65"/>
      <c r="CLL120" s="65"/>
      <c r="CLM120" s="65"/>
      <c r="CLN120" s="65"/>
      <c r="CLO120" s="65"/>
      <c r="CLP120" s="65"/>
      <c r="CLQ120" s="65"/>
      <c r="CLR120" s="65"/>
      <c r="CLS120" s="65"/>
      <c r="CLT120" s="65"/>
      <c r="CLU120" s="65"/>
      <c r="CLV120" s="65"/>
      <c r="CLW120" s="65"/>
      <c r="CLX120" s="65"/>
      <c r="CLY120" s="65"/>
      <c r="CLZ120" s="65"/>
      <c r="CMA120" s="65"/>
      <c r="CMB120" s="65"/>
      <c r="CMC120" s="65"/>
      <c r="CMD120" s="65"/>
      <c r="CME120" s="65"/>
      <c r="CMF120" s="65"/>
      <c r="CMG120" s="65"/>
      <c r="CMH120" s="65"/>
      <c r="CMI120" s="65"/>
      <c r="CMJ120" s="65"/>
      <c r="CMK120" s="65"/>
      <c r="CML120" s="65"/>
      <c r="CMM120" s="65"/>
      <c r="CMN120" s="65"/>
      <c r="CMO120" s="65"/>
      <c r="CMP120" s="65"/>
      <c r="CMQ120" s="65"/>
      <c r="CMR120" s="65"/>
      <c r="CMS120" s="65"/>
      <c r="CMT120" s="65"/>
      <c r="CMU120" s="65"/>
      <c r="CMV120" s="65"/>
      <c r="CMW120" s="65"/>
      <c r="CMX120" s="65"/>
      <c r="CMY120" s="65"/>
      <c r="CMZ120" s="65"/>
      <c r="CNA120" s="65"/>
      <c r="CNB120" s="65"/>
      <c r="CNC120" s="65"/>
      <c r="CND120" s="65"/>
      <c r="CNE120" s="65"/>
      <c r="CNF120" s="65"/>
      <c r="CNG120" s="65"/>
      <c r="CNH120" s="65"/>
      <c r="CNI120" s="65"/>
      <c r="CNJ120" s="65"/>
      <c r="CNK120" s="65"/>
      <c r="CNL120" s="65"/>
      <c r="CNM120" s="65"/>
      <c r="CNN120" s="65"/>
      <c r="CNO120" s="65"/>
      <c r="CNP120" s="65"/>
      <c r="CNQ120" s="65"/>
      <c r="CNR120" s="65"/>
      <c r="CNS120" s="65"/>
      <c r="CNT120" s="65"/>
      <c r="CNU120" s="65"/>
      <c r="CNV120" s="65"/>
      <c r="CNW120" s="65"/>
      <c r="CNX120" s="65"/>
      <c r="CNY120" s="65"/>
      <c r="CNZ120" s="65"/>
      <c r="COA120" s="65"/>
      <c r="COB120" s="65"/>
      <c r="COC120" s="65"/>
      <c r="COD120" s="65"/>
      <c r="COE120" s="65"/>
      <c r="COF120" s="65"/>
      <c r="COG120" s="65"/>
      <c r="COH120" s="65"/>
      <c r="COI120" s="65"/>
      <c r="COJ120" s="65"/>
      <c r="COK120" s="65"/>
      <c r="COL120" s="65"/>
      <c r="COM120" s="65"/>
      <c r="CON120" s="65"/>
      <c r="COO120" s="65"/>
      <c r="COP120" s="65"/>
      <c r="COQ120" s="65"/>
      <c r="COR120" s="65"/>
      <c r="COS120" s="65"/>
      <c r="COT120" s="65"/>
      <c r="COU120" s="65"/>
      <c r="COV120" s="65"/>
      <c r="COW120" s="65"/>
      <c r="COX120" s="65"/>
      <c r="COY120" s="65"/>
      <c r="COZ120" s="65"/>
      <c r="CPA120" s="65"/>
      <c r="CPB120" s="65"/>
      <c r="CPC120" s="65"/>
      <c r="CPD120" s="65"/>
      <c r="CPE120" s="65"/>
      <c r="CPF120" s="65"/>
      <c r="CPG120" s="65"/>
      <c r="CPH120" s="65"/>
      <c r="CPI120" s="65"/>
      <c r="CPJ120" s="65"/>
      <c r="CPK120" s="65"/>
      <c r="CPL120" s="65"/>
      <c r="CPM120" s="65"/>
      <c r="CPN120" s="65"/>
      <c r="CPO120" s="65"/>
      <c r="CPP120" s="65"/>
      <c r="CPQ120" s="65"/>
      <c r="CPR120" s="65"/>
      <c r="CPS120" s="65"/>
      <c r="CPT120" s="65"/>
      <c r="CPU120" s="65"/>
      <c r="CPV120" s="65"/>
      <c r="CPW120" s="65"/>
      <c r="CPX120" s="65"/>
      <c r="CPY120" s="65"/>
      <c r="CPZ120" s="65"/>
      <c r="CQA120" s="65"/>
      <c r="CQB120" s="65"/>
      <c r="CQC120" s="65"/>
      <c r="CQD120" s="65"/>
      <c r="CQE120" s="65"/>
      <c r="CQF120" s="65"/>
      <c r="CQG120" s="65"/>
      <c r="CQH120" s="65"/>
      <c r="CQI120" s="65"/>
      <c r="CQJ120" s="65"/>
      <c r="CQK120" s="65"/>
      <c r="CQL120" s="65"/>
      <c r="CQM120" s="65"/>
      <c r="CQN120" s="65"/>
      <c r="CQO120" s="65"/>
      <c r="CQP120" s="65"/>
      <c r="CQQ120" s="65"/>
      <c r="CQR120" s="65"/>
      <c r="CQS120" s="65"/>
      <c r="CQT120" s="65"/>
      <c r="CQU120" s="65"/>
      <c r="CQV120" s="65"/>
      <c r="CQW120" s="65"/>
      <c r="CQX120" s="65"/>
      <c r="CQY120" s="65"/>
      <c r="CQZ120" s="65"/>
      <c r="CRA120" s="65"/>
      <c r="CRB120" s="65"/>
      <c r="CRC120" s="65"/>
      <c r="CRD120" s="65"/>
      <c r="CRE120" s="65"/>
      <c r="CRF120" s="65"/>
      <c r="CRG120" s="65"/>
      <c r="CRH120" s="65"/>
      <c r="CRI120" s="65"/>
      <c r="CRJ120" s="65"/>
      <c r="CRK120" s="65"/>
      <c r="CRL120" s="65"/>
      <c r="CRM120" s="65"/>
      <c r="CRN120" s="65"/>
      <c r="CRO120" s="65"/>
      <c r="CRP120" s="65"/>
      <c r="CRQ120" s="65"/>
      <c r="CRR120" s="65"/>
      <c r="CRS120" s="65"/>
      <c r="CRT120" s="65"/>
      <c r="CRU120" s="65"/>
      <c r="CRV120" s="65"/>
      <c r="CRW120" s="65"/>
      <c r="CRX120" s="65"/>
      <c r="CRY120" s="65"/>
      <c r="CRZ120" s="65"/>
      <c r="CSA120" s="65"/>
      <c r="CSB120" s="65"/>
      <c r="CSC120" s="65"/>
      <c r="CSD120" s="65"/>
      <c r="CSE120" s="65"/>
      <c r="CSF120" s="65"/>
      <c r="CSG120" s="65"/>
      <c r="CSH120" s="65"/>
      <c r="CSI120" s="65"/>
      <c r="CSJ120" s="65"/>
      <c r="CSK120" s="65"/>
      <c r="CSL120" s="65"/>
      <c r="CSM120" s="65"/>
      <c r="CSN120" s="65"/>
      <c r="CSO120" s="65"/>
      <c r="CSP120" s="65"/>
      <c r="CSQ120" s="65"/>
      <c r="CSR120" s="65"/>
      <c r="CSS120" s="65"/>
      <c r="CST120" s="65"/>
      <c r="CSU120" s="65"/>
      <c r="CSV120" s="65"/>
      <c r="CSW120" s="65"/>
      <c r="CSX120" s="65"/>
      <c r="CSY120" s="65"/>
      <c r="CSZ120" s="65"/>
      <c r="CTA120" s="65"/>
      <c r="CTB120" s="65"/>
      <c r="CTC120" s="65"/>
      <c r="CTD120" s="65"/>
      <c r="CTE120" s="65"/>
      <c r="CTF120" s="65"/>
      <c r="CTG120" s="65"/>
      <c r="CTH120" s="65"/>
      <c r="CTI120" s="65"/>
      <c r="CTJ120" s="65"/>
      <c r="CTK120" s="65"/>
      <c r="CTL120" s="65"/>
      <c r="CTM120" s="65"/>
      <c r="CTN120" s="65"/>
      <c r="CTO120" s="65"/>
      <c r="CTP120" s="65"/>
      <c r="CTQ120" s="65"/>
      <c r="CTR120" s="65"/>
      <c r="CTS120" s="65"/>
      <c r="CTT120" s="65"/>
      <c r="CTU120" s="65"/>
      <c r="CTV120" s="65"/>
      <c r="CTW120" s="65"/>
      <c r="CTX120" s="65"/>
      <c r="CTY120" s="65"/>
      <c r="CTZ120" s="65"/>
      <c r="CUA120" s="65"/>
      <c r="CUB120" s="65"/>
      <c r="CUC120" s="65"/>
      <c r="CUD120" s="65"/>
      <c r="CUE120" s="65"/>
      <c r="CUF120" s="65"/>
      <c r="CUG120" s="65"/>
      <c r="CUH120" s="65"/>
      <c r="CUI120" s="65"/>
      <c r="CUJ120" s="65"/>
      <c r="CUK120" s="65"/>
      <c r="CUL120" s="65"/>
      <c r="CUM120" s="65"/>
      <c r="CUN120" s="65"/>
      <c r="CUO120" s="65"/>
      <c r="CUP120" s="65"/>
      <c r="CUQ120" s="65"/>
      <c r="CUR120" s="65"/>
      <c r="CUS120" s="65"/>
      <c r="CUT120" s="65"/>
      <c r="CUU120" s="65"/>
      <c r="CUV120" s="65"/>
      <c r="CUW120" s="65"/>
      <c r="CUX120" s="65"/>
      <c r="CUY120" s="65"/>
      <c r="CUZ120" s="65"/>
      <c r="CVA120" s="65"/>
      <c r="CVB120" s="65"/>
      <c r="CVC120" s="65"/>
      <c r="CVD120" s="65"/>
      <c r="CVE120" s="65"/>
      <c r="CVF120" s="65"/>
      <c r="CVG120" s="65"/>
      <c r="CVH120" s="65"/>
      <c r="CVI120" s="65"/>
      <c r="CVJ120" s="65"/>
      <c r="CVK120" s="65"/>
      <c r="CVL120" s="65"/>
      <c r="CVM120" s="65"/>
      <c r="CVN120" s="65"/>
      <c r="CVO120" s="65"/>
      <c r="CVP120" s="65"/>
      <c r="CVQ120" s="65"/>
      <c r="CVR120" s="65"/>
      <c r="CVS120" s="65"/>
      <c r="CVT120" s="65"/>
      <c r="CVU120" s="65"/>
      <c r="CVV120" s="65"/>
      <c r="CVW120" s="65"/>
      <c r="CVX120" s="65"/>
      <c r="CVY120" s="65"/>
      <c r="CVZ120" s="65"/>
      <c r="CWA120" s="65"/>
      <c r="CWB120" s="65"/>
      <c r="CWC120" s="65"/>
      <c r="CWD120" s="65"/>
      <c r="CWE120" s="65"/>
      <c r="CWF120" s="65"/>
      <c r="CWG120" s="65"/>
      <c r="CWH120" s="65"/>
      <c r="CWI120" s="65"/>
      <c r="CWJ120" s="65"/>
      <c r="CWK120" s="65"/>
      <c r="CWL120" s="65"/>
      <c r="CWM120" s="65"/>
      <c r="CWN120" s="65"/>
      <c r="CWO120" s="65"/>
      <c r="CWP120" s="65"/>
      <c r="CWQ120" s="65"/>
      <c r="CWR120" s="65"/>
      <c r="CWS120" s="65"/>
      <c r="CWT120" s="65"/>
      <c r="CWU120" s="65"/>
      <c r="CWV120" s="65"/>
      <c r="CWW120" s="65"/>
      <c r="CWX120" s="65"/>
      <c r="CWY120" s="65"/>
      <c r="CWZ120" s="65"/>
      <c r="CXA120" s="65"/>
      <c r="CXB120" s="65"/>
      <c r="CXC120" s="65"/>
      <c r="CXD120" s="65"/>
      <c r="CXE120" s="65"/>
      <c r="CXF120" s="65"/>
      <c r="CXG120" s="65"/>
      <c r="CXH120" s="65"/>
      <c r="CXI120" s="65"/>
      <c r="CXJ120" s="65"/>
      <c r="CXK120" s="65"/>
      <c r="CXL120" s="65"/>
      <c r="CXM120" s="65"/>
      <c r="CXN120" s="65"/>
      <c r="CXO120" s="65"/>
      <c r="CXP120" s="65"/>
      <c r="CXQ120" s="65"/>
      <c r="CXR120" s="65"/>
      <c r="CXS120" s="65"/>
      <c r="CXT120" s="65"/>
      <c r="CXU120" s="65"/>
      <c r="CXV120" s="65"/>
      <c r="CXW120" s="65"/>
      <c r="CXX120" s="65"/>
      <c r="CXY120" s="65"/>
      <c r="CXZ120" s="65"/>
      <c r="CYA120" s="65"/>
      <c r="CYB120" s="65"/>
      <c r="CYC120" s="65"/>
      <c r="CYD120" s="65"/>
      <c r="CYE120" s="65"/>
      <c r="CYF120" s="65"/>
      <c r="CYG120" s="65"/>
      <c r="CYH120" s="65"/>
      <c r="CYI120" s="65"/>
      <c r="CYJ120" s="65"/>
      <c r="CYK120" s="65"/>
      <c r="CYL120" s="65"/>
      <c r="CYM120" s="65"/>
      <c r="CYN120" s="65"/>
      <c r="CYO120" s="65"/>
      <c r="CYP120" s="65"/>
      <c r="CYQ120" s="65"/>
      <c r="CYR120" s="65"/>
      <c r="CYS120" s="65"/>
      <c r="CYT120" s="65"/>
      <c r="CYU120" s="65"/>
      <c r="CYV120" s="65"/>
      <c r="CYW120" s="65"/>
      <c r="CYX120" s="65"/>
      <c r="CYY120" s="65"/>
      <c r="CYZ120" s="65"/>
      <c r="CZA120" s="65"/>
      <c r="CZB120" s="65"/>
      <c r="CZC120" s="65"/>
      <c r="CZD120" s="65"/>
      <c r="CZE120" s="65"/>
      <c r="CZF120" s="65"/>
      <c r="CZG120" s="65"/>
      <c r="CZH120" s="65"/>
      <c r="CZI120" s="65"/>
      <c r="CZJ120" s="65"/>
      <c r="CZK120" s="65"/>
      <c r="CZL120" s="65"/>
      <c r="CZM120" s="65"/>
      <c r="CZN120" s="65"/>
      <c r="CZO120" s="65"/>
      <c r="CZP120" s="65"/>
      <c r="CZQ120" s="65"/>
      <c r="CZR120" s="65"/>
      <c r="CZS120" s="65"/>
      <c r="CZT120" s="65"/>
      <c r="CZU120" s="65"/>
      <c r="CZV120" s="65"/>
      <c r="CZW120" s="65"/>
      <c r="CZX120" s="65"/>
      <c r="CZY120" s="65"/>
      <c r="CZZ120" s="65"/>
      <c r="DAA120" s="65"/>
      <c r="DAB120" s="65"/>
      <c r="DAC120" s="65"/>
      <c r="DAD120" s="65"/>
      <c r="DAE120" s="65"/>
      <c r="DAF120" s="65"/>
      <c r="DAG120" s="65"/>
      <c r="DAH120" s="65"/>
      <c r="DAI120" s="65"/>
      <c r="DAJ120" s="65"/>
      <c r="DAK120" s="65"/>
      <c r="DAL120" s="65"/>
      <c r="DAM120" s="65"/>
      <c r="DAN120" s="65"/>
      <c r="DAO120" s="65"/>
      <c r="DAP120" s="65"/>
      <c r="DAQ120" s="65"/>
      <c r="DAR120" s="65"/>
      <c r="DAS120" s="65"/>
      <c r="DAT120" s="65"/>
      <c r="DAU120" s="65"/>
      <c r="DAV120" s="65"/>
      <c r="DAW120" s="65"/>
      <c r="DAX120" s="65"/>
      <c r="DAY120" s="65"/>
      <c r="DAZ120" s="65"/>
      <c r="DBA120" s="65"/>
      <c r="DBB120" s="65"/>
      <c r="DBC120" s="65"/>
      <c r="DBD120" s="65"/>
      <c r="DBE120" s="65"/>
      <c r="DBF120" s="65"/>
      <c r="DBG120" s="65"/>
      <c r="DBH120" s="65"/>
      <c r="DBI120" s="65"/>
      <c r="DBJ120" s="65"/>
      <c r="DBK120" s="65"/>
      <c r="DBL120" s="65"/>
      <c r="DBM120" s="65"/>
      <c r="DBN120" s="65"/>
      <c r="DBO120" s="65"/>
      <c r="DBP120" s="65"/>
      <c r="DBQ120" s="65"/>
      <c r="DBR120" s="65"/>
      <c r="DBS120" s="65"/>
      <c r="DBT120" s="65"/>
      <c r="DBU120" s="65"/>
      <c r="DBV120" s="65"/>
      <c r="DBW120" s="65"/>
      <c r="DBX120" s="65"/>
      <c r="DBY120" s="65"/>
      <c r="DBZ120" s="65"/>
      <c r="DCA120" s="65"/>
      <c r="DCB120" s="65"/>
      <c r="DCC120" s="65"/>
      <c r="DCD120" s="65"/>
      <c r="DCE120" s="65"/>
      <c r="DCF120" s="65"/>
      <c r="DCG120" s="65"/>
      <c r="DCH120" s="65"/>
      <c r="DCI120" s="65"/>
      <c r="DCJ120" s="65"/>
      <c r="DCK120" s="65"/>
      <c r="DCL120" s="65"/>
      <c r="DCM120" s="65"/>
      <c r="DCN120" s="65"/>
      <c r="DCO120" s="65"/>
      <c r="DCP120" s="65"/>
      <c r="DCQ120" s="65"/>
      <c r="DCR120" s="65"/>
      <c r="DCS120" s="65"/>
      <c r="DCT120" s="65"/>
      <c r="DCU120" s="65"/>
      <c r="DCV120" s="65"/>
      <c r="DCW120" s="65"/>
      <c r="DCX120" s="65"/>
      <c r="DCY120" s="65"/>
      <c r="DCZ120" s="65"/>
      <c r="DDA120" s="65"/>
      <c r="DDB120" s="65"/>
      <c r="DDC120" s="65"/>
      <c r="DDD120" s="65"/>
      <c r="DDE120" s="65"/>
      <c r="DDF120" s="65"/>
      <c r="DDG120" s="65"/>
      <c r="DDH120" s="65"/>
      <c r="DDI120" s="65"/>
      <c r="DDJ120" s="65"/>
      <c r="DDK120" s="65"/>
      <c r="DDL120" s="65"/>
      <c r="DDM120" s="65"/>
      <c r="DDN120" s="65"/>
      <c r="DDO120" s="65"/>
      <c r="DDP120" s="65"/>
      <c r="DDQ120" s="65"/>
      <c r="DDR120" s="65"/>
      <c r="DDS120" s="65"/>
      <c r="DDT120" s="65"/>
      <c r="DDU120" s="65"/>
      <c r="DDV120" s="65"/>
      <c r="DDW120" s="65"/>
      <c r="DDX120" s="65"/>
      <c r="DDY120" s="65"/>
      <c r="DDZ120" s="65"/>
      <c r="DEA120" s="65"/>
      <c r="DEB120" s="65"/>
      <c r="DEC120" s="65"/>
      <c r="DED120" s="65"/>
      <c r="DEE120" s="65"/>
      <c r="DEF120" s="65"/>
      <c r="DEG120" s="65"/>
      <c r="DEH120" s="65"/>
      <c r="DEI120" s="65"/>
      <c r="DEJ120" s="65"/>
      <c r="DEK120" s="65"/>
      <c r="DEL120" s="65"/>
      <c r="DEM120" s="65"/>
      <c r="DEN120" s="65"/>
      <c r="DEO120" s="65"/>
      <c r="DEP120" s="65"/>
      <c r="DEQ120" s="65"/>
      <c r="DER120" s="65"/>
      <c r="DES120" s="65"/>
      <c r="DET120" s="65"/>
      <c r="DEU120" s="65"/>
      <c r="DEV120" s="65"/>
      <c r="DEW120" s="65"/>
      <c r="DEX120" s="65"/>
      <c r="DEY120" s="65"/>
      <c r="DEZ120" s="65"/>
      <c r="DFA120" s="65"/>
      <c r="DFB120" s="65"/>
      <c r="DFC120" s="65"/>
      <c r="DFD120" s="65"/>
      <c r="DFE120" s="65"/>
      <c r="DFF120" s="65"/>
      <c r="DFG120" s="65"/>
      <c r="DFH120" s="65"/>
      <c r="DFI120" s="65"/>
      <c r="DFJ120" s="65"/>
      <c r="DFK120" s="65"/>
      <c r="DFL120" s="65"/>
      <c r="DFM120" s="65"/>
      <c r="DFN120" s="65"/>
      <c r="DFO120" s="65"/>
      <c r="DFP120" s="65"/>
      <c r="DFQ120" s="65"/>
      <c r="DFR120" s="65"/>
      <c r="DFS120" s="65"/>
      <c r="DFT120" s="65"/>
      <c r="DFU120" s="65"/>
      <c r="DFV120" s="65"/>
      <c r="DFW120" s="65"/>
      <c r="DFX120" s="65"/>
      <c r="DFY120" s="65"/>
      <c r="DFZ120" s="65"/>
      <c r="DGA120" s="65"/>
      <c r="DGB120" s="65"/>
      <c r="DGC120" s="65"/>
      <c r="DGD120" s="65"/>
      <c r="DGE120" s="65"/>
      <c r="DGF120" s="65"/>
      <c r="DGG120" s="65"/>
      <c r="DGH120" s="65"/>
      <c r="DGI120" s="65"/>
      <c r="DGJ120" s="65"/>
      <c r="DGK120" s="65"/>
      <c r="DGL120" s="65"/>
      <c r="DGM120" s="65"/>
      <c r="DGN120" s="65"/>
      <c r="DGO120" s="65"/>
      <c r="DGP120" s="65"/>
      <c r="DGQ120" s="65"/>
      <c r="DGR120" s="65"/>
      <c r="DGS120" s="65"/>
      <c r="DGT120" s="65"/>
      <c r="DGU120" s="65"/>
      <c r="DGV120" s="65"/>
      <c r="DGW120" s="65"/>
      <c r="DGX120" s="65"/>
      <c r="DGY120" s="65"/>
      <c r="DGZ120" s="65"/>
      <c r="DHA120" s="65"/>
      <c r="DHB120" s="65"/>
      <c r="DHC120" s="65"/>
      <c r="DHD120" s="65"/>
      <c r="DHE120" s="65"/>
      <c r="DHF120" s="65"/>
      <c r="DHG120" s="65"/>
      <c r="DHH120" s="65"/>
      <c r="DHI120" s="65"/>
      <c r="DHJ120" s="65"/>
      <c r="DHK120" s="65"/>
      <c r="DHL120" s="65"/>
      <c r="DHM120" s="65"/>
      <c r="DHN120" s="65"/>
      <c r="DHO120" s="65"/>
      <c r="DHP120" s="65"/>
      <c r="DHQ120" s="65"/>
      <c r="DHR120" s="65"/>
      <c r="DHS120" s="65"/>
      <c r="DHT120" s="65"/>
      <c r="DHU120" s="65"/>
      <c r="DHV120" s="65"/>
      <c r="DHW120" s="65"/>
      <c r="DHX120" s="65"/>
      <c r="DHY120" s="65"/>
      <c r="DHZ120" s="65"/>
      <c r="DIA120" s="65"/>
      <c r="DIB120" s="65"/>
      <c r="DIC120" s="65"/>
      <c r="DID120" s="65"/>
      <c r="DIE120" s="65"/>
      <c r="DIF120" s="65"/>
      <c r="DIG120" s="65"/>
      <c r="DIH120" s="65"/>
      <c r="DII120" s="65"/>
      <c r="DIJ120" s="65"/>
      <c r="DIK120" s="65"/>
      <c r="DIL120" s="65"/>
      <c r="DIM120" s="65"/>
      <c r="DIN120" s="65"/>
      <c r="DIO120" s="65"/>
      <c r="DIP120" s="65"/>
      <c r="DIQ120" s="65"/>
      <c r="DIR120" s="65"/>
      <c r="DIS120" s="65"/>
      <c r="DIT120" s="65"/>
      <c r="DIU120" s="65"/>
      <c r="DIV120" s="65"/>
      <c r="DIW120" s="65"/>
      <c r="DIX120" s="65"/>
      <c r="DIY120" s="65"/>
      <c r="DIZ120" s="65"/>
      <c r="DJA120" s="65"/>
      <c r="DJB120" s="65"/>
      <c r="DJC120" s="65"/>
      <c r="DJD120" s="65"/>
      <c r="DJE120" s="65"/>
      <c r="DJF120" s="65"/>
      <c r="DJG120" s="65"/>
      <c r="DJH120" s="65"/>
      <c r="DJI120" s="65"/>
      <c r="DJJ120" s="65"/>
      <c r="DJK120" s="65"/>
      <c r="DJL120" s="65"/>
      <c r="DJM120" s="65"/>
      <c r="DJN120" s="65"/>
      <c r="DJO120" s="65"/>
      <c r="DJP120" s="65"/>
      <c r="DJQ120" s="65"/>
      <c r="DJR120" s="65"/>
      <c r="DJS120" s="65"/>
      <c r="DJT120" s="65"/>
      <c r="DJU120" s="65"/>
      <c r="DJV120" s="65"/>
      <c r="DJW120" s="65"/>
      <c r="DJX120" s="65"/>
      <c r="DJY120" s="65"/>
      <c r="DJZ120" s="65"/>
      <c r="DKA120" s="65"/>
      <c r="DKB120" s="65"/>
      <c r="DKC120" s="65"/>
      <c r="DKD120" s="65"/>
      <c r="DKE120" s="65"/>
      <c r="DKF120" s="65"/>
      <c r="DKG120" s="65"/>
      <c r="DKH120" s="65"/>
      <c r="DKI120" s="65"/>
      <c r="DKJ120" s="65"/>
      <c r="DKK120" s="65"/>
      <c r="DKL120" s="65"/>
      <c r="DKM120" s="65"/>
      <c r="DKN120" s="65"/>
      <c r="DKO120" s="65"/>
      <c r="DKP120" s="65"/>
      <c r="DKQ120" s="65"/>
      <c r="DKR120" s="65"/>
      <c r="DKS120" s="65"/>
      <c r="DKT120" s="65"/>
      <c r="DKU120" s="65"/>
      <c r="DKV120" s="65"/>
      <c r="DKW120" s="65"/>
      <c r="DKX120" s="65"/>
      <c r="DKY120" s="65"/>
      <c r="DKZ120" s="65"/>
      <c r="DLA120" s="65"/>
      <c r="DLB120" s="65"/>
      <c r="DLC120" s="65"/>
      <c r="DLD120" s="65"/>
      <c r="DLE120" s="65"/>
      <c r="DLF120" s="65"/>
      <c r="DLG120" s="65"/>
      <c r="DLH120" s="65"/>
      <c r="DLI120" s="65"/>
      <c r="DLJ120" s="65"/>
      <c r="DLK120" s="65"/>
      <c r="DLL120" s="65"/>
      <c r="DLM120" s="65"/>
      <c r="DLN120" s="65"/>
      <c r="DLO120" s="65"/>
      <c r="DLP120" s="65"/>
      <c r="DLQ120" s="65"/>
      <c r="DLR120" s="65"/>
      <c r="DLS120" s="65"/>
      <c r="DLT120" s="65"/>
      <c r="DLU120" s="65"/>
      <c r="DLV120" s="65"/>
      <c r="DLW120" s="65"/>
      <c r="DLX120" s="65"/>
      <c r="DLY120" s="65"/>
      <c r="DLZ120" s="65"/>
      <c r="DMA120" s="65"/>
      <c r="DMB120" s="65"/>
      <c r="DMC120" s="65"/>
      <c r="DMD120" s="65"/>
      <c r="DME120" s="65"/>
      <c r="DMF120" s="65"/>
      <c r="DMG120" s="65"/>
      <c r="DMH120" s="65"/>
      <c r="DMI120" s="65"/>
      <c r="DMJ120" s="65"/>
      <c r="DMK120" s="65"/>
      <c r="DML120" s="65"/>
      <c r="DMM120" s="65"/>
      <c r="DMN120" s="65"/>
      <c r="DMO120" s="65"/>
      <c r="DMP120" s="65"/>
      <c r="DMQ120" s="65"/>
      <c r="DMR120" s="65"/>
      <c r="DMS120" s="65"/>
      <c r="DMT120" s="65"/>
      <c r="DMU120" s="65"/>
      <c r="DMV120" s="65"/>
      <c r="DMW120" s="65"/>
      <c r="DMX120" s="65"/>
      <c r="DMY120" s="65"/>
      <c r="DMZ120" s="65"/>
      <c r="DNA120" s="65"/>
      <c r="DNB120" s="65"/>
      <c r="DNC120" s="65"/>
      <c r="DND120" s="65"/>
      <c r="DNE120" s="65"/>
      <c r="DNF120" s="65"/>
      <c r="DNG120" s="65"/>
      <c r="DNH120" s="65"/>
      <c r="DNI120" s="65"/>
      <c r="DNJ120" s="65"/>
      <c r="DNK120" s="65"/>
      <c r="DNL120" s="65"/>
      <c r="DNM120" s="65"/>
      <c r="DNN120" s="65"/>
      <c r="DNO120" s="65"/>
      <c r="DNP120" s="65"/>
      <c r="DNQ120" s="65"/>
      <c r="DNR120" s="65"/>
      <c r="DNS120" s="65"/>
      <c r="DNT120" s="65"/>
      <c r="DNU120" s="65"/>
      <c r="DNV120" s="65"/>
      <c r="DNW120" s="65"/>
      <c r="DNX120" s="65"/>
      <c r="DNY120" s="65"/>
      <c r="DNZ120" s="65"/>
      <c r="DOA120" s="65"/>
      <c r="DOB120" s="65"/>
      <c r="DOC120" s="65"/>
      <c r="DOD120" s="65"/>
      <c r="DOE120" s="65"/>
      <c r="DOF120" s="65"/>
      <c r="DOG120" s="65"/>
      <c r="DOH120" s="65"/>
      <c r="DOI120" s="65"/>
      <c r="DOJ120" s="65"/>
      <c r="DOK120" s="65"/>
      <c r="DOL120" s="65"/>
      <c r="DOM120" s="65"/>
      <c r="DON120" s="65"/>
      <c r="DOO120" s="65"/>
      <c r="DOP120" s="65"/>
      <c r="DOQ120" s="65"/>
      <c r="DOR120" s="65"/>
      <c r="DOS120" s="65"/>
      <c r="DOT120" s="65"/>
      <c r="DOU120" s="65"/>
      <c r="DOV120" s="65"/>
      <c r="DOW120" s="65"/>
      <c r="DOX120" s="65"/>
      <c r="DOY120" s="65"/>
      <c r="DOZ120" s="65"/>
      <c r="DPA120" s="65"/>
      <c r="DPB120" s="65"/>
      <c r="DPC120" s="65"/>
      <c r="DPD120" s="65"/>
      <c r="DPE120" s="65"/>
      <c r="DPF120" s="65"/>
      <c r="DPG120" s="65"/>
      <c r="DPH120" s="65"/>
      <c r="DPI120" s="65"/>
      <c r="DPJ120" s="65"/>
      <c r="DPK120" s="65"/>
      <c r="DPL120" s="65"/>
      <c r="DPM120" s="65"/>
      <c r="DPN120" s="65"/>
      <c r="DPO120" s="65"/>
      <c r="DPP120" s="65"/>
      <c r="DPQ120" s="65"/>
      <c r="DPR120" s="65"/>
      <c r="DPS120" s="65"/>
      <c r="DPT120" s="65"/>
      <c r="DPU120" s="65"/>
      <c r="DPV120" s="65"/>
      <c r="DPW120" s="65"/>
      <c r="DPX120" s="65"/>
      <c r="DPY120" s="65"/>
      <c r="DPZ120" s="65"/>
      <c r="DQA120" s="65"/>
      <c r="DQB120" s="65"/>
      <c r="DQC120" s="65"/>
      <c r="DQD120" s="65"/>
      <c r="DQE120" s="65"/>
      <c r="DQF120" s="65"/>
      <c r="DQG120" s="65"/>
      <c r="DQH120" s="65"/>
      <c r="DQI120" s="65"/>
      <c r="DQJ120" s="65"/>
      <c r="DQK120" s="65"/>
      <c r="DQL120" s="65"/>
      <c r="DQM120" s="65"/>
      <c r="DQN120" s="65"/>
      <c r="DQO120" s="65"/>
      <c r="DQP120" s="65"/>
      <c r="DQQ120" s="65"/>
      <c r="DQR120" s="65"/>
      <c r="DQS120" s="65"/>
      <c r="DQT120" s="65"/>
      <c r="DQU120" s="65"/>
      <c r="DQV120" s="65"/>
      <c r="DQW120" s="65"/>
      <c r="DQX120" s="65"/>
      <c r="DQY120" s="65"/>
      <c r="DQZ120" s="65"/>
      <c r="DRA120" s="65"/>
      <c r="DRB120" s="65"/>
      <c r="DRC120" s="65"/>
      <c r="DRD120" s="65"/>
      <c r="DRE120" s="65"/>
      <c r="DRF120" s="65"/>
      <c r="DRG120" s="65"/>
      <c r="DRH120" s="65"/>
      <c r="DRI120" s="65"/>
      <c r="DRJ120" s="65"/>
      <c r="DRK120" s="65"/>
      <c r="DRL120" s="65"/>
      <c r="DRM120" s="65"/>
      <c r="DRN120" s="65"/>
      <c r="DRO120" s="65"/>
      <c r="DRP120" s="65"/>
      <c r="DRQ120" s="65"/>
      <c r="DRR120" s="65"/>
      <c r="DRS120" s="65"/>
      <c r="DRT120" s="65"/>
      <c r="DRU120" s="65"/>
      <c r="DRV120" s="65"/>
      <c r="DRW120" s="65"/>
      <c r="DRX120" s="65"/>
      <c r="DRY120" s="65"/>
      <c r="DRZ120" s="65"/>
      <c r="DSA120" s="65"/>
      <c r="DSB120" s="65"/>
      <c r="DSC120" s="65"/>
      <c r="DSD120" s="65"/>
      <c r="DSE120" s="65"/>
      <c r="DSF120" s="65"/>
      <c r="DSG120" s="65"/>
      <c r="DSH120" s="65"/>
      <c r="DSI120" s="65"/>
      <c r="DSJ120" s="65"/>
      <c r="DSK120" s="65"/>
      <c r="DSL120" s="65"/>
      <c r="DSM120" s="65"/>
      <c r="DSN120" s="65"/>
      <c r="DSO120" s="65"/>
      <c r="DSP120" s="65"/>
      <c r="DSQ120" s="65"/>
      <c r="DSR120" s="65"/>
      <c r="DSS120" s="65"/>
      <c r="DST120" s="65"/>
      <c r="DSU120" s="65"/>
      <c r="DSV120" s="65"/>
      <c r="DSW120" s="65"/>
      <c r="DSX120" s="65"/>
      <c r="DSY120" s="65"/>
      <c r="DSZ120" s="65"/>
      <c r="DTA120" s="65"/>
      <c r="DTB120" s="65"/>
      <c r="DTC120" s="65"/>
      <c r="DTD120" s="65"/>
      <c r="DTE120" s="65"/>
      <c r="DTF120" s="65"/>
      <c r="DTG120" s="65"/>
      <c r="DTH120" s="65"/>
      <c r="DTI120" s="65"/>
      <c r="DTJ120" s="65"/>
      <c r="DTK120" s="65"/>
      <c r="DTL120" s="65"/>
      <c r="DTM120" s="65"/>
      <c r="DTN120" s="65"/>
      <c r="DTO120" s="65"/>
      <c r="DTP120" s="65"/>
      <c r="DTQ120" s="65"/>
      <c r="DTR120" s="65"/>
      <c r="DTS120" s="65"/>
      <c r="DTT120" s="65"/>
      <c r="DTU120" s="65"/>
      <c r="DTV120" s="65"/>
      <c r="DTW120" s="65"/>
      <c r="DTX120" s="65"/>
      <c r="DTY120" s="65"/>
      <c r="DTZ120" s="65"/>
      <c r="DUA120" s="65"/>
      <c r="DUB120" s="65"/>
      <c r="DUC120" s="65"/>
      <c r="DUD120" s="65"/>
      <c r="DUE120" s="65"/>
      <c r="DUF120" s="65"/>
      <c r="DUG120" s="65"/>
      <c r="DUH120" s="65"/>
      <c r="DUI120" s="65"/>
      <c r="DUJ120" s="65"/>
      <c r="DUK120" s="65"/>
      <c r="DUL120" s="65"/>
      <c r="DUM120" s="65"/>
      <c r="DUN120" s="65"/>
      <c r="DUO120" s="65"/>
      <c r="DUP120" s="65"/>
      <c r="DUQ120" s="65"/>
      <c r="DUR120" s="65"/>
      <c r="DUS120" s="65"/>
      <c r="DUT120" s="65"/>
      <c r="DUU120" s="65"/>
      <c r="DUV120" s="65"/>
      <c r="DUW120" s="65"/>
      <c r="DUX120" s="65"/>
      <c r="DUY120" s="65"/>
      <c r="DUZ120" s="65"/>
      <c r="DVA120" s="65"/>
      <c r="DVB120" s="65"/>
      <c r="DVC120" s="65"/>
      <c r="DVD120" s="65"/>
      <c r="DVE120" s="65"/>
      <c r="DVF120" s="65"/>
      <c r="DVG120" s="65"/>
      <c r="DVH120" s="65"/>
      <c r="DVI120" s="65"/>
      <c r="DVJ120" s="65"/>
      <c r="DVK120" s="65"/>
      <c r="DVL120" s="65"/>
      <c r="DVM120" s="65"/>
      <c r="DVN120" s="65"/>
      <c r="DVO120" s="65"/>
      <c r="DVP120" s="65"/>
      <c r="DVQ120" s="65"/>
      <c r="DVR120" s="65"/>
      <c r="DVS120" s="65"/>
      <c r="DVT120" s="65"/>
      <c r="DVU120" s="65"/>
      <c r="DVV120" s="65"/>
      <c r="DVW120" s="65"/>
      <c r="DVX120" s="65"/>
      <c r="DVY120" s="65"/>
      <c r="DVZ120" s="65"/>
      <c r="DWA120" s="65"/>
      <c r="DWB120" s="65"/>
      <c r="DWC120" s="65"/>
      <c r="DWD120" s="65"/>
      <c r="DWE120" s="65"/>
      <c r="DWF120" s="65"/>
      <c r="DWG120" s="65"/>
      <c r="DWH120" s="65"/>
      <c r="DWI120" s="65"/>
      <c r="DWJ120" s="65"/>
      <c r="DWK120" s="65"/>
      <c r="DWL120" s="65"/>
      <c r="DWM120" s="65"/>
      <c r="DWN120" s="65"/>
      <c r="DWO120" s="65"/>
      <c r="DWP120" s="65"/>
      <c r="DWQ120" s="65"/>
      <c r="DWR120" s="65"/>
      <c r="DWS120" s="65"/>
      <c r="DWT120" s="65"/>
      <c r="DWU120" s="65"/>
      <c r="DWV120" s="65"/>
      <c r="DWW120" s="65"/>
      <c r="DWX120" s="65"/>
      <c r="DWY120" s="65"/>
      <c r="DWZ120" s="65"/>
      <c r="DXA120" s="65"/>
      <c r="DXB120" s="65"/>
      <c r="DXC120" s="65"/>
      <c r="DXD120" s="65"/>
      <c r="DXE120" s="65"/>
      <c r="DXF120" s="65"/>
      <c r="DXG120" s="65"/>
      <c r="DXH120" s="65"/>
      <c r="DXI120" s="65"/>
      <c r="DXJ120" s="65"/>
      <c r="DXK120" s="65"/>
      <c r="DXL120" s="65"/>
      <c r="DXM120" s="65"/>
      <c r="DXN120" s="65"/>
      <c r="DXO120" s="65"/>
      <c r="DXP120" s="65"/>
      <c r="DXQ120" s="65"/>
      <c r="DXR120" s="65"/>
      <c r="DXS120" s="65"/>
      <c r="DXT120" s="65"/>
      <c r="DXU120" s="65"/>
      <c r="DXV120" s="65"/>
      <c r="DXW120" s="65"/>
      <c r="DXX120" s="65"/>
      <c r="DXY120" s="65"/>
      <c r="DXZ120" s="65"/>
      <c r="DYA120" s="65"/>
      <c r="DYB120" s="65"/>
      <c r="DYC120" s="65"/>
      <c r="DYD120" s="65"/>
      <c r="DYE120" s="65"/>
      <c r="DYF120" s="65"/>
      <c r="DYG120" s="65"/>
      <c r="DYH120" s="65"/>
      <c r="DYI120" s="65"/>
      <c r="DYJ120" s="65"/>
      <c r="DYK120" s="65"/>
      <c r="DYL120" s="65"/>
      <c r="DYM120" s="65"/>
      <c r="DYN120" s="65"/>
      <c r="DYO120" s="65"/>
      <c r="DYP120" s="65"/>
      <c r="DYQ120" s="65"/>
      <c r="DYR120" s="65"/>
      <c r="DYS120" s="65"/>
      <c r="DYT120" s="65"/>
      <c r="DYU120" s="65"/>
      <c r="DYV120" s="65"/>
      <c r="DYW120" s="65"/>
      <c r="DYX120" s="65"/>
      <c r="DYY120" s="65"/>
      <c r="DYZ120" s="65"/>
      <c r="DZA120" s="65"/>
      <c r="DZB120" s="65"/>
      <c r="DZC120" s="65"/>
      <c r="DZD120" s="65"/>
      <c r="DZE120" s="65"/>
      <c r="DZF120" s="65"/>
      <c r="DZG120" s="65"/>
      <c r="DZH120" s="65"/>
      <c r="DZI120" s="65"/>
      <c r="DZJ120" s="65"/>
      <c r="DZK120" s="65"/>
      <c r="DZL120" s="65"/>
      <c r="DZM120" s="65"/>
      <c r="DZN120" s="65"/>
      <c r="DZO120" s="65"/>
      <c r="DZP120" s="65"/>
      <c r="DZQ120" s="65"/>
      <c r="DZR120" s="65"/>
      <c r="DZS120" s="65"/>
      <c r="DZT120" s="65"/>
      <c r="DZU120" s="65"/>
      <c r="DZV120" s="65"/>
      <c r="DZW120" s="65"/>
      <c r="DZX120" s="65"/>
      <c r="DZY120" s="65"/>
      <c r="DZZ120" s="65"/>
      <c r="EAA120" s="65"/>
      <c r="EAB120" s="65"/>
      <c r="EAC120" s="65"/>
      <c r="EAD120" s="65"/>
      <c r="EAE120" s="65"/>
      <c r="EAF120" s="65"/>
      <c r="EAG120" s="65"/>
      <c r="EAH120" s="65"/>
      <c r="EAI120" s="65"/>
      <c r="EAJ120" s="65"/>
      <c r="EAK120" s="65"/>
      <c r="EAL120" s="65"/>
      <c r="EAM120" s="65"/>
      <c r="EAN120" s="65"/>
      <c r="EAO120" s="65"/>
      <c r="EAP120" s="65"/>
      <c r="EAQ120" s="65"/>
      <c r="EAR120" s="65"/>
      <c r="EAS120" s="65"/>
      <c r="EAT120" s="65"/>
      <c r="EAU120" s="65"/>
      <c r="EAV120" s="65"/>
      <c r="EAW120" s="65"/>
      <c r="EAX120" s="65"/>
      <c r="EAY120" s="65"/>
      <c r="EAZ120" s="65"/>
      <c r="EBA120" s="65"/>
      <c r="EBB120" s="65"/>
      <c r="EBC120" s="65"/>
      <c r="EBD120" s="65"/>
      <c r="EBE120" s="65"/>
      <c r="EBF120" s="65"/>
      <c r="EBG120" s="65"/>
      <c r="EBH120" s="65"/>
      <c r="EBI120" s="65"/>
      <c r="EBJ120" s="65"/>
      <c r="EBK120" s="65"/>
      <c r="EBL120" s="65"/>
      <c r="EBM120" s="65"/>
      <c r="EBN120" s="65"/>
      <c r="EBO120" s="65"/>
      <c r="EBP120" s="65"/>
      <c r="EBQ120" s="65"/>
      <c r="EBR120" s="65"/>
      <c r="EBS120" s="65"/>
      <c r="EBT120" s="65"/>
      <c r="EBU120" s="65"/>
      <c r="EBV120" s="65"/>
      <c r="EBW120" s="65"/>
      <c r="EBX120" s="65"/>
      <c r="EBY120" s="65"/>
      <c r="EBZ120" s="65"/>
      <c r="ECA120" s="65"/>
      <c r="ECB120" s="65"/>
      <c r="ECC120" s="65"/>
      <c r="ECD120" s="65"/>
      <c r="ECE120" s="65"/>
      <c r="ECF120" s="65"/>
      <c r="ECG120" s="65"/>
      <c r="ECH120" s="65"/>
      <c r="ECI120" s="65"/>
      <c r="ECJ120" s="65"/>
      <c r="ECK120" s="65"/>
      <c r="ECL120" s="65"/>
      <c r="ECM120" s="65"/>
      <c r="ECN120" s="65"/>
      <c r="ECO120" s="65"/>
      <c r="ECP120" s="65"/>
      <c r="ECQ120" s="65"/>
      <c r="ECR120" s="65"/>
      <c r="ECS120" s="65"/>
      <c r="ECT120" s="65"/>
      <c r="ECU120" s="65"/>
      <c r="ECV120" s="65"/>
      <c r="ECW120" s="65"/>
      <c r="ECX120" s="65"/>
      <c r="ECY120" s="65"/>
      <c r="ECZ120" s="65"/>
      <c r="EDA120" s="65"/>
      <c r="EDB120" s="65"/>
      <c r="EDC120" s="65"/>
      <c r="EDD120" s="65"/>
      <c r="EDE120" s="65"/>
      <c r="EDF120" s="65"/>
      <c r="EDG120" s="65"/>
      <c r="EDH120" s="65"/>
      <c r="EDI120" s="65"/>
      <c r="EDJ120" s="65"/>
      <c r="EDK120" s="65"/>
      <c r="EDL120" s="65"/>
      <c r="EDM120" s="65"/>
      <c r="EDN120" s="65"/>
      <c r="EDO120" s="65"/>
      <c r="EDP120" s="65"/>
      <c r="EDQ120" s="65"/>
      <c r="EDR120" s="65"/>
      <c r="EDS120" s="65"/>
      <c r="EDT120" s="65"/>
      <c r="EDU120" s="65"/>
      <c r="EDV120" s="65"/>
      <c r="EDW120" s="65"/>
      <c r="EDX120" s="65"/>
      <c r="EDY120" s="65"/>
      <c r="EDZ120" s="65"/>
      <c r="EEA120" s="65"/>
      <c r="EEB120" s="65"/>
      <c r="EEC120" s="65"/>
      <c r="EED120" s="65"/>
      <c r="EEE120" s="65"/>
      <c r="EEF120" s="65"/>
      <c r="EEG120" s="65"/>
      <c r="EEH120" s="65"/>
      <c r="EEI120" s="65"/>
      <c r="EEJ120" s="65"/>
      <c r="EEK120" s="65"/>
      <c r="EEL120" s="65"/>
      <c r="EEM120" s="65"/>
      <c r="EEN120" s="65"/>
      <c r="EEO120" s="65"/>
      <c r="EEP120" s="65"/>
      <c r="EEQ120" s="65"/>
      <c r="EER120" s="65"/>
      <c r="EES120" s="65"/>
      <c r="EET120" s="65"/>
      <c r="EEU120" s="65"/>
      <c r="EEV120" s="65"/>
      <c r="EEW120" s="65"/>
      <c r="EEX120" s="65"/>
      <c r="EEY120" s="65"/>
      <c r="EEZ120" s="65"/>
      <c r="EFA120" s="65"/>
      <c r="EFB120" s="65"/>
      <c r="EFC120" s="65"/>
      <c r="EFD120" s="65"/>
      <c r="EFE120" s="65"/>
      <c r="EFF120" s="65"/>
      <c r="EFG120" s="65"/>
      <c r="EFH120" s="65"/>
      <c r="EFI120" s="65"/>
      <c r="EFJ120" s="65"/>
      <c r="EFK120" s="65"/>
      <c r="EFL120" s="65"/>
      <c r="EFM120" s="65"/>
      <c r="EFN120" s="65"/>
      <c r="EFO120" s="65"/>
      <c r="EFP120" s="65"/>
      <c r="EFQ120" s="65"/>
      <c r="EFR120" s="65"/>
      <c r="EFS120" s="65"/>
      <c r="EFT120" s="65"/>
      <c r="EFU120" s="65"/>
      <c r="EFV120" s="65"/>
      <c r="EFW120" s="65"/>
      <c r="EFX120" s="65"/>
      <c r="EFY120" s="65"/>
      <c r="EFZ120" s="65"/>
      <c r="EGA120" s="65"/>
      <c r="EGB120" s="65"/>
      <c r="EGC120" s="65"/>
      <c r="EGD120" s="65"/>
      <c r="EGE120" s="65"/>
      <c r="EGF120" s="65"/>
      <c r="EGG120" s="65"/>
      <c r="EGH120" s="65"/>
      <c r="EGI120" s="65"/>
      <c r="EGJ120" s="65"/>
      <c r="EGK120" s="65"/>
      <c r="EGL120" s="65"/>
      <c r="EGM120" s="65"/>
      <c r="EGN120" s="65"/>
      <c r="EGO120" s="65"/>
      <c r="EGP120" s="65"/>
      <c r="EGQ120" s="65"/>
      <c r="EGR120" s="65"/>
      <c r="EGS120" s="65"/>
      <c r="EGT120" s="65"/>
      <c r="EGU120" s="65"/>
      <c r="EGV120" s="65"/>
      <c r="EGW120" s="65"/>
      <c r="EGX120" s="65"/>
      <c r="EGY120" s="65"/>
      <c r="EGZ120" s="65"/>
      <c r="EHA120" s="65"/>
      <c r="EHB120" s="65"/>
      <c r="EHC120" s="65"/>
      <c r="EHD120" s="65"/>
      <c r="EHE120" s="65"/>
      <c r="EHF120" s="65"/>
      <c r="EHG120" s="65"/>
      <c r="EHH120" s="65"/>
      <c r="EHI120" s="65"/>
      <c r="EHJ120" s="65"/>
      <c r="EHK120" s="65"/>
      <c r="EHL120" s="65"/>
      <c r="EHM120" s="65"/>
      <c r="EHN120" s="65"/>
      <c r="EHO120" s="65"/>
      <c r="EHP120" s="65"/>
      <c r="EHQ120" s="65"/>
      <c r="EHR120" s="65"/>
      <c r="EHS120" s="65"/>
      <c r="EHT120" s="65"/>
      <c r="EHU120" s="65"/>
      <c r="EHV120" s="65"/>
      <c r="EHW120" s="65"/>
      <c r="EHX120" s="65"/>
      <c r="EHY120" s="65"/>
      <c r="EHZ120" s="65"/>
      <c r="EIA120" s="65"/>
      <c r="EIB120" s="65"/>
      <c r="EIC120" s="65"/>
      <c r="EID120" s="65"/>
      <c r="EIE120" s="65"/>
      <c r="EIF120" s="65"/>
      <c r="EIG120" s="65"/>
      <c r="EIH120" s="65"/>
      <c r="EII120" s="65"/>
      <c r="EIJ120" s="65"/>
      <c r="EIK120" s="65"/>
      <c r="EIL120" s="65"/>
      <c r="EIM120" s="65"/>
      <c r="EIN120" s="65"/>
      <c r="EIO120" s="65"/>
      <c r="EIP120" s="65"/>
      <c r="EIQ120" s="65"/>
      <c r="EIR120" s="65"/>
      <c r="EIS120" s="65"/>
      <c r="EIT120" s="65"/>
      <c r="EIU120" s="65"/>
      <c r="EIV120" s="65"/>
      <c r="EIW120" s="65"/>
      <c r="EIX120" s="65"/>
      <c r="EIY120" s="65"/>
      <c r="EIZ120" s="65"/>
      <c r="EJA120" s="65"/>
      <c r="EJB120" s="65"/>
      <c r="EJC120" s="65"/>
      <c r="EJD120" s="65"/>
      <c r="EJE120" s="65"/>
      <c r="EJF120" s="65"/>
      <c r="EJG120" s="65"/>
      <c r="EJH120" s="65"/>
      <c r="EJI120" s="65"/>
      <c r="EJJ120" s="65"/>
      <c r="EJK120" s="65"/>
      <c r="EJL120" s="65"/>
      <c r="EJM120" s="65"/>
      <c r="EJN120" s="65"/>
      <c r="EJO120" s="65"/>
      <c r="EJP120" s="65"/>
      <c r="EJQ120" s="65"/>
      <c r="EJR120" s="65"/>
      <c r="EJS120" s="65"/>
      <c r="EJT120" s="65"/>
      <c r="EJU120" s="65"/>
      <c r="EJV120" s="65"/>
      <c r="EJW120" s="65"/>
      <c r="EJX120" s="65"/>
      <c r="EJY120" s="65"/>
      <c r="EJZ120" s="65"/>
      <c r="EKA120" s="65"/>
      <c r="EKB120" s="65"/>
      <c r="EKC120" s="65"/>
      <c r="EKD120" s="65"/>
      <c r="EKE120" s="65"/>
      <c r="EKF120" s="65"/>
      <c r="EKG120" s="65"/>
      <c r="EKH120" s="65"/>
      <c r="EKI120" s="65"/>
      <c r="EKJ120" s="65"/>
      <c r="EKK120" s="65"/>
      <c r="EKL120" s="65"/>
      <c r="EKM120" s="65"/>
      <c r="EKN120" s="65"/>
      <c r="EKO120" s="65"/>
      <c r="EKP120" s="65"/>
      <c r="EKQ120" s="65"/>
      <c r="EKR120" s="65"/>
      <c r="EKS120" s="65"/>
      <c r="EKT120" s="65"/>
      <c r="EKU120" s="65"/>
      <c r="EKV120" s="65"/>
      <c r="EKW120" s="65"/>
      <c r="EKX120" s="65"/>
      <c r="EKY120" s="65"/>
      <c r="EKZ120" s="65"/>
      <c r="ELA120" s="65"/>
      <c r="ELB120" s="65"/>
      <c r="ELC120" s="65"/>
      <c r="ELD120" s="65"/>
      <c r="ELE120" s="65"/>
      <c r="ELF120" s="65"/>
      <c r="ELG120" s="65"/>
      <c r="ELH120" s="65"/>
      <c r="ELI120" s="65"/>
      <c r="ELJ120" s="65"/>
      <c r="ELK120" s="65"/>
      <c r="ELL120" s="65"/>
      <c r="ELM120" s="65"/>
      <c r="ELN120" s="65"/>
      <c r="ELO120" s="65"/>
      <c r="ELP120" s="65"/>
      <c r="ELQ120" s="65"/>
      <c r="ELR120" s="65"/>
      <c r="ELS120" s="65"/>
      <c r="ELT120" s="65"/>
      <c r="ELU120" s="65"/>
      <c r="ELV120" s="65"/>
      <c r="ELW120" s="65"/>
      <c r="ELX120" s="65"/>
      <c r="ELY120" s="65"/>
      <c r="ELZ120" s="65"/>
      <c r="EMA120" s="65"/>
      <c r="EMB120" s="65"/>
      <c r="EMC120" s="65"/>
      <c r="EMD120" s="65"/>
      <c r="EME120" s="65"/>
      <c r="EMF120" s="65"/>
      <c r="EMG120" s="65"/>
      <c r="EMH120" s="65"/>
      <c r="EMI120" s="65"/>
      <c r="EMJ120" s="65"/>
      <c r="EMK120" s="65"/>
      <c r="EML120" s="65"/>
      <c r="EMM120" s="65"/>
      <c r="EMN120" s="65"/>
      <c r="EMO120" s="65"/>
      <c r="EMP120" s="65"/>
      <c r="EMQ120" s="65"/>
      <c r="EMR120" s="65"/>
      <c r="EMS120" s="65"/>
      <c r="EMT120" s="65"/>
      <c r="EMU120" s="65"/>
      <c r="EMV120" s="65"/>
      <c r="EMW120" s="65"/>
      <c r="EMX120" s="65"/>
      <c r="EMY120" s="65"/>
      <c r="EMZ120" s="65"/>
      <c r="ENA120" s="65"/>
      <c r="ENB120" s="65"/>
      <c r="ENC120" s="65"/>
      <c r="END120" s="65"/>
      <c r="ENE120" s="65"/>
      <c r="ENF120" s="65"/>
      <c r="ENG120" s="65"/>
      <c r="ENH120" s="65"/>
      <c r="ENI120" s="65"/>
      <c r="ENJ120" s="65"/>
      <c r="ENK120" s="65"/>
      <c r="ENL120" s="65"/>
      <c r="ENM120" s="65"/>
      <c r="ENN120" s="65"/>
      <c r="ENO120" s="65"/>
      <c r="ENP120" s="65"/>
      <c r="ENQ120" s="65"/>
      <c r="ENR120" s="65"/>
      <c r="ENS120" s="65"/>
      <c r="ENT120" s="65"/>
      <c r="ENU120" s="65"/>
      <c r="ENV120" s="65"/>
      <c r="ENW120" s="65"/>
      <c r="ENX120" s="65"/>
      <c r="ENY120" s="65"/>
      <c r="ENZ120" s="65"/>
      <c r="EOA120" s="65"/>
      <c r="EOB120" s="65"/>
      <c r="EOC120" s="65"/>
      <c r="EOD120" s="65"/>
      <c r="EOE120" s="65"/>
      <c r="EOF120" s="65"/>
      <c r="EOG120" s="65"/>
      <c r="EOH120" s="65"/>
      <c r="EOI120" s="65"/>
      <c r="EOJ120" s="65"/>
      <c r="EOK120" s="65"/>
      <c r="EOL120" s="65"/>
      <c r="EOM120" s="65"/>
      <c r="EON120" s="65"/>
      <c r="EOO120" s="65"/>
      <c r="EOP120" s="65"/>
      <c r="EOQ120" s="65"/>
      <c r="EOR120" s="65"/>
      <c r="EOS120" s="65"/>
      <c r="EOT120" s="65"/>
      <c r="EOU120" s="65"/>
      <c r="EOV120" s="65"/>
      <c r="EOW120" s="65"/>
      <c r="EOX120" s="65"/>
      <c r="EOY120" s="65"/>
      <c r="EOZ120" s="65"/>
      <c r="EPA120" s="65"/>
      <c r="EPB120" s="65"/>
      <c r="EPC120" s="65"/>
      <c r="EPD120" s="65"/>
      <c r="EPE120" s="65"/>
      <c r="EPF120" s="65"/>
      <c r="EPG120" s="65"/>
      <c r="EPH120" s="65"/>
      <c r="EPI120" s="65"/>
      <c r="EPJ120" s="65"/>
      <c r="EPK120" s="65"/>
      <c r="EPL120" s="65"/>
      <c r="EPM120" s="65"/>
      <c r="EPN120" s="65"/>
      <c r="EPO120" s="65"/>
      <c r="EPP120" s="65"/>
      <c r="EPQ120" s="65"/>
      <c r="EPR120" s="65"/>
      <c r="EPS120" s="65"/>
      <c r="EPT120" s="65"/>
      <c r="EPU120" s="65"/>
      <c r="EPV120" s="65"/>
      <c r="EPW120" s="65"/>
      <c r="EPX120" s="65"/>
      <c r="EPY120" s="65"/>
      <c r="EPZ120" s="65"/>
      <c r="EQA120" s="65"/>
      <c r="EQB120" s="65"/>
      <c r="EQC120" s="65"/>
      <c r="EQD120" s="65"/>
      <c r="EQE120" s="65"/>
      <c r="EQF120" s="65"/>
      <c r="EQG120" s="65"/>
      <c r="EQH120" s="65"/>
      <c r="EQI120" s="65"/>
      <c r="EQJ120" s="65"/>
      <c r="EQK120" s="65"/>
      <c r="EQL120" s="65"/>
      <c r="EQM120" s="65"/>
      <c r="EQN120" s="65"/>
      <c r="EQO120" s="65"/>
      <c r="EQP120" s="65"/>
      <c r="EQQ120" s="65"/>
      <c r="EQR120" s="65"/>
      <c r="EQS120" s="65"/>
      <c r="EQT120" s="65"/>
      <c r="EQU120" s="65"/>
      <c r="EQV120" s="65"/>
      <c r="EQW120" s="65"/>
      <c r="EQX120" s="65"/>
      <c r="EQY120" s="65"/>
      <c r="EQZ120" s="65"/>
      <c r="ERA120" s="65"/>
      <c r="ERB120" s="65"/>
      <c r="ERC120" s="65"/>
      <c r="ERD120" s="65"/>
      <c r="ERE120" s="65"/>
      <c r="ERF120" s="65"/>
      <c r="ERG120" s="65"/>
      <c r="ERH120" s="65"/>
      <c r="ERI120" s="65"/>
      <c r="ERJ120" s="65"/>
      <c r="ERK120" s="65"/>
      <c r="ERL120" s="65"/>
      <c r="ERM120" s="65"/>
      <c r="ERN120" s="65"/>
      <c r="ERO120" s="65"/>
      <c r="ERP120" s="65"/>
      <c r="ERQ120" s="65"/>
      <c r="ERR120" s="65"/>
      <c r="ERS120" s="65"/>
      <c r="ERT120" s="65"/>
      <c r="ERU120" s="65"/>
      <c r="ERV120" s="65"/>
      <c r="ERW120" s="65"/>
      <c r="ERX120" s="65"/>
      <c r="ERY120" s="65"/>
      <c r="ERZ120" s="65"/>
      <c r="ESA120" s="65"/>
      <c r="ESB120" s="65"/>
      <c r="ESC120" s="65"/>
      <c r="ESD120" s="65"/>
      <c r="ESE120" s="65"/>
      <c r="ESF120" s="65"/>
      <c r="ESG120" s="65"/>
      <c r="ESH120" s="65"/>
      <c r="ESI120" s="65"/>
      <c r="ESJ120" s="65"/>
      <c r="ESK120" s="65"/>
      <c r="ESL120" s="65"/>
      <c r="ESM120" s="65"/>
      <c r="ESN120" s="65"/>
      <c r="ESO120" s="65"/>
      <c r="ESP120" s="65"/>
      <c r="ESQ120" s="65"/>
      <c r="ESR120" s="65"/>
      <c r="ESS120" s="65"/>
      <c r="EST120" s="65"/>
      <c r="ESU120" s="65"/>
      <c r="ESV120" s="65"/>
      <c r="ESW120" s="65"/>
      <c r="ESX120" s="65"/>
      <c r="ESY120" s="65"/>
      <c r="ESZ120" s="65"/>
      <c r="ETA120" s="65"/>
      <c r="ETB120" s="65"/>
      <c r="ETC120" s="65"/>
      <c r="ETD120" s="65"/>
      <c r="ETE120" s="65"/>
      <c r="ETF120" s="65"/>
      <c r="ETG120" s="65"/>
      <c r="ETH120" s="65"/>
      <c r="ETI120" s="65"/>
      <c r="ETJ120" s="65"/>
      <c r="ETK120" s="65"/>
      <c r="ETL120" s="65"/>
      <c r="ETM120" s="65"/>
      <c r="ETN120" s="65"/>
      <c r="ETO120" s="65"/>
      <c r="ETP120" s="65"/>
      <c r="ETQ120" s="65"/>
      <c r="ETR120" s="65"/>
      <c r="ETS120" s="65"/>
      <c r="ETT120" s="65"/>
      <c r="ETU120" s="65"/>
      <c r="ETV120" s="65"/>
      <c r="ETW120" s="65"/>
      <c r="ETX120" s="65"/>
      <c r="ETY120" s="65"/>
      <c r="ETZ120" s="65"/>
      <c r="EUA120" s="65"/>
      <c r="EUB120" s="65"/>
      <c r="EUC120" s="65"/>
      <c r="EUD120" s="65"/>
      <c r="EUE120" s="65"/>
      <c r="EUF120" s="65"/>
      <c r="EUG120" s="65"/>
      <c r="EUH120" s="65"/>
      <c r="EUI120" s="65"/>
      <c r="EUJ120" s="65"/>
      <c r="EUK120" s="65"/>
      <c r="EUL120" s="65"/>
      <c r="EUM120" s="65"/>
      <c r="EUN120" s="65"/>
      <c r="EUO120" s="65"/>
      <c r="EUP120" s="65"/>
      <c r="EUQ120" s="65"/>
      <c r="EUR120" s="65"/>
      <c r="EUS120" s="65"/>
      <c r="EUT120" s="65"/>
      <c r="EUU120" s="65"/>
      <c r="EUV120" s="65"/>
      <c r="EUW120" s="65"/>
      <c r="EUX120" s="65"/>
      <c r="EUY120" s="65"/>
      <c r="EUZ120" s="65"/>
      <c r="EVA120" s="65"/>
      <c r="EVB120" s="65"/>
      <c r="EVC120" s="65"/>
      <c r="EVD120" s="65"/>
      <c r="EVE120" s="65"/>
      <c r="EVF120" s="65"/>
      <c r="EVG120" s="65"/>
      <c r="EVH120" s="65"/>
      <c r="EVI120" s="65"/>
      <c r="EVJ120" s="65"/>
      <c r="EVK120" s="65"/>
      <c r="EVL120" s="65"/>
      <c r="EVM120" s="65"/>
      <c r="EVN120" s="65"/>
      <c r="EVO120" s="65"/>
      <c r="EVP120" s="65"/>
      <c r="EVQ120" s="65"/>
      <c r="EVR120" s="65"/>
      <c r="EVS120" s="65"/>
      <c r="EVT120" s="65"/>
      <c r="EVU120" s="65"/>
      <c r="EVV120" s="65"/>
      <c r="EVW120" s="65"/>
      <c r="EVX120" s="65"/>
      <c r="EVY120" s="65"/>
      <c r="EVZ120" s="65"/>
      <c r="EWA120" s="65"/>
      <c r="EWB120" s="65"/>
      <c r="EWC120" s="65"/>
      <c r="EWD120" s="65"/>
      <c r="EWE120" s="65"/>
      <c r="EWF120" s="65"/>
      <c r="EWG120" s="65"/>
      <c r="EWH120" s="65"/>
      <c r="EWI120" s="65"/>
      <c r="EWJ120" s="65"/>
      <c r="EWK120" s="65"/>
      <c r="EWL120" s="65"/>
      <c r="EWM120" s="65"/>
      <c r="EWN120" s="65"/>
      <c r="EWO120" s="65"/>
      <c r="EWP120" s="65"/>
      <c r="EWQ120" s="65"/>
      <c r="EWR120" s="65"/>
      <c r="EWS120" s="65"/>
      <c r="EWT120" s="65"/>
      <c r="EWU120" s="65"/>
      <c r="EWV120" s="65"/>
      <c r="EWW120" s="65"/>
      <c r="EWX120" s="65"/>
      <c r="EWY120" s="65"/>
      <c r="EWZ120" s="65"/>
      <c r="EXA120" s="65"/>
      <c r="EXB120" s="65"/>
      <c r="EXC120" s="65"/>
      <c r="EXD120" s="65"/>
      <c r="EXE120" s="65"/>
      <c r="EXF120" s="65"/>
      <c r="EXG120" s="65"/>
      <c r="EXH120" s="65"/>
      <c r="EXI120" s="65"/>
      <c r="EXJ120" s="65"/>
      <c r="EXK120" s="65"/>
      <c r="EXL120" s="65"/>
      <c r="EXM120" s="65"/>
      <c r="EXN120" s="65"/>
      <c r="EXO120" s="65"/>
      <c r="EXP120" s="65"/>
      <c r="EXQ120" s="65"/>
      <c r="EXR120" s="65"/>
      <c r="EXS120" s="65"/>
      <c r="EXT120" s="65"/>
      <c r="EXU120" s="65"/>
      <c r="EXV120" s="65"/>
      <c r="EXW120" s="65"/>
      <c r="EXX120" s="65"/>
      <c r="EXY120" s="65"/>
      <c r="EXZ120" s="65"/>
      <c r="EYA120" s="65"/>
      <c r="EYB120" s="65"/>
      <c r="EYC120" s="65"/>
      <c r="EYD120" s="65"/>
      <c r="EYE120" s="65"/>
      <c r="EYF120" s="65"/>
      <c r="EYG120" s="65"/>
      <c r="EYH120" s="65"/>
      <c r="EYI120" s="65"/>
      <c r="EYJ120" s="65"/>
      <c r="EYK120" s="65"/>
      <c r="EYL120" s="65"/>
      <c r="EYM120" s="65"/>
      <c r="EYN120" s="65"/>
      <c r="EYO120" s="65"/>
      <c r="EYP120" s="65"/>
      <c r="EYQ120" s="65"/>
      <c r="EYR120" s="65"/>
      <c r="EYS120" s="65"/>
      <c r="EYT120" s="65"/>
      <c r="EYU120" s="65"/>
      <c r="EYV120" s="65"/>
      <c r="EYW120" s="65"/>
      <c r="EYX120" s="65"/>
      <c r="EYY120" s="65"/>
      <c r="EYZ120" s="65"/>
      <c r="EZA120" s="65"/>
      <c r="EZB120" s="65"/>
      <c r="EZC120" s="65"/>
      <c r="EZD120" s="65"/>
      <c r="EZE120" s="65"/>
      <c r="EZF120" s="65"/>
      <c r="EZG120" s="65"/>
      <c r="EZH120" s="65"/>
      <c r="EZI120" s="65"/>
      <c r="EZJ120" s="65"/>
      <c r="EZK120" s="65"/>
      <c r="EZL120" s="65"/>
      <c r="EZM120" s="65"/>
      <c r="EZN120" s="65"/>
      <c r="EZO120" s="65"/>
      <c r="EZP120" s="65"/>
      <c r="EZQ120" s="65"/>
      <c r="EZR120" s="65"/>
      <c r="EZS120" s="65"/>
      <c r="EZT120" s="65"/>
      <c r="EZU120" s="65"/>
      <c r="EZV120" s="65"/>
      <c r="EZW120" s="65"/>
      <c r="EZX120" s="65"/>
      <c r="EZY120" s="65"/>
      <c r="EZZ120" s="65"/>
      <c r="FAA120" s="65"/>
      <c r="FAB120" s="65"/>
      <c r="FAC120" s="65"/>
      <c r="FAD120" s="65"/>
      <c r="FAE120" s="65"/>
      <c r="FAF120" s="65"/>
      <c r="FAG120" s="65"/>
      <c r="FAH120" s="65"/>
      <c r="FAI120" s="65"/>
      <c r="FAJ120" s="65"/>
      <c r="FAK120" s="65"/>
      <c r="FAL120" s="65"/>
      <c r="FAM120" s="65"/>
      <c r="FAN120" s="65"/>
      <c r="FAO120" s="65"/>
      <c r="FAP120" s="65"/>
      <c r="FAQ120" s="65"/>
      <c r="FAR120" s="65"/>
      <c r="FAS120" s="65"/>
      <c r="FAT120" s="65"/>
      <c r="FAU120" s="65"/>
      <c r="FAV120" s="65"/>
      <c r="FAW120" s="65"/>
      <c r="FAX120" s="65"/>
      <c r="FAY120" s="65"/>
      <c r="FAZ120" s="65"/>
      <c r="FBA120" s="65"/>
      <c r="FBB120" s="65"/>
      <c r="FBC120" s="65"/>
      <c r="FBD120" s="65"/>
      <c r="FBE120" s="65"/>
      <c r="FBF120" s="65"/>
      <c r="FBG120" s="65"/>
      <c r="FBH120" s="65"/>
      <c r="FBI120" s="65"/>
      <c r="FBJ120" s="65"/>
      <c r="FBK120" s="65"/>
      <c r="FBL120" s="65"/>
      <c r="FBM120" s="65"/>
      <c r="FBN120" s="65"/>
      <c r="FBO120" s="65"/>
      <c r="FBP120" s="65"/>
      <c r="FBQ120" s="65"/>
      <c r="FBR120" s="65"/>
      <c r="FBS120" s="65"/>
      <c r="FBT120" s="65"/>
      <c r="FBU120" s="65"/>
      <c r="FBV120" s="65"/>
      <c r="FBW120" s="65"/>
      <c r="FBX120" s="65"/>
      <c r="FBY120" s="65"/>
      <c r="FBZ120" s="65"/>
      <c r="FCA120" s="65"/>
      <c r="FCB120" s="65"/>
      <c r="FCC120" s="65"/>
      <c r="FCD120" s="65"/>
      <c r="FCE120" s="65"/>
      <c r="FCF120" s="65"/>
      <c r="FCG120" s="65"/>
      <c r="FCH120" s="65"/>
      <c r="FCI120" s="65"/>
      <c r="FCJ120" s="65"/>
      <c r="FCK120" s="65"/>
      <c r="FCL120" s="65"/>
      <c r="FCM120" s="65"/>
      <c r="FCN120" s="65"/>
      <c r="FCO120" s="65"/>
      <c r="FCP120" s="65"/>
      <c r="FCQ120" s="65"/>
      <c r="FCR120" s="65"/>
      <c r="FCS120" s="65"/>
      <c r="FCT120" s="65"/>
      <c r="FCU120" s="65"/>
      <c r="FCV120" s="65"/>
      <c r="FCW120" s="65"/>
      <c r="FCX120" s="65"/>
      <c r="FCY120" s="65"/>
      <c r="FCZ120" s="65"/>
      <c r="FDA120" s="65"/>
      <c r="FDB120" s="65"/>
      <c r="FDC120" s="65"/>
      <c r="FDD120" s="65"/>
      <c r="FDE120" s="65"/>
      <c r="FDF120" s="65"/>
      <c r="FDG120" s="65"/>
      <c r="FDH120" s="65"/>
      <c r="FDI120" s="65"/>
      <c r="FDJ120" s="65"/>
      <c r="FDK120" s="65"/>
      <c r="FDL120" s="65"/>
      <c r="FDM120" s="65"/>
      <c r="FDN120" s="65"/>
      <c r="FDO120" s="65"/>
      <c r="FDP120" s="65"/>
      <c r="FDQ120" s="65"/>
      <c r="FDR120" s="65"/>
      <c r="FDS120" s="65"/>
      <c r="FDT120" s="65"/>
      <c r="FDU120" s="65"/>
      <c r="FDV120" s="65"/>
      <c r="FDW120" s="65"/>
      <c r="FDX120" s="65"/>
      <c r="FDY120" s="65"/>
      <c r="FDZ120" s="65"/>
      <c r="FEA120" s="65"/>
      <c r="FEB120" s="65"/>
      <c r="FEC120" s="65"/>
      <c r="FED120" s="65"/>
      <c r="FEE120" s="65"/>
      <c r="FEF120" s="65"/>
      <c r="FEG120" s="65"/>
      <c r="FEH120" s="65"/>
      <c r="FEI120" s="65"/>
      <c r="FEJ120" s="65"/>
      <c r="FEK120" s="65"/>
      <c r="FEL120" s="65"/>
      <c r="FEM120" s="65"/>
      <c r="FEN120" s="65"/>
      <c r="FEO120" s="65"/>
      <c r="FEP120" s="65"/>
      <c r="FEQ120" s="65"/>
      <c r="FER120" s="65"/>
      <c r="FES120" s="65"/>
      <c r="FET120" s="65"/>
      <c r="FEU120" s="65"/>
      <c r="FEV120" s="65"/>
      <c r="FEW120" s="65"/>
      <c r="FEX120" s="65"/>
      <c r="FEY120" s="65"/>
      <c r="FEZ120" s="65"/>
      <c r="FFA120" s="65"/>
      <c r="FFB120" s="65"/>
      <c r="FFC120" s="65"/>
      <c r="FFD120" s="65"/>
      <c r="FFE120" s="65"/>
      <c r="FFF120" s="65"/>
      <c r="FFG120" s="65"/>
      <c r="FFH120" s="65"/>
      <c r="FFI120" s="65"/>
      <c r="FFJ120" s="65"/>
      <c r="FFK120" s="65"/>
      <c r="FFL120" s="65"/>
      <c r="FFM120" s="65"/>
      <c r="FFN120" s="65"/>
      <c r="FFO120" s="65"/>
      <c r="FFP120" s="65"/>
      <c r="FFQ120" s="65"/>
      <c r="FFR120" s="65"/>
      <c r="FFS120" s="65"/>
      <c r="FFT120" s="65"/>
      <c r="FFU120" s="65"/>
      <c r="FFV120" s="65"/>
      <c r="FFW120" s="65"/>
      <c r="FFX120" s="65"/>
      <c r="FFY120" s="65"/>
      <c r="FFZ120" s="65"/>
      <c r="FGA120" s="65"/>
      <c r="FGB120" s="65"/>
      <c r="FGC120" s="65"/>
      <c r="FGD120" s="65"/>
      <c r="FGE120" s="65"/>
      <c r="FGF120" s="65"/>
      <c r="FGG120" s="65"/>
      <c r="FGH120" s="65"/>
      <c r="FGI120" s="65"/>
      <c r="FGJ120" s="65"/>
      <c r="FGK120" s="65"/>
      <c r="FGL120" s="65"/>
      <c r="FGM120" s="65"/>
      <c r="FGN120" s="65"/>
      <c r="FGO120" s="65"/>
      <c r="FGP120" s="65"/>
      <c r="FGQ120" s="65"/>
      <c r="FGR120" s="65"/>
      <c r="FGS120" s="65"/>
      <c r="FGT120" s="65"/>
      <c r="FGU120" s="65"/>
      <c r="FGV120" s="65"/>
      <c r="FGW120" s="65"/>
      <c r="FGX120" s="65"/>
      <c r="FGY120" s="65"/>
      <c r="FGZ120" s="65"/>
      <c r="FHA120" s="65"/>
      <c r="FHB120" s="65"/>
      <c r="FHC120" s="65"/>
      <c r="FHD120" s="65"/>
      <c r="FHE120" s="65"/>
      <c r="FHF120" s="65"/>
      <c r="FHG120" s="65"/>
      <c r="FHH120" s="65"/>
      <c r="FHI120" s="65"/>
      <c r="FHJ120" s="65"/>
      <c r="FHK120" s="65"/>
      <c r="FHL120" s="65"/>
      <c r="FHM120" s="65"/>
      <c r="FHN120" s="65"/>
      <c r="FHO120" s="65"/>
      <c r="FHP120" s="65"/>
      <c r="FHQ120" s="65"/>
      <c r="FHR120" s="65"/>
      <c r="FHS120" s="65"/>
      <c r="FHT120" s="65"/>
      <c r="FHU120" s="65"/>
      <c r="FHV120" s="65"/>
      <c r="FHW120" s="65"/>
      <c r="FHX120" s="65"/>
      <c r="FHY120" s="65"/>
      <c r="FHZ120" s="65"/>
      <c r="FIA120" s="65"/>
      <c r="FIB120" s="65"/>
      <c r="FIC120" s="65"/>
      <c r="FID120" s="65"/>
      <c r="FIE120" s="65"/>
      <c r="FIF120" s="65"/>
      <c r="FIG120" s="65"/>
      <c r="FIH120" s="65"/>
      <c r="FII120" s="65"/>
      <c r="FIJ120" s="65"/>
      <c r="FIK120" s="65"/>
      <c r="FIL120" s="65"/>
      <c r="FIM120" s="65"/>
      <c r="FIN120" s="65"/>
      <c r="FIO120" s="65"/>
      <c r="FIP120" s="65"/>
      <c r="FIQ120" s="65"/>
      <c r="FIR120" s="65"/>
      <c r="FIS120" s="65"/>
      <c r="FIT120" s="65"/>
      <c r="FIU120" s="65"/>
      <c r="FIV120" s="65"/>
      <c r="FIW120" s="65"/>
      <c r="FIX120" s="65"/>
      <c r="FIY120" s="65"/>
      <c r="FIZ120" s="65"/>
      <c r="FJA120" s="65"/>
      <c r="FJB120" s="65"/>
      <c r="FJC120" s="65"/>
      <c r="FJD120" s="65"/>
      <c r="FJE120" s="65"/>
      <c r="FJF120" s="65"/>
      <c r="FJG120" s="65"/>
      <c r="FJH120" s="65"/>
      <c r="FJI120" s="65"/>
      <c r="FJJ120" s="65"/>
      <c r="FJK120" s="65"/>
      <c r="FJL120" s="65"/>
      <c r="FJM120" s="65"/>
      <c r="FJN120" s="65"/>
      <c r="FJO120" s="65"/>
      <c r="FJP120" s="65"/>
      <c r="FJQ120" s="65"/>
      <c r="FJR120" s="65"/>
      <c r="FJS120" s="65"/>
      <c r="FJT120" s="65"/>
      <c r="FJU120" s="65"/>
      <c r="FJV120" s="65"/>
      <c r="FJW120" s="65"/>
      <c r="FJX120" s="65"/>
      <c r="FJY120" s="65"/>
      <c r="FJZ120" s="65"/>
      <c r="FKA120" s="65"/>
      <c r="FKB120" s="65"/>
      <c r="FKC120" s="65"/>
      <c r="FKD120" s="65"/>
      <c r="FKE120" s="65"/>
      <c r="FKF120" s="65"/>
      <c r="FKG120" s="65"/>
      <c r="FKH120" s="65"/>
      <c r="FKI120" s="65"/>
      <c r="FKJ120" s="65"/>
      <c r="FKK120" s="65"/>
      <c r="FKL120" s="65"/>
      <c r="FKM120" s="65"/>
      <c r="FKN120" s="65"/>
      <c r="FKO120" s="65"/>
      <c r="FKP120" s="65"/>
      <c r="FKQ120" s="65"/>
      <c r="FKR120" s="65"/>
      <c r="FKS120" s="65"/>
      <c r="FKT120" s="65"/>
      <c r="FKU120" s="65"/>
      <c r="FKV120" s="65"/>
      <c r="FKW120" s="65"/>
      <c r="FKX120" s="65"/>
      <c r="FKY120" s="65"/>
      <c r="FKZ120" s="65"/>
      <c r="FLA120" s="65"/>
      <c r="FLB120" s="65"/>
      <c r="FLC120" s="65"/>
      <c r="FLD120" s="65"/>
      <c r="FLE120" s="65"/>
      <c r="FLF120" s="65"/>
      <c r="FLG120" s="65"/>
      <c r="FLH120" s="65"/>
      <c r="FLI120" s="65"/>
      <c r="FLJ120" s="65"/>
      <c r="FLK120" s="65"/>
      <c r="FLL120" s="65"/>
      <c r="FLM120" s="65"/>
      <c r="FLN120" s="65"/>
      <c r="FLO120" s="65"/>
      <c r="FLP120" s="65"/>
      <c r="FLQ120" s="65"/>
      <c r="FLR120" s="65"/>
      <c r="FLS120" s="65"/>
      <c r="FLT120" s="65"/>
      <c r="FLU120" s="65"/>
      <c r="FLV120" s="65"/>
      <c r="FLW120" s="65"/>
      <c r="FLX120" s="65"/>
      <c r="FLY120" s="65"/>
      <c r="FLZ120" s="65"/>
      <c r="FMA120" s="65"/>
      <c r="FMB120" s="65"/>
      <c r="FMC120" s="65"/>
      <c r="FMD120" s="65"/>
      <c r="FME120" s="65"/>
      <c r="FMF120" s="65"/>
      <c r="FMG120" s="65"/>
      <c r="FMH120" s="65"/>
      <c r="FMI120" s="65"/>
      <c r="FMJ120" s="65"/>
      <c r="FMK120" s="65"/>
      <c r="FML120" s="65"/>
      <c r="FMM120" s="65"/>
      <c r="FMN120" s="65"/>
      <c r="FMO120" s="65"/>
      <c r="FMP120" s="65"/>
      <c r="FMQ120" s="65"/>
      <c r="FMR120" s="65"/>
      <c r="FMS120" s="65"/>
      <c r="FMT120" s="65"/>
      <c r="FMU120" s="65"/>
      <c r="FMV120" s="65"/>
      <c r="FMW120" s="65"/>
      <c r="FMX120" s="65"/>
      <c r="FMY120" s="65"/>
      <c r="FMZ120" s="65"/>
      <c r="FNA120" s="65"/>
      <c r="FNB120" s="65"/>
      <c r="FNC120" s="65"/>
      <c r="FND120" s="65"/>
      <c r="FNE120" s="65"/>
      <c r="FNF120" s="65"/>
      <c r="FNG120" s="65"/>
      <c r="FNH120" s="65"/>
      <c r="FNI120" s="65"/>
      <c r="FNJ120" s="65"/>
      <c r="FNK120" s="65"/>
      <c r="FNL120" s="65"/>
      <c r="FNM120" s="65"/>
      <c r="FNN120" s="65"/>
      <c r="FNO120" s="65"/>
      <c r="FNP120" s="65"/>
      <c r="FNQ120" s="65"/>
      <c r="FNR120" s="65"/>
      <c r="FNS120" s="65"/>
      <c r="FNT120" s="65"/>
      <c r="FNU120" s="65"/>
      <c r="FNV120" s="65"/>
      <c r="FNW120" s="65"/>
      <c r="FNX120" s="65"/>
      <c r="FNY120" s="65"/>
      <c r="FNZ120" s="65"/>
      <c r="FOA120" s="65"/>
      <c r="FOB120" s="65"/>
      <c r="FOC120" s="65"/>
      <c r="FOD120" s="65"/>
      <c r="FOE120" s="65"/>
      <c r="FOF120" s="65"/>
      <c r="FOG120" s="65"/>
      <c r="FOH120" s="65"/>
      <c r="FOI120" s="65"/>
      <c r="FOJ120" s="65"/>
      <c r="FOK120" s="65"/>
      <c r="FOL120" s="65"/>
      <c r="FOM120" s="65"/>
      <c r="FON120" s="65"/>
      <c r="FOO120" s="65"/>
      <c r="FOP120" s="65"/>
      <c r="FOQ120" s="65"/>
      <c r="FOR120" s="65"/>
      <c r="FOS120" s="65"/>
      <c r="FOT120" s="65"/>
      <c r="FOU120" s="65"/>
      <c r="FOV120" s="65"/>
      <c r="FOW120" s="65"/>
      <c r="FOX120" s="65"/>
      <c r="FOY120" s="65"/>
      <c r="FOZ120" s="65"/>
      <c r="FPA120" s="65"/>
      <c r="FPB120" s="65"/>
      <c r="FPC120" s="65"/>
      <c r="FPD120" s="65"/>
      <c r="FPE120" s="65"/>
      <c r="FPF120" s="65"/>
      <c r="FPG120" s="65"/>
      <c r="FPH120" s="65"/>
      <c r="FPI120" s="65"/>
      <c r="FPJ120" s="65"/>
      <c r="FPK120" s="65"/>
      <c r="FPL120" s="65"/>
      <c r="FPM120" s="65"/>
      <c r="FPN120" s="65"/>
      <c r="FPO120" s="65"/>
      <c r="FPP120" s="65"/>
      <c r="FPQ120" s="65"/>
      <c r="FPR120" s="65"/>
      <c r="FPS120" s="65"/>
      <c r="FPT120" s="65"/>
      <c r="FPU120" s="65"/>
      <c r="FPV120" s="65"/>
      <c r="FPW120" s="65"/>
      <c r="FPX120" s="65"/>
      <c r="FPY120" s="65"/>
      <c r="FPZ120" s="65"/>
      <c r="FQA120" s="65"/>
      <c r="FQB120" s="65"/>
      <c r="FQC120" s="65"/>
      <c r="FQD120" s="65"/>
      <c r="FQE120" s="65"/>
      <c r="FQF120" s="65"/>
      <c r="FQG120" s="65"/>
      <c r="FQH120" s="65"/>
      <c r="FQI120" s="65"/>
      <c r="FQJ120" s="65"/>
      <c r="FQK120" s="65"/>
      <c r="FQL120" s="65"/>
      <c r="FQM120" s="65"/>
      <c r="FQN120" s="65"/>
      <c r="FQO120" s="65"/>
      <c r="FQP120" s="65"/>
      <c r="FQQ120" s="65"/>
      <c r="FQR120" s="65"/>
      <c r="FQS120" s="65"/>
      <c r="FQT120" s="65"/>
      <c r="FQU120" s="65"/>
      <c r="FQV120" s="65"/>
      <c r="FQW120" s="65"/>
      <c r="FQX120" s="65"/>
      <c r="FQY120" s="65"/>
      <c r="FQZ120" s="65"/>
      <c r="FRA120" s="65"/>
      <c r="FRB120" s="65"/>
      <c r="FRC120" s="65"/>
      <c r="FRD120" s="65"/>
      <c r="FRE120" s="65"/>
      <c r="FRF120" s="65"/>
      <c r="FRG120" s="65"/>
      <c r="FRH120" s="65"/>
      <c r="FRI120" s="65"/>
      <c r="FRJ120" s="65"/>
      <c r="FRK120" s="65"/>
      <c r="FRL120" s="65"/>
      <c r="FRM120" s="65"/>
      <c r="FRN120" s="65"/>
      <c r="FRO120" s="65"/>
      <c r="FRP120" s="65"/>
      <c r="FRQ120" s="65"/>
      <c r="FRR120" s="65"/>
      <c r="FRS120" s="65"/>
      <c r="FRT120" s="65"/>
      <c r="FRU120" s="65"/>
      <c r="FRV120" s="65"/>
      <c r="FRW120" s="65"/>
      <c r="FRX120" s="65"/>
      <c r="FRY120" s="65"/>
      <c r="FRZ120" s="65"/>
      <c r="FSA120" s="65"/>
      <c r="FSB120" s="65"/>
      <c r="FSC120" s="65"/>
      <c r="FSD120" s="65"/>
      <c r="FSE120" s="65"/>
      <c r="FSF120" s="65"/>
      <c r="FSG120" s="65"/>
      <c r="FSH120" s="65"/>
      <c r="FSI120" s="65"/>
      <c r="FSJ120" s="65"/>
      <c r="FSK120" s="65"/>
      <c r="FSL120" s="65"/>
      <c r="FSM120" s="65"/>
      <c r="FSN120" s="65"/>
      <c r="FSO120" s="65"/>
      <c r="FSP120" s="65"/>
      <c r="FSQ120" s="65"/>
      <c r="FSR120" s="65"/>
      <c r="FSS120" s="65"/>
      <c r="FST120" s="65"/>
      <c r="FSU120" s="65"/>
      <c r="FSV120" s="65"/>
      <c r="FSW120" s="65"/>
      <c r="FSX120" s="65"/>
      <c r="FSY120" s="65"/>
      <c r="FSZ120" s="65"/>
      <c r="FTA120" s="65"/>
      <c r="FTB120" s="65"/>
      <c r="FTC120" s="65"/>
      <c r="FTD120" s="65"/>
      <c r="FTE120" s="65"/>
      <c r="FTF120" s="65"/>
      <c r="FTG120" s="65"/>
      <c r="FTH120" s="65"/>
      <c r="FTI120" s="65"/>
      <c r="FTJ120" s="65"/>
      <c r="FTK120" s="65"/>
      <c r="FTL120" s="65"/>
      <c r="FTM120" s="65"/>
      <c r="FTN120" s="65"/>
      <c r="FTO120" s="65"/>
      <c r="FTP120" s="65"/>
      <c r="FTQ120" s="65"/>
      <c r="FTR120" s="65"/>
      <c r="FTS120" s="65"/>
      <c r="FTT120" s="65"/>
      <c r="FTU120" s="65"/>
      <c r="FTV120" s="65"/>
      <c r="FTW120" s="65"/>
      <c r="FTX120" s="65"/>
      <c r="FTY120" s="65"/>
      <c r="FTZ120" s="65"/>
      <c r="FUA120" s="65"/>
      <c r="FUB120" s="65"/>
      <c r="FUC120" s="65"/>
      <c r="FUD120" s="65"/>
      <c r="FUE120" s="65"/>
      <c r="FUF120" s="65"/>
      <c r="FUG120" s="65"/>
      <c r="FUH120" s="65"/>
      <c r="FUI120" s="65"/>
      <c r="FUJ120" s="65"/>
      <c r="FUK120" s="65"/>
      <c r="FUL120" s="65"/>
      <c r="FUM120" s="65"/>
      <c r="FUN120" s="65"/>
      <c r="FUO120" s="65"/>
      <c r="FUP120" s="65"/>
      <c r="FUQ120" s="65"/>
      <c r="FUR120" s="65"/>
      <c r="FUS120" s="65"/>
      <c r="FUT120" s="65"/>
      <c r="FUU120" s="65"/>
      <c r="FUV120" s="65"/>
      <c r="FUW120" s="65"/>
      <c r="FUX120" s="65"/>
      <c r="FUY120" s="65"/>
      <c r="FUZ120" s="65"/>
      <c r="FVA120" s="65"/>
      <c r="FVB120" s="65"/>
      <c r="FVC120" s="65"/>
      <c r="FVD120" s="65"/>
      <c r="FVE120" s="65"/>
      <c r="FVF120" s="65"/>
      <c r="FVG120" s="65"/>
      <c r="FVH120" s="65"/>
      <c r="FVI120" s="65"/>
      <c r="FVJ120" s="65"/>
      <c r="FVK120" s="65"/>
      <c r="FVL120" s="65"/>
      <c r="FVM120" s="65"/>
      <c r="FVN120" s="65"/>
      <c r="FVO120" s="65"/>
      <c r="FVP120" s="65"/>
      <c r="FVQ120" s="65"/>
      <c r="FVR120" s="65"/>
      <c r="FVS120" s="65"/>
      <c r="FVT120" s="65"/>
      <c r="FVU120" s="65"/>
      <c r="FVV120" s="65"/>
      <c r="FVW120" s="65"/>
      <c r="FVX120" s="65"/>
      <c r="FVY120" s="65"/>
      <c r="FVZ120" s="65"/>
      <c r="FWA120" s="65"/>
      <c r="FWB120" s="65"/>
      <c r="FWC120" s="65"/>
      <c r="FWD120" s="65"/>
      <c r="FWE120" s="65"/>
      <c r="FWF120" s="65"/>
      <c r="FWG120" s="65"/>
      <c r="FWH120" s="65"/>
      <c r="FWI120" s="65"/>
      <c r="FWJ120" s="65"/>
      <c r="FWK120" s="65"/>
      <c r="FWL120" s="65"/>
      <c r="FWM120" s="65"/>
      <c r="FWN120" s="65"/>
      <c r="FWO120" s="65"/>
      <c r="FWP120" s="65"/>
      <c r="FWQ120" s="65"/>
      <c r="FWR120" s="65"/>
      <c r="FWS120" s="65"/>
      <c r="FWT120" s="65"/>
      <c r="FWU120" s="65"/>
      <c r="FWV120" s="65"/>
      <c r="FWW120" s="65"/>
      <c r="FWX120" s="65"/>
      <c r="FWY120" s="65"/>
      <c r="FWZ120" s="65"/>
      <c r="FXA120" s="65"/>
      <c r="FXB120" s="65"/>
      <c r="FXC120" s="65"/>
      <c r="FXD120" s="65"/>
      <c r="FXE120" s="65"/>
      <c r="FXF120" s="65"/>
      <c r="FXG120" s="65"/>
      <c r="FXH120" s="65"/>
      <c r="FXI120" s="65"/>
      <c r="FXJ120" s="65"/>
      <c r="FXK120" s="65"/>
      <c r="FXL120" s="65"/>
      <c r="FXM120" s="65"/>
      <c r="FXN120" s="65"/>
      <c r="FXO120" s="65"/>
      <c r="FXP120" s="65"/>
      <c r="FXQ120" s="65"/>
      <c r="FXR120" s="65"/>
      <c r="FXS120" s="65"/>
      <c r="FXT120" s="65"/>
      <c r="FXU120" s="65"/>
      <c r="FXV120" s="65"/>
      <c r="FXW120" s="65"/>
      <c r="FXX120" s="65"/>
      <c r="FXY120" s="65"/>
      <c r="FXZ120" s="65"/>
      <c r="FYA120" s="65"/>
      <c r="FYB120" s="65"/>
      <c r="FYC120" s="65"/>
      <c r="FYD120" s="65"/>
      <c r="FYE120" s="65"/>
      <c r="FYF120" s="65"/>
      <c r="FYG120" s="65"/>
      <c r="FYH120" s="65"/>
      <c r="FYI120" s="65"/>
      <c r="FYJ120" s="65"/>
      <c r="FYK120" s="65"/>
      <c r="FYL120" s="65"/>
      <c r="FYM120" s="65"/>
      <c r="FYN120" s="65"/>
      <c r="FYO120" s="65"/>
      <c r="FYP120" s="65"/>
      <c r="FYQ120" s="65"/>
      <c r="FYR120" s="65"/>
      <c r="FYS120" s="65"/>
      <c r="FYT120" s="65"/>
      <c r="FYU120" s="65"/>
      <c r="FYV120" s="65"/>
      <c r="FYW120" s="65"/>
      <c r="FYX120" s="65"/>
      <c r="FYY120" s="65"/>
      <c r="FYZ120" s="65"/>
      <c r="FZA120" s="65"/>
      <c r="FZB120" s="65"/>
      <c r="FZC120" s="65"/>
      <c r="FZD120" s="65"/>
      <c r="FZE120" s="65"/>
      <c r="FZF120" s="65"/>
      <c r="FZG120" s="65"/>
      <c r="FZH120" s="65"/>
      <c r="FZI120" s="65"/>
      <c r="FZJ120" s="65"/>
      <c r="FZK120" s="65"/>
      <c r="FZL120" s="65"/>
      <c r="FZM120" s="65"/>
      <c r="FZN120" s="65"/>
      <c r="FZO120" s="65"/>
      <c r="FZP120" s="65"/>
      <c r="FZQ120" s="65"/>
      <c r="FZR120" s="65"/>
      <c r="FZS120" s="65"/>
      <c r="FZT120" s="65"/>
      <c r="FZU120" s="65"/>
      <c r="FZV120" s="65"/>
      <c r="FZW120" s="65"/>
      <c r="FZX120" s="65"/>
      <c r="FZY120" s="65"/>
      <c r="FZZ120" s="65"/>
      <c r="GAA120" s="65"/>
      <c r="GAB120" s="65"/>
      <c r="GAC120" s="65"/>
      <c r="GAD120" s="65"/>
      <c r="GAE120" s="65"/>
      <c r="GAF120" s="65"/>
      <c r="GAG120" s="65"/>
      <c r="GAH120" s="65"/>
      <c r="GAI120" s="65"/>
      <c r="GAJ120" s="65"/>
      <c r="GAK120" s="65"/>
      <c r="GAL120" s="65"/>
      <c r="GAM120" s="65"/>
      <c r="GAN120" s="65"/>
      <c r="GAO120" s="65"/>
      <c r="GAP120" s="65"/>
      <c r="GAQ120" s="65"/>
      <c r="GAR120" s="65"/>
      <c r="GAS120" s="65"/>
      <c r="GAT120" s="65"/>
      <c r="GAU120" s="65"/>
      <c r="GAV120" s="65"/>
      <c r="GAW120" s="65"/>
      <c r="GAX120" s="65"/>
      <c r="GAY120" s="65"/>
      <c r="GAZ120" s="65"/>
      <c r="GBA120" s="65"/>
      <c r="GBB120" s="65"/>
      <c r="GBC120" s="65"/>
      <c r="GBD120" s="65"/>
      <c r="GBE120" s="65"/>
      <c r="GBF120" s="65"/>
      <c r="GBG120" s="65"/>
      <c r="GBH120" s="65"/>
      <c r="GBI120" s="65"/>
      <c r="GBJ120" s="65"/>
      <c r="GBK120" s="65"/>
      <c r="GBL120" s="65"/>
      <c r="GBM120" s="65"/>
      <c r="GBN120" s="65"/>
      <c r="GBO120" s="65"/>
      <c r="GBP120" s="65"/>
      <c r="GBQ120" s="65"/>
      <c r="GBR120" s="65"/>
      <c r="GBS120" s="65"/>
      <c r="GBT120" s="65"/>
      <c r="GBU120" s="65"/>
      <c r="GBV120" s="65"/>
      <c r="GBW120" s="65"/>
      <c r="GBX120" s="65"/>
      <c r="GBY120" s="65"/>
      <c r="GBZ120" s="65"/>
      <c r="GCA120" s="65"/>
      <c r="GCB120" s="65"/>
      <c r="GCC120" s="65"/>
      <c r="GCD120" s="65"/>
      <c r="GCE120" s="65"/>
      <c r="GCF120" s="65"/>
      <c r="GCG120" s="65"/>
      <c r="GCH120" s="65"/>
      <c r="GCI120" s="65"/>
      <c r="GCJ120" s="65"/>
      <c r="GCK120" s="65"/>
      <c r="GCL120" s="65"/>
      <c r="GCM120" s="65"/>
      <c r="GCN120" s="65"/>
      <c r="GCO120" s="65"/>
      <c r="GCP120" s="65"/>
      <c r="GCQ120" s="65"/>
      <c r="GCR120" s="65"/>
      <c r="GCS120" s="65"/>
      <c r="GCT120" s="65"/>
      <c r="GCU120" s="65"/>
      <c r="GCV120" s="65"/>
      <c r="GCW120" s="65"/>
      <c r="GCX120" s="65"/>
      <c r="GCY120" s="65"/>
      <c r="GCZ120" s="65"/>
      <c r="GDA120" s="65"/>
      <c r="GDB120" s="65"/>
      <c r="GDC120" s="65"/>
      <c r="GDD120" s="65"/>
      <c r="GDE120" s="65"/>
      <c r="GDF120" s="65"/>
      <c r="GDG120" s="65"/>
      <c r="GDH120" s="65"/>
      <c r="GDI120" s="65"/>
      <c r="GDJ120" s="65"/>
      <c r="GDK120" s="65"/>
      <c r="GDL120" s="65"/>
      <c r="GDM120" s="65"/>
      <c r="GDN120" s="65"/>
      <c r="GDO120" s="65"/>
      <c r="GDP120" s="65"/>
      <c r="GDQ120" s="65"/>
      <c r="GDR120" s="65"/>
      <c r="GDS120" s="65"/>
      <c r="GDT120" s="65"/>
      <c r="GDU120" s="65"/>
      <c r="GDV120" s="65"/>
      <c r="GDW120" s="65"/>
      <c r="GDX120" s="65"/>
      <c r="GDY120" s="65"/>
      <c r="GDZ120" s="65"/>
      <c r="GEA120" s="65"/>
      <c r="GEB120" s="65"/>
      <c r="GEC120" s="65"/>
      <c r="GED120" s="65"/>
      <c r="GEE120" s="65"/>
      <c r="GEF120" s="65"/>
      <c r="GEG120" s="65"/>
      <c r="GEH120" s="65"/>
      <c r="GEI120" s="65"/>
      <c r="GEJ120" s="65"/>
      <c r="GEK120" s="65"/>
      <c r="GEL120" s="65"/>
      <c r="GEM120" s="65"/>
      <c r="GEN120" s="65"/>
      <c r="GEO120" s="65"/>
      <c r="GEP120" s="65"/>
      <c r="GEQ120" s="65"/>
      <c r="GER120" s="65"/>
      <c r="GES120" s="65"/>
      <c r="GET120" s="65"/>
      <c r="GEU120" s="65"/>
      <c r="GEV120" s="65"/>
      <c r="GEW120" s="65"/>
      <c r="GEX120" s="65"/>
      <c r="GEY120" s="65"/>
      <c r="GEZ120" s="65"/>
      <c r="GFA120" s="65"/>
      <c r="GFB120" s="65"/>
      <c r="GFC120" s="65"/>
      <c r="GFD120" s="65"/>
      <c r="GFE120" s="65"/>
      <c r="GFF120" s="65"/>
      <c r="GFG120" s="65"/>
      <c r="GFH120" s="65"/>
      <c r="GFI120" s="65"/>
      <c r="GFJ120" s="65"/>
      <c r="GFK120" s="65"/>
      <c r="GFL120" s="65"/>
      <c r="GFM120" s="65"/>
      <c r="GFN120" s="65"/>
      <c r="GFO120" s="65"/>
      <c r="GFP120" s="65"/>
      <c r="GFQ120" s="65"/>
      <c r="GFR120" s="65"/>
      <c r="GFS120" s="65"/>
      <c r="GFT120" s="65"/>
      <c r="GFU120" s="65"/>
      <c r="GFV120" s="65"/>
      <c r="GFW120" s="65"/>
      <c r="GFX120" s="65"/>
      <c r="GFY120" s="65"/>
      <c r="GFZ120" s="65"/>
      <c r="GGA120" s="65"/>
      <c r="GGB120" s="65"/>
      <c r="GGC120" s="65"/>
      <c r="GGD120" s="65"/>
      <c r="GGE120" s="65"/>
      <c r="GGF120" s="65"/>
      <c r="GGG120" s="65"/>
      <c r="GGH120" s="65"/>
      <c r="GGI120" s="65"/>
      <c r="GGJ120" s="65"/>
      <c r="GGK120" s="65"/>
      <c r="GGL120" s="65"/>
      <c r="GGM120" s="65"/>
      <c r="GGN120" s="65"/>
      <c r="GGO120" s="65"/>
      <c r="GGP120" s="65"/>
      <c r="GGQ120" s="65"/>
      <c r="GGR120" s="65"/>
      <c r="GGS120" s="65"/>
      <c r="GGT120" s="65"/>
      <c r="GGU120" s="65"/>
      <c r="GGV120" s="65"/>
      <c r="GGW120" s="65"/>
      <c r="GGX120" s="65"/>
      <c r="GGY120" s="65"/>
      <c r="GGZ120" s="65"/>
      <c r="GHA120" s="65"/>
      <c r="GHB120" s="65"/>
      <c r="GHC120" s="65"/>
      <c r="GHD120" s="65"/>
      <c r="GHE120" s="65"/>
      <c r="GHF120" s="65"/>
      <c r="GHG120" s="65"/>
      <c r="GHH120" s="65"/>
      <c r="GHI120" s="65"/>
      <c r="GHJ120" s="65"/>
      <c r="GHK120" s="65"/>
      <c r="GHL120" s="65"/>
      <c r="GHM120" s="65"/>
      <c r="GHN120" s="65"/>
      <c r="GHO120" s="65"/>
      <c r="GHP120" s="65"/>
      <c r="GHQ120" s="65"/>
      <c r="GHR120" s="65"/>
      <c r="GHS120" s="65"/>
      <c r="GHT120" s="65"/>
      <c r="GHU120" s="65"/>
      <c r="GHV120" s="65"/>
      <c r="GHW120" s="65"/>
      <c r="GHX120" s="65"/>
      <c r="GHY120" s="65"/>
      <c r="GHZ120" s="65"/>
      <c r="GIA120" s="65"/>
      <c r="GIB120" s="65"/>
      <c r="GIC120" s="65"/>
      <c r="GID120" s="65"/>
      <c r="GIE120" s="65"/>
      <c r="GIF120" s="65"/>
      <c r="GIG120" s="65"/>
      <c r="GIH120" s="65"/>
      <c r="GII120" s="65"/>
      <c r="GIJ120" s="65"/>
      <c r="GIK120" s="65"/>
      <c r="GIL120" s="65"/>
      <c r="GIM120" s="65"/>
      <c r="GIN120" s="65"/>
      <c r="GIO120" s="65"/>
      <c r="GIP120" s="65"/>
      <c r="GIQ120" s="65"/>
      <c r="GIR120" s="65"/>
      <c r="GIS120" s="65"/>
      <c r="GIT120" s="65"/>
      <c r="GIU120" s="65"/>
      <c r="GIV120" s="65"/>
      <c r="GIW120" s="65"/>
      <c r="GIX120" s="65"/>
      <c r="GIY120" s="65"/>
      <c r="GIZ120" s="65"/>
      <c r="GJA120" s="65"/>
      <c r="GJB120" s="65"/>
      <c r="GJC120" s="65"/>
      <c r="GJD120" s="65"/>
      <c r="GJE120" s="65"/>
      <c r="GJF120" s="65"/>
      <c r="GJG120" s="65"/>
      <c r="GJH120" s="65"/>
      <c r="GJI120" s="65"/>
      <c r="GJJ120" s="65"/>
      <c r="GJK120" s="65"/>
      <c r="GJL120" s="65"/>
      <c r="GJM120" s="65"/>
      <c r="GJN120" s="65"/>
      <c r="GJO120" s="65"/>
      <c r="GJP120" s="65"/>
      <c r="GJQ120" s="65"/>
      <c r="GJR120" s="65"/>
      <c r="GJS120" s="65"/>
      <c r="GJT120" s="65"/>
      <c r="GJU120" s="65"/>
      <c r="GJV120" s="65"/>
      <c r="GJW120" s="65"/>
      <c r="GJX120" s="65"/>
      <c r="GJY120" s="65"/>
      <c r="GJZ120" s="65"/>
      <c r="GKA120" s="65"/>
      <c r="GKB120" s="65"/>
      <c r="GKC120" s="65"/>
      <c r="GKD120" s="65"/>
      <c r="GKE120" s="65"/>
      <c r="GKF120" s="65"/>
      <c r="GKG120" s="65"/>
      <c r="GKH120" s="65"/>
      <c r="GKI120" s="65"/>
      <c r="GKJ120" s="65"/>
      <c r="GKK120" s="65"/>
      <c r="GKL120" s="65"/>
      <c r="GKM120" s="65"/>
      <c r="GKN120" s="65"/>
      <c r="GKO120" s="65"/>
      <c r="GKP120" s="65"/>
      <c r="GKQ120" s="65"/>
      <c r="GKR120" s="65"/>
      <c r="GKS120" s="65"/>
      <c r="GKT120" s="65"/>
      <c r="GKU120" s="65"/>
      <c r="GKV120" s="65"/>
      <c r="GKW120" s="65"/>
      <c r="GKX120" s="65"/>
      <c r="GKY120" s="65"/>
      <c r="GKZ120" s="65"/>
      <c r="GLA120" s="65"/>
      <c r="GLB120" s="65"/>
      <c r="GLC120" s="65"/>
      <c r="GLD120" s="65"/>
      <c r="GLE120" s="65"/>
      <c r="GLF120" s="65"/>
      <c r="GLG120" s="65"/>
      <c r="GLH120" s="65"/>
      <c r="GLI120" s="65"/>
      <c r="GLJ120" s="65"/>
      <c r="GLK120" s="65"/>
      <c r="GLL120" s="65"/>
      <c r="GLM120" s="65"/>
      <c r="GLN120" s="65"/>
      <c r="GLO120" s="65"/>
      <c r="GLP120" s="65"/>
      <c r="GLQ120" s="65"/>
      <c r="GLR120" s="65"/>
      <c r="GLS120" s="65"/>
      <c r="GLT120" s="65"/>
      <c r="GLU120" s="65"/>
      <c r="GLV120" s="65"/>
      <c r="GLW120" s="65"/>
      <c r="GLX120" s="65"/>
      <c r="GLY120" s="65"/>
      <c r="GLZ120" s="65"/>
      <c r="GMA120" s="65"/>
      <c r="GMB120" s="65"/>
      <c r="GMC120" s="65"/>
      <c r="GMD120" s="65"/>
      <c r="GME120" s="65"/>
      <c r="GMF120" s="65"/>
      <c r="GMG120" s="65"/>
      <c r="GMH120" s="65"/>
      <c r="GMI120" s="65"/>
      <c r="GMJ120" s="65"/>
      <c r="GMK120" s="65"/>
      <c r="GML120" s="65"/>
      <c r="GMM120" s="65"/>
      <c r="GMN120" s="65"/>
      <c r="GMO120" s="65"/>
      <c r="GMP120" s="65"/>
      <c r="GMQ120" s="65"/>
      <c r="GMR120" s="65"/>
      <c r="GMS120" s="65"/>
      <c r="GMT120" s="65"/>
      <c r="GMU120" s="65"/>
      <c r="GMV120" s="65"/>
      <c r="GMW120" s="65"/>
      <c r="GMX120" s="65"/>
      <c r="GMY120" s="65"/>
      <c r="GMZ120" s="65"/>
      <c r="GNA120" s="65"/>
      <c r="GNB120" s="65"/>
      <c r="GNC120" s="65"/>
      <c r="GND120" s="65"/>
      <c r="GNE120" s="65"/>
      <c r="GNF120" s="65"/>
      <c r="GNG120" s="65"/>
      <c r="GNH120" s="65"/>
      <c r="GNI120" s="65"/>
      <c r="GNJ120" s="65"/>
      <c r="GNK120" s="65"/>
      <c r="GNL120" s="65"/>
      <c r="GNM120" s="65"/>
      <c r="GNN120" s="65"/>
      <c r="GNO120" s="65"/>
      <c r="GNP120" s="65"/>
      <c r="GNQ120" s="65"/>
      <c r="GNR120" s="65"/>
      <c r="GNS120" s="65"/>
      <c r="GNT120" s="65"/>
      <c r="GNU120" s="65"/>
      <c r="GNV120" s="65"/>
      <c r="GNW120" s="65"/>
      <c r="GNX120" s="65"/>
      <c r="GNY120" s="65"/>
      <c r="GNZ120" s="65"/>
      <c r="GOA120" s="65"/>
      <c r="GOB120" s="65"/>
      <c r="GOC120" s="65"/>
      <c r="GOD120" s="65"/>
      <c r="GOE120" s="65"/>
      <c r="GOF120" s="65"/>
      <c r="GOG120" s="65"/>
      <c r="GOH120" s="65"/>
      <c r="GOI120" s="65"/>
      <c r="GOJ120" s="65"/>
      <c r="GOK120" s="65"/>
      <c r="GOL120" s="65"/>
      <c r="GOM120" s="65"/>
      <c r="GON120" s="65"/>
      <c r="GOO120" s="65"/>
      <c r="GOP120" s="65"/>
      <c r="GOQ120" s="65"/>
      <c r="GOR120" s="65"/>
      <c r="GOS120" s="65"/>
      <c r="GOT120" s="65"/>
      <c r="GOU120" s="65"/>
      <c r="GOV120" s="65"/>
      <c r="GOW120" s="65"/>
      <c r="GOX120" s="65"/>
      <c r="GOY120" s="65"/>
      <c r="GOZ120" s="65"/>
      <c r="GPA120" s="65"/>
      <c r="GPB120" s="65"/>
      <c r="GPC120" s="65"/>
      <c r="GPD120" s="65"/>
      <c r="GPE120" s="65"/>
      <c r="GPF120" s="65"/>
      <c r="GPG120" s="65"/>
      <c r="GPH120" s="65"/>
      <c r="GPI120" s="65"/>
      <c r="GPJ120" s="65"/>
      <c r="GPK120" s="65"/>
      <c r="GPL120" s="65"/>
      <c r="GPM120" s="65"/>
      <c r="GPN120" s="65"/>
      <c r="GPO120" s="65"/>
      <c r="GPP120" s="65"/>
      <c r="GPQ120" s="65"/>
      <c r="GPR120" s="65"/>
      <c r="GPS120" s="65"/>
      <c r="GPT120" s="65"/>
      <c r="GPU120" s="65"/>
      <c r="GPV120" s="65"/>
      <c r="GPW120" s="65"/>
      <c r="GPX120" s="65"/>
      <c r="GPY120" s="65"/>
      <c r="GPZ120" s="65"/>
      <c r="GQA120" s="65"/>
      <c r="GQB120" s="65"/>
      <c r="GQC120" s="65"/>
      <c r="GQD120" s="65"/>
      <c r="GQE120" s="65"/>
      <c r="GQF120" s="65"/>
      <c r="GQG120" s="65"/>
      <c r="GQH120" s="65"/>
      <c r="GQI120" s="65"/>
      <c r="GQJ120" s="65"/>
      <c r="GQK120" s="65"/>
      <c r="GQL120" s="65"/>
      <c r="GQM120" s="65"/>
      <c r="GQN120" s="65"/>
      <c r="GQO120" s="65"/>
      <c r="GQP120" s="65"/>
      <c r="GQQ120" s="65"/>
      <c r="GQR120" s="65"/>
      <c r="GQS120" s="65"/>
      <c r="GQT120" s="65"/>
      <c r="GQU120" s="65"/>
      <c r="GQV120" s="65"/>
      <c r="GQW120" s="65"/>
      <c r="GQX120" s="65"/>
      <c r="GQY120" s="65"/>
      <c r="GQZ120" s="65"/>
      <c r="GRA120" s="65"/>
      <c r="GRB120" s="65"/>
      <c r="GRC120" s="65"/>
      <c r="GRD120" s="65"/>
      <c r="GRE120" s="65"/>
      <c r="GRF120" s="65"/>
      <c r="GRG120" s="65"/>
      <c r="GRH120" s="65"/>
      <c r="GRI120" s="65"/>
      <c r="GRJ120" s="65"/>
      <c r="GRK120" s="65"/>
      <c r="GRL120" s="65"/>
      <c r="GRM120" s="65"/>
      <c r="GRN120" s="65"/>
      <c r="GRO120" s="65"/>
      <c r="GRP120" s="65"/>
      <c r="GRQ120" s="65"/>
      <c r="GRR120" s="65"/>
      <c r="GRS120" s="65"/>
      <c r="GRT120" s="65"/>
      <c r="GRU120" s="65"/>
      <c r="GRV120" s="65"/>
      <c r="GRW120" s="65"/>
      <c r="GRX120" s="65"/>
      <c r="GRY120" s="65"/>
      <c r="GRZ120" s="65"/>
      <c r="GSA120" s="65"/>
      <c r="GSB120" s="65"/>
      <c r="GSC120" s="65"/>
      <c r="GSD120" s="65"/>
      <c r="GSE120" s="65"/>
      <c r="GSF120" s="65"/>
      <c r="GSG120" s="65"/>
      <c r="GSH120" s="65"/>
      <c r="GSI120" s="65"/>
      <c r="GSJ120" s="65"/>
      <c r="GSK120" s="65"/>
      <c r="GSL120" s="65"/>
      <c r="GSM120" s="65"/>
      <c r="GSN120" s="65"/>
      <c r="GSO120" s="65"/>
      <c r="GSP120" s="65"/>
      <c r="GSQ120" s="65"/>
      <c r="GSR120" s="65"/>
      <c r="GSS120" s="65"/>
      <c r="GST120" s="65"/>
      <c r="GSU120" s="65"/>
      <c r="GSV120" s="65"/>
      <c r="GSW120" s="65"/>
      <c r="GSX120" s="65"/>
      <c r="GSY120" s="65"/>
      <c r="GSZ120" s="65"/>
      <c r="GTA120" s="65"/>
      <c r="GTB120" s="65"/>
      <c r="GTC120" s="65"/>
      <c r="GTD120" s="65"/>
      <c r="GTE120" s="65"/>
      <c r="GTF120" s="65"/>
      <c r="GTG120" s="65"/>
      <c r="GTH120" s="65"/>
      <c r="GTI120" s="65"/>
      <c r="GTJ120" s="65"/>
      <c r="GTK120" s="65"/>
      <c r="GTL120" s="65"/>
      <c r="GTM120" s="65"/>
      <c r="GTN120" s="65"/>
      <c r="GTO120" s="65"/>
      <c r="GTP120" s="65"/>
      <c r="GTQ120" s="65"/>
      <c r="GTR120" s="65"/>
      <c r="GTS120" s="65"/>
      <c r="GTT120" s="65"/>
      <c r="GTU120" s="65"/>
      <c r="GTV120" s="65"/>
      <c r="GTW120" s="65"/>
      <c r="GTX120" s="65"/>
      <c r="GTY120" s="65"/>
      <c r="GTZ120" s="65"/>
      <c r="GUA120" s="65"/>
      <c r="GUB120" s="65"/>
      <c r="GUC120" s="65"/>
      <c r="GUD120" s="65"/>
      <c r="GUE120" s="65"/>
      <c r="GUF120" s="65"/>
      <c r="GUG120" s="65"/>
      <c r="GUH120" s="65"/>
      <c r="GUI120" s="65"/>
      <c r="GUJ120" s="65"/>
      <c r="GUK120" s="65"/>
      <c r="GUL120" s="65"/>
      <c r="GUM120" s="65"/>
      <c r="GUN120" s="65"/>
      <c r="GUO120" s="65"/>
      <c r="GUP120" s="65"/>
      <c r="GUQ120" s="65"/>
      <c r="GUR120" s="65"/>
      <c r="GUS120" s="65"/>
      <c r="GUT120" s="65"/>
      <c r="GUU120" s="65"/>
      <c r="GUV120" s="65"/>
      <c r="GUW120" s="65"/>
      <c r="GUX120" s="65"/>
      <c r="GUY120" s="65"/>
      <c r="GUZ120" s="65"/>
      <c r="GVA120" s="65"/>
      <c r="GVB120" s="65"/>
      <c r="GVC120" s="65"/>
      <c r="GVD120" s="65"/>
      <c r="GVE120" s="65"/>
      <c r="GVF120" s="65"/>
      <c r="GVG120" s="65"/>
      <c r="GVH120" s="65"/>
      <c r="GVI120" s="65"/>
      <c r="GVJ120" s="65"/>
      <c r="GVK120" s="65"/>
      <c r="GVL120" s="65"/>
      <c r="GVM120" s="65"/>
      <c r="GVN120" s="65"/>
      <c r="GVO120" s="65"/>
      <c r="GVP120" s="65"/>
      <c r="GVQ120" s="65"/>
      <c r="GVR120" s="65"/>
      <c r="GVS120" s="65"/>
      <c r="GVT120" s="65"/>
      <c r="GVU120" s="65"/>
      <c r="GVV120" s="65"/>
      <c r="GVW120" s="65"/>
      <c r="GVX120" s="65"/>
      <c r="GVY120" s="65"/>
      <c r="GVZ120" s="65"/>
      <c r="GWA120" s="65"/>
      <c r="GWB120" s="65"/>
      <c r="GWC120" s="65"/>
      <c r="GWD120" s="65"/>
      <c r="GWE120" s="65"/>
      <c r="GWF120" s="65"/>
      <c r="GWG120" s="65"/>
      <c r="GWH120" s="65"/>
      <c r="GWI120" s="65"/>
      <c r="GWJ120" s="65"/>
      <c r="GWK120" s="65"/>
      <c r="GWL120" s="65"/>
      <c r="GWM120" s="65"/>
      <c r="GWN120" s="65"/>
      <c r="GWO120" s="65"/>
      <c r="GWP120" s="65"/>
      <c r="GWQ120" s="65"/>
      <c r="GWR120" s="65"/>
      <c r="GWS120" s="65"/>
      <c r="GWT120" s="65"/>
      <c r="GWU120" s="65"/>
      <c r="GWV120" s="65"/>
      <c r="GWW120" s="65"/>
      <c r="GWX120" s="65"/>
      <c r="GWY120" s="65"/>
      <c r="GWZ120" s="65"/>
      <c r="GXA120" s="65"/>
      <c r="GXB120" s="65"/>
      <c r="GXC120" s="65"/>
      <c r="GXD120" s="65"/>
      <c r="GXE120" s="65"/>
      <c r="GXF120" s="65"/>
      <c r="GXG120" s="65"/>
      <c r="GXH120" s="65"/>
      <c r="GXI120" s="65"/>
      <c r="GXJ120" s="65"/>
      <c r="GXK120" s="65"/>
      <c r="GXL120" s="65"/>
      <c r="GXM120" s="65"/>
      <c r="GXN120" s="65"/>
      <c r="GXO120" s="65"/>
      <c r="GXP120" s="65"/>
      <c r="GXQ120" s="65"/>
      <c r="GXR120" s="65"/>
      <c r="GXS120" s="65"/>
      <c r="GXT120" s="65"/>
      <c r="GXU120" s="65"/>
      <c r="GXV120" s="65"/>
      <c r="GXW120" s="65"/>
      <c r="GXX120" s="65"/>
      <c r="GXY120" s="65"/>
      <c r="GXZ120" s="65"/>
      <c r="GYA120" s="65"/>
      <c r="GYB120" s="65"/>
      <c r="GYC120" s="65"/>
      <c r="GYD120" s="65"/>
      <c r="GYE120" s="65"/>
      <c r="GYF120" s="65"/>
      <c r="GYG120" s="65"/>
      <c r="GYH120" s="65"/>
      <c r="GYI120" s="65"/>
      <c r="GYJ120" s="65"/>
      <c r="GYK120" s="65"/>
      <c r="GYL120" s="65"/>
      <c r="GYM120" s="65"/>
      <c r="GYN120" s="65"/>
      <c r="GYO120" s="65"/>
      <c r="GYP120" s="65"/>
      <c r="GYQ120" s="65"/>
      <c r="GYR120" s="65"/>
      <c r="GYS120" s="65"/>
      <c r="GYT120" s="65"/>
      <c r="GYU120" s="65"/>
      <c r="GYV120" s="65"/>
      <c r="GYW120" s="65"/>
      <c r="GYX120" s="65"/>
      <c r="GYY120" s="65"/>
      <c r="GYZ120" s="65"/>
      <c r="GZA120" s="65"/>
      <c r="GZB120" s="65"/>
      <c r="GZC120" s="65"/>
      <c r="GZD120" s="65"/>
      <c r="GZE120" s="65"/>
      <c r="GZF120" s="65"/>
      <c r="GZG120" s="65"/>
      <c r="GZH120" s="65"/>
      <c r="GZI120" s="65"/>
      <c r="GZJ120" s="65"/>
      <c r="GZK120" s="65"/>
      <c r="GZL120" s="65"/>
      <c r="GZM120" s="65"/>
      <c r="GZN120" s="65"/>
      <c r="GZO120" s="65"/>
      <c r="GZP120" s="65"/>
      <c r="GZQ120" s="65"/>
      <c r="GZR120" s="65"/>
      <c r="GZS120" s="65"/>
      <c r="GZT120" s="65"/>
      <c r="GZU120" s="65"/>
      <c r="GZV120" s="65"/>
      <c r="GZW120" s="65"/>
      <c r="GZX120" s="65"/>
      <c r="GZY120" s="65"/>
      <c r="GZZ120" s="65"/>
      <c r="HAA120" s="65"/>
      <c r="HAB120" s="65"/>
      <c r="HAC120" s="65"/>
      <c r="HAD120" s="65"/>
      <c r="HAE120" s="65"/>
      <c r="HAF120" s="65"/>
      <c r="HAG120" s="65"/>
      <c r="HAH120" s="65"/>
      <c r="HAI120" s="65"/>
      <c r="HAJ120" s="65"/>
      <c r="HAK120" s="65"/>
      <c r="HAL120" s="65"/>
      <c r="HAM120" s="65"/>
      <c r="HAN120" s="65"/>
      <c r="HAO120" s="65"/>
      <c r="HAP120" s="65"/>
      <c r="HAQ120" s="65"/>
      <c r="HAR120" s="65"/>
      <c r="HAS120" s="65"/>
      <c r="HAT120" s="65"/>
      <c r="HAU120" s="65"/>
      <c r="HAV120" s="65"/>
      <c r="HAW120" s="65"/>
      <c r="HAX120" s="65"/>
      <c r="HAY120" s="65"/>
      <c r="HAZ120" s="65"/>
      <c r="HBA120" s="65"/>
      <c r="HBB120" s="65"/>
      <c r="HBC120" s="65"/>
      <c r="HBD120" s="65"/>
      <c r="HBE120" s="65"/>
      <c r="HBF120" s="65"/>
      <c r="HBG120" s="65"/>
      <c r="HBH120" s="65"/>
      <c r="HBI120" s="65"/>
      <c r="HBJ120" s="65"/>
      <c r="HBK120" s="65"/>
      <c r="HBL120" s="65"/>
      <c r="HBM120" s="65"/>
      <c r="HBN120" s="65"/>
      <c r="HBO120" s="65"/>
      <c r="HBP120" s="65"/>
      <c r="HBQ120" s="65"/>
      <c r="HBR120" s="65"/>
      <c r="HBS120" s="65"/>
      <c r="HBT120" s="65"/>
      <c r="HBU120" s="65"/>
      <c r="HBV120" s="65"/>
      <c r="HBW120" s="65"/>
      <c r="HBX120" s="65"/>
      <c r="HBY120" s="65"/>
      <c r="HBZ120" s="65"/>
      <c r="HCA120" s="65"/>
      <c r="HCB120" s="65"/>
      <c r="HCC120" s="65"/>
      <c r="HCD120" s="65"/>
      <c r="HCE120" s="65"/>
      <c r="HCF120" s="65"/>
      <c r="HCG120" s="65"/>
      <c r="HCH120" s="65"/>
      <c r="HCI120" s="65"/>
      <c r="HCJ120" s="65"/>
      <c r="HCK120" s="65"/>
      <c r="HCL120" s="65"/>
      <c r="HCM120" s="65"/>
      <c r="HCN120" s="65"/>
      <c r="HCO120" s="65"/>
      <c r="HCP120" s="65"/>
      <c r="HCQ120" s="65"/>
      <c r="HCR120" s="65"/>
      <c r="HCS120" s="65"/>
      <c r="HCT120" s="65"/>
      <c r="HCU120" s="65"/>
      <c r="HCV120" s="65"/>
      <c r="HCW120" s="65"/>
      <c r="HCX120" s="65"/>
      <c r="HCY120" s="65"/>
      <c r="HCZ120" s="65"/>
      <c r="HDA120" s="65"/>
      <c r="HDB120" s="65"/>
      <c r="HDC120" s="65"/>
      <c r="HDD120" s="65"/>
      <c r="HDE120" s="65"/>
      <c r="HDF120" s="65"/>
      <c r="HDG120" s="65"/>
      <c r="HDH120" s="65"/>
      <c r="HDI120" s="65"/>
      <c r="HDJ120" s="65"/>
      <c r="HDK120" s="65"/>
      <c r="HDL120" s="65"/>
      <c r="HDM120" s="65"/>
      <c r="HDN120" s="65"/>
      <c r="HDO120" s="65"/>
      <c r="HDP120" s="65"/>
      <c r="HDQ120" s="65"/>
      <c r="HDR120" s="65"/>
      <c r="HDS120" s="65"/>
      <c r="HDT120" s="65"/>
      <c r="HDU120" s="65"/>
      <c r="HDV120" s="65"/>
      <c r="HDW120" s="65"/>
      <c r="HDX120" s="65"/>
      <c r="HDY120" s="65"/>
      <c r="HDZ120" s="65"/>
      <c r="HEA120" s="65"/>
      <c r="HEB120" s="65"/>
      <c r="HEC120" s="65"/>
      <c r="HED120" s="65"/>
      <c r="HEE120" s="65"/>
      <c r="HEF120" s="65"/>
      <c r="HEG120" s="65"/>
      <c r="HEH120" s="65"/>
      <c r="HEI120" s="65"/>
      <c r="HEJ120" s="65"/>
      <c r="HEK120" s="65"/>
      <c r="HEL120" s="65"/>
      <c r="HEM120" s="65"/>
      <c r="HEN120" s="65"/>
      <c r="HEO120" s="65"/>
      <c r="HEP120" s="65"/>
      <c r="HEQ120" s="65"/>
      <c r="HER120" s="65"/>
      <c r="HES120" s="65"/>
      <c r="HET120" s="65"/>
      <c r="HEU120" s="65"/>
      <c r="HEV120" s="65"/>
      <c r="HEW120" s="65"/>
      <c r="HEX120" s="65"/>
      <c r="HEY120" s="65"/>
      <c r="HEZ120" s="65"/>
      <c r="HFA120" s="65"/>
      <c r="HFB120" s="65"/>
      <c r="HFC120" s="65"/>
      <c r="HFD120" s="65"/>
      <c r="HFE120" s="65"/>
      <c r="HFF120" s="65"/>
      <c r="HFG120" s="65"/>
      <c r="HFH120" s="65"/>
      <c r="HFI120" s="65"/>
      <c r="HFJ120" s="65"/>
      <c r="HFK120" s="65"/>
      <c r="HFL120" s="65"/>
      <c r="HFM120" s="65"/>
      <c r="HFN120" s="65"/>
      <c r="HFO120" s="65"/>
      <c r="HFP120" s="65"/>
      <c r="HFQ120" s="65"/>
      <c r="HFR120" s="65"/>
      <c r="HFS120" s="65"/>
      <c r="HFT120" s="65"/>
      <c r="HFU120" s="65"/>
      <c r="HFV120" s="65"/>
      <c r="HFW120" s="65"/>
      <c r="HFX120" s="65"/>
      <c r="HFY120" s="65"/>
      <c r="HFZ120" s="65"/>
      <c r="HGA120" s="65"/>
      <c r="HGB120" s="65"/>
      <c r="HGC120" s="65"/>
      <c r="HGD120" s="65"/>
      <c r="HGE120" s="65"/>
      <c r="HGF120" s="65"/>
      <c r="HGG120" s="65"/>
      <c r="HGH120" s="65"/>
      <c r="HGI120" s="65"/>
      <c r="HGJ120" s="65"/>
      <c r="HGK120" s="65"/>
      <c r="HGL120" s="65"/>
      <c r="HGM120" s="65"/>
      <c r="HGN120" s="65"/>
      <c r="HGO120" s="65"/>
      <c r="HGP120" s="65"/>
      <c r="HGQ120" s="65"/>
      <c r="HGR120" s="65"/>
      <c r="HGS120" s="65"/>
      <c r="HGT120" s="65"/>
      <c r="HGU120" s="65"/>
      <c r="HGV120" s="65"/>
      <c r="HGW120" s="65"/>
      <c r="HGX120" s="65"/>
      <c r="HGY120" s="65"/>
      <c r="HGZ120" s="65"/>
      <c r="HHA120" s="65"/>
      <c r="HHB120" s="65"/>
      <c r="HHC120" s="65"/>
      <c r="HHD120" s="65"/>
      <c r="HHE120" s="65"/>
      <c r="HHF120" s="65"/>
      <c r="HHG120" s="65"/>
      <c r="HHH120" s="65"/>
      <c r="HHI120" s="65"/>
      <c r="HHJ120" s="65"/>
      <c r="HHK120" s="65"/>
      <c r="HHL120" s="65"/>
      <c r="HHM120" s="65"/>
      <c r="HHN120" s="65"/>
      <c r="HHO120" s="65"/>
      <c r="HHP120" s="65"/>
      <c r="HHQ120" s="65"/>
      <c r="HHR120" s="65"/>
      <c r="HHS120" s="65"/>
      <c r="HHT120" s="65"/>
      <c r="HHU120" s="65"/>
      <c r="HHV120" s="65"/>
      <c r="HHW120" s="65"/>
      <c r="HHX120" s="65"/>
      <c r="HHY120" s="65"/>
      <c r="HHZ120" s="65"/>
      <c r="HIA120" s="65"/>
      <c r="HIB120" s="65"/>
      <c r="HIC120" s="65"/>
      <c r="HID120" s="65"/>
      <c r="HIE120" s="65"/>
      <c r="HIF120" s="65"/>
      <c r="HIG120" s="65"/>
      <c r="HIH120" s="65"/>
      <c r="HII120" s="65"/>
      <c r="HIJ120" s="65"/>
      <c r="HIK120" s="65"/>
      <c r="HIL120" s="65"/>
      <c r="HIM120" s="65"/>
      <c r="HIN120" s="65"/>
      <c r="HIO120" s="65"/>
      <c r="HIP120" s="65"/>
      <c r="HIQ120" s="65"/>
      <c r="HIR120" s="65"/>
      <c r="HIS120" s="65"/>
      <c r="HIT120" s="65"/>
      <c r="HIU120" s="65"/>
      <c r="HIV120" s="65"/>
      <c r="HIW120" s="65"/>
      <c r="HIX120" s="65"/>
      <c r="HIY120" s="65"/>
      <c r="HIZ120" s="65"/>
      <c r="HJA120" s="65"/>
      <c r="HJB120" s="65"/>
      <c r="HJC120" s="65"/>
      <c r="HJD120" s="65"/>
      <c r="HJE120" s="65"/>
      <c r="HJF120" s="65"/>
      <c r="HJG120" s="65"/>
      <c r="HJH120" s="65"/>
      <c r="HJI120" s="65"/>
      <c r="HJJ120" s="65"/>
      <c r="HJK120" s="65"/>
      <c r="HJL120" s="65"/>
      <c r="HJM120" s="65"/>
      <c r="HJN120" s="65"/>
      <c r="HJO120" s="65"/>
      <c r="HJP120" s="65"/>
      <c r="HJQ120" s="65"/>
      <c r="HJR120" s="65"/>
      <c r="HJS120" s="65"/>
      <c r="HJT120" s="65"/>
      <c r="HJU120" s="65"/>
      <c r="HJV120" s="65"/>
      <c r="HJW120" s="65"/>
      <c r="HJX120" s="65"/>
      <c r="HJY120" s="65"/>
      <c r="HJZ120" s="65"/>
      <c r="HKA120" s="65"/>
      <c r="HKB120" s="65"/>
      <c r="HKC120" s="65"/>
      <c r="HKD120" s="65"/>
      <c r="HKE120" s="65"/>
      <c r="HKF120" s="65"/>
      <c r="HKG120" s="65"/>
      <c r="HKH120" s="65"/>
      <c r="HKI120" s="65"/>
      <c r="HKJ120" s="65"/>
      <c r="HKK120" s="65"/>
      <c r="HKL120" s="65"/>
      <c r="HKM120" s="65"/>
      <c r="HKN120" s="65"/>
      <c r="HKO120" s="65"/>
      <c r="HKP120" s="65"/>
      <c r="HKQ120" s="65"/>
      <c r="HKR120" s="65"/>
      <c r="HKS120" s="65"/>
      <c r="HKT120" s="65"/>
      <c r="HKU120" s="65"/>
      <c r="HKV120" s="65"/>
      <c r="HKW120" s="65"/>
      <c r="HKX120" s="65"/>
      <c r="HKY120" s="65"/>
      <c r="HKZ120" s="65"/>
      <c r="HLA120" s="65"/>
      <c r="HLB120" s="65"/>
      <c r="HLC120" s="65"/>
      <c r="HLD120" s="65"/>
      <c r="HLE120" s="65"/>
      <c r="HLF120" s="65"/>
      <c r="HLG120" s="65"/>
      <c r="HLH120" s="65"/>
      <c r="HLI120" s="65"/>
      <c r="HLJ120" s="65"/>
      <c r="HLK120" s="65"/>
      <c r="HLL120" s="65"/>
      <c r="HLM120" s="65"/>
      <c r="HLN120" s="65"/>
      <c r="HLO120" s="65"/>
      <c r="HLP120" s="65"/>
      <c r="HLQ120" s="65"/>
      <c r="HLR120" s="65"/>
      <c r="HLS120" s="65"/>
      <c r="HLT120" s="65"/>
      <c r="HLU120" s="65"/>
      <c r="HLV120" s="65"/>
      <c r="HLW120" s="65"/>
      <c r="HLX120" s="65"/>
      <c r="HLY120" s="65"/>
      <c r="HLZ120" s="65"/>
      <c r="HMA120" s="65"/>
      <c r="HMB120" s="65"/>
      <c r="HMC120" s="65"/>
      <c r="HMD120" s="65"/>
      <c r="HME120" s="65"/>
      <c r="HMF120" s="65"/>
      <c r="HMG120" s="65"/>
      <c r="HMH120" s="65"/>
      <c r="HMI120" s="65"/>
      <c r="HMJ120" s="65"/>
      <c r="HMK120" s="65"/>
      <c r="HML120" s="65"/>
      <c r="HMM120" s="65"/>
      <c r="HMN120" s="65"/>
      <c r="HMO120" s="65"/>
      <c r="HMP120" s="65"/>
      <c r="HMQ120" s="65"/>
      <c r="HMR120" s="65"/>
      <c r="HMS120" s="65"/>
      <c r="HMT120" s="65"/>
      <c r="HMU120" s="65"/>
      <c r="HMV120" s="65"/>
      <c r="HMW120" s="65"/>
      <c r="HMX120" s="65"/>
      <c r="HMY120" s="65"/>
      <c r="HMZ120" s="65"/>
      <c r="HNA120" s="65"/>
      <c r="HNB120" s="65"/>
      <c r="HNC120" s="65"/>
      <c r="HND120" s="65"/>
      <c r="HNE120" s="65"/>
      <c r="HNF120" s="65"/>
      <c r="HNG120" s="65"/>
      <c r="HNH120" s="65"/>
      <c r="HNI120" s="65"/>
      <c r="HNJ120" s="65"/>
      <c r="HNK120" s="65"/>
      <c r="HNL120" s="65"/>
      <c r="HNM120" s="65"/>
      <c r="HNN120" s="65"/>
      <c r="HNO120" s="65"/>
      <c r="HNP120" s="65"/>
      <c r="HNQ120" s="65"/>
      <c r="HNR120" s="65"/>
      <c r="HNS120" s="65"/>
      <c r="HNT120" s="65"/>
      <c r="HNU120" s="65"/>
      <c r="HNV120" s="65"/>
      <c r="HNW120" s="65"/>
      <c r="HNX120" s="65"/>
      <c r="HNY120" s="65"/>
      <c r="HNZ120" s="65"/>
      <c r="HOA120" s="65"/>
      <c r="HOB120" s="65"/>
      <c r="HOC120" s="65"/>
      <c r="HOD120" s="65"/>
      <c r="HOE120" s="65"/>
      <c r="HOF120" s="65"/>
      <c r="HOG120" s="65"/>
      <c r="HOH120" s="65"/>
      <c r="HOI120" s="65"/>
      <c r="HOJ120" s="65"/>
      <c r="HOK120" s="65"/>
      <c r="HOL120" s="65"/>
      <c r="HOM120" s="65"/>
      <c r="HON120" s="65"/>
      <c r="HOO120" s="65"/>
      <c r="HOP120" s="65"/>
      <c r="HOQ120" s="65"/>
      <c r="HOR120" s="65"/>
      <c r="HOS120" s="65"/>
      <c r="HOT120" s="65"/>
      <c r="HOU120" s="65"/>
      <c r="HOV120" s="65"/>
      <c r="HOW120" s="65"/>
      <c r="HOX120" s="65"/>
      <c r="HOY120" s="65"/>
      <c r="HOZ120" s="65"/>
      <c r="HPA120" s="65"/>
      <c r="HPB120" s="65"/>
      <c r="HPC120" s="65"/>
      <c r="HPD120" s="65"/>
      <c r="HPE120" s="65"/>
      <c r="HPF120" s="65"/>
      <c r="HPG120" s="65"/>
      <c r="HPH120" s="65"/>
      <c r="HPI120" s="65"/>
      <c r="HPJ120" s="65"/>
      <c r="HPK120" s="65"/>
      <c r="HPL120" s="65"/>
      <c r="HPM120" s="65"/>
      <c r="HPN120" s="65"/>
      <c r="HPO120" s="65"/>
      <c r="HPP120" s="65"/>
      <c r="HPQ120" s="65"/>
      <c r="HPR120" s="65"/>
      <c r="HPS120" s="65"/>
      <c r="HPT120" s="65"/>
      <c r="HPU120" s="65"/>
      <c r="HPV120" s="65"/>
      <c r="HPW120" s="65"/>
      <c r="HPX120" s="65"/>
      <c r="HPY120" s="65"/>
      <c r="HPZ120" s="65"/>
      <c r="HQA120" s="65"/>
      <c r="HQB120" s="65"/>
      <c r="HQC120" s="65"/>
      <c r="HQD120" s="65"/>
      <c r="HQE120" s="65"/>
      <c r="HQF120" s="65"/>
      <c r="HQG120" s="65"/>
      <c r="HQH120" s="65"/>
      <c r="HQI120" s="65"/>
      <c r="HQJ120" s="65"/>
      <c r="HQK120" s="65"/>
      <c r="HQL120" s="65"/>
      <c r="HQM120" s="65"/>
      <c r="HQN120" s="65"/>
      <c r="HQO120" s="65"/>
      <c r="HQP120" s="65"/>
      <c r="HQQ120" s="65"/>
      <c r="HQR120" s="65"/>
      <c r="HQS120" s="65"/>
      <c r="HQT120" s="65"/>
      <c r="HQU120" s="65"/>
      <c r="HQV120" s="65"/>
      <c r="HQW120" s="65"/>
      <c r="HQX120" s="65"/>
      <c r="HQY120" s="65"/>
      <c r="HQZ120" s="65"/>
      <c r="HRA120" s="65"/>
      <c r="HRB120" s="65"/>
      <c r="HRC120" s="65"/>
      <c r="HRD120" s="65"/>
      <c r="HRE120" s="65"/>
      <c r="HRF120" s="65"/>
      <c r="HRG120" s="65"/>
      <c r="HRH120" s="65"/>
      <c r="HRI120" s="65"/>
      <c r="HRJ120" s="65"/>
      <c r="HRK120" s="65"/>
      <c r="HRL120" s="65"/>
      <c r="HRM120" s="65"/>
      <c r="HRN120" s="65"/>
      <c r="HRO120" s="65"/>
      <c r="HRP120" s="65"/>
      <c r="HRQ120" s="65"/>
      <c r="HRR120" s="65"/>
      <c r="HRS120" s="65"/>
      <c r="HRT120" s="65"/>
      <c r="HRU120" s="65"/>
      <c r="HRV120" s="65"/>
      <c r="HRW120" s="65"/>
      <c r="HRX120" s="65"/>
      <c r="HRY120" s="65"/>
      <c r="HRZ120" s="65"/>
      <c r="HSA120" s="65"/>
      <c r="HSB120" s="65"/>
      <c r="HSC120" s="65"/>
      <c r="HSD120" s="65"/>
      <c r="HSE120" s="65"/>
      <c r="HSF120" s="65"/>
      <c r="HSG120" s="65"/>
      <c r="HSH120" s="65"/>
      <c r="HSI120" s="65"/>
      <c r="HSJ120" s="65"/>
      <c r="HSK120" s="65"/>
      <c r="HSL120" s="65"/>
      <c r="HSM120" s="65"/>
      <c r="HSN120" s="65"/>
      <c r="HSO120" s="65"/>
      <c r="HSP120" s="65"/>
      <c r="HSQ120" s="65"/>
      <c r="HSR120" s="65"/>
      <c r="HSS120" s="65"/>
      <c r="HST120" s="65"/>
      <c r="HSU120" s="65"/>
      <c r="HSV120" s="65"/>
      <c r="HSW120" s="65"/>
      <c r="HSX120" s="65"/>
      <c r="HSY120" s="65"/>
      <c r="HSZ120" s="65"/>
      <c r="HTA120" s="65"/>
      <c r="HTB120" s="65"/>
      <c r="HTC120" s="65"/>
      <c r="HTD120" s="65"/>
      <c r="HTE120" s="65"/>
      <c r="HTF120" s="65"/>
      <c r="HTG120" s="65"/>
      <c r="HTH120" s="65"/>
      <c r="HTI120" s="65"/>
      <c r="HTJ120" s="65"/>
      <c r="HTK120" s="65"/>
      <c r="HTL120" s="65"/>
      <c r="HTM120" s="65"/>
      <c r="HTN120" s="65"/>
      <c r="HTO120" s="65"/>
      <c r="HTP120" s="65"/>
      <c r="HTQ120" s="65"/>
      <c r="HTR120" s="65"/>
      <c r="HTS120" s="65"/>
      <c r="HTT120" s="65"/>
      <c r="HTU120" s="65"/>
      <c r="HTV120" s="65"/>
      <c r="HTW120" s="65"/>
      <c r="HTX120" s="65"/>
      <c r="HTY120" s="65"/>
      <c r="HTZ120" s="65"/>
      <c r="HUA120" s="65"/>
      <c r="HUB120" s="65"/>
      <c r="HUC120" s="65"/>
      <c r="HUD120" s="65"/>
      <c r="HUE120" s="65"/>
      <c r="HUF120" s="65"/>
      <c r="HUG120" s="65"/>
      <c r="HUH120" s="65"/>
      <c r="HUI120" s="65"/>
      <c r="HUJ120" s="65"/>
      <c r="HUK120" s="65"/>
      <c r="HUL120" s="65"/>
      <c r="HUM120" s="65"/>
      <c r="HUN120" s="65"/>
      <c r="HUO120" s="65"/>
      <c r="HUP120" s="65"/>
      <c r="HUQ120" s="65"/>
      <c r="HUR120" s="65"/>
      <c r="HUS120" s="65"/>
      <c r="HUT120" s="65"/>
      <c r="HUU120" s="65"/>
      <c r="HUV120" s="65"/>
      <c r="HUW120" s="65"/>
      <c r="HUX120" s="65"/>
      <c r="HUY120" s="65"/>
      <c r="HUZ120" s="65"/>
      <c r="HVA120" s="65"/>
      <c r="HVB120" s="65"/>
      <c r="HVC120" s="65"/>
      <c r="HVD120" s="65"/>
      <c r="HVE120" s="65"/>
      <c r="HVF120" s="65"/>
      <c r="HVG120" s="65"/>
      <c r="HVH120" s="65"/>
      <c r="HVI120" s="65"/>
      <c r="HVJ120" s="65"/>
      <c r="HVK120" s="65"/>
      <c r="HVL120" s="65"/>
      <c r="HVM120" s="65"/>
      <c r="HVN120" s="65"/>
      <c r="HVO120" s="65"/>
      <c r="HVP120" s="65"/>
      <c r="HVQ120" s="65"/>
      <c r="HVR120" s="65"/>
      <c r="HVS120" s="65"/>
      <c r="HVT120" s="65"/>
      <c r="HVU120" s="65"/>
      <c r="HVV120" s="65"/>
      <c r="HVW120" s="65"/>
      <c r="HVX120" s="65"/>
      <c r="HVY120" s="65"/>
      <c r="HVZ120" s="65"/>
      <c r="HWA120" s="65"/>
      <c r="HWB120" s="65"/>
      <c r="HWC120" s="65"/>
      <c r="HWD120" s="65"/>
      <c r="HWE120" s="65"/>
      <c r="HWF120" s="65"/>
      <c r="HWG120" s="65"/>
      <c r="HWH120" s="65"/>
      <c r="HWI120" s="65"/>
      <c r="HWJ120" s="65"/>
      <c r="HWK120" s="65"/>
      <c r="HWL120" s="65"/>
      <c r="HWM120" s="65"/>
      <c r="HWN120" s="65"/>
      <c r="HWO120" s="65"/>
      <c r="HWP120" s="65"/>
      <c r="HWQ120" s="65"/>
      <c r="HWR120" s="65"/>
      <c r="HWS120" s="65"/>
      <c r="HWT120" s="65"/>
      <c r="HWU120" s="65"/>
      <c r="HWV120" s="65"/>
      <c r="HWW120" s="65"/>
      <c r="HWX120" s="65"/>
      <c r="HWY120" s="65"/>
      <c r="HWZ120" s="65"/>
      <c r="HXA120" s="65"/>
      <c r="HXB120" s="65"/>
      <c r="HXC120" s="65"/>
      <c r="HXD120" s="65"/>
      <c r="HXE120" s="65"/>
      <c r="HXF120" s="65"/>
      <c r="HXG120" s="65"/>
      <c r="HXH120" s="65"/>
      <c r="HXI120" s="65"/>
      <c r="HXJ120" s="65"/>
      <c r="HXK120" s="65"/>
      <c r="HXL120" s="65"/>
      <c r="HXM120" s="65"/>
      <c r="HXN120" s="65"/>
      <c r="HXO120" s="65"/>
      <c r="HXP120" s="65"/>
      <c r="HXQ120" s="65"/>
      <c r="HXR120" s="65"/>
      <c r="HXS120" s="65"/>
      <c r="HXT120" s="65"/>
      <c r="HXU120" s="65"/>
      <c r="HXV120" s="65"/>
      <c r="HXW120" s="65"/>
      <c r="HXX120" s="65"/>
      <c r="HXY120" s="65"/>
      <c r="HXZ120" s="65"/>
      <c r="HYA120" s="65"/>
      <c r="HYB120" s="65"/>
      <c r="HYC120" s="65"/>
      <c r="HYD120" s="65"/>
      <c r="HYE120" s="65"/>
      <c r="HYF120" s="65"/>
      <c r="HYG120" s="65"/>
      <c r="HYH120" s="65"/>
      <c r="HYI120" s="65"/>
      <c r="HYJ120" s="65"/>
      <c r="HYK120" s="65"/>
      <c r="HYL120" s="65"/>
      <c r="HYM120" s="65"/>
      <c r="HYN120" s="65"/>
      <c r="HYO120" s="65"/>
      <c r="HYP120" s="65"/>
      <c r="HYQ120" s="65"/>
      <c r="HYR120" s="65"/>
      <c r="HYS120" s="65"/>
      <c r="HYT120" s="65"/>
      <c r="HYU120" s="65"/>
      <c r="HYV120" s="65"/>
      <c r="HYW120" s="65"/>
      <c r="HYX120" s="65"/>
      <c r="HYY120" s="65"/>
      <c r="HYZ120" s="65"/>
      <c r="HZA120" s="65"/>
      <c r="HZB120" s="65"/>
      <c r="HZC120" s="65"/>
      <c r="HZD120" s="65"/>
      <c r="HZE120" s="65"/>
      <c r="HZF120" s="65"/>
      <c r="HZG120" s="65"/>
      <c r="HZH120" s="65"/>
      <c r="HZI120" s="65"/>
      <c r="HZJ120" s="65"/>
      <c r="HZK120" s="65"/>
      <c r="HZL120" s="65"/>
      <c r="HZM120" s="65"/>
      <c r="HZN120" s="65"/>
      <c r="HZO120" s="65"/>
      <c r="HZP120" s="65"/>
      <c r="HZQ120" s="65"/>
      <c r="HZR120" s="65"/>
      <c r="HZS120" s="65"/>
      <c r="HZT120" s="65"/>
      <c r="HZU120" s="65"/>
      <c r="HZV120" s="65"/>
      <c r="HZW120" s="65"/>
      <c r="HZX120" s="65"/>
      <c r="HZY120" s="65"/>
      <c r="HZZ120" s="65"/>
      <c r="IAA120" s="65"/>
      <c r="IAB120" s="65"/>
      <c r="IAC120" s="65"/>
      <c r="IAD120" s="65"/>
      <c r="IAE120" s="65"/>
      <c r="IAF120" s="65"/>
      <c r="IAG120" s="65"/>
      <c r="IAH120" s="65"/>
      <c r="IAI120" s="65"/>
      <c r="IAJ120" s="65"/>
      <c r="IAK120" s="65"/>
      <c r="IAL120" s="65"/>
      <c r="IAM120" s="65"/>
      <c r="IAN120" s="65"/>
      <c r="IAO120" s="65"/>
      <c r="IAP120" s="65"/>
      <c r="IAQ120" s="65"/>
      <c r="IAR120" s="65"/>
      <c r="IAS120" s="65"/>
      <c r="IAT120" s="65"/>
      <c r="IAU120" s="65"/>
      <c r="IAV120" s="65"/>
      <c r="IAW120" s="65"/>
      <c r="IAX120" s="65"/>
      <c r="IAY120" s="65"/>
      <c r="IAZ120" s="65"/>
      <c r="IBA120" s="65"/>
      <c r="IBB120" s="65"/>
      <c r="IBC120" s="65"/>
      <c r="IBD120" s="65"/>
      <c r="IBE120" s="65"/>
      <c r="IBF120" s="65"/>
      <c r="IBG120" s="65"/>
      <c r="IBH120" s="65"/>
      <c r="IBI120" s="65"/>
      <c r="IBJ120" s="65"/>
      <c r="IBK120" s="65"/>
      <c r="IBL120" s="65"/>
      <c r="IBM120" s="65"/>
      <c r="IBN120" s="65"/>
      <c r="IBO120" s="65"/>
      <c r="IBP120" s="65"/>
      <c r="IBQ120" s="65"/>
      <c r="IBR120" s="65"/>
      <c r="IBS120" s="65"/>
      <c r="IBT120" s="65"/>
      <c r="IBU120" s="65"/>
      <c r="IBV120" s="65"/>
      <c r="IBW120" s="65"/>
      <c r="IBX120" s="65"/>
      <c r="IBY120" s="65"/>
      <c r="IBZ120" s="65"/>
      <c r="ICA120" s="65"/>
      <c r="ICB120" s="65"/>
      <c r="ICC120" s="65"/>
      <c r="ICD120" s="65"/>
      <c r="ICE120" s="65"/>
      <c r="ICF120" s="65"/>
      <c r="ICG120" s="65"/>
      <c r="ICH120" s="65"/>
      <c r="ICI120" s="65"/>
      <c r="ICJ120" s="65"/>
      <c r="ICK120" s="65"/>
      <c r="ICL120" s="65"/>
      <c r="ICM120" s="65"/>
      <c r="ICN120" s="65"/>
      <c r="ICO120" s="65"/>
      <c r="ICP120" s="65"/>
      <c r="ICQ120" s="65"/>
      <c r="ICR120" s="65"/>
      <c r="ICS120" s="65"/>
      <c r="ICT120" s="65"/>
      <c r="ICU120" s="65"/>
      <c r="ICV120" s="65"/>
      <c r="ICW120" s="65"/>
      <c r="ICX120" s="65"/>
      <c r="ICY120" s="65"/>
      <c r="ICZ120" s="65"/>
      <c r="IDA120" s="65"/>
      <c r="IDB120" s="65"/>
      <c r="IDC120" s="65"/>
      <c r="IDD120" s="65"/>
      <c r="IDE120" s="65"/>
      <c r="IDF120" s="65"/>
      <c r="IDG120" s="65"/>
      <c r="IDH120" s="65"/>
      <c r="IDI120" s="65"/>
      <c r="IDJ120" s="65"/>
      <c r="IDK120" s="65"/>
      <c r="IDL120" s="65"/>
      <c r="IDM120" s="65"/>
      <c r="IDN120" s="65"/>
      <c r="IDO120" s="65"/>
      <c r="IDP120" s="65"/>
      <c r="IDQ120" s="65"/>
      <c r="IDR120" s="65"/>
      <c r="IDS120" s="65"/>
      <c r="IDT120" s="65"/>
      <c r="IDU120" s="65"/>
      <c r="IDV120" s="65"/>
      <c r="IDW120" s="65"/>
      <c r="IDX120" s="65"/>
      <c r="IDY120" s="65"/>
      <c r="IDZ120" s="65"/>
      <c r="IEA120" s="65"/>
      <c r="IEB120" s="65"/>
      <c r="IEC120" s="65"/>
      <c r="IED120" s="65"/>
      <c r="IEE120" s="65"/>
      <c r="IEF120" s="65"/>
      <c r="IEG120" s="65"/>
      <c r="IEH120" s="65"/>
      <c r="IEI120" s="65"/>
      <c r="IEJ120" s="65"/>
      <c r="IEK120" s="65"/>
      <c r="IEL120" s="65"/>
      <c r="IEM120" s="65"/>
      <c r="IEN120" s="65"/>
      <c r="IEO120" s="65"/>
      <c r="IEP120" s="65"/>
      <c r="IEQ120" s="65"/>
      <c r="IER120" s="65"/>
      <c r="IES120" s="65"/>
      <c r="IET120" s="65"/>
      <c r="IEU120" s="65"/>
      <c r="IEV120" s="65"/>
      <c r="IEW120" s="65"/>
      <c r="IEX120" s="65"/>
      <c r="IEY120" s="65"/>
      <c r="IEZ120" s="65"/>
      <c r="IFA120" s="65"/>
      <c r="IFB120" s="65"/>
      <c r="IFC120" s="65"/>
      <c r="IFD120" s="65"/>
      <c r="IFE120" s="65"/>
      <c r="IFF120" s="65"/>
      <c r="IFG120" s="65"/>
      <c r="IFH120" s="65"/>
      <c r="IFI120" s="65"/>
      <c r="IFJ120" s="65"/>
      <c r="IFK120" s="65"/>
      <c r="IFL120" s="65"/>
      <c r="IFM120" s="65"/>
      <c r="IFN120" s="65"/>
      <c r="IFO120" s="65"/>
      <c r="IFP120" s="65"/>
      <c r="IFQ120" s="65"/>
      <c r="IFR120" s="65"/>
      <c r="IFS120" s="65"/>
      <c r="IFT120" s="65"/>
      <c r="IFU120" s="65"/>
      <c r="IFV120" s="65"/>
      <c r="IFW120" s="65"/>
      <c r="IFX120" s="65"/>
      <c r="IFY120" s="65"/>
      <c r="IFZ120" s="65"/>
      <c r="IGA120" s="65"/>
      <c r="IGB120" s="65"/>
      <c r="IGC120" s="65"/>
      <c r="IGD120" s="65"/>
      <c r="IGE120" s="65"/>
      <c r="IGF120" s="65"/>
      <c r="IGG120" s="65"/>
      <c r="IGH120" s="65"/>
      <c r="IGI120" s="65"/>
      <c r="IGJ120" s="65"/>
      <c r="IGK120" s="65"/>
      <c r="IGL120" s="65"/>
      <c r="IGM120" s="65"/>
      <c r="IGN120" s="65"/>
      <c r="IGO120" s="65"/>
      <c r="IGP120" s="65"/>
      <c r="IGQ120" s="65"/>
      <c r="IGR120" s="65"/>
      <c r="IGS120" s="65"/>
      <c r="IGT120" s="65"/>
      <c r="IGU120" s="65"/>
      <c r="IGV120" s="65"/>
      <c r="IGW120" s="65"/>
      <c r="IGX120" s="65"/>
      <c r="IGY120" s="65"/>
      <c r="IGZ120" s="65"/>
      <c r="IHA120" s="65"/>
      <c r="IHB120" s="65"/>
      <c r="IHC120" s="65"/>
      <c r="IHD120" s="65"/>
      <c r="IHE120" s="65"/>
      <c r="IHF120" s="65"/>
      <c r="IHG120" s="65"/>
      <c r="IHH120" s="65"/>
      <c r="IHI120" s="65"/>
      <c r="IHJ120" s="65"/>
      <c r="IHK120" s="65"/>
      <c r="IHL120" s="65"/>
      <c r="IHM120" s="65"/>
      <c r="IHN120" s="65"/>
      <c r="IHO120" s="65"/>
      <c r="IHP120" s="65"/>
      <c r="IHQ120" s="65"/>
      <c r="IHR120" s="65"/>
      <c r="IHS120" s="65"/>
      <c r="IHT120" s="65"/>
      <c r="IHU120" s="65"/>
      <c r="IHV120" s="65"/>
      <c r="IHW120" s="65"/>
      <c r="IHX120" s="65"/>
      <c r="IHY120" s="65"/>
      <c r="IHZ120" s="65"/>
      <c r="IIA120" s="65"/>
      <c r="IIB120" s="65"/>
      <c r="IIC120" s="65"/>
      <c r="IID120" s="65"/>
      <c r="IIE120" s="65"/>
      <c r="IIF120" s="65"/>
      <c r="IIG120" s="65"/>
      <c r="IIH120" s="65"/>
      <c r="III120" s="65"/>
      <c r="IIJ120" s="65"/>
      <c r="IIK120" s="65"/>
      <c r="IIL120" s="65"/>
      <c r="IIM120" s="65"/>
      <c r="IIN120" s="65"/>
      <c r="IIO120" s="65"/>
      <c r="IIP120" s="65"/>
      <c r="IIQ120" s="65"/>
      <c r="IIR120" s="65"/>
      <c r="IIS120" s="65"/>
      <c r="IIT120" s="65"/>
      <c r="IIU120" s="65"/>
      <c r="IIV120" s="65"/>
      <c r="IIW120" s="65"/>
      <c r="IIX120" s="65"/>
      <c r="IIY120" s="65"/>
      <c r="IIZ120" s="65"/>
      <c r="IJA120" s="65"/>
      <c r="IJB120" s="65"/>
      <c r="IJC120" s="65"/>
      <c r="IJD120" s="65"/>
      <c r="IJE120" s="65"/>
      <c r="IJF120" s="65"/>
      <c r="IJG120" s="65"/>
      <c r="IJH120" s="65"/>
      <c r="IJI120" s="65"/>
      <c r="IJJ120" s="65"/>
      <c r="IJK120" s="65"/>
      <c r="IJL120" s="65"/>
      <c r="IJM120" s="65"/>
      <c r="IJN120" s="65"/>
      <c r="IJO120" s="65"/>
      <c r="IJP120" s="65"/>
      <c r="IJQ120" s="65"/>
      <c r="IJR120" s="65"/>
      <c r="IJS120" s="65"/>
      <c r="IJT120" s="65"/>
      <c r="IJU120" s="65"/>
      <c r="IJV120" s="65"/>
      <c r="IJW120" s="65"/>
      <c r="IJX120" s="65"/>
      <c r="IJY120" s="65"/>
      <c r="IJZ120" s="65"/>
      <c r="IKA120" s="65"/>
      <c r="IKB120" s="65"/>
      <c r="IKC120" s="65"/>
      <c r="IKD120" s="65"/>
      <c r="IKE120" s="65"/>
      <c r="IKF120" s="65"/>
      <c r="IKG120" s="65"/>
      <c r="IKH120" s="65"/>
      <c r="IKI120" s="65"/>
      <c r="IKJ120" s="65"/>
      <c r="IKK120" s="65"/>
      <c r="IKL120" s="65"/>
      <c r="IKM120" s="65"/>
      <c r="IKN120" s="65"/>
      <c r="IKO120" s="65"/>
      <c r="IKP120" s="65"/>
      <c r="IKQ120" s="65"/>
      <c r="IKR120" s="65"/>
      <c r="IKS120" s="65"/>
      <c r="IKT120" s="65"/>
      <c r="IKU120" s="65"/>
      <c r="IKV120" s="65"/>
      <c r="IKW120" s="65"/>
      <c r="IKX120" s="65"/>
      <c r="IKY120" s="65"/>
      <c r="IKZ120" s="65"/>
      <c r="ILA120" s="65"/>
      <c r="ILB120" s="65"/>
      <c r="ILC120" s="65"/>
      <c r="ILD120" s="65"/>
      <c r="ILE120" s="65"/>
      <c r="ILF120" s="65"/>
      <c r="ILG120" s="65"/>
      <c r="ILH120" s="65"/>
      <c r="ILI120" s="65"/>
      <c r="ILJ120" s="65"/>
      <c r="ILK120" s="65"/>
      <c r="ILL120" s="65"/>
      <c r="ILM120" s="65"/>
      <c r="ILN120" s="65"/>
      <c r="ILO120" s="65"/>
      <c r="ILP120" s="65"/>
      <c r="ILQ120" s="65"/>
      <c r="ILR120" s="65"/>
      <c r="ILS120" s="65"/>
      <c r="ILT120" s="65"/>
      <c r="ILU120" s="65"/>
      <c r="ILV120" s="65"/>
      <c r="ILW120" s="65"/>
      <c r="ILX120" s="65"/>
      <c r="ILY120" s="65"/>
      <c r="ILZ120" s="65"/>
      <c r="IMA120" s="65"/>
      <c r="IMB120" s="65"/>
      <c r="IMC120" s="65"/>
      <c r="IMD120" s="65"/>
      <c r="IME120" s="65"/>
      <c r="IMF120" s="65"/>
      <c r="IMG120" s="65"/>
      <c r="IMH120" s="65"/>
      <c r="IMI120" s="65"/>
      <c r="IMJ120" s="65"/>
      <c r="IMK120" s="65"/>
      <c r="IML120" s="65"/>
      <c r="IMM120" s="65"/>
      <c r="IMN120" s="65"/>
      <c r="IMO120" s="65"/>
      <c r="IMP120" s="65"/>
      <c r="IMQ120" s="65"/>
      <c r="IMR120" s="65"/>
      <c r="IMS120" s="65"/>
      <c r="IMT120" s="65"/>
      <c r="IMU120" s="65"/>
      <c r="IMV120" s="65"/>
      <c r="IMW120" s="65"/>
      <c r="IMX120" s="65"/>
      <c r="IMY120" s="65"/>
      <c r="IMZ120" s="65"/>
      <c r="INA120" s="65"/>
      <c r="INB120" s="65"/>
      <c r="INC120" s="65"/>
      <c r="IND120" s="65"/>
      <c r="INE120" s="65"/>
      <c r="INF120" s="65"/>
      <c r="ING120" s="65"/>
      <c r="INH120" s="65"/>
      <c r="INI120" s="65"/>
      <c r="INJ120" s="65"/>
      <c r="INK120" s="65"/>
      <c r="INL120" s="65"/>
      <c r="INM120" s="65"/>
      <c r="INN120" s="65"/>
      <c r="INO120" s="65"/>
      <c r="INP120" s="65"/>
      <c r="INQ120" s="65"/>
      <c r="INR120" s="65"/>
      <c r="INS120" s="65"/>
      <c r="INT120" s="65"/>
      <c r="INU120" s="65"/>
      <c r="INV120" s="65"/>
      <c r="INW120" s="65"/>
      <c r="INX120" s="65"/>
      <c r="INY120" s="65"/>
      <c r="INZ120" s="65"/>
      <c r="IOA120" s="65"/>
      <c r="IOB120" s="65"/>
      <c r="IOC120" s="65"/>
      <c r="IOD120" s="65"/>
      <c r="IOE120" s="65"/>
      <c r="IOF120" s="65"/>
      <c r="IOG120" s="65"/>
      <c r="IOH120" s="65"/>
      <c r="IOI120" s="65"/>
      <c r="IOJ120" s="65"/>
      <c r="IOK120" s="65"/>
      <c r="IOL120" s="65"/>
      <c r="IOM120" s="65"/>
      <c r="ION120" s="65"/>
      <c r="IOO120" s="65"/>
      <c r="IOP120" s="65"/>
      <c r="IOQ120" s="65"/>
      <c r="IOR120" s="65"/>
      <c r="IOS120" s="65"/>
      <c r="IOT120" s="65"/>
      <c r="IOU120" s="65"/>
      <c r="IOV120" s="65"/>
      <c r="IOW120" s="65"/>
      <c r="IOX120" s="65"/>
      <c r="IOY120" s="65"/>
      <c r="IOZ120" s="65"/>
      <c r="IPA120" s="65"/>
      <c r="IPB120" s="65"/>
      <c r="IPC120" s="65"/>
      <c r="IPD120" s="65"/>
      <c r="IPE120" s="65"/>
      <c r="IPF120" s="65"/>
      <c r="IPG120" s="65"/>
      <c r="IPH120" s="65"/>
      <c r="IPI120" s="65"/>
      <c r="IPJ120" s="65"/>
      <c r="IPK120" s="65"/>
      <c r="IPL120" s="65"/>
      <c r="IPM120" s="65"/>
      <c r="IPN120" s="65"/>
      <c r="IPO120" s="65"/>
      <c r="IPP120" s="65"/>
      <c r="IPQ120" s="65"/>
      <c r="IPR120" s="65"/>
      <c r="IPS120" s="65"/>
      <c r="IPT120" s="65"/>
      <c r="IPU120" s="65"/>
      <c r="IPV120" s="65"/>
      <c r="IPW120" s="65"/>
      <c r="IPX120" s="65"/>
      <c r="IPY120" s="65"/>
      <c r="IPZ120" s="65"/>
      <c r="IQA120" s="65"/>
      <c r="IQB120" s="65"/>
      <c r="IQC120" s="65"/>
      <c r="IQD120" s="65"/>
      <c r="IQE120" s="65"/>
      <c r="IQF120" s="65"/>
      <c r="IQG120" s="65"/>
      <c r="IQH120" s="65"/>
      <c r="IQI120" s="65"/>
      <c r="IQJ120" s="65"/>
      <c r="IQK120" s="65"/>
      <c r="IQL120" s="65"/>
      <c r="IQM120" s="65"/>
      <c r="IQN120" s="65"/>
      <c r="IQO120" s="65"/>
      <c r="IQP120" s="65"/>
      <c r="IQQ120" s="65"/>
      <c r="IQR120" s="65"/>
      <c r="IQS120" s="65"/>
      <c r="IQT120" s="65"/>
      <c r="IQU120" s="65"/>
      <c r="IQV120" s="65"/>
      <c r="IQW120" s="65"/>
      <c r="IQX120" s="65"/>
      <c r="IQY120" s="65"/>
      <c r="IQZ120" s="65"/>
      <c r="IRA120" s="65"/>
      <c r="IRB120" s="65"/>
      <c r="IRC120" s="65"/>
      <c r="IRD120" s="65"/>
      <c r="IRE120" s="65"/>
      <c r="IRF120" s="65"/>
      <c r="IRG120" s="65"/>
      <c r="IRH120" s="65"/>
      <c r="IRI120" s="65"/>
      <c r="IRJ120" s="65"/>
      <c r="IRK120" s="65"/>
      <c r="IRL120" s="65"/>
      <c r="IRM120" s="65"/>
      <c r="IRN120" s="65"/>
      <c r="IRO120" s="65"/>
      <c r="IRP120" s="65"/>
      <c r="IRQ120" s="65"/>
      <c r="IRR120" s="65"/>
      <c r="IRS120" s="65"/>
      <c r="IRT120" s="65"/>
      <c r="IRU120" s="65"/>
      <c r="IRV120" s="65"/>
      <c r="IRW120" s="65"/>
      <c r="IRX120" s="65"/>
      <c r="IRY120" s="65"/>
      <c r="IRZ120" s="65"/>
      <c r="ISA120" s="65"/>
      <c r="ISB120" s="65"/>
      <c r="ISC120" s="65"/>
      <c r="ISD120" s="65"/>
      <c r="ISE120" s="65"/>
      <c r="ISF120" s="65"/>
      <c r="ISG120" s="65"/>
      <c r="ISH120" s="65"/>
      <c r="ISI120" s="65"/>
      <c r="ISJ120" s="65"/>
      <c r="ISK120" s="65"/>
      <c r="ISL120" s="65"/>
      <c r="ISM120" s="65"/>
      <c r="ISN120" s="65"/>
      <c r="ISO120" s="65"/>
      <c r="ISP120" s="65"/>
      <c r="ISQ120" s="65"/>
      <c r="ISR120" s="65"/>
      <c r="ISS120" s="65"/>
      <c r="IST120" s="65"/>
      <c r="ISU120" s="65"/>
      <c r="ISV120" s="65"/>
      <c r="ISW120" s="65"/>
      <c r="ISX120" s="65"/>
      <c r="ISY120" s="65"/>
      <c r="ISZ120" s="65"/>
      <c r="ITA120" s="65"/>
      <c r="ITB120" s="65"/>
      <c r="ITC120" s="65"/>
      <c r="ITD120" s="65"/>
      <c r="ITE120" s="65"/>
      <c r="ITF120" s="65"/>
      <c r="ITG120" s="65"/>
      <c r="ITH120" s="65"/>
      <c r="ITI120" s="65"/>
      <c r="ITJ120" s="65"/>
      <c r="ITK120" s="65"/>
      <c r="ITL120" s="65"/>
      <c r="ITM120" s="65"/>
      <c r="ITN120" s="65"/>
      <c r="ITO120" s="65"/>
      <c r="ITP120" s="65"/>
      <c r="ITQ120" s="65"/>
      <c r="ITR120" s="65"/>
      <c r="ITS120" s="65"/>
      <c r="ITT120" s="65"/>
      <c r="ITU120" s="65"/>
      <c r="ITV120" s="65"/>
      <c r="ITW120" s="65"/>
      <c r="ITX120" s="65"/>
      <c r="ITY120" s="65"/>
      <c r="ITZ120" s="65"/>
      <c r="IUA120" s="65"/>
      <c r="IUB120" s="65"/>
      <c r="IUC120" s="65"/>
      <c r="IUD120" s="65"/>
      <c r="IUE120" s="65"/>
      <c r="IUF120" s="65"/>
      <c r="IUG120" s="65"/>
      <c r="IUH120" s="65"/>
      <c r="IUI120" s="65"/>
      <c r="IUJ120" s="65"/>
      <c r="IUK120" s="65"/>
      <c r="IUL120" s="65"/>
      <c r="IUM120" s="65"/>
      <c r="IUN120" s="65"/>
      <c r="IUO120" s="65"/>
      <c r="IUP120" s="65"/>
      <c r="IUQ120" s="65"/>
      <c r="IUR120" s="65"/>
      <c r="IUS120" s="65"/>
      <c r="IUT120" s="65"/>
      <c r="IUU120" s="65"/>
      <c r="IUV120" s="65"/>
      <c r="IUW120" s="65"/>
      <c r="IUX120" s="65"/>
      <c r="IUY120" s="65"/>
      <c r="IUZ120" s="65"/>
      <c r="IVA120" s="65"/>
      <c r="IVB120" s="65"/>
      <c r="IVC120" s="65"/>
      <c r="IVD120" s="65"/>
      <c r="IVE120" s="65"/>
      <c r="IVF120" s="65"/>
      <c r="IVG120" s="65"/>
      <c r="IVH120" s="65"/>
      <c r="IVI120" s="65"/>
      <c r="IVJ120" s="65"/>
      <c r="IVK120" s="65"/>
      <c r="IVL120" s="65"/>
      <c r="IVM120" s="65"/>
      <c r="IVN120" s="65"/>
      <c r="IVO120" s="65"/>
      <c r="IVP120" s="65"/>
      <c r="IVQ120" s="65"/>
      <c r="IVR120" s="65"/>
      <c r="IVS120" s="65"/>
      <c r="IVT120" s="65"/>
      <c r="IVU120" s="65"/>
      <c r="IVV120" s="65"/>
      <c r="IVW120" s="65"/>
      <c r="IVX120" s="65"/>
      <c r="IVY120" s="65"/>
      <c r="IVZ120" s="65"/>
      <c r="IWA120" s="65"/>
      <c r="IWB120" s="65"/>
      <c r="IWC120" s="65"/>
      <c r="IWD120" s="65"/>
      <c r="IWE120" s="65"/>
      <c r="IWF120" s="65"/>
      <c r="IWG120" s="65"/>
      <c r="IWH120" s="65"/>
      <c r="IWI120" s="65"/>
      <c r="IWJ120" s="65"/>
      <c r="IWK120" s="65"/>
      <c r="IWL120" s="65"/>
      <c r="IWM120" s="65"/>
      <c r="IWN120" s="65"/>
      <c r="IWO120" s="65"/>
      <c r="IWP120" s="65"/>
      <c r="IWQ120" s="65"/>
      <c r="IWR120" s="65"/>
      <c r="IWS120" s="65"/>
      <c r="IWT120" s="65"/>
      <c r="IWU120" s="65"/>
      <c r="IWV120" s="65"/>
      <c r="IWW120" s="65"/>
      <c r="IWX120" s="65"/>
      <c r="IWY120" s="65"/>
      <c r="IWZ120" s="65"/>
      <c r="IXA120" s="65"/>
      <c r="IXB120" s="65"/>
      <c r="IXC120" s="65"/>
      <c r="IXD120" s="65"/>
      <c r="IXE120" s="65"/>
      <c r="IXF120" s="65"/>
      <c r="IXG120" s="65"/>
      <c r="IXH120" s="65"/>
      <c r="IXI120" s="65"/>
      <c r="IXJ120" s="65"/>
      <c r="IXK120" s="65"/>
      <c r="IXL120" s="65"/>
      <c r="IXM120" s="65"/>
      <c r="IXN120" s="65"/>
      <c r="IXO120" s="65"/>
      <c r="IXP120" s="65"/>
      <c r="IXQ120" s="65"/>
      <c r="IXR120" s="65"/>
      <c r="IXS120" s="65"/>
      <c r="IXT120" s="65"/>
      <c r="IXU120" s="65"/>
      <c r="IXV120" s="65"/>
      <c r="IXW120" s="65"/>
      <c r="IXX120" s="65"/>
      <c r="IXY120" s="65"/>
      <c r="IXZ120" s="65"/>
      <c r="IYA120" s="65"/>
      <c r="IYB120" s="65"/>
      <c r="IYC120" s="65"/>
      <c r="IYD120" s="65"/>
      <c r="IYE120" s="65"/>
      <c r="IYF120" s="65"/>
      <c r="IYG120" s="65"/>
      <c r="IYH120" s="65"/>
      <c r="IYI120" s="65"/>
      <c r="IYJ120" s="65"/>
      <c r="IYK120" s="65"/>
      <c r="IYL120" s="65"/>
      <c r="IYM120" s="65"/>
      <c r="IYN120" s="65"/>
      <c r="IYO120" s="65"/>
      <c r="IYP120" s="65"/>
      <c r="IYQ120" s="65"/>
      <c r="IYR120" s="65"/>
      <c r="IYS120" s="65"/>
      <c r="IYT120" s="65"/>
      <c r="IYU120" s="65"/>
      <c r="IYV120" s="65"/>
      <c r="IYW120" s="65"/>
      <c r="IYX120" s="65"/>
      <c r="IYY120" s="65"/>
      <c r="IYZ120" s="65"/>
      <c r="IZA120" s="65"/>
      <c r="IZB120" s="65"/>
      <c r="IZC120" s="65"/>
      <c r="IZD120" s="65"/>
      <c r="IZE120" s="65"/>
      <c r="IZF120" s="65"/>
      <c r="IZG120" s="65"/>
      <c r="IZH120" s="65"/>
      <c r="IZI120" s="65"/>
      <c r="IZJ120" s="65"/>
      <c r="IZK120" s="65"/>
      <c r="IZL120" s="65"/>
      <c r="IZM120" s="65"/>
      <c r="IZN120" s="65"/>
      <c r="IZO120" s="65"/>
      <c r="IZP120" s="65"/>
      <c r="IZQ120" s="65"/>
      <c r="IZR120" s="65"/>
      <c r="IZS120" s="65"/>
      <c r="IZT120" s="65"/>
      <c r="IZU120" s="65"/>
      <c r="IZV120" s="65"/>
      <c r="IZW120" s="65"/>
      <c r="IZX120" s="65"/>
      <c r="IZY120" s="65"/>
      <c r="IZZ120" s="65"/>
      <c r="JAA120" s="65"/>
      <c r="JAB120" s="65"/>
      <c r="JAC120" s="65"/>
      <c r="JAD120" s="65"/>
      <c r="JAE120" s="65"/>
      <c r="JAF120" s="65"/>
      <c r="JAG120" s="65"/>
      <c r="JAH120" s="65"/>
      <c r="JAI120" s="65"/>
      <c r="JAJ120" s="65"/>
      <c r="JAK120" s="65"/>
      <c r="JAL120" s="65"/>
      <c r="JAM120" s="65"/>
      <c r="JAN120" s="65"/>
      <c r="JAO120" s="65"/>
      <c r="JAP120" s="65"/>
      <c r="JAQ120" s="65"/>
      <c r="JAR120" s="65"/>
      <c r="JAS120" s="65"/>
      <c r="JAT120" s="65"/>
      <c r="JAU120" s="65"/>
      <c r="JAV120" s="65"/>
      <c r="JAW120" s="65"/>
      <c r="JAX120" s="65"/>
      <c r="JAY120" s="65"/>
      <c r="JAZ120" s="65"/>
      <c r="JBA120" s="65"/>
      <c r="JBB120" s="65"/>
      <c r="JBC120" s="65"/>
      <c r="JBD120" s="65"/>
      <c r="JBE120" s="65"/>
      <c r="JBF120" s="65"/>
      <c r="JBG120" s="65"/>
      <c r="JBH120" s="65"/>
      <c r="JBI120" s="65"/>
      <c r="JBJ120" s="65"/>
      <c r="JBK120" s="65"/>
      <c r="JBL120" s="65"/>
      <c r="JBM120" s="65"/>
      <c r="JBN120" s="65"/>
      <c r="JBO120" s="65"/>
      <c r="JBP120" s="65"/>
      <c r="JBQ120" s="65"/>
      <c r="JBR120" s="65"/>
      <c r="JBS120" s="65"/>
      <c r="JBT120" s="65"/>
      <c r="JBU120" s="65"/>
      <c r="JBV120" s="65"/>
      <c r="JBW120" s="65"/>
      <c r="JBX120" s="65"/>
      <c r="JBY120" s="65"/>
      <c r="JBZ120" s="65"/>
      <c r="JCA120" s="65"/>
      <c r="JCB120" s="65"/>
      <c r="JCC120" s="65"/>
      <c r="JCD120" s="65"/>
      <c r="JCE120" s="65"/>
      <c r="JCF120" s="65"/>
      <c r="JCG120" s="65"/>
      <c r="JCH120" s="65"/>
      <c r="JCI120" s="65"/>
      <c r="JCJ120" s="65"/>
      <c r="JCK120" s="65"/>
      <c r="JCL120" s="65"/>
      <c r="JCM120" s="65"/>
      <c r="JCN120" s="65"/>
      <c r="JCO120" s="65"/>
      <c r="JCP120" s="65"/>
      <c r="JCQ120" s="65"/>
      <c r="JCR120" s="65"/>
      <c r="JCS120" s="65"/>
      <c r="JCT120" s="65"/>
      <c r="JCU120" s="65"/>
      <c r="JCV120" s="65"/>
      <c r="JCW120" s="65"/>
      <c r="JCX120" s="65"/>
      <c r="JCY120" s="65"/>
      <c r="JCZ120" s="65"/>
      <c r="JDA120" s="65"/>
      <c r="JDB120" s="65"/>
      <c r="JDC120" s="65"/>
      <c r="JDD120" s="65"/>
      <c r="JDE120" s="65"/>
      <c r="JDF120" s="65"/>
      <c r="JDG120" s="65"/>
      <c r="JDH120" s="65"/>
      <c r="JDI120" s="65"/>
      <c r="JDJ120" s="65"/>
      <c r="JDK120" s="65"/>
      <c r="JDL120" s="65"/>
      <c r="JDM120" s="65"/>
      <c r="JDN120" s="65"/>
      <c r="JDO120" s="65"/>
      <c r="JDP120" s="65"/>
      <c r="JDQ120" s="65"/>
      <c r="JDR120" s="65"/>
      <c r="JDS120" s="65"/>
      <c r="JDT120" s="65"/>
      <c r="JDU120" s="65"/>
      <c r="JDV120" s="65"/>
      <c r="JDW120" s="65"/>
      <c r="JDX120" s="65"/>
      <c r="JDY120" s="65"/>
      <c r="JDZ120" s="65"/>
      <c r="JEA120" s="65"/>
      <c r="JEB120" s="65"/>
      <c r="JEC120" s="65"/>
      <c r="JED120" s="65"/>
      <c r="JEE120" s="65"/>
      <c r="JEF120" s="65"/>
      <c r="JEG120" s="65"/>
      <c r="JEH120" s="65"/>
      <c r="JEI120" s="65"/>
      <c r="JEJ120" s="65"/>
      <c r="JEK120" s="65"/>
      <c r="JEL120" s="65"/>
      <c r="JEM120" s="65"/>
      <c r="JEN120" s="65"/>
      <c r="JEO120" s="65"/>
      <c r="JEP120" s="65"/>
      <c r="JEQ120" s="65"/>
      <c r="JER120" s="65"/>
      <c r="JES120" s="65"/>
      <c r="JET120" s="65"/>
      <c r="JEU120" s="65"/>
      <c r="JEV120" s="65"/>
      <c r="JEW120" s="65"/>
      <c r="JEX120" s="65"/>
      <c r="JEY120" s="65"/>
      <c r="JEZ120" s="65"/>
      <c r="JFA120" s="65"/>
      <c r="JFB120" s="65"/>
      <c r="JFC120" s="65"/>
      <c r="JFD120" s="65"/>
      <c r="JFE120" s="65"/>
      <c r="JFF120" s="65"/>
      <c r="JFG120" s="65"/>
      <c r="JFH120" s="65"/>
      <c r="JFI120" s="65"/>
      <c r="JFJ120" s="65"/>
      <c r="JFK120" s="65"/>
      <c r="JFL120" s="65"/>
      <c r="JFM120" s="65"/>
      <c r="JFN120" s="65"/>
      <c r="JFO120" s="65"/>
      <c r="JFP120" s="65"/>
      <c r="JFQ120" s="65"/>
      <c r="JFR120" s="65"/>
      <c r="JFS120" s="65"/>
      <c r="JFT120" s="65"/>
      <c r="JFU120" s="65"/>
      <c r="JFV120" s="65"/>
      <c r="JFW120" s="65"/>
      <c r="JFX120" s="65"/>
      <c r="JFY120" s="65"/>
      <c r="JFZ120" s="65"/>
      <c r="JGA120" s="65"/>
      <c r="JGB120" s="65"/>
      <c r="JGC120" s="65"/>
      <c r="JGD120" s="65"/>
      <c r="JGE120" s="65"/>
      <c r="JGF120" s="65"/>
      <c r="JGG120" s="65"/>
      <c r="JGH120" s="65"/>
      <c r="JGI120" s="65"/>
      <c r="JGJ120" s="65"/>
      <c r="JGK120" s="65"/>
      <c r="JGL120" s="65"/>
      <c r="JGM120" s="65"/>
      <c r="JGN120" s="65"/>
      <c r="JGO120" s="65"/>
      <c r="JGP120" s="65"/>
      <c r="JGQ120" s="65"/>
      <c r="JGR120" s="65"/>
      <c r="JGS120" s="65"/>
      <c r="JGT120" s="65"/>
      <c r="JGU120" s="65"/>
      <c r="JGV120" s="65"/>
      <c r="JGW120" s="65"/>
      <c r="JGX120" s="65"/>
      <c r="JGY120" s="65"/>
      <c r="JGZ120" s="65"/>
      <c r="JHA120" s="65"/>
      <c r="JHB120" s="65"/>
      <c r="JHC120" s="65"/>
      <c r="JHD120" s="65"/>
      <c r="JHE120" s="65"/>
      <c r="JHF120" s="65"/>
      <c r="JHG120" s="65"/>
      <c r="JHH120" s="65"/>
      <c r="JHI120" s="65"/>
      <c r="JHJ120" s="65"/>
      <c r="JHK120" s="65"/>
      <c r="JHL120" s="65"/>
      <c r="JHM120" s="65"/>
      <c r="JHN120" s="65"/>
      <c r="JHO120" s="65"/>
      <c r="JHP120" s="65"/>
      <c r="JHQ120" s="65"/>
      <c r="JHR120" s="65"/>
      <c r="JHS120" s="65"/>
      <c r="JHT120" s="65"/>
      <c r="JHU120" s="65"/>
      <c r="JHV120" s="65"/>
      <c r="JHW120" s="65"/>
      <c r="JHX120" s="65"/>
      <c r="JHY120" s="65"/>
      <c r="JHZ120" s="65"/>
      <c r="JIA120" s="65"/>
      <c r="JIB120" s="65"/>
      <c r="JIC120" s="65"/>
      <c r="JID120" s="65"/>
      <c r="JIE120" s="65"/>
      <c r="JIF120" s="65"/>
      <c r="JIG120" s="65"/>
      <c r="JIH120" s="65"/>
      <c r="JII120" s="65"/>
      <c r="JIJ120" s="65"/>
      <c r="JIK120" s="65"/>
      <c r="JIL120" s="65"/>
      <c r="JIM120" s="65"/>
      <c r="JIN120" s="65"/>
      <c r="JIO120" s="65"/>
      <c r="JIP120" s="65"/>
      <c r="JIQ120" s="65"/>
      <c r="JIR120" s="65"/>
      <c r="JIS120" s="65"/>
      <c r="JIT120" s="65"/>
      <c r="JIU120" s="65"/>
      <c r="JIV120" s="65"/>
      <c r="JIW120" s="65"/>
      <c r="JIX120" s="65"/>
      <c r="JIY120" s="65"/>
      <c r="JIZ120" s="65"/>
      <c r="JJA120" s="65"/>
      <c r="JJB120" s="65"/>
      <c r="JJC120" s="65"/>
      <c r="JJD120" s="65"/>
      <c r="JJE120" s="65"/>
      <c r="JJF120" s="65"/>
      <c r="JJG120" s="65"/>
      <c r="JJH120" s="65"/>
      <c r="JJI120" s="65"/>
      <c r="JJJ120" s="65"/>
      <c r="JJK120" s="65"/>
      <c r="JJL120" s="65"/>
      <c r="JJM120" s="65"/>
      <c r="JJN120" s="65"/>
      <c r="JJO120" s="65"/>
      <c r="JJP120" s="65"/>
      <c r="JJQ120" s="65"/>
      <c r="JJR120" s="65"/>
      <c r="JJS120" s="65"/>
      <c r="JJT120" s="65"/>
      <c r="JJU120" s="65"/>
      <c r="JJV120" s="65"/>
      <c r="JJW120" s="65"/>
      <c r="JJX120" s="65"/>
      <c r="JJY120" s="65"/>
      <c r="JJZ120" s="65"/>
      <c r="JKA120" s="65"/>
      <c r="JKB120" s="65"/>
      <c r="JKC120" s="65"/>
      <c r="JKD120" s="65"/>
      <c r="JKE120" s="65"/>
      <c r="JKF120" s="65"/>
      <c r="JKG120" s="65"/>
      <c r="JKH120" s="65"/>
      <c r="JKI120" s="65"/>
      <c r="JKJ120" s="65"/>
      <c r="JKK120" s="65"/>
      <c r="JKL120" s="65"/>
      <c r="JKM120" s="65"/>
      <c r="JKN120" s="65"/>
      <c r="JKO120" s="65"/>
      <c r="JKP120" s="65"/>
      <c r="JKQ120" s="65"/>
      <c r="JKR120" s="65"/>
      <c r="JKS120" s="65"/>
      <c r="JKT120" s="65"/>
      <c r="JKU120" s="65"/>
      <c r="JKV120" s="65"/>
      <c r="JKW120" s="65"/>
      <c r="JKX120" s="65"/>
      <c r="JKY120" s="65"/>
      <c r="JKZ120" s="65"/>
      <c r="JLA120" s="65"/>
      <c r="JLB120" s="65"/>
      <c r="JLC120" s="65"/>
      <c r="JLD120" s="65"/>
      <c r="JLE120" s="65"/>
      <c r="JLF120" s="65"/>
      <c r="JLG120" s="65"/>
      <c r="JLH120" s="65"/>
      <c r="JLI120" s="65"/>
      <c r="JLJ120" s="65"/>
      <c r="JLK120" s="65"/>
      <c r="JLL120" s="65"/>
      <c r="JLM120" s="65"/>
      <c r="JLN120" s="65"/>
      <c r="JLO120" s="65"/>
      <c r="JLP120" s="65"/>
      <c r="JLQ120" s="65"/>
      <c r="JLR120" s="65"/>
      <c r="JLS120" s="65"/>
      <c r="JLT120" s="65"/>
      <c r="JLU120" s="65"/>
      <c r="JLV120" s="65"/>
      <c r="JLW120" s="65"/>
      <c r="JLX120" s="65"/>
      <c r="JLY120" s="65"/>
      <c r="JLZ120" s="65"/>
      <c r="JMA120" s="65"/>
      <c r="JMB120" s="65"/>
      <c r="JMC120" s="65"/>
      <c r="JMD120" s="65"/>
      <c r="JME120" s="65"/>
      <c r="JMF120" s="65"/>
      <c r="JMG120" s="65"/>
      <c r="JMH120" s="65"/>
      <c r="JMI120" s="65"/>
      <c r="JMJ120" s="65"/>
      <c r="JMK120" s="65"/>
      <c r="JML120" s="65"/>
      <c r="JMM120" s="65"/>
      <c r="JMN120" s="65"/>
      <c r="JMO120" s="65"/>
      <c r="JMP120" s="65"/>
      <c r="JMQ120" s="65"/>
      <c r="JMR120" s="65"/>
      <c r="JMS120" s="65"/>
      <c r="JMT120" s="65"/>
      <c r="JMU120" s="65"/>
      <c r="JMV120" s="65"/>
      <c r="JMW120" s="65"/>
      <c r="JMX120" s="65"/>
      <c r="JMY120" s="65"/>
      <c r="JMZ120" s="65"/>
      <c r="JNA120" s="65"/>
      <c r="JNB120" s="65"/>
      <c r="JNC120" s="65"/>
      <c r="JND120" s="65"/>
      <c r="JNE120" s="65"/>
      <c r="JNF120" s="65"/>
      <c r="JNG120" s="65"/>
      <c r="JNH120" s="65"/>
      <c r="JNI120" s="65"/>
      <c r="JNJ120" s="65"/>
      <c r="JNK120" s="65"/>
      <c r="JNL120" s="65"/>
      <c r="JNM120" s="65"/>
      <c r="JNN120" s="65"/>
      <c r="JNO120" s="65"/>
      <c r="JNP120" s="65"/>
      <c r="JNQ120" s="65"/>
      <c r="JNR120" s="65"/>
      <c r="JNS120" s="65"/>
      <c r="JNT120" s="65"/>
      <c r="JNU120" s="65"/>
      <c r="JNV120" s="65"/>
      <c r="JNW120" s="65"/>
      <c r="JNX120" s="65"/>
      <c r="JNY120" s="65"/>
      <c r="JNZ120" s="65"/>
      <c r="JOA120" s="65"/>
      <c r="JOB120" s="65"/>
      <c r="JOC120" s="65"/>
      <c r="JOD120" s="65"/>
      <c r="JOE120" s="65"/>
      <c r="JOF120" s="65"/>
      <c r="JOG120" s="65"/>
      <c r="JOH120" s="65"/>
      <c r="JOI120" s="65"/>
      <c r="JOJ120" s="65"/>
      <c r="JOK120" s="65"/>
      <c r="JOL120" s="65"/>
      <c r="JOM120" s="65"/>
      <c r="JON120" s="65"/>
      <c r="JOO120" s="65"/>
      <c r="JOP120" s="65"/>
      <c r="JOQ120" s="65"/>
      <c r="JOR120" s="65"/>
      <c r="JOS120" s="65"/>
      <c r="JOT120" s="65"/>
      <c r="JOU120" s="65"/>
      <c r="JOV120" s="65"/>
      <c r="JOW120" s="65"/>
      <c r="JOX120" s="65"/>
      <c r="JOY120" s="65"/>
      <c r="JOZ120" s="65"/>
      <c r="JPA120" s="65"/>
      <c r="JPB120" s="65"/>
      <c r="JPC120" s="65"/>
      <c r="JPD120" s="65"/>
      <c r="JPE120" s="65"/>
      <c r="JPF120" s="65"/>
      <c r="JPG120" s="65"/>
      <c r="JPH120" s="65"/>
      <c r="JPI120" s="65"/>
      <c r="JPJ120" s="65"/>
      <c r="JPK120" s="65"/>
      <c r="JPL120" s="65"/>
      <c r="JPM120" s="65"/>
      <c r="JPN120" s="65"/>
      <c r="JPO120" s="65"/>
      <c r="JPP120" s="65"/>
      <c r="JPQ120" s="65"/>
      <c r="JPR120" s="65"/>
      <c r="JPS120" s="65"/>
      <c r="JPT120" s="65"/>
      <c r="JPU120" s="65"/>
      <c r="JPV120" s="65"/>
      <c r="JPW120" s="65"/>
      <c r="JPX120" s="65"/>
      <c r="JPY120" s="65"/>
      <c r="JPZ120" s="65"/>
      <c r="JQA120" s="65"/>
      <c r="JQB120" s="65"/>
      <c r="JQC120" s="65"/>
      <c r="JQD120" s="65"/>
      <c r="JQE120" s="65"/>
      <c r="JQF120" s="65"/>
      <c r="JQG120" s="65"/>
      <c r="JQH120" s="65"/>
      <c r="JQI120" s="65"/>
      <c r="JQJ120" s="65"/>
      <c r="JQK120" s="65"/>
      <c r="JQL120" s="65"/>
      <c r="JQM120" s="65"/>
      <c r="JQN120" s="65"/>
      <c r="JQO120" s="65"/>
      <c r="JQP120" s="65"/>
      <c r="JQQ120" s="65"/>
      <c r="JQR120" s="65"/>
      <c r="JQS120" s="65"/>
      <c r="JQT120" s="65"/>
      <c r="JQU120" s="65"/>
      <c r="JQV120" s="65"/>
      <c r="JQW120" s="65"/>
      <c r="JQX120" s="65"/>
      <c r="JQY120" s="65"/>
      <c r="JQZ120" s="65"/>
      <c r="JRA120" s="65"/>
      <c r="JRB120" s="65"/>
      <c r="JRC120" s="65"/>
      <c r="JRD120" s="65"/>
      <c r="JRE120" s="65"/>
      <c r="JRF120" s="65"/>
      <c r="JRG120" s="65"/>
      <c r="JRH120" s="65"/>
      <c r="JRI120" s="65"/>
      <c r="JRJ120" s="65"/>
      <c r="JRK120" s="65"/>
      <c r="JRL120" s="65"/>
      <c r="JRM120" s="65"/>
      <c r="JRN120" s="65"/>
      <c r="JRO120" s="65"/>
      <c r="JRP120" s="65"/>
      <c r="JRQ120" s="65"/>
      <c r="JRR120" s="65"/>
      <c r="JRS120" s="65"/>
      <c r="JRT120" s="65"/>
      <c r="JRU120" s="65"/>
      <c r="JRV120" s="65"/>
      <c r="JRW120" s="65"/>
      <c r="JRX120" s="65"/>
      <c r="JRY120" s="65"/>
      <c r="JRZ120" s="65"/>
      <c r="JSA120" s="65"/>
      <c r="JSB120" s="65"/>
      <c r="JSC120" s="65"/>
      <c r="JSD120" s="65"/>
      <c r="JSE120" s="65"/>
      <c r="JSF120" s="65"/>
      <c r="JSG120" s="65"/>
      <c r="JSH120" s="65"/>
      <c r="JSI120" s="65"/>
      <c r="JSJ120" s="65"/>
      <c r="JSK120" s="65"/>
      <c r="JSL120" s="65"/>
      <c r="JSM120" s="65"/>
      <c r="JSN120" s="65"/>
      <c r="JSO120" s="65"/>
      <c r="JSP120" s="65"/>
      <c r="JSQ120" s="65"/>
      <c r="JSR120" s="65"/>
      <c r="JSS120" s="65"/>
      <c r="JST120" s="65"/>
      <c r="JSU120" s="65"/>
      <c r="JSV120" s="65"/>
      <c r="JSW120" s="65"/>
      <c r="JSX120" s="65"/>
      <c r="JSY120" s="65"/>
      <c r="JSZ120" s="65"/>
      <c r="JTA120" s="65"/>
      <c r="JTB120" s="65"/>
      <c r="JTC120" s="65"/>
      <c r="JTD120" s="65"/>
      <c r="JTE120" s="65"/>
      <c r="JTF120" s="65"/>
      <c r="JTG120" s="65"/>
      <c r="JTH120" s="65"/>
      <c r="JTI120" s="65"/>
      <c r="JTJ120" s="65"/>
      <c r="JTK120" s="65"/>
      <c r="JTL120" s="65"/>
      <c r="JTM120" s="65"/>
      <c r="JTN120" s="65"/>
      <c r="JTO120" s="65"/>
      <c r="JTP120" s="65"/>
      <c r="JTQ120" s="65"/>
      <c r="JTR120" s="65"/>
      <c r="JTS120" s="65"/>
      <c r="JTT120" s="65"/>
      <c r="JTU120" s="65"/>
      <c r="JTV120" s="65"/>
      <c r="JTW120" s="65"/>
      <c r="JTX120" s="65"/>
      <c r="JTY120" s="65"/>
      <c r="JTZ120" s="65"/>
      <c r="JUA120" s="65"/>
      <c r="JUB120" s="65"/>
      <c r="JUC120" s="65"/>
      <c r="JUD120" s="65"/>
      <c r="JUE120" s="65"/>
      <c r="JUF120" s="65"/>
      <c r="JUG120" s="65"/>
      <c r="JUH120" s="65"/>
      <c r="JUI120" s="65"/>
      <c r="JUJ120" s="65"/>
      <c r="JUK120" s="65"/>
      <c r="JUL120" s="65"/>
      <c r="JUM120" s="65"/>
      <c r="JUN120" s="65"/>
      <c r="JUO120" s="65"/>
      <c r="JUP120" s="65"/>
      <c r="JUQ120" s="65"/>
      <c r="JUR120" s="65"/>
      <c r="JUS120" s="65"/>
      <c r="JUT120" s="65"/>
      <c r="JUU120" s="65"/>
      <c r="JUV120" s="65"/>
      <c r="JUW120" s="65"/>
      <c r="JUX120" s="65"/>
      <c r="JUY120" s="65"/>
      <c r="JUZ120" s="65"/>
      <c r="JVA120" s="65"/>
      <c r="JVB120" s="65"/>
      <c r="JVC120" s="65"/>
      <c r="JVD120" s="65"/>
      <c r="JVE120" s="65"/>
      <c r="JVF120" s="65"/>
      <c r="JVG120" s="65"/>
      <c r="JVH120" s="65"/>
      <c r="JVI120" s="65"/>
      <c r="JVJ120" s="65"/>
      <c r="JVK120" s="65"/>
      <c r="JVL120" s="65"/>
      <c r="JVM120" s="65"/>
      <c r="JVN120" s="65"/>
      <c r="JVO120" s="65"/>
      <c r="JVP120" s="65"/>
      <c r="JVQ120" s="65"/>
      <c r="JVR120" s="65"/>
      <c r="JVS120" s="65"/>
      <c r="JVT120" s="65"/>
      <c r="JVU120" s="65"/>
      <c r="JVV120" s="65"/>
      <c r="JVW120" s="65"/>
      <c r="JVX120" s="65"/>
      <c r="JVY120" s="65"/>
      <c r="JVZ120" s="65"/>
      <c r="JWA120" s="65"/>
      <c r="JWB120" s="65"/>
      <c r="JWC120" s="65"/>
      <c r="JWD120" s="65"/>
      <c r="JWE120" s="65"/>
      <c r="JWF120" s="65"/>
      <c r="JWG120" s="65"/>
      <c r="JWH120" s="65"/>
      <c r="JWI120" s="65"/>
      <c r="JWJ120" s="65"/>
      <c r="JWK120" s="65"/>
      <c r="JWL120" s="65"/>
      <c r="JWM120" s="65"/>
      <c r="JWN120" s="65"/>
      <c r="JWO120" s="65"/>
      <c r="JWP120" s="65"/>
      <c r="JWQ120" s="65"/>
      <c r="JWR120" s="65"/>
      <c r="JWS120" s="65"/>
      <c r="JWT120" s="65"/>
      <c r="JWU120" s="65"/>
      <c r="JWV120" s="65"/>
      <c r="JWW120" s="65"/>
      <c r="JWX120" s="65"/>
      <c r="JWY120" s="65"/>
      <c r="JWZ120" s="65"/>
      <c r="JXA120" s="65"/>
      <c r="JXB120" s="65"/>
      <c r="JXC120" s="65"/>
      <c r="JXD120" s="65"/>
      <c r="JXE120" s="65"/>
      <c r="JXF120" s="65"/>
      <c r="JXG120" s="65"/>
      <c r="JXH120" s="65"/>
      <c r="JXI120" s="65"/>
      <c r="JXJ120" s="65"/>
      <c r="JXK120" s="65"/>
      <c r="JXL120" s="65"/>
      <c r="JXM120" s="65"/>
      <c r="JXN120" s="65"/>
      <c r="JXO120" s="65"/>
      <c r="JXP120" s="65"/>
      <c r="JXQ120" s="65"/>
      <c r="JXR120" s="65"/>
      <c r="JXS120" s="65"/>
      <c r="JXT120" s="65"/>
      <c r="JXU120" s="65"/>
      <c r="JXV120" s="65"/>
      <c r="JXW120" s="65"/>
      <c r="JXX120" s="65"/>
      <c r="JXY120" s="65"/>
      <c r="JXZ120" s="65"/>
      <c r="JYA120" s="65"/>
      <c r="JYB120" s="65"/>
      <c r="JYC120" s="65"/>
      <c r="JYD120" s="65"/>
      <c r="JYE120" s="65"/>
      <c r="JYF120" s="65"/>
      <c r="JYG120" s="65"/>
      <c r="JYH120" s="65"/>
      <c r="JYI120" s="65"/>
      <c r="JYJ120" s="65"/>
      <c r="JYK120" s="65"/>
      <c r="JYL120" s="65"/>
      <c r="JYM120" s="65"/>
      <c r="JYN120" s="65"/>
      <c r="JYO120" s="65"/>
      <c r="JYP120" s="65"/>
      <c r="JYQ120" s="65"/>
      <c r="JYR120" s="65"/>
      <c r="JYS120" s="65"/>
      <c r="JYT120" s="65"/>
      <c r="JYU120" s="65"/>
      <c r="JYV120" s="65"/>
      <c r="JYW120" s="65"/>
      <c r="JYX120" s="65"/>
      <c r="JYY120" s="65"/>
      <c r="JYZ120" s="65"/>
      <c r="JZA120" s="65"/>
      <c r="JZB120" s="65"/>
      <c r="JZC120" s="65"/>
      <c r="JZD120" s="65"/>
      <c r="JZE120" s="65"/>
      <c r="JZF120" s="65"/>
      <c r="JZG120" s="65"/>
      <c r="JZH120" s="65"/>
      <c r="JZI120" s="65"/>
      <c r="JZJ120" s="65"/>
      <c r="JZK120" s="65"/>
      <c r="JZL120" s="65"/>
      <c r="JZM120" s="65"/>
      <c r="JZN120" s="65"/>
      <c r="JZO120" s="65"/>
      <c r="JZP120" s="65"/>
      <c r="JZQ120" s="65"/>
      <c r="JZR120" s="65"/>
      <c r="JZS120" s="65"/>
      <c r="JZT120" s="65"/>
      <c r="JZU120" s="65"/>
      <c r="JZV120" s="65"/>
      <c r="JZW120" s="65"/>
      <c r="JZX120" s="65"/>
      <c r="JZY120" s="65"/>
      <c r="JZZ120" s="65"/>
      <c r="KAA120" s="65"/>
      <c r="KAB120" s="65"/>
      <c r="KAC120" s="65"/>
      <c r="KAD120" s="65"/>
      <c r="KAE120" s="65"/>
      <c r="KAF120" s="65"/>
      <c r="KAG120" s="65"/>
      <c r="KAH120" s="65"/>
      <c r="KAI120" s="65"/>
      <c r="KAJ120" s="65"/>
      <c r="KAK120" s="65"/>
      <c r="KAL120" s="65"/>
      <c r="KAM120" s="65"/>
      <c r="KAN120" s="65"/>
      <c r="KAO120" s="65"/>
      <c r="KAP120" s="65"/>
      <c r="KAQ120" s="65"/>
      <c r="KAR120" s="65"/>
      <c r="KAS120" s="65"/>
      <c r="KAT120" s="65"/>
      <c r="KAU120" s="65"/>
      <c r="KAV120" s="65"/>
      <c r="KAW120" s="65"/>
      <c r="KAX120" s="65"/>
      <c r="KAY120" s="65"/>
      <c r="KAZ120" s="65"/>
      <c r="KBA120" s="65"/>
      <c r="KBB120" s="65"/>
      <c r="KBC120" s="65"/>
      <c r="KBD120" s="65"/>
      <c r="KBE120" s="65"/>
      <c r="KBF120" s="65"/>
      <c r="KBG120" s="65"/>
      <c r="KBH120" s="65"/>
      <c r="KBI120" s="65"/>
      <c r="KBJ120" s="65"/>
      <c r="KBK120" s="65"/>
      <c r="KBL120" s="65"/>
      <c r="KBM120" s="65"/>
      <c r="KBN120" s="65"/>
      <c r="KBO120" s="65"/>
      <c r="KBP120" s="65"/>
      <c r="KBQ120" s="65"/>
      <c r="KBR120" s="65"/>
      <c r="KBS120" s="65"/>
      <c r="KBT120" s="65"/>
      <c r="KBU120" s="65"/>
      <c r="KBV120" s="65"/>
      <c r="KBW120" s="65"/>
      <c r="KBX120" s="65"/>
      <c r="KBY120" s="65"/>
      <c r="KBZ120" s="65"/>
      <c r="KCA120" s="65"/>
      <c r="KCB120" s="65"/>
      <c r="KCC120" s="65"/>
      <c r="KCD120" s="65"/>
      <c r="KCE120" s="65"/>
      <c r="KCF120" s="65"/>
      <c r="KCG120" s="65"/>
      <c r="KCH120" s="65"/>
      <c r="KCI120" s="65"/>
      <c r="KCJ120" s="65"/>
      <c r="KCK120" s="65"/>
      <c r="KCL120" s="65"/>
      <c r="KCM120" s="65"/>
      <c r="KCN120" s="65"/>
      <c r="KCO120" s="65"/>
      <c r="KCP120" s="65"/>
      <c r="KCQ120" s="65"/>
      <c r="KCR120" s="65"/>
      <c r="KCS120" s="65"/>
      <c r="KCT120" s="65"/>
      <c r="KCU120" s="65"/>
      <c r="KCV120" s="65"/>
      <c r="KCW120" s="65"/>
      <c r="KCX120" s="65"/>
      <c r="KCY120" s="65"/>
      <c r="KCZ120" s="65"/>
      <c r="KDA120" s="65"/>
      <c r="KDB120" s="65"/>
      <c r="KDC120" s="65"/>
      <c r="KDD120" s="65"/>
      <c r="KDE120" s="65"/>
      <c r="KDF120" s="65"/>
      <c r="KDG120" s="65"/>
      <c r="KDH120" s="65"/>
      <c r="KDI120" s="65"/>
      <c r="KDJ120" s="65"/>
      <c r="KDK120" s="65"/>
      <c r="KDL120" s="65"/>
      <c r="KDM120" s="65"/>
      <c r="KDN120" s="65"/>
      <c r="KDO120" s="65"/>
      <c r="KDP120" s="65"/>
      <c r="KDQ120" s="65"/>
      <c r="KDR120" s="65"/>
      <c r="KDS120" s="65"/>
      <c r="KDT120" s="65"/>
      <c r="KDU120" s="65"/>
      <c r="KDV120" s="65"/>
      <c r="KDW120" s="65"/>
      <c r="KDX120" s="65"/>
      <c r="KDY120" s="65"/>
      <c r="KDZ120" s="65"/>
      <c r="KEA120" s="65"/>
      <c r="KEB120" s="65"/>
      <c r="KEC120" s="65"/>
      <c r="KED120" s="65"/>
      <c r="KEE120" s="65"/>
      <c r="KEF120" s="65"/>
      <c r="KEG120" s="65"/>
      <c r="KEH120" s="65"/>
      <c r="KEI120" s="65"/>
      <c r="KEJ120" s="65"/>
      <c r="KEK120" s="65"/>
      <c r="KEL120" s="65"/>
      <c r="KEM120" s="65"/>
      <c r="KEN120" s="65"/>
      <c r="KEO120" s="65"/>
      <c r="KEP120" s="65"/>
      <c r="KEQ120" s="65"/>
      <c r="KER120" s="65"/>
      <c r="KES120" s="65"/>
      <c r="KET120" s="65"/>
      <c r="KEU120" s="65"/>
      <c r="KEV120" s="65"/>
      <c r="KEW120" s="65"/>
      <c r="KEX120" s="65"/>
      <c r="KEY120" s="65"/>
      <c r="KEZ120" s="65"/>
      <c r="KFA120" s="65"/>
      <c r="KFB120" s="65"/>
      <c r="KFC120" s="65"/>
      <c r="KFD120" s="65"/>
      <c r="KFE120" s="65"/>
      <c r="KFF120" s="65"/>
      <c r="KFG120" s="65"/>
      <c r="KFH120" s="65"/>
      <c r="KFI120" s="65"/>
      <c r="KFJ120" s="65"/>
      <c r="KFK120" s="65"/>
      <c r="KFL120" s="65"/>
      <c r="KFM120" s="65"/>
      <c r="KFN120" s="65"/>
      <c r="KFO120" s="65"/>
      <c r="KFP120" s="65"/>
      <c r="KFQ120" s="65"/>
      <c r="KFR120" s="65"/>
      <c r="KFS120" s="65"/>
      <c r="KFT120" s="65"/>
      <c r="KFU120" s="65"/>
      <c r="KFV120" s="65"/>
      <c r="KFW120" s="65"/>
      <c r="KFX120" s="65"/>
      <c r="KFY120" s="65"/>
      <c r="KFZ120" s="65"/>
      <c r="KGA120" s="65"/>
      <c r="KGB120" s="65"/>
      <c r="KGC120" s="65"/>
      <c r="KGD120" s="65"/>
      <c r="KGE120" s="65"/>
      <c r="KGF120" s="65"/>
      <c r="KGG120" s="65"/>
      <c r="KGH120" s="65"/>
      <c r="KGI120" s="65"/>
      <c r="KGJ120" s="65"/>
      <c r="KGK120" s="65"/>
      <c r="KGL120" s="65"/>
      <c r="KGM120" s="65"/>
      <c r="KGN120" s="65"/>
      <c r="KGO120" s="65"/>
      <c r="KGP120" s="65"/>
      <c r="KGQ120" s="65"/>
      <c r="KGR120" s="65"/>
      <c r="KGS120" s="65"/>
      <c r="KGT120" s="65"/>
      <c r="KGU120" s="65"/>
      <c r="KGV120" s="65"/>
      <c r="KGW120" s="65"/>
      <c r="KGX120" s="65"/>
      <c r="KGY120" s="65"/>
      <c r="KGZ120" s="65"/>
      <c r="KHA120" s="65"/>
      <c r="KHB120" s="65"/>
      <c r="KHC120" s="65"/>
      <c r="KHD120" s="65"/>
      <c r="KHE120" s="65"/>
      <c r="KHF120" s="65"/>
      <c r="KHG120" s="65"/>
      <c r="KHH120" s="65"/>
      <c r="KHI120" s="65"/>
      <c r="KHJ120" s="65"/>
      <c r="KHK120" s="65"/>
      <c r="KHL120" s="65"/>
      <c r="KHM120" s="65"/>
      <c r="KHN120" s="65"/>
      <c r="KHO120" s="65"/>
      <c r="KHP120" s="65"/>
      <c r="KHQ120" s="65"/>
      <c r="KHR120" s="65"/>
      <c r="KHS120" s="65"/>
      <c r="KHT120" s="65"/>
      <c r="KHU120" s="65"/>
      <c r="KHV120" s="65"/>
      <c r="KHW120" s="65"/>
      <c r="KHX120" s="65"/>
      <c r="KHY120" s="65"/>
      <c r="KHZ120" s="65"/>
      <c r="KIA120" s="65"/>
      <c r="KIB120" s="65"/>
      <c r="KIC120" s="65"/>
      <c r="KID120" s="65"/>
      <c r="KIE120" s="65"/>
      <c r="KIF120" s="65"/>
      <c r="KIG120" s="65"/>
      <c r="KIH120" s="65"/>
      <c r="KII120" s="65"/>
      <c r="KIJ120" s="65"/>
      <c r="KIK120" s="65"/>
      <c r="KIL120" s="65"/>
      <c r="KIM120" s="65"/>
      <c r="KIN120" s="65"/>
      <c r="KIO120" s="65"/>
      <c r="KIP120" s="65"/>
      <c r="KIQ120" s="65"/>
      <c r="KIR120" s="65"/>
      <c r="KIS120" s="65"/>
      <c r="KIT120" s="65"/>
      <c r="KIU120" s="65"/>
      <c r="KIV120" s="65"/>
      <c r="KIW120" s="65"/>
      <c r="KIX120" s="65"/>
      <c r="KIY120" s="65"/>
      <c r="KIZ120" s="65"/>
      <c r="KJA120" s="65"/>
      <c r="KJB120" s="65"/>
      <c r="KJC120" s="65"/>
      <c r="KJD120" s="65"/>
      <c r="KJE120" s="65"/>
      <c r="KJF120" s="65"/>
      <c r="KJG120" s="65"/>
      <c r="KJH120" s="65"/>
      <c r="KJI120" s="65"/>
      <c r="KJJ120" s="65"/>
      <c r="KJK120" s="65"/>
      <c r="KJL120" s="65"/>
      <c r="KJM120" s="65"/>
      <c r="KJN120" s="65"/>
      <c r="KJO120" s="65"/>
      <c r="KJP120" s="65"/>
      <c r="KJQ120" s="65"/>
      <c r="KJR120" s="65"/>
      <c r="KJS120" s="65"/>
      <c r="KJT120" s="65"/>
      <c r="KJU120" s="65"/>
      <c r="KJV120" s="65"/>
      <c r="KJW120" s="65"/>
      <c r="KJX120" s="65"/>
      <c r="KJY120" s="65"/>
      <c r="KJZ120" s="65"/>
      <c r="KKA120" s="65"/>
      <c r="KKB120" s="65"/>
      <c r="KKC120" s="65"/>
      <c r="KKD120" s="65"/>
      <c r="KKE120" s="65"/>
      <c r="KKF120" s="65"/>
      <c r="KKG120" s="65"/>
      <c r="KKH120" s="65"/>
      <c r="KKI120" s="65"/>
      <c r="KKJ120" s="65"/>
      <c r="KKK120" s="65"/>
      <c r="KKL120" s="65"/>
      <c r="KKM120" s="65"/>
      <c r="KKN120" s="65"/>
      <c r="KKO120" s="65"/>
      <c r="KKP120" s="65"/>
      <c r="KKQ120" s="65"/>
      <c r="KKR120" s="65"/>
      <c r="KKS120" s="65"/>
      <c r="KKT120" s="65"/>
      <c r="KKU120" s="65"/>
      <c r="KKV120" s="65"/>
      <c r="KKW120" s="65"/>
      <c r="KKX120" s="65"/>
      <c r="KKY120" s="65"/>
      <c r="KKZ120" s="65"/>
      <c r="KLA120" s="65"/>
      <c r="KLB120" s="65"/>
      <c r="KLC120" s="65"/>
      <c r="KLD120" s="65"/>
      <c r="KLE120" s="65"/>
      <c r="KLF120" s="65"/>
      <c r="KLG120" s="65"/>
      <c r="KLH120" s="65"/>
      <c r="KLI120" s="65"/>
      <c r="KLJ120" s="65"/>
      <c r="KLK120" s="65"/>
      <c r="KLL120" s="65"/>
      <c r="KLM120" s="65"/>
      <c r="KLN120" s="65"/>
      <c r="KLO120" s="65"/>
      <c r="KLP120" s="65"/>
      <c r="KLQ120" s="65"/>
      <c r="KLR120" s="65"/>
      <c r="KLS120" s="65"/>
      <c r="KLT120" s="65"/>
      <c r="KLU120" s="65"/>
      <c r="KLV120" s="65"/>
      <c r="KLW120" s="65"/>
      <c r="KLX120" s="65"/>
      <c r="KLY120" s="65"/>
      <c r="KLZ120" s="65"/>
      <c r="KMA120" s="65"/>
      <c r="KMB120" s="65"/>
      <c r="KMC120" s="65"/>
      <c r="KMD120" s="65"/>
      <c r="KME120" s="65"/>
      <c r="KMF120" s="65"/>
      <c r="KMG120" s="65"/>
      <c r="KMH120" s="65"/>
      <c r="KMI120" s="65"/>
      <c r="KMJ120" s="65"/>
      <c r="KMK120" s="65"/>
      <c r="KML120" s="65"/>
      <c r="KMM120" s="65"/>
      <c r="KMN120" s="65"/>
      <c r="KMO120" s="65"/>
      <c r="KMP120" s="65"/>
      <c r="KMQ120" s="65"/>
      <c r="KMR120" s="65"/>
      <c r="KMS120" s="65"/>
      <c r="KMT120" s="65"/>
      <c r="KMU120" s="65"/>
      <c r="KMV120" s="65"/>
      <c r="KMW120" s="65"/>
      <c r="KMX120" s="65"/>
      <c r="KMY120" s="65"/>
      <c r="KMZ120" s="65"/>
      <c r="KNA120" s="65"/>
      <c r="KNB120" s="65"/>
      <c r="KNC120" s="65"/>
      <c r="KND120" s="65"/>
      <c r="KNE120" s="65"/>
      <c r="KNF120" s="65"/>
      <c r="KNG120" s="65"/>
      <c r="KNH120" s="65"/>
      <c r="KNI120" s="65"/>
      <c r="KNJ120" s="65"/>
      <c r="KNK120" s="65"/>
      <c r="KNL120" s="65"/>
      <c r="KNM120" s="65"/>
      <c r="KNN120" s="65"/>
      <c r="KNO120" s="65"/>
      <c r="KNP120" s="65"/>
      <c r="KNQ120" s="65"/>
      <c r="KNR120" s="65"/>
      <c r="KNS120" s="65"/>
      <c r="KNT120" s="65"/>
      <c r="KNU120" s="65"/>
      <c r="KNV120" s="65"/>
      <c r="KNW120" s="65"/>
      <c r="KNX120" s="65"/>
      <c r="KNY120" s="65"/>
      <c r="KNZ120" s="65"/>
      <c r="KOA120" s="65"/>
      <c r="KOB120" s="65"/>
      <c r="KOC120" s="65"/>
      <c r="KOD120" s="65"/>
      <c r="KOE120" s="65"/>
      <c r="KOF120" s="65"/>
      <c r="KOG120" s="65"/>
      <c r="KOH120" s="65"/>
      <c r="KOI120" s="65"/>
      <c r="KOJ120" s="65"/>
      <c r="KOK120" s="65"/>
      <c r="KOL120" s="65"/>
      <c r="KOM120" s="65"/>
      <c r="KON120" s="65"/>
      <c r="KOO120" s="65"/>
      <c r="KOP120" s="65"/>
      <c r="KOQ120" s="65"/>
      <c r="KOR120" s="65"/>
      <c r="KOS120" s="65"/>
      <c r="KOT120" s="65"/>
      <c r="KOU120" s="65"/>
      <c r="KOV120" s="65"/>
      <c r="KOW120" s="65"/>
      <c r="KOX120" s="65"/>
      <c r="KOY120" s="65"/>
      <c r="KOZ120" s="65"/>
      <c r="KPA120" s="65"/>
      <c r="KPB120" s="65"/>
      <c r="KPC120" s="65"/>
      <c r="KPD120" s="65"/>
      <c r="KPE120" s="65"/>
      <c r="KPF120" s="65"/>
      <c r="KPG120" s="65"/>
      <c r="KPH120" s="65"/>
      <c r="KPI120" s="65"/>
      <c r="KPJ120" s="65"/>
      <c r="KPK120" s="65"/>
      <c r="KPL120" s="65"/>
      <c r="KPM120" s="65"/>
      <c r="KPN120" s="65"/>
      <c r="KPO120" s="65"/>
      <c r="KPP120" s="65"/>
      <c r="KPQ120" s="65"/>
      <c r="KPR120" s="65"/>
      <c r="KPS120" s="65"/>
      <c r="KPT120" s="65"/>
      <c r="KPU120" s="65"/>
      <c r="KPV120" s="65"/>
      <c r="KPW120" s="65"/>
      <c r="KPX120" s="65"/>
      <c r="KPY120" s="65"/>
      <c r="KPZ120" s="65"/>
      <c r="KQA120" s="65"/>
      <c r="KQB120" s="65"/>
      <c r="KQC120" s="65"/>
      <c r="KQD120" s="65"/>
      <c r="KQE120" s="65"/>
      <c r="KQF120" s="65"/>
      <c r="KQG120" s="65"/>
      <c r="KQH120" s="65"/>
      <c r="KQI120" s="65"/>
      <c r="KQJ120" s="65"/>
      <c r="KQK120" s="65"/>
      <c r="KQL120" s="65"/>
      <c r="KQM120" s="65"/>
      <c r="KQN120" s="65"/>
      <c r="KQO120" s="65"/>
      <c r="KQP120" s="65"/>
      <c r="KQQ120" s="65"/>
      <c r="KQR120" s="65"/>
      <c r="KQS120" s="65"/>
      <c r="KQT120" s="65"/>
      <c r="KQU120" s="65"/>
      <c r="KQV120" s="65"/>
      <c r="KQW120" s="65"/>
      <c r="KQX120" s="65"/>
      <c r="KQY120" s="65"/>
      <c r="KQZ120" s="65"/>
      <c r="KRA120" s="65"/>
      <c r="KRB120" s="65"/>
      <c r="KRC120" s="65"/>
      <c r="KRD120" s="65"/>
      <c r="KRE120" s="65"/>
      <c r="KRF120" s="65"/>
      <c r="KRG120" s="65"/>
      <c r="KRH120" s="65"/>
      <c r="KRI120" s="65"/>
      <c r="KRJ120" s="65"/>
      <c r="KRK120" s="65"/>
      <c r="KRL120" s="65"/>
      <c r="KRM120" s="65"/>
      <c r="KRN120" s="65"/>
      <c r="KRO120" s="65"/>
      <c r="KRP120" s="65"/>
      <c r="KRQ120" s="65"/>
      <c r="KRR120" s="65"/>
      <c r="KRS120" s="65"/>
      <c r="KRT120" s="65"/>
      <c r="KRU120" s="65"/>
      <c r="KRV120" s="65"/>
      <c r="KRW120" s="65"/>
      <c r="KRX120" s="65"/>
      <c r="KRY120" s="65"/>
      <c r="KRZ120" s="65"/>
      <c r="KSA120" s="65"/>
      <c r="KSB120" s="65"/>
      <c r="KSC120" s="65"/>
      <c r="KSD120" s="65"/>
      <c r="KSE120" s="65"/>
      <c r="KSF120" s="65"/>
      <c r="KSG120" s="65"/>
      <c r="KSH120" s="65"/>
      <c r="KSI120" s="65"/>
      <c r="KSJ120" s="65"/>
      <c r="KSK120" s="65"/>
      <c r="KSL120" s="65"/>
      <c r="KSM120" s="65"/>
      <c r="KSN120" s="65"/>
      <c r="KSO120" s="65"/>
      <c r="KSP120" s="65"/>
      <c r="KSQ120" s="65"/>
      <c r="KSR120" s="65"/>
      <c r="KSS120" s="65"/>
      <c r="KST120" s="65"/>
      <c r="KSU120" s="65"/>
      <c r="KSV120" s="65"/>
      <c r="KSW120" s="65"/>
      <c r="KSX120" s="65"/>
      <c r="KSY120" s="65"/>
      <c r="KSZ120" s="65"/>
      <c r="KTA120" s="65"/>
      <c r="KTB120" s="65"/>
      <c r="KTC120" s="65"/>
      <c r="KTD120" s="65"/>
      <c r="KTE120" s="65"/>
      <c r="KTF120" s="65"/>
      <c r="KTG120" s="65"/>
      <c r="KTH120" s="65"/>
      <c r="KTI120" s="65"/>
      <c r="KTJ120" s="65"/>
      <c r="KTK120" s="65"/>
      <c r="KTL120" s="65"/>
      <c r="KTM120" s="65"/>
      <c r="KTN120" s="65"/>
      <c r="KTO120" s="65"/>
      <c r="KTP120" s="65"/>
      <c r="KTQ120" s="65"/>
      <c r="KTR120" s="65"/>
      <c r="KTS120" s="65"/>
      <c r="KTT120" s="65"/>
      <c r="KTU120" s="65"/>
      <c r="KTV120" s="65"/>
      <c r="KTW120" s="65"/>
      <c r="KTX120" s="65"/>
      <c r="KTY120" s="65"/>
      <c r="KTZ120" s="65"/>
      <c r="KUA120" s="65"/>
      <c r="KUB120" s="65"/>
      <c r="KUC120" s="65"/>
      <c r="KUD120" s="65"/>
      <c r="KUE120" s="65"/>
      <c r="KUF120" s="65"/>
      <c r="KUG120" s="65"/>
      <c r="KUH120" s="65"/>
      <c r="KUI120" s="65"/>
      <c r="KUJ120" s="65"/>
      <c r="KUK120" s="65"/>
      <c r="KUL120" s="65"/>
      <c r="KUM120" s="65"/>
      <c r="KUN120" s="65"/>
      <c r="KUO120" s="65"/>
      <c r="KUP120" s="65"/>
      <c r="KUQ120" s="65"/>
      <c r="KUR120" s="65"/>
      <c r="KUS120" s="65"/>
      <c r="KUT120" s="65"/>
      <c r="KUU120" s="65"/>
      <c r="KUV120" s="65"/>
      <c r="KUW120" s="65"/>
      <c r="KUX120" s="65"/>
      <c r="KUY120" s="65"/>
      <c r="KUZ120" s="65"/>
      <c r="KVA120" s="65"/>
      <c r="KVB120" s="65"/>
      <c r="KVC120" s="65"/>
      <c r="KVD120" s="65"/>
      <c r="KVE120" s="65"/>
      <c r="KVF120" s="65"/>
      <c r="KVG120" s="65"/>
      <c r="KVH120" s="65"/>
      <c r="KVI120" s="65"/>
      <c r="KVJ120" s="65"/>
      <c r="KVK120" s="65"/>
      <c r="KVL120" s="65"/>
      <c r="KVM120" s="65"/>
      <c r="KVN120" s="65"/>
      <c r="KVO120" s="65"/>
      <c r="KVP120" s="65"/>
      <c r="KVQ120" s="65"/>
      <c r="KVR120" s="65"/>
      <c r="KVS120" s="65"/>
      <c r="KVT120" s="65"/>
      <c r="KVU120" s="65"/>
      <c r="KVV120" s="65"/>
      <c r="KVW120" s="65"/>
      <c r="KVX120" s="65"/>
      <c r="KVY120" s="65"/>
      <c r="KVZ120" s="65"/>
      <c r="KWA120" s="65"/>
      <c r="KWB120" s="65"/>
      <c r="KWC120" s="65"/>
      <c r="KWD120" s="65"/>
      <c r="KWE120" s="65"/>
      <c r="KWF120" s="65"/>
      <c r="KWG120" s="65"/>
      <c r="KWH120" s="65"/>
      <c r="KWI120" s="65"/>
      <c r="KWJ120" s="65"/>
      <c r="KWK120" s="65"/>
      <c r="KWL120" s="65"/>
      <c r="KWM120" s="65"/>
      <c r="KWN120" s="65"/>
      <c r="KWO120" s="65"/>
      <c r="KWP120" s="65"/>
      <c r="KWQ120" s="65"/>
      <c r="KWR120" s="65"/>
      <c r="KWS120" s="65"/>
      <c r="KWT120" s="65"/>
      <c r="KWU120" s="65"/>
      <c r="KWV120" s="65"/>
      <c r="KWW120" s="65"/>
      <c r="KWX120" s="65"/>
      <c r="KWY120" s="65"/>
      <c r="KWZ120" s="65"/>
      <c r="KXA120" s="65"/>
      <c r="KXB120" s="65"/>
      <c r="KXC120" s="65"/>
      <c r="KXD120" s="65"/>
      <c r="KXE120" s="65"/>
      <c r="KXF120" s="65"/>
      <c r="KXG120" s="65"/>
      <c r="KXH120" s="65"/>
      <c r="KXI120" s="65"/>
      <c r="KXJ120" s="65"/>
      <c r="KXK120" s="65"/>
      <c r="KXL120" s="65"/>
      <c r="KXM120" s="65"/>
      <c r="KXN120" s="65"/>
      <c r="KXO120" s="65"/>
      <c r="KXP120" s="65"/>
      <c r="KXQ120" s="65"/>
      <c r="KXR120" s="65"/>
      <c r="KXS120" s="65"/>
      <c r="KXT120" s="65"/>
      <c r="KXU120" s="65"/>
      <c r="KXV120" s="65"/>
      <c r="KXW120" s="65"/>
      <c r="KXX120" s="65"/>
      <c r="KXY120" s="65"/>
      <c r="KXZ120" s="65"/>
      <c r="KYA120" s="65"/>
      <c r="KYB120" s="65"/>
      <c r="KYC120" s="65"/>
      <c r="KYD120" s="65"/>
      <c r="KYE120" s="65"/>
      <c r="KYF120" s="65"/>
      <c r="KYG120" s="65"/>
      <c r="KYH120" s="65"/>
      <c r="KYI120" s="65"/>
      <c r="KYJ120" s="65"/>
      <c r="KYK120" s="65"/>
      <c r="KYL120" s="65"/>
      <c r="KYM120" s="65"/>
      <c r="KYN120" s="65"/>
      <c r="KYO120" s="65"/>
      <c r="KYP120" s="65"/>
      <c r="KYQ120" s="65"/>
      <c r="KYR120" s="65"/>
      <c r="KYS120" s="65"/>
      <c r="KYT120" s="65"/>
      <c r="KYU120" s="65"/>
      <c r="KYV120" s="65"/>
      <c r="KYW120" s="65"/>
      <c r="KYX120" s="65"/>
      <c r="KYY120" s="65"/>
      <c r="KYZ120" s="65"/>
      <c r="KZA120" s="65"/>
      <c r="KZB120" s="65"/>
      <c r="KZC120" s="65"/>
      <c r="KZD120" s="65"/>
      <c r="KZE120" s="65"/>
      <c r="KZF120" s="65"/>
      <c r="KZG120" s="65"/>
      <c r="KZH120" s="65"/>
      <c r="KZI120" s="65"/>
      <c r="KZJ120" s="65"/>
      <c r="KZK120" s="65"/>
      <c r="KZL120" s="65"/>
      <c r="KZM120" s="65"/>
      <c r="KZN120" s="65"/>
      <c r="KZO120" s="65"/>
      <c r="KZP120" s="65"/>
      <c r="KZQ120" s="65"/>
      <c r="KZR120" s="65"/>
      <c r="KZS120" s="65"/>
      <c r="KZT120" s="65"/>
      <c r="KZU120" s="65"/>
      <c r="KZV120" s="65"/>
      <c r="KZW120" s="65"/>
      <c r="KZX120" s="65"/>
      <c r="KZY120" s="65"/>
      <c r="KZZ120" s="65"/>
      <c r="LAA120" s="65"/>
      <c r="LAB120" s="65"/>
      <c r="LAC120" s="65"/>
      <c r="LAD120" s="65"/>
      <c r="LAE120" s="65"/>
      <c r="LAF120" s="65"/>
      <c r="LAG120" s="65"/>
      <c r="LAH120" s="65"/>
      <c r="LAI120" s="65"/>
      <c r="LAJ120" s="65"/>
      <c r="LAK120" s="65"/>
      <c r="LAL120" s="65"/>
      <c r="LAM120" s="65"/>
      <c r="LAN120" s="65"/>
      <c r="LAO120" s="65"/>
      <c r="LAP120" s="65"/>
      <c r="LAQ120" s="65"/>
      <c r="LAR120" s="65"/>
      <c r="LAS120" s="65"/>
      <c r="LAT120" s="65"/>
      <c r="LAU120" s="65"/>
      <c r="LAV120" s="65"/>
      <c r="LAW120" s="65"/>
      <c r="LAX120" s="65"/>
      <c r="LAY120" s="65"/>
      <c r="LAZ120" s="65"/>
      <c r="LBA120" s="65"/>
      <c r="LBB120" s="65"/>
      <c r="LBC120" s="65"/>
      <c r="LBD120" s="65"/>
      <c r="LBE120" s="65"/>
      <c r="LBF120" s="65"/>
      <c r="LBG120" s="65"/>
      <c r="LBH120" s="65"/>
      <c r="LBI120" s="65"/>
      <c r="LBJ120" s="65"/>
      <c r="LBK120" s="65"/>
      <c r="LBL120" s="65"/>
      <c r="LBM120" s="65"/>
      <c r="LBN120" s="65"/>
      <c r="LBO120" s="65"/>
      <c r="LBP120" s="65"/>
      <c r="LBQ120" s="65"/>
      <c r="LBR120" s="65"/>
      <c r="LBS120" s="65"/>
      <c r="LBT120" s="65"/>
      <c r="LBU120" s="65"/>
      <c r="LBV120" s="65"/>
      <c r="LBW120" s="65"/>
      <c r="LBX120" s="65"/>
      <c r="LBY120" s="65"/>
      <c r="LBZ120" s="65"/>
      <c r="LCA120" s="65"/>
      <c r="LCB120" s="65"/>
      <c r="LCC120" s="65"/>
      <c r="LCD120" s="65"/>
      <c r="LCE120" s="65"/>
      <c r="LCF120" s="65"/>
      <c r="LCG120" s="65"/>
      <c r="LCH120" s="65"/>
      <c r="LCI120" s="65"/>
      <c r="LCJ120" s="65"/>
      <c r="LCK120" s="65"/>
      <c r="LCL120" s="65"/>
      <c r="LCM120" s="65"/>
      <c r="LCN120" s="65"/>
      <c r="LCO120" s="65"/>
      <c r="LCP120" s="65"/>
      <c r="LCQ120" s="65"/>
      <c r="LCR120" s="65"/>
      <c r="LCS120" s="65"/>
      <c r="LCT120" s="65"/>
      <c r="LCU120" s="65"/>
      <c r="LCV120" s="65"/>
      <c r="LCW120" s="65"/>
      <c r="LCX120" s="65"/>
      <c r="LCY120" s="65"/>
      <c r="LCZ120" s="65"/>
      <c r="LDA120" s="65"/>
      <c r="LDB120" s="65"/>
      <c r="LDC120" s="65"/>
      <c r="LDD120" s="65"/>
      <c r="LDE120" s="65"/>
      <c r="LDF120" s="65"/>
      <c r="LDG120" s="65"/>
      <c r="LDH120" s="65"/>
      <c r="LDI120" s="65"/>
      <c r="LDJ120" s="65"/>
      <c r="LDK120" s="65"/>
      <c r="LDL120" s="65"/>
      <c r="LDM120" s="65"/>
      <c r="LDN120" s="65"/>
      <c r="LDO120" s="65"/>
      <c r="LDP120" s="65"/>
      <c r="LDQ120" s="65"/>
      <c r="LDR120" s="65"/>
      <c r="LDS120" s="65"/>
      <c r="LDT120" s="65"/>
      <c r="LDU120" s="65"/>
      <c r="LDV120" s="65"/>
      <c r="LDW120" s="65"/>
      <c r="LDX120" s="65"/>
      <c r="LDY120" s="65"/>
      <c r="LDZ120" s="65"/>
      <c r="LEA120" s="65"/>
      <c r="LEB120" s="65"/>
      <c r="LEC120" s="65"/>
      <c r="LED120" s="65"/>
      <c r="LEE120" s="65"/>
      <c r="LEF120" s="65"/>
      <c r="LEG120" s="65"/>
      <c r="LEH120" s="65"/>
      <c r="LEI120" s="65"/>
      <c r="LEJ120" s="65"/>
      <c r="LEK120" s="65"/>
      <c r="LEL120" s="65"/>
      <c r="LEM120" s="65"/>
      <c r="LEN120" s="65"/>
      <c r="LEO120" s="65"/>
      <c r="LEP120" s="65"/>
      <c r="LEQ120" s="65"/>
      <c r="LER120" s="65"/>
      <c r="LES120" s="65"/>
      <c r="LET120" s="65"/>
      <c r="LEU120" s="65"/>
      <c r="LEV120" s="65"/>
      <c r="LEW120" s="65"/>
      <c r="LEX120" s="65"/>
      <c r="LEY120" s="65"/>
      <c r="LEZ120" s="65"/>
      <c r="LFA120" s="65"/>
      <c r="LFB120" s="65"/>
      <c r="LFC120" s="65"/>
      <c r="LFD120" s="65"/>
      <c r="LFE120" s="65"/>
      <c r="LFF120" s="65"/>
      <c r="LFG120" s="65"/>
      <c r="LFH120" s="65"/>
      <c r="LFI120" s="65"/>
      <c r="LFJ120" s="65"/>
      <c r="LFK120" s="65"/>
      <c r="LFL120" s="65"/>
      <c r="LFM120" s="65"/>
      <c r="LFN120" s="65"/>
      <c r="LFO120" s="65"/>
      <c r="LFP120" s="65"/>
      <c r="LFQ120" s="65"/>
      <c r="LFR120" s="65"/>
      <c r="LFS120" s="65"/>
      <c r="LFT120" s="65"/>
      <c r="LFU120" s="65"/>
      <c r="LFV120" s="65"/>
      <c r="LFW120" s="65"/>
      <c r="LFX120" s="65"/>
      <c r="LFY120" s="65"/>
      <c r="LFZ120" s="65"/>
      <c r="LGA120" s="65"/>
      <c r="LGB120" s="65"/>
      <c r="LGC120" s="65"/>
      <c r="LGD120" s="65"/>
      <c r="LGE120" s="65"/>
      <c r="LGF120" s="65"/>
      <c r="LGG120" s="65"/>
      <c r="LGH120" s="65"/>
      <c r="LGI120" s="65"/>
      <c r="LGJ120" s="65"/>
      <c r="LGK120" s="65"/>
      <c r="LGL120" s="65"/>
      <c r="LGM120" s="65"/>
      <c r="LGN120" s="65"/>
      <c r="LGO120" s="65"/>
      <c r="LGP120" s="65"/>
      <c r="LGQ120" s="65"/>
      <c r="LGR120" s="65"/>
      <c r="LGS120" s="65"/>
      <c r="LGT120" s="65"/>
      <c r="LGU120" s="65"/>
      <c r="LGV120" s="65"/>
      <c r="LGW120" s="65"/>
      <c r="LGX120" s="65"/>
      <c r="LGY120" s="65"/>
      <c r="LGZ120" s="65"/>
      <c r="LHA120" s="65"/>
      <c r="LHB120" s="65"/>
      <c r="LHC120" s="65"/>
      <c r="LHD120" s="65"/>
      <c r="LHE120" s="65"/>
      <c r="LHF120" s="65"/>
      <c r="LHG120" s="65"/>
      <c r="LHH120" s="65"/>
      <c r="LHI120" s="65"/>
      <c r="LHJ120" s="65"/>
      <c r="LHK120" s="65"/>
      <c r="LHL120" s="65"/>
      <c r="LHM120" s="65"/>
      <c r="LHN120" s="65"/>
      <c r="LHO120" s="65"/>
      <c r="LHP120" s="65"/>
      <c r="LHQ120" s="65"/>
      <c r="LHR120" s="65"/>
      <c r="LHS120" s="65"/>
      <c r="LHT120" s="65"/>
      <c r="LHU120" s="65"/>
      <c r="LHV120" s="65"/>
      <c r="LHW120" s="65"/>
      <c r="LHX120" s="65"/>
      <c r="LHY120" s="65"/>
      <c r="LHZ120" s="65"/>
      <c r="LIA120" s="65"/>
      <c r="LIB120" s="65"/>
      <c r="LIC120" s="65"/>
      <c r="LID120" s="65"/>
      <c r="LIE120" s="65"/>
      <c r="LIF120" s="65"/>
      <c r="LIG120" s="65"/>
      <c r="LIH120" s="65"/>
      <c r="LII120" s="65"/>
      <c r="LIJ120" s="65"/>
      <c r="LIK120" s="65"/>
      <c r="LIL120" s="65"/>
      <c r="LIM120" s="65"/>
      <c r="LIN120" s="65"/>
      <c r="LIO120" s="65"/>
      <c r="LIP120" s="65"/>
      <c r="LIQ120" s="65"/>
      <c r="LIR120" s="65"/>
      <c r="LIS120" s="65"/>
      <c r="LIT120" s="65"/>
      <c r="LIU120" s="65"/>
      <c r="LIV120" s="65"/>
      <c r="LIW120" s="65"/>
      <c r="LIX120" s="65"/>
      <c r="LIY120" s="65"/>
      <c r="LIZ120" s="65"/>
      <c r="LJA120" s="65"/>
      <c r="LJB120" s="65"/>
      <c r="LJC120" s="65"/>
      <c r="LJD120" s="65"/>
      <c r="LJE120" s="65"/>
      <c r="LJF120" s="65"/>
      <c r="LJG120" s="65"/>
      <c r="LJH120" s="65"/>
      <c r="LJI120" s="65"/>
      <c r="LJJ120" s="65"/>
      <c r="LJK120" s="65"/>
      <c r="LJL120" s="65"/>
      <c r="LJM120" s="65"/>
      <c r="LJN120" s="65"/>
      <c r="LJO120" s="65"/>
      <c r="LJP120" s="65"/>
      <c r="LJQ120" s="65"/>
      <c r="LJR120" s="65"/>
      <c r="LJS120" s="65"/>
      <c r="LJT120" s="65"/>
      <c r="LJU120" s="65"/>
      <c r="LJV120" s="65"/>
      <c r="LJW120" s="65"/>
      <c r="LJX120" s="65"/>
      <c r="LJY120" s="65"/>
      <c r="LJZ120" s="65"/>
      <c r="LKA120" s="65"/>
      <c r="LKB120" s="65"/>
      <c r="LKC120" s="65"/>
      <c r="LKD120" s="65"/>
      <c r="LKE120" s="65"/>
      <c r="LKF120" s="65"/>
      <c r="LKG120" s="65"/>
      <c r="LKH120" s="65"/>
      <c r="LKI120" s="65"/>
      <c r="LKJ120" s="65"/>
      <c r="LKK120" s="65"/>
      <c r="LKL120" s="65"/>
      <c r="LKM120" s="65"/>
      <c r="LKN120" s="65"/>
      <c r="LKO120" s="65"/>
      <c r="LKP120" s="65"/>
      <c r="LKQ120" s="65"/>
      <c r="LKR120" s="65"/>
      <c r="LKS120" s="65"/>
      <c r="LKT120" s="65"/>
      <c r="LKU120" s="65"/>
      <c r="LKV120" s="65"/>
      <c r="LKW120" s="65"/>
      <c r="LKX120" s="65"/>
      <c r="LKY120" s="65"/>
      <c r="LKZ120" s="65"/>
      <c r="LLA120" s="65"/>
      <c r="LLB120" s="65"/>
      <c r="LLC120" s="65"/>
      <c r="LLD120" s="65"/>
      <c r="LLE120" s="65"/>
      <c r="LLF120" s="65"/>
      <c r="LLG120" s="65"/>
      <c r="LLH120" s="65"/>
      <c r="LLI120" s="65"/>
      <c r="LLJ120" s="65"/>
      <c r="LLK120" s="65"/>
      <c r="LLL120" s="65"/>
      <c r="LLM120" s="65"/>
      <c r="LLN120" s="65"/>
      <c r="LLO120" s="65"/>
      <c r="LLP120" s="65"/>
      <c r="LLQ120" s="65"/>
      <c r="LLR120" s="65"/>
      <c r="LLS120" s="65"/>
      <c r="LLT120" s="65"/>
      <c r="LLU120" s="65"/>
      <c r="LLV120" s="65"/>
      <c r="LLW120" s="65"/>
      <c r="LLX120" s="65"/>
      <c r="LLY120" s="65"/>
      <c r="LLZ120" s="65"/>
      <c r="LMA120" s="65"/>
      <c r="LMB120" s="65"/>
      <c r="LMC120" s="65"/>
      <c r="LMD120" s="65"/>
      <c r="LME120" s="65"/>
      <c r="LMF120" s="65"/>
      <c r="LMG120" s="65"/>
      <c r="LMH120" s="65"/>
      <c r="LMI120" s="65"/>
      <c r="LMJ120" s="65"/>
      <c r="LMK120" s="65"/>
      <c r="LML120" s="65"/>
      <c r="LMM120" s="65"/>
      <c r="LMN120" s="65"/>
      <c r="LMO120" s="65"/>
      <c r="LMP120" s="65"/>
      <c r="LMQ120" s="65"/>
      <c r="LMR120" s="65"/>
      <c r="LMS120" s="65"/>
      <c r="LMT120" s="65"/>
      <c r="LMU120" s="65"/>
      <c r="LMV120" s="65"/>
      <c r="LMW120" s="65"/>
      <c r="LMX120" s="65"/>
      <c r="LMY120" s="65"/>
      <c r="LMZ120" s="65"/>
      <c r="LNA120" s="65"/>
      <c r="LNB120" s="65"/>
      <c r="LNC120" s="65"/>
      <c r="LND120" s="65"/>
      <c r="LNE120" s="65"/>
      <c r="LNF120" s="65"/>
      <c r="LNG120" s="65"/>
      <c r="LNH120" s="65"/>
      <c r="LNI120" s="65"/>
      <c r="LNJ120" s="65"/>
      <c r="LNK120" s="65"/>
      <c r="LNL120" s="65"/>
      <c r="LNM120" s="65"/>
      <c r="LNN120" s="65"/>
      <c r="LNO120" s="65"/>
      <c r="LNP120" s="65"/>
      <c r="LNQ120" s="65"/>
      <c r="LNR120" s="65"/>
      <c r="LNS120" s="65"/>
      <c r="LNT120" s="65"/>
      <c r="LNU120" s="65"/>
      <c r="LNV120" s="65"/>
      <c r="LNW120" s="65"/>
      <c r="LNX120" s="65"/>
      <c r="LNY120" s="65"/>
      <c r="LNZ120" s="65"/>
      <c r="LOA120" s="65"/>
      <c r="LOB120" s="65"/>
      <c r="LOC120" s="65"/>
      <c r="LOD120" s="65"/>
      <c r="LOE120" s="65"/>
      <c r="LOF120" s="65"/>
      <c r="LOG120" s="65"/>
      <c r="LOH120" s="65"/>
      <c r="LOI120" s="65"/>
      <c r="LOJ120" s="65"/>
      <c r="LOK120" s="65"/>
      <c r="LOL120" s="65"/>
      <c r="LOM120" s="65"/>
      <c r="LON120" s="65"/>
      <c r="LOO120" s="65"/>
      <c r="LOP120" s="65"/>
      <c r="LOQ120" s="65"/>
      <c r="LOR120" s="65"/>
      <c r="LOS120" s="65"/>
      <c r="LOT120" s="65"/>
      <c r="LOU120" s="65"/>
      <c r="LOV120" s="65"/>
      <c r="LOW120" s="65"/>
      <c r="LOX120" s="65"/>
      <c r="LOY120" s="65"/>
      <c r="LOZ120" s="65"/>
      <c r="LPA120" s="65"/>
      <c r="LPB120" s="65"/>
      <c r="LPC120" s="65"/>
      <c r="LPD120" s="65"/>
      <c r="LPE120" s="65"/>
      <c r="LPF120" s="65"/>
      <c r="LPG120" s="65"/>
      <c r="LPH120" s="65"/>
      <c r="LPI120" s="65"/>
      <c r="LPJ120" s="65"/>
      <c r="LPK120" s="65"/>
      <c r="LPL120" s="65"/>
      <c r="LPM120" s="65"/>
      <c r="LPN120" s="65"/>
      <c r="LPO120" s="65"/>
      <c r="LPP120" s="65"/>
      <c r="LPQ120" s="65"/>
      <c r="LPR120" s="65"/>
      <c r="LPS120" s="65"/>
      <c r="LPT120" s="65"/>
      <c r="LPU120" s="65"/>
      <c r="LPV120" s="65"/>
      <c r="LPW120" s="65"/>
      <c r="LPX120" s="65"/>
      <c r="LPY120" s="65"/>
      <c r="LPZ120" s="65"/>
      <c r="LQA120" s="65"/>
      <c r="LQB120" s="65"/>
      <c r="LQC120" s="65"/>
      <c r="LQD120" s="65"/>
      <c r="LQE120" s="65"/>
      <c r="LQF120" s="65"/>
      <c r="LQG120" s="65"/>
      <c r="LQH120" s="65"/>
      <c r="LQI120" s="65"/>
      <c r="LQJ120" s="65"/>
      <c r="LQK120" s="65"/>
      <c r="LQL120" s="65"/>
      <c r="LQM120" s="65"/>
      <c r="LQN120" s="65"/>
      <c r="LQO120" s="65"/>
      <c r="LQP120" s="65"/>
      <c r="LQQ120" s="65"/>
      <c r="LQR120" s="65"/>
      <c r="LQS120" s="65"/>
      <c r="LQT120" s="65"/>
      <c r="LQU120" s="65"/>
      <c r="LQV120" s="65"/>
      <c r="LQW120" s="65"/>
      <c r="LQX120" s="65"/>
      <c r="LQY120" s="65"/>
      <c r="LQZ120" s="65"/>
      <c r="LRA120" s="65"/>
      <c r="LRB120" s="65"/>
      <c r="LRC120" s="65"/>
      <c r="LRD120" s="65"/>
      <c r="LRE120" s="65"/>
      <c r="LRF120" s="65"/>
      <c r="LRG120" s="65"/>
      <c r="LRH120" s="65"/>
      <c r="LRI120" s="65"/>
      <c r="LRJ120" s="65"/>
      <c r="LRK120" s="65"/>
      <c r="LRL120" s="65"/>
      <c r="LRM120" s="65"/>
      <c r="LRN120" s="65"/>
      <c r="LRO120" s="65"/>
      <c r="LRP120" s="65"/>
      <c r="LRQ120" s="65"/>
      <c r="LRR120" s="65"/>
      <c r="LRS120" s="65"/>
      <c r="LRT120" s="65"/>
      <c r="LRU120" s="65"/>
      <c r="LRV120" s="65"/>
      <c r="LRW120" s="65"/>
      <c r="LRX120" s="65"/>
      <c r="LRY120" s="65"/>
      <c r="LRZ120" s="65"/>
      <c r="LSA120" s="65"/>
      <c r="LSB120" s="65"/>
      <c r="LSC120" s="65"/>
      <c r="LSD120" s="65"/>
      <c r="LSE120" s="65"/>
      <c r="LSF120" s="65"/>
      <c r="LSG120" s="65"/>
      <c r="LSH120" s="65"/>
      <c r="LSI120" s="65"/>
      <c r="LSJ120" s="65"/>
      <c r="LSK120" s="65"/>
      <c r="LSL120" s="65"/>
      <c r="LSM120" s="65"/>
      <c r="LSN120" s="65"/>
      <c r="LSO120" s="65"/>
      <c r="LSP120" s="65"/>
      <c r="LSQ120" s="65"/>
      <c r="LSR120" s="65"/>
      <c r="LSS120" s="65"/>
      <c r="LST120" s="65"/>
      <c r="LSU120" s="65"/>
      <c r="LSV120" s="65"/>
      <c r="LSW120" s="65"/>
      <c r="LSX120" s="65"/>
      <c r="LSY120" s="65"/>
      <c r="LSZ120" s="65"/>
      <c r="LTA120" s="65"/>
      <c r="LTB120" s="65"/>
      <c r="LTC120" s="65"/>
      <c r="LTD120" s="65"/>
      <c r="LTE120" s="65"/>
      <c r="LTF120" s="65"/>
      <c r="LTG120" s="65"/>
      <c r="LTH120" s="65"/>
      <c r="LTI120" s="65"/>
      <c r="LTJ120" s="65"/>
      <c r="LTK120" s="65"/>
      <c r="LTL120" s="65"/>
      <c r="LTM120" s="65"/>
      <c r="LTN120" s="65"/>
      <c r="LTO120" s="65"/>
      <c r="LTP120" s="65"/>
      <c r="LTQ120" s="65"/>
      <c r="LTR120" s="65"/>
      <c r="LTS120" s="65"/>
      <c r="LTT120" s="65"/>
      <c r="LTU120" s="65"/>
      <c r="LTV120" s="65"/>
      <c r="LTW120" s="65"/>
      <c r="LTX120" s="65"/>
      <c r="LTY120" s="65"/>
      <c r="LTZ120" s="65"/>
      <c r="LUA120" s="65"/>
      <c r="LUB120" s="65"/>
      <c r="LUC120" s="65"/>
      <c r="LUD120" s="65"/>
      <c r="LUE120" s="65"/>
      <c r="LUF120" s="65"/>
      <c r="LUG120" s="65"/>
      <c r="LUH120" s="65"/>
      <c r="LUI120" s="65"/>
      <c r="LUJ120" s="65"/>
      <c r="LUK120" s="65"/>
      <c r="LUL120" s="65"/>
      <c r="LUM120" s="65"/>
      <c r="LUN120" s="65"/>
      <c r="LUO120" s="65"/>
      <c r="LUP120" s="65"/>
      <c r="LUQ120" s="65"/>
      <c r="LUR120" s="65"/>
      <c r="LUS120" s="65"/>
      <c r="LUT120" s="65"/>
      <c r="LUU120" s="65"/>
      <c r="LUV120" s="65"/>
      <c r="LUW120" s="65"/>
      <c r="LUX120" s="65"/>
      <c r="LUY120" s="65"/>
      <c r="LUZ120" s="65"/>
      <c r="LVA120" s="65"/>
      <c r="LVB120" s="65"/>
      <c r="LVC120" s="65"/>
      <c r="LVD120" s="65"/>
      <c r="LVE120" s="65"/>
      <c r="LVF120" s="65"/>
      <c r="LVG120" s="65"/>
      <c r="LVH120" s="65"/>
      <c r="LVI120" s="65"/>
      <c r="LVJ120" s="65"/>
      <c r="LVK120" s="65"/>
      <c r="LVL120" s="65"/>
      <c r="LVM120" s="65"/>
      <c r="LVN120" s="65"/>
      <c r="LVO120" s="65"/>
      <c r="LVP120" s="65"/>
      <c r="LVQ120" s="65"/>
      <c r="LVR120" s="65"/>
      <c r="LVS120" s="65"/>
      <c r="LVT120" s="65"/>
      <c r="LVU120" s="65"/>
      <c r="LVV120" s="65"/>
      <c r="LVW120" s="65"/>
      <c r="LVX120" s="65"/>
      <c r="LVY120" s="65"/>
      <c r="LVZ120" s="65"/>
      <c r="LWA120" s="65"/>
      <c r="LWB120" s="65"/>
      <c r="LWC120" s="65"/>
      <c r="LWD120" s="65"/>
      <c r="LWE120" s="65"/>
      <c r="LWF120" s="65"/>
      <c r="LWG120" s="65"/>
      <c r="LWH120" s="65"/>
      <c r="LWI120" s="65"/>
      <c r="LWJ120" s="65"/>
      <c r="LWK120" s="65"/>
      <c r="LWL120" s="65"/>
      <c r="LWM120" s="65"/>
      <c r="LWN120" s="65"/>
      <c r="LWO120" s="65"/>
      <c r="LWP120" s="65"/>
      <c r="LWQ120" s="65"/>
      <c r="LWR120" s="65"/>
      <c r="LWS120" s="65"/>
      <c r="LWT120" s="65"/>
      <c r="LWU120" s="65"/>
      <c r="LWV120" s="65"/>
      <c r="LWW120" s="65"/>
      <c r="LWX120" s="65"/>
      <c r="LWY120" s="65"/>
      <c r="LWZ120" s="65"/>
      <c r="LXA120" s="65"/>
      <c r="LXB120" s="65"/>
      <c r="LXC120" s="65"/>
      <c r="LXD120" s="65"/>
      <c r="LXE120" s="65"/>
      <c r="LXF120" s="65"/>
      <c r="LXG120" s="65"/>
      <c r="LXH120" s="65"/>
      <c r="LXI120" s="65"/>
      <c r="LXJ120" s="65"/>
      <c r="LXK120" s="65"/>
      <c r="LXL120" s="65"/>
      <c r="LXM120" s="65"/>
      <c r="LXN120" s="65"/>
      <c r="LXO120" s="65"/>
      <c r="LXP120" s="65"/>
      <c r="LXQ120" s="65"/>
      <c r="LXR120" s="65"/>
      <c r="LXS120" s="65"/>
      <c r="LXT120" s="65"/>
      <c r="LXU120" s="65"/>
      <c r="LXV120" s="65"/>
      <c r="LXW120" s="65"/>
      <c r="LXX120" s="65"/>
      <c r="LXY120" s="65"/>
      <c r="LXZ120" s="65"/>
      <c r="LYA120" s="65"/>
      <c r="LYB120" s="65"/>
      <c r="LYC120" s="65"/>
      <c r="LYD120" s="65"/>
      <c r="LYE120" s="65"/>
      <c r="LYF120" s="65"/>
      <c r="LYG120" s="65"/>
      <c r="LYH120" s="65"/>
      <c r="LYI120" s="65"/>
      <c r="LYJ120" s="65"/>
      <c r="LYK120" s="65"/>
      <c r="LYL120" s="65"/>
      <c r="LYM120" s="65"/>
      <c r="LYN120" s="65"/>
      <c r="LYO120" s="65"/>
      <c r="LYP120" s="65"/>
      <c r="LYQ120" s="65"/>
      <c r="LYR120" s="65"/>
      <c r="LYS120" s="65"/>
      <c r="LYT120" s="65"/>
      <c r="LYU120" s="65"/>
      <c r="LYV120" s="65"/>
      <c r="LYW120" s="65"/>
      <c r="LYX120" s="65"/>
      <c r="LYY120" s="65"/>
      <c r="LYZ120" s="65"/>
      <c r="LZA120" s="65"/>
      <c r="LZB120" s="65"/>
      <c r="LZC120" s="65"/>
      <c r="LZD120" s="65"/>
      <c r="LZE120" s="65"/>
      <c r="LZF120" s="65"/>
      <c r="LZG120" s="65"/>
      <c r="LZH120" s="65"/>
      <c r="LZI120" s="65"/>
      <c r="LZJ120" s="65"/>
      <c r="LZK120" s="65"/>
      <c r="LZL120" s="65"/>
      <c r="LZM120" s="65"/>
      <c r="LZN120" s="65"/>
      <c r="LZO120" s="65"/>
      <c r="LZP120" s="65"/>
      <c r="LZQ120" s="65"/>
      <c r="LZR120" s="65"/>
      <c r="LZS120" s="65"/>
      <c r="LZT120" s="65"/>
      <c r="LZU120" s="65"/>
      <c r="LZV120" s="65"/>
      <c r="LZW120" s="65"/>
      <c r="LZX120" s="65"/>
      <c r="LZY120" s="65"/>
      <c r="LZZ120" s="65"/>
      <c r="MAA120" s="65"/>
      <c r="MAB120" s="65"/>
      <c r="MAC120" s="65"/>
      <c r="MAD120" s="65"/>
      <c r="MAE120" s="65"/>
      <c r="MAF120" s="65"/>
      <c r="MAG120" s="65"/>
      <c r="MAH120" s="65"/>
      <c r="MAI120" s="65"/>
      <c r="MAJ120" s="65"/>
      <c r="MAK120" s="65"/>
      <c r="MAL120" s="65"/>
      <c r="MAM120" s="65"/>
      <c r="MAN120" s="65"/>
      <c r="MAO120" s="65"/>
      <c r="MAP120" s="65"/>
      <c r="MAQ120" s="65"/>
      <c r="MAR120" s="65"/>
      <c r="MAS120" s="65"/>
      <c r="MAT120" s="65"/>
      <c r="MAU120" s="65"/>
      <c r="MAV120" s="65"/>
      <c r="MAW120" s="65"/>
      <c r="MAX120" s="65"/>
      <c r="MAY120" s="65"/>
      <c r="MAZ120" s="65"/>
      <c r="MBA120" s="65"/>
      <c r="MBB120" s="65"/>
      <c r="MBC120" s="65"/>
      <c r="MBD120" s="65"/>
      <c r="MBE120" s="65"/>
      <c r="MBF120" s="65"/>
      <c r="MBG120" s="65"/>
      <c r="MBH120" s="65"/>
      <c r="MBI120" s="65"/>
      <c r="MBJ120" s="65"/>
      <c r="MBK120" s="65"/>
      <c r="MBL120" s="65"/>
      <c r="MBM120" s="65"/>
      <c r="MBN120" s="65"/>
      <c r="MBO120" s="65"/>
      <c r="MBP120" s="65"/>
      <c r="MBQ120" s="65"/>
      <c r="MBR120" s="65"/>
      <c r="MBS120" s="65"/>
      <c r="MBT120" s="65"/>
      <c r="MBU120" s="65"/>
      <c r="MBV120" s="65"/>
      <c r="MBW120" s="65"/>
      <c r="MBX120" s="65"/>
      <c r="MBY120" s="65"/>
      <c r="MBZ120" s="65"/>
      <c r="MCA120" s="65"/>
      <c r="MCB120" s="65"/>
      <c r="MCC120" s="65"/>
      <c r="MCD120" s="65"/>
      <c r="MCE120" s="65"/>
      <c r="MCF120" s="65"/>
      <c r="MCG120" s="65"/>
      <c r="MCH120" s="65"/>
      <c r="MCI120" s="65"/>
      <c r="MCJ120" s="65"/>
      <c r="MCK120" s="65"/>
      <c r="MCL120" s="65"/>
      <c r="MCM120" s="65"/>
      <c r="MCN120" s="65"/>
      <c r="MCO120" s="65"/>
      <c r="MCP120" s="65"/>
      <c r="MCQ120" s="65"/>
      <c r="MCR120" s="65"/>
      <c r="MCS120" s="65"/>
      <c r="MCT120" s="65"/>
      <c r="MCU120" s="65"/>
      <c r="MCV120" s="65"/>
      <c r="MCW120" s="65"/>
      <c r="MCX120" s="65"/>
      <c r="MCY120" s="65"/>
      <c r="MCZ120" s="65"/>
      <c r="MDA120" s="65"/>
      <c r="MDB120" s="65"/>
      <c r="MDC120" s="65"/>
      <c r="MDD120" s="65"/>
      <c r="MDE120" s="65"/>
      <c r="MDF120" s="65"/>
      <c r="MDG120" s="65"/>
      <c r="MDH120" s="65"/>
      <c r="MDI120" s="65"/>
      <c r="MDJ120" s="65"/>
      <c r="MDK120" s="65"/>
      <c r="MDL120" s="65"/>
      <c r="MDM120" s="65"/>
      <c r="MDN120" s="65"/>
      <c r="MDO120" s="65"/>
      <c r="MDP120" s="65"/>
      <c r="MDQ120" s="65"/>
      <c r="MDR120" s="65"/>
      <c r="MDS120" s="65"/>
      <c r="MDT120" s="65"/>
      <c r="MDU120" s="65"/>
      <c r="MDV120" s="65"/>
      <c r="MDW120" s="65"/>
      <c r="MDX120" s="65"/>
      <c r="MDY120" s="65"/>
      <c r="MDZ120" s="65"/>
      <c r="MEA120" s="65"/>
      <c r="MEB120" s="65"/>
      <c r="MEC120" s="65"/>
      <c r="MED120" s="65"/>
      <c r="MEE120" s="65"/>
      <c r="MEF120" s="65"/>
      <c r="MEG120" s="65"/>
      <c r="MEH120" s="65"/>
      <c r="MEI120" s="65"/>
      <c r="MEJ120" s="65"/>
      <c r="MEK120" s="65"/>
      <c r="MEL120" s="65"/>
      <c r="MEM120" s="65"/>
      <c r="MEN120" s="65"/>
      <c r="MEO120" s="65"/>
      <c r="MEP120" s="65"/>
      <c r="MEQ120" s="65"/>
      <c r="MER120" s="65"/>
      <c r="MES120" s="65"/>
      <c r="MET120" s="65"/>
      <c r="MEU120" s="65"/>
      <c r="MEV120" s="65"/>
      <c r="MEW120" s="65"/>
      <c r="MEX120" s="65"/>
      <c r="MEY120" s="65"/>
      <c r="MEZ120" s="65"/>
      <c r="MFA120" s="65"/>
      <c r="MFB120" s="65"/>
      <c r="MFC120" s="65"/>
      <c r="MFD120" s="65"/>
      <c r="MFE120" s="65"/>
      <c r="MFF120" s="65"/>
      <c r="MFG120" s="65"/>
      <c r="MFH120" s="65"/>
      <c r="MFI120" s="65"/>
      <c r="MFJ120" s="65"/>
      <c r="MFK120" s="65"/>
      <c r="MFL120" s="65"/>
      <c r="MFM120" s="65"/>
      <c r="MFN120" s="65"/>
      <c r="MFO120" s="65"/>
      <c r="MFP120" s="65"/>
      <c r="MFQ120" s="65"/>
      <c r="MFR120" s="65"/>
      <c r="MFS120" s="65"/>
      <c r="MFT120" s="65"/>
      <c r="MFU120" s="65"/>
      <c r="MFV120" s="65"/>
      <c r="MFW120" s="65"/>
      <c r="MFX120" s="65"/>
      <c r="MFY120" s="65"/>
      <c r="MFZ120" s="65"/>
      <c r="MGA120" s="65"/>
      <c r="MGB120" s="65"/>
      <c r="MGC120" s="65"/>
      <c r="MGD120" s="65"/>
      <c r="MGE120" s="65"/>
      <c r="MGF120" s="65"/>
      <c r="MGG120" s="65"/>
      <c r="MGH120" s="65"/>
      <c r="MGI120" s="65"/>
      <c r="MGJ120" s="65"/>
      <c r="MGK120" s="65"/>
      <c r="MGL120" s="65"/>
      <c r="MGM120" s="65"/>
      <c r="MGN120" s="65"/>
      <c r="MGO120" s="65"/>
      <c r="MGP120" s="65"/>
      <c r="MGQ120" s="65"/>
      <c r="MGR120" s="65"/>
      <c r="MGS120" s="65"/>
      <c r="MGT120" s="65"/>
      <c r="MGU120" s="65"/>
      <c r="MGV120" s="65"/>
      <c r="MGW120" s="65"/>
      <c r="MGX120" s="65"/>
      <c r="MGY120" s="65"/>
      <c r="MGZ120" s="65"/>
      <c r="MHA120" s="65"/>
      <c r="MHB120" s="65"/>
      <c r="MHC120" s="65"/>
      <c r="MHD120" s="65"/>
      <c r="MHE120" s="65"/>
      <c r="MHF120" s="65"/>
      <c r="MHG120" s="65"/>
      <c r="MHH120" s="65"/>
      <c r="MHI120" s="65"/>
      <c r="MHJ120" s="65"/>
      <c r="MHK120" s="65"/>
      <c r="MHL120" s="65"/>
      <c r="MHM120" s="65"/>
      <c r="MHN120" s="65"/>
      <c r="MHO120" s="65"/>
      <c r="MHP120" s="65"/>
      <c r="MHQ120" s="65"/>
      <c r="MHR120" s="65"/>
      <c r="MHS120" s="65"/>
      <c r="MHT120" s="65"/>
      <c r="MHU120" s="65"/>
      <c r="MHV120" s="65"/>
      <c r="MHW120" s="65"/>
      <c r="MHX120" s="65"/>
      <c r="MHY120" s="65"/>
      <c r="MHZ120" s="65"/>
      <c r="MIA120" s="65"/>
      <c r="MIB120" s="65"/>
      <c r="MIC120" s="65"/>
      <c r="MID120" s="65"/>
      <c r="MIE120" s="65"/>
      <c r="MIF120" s="65"/>
      <c r="MIG120" s="65"/>
      <c r="MIH120" s="65"/>
      <c r="MII120" s="65"/>
      <c r="MIJ120" s="65"/>
      <c r="MIK120" s="65"/>
      <c r="MIL120" s="65"/>
      <c r="MIM120" s="65"/>
      <c r="MIN120" s="65"/>
      <c r="MIO120" s="65"/>
      <c r="MIP120" s="65"/>
      <c r="MIQ120" s="65"/>
      <c r="MIR120" s="65"/>
      <c r="MIS120" s="65"/>
      <c r="MIT120" s="65"/>
      <c r="MIU120" s="65"/>
      <c r="MIV120" s="65"/>
      <c r="MIW120" s="65"/>
      <c r="MIX120" s="65"/>
      <c r="MIY120" s="65"/>
      <c r="MIZ120" s="65"/>
      <c r="MJA120" s="65"/>
      <c r="MJB120" s="65"/>
      <c r="MJC120" s="65"/>
      <c r="MJD120" s="65"/>
      <c r="MJE120" s="65"/>
      <c r="MJF120" s="65"/>
      <c r="MJG120" s="65"/>
      <c r="MJH120" s="65"/>
      <c r="MJI120" s="65"/>
      <c r="MJJ120" s="65"/>
      <c r="MJK120" s="65"/>
      <c r="MJL120" s="65"/>
      <c r="MJM120" s="65"/>
      <c r="MJN120" s="65"/>
      <c r="MJO120" s="65"/>
      <c r="MJP120" s="65"/>
      <c r="MJQ120" s="65"/>
      <c r="MJR120" s="65"/>
      <c r="MJS120" s="65"/>
      <c r="MJT120" s="65"/>
      <c r="MJU120" s="65"/>
      <c r="MJV120" s="65"/>
      <c r="MJW120" s="65"/>
      <c r="MJX120" s="65"/>
      <c r="MJY120" s="65"/>
      <c r="MJZ120" s="65"/>
      <c r="MKA120" s="65"/>
      <c r="MKB120" s="65"/>
      <c r="MKC120" s="65"/>
      <c r="MKD120" s="65"/>
      <c r="MKE120" s="65"/>
      <c r="MKF120" s="65"/>
      <c r="MKG120" s="65"/>
      <c r="MKH120" s="65"/>
      <c r="MKI120" s="65"/>
      <c r="MKJ120" s="65"/>
      <c r="MKK120" s="65"/>
      <c r="MKL120" s="65"/>
      <c r="MKM120" s="65"/>
      <c r="MKN120" s="65"/>
      <c r="MKO120" s="65"/>
      <c r="MKP120" s="65"/>
      <c r="MKQ120" s="65"/>
      <c r="MKR120" s="65"/>
      <c r="MKS120" s="65"/>
      <c r="MKT120" s="65"/>
      <c r="MKU120" s="65"/>
      <c r="MKV120" s="65"/>
      <c r="MKW120" s="65"/>
      <c r="MKX120" s="65"/>
      <c r="MKY120" s="65"/>
      <c r="MKZ120" s="65"/>
      <c r="MLA120" s="65"/>
      <c r="MLB120" s="65"/>
      <c r="MLC120" s="65"/>
      <c r="MLD120" s="65"/>
      <c r="MLE120" s="65"/>
      <c r="MLF120" s="65"/>
      <c r="MLG120" s="65"/>
      <c r="MLH120" s="65"/>
      <c r="MLI120" s="65"/>
      <c r="MLJ120" s="65"/>
      <c r="MLK120" s="65"/>
      <c r="MLL120" s="65"/>
      <c r="MLM120" s="65"/>
      <c r="MLN120" s="65"/>
      <c r="MLO120" s="65"/>
      <c r="MLP120" s="65"/>
      <c r="MLQ120" s="65"/>
      <c r="MLR120" s="65"/>
      <c r="MLS120" s="65"/>
      <c r="MLT120" s="65"/>
      <c r="MLU120" s="65"/>
      <c r="MLV120" s="65"/>
      <c r="MLW120" s="65"/>
      <c r="MLX120" s="65"/>
      <c r="MLY120" s="65"/>
      <c r="MLZ120" s="65"/>
      <c r="MMA120" s="65"/>
      <c r="MMB120" s="65"/>
      <c r="MMC120" s="65"/>
      <c r="MMD120" s="65"/>
      <c r="MME120" s="65"/>
      <c r="MMF120" s="65"/>
      <c r="MMG120" s="65"/>
      <c r="MMH120" s="65"/>
      <c r="MMI120" s="65"/>
      <c r="MMJ120" s="65"/>
      <c r="MMK120" s="65"/>
      <c r="MML120" s="65"/>
      <c r="MMM120" s="65"/>
      <c r="MMN120" s="65"/>
      <c r="MMO120" s="65"/>
      <c r="MMP120" s="65"/>
      <c r="MMQ120" s="65"/>
      <c r="MMR120" s="65"/>
      <c r="MMS120" s="65"/>
      <c r="MMT120" s="65"/>
      <c r="MMU120" s="65"/>
      <c r="MMV120" s="65"/>
      <c r="MMW120" s="65"/>
      <c r="MMX120" s="65"/>
      <c r="MMY120" s="65"/>
      <c r="MMZ120" s="65"/>
      <c r="MNA120" s="65"/>
      <c r="MNB120" s="65"/>
      <c r="MNC120" s="65"/>
      <c r="MND120" s="65"/>
      <c r="MNE120" s="65"/>
      <c r="MNF120" s="65"/>
      <c r="MNG120" s="65"/>
      <c r="MNH120" s="65"/>
      <c r="MNI120" s="65"/>
      <c r="MNJ120" s="65"/>
      <c r="MNK120" s="65"/>
      <c r="MNL120" s="65"/>
      <c r="MNM120" s="65"/>
      <c r="MNN120" s="65"/>
      <c r="MNO120" s="65"/>
      <c r="MNP120" s="65"/>
      <c r="MNQ120" s="65"/>
      <c r="MNR120" s="65"/>
      <c r="MNS120" s="65"/>
      <c r="MNT120" s="65"/>
      <c r="MNU120" s="65"/>
      <c r="MNV120" s="65"/>
      <c r="MNW120" s="65"/>
      <c r="MNX120" s="65"/>
      <c r="MNY120" s="65"/>
      <c r="MNZ120" s="65"/>
      <c r="MOA120" s="65"/>
      <c r="MOB120" s="65"/>
      <c r="MOC120" s="65"/>
      <c r="MOD120" s="65"/>
      <c r="MOE120" s="65"/>
      <c r="MOF120" s="65"/>
      <c r="MOG120" s="65"/>
      <c r="MOH120" s="65"/>
      <c r="MOI120" s="65"/>
      <c r="MOJ120" s="65"/>
      <c r="MOK120" s="65"/>
      <c r="MOL120" s="65"/>
      <c r="MOM120" s="65"/>
      <c r="MON120" s="65"/>
      <c r="MOO120" s="65"/>
      <c r="MOP120" s="65"/>
      <c r="MOQ120" s="65"/>
      <c r="MOR120" s="65"/>
      <c r="MOS120" s="65"/>
      <c r="MOT120" s="65"/>
      <c r="MOU120" s="65"/>
      <c r="MOV120" s="65"/>
      <c r="MOW120" s="65"/>
      <c r="MOX120" s="65"/>
      <c r="MOY120" s="65"/>
      <c r="MOZ120" s="65"/>
      <c r="MPA120" s="65"/>
      <c r="MPB120" s="65"/>
      <c r="MPC120" s="65"/>
      <c r="MPD120" s="65"/>
      <c r="MPE120" s="65"/>
      <c r="MPF120" s="65"/>
      <c r="MPG120" s="65"/>
      <c r="MPH120" s="65"/>
      <c r="MPI120" s="65"/>
      <c r="MPJ120" s="65"/>
      <c r="MPK120" s="65"/>
      <c r="MPL120" s="65"/>
      <c r="MPM120" s="65"/>
      <c r="MPN120" s="65"/>
      <c r="MPO120" s="65"/>
      <c r="MPP120" s="65"/>
      <c r="MPQ120" s="65"/>
      <c r="MPR120" s="65"/>
      <c r="MPS120" s="65"/>
      <c r="MPT120" s="65"/>
      <c r="MPU120" s="65"/>
      <c r="MPV120" s="65"/>
      <c r="MPW120" s="65"/>
      <c r="MPX120" s="65"/>
      <c r="MPY120" s="65"/>
      <c r="MPZ120" s="65"/>
      <c r="MQA120" s="65"/>
      <c r="MQB120" s="65"/>
      <c r="MQC120" s="65"/>
      <c r="MQD120" s="65"/>
      <c r="MQE120" s="65"/>
      <c r="MQF120" s="65"/>
      <c r="MQG120" s="65"/>
      <c r="MQH120" s="65"/>
      <c r="MQI120" s="65"/>
      <c r="MQJ120" s="65"/>
      <c r="MQK120" s="65"/>
      <c r="MQL120" s="65"/>
      <c r="MQM120" s="65"/>
      <c r="MQN120" s="65"/>
      <c r="MQO120" s="65"/>
      <c r="MQP120" s="65"/>
      <c r="MQQ120" s="65"/>
      <c r="MQR120" s="65"/>
      <c r="MQS120" s="65"/>
      <c r="MQT120" s="65"/>
      <c r="MQU120" s="65"/>
      <c r="MQV120" s="65"/>
      <c r="MQW120" s="65"/>
      <c r="MQX120" s="65"/>
      <c r="MQY120" s="65"/>
      <c r="MQZ120" s="65"/>
      <c r="MRA120" s="65"/>
      <c r="MRB120" s="65"/>
      <c r="MRC120" s="65"/>
      <c r="MRD120" s="65"/>
      <c r="MRE120" s="65"/>
      <c r="MRF120" s="65"/>
      <c r="MRG120" s="65"/>
      <c r="MRH120" s="65"/>
      <c r="MRI120" s="65"/>
      <c r="MRJ120" s="65"/>
      <c r="MRK120" s="65"/>
      <c r="MRL120" s="65"/>
      <c r="MRM120" s="65"/>
      <c r="MRN120" s="65"/>
      <c r="MRO120" s="65"/>
      <c r="MRP120" s="65"/>
      <c r="MRQ120" s="65"/>
      <c r="MRR120" s="65"/>
      <c r="MRS120" s="65"/>
      <c r="MRT120" s="65"/>
      <c r="MRU120" s="65"/>
      <c r="MRV120" s="65"/>
      <c r="MRW120" s="65"/>
      <c r="MRX120" s="65"/>
      <c r="MRY120" s="65"/>
      <c r="MRZ120" s="65"/>
      <c r="MSA120" s="65"/>
      <c r="MSB120" s="65"/>
      <c r="MSC120" s="65"/>
      <c r="MSD120" s="65"/>
      <c r="MSE120" s="65"/>
      <c r="MSF120" s="65"/>
      <c r="MSG120" s="65"/>
      <c r="MSH120" s="65"/>
      <c r="MSI120" s="65"/>
      <c r="MSJ120" s="65"/>
      <c r="MSK120" s="65"/>
      <c r="MSL120" s="65"/>
      <c r="MSM120" s="65"/>
      <c r="MSN120" s="65"/>
      <c r="MSO120" s="65"/>
      <c r="MSP120" s="65"/>
      <c r="MSQ120" s="65"/>
      <c r="MSR120" s="65"/>
      <c r="MSS120" s="65"/>
      <c r="MST120" s="65"/>
      <c r="MSU120" s="65"/>
      <c r="MSV120" s="65"/>
      <c r="MSW120" s="65"/>
      <c r="MSX120" s="65"/>
      <c r="MSY120" s="65"/>
      <c r="MSZ120" s="65"/>
      <c r="MTA120" s="65"/>
      <c r="MTB120" s="65"/>
      <c r="MTC120" s="65"/>
      <c r="MTD120" s="65"/>
      <c r="MTE120" s="65"/>
      <c r="MTF120" s="65"/>
      <c r="MTG120" s="65"/>
      <c r="MTH120" s="65"/>
      <c r="MTI120" s="65"/>
      <c r="MTJ120" s="65"/>
      <c r="MTK120" s="65"/>
      <c r="MTL120" s="65"/>
      <c r="MTM120" s="65"/>
      <c r="MTN120" s="65"/>
      <c r="MTO120" s="65"/>
      <c r="MTP120" s="65"/>
      <c r="MTQ120" s="65"/>
      <c r="MTR120" s="65"/>
      <c r="MTS120" s="65"/>
      <c r="MTT120" s="65"/>
      <c r="MTU120" s="65"/>
      <c r="MTV120" s="65"/>
      <c r="MTW120" s="65"/>
      <c r="MTX120" s="65"/>
      <c r="MTY120" s="65"/>
      <c r="MTZ120" s="65"/>
      <c r="MUA120" s="65"/>
      <c r="MUB120" s="65"/>
      <c r="MUC120" s="65"/>
      <c r="MUD120" s="65"/>
      <c r="MUE120" s="65"/>
      <c r="MUF120" s="65"/>
      <c r="MUG120" s="65"/>
      <c r="MUH120" s="65"/>
      <c r="MUI120" s="65"/>
      <c r="MUJ120" s="65"/>
      <c r="MUK120" s="65"/>
      <c r="MUL120" s="65"/>
      <c r="MUM120" s="65"/>
      <c r="MUN120" s="65"/>
      <c r="MUO120" s="65"/>
      <c r="MUP120" s="65"/>
      <c r="MUQ120" s="65"/>
      <c r="MUR120" s="65"/>
      <c r="MUS120" s="65"/>
      <c r="MUT120" s="65"/>
      <c r="MUU120" s="65"/>
      <c r="MUV120" s="65"/>
      <c r="MUW120" s="65"/>
      <c r="MUX120" s="65"/>
      <c r="MUY120" s="65"/>
      <c r="MUZ120" s="65"/>
      <c r="MVA120" s="65"/>
      <c r="MVB120" s="65"/>
      <c r="MVC120" s="65"/>
      <c r="MVD120" s="65"/>
      <c r="MVE120" s="65"/>
      <c r="MVF120" s="65"/>
      <c r="MVG120" s="65"/>
      <c r="MVH120" s="65"/>
      <c r="MVI120" s="65"/>
      <c r="MVJ120" s="65"/>
      <c r="MVK120" s="65"/>
      <c r="MVL120" s="65"/>
      <c r="MVM120" s="65"/>
      <c r="MVN120" s="65"/>
      <c r="MVO120" s="65"/>
      <c r="MVP120" s="65"/>
      <c r="MVQ120" s="65"/>
      <c r="MVR120" s="65"/>
      <c r="MVS120" s="65"/>
      <c r="MVT120" s="65"/>
      <c r="MVU120" s="65"/>
      <c r="MVV120" s="65"/>
      <c r="MVW120" s="65"/>
      <c r="MVX120" s="65"/>
      <c r="MVY120" s="65"/>
      <c r="MVZ120" s="65"/>
      <c r="MWA120" s="65"/>
      <c r="MWB120" s="65"/>
      <c r="MWC120" s="65"/>
      <c r="MWD120" s="65"/>
      <c r="MWE120" s="65"/>
      <c r="MWF120" s="65"/>
      <c r="MWG120" s="65"/>
      <c r="MWH120" s="65"/>
      <c r="MWI120" s="65"/>
      <c r="MWJ120" s="65"/>
      <c r="MWK120" s="65"/>
      <c r="MWL120" s="65"/>
      <c r="MWM120" s="65"/>
      <c r="MWN120" s="65"/>
      <c r="MWO120" s="65"/>
      <c r="MWP120" s="65"/>
      <c r="MWQ120" s="65"/>
      <c r="MWR120" s="65"/>
      <c r="MWS120" s="65"/>
      <c r="MWT120" s="65"/>
      <c r="MWU120" s="65"/>
      <c r="MWV120" s="65"/>
      <c r="MWW120" s="65"/>
      <c r="MWX120" s="65"/>
      <c r="MWY120" s="65"/>
      <c r="MWZ120" s="65"/>
      <c r="MXA120" s="65"/>
      <c r="MXB120" s="65"/>
      <c r="MXC120" s="65"/>
      <c r="MXD120" s="65"/>
      <c r="MXE120" s="65"/>
      <c r="MXF120" s="65"/>
      <c r="MXG120" s="65"/>
      <c r="MXH120" s="65"/>
      <c r="MXI120" s="65"/>
      <c r="MXJ120" s="65"/>
      <c r="MXK120" s="65"/>
      <c r="MXL120" s="65"/>
      <c r="MXM120" s="65"/>
      <c r="MXN120" s="65"/>
      <c r="MXO120" s="65"/>
      <c r="MXP120" s="65"/>
      <c r="MXQ120" s="65"/>
      <c r="MXR120" s="65"/>
      <c r="MXS120" s="65"/>
      <c r="MXT120" s="65"/>
      <c r="MXU120" s="65"/>
      <c r="MXV120" s="65"/>
      <c r="MXW120" s="65"/>
      <c r="MXX120" s="65"/>
      <c r="MXY120" s="65"/>
      <c r="MXZ120" s="65"/>
      <c r="MYA120" s="65"/>
      <c r="MYB120" s="65"/>
      <c r="MYC120" s="65"/>
      <c r="MYD120" s="65"/>
      <c r="MYE120" s="65"/>
      <c r="MYF120" s="65"/>
      <c r="MYG120" s="65"/>
      <c r="MYH120" s="65"/>
      <c r="MYI120" s="65"/>
      <c r="MYJ120" s="65"/>
      <c r="MYK120" s="65"/>
      <c r="MYL120" s="65"/>
      <c r="MYM120" s="65"/>
      <c r="MYN120" s="65"/>
      <c r="MYO120" s="65"/>
      <c r="MYP120" s="65"/>
      <c r="MYQ120" s="65"/>
      <c r="MYR120" s="65"/>
      <c r="MYS120" s="65"/>
      <c r="MYT120" s="65"/>
      <c r="MYU120" s="65"/>
      <c r="MYV120" s="65"/>
      <c r="MYW120" s="65"/>
      <c r="MYX120" s="65"/>
      <c r="MYY120" s="65"/>
      <c r="MYZ120" s="65"/>
      <c r="MZA120" s="65"/>
      <c r="MZB120" s="65"/>
      <c r="MZC120" s="65"/>
      <c r="MZD120" s="65"/>
      <c r="MZE120" s="65"/>
      <c r="MZF120" s="65"/>
      <c r="MZG120" s="65"/>
      <c r="MZH120" s="65"/>
      <c r="MZI120" s="65"/>
      <c r="MZJ120" s="65"/>
      <c r="MZK120" s="65"/>
      <c r="MZL120" s="65"/>
      <c r="MZM120" s="65"/>
      <c r="MZN120" s="65"/>
      <c r="MZO120" s="65"/>
      <c r="MZP120" s="65"/>
      <c r="MZQ120" s="65"/>
      <c r="MZR120" s="65"/>
      <c r="MZS120" s="65"/>
      <c r="MZT120" s="65"/>
      <c r="MZU120" s="65"/>
      <c r="MZV120" s="65"/>
      <c r="MZW120" s="65"/>
      <c r="MZX120" s="65"/>
      <c r="MZY120" s="65"/>
      <c r="MZZ120" s="65"/>
      <c r="NAA120" s="65"/>
      <c r="NAB120" s="65"/>
      <c r="NAC120" s="65"/>
      <c r="NAD120" s="65"/>
      <c r="NAE120" s="65"/>
      <c r="NAF120" s="65"/>
      <c r="NAG120" s="65"/>
      <c r="NAH120" s="65"/>
      <c r="NAI120" s="65"/>
      <c r="NAJ120" s="65"/>
      <c r="NAK120" s="65"/>
      <c r="NAL120" s="65"/>
      <c r="NAM120" s="65"/>
      <c r="NAN120" s="65"/>
      <c r="NAO120" s="65"/>
      <c r="NAP120" s="65"/>
      <c r="NAQ120" s="65"/>
      <c r="NAR120" s="65"/>
      <c r="NAS120" s="65"/>
      <c r="NAT120" s="65"/>
      <c r="NAU120" s="65"/>
      <c r="NAV120" s="65"/>
      <c r="NAW120" s="65"/>
      <c r="NAX120" s="65"/>
      <c r="NAY120" s="65"/>
      <c r="NAZ120" s="65"/>
      <c r="NBA120" s="65"/>
      <c r="NBB120" s="65"/>
      <c r="NBC120" s="65"/>
      <c r="NBD120" s="65"/>
      <c r="NBE120" s="65"/>
      <c r="NBF120" s="65"/>
      <c r="NBG120" s="65"/>
      <c r="NBH120" s="65"/>
      <c r="NBI120" s="65"/>
      <c r="NBJ120" s="65"/>
      <c r="NBK120" s="65"/>
      <c r="NBL120" s="65"/>
      <c r="NBM120" s="65"/>
      <c r="NBN120" s="65"/>
      <c r="NBO120" s="65"/>
      <c r="NBP120" s="65"/>
      <c r="NBQ120" s="65"/>
      <c r="NBR120" s="65"/>
      <c r="NBS120" s="65"/>
      <c r="NBT120" s="65"/>
      <c r="NBU120" s="65"/>
      <c r="NBV120" s="65"/>
      <c r="NBW120" s="65"/>
      <c r="NBX120" s="65"/>
      <c r="NBY120" s="65"/>
      <c r="NBZ120" s="65"/>
      <c r="NCA120" s="65"/>
      <c r="NCB120" s="65"/>
      <c r="NCC120" s="65"/>
      <c r="NCD120" s="65"/>
      <c r="NCE120" s="65"/>
      <c r="NCF120" s="65"/>
      <c r="NCG120" s="65"/>
      <c r="NCH120" s="65"/>
      <c r="NCI120" s="65"/>
      <c r="NCJ120" s="65"/>
      <c r="NCK120" s="65"/>
      <c r="NCL120" s="65"/>
      <c r="NCM120" s="65"/>
      <c r="NCN120" s="65"/>
      <c r="NCO120" s="65"/>
      <c r="NCP120" s="65"/>
      <c r="NCQ120" s="65"/>
      <c r="NCR120" s="65"/>
      <c r="NCS120" s="65"/>
      <c r="NCT120" s="65"/>
      <c r="NCU120" s="65"/>
      <c r="NCV120" s="65"/>
      <c r="NCW120" s="65"/>
      <c r="NCX120" s="65"/>
      <c r="NCY120" s="65"/>
      <c r="NCZ120" s="65"/>
      <c r="NDA120" s="65"/>
      <c r="NDB120" s="65"/>
      <c r="NDC120" s="65"/>
      <c r="NDD120" s="65"/>
      <c r="NDE120" s="65"/>
      <c r="NDF120" s="65"/>
      <c r="NDG120" s="65"/>
      <c r="NDH120" s="65"/>
      <c r="NDI120" s="65"/>
      <c r="NDJ120" s="65"/>
      <c r="NDK120" s="65"/>
      <c r="NDL120" s="65"/>
      <c r="NDM120" s="65"/>
      <c r="NDN120" s="65"/>
      <c r="NDO120" s="65"/>
      <c r="NDP120" s="65"/>
      <c r="NDQ120" s="65"/>
      <c r="NDR120" s="65"/>
      <c r="NDS120" s="65"/>
      <c r="NDT120" s="65"/>
      <c r="NDU120" s="65"/>
      <c r="NDV120" s="65"/>
      <c r="NDW120" s="65"/>
      <c r="NDX120" s="65"/>
      <c r="NDY120" s="65"/>
      <c r="NDZ120" s="65"/>
      <c r="NEA120" s="65"/>
      <c r="NEB120" s="65"/>
      <c r="NEC120" s="65"/>
      <c r="NED120" s="65"/>
      <c r="NEE120" s="65"/>
      <c r="NEF120" s="65"/>
      <c r="NEG120" s="65"/>
      <c r="NEH120" s="65"/>
      <c r="NEI120" s="65"/>
      <c r="NEJ120" s="65"/>
      <c r="NEK120" s="65"/>
      <c r="NEL120" s="65"/>
      <c r="NEM120" s="65"/>
      <c r="NEN120" s="65"/>
      <c r="NEO120" s="65"/>
      <c r="NEP120" s="65"/>
      <c r="NEQ120" s="65"/>
      <c r="NER120" s="65"/>
      <c r="NES120" s="65"/>
      <c r="NET120" s="65"/>
      <c r="NEU120" s="65"/>
      <c r="NEV120" s="65"/>
      <c r="NEW120" s="65"/>
      <c r="NEX120" s="65"/>
      <c r="NEY120" s="65"/>
      <c r="NEZ120" s="65"/>
      <c r="NFA120" s="65"/>
      <c r="NFB120" s="65"/>
      <c r="NFC120" s="65"/>
      <c r="NFD120" s="65"/>
      <c r="NFE120" s="65"/>
      <c r="NFF120" s="65"/>
      <c r="NFG120" s="65"/>
      <c r="NFH120" s="65"/>
      <c r="NFI120" s="65"/>
      <c r="NFJ120" s="65"/>
      <c r="NFK120" s="65"/>
      <c r="NFL120" s="65"/>
      <c r="NFM120" s="65"/>
      <c r="NFN120" s="65"/>
      <c r="NFO120" s="65"/>
      <c r="NFP120" s="65"/>
      <c r="NFQ120" s="65"/>
      <c r="NFR120" s="65"/>
      <c r="NFS120" s="65"/>
      <c r="NFT120" s="65"/>
      <c r="NFU120" s="65"/>
      <c r="NFV120" s="65"/>
      <c r="NFW120" s="65"/>
      <c r="NFX120" s="65"/>
      <c r="NFY120" s="65"/>
      <c r="NFZ120" s="65"/>
      <c r="NGA120" s="65"/>
      <c r="NGB120" s="65"/>
      <c r="NGC120" s="65"/>
      <c r="NGD120" s="65"/>
      <c r="NGE120" s="65"/>
      <c r="NGF120" s="65"/>
      <c r="NGG120" s="65"/>
      <c r="NGH120" s="65"/>
      <c r="NGI120" s="65"/>
      <c r="NGJ120" s="65"/>
      <c r="NGK120" s="65"/>
      <c r="NGL120" s="65"/>
      <c r="NGM120" s="65"/>
      <c r="NGN120" s="65"/>
      <c r="NGO120" s="65"/>
      <c r="NGP120" s="65"/>
      <c r="NGQ120" s="65"/>
      <c r="NGR120" s="65"/>
      <c r="NGS120" s="65"/>
      <c r="NGT120" s="65"/>
      <c r="NGU120" s="65"/>
      <c r="NGV120" s="65"/>
      <c r="NGW120" s="65"/>
      <c r="NGX120" s="65"/>
      <c r="NGY120" s="65"/>
      <c r="NGZ120" s="65"/>
      <c r="NHA120" s="65"/>
      <c r="NHB120" s="65"/>
      <c r="NHC120" s="65"/>
      <c r="NHD120" s="65"/>
      <c r="NHE120" s="65"/>
      <c r="NHF120" s="65"/>
      <c r="NHG120" s="65"/>
      <c r="NHH120" s="65"/>
      <c r="NHI120" s="65"/>
      <c r="NHJ120" s="65"/>
      <c r="NHK120" s="65"/>
      <c r="NHL120" s="65"/>
      <c r="NHM120" s="65"/>
      <c r="NHN120" s="65"/>
      <c r="NHO120" s="65"/>
      <c r="NHP120" s="65"/>
      <c r="NHQ120" s="65"/>
      <c r="NHR120" s="65"/>
      <c r="NHS120" s="65"/>
      <c r="NHT120" s="65"/>
      <c r="NHU120" s="65"/>
      <c r="NHV120" s="65"/>
      <c r="NHW120" s="65"/>
      <c r="NHX120" s="65"/>
      <c r="NHY120" s="65"/>
      <c r="NHZ120" s="65"/>
      <c r="NIA120" s="65"/>
      <c r="NIB120" s="65"/>
      <c r="NIC120" s="65"/>
      <c r="NID120" s="65"/>
      <c r="NIE120" s="65"/>
      <c r="NIF120" s="65"/>
      <c r="NIG120" s="65"/>
      <c r="NIH120" s="65"/>
      <c r="NII120" s="65"/>
      <c r="NIJ120" s="65"/>
      <c r="NIK120" s="65"/>
      <c r="NIL120" s="65"/>
      <c r="NIM120" s="65"/>
      <c r="NIN120" s="65"/>
      <c r="NIO120" s="65"/>
      <c r="NIP120" s="65"/>
      <c r="NIQ120" s="65"/>
      <c r="NIR120" s="65"/>
      <c r="NIS120" s="65"/>
      <c r="NIT120" s="65"/>
      <c r="NIU120" s="65"/>
      <c r="NIV120" s="65"/>
      <c r="NIW120" s="65"/>
      <c r="NIX120" s="65"/>
      <c r="NIY120" s="65"/>
      <c r="NIZ120" s="65"/>
      <c r="NJA120" s="65"/>
      <c r="NJB120" s="65"/>
      <c r="NJC120" s="65"/>
      <c r="NJD120" s="65"/>
      <c r="NJE120" s="65"/>
      <c r="NJF120" s="65"/>
      <c r="NJG120" s="65"/>
      <c r="NJH120" s="65"/>
      <c r="NJI120" s="65"/>
      <c r="NJJ120" s="65"/>
      <c r="NJK120" s="65"/>
      <c r="NJL120" s="65"/>
      <c r="NJM120" s="65"/>
      <c r="NJN120" s="65"/>
      <c r="NJO120" s="65"/>
      <c r="NJP120" s="65"/>
      <c r="NJQ120" s="65"/>
      <c r="NJR120" s="65"/>
      <c r="NJS120" s="65"/>
      <c r="NJT120" s="65"/>
      <c r="NJU120" s="65"/>
      <c r="NJV120" s="65"/>
      <c r="NJW120" s="65"/>
      <c r="NJX120" s="65"/>
      <c r="NJY120" s="65"/>
      <c r="NJZ120" s="65"/>
      <c r="NKA120" s="65"/>
      <c r="NKB120" s="65"/>
      <c r="NKC120" s="65"/>
      <c r="NKD120" s="65"/>
      <c r="NKE120" s="65"/>
      <c r="NKF120" s="65"/>
      <c r="NKG120" s="65"/>
      <c r="NKH120" s="65"/>
      <c r="NKI120" s="65"/>
      <c r="NKJ120" s="65"/>
      <c r="NKK120" s="65"/>
      <c r="NKL120" s="65"/>
      <c r="NKM120" s="65"/>
      <c r="NKN120" s="65"/>
      <c r="NKO120" s="65"/>
      <c r="NKP120" s="65"/>
      <c r="NKQ120" s="65"/>
      <c r="NKR120" s="65"/>
      <c r="NKS120" s="65"/>
      <c r="NKT120" s="65"/>
      <c r="NKU120" s="65"/>
      <c r="NKV120" s="65"/>
      <c r="NKW120" s="65"/>
      <c r="NKX120" s="65"/>
      <c r="NKY120" s="65"/>
      <c r="NKZ120" s="65"/>
      <c r="NLA120" s="65"/>
      <c r="NLB120" s="65"/>
      <c r="NLC120" s="65"/>
      <c r="NLD120" s="65"/>
      <c r="NLE120" s="65"/>
      <c r="NLF120" s="65"/>
      <c r="NLG120" s="65"/>
      <c r="NLH120" s="65"/>
      <c r="NLI120" s="65"/>
      <c r="NLJ120" s="65"/>
      <c r="NLK120" s="65"/>
      <c r="NLL120" s="65"/>
      <c r="NLM120" s="65"/>
      <c r="NLN120" s="65"/>
      <c r="NLO120" s="65"/>
      <c r="NLP120" s="65"/>
      <c r="NLQ120" s="65"/>
      <c r="NLR120" s="65"/>
      <c r="NLS120" s="65"/>
      <c r="NLT120" s="65"/>
      <c r="NLU120" s="65"/>
      <c r="NLV120" s="65"/>
      <c r="NLW120" s="65"/>
      <c r="NLX120" s="65"/>
      <c r="NLY120" s="65"/>
      <c r="NLZ120" s="65"/>
      <c r="NMA120" s="65"/>
      <c r="NMB120" s="65"/>
      <c r="NMC120" s="65"/>
      <c r="NMD120" s="65"/>
      <c r="NME120" s="65"/>
      <c r="NMF120" s="65"/>
      <c r="NMG120" s="65"/>
      <c r="NMH120" s="65"/>
      <c r="NMI120" s="65"/>
      <c r="NMJ120" s="65"/>
      <c r="NMK120" s="65"/>
      <c r="NML120" s="65"/>
      <c r="NMM120" s="65"/>
      <c r="NMN120" s="65"/>
      <c r="NMO120" s="65"/>
      <c r="NMP120" s="65"/>
      <c r="NMQ120" s="65"/>
      <c r="NMR120" s="65"/>
      <c r="NMS120" s="65"/>
      <c r="NMT120" s="65"/>
      <c r="NMU120" s="65"/>
      <c r="NMV120" s="65"/>
      <c r="NMW120" s="65"/>
      <c r="NMX120" s="65"/>
      <c r="NMY120" s="65"/>
      <c r="NMZ120" s="65"/>
      <c r="NNA120" s="65"/>
      <c r="NNB120" s="65"/>
      <c r="NNC120" s="65"/>
      <c r="NND120" s="65"/>
      <c r="NNE120" s="65"/>
      <c r="NNF120" s="65"/>
      <c r="NNG120" s="65"/>
      <c r="NNH120" s="65"/>
      <c r="NNI120" s="65"/>
      <c r="NNJ120" s="65"/>
      <c r="NNK120" s="65"/>
      <c r="NNL120" s="65"/>
      <c r="NNM120" s="65"/>
      <c r="NNN120" s="65"/>
      <c r="NNO120" s="65"/>
      <c r="NNP120" s="65"/>
      <c r="NNQ120" s="65"/>
      <c r="NNR120" s="65"/>
      <c r="NNS120" s="65"/>
      <c r="NNT120" s="65"/>
      <c r="NNU120" s="65"/>
      <c r="NNV120" s="65"/>
      <c r="NNW120" s="65"/>
      <c r="NNX120" s="65"/>
      <c r="NNY120" s="65"/>
      <c r="NNZ120" s="65"/>
      <c r="NOA120" s="65"/>
      <c r="NOB120" s="65"/>
      <c r="NOC120" s="65"/>
      <c r="NOD120" s="65"/>
      <c r="NOE120" s="65"/>
      <c r="NOF120" s="65"/>
      <c r="NOG120" s="65"/>
      <c r="NOH120" s="65"/>
      <c r="NOI120" s="65"/>
      <c r="NOJ120" s="65"/>
      <c r="NOK120" s="65"/>
      <c r="NOL120" s="65"/>
      <c r="NOM120" s="65"/>
      <c r="NON120" s="65"/>
      <c r="NOO120" s="65"/>
      <c r="NOP120" s="65"/>
      <c r="NOQ120" s="65"/>
      <c r="NOR120" s="65"/>
      <c r="NOS120" s="65"/>
      <c r="NOT120" s="65"/>
      <c r="NOU120" s="65"/>
      <c r="NOV120" s="65"/>
      <c r="NOW120" s="65"/>
      <c r="NOX120" s="65"/>
      <c r="NOY120" s="65"/>
      <c r="NOZ120" s="65"/>
      <c r="NPA120" s="65"/>
      <c r="NPB120" s="65"/>
      <c r="NPC120" s="65"/>
      <c r="NPD120" s="65"/>
      <c r="NPE120" s="65"/>
      <c r="NPF120" s="65"/>
      <c r="NPG120" s="65"/>
      <c r="NPH120" s="65"/>
      <c r="NPI120" s="65"/>
      <c r="NPJ120" s="65"/>
      <c r="NPK120" s="65"/>
      <c r="NPL120" s="65"/>
      <c r="NPM120" s="65"/>
      <c r="NPN120" s="65"/>
      <c r="NPO120" s="65"/>
      <c r="NPP120" s="65"/>
      <c r="NPQ120" s="65"/>
      <c r="NPR120" s="65"/>
      <c r="NPS120" s="65"/>
      <c r="NPT120" s="65"/>
      <c r="NPU120" s="65"/>
      <c r="NPV120" s="65"/>
      <c r="NPW120" s="65"/>
      <c r="NPX120" s="65"/>
      <c r="NPY120" s="65"/>
      <c r="NPZ120" s="65"/>
      <c r="NQA120" s="65"/>
      <c r="NQB120" s="65"/>
      <c r="NQC120" s="65"/>
      <c r="NQD120" s="65"/>
      <c r="NQE120" s="65"/>
      <c r="NQF120" s="65"/>
      <c r="NQG120" s="65"/>
      <c r="NQH120" s="65"/>
      <c r="NQI120" s="65"/>
      <c r="NQJ120" s="65"/>
      <c r="NQK120" s="65"/>
      <c r="NQL120" s="65"/>
      <c r="NQM120" s="65"/>
      <c r="NQN120" s="65"/>
      <c r="NQO120" s="65"/>
      <c r="NQP120" s="65"/>
      <c r="NQQ120" s="65"/>
      <c r="NQR120" s="65"/>
      <c r="NQS120" s="65"/>
      <c r="NQT120" s="65"/>
      <c r="NQU120" s="65"/>
      <c r="NQV120" s="65"/>
      <c r="NQW120" s="65"/>
      <c r="NQX120" s="65"/>
      <c r="NQY120" s="65"/>
      <c r="NQZ120" s="65"/>
      <c r="NRA120" s="65"/>
      <c r="NRB120" s="65"/>
      <c r="NRC120" s="65"/>
      <c r="NRD120" s="65"/>
      <c r="NRE120" s="65"/>
      <c r="NRF120" s="65"/>
      <c r="NRG120" s="65"/>
      <c r="NRH120" s="65"/>
      <c r="NRI120" s="65"/>
      <c r="NRJ120" s="65"/>
      <c r="NRK120" s="65"/>
      <c r="NRL120" s="65"/>
      <c r="NRM120" s="65"/>
      <c r="NRN120" s="65"/>
      <c r="NRO120" s="65"/>
      <c r="NRP120" s="65"/>
      <c r="NRQ120" s="65"/>
      <c r="NRR120" s="65"/>
      <c r="NRS120" s="65"/>
      <c r="NRT120" s="65"/>
      <c r="NRU120" s="65"/>
      <c r="NRV120" s="65"/>
      <c r="NRW120" s="65"/>
      <c r="NRX120" s="65"/>
      <c r="NRY120" s="65"/>
      <c r="NRZ120" s="65"/>
      <c r="NSA120" s="65"/>
      <c r="NSB120" s="65"/>
      <c r="NSC120" s="65"/>
      <c r="NSD120" s="65"/>
      <c r="NSE120" s="65"/>
      <c r="NSF120" s="65"/>
      <c r="NSG120" s="65"/>
      <c r="NSH120" s="65"/>
      <c r="NSI120" s="65"/>
      <c r="NSJ120" s="65"/>
      <c r="NSK120" s="65"/>
      <c r="NSL120" s="65"/>
      <c r="NSM120" s="65"/>
      <c r="NSN120" s="65"/>
      <c r="NSO120" s="65"/>
      <c r="NSP120" s="65"/>
      <c r="NSQ120" s="65"/>
      <c r="NSR120" s="65"/>
      <c r="NSS120" s="65"/>
      <c r="NST120" s="65"/>
      <c r="NSU120" s="65"/>
      <c r="NSV120" s="65"/>
      <c r="NSW120" s="65"/>
      <c r="NSX120" s="65"/>
      <c r="NSY120" s="65"/>
      <c r="NSZ120" s="65"/>
      <c r="NTA120" s="65"/>
      <c r="NTB120" s="65"/>
      <c r="NTC120" s="65"/>
      <c r="NTD120" s="65"/>
      <c r="NTE120" s="65"/>
      <c r="NTF120" s="65"/>
      <c r="NTG120" s="65"/>
      <c r="NTH120" s="65"/>
      <c r="NTI120" s="65"/>
      <c r="NTJ120" s="65"/>
      <c r="NTK120" s="65"/>
      <c r="NTL120" s="65"/>
      <c r="NTM120" s="65"/>
      <c r="NTN120" s="65"/>
      <c r="NTO120" s="65"/>
      <c r="NTP120" s="65"/>
      <c r="NTQ120" s="65"/>
      <c r="NTR120" s="65"/>
      <c r="NTS120" s="65"/>
      <c r="NTT120" s="65"/>
      <c r="NTU120" s="65"/>
      <c r="NTV120" s="65"/>
      <c r="NTW120" s="65"/>
      <c r="NTX120" s="65"/>
      <c r="NTY120" s="65"/>
      <c r="NTZ120" s="65"/>
      <c r="NUA120" s="65"/>
      <c r="NUB120" s="65"/>
      <c r="NUC120" s="65"/>
      <c r="NUD120" s="65"/>
      <c r="NUE120" s="65"/>
      <c r="NUF120" s="65"/>
      <c r="NUG120" s="65"/>
      <c r="NUH120" s="65"/>
      <c r="NUI120" s="65"/>
      <c r="NUJ120" s="65"/>
      <c r="NUK120" s="65"/>
      <c r="NUL120" s="65"/>
      <c r="NUM120" s="65"/>
      <c r="NUN120" s="65"/>
      <c r="NUO120" s="65"/>
      <c r="NUP120" s="65"/>
      <c r="NUQ120" s="65"/>
      <c r="NUR120" s="65"/>
      <c r="NUS120" s="65"/>
      <c r="NUT120" s="65"/>
      <c r="NUU120" s="65"/>
      <c r="NUV120" s="65"/>
      <c r="NUW120" s="65"/>
      <c r="NUX120" s="65"/>
      <c r="NUY120" s="65"/>
      <c r="NUZ120" s="65"/>
      <c r="NVA120" s="65"/>
      <c r="NVB120" s="65"/>
      <c r="NVC120" s="65"/>
      <c r="NVD120" s="65"/>
      <c r="NVE120" s="65"/>
      <c r="NVF120" s="65"/>
      <c r="NVG120" s="65"/>
      <c r="NVH120" s="65"/>
      <c r="NVI120" s="65"/>
      <c r="NVJ120" s="65"/>
      <c r="NVK120" s="65"/>
      <c r="NVL120" s="65"/>
      <c r="NVM120" s="65"/>
      <c r="NVN120" s="65"/>
      <c r="NVO120" s="65"/>
      <c r="NVP120" s="65"/>
      <c r="NVQ120" s="65"/>
      <c r="NVR120" s="65"/>
      <c r="NVS120" s="65"/>
      <c r="NVT120" s="65"/>
      <c r="NVU120" s="65"/>
      <c r="NVV120" s="65"/>
      <c r="NVW120" s="65"/>
      <c r="NVX120" s="65"/>
      <c r="NVY120" s="65"/>
      <c r="NVZ120" s="65"/>
      <c r="NWA120" s="65"/>
      <c r="NWB120" s="65"/>
      <c r="NWC120" s="65"/>
      <c r="NWD120" s="65"/>
      <c r="NWE120" s="65"/>
      <c r="NWF120" s="65"/>
      <c r="NWG120" s="65"/>
      <c r="NWH120" s="65"/>
      <c r="NWI120" s="65"/>
      <c r="NWJ120" s="65"/>
      <c r="NWK120" s="65"/>
      <c r="NWL120" s="65"/>
      <c r="NWM120" s="65"/>
      <c r="NWN120" s="65"/>
      <c r="NWO120" s="65"/>
      <c r="NWP120" s="65"/>
      <c r="NWQ120" s="65"/>
      <c r="NWR120" s="65"/>
      <c r="NWS120" s="65"/>
      <c r="NWT120" s="65"/>
      <c r="NWU120" s="65"/>
      <c r="NWV120" s="65"/>
      <c r="NWW120" s="65"/>
      <c r="NWX120" s="65"/>
      <c r="NWY120" s="65"/>
      <c r="NWZ120" s="65"/>
      <c r="NXA120" s="65"/>
      <c r="NXB120" s="65"/>
      <c r="NXC120" s="65"/>
      <c r="NXD120" s="65"/>
      <c r="NXE120" s="65"/>
      <c r="NXF120" s="65"/>
      <c r="NXG120" s="65"/>
      <c r="NXH120" s="65"/>
      <c r="NXI120" s="65"/>
      <c r="NXJ120" s="65"/>
      <c r="NXK120" s="65"/>
      <c r="NXL120" s="65"/>
      <c r="NXM120" s="65"/>
      <c r="NXN120" s="65"/>
      <c r="NXO120" s="65"/>
      <c r="NXP120" s="65"/>
      <c r="NXQ120" s="65"/>
      <c r="NXR120" s="65"/>
      <c r="NXS120" s="65"/>
      <c r="NXT120" s="65"/>
      <c r="NXU120" s="65"/>
      <c r="NXV120" s="65"/>
      <c r="NXW120" s="65"/>
      <c r="NXX120" s="65"/>
      <c r="NXY120" s="65"/>
      <c r="NXZ120" s="65"/>
      <c r="NYA120" s="65"/>
      <c r="NYB120" s="65"/>
      <c r="NYC120" s="65"/>
      <c r="NYD120" s="65"/>
      <c r="NYE120" s="65"/>
      <c r="NYF120" s="65"/>
      <c r="NYG120" s="65"/>
      <c r="NYH120" s="65"/>
      <c r="NYI120" s="65"/>
      <c r="NYJ120" s="65"/>
      <c r="NYK120" s="65"/>
      <c r="NYL120" s="65"/>
      <c r="NYM120" s="65"/>
      <c r="NYN120" s="65"/>
      <c r="NYO120" s="65"/>
      <c r="NYP120" s="65"/>
      <c r="NYQ120" s="65"/>
      <c r="NYR120" s="65"/>
      <c r="NYS120" s="65"/>
      <c r="NYT120" s="65"/>
      <c r="NYU120" s="65"/>
      <c r="NYV120" s="65"/>
      <c r="NYW120" s="65"/>
      <c r="NYX120" s="65"/>
      <c r="NYY120" s="65"/>
      <c r="NYZ120" s="65"/>
      <c r="NZA120" s="65"/>
      <c r="NZB120" s="65"/>
      <c r="NZC120" s="65"/>
      <c r="NZD120" s="65"/>
      <c r="NZE120" s="65"/>
      <c r="NZF120" s="65"/>
      <c r="NZG120" s="65"/>
      <c r="NZH120" s="65"/>
      <c r="NZI120" s="65"/>
      <c r="NZJ120" s="65"/>
      <c r="NZK120" s="65"/>
      <c r="NZL120" s="65"/>
      <c r="NZM120" s="65"/>
      <c r="NZN120" s="65"/>
      <c r="NZO120" s="65"/>
      <c r="NZP120" s="65"/>
      <c r="NZQ120" s="65"/>
      <c r="NZR120" s="65"/>
      <c r="NZS120" s="65"/>
      <c r="NZT120" s="65"/>
      <c r="NZU120" s="65"/>
      <c r="NZV120" s="65"/>
      <c r="NZW120" s="65"/>
      <c r="NZX120" s="65"/>
      <c r="NZY120" s="65"/>
      <c r="NZZ120" s="65"/>
      <c r="OAA120" s="65"/>
      <c r="OAB120" s="65"/>
      <c r="OAC120" s="65"/>
      <c r="OAD120" s="65"/>
      <c r="OAE120" s="65"/>
      <c r="OAF120" s="65"/>
      <c r="OAG120" s="65"/>
      <c r="OAH120" s="65"/>
      <c r="OAI120" s="65"/>
      <c r="OAJ120" s="65"/>
      <c r="OAK120" s="65"/>
      <c r="OAL120" s="65"/>
      <c r="OAM120" s="65"/>
      <c r="OAN120" s="65"/>
      <c r="OAO120" s="65"/>
      <c r="OAP120" s="65"/>
      <c r="OAQ120" s="65"/>
      <c r="OAR120" s="65"/>
      <c r="OAS120" s="65"/>
      <c r="OAT120" s="65"/>
      <c r="OAU120" s="65"/>
      <c r="OAV120" s="65"/>
      <c r="OAW120" s="65"/>
      <c r="OAX120" s="65"/>
      <c r="OAY120" s="65"/>
      <c r="OAZ120" s="65"/>
      <c r="OBA120" s="65"/>
      <c r="OBB120" s="65"/>
      <c r="OBC120" s="65"/>
      <c r="OBD120" s="65"/>
      <c r="OBE120" s="65"/>
      <c r="OBF120" s="65"/>
      <c r="OBG120" s="65"/>
      <c r="OBH120" s="65"/>
      <c r="OBI120" s="65"/>
      <c r="OBJ120" s="65"/>
      <c r="OBK120" s="65"/>
      <c r="OBL120" s="65"/>
      <c r="OBM120" s="65"/>
      <c r="OBN120" s="65"/>
      <c r="OBO120" s="65"/>
      <c r="OBP120" s="65"/>
      <c r="OBQ120" s="65"/>
      <c r="OBR120" s="65"/>
      <c r="OBS120" s="65"/>
      <c r="OBT120" s="65"/>
      <c r="OBU120" s="65"/>
      <c r="OBV120" s="65"/>
      <c r="OBW120" s="65"/>
      <c r="OBX120" s="65"/>
      <c r="OBY120" s="65"/>
      <c r="OBZ120" s="65"/>
      <c r="OCA120" s="65"/>
      <c r="OCB120" s="65"/>
      <c r="OCC120" s="65"/>
      <c r="OCD120" s="65"/>
      <c r="OCE120" s="65"/>
      <c r="OCF120" s="65"/>
      <c r="OCG120" s="65"/>
      <c r="OCH120" s="65"/>
      <c r="OCI120" s="65"/>
      <c r="OCJ120" s="65"/>
      <c r="OCK120" s="65"/>
      <c r="OCL120" s="65"/>
      <c r="OCM120" s="65"/>
      <c r="OCN120" s="65"/>
      <c r="OCO120" s="65"/>
      <c r="OCP120" s="65"/>
      <c r="OCQ120" s="65"/>
      <c r="OCR120" s="65"/>
      <c r="OCS120" s="65"/>
      <c r="OCT120" s="65"/>
      <c r="OCU120" s="65"/>
      <c r="OCV120" s="65"/>
      <c r="OCW120" s="65"/>
      <c r="OCX120" s="65"/>
      <c r="OCY120" s="65"/>
      <c r="OCZ120" s="65"/>
      <c r="ODA120" s="65"/>
      <c r="ODB120" s="65"/>
      <c r="ODC120" s="65"/>
      <c r="ODD120" s="65"/>
      <c r="ODE120" s="65"/>
      <c r="ODF120" s="65"/>
      <c r="ODG120" s="65"/>
      <c r="ODH120" s="65"/>
      <c r="ODI120" s="65"/>
      <c r="ODJ120" s="65"/>
      <c r="ODK120" s="65"/>
      <c r="ODL120" s="65"/>
      <c r="ODM120" s="65"/>
      <c r="ODN120" s="65"/>
      <c r="ODO120" s="65"/>
      <c r="ODP120" s="65"/>
      <c r="ODQ120" s="65"/>
      <c r="ODR120" s="65"/>
      <c r="ODS120" s="65"/>
      <c r="ODT120" s="65"/>
      <c r="ODU120" s="65"/>
      <c r="ODV120" s="65"/>
      <c r="ODW120" s="65"/>
      <c r="ODX120" s="65"/>
      <c r="ODY120" s="65"/>
      <c r="ODZ120" s="65"/>
      <c r="OEA120" s="65"/>
      <c r="OEB120" s="65"/>
      <c r="OEC120" s="65"/>
      <c r="OED120" s="65"/>
      <c r="OEE120" s="65"/>
      <c r="OEF120" s="65"/>
      <c r="OEG120" s="65"/>
      <c r="OEH120" s="65"/>
      <c r="OEI120" s="65"/>
      <c r="OEJ120" s="65"/>
      <c r="OEK120" s="65"/>
      <c r="OEL120" s="65"/>
      <c r="OEM120" s="65"/>
      <c r="OEN120" s="65"/>
      <c r="OEO120" s="65"/>
      <c r="OEP120" s="65"/>
      <c r="OEQ120" s="65"/>
      <c r="OER120" s="65"/>
      <c r="OES120" s="65"/>
      <c r="OET120" s="65"/>
      <c r="OEU120" s="65"/>
      <c r="OEV120" s="65"/>
      <c r="OEW120" s="65"/>
      <c r="OEX120" s="65"/>
      <c r="OEY120" s="65"/>
      <c r="OEZ120" s="65"/>
      <c r="OFA120" s="65"/>
      <c r="OFB120" s="65"/>
      <c r="OFC120" s="65"/>
      <c r="OFD120" s="65"/>
      <c r="OFE120" s="65"/>
      <c r="OFF120" s="65"/>
      <c r="OFG120" s="65"/>
      <c r="OFH120" s="65"/>
      <c r="OFI120" s="65"/>
      <c r="OFJ120" s="65"/>
      <c r="OFK120" s="65"/>
      <c r="OFL120" s="65"/>
      <c r="OFM120" s="65"/>
      <c r="OFN120" s="65"/>
      <c r="OFO120" s="65"/>
      <c r="OFP120" s="65"/>
      <c r="OFQ120" s="65"/>
      <c r="OFR120" s="65"/>
      <c r="OFS120" s="65"/>
      <c r="OFT120" s="65"/>
      <c r="OFU120" s="65"/>
      <c r="OFV120" s="65"/>
      <c r="OFW120" s="65"/>
      <c r="OFX120" s="65"/>
      <c r="OFY120" s="65"/>
      <c r="OFZ120" s="65"/>
      <c r="OGA120" s="65"/>
      <c r="OGB120" s="65"/>
      <c r="OGC120" s="65"/>
      <c r="OGD120" s="65"/>
      <c r="OGE120" s="65"/>
      <c r="OGF120" s="65"/>
      <c r="OGG120" s="65"/>
      <c r="OGH120" s="65"/>
      <c r="OGI120" s="65"/>
      <c r="OGJ120" s="65"/>
      <c r="OGK120" s="65"/>
      <c r="OGL120" s="65"/>
      <c r="OGM120" s="65"/>
      <c r="OGN120" s="65"/>
      <c r="OGO120" s="65"/>
      <c r="OGP120" s="65"/>
      <c r="OGQ120" s="65"/>
      <c r="OGR120" s="65"/>
      <c r="OGS120" s="65"/>
      <c r="OGT120" s="65"/>
      <c r="OGU120" s="65"/>
      <c r="OGV120" s="65"/>
      <c r="OGW120" s="65"/>
      <c r="OGX120" s="65"/>
      <c r="OGY120" s="65"/>
      <c r="OGZ120" s="65"/>
      <c r="OHA120" s="65"/>
      <c r="OHB120" s="65"/>
      <c r="OHC120" s="65"/>
      <c r="OHD120" s="65"/>
      <c r="OHE120" s="65"/>
      <c r="OHF120" s="65"/>
      <c r="OHG120" s="65"/>
      <c r="OHH120" s="65"/>
      <c r="OHI120" s="65"/>
      <c r="OHJ120" s="65"/>
      <c r="OHK120" s="65"/>
      <c r="OHL120" s="65"/>
      <c r="OHM120" s="65"/>
      <c r="OHN120" s="65"/>
      <c r="OHO120" s="65"/>
      <c r="OHP120" s="65"/>
      <c r="OHQ120" s="65"/>
      <c r="OHR120" s="65"/>
      <c r="OHS120" s="65"/>
      <c r="OHT120" s="65"/>
      <c r="OHU120" s="65"/>
      <c r="OHV120" s="65"/>
      <c r="OHW120" s="65"/>
      <c r="OHX120" s="65"/>
      <c r="OHY120" s="65"/>
      <c r="OHZ120" s="65"/>
      <c r="OIA120" s="65"/>
      <c r="OIB120" s="65"/>
      <c r="OIC120" s="65"/>
      <c r="OID120" s="65"/>
      <c r="OIE120" s="65"/>
      <c r="OIF120" s="65"/>
      <c r="OIG120" s="65"/>
      <c r="OIH120" s="65"/>
      <c r="OII120" s="65"/>
      <c r="OIJ120" s="65"/>
      <c r="OIK120" s="65"/>
      <c r="OIL120" s="65"/>
      <c r="OIM120" s="65"/>
      <c r="OIN120" s="65"/>
      <c r="OIO120" s="65"/>
      <c r="OIP120" s="65"/>
      <c r="OIQ120" s="65"/>
      <c r="OIR120" s="65"/>
      <c r="OIS120" s="65"/>
      <c r="OIT120" s="65"/>
      <c r="OIU120" s="65"/>
      <c r="OIV120" s="65"/>
      <c r="OIW120" s="65"/>
      <c r="OIX120" s="65"/>
      <c r="OIY120" s="65"/>
      <c r="OIZ120" s="65"/>
      <c r="OJA120" s="65"/>
      <c r="OJB120" s="65"/>
      <c r="OJC120" s="65"/>
      <c r="OJD120" s="65"/>
      <c r="OJE120" s="65"/>
      <c r="OJF120" s="65"/>
      <c r="OJG120" s="65"/>
      <c r="OJH120" s="65"/>
      <c r="OJI120" s="65"/>
      <c r="OJJ120" s="65"/>
      <c r="OJK120" s="65"/>
      <c r="OJL120" s="65"/>
      <c r="OJM120" s="65"/>
      <c r="OJN120" s="65"/>
      <c r="OJO120" s="65"/>
      <c r="OJP120" s="65"/>
      <c r="OJQ120" s="65"/>
      <c r="OJR120" s="65"/>
      <c r="OJS120" s="65"/>
      <c r="OJT120" s="65"/>
      <c r="OJU120" s="65"/>
      <c r="OJV120" s="65"/>
      <c r="OJW120" s="65"/>
      <c r="OJX120" s="65"/>
      <c r="OJY120" s="65"/>
      <c r="OJZ120" s="65"/>
      <c r="OKA120" s="65"/>
      <c r="OKB120" s="65"/>
      <c r="OKC120" s="65"/>
      <c r="OKD120" s="65"/>
      <c r="OKE120" s="65"/>
      <c r="OKF120" s="65"/>
      <c r="OKG120" s="65"/>
      <c r="OKH120" s="65"/>
      <c r="OKI120" s="65"/>
      <c r="OKJ120" s="65"/>
      <c r="OKK120" s="65"/>
      <c r="OKL120" s="65"/>
      <c r="OKM120" s="65"/>
      <c r="OKN120" s="65"/>
      <c r="OKO120" s="65"/>
      <c r="OKP120" s="65"/>
      <c r="OKQ120" s="65"/>
      <c r="OKR120" s="65"/>
      <c r="OKS120" s="65"/>
      <c r="OKT120" s="65"/>
      <c r="OKU120" s="65"/>
      <c r="OKV120" s="65"/>
      <c r="OKW120" s="65"/>
      <c r="OKX120" s="65"/>
      <c r="OKY120" s="65"/>
      <c r="OKZ120" s="65"/>
      <c r="OLA120" s="65"/>
      <c r="OLB120" s="65"/>
      <c r="OLC120" s="65"/>
      <c r="OLD120" s="65"/>
      <c r="OLE120" s="65"/>
      <c r="OLF120" s="65"/>
      <c r="OLG120" s="65"/>
      <c r="OLH120" s="65"/>
      <c r="OLI120" s="65"/>
      <c r="OLJ120" s="65"/>
      <c r="OLK120" s="65"/>
      <c r="OLL120" s="65"/>
      <c r="OLM120" s="65"/>
      <c r="OLN120" s="65"/>
      <c r="OLO120" s="65"/>
      <c r="OLP120" s="65"/>
      <c r="OLQ120" s="65"/>
      <c r="OLR120" s="65"/>
      <c r="OLS120" s="65"/>
      <c r="OLT120" s="65"/>
      <c r="OLU120" s="65"/>
      <c r="OLV120" s="65"/>
      <c r="OLW120" s="65"/>
      <c r="OLX120" s="65"/>
      <c r="OLY120" s="65"/>
      <c r="OLZ120" s="65"/>
      <c r="OMA120" s="65"/>
      <c r="OMB120" s="65"/>
      <c r="OMC120" s="65"/>
      <c r="OMD120" s="65"/>
      <c r="OME120" s="65"/>
      <c r="OMF120" s="65"/>
      <c r="OMG120" s="65"/>
      <c r="OMH120" s="65"/>
      <c r="OMI120" s="65"/>
      <c r="OMJ120" s="65"/>
      <c r="OMK120" s="65"/>
      <c r="OML120" s="65"/>
      <c r="OMM120" s="65"/>
      <c r="OMN120" s="65"/>
      <c r="OMO120" s="65"/>
      <c r="OMP120" s="65"/>
      <c r="OMQ120" s="65"/>
      <c r="OMR120" s="65"/>
      <c r="OMS120" s="65"/>
      <c r="OMT120" s="65"/>
      <c r="OMU120" s="65"/>
      <c r="OMV120" s="65"/>
      <c r="OMW120" s="65"/>
      <c r="OMX120" s="65"/>
      <c r="OMY120" s="65"/>
      <c r="OMZ120" s="65"/>
      <c r="ONA120" s="65"/>
      <c r="ONB120" s="65"/>
      <c r="ONC120" s="65"/>
      <c r="OND120" s="65"/>
      <c r="ONE120" s="65"/>
      <c r="ONF120" s="65"/>
      <c r="ONG120" s="65"/>
      <c r="ONH120" s="65"/>
      <c r="ONI120" s="65"/>
      <c r="ONJ120" s="65"/>
      <c r="ONK120" s="65"/>
      <c r="ONL120" s="65"/>
      <c r="ONM120" s="65"/>
      <c r="ONN120" s="65"/>
      <c r="ONO120" s="65"/>
      <c r="ONP120" s="65"/>
      <c r="ONQ120" s="65"/>
      <c r="ONR120" s="65"/>
      <c r="ONS120" s="65"/>
      <c r="ONT120" s="65"/>
      <c r="ONU120" s="65"/>
      <c r="ONV120" s="65"/>
      <c r="ONW120" s="65"/>
      <c r="ONX120" s="65"/>
      <c r="ONY120" s="65"/>
      <c r="ONZ120" s="65"/>
      <c r="OOA120" s="65"/>
      <c r="OOB120" s="65"/>
      <c r="OOC120" s="65"/>
      <c r="OOD120" s="65"/>
      <c r="OOE120" s="65"/>
      <c r="OOF120" s="65"/>
      <c r="OOG120" s="65"/>
      <c r="OOH120" s="65"/>
      <c r="OOI120" s="65"/>
      <c r="OOJ120" s="65"/>
      <c r="OOK120" s="65"/>
      <c r="OOL120" s="65"/>
      <c r="OOM120" s="65"/>
      <c r="OON120" s="65"/>
      <c r="OOO120" s="65"/>
      <c r="OOP120" s="65"/>
      <c r="OOQ120" s="65"/>
      <c r="OOR120" s="65"/>
      <c r="OOS120" s="65"/>
      <c r="OOT120" s="65"/>
      <c r="OOU120" s="65"/>
      <c r="OOV120" s="65"/>
      <c r="OOW120" s="65"/>
      <c r="OOX120" s="65"/>
      <c r="OOY120" s="65"/>
      <c r="OOZ120" s="65"/>
      <c r="OPA120" s="65"/>
      <c r="OPB120" s="65"/>
      <c r="OPC120" s="65"/>
      <c r="OPD120" s="65"/>
      <c r="OPE120" s="65"/>
      <c r="OPF120" s="65"/>
      <c r="OPG120" s="65"/>
      <c r="OPH120" s="65"/>
      <c r="OPI120" s="65"/>
      <c r="OPJ120" s="65"/>
      <c r="OPK120" s="65"/>
      <c r="OPL120" s="65"/>
      <c r="OPM120" s="65"/>
      <c r="OPN120" s="65"/>
      <c r="OPO120" s="65"/>
      <c r="OPP120" s="65"/>
      <c r="OPQ120" s="65"/>
      <c r="OPR120" s="65"/>
      <c r="OPS120" s="65"/>
      <c r="OPT120" s="65"/>
      <c r="OPU120" s="65"/>
      <c r="OPV120" s="65"/>
      <c r="OPW120" s="65"/>
      <c r="OPX120" s="65"/>
      <c r="OPY120" s="65"/>
      <c r="OPZ120" s="65"/>
      <c r="OQA120" s="65"/>
      <c r="OQB120" s="65"/>
      <c r="OQC120" s="65"/>
      <c r="OQD120" s="65"/>
      <c r="OQE120" s="65"/>
      <c r="OQF120" s="65"/>
      <c r="OQG120" s="65"/>
      <c r="OQH120" s="65"/>
      <c r="OQI120" s="65"/>
      <c r="OQJ120" s="65"/>
      <c r="OQK120" s="65"/>
      <c r="OQL120" s="65"/>
      <c r="OQM120" s="65"/>
      <c r="OQN120" s="65"/>
      <c r="OQO120" s="65"/>
      <c r="OQP120" s="65"/>
      <c r="OQQ120" s="65"/>
      <c r="OQR120" s="65"/>
      <c r="OQS120" s="65"/>
      <c r="OQT120" s="65"/>
      <c r="OQU120" s="65"/>
      <c r="OQV120" s="65"/>
      <c r="OQW120" s="65"/>
      <c r="OQX120" s="65"/>
      <c r="OQY120" s="65"/>
      <c r="OQZ120" s="65"/>
      <c r="ORA120" s="65"/>
      <c r="ORB120" s="65"/>
      <c r="ORC120" s="65"/>
      <c r="ORD120" s="65"/>
      <c r="ORE120" s="65"/>
      <c r="ORF120" s="65"/>
      <c r="ORG120" s="65"/>
      <c r="ORH120" s="65"/>
      <c r="ORI120" s="65"/>
      <c r="ORJ120" s="65"/>
      <c r="ORK120" s="65"/>
      <c r="ORL120" s="65"/>
      <c r="ORM120" s="65"/>
      <c r="ORN120" s="65"/>
      <c r="ORO120" s="65"/>
      <c r="ORP120" s="65"/>
      <c r="ORQ120" s="65"/>
      <c r="ORR120" s="65"/>
      <c r="ORS120" s="65"/>
      <c r="ORT120" s="65"/>
      <c r="ORU120" s="65"/>
      <c r="ORV120" s="65"/>
      <c r="ORW120" s="65"/>
      <c r="ORX120" s="65"/>
      <c r="ORY120" s="65"/>
      <c r="ORZ120" s="65"/>
      <c r="OSA120" s="65"/>
      <c r="OSB120" s="65"/>
      <c r="OSC120" s="65"/>
      <c r="OSD120" s="65"/>
      <c r="OSE120" s="65"/>
      <c r="OSF120" s="65"/>
      <c r="OSG120" s="65"/>
      <c r="OSH120" s="65"/>
      <c r="OSI120" s="65"/>
      <c r="OSJ120" s="65"/>
      <c r="OSK120" s="65"/>
      <c r="OSL120" s="65"/>
      <c r="OSM120" s="65"/>
      <c r="OSN120" s="65"/>
      <c r="OSO120" s="65"/>
      <c r="OSP120" s="65"/>
      <c r="OSQ120" s="65"/>
      <c r="OSR120" s="65"/>
      <c r="OSS120" s="65"/>
      <c r="OST120" s="65"/>
      <c r="OSU120" s="65"/>
      <c r="OSV120" s="65"/>
      <c r="OSW120" s="65"/>
      <c r="OSX120" s="65"/>
      <c r="OSY120" s="65"/>
      <c r="OSZ120" s="65"/>
      <c r="OTA120" s="65"/>
      <c r="OTB120" s="65"/>
      <c r="OTC120" s="65"/>
      <c r="OTD120" s="65"/>
      <c r="OTE120" s="65"/>
      <c r="OTF120" s="65"/>
      <c r="OTG120" s="65"/>
      <c r="OTH120" s="65"/>
      <c r="OTI120" s="65"/>
      <c r="OTJ120" s="65"/>
      <c r="OTK120" s="65"/>
      <c r="OTL120" s="65"/>
      <c r="OTM120" s="65"/>
      <c r="OTN120" s="65"/>
      <c r="OTO120" s="65"/>
      <c r="OTP120" s="65"/>
      <c r="OTQ120" s="65"/>
      <c r="OTR120" s="65"/>
      <c r="OTS120" s="65"/>
      <c r="OTT120" s="65"/>
      <c r="OTU120" s="65"/>
      <c r="OTV120" s="65"/>
      <c r="OTW120" s="65"/>
      <c r="OTX120" s="65"/>
      <c r="OTY120" s="65"/>
      <c r="OTZ120" s="65"/>
      <c r="OUA120" s="65"/>
      <c r="OUB120" s="65"/>
      <c r="OUC120" s="65"/>
      <c r="OUD120" s="65"/>
      <c r="OUE120" s="65"/>
      <c r="OUF120" s="65"/>
      <c r="OUG120" s="65"/>
      <c r="OUH120" s="65"/>
      <c r="OUI120" s="65"/>
      <c r="OUJ120" s="65"/>
      <c r="OUK120" s="65"/>
      <c r="OUL120" s="65"/>
      <c r="OUM120" s="65"/>
      <c r="OUN120" s="65"/>
      <c r="OUO120" s="65"/>
      <c r="OUP120" s="65"/>
      <c r="OUQ120" s="65"/>
      <c r="OUR120" s="65"/>
      <c r="OUS120" s="65"/>
      <c r="OUT120" s="65"/>
      <c r="OUU120" s="65"/>
      <c r="OUV120" s="65"/>
      <c r="OUW120" s="65"/>
      <c r="OUX120" s="65"/>
      <c r="OUY120" s="65"/>
      <c r="OUZ120" s="65"/>
      <c r="OVA120" s="65"/>
      <c r="OVB120" s="65"/>
      <c r="OVC120" s="65"/>
      <c r="OVD120" s="65"/>
      <c r="OVE120" s="65"/>
      <c r="OVF120" s="65"/>
      <c r="OVG120" s="65"/>
      <c r="OVH120" s="65"/>
      <c r="OVI120" s="65"/>
      <c r="OVJ120" s="65"/>
      <c r="OVK120" s="65"/>
      <c r="OVL120" s="65"/>
      <c r="OVM120" s="65"/>
      <c r="OVN120" s="65"/>
      <c r="OVO120" s="65"/>
      <c r="OVP120" s="65"/>
      <c r="OVQ120" s="65"/>
      <c r="OVR120" s="65"/>
      <c r="OVS120" s="65"/>
      <c r="OVT120" s="65"/>
      <c r="OVU120" s="65"/>
      <c r="OVV120" s="65"/>
      <c r="OVW120" s="65"/>
      <c r="OVX120" s="65"/>
      <c r="OVY120" s="65"/>
      <c r="OVZ120" s="65"/>
      <c r="OWA120" s="65"/>
      <c r="OWB120" s="65"/>
      <c r="OWC120" s="65"/>
      <c r="OWD120" s="65"/>
      <c r="OWE120" s="65"/>
      <c r="OWF120" s="65"/>
      <c r="OWG120" s="65"/>
      <c r="OWH120" s="65"/>
      <c r="OWI120" s="65"/>
      <c r="OWJ120" s="65"/>
      <c r="OWK120" s="65"/>
      <c r="OWL120" s="65"/>
      <c r="OWM120" s="65"/>
      <c r="OWN120" s="65"/>
      <c r="OWO120" s="65"/>
      <c r="OWP120" s="65"/>
      <c r="OWQ120" s="65"/>
      <c r="OWR120" s="65"/>
      <c r="OWS120" s="65"/>
      <c r="OWT120" s="65"/>
      <c r="OWU120" s="65"/>
      <c r="OWV120" s="65"/>
      <c r="OWW120" s="65"/>
      <c r="OWX120" s="65"/>
      <c r="OWY120" s="65"/>
      <c r="OWZ120" s="65"/>
      <c r="OXA120" s="65"/>
      <c r="OXB120" s="65"/>
      <c r="OXC120" s="65"/>
      <c r="OXD120" s="65"/>
      <c r="OXE120" s="65"/>
      <c r="OXF120" s="65"/>
      <c r="OXG120" s="65"/>
      <c r="OXH120" s="65"/>
      <c r="OXI120" s="65"/>
      <c r="OXJ120" s="65"/>
      <c r="OXK120" s="65"/>
      <c r="OXL120" s="65"/>
      <c r="OXM120" s="65"/>
      <c r="OXN120" s="65"/>
      <c r="OXO120" s="65"/>
      <c r="OXP120" s="65"/>
      <c r="OXQ120" s="65"/>
      <c r="OXR120" s="65"/>
      <c r="OXS120" s="65"/>
      <c r="OXT120" s="65"/>
      <c r="OXU120" s="65"/>
      <c r="OXV120" s="65"/>
      <c r="OXW120" s="65"/>
      <c r="OXX120" s="65"/>
      <c r="OXY120" s="65"/>
      <c r="OXZ120" s="65"/>
      <c r="OYA120" s="65"/>
      <c r="OYB120" s="65"/>
      <c r="OYC120" s="65"/>
      <c r="OYD120" s="65"/>
      <c r="OYE120" s="65"/>
      <c r="OYF120" s="65"/>
      <c r="OYG120" s="65"/>
      <c r="OYH120" s="65"/>
      <c r="OYI120" s="65"/>
      <c r="OYJ120" s="65"/>
      <c r="OYK120" s="65"/>
      <c r="OYL120" s="65"/>
      <c r="OYM120" s="65"/>
      <c r="OYN120" s="65"/>
      <c r="OYO120" s="65"/>
      <c r="OYP120" s="65"/>
      <c r="OYQ120" s="65"/>
      <c r="OYR120" s="65"/>
      <c r="OYS120" s="65"/>
      <c r="OYT120" s="65"/>
      <c r="OYU120" s="65"/>
      <c r="OYV120" s="65"/>
      <c r="OYW120" s="65"/>
      <c r="OYX120" s="65"/>
      <c r="OYY120" s="65"/>
      <c r="OYZ120" s="65"/>
      <c r="OZA120" s="65"/>
      <c r="OZB120" s="65"/>
      <c r="OZC120" s="65"/>
      <c r="OZD120" s="65"/>
      <c r="OZE120" s="65"/>
      <c r="OZF120" s="65"/>
      <c r="OZG120" s="65"/>
      <c r="OZH120" s="65"/>
      <c r="OZI120" s="65"/>
      <c r="OZJ120" s="65"/>
      <c r="OZK120" s="65"/>
      <c r="OZL120" s="65"/>
      <c r="OZM120" s="65"/>
      <c r="OZN120" s="65"/>
      <c r="OZO120" s="65"/>
      <c r="OZP120" s="65"/>
      <c r="OZQ120" s="65"/>
      <c r="OZR120" s="65"/>
      <c r="OZS120" s="65"/>
      <c r="OZT120" s="65"/>
      <c r="OZU120" s="65"/>
      <c r="OZV120" s="65"/>
      <c r="OZW120" s="65"/>
      <c r="OZX120" s="65"/>
      <c r="OZY120" s="65"/>
      <c r="OZZ120" s="65"/>
      <c r="PAA120" s="65"/>
      <c r="PAB120" s="65"/>
      <c r="PAC120" s="65"/>
      <c r="PAD120" s="65"/>
      <c r="PAE120" s="65"/>
      <c r="PAF120" s="65"/>
      <c r="PAG120" s="65"/>
      <c r="PAH120" s="65"/>
      <c r="PAI120" s="65"/>
      <c r="PAJ120" s="65"/>
      <c r="PAK120" s="65"/>
      <c r="PAL120" s="65"/>
      <c r="PAM120" s="65"/>
      <c r="PAN120" s="65"/>
      <c r="PAO120" s="65"/>
      <c r="PAP120" s="65"/>
      <c r="PAQ120" s="65"/>
      <c r="PAR120" s="65"/>
      <c r="PAS120" s="65"/>
      <c r="PAT120" s="65"/>
      <c r="PAU120" s="65"/>
      <c r="PAV120" s="65"/>
      <c r="PAW120" s="65"/>
      <c r="PAX120" s="65"/>
      <c r="PAY120" s="65"/>
      <c r="PAZ120" s="65"/>
      <c r="PBA120" s="65"/>
      <c r="PBB120" s="65"/>
      <c r="PBC120" s="65"/>
      <c r="PBD120" s="65"/>
      <c r="PBE120" s="65"/>
      <c r="PBF120" s="65"/>
      <c r="PBG120" s="65"/>
      <c r="PBH120" s="65"/>
      <c r="PBI120" s="65"/>
      <c r="PBJ120" s="65"/>
      <c r="PBK120" s="65"/>
      <c r="PBL120" s="65"/>
      <c r="PBM120" s="65"/>
      <c r="PBN120" s="65"/>
      <c r="PBO120" s="65"/>
      <c r="PBP120" s="65"/>
      <c r="PBQ120" s="65"/>
      <c r="PBR120" s="65"/>
      <c r="PBS120" s="65"/>
      <c r="PBT120" s="65"/>
      <c r="PBU120" s="65"/>
      <c r="PBV120" s="65"/>
      <c r="PBW120" s="65"/>
      <c r="PBX120" s="65"/>
      <c r="PBY120" s="65"/>
      <c r="PBZ120" s="65"/>
      <c r="PCA120" s="65"/>
      <c r="PCB120" s="65"/>
      <c r="PCC120" s="65"/>
      <c r="PCD120" s="65"/>
      <c r="PCE120" s="65"/>
      <c r="PCF120" s="65"/>
      <c r="PCG120" s="65"/>
      <c r="PCH120" s="65"/>
      <c r="PCI120" s="65"/>
      <c r="PCJ120" s="65"/>
      <c r="PCK120" s="65"/>
      <c r="PCL120" s="65"/>
      <c r="PCM120" s="65"/>
      <c r="PCN120" s="65"/>
      <c r="PCO120" s="65"/>
      <c r="PCP120" s="65"/>
      <c r="PCQ120" s="65"/>
      <c r="PCR120" s="65"/>
      <c r="PCS120" s="65"/>
      <c r="PCT120" s="65"/>
      <c r="PCU120" s="65"/>
      <c r="PCV120" s="65"/>
      <c r="PCW120" s="65"/>
      <c r="PCX120" s="65"/>
      <c r="PCY120" s="65"/>
      <c r="PCZ120" s="65"/>
      <c r="PDA120" s="65"/>
      <c r="PDB120" s="65"/>
      <c r="PDC120" s="65"/>
      <c r="PDD120" s="65"/>
      <c r="PDE120" s="65"/>
      <c r="PDF120" s="65"/>
      <c r="PDG120" s="65"/>
      <c r="PDH120" s="65"/>
      <c r="PDI120" s="65"/>
      <c r="PDJ120" s="65"/>
      <c r="PDK120" s="65"/>
      <c r="PDL120" s="65"/>
      <c r="PDM120" s="65"/>
      <c r="PDN120" s="65"/>
      <c r="PDO120" s="65"/>
      <c r="PDP120" s="65"/>
      <c r="PDQ120" s="65"/>
      <c r="PDR120" s="65"/>
      <c r="PDS120" s="65"/>
      <c r="PDT120" s="65"/>
      <c r="PDU120" s="65"/>
      <c r="PDV120" s="65"/>
      <c r="PDW120" s="65"/>
      <c r="PDX120" s="65"/>
      <c r="PDY120" s="65"/>
      <c r="PDZ120" s="65"/>
      <c r="PEA120" s="65"/>
      <c r="PEB120" s="65"/>
      <c r="PEC120" s="65"/>
      <c r="PED120" s="65"/>
      <c r="PEE120" s="65"/>
      <c r="PEF120" s="65"/>
      <c r="PEG120" s="65"/>
      <c r="PEH120" s="65"/>
      <c r="PEI120" s="65"/>
      <c r="PEJ120" s="65"/>
      <c r="PEK120" s="65"/>
      <c r="PEL120" s="65"/>
      <c r="PEM120" s="65"/>
      <c r="PEN120" s="65"/>
      <c r="PEO120" s="65"/>
      <c r="PEP120" s="65"/>
      <c r="PEQ120" s="65"/>
      <c r="PER120" s="65"/>
      <c r="PES120" s="65"/>
      <c r="PET120" s="65"/>
      <c r="PEU120" s="65"/>
      <c r="PEV120" s="65"/>
      <c r="PEW120" s="65"/>
      <c r="PEX120" s="65"/>
      <c r="PEY120" s="65"/>
      <c r="PEZ120" s="65"/>
      <c r="PFA120" s="65"/>
      <c r="PFB120" s="65"/>
      <c r="PFC120" s="65"/>
      <c r="PFD120" s="65"/>
      <c r="PFE120" s="65"/>
      <c r="PFF120" s="65"/>
      <c r="PFG120" s="65"/>
      <c r="PFH120" s="65"/>
      <c r="PFI120" s="65"/>
      <c r="PFJ120" s="65"/>
      <c r="PFK120" s="65"/>
      <c r="PFL120" s="65"/>
      <c r="PFM120" s="65"/>
      <c r="PFN120" s="65"/>
      <c r="PFO120" s="65"/>
      <c r="PFP120" s="65"/>
      <c r="PFQ120" s="65"/>
      <c r="PFR120" s="65"/>
      <c r="PFS120" s="65"/>
      <c r="PFT120" s="65"/>
      <c r="PFU120" s="65"/>
      <c r="PFV120" s="65"/>
      <c r="PFW120" s="65"/>
      <c r="PFX120" s="65"/>
      <c r="PFY120" s="65"/>
      <c r="PFZ120" s="65"/>
      <c r="PGA120" s="65"/>
      <c r="PGB120" s="65"/>
      <c r="PGC120" s="65"/>
      <c r="PGD120" s="65"/>
      <c r="PGE120" s="65"/>
      <c r="PGF120" s="65"/>
      <c r="PGG120" s="65"/>
      <c r="PGH120" s="65"/>
      <c r="PGI120" s="65"/>
      <c r="PGJ120" s="65"/>
      <c r="PGK120" s="65"/>
      <c r="PGL120" s="65"/>
      <c r="PGM120" s="65"/>
      <c r="PGN120" s="65"/>
      <c r="PGO120" s="65"/>
      <c r="PGP120" s="65"/>
      <c r="PGQ120" s="65"/>
      <c r="PGR120" s="65"/>
      <c r="PGS120" s="65"/>
      <c r="PGT120" s="65"/>
      <c r="PGU120" s="65"/>
      <c r="PGV120" s="65"/>
      <c r="PGW120" s="65"/>
      <c r="PGX120" s="65"/>
      <c r="PGY120" s="65"/>
      <c r="PGZ120" s="65"/>
      <c r="PHA120" s="65"/>
      <c r="PHB120" s="65"/>
      <c r="PHC120" s="65"/>
      <c r="PHD120" s="65"/>
      <c r="PHE120" s="65"/>
      <c r="PHF120" s="65"/>
      <c r="PHG120" s="65"/>
      <c r="PHH120" s="65"/>
      <c r="PHI120" s="65"/>
      <c r="PHJ120" s="65"/>
      <c r="PHK120" s="65"/>
      <c r="PHL120" s="65"/>
      <c r="PHM120" s="65"/>
      <c r="PHN120" s="65"/>
      <c r="PHO120" s="65"/>
      <c r="PHP120" s="65"/>
      <c r="PHQ120" s="65"/>
      <c r="PHR120" s="65"/>
      <c r="PHS120" s="65"/>
      <c r="PHT120" s="65"/>
      <c r="PHU120" s="65"/>
      <c r="PHV120" s="65"/>
      <c r="PHW120" s="65"/>
      <c r="PHX120" s="65"/>
      <c r="PHY120" s="65"/>
      <c r="PHZ120" s="65"/>
      <c r="PIA120" s="65"/>
      <c r="PIB120" s="65"/>
      <c r="PIC120" s="65"/>
      <c r="PID120" s="65"/>
      <c r="PIE120" s="65"/>
      <c r="PIF120" s="65"/>
      <c r="PIG120" s="65"/>
      <c r="PIH120" s="65"/>
      <c r="PII120" s="65"/>
      <c r="PIJ120" s="65"/>
      <c r="PIK120" s="65"/>
      <c r="PIL120" s="65"/>
      <c r="PIM120" s="65"/>
      <c r="PIN120" s="65"/>
      <c r="PIO120" s="65"/>
      <c r="PIP120" s="65"/>
      <c r="PIQ120" s="65"/>
      <c r="PIR120" s="65"/>
      <c r="PIS120" s="65"/>
      <c r="PIT120" s="65"/>
      <c r="PIU120" s="65"/>
      <c r="PIV120" s="65"/>
      <c r="PIW120" s="65"/>
      <c r="PIX120" s="65"/>
      <c r="PIY120" s="65"/>
      <c r="PIZ120" s="65"/>
      <c r="PJA120" s="65"/>
      <c r="PJB120" s="65"/>
      <c r="PJC120" s="65"/>
      <c r="PJD120" s="65"/>
      <c r="PJE120" s="65"/>
      <c r="PJF120" s="65"/>
      <c r="PJG120" s="65"/>
      <c r="PJH120" s="65"/>
      <c r="PJI120" s="65"/>
      <c r="PJJ120" s="65"/>
      <c r="PJK120" s="65"/>
      <c r="PJL120" s="65"/>
      <c r="PJM120" s="65"/>
      <c r="PJN120" s="65"/>
      <c r="PJO120" s="65"/>
      <c r="PJP120" s="65"/>
      <c r="PJQ120" s="65"/>
      <c r="PJR120" s="65"/>
      <c r="PJS120" s="65"/>
      <c r="PJT120" s="65"/>
      <c r="PJU120" s="65"/>
      <c r="PJV120" s="65"/>
      <c r="PJW120" s="65"/>
      <c r="PJX120" s="65"/>
      <c r="PJY120" s="65"/>
      <c r="PJZ120" s="65"/>
      <c r="PKA120" s="65"/>
      <c r="PKB120" s="65"/>
      <c r="PKC120" s="65"/>
      <c r="PKD120" s="65"/>
      <c r="PKE120" s="65"/>
      <c r="PKF120" s="65"/>
      <c r="PKG120" s="65"/>
      <c r="PKH120" s="65"/>
      <c r="PKI120" s="65"/>
      <c r="PKJ120" s="65"/>
      <c r="PKK120" s="65"/>
      <c r="PKL120" s="65"/>
      <c r="PKM120" s="65"/>
      <c r="PKN120" s="65"/>
      <c r="PKO120" s="65"/>
      <c r="PKP120" s="65"/>
      <c r="PKQ120" s="65"/>
      <c r="PKR120" s="65"/>
      <c r="PKS120" s="65"/>
      <c r="PKT120" s="65"/>
      <c r="PKU120" s="65"/>
      <c r="PKV120" s="65"/>
      <c r="PKW120" s="65"/>
      <c r="PKX120" s="65"/>
      <c r="PKY120" s="65"/>
      <c r="PKZ120" s="65"/>
      <c r="PLA120" s="65"/>
      <c r="PLB120" s="65"/>
      <c r="PLC120" s="65"/>
      <c r="PLD120" s="65"/>
      <c r="PLE120" s="65"/>
      <c r="PLF120" s="65"/>
      <c r="PLG120" s="65"/>
      <c r="PLH120" s="65"/>
      <c r="PLI120" s="65"/>
      <c r="PLJ120" s="65"/>
      <c r="PLK120" s="65"/>
      <c r="PLL120" s="65"/>
      <c r="PLM120" s="65"/>
      <c r="PLN120" s="65"/>
      <c r="PLO120" s="65"/>
      <c r="PLP120" s="65"/>
      <c r="PLQ120" s="65"/>
      <c r="PLR120" s="65"/>
      <c r="PLS120" s="65"/>
      <c r="PLT120" s="65"/>
      <c r="PLU120" s="65"/>
      <c r="PLV120" s="65"/>
      <c r="PLW120" s="65"/>
      <c r="PLX120" s="65"/>
      <c r="PLY120" s="65"/>
      <c r="PLZ120" s="65"/>
      <c r="PMA120" s="65"/>
      <c r="PMB120" s="65"/>
      <c r="PMC120" s="65"/>
      <c r="PMD120" s="65"/>
      <c r="PME120" s="65"/>
      <c r="PMF120" s="65"/>
      <c r="PMG120" s="65"/>
      <c r="PMH120" s="65"/>
      <c r="PMI120" s="65"/>
      <c r="PMJ120" s="65"/>
      <c r="PMK120" s="65"/>
      <c r="PML120" s="65"/>
      <c r="PMM120" s="65"/>
      <c r="PMN120" s="65"/>
      <c r="PMO120" s="65"/>
      <c r="PMP120" s="65"/>
      <c r="PMQ120" s="65"/>
      <c r="PMR120" s="65"/>
      <c r="PMS120" s="65"/>
      <c r="PMT120" s="65"/>
      <c r="PMU120" s="65"/>
      <c r="PMV120" s="65"/>
      <c r="PMW120" s="65"/>
      <c r="PMX120" s="65"/>
      <c r="PMY120" s="65"/>
      <c r="PMZ120" s="65"/>
      <c r="PNA120" s="65"/>
      <c r="PNB120" s="65"/>
      <c r="PNC120" s="65"/>
      <c r="PND120" s="65"/>
      <c r="PNE120" s="65"/>
      <c r="PNF120" s="65"/>
      <c r="PNG120" s="65"/>
      <c r="PNH120" s="65"/>
      <c r="PNI120" s="65"/>
      <c r="PNJ120" s="65"/>
      <c r="PNK120" s="65"/>
      <c r="PNL120" s="65"/>
      <c r="PNM120" s="65"/>
      <c r="PNN120" s="65"/>
      <c r="PNO120" s="65"/>
      <c r="PNP120" s="65"/>
      <c r="PNQ120" s="65"/>
      <c r="PNR120" s="65"/>
      <c r="PNS120" s="65"/>
      <c r="PNT120" s="65"/>
      <c r="PNU120" s="65"/>
      <c r="PNV120" s="65"/>
      <c r="PNW120" s="65"/>
      <c r="PNX120" s="65"/>
      <c r="PNY120" s="65"/>
      <c r="PNZ120" s="65"/>
      <c r="POA120" s="65"/>
      <c r="POB120" s="65"/>
      <c r="POC120" s="65"/>
      <c r="POD120" s="65"/>
      <c r="POE120" s="65"/>
      <c r="POF120" s="65"/>
      <c r="POG120" s="65"/>
      <c r="POH120" s="65"/>
      <c r="POI120" s="65"/>
      <c r="POJ120" s="65"/>
      <c r="POK120" s="65"/>
      <c r="POL120" s="65"/>
      <c r="POM120" s="65"/>
      <c r="PON120" s="65"/>
      <c r="POO120" s="65"/>
      <c r="POP120" s="65"/>
      <c r="POQ120" s="65"/>
      <c r="POR120" s="65"/>
      <c r="POS120" s="65"/>
      <c r="POT120" s="65"/>
      <c r="POU120" s="65"/>
      <c r="POV120" s="65"/>
      <c r="POW120" s="65"/>
      <c r="POX120" s="65"/>
      <c r="POY120" s="65"/>
      <c r="POZ120" s="65"/>
      <c r="PPA120" s="65"/>
      <c r="PPB120" s="65"/>
      <c r="PPC120" s="65"/>
      <c r="PPD120" s="65"/>
      <c r="PPE120" s="65"/>
      <c r="PPF120" s="65"/>
      <c r="PPG120" s="65"/>
      <c r="PPH120" s="65"/>
      <c r="PPI120" s="65"/>
      <c r="PPJ120" s="65"/>
      <c r="PPK120" s="65"/>
      <c r="PPL120" s="65"/>
      <c r="PPM120" s="65"/>
      <c r="PPN120" s="65"/>
      <c r="PPO120" s="65"/>
      <c r="PPP120" s="65"/>
      <c r="PPQ120" s="65"/>
      <c r="PPR120" s="65"/>
      <c r="PPS120" s="65"/>
      <c r="PPT120" s="65"/>
      <c r="PPU120" s="65"/>
      <c r="PPV120" s="65"/>
      <c r="PPW120" s="65"/>
      <c r="PPX120" s="65"/>
      <c r="PPY120" s="65"/>
      <c r="PPZ120" s="65"/>
      <c r="PQA120" s="65"/>
      <c r="PQB120" s="65"/>
      <c r="PQC120" s="65"/>
      <c r="PQD120" s="65"/>
      <c r="PQE120" s="65"/>
      <c r="PQF120" s="65"/>
      <c r="PQG120" s="65"/>
      <c r="PQH120" s="65"/>
      <c r="PQI120" s="65"/>
      <c r="PQJ120" s="65"/>
      <c r="PQK120" s="65"/>
      <c r="PQL120" s="65"/>
      <c r="PQM120" s="65"/>
      <c r="PQN120" s="65"/>
      <c r="PQO120" s="65"/>
      <c r="PQP120" s="65"/>
      <c r="PQQ120" s="65"/>
      <c r="PQR120" s="65"/>
      <c r="PQS120" s="65"/>
      <c r="PQT120" s="65"/>
      <c r="PQU120" s="65"/>
      <c r="PQV120" s="65"/>
      <c r="PQW120" s="65"/>
      <c r="PQX120" s="65"/>
      <c r="PQY120" s="65"/>
      <c r="PQZ120" s="65"/>
      <c r="PRA120" s="65"/>
      <c r="PRB120" s="65"/>
      <c r="PRC120" s="65"/>
      <c r="PRD120" s="65"/>
      <c r="PRE120" s="65"/>
      <c r="PRF120" s="65"/>
      <c r="PRG120" s="65"/>
      <c r="PRH120" s="65"/>
      <c r="PRI120" s="65"/>
      <c r="PRJ120" s="65"/>
      <c r="PRK120" s="65"/>
      <c r="PRL120" s="65"/>
      <c r="PRM120" s="65"/>
      <c r="PRN120" s="65"/>
      <c r="PRO120" s="65"/>
      <c r="PRP120" s="65"/>
      <c r="PRQ120" s="65"/>
      <c r="PRR120" s="65"/>
      <c r="PRS120" s="65"/>
      <c r="PRT120" s="65"/>
      <c r="PRU120" s="65"/>
      <c r="PRV120" s="65"/>
      <c r="PRW120" s="65"/>
      <c r="PRX120" s="65"/>
      <c r="PRY120" s="65"/>
      <c r="PRZ120" s="65"/>
      <c r="PSA120" s="65"/>
      <c r="PSB120" s="65"/>
      <c r="PSC120" s="65"/>
      <c r="PSD120" s="65"/>
      <c r="PSE120" s="65"/>
      <c r="PSF120" s="65"/>
      <c r="PSG120" s="65"/>
      <c r="PSH120" s="65"/>
      <c r="PSI120" s="65"/>
      <c r="PSJ120" s="65"/>
      <c r="PSK120" s="65"/>
      <c r="PSL120" s="65"/>
      <c r="PSM120" s="65"/>
      <c r="PSN120" s="65"/>
      <c r="PSO120" s="65"/>
      <c r="PSP120" s="65"/>
      <c r="PSQ120" s="65"/>
      <c r="PSR120" s="65"/>
      <c r="PSS120" s="65"/>
      <c r="PST120" s="65"/>
      <c r="PSU120" s="65"/>
      <c r="PSV120" s="65"/>
      <c r="PSW120" s="65"/>
      <c r="PSX120" s="65"/>
      <c r="PSY120" s="65"/>
      <c r="PSZ120" s="65"/>
      <c r="PTA120" s="65"/>
      <c r="PTB120" s="65"/>
      <c r="PTC120" s="65"/>
      <c r="PTD120" s="65"/>
      <c r="PTE120" s="65"/>
      <c r="PTF120" s="65"/>
      <c r="PTG120" s="65"/>
      <c r="PTH120" s="65"/>
      <c r="PTI120" s="65"/>
      <c r="PTJ120" s="65"/>
      <c r="PTK120" s="65"/>
      <c r="PTL120" s="65"/>
      <c r="PTM120" s="65"/>
      <c r="PTN120" s="65"/>
      <c r="PTO120" s="65"/>
      <c r="PTP120" s="65"/>
      <c r="PTQ120" s="65"/>
      <c r="PTR120" s="65"/>
      <c r="PTS120" s="65"/>
      <c r="PTT120" s="65"/>
      <c r="PTU120" s="65"/>
      <c r="PTV120" s="65"/>
      <c r="PTW120" s="65"/>
      <c r="PTX120" s="65"/>
      <c r="PTY120" s="65"/>
      <c r="PTZ120" s="65"/>
      <c r="PUA120" s="65"/>
      <c r="PUB120" s="65"/>
      <c r="PUC120" s="65"/>
      <c r="PUD120" s="65"/>
      <c r="PUE120" s="65"/>
      <c r="PUF120" s="65"/>
      <c r="PUG120" s="65"/>
      <c r="PUH120" s="65"/>
      <c r="PUI120" s="65"/>
      <c r="PUJ120" s="65"/>
      <c r="PUK120" s="65"/>
      <c r="PUL120" s="65"/>
      <c r="PUM120" s="65"/>
      <c r="PUN120" s="65"/>
      <c r="PUO120" s="65"/>
      <c r="PUP120" s="65"/>
      <c r="PUQ120" s="65"/>
      <c r="PUR120" s="65"/>
      <c r="PUS120" s="65"/>
      <c r="PUT120" s="65"/>
      <c r="PUU120" s="65"/>
      <c r="PUV120" s="65"/>
      <c r="PUW120" s="65"/>
      <c r="PUX120" s="65"/>
      <c r="PUY120" s="65"/>
      <c r="PUZ120" s="65"/>
      <c r="PVA120" s="65"/>
      <c r="PVB120" s="65"/>
      <c r="PVC120" s="65"/>
      <c r="PVD120" s="65"/>
      <c r="PVE120" s="65"/>
      <c r="PVF120" s="65"/>
      <c r="PVG120" s="65"/>
      <c r="PVH120" s="65"/>
      <c r="PVI120" s="65"/>
      <c r="PVJ120" s="65"/>
      <c r="PVK120" s="65"/>
      <c r="PVL120" s="65"/>
      <c r="PVM120" s="65"/>
      <c r="PVN120" s="65"/>
      <c r="PVO120" s="65"/>
      <c r="PVP120" s="65"/>
      <c r="PVQ120" s="65"/>
      <c r="PVR120" s="65"/>
      <c r="PVS120" s="65"/>
      <c r="PVT120" s="65"/>
      <c r="PVU120" s="65"/>
      <c r="PVV120" s="65"/>
      <c r="PVW120" s="65"/>
      <c r="PVX120" s="65"/>
      <c r="PVY120" s="65"/>
      <c r="PVZ120" s="65"/>
      <c r="PWA120" s="65"/>
      <c r="PWB120" s="65"/>
      <c r="PWC120" s="65"/>
      <c r="PWD120" s="65"/>
      <c r="PWE120" s="65"/>
      <c r="PWF120" s="65"/>
      <c r="PWG120" s="65"/>
      <c r="PWH120" s="65"/>
      <c r="PWI120" s="65"/>
      <c r="PWJ120" s="65"/>
      <c r="PWK120" s="65"/>
      <c r="PWL120" s="65"/>
      <c r="PWM120" s="65"/>
      <c r="PWN120" s="65"/>
      <c r="PWO120" s="65"/>
      <c r="PWP120" s="65"/>
      <c r="PWQ120" s="65"/>
      <c r="PWR120" s="65"/>
      <c r="PWS120" s="65"/>
      <c r="PWT120" s="65"/>
      <c r="PWU120" s="65"/>
      <c r="PWV120" s="65"/>
      <c r="PWW120" s="65"/>
      <c r="PWX120" s="65"/>
      <c r="PWY120" s="65"/>
      <c r="PWZ120" s="65"/>
      <c r="PXA120" s="65"/>
      <c r="PXB120" s="65"/>
      <c r="PXC120" s="65"/>
      <c r="PXD120" s="65"/>
      <c r="PXE120" s="65"/>
      <c r="PXF120" s="65"/>
      <c r="PXG120" s="65"/>
      <c r="PXH120" s="65"/>
      <c r="PXI120" s="65"/>
      <c r="PXJ120" s="65"/>
      <c r="PXK120" s="65"/>
      <c r="PXL120" s="65"/>
      <c r="PXM120" s="65"/>
      <c r="PXN120" s="65"/>
      <c r="PXO120" s="65"/>
      <c r="PXP120" s="65"/>
      <c r="PXQ120" s="65"/>
      <c r="PXR120" s="65"/>
      <c r="PXS120" s="65"/>
      <c r="PXT120" s="65"/>
      <c r="PXU120" s="65"/>
      <c r="PXV120" s="65"/>
      <c r="PXW120" s="65"/>
      <c r="PXX120" s="65"/>
      <c r="PXY120" s="65"/>
      <c r="PXZ120" s="65"/>
      <c r="PYA120" s="65"/>
      <c r="PYB120" s="65"/>
      <c r="PYC120" s="65"/>
      <c r="PYD120" s="65"/>
      <c r="PYE120" s="65"/>
      <c r="PYF120" s="65"/>
      <c r="PYG120" s="65"/>
      <c r="PYH120" s="65"/>
      <c r="PYI120" s="65"/>
      <c r="PYJ120" s="65"/>
      <c r="PYK120" s="65"/>
      <c r="PYL120" s="65"/>
      <c r="PYM120" s="65"/>
      <c r="PYN120" s="65"/>
      <c r="PYO120" s="65"/>
      <c r="PYP120" s="65"/>
      <c r="PYQ120" s="65"/>
      <c r="PYR120" s="65"/>
      <c r="PYS120" s="65"/>
      <c r="PYT120" s="65"/>
      <c r="PYU120" s="65"/>
      <c r="PYV120" s="65"/>
      <c r="PYW120" s="65"/>
      <c r="PYX120" s="65"/>
      <c r="PYY120" s="65"/>
      <c r="PYZ120" s="65"/>
      <c r="PZA120" s="65"/>
      <c r="PZB120" s="65"/>
      <c r="PZC120" s="65"/>
      <c r="PZD120" s="65"/>
      <c r="PZE120" s="65"/>
      <c r="PZF120" s="65"/>
      <c r="PZG120" s="65"/>
      <c r="PZH120" s="65"/>
      <c r="PZI120" s="65"/>
      <c r="PZJ120" s="65"/>
      <c r="PZK120" s="65"/>
      <c r="PZL120" s="65"/>
      <c r="PZM120" s="65"/>
      <c r="PZN120" s="65"/>
      <c r="PZO120" s="65"/>
      <c r="PZP120" s="65"/>
      <c r="PZQ120" s="65"/>
      <c r="PZR120" s="65"/>
      <c r="PZS120" s="65"/>
      <c r="PZT120" s="65"/>
      <c r="PZU120" s="65"/>
      <c r="PZV120" s="65"/>
      <c r="PZW120" s="65"/>
      <c r="PZX120" s="65"/>
      <c r="PZY120" s="65"/>
      <c r="PZZ120" s="65"/>
      <c r="QAA120" s="65"/>
      <c r="QAB120" s="65"/>
      <c r="QAC120" s="65"/>
      <c r="QAD120" s="65"/>
      <c r="QAE120" s="65"/>
      <c r="QAF120" s="65"/>
      <c r="QAG120" s="65"/>
      <c r="QAH120" s="65"/>
      <c r="QAI120" s="65"/>
      <c r="QAJ120" s="65"/>
      <c r="QAK120" s="65"/>
      <c r="QAL120" s="65"/>
      <c r="QAM120" s="65"/>
      <c r="QAN120" s="65"/>
      <c r="QAO120" s="65"/>
      <c r="QAP120" s="65"/>
      <c r="QAQ120" s="65"/>
      <c r="QAR120" s="65"/>
      <c r="QAS120" s="65"/>
      <c r="QAT120" s="65"/>
      <c r="QAU120" s="65"/>
      <c r="QAV120" s="65"/>
      <c r="QAW120" s="65"/>
      <c r="QAX120" s="65"/>
      <c r="QAY120" s="65"/>
      <c r="QAZ120" s="65"/>
      <c r="QBA120" s="65"/>
      <c r="QBB120" s="65"/>
      <c r="QBC120" s="65"/>
      <c r="QBD120" s="65"/>
      <c r="QBE120" s="65"/>
      <c r="QBF120" s="65"/>
      <c r="QBG120" s="65"/>
      <c r="QBH120" s="65"/>
      <c r="QBI120" s="65"/>
      <c r="QBJ120" s="65"/>
      <c r="QBK120" s="65"/>
      <c r="QBL120" s="65"/>
      <c r="QBM120" s="65"/>
      <c r="QBN120" s="65"/>
      <c r="QBO120" s="65"/>
      <c r="QBP120" s="65"/>
      <c r="QBQ120" s="65"/>
      <c r="QBR120" s="65"/>
      <c r="QBS120" s="65"/>
      <c r="QBT120" s="65"/>
      <c r="QBU120" s="65"/>
      <c r="QBV120" s="65"/>
      <c r="QBW120" s="65"/>
      <c r="QBX120" s="65"/>
      <c r="QBY120" s="65"/>
      <c r="QBZ120" s="65"/>
      <c r="QCA120" s="65"/>
      <c r="QCB120" s="65"/>
      <c r="QCC120" s="65"/>
      <c r="QCD120" s="65"/>
      <c r="QCE120" s="65"/>
      <c r="QCF120" s="65"/>
      <c r="QCG120" s="65"/>
      <c r="QCH120" s="65"/>
      <c r="QCI120" s="65"/>
      <c r="QCJ120" s="65"/>
      <c r="QCK120" s="65"/>
      <c r="QCL120" s="65"/>
      <c r="QCM120" s="65"/>
      <c r="QCN120" s="65"/>
      <c r="QCO120" s="65"/>
      <c r="QCP120" s="65"/>
      <c r="QCQ120" s="65"/>
      <c r="QCR120" s="65"/>
      <c r="QCS120" s="65"/>
      <c r="QCT120" s="65"/>
      <c r="QCU120" s="65"/>
      <c r="QCV120" s="65"/>
      <c r="QCW120" s="65"/>
      <c r="QCX120" s="65"/>
      <c r="QCY120" s="65"/>
      <c r="QCZ120" s="65"/>
      <c r="QDA120" s="65"/>
      <c r="QDB120" s="65"/>
      <c r="QDC120" s="65"/>
      <c r="QDD120" s="65"/>
      <c r="QDE120" s="65"/>
      <c r="QDF120" s="65"/>
      <c r="QDG120" s="65"/>
      <c r="QDH120" s="65"/>
      <c r="QDI120" s="65"/>
      <c r="QDJ120" s="65"/>
      <c r="QDK120" s="65"/>
      <c r="QDL120" s="65"/>
      <c r="QDM120" s="65"/>
      <c r="QDN120" s="65"/>
      <c r="QDO120" s="65"/>
      <c r="QDP120" s="65"/>
      <c r="QDQ120" s="65"/>
      <c r="QDR120" s="65"/>
      <c r="QDS120" s="65"/>
      <c r="QDT120" s="65"/>
      <c r="QDU120" s="65"/>
      <c r="QDV120" s="65"/>
      <c r="QDW120" s="65"/>
      <c r="QDX120" s="65"/>
      <c r="QDY120" s="65"/>
      <c r="QDZ120" s="65"/>
      <c r="QEA120" s="65"/>
      <c r="QEB120" s="65"/>
      <c r="QEC120" s="65"/>
      <c r="QED120" s="65"/>
      <c r="QEE120" s="65"/>
      <c r="QEF120" s="65"/>
      <c r="QEG120" s="65"/>
      <c r="QEH120" s="65"/>
      <c r="QEI120" s="65"/>
      <c r="QEJ120" s="65"/>
      <c r="QEK120" s="65"/>
      <c r="QEL120" s="65"/>
      <c r="QEM120" s="65"/>
      <c r="QEN120" s="65"/>
      <c r="QEO120" s="65"/>
      <c r="QEP120" s="65"/>
      <c r="QEQ120" s="65"/>
      <c r="QER120" s="65"/>
      <c r="QES120" s="65"/>
      <c r="QET120" s="65"/>
      <c r="QEU120" s="65"/>
      <c r="QEV120" s="65"/>
      <c r="QEW120" s="65"/>
      <c r="QEX120" s="65"/>
      <c r="QEY120" s="65"/>
      <c r="QEZ120" s="65"/>
      <c r="QFA120" s="65"/>
      <c r="QFB120" s="65"/>
      <c r="QFC120" s="65"/>
      <c r="QFD120" s="65"/>
      <c r="QFE120" s="65"/>
      <c r="QFF120" s="65"/>
      <c r="QFG120" s="65"/>
      <c r="QFH120" s="65"/>
      <c r="QFI120" s="65"/>
      <c r="QFJ120" s="65"/>
      <c r="QFK120" s="65"/>
      <c r="QFL120" s="65"/>
      <c r="QFM120" s="65"/>
      <c r="QFN120" s="65"/>
      <c r="QFO120" s="65"/>
      <c r="QFP120" s="65"/>
      <c r="QFQ120" s="65"/>
      <c r="QFR120" s="65"/>
      <c r="QFS120" s="65"/>
      <c r="QFT120" s="65"/>
      <c r="QFU120" s="65"/>
      <c r="QFV120" s="65"/>
      <c r="QFW120" s="65"/>
      <c r="QFX120" s="65"/>
      <c r="QFY120" s="65"/>
      <c r="QFZ120" s="65"/>
      <c r="QGA120" s="65"/>
      <c r="QGB120" s="65"/>
      <c r="QGC120" s="65"/>
      <c r="QGD120" s="65"/>
      <c r="QGE120" s="65"/>
      <c r="QGF120" s="65"/>
      <c r="QGG120" s="65"/>
      <c r="QGH120" s="65"/>
      <c r="QGI120" s="65"/>
      <c r="QGJ120" s="65"/>
      <c r="QGK120" s="65"/>
      <c r="QGL120" s="65"/>
      <c r="QGM120" s="65"/>
      <c r="QGN120" s="65"/>
      <c r="QGO120" s="65"/>
      <c r="QGP120" s="65"/>
      <c r="QGQ120" s="65"/>
      <c r="QGR120" s="65"/>
      <c r="QGS120" s="65"/>
      <c r="QGT120" s="65"/>
      <c r="QGU120" s="65"/>
      <c r="QGV120" s="65"/>
      <c r="QGW120" s="65"/>
      <c r="QGX120" s="65"/>
      <c r="QGY120" s="65"/>
      <c r="QGZ120" s="65"/>
      <c r="QHA120" s="65"/>
      <c r="QHB120" s="65"/>
      <c r="QHC120" s="65"/>
      <c r="QHD120" s="65"/>
      <c r="QHE120" s="65"/>
      <c r="QHF120" s="65"/>
      <c r="QHG120" s="65"/>
      <c r="QHH120" s="65"/>
      <c r="QHI120" s="65"/>
      <c r="QHJ120" s="65"/>
      <c r="QHK120" s="65"/>
      <c r="QHL120" s="65"/>
      <c r="QHM120" s="65"/>
      <c r="QHN120" s="65"/>
      <c r="QHO120" s="65"/>
      <c r="QHP120" s="65"/>
      <c r="QHQ120" s="65"/>
      <c r="QHR120" s="65"/>
      <c r="QHS120" s="65"/>
      <c r="QHT120" s="65"/>
      <c r="QHU120" s="65"/>
      <c r="QHV120" s="65"/>
      <c r="QHW120" s="65"/>
      <c r="QHX120" s="65"/>
      <c r="QHY120" s="65"/>
      <c r="QHZ120" s="65"/>
      <c r="QIA120" s="65"/>
      <c r="QIB120" s="65"/>
      <c r="QIC120" s="65"/>
      <c r="QID120" s="65"/>
      <c r="QIE120" s="65"/>
      <c r="QIF120" s="65"/>
      <c r="QIG120" s="65"/>
      <c r="QIH120" s="65"/>
      <c r="QII120" s="65"/>
      <c r="QIJ120" s="65"/>
      <c r="QIK120" s="65"/>
      <c r="QIL120" s="65"/>
      <c r="QIM120" s="65"/>
      <c r="QIN120" s="65"/>
      <c r="QIO120" s="65"/>
      <c r="QIP120" s="65"/>
      <c r="QIQ120" s="65"/>
      <c r="QIR120" s="65"/>
      <c r="QIS120" s="65"/>
      <c r="QIT120" s="65"/>
      <c r="QIU120" s="65"/>
      <c r="QIV120" s="65"/>
      <c r="QIW120" s="65"/>
      <c r="QIX120" s="65"/>
      <c r="QIY120" s="65"/>
      <c r="QIZ120" s="65"/>
      <c r="QJA120" s="65"/>
      <c r="QJB120" s="65"/>
      <c r="QJC120" s="65"/>
      <c r="QJD120" s="65"/>
      <c r="QJE120" s="65"/>
      <c r="QJF120" s="65"/>
      <c r="QJG120" s="65"/>
      <c r="QJH120" s="65"/>
      <c r="QJI120" s="65"/>
      <c r="QJJ120" s="65"/>
      <c r="QJK120" s="65"/>
      <c r="QJL120" s="65"/>
      <c r="QJM120" s="65"/>
      <c r="QJN120" s="65"/>
      <c r="QJO120" s="65"/>
      <c r="QJP120" s="65"/>
      <c r="QJQ120" s="65"/>
      <c r="QJR120" s="65"/>
      <c r="QJS120" s="65"/>
      <c r="QJT120" s="65"/>
      <c r="QJU120" s="65"/>
      <c r="QJV120" s="65"/>
      <c r="QJW120" s="65"/>
      <c r="QJX120" s="65"/>
      <c r="QJY120" s="65"/>
      <c r="QJZ120" s="65"/>
      <c r="QKA120" s="65"/>
      <c r="QKB120" s="65"/>
      <c r="QKC120" s="65"/>
      <c r="QKD120" s="65"/>
      <c r="QKE120" s="65"/>
      <c r="QKF120" s="65"/>
      <c r="QKG120" s="65"/>
      <c r="QKH120" s="65"/>
      <c r="QKI120" s="65"/>
      <c r="QKJ120" s="65"/>
      <c r="QKK120" s="65"/>
      <c r="QKL120" s="65"/>
      <c r="QKM120" s="65"/>
      <c r="QKN120" s="65"/>
      <c r="QKO120" s="65"/>
      <c r="QKP120" s="65"/>
      <c r="QKQ120" s="65"/>
      <c r="QKR120" s="65"/>
      <c r="QKS120" s="65"/>
      <c r="QKT120" s="65"/>
      <c r="QKU120" s="65"/>
      <c r="QKV120" s="65"/>
      <c r="QKW120" s="65"/>
      <c r="QKX120" s="65"/>
      <c r="QKY120" s="65"/>
      <c r="QKZ120" s="65"/>
      <c r="QLA120" s="65"/>
      <c r="QLB120" s="65"/>
      <c r="QLC120" s="65"/>
      <c r="QLD120" s="65"/>
      <c r="QLE120" s="65"/>
      <c r="QLF120" s="65"/>
      <c r="QLG120" s="65"/>
      <c r="QLH120" s="65"/>
      <c r="QLI120" s="65"/>
      <c r="QLJ120" s="65"/>
      <c r="QLK120" s="65"/>
      <c r="QLL120" s="65"/>
      <c r="QLM120" s="65"/>
      <c r="QLN120" s="65"/>
      <c r="QLO120" s="65"/>
      <c r="QLP120" s="65"/>
      <c r="QLQ120" s="65"/>
      <c r="QLR120" s="65"/>
      <c r="QLS120" s="65"/>
      <c r="QLT120" s="65"/>
      <c r="QLU120" s="65"/>
      <c r="QLV120" s="65"/>
      <c r="QLW120" s="65"/>
      <c r="QLX120" s="65"/>
      <c r="QLY120" s="65"/>
      <c r="QLZ120" s="65"/>
      <c r="QMA120" s="65"/>
      <c r="QMB120" s="65"/>
      <c r="QMC120" s="65"/>
      <c r="QMD120" s="65"/>
      <c r="QME120" s="65"/>
      <c r="QMF120" s="65"/>
      <c r="QMG120" s="65"/>
      <c r="QMH120" s="65"/>
      <c r="QMI120" s="65"/>
      <c r="QMJ120" s="65"/>
      <c r="QMK120" s="65"/>
      <c r="QML120" s="65"/>
      <c r="QMM120" s="65"/>
      <c r="QMN120" s="65"/>
      <c r="QMO120" s="65"/>
      <c r="QMP120" s="65"/>
      <c r="QMQ120" s="65"/>
      <c r="QMR120" s="65"/>
      <c r="QMS120" s="65"/>
      <c r="QMT120" s="65"/>
      <c r="QMU120" s="65"/>
      <c r="QMV120" s="65"/>
      <c r="QMW120" s="65"/>
      <c r="QMX120" s="65"/>
      <c r="QMY120" s="65"/>
      <c r="QMZ120" s="65"/>
      <c r="QNA120" s="65"/>
      <c r="QNB120" s="65"/>
      <c r="QNC120" s="65"/>
      <c r="QND120" s="65"/>
      <c r="QNE120" s="65"/>
      <c r="QNF120" s="65"/>
      <c r="QNG120" s="65"/>
      <c r="QNH120" s="65"/>
      <c r="QNI120" s="65"/>
      <c r="QNJ120" s="65"/>
      <c r="QNK120" s="65"/>
      <c r="QNL120" s="65"/>
      <c r="QNM120" s="65"/>
      <c r="QNN120" s="65"/>
      <c r="QNO120" s="65"/>
      <c r="QNP120" s="65"/>
      <c r="QNQ120" s="65"/>
      <c r="QNR120" s="65"/>
      <c r="QNS120" s="65"/>
      <c r="QNT120" s="65"/>
      <c r="QNU120" s="65"/>
      <c r="QNV120" s="65"/>
      <c r="QNW120" s="65"/>
      <c r="QNX120" s="65"/>
      <c r="QNY120" s="65"/>
      <c r="QNZ120" s="65"/>
      <c r="QOA120" s="65"/>
      <c r="QOB120" s="65"/>
      <c r="QOC120" s="65"/>
      <c r="QOD120" s="65"/>
      <c r="QOE120" s="65"/>
      <c r="QOF120" s="65"/>
      <c r="QOG120" s="65"/>
      <c r="QOH120" s="65"/>
      <c r="QOI120" s="65"/>
      <c r="QOJ120" s="65"/>
      <c r="QOK120" s="65"/>
      <c r="QOL120" s="65"/>
      <c r="QOM120" s="65"/>
      <c r="QON120" s="65"/>
      <c r="QOO120" s="65"/>
      <c r="QOP120" s="65"/>
      <c r="QOQ120" s="65"/>
      <c r="QOR120" s="65"/>
      <c r="QOS120" s="65"/>
      <c r="QOT120" s="65"/>
      <c r="QOU120" s="65"/>
      <c r="QOV120" s="65"/>
      <c r="QOW120" s="65"/>
      <c r="QOX120" s="65"/>
      <c r="QOY120" s="65"/>
      <c r="QOZ120" s="65"/>
      <c r="QPA120" s="65"/>
      <c r="QPB120" s="65"/>
      <c r="QPC120" s="65"/>
      <c r="QPD120" s="65"/>
      <c r="QPE120" s="65"/>
      <c r="QPF120" s="65"/>
      <c r="QPG120" s="65"/>
      <c r="QPH120" s="65"/>
      <c r="QPI120" s="65"/>
      <c r="QPJ120" s="65"/>
      <c r="QPK120" s="65"/>
      <c r="QPL120" s="65"/>
      <c r="QPM120" s="65"/>
      <c r="QPN120" s="65"/>
      <c r="QPO120" s="65"/>
      <c r="QPP120" s="65"/>
      <c r="QPQ120" s="65"/>
      <c r="QPR120" s="65"/>
      <c r="QPS120" s="65"/>
      <c r="QPT120" s="65"/>
      <c r="QPU120" s="65"/>
      <c r="QPV120" s="65"/>
      <c r="QPW120" s="65"/>
      <c r="QPX120" s="65"/>
      <c r="QPY120" s="65"/>
      <c r="QPZ120" s="65"/>
      <c r="QQA120" s="65"/>
      <c r="QQB120" s="65"/>
      <c r="QQC120" s="65"/>
      <c r="QQD120" s="65"/>
      <c r="QQE120" s="65"/>
      <c r="QQF120" s="65"/>
      <c r="QQG120" s="65"/>
      <c r="QQH120" s="65"/>
      <c r="QQI120" s="65"/>
      <c r="QQJ120" s="65"/>
      <c r="QQK120" s="65"/>
      <c r="QQL120" s="65"/>
      <c r="QQM120" s="65"/>
      <c r="QQN120" s="65"/>
      <c r="QQO120" s="65"/>
      <c r="QQP120" s="65"/>
      <c r="QQQ120" s="65"/>
      <c r="QQR120" s="65"/>
      <c r="QQS120" s="65"/>
      <c r="QQT120" s="65"/>
      <c r="QQU120" s="65"/>
      <c r="QQV120" s="65"/>
      <c r="QQW120" s="65"/>
      <c r="QQX120" s="65"/>
      <c r="QQY120" s="65"/>
      <c r="QQZ120" s="65"/>
      <c r="QRA120" s="65"/>
      <c r="QRB120" s="65"/>
      <c r="QRC120" s="65"/>
      <c r="QRD120" s="65"/>
      <c r="QRE120" s="65"/>
      <c r="QRF120" s="65"/>
      <c r="QRG120" s="65"/>
      <c r="QRH120" s="65"/>
      <c r="QRI120" s="65"/>
      <c r="QRJ120" s="65"/>
      <c r="QRK120" s="65"/>
      <c r="QRL120" s="65"/>
      <c r="QRM120" s="65"/>
      <c r="QRN120" s="65"/>
      <c r="QRO120" s="65"/>
      <c r="QRP120" s="65"/>
      <c r="QRQ120" s="65"/>
      <c r="QRR120" s="65"/>
      <c r="QRS120" s="65"/>
      <c r="QRT120" s="65"/>
      <c r="QRU120" s="65"/>
      <c r="QRV120" s="65"/>
      <c r="QRW120" s="65"/>
      <c r="QRX120" s="65"/>
      <c r="QRY120" s="65"/>
      <c r="QRZ120" s="65"/>
      <c r="QSA120" s="65"/>
      <c r="QSB120" s="65"/>
      <c r="QSC120" s="65"/>
      <c r="QSD120" s="65"/>
      <c r="QSE120" s="65"/>
      <c r="QSF120" s="65"/>
      <c r="QSG120" s="65"/>
      <c r="QSH120" s="65"/>
      <c r="QSI120" s="65"/>
      <c r="QSJ120" s="65"/>
      <c r="QSK120" s="65"/>
      <c r="QSL120" s="65"/>
      <c r="QSM120" s="65"/>
      <c r="QSN120" s="65"/>
      <c r="QSO120" s="65"/>
      <c r="QSP120" s="65"/>
      <c r="QSQ120" s="65"/>
      <c r="QSR120" s="65"/>
      <c r="QSS120" s="65"/>
      <c r="QST120" s="65"/>
      <c r="QSU120" s="65"/>
      <c r="QSV120" s="65"/>
      <c r="QSW120" s="65"/>
      <c r="QSX120" s="65"/>
      <c r="QSY120" s="65"/>
      <c r="QSZ120" s="65"/>
      <c r="QTA120" s="65"/>
      <c r="QTB120" s="65"/>
      <c r="QTC120" s="65"/>
      <c r="QTD120" s="65"/>
      <c r="QTE120" s="65"/>
      <c r="QTF120" s="65"/>
      <c r="QTG120" s="65"/>
      <c r="QTH120" s="65"/>
      <c r="QTI120" s="65"/>
      <c r="QTJ120" s="65"/>
      <c r="QTK120" s="65"/>
      <c r="QTL120" s="65"/>
      <c r="QTM120" s="65"/>
      <c r="QTN120" s="65"/>
      <c r="QTO120" s="65"/>
      <c r="QTP120" s="65"/>
      <c r="QTQ120" s="65"/>
      <c r="QTR120" s="65"/>
      <c r="QTS120" s="65"/>
      <c r="QTT120" s="65"/>
      <c r="QTU120" s="65"/>
      <c r="QTV120" s="65"/>
      <c r="QTW120" s="65"/>
      <c r="QTX120" s="65"/>
      <c r="QTY120" s="65"/>
      <c r="QTZ120" s="65"/>
      <c r="QUA120" s="65"/>
      <c r="QUB120" s="65"/>
      <c r="QUC120" s="65"/>
      <c r="QUD120" s="65"/>
      <c r="QUE120" s="65"/>
      <c r="QUF120" s="65"/>
      <c r="QUG120" s="65"/>
      <c r="QUH120" s="65"/>
      <c r="QUI120" s="65"/>
      <c r="QUJ120" s="65"/>
      <c r="QUK120" s="65"/>
      <c r="QUL120" s="65"/>
      <c r="QUM120" s="65"/>
      <c r="QUN120" s="65"/>
      <c r="QUO120" s="65"/>
      <c r="QUP120" s="65"/>
      <c r="QUQ120" s="65"/>
      <c r="QUR120" s="65"/>
      <c r="QUS120" s="65"/>
      <c r="QUT120" s="65"/>
      <c r="QUU120" s="65"/>
      <c r="QUV120" s="65"/>
      <c r="QUW120" s="65"/>
      <c r="QUX120" s="65"/>
      <c r="QUY120" s="65"/>
      <c r="QUZ120" s="65"/>
      <c r="QVA120" s="65"/>
      <c r="QVB120" s="65"/>
      <c r="QVC120" s="65"/>
      <c r="QVD120" s="65"/>
      <c r="QVE120" s="65"/>
      <c r="QVF120" s="65"/>
      <c r="QVG120" s="65"/>
      <c r="QVH120" s="65"/>
      <c r="QVI120" s="65"/>
      <c r="QVJ120" s="65"/>
      <c r="QVK120" s="65"/>
      <c r="QVL120" s="65"/>
      <c r="QVM120" s="65"/>
      <c r="QVN120" s="65"/>
      <c r="QVO120" s="65"/>
      <c r="QVP120" s="65"/>
      <c r="QVQ120" s="65"/>
      <c r="QVR120" s="65"/>
      <c r="QVS120" s="65"/>
      <c r="QVT120" s="65"/>
      <c r="QVU120" s="65"/>
      <c r="QVV120" s="65"/>
      <c r="QVW120" s="65"/>
      <c r="QVX120" s="65"/>
      <c r="QVY120" s="65"/>
      <c r="QVZ120" s="65"/>
      <c r="QWA120" s="65"/>
      <c r="QWB120" s="65"/>
      <c r="QWC120" s="65"/>
      <c r="QWD120" s="65"/>
      <c r="QWE120" s="65"/>
      <c r="QWF120" s="65"/>
      <c r="QWG120" s="65"/>
      <c r="QWH120" s="65"/>
      <c r="QWI120" s="65"/>
      <c r="QWJ120" s="65"/>
      <c r="QWK120" s="65"/>
      <c r="QWL120" s="65"/>
      <c r="QWM120" s="65"/>
      <c r="QWN120" s="65"/>
      <c r="QWO120" s="65"/>
      <c r="QWP120" s="65"/>
      <c r="QWQ120" s="65"/>
      <c r="QWR120" s="65"/>
      <c r="QWS120" s="65"/>
      <c r="QWT120" s="65"/>
      <c r="QWU120" s="65"/>
      <c r="QWV120" s="65"/>
      <c r="QWW120" s="65"/>
      <c r="QWX120" s="65"/>
      <c r="QWY120" s="65"/>
      <c r="QWZ120" s="65"/>
      <c r="QXA120" s="65"/>
      <c r="QXB120" s="65"/>
      <c r="QXC120" s="65"/>
      <c r="QXD120" s="65"/>
      <c r="QXE120" s="65"/>
      <c r="QXF120" s="65"/>
      <c r="QXG120" s="65"/>
      <c r="QXH120" s="65"/>
      <c r="QXI120" s="65"/>
      <c r="QXJ120" s="65"/>
      <c r="QXK120" s="65"/>
      <c r="QXL120" s="65"/>
      <c r="QXM120" s="65"/>
      <c r="QXN120" s="65"/>
      <c r="QXO120" s="65"/>
      <c r="QXP120" s="65"/>
      <c r="QXQ120" s="65"/>
      <c r="QXR120" s="65"/>
      <c r="QXS120" s="65"/>
      <c r="QXT120" s="65"/>
      <c r="QXU120" s="65"/>
      <c r="QXV120" s="65"/>
      <c r="QXW120" s="65"/>
      <c r="QXX120" s="65"/>
      <c r="QXY120" s="65"/>
      <c r="QXZ120" s="65"/>
      <c r="QYA120" s="65"/>
      <c r="QYB120" s="65"/>
      <c r="QYC120" s="65"/>
      <c r="QYD120" s="65"/>
      <c r="QYE120" s="65"/>
      <c r="QYF120" s="65"/>
      <c r="QYG120" s="65"/>
      <c r="QYH120" s="65"/>
      <c r="QYI120" s="65"/>
      <c r="QYJ120" s="65"/>
      <c r="QYK120" s="65"/>
      <c r="QYL120" s="65"/>
      <c r="QYM120" s="65"/>
      <c r="QYN120" s="65"/>
      <c r="QYO120" s="65"/>
      <c r="QYP120" s="65"/>
      <c r="QYQ120" s="65"/>
      <c r="QYR120" s="65"/>
      <c r="QYS120" s="65"/>
      <c r="QYT120" s="65"/>
      <c r="QYU120" s="65"/>
      <c r="QYV120" s="65"/>
      <c r="QYW120" s="65"/>
      <c r="QYX120" s="65"/>
      <c r="QYY120" s="65"/>
      <c r="QYZ120" s="65"/>
      <c r="QZA120" s="65"/>
      <c r="QZB120" s="65"/>
      <c r="QZC120" s="65"/>
      <c r="QZD120" s="65"/>
      <c r="QZE120" s="65"/>
      <c r="QZF120" s="65"/>
      <c r="QZG120" s="65"/>
      <c r="QZH120" s="65"/>
      <c r="QZI120" s="65"/>
      <c r="QZJ120" s="65"/>
      <c r="QZK120" s="65"/>
      <c r="QZL120" s="65"/>
      <c r="QZM120" s="65"/>
      <c r="QZN120" s="65"/>
      <c r="QZO120" s="65"/>
      <c r="QZP120" s="65"/>
      <c r="QZQ120" s="65"/>
      <c r="QZR120" s="65"/>
      <c r="QZS120" s="65"/>
      <c r="QZT120" s="65"/>
      <c r="QZU120" s="65"/>
      <c r="QZV120" s="65"/>
      <c r="QZW120" s="65"/>
      <c r="QZX120" s="65"/>
      <c r="QZY120" s="65"/>
      <c r="QZZ120" s="65"/>
      <c r="RAA120" s="65"/>
      <c r="RAB120" s="65"/>
      <c r="RAC120" s="65"/>
      <c r="RAD120" s="65"/>
      <c r="RAE120" s="65"/>
      <c r="RAF120" s="65"/>
      <c r="RAG120" s="65"/>
      <c r="RAH120" s="65"/>
      <c r="RAI120" s="65"/>
      <c r="RAJ120" s="65"/>
      <c r="RAK120" s="65"/>
      <c r="RAL120" s="65"/>
      <c r="RAM120" s="65"/>
      <c r="RAN120" s="65"/>
      <c r="RAO120" s="65"/>
      <c r="RAP120" s="65"/>
      <c r="RAQ120" s="65"/>
      <c r="RAR120" s="65"/>
      <c r="RAS120" s="65"/>
      <c r="RAT120" s="65"/>
      <c r="RAU120" s="65"/>
      <c r="RAV120" s="65"/>
      <c r="RAW120" s="65"/>
      <c r="RAX120" s="65"/>
      <c r="RAY120" s="65"/>
      <c r="RAZ120" s="65"/>
      <c r="RBA120" s="65"/>
      <c r="RBB120" s="65"/>
      <c r="RBC120" s="65"/>
      <c r="RBD120" s="65"/>
      <c r="RBE120" s="65"/>
      <c r="RBF120" s="65"/>
      <c r="RBG120" s="65"/>
      <c r="RBH120" s="65"/>
      <c r="RBI120" s="65"/>
      <c r="RBJ120" s="65"/>
      <c r="RBK120" s="65"/>
      <c r="RBL120" s="65"/>
      <c r="RBM120" s="65"/>
      <c r="RBN120" s="65"/>
      <c r="RBO120" s="65"/>
      <c r="RBP120" s="65"/>
      <c r="RBQ120" s="65"/>
      <c r="RBR120" s="65"/>
      <c r="RBS120" s="65"/>
      <c r="RBT120" s="65"/>
      <c r="RBU120" s="65"/>
      <c r="RBV120" s="65"/>
      <c r="RBW120" s="65"/>
      <c r="RBX120" s="65"/>
      <c r="RBY120" s="65"/>
      <c r="RBZ120" s="65"/>
      <c r="RCA120" s="65"/>
      <c r="RCB120" s="65"/>
      <c r="RCC120" s="65"/>
      <c r="RCD120" s="65"/>
      <c r="RCE120" s="65"/>
      <c r="RCF120" s="65"/>
      <c r="RCG120" s="65"/>
      <c r="RCH120" s="65"/>
      <c r="RCI120" s="65"/>
      <c r="RCJ120" s="65"/>
      <c r="RCK120" s="65"/>
      <c r="RCL120" s="65"/>
      <c r="RCM120" s="65"/>
      <c r="RCN120" s="65"/>
      <c r="RCO120" s="65"/>
      <c r="RCP120" s="65"/>
      <c r="RCQ120" s="65"/>
      <c r="RCR120" s="65"/>
      <c r="RCS120" s="65"/>
      <c r="RCT120" s="65"/>
      <c r="RCU120" s="65"/>
      <c r="RCV120" s="65"/>
      <c r="RCW120" s="65"/>
      <c r="RCX120" s="65"/>
      <c r="RCY120" s="65"/>
      <c r="RCZ120" s="65"/>
      <c r="RDA120" s="65"/>
      <c r="RDB120" s="65"/>
      <c r="RDC120" s="65"/>
      <c r="RDD120" s="65"/>
      <c r="RDE120" s="65"/>
      <c r="RDF120" s="65"/>
      <c r="RDG120" s="65"/>
      <c r="RDH120" s="65"/>
      <c r="RDI120" s="65"/>
      <c r="RDJ120" s="65"/>
      <c r="RDK120" s="65"/>
      <c r="RDL120" s="65"/>
      <c r="RDM120" s="65"/>
      <c r="RDN120" s="65"/>
      <c r="RDO120" s="65"/>
      <c r="RDP120" s="65"/>
      <c r="RDQ120" s="65"/>
      <c r="RDR120" s="65"/>
      <c r="RDS120" s="65"/>
      <c r="RDT120" s="65"/>
      <c r="RDU120" s="65"/>
      <c r="RDV120" s="65"/>
      <c r="RDW120" s="65"/>
      <c r="RDX120" s="65"/>
      <c r="RDY120" s="65"/>
      <c r="RDZ120" s="65"/>
      <c r="REA120" s="65"/>
      <c r="REB120" s="65"/>
      <c r="REC120" s="65"/>
      <c r="RED120" s="65"/>
      <c r="REE120" s="65"/>
      <c r="REF120" s="65"/>
      <c r="REG120" s="65"/>
      <c r="REH120" s="65"/>
      <c r="REI120" s="65"/>
      <c r="REJ120" s="65"/>
      <c r="REK120" s="65"/>
      <c r="REL120" s="65"/>
      <c r="REM120" s="65"/>
      <c r="REN120" s="65"/>
      <c r="REO120" s="65"/>
      <c r="REP120" s="65"/>
      <c r="REQ120" s="65"/>
      <c r="RER120" s="65"/>
      <c r="RES120" s="65"/>
      <c r="RET120" s="65"/>
      <c r="REU120" s="65"/>
      <c r="REV120" s="65"/>
      <c r="REW120" s="65"/>
      <c r="REX120" s="65"/>
      <c r="REY120" s="65"/>
      <c r="REZ120" s="65"/>
      <c r="RFA120" s="65"/>
      <c r="RFB120" s="65"/>
      <c r="RFC120" s="65"/>
      <c r="RFD120" s="65"/>
      <c r="RFE120" s="65"/>
      <c r="RFF120" s="65"/>
      <c r="RFG120" s="65"/>
      <c r="RFH120" s="65"/>
      <c r="RFI120" s="65"/>
      <c r="RFJ120" s="65"/>
      <c r="RFK120" s="65"/>
      <c r="RFL120" s="65"/>
      <c r="RFM120" s="65"/>
      <c r="RFN120" s="65"/>
      <c r="RFO120" s="65"/>
      <c r="RFP120" s="65"/>
      <c r="RFQ120" s="65"/>
      <c r="RFR120" s="65"/>
      <c r="RFS120" s="65"/>
      <c r="RFT120" s="65"/>
      <c r="RFU120" s="65"/>
      <c r="RFV120" s="65"/>
      <c r="RFW120" s="65"/>
      <c r="RFX120" s="65"/>
      <c r="RFY120" s="65"/>
      <c r="RFZ120" s="65"/>
      <c r="RGA120" s="65"/>
      <c r="RGB120" s="65"/>
      <c r="RGC120" s="65"/>
      <c r="RGD120" s="65"/>
      <c r="RGE120" s="65"/>
      <c r="RGF120" s="65"/>
      <c r="RGG120" s="65"/>
      <c r="RGH120" s="65"/>
      <c r="RGI120" s="65"/>
      <c r="RGJ120" s="65"/>
      <c r="RGK120" s="65"/>
      <c r="RGL120" s="65"/>
      <c r="RGM120" s="65"/>
      <c r="RGN120" s="65"/>
      <c r="RGO120" s="65"/>
      <c r="RGP120" s="65"/>
      <c r="RGQ120" s="65"/>
      <c r="RGR120" s="65"/>
      <c r="RGS120" s="65"/>
      <c r="RGT120" s="65"/>
      <c r="RGU120" s="65"/>
      <c r="RGV120" s="65"/>
      <c r="RGW120" s="65"/>
      <c r="RGX120" s="65"/>
      <c r="RGY120" s="65"/>
      <c r="RGZ120" s="65"/>
      <c r="RHA120" s="65"/>
      <c r="RHB120" s="65"/>
      <c r="RHC120" s="65"/>
      <c r="RHD120" s="65"/>
      <c r="RHE120" s="65"/>
      <c r="RHF120" s="65"/>
      <c r="RHG120" s="65"/>
      <c r="RHH120" s="65"/>
      <c r="RHI120" s="65"/>
      <c r="RHJ120" s="65"/>
      <c r="RHK120" s="65"/>
      <c r="RHL120" s="65"/>
      <c r="RHM120" s="65"/>
      <c r="RHN120" s="65"/>
      <c r="RHO120" s="65"/>
      <c r="RHP120" s="65"/>
      <c r="RHQ120" s="65"/>
      <c r="RHR120" s="65"/>
      <c r="RHS120" s="65"/>
      <c r="RHT120" s="65"/>
      <c r="RHU120" s="65"/>
      <c r="RHV120" s="65"/>
      <c r="RHW120" s="65"/>
      <c r="RHX120" s="65"/>
      <c r="RHY120" s="65"/>
      <c r="RHZ120" s="65"/>
      <c r="RIA120" s="65"/>
      <c r="RIB120" s="65"/>
      <c r="RIC120" s="65"/>
      <c r="RID120" s="65"/>
      <c r="RIE120" s="65"/>
      <c r="RIF120" s="65"/>
      <c r="RIG120" s="65"/>
      <c r="RIH120" s="65"/>
      <c r="RII120" s="65"/>
      <c r="RIJ120" s="65"/>
      <c r="RIK120" s="65"/>
      <c r="RIL120" s="65"/>
      <c r="RIM120" s="65"/>
      <c r="RIN120" s="65"/>
      <c r="RIO120" s="65"/>
      <c r="RIP120" s="65"/>
      <c r="RIQ120" s="65"/>
      <c r="RIR120" s="65"/>
      <c r="RIS120" s="65"/>
      <c r="RIT120" s="65"/>
      <c r="RIU120" s="65"/>
      <c r="RIV120" s="65"/>
      <c r="RIW120" s="65"/>
      <c r="RIX120" s="65"/>
      <c r="RIY120" s="65"/>
      <c r="RIZ120" s="65"/>
      <c r="RJA120" s="65"/>
      <c r="RJB120" s="65"/>
      <c r="RJC120" s="65"/>
      <c r="RJD120" s="65"/>
      <c r="RJE120" s="65"/>
      <c r="RJF120" s="65"/>
      <c r="RJG120" s="65"/>
      <c r="RJH120" s="65"/>
      <c r="RJI120" s="65"/>
      <c r="RJJ120" s="65"/>
      <c r="RJK120" s="65"/>
      <c r="RJL120" s="65"/>
      <c r="RJM120" s="65"/>
      <c r="RJN120" s="65"/>
      <c r="RJO120" s="65"/>
      <c r="RJP120" s="65"/>
      <c r="RJQ120" s="65"/>
      <c r="RJR120" s="65"/>
      <c r="RJS120" s="65"/>
      <c r="RJT120" s="65"/>
      <c r="RJU120" s="65"/>
      <c r="RJV120" s="65"/>
      <c r="RJW120" s="65"/>
      <c r="RJX120" s="65"/>
      <c r="RJY120" s="65"/>
      <c r="RJZ120" s="65"/>
      <c r="RKA120" s="65"/>
      <c r="RKB120" s="65"/>
      <c r="RKC120" s="65"/>
      <c r="RKD120" s="65"/>
      <c r="RKE120" s="65"/>
      <c r="RKF120" s="65"/>
      <c r="RKG120" s="65"/>
      <c r="RKH120" s="65"/>
      <c r="RKI120" s="65"/>
      <c r="RKJ120" s="65"/>
      <c r="RKK120" s="65"/>
      <c r="RKL120" s="65"/>
      <c r="RKM120" s="65"/>
      <c r="RKN120" s="65"/>
      <c r="RKO120" s="65"/>
      <c r="RKP120" s="65"/>
      <c r="RKQ120" s="65"/>
      <c r="RKR120" s="65"/>
      <c r="RKS120" s="65"/>
      <c r="RKT120" s="65"/>
      <c r="RKU120" s="65"/>
      <c r="RKV120" s="65"/>
      <c r="RKW120" s="65"/>
      <c r="RKX120" s="65"/>
      <c r="RKY120" s="65"/>
      <c r="RKZ120" s="65"/>
      <c r="RLA120" s="65"/>
      <c r="RLB120" s="65"/>
      <c r="RLC120" s="65"/>
      <c r="RLD120" s="65"/>
      <c r="RLE120" s="65"/>
      <c r="RLF120" s="65"/>
      <c r="RLG120" s="65"/>
      <c r="RLH120" s="65"/>
      <c r="RLI120" s="65"/>
      <c r="RLJ120" s="65"/>
      <c r="RLK120" s="65"/>
      <c r="RLL120" s="65"/>
      <c r="RLM120" s="65"/>
      <c r="RLN120" s="65"/>
      <c r="RLO120" s="65"/>
      <c r="RLP120" s="65"/>
      <c r="RLQ120" s="65"/>
      <c r="RLR120" s="65"/>
      <c r="RLS120" s="65"/>
      <c r="RLT120" s="65"/>
      <c r="RLU120" s="65"/>
      <c r="RLV120" s="65"/>
      <c r="RLW120" s="65"/>
      <c r="RLX120" s="65"/>
      <c r="RLY120" s="65"/>
      <c r="RLZ120" s="65"/>
      <c r="RMA120" s="65"/>
      <c r="RMB120" s="65"/>
      <c r="RMC120" s="65"/>
      <c r="RMD120" s="65"/>
      <c r="RME120" s="65"/>
      <c r="RMF120" s="65"/>
      <c r="RMG120" s="65"/>
      <c r="RMH120" s="65"/>
      <c r="RMI120" s="65"/>
      <c r="RMJ120" s="65"/>
      <c r="RMK120" s="65"/>
      <c r="RML120" s="65"/>
      <c r="RMM120" s="65"/>
      <c r="RMN120" s="65"/>
      <c r="RMO120" s="65"/>
      <c r="RMP120" s="65"/>
      <c r="RMQ120" s="65"/>
      <c r="RMR120" s="65"/>
      <c r="RMS120" s="65"/>
      <c r="RMT120" s="65"/>
      <c r="RMU120" s="65"/>
      <c r="RMV120" s="65"/>
      <c r="RMW120" s="65"/>
      <c r="RMX120" s="65"/>
      <c r="RMY120" s="65"/>
      <c r="RMZ120" s="65"/>
      <c r="RNA120" s="65"/>
      <c r="RNB120" s="65"/>
      <c r="RNC120" s="65"/>
      <c r="RND120" s="65"/>
      <c r="RNE120" s="65"/>
      <c r="RNF120" s="65"/>
      <c r="RNG120" s="65"/>
      <c r="RNH120" s="65"/>
      <c r="RNI120" s="65"/>
      <c r="RNJ120" s="65"/>
      <c r="RNK120" s="65"/>
      <c r="RNL120" s="65"/>
      <c r="RNM120" s="65"/>
      <c r="RNN120" s="65"/>
      <c r="RNO120" s="65"/>
      <c r="RNP120" s="65"/>
      <c r="RNQ120" s="65"/>
      <c r="RNR120" s="65"/>
      <c r="RNS120" s="65"/>
      <c r="RNT120" s="65"/>
      <c r="RNU120" s="65"/>
      <c r="RNV120" s="65"/>
      <c r="RNW120" s="65"/>
      <c r="RNX120" s="65"/>
      <c r="RNY120" s="65"/>
      <c r="RNZ120" s="65"/>
      <c r="ROA120" s="65"/>
      <c r="ROB120" s="65"/>
      <c r="ROC120" s="65"/>
      <c r="ROD120" s="65"/>
      <c r="ROE120" s="65"/>
      <c r="ROF120" s="65"/>
      <c r="ROG120" s="65"/>
      <c r="ROH120" s="65"/>
      <c r="ROI120" s="65"/>
      <c r="ROJ120" s="65"/>
      <c r="ROK120" s="65"/>
      <c r="ROL120" s="65"/>
      <c r="ROM120" s="65"/>
      <c r="RON120" s="65"/>
      <c r="ROO120" s="65"/>
      <c r="ROP120" s="65"/>
      <c r="ROQ120" s="65"/>
      <c r="ROR120" s="65"/>
      <c r="ROS120" s="65"/>
      <c r="ROT120" s="65"/>
      <c r="ROU120" s="65"/>
      <c r="ROV120" s="65"/>
      <c r="ROW120" s="65"/>
      <c r="ROX120" s="65"/>
      <c r="ROY120" s="65"/>
      <c r="ROZ120" s="65"/>
      <c r="RPA120" s="65"/>
      <c r="RPB120" s="65"/>
      <c r="RPC120" s="65"/>
      <c r="RPD120" s="65"/>
      <c r="RPE120" s="65"/>
      <c r="RPF120" s="65"/>
      <c r="RPG120" s="65"/>
      <c r="RPH120" s="65"/>
      <c r="RPI120" s="65"/>
      <c r="RPJ120" s="65"/>
      <c r="RPK120" s="65"/>
      <c r="RPL120" s="65"/>
      <c r="RPM120" s="65"/>
      <c r="RPN120" s="65"/>
      <c r="RPO120" s="65"/>
      <c r="RPP120" s="65"/>
      <c r="RPQ120" s="65"/>
      <c r="RPR120" s="65"/>
      <c r="RPS120" s="65"/>
      <c r="RPT120" s="65"/>
      <c r="RPU120" s="65"/>
      <c r="RPV120" s="65"/>
      <c r="RPW120" s="65"/>
      <c r="RPX120" s="65"/>
      <c r="RPY120" s="65"/>
      <c r="RPZ120" s="65"/>
      <c r="RQA120" s="65"/>
      <c r="RQB120" s="65"/>
      <c r="RQC120" s="65"/>
      <c r="RQD120" s="65"/>
      <c r="RQE120" s="65"/>
      <c r="RQF120" s="65"/>
      <c r="RQG120" s="65"/>
      <c r="RQH120" s="65"/>
      <c r="RQI120" s="65"/>
      <c r="RQJ120" s="65"/>
      <c r="RQK120" s="65"/>
      <c r="RQL120" s="65"/>
      <c r="RQM120" s="65"/>
      <c r="RQN120" s="65"/>
      <c r="RQO120" s="65"/>
      <c r="RQP120" s="65"/>
      <c r="RQQ120" s="65"/>
      <c r="RQR120" s="65"/>
      <c r="RQS120" s="65"/>
      <c r="RQT120" s="65"/>
      <c r="RQU120" s="65"/>
      <c r="RQV120" s="65"/>
      <c r="RQW120" s="65"/>
      <c r="RQX120" s="65"/>
      <c r="RQY120" s="65"/>
      <c r="RQZ120" s="65"/>
      <c r="RRA120" s="65"/>
      <c r="RRB120" s="65"/>
      <c r="RRC120" s="65"/>
      <c r="RRD120" s="65"/>
      <c r="RRE120" s="65"/>
      <c r="RRF120" s="65"/>
      <c r="RRG120" s="65"/>
      <c r="RRH120" s="65"/>
      <c r="RRI120" s="65"/>
      <c r="RRJ120" s="65"/>
      <c r="RRK120" s="65"/>
      <c r="RRL120" s="65"/>
      <c r="RRM120" s="65"/>
      <c r="RRN120" s="65"/>
      <c r="RRO120" s="65"/>
      <c r="RRP120" s="65"/>
      <c r="RRQ120" s="65"/>
      <c r="RRR120" s="65"/>
      <c r="RRS120" s="65"/>
      <c r="RRT120" s="65"/>
      <c r="RRU120" s="65"/>
      <c r="RRV120" s="65"/>
      <c r="RRW120" s="65"/>
      <c r="RRX120" s="65"/>
      <c r="RRY120" s="65"/>
      <c r="RRZ120" s="65"/>
      <c r="RSA120" s="65"/>
      <c r="RSB120" s="65"/>
      <c r="RSC120" s="65"/>
      <c r="RSD120" s="65"/>
      <c r="RSE120" s="65"/>
      <c r="RSF120" s="65"/>
      <c r="RSG120" s="65"/>
      <c r="RSH120" s="65"/>
      <c r="RSI120" s="65"/>
      <c r="RSJ120" s="65"/>
      <c r="RSK120" s="65"/>
      <c r="RSL120" s="65"/>
      <c r="RSM120" s="65"/>
      <c r="RSN120" s="65"/>
      <c r="RSO120" s="65"/>
      <c r="RSP120" s="65"/>
      <c r="RSQ120" s="65"/>
      <c r="RSR120" s="65"/>
      <c r="RSS120" s="65"/>
      <c r="RST120" s="65"/>
      <c r="RSU120" s="65"/>
      <c r="RSV120" s="65"/>
      <c r="RSW120" s="65"/>
      <c r="RSX120" s="65"/>
      <c r="RSY120" s="65"/>
      <c r="RSZ120" s="65"/>
      <c r="RTA120" s="65"/>
      <c r="RTB120" s="65"/>
      <c r="RTC120" s="65"/>
      <c r="RTD120" s="65"/>
      <c r="RTE120" s="65"/>
      <c r="RTF120" s="65"/>
      <c r="RTG120" s="65"/>
      <c r="RTH120" s="65"/>
      <c r="RTI120" s="65"/>
      <c r="RTJ120" s="65"/>
      <c r="RTK120" s="65"/>
      <c r="RTL120" s="65"/>
      <c r="RTM120" s="65"/>
      <c r="RTN120" s="65"/>
      <c r="RTO120" s="65"/>
      <c r="RTP120" s="65"/>
      <c r="RTQ120" s="65"/>
      <c r="RTR120" s="65"/>
      <c r="RTS120" s="65"/>
      <c r="RTT120" s="65"/>
      <c r="RTU120" s="65"/>
      <c r="RTV120" s="65"/>
      <c r="RTW120" s="65"/>
      <c r="RTX120" s="65"/>
      <c r="RTY120" s="65"/>
      <c r="RTZ120" s="65"/>
      <c r="RUA120" s="65"/>
      <c r="RUB120" s="65"/>
      <c r="RUC120" s="65"/>
      <c r="RUD120" s="65"/>
      <c r="RUE120" s="65"/>
      <c r="RUF120" s="65"/>
      <c r="RUG120" s="65"/>
      <c r="RUH120" s="65"/>
      <c r="RUI120" s="65"/>
      <c r="RUJ120" s="65"/>
      <c r="RUK120" s="65"/>
      <c r="RUL120" s="65"/>
      <c r="RUM120" s="65"/>
      <c r="RUN120" s="65"/>
      <c r="RUO120" s="65"/>
      <c r="RUP120" s="65"/>
      <c r="RUQ120" s="65"/>
      <c r="RUR120" s="65"/>
      <c r="RUS120" s="65"/>
      <c r="RUT120" s="65"/>
      <c r="RUU120" s="65"/>
      <c r="RUV120" s="65"/>
      <c r="RUW120" s="65"/>
      <c r="RUX120" s="65"/>
      <c r="RUY120" s="65"/>
      <c r="RUZ120" s="65"/>
      <c r="RVA120" s="65"/>
      <c r="RVB120" s="65"/>
      <c r="RVC120" s="65"/>
      <c r="RVD120" s="65"/>
      <c r="RVE120" s="65"/>
      <c r="RVF120" s="65"/>
      <c r="RVG120" s="65"/>
      <c r="RVH120" s="65"/>
      <c r="RVI120" s="65"/>
      <c r="RVJ120" s="65"/>
      <c r="RVK120" s="65"/>
      <c r="RVL120" s="65"/>
      <c r="RVM120" s="65"/>
      <c r="RVN120" s="65"/>
      <c r="RVO120" s="65"/>
      <c r="RVP120" s="65"/>
      <c r="RVQ120" s="65"/>
      <c r="RVR120" s="65"/>
      <c r="RVS120" s="65"/>
      <c r="RVT120" s="65"/>
      <c r="RVU120" s="65"/>
      <c r="RVV120" s="65"/>
      <c r="RVW120" s="65"/>
      <c r="RVX120" s="65"/>
      <c r="RVY120" s="65"/>
      <c r="RVZ120" s="65"/>
      <c r="RWA120" s="65"/>
      <c r="RWB120" s="65"/>
      <c r="RWC120" s="65"/>
      <c r="RWD120" s="65"/>
      <c r="RWE120" s="65"/>
      <c r="RWF120" s="65"/>
      <c r="RWG120" s="65"/>
      <c r="RWH120" s="65"/>
      <c r="RWI120" s="65"/>
      <c r="RWJ120" s="65"/>
      <c r="RWK120" s="65"/>
      <c r="RWL120" s="65"/>
      <c r="RWM120" s="65"/>
      <c r="RWN120" s="65"/>
      <c r="RWO120" s="65"/>
      <c r="RWP120" s="65"/>
      <c r="RWQ120" s="65"/>
      <c r="RWR120" s="65"/>
      <c r="RWS120" s="65"/>
      <c r="RWT120" s="65"/>
      <c r="RWU120" s="65"/>
      <c r="RWV120" s="65"/>
      <c r="RWW120" s="65"/>
      <c r="RWX120" s="65"/>
      <c r="RWY120" s="65"/>
      <c r="RWZ120" s="65"/>
      <c r="RXA120" s="65"/>
      <c r="RXB120" s="65"/>
      <c r="RXC120" s="65"/>
      <c r="RXD120" s="65"/>
      <c r="RXE120" s="65"/>
      <c r="RXF120" s="65"/>
      <c r="RXG120" s="65"/>
      <c r="RXH120" s="65"/>
      <c r="RXI120" s="65"/>
      <c r="RXJ120" s="65"/>
      <c r="RXK120" s="65"/>
      <c r="RXL120" s="65"/>
      <c r="RXM120" s="65"/>
      <c r="RXN120" s="65"/>
      <c r="RXO120" s="65"/>
      <c r="RXP120" s="65"/>
      <c r="RXQ120" s="65"/>
      <c r="RXR120" s="65"/>
      <c r="RXS120" s="65"/>
      <c r="RXT120" s="65"/>
      <c r="RXU120" s="65"/>
      <c r="RXV120" s="65"/>
      <c r="RXW120" s="65"/>
      <c r="RXX120" s="65"/>
      <c r="RXY120" s="65"/>
      <c r="RXZ120" s="65"/>
      <c r="RYA120" s="65"/>
      <c r="RYB120" s="65"/>
      <c r="RYC120" s="65"/>
      <c r="RYD120" s="65"/>
      <c r="RYE120" s="65"/>
      <c r="RYF120" s="65"/>
      <c r="RYG120" s="65"/>
      <c r="RYH120" s="65"/>
      <c r="RYI120" s="65"/>
      <c r="RYJ120" s="65"/>
      <c r="RYK120" s="65"/>
      <c r="RYL120" s="65"/>
      <c r="RYM120" s="65"/>
      <c r="RYN120" s="65"/>
      <c r="RYO120" s="65"/>
      <c r="RYP120" s="65"/>
      <c r="RYQ120" s="65"/>
      <c r="RYR120" s="65"/>
      <c r="RYS120" s="65"/>
      <c r="RYT120" s="65"/>
      <c r="RYU120" s="65"/>
      <c r="RYV120" s="65"/>
      <c r="RYW120" s="65"/>
      <c r="RYX120" s="65"/>
      <c r="RYY120" s="65"/>
      <c r="RYZ120" s="65"/>
      <c r="RZA120" s="65"/>
      <c r="RZB120" s="65"/>
      <c r="RZC120" s="65"/>
      <c r="RZD120" s="65"/>
      <c r="RZE120" s="65"/>
      <c r="RZF120" s="65"/>
      <c r="RZG120" s="65"/>
      <c r="RZH120" s="65"/>
      <c r="RZI120" s="65"/>
      <c r="RZJ120" s="65"/>
      <c r="RZK120" s="65"/>
      <c r="RZL120" s="65"/>
      <c r="RZM120" s="65"/>
      <c r="RZN120" s="65"/>
      <c r="RZO120" s="65"/>
      <c r="RZP120" s="65"/>
      <c r="RZQ120" s="65"/>
      <c r="RZR120" s="65"/>
      <c r="RZS120" s="65"/>
      <c r="RZT120" s="65"/>
      <c r="RZU120" s="65"/>
      <c r="RZV120" s="65"/>
      <c r="RZW120" s="65"/>
      <c r="RZX120" s="65"/>
      <c r="RZY120" s="65"/>
      <c r="RZZ120" s="65"/>
      <c r="SAA120" s="65"/>
      <c r="SAB120" s="65"/>
      <c r="SAC120" s="65"/>
      <c r="SAD120" s="65"/>
      <c r="SAE120" s="65"/>
      <c r="SAF120" s="65"/>
      <c r="SAG120" s="65"/>
      <c r="SAH120" s="65"/>
      <c r="SAI120" s="65"/>
      <c r="SAJ120" s="65"/>
      <c r="SAK120" s="65"/>
      <c r="SAL120" s="65"/>
      <c r="SAM120" s="65"/>
      <c r="SAN120" s="65"/>
      <c r="SAO120" s="65"/>
      <c r="SAP120" s="65"/>
      <c r="SAQ120" s="65"/>
      <c r="SAR120" s="65"/>
      <c r="SAS120" s="65"/>
      <c r="SAT120" s="65"/>
      <c r="SAU120" s="65"/>
      <c r="SAV120" s="65"/>
      <c r="SAW120" s="65"/>
      <c r="SAX120" s="65"/>
      <c r="SAY120" s="65"/>
      <c r="SAZ120" s="65"/>
      <c r="SBA120" s="65"/>
      <c r="SBB120" s="65"/>
      <c r="SBC120" s="65"/>
      <c r="SBD120" s="65"/>
      <c r="SBE120" s="65"/>
      <c r="SBF120" s="65"/>
      <c r="SBG120" s="65"/>
      <c r="SBH120" s="65"/>
      <c r="SBI120" s="65"/>
      <c r="SBJ120" s="65"/>
      <c r="SBK120" s="65"/>
      <c r="SBL120" s="65"/>
      <c r="SBM120" s="65"/>
      <c r="SBN120" s="65"/>
      <c r="SBO120" s="65"/>
      <c r="SBP120" s="65"/>
      <c r="SBQ120" s="65"/>
      <c r="SBR120" s="65"/>
      <c r="SBS120" s="65"/>
      <c r="SBT120" s="65"/>
      <c r="SBU120" s="65"/>
      <c r="SBV120" s="65"/>
      <c r="SBW120" s="65"/>
      <c r="SBX120" s="65"/>
      <c r="SBY120" s="65"/>
      <c r="SBZ120" s="65"/>
      <c r="SCA120" s="65"/>
      <c r="SCB120" s="65"/>
      <c r="SCC120" s="65"/>
      <c r="SCD120" s="65"/>
      <c r="SCE120" s="65"/>
      <c r="SCF120" s="65"/>
      <c r="SCG120" s="65"/>
      <c r="SCH120" s="65"/>
      <c r="SCI120" s="65"/>
      <c r="SCJ120" s="65"/>
      <c r="SCK120" s="65"/>
      <c r="SCL120" s="65"/>
      <c r="SCM120" s="65"/>
      <c r="SCN120" s="65"/>
      <c r="SCO120" s="65"/>
      <c r="SCP120" s="65"/>
      <c r="SCQ120" s="65"/>
      <c r="SCR120" s="65"/>
      <c r="SCS120" s="65"/>
      <c r="SCT120" s="65"/>
      <c r="SCU120" s="65"/>
      <c r="SCV120" s="65"/>
      <c r="SCW120" s="65"/>
      <c r="SCX120" s="65"/>
      <c r="SCY120" s="65"/>
      <c r="SCZ120" s="65"/>
      <c r="SDA120" s="65"/>
      <c r="SDB120" s="65"/>
      <c r="SDC120" s="65"/>
      <c r="SDD120" s="65"/>
      <c r="SDE120" s="65"/>
      <c r="SDF120" s="65"/>
      <c r="SDG120" s="65"/>
      <c r="SDH120" s="65"/>
      <c r="SDI120" s="65"/>
      <c r="SDJ120" s="65"/>
      <c r="SDK120" s="65"/>
      <c r="SDL120" s="65"/>
      <c r="SDM120" s="65"/>
      <c r="SDN120" s="65"/>
      <c r="SDO120" s="65"/>
      <c r="SDP120" s="65"/>
      <c r="SDQ120" s="65"/>
      <c r="SDR120" s="65"/>
      <c r="SDS120" s="65"/>
      <c r="SDT120" s="65"/>
      <c r="SDU120" s="65"/>
      <c r="SDV120" s="65"/>
      <c r="SDW120" s="65"/>
      <c r="SDX120" s="65"/>
      <c r="SDY120" s="65"/>
      <c r="SDZ120" s="65"/>
      <c r="SEA120" s="65"/>
      <c r="SEB120" s="65"/>
      <c r="SEC120" s="65"/>
      <c r="SED120" s="65"/>
      <c r="SEE120" s="65"/>
      <c r="SEF120" s="65"/>
      <c r="SEG120" s="65"/>
      <c r="SEH120" s="65"/>
      <c r="SEI120" s="65"/>
      <c r="SEJ120" s="65"/>
      <c r="SEK120" s="65"/>
      <c r="SEL120" s="65"/>
      <c r="SEM120" s="65"/>
      <c r="SEN120" s="65"/>
      <c r="SEO120" s="65"/>
      <c r="SEP120" s="65"/>
      <c r="SEQ120" s="65"/>
      <c r="SER120" s="65"/>
      <c r="SES120" s="65"/>
      <c r="SET120" s="65"/>
      <c r="SEU120" s="65"/>
      <c r="SEV120" s="65"/>
      <c r="SEW120" s="65"/>
      <c r="SEX120" s="65"/>
      <c r="SEY120" s="65"/>
      <c r="SEZ120" s="65"/>
      <c r="SFA120" s="65"/>
      <c r="SFB120" s="65"/>
      <c r="SFC120" s="65"/>
      <c r="SFD120" s="65"/>
      <c r="SFE120" s="65"/>
      <c r="SFF120" s="65"/>
      <c r="SFG120" s="65"/>
      <c r="SFH120" s="65"/>
      <c r="SFI120" s="65"/>
      <c r="SFJ120" s="65"/>
      <c r="SFK120" s="65"/>
      <c r="SFL120" s="65"/>
      <c r="SFM120" s="65"/>
      <c r="SFN120" s="65"/>
      <c r="SFO120" s="65"/>
      <c r="SFP120" s="65"/>
      <c r="SFQ120" s="65"/>
      <c r="SFR120" s="65"/>
      <c r="SFS120" s="65"/>
      <c r="SFT120" s="65"/>
      <c r="SFU120" s="65"/>
      <c r="SFV120" s="65"/>
      <c r="SFW120" s="65"/>
      <c r="SFX120" s="65"/>
      <c r="SFY120" s="65"/>
      <c r="SFZ120" s="65"/>
      <c r="SGA120" s="65"/>
      <c r="SGB120" s="65"/>
      <c r="SGC120" s="65"/>
      <c r="SGD120" s="65"/>
      <c r="SGE120" s="65"/>
      <c r="SGF120" s="65"/>
      <c r="SGG120" s="65"/>
      <c r="SGH120" s="65"/>
      <c r="SGI120" s="65"/>
      <c r="SGJ120" s="65"/>
      <c r="SGK120" s="65"/>
      <c r="SGL120" s="65"/>
      <c r="SGM120" s="65"/>
      <c r="SGN120" s="65"/>
      <c r="SGO120" s="65"/>
      <c r="SGP120" s="65"/>
      <c r="SGQ120" s="65"/>
      <c r="SGR120" s="65"/>
      <c r="SGS120" s="65"/>
      <c r="SGT120" s="65"/>
      <c r="SGU120" s="65"/>
      <c r="SGV120" s="65"/>
      <c r="SGW120" s="65"/>
      <c r="SGX120" s="65"/>
      <c r="SGY120" s="65"/>
      <c r="SGZ120" s="65"/>
      <c r="SHA120" s="65"/>
      <c r="SHB120" s="65"/>
      <c r="SHC120" s="65"/>
      <c r="SHD120" s="65"/>
      <c r="SHE120" s="65"/>
      <c r="SHF120" s="65"/>
      <c r="SHG120" s="65"/>
      <c r="SHH120" s="65"/>
      <c r="SHI120" s="65"/>
      <c r="SHJ120" s="65"/>
      <c r="SHK120" s="65"/>
      <c r="SHL120" s="65"/>
      <c r="SHM120" s="65"/>
      <c r="SHN120" s="65"/>
      <c r="SHO120" s="65"/>
      <c r="SHP120" s="65"/>
      <c r="SHQ120" s="65"/>
      <c r="SHR120" s="65"/>
      <c r="SHS120" s="65"/>
      <c r="SHT120" s="65"/>
      <c r="SHU120" s="65"/>
      <c r="SHV120" s="65"/>
      <c r="SHW120" s="65"/>
      <c r="SHX120" s="65"/>
      <c r="SHY120" s="65"/>
      <c r="SHZ120" s="65"/>
      <c r="SIA120" s="65"/>
      <c r="SIB120" s="65"/>
      <c r="SIC120" s="65"/>
      <c r="SID120" s="65"/>
      <c r="SIE120" s="65"/>
      <c r="SIF120" s="65"/>
      <c r="SIG120" s="65"/>
      <c r="SIH120" s="65"/>
      <c r="SII120" s="65"/>
      <c r="SIJ120" s="65"/>
      <c r="SIK120" s="65"/>
      <c r="SIL120" s="65"/>
      <c r="SIM120" s="65"/>
      <c r="SIN120" s="65"/>
      <c r="SIO120" s="65"/>
      <c r="SIP120" s="65"/>
      <c r="SIQ120" s="65"/>
      <c r="SIR120" s="65"/>
      <c r="SIS120" s="65"/>
      <c r="SIT120" s="65"/>
      <c r="SIU120" s="65"/>
      <c r="SIV120" s="65"/>
      <c r="SIW120" s="65"/>
      <c r="SIX120" s="65"/>
      <c r="SIY120" s="65"/>
      <c r="SIZ120" s="65"/>
      <c r="SJA120" s="65"/>
      <c r="SJB120" s="65"/>
      <c r="SJC120" s="65"/>
      <c r="SJD120" s="65"/>
      <c r="SJE120" s="65"/>
      <c r="SJF120" s="65"/>
      <c r="SJG120" s="65"/>
      <c r="SJH120" s="65"/>
      <c r="SJI120" s="65"/>
      <c r="SJJ120" s="65"/>
      <c r="SJK120" s="65"/>
      <c r="SJL120" s="65"/>
      <c r="SJM120" s="65"/>
      <c r="SJN120" s="65"/>
      <c r="SJO120" s="65"/>
      <c r="SJP120" s="65"/>
      <c r="SJQ120" s="65"/>
      <c r="SJR120" s="65"/>
      <c r="SJS120" s="65"/>
      <c r="SJT120" s="65"/>
      <c r="SJU120" s="65"/>
      <c r="SJV120" s="65"/>
      <c r="SJW120" s="65"/>
      <c r="SJX120" s="65"/>
      <c r="SJY120" s="65"/>
      <c r="SJZ120" s="65"/>
      <c r="SKA120" s="65"/>
      <c r="SKB120" s="65"/>
      <c r="SKC120" s="65"/>
      <c r="SKD120" s="65"/>
      <c r="SKE120" s="65"/>
      <c r="SKF120" s="65"/>
      <c r="SKG120" s="65"/>
      <c r="SKH120" s="65"/>
      <c r="SKI120" s="65"/>
      <c r="SKJ120" s="65"/>
      <c r="SKK120" s="65"/>
      <c r="SKL120" s="65"/>
      <c r="SKM120" s="65"/>
      <c r="SKN120" s="65"/>
      <c r="SKO120" s="65"/>
      <c r="SKP120" s="65"/>
      <c r="SKQ120" s="65"/>
      <c r="SKR120" s="65"/>
      <c r="SKS120" s="65"/>
      <c r="SKT120" s="65"/>
      <c r="SKU120" s="65"/>
      <c r="SKV120" s="65"/>
      <c r="SKW120" s="65"/>
      <c r="SKX120" s="65"/>
      <c r="SKY120" s="65"/>
      <c r="SKZ120" s="65"/>
      <c r="SLA120" s="65"/>
      <c r="SLB120" s="65"/>
      <c r="SLC120" s="65"/>
      <c r="SLD120" s="65"/>
      <c r="SLE120" s="65"/>
      <c r="SLF120" s="65"/>
      <c r="SLG120" s="65"/>
      <c r="SLH120" s="65"/>
      <c r="SLI120" s="65"/>
      <c r="SLJ120" s="65"/>
      <c r="SLK120" s="65"/>
      <c r="SLL120" s="65"/>
      <c r="SLM120" s="65"/>
      <c r="SLN120" s="65"/>
      <c r="SLO120" s="65"/>
      <c r="SLP120" s="65"/>
      <c r="SLQ120" s="65"/>
      <c r="SLR120" s="65"/>
      <c r="SLS120" s="65"/>
      <c r="SLT120" s="65"/>
      <c r="SLU120" s="65"/>
      <c r="SLV120" s="65"/>
      <c r="SLW120" s="65"/>
      <c r="SLX120" s="65"/>
      <c r="SLY120" s="65"/>
      <c r="SLZ120" s="65"/>
      <c r="SMA120" s="65"/>
      <c r="SMB120" s="65"/>
      <c r="SMC120" s="65"/>
      <c r="SMD120" s="65"/>
      <c r="SME120" s="65"/>
      <c r="SMF120" s="65"/>
      <c r="SMG120" s="65"/>
      <c r="SMH120" s="65"/>
      <c r="SMI120" s="65"/>
      <c r="SMJ120" s="65"/>
      <c r="SMK120" s="65"/>
      <c r="SML120" s="65"/>
      <c r="SMM120" s="65"/>
      <c r="SMN120" s="65"/>
      <c r="SMO120" s="65"/>
      <c r="SMP120" s="65"/>
      <c r="SMQ120" s="65"/>
      <c r="SMR120" s="65"/>
      <c r="SMS120" s="65"/>
      <c r="SMT120" s="65"/>
      <c r="SMU120" s="65"/>
      <c r="SMV120" s="65"/>
      <c r="SMW120" s="65"/>
      <c r="SMX120" s="65"/>
      <c r="SMY120" s="65"/>
      <c r="SMZ120" s="65"/>
      <c r="SNA120" s="65"/>
      <c r="SNB120" s="65"/>
      <c r="SNC120" s="65"/>
      <c r="SND120" s="65"/>
      <c r="SNE120" s="65"/>
      <c r="SNF120" s="65"/>
      <c r="SNG120" s="65"/>
      <c r="SNH120" s="65"/>
      <c r="SNI120" s="65"/>
      <c r="SNJ120" s="65"/>
      <c r="SNK120" s="65"/>
      <c r="SNL120" s="65"/>
      <c r="SNM120" s="65"/>
      <c r="SNN120" s="65"/>
      <c r="SNO120" s="65"/>
      <c r="SNP120" s="65"/>
      <c r="SNQ120" s="65"/>
      <c r="SNR120" s="65"/>
      <c r="SNS120" s="65"/>
      <c r="SNT120" s="65"/>
      <c r="SNU120" s="65"/>
      <c r="SNV120" s="65"/>
      <c r="SNW120" s="65"/>
      <c r="SNX120" s="65"/>
      <c r="SNY120" s="65"/>
      <c r="SNZ120" s="65"/>
      <c r="SOA120" s="65"/>
      <c r="SOB120" s="65"/>
      <c r="SOC120" s="65"/>
      <c r="SOD120" s="65"/>
      <c r="SOE120" s="65"/>
      <c r="SOF120" s="65"/>
      <c r="SOG120" s="65"/>
      <c r="SOH120" s="65"/>
      <c r="SOI120" s="65"/>
      <c r="SOJ120" s="65"/>
      <c r="SOK120" s="65"/>
      <c r="SOL120" s="65"/>
      <c r="SOM120" s="65"/>
      <c r="SON120" s="65"/>
      <c r="SOO120" s="65"/>
      <c r="SOP120" s="65"/>
      <c r="SOQ120" s="65"/>
      <c r="SOR120" s="65"/>
      <c r="SOS120" s="65"/>
      <c r="SOT120" s="65"/>
      <c r="SOU120" s="65"/>
      <c r="SOV120" s="65"/>
      <c r="SOW120" s="65"/>
      <c r="SOX120" s="65"/>
      <c r="SOY120" s="65"/>
      <c r="SOZ120" s="65"/>
      <c r="SPA120" s="65"/>
      <c r="SPB120" s="65"/>
      <c r="SPC120" s="65"/>
      <c r="SPD120" s="65"/>
      <c r="SPE120" s="65"/>
      <c r="SPF120" s="65"/>
      <c r="SPG120" s="65"/>
      <c r="SPH120" s="65"/>
      <c r="SPI120" s="65"/>
      <c r="SPJ120" s="65"/>
      <c r="SPK120" s="65"/>
      <c r="SPL120" s="65"/>
      <c r="SPM120" s="65"/>
      <c r="SPN120" s="65"/>
      <c r="SPO120" s="65"/>
      <c r="SPP120" s="65"/>
      <c r="SPQ120" s="65"/>
      <c r="SPR120" s="65"/>
      <c r="SPS120" s="65"/>
      <c r="SPT120" s="65"/>
      <c r="SPU120" s="65"/>
      <c r="SPV120" s="65"/>
      <c r="SPW120" s="65"/>
      <c r="SPX120" s="65"/>
      <c r="SPY120" s="65"/>
      <c r="SPZ120" s="65"/>
      <c r="SQA120" s="65"/>
      <c r="SQB120" s="65"/>
      <c r="SQC120" s="65"/>
      <c r="SQD120" s="65"/>
      <c r="SQE120" s="65"/>
      <c r="SQF120" s="65"/>
      <c r="SQG120" s="65"/>
      <c r="SQH120" s="65"/>
      <c r="SQI120" s="65"/>
      <c r="SQJ120" s="65"/>
      <c r="SQK120" s="65"/>
      <c r="SQL120" s="65"/>
      <c r="SQM120" s="65"/>
      <c r="SQN120" s="65"/>
      <c r="SQO120" s="65"/>
      <c r="SQP120" s="65"/>
      <c r="SQQ120" s="65"/>
      <c r="SQR120" s="65"/>
      <c r="SQS120" s="65"/>
      <c r="SQT120" s="65"/>
      <c r="SQU120" s="65"/>
      <c r="SQV120" s="65"/>
      <c r="SQW120" s="65"/>
      <c r="SQX120" s="65"/>
      <c r="SQY120" s="65"/>
      <c r="SQZ120" s="65"/>
      <c r="SRA120" s="65"/>
      <c r="SRB120" s="65"/>
      <c r="SRC120" s="65"/>
      <c r="SRD120" s="65"/>
      <c r="SRE120" s="65"/>
      <c r="SRF120" s="65"/>
      <c r="SRG120" s="65"/>
      <c r="SRH120" s="65"/>
      <c r="SRI120" s="65"/>
      <c r="SRJ120" s="65"/>
      <c r="SRK120" s="65"/>
      <c r="SRL120" s="65"/>
      <c r="SRM120" s="65"/>
      <c r="SRN120" s="65"/>
      <c r="SRO120" s="65"/>
      <c r="SRP120" s="65"/>
      <c r="SRQ120" s="65"/>
      <c r="SRR120" s="65"/>
      <c r="SRS120" s="65"/>
      <c r="SRT120" s="65"/>
      <c r="SRU120" s="65"/>
      <c r="SRV120" s="65"/>
      <c r="SRW120" s="65"/>
      <c r="SRX120" s="65"/>
      <c r="SRY120" s="65"/>
      <c r="SRZ120" s="65"/>
      <c r="SSA120" s="65"/>
      <c r="SSB120" s="65"/>
      <c r="SSC120" s="65"/>
      <c r="SSD120" s="65"/>
      <c r="SSE120" s="65"/>
      <c r="SSF120" s="65"/>
      <c r="SSG120" s="65"/>
      <c r="SSH120" s="65"/>
      <c r="SSI120" s="65"/>
      <c r="SSJ120" s="65"/>
      <c r="SSK120" s="65"/>
      <c r="SSL120" s="65"/>
      <c r="SSM120" s="65"/>
      <c r="SSN120" s="65"/>
      <c r="SSO120" s="65"/>
      <c r="SSP120" s="65"/>
      <c r="SSQ120" s="65"/>
      <c r="SSR120" s="65"/>
      <c r="SSS120" s="65"/>
      <c r="SST120" s="65"/>
      <c r="SSU120" s="65"/>
      <c r="SSV120" s="65"/>
      <c r="SSW120" s="65"/>
      <c r="SSX120" s="65"/>
      <c r="SSY120" s="65"/>
      <c r="SSZ120" s="65"/>
      <c r="STA120" s="65"/>
      <c r="STB120" s="65"/>
      <c r="STC120" s="65"/>
      <c r="STD120" s="65"/>
      <c r="STE120" s="65"/>
      <c r="STF120" s="65"/>
      <c r="STG120" s="65"/>
      <c r="STH120" s="65"/>
      <c r="STI120" s="65"/>
      <c r="STJ120" s="65"/>
      <c r="STK120" s="65"/>
      <c r="STL120" s="65"/>
      <c r="STM120" s="65"/>
      <c r="STN120" s="65"/>
      <c r="STO120" s="65"/>
      <c r="STP120" s="65"/>
      <c r="STQ120" s="65"/>
      <c r="STR120" s="65"/>
      <c r="STS120" s="65"/>
      <c r="STT120" s="65"/>
      <c r="STU120" s="65"/>
      <c r="STV120" s="65"/>
      <c r="STW120" s="65"/>
      <c r="STX120" s="65"/>
      <c r="STY120" s="65"/>
      <c r="STZ120" s="65"/>
      <c r="SUA120" s="65"/>
      <c r="SUB120" s="65"/>
      <c r="SUC120" s="65"/>
      <c r="SUD120" s="65"/>
      <c r="SUE120" s="65"/>
      <c r="SUF120" s="65"/>
      <c r="SUG120" s="65"/>
      <c r="SUH120" s="65"/>
      <c r="SUI120" s="65"/>
      <c r="SUJ120" s="65"/>
      <c r="SUK120" s="65"/>
      <c r="SUL120" s="65"/>
      <c r="SUM120" s="65"/>
      <c r="SUN120" s="65"/>
      <c r="SUO120" s="65"/>
      <c r="SUP120" s="65"/>
      <c r="SUQ120" s="65"/>
      <c r="SUR120" s="65"/>
      <c r="SUS120" s="65"/>
      <c r="SUT120" s="65"/>
      <c r="SUU120" s="65"/>
      <c r="SUV120" s="65"/>
      <c r="SUW120" s="65"/>
      <c r="SUX120" s="65"/>
      <c r="SUY120" s="65"/>
      <c r="SUZ120" s="65"/>
      <c r="SVA120" s="65"/>
      <c r="SVB120" s="65"/>
      <c r="SVC120" s="65"/>
      <c r="SVD120" s="65"/>
      <c r="SVE120" s="65"/>
      <c r="SVF120" s="65"/>
      <c r="SVG120" s="65"/>
      <c r="SVH120" s="65"/>
      <c r="SVI120" s="65"/>
      <c r="SVJ120" s="65"/>
      <c r="SVK120" s="65"/>
      <c r="SVL120" s="65"/>
      <c r="SVM120" s="65"/>
      <c r="SVN120" s="65"/>
      <c r="SVO120" s="65"/>
      <c r="SVP120" s="65"/>
      <c r="SVQ120" s="65"/>
      <c r="SVR120" s="65"/>
      <c r="SVS120" s="65"/>
      <c r="SVT120" s="65"/>
      <c r="SVU120" s="65"/>
      <c r="SVV120" s="65"/>
      <c r="SVW120" s="65"/>
      <c r="SVX120" s="65"/>
      <c r="SVY120" s="65"/>
      <c r="SVZ120" s="65"/>
      <c r="SWA120" s="65"/>
      <c r="SWB120" s="65"/>
      <c r="SWC120" s="65"/>
      <c r="SWD120" s="65"/>
      <c r="SWE120" s="65"/>
      <c r="SWF120" s="65"/>
      <c r="SWG120" s="65"/>
      <c r="SWH120" s="65"/>
      <c r="SWI120" s="65"/>
      <c r="SWJ120" s="65"/>
      <c r="SWK120" s="65"/>
      <c r="SWL120" s="65"/>
      <c r="SWM120" s="65"/>
      <c r="SWN120" s="65"/>
      <c r="SWO120" s="65"/>
      <c r="SWP120" s="65"/>
      <c r="SWQ120" s="65"/>
      <c r="SWR120" s="65"/>
      <c r="SWS120" s="65"/>
      <c r="SWT120" s="65"/>
      <c r="SWU120" s="65"/>
      <c r="SWV120" s="65"/>
      <c r="SWW120" s="65"/>
      <c r="SWX120" s="65"/>
      <c r="SWY120" s="65"/>
      <c r="SWZ120" s="65"/>
      <c r="SXA120" s="65"/>
      <c r="SXB120" s="65"/>
      <c r="SXC120" s="65"/>
      <c r="SXD120" s="65"/>
      <c r="SXE120" s="65"/>
      <c r="SXF120" s="65"/>
      <c r="SXG120" s="65"/>
      <c r="SXH120" s="65"/>
      <c r="SXI120" s="65"/>
      <c r="SXJ120" s="65"/>
      <c r="SXK120" s="65"/>
      <c r="SXL120" s="65"/>
      <c r="SXM120" s="65"/>
      <c r="SXN120" s="65"/>
      <c r="SXO120" s="65"/>
      <c r="SXP120" s="65"/>
      <c r="SXQ120" s="65"/>
      <c r="SXR120" s="65"/>
      <c r="SXS120" s="65"/>
      <c r="SXT120" s="65"/>
      <c r="SXU120" s="65"/>
      <c r="SXV120" s="65"/>
      <c r="SXW120" s="65"/>
      <c r="SXX120" s="65"/>
      <c r="SXY120" s="65"/>
      <c r="SXZ120" s="65"/>
      <c r="SYA120" s="65"/>
      <c r="SYB120" s="65"/>
      <c r="SYC120" s="65"/>
      <c r="SYD120" s="65"/>
      <c r="SYE120" s="65"/>
      <c r="SYF120" s="65"/>
      <c r="SYG120" s="65"/>
      <c r="SYH120" s="65"/>
      <c r="SYI120" s="65"/>
      <c r="SYJ120" s="65"/>
      <c r="SYK120" s="65"/>
      <c r="SYL120" s="65"/>
      <c r="SYM120" s="65"/>
      <c r="SYN120" s="65"/>
      <c r="SYO120" s="65"/>
      <c r="SYP120" s="65"/>
      <c r="SYQ120" s="65"/>
      <c r="SYR120" s="65"/>
      <c r="SYS120" s="65"/>
      <c r="SYT120" s="65"/>
      <c r="SYU120" s="65"/>
      <c r="SYV120" s="65"/>
      <c r="SYW120" s="65"/>
      <c r="SYX120" s="65"/>
      <c r="SYY120" s="65"/>
      <c r="SYZ120" s="65"/>
      <c r="SZA120" s="65"/>
      <c r="SZB120" s="65"/>
      <c r="SZC120" s="65"/>
      <c r="SZD120" s="65"/>
      <c r="SZE120" s="65"/>
      <c r="SZF120" s="65"/>
      <c r="SZG120" s="65"/>
      <c r="SZH120" s="65"/>
      <c r="SZI120" s="65"/>
      <c r="SZJ120" s="65"/>
      <c r="SZK120" s="65"/>
      <c r="SZL120" s="65"/>
      <c r="SZM120" s="65"/>
      <c r="SZN120" s="65"/>
      <c r="SZO120" s="65"/>
      <c r="SZP120" s="65"/>
      <c r="SZQ120" s="65"/>
      <c r="SZR120" s="65"/>
      <c r="SZS120" s="65"/>
      <c r="SZT120" s="65"/>
      <c r="SZU120" s="65"/>
      <c r="SZV120" s="65"/>
      <c r="SZW120" s="65"/>
      <c r="SZX120" s="65"/>
      <c r="SZY120" s="65"/>
      <c r="SZZ120" s="65"/>
      <c r="TAA120" s="65"/>
      <c r="TAB120" s="65"/>
      <c r="TAC120" s="65"/>
      <c r="TAD120" s="65"/>
      <c r="TAE120" s="65"/>
      <c r="TAF120" s="65"/>
      <c r="TAG120" s="65"/>
      <c r="TAH120" s="65"/>
      <c r="TAI120" s="65"/>
      <c r="TAJ120" s="65"/>
      <c r="TAK120" s="65"/>
      <c r="TAL120" s="65"/>
      <c r="TAM120" s="65"/>
      <c r="TAN120" s="65"/>
      <c r="TAO120" s="65"/>
      <c r="TAP120" s="65"/>
      <c r="TAQ120" s="65"/>
      <c r="TAR120" s="65"/>
      <c r="TAS120" s="65"/>
      <c r="TAT120" s="65"/>
      <c r="TAU120" s="65"/>
      <c r="TAV120" s="65"/>
      <c r="TAW120" s="65"/>
      <c r="TAX120" s="65"/>
      <c r="TAY120" s="65"/>
      <c r="TAZ120" s="65"/>
      <c r="TBA120" s="65"/>
      <c r="TBB120" s="65"/>
      <c r="TBC120" s="65"/>
      <c r="TBD120" s="65"/>
      <c r="TBE120" s="65"/>
      <c r="TBF120" s="65"/>
      <c r="TBG120" s="65"/>
      <c r="TBH120" s="65"/>
      <c r="TBI120" s="65"/>
      <c r="TBJ120" s="65"/>
      <c r="TBK120" s="65"/>
      <c r="TBL120" s="65"/>
      <c r="TBM120" s="65"/>
      <c r="TBN120" s="65"/>
      <c r="TBO120" s="65"/>
      <c r="TBP120" s="65"/>
      <c r="TBQ120" s="65"/>
      <c r="TBR120" s="65"/>
      <c r="TBS120" s="65"/>
      <c r="TBT120" s="65"/>
      <c r="TBU120" s="65"/>
      <c r="TBV120" s="65"/>
      <c r="TBW120" s="65"/>
      <c r="TBX120" s="65"/>
      <c r="TBY120" s="65"/>
      <c r="TBZ120" s="65"/>
      <c r="TCA120" s="65"/>
      <c r="TCB120" s="65"/>
      <c r="TCC120" s="65"/>
      <c r="TCD120" s="65"/>
      <c r="TCE120" s="65"/>
      <c r="TCF120" s="65"/>
      <c r="TCG120" s="65"/>
      <c r="TCH120" s="65"/>
      <c r="TCI120" s="65"/>
      <c r="TCJ120" s="65"/>
      <c r="TCK120" s="65"/>
      <c r="TCL120" s="65"/>
      <c r="TCM120" s="65"/>
      <c r="TCN120" s="65"/>
      <c r="TCO120" s="65"/>
      <c r="TCP120" s="65"/>
      <c r="TCQ120" s="65"/>
      <c r="TCR120" s="65"/>
      <c r="TCS120" s="65"/>
      <c r="TCT120" s="65"/>
      <c r="TCU120" s="65"/>
      <c r="TCV120" s="65"/>
      <c r="TCW120" s="65"/>
      <c r="TCX120" s="65"/>
      <c r="TCY120" s="65"/>
      <c r="TCZ120" s="65"/>
      <c r="TDA120" s="65"/>
      <c r="TDB120" s="65"/>
      <c r="TDC120" s="65"/>
      <c r="TDD120" s="65"/>
      <c r="TDE120" s="65"/>
      <c r="TDF120" s="65"/>
      <c r="TDG120" s="65"/>
      <c r="TDH120" s="65"/>
      <c r="TDI120" s="65"/>
      <c r="TDJ120" s="65"/>
      <c r="TDK120" s="65"/>
      <c r="TDL120" s="65"/>
      <c r="TDM120" s="65"/>
      <c r="TDN120" s="65"/>
      <c r="TDO120" s="65"/>
      <c r="TDP120" s="65"/>
      <c r="TDQ120" s="65"/>
      <c r="TDR120" s="65"/>
      <c r="TDS120" s="65"/>
      <c r="TDT120" s="65"/>
      <c r="TDU120" s="65"/>
      <c r="TDV120" s="65"/>
      <c r="TDW120" s="65"/>
      <c r="TDX120" s="65"/>
      <c r="TDY120" s="65"/>
      <c r="TDZ120" s="65"/>
      <c r="TEA120" s="65"/>
      <c r="TEB120" s="65"/>
      <c r="TEC120" s="65"/>
      <c r="TED120" s="65"/>
      <c r="TEE120" s="65"/>
      <c r="TEF120" s="65"/>
      <c r="TEG120" s="65"/>
      <c r="TEH120" s="65"/>
      <c r="TEI120" s="65"/>
      <c r="TEJ120" s="65"/>
      <c r="TEK120" s="65"/>
      <c r="TEL120" s="65"/>
      <c r="TEM120" s="65"/>
      <c r="TEN120" s="65"/>
      <c r="TEO120" s="65"/>
      <c r="TEP120" s="65"/>
      <c r="TEQ120" s="65"/>
      <c r="TER120" s="65"/>
      <c r="TES120" s="65"/>
      <c r="TET120" s="65"/>
      <c r="TEU120" s="65"/>
      <c r="TEV120" s="65"/>
      <c r="TEW120" s="65"/>
      <c r="TEX120" s="65"/>
      <c r="TEY120" s="65"/>
      <c r="TEZ120" s="65"/>
      <c r="TFA120" s="65"/>
      <c r="TFB120" s="65"/>
      <c r="TFC120" s="65"/>
      <c r="TFD120" s="65"/>
      <c r="TFE120" s="65"/>
      <c r="TFF120" s="65"/>
      <c r="TFG120" s="65"/>
      <c r="TFH120" s="65"/>
      <c r="TFI120" s="65"/>
      <c r="TFJ120" s="65"/>
      <c r="TFK120" s="65"/>
      <c r="TFL120" s="65"/>
      <c r="TFM120" s="65"/>
      <c r="TFN120" s="65"/>
      <c r="TFO120" s="65"/>
      <c r="TFP120" s="65"/>
      <c r="TFQ120" s="65"/>
      <c r="TFR120" s="65"/>
      <c r="TFS120" s="65"/>
      <c r="TFT120" s="65"/>
      <c r="TFU120" s="65"/>
      <c r="TFV120" s="65"/>
      <c r="TFW120" s="65"/>
      <c r="TFX120" s="65"/>
      <c r="TFY120" s="65"/>
      <c r="TFZ120" s="65"/>
      <c r="TGA120" s="65"/>
      <c r="TGB120" s="65"/>
      <c r="TGC120" s="65"/>
      <c r="TGD120" s="65"/>
      <c r="TGE120" s="65"/>
      <c r="TGF120" s="65"/>
      <c r="TGG120" s="65"/>
      <c r="TGH120" s="65"/>
      <c r="TGI120" s="65"/>
      <c r="TGJ120" s="65"/>
      <c r="TGK120" s="65"/>
      <c r="TGL120" s="65"/>
      <c r="TGM120" s="65"/>
      <c r="TGN120" s="65"/>
      <c r="TGO120" s="65"/>
      <c r="TGP120" s="65"/>
      <c r="TGQ120" s="65"/>
      <c r="TGR120" s="65"/>
      <c r="TGS120" s="65"/>
      <c r="TGT120" s="65"/>
      <c r="TGU120" s="65"/>
      <c r="TGV120" s="65"/>
      <c r="TGW120" s="65"/>
      <c r="TGX120" s="65"/>
      <c r="TGY120" s="65"/>
      <c r="TGZ120" s="65"/>
      <c r="THA120" s="65"/>
      <c r="THB120" s="65"/>
      <c r="THC120" s="65"/>
      <c r="THD120" s="65"/>
      <c r="THE120" s="65"/>
      <c r="THF120" s="65"/>
      <c r="THG120" s="65"/>
      <c r="THH120" s="65"/>
      <c r="THI120" s="65"/>
      <c r="THJ120" s="65"/>
      <c r="THK120" s="65"/>
      <c r="THL120" s="65"/>
      <c r="THM120" s="65"/>
      <c r="THN120" s="65"/>
      <c r="THO120" s="65"/>
      <c r="THP120" s="65"/>
      <c r="THQ120" s="65"/>
      <c r="THR120" s="65"/>
      <c r="THS120" s="65"/>
      <c r="THT120" s="65"/>
      <c r="THU120" s="65"/>
      <c r="THV120" s="65"/>
      <c r="THW120" s="65"/>
      <c r="THX120" s="65"/>
      <c r="THY120" s="65"/>
      <c r="THZ120" s="65"/>
      <c r="TIA120" s="65"/>
      <c r="TIB120" s="65"/>
      <c r="TIC120" s="65"/>
      <c r="TID120" s="65"/>
      <c r="TIE120" s="65"/>
      <c r="TIF120" s="65"/>
      <c r="TIG120" s="65"/>
      <c r="TIH120" s="65"/>
      <c r="TII120" s="65"/>
      <c r="TIJ120" s="65"/>
      <c r="TIK120" s="65"/>
      <c r="TIL120" s="65"/>
      <c r="TIM120" s="65"/>
      <c r="TIN120" s="65"/>
      <c r="TIO120" s="65"/>
      <c r="TIP120" s="65"/>
      <c r="TIQ120" s="65"/>
      <c r="TIR120" s="65"/>
      <c r="TIS120" s="65"/>
      <c r="TIT120" s="65"/>
      <c r="TIU120" s="65"/>
      <c r="TIV120" s="65"/>
      <c r="TIW120" s="65"/>
      <c r="TIX120" s="65"/>
      <c r="TIY120" s="65"/>
      <c r="TIZ120" s="65"/>
      <c r="TJA120" s="65"/>
      <c r="TJB120" s="65"/>
      <c r="TJC120" s="65"/>
      <c r="TJD120" s="65"/>
      <c r="TJE120" s="65"/>
      <c r="TJF120" s="65"/>
      <c r="TJG120" s="65"/>
      <c r="TJH120" s="65"/>
      <c r="TJI120" s="65"/>
      <c r="TJJ120" s="65"/>
      <c r="TJK120" s="65"/>
      <c r="TJL120" s="65"/>
      <c r="TJM120" s="65"/>
      <c r="TJN120" s="65"/>
      <c r="TJO120" s="65"/>
      <c r="TJP120" s="65"/>
      <c r="TJQ120" s="65"/>
      <c r="TJR120" s="65"/>
      <c r="TJS120" s="65"/>
      <c r="TJT120" s="65"/>
      <c r="TJU120" s="65"/>
      <c r="TJV120" s="65"/>
      <c r="TJW120" s="65"/>
      <c r="TJX120" s="65"/>
      <c r="TJY120" s="65"/>
      <c r="TJZ120" s="65"/>
      <c r="TKA120" s="65"/>
      <c r="TKB120" s="65"/>
      <c r="TKC120" s="65"/>
      <c r="TKD120" s="65"/>
      <c r="TKE120" s="65"/>
      <c r="TKF120" s="65"/>
      <c r="TKG120" s="65"/>
      <c r="TKH120" s="65"/>
      <c r="TKI120" s="65"/>
      <c r="TKJ120" s="65"/>
      <c r="TKK120" s="65"/>
      <c r="TKL120" s="65"/>
      <c r="TKM120" s="65"/>
      <c r="TKN120" s="65"/>
      <c r="TKO120" s="65"/>
      <c r="TKP120" s="65"/>
      <c r="TKQ120" s="65"/>
      <c r="TKR120" s="65"/>
      <c r="TKS120" s="65"/>
      <c r="TKT120" s="65"/>
      <c r="TKU120" s="65"/>
      <c r="TKV120" s="65"/>
      <c r="TKW120" s="65"/>
      <c r="TKX120" s="65"/>
      <c r="TKY120" s="65"/>
      <c r="TKZ120" s="65"/>
      <c r="TLA120" s="65"/>
      <c r="TLB120" s="65"/>
      <c r="TLC120" s="65"/>
      <c r="TLD120" s="65"/>
      <c r="TLE120" s="65"/>
      <c r="TLF120" s="65"/>
      <c r="TLG120" s="65"/>
      <c r="TLH120" s="65"/>
      <c r="TLI120" s="65"/>
      <c r="TLJ120" s="65"/>
      <c r="TLK120" s="65"/>
      <c r="TLL120" s="65"/>
      <c r="TLM120" s="65"/>
      <c r="TLN120" s="65"/>
      <c r="TLO120" s="65"/>
      <c r="TLP120" s="65"/>
      <c r="TLQ120" s="65"/>
      <c r="TLR120" s="65"/>
      <c r="TLS120" s="65"/>
      <c r="TLT120" s="65"/>
      <c r="TLU120" s="65"/>
      <c r="TLV120" s="65"/>
      <c r="TLW120" s="65"/>
      <c r="TLX120" s="65"/>
      <c r="TLY120" s="65"/>
      <c r="TLZ120" s="65"/>
      <c r="TMA120" s="65"/>
      <c r="TMB120" s="65"/>
      <c r="TMC120" s="65"/>
      <c r="TMD120" s="65"/>
      <c r="TME120" s="65"/>
      <c r="TMF120" s="65"/>
      <c r="TMG120" s="65"/>
      <c r="TMH120" s="65"/>
      <c r="TMI120" s="65"/>
      <c r="TMJ120" s="65"/>
      <c r="TMK120" s="65"/>
      <c r="TML120" s="65"/>
      <c r="TMM120" s="65"/>
      <c r="TMN120" s="65"/>
      <c r="TMO120" s="65"/>
      <c r="TMP120" s="65"/>
      <c r="TMQ120" s="65"/>
      <c r="TMR120" s="65"/>
      <c r="TMS120" s="65"/>
      <c r="TMT120" s="65"/>
      <c r="TMU120" s="65"/>
      <c r="TMV120" s="65"/>
      <c r="TMW120" s="65"/>
      <c r="TMX120" s="65"/>
      <c r="TMY120" s="65"/>
      <c r="TMZ120" s="65"/>
      <c r="TNA120" s="65"/>
      <c r="TNB120" s="65"/>
      <c r="TNC120" s="65"/>
      <c r="TND120" s="65"/>
      <c r="TNE120" s="65"/>
      <c r="TNF120" s="65"/>
      <c r="TNG120" s="65"/>
      <c r="TNH120" s="65"/>
      <c r="TNI120" s="65"/>
      <c r="TNJ120" s="65"/>
      <c r="TNK120" s="65"/>
      <c r="TNL120" s="65"/>
      <c r="TNM120" s="65"/>
      <c r="TNN120" s="65"/>
      <c r="TNO120" s="65"/>
      <c r="TNP120" s="65"/>
      <c r="TNQ120" s="65"/>
      <c r="TNR120" s="65"/>
      <c r="TNS120" s="65"/>
      <c r="TNT120" s="65"/>
      <c r="TNU120" s="65"/>
      <c r="TNV120" s="65"/>
      <c r="TNW120" s="65"/>
      <c r="TNX120" s="65"/>
      <c r="TNY120" s="65"/>
      <c r="TNZ120" s="65"/>
      <c r="TOA120" s="65"/>
      <c r="TOB120" s="65"/>
      <c r="TOC120" s="65"/>
      <c r="TOD120" s="65"/>
      <c r="TOE120" s="65"/>
      <c r="TOF120" s="65"/>
      <c r="TOG120" s="65"/>
      <c r="TOH120" s="65"/>
      <c r="TOI120" s="65"/>
      <c r="TOJ120" s="65"/>
      <c r="TOK120" s="65"/>
      <c r="TOL120" s="65"/>
      <c r="TOM120" s="65"/>
      <c r="TON120" s="65"/>
      <c r="TOO120" s="65"/>
      <c r="TOP120" s="65"/>
      <c r="TOQ120" s="65"/>
      <c r="TOR120" s="65"/>
      <c r="TOS120" s="65"/>
      <c r="TOT120" s="65"/>
      <c r="TOU120" s="65"/>
      <c r="TOV120" s="65"/>
      <c r="TOW120" s="65"/>
      <c r="TOX120" s="65"/>
      <c r="TOY120" s="65"/>
      <c r="TOZ120" s="65"/>
      <c r="TPA120" s="65"/>
      <c r="TPB120" s="65"/>
      <c r="TPC120" s="65"/>
      <c r="TPD120" s="65"/>
      <c r="TPE120" s="65"/>
      <c r="TPF120" s="65"/>
      <c r="TPG120" s="65"/>
      <c r="TPH120" s="65"/>
      <c r="TPI120" s="65"/>
      <c r="TPJ120" s="65"/>
      <c r="TPK120" s="65"/>
      <c r="TPL120" s="65"/>
      <c r="TPM120" s="65"/>
      <c r="TPN120" s="65"/>
      <c r="TPO120" s="65"/>
      <c r="TPP120" s="65"/>
      <c r="TPQ120" s="65"/>
      <c r="TPR120" s="65"/>
      <c r="TPS120" s="65"/>
      <c r="TPT120" s="65"/>
      <c r="TPU120" s="65"/>
      <c r="TPV120" s="65"/>
      <c r="TPW120" s="65"/>
      <c r="TPX120" s="65"/>
      <c r="TPY120" s="65"/>
      <c r="TPZ120" s="65"/>
      <c r="TQA120" s="65"/>
      <c r="TQB120" s="65"/>
      <c r="TQC120" s="65"/>
      <c r="TQD120" s="65"/>
      <c r="TQE120" s="65"/>
      <c r="TQF120" s="65"/>
      <c r="TQG120" s="65"/>
      <c r="TQH120" s="65"/>
      <c r="TQI120" s="65"/>
      <c r="TQJ120" s="65"/>
      <c r="TQK120" s="65"/>
      <c r="TQL120" s="65"/>
      <c r="TQM120" s="65"/>
      <c r="TQN120" s="65"/>
      <c r="TQO120" s="65"/>
      <c r="TQP120" s="65"/>
      <c r="TQQ120" s="65"/>
      <c r="TQR120" s="65"/>
      <c r="TQS120" s="65"/>
      <c r="TQT120" s="65"/>
      <c r="TQU120" s="65"/>
      <c r="TQV120" s="65"/>
      <c r="TQW120" s="65"/>
      <c r="TQX120" s="65"/>
      <c r="TQY120" s="65"/>
      <c r="TQZ120" s="65"/>
      <c r="TRA120" s="65"/>
      <c r="TRB120" s="65"/>
      <c r="TRC120" s="65"/>
      <c r="TRD120" s="65"/>
      <c r="TRE120" s="65"/>
      <c r="TRF120" s="65"/>
      <c r="TRG120" s="65"/>
      <c r="TRH120" s="65"/>
      <c r="TRI120" s="65"/>
      <c r="TRJ120" s="65"/>
      <c r="TRK120" s="65"/>
      <c r="TRL120" s="65"/>
      <c r="TRM120" s="65"/>
      <c r="TRN120" s="65"/>
      <c r="TRO120" s="65"/>
      <c r="TRP120" s="65"/>
      <c r="TRQ120" s="65"/>
      <c r="TRR120" s="65"/>
      <c r="TRS120" s="65"/>
      <c r="TRT120" s="65"/>
      <c r="TRU120" s="65"/>
      <c r="TRV120" s="65"/>
      <c r="TRW120" s="65"/>
      <c r="TRX120" s="65"/>
      <c r="TRY120" s="65"/>
      <c r="TRZ120" s="65"/>
      <c r="TSA120" s="65"/>
      <c r="TSB120" s="65"/>
      <c r="TSC120" s="65"/>
      <c r="TSD120" s="65"/>
      <c r="TSE120" s="65"/>
      <c r="TSF120" s="65"/>
      <c r="TSG120" s="65"/>
      <c r="TSH120" s="65"/>
      <c r="TSI120" s="65"/>
      <c r="TSJ120" s="65"/>
      <c r="TSK120" s="65"/>
      <c r="TSL120" s="65"/>
      <c r="TSM120" s="65"/>
      <c r="TSN120" s="65"/>
      <c r="TSO120" s="65"/>
      <c r="TSP120" s="65"/>
      <c r="TSQ120" s="65"/>
      <c r="TSR120" s="65"/>
      <c r="TSS120" s="65"/>
      <c r="TST120" s="65"/>
      <c r="TSU120" s="65"/>
      <c r="TSV120" s="65"/>
      <c r="TSW120" s="65"/>
      <c r="TSX120" s="65"/>
      <c r="TSY120" s="65"/>
      <c r="TSZ120" s="65"/>
      <c r="TTA120" s="65"/>
      <c r="TTB120" s="65"/>
      <c r="TTC120" s="65"/>
      <c r="TTD120" s="65"/>
      <c r="TTE120" s="65"/>
      <c r="TTF120" s="65"/>
      <c r="TTG120" s="65"/>
      <c r="TTH120" s="65"/>
      <c r="TTI120" s="65"/>
      <c r="TTJ120" s="65"/>
      <c r="TTK120" s="65"/>
      <c r="TTL120" s="65"/>
      <c r="TTM120" s="65"/>
      <c r="TTN120" s="65"/>
      <c r="TTO120" s="65"/>
      <c r="TTP120" s="65"/>
      <c r="TTQ120" s="65"/>
      <c r="TTR120" s="65"/>
      <c r="TTS120" s="65"/>
      <c r="TTT120" s="65"/>
      <c r="TTU120" s="65"/>
      <c r="TTV120" s="65"/>
      <c r="TTW120" s="65"/>
      <c r="TTX120" s="65"/>
      <c r="TTY120" s="65"/>
      <c r="TTZ120" s="65"/>
      <c r="TUA120" s="65"/>
      <c r="TUB120" s="65"/>
      <c r="TUC120" s="65"/>
      <c r="TUD120" s="65"/>
      <c r="TUE120" s="65"/>
      <c r="TUF120" s="65"/>
      <c r="TUG120" s="65"/>
      <c r="TUH120" s="65"/>
      <c r="TUI120" s="65"/>
      <c r="TUJ120" s="65"/>
      <c r="TUK120" s="65"/>
      <c r="TUL120" s="65"/>
      <c r="TUM120" s="65"/>
      <c r="TUN120" s="65"/>
      <c r="TUO120" s="65"/>
      <c r="TUP120" s="65"/>
      <c r="TUQ120" s="65"/>
      <c r="TUR120" s="65"/>
      <c r="TUS120" s="65"/>
      <c r="TUT120" s="65"/>
      <c r="TUU120" s="65"/>
      <c r="TUV120" s="65"/>
      <c r="TUW120" s="65"/>
      <c r="TUX120" s="65"/>
      <c r="TUY120" s="65"/>
      <c r="TUZ120" s="65"/>
      <c r="TVA120" s="65"/>
      <c r="TVB120" s="65"/>
      <c r="TVC120" s="65"/>
      <c r="TVD120" s="65"/>
      <c r="TVE120" s="65"/>
      <c r="TVF120" s="65"/>
      <c r="TVG120" s="65"/>
      <c r="TVH120" s="65"/>
      <c r="TVI120" s="65"/>
      <c r="TVJ120" s="65"/>
      <c r="TVK120" s="65"/>
      <c r="TVL120" s="65"/>
      <c r="TVM120" s="65"/>
      <c r="TVN120" s="65"/>
      <c r="TVO120" s="65"/>
      <c r="TVP120" s="65"/>
      <c r="TVQ120" s="65"/>
      <c r="TVR120" s="65"/>
      <c r="TVS120" s="65"/>
      <c r="TVT120" s="65"/>
      <c r="TVU120" s="65"/>
      <c r="TVV120" s="65"/>
      <c r="TVW120" s="65"/>
      <c r="TVX120" s="65"/>
      <c r="TVY120" s="65"/>
      <c r="TVZ120" s="65"/>
      <c r="TWA120" s="65"/>
      <c r="TWB120" s="65"/>
      <c r="TWC120" s="65"/>
      <c r="TWD120" s="65"/>
      <c r="TWE120" s="65"/>
      <c r="TWF120" s="65"/>
      <c r="TWG120" s="65"/>
      <c r="TWH120" s="65"/>
      <c r="TWI120" s="65"/>
      <c r="TWJ120" s="65"/>
      <c r="TWK120" s="65"/>
      <c r="TWL120" s="65"/>
      <c r="TWM120" s="65"/>
      <c r="TWN120" s="65"/>
      <c r="TWO120" s="65"/>
      <c r="TWP120" s="65"/>
      <c r="TWQ120" s="65"/>
      <c r="TWR120" s="65"/>
      <c r="TWS120" s="65"/>
      <c r="TWT120" s="65"/>
      <c r="TWU120" s="65"/>
      <c r="TWV120" s="65"/>
      <c r="TWW120" s="65"/>
      <c r="TWX120" s="65"/>
      <c r="TWY120" s="65"/>
      <c r="TWZ120" s="65"/>
      <c r="TXA120" s="65"/>
      <c r="TXB120" s="65"/>
      <c r="TXC120" s="65"/>
      <c r="TXD120" s="65"/>
      <c r="TXE120" s="65"/>
      <c r="TXF120" s="65"/>
      <c r="TXG120" s="65"/>
      <c r="TXH120" s="65"/>
      <c r="TXI120" s="65"/>
      <c r="TXJ120" s="65"/>
      <c r="TXK120" s="65"/>
      <c r="TXL120" s="65"/>
      <c r="TXM120" s="65"/>
      <c r="TXN120" s="65"/>
      <c r="TXO120" s="65"/>
      <c r="TXP120" s="65"/>
      <c r="TXQ120" s="65"/>
      <c r="TXR120" s="65"/>
      <c r="TXS120" s="65"/>
      <c r="TXT120" s="65"/>
      <c r="TXU120" s="65"/>
      <c r="TXV120" s="65"/>
      <c r="TXW120" s="65"/>
      <c r="TXX120" s="65"/>
      <c r="TXY120" s="65"/>
      <c r="TXZ120" s="65"/>
      <c r="TYA120" s="65"/>
      <c r="TYB120" s="65"/>
      <c r="TYC120" s="65"/>
      <c r="TYD120" s="65"/>
      <c r="TYE120" s="65"/>
      <c r="TYF120" s="65"/>
      <c r="TYG120" s="65"/>
      <c r="TYH120" s="65"/>
      <c r="TYI120" s="65"/>
      <c r="TYJ120" s="65"/>
      <c r="TYK120" s="65"/>
      <c r="TYL120" s="65"/>
      <c r="TYM120" s="65"/>
      <c r="TYN120" s="65"/>
      <c r="TYO120" s="65"/>
      <c r="TYP120" s="65"/>
      <c r="TYQ120" s="65"/>
      <c r="TYR120" s="65"/>
      <c r="TYS120" s="65"/>
      <c r="TYT120" s="65"/>
      <c r="TYU120" s="65"/>
      <c r="TYV120" s="65"/>
      <c r="TYW120" s="65"/>
      <c r="TYX120" s="65"/>
      <c r="TYY120" s="65"/>
      <c r="TYZ120" s="65"/>
      <c r="TZA120" s="65"/>
      <c r="TZB120" s="65"/>
      <c r="TZC120" s="65"/>
      <c r="TZD120" s="65"/>
      <c r="TZE120" s="65"/>
      <c r="TZF120" s="65"/>
      <c r="TZG120" s="65"/>
      <c r="TZH120" s="65"/>
      <c r="TZI120" s="65"/>
      <c r="TZJ120" s="65"/>
      <c r="TZK120" s="65"/>
      <c r="TZL120" s="65"/>
      <c r="TZM120" s="65"/>
      <c r="TZN120" s="65"/>
      <c r="TZO120" s="65"/>
      <c r="TZP120" s="65"/>
      <c r="TZQ120" s="65"/>
      <c r="TZR120" s="65"/>
      <c r="TZS120" s="65"/>
      <c r="TZT120" s="65"/>
      <c r="TZU120" s="65"/>
      <c r="TZV120" s="65"/>
      <c r="TZW120" s="65"/>
      <c r="TZX120" s="65"/>
      <c r="TZY120" s="65"/>
      <c r="TZZ120" s="65"/>
      <c r="UAA120" s="65"/>
      <c r="UAB120" s="65"/>
      <c r="UAC120" s="65"/>
      <c r="UAD120" s="65"/>
      <c r="UAE120" s="65"/>
      <c r="UAF120" s="65"/>
      <c r="UAG120" s="65"/>
      <c r="UAH120" s="65"/>
      <c r="UAI120" s="65"/>
      <c r="UAJ120" s="65"/>
      <c r="UAK120" s="65"/>
      <c r="UAL120" s="65"/>
      <c r="UAM120" s="65"/>
      <c r="UAN120" s="65"/>
      <c r="UAO120" s="65"/>
      <c r="UAP120" s="65"/>
      <c r="UAQ120" s="65"/>
      <c r="UAR120" s="65"/>
      <c r="UAS120" s="65"/>
      <c r="UAT120" s="65"/>
      <c r="UAU120" s="65"/>
      <c r="UAV120" s="65"/>
      <c r="UAW120" s="65"/>
      <c r="UAX120" s="65"/>
      <c r="UAY120" s="65"/>
      <c r="UAZ120" s="65"/>
      <c r="UBA120" s="65"/>
      <c r="UBB120" s="65"/>
      <c r="UBC120" s="65"/>
      <c r="UBD120" s="65"/>
      <c r="UBE120" s="65"/>
      <c r="UBF120" s="65"/>
      <c r="UBG120" s="65"/>
      <c r="UBH120" s="65"/>
      <c r="UBI120" s="65"/>
      <c r="UBJ120" s="65"/>
      <c r="UBK120" s="65"/>
      <c r="UBL120" s="65"/>
      <c r="UBM120" s="65"/>
      <c r="UBN120" s="65"/>
      <c r="UBO120" s="65"/>
      <c r="UBP120" s="65"/>
      <c r="UBQ120" s="65"/>
      <c r="UBR120" s="65"/>
      <c r="UBS120" s="65"/>
      <c r="UBT120" s="65"/>
      <c r="UBU120" s="65"/>
      <c r="UBV120" s="65"/>
      <c r="UBW120" s="65"/>
      <c r="UBX120" s="65"/>
      <c r="UBY120" s="65"/>
      <c r="UBZ120" s="65"/>
      <c r="UCA120" s="65"/>
      <c r="UCB120" s="65"/>
      <c r="UCC120" s="65"/>
      <c r="UCD120" s="65"/>
      <c r="UCE120" s="65"/>
      <c r="UCF120" s="65"/>
      <c r="UCG120" s="65"/>
      <c r="UCH120" s="65"/>
      <c r="UCI120" s="65"/>
      <c r="UCJ120" s="65"/>
      <c r="UCK120" s="65"/>
      <c r="UCL120" s="65"/>
      <c r="UCM120" s="65"/>
      <c r="UCN120" s="65"/>
      <c r="UCO120" s="65"/>
      <c r="UCP120" s="65"/>
      <c r="UCQ120" s="65"/>
      <c r="UCR120" s="65"/>
      <c r="UCS120" s="65"/>
      <c r="UCT120" s="65"/>
      <c r="UCU120" s="65"/>
      <c r="UCV120" s="65"/>
      <c r="UCW120" s="65"/>
      <c r="UCX120" s="65"/>
      <c r="UCY120" s="65"/>
      <c r="UCZ120" s="65"/>
      <c r="UDA120" s="65"/>
      <c r="UDB120" s="65"/>
      <c r="UDC120" s="65"/>
      <c r="UDD120" s="65"/>
      <c r="UDE120" s="65"/>
      <c r="UDF120" s="65"/>
      <c r="UDG120" s="65"/>
      <c r="UDH120" s="65"/>
      <c r="UDI120" s="65"/>
      <c r="UDJ120" s="65"/>
      <c r="UDK120" s="65"/>
      <c r="UDL120" s="65"/>
      <c r="UDM120" s="65"/>
      <c r="UDN120" s="65"/>
      <c r="UDO120" s="65"/>
      <c r="UDP120" s="65"/>
      <c r="UDQ120" s="65"/>
      <c r="UDR120" s="65"/>
      <c r="UDS120" s="65"/>
      <c r="UDT120" s="65"/>
      <c r="UDU120" s="65"/>
      <c r="UDV120" s="65"/>
      <c r="UDW120" s="65"/>
      <c r="UDX120" s="65"/>
      <c r="UDY120" s="65"/>
      <c r="UDZ120" s="65"/>
      <c r="UEA120" s="65"/>
      <c r="UEB120" s="65"/>
      <c r="UEC120" s="65"/>
      <c r="UED120" s="65"/>
      <c r="UEE120" s="65"/>
      <c r="UEF120" s="65"/>
      <c r="UEG120" s="65"/>
      <c r="UEH120" s="65"/>
      <c r="UEI120" s="65"/>
      <c r="UEJ120" s="65"/>
      <c r="UEK120" s="65"/>
      <c r="UEL120" s="65"/>
      <c r="UEM120" s="65"/>
      <c r="UEN120" s="65"/>
      <c r="UEO120" s="65"/>
      <c r="UEP120" s="65"/>
      <c r="UEQ120" s="65"/>
      <c r="UER120" s="65"/>
      <c r="UES120" s="65"/>
      <c r="UET120" s="65"/>
      <c r="UEU120" s="65"/>
      <c r="UEV120" s="65"/>
      <c r="UEW120" s="65"/>
      <c r="UEX120" s="65"/>
      <c r="UEY120" s="65"/>
      <c r="UEZ120" s="65"/>
      <c r="UFA120" s="65"/>
      <c r="UFB120" s="65"/>
      <c r="UFC120" s="65"/>
      <c r="UFD120" s="65"/>
      <c r="UFE120" s="65"/>
      <c r="UFF120" s="65"/>
      <c r="UFG120" s="65"/>
      <c r="UFH120" s="65"/>
      <c r="UFI120" s="65"/>
      <c r="UFJ120" s="65"/>
      <c r="UFK120" s="65"/>
      <c r="UFL120" s="65"/>
      <c r="UFM120" s="65"/>
      <c r="UFN120" s="65"/>
      <c r="UFO120" s="65"/>
      <c r="UFP120" s="65"/>
      <c r="UFQ120" s="65"/>
      <c r="UFR120" s="65"/>
      <c r="UFS120" s="65"/>
      <c r="UFT120" s="65"/>
      <c r="UFU120" s="65"/>
      <c r="UFV120" s="65"/>
      <c r="UFW120" s="65"/>
      <c r="UFX120" s="65"/>
      <c r="UFY120" s="65"/>
      <c r="UFZ120" s="65"/>
      <c r="UGA120" s="65"/>
      <c r="UGB120" s="65"/>
      <c r="UGC120" s="65"/>
      <c r="UGD120" s="65"/>
      <c r="UGE120" s="65"/>
      <c r="UGF120" s="65"/>
      <c r="UGG120" s="65"/>
      <c r="UGH120" s="65"/>
      <c r="UGI120" s="65"/>
      <c r="UGJ120" s="65"/>
      <c r="UGK120" s="65"/>
      <c r="UGL120" s="65"/>
      <c r="UGM120" s="65"/>
      <c r="UGN120" s="65"/>
      <c r="UGO120" s="65"/>
      <c r="UGP120" s="65"/>
      <c r="UGQ120" s="65"/>
      <c r="UGR120" s="65"/>
      <c r="UGS120" s="65"/>
      <c r="UGT120" s="65"/>
      <c r="UGU120" s="65"/>
      <c r="UGV120" s="65"/>
      <c r="UGW120" s="65"/>
      <c r="UGX120" s="65"/>
      <c r="UGY120" s="65"/>
      <c r="UGZ120" s="65"/>
      <c r="UHA120" s="65"/>
      <c r="UHB120" s="65"/>
      <c r="UHC120" s="65"/>
      <c r="UHD120" s="65"/>
      <c r="UHE120" s="65"/>
      <c r="UHF120" s="65"/>
      <c r="UHG120" s="65"/>
      <c r="UHH120" s="65"/>
      <c r="UHI120" s="65"/>
      <c r="UHJ120" s="65"/>
      <c r="UHK120" s="65"/>
      <c r="UHL120" s="65"/>
      <c r="UHM120" s="65"/>
      <c r="UHN120" s="65"/>
      <c r="UHO120" s="65"/>
      <c r="UHP120" s="65"/>
      <c r="UHQ120" s="65"/>
      <c r="UHR120" s="65"/>
      <c r="UHS120" s="65"/>
      <c r="UHT120" s="65"/>
      <c r="UHU120" s="65"/>
      <c r="UHV120" s="65"/>
      <c r="UHW120" s="65"/>
      <c r="UHX120" s="65"/>
      <c r="UHY120" s="65"/>
      <c r="UHZ120" s="65"/>
      <c r="UIA120" s="65"/>
      <c r="UIB120" s="65"/>
      <c r="UIC120" s="65"/>
      <c r="UID120" s="65"/>
      <c r="UIE120" s="65"/>
      <c r="UIF120" s="65"/>
      <c r="UIG120" s="65"/>
      <c r="UIH120" s="65"/>
      <c r="UII120" s="65"/>
      <c r="UIJ120" s="65"/>
      <c r="UIK120" s="65"/>
      <c r="UIL120" s="65"/>
      <c r="UIM120" s="65"/>
      <c r="UIN120" s="65"/>
      <c r="UIO120" s="65"/>
      <c r="UIP120" s="65"/>
      <c r="UIQ120" s="65"/>
      <c r="UIR120" s="65"/>
      <c r="UIS120" s="65"/>
      <c r="UIT120" s="65"/>
      <c r="UIU120" s="65"/>
      <c r="UIV120" s="65"/>
      <c r="UIW120" s="65"/>
      <c r="UIX120" s="65"/>
      <c r="UIY120" s="65"/>
      <c r="UIZ120" s="65"/>
      <c r="UJA120" s="65"/>
      <c r="UJB120" s="65"/>
      <c r="UJC120" s="65"/>
      <c r="UJD120" s="65"/>
      <c r="UJE120" s="65"/>
      <c r="UJF120" s="65"/>
      <c r="UJG120" s="65"/>
      <c r="UJH120" s="65"/>
      <c r="UJI120" s="65"/>
      <c r="UJJ120" s="65"/>
      <c r="UJK120" s="65"/>
      <c r="UJL120" s="65"/>
      <c r="UJM120" s="65"/>
      <c r="UJN120" s="65"/>
      <c r="UJO120" s="65"/>
      <c r="UJP120" s="65"/>
      <c r="UJQ120" s="65"/>
      <c r="UJR120" s="65"/>
      <c r="UJS120" s="65"/>
      <c r="UJT120" s="65"/>
      <c r="UJU120" s="65"/>
      <c r="UJV120" s="65"/>
      <c r="UJW120" s="65"/>
      <c r="UJX120" s="65"/>
      <c r="UJY120" s="65"/>
      <c r="UJZ120" s="65"/>
      <c r="UKA120" s="65"/>
      <c r="UKB120" s="65"/>
      <c r="UKC120" s="65"/>
      <c r="UKD120" s="65"/>
      <c r="UKE120" s="65"/>
      <c r="UKF120" s="65"/>
      <c r="UKG120" s="65"/>
      <c r="UKH120" s="65"/>
      <c r="UKI120" s="65"/>
      <c r="UKJ120" s="65"/>
      <c r="UKK120" s="65"/>
      <c r="UKL120" s="65"/>
      <c r="UKM120" s="65"/>
      <c r="UKN120" s="65"/>
      <c r="UKO120" s="65"/>
      <c r="UKP120" s="65"/>
      <c r="UKQ120" s="65"/>
      <c r="UKR120" s="65"/>
      <c r="UKS120" s="65"/>
      <c r="UKT120" s="65"/>
      <c r="UKU120" s="65"/>
      <c r="UKV120" s="65"/>
      <c r="UKW120" s="65"/>
      <c r="UKX120" s="65"/>
      <c r="UKY120" s="65"/>
      <c r="UKZ120" s="65"/>
      <c r="ULA120" s="65"/>
      <c r="ULB120" s="65"/>
      <c r="ULC120" s="65"/>
      <c r="ULD120" s="65"/>
      <c r="ULE120" s="65"/>
      <c r="ULF120" s="65"/>
      <c r="ULG120" s="65"/>
      <c r="ULH120" s="65"/>
      <c r="ULI120" s="65"/>
      <c r="ULJ120" s="65"/>
      <c r="ULK120" s="65"/>
      <c r="ULL120" s="65"/>
      <c r="ULM120" s="65"/>
      <c r="ULN120" s="65"/>
      <c r="ULO120" s="65"/>
      <c r="ULP120" s="65"/>
      <c r="ULQ120" s="65"/>
      <c r="ULR120" s="65"/>
      <c r="ULS120" s="65"/>
      <c r="ULT120" s="65"/>
      <c r="ULU120" s="65"/>
      <c r="ULV120" s="65"/>
      <c r="ULW120" s="65"/>
      <c r="ULX120" s="65"/>
      <c r="ULY120" s="65"/>
      <c r="ULZ120" s="65"/>
      <c r="UMA120" s="65"/>
      <c r="UMB120" s="65"/>
      <c r="UMC120" s="65"/>
      <c r="UMD120" s="65"/>
      <c r="UME120" s="65"/>
      <c r="UMF120" s="65"/>
      <c r="UMG120" s="65"/>
      <c r="UMH120" s="65"/>
      <c r="UMI120" s="65"/>
      <c r="UMJ120" s="65"/>
      <c r="UMK120" s="65"/>
      <c r="UML120" s="65"/>
      <c r="UMM120" s="65"/>
      <c r="UMN120" s="65"/>
      <c r="UMO120" s="65"/>
      <c r="UMP120" s="65"/>
      <c r="UMQ120" s="65"/>
      <c r="UMR120" s="65"/>
      <c r="UMS120" s="65"/>
      <c r="UMT120" s="65"/>
      <c r="UMU120" s="65"/>
      <c r="UMV120" s="65"/>
      <c r="UMW120" s="65"/>
      <c r="UMX120" s="65"/>
      <c r="UMY120" s="65"/>
      <c r="UMZ120" s="65"/>
      <c r="UNA120" s="65"/>
      <c r="UNB120" s="65"/>
      <c r="UNC120" s="65"/>
      <c r="UND120" s="65"/>
      <c r="UNE120" s="65"/>
      <c r="UNF120" s="65"/>
      <c r="UNG120" s="65"/>
      <c r="UNH120" s="65"/>
      <c r="UNI120" s="65"/>
      <c r="UNJ120" s="65"/>
      <c r="UNK120" s="65"/>
      <c r="UNL120" s="65"/>
      <c r="UNM120" s="65"/>
      <c r="UNN120" s="65"/>
      <c r="UNO120" s="65"/>
      <c r="UNP120" s="65"/>
      <c r="UNQ120" s="65"/>
      <c r="UNR120" s="65"/>
      <c r="UNS120" s="65"/>
      <c r="UNT120" s="65"/>
      <c r="UNU120" s="65"/>
      <c r="UNV120" s="65"/>
      <c r="UNW120" s="65"/>
      <c r="UNX120" s="65"/>
      <c r="UNY120" s="65"/>
      <c r="UNZ120" s="65"/>
      <c r="UOA120" s="65"/>
      <c r="UOB120" s="65"/>
      <c r="UOC120" s="65"/>
      <c r="UOD120" s="65"/>
      <c r="UOE120" s="65"/>
      <c r="UOF120" s="65"/>
      <c r="UOG120" s="65"/>
      <c r="UOH120" s="65"/>
      <c r="UOI120" s="65"/>
      <c r="UOJ120" s="65"/>
      <c r="UOK120" s="65"/>
      <c r="UOL120" s="65"/>
      <c r="UOM120" s="65"/>
      <c r="UON120" s="65"/>
      <c r="UOO120" s="65"/>
      <c r="UOP120" s="65"/>
      <c r="UOQ120" s="65"/>
      <c r="UOR120" s="65"/>
      <c r="UOS120" s="65"/>
      <c r="UOT120" s="65"/>
      <c r="UOU120" s="65"/>
      <c r="UOV120" s="65"/>
      <c r="UOW120" s="65"/>
      <c r="UOX120" s="65"/>
      <c r="UOY120" s="65"/>
      <c r="UOZ120" s="65"/>
      <c r="UPA120" s="65"/>
      <c r="UPB120" s="65"/>
      <c r="UPC120" s="65"/>
      <c r="UPD120" s="65"/>
      <c r="UPE120" s="65"/>
      <c r="UPF120" s="65"/>
      <c r="UPG120" s="65"/>
      <c r="UPH120" s="65"/>
      <c r="UPI120" s="65"/>
      <c r="UPJ120" s="65"/>
      <c r="UPK120" s="65"/>
      <c r="UPL120" s="65"/>
      <c r="UPM120" s="65"/>
      <c r="UPN120" s="65"/>
      <c r="UPO120" s="65"/>
      <c r="UPP120" s="65"/>
      <c r="UPQ120" s="65"/>
      <c r="UPR120" s="65"/>
      <c r="UPS120" s="65"/>
      <c r="UPT120" s="65"/>
      <c r="UPU120" s="65"/>
      <c r="UPV120" s="65"/>
      <c r="UPW120" s="65"/>
      <c r="UPX120" s="65"/>
      <c r="UPY120" s="65"/>
      <c r="UPZ120" s="65"/>
      <c r="UQA120" s="65"/>
      <c r="UQB120" s="65"/>
      <c r="UQC120" s="65"/>
      <c r="UQD120" s="65"/>
      <c r="UQE120" s="65"/>
      <c r="UQF120" s="65"/>
      <c r="UQG120" s="65"/>
      <c r="UQH120" s="65"/>
      <c r="UQI120" s="65"/>
      <c r="UQJ120" s="65"/>
      <c r="UQK120" s="65"/>
      <c r="UQL120" s="65"/>
      <c r="UQM120" s="65"/>
      <c r="UQN120" s="65"/>
      <c r="UQO120" s="65"/>
      <c r="UQP120" s="65"/>
      <c r="UQQ120" s="65"/>
      <c r="UQR120" s="65"/>
      <c r="UQS120" s="65"/>
      <c r="UQT120" s="65"/>
      <c r="UQU120" s="65"/>
      <c r="UQV120" s="65"/>
      <c r="UQW120" s="65"/>
      <c r="UQX120" s="65"/>
      <c r="UQY120" s="65"/>
      <c r="UQZ120" s="65"/>
      <c r="URA120" s="65"/>
      <c r="URB120" s="65"/>
      <c r="URC120" s="65"/>
      <c r="URD120" s="65"/>
      <c r="URE120" s="65"/>
      <c r="URF120" s="65"/>
      <c r="URG120" s="65"/>
      <c r="URH120" s="65"/>
      <c r="URI120" s="65"/>
      <c r="URJ120" s="65"/>
      <c r="URK120" s="65"/>
      <c r="URL120" s="65"/>
      <c r="URM120" s="65"/>
      <c r="URN120" s="65"/>
      <c r="URO120" s="65"/>
      <c r="URP120" s="65"/>
      <c r="URQ120" s="65"/>
      <c r="URR120" s="65"/>
      <c r="URS120" s="65"/>
      <c r="URT120" s="65"/>
      <c r="URU120" s="65"/>
      <c r="URV120" s="65"/>
      <c r="URW120" s="65"/>
      <c r="URX120" s="65"/>
      <c r="URY120" s="65"/>
      <c r="URZ120" s="65"/>
      <c r="USA120" s="65"/>
      <c r="USB120" s="65"/>
      <c r="USC120" s="65"/>
      <c r="USD120" s="65"/>
      <c r="USE120" s="65"/>
      <c r="USF120" s="65"/>
      <c r="USG120" s="65"/>
      <c r="USH120" s="65"/>
      <c r="USI120" s="65"/>
      <c r="USJ120" s="65"/>
      <c r="USK120" s="65"/>
      <c r="USL120" s="65"/>
      <c r="USM120" s="65"/>
      <c r="USN120" s="65"/>
      <c r="USO120" s="65"/>
      <c r="USP120" s="65"/>
      <c r="USQ120" s="65"/>
      <c r="USR120" s="65"/>
      <c r="USS120" s="65"/>
      <c r="UST120" s="65"/>
      <c r="USU120" s="65"/>
      <c r="USV120" s="65"/>
      <c r="USW120" s="65"/>
      <c r="USX120" s="65"/>
      <c r="USY120" s="65"/>
      <c r="USZ120" s="65"/>
      <c r="UTA120" s="65"/>
      <c r="UTB120" s="65"/>
      <c r="UTC120" s="65"/>
      <c r="UTD120" s="65"/>
      <c r="UTE120" s="65"/>
      <c r="UTF120" s="65"/>
      <c r="UTG120" s="65"/>
      <c r="UTH120" s="65"/>
      <c r="UTI120" s="65"/>
      <c r="UTJ120" s="65"/>
      <c r="UTK120" s="65"/>
      <c r="UTL120" s="65"/>
      <c r="UTM120" s="65"/>
      <c r="UTN120" s="65"/>
      <c r="UTO120" s="65"/>
      <c r="UTP120" s="65"/>
      <c r="UTQ120" s="65"/>
      <c r="UTR120" s="65"/>
      <c r="UTS120" s="65"/>
      <c r="UTT120" s="65"/>
      <c r="UTU120" s="65"/>
      <c r="UTV120" s="65"/>
      <c r="UTW120" s="65"/>
      <c r="UTX120" s="65"/>
      <c r="UTY120" s="65"/>
      <c r="UTZ120" s="65"/>
      <c r="UUA120" s="65"/>
      <c r="UUB120" s="65"/>
      <c r="UUC120" s="65"/>
      <c r="UUD120" s="65"/>
      <c r="UUE120" s="65"/>
      <c r="UUF120" s="65"/>
      <c r="UUG120" s="65"/>
      <c r="UUH120" s="65"/>
      <c r="UUI120" s="65"/>
      <c r="UUJ120" s="65"/>
      <c r="UUK120" s="65"/>
      <c r="UUL120" s="65"/>
      <c r="UUM120" s="65"/>
      <c r="UUN120" s="65"/>
      <c r="UUO120" s="65"/>
      <c r="UUP120" s="65"/>
      <c r="UUQ120" s="65"/>
      <c r="UUR120" s="65"/>
      <c r="UUS120" s="65"/>
      <c r="UUT120" s="65"/>
      <c r="UUU120" s="65"/>
      <c r="UUV120" s="65"/>
      <c r="UUW120" s="65"/>
      <c r="UUX120" s="65"/>
      <c r="UUY120" s="65"/>
      <c r="UUZ120" s="65"/>
      <c r="UVA120" s="65"/>
      <c r="UVB120" s="65"/>
      <c r="UVC120" s="65"/>
      <c r="UVD120" s="65"/>
      <c r="UVE120" s="65"/>
      <c r="UVF120" s="65"/>
      <c r="UVG120" s="65"/>
      <c r="UVH120" s="65"/>
      <c r="UVI120" s="65"/>
      <c r="UVJ120" s="65"/>
      <c r="UVK120" s="65"/>
      <c r="UVL120" s="65"/>
      <c r="UVM120" s="65"/>
      <c r="UVN120" s="65"/>
      <c r="UVO120" s="65"/>
      <c r="UVP120" s="65"/>
      <c r="UVQ120" s="65"/>
      <c r="UVR120" s="65"/>
      <c r="UVS120" s="65"/>
      <c r="UVT120" s="65"/>
      <c r="UVU120" s="65"/>
      <c r="UVV120" s="65"/>
      <c r="UVW120" s="65"/>
      <c r="UVX120" s="65"/>
      <c r="UVY120" s="65"/>
      <c r="UVZ120" s="65"/>
      <c r="UWA120" s="65"/>
      <c r="UWB120" s="65"/>
      <c r="UWC120" s="65"/>
      <c r="UWD120" s="65"/>
      <c r="UWE120" s="65"/>
      <c r="UWF120" s="65"/>
      <c r="UWG120" s="65"/>
      <c r="UWH120" s="65"/>
      <c r="UWI120" s="65"/>
      <c r="UWJ120" s="65"/>
      <c r="UWK120" s="65"/>
      <c r="UWL120" s="65"/>
      <c r="UWM120" s="65"/>
      <c r="UWN120" s="65"/>
      <c r="UWO120" s="65"/>
      <c r="UWP120" s="65"/>
      <c r="UWQ120" s="65"/>
      <c r="UWR120" s="65"/>
      <c r="UWS120" s="65"/>
      <c r="UWT120" s="65"/>
      <c r="UWU120" s="65"/>
      <c r="UWV120" s="65"/>
      <c r="UWW120" s="65"/>
      <c r="UWX120" s="65"/>
      <c r="UWY120" s="65"/>
      <c r="UWZ120" s="65"/>
      <c r="UXA120" s="65"/>
      <c r="UXB120" s="65"/>
      <c r="UXC120" s="65"/>
      <c r="UXD120" s="65"/>
      <c r="UXE120" s="65"/>
      <c r="UXF120" s="65"/>
      <c r="UXG120" s="65"/>
      <c r="UXH120" s="65"/>
      <c r="UXI120" s="65"/>
      <c r="UXJ120" s="65"/>
      <c r="UXK120" s="65"/>
      <c r="UXL120" s="65"/>
      <c r="UXM120" s="65"/>
      <c r="UXN120" s="65"/>
      <c r="UXO120" s="65"/>
      <c r="UXP120" s="65"/>
      <c r="UXQ120" s="65"/>
      <c r="UXR120" s="65"/>
      <c r="UXS120" s="65"/>
      <c r="UXT120" s="65"/>
      <c r="UXU120" s="65"/>
      <c r="UXV120" s="65"/>
      <c r="UXW120" s="65"/>
      <c r="UXX120" s="65"/>
      <c r="UXY120" s="65"/>
      <c r="UXZ120" s="65"/>
      <c r="UYA120" s="65"/>
      <c r="UYB120" s="65"/>
      <c r="UYC120" s="65"/>
      <c r="UYD120" s="65"/>
      <c r="UYE120" s="65"/>
      <c r="UYF120" s="65"/>
      <c r="UYG120" s="65"/>
      <c r="UYH120" s="65"/>
      <c r="UYI120" s="65"/>
      <c r="UYJ120" s="65"/>
      <c r="UYK120" s="65"/>
      <c r="UYL120" s="65"/>
      <c r="UYM120" s="65"/>
      <c r="UYN120" s="65"/>
      <c r="UYO120" s="65"/>
      <c r="UYP120" s="65"/>
      <c r="UYQ120" s="65"/>
      <c r="UYR120" s="65"/>
      <c r="UYS120" s="65"/>
      <c r="UYT120" s="65"/>
      <c r="UYU120" s="65"/>
      <c r="UYV120" s="65"/>
      <c r="UYW120" s="65"/>
      <c r="UYX120" s="65"/>
      <c r="UYY120" s="65"/>
      <c r="UYZ120" s="65"/>
      <c r="UZA120" s="65"/>
      <c r="UZB120" s="65"/>
      <c r="UZC120" s="65"/>
      <c r="UZD120" s="65"/>
      <c r="UZE120" s="65"/>
      <c r="UZF120" s="65"/>
      <c r="UZG120" s="65"/>
      <c r="UZH120" s="65"/>
      <c r="UZI120" s="65"/>
      <c r="UZJ120" s="65"/>
      <c r="UZK120" s="65"/>
      <c r="UZL120" s="65"/>
      <c r="UZM120" s="65"/>
      <c r="UZN120" s="65"/>
      <c r="UZO120" s="65"/>
      <c r="UZP120" s="65"/>
      <c r="UZQ120" s="65"/>
      <c r="UZR120" s="65"/>
      <c r="UZS120" s="65"/>
      <c r="UZT120" s="65"/>
      <c r="UZU120" s="65"/>
      <c r="UZV120" s="65"/>
      <c r="UZW120" s="65"/>
      <c r="UZX120" s="65"/>
      <c r="UZY120" s="65"/>
      <c r="UZZ120" s="65"/>
      <c r="VAA120" s="65"/>
      <c r="VAB120" s="65"/>
      <c r="VAC120" s="65"/>
      <c r="VAD120" s="65"/>
      <c r="VAE120" s="65"/>
      <c r="VAF120" s="65"/>
      <c r="VAG120" s="65"/>
      <c r="VAH120" s="65"/>
      <c r="VAI120" s="65"/>
      <c r="VAJ120" s="65"/>
      <c r="VAK120" s="65"/>
      <c r="VAL120" s="65"/>
      <c r="VAM120" s="65"/>
      <c r="VAN120" s="65"/>
      <c r="VAO120" s="65"/>
      <c r="VAP120" s="65"/>
      <c r="VAQ120" s="65"/>
      <c r="VAR120" s="65"/>
      <c r="VAS120" s="65"/>
      <c r="VAT120" s="65"/>
      <c r="VAU120" s="65"/>
      <c r="VAV120" s="65"/>
      <c r="VAW120" s="65"/>
      <c r="VAX120" s="65"/>
      <c r="VAY120" s="65"/>
      <c r="VAZ120" s="65"/>
      <c r="VBA120" s="65"/>
      <c r="VBB120" s="65"/>
      <c r="VBC120" s="65"/>
      <c r="VBD120" s="65"/>
      <c r="VBE120" s="65"/>
      <c r="VBF120" s="65"/>
      <c r="VBG120" s="65"/>
      <c r="VBH120" s="65"/>
      <c r="VBI120" s="65"/>
      <c r="VBJ120" s="65"/>
      <c r="VBK120" s="65"/>
      <c r="VBL120" s="65"/>
      <c r="VBM120" s="65"/>
      <c r="VBN120" s="65"/>
      <c r="VBO120" s="65"/>
      <c r="VBP120" s="65"/>
      <c r="VBQ120" s="65"/>
      <c r="VBR120" s="65"/>
      <c r="VBS120" s="65"/>
      <c r="VBT120" s="65"/>
      <c r="VBU120" s="65"/>
      <c r="VBV120" s="65"/>
      <c r="VBW120" s="65"/>
      <c r="VBX120" s="65"/>
      <c r="VBY120" s="65"/>
      <c r="VBZ120" s="65"/>
      <c r="VCA120" s="65"/>
      <c r="VCB120" s="65"/>
      <c r="VCC120" s="65"/>
      <c r="VCD120" s="65"/>
      <c r="VCE120" s="65"/>
      <c r="VCF120" s="65"/>
      <c r="VCG120" s="65"/>
      <c r="VCH120" s="65"/>
      <c r="VCI120" s="65"/>
      <c r="VCJ120" s="65"/>
      <c r="VCK120" s="65"/>
      <c r="VCL120" s="65"/>
      <c r="VCM120" s="65"/>
      <c r="VCN120" s="65"/>
      <c r="VCO120" s="65"/>
      <c r="VCP120" s="65"/>
      <c r="VCQ120" s="65"/>
      <c r="VCR120" s="65"/>
      <c r="VCS120" s="65"/>
      <c r="VCT120" s="65"/>
      <c r="VCU120" s="65"/>
      <c r="VCV120" s="65"/>
      <c r="VCW120" s="65"/>
      <c r="VCX120" s="65"/>
      <c r="VCY120" s="65"/>
      <c r="VCZ120" s="65"/>
      <c r="VDA120" s="65"/>
      <c r="VDB120" s="65"/>
      <c r="VDC120" s="65"/>
      <c r="VDD120" s="65"/>
      <c r="VDE120" s="65"/>
      <c r="VDF120" s="65"/>
      <c r="VDG120" s="65"/>
      <c r="VDH120" s="65"/>
      <c r="VDI120" s="65"/>
      <c r="VDJ120" s="65"/>
      <c r="VDK120" s="65"/>
      <c r="VDL120" s="65"/>
      <c r="VDM120" s="65"/>
      <c r="VDN120" s="65"/>
      <c r="VDO120" s="65"/>
      <c r="VDP120" s="65"/>
      <c r="VDQ120" s="65"/>
      <c r="VDR120" s="65"/>
      <c r="VDS120" s="65"/>
      <c r="VDT120" s="65"/>
      <c r="VDU120" s="65"/>
      <c r="VDV120" s="65"/>
      <c r="VDW120" s="65"/>
      <c r="VDX120" s="65"/>
      <c r="VDY120" s="65"/>
      <c r="VDZ120" s="65"/>
      <c r="VEA120" s="65"/>
      <c r="VEB120" s="65"/>
      <c r="VEC120" s="65"/>
      <c r="VED120" s="65"/>
      <c r="VEE120" s="65"/>
      <c r="VEF120" s="65"/>
      <c r="VEG120" s="65"/>
      <c r="VEH120" s="65"/>
      <c r="VEI120" s="65"/>
      <c r="VEJ120" s="65"/>
      <c r="VEK120" s="65"/>
      <c r="VEL120" s="65"/>
      <c r="VEM120" s="65"/>
      <c r="VEN120" s="65"/>
      <c r="VEO120" s="65"/>
      <c r="VEP120" s="65"/>
      <c r="VEQ120" s="65"/>
      <c r="VER120" s="65"/>
      <c r="VES120" s="65"/>
      <c r="VET120" s="65"/>
      <c r="VEU120" s="65"/>
      <c r="VEV120" s="65"/>
      <c r="VEW120" s="65"/>
      <c r="VEX120" s="65"/>
      <c r="VEY120" s="65"/>
      <c r="VEZ120" s="65"/>
      <c r="VFA120" s="65"/>
      <c r="VFB120" s="65"/>
      <c r="VFC120" s="65"/>
      <c r="VFD120" s="65"/>
      <c r="VFE120" s="65"/>
      <c r="VFF120" s="65"/>
      <c r="VFG120" s="65"/>
      <c r="VFH120" s="65"/>
      <c r="VFI120" s="65"/>
      <c r="VFJ120" s="65"/>
      <c r="VFK120" s="65"/>
      <c r="VFL120" s="65"/>
      <c r="VFM120" s="65"/>
      <c r="VFN120" s="65"/>
      <c r="VFO120" s="65"/>
      <c r="VFP120" s="65"/>
      <c r="VFQ120" s="65"/>
      <c r="VFR120" s="65"/>
      <c r="VFS120" s="65"/>
      <c r="VFT120" s="65"/>
      <c r="VFU120" s="65"/>
      <c r="VFV120" s="65"/>
      <c r="VFW120" s="65"/>
      <c r="VFX120" s="65"/>
      <c r="VFY120" s="65"/>
      <c r="VFZ120" s="65"/>
      <c r="VGA120" s="65"/>
      <c r="VGB120" s="65"/>
      <c r="VGC120" s="65"/>
      <c r="VGD120" s="65"/>
      <c r="VGE120" s="65"/>
      <c r="VGF120" s="65"/>
      <c r="VGG120" s="65"/>
      <c r="VGH120" s="65"/>
      <c r="VGI120" s="65"/>
      <c r="VGJ120" s="65"/>
      <c r="VGK120" s="65"/>
      <c r="VGL120" s="65"/>
      <c r="VGM120" s="65"/>
      <c r="VGN120" s="65"/>
      <c r="VGO120" s="65"/>
      <c r="VGP120" s="65"/>
      <c r="VGQ120" s="65"/>
      <c r="VGR120" s="65"/>
      <c r="VGS120" s="65"/>
      <c r="VGT120" s="65"/>
      <c r="VGU120" s="65"/>
      <c r="VGV120" s="65"/>
      <c r="VGW120" s="65"/>
      <c r="VGX120" s="65"/>
      <c r="VGY120" s="65"/>
      <c r="VGZ120" s="65"/>
      <c r="VHA120" s="65"/>
      <c r="VHB120" s="65"/>
      <c r="VHC120" s="65"/>
      <c r="VHD120" s="65"/>
      <c r="VHE120" s="65"/>
      <c r="VHF120" s="65"/>
      <c r="VHG120" s="65"/>
      <c r="VHH120" s="65"/>
      <c r="VHI120" s="65"/>
      <c r="VHJ120" s="65"/>
      <c r="VHK120" s="65"/>
      <c r="VHL120" s="65"/>
      <c r="VHM120" s="65"/>
      <c r="VHN120" s="65"/>
      <c r="VHO120" s="65"/>
      <c r="VHP120" s="65"/>
      <c r="VHQ120" s="65"/>
      <c r="VHR120" s="65"/>
      <c r="VHS120" s="65"/>
      <c r="VHT120" s="65"/>
      <c r="VHU120" s="65"/>
      <c r="VHV120" s="65"/>
      <c r="VHW120" s="65"/>
      <c r="VHX120" s="65"/>
      <c r="VHY120" s="65"/>
      <c r="VHZ120" s="65"/>
      <c r="VIA120" s="65"/>
      <c r="VIB120" s="65"/>
      <c r="VIC120" s="65"/>
      <c r="VID120" s="65"/>
      <c r="VIE120" s="65"/>
      <c r="VIF120" s="65"/>
      <c r="VIG120" s="65"/>
      <c r="VIH120" s="65"/>
      <c r="VII120" s="65"/>
      <c r="VIJ120" s="65"/>
      <c r="VIK120" s="65"/>
      <c r="VIL120" s="65"/>
      <c r="VIM120" s="65"/>
      <c r="VIN120" s="65"/>
      <c r="VIO120" s="65"/>
      <c r="VIP120" s="65"/>
      <c r="VIQ120" s="65"/>
      <c r="VIR120" s="65"/>
      <c r="VIS120" s="65"/>
      <c r="VIT120" s="65"/>
      <c r="VIU120" s="65"/>
      <c r="VIV120" s="65"/>
      <c r="VIW120" s="65"/>
      <c r="VIX120" s="65"/>
      <c r="VIY120" s="65"/>
      <c r="VIZ120" s="65"/>
      <c r="VJA120" s="65"/>
      <c r="VJB120" s="65"/>
      <c r="VJC120" s="65"/>
      <c r="VJD120" s="65"/>
      <c r="VJE120" s="65"/>
      <c r="VJF120" s="65"/>
      <c r="VJG120" s="65"/>
      <c r="VJH120" s="65"/>
      <c r="VJI120" s="65"/>
      <c r="VJJ120" s="65"/>
      <c r="VJK120" s="65"/>
      <c r="VJL120" s="65"/>
      <c r="VJM120" s="65"/>
      <c r="VJN120" s="65"/>
      <c r="VJO120" s="65"/>
      <c r="VJP120" s="65"/>
      <c r="VJQ120" s="65"/>
      <c r="VJR120" s="65"/>
      <c r="VJS120" s="65"/>
      <c r="VJT120" s="65"/>
      <c r="VJU120" s="65"/>
      <c r="VJV120" s="65"/>
      <c r="VJW120" s="65"/>
      <c r="VJX120" s="65"/>
      <c r="VJY120" s="65"/>
      <c r="VJZ120" s="65"/>
      <c r="VKA120" s="65"/>
      <c r="VKB120" s="65"/>
      <c r="VKC120" s="65"/>
      <c r="VKD120" s="65"/>
      <c r="VKE120" s="65"/>
      <c r="VKF120" s="65"/>
      <c r="VKG120" s="65"/>
      <c r="VKH120" s="65"/>
      <c r="VKI120" s="65"/>
      <c r="VKJ120" s="65"/>
      <c r="VKK120" s="65"/>
      <c r="VKL120" s="65"/>
      <c r="VKM120" s="65"/>
      <c r="VKN120" s="65"/>
      <c r="VKO120" s="65"/>
      <c r="VKP120" s="65"/>
      <c r="VKQ120" s="65"/>
      <c r="VKR120" s="65"/>
      <c r="VKS120" s="65"/>
      <c r="VKT120" s="65"/>
      <c r="VKU120" s="65"/>
      <c r="VKV120" s="65"/>
      <c r="VKW120" s="65"/>
      <c r="VKX120" s="65"/>
      <c r="VKY120" s="65"/>
      <c r="VKZ120" s="65"/>
      <c r="VLA120" s="65"/>
      <c r="VLB120" s="65"/>
      <c r="VLC120" s="65"/>
      <c r="VLD120" s="65"/>
      <c r="VLE120" s="65"/>
      <c r="VLF120" s="65"/>
      <c r="VLG120" s="65"/>
      <c r="VLH120" s="65"/>
      <c r="VLI120" s="65"/>
      <c r="VLJ120" s="65"/>
      <c r="VLK120" s="65"/>
      <c r="VLL120" s="65"/>
      <c r="VLM120" s="65"/>
      <c r="VLN120" s="65"/>
      <c r="VLO120" s="65"/>
      <c r="VLP120" s="65"/>
      <c r="VLQ120" s="65"/>
      <c r="VLR120" s="65"/>
      <c r="VLS120" s="65"/>
      <c r="VLT120" s="65"/>
      <c r="VLU120" s="65"/>
      <c r="VLV120" s="65"/>
      <c r="VLW120" s="65"/>
      <c r="VLX120" s="65"/>
      <c r="VLY120" s="65"/>
      <c r="VLZ120" s="65"/>
      <c r="VMA120" s="65"/>
      <c r="VMB120" s="65"/>
      <c r="VMC120" s="65"/>
      <c r="VMD120" s="65"/>
      <c r="VME120" s="65"/>
      <c r="VMF120" s="65"/>
      <c r="VMG120" s="65"/>
      <c r="VMH120" s="65"/>
      <c r="VMI120" s="65"/>
      <c r="VMJ120" s="65"/>
      <c r="VMK120" s="65"/>
      <c r="VML120" s="65"/>
      <c r="VMM120" s="65"/>
      <c r="VMN120" s="65"/>
      <c r="VMO120" s="65"/>
      <c r="VMP120" s="65"/>
      <c r="VMQ120" s="65"/>
      <c r="VMR120" s="65"/>
      <c r="VMS120" s="65"/>
      <c r="VMT120" s="65"/>
      <c r="VMU120" s="65"/>
      <c r="VMV120" s="65"/>
      <c r="VMW120" s="65"/>
      <c r="VMX120" s="65"/>
      <c r="VMY120" s="65"/>
      <c r="VMZ120" s="65"/>
      <c r="VNA120" s="65"/>
      <c r="VNB120" s="65"/>
      <c r="VNC120" s="65"/>
      <c r="VND120" s="65"/>
      <c r="VNE120" s="65"/>
      <c r="VNF120" s="65"/>
      <c r="VNG120" s="65"/>
      <c r="VNH120" s="65"/>
      <c r="VNI120" s="65"/>
      <c r="VNJ120" s="65"/>
      <c r="VNK120" s="65"/>
      <c r="VNL120" s="65"/>
      <c r="VNM120" s="65"/>
      <c r="VNN120" s="65"/>
      <c r="VNO120" s="65"/>
      <c r="VNP120" s="65"/>
      <c r="VNQ120" s="65"/>
      <c r="VNR120" s="65"/>
      <c r="VNS120" s="65"/>
      <c r="VNT120" s="65"/>
      <c r="VNU120" s="65"/>
      <c r="VNV120" s="65"/>
      <c r="VNW120" s="65"/>
      <c r="VNX120" s="65"/>
      <c r="VNY120" s="65"/>
      <c r="VNZ120" s="65"/>
      <c r="VOA120" s="65"/>
      <c r="VOB120" s="65"/>
      <c r="VOC120" s="65"/>
      <c r="VOD120" s="65"/>
      <c r="VOE120" s="65"/>
      <c r="VOF120" s="65"/>
      <c r="VOG120" s="65"/>
      <c r="VOH120" s="65"/>
      <c r="VOI120" s="65"/>
      <c r="VOJ120" s="65"/>
      <c r="VOK120" s="65"/>
      <c r="VOL120" s="65"/>
      <c r="VOM120" s="65"/>
      <c r="VON120" s="65"/>
      <c r="VOO120" s="65"/>
      <c r="VOP120" s="65"/>
      <c r="VOQ120" s="65"/>
      <c r="VOR120" s="65"/>
      <c r="VOS120" s="65"/>
      <c r="VOT120" s="65"/>
      <c r="VOU120" s="65"/>
      <c r="VOV120" s="65"/>
      <c r="VOW120" s="65"/>
      <c r="VOX120" s="65"/>
      <c r="VOY120" s="65"/>
      <c r="VOZ120" s="65"/>
      <c r="VPA120" s="65"/>
      <c r="VPB120" s="65"/>
      <c r="VPC120" s="65"/>
      <c r="VPD120" s="65"/>
      <c r="VPE120" s="65"/>
      <c r="VPF120" s="65"/>
      <c r="VPG120" s="65"/>
      <c r="VPH120" s="65"/>
      <c r="VPI120" s="65"/>
      <c r="VPJ120" s="65"/>
      <c r="VPK120" s="65"/>
      <c r="VPL120" s="65"/>
      <c r="VPM120" s="65"/>
      <c r="VPN120" s="65"/>
      <c r="VPO120" s="65"/>
      <c r="VPP120" s="65"/>
      <c r="VPQ120" s="65"/>
      <c r="VPR120" s="65"/>
      <c r="VPS120" s="65"/>
      <c r="VPT120" s="65"/>
      <c r="VPU120" s="65"/>
      <c r="VPV120" s="65"/>
      <c r="VPW120" s="65"/>
      <c r="VPX120" s="65"/>
      <c r="VPY120" s="65"/>
      <c r="VPZ120" s="65"/>
      <c r="VQA120" s="65"/>
      <c r="VQB120" s="65"/>
      <c r="VQC120" s="65"/>
      <c r="VQD120" s="65"/>
      <c r="VQE120" s="65"/>
      <c r="VQF120" s="65"/>
      <c r="VQG120" s="65"/>
      <c r="VQH120" s="65"/>
      <c r="VQI120" s="65"/>
      <c r="VQJ120" s="65"/>
      <c r="VQK120" s="65"/>
      <c r="VQL120" s="65"/>
      <c r="VQM120" s="65"/>
      <c r="VQN120" s="65"/>
      <c r="VQO120" s="65"/>
      <c r="VQP120" s="65"/>
      <c r="VQQ120" s="65"/>
      <c r="VQR120" s="65"/>
      <c r="VQS120" s="65"/>
      <c r="VQT120" s="65"/>
      <c r="VQU120" s="65"/>
      <c r="VQV120" s="65"/>
      <c r="VQW120" s="65"/>
      <c r="VQX120" s="65"/>
      <c r="VQY120" s="65"/>
      <c r="VQZ120" s="65"/>
      <c r="VRA120" s="65"/>
      <c r="VRB120" s="65"/>
      <c r="VRC120" s="65"/>
      <c r="VRD120" s="65"/>
      <c r="VRE120" s="65"/>
      <c r="VRF120" s="65"/>
      <c r="VRG120" s="65"/>
      <c r="VRH120" s="65"/>
      <c r="VRI120" s="65"/>
      <c r="VRJ120" s="65"/>
      <c r="VRK120" s="65"/>
      <c r="VRL120" s="65"/>
      <c r="VRM120" s="65"/>
      <c r="VRN120" s="65"/>
      <c r="VRO120" s="65"/>
      <c r="VRP120" s="65"/>
      <c r="VRQ120" s="65"/>
      <c r="VRR120" s="65"/>
      <c r="VRS120" s="65"/>
      <c r="VRT120" s="65"/>
      <c r="VRU120" s="65"/>
      <c r="VRV120" s="65"/>
      <c r="VRW120" s="65"/>
      <c r="VRX120" s="65"/>
      <c r="VRY120" s="65"/>
      <c r="VRZ120" s="65"/>
      <c r="VSA120" s="65"/>
      <c r="VSB120" s="65"/>
      <c r="VSC120" s="65"/>
      <c r="VSD120" s="65"/>
      <c r="VSE120" s="65"/>
      <c r="VSF120" s="65"/>
      <c r="VSG120" s="65"/>
      <c r="VSH120" s="65"/>
      <c r="VSI120" s="65"/>
      <c r="VSJ120" s="65"/>
      <c r="VSK120" s="65"/>
      <c r="VSL120" s="65"/>
      <c r="VSM120" s="65"/>
      <c r="VSN120" s="65"/>
      <c r="VSO120" s="65"/>
      <c r="VSP120" s="65"/>
      <c r="VSQ120" s="65"/>
      <c r="VSR120" s="65"/>
      <c r="VSS120" s="65"/>
      <c r="VST120" s="65"/>
      <c r="VSU120" s="65"/>
      <c r="VSV120" s="65"/>
      <c r="VSW120" s="65"/>
      <c r="VSX120" s="65"/>
      <c r="VSY120" s="65"/>
      <c r="VSZ120" s="65"/>
      <c r="VTA120" s="65"/>
      <c r="VTB120" s="65"/>
      <c r="VTC120" s="65"/>
      <c r="VTD120" s="65"/>
      <c r="VTE120" s="65"/>
      <c r="VTF120" s="65"/>
      <c r="VTG120" s="65"/>
      <c r="VTH120" s="65"/>
      <c r="VTI120" s="65"/>
      <c r="VTJ120" s="65"/>
      <c r="VTK120" s="65"/>
      <c r="VTL120" s="65"/>
      <c r="VTM120" s="65"/>
      <c r="VTN120" s="65"/>
      <c r="VTO120" s="65"/>
      <c r="VTP120" s="65"/>
      <c r="VTQ120" s="65"/>
      <c r="VTR120" s="65"/>
      <c r="VTS120" s="65"/>
      <c r="VTT120" s="65"/>
      <c r="VTU120" s="65"/>
      <c r="VTV120" s="65"/>
      <c r="VTW120" s="65"/>
      <c r="VTX120" s="65"/>
      <c r="VTY120" s="65"/>
      <c r="VTZ120" s="65"/>
      <c r="VUA120" s="65"/>
      <c r="VUB120" s="65"/>
      <c r="VUC120" s="65"/>
      <c r="VUD120" s="65"/>
      <c r="VUE120" s="65"/>
      <c r="VUF120" s="65"/>
      <c r="VUG120" s="65"/>
      <c r="VUH120" s="65"/>
      <c r="VUI120" s="65"/>
      <c r="VUJ120" s="65"/>
      <c r="VUK120" s="65"/>
      <c r="VUL120" s="65"/>
      <c r="VUM120" s="65"/>
      <c r="VUN120" s="65"/>
      <c r="VUO120" s="65"/>
      <c r="VUP120" s="65"/>
      <c r="VUQ120" s="65"/>
      <c r="VUR120" s="65"/>
      <c r="VUS120" s="65"/>
      <c r="VUT120" s="65"/>
      <c r="VUU120" s="65"/>
      <c r="VUV120" s="65"/>
      <c r="VUW120" s="65"/>
      <c r="VUX120" s="65"/>
      <c r="VUY120" s="65"/>
      <c r="VUZ120" s="65"/>
      <c r="VVA120" s="65"/>
      <c r="VVB120" s="65"/>
      <c r="VVC120" s="65"/>
      <c r="VVD120" s="65"/>
      <c r="VVE120" s="65"/>
      <c r="VVF120" s="65"/>
      <c r="VVG120" s="65"/>
      <c r="VVH120" s="65"/>
      <c r="VVI120" s="65"/>
      <c r="VVJ120" s="65"/>
      <c r="VVK120" s="65"/>
      <c r="VVL120" s="65"/>
      <c r="VVM120" s="65"/>
      <c r="VVN120" s="65"/>
      <c r="VVO120" s="65"/>
      <c r="VVP120" s="65"/>
      <c r="VVQ120" s="65"/>
      <c r="VVR120" s="65"/>
      <c r="VVS120" s="65"/>
      <c r="VVT120" s="65"/>
      <c r="VVU120" s="65"/>
      <c r="VVV120" s="65"/>
      <c r="VVW120" s="65"/>
      <c r="VVX120" s="65"/>
      <c r="VVY120" s="65"/>
      <c r="VVZ120" s="65"/>
      <c r="VWA120" s="65"/>
      <c r="VWB120" s="65"/>
      <c r="VWC120" s="65"/>
      <c r="VWD120" s="65"/>
      <c r="VWE120" s="65"/>
      <c r="VWF120" s="65"/>
      <c r="VWG120" s="65"/>
      <c r="VWH120" s="65"/>
      <c r="VWI120" s="65"/>
      <c r="VWJ120" s="65"/>
      <c r="VWK120" s="65"/>
      <c r="VWL120" s="65"/>
      <c r="VWM120" s="65"/>
      <c r="VWN120" s="65"/>
      <c r="VWO120" s="65"/>
      <c r="VWP120" s="65"/>
      <c r="VWQ120" s="65"/>
      <c r="VWR120" s="65"/>
      <c r="VWS120" s="65"/>
      <c r="VWT120" s="65"/>
      <c r="VWU120" s="65"/>
      <c r="VWV120" s="65"/>
      <c r="VWW120" s="65"/>
      <c r="VWX120" s="65"/>
      <c r="VWY120" s="65"/>
      <c r="VWZ120" s="65"/>
      <c r="VXA120" s="65"/>
      <c r="VXB120" s="65"/>
      <c r="VXC120" s="65"/>
      <c r="VXD120" s="65"/>
      <c r="VXE120" s="65"/>
      <c r="VXF120" s="65"/>
      <c r="VXG120" s="65"/>
      <c r="VXH120" s="65"/>
      <c r="VXI120" s="65"/>
      <c r="VXJ120" s="65"/>
      <c r="VXK120" s="65"/>
      <c r="VXL120" s="65"/>
      <c r="VXM120" s="65"/>
      <c r="VXN120" s="65"/>
      <c r="VXO120" s="65"/>
      <c r="VXP120" s="65"/>
      <c r="VXQ120" s="65"/>
      <c r="VXR120" s="65"/>
      <c r="VXS120" s="65"/>
      <c r="VXT120" s="65"/>
      <c r="VXU120" s="65"/>
      <c r="VXV120" s="65"/>
      <c r="VXW120" s="65"/>
      <c r="VXX120" s="65"/>
      <c r="VXY120" s="65"/>
      <c r="VXZ120" s="65"/>
      <c r="VYA120" s="65"/>
      <c r="VYB120" s="65"/>
      <c r="VYC120" s="65"/>
      <c r="VYD120" s="65"/>
      <c r="VYE120" s="65"/>
      <c r="VYF120" s="65"/>
      <c r="VYG120" s="65"/>
      <c r="VYH120" s="65"/>
      <c r="VYI120" s="65"/>
      <c r="VYJ120" s="65"/>
      <c r="VYK120" s="65"/>
      <c r="VYL120" s="65"/>
      <c r="VYM120" s="65"/>
      <c r="VYN120" s="65"/>
      <c r="VYO120" s="65"/>
      <c r="VYP120" s="65"/>
      <c r="VYQ120" s="65"/>
      <c r="VYR120" s="65"/>
      <c r="VYS120" s="65"/>
      <c r="VYT120" s="65"/>
      <c r="VYU120" s="65"/>
      <c r="VYV120" s="65"/>
      <c r="VYW120" s="65"/>
      <c r="VYX120" s="65"/>
      <c r="VYY120" s="65"/>
      <c r="VYZ120" s="65"/>
      <c r="VZA120" s="65"/>
      <c r="VZB120" s="65"/>
      <c r="VZC120" s="65"/>
      <c r="VZD120" s="65"/>
      <c r="VZE120" s="65"/>
      <c r="VZF120" s="65"/>
      <c r="VZG120" s="65"/>
      <c r="VZH120" s="65"/>
      <c r="VZI120" s="65"/>
      <c r="VZJ120" s="65"/>
      <c r="VZK120" s="65"/>
      <c r="VZL120" s="65"/>
      <c r="VZM120" s="65"/>
      <c r="VZN120" s="65"/>
      <c r="VZO120" s="65"/>
      <c r="VZP120" s="65"/>
      <c r="VZQ120" s="65"/>
      <c r="VZR120" s="65"/>
      <c r="VZS120" s="65"/>
      <c r="VZT120" s="65"/>
      <c r="VZU120" s="65"/>
      <c r="VZV120" s="65"/>
      <c r="VZW120" s="65"/>
      <c r="VZX120" s="65"/>
      <c r="VZY120" s="65"/>
      <c r="VZZ120" s="65"/>
      <c r="WAA120" s="65"/>
      <c r="WAB120" s="65"/>
      <c r="WAC120" s="65"/>
      <c r="WAD120" s="65"/>
      <c r="WAE120" s="65"/>
      <c r="WAF120" s="65"/>
      <c r="WAG120" s="65"/>
      <c r="WAH120" s="65"/>
      <c r="WAI120" s="65"/>
      <c r="WAJ120" s="65"/>
      <c r="WAK120" s="65"/>
      <c r="WAL120" s="65"/>
      <c r="WAM120" s="65"/>
      <c r="WAN120" s="65"/>
      <c r="WAO120" s="65"/>
      <c r="WAP120" s="65"/>
      <c r="WAQ120" s="65"/>
      <c r="WAR120" s="65"/>
      <c r="WAS120" s="65"/>
      <c r="WAT120" s="65"/>
      <c r="WAU120" s="65"/>
      <c r="WAV120" s="65"/>
      <c r="WAW120" s="65"/>
      <c r="WAX120" s="65"/>
      <c r="WAY120" s="65"/>
      <c r="WAZ120" s="65"/>
      <c r="WBA120" s="65"/>
      <c r="WBB120" s="65"/>
      <c r="WBC120" s="65"/>
      <c r="WBD120" s="65"/>
      <c r="WBE120" s="65"/>
      <c r="WBF120" s="65"/>
      <c r="WBG120" s="65"/>
      <c r="WBH120" s="65"/>
      <c r="WBI120" s="65"/>
      <c r="WBJ120" s="65"/>
      <c r="WBK120" s="65"/>
      <c r="WBL120" s="65"/>
      <c r="WBM120" s="65"/>
      <c r="WBN120" s="65"/>
      <c r="WBO120" s="65"/>
      <c r="WBP120" s="65"/>
      <c r="WBQ120" s="65"/>
      <c r="WBR120" s="65"/>
      <c r="WBS120" s="65"/>
      <c r="WBT120" s="65"/>
      <c r="WBU120" s="65"/>
      <c r="WBV120" s="65"/>
      <c r="WBW120" s="65"/>
      <c r="WBX120" s="65"/>
      <c r="WBY120" s="65"/>
      <c r="WBZ120" s="65"/>
      <c r="WCA120" s="65"/>
      <c r="WCB120" s="65"/>
      <c r="WCC120" s="65"/>
      <c r="WCD120" s="65"/>
      <c r="WCE120" s="65"/>
      <c r="WCF120" s="65"/>
      <c r="WCG120" s="65"/>
      <c r="WCH120" s="65"/>
      <c r="WCI120" s="65"/>
      <c r="WCJ120" s="65"/>
      <c r="WCK120" s="65"/>
      <c r="WCL120" s="65"/>
      <c r="WCM120" s="65"/>
      <c r="WCN120" s="65"/>
      <c r="WCO120" s="65"/>
      <c r="WCP120" s="65"/>
      <c r="WCQ120" s="65"/>
      <c r="WCR120" s="65"/>
      <c r="WCS120" s="65"/>
      <c r="WCT120" s="65"/>
      <c r="WCU120" s="65"/>
      <c r="WCV120" s="65"/>
      <c r="WCW120" s="65"/>
      <c r="WCX120" s="65"/>
      <c r="WCY120" s="65"/>
      <c r="WCZ120" s="65"/>
      <c r="WDA120" s="65"/>
      <c r="WDB120" s="65"/>
      <c r="WDC120" s="65"/>
      <c r="WDD120" s="65"/>
      <c r="WDE120" s="65"/>
      <c r="WDF120" s="65"/>
      <c r="WDG120" s="65"/>
      <c r="WDH120" s="65"/>
      <c r="WDI120" s="65"/>
      <c r="WDJ120" s="65"/>
      <c r="WDK120" s="65"/>
      <c r="WDL120" s="65"/>
      <c r="WDM120" s="65"/>
      <c r="WDN120" s="65"/>
      <c r="WDO120" s="65"/>
      <c r="WDP120" s="65"/>
      <c r="WDQ120" s="65"/>
      <c r="WDR120" s="65"/>
      <c r="WDS120" s="65"/>
      <c r="WDT120" s="65"/>
      <c r="WDU120" s="65"/>
      <c r="WDV120" s="65"/>
      <c r="WDW120" s="65"/>
      <c r="WDX120" s="65"/>
      <c r="WDY120" s="65"/>
      <c r="WDZ120" s="65"/>
      <c r="WEA120" s="65"/>
      <c r="WEB120" s="65"/>
      <c r="WEC120" s="65"/>
      <c r="WED120" s="65"/>
      <c r="WEE120" s="65"/>
      <c r="WEF120" s="65"/>
      <c r="WEG120" s="65"/>
      <c r="WEH120" s="65"/>
      <c r="WEI120" s="65"/>
      <c r="WEJ120" s="65"/>
      <c r="WEK120" s="65"/>
      <c r="WEL120" s="65"/>
      <c r="WEM120" s="65"/>
      <c r="WEN120" s="65"/>
      <c r="WEO120" s="65"/>
      <c r="WEP120" s="65"/>
      <c r="WEQ120" s="65"/>
      <c r="WER120" s="65"/>
      <c r="WES120" s="65"/>
      <c r="WET120" s="65"/>
      <c r="WEU120" s="65"/>
      <c r="WEV120" s="65"/>
      <c r="WEW120" s="65"/>
      <c r="WEX120" s="65"/>
      <c r="WEY120" s="65"/>
      <c r="WEZ120" s="65"/>
      <c r="WFA120" s="65"/>
      <c r="WFB120" s="65"/>
      <c r="WFC120" s="65"/>
      <c r="WFD120" s="65"/>
      <c r="WFE120" s="65"/>
      <c r="WFF120" s="65"/>
      <c r="WFG120" s="65"/>
      <c r="WFH120" s="65"/>
      <c r="WFI120" s="65"/>
      <c r="WFJ120" s="65"/>
      <c r="WFK120" s="65"/>
      <c r="WFL120" s="65"/>
      <c r="WFM120" s="65"/>
      <c r="WFN120" s="65"/>
      <c r="WFO120" s="65"/>
      <c r="WFP120" s="65"/>
      <c r="WFQ120" s="65"/>
      <c r="WFR120" s="65"/>
      <c r="WFS120" s="65"/>
      <c r="WFT120" s="65"/>
      <c r="WFU120" s="65"/>
      <c r="WFV120" s="65"/>
      <c r="WFW120" s="65"/>
      <c r="WFX120" s="65"/>
      <c r="WFY120" s="65"/>
      <c r="WFZ120" s="65"/>
      <c r="WGA120" s="65"/>
      <c r="WGB120" s="65"/>
      <c r="WGC120" s="65"/>
      <c r="WGD120" s="65"/>
      <c r="WGE120" s="65"/>
      <c r="WGF120" s="65"/>
      <c r="WGG120" s="65"/>
      <c r="WGH120" s="65"/>
      <c r="WGI120" s="65"/>
      <c r="WGJ120" s="65"/>
      <c r="WGK120" s="65"/>
      <c r="WGL120" s="65"/>
      <c r="WGM120" s="65"/>
      <c r="WGN120" s="65"/>
      <c r="WGO120" s="65"/>
      <c r="WGP120" s="65"/>
      <c r="WGQ120" s="65"/>
      <c r="WGR120" s="65"/>
      <c r="WGS120" s="65"/>
      <c r="WGT120" s="65"/>
      <c r="WGU120" s="65"/>
      <c r="WGV120" s="65"/>
      <c r="WGW120" s="65"/>
      <c r="WGX120" s="65"/>
      <c r="WGY120" s="65"/>
      <c r="WGZ120" s="65"/>
      <c r="WHA120" s="65"/>
      <c r="WHB120" s="65"/>
      <c r="WHC120" s="65"/>
      <c r="WHD120" s="65"/>
      <c r="WHE120" s="65"/>
      <c r="WHF120" s="65"/>
      <c r="WHG120" s="65"/>
      <c r="WHH120" s="65"/>
      <c r="WHI120" s="65"/>
      <c r="WHJ120" s="65"/>
      <c r="WHK120" s="65"/>
      <c r="WHL120" s="65"/>
      <c r="WHM120" s="65"/>
      <c r="WHN120" s="65"/>
      <c r="WHO120" s="65"/>
      <c r="WHP120" s="65"/>
      <c r="WHQ120" s="65"/>
      <c r="WHR120" s="65"/>
      <c r="WHS120" s="65"/>
      <c r="WHT120" s="65"/>
      <c r="WHU120" s="65"/>
      <c r="WHV120" s="65"/>
      <c r="WHW120" s="65"/>
      <c r="WHX120" s="65"/>
      <c r="WHY120" s="65"/>
      <c r="WHZ120" s="65"/>
      <c r="WIA120" s="65"/>
      <c r="WIB120" s="65"/>
      <c r="WIC120" s="65"/>
      <c r="WID120" s="65"/>
      <c r="WIE120" s="65"/>
      <c r="WIF120" s="65"/>
      <c r="WIG120" s="65"/>
      <c r="WIH120" s="65"/>
      <c r="WII120" s="65"/>
      <c r="WIJ120" s="65"/>
      <c r="WIK120" s="65"/>
      <c r="WIL120" s="65"/>
      <c r="WIM120" s="65"/>
      <c r="WIN120" s="65"/>
      <c r="WIO120" s="65"/>
      <c r="WIP120" s="65"/>
      <c r="WIQ120" s="65"/>
      <c r="WIR120" s="65"/>
      <c r="WIS120" s="65"/>
      <c r="WIT120" s="65"/>
      <c r="WIU120" s="65"/>
      <c r="WIV120" s="65"/>
      <c r="WIW120" s="65"/>
      <c r="WIX120" s="65"/>
      <c r="WIY120" s="65"/>
      <c r="WIZ120" s="65"/>
      <c r="WJA120" s="65"/>
      <c r="WJB120" s="65"/>
      <c r="WJC120" s="65"/>
      <c r="WJD120" s="65"/>
      <c r="WJE120" s="65"/>
      <c r="WJF120" s="65"/>
      <c r="WJG120" s="65"/>
      <c r="WJH120" s="65"/>
      <c r="WJI120" s="65"/>
      <c r="WJJ120" s="65"/>
      <c r="WJK120" s="65"/>
      <c r="WJL120" s="65"/>
      <c r="WJM120" s="65"/>
      <c r="WJN120" s="65"/>
      <c r="WJO120" s="65"/>
      <c r="WJP120" s="65"/>
      <c r="WJQ120" s="65"/>
      <c r="WJR120" s="65"/>
      <c r="WJS120" s="65"/>
      <c r="WJT120" s="65"/>
      <c r="WJU120" s="65"/>
      <c r="WJV120" s="65"/>
      <c r="WJW120" s="65"/>
      <c r="WJX120" s="65"/>
      <c r="WJY120" s="65"/>
      <c r="WJZ120" s="65"/>
      <c r="WKA120" s="65"/>
      <c r="WKB120" s="65"/>
      <c r="WKC120" s="65"/>
      <c r="WKD120" s="65"/>
      <c r="WKE120" s="65"/>
      <c r="WKF120" s="65"/>
      <c r="WKG120" s="65"/>
      <c r="WKH120" s="65"/>
      <c r="WKI120" s="65"/>
      <c r="WKJ120" s="65"/>
      <c r="WKK120" s="65"/>
      <c r="WKL120" s="65"/>
      <c r="WKM120" s="65"/>
      <c r="WKN120" s="65"/>
      <c r="WKO120" s="65"/>
      <c r="WKP120" s="65"/>
      <c r="WKQ120" s="65"/>
      <c r="WKR120" s="65"/>
      <c r="WKS120" s="65"/>
      <c r="WKT120" s="65"/>
      <c r="WKU120" s="65"/>
      <c r="WKV120" s="65"/>
      <c r="WKW120" s="65"/>
      <c r="WKX120" s="65"/>
      <c r="WKY120" s="65"/>
      <c r="WKZ120" s="65"/>
      <c r="WLA120" s="65"/>
      <c r="WLB120" s="65"/>
      <c r="WLC120" s="65"/>
      <c r="WLD120" s="65"/>
      <c r="WLE120" s="65"/>
      <c r="WLF120" s="65"/>
      <c r="WLG120" s="65"/>
      <c r="WLH120" s="65"/>
      <c r="WLI120" s="65"/>
      <c r="WLJ120" s="65"/>
      <c r="WLK120" s="65"/>
      <c r="WLL120" s="65"/>
      <c r="WLM120" s="65"/>
      <c r="WLN120" s="65"/>
      <c r="WLO120" s="65"/>
      <c r="WLP120" s="65"/>
      <c r="WLQ120" s="65"/>
      <c r="WLR120" s="65"/>
      <c r="WLS120" s="65"/>
      <c r="WLT120" s="65"/>
      <c r="WLU120" s="65"/>
      <c r="WLV120" s="65"/>
      <c r="WLW120" s="65"/>
      <c r="WLX120" s="65"/>
      <c r="WLY120" s="65"/>
      <c r="WLZ120" s="65"/>
      <c r="WMA120" s="65"/>
      <c r="WMB120" s="65"/>
      <c r="WMC120" s="65"/>
      <c r="WMD120" s="65"/>
      <c r="WME120" s="65"/>
      <c r="WMF120" s="65"/>
      <c r="WMG120" s="65"/>
      <c r="WMH120" s="65"/>
      <c r="WMI120" s="65"/>
      <c r="WMJ120" s="65"/>
      <c r="WMK120" s="65"/>
      <c r="WML120" s="65"/>
      <c r="WMM120" s="65"/>
      <c r="WMN120" s="65"/>
      <c r="WMO120" s="65"/>
      <c r="WMP120" s="65"/>
      <c r="WMQ120" s="65"/>
      <c r="WMR120" s="65"/>
      <c r="WMS120" s="65"/>
      <c r="WMT120" s="65"/>
      <c r="WMU120" s="65"/>
      <c r="WMV120" s="65"/>
      <c r="WMW120" s="65"/>
      <c r="WMX120" s="65"/>
      <c r="WMY120" s="65"/>
      <c r="WMZ120" s="65"/>
      <c r="WNA120" s="65"/>
      <c r="WNB120" s="65"/>
      <c r="WNC120" s="65"/>
      <c r="WND120" s="65"/>
      <c r="WNE120" s="65"/>
      <c r="WNF120" s="65"/>
      <c r="WNG120" s="65"/>
      <c r="WNH120" s="65"/>
      <c r="WNI120" s="65"/>
      <c r="WNJ120" s="65"/>
      <c r="WNK120" s="65"/>
      <c r="WNL120" s="65"/>
      <c r="WNM120" s="65"/>
      <c r="WNN120" s="65"/>
      <c r="WNO120" s="65"/>
      <c r="WNP120" s="65"/>
      <c r="WNQ120" s="65"/>
      <c r="WNR120" s="65"/>
      <c r="WNS120" s="65"/>
      <c r="WNT120" s="65"/>
      <c r="WNU120" s="65"/>
      <c r="WNV120" s="65"/>
      <c r="WNW120" s="65"/>
      <c r="WNX120" s="65"/>
      <c r="WNY120" s="65"/>
      <c r="WNZ120" s="65"/>
      <c r="WOA120" s="65"/>
      <c r="WOB120" s="65"/>
      <c r="WOC120" s="65"/>
      <c r="WOD120" s="65"/>
      <c r="WOE120" s="65"/>
      <c r="WOF120" s="65"/>
      <c r="WOG120" s="65"/>
      <c r="WOH120" s="65"/>
      <c r="WOI120" s="65"/>
      <c r="WOJ120" s="65"/>
      <c r="WOK120" s="65"/>
      <c r="WOL120" s="65"/>
      <c r="WOM120" s="65"/>
      <c r="WON120" s="65"/>
      <c r="WOO120" s="65"/>
      <c r="WOP120" s="65"/>
      <c r="WOQ120" s="65"/>
      <c r="WOR120" s="65"/>
      <c r="WOS120" s="65"/>
      <c r="WOT120" s="65"/>
      <c r="WOU120" s="65"/>
      <c r="WOV120" s="65"/>
      <c r="WOW120" s="65"/>
      <c r="WOX120" s="65"/>
      <c r="WOY120" s="65"/>
      <c r="WOZ120" s="65"/>
      <c r="WPA120" s="65"/>
      <c r="WPB120" s="65"/>
      <c r="WPC120" s="65"/>
      <c r="WPD120" s="65"/>
      <c r="WPE120" s="65"/>
      <c r="WPF120" s="65"/>
      <c r="WPG120" s="65"/>
      <c r="WPH120" s="65"/>
      <c r="WPI120" s="65"/>
      <c r="WPJ120" s="65"/>
      <c r="WPK120" s="65"/>
      <c r="WPL120" s="65"/>
      <c r="WPM120" s="65"/>
      <c r="WPN120" s="65"/>
      <c r="WPO120" s="65"/>
      <c r="WPP120" s="65"/>
      <c r="WPQ120" s="65"/>
      <c r="WPR120" s="65"/>
      <c r="WPS120" s="65"/>
      <c r="WPT120" s="65"/>
      <c r="WPU120" s="65"/>
      <c r="WPV120" s="65"/>
      <c r="WPW120" s="65"/>
      <c r="WPX120" s="65"/>
      <c r="WPY120" s="65"/>
      <c r="WPZ120" s="65"/>
      <c r="WQA120" s="65"/>
      <c r="WQB120" s="65"/>
      <c r="WQC120" s="65"/>
      <c r="WQD120" s="65"/>
      <c r="WQE120" s="65"/>
      <c r="WQF120" s="65"/>
      <c r="WQG120" s="65"/>
      <c r="WQH120" s="65"/>
      <c r="WQI120" s="65"/>
      <c r="WQJ120" s="65"/>
      <c r="WQK120" s="65"/>
      <c r="WQL120" s="65"/>
      <c r="WQM120" s="65"/>
      <c r="WQN120" s="65"/>
      <c r="WQO120" s="65"/>
      <c r="WQP120" s="65"/>
      <c r="WQQ120" s="65"/>
      <c r="WQR120" s="65"/>
      <c r="WQS120" s="65"/>
      <c r="WQT120" s="65"/>
      <c r="WQU120" s="65"/>
      <c r="WQV120" s="65"/>
      <c r="WQW120" s="65"/>
      <c r="WQX120" s="65"/>
      <c r="WQY120" s="65"/>
      <c r="WQZ120" s="65"/>
      <c r="WRA120" s="65"/>
      <c r="WRB120" s="65"/>
      <c r="WRC120" s="65"/>
      <c r="WRD120" s="65"/>
      <c r="WRE120" s="65"/>
      <c r="WRF120" s="65"/>
      <c r="WRG120" s="65"/>
      <c r="WRH120" s="65"/>
      <c r="WRI120" s="65"/>
      <c r="WRJ120" s="65"/>
      <c r="WRK120" s="65"/>
      <c r="WRL120" s="65"/>
      <c r="WRM120" s="65"/>
      <c r="WRN120" s="65"/>
      <c r="WRO120" s="65"/>
      <c r="WRP120" s="65"/>
      <c r="WRQ120" s="65"/>
      <c r="WRR120" s="65"/>
      <c r="WRS120" s="65"/>
      <c r="WRT120" s="65"/>
      <c r="WRU120" s="65"/>
      <c r="WRV120" s="65"/>
      <c r="WRW120" s="65"/>
      <c r="WRX120" s="65"/>
      <c r="WRY120" s="65"/>
      <c r="WRZ120" s="65"/>
      <c r="WSA120" s="65"/>
      <c r="WSB120" s="65"/>
      <c r="WSC120" s="65"/>
      <c r="WSD120" s="65"/>
      <c r="WSE120" s="65"/>
      <c r="WSF120" s="65"/>
      <c r="WSG120" s="65"/>
      <c r="WSH120" s="65"/>
      <c r="WSI120" s="65"/>
      <c r="WSJ120" s="65"/>
      <c r="WSK120" s="65"/>
      <c r="WSL120" s="65"/>
      <c r="WSM120" s="65"/>
      <c r="WSN120" s="65"/>
      <c r="WSO120" s="65"/>
      <c r="WSP120" s="65"/>
      <c r="WSQ120" s="65"/>
      <c r="WSR120" s="65"/>
      <c r="WSS120" s="65"/>
      <c r="WST120" s="65"/>
      <c r="WSU120" s="65"/>
      <c r="WSV120" s="65"/>
      <c r="WSW120" s="65"/>
      <c r="WSX120" s="65"/>
      <c r="WSY120" s="65"/>
      <c r="WSZ120" s="65"/>
      <c r="WTA120" s="65"/>
      <c r="WTB120" s="65"/>
      <c r="WTC120" s="65"/>
      <c r="WTD120" s="65"/>
      <c r="WTE120" s="65"/>
      <c r="WTF120" s="65"/>
      <c r="WTG120" s="65"/>
      <c r="WTH120" s="65"/>
      <c r="WTI120" s="65"/>
      <c r="WTJ120" s="65"/>
      <c r="WTK120" s="65"/>
      <c r="WTL120" s="65"/>
      <c r="WTM120" s="65"/>
      <c r="WTN120" s="65"/>
      <c r="WTO120" s="65"/>
      <c r="WTP120" s="65"/>
      <c r="WTQ120" s="65"/>
      <c r="WTR120" s="65"/>
      <c r="WTS120" s="65"/>
      <c r="WTT120" s="65"/>
      <c r="WTU120" s="65"/>
      <c r="WTV120" s="65"/>
      <c r="WTW120" s="65"/>
      <c r="WTX120" s="65"/>
      <c r="WTY120" s="65"/>
      <c r="WTZ120" s="65"/>
      <c r="WUA120" s="65"/>
      <c r="WUB120" s="65"/>
      <c r="WUC120" s="65"/>
      <c r="WUD120" s="65"/>
      <c r="WUE120" s="65"/>
      <c r="WUF120" s="65"/>
      <c r="WUG120" s="65"/>
      <c r="WUH120" s="65"/>
      <c r="WUI120" s="65"/>
      <c r="WUJ120" s="65"/>
      <c r="WUK120" s="65"/>
      <c r="WUL120" s="65"/>
      <c r="WUM120" s="65"/>
      <c r="WUN120" s="65"/>
      <c r="WUO120" s="65"/>
      <c r="WUP120" s="65"/>
      <c r="WUQ120" s="65"/>
      <c r="WUR120" s="65"/>
      <c r="WUS120" s="65"/>
      <c r="WUT120" s="65"/>
      <c r="WUU120" s="65"/>
      <c r="WUV120" s="65"/>
      <c r="WUW120" s="65"/>
      <c r="WUX120" s="65"/>
      <c r="WUY120" s="65"/>
      <c r="WUZ120" s="65"/>
      <c r="WVA120" s="65"/>
      <c r="WVB120" s="65"/>
      <c r="WVC120" s="65"/>
      <c r="WVD120" s="65"/>
      <c r="WVE120" s="65"/>
      <c r="WVF120" s="65"/>
      <c r="WVG120" s="65"/>
      <c r="WVH120" s="65"/>
      <c r="WVI120" s="65"/>
      <c r="WVJ120" s="65"/>
      <c r="WVK120" s="65"/>
      <c r="WVL120" s="65"/>
      <c r="WVM120" s="65"/>
      <c r="WVN120" s="65"/>
      <c r="WVO120" s="65"/>
      <c r="WVP120" s="65"/>
      <c r="WVQ120" s="65"/>
      <c r="WVR120" s="65"/>
      <c r="WVS120" s="65"/>
      <c r="WVT120" s="65"/>
      <c r="WVU120" s="65"/>
      <c r="WVV120" s="65"/>
      <c r="WVW120" s="65"/>
      <c r="WVX120" s="65"/>
      <c r="WVY120" s="65"/>
      <c r="WVZ120" s="65"/>
      <c r="WWA120" s="65"/>
      <c r="WWB120" s="65"/>
      <c r="WWC120" s="65"/>
      <c r="WWD120" s="65"/>
      <c r="WWE120" s="65"/>
      <c r="WWF120" s="65"/>
      <c r="WWG120" s="65"/>
      <c r="WWH120" s="65"/>
      <c r="WWI120" s="65"/>
      <c r="WWJ120" s="65"/>
      <c r="WWK120" s="65"/>
      <c r="WWL120" s="65"/>
      <c r="WWM120" s="65"/>
      <c r="WWN120" s="65"/>
      <c r="WWO120" s="65"/>
      <c r="WWP120" s="65"/>
      <c r="WWQ120" s="65"/>
      <c r="WWR120" s="65"/>
      <c r="WWS120" s="65"/>
      <c r="WWT120" s="65"/>
      <c r="WWU120" s="65"/>
      <c r="WWV120" s="65"/>
      <c r="WWW120" s="65"/>
      <c r="WWX120" s="65"/>
      <c r="WWY120" s="65"/>
      <c r="WWZ120" s="65"/>
      <c r="WXA120" s="65"/>
      <c r="WXB120" s="65"/>
      <c r="WXC120" s="65"/>
      <c r="WXD120" s="65"/>
      <c r="WXE120" s="65"/>
      <c r="WXF120" s="65"/>
      <c r="WXG120" s="65"/>
      <c r="WXH120" s="65"/>
      <c r="WXI120" s="65"/>
      <c r="WXJ120" s="65"/>
      <c r="WXK120" s="65"/>
      <c r="WXL120" s="65"/>
      <c r="WXM120" s="65"/>
      <c r="WXN120" s="65"/>
      <c r="WXO120" s="65"/>
      <c r="WXP120" s="65"/>
      <c r="WXQ120" s="65"/>
      <c r="WXR120" s="65"/>
      <c r="WXS120" s="65"/>
      <c r="WXT120" s="65"/>
      <c r="WXU120" s="65"/>
      <c r="WXV120" s="65"/>
      <c r="WXW120" s="65"/>
      <c r="WXX120" s="65"/>
      <c r="WXY120" s="65"/>
      <c r="WXZ120" s="65"/>
      <c r="WYA120" s="65"/>
      <c r="WYB120" s="65"/>
      <c r="WYC120" s="65"/>
      <c r="WYD120" s="65"/>
      <c r="WYE120" s="65"/>
      <c r="WYF120" s="65"/>
      <c r="WYG120" s="65"/>
      <c r="WYH120" s="65"/>
      <c r="WYI120" s="65"/>
      <c r="WYJ120" s="65"/>
      <c r="WYK120" s="65"/>
      <c r="WYL120" s="65"/>
      <c r="WYM120" s="65"/>
      <c r="WYN120" s="65"/>
      <c r="WYO120" s="65"/>
      <c r="WYP120" s="65"/>
      <c r="WYQ120" s="65"/>
      <c r="WYR120" s="65"/>
      <c r="WYS120" s="65"/>
      <c r="WYT120" s="65"/>
      <c r="WYU120" s="65"/>
      <c r="WYV120" s="65"/>
      <c r="WYW120" s="65"/>
      <c r="WYX120" s="65"/>
      <c r="WYY120" s="65"/>
      <c r="WYZ120" s="65"/>
      <c r="WZA120" s="65"/>
      <c r="WZB120" s="65"/>
      <c r="WZC120" s="65"/>
      <c r="WZD120" s="65"/>
      <c r="WZE120" s="65"/>
      <c r="WZF120" s="65"/>
      <c r="WZG120" s="65"/>
      <c r="WZH120" s="65"/>
      <c r="WZI120" s="65"/>
      <c r="WZJ120" s="65"/>
      <c r="WZK120" s="65"/>
      <c r="WZL120" s="65"/>
      <c r="WZM120" s="65"/>
      <c r="WZN120" s="65"/>
      <c r="WZO120" s="65"/>
      <c r="WZP120" s="65"/>
      <c r="WZQ120" s="65"/>
      <c r="WZR120" s="65"/>
      <c r="WZS120" s="65"/>
      <c r="WZT120" s="65"/>
      <c r="WZU120" s="65"/>
      <c r="WZV120" s="65"/>
      <c r="WZW120" s="65"/>
      <c r="WZX120" s="65"/>
      <c r="WZY120" s="65"/>
      <c r="WZZ120" s="65"/>
      <c r="XAA120" s="65"/>
      <c r="XAB120" s="65"/>
      <c r="XAC120" s="65"/>
      <c r="XAD120" s="65"/>
      <c r="XAE120" s="65"/>
      <c r="XAF120" s="65"/>
      <c r="XAG120" s="65"/>
      <c r="XAH120" s="65"/>
      <c r="XAI120" s="65"/>
      <c r="XAJ120" s="65"/>
      <c r="XAK120" s="65"/>
      <c r="XAL120" s="65"/>
      <c r="XAM120" s="65"/>
      <c r="XAN120" s="65"/>
      <c r="XAO120" s="65"/>
      <c r="XAP120" s="65"/>
      <c r="XAQ120" s="65"/>
      <c r="XAR120" s="65"/>
      <c r="XAS120" s="65"/>
      <c r="XAT120" s="65"/>
      <c r="XAU120" s="65"/>
      <c r="XAV120" s="65"/>
      <c r="XAW120" s="65"/>
      <c r="XAX120" s="65"/>
      <c r="XAY120" s="65"/>
      <c r="XAZ120" s="65"/>
      <c r="XBA120" s="65"/>
      <c r="XBB120" s="65"/>
      <c r="XBC120" s="65"/>
      <c r="XBD120" s="65"/>
      <c r="XBE120" s="65"/>
      <c r="XBF120" s="65"/>
      <c r="XBG120" s="65"/>
      <c r="XBH120" s="65"/>
      <c r="XBI120" s="65"/>
      <c r="XBJ120" s="65"/>
      <c r="XBK120" s="65"/>
      <c r="XBL120" s="65"/>
      <c r="XBM120" s="65"/>
      <c r="XBN120" s="65"/>
      <c r="XBO120" s="65"/>
      <c r="XBP120" s="65"/>
      <c r="XBQ120" s="65"/>
      <c r="XBR120" s="65"/>
      <c r="XBS120" s="65"/>
      <c r="XBT120" s="65"/>
      <c r="XBU120" s="65"/>
      <c r="XBV120" s="65"/>
      <c r="XBW120" s="65"/>
      <c r="XBX120" s="65"/>
      <c r="XBY120" s="65"/>
      <c r="XBZ120" s="65"/>
      <c r="XCA120" s="65"/>
      <c r="XCB120" s="65"/>
      <c r="XCC120" s="65"/>
      <c r="XCD120" s="65"/>
      <c r="XCE120" s="65"/>
      <c r="XCF120" s="65"/>
      <c r="XCG120" s="65"/>
      <c r="XCH120" s="65"/>
      <c r="XCI120" s="65"/>
      <c r="XCJ120" s="65"/>
      <c r="XCK120" s="65"/>
      <c r="XCL120" s="65"/>
      <c r="XCM120" s="65"/>
      <c r="XCN120" s="65"/>
      <c r="XCO120" s="65"/>
      <c r="XCP120" s="65"/>
      <c r="XCQ120" s="65"/>
      <c r="XCR120" s="65"/>
      <c r="XCS120" s="65"/>
      <c r="XCT120" s="65"/>
      <c r="XCU120" s="65"/>
      <c r="XCV120" s="65"/>
      <c r="XCW120" s="65"/>
      <c r="XCX120" s="65"/>
      <c r="XCY120" s="65"/>
      <c r="XCZ120" s="65"/>
      <c r="XDA120" s="65"/>
      <c r="XDB120" s="65"/>
      <c r="XDC120" s="65"/>
      <c r="XDD120" s="65"/>
      <c r="XDE120" s="65"/>
      <c r="XDF120" s="65"/>
      <c r="XDG120" s="65"/>
      <c r="XDH120" s="65"/>
      <c r="XDI120" s="65"/>
      <c r="XDJ120" s="65"/>
      <c r="XDK120" s="65"/>
      <c r="XDL120" s="65"/>
      <c r="XDM120" s="65"/>
      <c r="XDN120" s="65"/>
      <c r="XDO120" s="65"/>
      <c r="XDP120" s="65"/>
      <c r="XDQ120" s="65"/>
      <c r="XDR120" s="65"/>
      <c r="XDS120" s="65"/>
      <c r="XDT120" s="65"/>
      <c r="XDU120" s="65"/>
      <c r="XDV120" s="65"/>
      <c r="XDW120" s="65"/>
      <c r="XDX120" s="65"/>
      <c r="XDY120" s="65"/>
      <c r="XDZ120" s="65"/>
      <c r="XEA120" s="65"/>
      <c r="XEB120" s="65"/>
      <c r="XEC120" s="65"/>
      <c r="XED120" s="65"/>
      <c r="XEE120" s="65"/>
      <c r="XEF120" s="65"/>
      <c r="XEG120" s="65"/>
      <c r="XEH120" s="65"/>
      <c r="XEI120" s="65"/>
      <c r="XEJ120" s="65"/>
      <c r="XEK120" s="65"/>
      <c r="XEL120" s="65"/>
      <c r="XEM120" s="65"/>
      <c r="XEN120" s="65"/>
      <c r="XEO120" s="65"/>
      <c r="XEP120" s="65"/>
      <c r="XEQ120" s="65"/>
      <c r="XER120" s="65"/>
      <c r="XES120" s="65"/>
      <c r="XET120" s="65"/>
      <c r="XEU120" s="65"/>
      <c r="XEV120" s="65"/>
      <c r="XEW120" s="65"/>
      <c r="XEX120" s="65"/>
      <c r="XEY120" s="65"/>
      <c r="XEZ120" s="65"/>
    </row>
    <row r="121" spans="1:16380" x14ac:dyDescent="0.25">
      <c r="A121" s="65" t="s">
        <v>146</v>
      </c>
      <c r="B121" s="65" t="str">
        <f>VLOOKUP(A121,'Korrigerade leveranser GD'!$A$4:$B$482,2,FALSE)</f>
        <v>Säter</v>
      </c>
      <c r="C121" s="68">
        <v>1</v>
      </c>
      <c r="D121" s="68">
        <v>1.47</v>
      </c>
      <c r="E121" s="68">
        <v>0</v>
      </c>
      <c r="F121" s="68">
        <v>0</v>
      </c>
      <c r="G121" s="68">
        <v>1</v>
      </c>
      <c r="H121" s="68">
        <v>1.7290000000000001</v>
      </c>
      <c r="I121" s="68">
        <v>1.754</v>
      </c>
      <c r="J121" s="68">
        <v>1.754</v>
      </c>
      <c r="K121" s="68">
        <v>1.6</v>
      </c>
      <c r="L121" s="68">
        <v>1.6</v>
      </c>
      <c r="M121" s="68">
        <v>1.05</v>
      </c>
      <c r="N121" s="68">
        <v>0</v>
      </c>
      <c r="O121" s="68"/>
      <c r="P121" s="68"/>
      <c r="Q121" s="68"/>
      <c r="R121" s="68"/>
      <c r="S121" s="68" t="str">
        <f>IFERROR(VLOOKUP('Leveranser per nät'!A121,'lev 2012'!$B$2:$E$445,4,FALSE),"")</f>
        <v/>
      </c>
      <c r="T121" s="68" t="str">
        <f>IFERROR(VLOOKUP('Leveranser per nät'!A121,'lev 2013'!$B$2:$E$445,4,FALSE),"")</f>
        <v/>
      </c>
      <c r="U121" s="68" t="str">
        <f>IFERROR(VLOOKUP('Leveranser per nät'!A121,'lev 2014'!$B$2:$E$432,4,FALSE),"")</f>
        <v/>
      </c>
      <c r="V121" s="68" t="str">
        <f>IFERROR(INDEX(Levererat_2015[Leveranser till eget nät],MATCH($A121,Levererat_2015[Indexnamn],0)),"")</f>
        <v/>
      </c>
      <c r="W121" s="68" t="str">
        <f>IFERROR(INDEX(Levererat_2016[Leveranser till eget nät],MATCH($A121,Levererat_2016[Indexnamn],0)),"")</f>
        <v/>
      </c>
      <c r="X121" s="68" t="str">
        <f>IFERROR(INDEX(Tabell4[Leveranser till eget nät],MATCH('Leveranser per nät'!A121,Tabell4[[Finns i listan ]],0)),"")</f>
        <v/>
      </c>
      <c r="Y121" s="68" t="str">
        <f>IFERROR(INDEX(Tabell6[Kolumn1],MATCH($A121,Tabell6[Indexnmamn],0)),"")</f>
        <v/>
      </c>
      <c r="Z121" s="68"/>
      <c r="AA121" s="68" t="s">
        <v>779</v>
      </c>
      <c r="AB121" s="10"/>
      <c r="AC121" s="10"/>
      <c r="AF121" s="65"/>
      <c r="AG121" s="2">
        <f t="shared" si="3"/>
        <v>0</v>
      </c>
      <c r="AH121" s="103"/>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5"/>
      <c r="BS121" s="65"/>
      <c r="BT121" s="65"/>
      <c r="BU121" s="65"/>
      <c r="BV121" s="65"/>
      <c r="BW121" s="65"/>
      <c r="BX121" s="65"/>
      <c r="BY121" s="65"/>
      <c r="BZ121" s="65"/>
      <c r="CA121" s="65"/>
      <c r="CB121" s="65"/>
      <c r="CC121" s="65"/>
      <c r="CD121" s="65"/>
      <c r="CE121" s="65"/>
      <c r="CF121" s="65"/>
      <c r="CG121" s="65"/>
      <c r="CH121" s="65"/>
      <c r="CI121" s="65"/>
      <c r="CJ121" s="65"/>
      <c r="CK121" s="65"/>
      <c r="CL121" s="65"/>
      <c r="CM121" s="65"/>
      <c r="CN121" s="65"/>
      <c r="CO121" s="65"/>
      <c r="CP121" s="65"/>
      <c r="CQ121" s="65"/>
      <c r="CR121" s="65"/>
      <c r="CS121" s="65"/>
      <c r="CT121" s="65"/>
      <c r="CU121" s="65"/>
      <c r="CV121" s="65"/>
      <c r="CW121" s="65"/>
      <c r="CX121" s="65"/>
      <c r="CY121" s="65"/>
      <c r="CZ121" s="65"/>
      <c r="DA121" s="65"/>
      <c r="DB121" s="65"/>
      <c r="DC121" s="65"/>
      <c r="DD121" s="65"/>
      <c r="DE121" s="65"/>
      <c r="DF121" s="65"/>
      <c r="DG121" s="65"/>
      <c r="DH121" s="65"/>
      <c r="DI121" s="65"/>
      <c r="DJ121" s="65"/>
      <c r="DK121" s="65"/>
      <c r="DL121" s="65"/>
      <c r="DM121" s="65"/>
      <c r="DN121" s="65"/>
      <c r="DO121" s="65"/>
      <c r="DP121" s="65"/>
      <c r="DQ121" s="65"/>
      <c r="DR121" s="65"/>
      <c r="DS121" s="65"/>
      <c r="DT121" s="65"/>
      <c r="DU121" s="65"/>
      <c r="DV121" s="65"/>
      <c r="DW121" s="65"/>
      <c r="DX121" s="65"/>
      <c r="DY121" s="65"/>
      <c r="DZ121" s="65"/>
      <c r="EA121" s="65"/>
      <c r="EB121" s="65"/>
      <c r="EC121" s="65"/>
      <c r="ED121" s="65"/>
      <c r="EE121" s="65"/>
      <c r="EF121" s="65"/>
      <c r="EG121" s="65"/>
      <c r="EH121" s="65"/>
      <c r="EI121" s="65"/>
      <c r="EJ121" s="65"/>
      <c r="EK121" s="65"/>
      <c r="EL121" s="65"/>
      <c r="EM121" s="65"/>
      <c r="EN121" s="65"/>
      <c r="EO121" s="65"/>
      <c r="EP121" s="65"/>
      <c r="EQ121" s="65"/>
      <c r="ER121" s="65"/>
      <c r="ES121" s="65"/>
      <c r="ET121" s="65"/>
      <c r="EU121" s="65"/>
      <c r="EV121" s="65"/>
      <c r="EW121" s="65"/>
      <c r="EX121" s="65"/>
      <c r="EY121" s="65"/>
      <c r="EZ121" s="65"/>
      <c r="FA121" s="65"/>
      <c r="FB121" s="65"/>
      <c r="FC121" s="65"/>
      <c r="FD121" s="65"/>
      <c r="FE121" s="65"/>
      <c r="FF121" s="65"/>
      <c r="FG121" s="65"/>
      <c r="FH121" s="65"/>
      <c r="FI121" s="65"/>
      <c r="FJ121" s="65"/>
      <c r="FK121" s="65"/>
      <c r="FL121" s="65"/>
      <c r="FM121" s="65"/>
      <c r="FN121" s="65"/>
      <c r="FO121" s="65"/>
      <c r="FP121" s="65"/>
      <c r="FQ121" s="65"/>
      <c r="FR121" s="65"/>
      <c r="FS121" s="65"/>
      <c r="FT121" s="65"/>
      <c r="FU121" s="65"/>
      <c r="FV121" s="65"/>
      <c r="FW121" s="65"/>
      <c r="FX121" s="65"/>
      <c r="FY121" s="65"/>
      <c r="FZ121" s="65"/>
      <c r="GA121" s="65"/>
      <c r="GB121" s="65"/>
      <c r="GC121" s="65"/>
      <c r="GD121" s="65"/>
      <c r="GE121" s="65"/>
      <c r="GF121" s="65"/>
      <c r="GG121" s="65"/>
      <c r="GH121" s="65"/>
      <c r="GI121" s="65"/>
      <c r="GJ121" s="65"/>
      <c r="GK121" s="65"/>
      <c r="GL121" s="65"/>
      <c r="GM121" s="65"/>
      <c r="GN121" s="65"/>
      <c r="GO121" s="65"/>
      <c r="GP121" s="65"/>
      <c r="GQ121" s="65"/>
      <c r="GR121" s="65"/>
      <c r="GS121" s="65"/>
      <c r="GT121" s="65"/>
      <c r="GU121" s="65"/>
      <c r="GV121" s="65"/>
      <c r="GW121" s="65"/>
      <c r="GX121" s="65"/>
      <c r="GY121" s="65"/>
      <c r="GZ121" s="65"/>
      <c r="HA121" s="65"/>
      <c r="HB121" s="65"/>
      <c r="HC121" s="65"/>
      <c r="HD121" s="65"/>
      <c r="HE121" s="65"/>
      <c r="HF121" s="65"/>
      <c r="HG121" s="65"/>
      <c r="HH121" s="65"/>
      <c r="HI121" s="65"/>
      <c r="HJ121" s="65"/>
      <c r="HK121" s="65"/>
      <c r="HL121" s="65"/>
      <c r="HM121" s="65"/>
      <c r="HN121" s="65"/>
      <c r="HO121" s="65"/>
      <c r="HP121" s="65"/>
      <c r="HQ121" s="65"/>
      <c r="HR121" s="65"/>
      <c r="HS121" s="65"/>
      <c r="HT121" s="65"/>
      <c r="HU121" s="65"/>
      <c r="HV121" s="65"/>
      <c r="HW121" s="65"/>
      <c r="HX121" s="65"/>
      <c r="HY121" s="65"/>
      <c r="HZ121" s="65"/>
      <c r="IA121" s="65"/>
      <c r="IB121" s="65"/>
      <c r="IC121" s="65"/>
      <c r="ID121" s="65"/>
      <c r="IE121" s="65"/>
      <c r="IF121" s="65"/>
      <c r="IG121" s="65"/>
      <c r="IH121" s="65"/>
      <c r="II121" s="65"/>
      <c r="IJ121" s="65"/>
      <c r="IK121" s="65"/>
      <c r="IL121" s="65"/>
      <c r="IM121" s="65"/>
      <c r="IN121" s="65"/>
      <c r="IO121" s="65"/>
      <c r="IP121" s="65"/>
      <c r="IQ121" s="65"/>
      <c r="IR121" s="65"/>
      <c r="IS121" s="65"/>
      <c r="IT121" s="65"/>
      <c r="IU121" s="65"/>
      <c r="IV121" s="65"/>
      <c r="IW121" s="65"/>
      <c r="IX121" s="65"/>
      <c r="IY121" s="65"/>
      <c r="IZ121" s="65"/>
      <c r="JA121" s="65"/>
      <c r="JB121" s="65"/>
      <c r="JC121" s="65"/>
      <c r="JD121" s="65"/>
      <c r="JE121" s="65"/>
      <c r="JF121" s="65"/>
      <c r="JG121" s="65"/>
      <c r="JH121" s="65"/>
      <c r="JI121" s="65"/>
      <c r="JJ121" s="65"/>
      <c r="JK121" s="65"/>
      <c r="JL121" s="65"/>
      <c r="JM121" s="65"/>
      <c r="JN121" s="65"/>
      <c r="JO121" s="65"/>
      <c r="JP121" s="65"/>
      <c r="JQ121" s="65"/>
      <c r="JR121" s="65"/>
      <c r="JS121" s="65"/>
      <c r="JT121" s="65"/>
      <c r="JU121" s="65"/>
      <c r="JV121" s="65"/>
      <c r="JW121" s="65"/>
      <c r="JX121" s="65"/>
      <c r="JY121" s="65"/>
      <c r="JZ121" s="65"/>
      <c r="KA121" s="65"/>
      <c r="KB121" s="65"/>
      <c r="KC121" s="65"/>
      <c r="KD121" s="65"/>
      <c r="KE121" s="65"/>
      <c r="KF121" s="65"/>
      <c r="KG121" s="65"/>
      <c r="KH121" s="65"/>
      <c r="KI121" s="65"/>
      <c r="KJ121" s="65"/>
      <c r="KK121" s="65"/>
      <c r="KL121" s="65"/>
      <c r="KM121" s="65"/>
      <c r="KN121" s="65"/>
      <c r="KO121" s="65"/>
      <c r="KP121" s="65"/>
      <c r="KQ121" s="65"/>
      <c r="KR121" s="65"/>
      <c r="KS121" s="65"/>
      <c r="KT121" s="65"/>
      <c r="KU121" s="65"/>
      <c r="KV121" s="65"/>
      <c r="KW121" s="65"/>
      <c r="KX121" s="65"/>
      <c r="KY121" s="65"/>
      <c r="KZ121" s="65"/>
      <c r="LA121" s="65"/>
      <c r="LB121" s="65"/>
      <c r="LC121" s="65"/>
      <c r="LD121" s="65"/>
      <c r="LE121" s="65"/>
      <c r="LF121" s="65"/>
      <c r="LG121" s="65"/>
      <c r="LH121" s="65"/>
      <c r="LI121" s="65"/>
      <c r="LJ121" s="65"/>
      <c r="LK121" s="65"/>
      <c r="LL121" s="65"/>
      <c r="LM121" s="65"/>
      <c r="LN121" s="65"/>
      <c r="LO121" s="65"/>
      <c r="LP121" s="65"/>
      <c r="LQ121" s="65"/>
      <c r="LR121" s="65"/>
      <c r="LS121" s="65"/>
      <c r="LT121" s="65"/>
      <c r="LU121" s="65"/>
      <c r="LV121" s="65"/>
      <c r="LW121" s="65"/>
      <c r="LX121" s="65"/>
      <c r="LY121" s="65"/>
      <c r="LZ121" s="65"/>
      <c r="MA121" s="65"/>
      <c r="MB121" s="65"/>
      <c r="MC121" s="65"/>
      <c r="MD121" s="65"/>
      <c r="ME121" s="65"/>
      <c r="MF121" s="65"/>
      <c r="MG121" s="65"/>
      <c r="MH121" s="65"/>
      <c r="MI121" s="65"/>
      <c r="MJ121" s="65"/>
      <c r="MK121" s="65"/>
      <c r="ML121" s="65"/>
      <c r="MM121" s="65"/>
      <c r="MN121" s="65"/>
      <c r="MO121" s="65"/>
      <c r="MP121" s="65"/>
      <c r="MQ121" s="65"/>
      <c r="MR121" s="65"/>
      <c r="MS121" s="65"/>
      <c r="MT121" s="65"/>
      <c r="MU121" s="65"/>
      <c r="MV121" s="65"/>
      <c r="MW121" s="65"/>
      <c r="MX121" s="65"/>
      <c r="MY121" s="65"/>
      <c r="MZ121" s="65"/>
      <c r="NA121" s="65"/>
      <c r="NB121" s="65"/>
      <c r="NC121" s="65"/>
      <c r="ND121" s="65"/>
      <c r="NE121" s="65"/>
      <c r="NF121" s="65"/>
      <c r="NG121" s="65"/>
      <c r="NH121" s="65"/>
      <c r="NI121" s="65"/>
      <c r="NJ121" s="65"/>
      <c r="NK121" s="65"/>
      <c r="NL121" s="65"/>
      <c r="NM121" s="65"/>
      <c r="NN121" s="65"/>
      <c r="NO121" s="65"/>
      <c r="NP121" s="65"/>
      <c r="NQ121" s="65"/>
      <c r="NR121" s="65"/>
      <c r="NS121" s="65"/>
      <c r="NT121" s="65"/>
      <c r="NU121" s="65"/>
      <c r="NV121" s="65"/>
      <c r="NW121" s="65"/>
      <c r="NX121" s="65"/>
      <c r="NY121" s="65"/>
      <c r="NZ121" s="65"/>
      <c r="OA121" s="65"/>
      <c r="OB121" s="65"/>
      <c r="OC121" s="65"/>
      <c r="OD121" s="65"/>
      <c r="OE121" s="65"/>
      <c r="OF121" s="65"/>
      <c r="OG121" s="65"/>
      <c r="OH121" s="65"/>
      <c r="OI121" s="65"/>
      <c r="OJ121" s="65"/>
      <c r="OK121" s="65"/>
      <c r="OL121" s="65"/>
      <c r="OM121" s="65"/>
      <c r="ON121" s="65"/>
      <c r="OO121" s="65"/>
      <c r="OP121" s="65"/>
      <c r="OQ121" s="65"/>
      <c r="OR121" s="65"/>
      <c r="OS121" s="65"/>
      <c r="OT121" s="65"/>
      <c r="OU121" s="65"/>
      <c r="OV121" s="65"/>
      <c r="OW121" s="65"/>
      <c r="OX121" s="65"/>
      <c r="OY121" s="65"/>
      <c r="OZ121" s="65"/>
      <c r="PA121" s="65"/>
      <c r="PB121" s="65"/>
      <c r="PC121" s="65"/>
      <c r="PD121" s="65"/>
      <c r="PE121" s="65"/>
      <c r="PF121" s="65"/>
      <c r="PG121" s="65"/>
      <c r="PH121" s="65"/>
      <c r="PI121" s="65"/>
      <c r="PJ121" s="65"/>
      <c r="PK121" s="65"/>
      <c r="PL121" s="65"/>
      <c r="PM121" s="65"/>
      <c r="PN121" s="65"/>
      <c r="PO121" s="65"/>
      <c r="PP121" s="65"/>
      <c r="PQ121" s="65"/>
      <c r="PR121" s="65"/>
      <c r="PS121" s="65"/>
      <c r="PT121" s="65"/>
      <c r="PU121" s="65"/>
      <c r="PV121" s="65"/>
      <c r="PW121" s="65"/>
      <c r="PX121" s="65"/>
      <c r="PY121" s="65"/>
      <c r="PZ121" s="65"/>
      <c r="QA121" s="65"/>
      <c r="QB121" s="65"/>
      <c r="QC121" s="65"/>
      <c r="QD121" s="65"/>
      <c r="QE121" s="65"/>
      <c r="QF121" s="65"/>
      <c r="QG121" s="65"/>
      <c r="QH121" s="65"/>
      <c r="QI121" s="65"/>
      <c r="QJ121" s="65"/>
      <c r="QK121" s="65"/>
      <c r="QL121" s="65"/>
      <c r="QM121" s="65"/>
      <c r="QN121" s="65"/>
      <c r="QO121" s="65"/>
      <c r="QP121" s="65"/>
      <c r="QQ121" s="65"/>
      <c r="QR121" s="65"/>
      <c r="QS121" s="65"/>
      <c r="QT121" s="65"/>
      <c r="QU121" s="65"/>
      <c r="QV121" s="65"/>
      <c r="QW121" s="65"/>
      <c r="QX121" s="65"/>
      <c r="QY121" s="65"/>
      <c r="QZ121" s="65"/>
      <c r="RA121" s="65"/>
      <c r="RB121" s="65"/>
      <c r="RC121" s="65"/>
      <c r="RD121" s="65"/>
      <c r="RE121" s="65"/>
      <c r="RF121" s="65"/>
      <c r="RG121" s="65"/>
      <c r="RH121" s="65"/>
      <c r="RI121" s="65"/>
      <c r="RJ121" s="65"/>
      <c r="RK121" s="65"/>
      <c r="RL121" s="65"/>
      <c r="RM121" s="65"/>
      <c r="RN121" s="65"/>
      <c r="RO121" s="65"/>
      <c r="RP121" s="65"/>
      <c r="RQ121" s="65"/>
      <c r="RR121" s="65"/>
      <c r="RS121" s="65"/>
      <c r="RT121" s="65"/>
      <c r="RU121" s="65"/>
      <c r="RV121" s="65"/>
      <c r="RW121" s="65"/>
      <c r="RX121" s="65"/>
      <c r="RY121" s="65"/>
      <c r="RZ121" s="65"/>
      <c r="SA121" s="65"/>
      <c r="SB121" s="65"/>
      <c r="SC121" s="65"/>
      <c r="SD121" s="65"/>
      <c r="SE121" s="65"/>
      <c r="SF121" s="65"/>
      <c r="SG121" s="65"/>
      <c r="SH121" s="65"/>
      <c r="SI121" s="65"/>
      <c r="SJ121" s="65"/>
      <c r="SK121" s="65"/>
      <c r="SL121" s="65"/>
      <c r="SM121" s="65"/>
      <c r="SN121" s="65"/>
      <c r="SO121" s="65"/>
      <c r="SP121" s="65"/>
      <c r="SQ121" s="65"/>
      <c r="SR121" s="65"/>
      <c r="SS121" s="65"/>
      <c r="ST121" s="65"/>
      <c r="SU121" s="65"/>
      <c r="SV121" s="65"/>
      <c r="SW121" s="65"/>
      <c r="SX121" s="65"/>
      <c r="SY121" s="65"/>
      <c r="SZ121" s="65"/>
      <c r="TA121" s="65"/>
      <c r="TB121" s="65"/>
      <c r="TC121" s="65"/>
      <c r="TD121" s="65"/>
      <c r="TE121" s="65"/>
      <c r="TF121" s="65"/>
      <c r="TG121" s="65"/>
      <c r="TH121" s="65"/>
      <c r="TI121" s="65"/>
      <c r="TJ121" s="65"/>
      <c r="TK121" s="65"/>
      <c r="TL121" s="65"/>
      <c r="TM121" s="65"/>
      <c r="TN121" s="65"/>
      <c r="TO121" s="65"/>
      <c r="TP121" s="65"/>
      <c r="TQ121" s="65"/>
      <c r="TR121" s="65"/>
      <c r="TS121" s="65"/>
      <c r="TT121" s="65"/>
      <c r="TU121" s="65"/>
      <c r="TV121" s="65"/>
      <c r="TW121" s="65"/>
      <c r="TX121" s="65"/>
      <c r="TY121" s="65"/>
      <c r="TZ121" s="65"/>
      <c r="UA121" s="65"/>
      <c r="UB121" s="65"/>
      <c r="UC121" s="65"/>
      <c r="UD121" s="65"/>
      <c r="UE121" s="65"/>
      <c r="UF121" s="65"/>
      <c r="UG121" s="65"/>
      <c r="UH121" s="65"/>
      <c r="UI121" s="65"/>
      <c r="UJ121" s="65"/>
      <c r="UK121" s="65"/>
      <c r="UL121" s="65"/>
      <c r="UM121" s="65"/>
      <c r="UN121" s="65"/>
      <c r="UO121" s="65"/>
      <c r="UP121" s="65"/>
      <c r="UQ121" s="65"/>
      <c r="UR121" s="65"/>
      <c r="US121" s="65"/>
      <c r="UT121" s="65"/>
      <c r="UU121" s="65"/>
      <c r="UV121" s="65"/>
      <c r="UW121" s="65"/>
      <c r="UX121" s="65"/>
      <c r="UY121" s="65"/>
      <c r="UZ121" s="65"/>
      <c r="VA121" s="65"/>
      <c r="VB121" s="65"/>
      <c r="VC121" s="65"/>
      <c r="VD121" s="65"/>
      <c r="VE121" s="65"/>
      <c r="VF121" s="65"/>
      <c r="VG121" s="65"/>
      <c r="VH121" s="65"/>
      <c r="VI121" s="65"/>
      <c r="VJ121" s="65"/>
      <c r="VK121" s="65"/>
      <c r="VL121" s="65"/>
      <c r="VM121" s="65"/>
      <c r="VN121" s="65"/>
      <c r="VO121" s="65"/>
      <c r="VP121" s="65"/>
      <c r="VQ121" s="65"/>
      <c r="VR121" s="65"/>
      <c r="VS121" s="65"/>
      <c r="VT121" s="65"/>
      <c r="VU121" s="65"/>
      <c r="VV121" s="65"/>
      <c r="VW121" s="65"/>
      <c r="VX121" s="65"/>
      <c r="VY121" s="65"/>
      <c r="VZ121" s="65"/>
      <c r="WA121" s="65"/>
      <c r="WB121" s="65"/>
      <c r="WC121" s="65"/>
      <c r="WD121" s="65"/>
      <c r="WE121" s="65"/>
      <c r="WF121" s="65"/>
      <c r="WG121" s="65"/>
      <c r="WH121" s="65"/>
      <c r="WI121" s="65"/>
      <c r="WJ121" s="65"/>
      <c r="WK121" s="65"/>
      <c r="WL121" s="65"/>
      <c r="WM121" s="65"/>
      <c r="WN121" s="65"/>
      <c r="WO121" s="65"/>
      <c r="WP121" s="65"/>
      <c r="WQ121" s="65"/>
      <c r="WR121" s="65"/>
      <c r="WS121" s="65"/>
      <c r="WT121" s="65"/>
      <c r="WU121" s="65"/>
      <c r="WV121" s="65"/>
      <c r="WW121" s="65"/>
      <c r="WX121" s="65"/>
      <c r="WY121" s="65"/>
      <c r="WZ121" s="65"/>
      <c r="XA121" s="65"/>
      <c r="XB121" s="65"/>
      <c r="XC121" s="65"/>
      <c r="XD121" s="65"/>
      <c r="XE121" s="65"/>
      <c r="XF121" s="65"/>
      <c r="XG121" s="65"/>
      <c r="XH121" s="65"/>
      <c r="XI121" s="65"/>
      <c r="XJ121" s="65"/>
      <c r="XK121" s="65"/>
      <c r="XL121" s="65"/>
      <c r="XM121" s="65"/>
      <c r="XN121" s="65"/>
      <c r="XO121" s="65"/>
      <c r="XP121" s="65"/>
      <c r="XQ121" s="65"/>
      <c r="XR121" s="65"/>
      <c r="XS121" s="65"/>
      <c r="XT121" s="65"/>
      <c r="XU121" s="65"/>
      <c r="XV121" s="65"/>
      <c r="XW121" s="65"/>
      <c r="XX121" s="65"/>
      <c r="XY121" s="65"/>
      <c r="XZ121" s="65"/>
      <c r="YA121" s="65"/>
      <c r="YB121" s="65"/>
      <c r="YC121" s="65"/>
      <c r="YD121" s="65"/>
      <c r="YE121" s="65"/>
      <c r="YF121" s="65"/>
      <c r="YG121" s="65"/>
      <c r="YH121" s="65"/>
      <c r="YI121" s="65"/>
      <c r="YJ121" s="65"/>
      <c r="YK121" s="65"/>
      <c r="YL121" s="65"/>
      <c r="YM121" s="65"/>
      <c r="YN121" s="65"/>
      <c r="YO121" s="65"/>
      <c r="YP121" s="65"/>
      <c r="YQ121" s="65"/>
      <c r="YR121" s="65"/>
      <c r="YS121" s="65"/>
      <c r="YT121" s="65"/>
      <c r="YU121" s="65"/>
      <c r="YV121" s="65"/>
      <c r="YW121" s="65"/>
      <c r="YX121" s="65"/>
      <c r="YY121" s="65"/>
      <c r="YZ121" s="65"/>
      <c r="ZA121" s="65"/>
      <c r="ZB121" s="65"/>
      <c r="ZC121" s="65"/>
      <c r="ZD121" s="65"/>
      <c r="ZE121" s="65"/>
      <c r="ZF121" s="65"/>
      <c r="ZG121" s="65"/>
      <c r="ZH121" s="65"/>
      <c r="ZI121" s="65"/>
      <c r="ZJ121" s="65"/>
      <c r="ZK121" s="65"/>
      <c r="ZL121" s="65"/>
      <c r="ZM121" s="65"/>
      <c r="ZN121" s="65"/>
      <c r="ZO121" s="65"/>
      <c r="ZP121" s="65"/>
      <c r="ZQ121" s="65"/>
      <c r="ZR121" s="65"/>
      <c r="ZS121" s="65"/>
      <c r="ZT121" s="65"/>
      <c r="ZU121" s="65"/>
      <c r="ZV121" s="65"/>
      <c r="ZW121" s="65"/>
      <c r="ZX121" s="65"/>
      <c r="ZY121" s="65"/>
      <c r="ZZ121" s="65"/>
      <c r="AAA121" s="65"/>
      <c r="AAB121" s="65"/>
      <c r="AAC121" s="65"/>
      <c r="AAD121" s="65"/>
      <c r="AAE121" s="65"/>
      <c r="AAF121" s="65"/>
      <c r="AAG121" s="65"/>
      <c r="AAH121" s="65"/>
      <c r="AAI121" s="65"/>
      <c r="AAJ121" s="65"/>
      <c r="AAK121" s="65"/>
      <c r="AAL121" s="65"/>
      <c r="AAM121" s="65"/>
      <c r="AAN121" s="65"/>
      <c r="AAO121" s="65"/>
      <c r="AAP121" s="65"/>
      <c r="AAQ121" s="65"/>
      <c r="AAR121" s="65"/>
      <c r="AAS121" s="65"/>
      <c r="AAT121" s="65"/>
      <c r="AAU121" s="65"/>
      <c r="AAV121" s="65"/>
      <c r="AAW121" s="65"/>
      <c r="AAX121" s="65"/>
      <c r="AAY121" s="65"/>
      <c r="AAZ121" s="65"/>
      <c r="ABA121" s="65"/>
      <c r="ABB121" s="65"/>
      <c r="ABC121" s="65"/>
      <c r="ABD121" s="65"/>
      <c r="ABE121" s="65"/>
      <c r="ABF121" s="65"/>
      <c r="ABG121" s="65"/>
      <c r="ABH121" s="65"/>
      <c r="ABI121" s="65"/>
      <c r="ABJ121" s="65"/>
      <c r="ABK121" s="65"/>
      <c r="ABL121" s="65"/>
      <c r="ABM121" s="65"/>
      <c r="ABN121" s="65"/>
      <c r="ABO121" s="65"/>
      <c r="ABP121" s="65"/>
      <c r="ABQ121" s="65"/>
      <c r="ABR121" s="65"/>
      <c r="ABS121" s="65"/>
      <c r="ABT121" s="65"/>
      <c r="ABU121" s="65"/>
      <c r="ABV121" s="65"/>
      <c r="ABW121" s="65"/>
      <c r="ABX121" s="65"/>
      <c r="ABY121" s="65"/>
      <c r="ABZ121" s="65"/>
      <c r="ACA121" s="65"/>
      <c r="ACB121" s="65"/>
      <c r="ACC121" s="65"/>
      <c r="ACD121" s="65"/>
      <c r="ACE121" s="65"/>
      <c r="ACF121" s="65"/>
      <c r="ACG121" s="65"/>
      <c r="ACH121" s="65"/>
      <c r="ACI121" s="65"/>
      <c r="ACJ121" s="65"/>
      <c r="ACK121" s="65"/>
      <c r="ACL121" s="65"/>
      <c r="ACM121" s="65"/>
      <c r="ACN121" s="65"/>
      <c r="ACO121" s="65"/>
      <c r="ACP121" s="65"/>
      <c r="ACQ121" s="65"/>
      <c r="ACR121" s="65"/>
      <c r="ACS121" s="65"/>
      <c r="ACT121" s="65"/>
      <c r="ACU121" s="65"/>
      <c r="ACV121" s="65"/>
      <c r="ACW121" s="65"/>
      <c r="ACX121" s="65"/>
      <c r="ACY121" s="65"/>
      <c r="ACZ121" s="65"/>
      <c r="ADA121" s="65"/>
      <c r="ADB121" s="65"/>
      <c r="ADC121" s="65"/>
      <c r="ADD121" s="65"/>
      <c r="ADE121" s="65"/>
      <c r="ADF121" s="65"/>
      <c r="ADG121" s="65"/>
      <c r="ADH121" s="65"/>
      <c r="ADI121" s="65"/>
      <c r="ADJ121" s="65"/>
      <c r="ADK121" s="65"/>
      <c r="ADL121" s="65"/>
      <c r="ADM121" s="65"/>
      <c r="ADN121" s="65"/>
      <c r="ADO121" s="65"/>
      <c r="ADP121" s="65"/>
      <c r="ADQ121" s="65"/>
      <c r="ADR121" s="65"/>
      <c r="ADS121" s="65"/>
      <c r="ADT121" s="65"/>
      <c r="ADU121" s="65"/>
      <c r="ADV121" s="65"/>
      <c r="ADW121" s="65"/>
      <c r="ADX121" s="65"/>
      <c r="ADY121" s="65"/>
      <c r="ADZ121" s="65"/>
      <c r="AEA121" s="65"/>
      <c r="AEB121" s="65"/>
      <c r="AEC121" s="65"/>
      <c r="AED121" s="65"/>
      <c r="AEE121" s="65"/>
      <c r="AEF121" s="65"/>
      <c r="AEG121" s="65"/>
      <c r="AEH121" s="65"/>
      <c r="AEI121" s="65"/>
      <c r="AEJ121" s="65"/>
      <c r="AEK121" s="65"/>
      <c r="AEL121" s="65"/>
      <c r="AEM121" s="65"/>
      <c r="AEN121" s="65"/>
      <c r="AEO121" s="65"/>
      <c r="AEP121" s="65"/>
      <c r="AEQ121" s="65"/>
      <c r="AER121" s="65"/>
      <c r="AES121" s="65"/>
      <c r="AET121" s="65"/>
      <c r="AEU121" s="65"/>
      <c r="AEV121" s="65"/>
      <c r="AEW121" s="65"/>
      <c r="AEX121" s="65"/>
      <c r="AEY121" s="65"/>
      <c r="AEZ121" s="65"/>
      <c r="AFA121" s="65"/>
      <c r="AFB121" s="65"/>
      <c r="AFC121" s="65"/>
      <c r="AFD121" s="65"/>
      <c r="AFE121" s="65"/>
      <c r="AFF121" s="65"/>
      <c r="AFG121" s="65"/>
      <c r="AFH121" s="65"/>
      <c r="AFI121" s="65"/>
      <c r="AFJ121" s="65"/>
      <c r="AFK121" s="65"/>
      <c r="AFL121" s="65"/>
      <c r="AFM121" s="65"/>
      <c r="AFN121" s="65"/>
      <c r="AFO121" s="65"/>
      <c r="AFP121" s="65"/>
      <c r="AFQ121" s="65"/>
      <c r="AFR121" s="65"/>
      <c r="AFS121" s="65"/>
      <c r="AFT121" s="65"/>
      <c r="AFU121" s="65"/>
      <c r="AFV121" s="65"/>
      <c r="AFW121" s="65"/>
      <c r="AFX121" s="65"/>
      <c r="AFY121" s="65"/>
      <c r="AFZ121" s="65"/>
      <c r="AGA121" s="65"/>
      <c r="AGB121" s="65"/>
      <c r="AGC121" s="65"/>
      <c r="AGD121" s="65"/>
      <c r="AGE121" s="65"/>
      <c r="AGF121" s="65"/>
      <c r="AGG121" s="65"/>
      <c r="AGH121" s="65"/>
      <c r="AGI121" s="65"/>
      <c r="AGJ121" s="65"/>
      <c r="AGK121" s="65"/>
      <c r="AGL121" s="65"/>
      <c r="AGM121" s="65"/>
      <c r="AGN121" s="65"/>
      <c r="AGO121" s="65"/>
      <c r="AGP121" s="65"/>
      <c r="AGQ121" s="65"/>
      <c r="AGR121" s="65"/>
      <c r="AGS121" s="65"/>
      <c r="AGT121" s="65"/>
      <c r="AGU121" s="65"/>
      <c r="AGV121" s="65"/>
      <c r="AGW121" s="65"/>
      <c r="AGX121" s="65"/>
      <c r="AGY121" s="65"/>
      <c r="AGZ121" s="65"/>
      <c r="AHA121" s="65"/>
      <c r="AHB121" s="65"/>
      <c r="AHC121" s="65"/>
      <c r="AHD121" s="65"/>
      <c r="AHE121" s="65"/>
      <c r="AHF121" s="65"/>
      <c r="AHG121" s="65"/>
      <c r="AHH121" s="65"/>
      <c r="AHI121" s="65"/>
      <c r="AHJ121" s="65"/>
      <c r="AHK121" s="65"/>
      <c r="AHL121" s="65"/>
      <c r="AHM121" s="65"/>
      <c r="AHN121" s="65"/>
      <c r="AHO121" s="65"/>
      <c r="AHP121" s="65"/>
      <c r="AHQ121" s="65"/>
      <c r="AHR121" s="65"/>
      <c r="AHS121" s="65"/>
      <c r="AHT121" s="65"/>
      <c r="AHU121" s="65"/>
      <c r="AHV121" s="65"/>
      <c r="AHW121" s="65"/>
      <c r="AHX121" s="65"/>
      <c r="AHY121" s="65"/>
      <c r="AHZ121" s="65"/>
      <c r="AIA121" s="65"/>
      <c r="AIB121" s="65"/>
      <c r="AIC121" s="65"/>
      <c r="AID121" s="65"/>
      <c r="AIE121" s="65"/>
      <c r="AIF121" s="65"/>
      <c r="AIG121" s="65"/>
      <c r="AIH121" s="65"/>
      <c r="AII121" s="65"/>
      <c r="AIJ121" s="65"/>
      <c r="AIK121" s="65"/>
      <c r="AIL121" s="65"/>
      <c r="AIM121" s="65"/>
      <c r="AIN121" s="65"/>
      <c r="AIO121" s="65"/>
      <c r="AIP121" s="65"/>
      <c r="AIQ121" s="65"/>
      <c r="AIR121" s="65"/>
      <c r="AIS121" s="65"/>
      <c r="AIT121" s="65"/>
      <c r="AIU121" s="65"/>
      <c r="AIV121" s="65"/>
      <c r="AIW121" s="65"/>
      <c r="AIX121" s="65"/>
      <c r="AIY121" s="65"/>
      <c r="AIZ121" s="65"/>
      <c r="AJA121" s="65"/>
      <c r="AJB121" s="65"/>
      <c r="AJC121" s="65"/>
      <c r="AJD121" s="65"/>
      <c r="AJE121" s="65"/>
      <c r="AJF121" s="65"/>
      <c r="AJG121" s="65"/>
      <c r="AJH121" s="65"/>
      <c r="AJI121" s="65"/>
      <c r="AJJ121" s="65"/>
      <c r="AJK121" s="65"/>
      <c r="AJL121" s="65"/>
      <c r="AJM121" s="65"/>
      <c r="AJN121" s="65"/>
      <c r="AJO121" s="65"/>
      <c r="AJP121" s="65"/>
      <c r="AJQ121" s="65"/>
      <c r="AJR121" s="65"/>
      <c r="AJS121" s="65"/>
      <c r="AJT121" s="65"/>
      <c r="AJU121" s="65"/>
      <c r="AJV121" s="65"/>
      <c r="AJW121" s="65"/>
      <c r="AJX121" s="65"/>
      <c r="AJY121" s="65"/>
      <c r="AJZ121" s="65"/>
      <c r="AKA121" s="65"/>
      <c r="AKB121" s="65"/>
      <c r="AKC121" s="65"/>
      <c r="AKD121" s="65"/>
      <c r="AKE121" s="65"/>
      <c r="AKF121" s="65"/>
      <c r="AKG121" s="65"/>
      <c r="AKH121" s="65"/>
      <c r="AKI121" s="65"/>
      <c r="AKJ121" s="65"/>
      <c r="AKK121" s="65"/>
      <c r="AKL121" s="65"/>
      <c r="AKM121" s="65"/>
      <c r="AKN121" s="65"/>
      <c r="AKO121" s="65"/>
      <c r="AKP121" s="65"/>
      <c r="AKQ121" s="65"/>
      <c r="AKR121" s="65"/>
      <c r="AKS121" s="65"/>
      <c r="AKT121" s="65"/>
      <c r="AKU121" s="65"/>
      <c r="AKV121" s="65"/>
      <c r="AKW121" s="65"/>
      <c r="AKX121" s="65"/>
      <c r="AKY121" s="65"/>
      <c r="AKZ121" s="65"/>
      <c r="ALA121" s="65"/>
      <c r="ALB121" s="65"/>
      <c r="ALC121" s="65"/>
      <c r="ALD121" s="65"/>
      <c r="ALE121" s="65"/>
      <c r="ALF121" s="65"/>
      <c r="ALG121" s="65"/>
      <c r="ALH121" s="65"/>
      <c r="ALI121" s="65"/>
      <c r="ALJ121" s="65"/>
      <c r="ALK121" s="65"/>
      <c r="ALL121" s="65"/>
      <c r="ALM121" s="65"/>
      <c r="ALN121" s="65"/>
      <c r="ALO121" s="65"/>
      <c r="ALP121" s="65"/>
      <c r="ALQ121" s="65"/>
      <c r="ALR121" s="65"/>
      <c r="ALS121" s="65"/>
      <c r="ALT121" s="65"/>
      <c r="ALU121" s="65"/>
      <c r="ALV121" s="65"/>
      <c r="ALW121" s="65"/>
      <c r="ALX121" s="65"/>
      <c r="ALY121" s="65"/>
      <c r="ALZ121" s="65"/>
      <c r="AMA121" s="65"/>
      <c r="AMB121" s="65"/>
      <c r="AMC121" s="65"/>
      <c r="AMD121" s="65"/>
      <c r="AME121" s="65"/>
      <c r="AMF121" s="65"/>
      <c r="AMG121" s="65"/>
      <c r="AMH121" s="65"/>
      <c r="AMI121" s="65"/>
      <c r="AMJ121" s="65"/>
      <c r="AMK121" s="65"/>
      <c r="AML121" s="65"/>
      <c r="AMM121" s="65"/>
      <c r="AMN121" s="65"/>
      <c r="AMO121" s="65"/>
      <c r="AMP121" s="65"/>
      <c r="AMQ121" s="65"/>
      <c r="AMR121" s="65"/>
      <c r="AMS121" s="65"/>
      <c r="AMT121" s="65"/>
      <c r="AMU121" s="65"/>
      <c r="AMV121" s="65"/>
      <c r="AMW121" s="65"/>
      <c r="AMX121" s="65"/>
      <c r="AMY121" s="65"/>
      <c r="AMZ121" s="65"/>
      <c r="ANA121" s="65"/>
      <c r="ANB121" s="65"/>
      <c r="ANC121" s="65"/>
      <c r="AND121" s="65"/>
      <c r="ANE121" s="65"/>
      <c r="ANF121" s="65"/>
      <c r="ANG121" s="65"/>
      <c r="ANH121" s="65"/>
      <c r="ANI121" s="65"/>
      <c r="ANJ121" s="65"/>
      <c r="ANK121" s="65"/>
      <c r="ANL121" s="65"/>
      <c r="ANM121" s="65"/>
      <c r="ANN121" s="65"/>
      <c r="ANO121" s="65"/>
      <c r="ANP121" s="65"/>
      <c r="ANQ121" s="65"/>
      <c r="ANR121" s="65"/>
      <c r="ANS121" s="65"/>
      <c r="ANT121" s="65"/>
      <c r="ANU121" s="65"/>
      <c r="ANV121" s="65"/>
      <c r="ANW121" s="65"/>
      <c r="ANX121" s="65"/>
      <c r="ANY121" s="65"/>
      <c r="ANZ121" s="65"/>
      <c r="AOA121" s="65"/>
      <c r="AOB121" s="65"/>
      <c r="AOC121" s="65"/>
      <c r="AOD121" s="65"/>
      <c r="AOE121" s="65"/>
      <c r="AOF121" s="65"/>
      <c r="AOG121" s="65"/>
      <c r="AOH121" s="65"/>
      <c r="AOI121" s="65"/>
      <c r="AOJ121" s="65"/>
      <c r="AOK121" s="65"/>
      <c r="AOL121" s="65"/>
      <c r="AOM121" s="65"/>
      <c r="AON121" s="65"/>
      <c r="AOO121" s="65"/>
      <c r="AOP121" s="65"/>
      <c r="AOQ121" s="65"/>
      <c r="AOR121" s="65"/>
      <c r="AOS121" s="65"/>
      <c r="AOT121" s="65"/>
      <c r="AOU121" s="65"/>
      <c r="AOV121" s="65"/>
      <c r="AOW121" s="65"/>
      <c r="AOX121" s="65"/>
      <c r="AOY121" s="65"/>
      <c r="AOZ121" s="65"/>
      <c r="APA121" s="65"/>
      <c r="APB121" s="65"/>
      <c r="APC121" s="65"/>
      <c r="APD121" s="65"/>
      <c r="APE121" s="65"/>
      <c r="APF121" s="65"/>
      <c r="APG121" s="65"/>
      <c r="APH121" s="65"/>
      <c r="API121" s="65"/>
      <c r="APJ121" s="65"/>
      <c r="APK121" s="65"/>
      <c r="APL121" s="65"/>
      <c r="APM121" s="65"/>
      <c r="APN121" s="65"/>
      <c r="APO121" s="65"/>
      <c r="APP121" s="65"/>
      <c r="APQ121" s="65"/>
      <c r="APR121" s="65"/>
      <c r="APS121" s="65"/>
      <c r="APT121" s="65"/>
      <c r="APU121" s="65"/>
      <c r="APV121" s="65"/>
      <c r="APW121" s="65"/>
      <c r="APX121" s="65"/>
      <c r="APY121" s="65"/>
      <c r="APZ121" s="65"/>
      <c r="AQA121" s="65"/>
      <c r="AQB121" s="65"/>
      <c r="AQC121" s="65"/>
      <c r="AQD121" s="65"/>
      <c r="AQE121" s="65"/>
      <c r="AQF121" s="65"/>
      <c r="AQG121" s="65"/>
      <c r="AQH121" s="65"/>
      <c r="AQI121" s="65"/>
      <c r="AQJ121" s="65"/>
      <c r="AQK121" s="65"/>
      <c r="AQL121" s="65"/>
      <c r="AQM121" s="65"/>
      <c r="AQN121" s="65"/>
      <c r="AQO121" s="65"/>
      <c r="AQP121" s="65"/>
      <c r="AQQ121" s="65"/>
      <c r="AQR121" s="65"/>
      <c r="AQS121" s="65"/>
      <c r="AQT121" s="65"/>
      <c r="AQU121" s="65"/>
      <c r="AQV121" s="65"/>
      <c r="AQW121" s="65"/>
      <c r="AQX121" s="65"/>
      <c r="AQY121" s="65"/>
      <c r="AQZ121" s="65"/>
      <c r="ARA121" s="65"/>
      <c r="ARB121" s="65"/>
      <c r="ARC121" s="65"/>
      <c r="ARD121" s="65"/>
      <c r="ARE121" s="65"/>
      <c r="ARF121" s="65"/>
      <c r="ARG121" s="65"/>
      <c r="ARH121" s="65"/>
      <c r="ARI121" s="65"/>
      <c r="ARJ121" s="65"/>
      <c r="ARK121" s="65"/>
      <c r="ARL121" s="65"/>
      <c r="ARM121" s="65"/>
      <c r="ARN121" s="65"/>
      <c r="ARO121" s="65"/>
      <c r="ARP121" s="65"/>
      <c r="ARQ121" s="65"/>
      <c r="ARR121" s="65"/>
      <c r="ARS121" s="65"/>
      <c r="ART121" s="65"/>
      <c r="ARU121" s="65"/>
      <c r="ARV121" s="65"/>
      <c r="ARW121" s="65"/>
      <c r="ARX121" s="65"/>
      <c r="ARY121" s="65"/>
      <c r="ARZ121" s="65"/>
      <c r="ASA121" s="65"/>
      <c r="ASB121" s="65"/>
      <c r="ASC121" s="65"/>
      <c r="ASD121" s="65"/>
      <c r="ASE121" s="65"/>
      <c r="ASF121" s="65"/>
      <c r="ASG121" s="65"/>
      <c r="ASH121" s="65"/>
      <c r="ASI121" s="65"/>
      <c r="ASJ121" s="65"/>
      <c r="ASK121" s="65"/>
      <c r="ASL121" s="65"/>
      <c r="ASM121" s="65"/>
      <c r="ASN121" s="65"/>
      <c r="ASO121" s="65"/>
      <c r="ASP121" s="65"/>
      <c r="ASQ121" s="65"/>
      <c r="ASR121" s="65"/>
      <c r="ASS121" s="65"/>
      <c r="AST121" s="65"/>
      <c r="ASU121" s="65"/>
      <c r="ASV121" s="65"/>
      <c r="ASW121" s="65"/>
      <c r="ASX121" s="65"/>
      <c r="ASY121" s="65"/>
      <c r="ASZ121" s="65"/>
      <c r="ATA121" s="65"/>
      <c r="ATB121" s="65"/>
      <c r="ATC121" s="65"/>
      <c r="ATD121" s="65"/>
      <c r="ATE121" s="65"/>
      <c r="ATF121" s="65"/>
      <c r="ATG121" s="65"/>
      <c r="ATH121" s="65"/>
      <c r="ATI121" s="65"/>
      <c r="ATJ121" s="65"/>
      <c r="ATK121" s="65"/>
      <c r="ATL121" s="65"/>
      <c r="ATM121" s="65"/>
      <c r="ATN121" s="65"/>
      <c r="ATO121" s="65"/>
      <c r="ATP121" s="65"/>
      <c r="ATQ121" s="65"/>
      <c r="ATR121" s="65"/>
      <c r="ATS121" s="65"/>
      <c r="ATT121" s="65"/>
      <c r="ATU121" s="65"/>
      <c r="ATV121" s="65"/>
      <c r="ATW121" s="65"/>
      <c r="ATX121" s="65"/>
      <c r="ATY121" s="65"/>
      <c r="ATZ121" s="65"/>
      <c r="AUA121" s="65"/>
      <c r="AUB121" s="65"/>
      <c r="AUC121" s="65"/>
      <c r="AUD121" s="65"/>
      <c r="AUE121" s="65"/>
      <c r="AUF121" s="65"/>
      <c r="AUG121" s="65"/>
      <c r="AUH121" s="65"/>
      <c r="AUI121" s="65"/>
      <c r="AUJ121" s="65"/>
      <c r="AUK121" s="65"/>
      <c r="AUL121" s="65"/>
      <c r="AUM121" s="65"/>
      <c r="AUN121" s="65"/>
      <c r="AUO121" s="65"/>
      <c r="AUP121" s="65"/>
      <c r="AUQ121" s="65"/>
      <c r="AUR121" s="65"/>
      <c r="AUS121" s="65"/>
      <c r="AUT121" s="65"/>
      <c r="AUU121" s="65"/>
      <c r="AUV121" s="65"/>
      <c r="AUW121" s="65"/>
      <c r="AUX121" s="65"/>
      <c r="AUY121" s="65"/>
      <c r="AUZ121" s="65"/>
      <c r="AVA121" s="65"/>
      <c r="AVB121" s="65"/>
      <c r="AVC121" s="65"/>
      <c r="AVD121" s="65"/>
      <c r="AVE121" s="65"/>
      <c r="AVF121" s="65"/>
      <c r="AVG121" s="65"/>
      <c r="AVH121" s="65"/>
      <c r="AVI121" s="65"/>
      <c r="AVJ121" s="65"/>
      <c r="AVK121" s="65"/>
      <c r="AVL121" s="65"/>
      <c r="AVM121" s="65"/>
      <c r="AVN121" s="65"/>
      <c r="AVO121" s="65"/>
      <c r="AVP121" s="65"/>
      <c r="AVQ121" s="65"/>
      <c r="AVR121" s="65"/>
      <c r="AVS121" s="65"/>
      <c r="AVT121" s="65"/>
      <c r="AVU121" s="65"/>
      <c r="AVV121" s="65"/>
      <c r="AVW121" s="65"/>
      <c r="AVX121" s="65"/>
      <c r="AVY121" s="65"/>
      <c r="AVZ121" s="65"/>
      <c r="AWA121" s="65"/>
      <c r="AWB121" s="65"/>
      <c r="AWC121" s="65"/>
      <c r="AWD121" s="65"/>
      <c r="AWE121" s="65"/>
      <c r="AWF121" s="65"/>
      <c r="AWG121" s="65"/>
      <c r="AWH121" s="65"/>
      <c r="AWI121" s="65"/>
      <c r="AWJ121" s="65"/>
      <c r="AWK121" s="65"/>
      <c r="AWL121" s="65"/>
      <c r="AWM121" s="65"/>
      <c r="AWN121" s="65"/>
      <c r="AWO121" s="65"/>
      <c r="AWP121" s="65"/>
      <c r="AWQ121" s="65"/>
      <c r="AWR121" s="65"/>
      <c r="AWS121" s="65"/>
      <c r="AWT121" s="65"/>
      <c r="AWU121" s="65"/>
      <c r="AWV121" s="65"/>
      <c r="AWW121" s="65"/>
      <c r="AWX121" s="65"/>
      <c r="AWY121" s="65"/>
      <c r="AWZ121" s="65"/>
      <c r="AXA121" s="65"/>
      <c r="AXB121" s="65"/>
      <c r="AXC121" s="65"/>
      <c r="AXD121" s="65"/>
      <c r="AXE121" s="65"/>
      <c r="AXF121" s="65"/>
      <c r="AXG121" s="65"/>
      <c r="AXH121" s="65"/>
      <c r="AXI121" s="65"/>
      <c r="AXJ121" s="65"/>
      <c r="AXK121" s="65"/>
      <c r="AXL121" s="65"/>
      <c r="AXM121" s="65"/>
      <c r="AXN121" s="65"/>
      <c r="AXO121" s="65"/>
      <c r="AXP121" s="65"/>
      <c r="AXQ121" s="65"/>
      <c r="AXR121" s="65"/>
      <c r="AXS121" s="65"/>
      <c r="AXT121" s="65"/>
      <c r="AXU121" s="65"/>
      <c r="AXV121" s="65"/>
      <c r="AXW121" s="65"/>
      <c r="AXX121" s="65"/>
      <c r="AXY121" s="65"/>
      <c r="AXZ121" s="65"/>
      <c r="AYA121" s="65"/>
      <c r="AYB121" s="65"/>
      <c r="AYC121" s="65"/>
      <c r="AYD121" s="65"/>
      <c r="AYE121" s="65"/>
      <c r="AYF121" s="65"/>
      <c r="AYG121" s="65"/>
      <c r="AYH121" s="65"/>
      <c r="AYI121" s="65"/>
      <c r="AYJ121" s="65"/>
      <c r="AYK121" s="65"/>
      <c r="AYL121" s="65"/>
      <c r="AYM121" s="65"/>
      <c r="AYN121" s="65"/>
      <c r="AYO121" s="65"/>
      <c r="AYP121" s="65"/>
      <c r="AYQ121" s="65"/>
      <c r="AYR121" s="65"/>
      <c r="AYS121" s="65"/>
      <c r="AYT121" s="65"/>
      <c r="AYU121" s="65"/>
      <c r="AYV121" s="65"/>
      <c r="AYW121" s="65"/>
      <c r="AYX121" s="65"/>
      <c r="AYY121" s="65"/>
      <c r="AYZ121" s="65"/>
      <c r="AZA121" s="65"/>
      <c r="AZB121" s="65"/>
      <c r="AZC121" s="65"/>
      <c r="AZD121" s="65"/>
      <c r="AZE121" s="65"/>
      <c r="AZF121" s="65"/>
      <c r="AZG121" s="65"/>
      <c r="AZH121" s="65"/>
      <c r="AZI121" s="65"/>
      <c r="AZJ121" s="65"/>
      <c r="AZK121" s="65"/>
      <c r="AZL121" s="65"/>
      <c r="AZM121" s="65"/>
      <c r="AZN121" s="65"/>
      <c r="AZO121" s="65"/>
      <c r="AZP121" s="65"/>
      <c r="AZQ121" s="65"/>
      <c r="AZR121" s="65"/>
      <c r="AZS121" s="65"/>
      <c r="AZT121" s="65"/>
      <c r="AZU121" s="65"/>
      <c r="AZV121" s="65"/>
      <c r="AZW121" s="65"/>
      <c r="AZX121" s="65"/>
      <c r="AZY121" s="65"/>
      <c r="AZZ121" s="65"/>
      <c r="BAA121" s="65"/>
      <c r="BAB121" s="65"/>
      <c r="BAC121" s="65"/>
      <c r="BAD121" s="65"/>
      <c r="BAE121" s="65"/>
      <c r="BAF121" s="65"/>
      <c r="BAG121" s="65"/>
      <c r="BAH121" s="65"/>
      <c r="BAI121" s="65"/>
      <c r="BAJ121" s="65"/>
      <c r="BAK121" s="65"/>
      <c r="BAL121" s="65"/>
      <c r="BAM121" s="65"/>
      <c r="BAN121" s="65"/>
      <c r="BAO121" s="65"/>
      <c r="BAP121" s="65"/>
      <c r="BAQ121" s="65"/>
      <c r="BAR121" s="65"/>
      <c r="BAS121" s="65"/>
      <c r="BAT121" s="65"/>
      <c r="BAU121" s="65"/>
      <c r="BAV121" s="65"/>
      <c r="BAW121" s="65"/>
      <c r="BAX121" s="65"/>
      <c r="BAY121" s="65"/>
      <c r="BAZ121" s="65"/>
      <c r="BBA121" s="65"/>
      <c r="BBB121" s="65"/>
      <c r="BBC121" s="65"/>
      <c r="BBD121" s="65"/>
      <c r="BBE121" s="65"/>
      <c r="BBF121" s="65"/>
      <c r="BBG121" s="65"/>
      <c r="BBH121" s="65"/>
      <c r="BBI121" s="65"/>
      <c r="BBJ121" s="65"/>
      <c r="BBK121" s="65"/>
      <c r="BBL121" s="65"/>
      <c r="BBM121" s="65"/>
      <c r="BBN121" s="65"/>
      <c r="BBO121" s="65"/>
      <c r="BBP121" s="65"/>
      <c r="BBQ121" s="65"/>
      <c r="BBR121" s="65"/>
      <c r="BBS121" s="65"/>
      <c r="BBT121" s="65"/>
      <c r="BBU121" s="65"/>
      <c r="BBV121" s="65"/>
      <c r="BBW121" s="65"/>
      <c r="BBX121" s="65"/>
      <c r="BBY121" s="65"/>
      <c r="BBZ121" s="65"/>
      <c r="BCA121" s="65"/>
      <c r="BCB121" s="65"/>
      <c r="BCC121" s="65"/>
      <c r="BCD121" s="65"/>
      <c r="BCE121" s="65"/>
      <c r="BCF121" s="65"/>
      <c r="BCG121" s="65"/>
      <c r="BCH121" s="65"/>
      <c r="BCI121" s="65"/>
      <c r="BCJ121" s="65"/>
      <c r="BCK121" s="65"/>
      <c r="BCL121" s="65"/>
      <c r="BCM121" s="65"/>
      <c r="BCN121" s="65"/>
      <c r="BCO121" s="65"/>
      <c r="BCP121" s="65"/>
      <c r="BCQ121" s="65"/>
      <c r="BCR121" s="65"/>
      <c r="BCS121" s="65"/>
      <c r="BCT121" s="65"/>
      <c r="BCU121" s="65"/>
      <c r="BCV121" s="65"/>
      <c r="BCW121" s="65"/>
      <c r="BCX121" s="65"/>
      <c r="BCY121" s="65"/>
      <c r="BCZ121" s="65"/>
      <c r="BDA121" s="65"/>
      <c r="BDB121" s="65"/>
      <c r="BDC121" s="65"/>
      <c r="BDD121" s="65"/>
      <c r="BDE121" s="65"/>
      <c r="BDF121" s="65"/>
      <c r="BDG121" s="65"/>
      <c r="BDH121" s="65"/>
      <c r="BDI121" s="65"/>
      <c r="BDJ121" s="65"/>
      <c r="BDK121" s="65"/>
      <c r="BDL121" s="65"/>
      <c r="BDM121" s="65"/>
      <c r="BDN121" s="65"/>
      <c r="BDO121" s="65"/>
      <c r="BDP121" s="65"/>
      <c r="BDQ121" s="65"/>
      <c r="BDR121" s="65"/>
      <c r="BDS121" s="65"/>
      <c r="BDT121" s="65"/>
      <c r="BDU121" s="65"/>
      <c r="BDV121" s="65"/>
      <c r="BDW121" s="65"/>
      <c r="BDX121" s="65"/>
      <c r="BDY121" s="65"/>
      <c r="BDZ121" s="65"/>
      <c r="BEA121" s="65"/>
      <c r="BEB121" s="65"/>
      <c r="BEC121" s="65"/>
      <c r="BED121" s="65"/>
      <c r="BEE121" s="65"/>
      <c r="BEF121" s="65"/>
      <c r="BEG121" s="65"/>
      <c r="BEH121" s="65"/>
      <c r="BEI121" s="65"/>
      <c r="BEJ121" s="65"/>
      <c r="BEK121" s="65"/>
      <c r="BEL121" s="65"/>
      <c r="BEM121" s="65"/>
      <c r="BEN121" s="65"/>
      <c r="BEO121" s="65"/>
      <c r="BEP121" s="65"/>
      <c r="BEQ121" s="65"/>
      <c r="BER121" s="65"/>
      <c r="BES121" s="65"/>
      <c r="BET121" s="65"/>
      <c r="BEU121" s="65"/>
      <c r="BEV121" s="65"/>
      <c r="BEW121" s="65"/>
      <c r="BEX121" s="65"/>
      <c r="BEY121" s="65"/>
      <c r="BEZ121" s="65"/>
      <c r="BFA121" s="65"/>
      <c r="BFB121" s="65"/>
      <c r="BFC121" s="65"/>
      <c r="BFD121" s="65"/>
      <c r="BFE121" s="65"/>
      <c r="BFF121" s="65"/>
      <c r="BFG121" s="65"/>
      <c r="BFH121" s="65"/>
      <c r="BFI121" s="65"/>
      <c r="BFJ121" s="65"/>
      <c r="BFK121" s="65"/>
      <c r="BFL121" s="65"/>
      <c r="BFM121" s="65"/>
      <c r="BFN121" s="65"/>
      <c r="BFO121" s="65"/>
      <c r="BFP121" s="65"/>
      <c r="BFQ121" s="65"/>
      <c r="BFR121" s="65"/>
      <c r="BFS121" s="65"/>
      <c r="BFT121" s="65"/>
      <c r="BFU121" s="65"/>
      <c r="BFV121" s="65"/>
      <c r="BFW121" s="65"/>
      <c r="BFX121" s="65"/>
      <c r="BFY121" s="65"/>
      <c r="BFZ121" s="65"/>
      <c r="BGA121" s="65"/>
      <c r="BGB121" s="65"/>
      <c r="BGC121" s="65"/>
      <c r="BGD121" s="65"/>
      <c r="BGE121" s="65"/>
      <c r="BGF121" s="65"/>
      <c r="BGG121" s="65"/>
      <c r="BGH121" s="65"/>
      <c r="BGI121" s="65"/>
      <c r="BGJ121" s="65"/>
      <c r="BGK121" s="65"/>
      <c r="BGL121" s="65"/>
      <c r="BGM121" s="65"/>
      <c r="BGN121" s="65"/>
      <c r="BGO121" s="65"/>
      <c r="BGP121" s="65"/>
      <c r="BGQ121" s="65"/>
      <c r="BGR121" s="65"/>
      <c r="BGS121" s="65"/>
      <c r="BGT121" s="65"/>
      <c r="BGU121" s="65"/>
      <c r="BGV121" s="65"/>
      <c r="BGW121" s="65"/>
      <c r="BGX121" s="65"/>
      <c r="BGY121" s="65"/>
      <c r="BGZ121" s="65"/>
      <c r="BHA121" s="65"/>
      <c r="BHB121" s="65"/>
      <c r="BHC121" s="65"/>
      <c r="BHD121" s="65"/>
      <c r="BHE121" s="65"/>
      <c r="BHF121" s="65"/>
      <c r="BHG121" s="65"/>
      <c r="BHH121" s="65"/>
      <c r="BHI121" s="65"/>
      <c r="BHJ121" s="65"/>
      <c r="BHK121" s="65"/>
      <c r="BHL121" s="65"/>
      <c r="BHM121" s="65"/>
      <c r="BHN121" s="65"/>
      <c r="BHO121" s="65"/>
      <c r="BHP121" s="65"/>
      <c r="BHQ121" s="65"/>
      <c r="BHR121" s="65"/>
      <c r="BHS121" s="65"/>
      <c r="BHT121" s="65"/>
      <c r="BHU121" s="65"/>
      <c r="BHV121" s="65"/>
      <c r="BHW121" s="65"/>
      <c r="BHX121" s="65"/>
      <c r="BHY121" s="65"/>
      <c r="BHZ121" s="65"/>
      <c r="BIA121" s="65"/>
      <c r="BIB121" s="65"/>
      <c r="BIC121" s="65"/>
      <c r="BID121" s="65"/>
      <c r="BIE121" s="65"/>
      <c r="BIF121" s="65"/>
      <c r="BIG121" s="65"/>
      <c r="BIH121" s="65"/>
      <c r="BII121" s="65"/>
      <c r="BIJ121" s="65"/>
      <c r="BIK121" s="65"/>
      <c r="BIL121" s="65"/>
      <c r="BIM121" s="65"/>
      <c r="BIN121" s="65"/>
      <c r="BIO121" s="65"/>
      <c r="BIP121" s="65"/>
      <c r="BIQ121" s="65"/>
      <c r="BIR121" s="65"/>
      <c r="BIS121" s="65"/>
      <c r="BIT121" s="65"/>
      <c r="BIU121" s="65"/>
      <c r="BIV121" s="65"/>
      <c r="BIW121" s="65"/>
      <c r="BIX121" s="65"/>
      <c r="BIY121" s="65"/>
      <c r="BIZ121" s="65"/>
      <c r="BJA121" s="65"/>
      <c r="BJB121" s="65"/>
      <c r="BJC121" s="65"/>
      <c r="BJD121" s="65"/>
      <c r="BJE121" s="65"/>
      <c r="BJF121" s="65"/>
      <c r="BJG121" s="65"/>
      <c r="BJH121" s="65"/>
      <c r="BJI121" s="65"/>
      <c r="BJJ121" s="65"/>
      <c r="BJK121" s="65"/>
      <c r="BJL121" s="65"/>
      <c r="BJM121" s="65"/>
      <c r="BJN121" s="65"/>
      <c r="BJO121" s="65"/>
      <c r="BJP121" s="65"/>
      <c r="BJQ121" s="65"/>
      <c r="BJR121" s="65"/>
      <c r="BJS121" s="65"/>
      <c r="BJT121" s="65"/>
      <c r="BJU121" s="65"/>
      <c r="BJV121" s="65"/>
      <c r="BJW121" s="65"/>
      <c r="BJX121" s="65"/>
      <c r="BJY121" s="65"/>
      <c r="BJZ121" s="65"/>
      <c r="BKA121" s="65"/>
      <c r="BKB121" s="65"/>
      <c r="BKC121" s="65"/>
      <c r="BKD121" s="65"/>
      <c r="BKE121" s="65"/>
      <c r="BKF121" s="65"/>
      <c r="BKG121" s="65"/>
      <c r="BKH121" s="65"/>
      <c r="BKI121" s="65"/>
      <c r="BKJ121" s="65"/>
      <c r="BKK121" s="65"/>
      <c r="BKL121" s="65"/>
      <c r="BKM121" s="65"/>
      <c r="BKN121" s="65"/>
      <c r="BKO121" s="65"/>
      <c r="BKP121" s="65"/>
      <c r="BKQ121" s="65"/>
      <c r="BKR121" s="65"/>
      <c r="BKS121" s="65"/>
      <c r="BKT121" s="65"/>
      <c r="BKU121" s="65"/>
      <c r="BKV121" s="65"/>
      <c r="BKW121" s="65"/>
      <c r="BKX121" s="65"/>
      <c r="BKY121" s="65"/>
      <c r="BKZ121" s="65"/>
      <c r="BLA121" s="65"/>
      <c r="BLB121" s="65"/>
      <c r="BLC121" s="65"/>
      <c r="BLD121" s="65"/>
      <c r="BLE121" s="65"/>
      <c r="BLF121" s="65"/>
      <c r="BLG121" s="65"/>
      <c r="BLH121" s="65"/>
      <c r="BLI121" s="65"/>
      <c r="BLJ121" s="65"/>
      <c r="BLK121" s="65"/>
      <c r="BLL121" s="65"/>
      <c r="BLM121" s="65"/>
      <c r="BLN121" s="65"/>
      <c r="BLO121" s="65"/>
      <c r="BLP121" s="65"/>
      <c r="BLQ121" s="65"/>
      <c r="BLR121" s="65"/>
      <c r="BLS121" s="65"/>
      <c r="BLT121" s="65"/>
      <c r="BLU121" s="65"/>
      <c r="BLV121" s="65"/>
      <c r="BLW121" s="65"/>
      <c r="BLX121" s="65"/>
      <c r="BLY121" s="65"/>
      <c r="BLZ121" s="65"/>
      <c r="BMA121" s="65"/>
      <c r="BMB121" s="65"/>
      <c r="BMC121" s="65"/>
      <c r="BMD121" s="65"/>
      <c r="BME121" s="65"/>
      <c r="BMF121" s="65"/>
      <c r="BMG121" s="65"/>
      <c r="BMH121" s="65"/>
      <c r="BMI121" s="65"/>
      <c r="BMJ121" s="65"/>
      <c r="BMK121" s="65"/>
      <c r="BML121" s="65"/>
      <c r="BMM121" s="65"/>
      <c r="BMN121" s="65"/>
      <c r="BMO121" s="65"/>
      <c r="BMP121" s="65"/>
      <c r="BMQ121" s="65"/>
      <c r="BMR121" s="65"/>
      <c r="BMS121" s="65"/>
      <c r="BMT121" s="65"/>
      <c r="BMU121" s="65"/>
      <c r="BMV121" s="65"/>
      <c r="BMW121" s="65"/>
      <c r="BMX121" s="65"/>
      <c r="BMY121" s="65"/>
      <c r="BMZ121" s="65"/>
      <c r="BNA121" s="65"/>
      <c r="BNB121" s="65"/>
      <c r="BNC121" s="65"/>
      <c r="BND121" s="65"/>
      <c r="BNE121" s="65"/>
      <c r="BNF121" s="65"/>
      <c r="BNG121" s="65"/>
      <c r="BNH121" s="65"/>
      <c r="BNI121" s="65"/>
      <c r="BNJ121" s="65"/>
      <c r="BNK121" s="65"/>
      <c r="BNL121" s="65"/>
      <c r="BNM121" s="65"/>
      <c r="BNN121" s="65"/>
      <c r="BNO121" s="65"/>
      <c r="BNP121" s="65"/>
      <c r="BNQ121" s="65"/>
      <c r="BNR121" s="65"/>
      <c r="BNS121" s="65"/>
      <c r="BNT121" s="65"/>
      <c r="BNU121" s="65"/>
      <c r="BNV121" s="65"/>
      <c r="BNW121" s="65"/>
      <c r="BNX121" s="65"/>
      <c r="BNY121" s="65"/>
      <c r="BNZ121" s="65"/>
      <c r="BOA121" s="65"/>
      <c r="BOB121" s="65"/>
      <c r="BOC121" s="65"/>
      <c r="BOD121" s="65"/>
      <c r="BOE121" s="65"/>
      <c r="BOF121" s="65"/>
      <c r="BOG121" s="65"/>
      <c r="BOH121" s="65"/>
      <c r="BOI121" s="65"/>
      <c r="BOJ121" s="65"/>
      <c r="BOK121" s="65"/>
      <c r="BOL121" s="65"/>
      <c r="BOM121" s="65"/>
      <c r="BON121" s="65"/>
      <c r="BOO121" s="65"/>
      <c r="BOP121" s="65"/>
      <c r="BOQ121" s="65"/>
      <c r="BOR121" s="65"/>
      <c r="BOS121" s="65"/>
      <c r="BOT121" s="65"/>
      <c r="BOU121" s="65"/>
      <c r="BOV121" s="65"/>
      <c r="BOW121" s="65"/>
      <c r="BOX121" s="65"/>
      <c r="BOY121" s="65"/>
      <c r="BOZ121" s="65"/>
      <c r="BPA121" s="65"/>
      <c r="BPB121" s="65"/>
      <c r="BPC121" s="65"/>
      <c r="BPD121" s="65"/>
      <c r="BPE121" s="65"/>
      <c r="BPF121" s="65"/>
      <c r="BPG121" s="65"/>
      <c r="BPH121" s="65"/>
      <c r="BPI121" s="65"/>
      <c r="BPJ121" s="65"/>
      <c r="BPK121" s="65"/>
      <c r="BPL121" s="65"/>
      <c r="BPM121" s="65"/>
      <c r="BPN121" s="65"/>
      <c r="BPO121" s="65"/>
      <c r="BPP121" s="65"/>
      <c r="BPQ121" s="65"/>
      <c r="BPR121" s="65"/>
      <c r="BPS121" s="65"/>
      <c r="BPT121" s="65"/>
      <c r="BPU121" s="65"/>
      <c r="BPV121" s="65"/>
      <c r="BPW121" s="65"/>
      <c r="BPX121" s="65"/>
      <c r="BPY121" s="65"/>
      <c r="BPZ121" s="65"/>
      <c r="BQA121" s="65"/>
      <c r="BQB121" s="65"/>
      <c r="BQC121" s="65"/>
      <c r="BQD121" s="65"/>
      <c r="BQE121" s="65"/>
      <c r="BQF121" s="65"/>
      <c r="BQG121" s="65"/>
      <c r="BQH121" s="65"/>
      <c r="BQI121" s="65"/>
      <c r="BQJ121" s="65"/>
      <c r="BQK121" s="65"/>
      <c r="BQL121" s="65"/>
      <c r="BQM121" s="65"/>
      <c r="BQN121" s="65"/>
      <c r="BQO121" s="65"/>
      <c r="BQP121" s="65"/>
      <c r="BQQ121" s="65"/>
      <c r="BQR121" s="65"/>
      <c r="BQS121" s="65"/>
      <c r="BQT121" s="65"/>
      <c r="BQU121" s="65"/>
      <c r="BQV121" s="65"/>
      <c r="BQW121" s="65"/>
      <c r="BQX121" s="65"/>
      <c r="BQY121" s="65"/>
      <c r="BQZ121" s="65"/>
      <c r="BRA121" s="65"/>
      <c r="BRB121" s="65"/>
      <c r="BRC121" s="65"/>
      <c r="BRD121" s="65"/>
      <c r="BRE121" s="65"/>
      <c r="BRF121" s="65"/>
      <c r="BRG121" s="65"/>
      <c r="BRH121" s="65"/>
      <c r="BRI121" s="65"/>
      <c r="BRJ121" s="65"/>
      <c r="BRK121" s="65"/>
      <c r="BRL121" s="65"/>
      <c r="BRM121" s="65"/>
      <c r="BRN121" s="65"/>
      <c r="BRO121" s="65"/>
      <c r="BRP121" s="65"/>
      <c r="BRQ121" s="65"/>
      <c r="BRR121" s="65"/>
      <c r="BRS121" s="65"/>
      <c r="BRT121" s="65"/>
      <c r="BRU121" s="65"/>
      <c r="BRV121" s="65"/>
      <c r="BRW121" s="65"/>
      <c r="BRX121" s="65"/>
      <c r="BRY121" s="65"/>
      <c r="BRZ121" s="65"/>
      <c r="BSA121" s="65"/>
      <c r="BSB121" s="65"/>
      <c r="BSC121" s="65"/>
      <c r="BSD121" s="65"/>
      <c r="BSE121" s="65"/>
      <c r="BSF121" s="65"/>
      <c r="BSG121" s="65"/>
      <c r="BSH121" s="65"/>
      <c r="BSI121" s="65"/>
      <c r="BSJ121" s="65"/>
      <c r="BSK121" s="65"/>
      <c r="BSL121" s="65"/>
      <c r="BSM121" s="65"/>
      <c r="BSN121" s="65"/>
      <c r="BSO121" s="65"/>
      <c r="BSP121" s="65"/>
      <c r="BSQ121" s="65"/>
      <c r="BSR121" s="65"/>
      <c r="BSS121" s="65"/>
      <c r="BST121" s="65"/>
      <c r="BSU121" s="65"/>
      <c r="BSV121" s="65"/>
      <c r="BSW121" s="65"/>
      <c r="BSX121" s="65"/>
      <c r="BSY121" s="65"/>
      <c r="BSZ121" s="65"/>
      <c r="BTA121" s="65"/>
      <c r="BTB121" s="65"/>
      <c r="BTC121" s="65"/>
      <c r="BTD121" s="65"/>
      <c r="BTE121" s="65"/>
      <c r="BTF121" s="65"/>
      <c r="BTG121" s="65"/>
      <c r="BTH121" s="65"/>
      <c r="BTI121" s="65"/>
      <c r="BTJ121" s="65"/>
      <c r="BTK121" s="65"/>
      <c r="BTL121" s="65"/>
      <c r="BTM121" s="65"/>
      <c r="BTN121" s="65"/>
      <c r="BTO121" s="65"/>
      <c r="BTP121" s="65"/>
      <c r="BTQ121" s="65"/>
      <c r="BTR121" s="65"/>
      <c r="BTS121" s="65"/>
      <c r="BTT121" s="65"/>
      <c r="BTU121" s="65"/>
      <c r="BTV121" s="65"/>
      <c r="BTW121" s="65"/>
      <c r="BTX121" s="65"/>
      <c r="BTY121" s="65"/>
      <c r="BTZ121" s="65"/>
      <c r="BUA121" s="65"/>
      <c r="BUB121" s="65"/>
      <c r="BUC121" s="65"/>
      <c r="BUD121" s="65"/>
      <c r="BUE121" s="65"/>
      <c r="BUF121" s="65"/>
      <c r="BUG121" s="65"/>
      <c r="BUH121" s="65"/>
      <c r="BUI121" s="65"/>
      <c r="BUJ121" s="65"/>
      <c r="BUK121" s="65"/>
      <c r="BUL121" s="65"/>
      <c r="BUM121" s="65"/>
      <c r="BUN121" s="65"/>
      <c r="BUO121" s="65"/>
      <c r="BUP121" s="65"/>
      <c r="BUQ121" s="65"/>
      <c r="BUR121" s="65"/>
      <c r="BUS121" s="65"/>
      <c r="BUT121" s="65"/>
      <c r="BUU121" s="65"/>
      <c r="BUV121" s="65"/>
      <c r="BUW121" s="65"/>
      <c r="BUX121" s="65"/>
      <c r="BUY121" s="65"/>
      <c r="BUZ121" s="65"/>
      <c r="BVA121" s="65"/>
      <c r="BVB121" s="65"/>
      <c r="BVC121" s="65"/>
      <c r="BVD121" s="65"/>
      <c r="BVE121" s="65"/>
      <c r="BVF121" s="65"/>
      <c r="BVG121" s="65"/>
      <c r="BVH121" s="65"/>
      <c r="BVI121" s="65"/>
      <c r="BVJ121" s="65"/>
      <c r="BVK121" s="65"/>
      <c r="BVL121" s="65"/>
      <c r="BVM121" s="65"/>
      <c r="BVN121" s="65"/>
      <c r="BVO121" s="65"/>
      <c r="BVP121" s="65"/>
      <c r="BVQ121" s="65"/>
      <c r="BVR121" s="65"/>
      <c r="BVS121" s="65"/>
      <c r="BVT121" s="65"/>
      <c r="BVU121" s="65"/>
      <c r="BVV121" s="65"/>
      <c r="BVW121" s="65"/>
      <c r="BVX121" s="65"/>
      <c r="BVY121" s="65"/>
      <c r="BVZ121" s="65"/>
      <c r="BWA121" s="65"/>
      <c r="BWB121" s="65"/>
      <c r="BWC121" s="65"/>
      <c r="BWD121" s="65"/>
      <c r="BWE121" s="65"/>
      <c r="BWF121" s="65"/>
      <c r="BWG121" s="65"/>
      <c r="BWH121" s="65"/>
      <c r="BWI121" s="65"/>
      <c r="BWJ121" s="65"/>
      <c r="BWK121" s="65"/>
      <c r="BWL121" s="65"/>
      <c r="BWM121" s="65"/>
      <c r="BWN121" s="65"/>
      <c r="BWO121" s="65"/>
      <c r="BWP121" s="65"/>
      <c r="BWQ121" s="65"/>
      <c r="BWR121" s="65"/>
      <c r="BWS121" s="65"/>
      <c r="BWT121" s="65"/>
      <c r="BWU121" s="65"/>
      <c r="BWV121" s="65"/>
      <c r="BWW121" s="65"/>
      <c r="BWX121" s="65"/>
      <c r="BWY121" s="65"/>
      <c r="BWZ121" s="65"/>
      <c r="BXA121" s="65"/>
      <c r="BXB121" s="65"/>
      <c r="BXC121" s="65"/>
      <c r="BXD121" s="65"/>
      <c r="BXE121" s="65"/>
      <c r="BXF121" s="65"/>
      <c r="BXG121" s="65"/>
      <c r="BXH121" s="65"/>
      <c r="BXI121" s="65"/>
      <c r="BXJ121" s="65"/>
      <c r="BXK121" s="65"/>
      <c r="BXL121" s="65"/>
      <c r="BXM121" s="65"/>
      <c r="BXN121" s="65"/>
      <c r="BXO121" s="65"/>
      <c r="BXP121" s="65"/>
      <c r="BXQ121" s="65"/>
      <c r="BXR121" s="65"/>
      <c r="BXS121" s="65"/>
      <c r="BXT121" s="65"/>
      <c r="BXU121" s="65"/>
      <c r="BXV121" s="65"/>
      <c r="BXW121" s="65"/>
      <c r="BXX121" s="65"/>
      <c r="BXY121" s="65"/>
      <c r="BXZ121" s="65"/>
      <c r="BYA121" s="65"/>
      <c r="BYB121" s="65"/>
      <c r="BYC121" s="65"/>
      <c r="BYD121" s="65"/>
      <c r="BYE121" s="65"/>
      <c r="BYF121" s="65"/>
      <c r="BYG121" s="65"/>
      <c r="BYH121" s="65"/>
      <c r="BYI121" s="65"/>
      <c r="BYJ121" s="65"/>
      <c r="BYK121" s="65"/>
      <c r="BYL121" s="65"/>
      <c r="BYM121" s="65"/>
      <c r="BYN121" s="65"/>
      <c r="BYO121" s="65"/>
      <c r="BYP121" s="65"/>
      <c r="BYQ121" s="65"/>
      <c r="BYR121" s="65"/>
      <c r="BYS121" s="65"/>
      <c r="BYT121" s="65"/>
      <c r="BYU121" s="65"/>
      <c r="BYV121" s="65"/>
      <c r="BYW121" s="65"/>
      <c r="BYX121" s="65"/>
      <c r="BYY121" s="65"/>
      <c r="BYZ121" s="65"/>
      <c r="BZA121" s="65"/>
      <c r="BZB121" s="65"/>
      <c r="BZC121" s="65"/>
      <c r="BZD121" s="65"/>
      <c r="BZE121" s="65"/>
      <c r="BZF121" s="65"/>
      <c r="BZG121" s="65"/>
      <c r="BZH121" s="65"/>
      <c r="BZI121" s="65"/>
      <c r="BZJ121" s="65"/>
      <c r="BZK121" s="65"/>
      <c r="BZL121" s="65"/>
      <c r="BZM121" s="65"/>
      <c r="BZN121" s="65"/>
      <c r="BZO121" s="65"/>
      <c r="BZP121" s="65"/>
      <c r="BZQ121" s="65"/>
      <c r="BZR121" s="65"/>
      <c r="BZS121" s="65"/>
      <c r="BZT121" s="65"/>
      <c r="BZU121" s="65"/>
      <c r="BZV121" s="65"/>
      <c r="BZW121" s="65"/>
      <c r="BZX121" s="65"/>
      <c r="BZY121" s="65"/>
      <c r="BZZ121" s="65"/>
      <c r="CAA121" s="65"/>
      <c r="CAB121" s="65"/>
      <c r="CAC121" s="65"/>
      <c r="CAD121" s="65"/>
      <c r="CAE121" s="65"/>
      <c r="CAF121" s="65"/>
      <c r="CAG121" s="65"/>
      <c r="CAH121" s="65"/>
      <c r="CAI121" s="65"/>
      <c r="CAJ121" s="65"/>
      <c r="CAK121" s="65"/>
      <c r="CAL121" s="65"/>
      <c r="CAM121" s="65"/>
      <c r="CAN121" s="65"/>
      <c r="CAO121" s="65"/>
      <c r="CAP121" s="65"/>
      <c r="CAQ121" s="65"/>
      <c r="CAR121" s="65"/>
      <c r="CAS121" s="65"/>
      <c r="CAT121" s="65"/>
      <c r="CAU121" s="65"/>
      <c r="CAV121" s="65"/>
      <c r="CAW121" s="65"/>
      <c r="CAX121" s="65"/>
      <c r="CAY121" s="65"/>
      <c r="CAZ121" s="65"/>
      <c r="CBA121" s="65"/>
      <c r="CBB121" s="65"/>
      <c r="CBC121" s="65"/>
      <c r="CBD121" s="65"/>
      <c r="CBE121" s="65"/>
      <c r="CBF121" s="65"/>
      <c r="CBG121" s="65"/>
      <c r="CBH121" s="65"/>
      <c r="CBI121" s="65"/>
      <c r="CBJ121" s="65"/>
      <c r="CBK121" s="65"/>
      <c r="CBL121" s="65"/>
      <c r="CBM121" s="65"/>
      <c r="CBN121" s="65"/>
      <c r="CBO121" s="65"/>
      <c r="CBP121" s="65"/>
      <c r="CBQ121" s="65"/>
      <c r="CBR121" s="65"/>
      <c r="CBS121" s="65"/>
      <c r="CBT121" s="65"/>
      <c r="CBU121" s="65"/>
      <c r="CBV121" s="65"/>
      <c r="CBW121" s="65"/>
      <c r="CBX121" s="65"/>
      <c r="CBY121" s="65"/>
      <c r="CBZ121" s="65"/>
      <c r="CCA121" s="65"/>
      <c r="CCB121" s="65"/>
      <c r="CCC121" s="65"/>
      <c r="CCD121" s="65"/>
      <c r="CCE121" s="65"/>
      <c r="CCF121" s="65"/>
      <c r="CCG121" s="65"/>
      <c r="CCH121" s="65"/>
      <c r="CCI121" s="65"/>
      <c r="CCJ121" s="65"/>
      <c r="CCK121" s="65"/>
      <c r="CCL121" s="65"/>
      <c r="CCM121" s="65"/>
      <c r="CCN121" s="65"/>
      <c r="CCO121" s="65"/>
      <c r="CCP121" s="65"/>
      <c r="CCQ121" s="65"/>
      <c r="CCR121" s="65"/>
      <c r="CCS121" s="65"/>
      <c r="CCT121" s="65"/>
      <c r="CCU121" s="65"/>
      <c r="CCV121" s="65"/>
      <c r="CCW121" s="65"/>
      <c r="CCX121" s="65"/>
      <c r="CCY121" s="65"/>
      <c r="CCZ121" s="65"/>
      <c r="CDA121" s="65"/>
      <c r="CDB121" s="65"/>
      <c r="CDC121" s="65"/>
      <c r="CDD121" s="65"/>
      <c r="CDE121" s="65"/>
      <c r="CDF121" s="65"/>
      <c r="CDG121" s="65"/>
      <c r="CDH121" s="65"/>
      <c r="CDI121" s="65"/>
      <c r="CDJ121" s="65"/>
      <c r="CDK121" s="65"/>
      <c r="CDL121" s="65"/>
      <c r="CDM121" s="65"/>
      <c r="CDN121" s="65"/>
      <c r="CDO121" s="65"/>
      <c r="CDP121" s="65"/>
      <c r="CDQ121" s="65"/>
      <c r="CDR121" s="65"/>
      <c r="CDS121" s="65"/>
      <c r="CDT121" s="65"/>
      <c r="CDU121" s="65"/>
      <c r="CDV121" s="65"/>
      <c r="CDW121" s="65"/>
      <c r="CDX121" s="65"/>
      <c r="CDY121" s="65"/>
      <c r="CDZ121" s="65"/>
      <c r="CEA121" s="65"/>
      <c r="CEB121" s="65"/>
      <c r="CEC121" s="65"/>
      <c r="CED121" s="65"/>
      <c r="CEE121" s="65"/>
      <c r="CEF121" s="65"/>
      <c r="CEG121" s="65"/>
      <c r="CEH121" s="65"/>
      <c r="CEI121" s="65"/>
      <c r="CEJ121" s="65"/>
      <c r="CEK121" s="65"/>
      <c r="CEL121" s="65"/>
      <c r="CEM121" s="65"/>
      <c r="CEN121" s="65"/>
      <c r="CEO121" s="65"/>
      <c r="CEP121" s="65"/>
      <c r="CEQ121" s="65"/>
      <c r="CER121" s="65"/>
      <c r="CES121" s="65"/>
      <c r="CET121" s="65"/>
      <c r="CEU121" s="65"/>
      <c r="CEV121" s="65"/>
      <c r="CEW121" s="65"/>
      <c r="CEX121" s="65"/>
      <c r="CEY121" s="65"/>
      <c r="CEZ121" s="65"/>
      <c r="CFA121" s="65"/>
      <c r="CFB121" s="65"/>
      <c r="CFC121" s="65"/>
      <c r="CFD121" s="65"/>
      <c r="CFE121" s="65"/>
      <c r="CFF121" s="65"/>
      <c r="CFG121" s="65"/>
      <c r="CFH121" s="65"/>
      <c r="CFI121" s="65"/>
      <c r="CFJ121" s="65"/>
      <c r="CFK121" s="65"/>
      <c r="CFL121" s="65"/>
      <c r="CFM121" s="65"/>
      <c r="CFN121" s="65"/>
      <c r="CFO121" s="65"/>
      <c r="CFP121" s="65"/>
      <c r="CFQ121" s="65"/>
      <c r="CFR121" s="65"/>
      <c r="CFS121" s="65"/>
      <c r="CFT121" s="65"/>
      <c r="CFU121" s="65"/>
      <c r="CFV121" s="65"/>
      <c r="CFW121" s="65"/>
      <c r="CFX121" s="65"/>
      <c r="CFY121" s="65"/>
      <c r="CFZ121" s="65"/>
      <c r="CGA121" s="65"/>
      <c r="CGB121" s="65"/>
      <c r="CGC121" s="65"/>
      <c r="CGD121" s="65"/>
      <c r="CGE121" s="65"/>
      <c r="CGF121" s="65"/>
      <c r="CGG121" s="65"/>
      <c r="CGH121" s="65"/>
      <c r="CGI121" s="65"/>
      <c r="CGJ121" s="65"/>
      <c r="CGK121" s="65"/>
      <c r="CGL121" s="65"/>
      <c r="CGM121" s="65"/>
      <c r="CGN121" s="65"/>
      <c r="CGO121" s="65"/>
      <c r="CGP121" s="65"/>
      <c r="CGQ121" s="65"/>
      <c r="CGR121" s="65"/>
      <c r="CGS121" s="65"/>
      <c r="CGT121" s="65"/>
      <c r="CGU121" s="65"/>
      <c r="CGV121" s="65"/>
      <c r="CGW121" s="65"/>
      <c r="CGX121" s="65"/>
      <c r="CGY121" s="65"/>
      <c r="CGZ121" s="65"/>
      <c r="CHA121" s="65"/>
      <c r="CHB121" s="65"/>
      <c r="CHC121" s="65"/>
      <c r="CHD121" s="65"/>
      <c r="CHE121" s="65"/>
      <c r="CHF121" s="65"/>
      <c r="CHG121" s="65"/>
      <c r="CHH121" s="65"/>
      <c r="CHI121" s="65"/>
      <c r="CHJ121" s="65"/>
      <c r="CHK121" s="65"/>
      <c r="CHL121" s="65"/>
      <c r="CHM121" s="65"/>
      <c r="CHN121" s="65"/>
      <c r="CHO121" s="65"/>
      <c r="CHP121" s="65"/>
      <c r="CHQ121" s="65"/>
      <c r="CHR121" s="65"/>
      <c r="CHS121" s="65"/>
      <c r="CHT121" s="65"/>
      <c r="CHU121" s="65"/>
      <c r="CHV121" s="65"/>
      <c r="CHW121" s="65"/>
      <c r="CHX121" s="65"/>
      <c r="CHY121" s="65"/>
      <c r="CHZ121" s="65"/>
      <c r="CIA121" s="65"/>
      <c r="CIB121" s="65"/>
      <c r="CIC121" s="65"/>
      <c r="CID121" s="65"/>
      <c r="CIE121" s="65"/>
      <c r="CIF121" s="65"/>
      <c r="CIG121" s="65"/>
      <c r="CIH121" s="65"/>
      <c r="CII121" s="65"/>
      <c r="CIJ121" s="65"/>
      <c r="CIK121" s="65"/>
      <c r="CIL121" s="65"/>
      <c r="CIM121" s="65"/>
      <c r="CIN121" s="65"/>
      <c r="CIO121" s="65"/>
      <c r="CIP121" s="65"/>
      <c r="CIQ121" s="65"/>
      <c r="CIR121" s="65"/>
      <c r="CIS121" s="65"/>
      <c r="CIT121" s="65"/>
      <c r="CIU121" s="65"/>
      <c r="CIV121" s="65"/>
      <c r="CIW121" s="65"/>
      <c r="CIX121" s="65"/>
      <c r="CIY121" s="65"/>
      <c r="CIZ121" s="65"/>
      <c r="CJA121" s="65"/>
      <c r="CJB121" s="65"/>
      <c r="CJC121" s="65"/>
      <c r="CJD121" s="65"/>
      <c r="CJE121" s="65"/>
      <c r="CJF121" s="65"/>
      <c r="CJG121" s="65"/>
      <c r="CJH121" s="65"/>
      <c r="CJI121" s="65"/>
      <c r="CJJ121" s="65"/>
      <c r="CJK121" s="65"/>
      <c r="CJL121" s="65"/>
      <c r="CJM121" s="65"/>
      <c r="CJN121" s="65"/>
      <c r="CJO121" s="65"/>
      <c r="CJP121" s="65"/>
      <c r="CJQ121" s="65"/>
      <c r="CJR121" s="65"/>
      <c r="CJS121" s="65"/>
      <c r="CJT121" s="65"/>
      <c r="CJU121" s="65"/>
      <c r="CJV121" s="65"/>
      <c r="CJW121" s="65"/>
      <c r="CJX121" s="65"/>
      <c r="CJY121" s="65"/>
      <c r="CJZ121" s="65"/>
      <c r="CKA121" s="65"/>
      <c r="CKB121" s="65"/>
      <c r="CKC121" s="65"/>
      <c r="CKD121" s="65"/>
      <c r="CKE121" s="65"/>
      <c r="CKF121" s="65"/>
      <c r="CKG121" s="65"/>
      <c r="CKH121" s="65"/>
      <c r="CKI121" s="65"/>
      <c r="CKJ121" s="65"/>
      <c r="CKK121" s="65"/>
      <c r="CKL121" s="65"/>
      <c r="CKM121" s="65"/>
      <c r="CKN121" s="65"/>
      <c r="CKO121" s="65"/>
      <c r="CKP121" s="65"/>
      <c r="CKQ121" s="65"/>
      <c r="CKR121" s="65"/>
      <c r="CKS121" s="65"/>
      <c r="CKT121" s="65"/>
      <c r="CKU121" s="65"/>
      <c r="CKV121" s="65"/>
      <c r="CKW121" s="65"/>
      <c r="CKX121" s="65"/>
      <c r="CKY121" s="65"/>
      <c r="CKZ121" s="65"/>
      <c r="CLA121" s="65"/>
      <c r="CLB121" s="65"/>
      <c r="CLC121" s="65"/>
      <c r="CLD121" s="65"/>
      <c r="CLE121" s="65"/>
      <c r="CLF121" s="65"/>
      <c r="CLG121" s="65"/>
      <c r="CLH121" s="65"/>
      <c r="CLI121" s="65"/>
      <c r="CLJ121" s="65"/>
      <c r="CLK121" s="65"/>
      <c r="CLL121" s="65"/>
      <c r="CLM121" s="65"/>
      <c r="CLN121" s="65"/>
      <c r="CLO121" s="65"/>
      <c r="CLP121" s="65"/>
      <c r="CLQ121" s="65"/>
      <c r="CLR121" s="65"/>
      <c r="CLS121" s="65"/>
      <c r="CLT121" s="65"/>
      <c r="CLU121" s="65"/>
      <c r="CLV121" s="65"/>
      <c r="CLW121" s="65"/>
      <c r="CLX121" s="65"/>
      <c r="CLY121" s="65"/>
      <c r="CLZ121" s="65"/>
      <c r="CMA121" s="65"/>
      <c r="CMB121" s="65"/>
      <c r="CMC121" s="65"/>
      <c r="CMD121" s="65"/>
      <c r="CME121" s="65"/>
      <c r="CMF121" s="65"/>
      <c r="CMG121" s="65"/>
      <c r="CMH121" s="65"/>
      <c r="CMI121" s="65"/>
      <c r="CMJ121" s="65"/>
      <c r="CMK121" s="65"/>
      <c r="CML121" s="65"/>
      <c r="CMM121" s="65"/>
      <c r="CMN121" s="65"/>
      <c r="CMO121" s="65"/>
      <c r="CMP121" s="65"/>
      <c r="CMQ121" s="65"/>
      <c r="CMR121" s="65"/>
      <c r="CMS121" s="65"/>
      <c r="CMT121" s="65"/>
      <c r="CMU121" s="65"/>
      <c r="CMV121" s="65"/>
      <c r="CMW121" s="65"/>
      <c r="CMX121" s="65"/>
      <c r="CMY121" s="65"/>
      <c r="CMZ121" s="65"/>
      <c r="CNA121" s="65"/>
      <c r="CNB121" s="65"/>
      <c r="CNC121" s="65"/>
      <c r="CND121" s="65"/>
      <c r="CNE121" s="65"/>
      <c r="CNF121" s="65"/>
      <c r="CNG121" s="65"/>
      <c r="CNH121" s="65"/>
      <c r="CNI121" s="65"/>
      <c r="CNJ121" s="65"/>
      <c r="CNK121" s="65"/>
      <c r="CNL121" s="65"/>
      <c r="CNM121" s="65"/>
      <c r="CNN121" s="65"/>
      <c r="CNO121" s="65"/>
      <c r="CNP121" s="65"/>
      <c r="CNQ121" s="65"/>
      <c r="CNR121" s="65"/>
      <c r="CNS121" s="65"/>
      <c r="CNT121" s="65"/>
      <c r="CNU121" s="65"/>
      <c r="CNV121" s="65"/>
      <c r="CNW121" s="65"/>
      <c r="CNX121" s="65"/>
      <c r="CNY121" s="65"/>
      <c r="CNZ121" s="65"/>
      <c r="COA121" s="65"/>
      <c r="COB121" s="65"/>
      <c r="COC121" s="65"/>
      <c r="COD121" s="65"/>
      <c r="COE121" s="65"/>
      <c r="COF121" s="65"/>
      <c r="COG121" s="65"/>
      <c r="COH121" s="65"/>
      <c r="COI121" s="65"/>
      <c r="COJ121" s="65"/>
      <c r="COK121" s="65"/>
      <c r="COL121" s="65"/>
      <c r="COM121" s="65"/>
      <c r="CON121" s="65"/>
      <c r="COO121" s="65"/>
      <c r="COP121" s="65"/>
      <c r="COQ121" s="65"/>
      <c r="COR121" s="65"/>
      <c r="COS121" s="65"/>
      <c r="COT121" s="65"/>
      <c r="COU121" s="65"/>
      <c r="COV121" s="65"/>
      <c r="COW121" s="65"/>
      <c r="COX121" s="65"/>
      <c r="COY121" s="65"/>
      <c r="COZ121" s="65"/>
      <c r="CPA121" s="65"/>
      <c r="CPB121" s="65"/>
      <c r="CPC121" s="65"/>
      <c r="CPD121" s="65"/>
      <c r="CPE121" s="65"/>
      <c r="CPF121" s="65"/>
      <c r="CPG121" s="65"/>
      <c r="CPH121" s="65"/>
      <c r="CPI121" s="65"/>
      <c r="CPJ121" s="65"/>
      <c r="CPK121" s="65"/>
      <c r="CPL121" s="65"/>
      <c r="CPM121" s="65"/>
      <c r="CPN121" s="65"/>
      <c r="CPO121" s="65"/>
      <c r="CPP121" s="65"/>
      <c r="CPQ121" s="65"/>
      <c r="CPR121" s="65"/>
      <c r="CPS121" s="65"/>
      <c r="CPT121" s="65"/>
      <c r="CPU121" s="65"/>
      <c r="CPV121" s="65"/>
      <c r="CPW121" s="65"/>
      <c r="CPX121" s="65"/>
      <c r="CPY121" s="65"/>
      <c r="CPZ121" s="65"/>
      <c r="CQA121" s="65"/>
      <c r="CQB121" s="65"/>
      <c r="CQC121" s="65"/>
      <c r="CQD121" s="65"/>
      <c r="CQE121" s="65"/>
      <c r="CQF121" s="65"/>
      <c r="CQG121" s="65"/>
      <c r="CQH121" s="65"/>
      <c r="CQI121" s="65"/>
      <c r="CQJ121" s="65"/>
      <c r="CQK121" s="65"/>
      <c r="CQL121" s="65"/>
      <c r="CQM121" s="65"/>
      <c r="CQN121" s="65"/>
      <c r="CQO121" s="65"/>
      <c r="CQP121" s="65"/>
      <c r="CQQ121" s="65"/>
      <c r="CQR121" s="65"/>
      <c r="CQS121" s="65"/>
      <c r="CQT121" s="65"/>
      <c r="CQU121" s="65"/>
      <c r="CQV121" s="65"/>
      <c r="CQW121" s="65"/>
      <c r="CQX121" s="65"/>
      <c r="CQY121" s="65"/>
      <c r="CQZ121" s="65"/>
      <c r="CRA121" s="65"/>
      <c r="CRB121" s="65"/>
      <c r="CRC121" s="65"/>
      <c r="CRD121" s="65"/>
      <c r="CRE121" s="65"/>
      <c r="CRF121" s="65"/>
      <c r="CRG121" s="65"/>
      <c r="CRH121" s="65"/>
      <c r="CRI121" s="65"/>
      <c r="CRJ121" s="65"/>
      <c r="CRK121" s="65"/>
      <c r="CRL121" s="65"/>
      <c r="CRM121" s="65"/>
      <c r="CRN121" s="65"/>
      <c r="CRO121" s="65"/>
      <c r="CRP121" s="65"/>
      <c r="CRQ121" s="65"/>
      <c r="CRR121" s="65"/>
      <c r="CRS121" s="65"/>
      <c r="CRT121" s="65"/>
      <c r="CRU121" s="65"/>
      <c r="CRV121" s="65"/>
      <c r="CRW121" s="65"/>
      <c r="CRX121" s="65"/>
      <c r="CRY121" s="65"/>
      <c r="CRZ121" s="65"/>
      <c r="CSA121" s="65"/>
      <c r="CSB121" s="65"/>
      <c r="CSC121" s="65"/>
      <c r="CSD121" s="65"/>
      <c r="CSE121" s="65"/>
      <c r="CSF121" s="65"/>
      <c r="CSG121" s="65"/>
      <c r="CSH121" s="65"/>
      <c r="CSI121" s="65"/>
      <c r="CSJ121" s="65"/>
      <c r="CSK121" s="65"/>
      <c r="CSL121" s="65"/>
      <c r="CSM121" s="65"/>
      <c r="CSN121" s="65"/>
      <c r="CSO121" s="65"/>
      <c r="CSP121" s="65"/>
      <c r="CSQ121" s="65"/>
      <c r="CSR121" s="65"/>
      <c r="CSS121" s="65"/>
      <c r="CST121" s="65"/>
      <c r="CSU121" s="65"/>
      <c r="CSV121" s="65"/>
      <c r="CSW121" s="65"/>
      <c r="CSX121" s="65"/>
      <c r="CSY121" s="65"/>
      <c r="CSZ121" s="65"/>
      <c r="CTA121" s="65"/>
      <c r="CTB121" s="65"/>
      <c r="CTC121" s="65"/>
      <c r="CTD121" s="65"/>
      <c r="CTE121" s="65"/>
      <c r="CTF121" s="65"/>
      <c r="CTG121" s="65"/>
      <c r="CTH121" s="65"/>
      <c r="CTI121" s="65"/>
      <c r="CTJ121" s="65"/>
      <c r="CTK121" s="65"/>
      <c r="CTL121" s="65"/>
      <c r="CTM121" s="65"/>
      <c r="CTN121" s="65"/>
      <c r="CTO121" s="65"/>
      <c r="CTP121" s="65"/>
      <c r="CTQ121" s="65"/>
      <c r="CTR121" s="65"/>
      <c r="CTS121" s="65"/>
      <c r="CTT121" s="65"/>
      <c r="CTU121" s="65"/>
      <c r="CTV121" s="65"/>
      <c r="CTW121" s="65"/>
      <c r="CTX121" s="65"/>
      <c r="CTY121" s="65"/>
      <c r="CTZ121" s="65"/>
      <c r="CUA121" s="65"/>
      <c r="CUB121" s="65"/>
      <c r="CUC121" s="65"/>
      <c r="CUD121" s="65"/>
      <c r="CUE121" s="65"/>
      <c r="CUF121" s="65"/>
      <c r="CUG121" s="65"/>
      <c r="CUH121" s="65"/>
      <c r="CUI121" s="65"/>
      <c r="CUJ121" s="65"/>
      <c r="CUK121" s="65"/>
      <c r="CUL121" s="65"/>
      <c r="CUM121" s="65"/>
      <c r="CUN121" s="65"/>
      <c r="CUO121" s="65"/>
      <c r="CUP121" s="65"/>
      <c r="CUQ121" s="65"/>
      <c r="CUR121" s="65"/>
      <c r="CUS121" s="65"/>
      <c r="CUT121" s="65"/>
      <c r="CUU121" s="65"/>
      <c r="CUV121" s="65"/>
      <c r="CUW121" s="65"/>
      <c r="CUX121" s="65"/>
      <c r="CUY121" s="65"/>
      <c r="CUZ121" s="65"/>
      <c r="CVA121" s="65"/>
      <c r="CVB121" s="65"/>
      <c r="CVC121" s="65"/>
      <c r="CVD121" s="65"/>
      <c r="CVE121" s="65"/>
      <c r="CVF121" s="65"/>
      <c r="CVG121" s="65"/>
      <c r="CVH121" s="65"/>
      <c r="CVI121" s="65"/>
      <c r="CVJ121" s="65"/>
      <c r="CVK121" s="65"/>
      <c r="CVL121" s="65"/>
      <c r="CVM121" s="65"/>
      <c r="CVN121" s="65"/>
      <c r="CVO121" s="65"/>
      <c r="CVP121" s="65"/>
      <c r="CVQ121" s="65"/>
      <c r="CVR121" s="65"/>
      <c r="CVS121" s="65"/>
      <c r="CVT121" s="65"/>
      <c r="CVU121" s="65"/>
      <c r="CVV121" s="65"/>
      <c r="CVW121" s="65"/>
      <c r="CVX121" s="65"/>
      <c r="CVY121" s="65"/>
      <c r="CVZ121" s="65"/>
      <c r="CWA121" s="65"/>
      <c r="CWB121" s="65"/>
      <c r="CWC121" s="65"/>
      <c r="CWD121" s="65"/>
      <c r="CWE121" s="65"/>
      <c r="CWF121" s="65"/>
      <c r="CWG121" s="65"/>
      <c r="CWH121" s="65"/>
      <c r="CWI121" s="65"/>
      <c r="CWJ121" s="65"/>
      <c r="CWK121" s="65"/>
      <c r="CWL121" s="65"/>
      <c r="CWM121" s="65"/>
      <c r="CWN121" s="65"/>
      <c r="CWO121" s="65"/>
      <c r="CWP121" s="65"/>
      <c r="CWQ121" s="65"/>
      <c r="CWR121" s="65"/>
      <c r="CWS121" s="65"/>
      <c r="CWT121" s="65"/>
      <c r="CWU121" s="65"/>
      <c r="CWV121" s="65"/>
      <c r="CWW121" s="65"/>
      <c r="CWX121" s="65"/>
      <c r="CWY121" s="65"/>
      <c r="CWZ121" s="65"/>
      <c r="CXA121" s="65"/>
      <c r="CXB121" s="65"/>
      <c r="CXC121" s="65"/>
      <c r="CXD121" s="65"/>
      <c r="CXE121" s="65"/>
      <c r="CXF121" s="65"/>
      <c r="CXG121" s="65"/>
      <c r="CXH121" s="65"/>
      <c r="CXI121" s="65"/>
      <c r="CXJ121" s="65"/>
      <c r="CXK121" s="65"/>
      <c r="CXL121" s="65"/>
      <c r="CXM121" s="65"/>
      <c r="CXN121" s="65"/>
      <c r="CXO121" s="65"/>
      <c r="CXP121" s="65"/>
      <c r="CXQ121" s="65"/>
      <c r="CXR121" s="65"/>
      <c r="CXS121" s="65"/>
      <c r="CXT121" s="65"/>
      <c r="CXU121" s="65"/>
      <c r="CXV121" s="65"/>
      <c r="CXW121" s="65"/>
      <c r="CXX121" s="65"/>
      <c r="CXY121" s="65"/>
      <c r="CXZ121" s="65"/>
      <c r="CYA121" s="65"/>
      <c r="CYB121" s="65"/>
      <c r="CYC121" s="65"/>
      <c r="CYD121" s="65"/>
      <c r="CYE121" s="65"/>
      <c r="CYF121" s="65"/>
      <c r="CYG121" s="65"/>
      <c r="CYH121" s="65"/>
      <c r="CYI121" s="65"/>
      <c r="CYJ121" s="65"/>
      <c r="CYK121" s="65"/>
      <c r="CYL121" s="65"/>
      <c r="CYM121" s="65"/>
      <c r="CYN121" s="65"/>
      <c r="CYO121" s="65"/>
      <c r="CYP121" s="65"/>
      <c r="CYQ121" s="65"/>
      <c r="CYR121" s="65"/>
      <c r="CYS121" s="65"/>
      <c r="CYT121" s="65"/>
      <c r="CYU121" s="65"/>
      <c r="CYV121" s="65"/>
      <c r="CYW121" s="65"/>
      <c r="CYX121" s="65"/>
      <c r="CYY121" s="65"/>
      <c r="CYZ121" s="65"/>
      <c r="CZA121" s="65"/>
      <c r="CZB121" s="65"/>
      <c r="CZC121" s="65"/>
      <c r="CZD121" s="65"/>
      <c r="CZE121" s="65"/>
      <c r="CZF121" s="65"/>
      <c r="CZG121" s="65"/>
      <c r="CZH121" s="65"/>
      <c r="CZI121" s="65"/>
      <c r="CZJ121" s="65"/>
      <c r="CZK121" s="65"/>
      <c r="CZL121" s="65"/>
      <c r="CZM121" s="65"/>
      <c r="CZN121" s="65"/>
      <c r="CZO121" s="65"/>
      <c r="CZP121" s="65"/>
      <c r="CZQ121" s="65"/>
      <c r="CZR121" s="65"/>
      <c r="CZS121" s="65"/>
      <c r="CZT121" s="65"/>
      <c r="CZU121" s="65"/>
      <c r="CZV121" s="65"/>
      <c r="CZW121" s="65"/>
      <c r="CZX121" s="65"/>
      <c r="CZY121" s="65"/>
      <c r="CZZ121" s="65"/>
      <c r="DAA121" s="65"/>
      <c r="DAB121" s="65"/>
      <c r="DAC121" s="65"/>
      <c r="DAD121" s="65"/>
      <c r="DAE121" s="65"/>
      <c r="DAF121" s="65"/>
      <c r="DAG121" s="65"/>
      <c r="DAH121" s="65"/>
      <c r="DAI121" s="65"/>
      <c r="DAJ121" s="65"/>
      <c r="DAK121" s="65"/>
      <c r="DAL121" s="65"/>
      <c r="DAM121" s="65"/>
      <c r="DAN121" s="65"/>
      <c r="DAO121" s="65"/>
      <c r="DAP121" s="65"/>
      <c r="DAQ121" s="65"/>
      <c r="DAR121" s="65"/>
      <c r="DAS121" s="65"/>
      <c r="DAT121" s="65"/>
      <c r="DAU121" s="65"/>
      <c r="DAV121" s="65"/>
      <c r="DAW121" s="65"/>
      <c r="DAX121" s="65"/>
      <c r="DAY121" s="65"/>
      <c r="DAZ121" s="65"/>
      <c r="DBA121" s="65"/>
      <c r="DBB121" s="65"/>
      <c r="DBC121" s="65"/>
      <c r="DBD121" s="65"/>
      <c r="DBE121" s="65"/>
      <c r="DBF121" s="65"/>
      <c r="DBG121" s="65"/>
      <c r="DBH121" s="65"/>
      <c r="DBI121" s="65"/>
      <c r="DBJ121" s="65"/>
      <c r="DBK121" s="65"/>
      <c r="DBL121" s="65"/>
      <c r="DBM121" s="65"/>
      <c r="DBN121" s="65"/>
      <c r="DBO121" s="65"/>
      <c r="DBP121" s="65"/>
      <c r="DBQ121" s="65"/>
      <c r="DBR121" s="65"/>
      <c r="DBS121" s="65"/>
      <c r="DBT121" s="65"/>
      <c r="DBU121" s="65"/>
      <c r="DBV121" s="65"/>
      <c r="DBW121" s="65"/>
      <c r="DBX121" s="65"/>
      <c r="DBY121" s="65"/>
      <c r="DBZ121" s="65"/>
      <c r="DCA121" s="65"/>
      <c r="DCB121" s="65"/>
      <c r="DCC121" s="65"/>
      <c r="DCD121" s="65"/>
      <c r="DCE121" s="65"/>
      <c r="DCF121" s="65"/>
      <c r="DCG121" s="65"/>
      <c r="DCH121" s="65"/>
      <c r="DCI121" s="65"/>
      <c r="DCJ121" s="65"/>
      <c r="DCK121" s="65"/>
      <c r="DCL121" s="65"/>
      <c r="DCM121" s="65"/>
      <c r="DCN121" s="65"/>
      <c r="DCO121" s="65"/>
      <c r="DCP121" s="65"/>
      <c r="DCQ121" s="65"/>
      <c r="DCR121" s="65"/>
      <c r="DCS121" s="65"/>
      <c r="DCT121" s="65"/>
      <c r="DCU121" s="65"/>
      <c r="DCV121" s="65"/>
      <c r="DCW121" s="65"/>
      <c r="DCX121" s="65"/>
      <c r="DCY121" s="65"/>
      <c r="DCZ121" s="65"/>
      <c r="DDA121" s="65"/>
      <c r="DDB121" s="65"/>
      <c r="DDC121" s="65"/>
      <c r="DDD121" s="65"/>
      <c r="DDE121" s="65"/>
      <c r="DDF121" s="65"/>
      <c r="DDG121" s="65"/>
      <c r="DDH121" s="65"/>
      <c r="DDI121" s="65"/>
      <c r="DDJ121" s="65"/>
      <c r="DDK121" s="65"/>
      <c r="DDL121" s="65"/>
      <c r="DDM121" s="65"/>
      <c r="DDN121" s="65"/>
      <c r="DDO121" s="65"/>
      <c r="DDP121" s="65"/>
      <c r="DDQ121" s="65"/>
      <c r="DDR121" s="65"/>
      <c r="DDS121" s="65"/>
      <c r="DDT121" s="65"/>
      <c r="DDU121" s="65"/>
      <c r="DDV121" s="65"/>
      <c r="DDW121" s="65"/>
      <c r="DDX121" s="65"/>
      <c r="DDY121" s="65"/>
      <c r="DDZ121" s="65"/>
      <c r="DEA121" s="65"/>
      <c r="DEB121" s="65"/>
      <c r="DEC121" s="65"/>
      <c r="DED121" s="65"/>
      <c r="DEE121" s="65"/>
      <c r="DEF121" s="65"/>
      <c r="DEG121" s="65"/>
      <c r="DEH121" s="65"/>
      <c r="DEI121" s="65"/>
      <c r="DEJ121" s="65"/>
      <c r="DEK121" s="65"/>
      <c r="DEL121" s="65"/>
      <c r="DEM121" s="65"/>
      <c r="DEN121" s="65"/>
      <c r="DEO121" s="65"/>
      <c r="DEP121" s="65"/>
      <c r="DEQ121" s="65"/>
      <c r="DER121" s="65"/>
      <c r="DES121" s="65"/>
      <c r="DET121" s="65"/>
      <c r="DEU121" s="65"/>
      <c r="DEV121" s="65"/>
      <c r="DEW121" s="65"/>
      <c r="DEX121" s="65"/>
      <c r="DEY121" s="65"/>
      <c r="DEZ121" s="65"/>
      <c r="DFA121" s="65"/>
      <c r="DFB121" s="65"/>
      <c r="DFC121" s="65"/>
      <c r="DFD121" s="65"/>
      <c r="DFE121" s="65"/>
      <c r="DFF121" s="65"/>
      <c r="DFG121" s="65"/>
      <c r="DFH121" s="65"/>
      <c r="DFI121" s="65"/>
      <c r="DFJ121" s="65"/>
      <c r="DFK121" s="65"/>
      <c r="DFL121" s="65"/>
      <c r="DFM121" s="65"/>
      <c r="DFN121" s="65"/>
      <c r="DFO121" s="65"/>
      <c r="DFP121" s="65"/>
      <c r="DFQ121" s="65"/>
      <c r="DFR121" s="65"/>
      <c r="DFS121" s="65"/>
      <c r="DFT121" s="65"/>
      <c r="DFU121" s="65"/>
      <c r="DFV121" s="65"/>
      <c r="DFW121" s="65"/>
      <c r="DFX121" s="65"/>
      <c r="DFY121" s="65"/>
      <c r="DFZ121" s="65"/>
      <c r="DGA121" s="65"/>
      <c r="DGB121" s="65"/>
      <c r="DGC121" s="65"/>
      <c r="DGD121" s="65"/>
      <c r="DGE121" s="65"/>
      <c r="DGF121" s="65"/>
      <c r="DGG121" s="65"/>
      <c r="DGH121" s="65"/>
      <c r="DGI121" s="65"/>
      <c r="DGJ121" s="65"/>
      <c r="DGK121" s="65"/>
      <c r="DGL121" s="65"/>
      <c r="DGM121" s="65"/>
      <c r="DGN121" s="65"/>
      <c r="DGO121" s="65"/>
      <c r="DGP121" s="65"/>
      <c r="DGQ121" s="65"/>
      <c r="DGR121" s="65"/>
      <c r="DGS121" s="65"/>
      <c r="DGT121" s="65"/>
      <c r="DGU121" s="65"/>
      <c r="DGV121" s="65"/>
      <c r="DGW121" s="65"/>
      <c r="DGX121" s="65"/>
      <c r="DGY121" s="65"/>
      <c r="DGZ121" s="65"/>
      <c r="DHA121" s="65"/>
      <c r="DHB121" s="65"/>
      <c r="DHC121" s="65"/>
      <c r="DHD121" s="65"/>
      <c r="DHE121" s="65"/>
      <c r="DHF121" s="65"/>
      <c r="DHG121" s="65"/>
      <c r="DHH121" s="65"/>
      <c r="DHI121" s="65"/>
      <c r="DHJ121" s="65"/>
      <c r="DHK121" s="65"/>
      <c r="DHL121" s="65"/>
      <c r="DHM121" s="65"/>
      <c r="DHN121" s="65"/>
      <c r="DHO121" s="65"/>
      <c r="DHP121" s="65"/>
      <c r="DHQ121" s="65"/>
      <c r="DHR121" s="65"/>
      <c r="DHS121" s="65"/>
      <c r="DHT121" s="65"/>
      <c r="DHU121" s="65"/>
      <c r="DHV121" s="65"/>
      <c r="DHW121" s="65"/>
      <c r="DHX121" s="65"/>
      <c r="DHY121" s="65"/>
      <c r="DHZ121" s="65"/>
      <c r="DIA121" s="65"/>
      <c r="DIB121" s="65"/>
      <c r="DIC121" s="65"/>
      <c r="DID121" s="65"/>
      <c r="DIE121" s="65"/>
      <c r="DIF121" s="65"/>
      <c r="DIG121" s="65"/>
      <c r="DIH121" s="65"/>
      <c r="DII121" s="65"/>
      <c r="DIJ121" s="65"/>
      <c r="DIK121" s="65"/>
      <c r="DIL121" s="65"/>
      <c r="DIM121" s="65"/>
      <c r="DIN121" s="65"/>
      <c r="DIO121" s="65"/>
      <c r="DIP121" s="65"/>
      <c r="DIQ121" s="65"/>
      <c r="DIR121" s="65"/>
      <c r="DIS121" s="65"/>
      <c r="DIT121" s="65"/>
      <c r="DIU121" s="65"/>
      <c r="DIV121" s="65"/>
      <c r="DIW121" s="65"/>
      <c r="DIX121" s="65"/>
      <c r="DIY121" s="65"/>
      <c r="DIZ121" s="65"/>
      <c r="DJA121" s="65"/>
      <c r="DJB121" s="65"/>
      <c r="DJC121" s="65"/>
      <c r="DJD121" s="65"/>
      <c r="DJE121" s="65"/>
      <c r="DJF121" s="65"/>
      <c r="DJG121" s="65"/>
      <c r="DJH121" s="65"/>
      <c r="DJI121" s="65"/>
      <c r="DJJ121" s="65"/>
      <c r="DJK121" s="65"/>
      <c r="DJL121" s="65"/>
      <c r="DJM121" s="65"/>
      <c r="DJN121" s="65"/>
      <c r="DJO121" s="65"/>
      <c r="DJP121" s="65"/>
      <c r="DJQ121" s="65"/>
      <c r="DJR121" s="65"/>
      <c r="DJS121" s="65"/>
      <c r="DJT121" s="65"/>
      <c r="DJU121" s="65"/>
      <c r="DJV121" s="65"/>
      <c r="DJW121" s="65"/>
      <c r="DJX121" s="65"/>
      <c r="DJY121" s="65"/>
      <c r="DJZ121" s="65"/>
      <c r="DKA121" s="65"/>
      <c r="DKB121" s="65"/>
      <c r="DKC121" s="65"/>
      <c r="DKD121" s="65"/>
      <c r="DKE121" s="65"/>
      <c r="DKF121" s="65"/>
      <c r="DKG121" s="65"/>
      <c r="DKH121" s="65"/>
      <c r="DKI121" s="65"/>
      <c r="DKJ121" s="65"/>
      <c r="DKK121" s="65"/>
      <c r="DKL121" s="65"/>
      <c r="DKM121" s="65"/>
      <c r="DKN121" s="65"/>
      <c r="DKO121" s="65"/>
      <c r="DKP121" s="65"/>
      <c r="DKQ121" s="65"/>
      <c r="DKR121" s="65"/>
      <c r="DKS121" s="65"/>
      <c r="DKT121" s="65"/>
      <c r="DKU121" s="65"/>
      <c r="DKV121" s="65"/>
      <c r="DKW121" s="65"/>
      <c r="DKX121" s="65"/>
      <c r="DKY121" s="65"/>
      <c r="DKZ121" s="65"/>
      <c r="DLA121" s="65"/>
      <c r="DLB121" s="65"/>
      <c r="DLC121" s="65"/>
      <c r="DLD121" s="65"/>
      <c r="DLE121" s="65"/>
      <c r="DLF121" s="65"/>
      <c r="DLG121" s="65"/>
      <c r="DLH121" s="65"/>
      <c r="DLI121" s="65"/>
      <c r="DLJ121" s="65"/>
      <c r="DLK121" s="65"/>
      <c r="DLL121" s="65"/>
      <c r="DLM121" s="65"/>
      <c r="DLN121" s="65"/>
      <c r="DLO121" s="65"/>
      <c r="DLP121" s="65"/>
      <c r="DLQ121" s="65"/>
      <c r="DLR121" s="65"/>
      <c r="DLS121" s="65"/>
      <c r="DLT121" s="65"/>
      <c r="DLU121" s="65"/>
      <c r="DLV121" s="65"/>
      <c r="DLW121" s="65"/>
      <c r="DLX121" s="65"/>
      <c r="DLY121" s="65"/>
      <c r="DLZ121" s="65"/>
      <c r="DMA121" s="65"/>
      <c r="DMB121" s="65"/>
      <c r="DMC121" s="65"/>
      <c r="DMD121" s="65"/>
      <c r="DME121" s="65"/>
      <c r="DMF121" s="65"/>
      <c r="DMG121" s="65"/>
      <c r="DMH121" s="65"/>
      <c r="DMI121" s="65"/>
      <c r="DMJ121" s="65"/>
      <c r="DMK121" s="65"/>
      <c r="DML121" s="65"/>
      <c r="DMM121" s="65"/>
      <c r="DMN121" s="65"/>
      <c r="DMO121" s="65"/>
      <c r="DMP121" s="65"/>
      <c r="DMQ121" s="65"/>
      <c r="DMR121" s="65"/>
      <c r="DMS121" s="65"/>
      <c r="DMT121" s="65"/>
      <c r="DMU121" s="65"/>
      <c r="DMV121" s="65"/>
      <c r="DMW121" s="65"/>
      <c r="DMX121" s="65"/>
      <c r="DMY121" s="65"/>
      <c r="DMZ121" s="65"/>
      <c r="DNA121" s="65"/>
      <c r="DNB121" s="65"/>
      <c r="DNC121" s="65"/>
      <c r="DND121" s="65"/>
      <c r="DNE121" s="65"/>
      <c r="DNF121" s="65"/>
      <c r="DNG121" s="65"/>
      <c r="DNH121" s="65"/>
      <c r="DNI121" s="65"/>
      <c r="DNJ121" s="65"/>
      <c r="DNK121" s="65"/>
      <c r="DNL121" s="65"/>
      <c r="DNM121" s="65"/>
      <c r="DNN121" s="65"/>
      <c r="DNO121" s="65"/>
      <c r="DNP121" s="65"/>
      <c r="DNQ121" s="65"/>
      <c r="DNR121" s="65"/>
      <c r="DNS121" s="65"/>
      <c r="DNT121" s="65"/>
      <c r="DNU121" s="65"/>
      <c r="DNV121" s="65"/>
      <c r="DNW121" s="65"/>
      <c r="DNX121" s="65"/>
      <c r="DNY121" s="65"/>
      <c r="DNZ121" s="65"/>
      <c r="DOA121" s="65"/>
      <c r="DOB121" s="65"/>
      <c r="DOC121" s="65"/>
      <c r="DOD121" s="65"/>
      <c r="DOE121" s="65"/>
      <c r="DOF121" s="65"/>
      <c r="DOG121" s="65"/>
      <c r="DOH121" s="65"/>
      <c r="DOI121" s="65"/>
      <c r="DOJ121" s="65"/>
      <c r="DOK121" s="65"/>
      <c r="DOL121" s="65"/>
      <c r="DOM121" s="65"/>
      <c r="DON121" s="65"/>
      <c r="DOO121" s="65"/>
      <c r="DOP121" s="65"/>
      <c r="DOQ121" s="65"/>
      <c r="DOR121" s="65"/>
      <c r="DOS121" s="65"/>
      <c r="DOT121" s="65"/>
      <c r="DOU121" s="65"/>
      <c r="DOV121" s="65"/>
      <c r="DOW121" s="65"/>
      <c r="DOX121" s="65"/>
      <c r="DOY121" s="65"/>
      <c r="DOZ121" s="65"/>
      <c r="DPA121" s="65"/>
      <c r="DPB121" s="65"/>
      <c r="DPC121" s="65"/>
      <c r="DPD121" s="65"/>
      <c r="DPE121" s="65"/>
      <c r="DPF121" s="65"/>
      <c r="DPG121" s="65"/>
      <c r="DPH121" s="65"/>
      <c r="DPI121" s="65"/>
      <c r="DPJ121" s="65"/>
      <c r="DPK121" s="65"/>
      <c r="DPL121" s="65"/>
      <c r="DPM121" s="65"/>
      <c r="DPN121" s="65"/>
      <c r="DPO121" s="65"/>
      <c r="DPP121" s="65"/>
      <c r="DPQ121" s="65"/>
      <c r="DPR121" s="65"/>
      <c r="DPS121" s="65"/>
      <c r="DPT121" s="65"/>
      <c r="DPU121" s="65"/>
      <c r="DPV121" s="65"/>
      <c r="DPW121" s="65"/>
      <c r="DPX121" s="65"/>
      <c r="DPY121" s="65"/>
      <c r="DPZ121" s="65"/>
      <c r="DQA121" s="65"/>
      <c r="DQB121" s="65"/>
      <c r="DQC121" s="65"/>
      <c r="DQD121" s="65"/>
      <c r="DQE121" s="65"/>
      <c r="DQF121" s="65"/>
      <c r="DQG121" s="65"/>
      <c r="DQH121" s="65"/>
      <c r="DQI121" s="65"/>
      <c r="DQJ121" s="65"/>
      <c r="DQK121" s="65"/>
      <c r="DQL121" s="65"/>
      <c r="DQM121" s="65"/>
      <c r="DQN121" s="65"/>
      <c r="DQO121" s="65"/>
      <c r="DQP121" s="65"/>
      <c r="DQQ121" s="65"/>
      <c r="DQR121" s="65"/>
      <c r="DQS121" s="65"/>
      <c r="DQT121" s="65"/>
      <c r="DQU121" s="65"/>
      <c r="DQV121" s="65"/>
      <c r="DQW121" s="65"/>
      <c r="DQX121" s="65"/>
      <c r="DQY121" s="65"/>
      <c r="DQZ121" s="65"/>
      <c r="DRA121" s="65"/>
      <c r="DRB121" s="65"/>
      <c r="DRC121" s="65"/>
      <c r="DRD121" s="65"/>
      <c r="DRE121" s="65"/>
      <c r="DRF121" s="65"/>
      <c r="DRG121" s="65"/>
      <c r="DRH121" s="65"/>
      <c r="DRI121" s="65"/>
      <c r="DRJ121" s="65"/>
      <c r="DRK121" s="65"/>
      <c r="DRL121" s="65"/>
      <c r="DRM121" s="65"/>
      <c r="DRN121" s="65"/>
      <c r="DRO121" s="65"/>
      <c r="DRP121" s="65"/>
      <c r="DRQ121" s="65"/>
      <c r="DRR121" s="65"/>
      <c r="DRS121" s="65"/>
      <c r="DRT121" s="65"/>
      <c r="DRU121" s="65"/>
      <c r="DRV121" s="65"/>
      <c r="DRW121" s="65"/>
      <c r="DRX121" s="65"/>
      <c r="DRY121" s="65"/>
      <c r="DRZ121" s="65"/>
      <c r="DSA121" s="65"/>
      <c r="DSB121" s="65"/>
      <c r="DSC121" s="65"/>
      <c r="DSD121" s="65"/>
      <c r="DSE121" s="65"/>
      <c r="DSF121" s="65"/>
      <c r="DSG121" s="65"/>
      <c r="DSH121" s="65"/>
      <c r="DSI121" s="65"/>
      <c r="DSJ121" s="65"/>
      <c r="DSK121" s="65"/>
      <c r="DSL121" s="65"/>
      <c r="DSM121" s="65"/>
      <c r="DSN121" s="65"/>
      <c r="DSO121" s="65"/>
      <c r="DSP121" s="65"/>
      <c r="DSQ121" s="65"/>
      <c r="DSR121" s="65"/>
      <c r="DSS121" s="65"/>
      <c r="DST121" s="65"/>
      <c r="DSU121" s="65"/>
      <c r="DSV121" s="65"/>
      <c r="DSW121" s="65"/>
      <c r="DSX121" s="65"/>
      <c r="DSY121" s="65"/>
      <c r="DSZ121" s="65"/>
      <c r="DTA121" s="65"/>
      <c r="DTB121" s="65"/>
      <c r="DTC121" s="65"/>
      <c r="DTD121" s="65"/>
      <c r="DTE121" s="65"/>
      <c r="DTF121" s="65"/>
      <c r="DTG121" s="65"/>
      <c r="DTH121" s="65"/>
      <c r="DTI121" s="65"/>
      <c r="DTJ121" s="65"/>
      <c r="DTK121" s="65"/>
      <c r="DTL121" s="65"/>
      <c r="DTM121" s="65"/>
      <c r="DTN121" s="65"/>
      <c r="DTO121" s="65"/>
      <c r="DTP121" s="65"/>
      <c r="DTQ121" s="65"/>
      <c r="DTR121" s="65"/>
      <c r="DTS121" s="65"/>
      <c r="DTT121" s="65"/>
      <c r="DTU121" s="65"/>
      <c r="DTV121" s="65"/>
      <c r="DTW121" s="65"/>
      <c r="DTX121" s="65"/>
      <c r="DTY121" s="65"/>
      <c r="DTZ121" s="65"/>
      <c r="DUA121" s="65"/>
      <c r="DUB121" s="65"/>
      <c r="DUC121" s="65"/>
      <c r="DUD121" s="65"/>
      <c r="DUE121" s="65"/>
      <c r="DUF121" s="65"/>
      <c r="DUG121" s="65"/>
      <c r="DUH121" s="65"/>
      <c r="DUI121" s="65"/>
      <c r="DUJ121" s="65"/>
      <c r="DUK121" s="65"/>
      <c r="DUL121" s="65"/>
      <c r="DUM121" s="65"/>
      <c r="DUN121" s="65"/>
      <c r="DUO121" s="65"/>
      <c r="DUP121" s="65"/>
      <c r="DUQ121" s="65"/>
      <c r="DUR121" s="65"/>
      <c r="DUS121" s="65"/>
      <c r="DUT121" s="65"/>
      <c r="DUU121" s="65"/>
      <c r="DUV121" s="65"/>
      <c r="DUW121" s="65"/>
      <c r="DUX121" s="65"/>
      <c r="DUY121" s="65"/>
      <c r="DUZ121" s="65"/>
      <c r="DVA121" s="65"/>
      <c r="DVB121" s="65"/>
      <c r="DVC121" s="65"/>
      <c r="DVD121" s="65"/>
      <c r="DVE121" s="65"/>
      <c r="DVF121" s="65"/>
      <c r="DVG121" s="65"/>
      <c r="DVH121" s="65"/>
      <c r="DVI121" s="65"/>
      <c r="DVJ121" s="65"/>
      <c r="DVK121" s="65"/>
      <c r="DVL121" s="65"/>
      <c r="DVM121" s="65"/>
      <c r="DVN121" s="65"/>
      <c r="DVO121" s="65"/>
      <c r="DVP121" s="65"/>
      <c r="DVQ121" s="65"/>
      <c r="DVR121" s="65"/>
      <c r="DVS121" s="65"/>
      <c r="DVT121" s="65"/>
      <c r="DVU121" s="65"/>
      <c r="DVV121" s="65"/>
      <c r="DVW121" s="65"/>
      <c r="DVX121" s="65"/>
      <c r="DVY121" s="65"/>
      <c r="DVZ121" s="65"/>
      <c r="DWA121" s="65"/>
      <c r="DWB121" s="65"/>
      <c r="DWC121" s="65"/>
      <c r="DWD121" s="65"/>
      <c r="DWE121" s="65"/>
      <c r="DWF121" s="65"/>
      <c r="DWG121" s="65"/>
      <c r="DWH121" s="65"/>
      <c r="DWI121" s="65"/>
      <c r="DWJ121" s="65"/>
      <c r="DWK121" s="65"/>
      <c r="DWL121" s="65"/>
      <c r="DWM121" s="65"/>
      <c r="DWN121" s="65"/>
      <c r="DWO121" s="65"/>
      <c r="DWP121" s="65"/>
      <c r="DWQ121" s="65"/>
      <c r="DWR121" s="65"/>
      <c r="DWS121" s="65"/>
      <c r="DWT121" s="65"/>
      <c r="DWU121" s="65"/>
      <c r="DWV121" s="65"/>
      <c r="DWW121" s="65"/>
      <c r="DWX121" s="65"/>
      <c r="DWY121" s="65"/>
      <c r="DWZ121" s="65"/>
      <c r="DXA121" s="65"/>
      <c r="DXB121" s="65"/>
      <c r="DXC121" s="65"/>
      <c r="DXD121" s="65"/>
      <c r="DXE121" s="65"/>
      <c r="DXF121" s="65"/>
      <c r="DXG121" s="65"/>
      <c r="DXH121" s="65"/>
      <c r="DXI121" s="65"/>
      <c r="DXJ121" s="65"/>
      <c r="DXK121" s="65"/>
      <c r="DXL121" s="65"/>
      <c r="DXM121" s="65"/>
      <c r="DXN121" s="65"/>
      <c r="DXO121" s="65"/>
      <c r="DXP121" s="65"/>
      <c r="DXQ121" s="65"/>
      <c r="DXR121" s="65"/>
      <c r="DXS121" s="65"/>
      <c r="DXT121" s="65"/>
      <c r="DXU121" s="65"/>
      <c r="DXV121" s="65"/>
      <c r="DXW121" s="65"/>
      <c r="DXX121" s="65"/>
      <c r="DXY121" s="65"/>
      <c r="DXZ121" s="65"/>
      <c r="DYA121" s="65"/>
      <c r="DYB121" s="65"/>
      <c r="DYC121" s="65"/>
      <c r="DYD121" s="65"/>
      <c r="DYE121" s="65"/>
      <c r="DYF121" s="65"/>
      <c r="DYG121" s="65"/>
      <c r="DYH121" s="65"/>
      <c r="DYI121" s="65"/>
      <c r="DYJ121" s="65"/>
      <c r="DYK121" s="65"/>
      <c r="DYL121" s="65"/>
      <c r="DYM121" s="65"/>
      <c r="DYN121" s="65"/>
      <c r="DYO121" s="65"/>
      <c r="DYP121" s="65"/>
      <c r="DYQ121" s="65"/>
      <c r="DYR121" s="65"/>
      <c r="DYS121" s="65"/>
      <c r="DYT121" s="65"/>
      <c r="DYU121" s="65"/>
      <c r="DYV121" s="65"/>
      <c r="DYW121" s="65"/>
      <c r="DYX121" s="65"/>
      <c r="DYY121" s="65"/>
      <c r="DYZ121" s="65"/>
      <c r="DZA121" s="65"/>
      <c r="DZB121" s="65"/>
      <c r="DZC121" s="65"/>
      <c r="DZD121" s="65"/>
      <c r="DZE121" s="65"/>
      <c r="DZF121" s="65"/>
      <c r="DZG121" s="65"/>
      <c r="DZH121" s="65"/>
      <c r="DZI121" s="65"/>
      <c r="DZJ121" s="65"/>
      <c r="DZK121" s="65"/>
      <c r="DZL121" s="65"/>
      <c r="DZM121" s="65"/>
      <c r="DZN121" s="65"/>
      <c r="DZO121" s="65"/>
      <c r="DZP121" s="65"/>
      <c r="DZQ121" s="65"/>
      <c r="DZR121" s="65"/>
      <c r="DZS121" s="65"/>
      <c r="DZT121" s="65"/>
      <c r="DZU121" s="65"/>
      <c r="DZV121" s="65"/>
      <c r="DZW121" s="65"/>
      <c r="DZX121" s="65"/>
      <c r="DZY121" s="65"/>
      <c r="DZZ121" s="65"/>
      <c r="EAA121" s="65"/>
      <c r="EAB121" s="65"/>
      <c r="EAC121" s="65"/>
      <c r="EAD121" s="65"/>
      <c r="EAE121" s="65"/>
      <c r="EAF121" s="65"/>
      <c r="EAG121" s="65"/>
      <c r="EAH121" s="65"/>
      <c r="EAI121" s="65"/>
      <c r="EAJ121" s="65"/>
      <c r="EAK121" s="65"/>
      <c r="EAL121" s="65"/>
      <c r="EAM121" s="65"/>
      <c r="EAN121" s="65"/>
      <c r="EAO121" s="65"/>
      <c r="EAP121" s="65"/>
      <c r="EAQ121" s="65"/>
      <c r="EAR121" s="65"/>
      <c r="EAS121" s="65"/>
      <c r="EAT121" s="65"/>
      <c r="EAU121" s="65"/>
      <c r="EAV121" s="65"/>
      <c r="EAW121" s="65"/>
      <c r="EAX121" s="65"/>
      <c r="EAY121" s="65"/>
      <c r="EAZ121" s="65"/>
      <c r="EBA121" s="65"/>
      <c r="EBB121" s="65"/>
      <c r="EBC121" s="65"/>
      <c r="EBD121" s="65"/>
      <c r="EBE121" s="65"/>
      <c r="EBF121" s="65"/>
      <c r="EBG121" s="65"/>
      <c r="EBH121" s="65"/>
      <c r="EBI121" s="65"/>
      <c r="EBJ121" s="65"/>
      <c r="EBK121" s="65"/>
      <c r="EBL121" s="65"/>
      <c r="EBM121" s="65"/>
      <c r="EBN121" s="65"/>
      <c r="EBO121" s="65"/>
      <c r="EBP121" s="65"/>
      <c r="EBQ121" s="65"/>
      <c r="EBR121" s="65"/>
      <c r="EBS121" s="65"/>
      <c r="EBT121" s="65"/>
      <c r="EBU121" s="65"/>
      <c r="EBV121" s="65"/>
      <c r="EBW121" s="65"/>
      <c r="EBX121" s="65"/>
      <c r="EBY121" s="65"/>
      <c r="EBZ121" s="65"/>
      <c r="ECA121" s="65"/>
      <c r="ECB121" s="65"/>
      <c r="ECC121" s="65"/>
      <c r="ECD121" s="65"/>
      <c r="ECE121" s="65"/>
      <c r="ECF121" s="65"/>
      <c r="ECG121" s="65"/>
      <c r="ECH121" s="65"/>
      <c r="ECI121" s="65"/>
      <c r="ECJ121" s="65"/>
      <c r="ECK121" s="65"/>
      <c r="ECL121" s="65"/>
      <c r="ECM121" s="65"/>
      <c r="ECN121" s="65"/>
      <c r="ECO121" s="65"/>
      <c r="ECP121" s="65"/>
      <c r="ECQ121" s="65"/>
      <c r="ECR121" s="65"/>
      <c r="ECS121" s="65"/>
      <c r="ECT121" s="65"/>
      <c r="ECU121" s="65"/>
      <c r="ECV121" s="65"/>
      <c r="ECW121" s="65"/>
      <c r="ECX121" s="65"/>
      <c r="ECY121" s="65"/>
      <c r="ECZ121" s="65"/>
      <c r="EDA121" s="65"/>
      <c r="EDB121" s="65"/>
      <c r="EDC121" s="65"/>
      <c r="EDD121" s="65"/>
      <c r="EDE121" s="65"/>
      <c r="EDF121" s="65"/>
      <c r="EDG121" s="65"/>
      <c r="EDH121" s="65"/>
      <c r="EDI121" s="65"/>
      <c r="EDJ121" s="65"/>
      <c r="EDK121" s="65"/>
      <c r="EDL121" s="65"/>
      <c r="EDM121" s="65"/>
      <c r="EDN121" s="65"/>
      <c r="EDO121" s="65"/>
      <c r="EDP121" s="65"/>
      <c r="EDQ121" s="65"/>
      <c r="EDR121" s="65"/>
      <c r="EDS121" s="65"/>
      <c r="EDT121" s="65"/>
      <c r="EDU121" s="65"/>
      <c r="EDV121" s="65"/>
      <c r="EDW121" s="65"/>
      <c r="EDX121" s="65"/>
      <c r="EDY121" s="65"/>
      <c r="EDZ121" s="65"/>
      <c r="EEA121" s="65"/>
      <c r="EEB121" s="65"/>
      <c r="EEC121" s="65"/>
      <c r="EED121" s="65"/>
      <c r="EEE121" s="65"/>
      <c r="EEF121" s="65"/>
      <c r="EEG121" s="65"/>
      <c r="EEH121" s="65"/>
      <c r="EEI121" s="65"/>
      <c r="EEJ121" s="65"/>
      <c r="EEK121" s="65"/>
      <c r="EEL121" s="65"/>
      <c r="EEM121" s="65"/>
      <c r="EEN121" s="65"/>
      <c r="EEO121" s="65"/>
      <c r="EEP121" s="65"/>
      <c r="EEQ121" s="65"/>
      <c r="EER121" s="65"/>
      <c r="EES121" s="65"/>
      <c r="EET121" s="65"/>
      <c r="EEU121" s="65"/>
      <c r="EEV121" s="65"/>
      <c r="EEW121" s="65"/>
      <c r="EEX121" s="65"/>
      <c r="EEY121" s="65"/>
      <c r="EEZ121" s="65"/>
      <c r="EFA121" s="65"/>
      <c r="EFB121" s="65"/>
      <c r="EFC121" s="65"/>
      <c r="EFD121" s="65"/>
      <c r="EFE121" s="65"/>
      <c r="EFF121" s="65"/>
      <c r="EFG121" s="65"/>
      <c r="EFH121" s="65"/>
      <c r="EFI121" s="65"/>
      <c r="EFJ121" s="65"/>
      <c r="EFK121" s="65"/>
      <c r="EFL121" s="65"/>
      <c r="EFM121" s="65"/>
      <c r="EFN121" s="65"/>
      <c r="EFO121" s="65"/>
      <c r="EFP121" s="65"/>
      <c r="EFQ121" s="65"/>
      <c r="EFR121" s="65"/>
      <c r="EFS121" s="65"/>
      <c r="EFT121" s="65"/>
      <c r="EFU121" s="65"/>
      <c r="EFV121" s="65"/>
      <c r="EFW121" s="65"/>
      <c r="EFX121" s="65"/>
      <c r="EFY121" s="65"/>
      <c r="EFZ121" s="65"/>
      <c r="EGA121" s="65"/>
      <c r="EGB121" s="65"/>
      <c r="EGC121" s="65"/>
      <c r="EGD121" s="65"/>
      <c r="EGE121" s="65"/>
      <c r="EGF121" s="65"/>
      <c r="EGG121" s="65"/>
      <c r="EGH121" s="65"/>
      <c r="EGI121" s="65"/>
      <c r="EGJ121" s="65"/>
      <c r="EGK121" s="65"/>
      <c r="EGL121" s="65"/>
      <c r="EGM121" s="65"/>
      <c r="EGN121" s="65"/>
      <c r="EGO121" s="65"/>
      <c r="EGP121" s="65"/>
      <c r="EGQ121" s="65"/>
      <c r="EGR121" s="65"/>
      <c r="EGS121" s="65"/>
      <c r="EGT121" s="65"/>
      <c r="EGU121" s="65"/>
      <c r="EGV121" s="65"/>
      <c r="EGW121" s="65"/>
      <c r="EGX121" s="65"/>
      <c r="EGY121" s="65"/>
      <c r="EGZ121" s="65"/>
      <c r="EHA121" s="65"/>
      <c r="EHB121" s="65"/>
      <c r="EHC121" s="65"/>
      <c r="EHD121" s="65"/>
      <c r="EHE121" s="65"/>
      <c r="EHF121" s="65"/>
      <c r="EHG121" s="65"/>
      <c r="EHH121" s="65"/>
      <c r="EHI121" s="65"/>
      <c r="EHJ121" s="65"/>
      <c r="EHK121" s="65"/>
      <c r="EHL121" s="65"/>
      <c r="EHM121" s="65"/>
      <c r="EHN121" s="65"/>
      <c r="EHO121" s="65"/>
      <c r="EHP121" s="65"/>
      <c r="EHQ121" s="65"/>
      <c r="EHR121" s="65"/>
      <c r="EHS121" s="65"/>
      <c r="EHT121" s="65"/>
      <c r="EHU121" s="65"/>
      <c r="EHV121" s="65"/>
      <c r="EHW121" s="65"/>
      <c r="EHX121" s="65"/>
      <c r="EHY121" s="65"/>
      <c r="EHZ121" s="65"/>
      <c r="EIA121" s="65"/>
      <c r="EIB121" s="65"/>
      <c r="EIC121" s="65"/>
      <c r="EID121" s="65"/>
      <c r="EIE121" s="65"/>
      <c r="EIF121" s="65"/>
      <c r="EIG121" s="65"/>
      <c r="EIH121" s="65"/>
      <c r="EII121" s="65"/>
      <c r="EIJ121" s="65"/>
      <c r="EIK121" s="65"/>
      <c r="EIL121" s="65"/>
      <c r="EIM121" s="65"/>
      <c r="EIN121" s="65"/>
      <c r="EIO121" s="65"/>
      <c r="EIP121" s="65"/>
      <c r="EIQ121" s="65"/>
      <c r="EIR121" s="65"/>
      <c r="EIS121" s="65"/>
      <c r="EIT121" s="65"/>
      <c r="EIU121" s="65"/>
      <c r="EIV121" s="65"/>
      <c r="EIW121" s="65"/>
      <c r="EIX121" s="65"/>
      <c r="EIY121" s="65"/>
      <c r="EIZ121" s="65"/>
      <c r="EJA121" s="65"/>
      <c r="EJB121" s="65"/>
      <c r="EJC121" s="65"/>
      <c r="EJD121" s="65"/>
      <c r="EJE121" s="65"/>
      <c r="EJF121" s="65"/>
      <c r="EJG121" s="65"/>
      <c r="EJH121" s="65"/>
      <c r="EJI121" s="65"/>
      <c r="EJJ121" s="65"/>
      <c r="EJK121" s="65"/>
      <c r="EJL121" s="65"/>
      <c r="EJM121" s="65"/>
      <c r="EJN121" s="65"/>
      <c r="EJO121" s="65"/>
      <c r="EJP121" s="65"/>
      <c r="EJQ121" s="65"/>
      <c r="EJR121" s="65"/>
      <c r="EJS121" s="65"/>
      <c r="EJT121" s="65"/>
      <c r="EJU121" s="65"/>
      <c r="EJV121" s="65"/>
      <c r="EJW121" s="65"/>
      <c r="EJX121" s="65"/>
      <c r="EJY121" s="65"/>
      <c r="EJZ121" s="65"/>
      <c r="EKA121" s="65"/>
      <c r="EKB121" s="65"/>
      <c r="EKC121" s="65"/>
      <c r="EKD121" s="65"/>
      <c r="EKE121" s="65"/>
      <c r="EKF121" s="65"/>
      <c r="EKG121" s="65"/>
      <c r="EKH121" s="65"/>
      <c r="EKI121" s="65"/>
      <c r="EKJ121" s="65"/>
      <c r="EKK121" s="65"/>
      <c r="EKL121" s="65"/>
      <c r="EKM121" s="65"/>
      <c r="EKN121" s="65"/>
      <c r="EKO121" s="65"/>
      <c r="EKP121" s="65"/>
      <c r="EKQ121" s="65"/>
      <c r="EKR121" s="65"/>
      <c r="EKS121" s="65"/>
      <c r="EKT121" s="65"/>
      <c r="EKU121" s="65"/>
      <c r="EKV121" s="65"/>
      <c r="EKW121" s="65"/>
      <c r="EKX121" s="65"/>
      <c r="EKY121" s="65"/>
      <c r="EKZ121" s="65"/>
      <c r="ELA121" s="65"/>
      <c r="ELB121" s="65"/>
      <c r="ELC121" s="65"/>
      <c r="ELD121" s="65"/>
      <c r="ELE121" s="65"/>
      <c r="ELF121" s="65"/>
      <c r="ELG121" s="65"/>
      <c r="ELH121" s="65"/>
      <c r="ELI121" s="65"/>
      <c r="ELJ121" s="65"/>
      <c r="ELK121" s="65"/>
      <c r="ELL121" s="65"/>
      <c r="ELM121" s="65"/>
      <c r="ELN121" s="65"/>
      <c r="ELO121" s="65"/>
      <c r="ELP121" s="65"/>
      <c r="ELQ121" s="65"/>
      <c r="ELR121" s="65"/>
      <c r="ELS121" s="65"/>
      <c r="ELT121" s="65"/>
      <c r="ELU121" s="65"/>
      <c r="ELV121" s="65"/>
      <c r="ELW121" s="65"/>
      <c r="ELX121" s="65"/>
      <c r="ELY121" s="65"/>
      <c r="ELZ121" s="65"/>
      <c r="EMA121" s="65"/>
      <c r="EMB121" s="65"/>
      <c r="EMC121" s="65"/>
      <c r="EMD121" s="65"/>
      <c r="EME121" s="65"/>
      <c r="EMF121" s="65"/>
      <c r="EMG121" s="65"/>
      <c r="EMH121" s="65"/>
      <c r="EMI121" s="65"/>
      <c r="EMJ121" s="65"/>
      <c r="EMK121" s="65"/>
      <c r="EML121" s="65"/>
      <c r="EMM121" s="65"/>
      <c r="EMN121" s="65"/>
      <c r="EMO121" s="65"/>
      <c r="EMP121" s="65"/>
      <c r="EMQ121" s="65"/>
      <c r="EMR121" s="65"/>
      <c r="EMS121" s="65"/>
      <c r="EMT121" s="65"/>
      <c r="EMU121" s="65"/>
      <c r="EMV121" s="65"/>
      <c r="EMW121" s="65"/>
      <c r="EMX121" s="65"/>
      <c r="EMY121" s="65"/>
      <c r="EMZ121" s="65"/>
      <c r="ENA121" s="65"/>
      <c r="ENB121" s="65"/>
      <c r="ENC121" s="65"/>
      <c r="END121" s="65"/>
      <c r="ENE121" s="65"/>
      <c r="ENF121" s="65"/>
      <c r="ENG121" s="65"/>
      <c r="ENH121" s="65"/>
      <c r="ENI121" s="65"/>
      <c r="ENJ121" s="65"/>
      <c r="ENK121" s="65"/>
      <c r="ENL121" s="65"/>
      <c r="ENM121" s="65"/>
      <c r="ENN121" s="65"/>
      <c r="ENO121" s="65"/>
      <c r="ENP121" s="65"/>
      <c r="ENQ121" s="65"/>
      <c r="ENR121" s="65"/>
      <c r="ENS121" s="65"/>
      <c r="ENT121" s="65"/>
      <c r="ENU121" s="65"/>
      <c r="ENV121" s="65"/>
      <c r="ENW121" s="65"/>
      <c r="ENX121" s="65"/>
      <c r="ENY121" s="65"/>
      <c r="ENZ121" s="65"/>
      <c r="EOA121" s="65"/>
      <c r="EOB121" s="65"/>
      <c r="EOC121" s="65"/>
      <c r="EOD121" s="65"/>
      <c r="EOE121" s="65"/>
      <c r="EOF121" s="65"/>
      <c r="EOG121" s="65"/>
      <c r="EOH121" s="65"/>
      <c r="EOI121" s="65"/>
      <c r="EOJ121" s="65"/>
      <c r="EOK121" s="65"/>
      <c r="EOL121" s="65"/>
      <c r="EOM121" s="65"/>
      <c r="EON121" s="65"/>
      <c r="EOO121" s="65"/>
      <c r="EOP121" s="65"/>
      <c r="EOQ121" s="65"/>
      <c r="EOR121" s="65"/>
      <c r="EOS121" s="65"/>
      <c r="EOT121" s="65"/>
      <c r="EOU121" s="65"/>
      <c r="EOV121" s="65"/>
      <c r="EOW121" s="65"/>
      <c r="EOX121" s="65"/>
      <c r="EOY121" s="65"/>
      <c r="EOZ121" s="65"/>
      <c r="EPA121" s="65"/>
      <c r="EPB121" s="65"/>
      <c r="EPC121" s="65"/>
      <c r="EPD121" s="65"/>
      <c r="EPE121" s="65"/>
      <c r="EPF121" s="65"/>
      <c r="EPG121" s="65"/>
      <c r="EPH121" s="65"/>
      <c r="EPI121" s="65"/>
      <c r="EPJ121" s="65"/>
      <c r="EPK121" s="65"/>
      <c r="EPL121" s="65"/>
      <c r="EPM121" s="65"/>
      <c r="EPN121" s="65"/>
      <c r="EPO121" s="65"/>
      <c r="EPP121" s="65"/>
      <c r="EPQ121" s="65"/>
      <c r="EPR121" s="65"/>
      <c r="EPS121" s="65"/>
      <c r="EPT121" s="65"/>
      <c r="EPU121" s="65"/>
      <c r="EPV121" s="65"/>
      <c r="EPW121" s="65"/>
      <c r="EPX121" s="65"/>
      <c r="EPY121" s="65"/>
      <c r="EPZ121" s="65"/>
      <c r="EQA121" s="65"/>
      <c r="EQB121" s="65"/>
      <c r="EQC121" s="65"/>
      <c r="EQD121" s="65"/>
      <c r="EQE121" s="65"/>
      <c r="EQF121" s="65"/>
      <c r="EQG121" s="65"/>
      <c r="EQH121" s="65"/>
      <c r="EQI121" s="65"/>
      <c r="EQJ121" s="65"/>
      <c r="EQK121" s="65"/>
      <c r="EQL121" s="65"/>
      <c r="EQM121" s="65"/>
      <c r="EQN121" s="65"/>
      <c r="EQO121" s="65"/>
      <c r="EQP121" s="65"/>
      <c r="EQQ121" s="65"/>
      <c r="EQR121" s="65"/>
      <c r="EQS121" s="65"/>
      <c r="EQT121" s="65"/>
      <c r="EQU121" s="65"/>
      <c r="EQV121" s="65"/>
      <c r="EQW121" s="65"/>
      <c r="EQX121" s="65"/>
      <c r="EQY121" s="65"/>
      <c r="EQZ121" s="65"/>
      <c r="ERA121" s="65"/>
      <c r="ERB121" s="65"/>
      <c r="ERC121" s="65"/>
      <c r="ERD121" s="65"/>
      <c r="ERE121" s="65"/>
      <c r="ERF121" s="65"/>
      <c r="ERG121" s="65"/>
      <c r="ERH121" s="65"/>
      <c r="ERI121" s="65"/>
      <c r="ERJ121" s="65"/>
      <c r="ERK121" s="65"/>
      <c r="ERL121" s="65"/>
      <c r="ERM121" s="65"/>
      <c r="ERN121" s="65"/>
      <c r="ERO121" s="65"/>
      <c r="ERP121" s="65"/>
      <c r="ERQ121" s="65"/>
      <c r="ERR121" s="65"/>
      <c r="ERS121" s="65"/>
      <c r="ERT121" s="65"/>
      <c r="ERU121" s="65"/>
      <c r="ERV121" s="65"/>
      <c r="ERW121" s="65"/>
      <c r="ERX121" s="65"/>
      <c r="ERY121" s="65"/>
      <c r="ERZ121" s="65"/>
      <c r="ESA121" s="65"/>
      <c r="ESB121" s="65"/>
      <c r="ESC121" s="65"/>
      <c r="ESD121" s="65"/>
      <c r="ESE121" s="65"/>
      <c r="ESF121" s="65"/>
      <c r="ESG121" s="65"/>
      <c r="ESH121" s="65"/>
      <c r="ESI121" s="65"/>
      <c r="ESJ121" s="65"/>
      <c r="ESK121" s="65"/>
      <c r="ESL121" s="65"/>
      <c r="ESM121" s="65"/>
      <c r="ESN121" s="65"/>
      <c r="ESO121" s="65"/>
      <c r="ESP121" s="65"/>
      <c r="ESQ121" s="65"/>
      <c r="ESR121" s="65"/>
      <c r="ESS121" s="65"/>
      <c r="EST121" s="65"/>
      <c r="ESU121" s="65"/>
      <c r="ESV121" s="65"/>
      <c r="ESW121" s="65"/>
      <c r="ESX121" s="65"/>
      <c r="ESY121" s="65"/>
      <c r="ESZ121" s="65"/>
      <c r="ETA121" s="65"/>
      <c r="ETB121" s="65"/>
      <c r="ETC121" s="65"/>
      <c r="ETD121" s="65"/>
      <c r="ETE121" s="65"/>
      <c r="ETF121" s="65"/>
      <c r="ETG121" s="65"/>
      <c r="ETH121" s="65"/>
      <c r="ETI121" s="65"/>
      <c r="ETJ121" s="65"/>
      <c r="ETK121" s="65"/>
      <c r="ETL121" s="65"/>
      <c r="ETM121" s="65"/>
      <c r="ETN121" s="65"/>
      <c r="ETO121" s="65"/>
      <c r="ETP121" s="65"/>
      <c r="ETQ121" s="65"/>
      <c r="ETR121" s="65"/>
      <c r="ETS121" s="65"/>
      <c r="ETT121" s="65"/>
      <c r="ETU121" s="65"/>
      <c r="ETV121" s="65"/>
      <c r="ETW121" s="65"/>
      <c r="ETX121" s="65"/>
      <c r="ETY121" s="65"/>
      <c r="ETZ121" s="65"/>
      <c r="EUA121" s="65"/>
      <c r="EUB121" s="65"/>
      <c r="EUC121" s="65"/>
      <c r="EUD121" s="65"/>
      <c r="EUE121" s="65"/>
      <c r="EUF121" s="65"/>
      <c r="EUG121" s="65"/>
      <c r="EUH121" s="65"/>
      <c r="EUI121" s="65"/>
      <c r="EUJ121" s="65"/>
      <c r="EUK121" s="65"/>
      <c r="EUL121" s="65"/>
      <c r="EUM121" s="65"/>
      <c r="EUN121" s="65"/>
      <c r="EUO121" s="65"/>
      <c r="EUP121" s="65"/>
      <c r="EUQ121" s="65"/>
      <c r="EUR121" s="65"/>
      <c r="EUS121" s="65"/>
      <c r="EUT121" s="65"/>
      <c r="EUU121" s="65"/>
      <c r="EUV121" s="65"/>
      <c r="EUW121" s="65"/>
      <c r="EUX121" s="65"/>
      <c r="EUY121" s="65"/>
      <c r="EUZ121" s="65"/>
      <c r="EVA121" s="65"/>
      <c r="EVB121" s="65"/>
      <c r="EVC121" s="65"/>
      <c r="EVD121" s="65"/>
      <c r="EVE121" s="65"/>
      <c r="EVF121" s="65"/>
      <c r="EVG121" s="65"/>
      <c r="EVH121" s="65"/>
      <c r="EVI121" s="65"/>
      <c r="EVJ121" s="65"/>
      <c r="EVK121" s="65"/>
      <c r="EVL121" s="65"/>
      <c r="EVM121" s="65"/>
      <c r="EVN121" s="65"/>
      <c r="EVO121" s="65"/>
      <c r="EVP121" s="65"/>
      <c r="EVQ121" s="65"/>
      <c r="EVR121" s="65"/>
      <c r="EVS121" s="65"/>
      <c r="EVT121" s="65"/>
      <c r="EVU121" s="65"/>
      <c r="EVV121" s="65"/>
      <c r="EVW121" s="65"/>
      <c r="EVX121" s="65"/>
      <c r="EVY121" s="65"/>
      <c r="EVZ121" s="65"/>
      <c r="EWA121" s="65"/>
      <c r="EWB121" s="65"/>
      <c r="EWC121" s="65"/>
      <c r="EWD121" s="65"/>
      <c r="EWE121" s="65"/>
      <c r="EWF121" s="65"/>
      <c r="EWG121" s="65"/>
      <c r="EWH121" s="65"/>
      <c r="EWI121" s="65"/>
      <c r="EWJ121" s="65"/>
      <c r="EWK121" s="65"/>
      <c r="EWL121" s="65"/>
      <c r="EWM121" s="65"/>
      <c r="EWN121" s="65"/>
      <c r="EWO121" s="65"/>
      <c r="EWP121" s="65"/>
      <c r="EWQ121" s="65"/>
      <c r="EWR121" s="65"/>
      <c r="EWS121" s="65"/>
      <c r="EWT121" s="65"/>
      <c r="EWU121" s="65"/>
      <c r="EWV121" s="65"/>
      <c r="EWW121" s="65"/>
      <c r="EWX121" s="65"/>
      <c r="EWY121" s="65"/>
      <c r="EWZ121" s="65"/>
      <c r="EXA121" s="65"/>
      <c r="EXB121" s="65"/>
      <c r="EXC121" s="65"/>
      <c r="EXD121" s="65"/>
      <c r="EXE121" s="65"/>
      <c r="EXF121" s="65"/>
      <c r="EXG121" s="65"/>
      <c r="EXH121" s="65"/>
      <c r="EXI121" s="65"/>
      <c r="EXJ121" s="65"/>
      <c r="EXK121" s="65"/>
      <c r="EXL121" s="65"/>
      <c r="EXM121" s="65"/>
      <c r="EXN121" s="65"/>
      <c r="EXO121" s="65"/>
      <c r="EXP121" s="65"/>
      <c r="EXQ121" s="65"/>
      <c r="EXR121" s="65"/>
      <c r="EXS121" s="65"/>
      <c r="EXT121" s="65"/>
      <c r="EXU121" s="65"/>
      <c r="EXV121" s="65"/>
      <c r="EXW121" s="65"/>
      <c r="EXX121" s="65"/>
      <c r="EXY121" s="65"/>
      <c r="EXZ121" s="65"/>
      <c r="EYA121" s="65"/>
      <c r="EYB121" s="65"/>
      <c r="EYC121" s="65"/>
      <c r="EYD121" s="65"/>
      <c r="EYE121" s="65"/>
      <c r="EYF121" s="65"/>
      <c r="EYG121" s="65"/>
      <c r="EYH121" s="65"/>
      <c r="EYI121" s="65"/>
      <c r="EYJ121" s="65"/>
      <c r="EYK121" s="65"/>
      <c r="EYL121" s="65"/>
      <c r="EYM121" s="65"/>
      <c r="EYN121" s="65"/>
      <c r="EYO121" s="65"/>
      <c r="EYP121" s="65"/>
      <c r="EYQ121" s="65"/>
      <c r="EYR121" s="65"/>
      <c r="EYS121" s="65"/>
      <c r="EYT121" s="65"/>
      <c r="EYU121" s="65"/>
      <c r="EYV121" s="65"/>
      <c r="EYW121" s="65"/>
      <c r="EYX121" s="65"/>
      <c r="EYY121" s="65"/>
      <c r="EYZ121" s="65"/>
      <c r="EZA121" s="65"/>
      <c r="EZB121" s="65"/>
      <c r="EZC121" s="65"/>
      <c r="EZD121" s="65"/>
      <c r="EZE121" s="65"/>
      <c r="EZF121" s="65"/>
      <c r="EZG121" s="65"/>
      <c r="EZH121" s="65"/>
      <c r="EZI121" s="65"/>
      <c r="EZJ121" s="65"/>
      <c r="EZK121" s="65"/>
      <c r="EZL121" s="65"/>
      <c r="EZM121" s="65"/>
      <c r="EZN121" s="65"/>
      <c r="EZO121" s="65"/>
      <c r="EZP121" s="65"/>
      <c r="EZQ121" s="65"/>
      <c r="EZR121" s="65"/>
      <c r="EZS121" s="65"/>
      <c r="EZT121" s="65"/>
      <c r="EZU121" s="65"/>
      <c r="EZV121" s="65"/>
      <c r="EZW121" s="65"/>
      <c r="EZX121" s="65"/>
      <c r="EZY121" s="65"/>
      <c r="EZZ121" s="65"/>
      <c r="FAA121" s="65"/>
      <c r="FAB121" s="65"/>
      <c r="FAC121" s="65"/>
      <c r="FAD121" s="65"/>
      <c r="FAE121" s="65"/>
      <c r="FAF121" s="65"/>
      <c r="FAG121" s="65"/>
      <c r="FAH121" s="65"/>
      <c r="FAI121" s="65"/>
      <c r="FAJ121" s="65"/>
      <c r="FAK121" s="65"/>
      <c r="FAL121" s="65"/>
      <c r="FAM121" s="65"/>
      <c r="FAN121" s="65"/>
      <c r="FAO121" s="65"/>
      <c r="FAP121" s="65"/>
      <c r="FAQ121" s="65"/>
      <c r="FAR121" s="65"/>
      <c r="FAS121" s="65"/>
      <c r="FAT121" s="65"/>
      <c r="FAU121" s="65"/>
      <c r="FAV121" s="65"/>
      <c r="FAW121" s="65"/>
      <c r="FAX121" s="65"/>
      <c r="FAY121" s="65"/>
      <c r="FAZ121" s="65"/>
      <c r="FBA121" s="65"/>
      <c r="FBB121" s="65"/>
      <c r="FBC121" s="65"/>
      <c r="FBD121" s="65"/>
      <c r="FBE121" s="65"/>
      <c r="FBF121" s="65"/>
      <c r="FBG121" s="65"/>
      <c r="FBH121" s="65"/>
      <c r="FBI121" s="65"/>
      <c r="FBJ121" s="65"/>
      <c r="FBK121" s="65"/>
      <c r="FBL121" s="65"/>
      <c r="FBM121" s="65"/>
      <c r="FBN121" s="65"/>
      <c r="FBO121" s="65"/>
      <c r="FBP121" s="65"/>
      <c r="FBQ121" s="65"/>
      <c r="FBR121" s="65"/>
      <c r="FBS121" s="65"/>
      <c r="FBT121" s="65"/>
      <c r="FBU121" s="65"/>
      <c r="FBV121" s="65"/>
      <c r="FBW121" s="65"/>
      <c r="FBX121" s="65"/>
      <c r="FBY121" s="65"/>
      <c r="FBZ121" s="65"/>
      <c r="FCA121" s="65"/>
      <c r="FCB121" s="65"/>
      <c r="FCC121" s="65"/>
      <c r="FCD121" s="65"/>
      <c r="FCE121" s="65"/>
      <c r="FCF121" s="65"/>
      <c r="FCG121" s="65"/>
      <c r="FCH121" s="65"/>
      <c r="FCI121" s="65"/>
      <c r="FCJ121" s="65"/>
      <c r="FCK121" s="65"/>
      <c r="FCL121" s="65"/>
      <c r="FCM121" s="65"/>
      <c r="FCN121" s="65"/>
      <c r="FCO121" s="65"/>
      <c r="FCP121" s="65"/>
      <c r="FCQ121" s="65"/>
      <c r="FCR121" s="65"/>
      <c r="FCS121" s="65"/>
      <c r="FCT121" s="65"/>
      <c r="FCU121" s="65"/>
      <c r="FCV121" s="65"/>
      <c r="FCW121" s="65"/>
      <c r="FCX121" s="65"/>
      <c r="FCY121" s="65"/>
      <c r="FCZ121" s="65"/>
      <c r="FDA121" s="65"/>
      <c r="FDB121" s="65"/>
      <c r="FDC121" s="65"/>
      <c r="FDD121" s="65"/>
      <c r="FDE121" s="65"/>
      <c r="FDF121" s="65"/>
      <c r="FDG121" s="65"/>
      <c r="FDH121" s="65"/>
      <c r="FDI121" s="65"/>
      <c r="FDJ121" s="65"/>
      <c r="FDK121" s="65"/>
      <c r="FDL121" s="65"/>
      <c r="FDM121" s="65"/>
      <c r="FDN121" s="65"/>
      <c r="FDO121" s="65"/>
      <c r="FDP121" s="65"/>
      <c r="FDQ121" s="65"/>
      <c r="FDR121" s="65"/>
      <c r="FDS121" s="65"/>
      <c r="FDT121" s="65"/>
      <c r="FDU121" s="65"/>
      <c r="FDV121" s="65"/>
      <c r="FDW121" s="65"/>
      <c r="FDX121" s="65"/>
      <c r="FDY121" s="65"/>
      <c r="FDZ121" s="65"/>
      <c r="FEA121" s="65"/>
      <c r="FEB121" s="65"/>
      <c r="FEC121" s="65"/>
      <c r="FED121" s="65"/>
      <c r="FEE121" s="65"/>
      <c r="FEF121" s="65"/>
      <c r="FEG121" s="65"/>
      <c r="FEH121" s="65"/>
      <c r="FEI121" s="65"/>
      <c r="FEJ121" s="65"/>
      <c r="FEK121" s="65"/>
      <c r="FEL121" s="65"/>
      <c r="FEM121" s="65"/>
      <c r="FEN121" s="65"/>
      <c r="FEO121" s="65"/>
      <c r="FEP121" s="65"/>
      <c r="FEQ121" s="65"/>
      <c r="FER121" s="65"/>
      <c r="FES121" s="65"/>
      <c r="FET121" s="65"/>
      <c r="FEU121" s="65"/>
      <c r="FEV121" s="65"/>
      <c r="FEW121" s="65"/>
      <c r="FEX121" s="65"/>
      <c r="FEY121" s="65"/>
      <c r="FEZ121" s="65"/>
      <c r="FFA121" s="65"/>
      <c r="FFB121" s="65"/>
      <c r="FFC121" s="65"/>
      <c r="FFD121" s="65"/>
      <c r="FFE121" s="65"/>
      <c r="FFF121" s="65"/>
      <c r="FFG121" s="65"/>
      <c r="FFH121" s="65"/>
      <c r="FFI121" s="65"/>
      <c r="FFJ121" s="65"/>
      <c r="FFK121" s="65"/>
      <c r="FFL121" s="65"/>
      <c r="FFM121" s="65"/>
      <c r="FFN121" s="65"/>
      <c r="FFO121" s="65"/>
      <c r="FFP121" s="65"/>
      <c r="FFQ121" s="65"/>
      <c r="FFR121" s="65"/>
      <c r="FFS121" s="65"/>
      <c r="FFT121" s="65"/>
      <c r="FFU121" s="65"/>
      <c r="FFV121" s="65"/>
      <c r="FFW121" s="65"/>
      <c r="FFX121" s="65"/>
      <c r="FFY121" s="65"/>
      <c r="FFZ121" s="65"/>
      <c r="FGA121" s="65"/>
      <c r="FGB121" s="65"/>
      <c r="FGC121" s="65"/>
      <c r="FGD121" s="65"/>
      <c r="FGE121" s="65"/>
      <c r="FGF121" s="65"/>
      <c r="FGG121" s="65"/>
      <c r="FGH121" s="65"/>
      <c r="FGI121" s="65"/>
      <c r="FGJ121" s="65"/>
      <c r="FGK121" s="65"/>
      <c r="FGL121" s="65"/>
      <c r="FGM121" s="65"/>
      <c r="FGN121" s="65"/>
      <c r="FGO121" s="65"/>
      <c r="FGP121" s="65"/>
      <c r="FGQ121" s="65"/>
      <c r="FGR121" s="65"/>
      <c r="FGS121" s="65"/>
      <c r="FGT121" s="65"/>
      <c r="FGU121" s="65"/>
      <c r="FGV121" s="65"/>
      <c r="FGW121" s="65"/>
      <c r="FGX121" s="65"/>
      <c r="FGY121" s="65"/>
      <c r="FGZ121" s="65"/>
      <c r="FHA121" s="65"/>
      <c r="FHB121" s="65"/>
      <c r="FHC121" s="65"/>
      <c r="FHD121" s="65"/>
      <c r="FHE121" s="65"/>
      <c r="FHF121" s="65"/>
      <c r="FHG121" s="65"/>
      <c r="FHH121" s="65"/>
      <c r="FHI121" s="65"/>
      <c r="FHJ121" s="65"/>
      <c r="FHK121" s="65"/>
      <c r="FHL121" s="65"/>
      <c r="FHM121" s="65"/>
      <c r="FHN121" s="65"/>
      <c r="FHO121" s="65"/>
      <c r="FHP121" s="65"/>
      <c r="FHQ121" s="65"/>
      <c r="FHR121" s="65"/>
      <c r="FHS121" s="65"/>
      <c r="FHT121" s="65"/>
      <c r="FHU121" s="65"/>
      <c r="FHV121" s="65"/>
      <c r="FHW121" s="65"/>
      <c r="FHX121" s="65"/>
      <c r="FHY121" s="65"/>
      <c r="FHZ121" s="65"/>
      <c r="FIA121" s="65"/>
      <c r="FIB121" s="65"/>
      <c r="FIC121" s="65"/>
      <c r="FID121" s="65"/>
      <c r="FIE121" s="65"/>
      <c r="FIF121" s="65"/>
      <c r="FIG121" s="65"/>
      <c r="FIH121" s="65"/>
      <c r="FII121" s="65"/>
      <c r="FIJ121" s="65"/>
      <c r="FIK121" s="65"/>
      <c r="FIL121" s="65"/>
      <c r="FIM121" s="65"/>
      <c r="FIN121" s="65"/>
      <c r="FIO121" s="65"/>
      <c r="FIP121" s="65"/>
      <c r="FIQ121" s="65"/>
      <c r="FIR121" s="65"/>
      <c r="FIS121" s="65"/>
      <c r="FIT121" s="65"/>
      <c r="FIU121" s="65"/>
      <c r="FIV121" s="65"/>
      <c r="FIW121" s="65"/>
      <c r="FIX121" s="65"/>
      <c r="FIY121" s="65"/>
      <c r="FIZ121" s="65"/>
      <c r="FJA121" s="65"/>
      <c r="FJB121" s="65"/>
      <c r="FJC121" s="65"/>
      <c r="FJD121" s="65"/>
      <c r="FJE121" s="65"/>
      <c r="FJF121" s="65"/>
      <c r="FJG121" s="65"/>
      <c r="FJH121" s="65"/>
      <c r="FJI121" s="65"/>
      <c r="FJJ121" s="65"/>
      <c r="FJK121" s="65"/>
      <c r="FJL121" s="65"/>
      <c r="FJM121" s="65"/>
      <c r="FJN121" s="65"/>
      <c r="FJO121" s="65"/>
      <c r="FJP121" s="65"/>
      <c r="FJQ121" s="65"/>
      <c r="FJR121" s="65"/>
      <c r="FJS121" s="65"/>
      <c r="FJT121" s="65"/>
      <c r="FJU121" s="65"/>
      <c r="FJV121" s="65"/>
      <c r="FJW121" s="65"/>
      <c r="FJX121" s="65"/>
      <c r="FJY121" s="65"/>
      <c r="FJZ121" s="65"/>
      <c r="FKA121" s="65"/>
      <c r="FKB121" s="65"/>
      <c r="FKC121" s="65"/>
      <c r="FKD121" s="65"/>
      <c r="FKE121" s="65"/>
      <c r="FKF121" s="65"/>
      <c r="FKG121" s="65"/>
      <c r="FKH121" s="65"/>
      <c r="FKI121" s="65"/>
      <c r="FKJ121" s="65"/>
      <c r="FKK121" s="65"/>
      <c r="FKL121" s="65"/>
      <c r="FKM121" s="65"/>
      <c r="FKN121" s="65"/>
      <c r="FKO121" s="65"/>
      <c r="FKP121" s="65"/>
      <c r="FKQ121" s="65"/>
      <c r="FKR121" s="65"/>
      <c r="FKS121" s="65"/>
      <c r="FKT121" s="65"/>
      <c r="FKU121" s="65"/>
      <c r="FKV121" s="65"/>
      <c r="FKW121" s="65"/>
      <c r="FKX121" s="65"/>
      <c r="FKY121" s="65"/>
      <c r="FKZ121" s="65"/>
      <c r="FLA121" s="65"/>
      <c r="FLB121" s="65"/>
      <c r="FLC121" s="65"/>
      <c r="FLD121" s="65"/>
      <c r="FLE121" s="65"/>
      <c r="FLF121" s="65"/>
      <c r="FLG121" s="65"/>
      <c r="FLH121" s="65"/>
      <c r="FLI121" s="65"/>
      <c r="FLJ121" s="65"/>
      <c r="FLK121" s="65"/>
      <c r="FLL121" s="65"/>
      <c r="FLM121" s="65"/>
      <c r="FLN121" s="65"/>
      <c r="FLO121" s="65"/>
      <c r="FLP121" s="65"/>
      <c r="FLQ121" s="65"/>
      <c r="FLR121" s="65"/>
      <c r="FLS121" s="65"/>
      <c r="FLT121" s="65"/>
      <c r="FLU121" s="65"/>
      <c r="FLV121" s="65"/>
      <c r="FLW121" s="65"/>
      <c r="FLX121" s="65"/>
      <c r="FLY121" s="65"/>
      <c r="FLZ121" s="65"/>
      <c r="FMA121" s="65"/>
      <c r="FMB121" s="65"/>
      <c r="FMC121" s="65"/>
      <c r="FMD121" s="65"/>
      <c r="FME121" s="65"/>
      <c r="FMF121" s="65"/>
      <c r="FMG121" s="65"/>
      <c r="FMH121" s="65"/>
      <c r="FMI121" s="65"/>
      <c r="FMJ121" s="65"/>
      <c r="FMK121" s="65"/>
      <c r="FML121" s="65"/>
      <c r="FMM121" s="65"/>
      <c r="FMN121" s="65"/>
      <c r="FMO121" s="65"/>
      <c r="FMP121" s="65"/>
      <c r="FMQ121" s="65"/>
      <c r="FMR121" s="65"/>
      <c r="FMS121" s="65"/>
      <c r="FMT121" s="65"/>
      <c r="FMU121" s="65"/>
      <c r="FMV121" s="65"/>
      <c r="FMW121" s="65"/>
      <c r="FMX121" s="65"/>
      <c r="FMY121" s="65"/>
      <c r="FMZ121" s="65"/>
      <c r="FNA121" s="65"/>
      <c r="FNB121" s="65"/>
      <c r="FNC121" s="65"/>
      <c r="FND121" s="65"/>
      <c r="FNE121" s="65"/>
      <c r="FNF121" s="65"/>
      <c r="FNG121" s="65"/>
      <c r="FNH121" s="65"/>
      <c r="FNI121" s="65"/>
      <c r="FNJ121" s="65"/>
      <c r="FNK121" s="65"/>
      <c r="FNL121" s="65"/>
      <c r="FNM121" s="65"/>
      <c r="FNN121" s="65"/>
      <c r="FNO121" s="65"/>
      <c r="FNP121" s="65"/>
      <c r="FNQ121" s="65"/>
      <c r="FNR121" s="65"/>
      <c r="FNS121" s="65"/>
      <c r="FNT121" s="65"/>
      <c r="FNU121" s="65"/>
      <c r="FNV121" s="65"/>
      <c r="FNW121" s="65"/>
      <c r="FNX121" s="65"/>
      <c r="FNY121" s="65"/>
      <c r="FNZ121" s="65"/>
      <c r="FOA121" s="65"/>
      <c r="FOB121" s="65"/>
      <c r="FOC121" s="65"/>
      <c r="FOD121" s="65"/>
      <c r="FOE121" s="65"/>
      <c r="FOF121" s="65"/>
      <c r="FOG121" s="65"/>
      <c r="FOH121" s="65"/>
      <c r="FOI121" s="65"/>
      <c r="FOJ121" s="65"/>
      <c r="FOK121" s="65"/>
      <c r="FOL121" s="65"/>
      <c r="FOM121" s="65"/>
      <c r="FON121" s="65"/>
      <c r="FOO121" s="65"/>
      <c r="FOP121" s="65"/>
      <c r="FOQ121" s="65"/>
      <c r="FOR121" s="65"/>
      <c r="FOS121" s="65"/>
      <c r="FOT121" s="65"/>
      <c r="FOU121" s="65"/>
      <c r="FOV121" s="65"/>
      <c r="FOW121" s="65"/>
      <c r="FOX121" s="65"/>
      <c r="FOY121" s="65"/>
      <c r="FOZ121" s="65"/>
      <c r="FPA121" s="65"/>
      <c r="FPB121" s="65"/>
      <c r="FPC121" s="65"/>
      <c r="FPD121" s="65"/>
      <c r="FPE121" s="65"/>
      <c r="FPF121" s="65"/>
      <c r="FPG121" s="65"/>
      <c r="FPH121" s="65"/>
      <c r="FPI121" s="65"/>
      <c r="FPJ121" s="65"/>
      <c r="FPK121" s="65"/>
      <c r="FPL121" s="65"/>
      <c r="FPM121" s="65"/>
      <c r="FPN121" s="65"/>
      <c r="FPO121" s="65"/>
      <c r="FPP121" s="65"/>
      <c r="FPQ121" s="65"/>
      <c r="FPR121" s="65"/>
      <c r="FPS121" s="65"/>
      <c r="FPT121" s="65"/>
      <c r="FPU121" s="65"/>
      <c r="FPV121" s="65"/>
      <c r="FPW121" s="65"/>
      <c r="FPX121" s="65"/>
      <c r="FPY121" s="65"/>
      <c r="FPZ121" s="65"/>
      <c r="FQA121" s="65"/>
      <c r="FQB121" s="65"/>
      <c r="FQC121" s="65"/>
      <c r="FQD121" s="65"/>
      <c r="FQE121" s="65"/>
      <c r="FQF121" s="65"/>
      <c r="FQG121" s="65"/>
      <c r="FQH121" s="65"/>
      <c r="FQI121" s="65"/>
      <c r="FQJ121" s="65"/>
      <c r="FQK121" s="65"/>
      <c r="FQL121" s="65"/>
      <c r="FQM121" s="65"/>
      <c r="FQN121" s="65"/>
      <c r="FQO121" s="65"/>
      <c r="FQP121" s="65"/>
      <c r="FQQ121" s="65"/>
      <c r="FQR121" s="65"/>
      <c r="FQS121" s="65"/>
      <c r="FQT121" s="65"/>
      <c r="FQU121" s="65"/>
      <c r="FQV121" s="65"/>
      <c r="FQW121" s="65"/>
      <c r="FQX121" s="65"/>
      <c r="FQY121" s="65"/>
      <c r="FQZ121" s="65"/>
      <c r="FRA121" s="65"/>
      <c r="FRB121" s="65"/>
      <c r="FRC121" s="65"/>
      <c r="FRD121" s="65"/>
      <c r="FRE121" s="65"/>
      <c r="FRF121" s="65"/>
      <c r="FRG121" s="65"/>
      <c r="FRH121" s="65"/>
      <c r="FRI121" s="65"/>
      <c r="FRJ121" s="65"/>
      <c r="FRK121" s="65"/>
      <c r="FRL121" s="65"/>
      <c r="FRM121" s="65"/>
      <c r="FRN121" s="65"/>
      <c r="FRO121" s="65"/>
      <c r="FRP121" s="65"/>
      <c r="FRQ121" s="65"/>
      <c r="FRR121" s="65"/>
      <c r="FRS121" s="65"/>
      <c r="FRT121" s="65"/>
      <c r="FRU121" s="65"/>
      <c r="FRV121" s="65"/>
      <c r="FRW121" s="65"/>
      <c r="FRX121" s="65"/>
      <c r="FRY121" s="65"/>
      <c r="FRZ121" s="65"/>
      <c r="FSA121" s="65"/>
      <c r="FSB121" s="65"/>
      <c r="FSC121" s="65"/>
      <c r="FSD121" s="65"/>
      <c r="FSE121" s="65"/>
      <c r="FSF121" s="65"/>
      <c r="FSG121" s="65"/>
      <c r="FSH121" s="65"/>
      <c r="FSI121" s="65"/>
      <c r="FSJ121" s="65"/>
      <c r="FSK121" s="65"/>
      <c r="FSL121" s="65"/>
      <c r="FSM121" s="65"/>
      <c r="FSN121" s="65"/>
      <c r="FSO121" s="65"/>
      <c r="FSP121" s="65"/>
      <c r="FSQ121" s="65"/>
      <c r="FSR121" s="65"/>
      <c r="FSS121" s="65"/>
      <c r="FST121" s="65"/>
      <c r="FSU121" s="65"/>
      <c r="FSV121" s="65"/>
      <c r="FSW121" s="65"/>
      <c r="FSX121" s="65"/>
      <c r="FSY121" s="65"/>
      <c r="FSZ121" s="65"/>
      <c r="FTA121" s="65"/>
      <c r="FTB121" s="65"/>
      <c r="FTC121" s="65"/>
      <c r="FTD121" s="65"/>
      <c r="FTE121" s="65"/>
      <c r="FTF121" s="65"/>
      <c r="FTG121" s="65"/>
      <c r="FTH121" s="65"/>
      <c r="FTI121" s="65"/>
      <c r="FTJ121" s="65"/>
      <c r="FTK121" s="65"/>
      <c r="FTL121" s="65"/>
      <c r="FTM121" s="65"/>
      <c r="FTN121" s="65"/>
      <c r="FTO121" s="65"/>
      <c r="FTP121" s="65"/>
      <c r="FTQ121" s="65"/>
      <c r="FTR121" s="65"/>
      <c r="FTS121" s="65"/>
      <c r="FTT121" s="65"/>
      <c r="FTU121" s="65"/>
      <c r="FTV121" s="65"/>
      <c r="FTW121" s="65"/>
      <c r="FTX121" s="65"/>
      <c r="FTY121" s="65"/>
      <c r="FTZ121" s="65"/>
      <c r="FUA121" s="65"/>
      <c r="FUB121" s="65"/>
      <c r="FUC121" s="65"/>
      <c r="FUD121" s="65"/>
      <c r="FUE121" s="65"/>
      <c r="FUF121" s="65"/>
      <c r="FUG121" s="65"/>
      <c r="FUH121" s="65"/>
      <c r="FUI121" s="65"/>
      <c r="FUJ121" s="65"/>
      <c r="FUK121" s="65"/>
      <c r="FUL121" s="65"/>
      <c r="FUM121" s="65"/>
      <c r="FUN121" s="65"/>
      <c r="FUO121" s="65"/>
      <c r="FUP121" s="65"/>
      <c r="FUQ121" s="65"/>
      <c r="FUR121" s="65"/>
      <c r="FUS121" s="65"/>
      <c r="FUT121" s="65"/>
      <c r="FUU121" s="65"/>
      <c r="FUV121" s="65"/>
      <c r="FUW121" s="65"/>
      <c r="FUX121" s="65"/>
      <c r="FUY121" s="65"/>
      <c r="FUZ121" s="65"/>
      <c r="FVA121" s="65"/>
      <c r="FVB121" s="65"/>
      <c r="FVC121" s="65"/>
      <c r="FVD121" s="65"/>
      <c r="FVE121" s="65"/>
      <c r="FVF121" s="65"/>
      <c r="FVG121" s="65"/>
      <c r="FVH121" s="65"/>
      <c r="FVI121" s="65"/>
      <c r="FVJ121" s="65"/>
      <c r="FVK121" s="65"/>
      <c r="FVL121" s="65"/>
      <c r="FVM121" s="65"/>
      <c r="FVN121" s="65"/>
      <c r="FVO121" s="65"/>
      <c r="FVP121" s="65"/>
      <c r="FVQ121" s="65"/>
      <c r="FVR121" s="65"/>
      <c r="FVS121" s="65"/>
      <c r="FVT121" s="65"/>
      <c r="FVU121" s="65"/>
      <c r="FVV121" s="65"/>
      <c r="FVW121" s="65"/>
      <c r="FVX121" s="65"/>
      <c r="FVY121" s="65"/>
      <c r="FVZ121" s="65"/>
      <c r="FWA121" s="65"/>
      <c r="FWB121" s="65"/>
      <c r="FWC121" s="65"/>
      <c r="FWD121" s="65"/>
      <c r="FWE121" s="65"/>
      <c r="FWF121" s="65"/>
      <c r="FWG121" s="65"/>
      <c r="FWH121" s="65"/>
      <c r="FWI121" s="65"/>
      <c r="FWJ121" s="65"/>
      <c r="FWK121" s="65"/>
      <c r="FWL121" s="65"/>
      <c r="FWM121" s="65"/>
      <c r="FWN121" s="65"/>
      <c r="FWO121" s="65"/>
      <c r="FWP121" s="65"/>
      <c r="FWQ121" s="65"/>
      <c r="FWR121" s="65"/>
      <c r="FWS121" s="65"/>
      <c r="FWT121" s="65"/>
      <c r="FWU121" s="65"/>
      <c r="FWV121" s="65"/>
      <c r="FWW121" s="65"/>
      <c r="FWX121" s="65"/>
      <c r="FWY121" s="65"/>
      <c r="FWZ121" s="65"/>
      <c r="FXA121" s="65"/>
      <c r="FXB121" s="65"/>
      <c r="FXC121" s="65"/>
      <c r="FXD121" s="65"/>
      <c r="FXE121" s="65"/>
      <c r="FXF121" s="65"/>
      <c r="FXG121" s="65"/>
      <c r="FXH121" s="65"/>
      <c r="FXI121" s="65"/>
      <c r="FXJ121" s="65"/>
      <c r="FXK121" s="65"/>
      <c r="FXL121" s="65"/>
      <c r="FXM121" s="65"/>
      <c r="FXN121" s="65"/>
      <c r="FXO121" s="65"/>
      <c r="FXP121" s="65"/>
      <c r="FXQ121" s="65"/>
      <c r="FXR121" s="65"/>
      <c r="FXS121" s="65"/>
      <c r="FXT121" s="65"/>
      <c r="FXU121" s="65"/>
      <c r="FXV121" s="65"/>
      <c r="FXW121" s="65"/>
      <c r="FXX121" s="65"/>
      <c r="FXY121" s="65"/>
      <c r="FXZ121" s="65"/>
      <c r="FYA121" s="65"/>
      <c r="FYB121" s="65"/>
      <c r="FYC121" s="65"/>
      <c r="FYD121" s="65"/>
      <c r="FYE121" s="65"/>
      <c r="FYF121" s="65"/>
      <c r="FYG121" s="65"/>
      <c r="FYH121" s="65"/>
      <c r="FYI121" s="65"/>
      <c r="FYJ121" s="65"/>
      <c r="FYK121" s="65"/>
      <c r="FYL121" s="65"/>
      <c r="FYM121" s="65"/>
      <c r="FYN121" s="65"/>
      <c r="FYO121" s="65"/>
      <c r="FYP121" s="65"/>
      <c r="FYQ121" s="65"/>
      <c r="FYR121" s="65"/>
      <c r="FYS121" s="65"/>
      <c r="FYT121" s="65"/>
      <c r="FYU121" s="65"/>
      <c r="FYV121" s="65"/>
      <c r="FYW121" s="65"/>
      <c r="FYX121" s="65"/>
      <c r="FYY121" s="65"/>
      <c r="FYZ121" s="65"/>
      <c r="FZA121" s="65"/>
      <c r="FZB121" s="65"/>
      <c r="FZC121" s="65"/>
      <c r="FZD121" s="65"/>
      <c r="FZE121" s="65"/>
      <c r="FZF121" s="65"/>
      <c r="FZG121" s="65"/>
      <c r="FZH121" s="65"/>
      <c r="FZI121" s="65"/>
      <c r="FZJ121" s="65"/>
      <c r="FZK121" s="65"/>
      <c r="FZL121" s="65"/>
      <c r="FZM121" s="65"/>
      <c r="FZN121" s="65"/>
      <c r="FZO121" s="65"/>
      <c r="FZP121" s="65"/>
      <c r="FZQ121" s="65"/>
      <c r="FZR121" s="65"/>
      <c r="FZS121" s="65"/>
      <c r="FZT121" s="65"/>
      <c r="FZU121" s="65"/>
      <c r="FZV121" s="65"/>
      <c r="FZW121" s="65"/>
      <c r="FZX121" s="65"/>
      <c r="FZY121" s="65"/>
      <c r="FZZ121" s="65"/>
      <c r="GAA121" s="65"/>
      <c r="GAB121" s="65"/>
      <c r="GAC121" s="65"/>
      <c r="GAD121" s="65"/>
      <c r="GAE121" s="65"/>
      <c r="GAF121" s="65"/>
      <c r="GAG121" s="65"/>
      <c r="GAH121" s="65"/>
      <c r="GAI121" s="65"/>
      <c r="GAJ121" s="65"/>
      <c r="GAK121" s="65"/>
      <c r="GAL121" s="65"/>
      <c r="GAM121" s="65"/>
      <c r="GAN121" s="65"/>
      <c r="GAO121" s="65"/>
      <c r="GAP121" s="65"/>
      <c r="GAQ121" s="65"/>
      <c r="GAR121" s="65"/>
      <c r="GAS121" s="65"/>
      <c r="GAT121" s="65"/>
      <c r="GAU121" s="65"/>
      <c r="GAV121" s="65"/>
      <c r="GAW121" s="65"/>
      <c r="GAX121" s="65"/>
      <c r="GAY121" s="65"/>
      <c r="GAZ121" s="65"/>
      <c r="GBA121" s="65"/>
      <c r="GBB121" s="65"/>
      <c r="GBC121" s="65"/>
      <c r="GBD121" s="65"/>
      <c r="GBE121" s="65"/>
      <c r="GBF121" s="65"/>
      <c r="GBG121" s="65"/>
      <c r="GBH121" s="65"/>
      <c r="GBI121" s="65"/>
      <c r="GBJ121" s="65"/>
      <c r="GBK121" s="65"/>
      <c r="GBL121" s="65"/>
      <c r="GBM121" s="65"/>
      <c r="GBN121" s="65"/>
      <c r="GBO121" s="65"/>
      <c r="GBP121" s="65"/>
      <c r="GBQ121" s="65"/>
      <c r="GBR121" s="65"/>
      <c r="GBS121" s="65"/>
      <c r="GBT121" s="65"/>
      <c r="GBU121" s="65"/>
      <c r="GBV121" s="65"/>
      <c r="GBW121" s="65"/>
      <c r="GBX121" s="65"/>
      <c r="GBY121" s="65"/>
      <c r="GBZ121" s="65"/>
      <c r="GCA121" s="65"/>
      <c r="GCB121" s="65"/>
      <c r="GCC121" s="65"/>
      <c r="GCD121" s="65"/>
      <c r="GCE121" s="65"/>
      <c r="GCF121" s="65"/>
      <c r="GCG121" s="65"/>
      <c r="GCH121" s="65"/>
      <c r="GCI121" s="65"/>
      <c r="GCJ121" s="65"/>
      <c r="GCK121" s="65"/>
      <c r="GCL121" s="65"/>
      <c r="GCM121" s="65"/>
      <c r="GCN121" s="65"/>
      <c r="GCO121" s="65"/>
      <c r="GCP121" s="65"/>
      <c r="GCQ121" s="65"/>
      <c r="GCR121" s="65"/>
      <c r="GCS121" s="65"/>
      <c r="GCT121" s="65"/>
      <c r="GCU121" s="65"/>
      <c r="GCV121" s="65"/>
      <c r="GCW121" s="65"/>
      <c r="GCX121" s="65"/>
      <c r="GCY121" s="65"/>
      <c r="GCZ121" s="65"/>
      <c r="GDA121" s="65"/>
      <c r="GDB121" s="65"/>
      <c r="GDC121" s="65"/>
      <c r="GDD121" s="65"/>
      <c r="GDE121" s="65"/>
      <c r="GDF121" s="65"/>
      <c r="GDG121" s="65"/>
      <c r="GDH121" s="65"/>
      <c r="GDI121" s="65"/>
      <c r="GDJ121" s="65"/>
      <c r="GDK121" s="65"/>
      <c r="GDL121" s="65"/>
      <c r="GDM121" s="65"/>
      <c r="GDN121" s="65"/>
      <c r="GDO121" s="65"/>
      <c r="GDP121" s="65"/>
      <c r="GDQ121" s="65"/>
      <c r="GDR121" s="65"/>
      <c r="GDS121" s="65"/>
      <c r="GDT121" s="65"/>
      <c r="GDU121" s="65"/>
      <c r="GDV121" s="65"/>
      <c r="GDW121" s="65"/>
      <c r="GDX121" s="65"/>
      <c r="GDY121" s="65"/>
      <c r="GDZ121" s="65"/>
      <c r="GEA121" s="65"/>
      <c r="GEB121" s="65"/>
      <c r="GEC121" s="65"/>
      <c r="GED121" s="65"/>
      <c r="GEE121" s="65"/>
      <c r="GEF121" s="65"/>
      <c r="GEG121" s="65"/>
      <c r="GEH121" s="65"/>
      <c r="GEI121" s="65"/>
      <c r="GEJ121" s="65"/>
      <c r="GEK121" s="65"/>
      <c r="GEL121" s="65"/>
      <c r="GEM121" s="65"/>
      <c r="GEN121" s="65"/>
      <c r="GEO121" s="65"/>
      <c r="GEP121" s="65"/>
      <c r="GEQ121" s="65"/>
      <c r="GER121" s="65"/>
      <c r="GES121" s="65"/>
      <c r="GET121" s="65"/>
      <c r="GEU121" s="65"/>
      <c r="GEV121" s="65"/>
      <c r="GEW121" s="65"/>
      <c r="GEX121" s="65"/>
      <c r="GEY121" s="65"/>
      <c r="GEZ121" s="65"/>
      <c r="GFA121" s="65"/>
      <c r="GFB121" s="65"/>
      <c r="GFC121" s="65"/>
      <c r="GFD121" s="65"/>
      <c r="GFE121" s="65"/>
      <c r="GFF121" s="65"/>
      <c r="GFG121" s="65"/>
      <c r="GFH121" s="65"/>
      <c r="GFI121" s="65"/>
      <c r="GFJ121" s="65"/>
      <c r="GFK121" s="65"/>
      <c r="GFL121" s="65"/>
      <c r="GFM121" s="65"/>
      <c r="GFN121" s="65"/>
      <c r="GFO121" s="65"/>
      <c r="GFP121" s="65"/>
      <c r="GFQ121" s="65"/>
      <c r="GFR121" s="65"/>
      <c r="GFS121" s="65"/>
      <c r="GFT121" s="65"/>
      <c r="GFU121" s="65"/>
      <c r="GFV121" s="65"/>
      <c r="GFW121" s="65"/>
      <c r="GFX121" s="65"/>
      <c r="GFY121" s="65"/>
      <c r="GFZ121" s="65"/>
      <c r="GGA121" s="65"/>
      <c r="GGB121" s="65"/>
      <c r="GGC121" s="65"/>
      <c r="GGD121" s="65"/>
      <c r="GGE121" s="65"/>
      <c r="GGF121" s="65"/>
      <c r="GGG121" s="65"/>
      <c r="GGH121" s="65"/>
      <c r="GGI121" s="65"/>
      <c r="GGJ121" s="65"/>
      <c r="GGK121" s="65"/>
      <c r="GGL121" s="65"/>
      <c r="GGM121" s="65"/>
      <c r="GGN121" s="65"/>
      <c r="GGO121" s="65"/>
      <c r="GGP121" s="65"/>
      <c r="GGQ121" s="65"/>
      <c r="GGR121" s="65"/>
      <c r="GGS121" s="65"/>
      <c r="GGT121" s="65"/>
      <c r="GGU121" s="65"/>
      <c r="GGV121" s="65"/>
      <c r="GGW121" s="65"/>
      <c r="GGX121" s="65"/>
      <c r="GGY121" s="65"/>
      <c r="GGZ121" s="65"/>
      <c r="GHA121" s="65"/>
      <c r="GHB121" s="65"/>
      <c r="GHC121" s="65"/>
      <c r="GHD121" s="65"/>
      <c r="GHE121" s="65"/>
      <c r="GHF121" s="65"/>
      <c r="GHG121" s="65"/>
      <c r="GHH121" s="65"/>
      <c r="GHI121" s="65"/>
      <c r="GHJ121" s="65"/>
      <c r="GHK121" s="65"/>
      <c r="GHL121" s="65"/>
      <c r="GHM121" s="65"/>
      <c r="GHN121" s="65"/>
      <c r="GHO121" s="65"/>
      <c r="GHP121" s="65"/>
      <c r="GHQ121" s="65"/>
      <c r="GHR121" s="65"/>
      <c r="GHS121" s="65"/>
      <c r="GHT121" s="65"/>
      <c r="GHU121" s="65"/>
      <c r="GHV121" s="65"/>
      <c r="GHW121" s="65"/>
      <c r="GHX121" s="65"/>
      <c r="GHY121" s="65"/>
      <c r="GHZ121" s="65"/>
      <c r="GIA121" s="65"/>
      <c r="GIB121" s="65"/>
      <c r="GIC121" s="65"/>
      <c r="GID121" s="65"/>
      <c r="GIE121" s="65"/>
      <c r="GIF121" s="65"/>
      <c r="GIG121" s="65"/>
      <c r="GIH121" s="65"/>
      <c r="GII121" s="65"/>
      <c r="GIJ121" s="65"/>
      <c r="GIK121" s="65"/>
      <c r="GIL121" s="65"/>
      <c r="GIM121" s="65"/>
      <c r="GIN121" s="65"/>
      <c r="GIO121" s="65"/>
      <c r="GIP121" s="65"/>
      <c r="GIQ121" s="65"/>
      <c r="GIR121" s="65"/>
      <c r="GIS121" s="65"/>
      <c r="GIT121" s="65"/>
      <c r="GIU121" s="65"/>
      <c r="GIV121" s="65"/>
      <c r="GIW121" s="65"/>
      <c r="GIX121" s="65"/>
      <c r="GIY121" s="65"/>
      <c r="GIZ121" s="65"/>
      <c r="GJA121" s="65"/>
      <c r="GJB121" s="65"/>
      <c r="GJC121" s="65"/>
      <c r="GJD121" s="65"/>
      <c r="GJE121" s="65"/>
      <c r="GJF121" s="65"/>
      <c r="GJG121" s="65"/>
      <c r="GJH121" s="65"/>
      <c r="GJI121" s="65"/>
      <c r="GJJ121" s="65"/>
      <c r="GJK121" s="65"/>
      <c r="GJL121" s="65"/>
      <c r="GJM121" s="65"/>
      <c r="GJN121" s="65"/>
      <c r="GJO121" s="65"/>
      <c r="GJP121" s="65"/>
      <c r="GJQ121" s="65"/>
      <c r="GJR121" s="65"/>
      <c r="GJS121" s="65"/>
      <c r="GJT121" s="65"/>
      <c r="GJU121" s="65"/>
      <c r="GJV121" s="65"/>
      <c r="GJW121" s="65"/>
      <c r="GJX121" s="65"/>
      <c r="GJY121" s="65"/>
      <c r="GJZ121" s="65"/>
      <c r="GKA121" s="65"/>
      <c r="GKB121" s="65"/>
      <c r="GKC121" s="65"/>
      <c r="GKD121" s="65"/>
      <c r="GKE121" s="65"/>
      <c r="GKF121" s="65"/>
      <c r="GKG121" s="65"/>
      <c r="GKH121" s="65"/>
      <c r="GKI121" s="65"/>
      <c r="GKJ121" s="65"/>
      <c r="GKK121" s="65"/>
      <c r="GKL121" s="65"/>
      <c r="GKM121" s="65"/>
      <c r="GKN121" s="65"/>
      <c r="GKO121" s="65"/>
      <c r="GKP121" s="65"/>
      <c r="GKQ121" s="65"/>
      <c r="GKR121" s="65"/>
      <c r="GKS121" s="65"/>
      <c r="GKT121" s="65"/>
      <c r="GKU121" s="65"/>
      <c r="GKV121" s="65"/>
      <c r="GKW121" s="65"/>
      <c r="GKX121" s="65"/>
      <c r="GKY121" s="65"/>
      <c r="GKZ121" s="65"/>
      <c r="GLA121" s="65"/>
      <c r="GLB121" s="65"/>
      <c r="GLC121" s="65"/>
      <c r="GLD121" s="65"/>
      <c r="GLE121" s="65"/>
      <c r="GLF121" s="65"/>
      <c r="GLG121" s="65"/>
      <c r="GLH121" s="65"/>
      <c r="GLI121" s="65"/>
      <c r="GLJ121" s="65"/>
      <c r="GLK121" s="65"/>
      <c r="GLL121" s="65"/>
      <c r="GLM121" s="65"/>
      <c r="GLN121" s="65"/>
      <c r="GLO121" s="65"/>
      <c r="GLP121" s="65"/>
      <c r="GLQ121" s="65"/>
      <c r="GLR121" s="65"/>
      <c r="GLS121" s="65"/>
      <c r="GLT121" s="65"/>
      <c r="GLU121" s="65"/>
      <c r="GLV121" s="65"/>
      <c r="GLW121" s="65"/>
      <c r="GLX121" s="65"/>
      <c r="GLY121" s="65"/>
      <c r="GLZ121" s="65"/>
      <c r="GMA121" s="65"/>
      <c r="GMB121" s="65"/>
      <c r="GMC121" s="65"/>
      <c r="GMD121" s="65"/>
      <c r="GME121" s="65"/>
      <c r="GMF121" s="65"/>
      <c r="GMG121" s="65"/>
      <c r="GMH121" s="65"/>
      <c r="GMI121" s="65"/>
      <c r="GMJ121" s="65"/>
      <c r="GMK121" s="65"/>
      <c r="GML121" s="65"/>
      <c r="GMM121" s="65"/>
      <c r="GMN121" s="65"/>
      <c r="GMO121" s="65"/>
      <c r="GMP121" s="65"/>
      <c r="GMQ121" s="65"/>
      <c r="GMR121" s="65"/>
      <c r="GMS121" s="65"/>
      <c r="GMT121" s="65"/>
      <c r="GMU121" s="65"/>
      <c r="GMV121" s="65"/>
      <c r="GMW121" s="65"/>
      <c r="GMX121" s="65"/>
      <c r="GMY121" s="65"/>
      <c r="GMZ121" s="65"/>
      <c r="GNA121" s="65"/>
      <c r="GNB121" s="65"/>
      <c r="GNC121" s="65"/>
      <c r="GND121" s="65"/>
      <c r="GNE121" s="65"/>
      <c r="GNF121" s="65"/>
      <c r="GNG121" s="65"/>
      <c r="GNH121" s="65"/>
      <c r="GNI121" s="65"/>
      <c r="GNJ121" s="65"/>
      <c r="GNK121" s="65"/>
      <c r="GNL121" s="65"/>
      <c r="GNM121" s="65"/>
      <c r="GNN121" s="65"/>
      <c r="GNO121" s="65"/>
      <c r="GNP121" s="65"/>
      <c r="GNQ121" s="65"/>
      <c r="GNR121" s="65"/>
      <c r="GNS121" s="65"/>
      <c r="GNT121" s="65"/>
      <c r="GNU121" s="65"/>
      <c r="GNV121" s="65"/>
      <c r="GNW121" s="65"/>
      <c r="GNX121" s="65"/>
      <c r="GNY121" s="65"/>
      <c r="GNZ121" s="65"/>
      <c r="GOA121" s="65"/>
      <c r="GOB121" s="65"/>
      <c r="GOC121" s="65"/>
      <c r="GOD121" s="65"/>
      <c r="GOE121" s="65"/>
      <c r="GOF121" s="65"/>
      <c r="GOG121" s="65"/>
      <c r="GOH121" s="65"/>
      <c r="GOI121" s="65"/>
      <c r="GOJ121" s="65"/>
      <c r="GOK121" s="65"/>
      <c r="GOL121" s="65"/>
      <c r="GOM121" s="65"/>
      <c r="GON121" s="65"/>
      <c r="GOO121" s="65"/>
      <c r="GOP121" s="65"/>
      <c r="GOQ121" s="65"/>
      <c r="GOR121" s="65"/>
      <c r="GOS121" s="65"/>
      <c r="GOT121" s="65"/>
      <c r="GOU121" s="65"/>
      <c r="GOV121" s="65"/>
      <c r="GOW121" s="65"/>
      <c r="GOX121" s="65"/>
      <c r="GOY121" s="65"/>
      <c r="GOZ121" s="65"/>
      <c r="GPA121" s="65"/>
      <c r="GPB121" s="65"/>
      <c r="GPC121" s="65"/>
      <c r="GPD121" s="65"/>
      <c r="GPE121" s="65"/>
      <c r="GPF121" s="65"/>
      <c r="GPG121" s="65"/>
      <c r="GPH121" s="65"/>
      <c r="GPI121" s="65"/>
      <c r="GPJ121" s="65"/>
      <c r="GPK121" s="65"/>
      <c r="GPL121" s="65"/>
      <c r="GPM121" s="65"/>
      <c r="GPN121" s="65"/>
      <c r="GPO121" s="65"/>
      <c r="GPP121" s="65"/>
      <c r="GPQ121" s="65"/>
      <c r="GPR121" s="65"/>
      <c r="GPS121" s="65"/>
      <c r="GPT121" s="65"/>
      <c r="GPU121" s="65"/>
      <c r="GPV121" s="65"/>
      <c r="GPW121" s="65"/>
      <c r="GPX121" s="65"/>
      <c r="GPY121" s="65"/>
      <c r="GPZ121" s="65"/>
      <c r="GQA121" s="65"/>
      <c r="GQB121" s="65"/>
      <c r="GQC121" s="65"/>
      <c r="GQD121" s="65"/>
      <c r="GQE121" s="65"/>
      <c r="GQF121" s="65"/>
      <c r="GQG121" s="65"/>
      <c r="GQH121" s="65"/>
      <c r="GQI121" s="65"/>
      <c r="GQJ121" s="65"/>
      <c r="GQK121" s="65"/>
      <c r="GQL121" s="65"/>
      <c r="GQM121" s="65"/>
      <c r="GQN121" s="65"/>
      <c r="GQO121" s="65"/>
      <c r="GQP121" s="65"/>
      <c r="GQQ121" s="65"/>
      <c r="GQR121" s="65"/>
      <c r="GQS121" s="65"/>
      <c r="GQT121" s="65"/>
      <c r="GQU121" s="65"/>
      <c r="GQV121" s="65"/>
      <c r="GQW121" s="65"/>
      <c r="GQX121" s="65"/>
      <c r="GQY121" s="65"/>
      <c r="GQZ121" s="65"/>
      <c r="GRA121" s="65"/>
      <c r="GRB121" s="65"/>
      <c r="GRC121" s="65"/>
      <c r="GRD121" s="65"/>
      <c r="GRE121" s="65"/>
      <c r="GRF121" s="65"/>
      <c r="GRG121" s="65"/>
      <c r="GRH121" s="65"/>
      <c r="GRI121" s="65"/>
      <c r="GRJ121" s="65"/>
      <c r="GRK121" s="65"/>
      <c r="GRL121" s="65"/>
      <c r="GRM121" s="65"/>
      <c r="GRN121" s="65"/>
      <c r="GRO121" s="65"/>
      <c r="GRP121" s="65"/>
      <c r="GRQ121" s="65"/>
      <c r="GRR121" s="65"/>
      <c r="GRS121" s="65"/>
      <c r="GRT121" s="65"/>
      <c r="GRU121" s="65"/>
      <c r="GRV121" s="65"/>
      <c r="GRW121" s="65"/>
      <c r="GRX121" s="65"/>
      <c r="GRY121" s="65"/>
      <c r="GRZ121" s="65"/>
      <c r="GSA121" s="65"/>
      <c r="GSB121" s="65"/>
      <c r="GSC121" s="65"/>
      <c r="GSD121" s="65"/>
      <c r="GSE121" s="65"/>
      <c r="GSF121" s="65"/>
      <c r="GSG121" s="65"/>
      <c r="GSH121" s="65"/>
      <c r="GSI121" s="65"/>
      <c r="GSJ121" s="65"/>
      <c r="GSK121" s="65"/>
      <c r="GSL121" s="65"/>
      <c r="GSM121" s="65"/>
      <c r="GSN121" s="65"/>
      <c r="GSO121" s="65"/>
      <c r="GSP121" s="65"/>
      <c r="GSQ121" s="65"/>
      <c r="GSR121" s="65"/>
      <c r="GSS121" s="65"/>
      <c r="GST121" s="65"/>
      <c r="GSU121" s="65"/>
      <c r="GSV121" s="65"/>
      <c r="GSW121" s="65"/>
      <c r="GSX121" s="65"/>
      <c r="GSY121" s="65"/>
      <c r="GSZ121" s="65"/>
      <c r="GTA121" s="65"/>
      <c r="GTB121" s="65"/>
      <c r="GTC121" s="65"/>
      <c r="GTD121" s="65"/>
      <c r="GTE121" s="65"/>
      <c r="GTF121" s="65"/>
      <c r="GTG121" s="65"/>
      <c r="GTH121" s="65"/>
      <c r="GTI121" s="65"/>
      <c r="GTJ121" s="65"/>
      <c r="GTK121" s="65"/>
      <c r="GTL121" s="65"/>
      <c r="GTM121" s="65"/>
      <c r="GTN121" s="65"/>
      <c r="GTO121" s="65"/>
      <c r="GTP121" s="65"/>
      <c r="GTQ121" s="65"/>
      <c r="GTR121" s="65"/>
      <c r="GTS121" s="65"/>
      <c r="GTT121" s="65"/>
      <c r="GTU121" s="65"/>
      <c r="GTV121" s="65"/>
      <c r="GTW121" s="65"/>
      <c r="GTX121" s="65"/>
      <c r="GTY121" s="65"/>
      <c r="GTZ121" s="65"/>
      <c r="GUA121" s="65"/>
      <c r="GUB121" s="65"/>
      <c r="GUC121" s="65"/>
      <c r="GUD121" s="65"/>
      <c r="GUE121" s="65"/>
      <c r="GUF121" s="65"/>
      <c r="GUG121" s="65"/>
      <c r="GUH121" s="65"/>
      <c r="GUI121" s="65"/>
      <c r="GUJ121" s="65"/>
      <c r="GUK121" s="65"/>
      <c r="GUL121" s="65"/>
      <c r="GUM121" s="65"/>
      <c r="GUN121" s="65"/>
      <c r="GUO121" s="65"/>
      <c r="GUP121" s="65"/>
      <c r="GUQ121" s="65"/>
      <c r="GUR121" s="65"/>
      <c r="GUS121" s="65"/>
      <c r="GUT121" s="65"/>
      <c r="GUU121" s="65"/>
      <c r="GUV121" s="65"/>
      <c r="GUW121" s="65"/>
      <c r="GUX121" s="65"/>
      <c r="GUY121" s="65"/>
      <c r="GUZ121" s="65"/>
      <c r="GVA121" s="65"/>
      <c r="GVB121" s="65"/>
      <c r="GVC121" s="65"/>
      <c r="GVD121" s="65"/>
      <c r="GVE121" s="65"/>
      <c r="GVF121" s="65"/>
      <c r="GVG121" s="65"/>
      <c r="GVH121" s="65"/>
      <c r="GVI121" s="65"/>
      <c r="GVJ121" s="65"/>
      <c r="GVK121" s="65"/>
      <c r="GVL121" s="65"/>
      <c r="GVM121" s="65"/>
      <c r="GVN121" s="65"/>
      <c r="GVO121" s="65"/>
      <c r="GVP121" s="65"/>
      <c r="GVQ121" s="65"/>
      <c r="GVR121" s="65"/>
      <c r="GVS121" s="65"/>
      <c r="GVT121" s="65"/>
      <c r="GVU121" s="65"/>
      <c r="GVV121" s="65"/>
      <c r="GVW121" s="65"/>
      <c r="GVX121" s="65"/>
      <c r="GVY121" s="65"/>
      <c r="GVZ121" s="65"/>
      <c r="GWA121" s="65"/>
      <c r="GWB121" s="65"/>
      <c r="GWC121" s="65"/>
      <c r="GWD121" s="65"/>
      <c r="GWE121" s="65"/>
      <c r="GWF121" s="65"/>
      <c r="GWG121" s="65"/>
      <c r="GWH121" s="65"/>
      <c r="GWI121" s="65"/>
      <c r="GWJ121" s="65"/>
      <c r="GWK121" s="65"/>
      <c r="GWL121" s="65"/>
      <c r="GWM121" s="65"/>
      <c r="GWN121" s="65"/>
      <c r="GWO121" s="65"/>
      <c r="GWP121" s="65"/>
      <c r="GWQ121" s="65"/>
      <c r="GWR121" s="65"/>
      <c r="GWS121" s="65"/>
      <c r="GWT121" s="65"/>
      <c r="GWU121" s="65"/>
      <c r="GWV121" s="65"/>
      <c r="GWW121" s="65"/>
      <c r="GWX121" s="65"/>
      <c r="GWY121" s="65"/>
      <c r="GWZ121" s="65"/>
      <c r="GXA121" s="65"/>
      <c r="GXB121" s="65"/>
      <c r="GXC121" s="65"/>
      <c r="GXD121" s="65"/>
      <c r="GXE121" s="65"/>
      <c r="GXF121" s="65"/>
      <c r="GXG121" s="65"/>
      <c r="GXH121" s="65"/>
      <c r="GXI121" s="65"/>
      <c r="GXJ121" s="65"/>
      <c r="GXK121" s="65"/>
      <c r="GXL121" s="65"/>
      <c r="GXM121" s="65"/>
      <c r="GXN121" s="65"/>
      <c r="GXO121" s="65"/>
      <c r="GXP121" s="65"/>
      <c r="GXQ121" s="65"/>
      <c r="GXR121" s="65"/>
      <c r="GXS121" s="65"/>
      <c r="GXT121" s="65"/>
      <c r="GXU121" s="65"/>
      <c r="GXV121" s="65"/>
      <c r="GXW121" s="65"/>
      <c r="GXX121" s="65"/>
      <c r="GXY121" s="65"/>
      <c r="GXZ121" s="65"/>
      <c r="GYA121" s="65"/>
      <c r="GYB121" s="65"/>
      <c r="GYC121" s="65"/>
      <c r="GYD121" s="65"/>
      <c r="GYE121" s="65"/>
      <c r="GYF121" s="65"/>
      <c r="GYG121" s="65"/>
      <c r="GYH121" s="65"/>
      <c r="GYI121" s="65"/>
      <c r="GYJ121" s="65"/>
      <c r="GYK121" s="65"/>
      <c r="GYL121" s="65"/>
      <c r="GYM121" s="65"/>
      <c r="GYN121" s="65"/>
      <c r="GYO121" s="65"/>
      <c r="GYP121" s="65"/>
      <c r="GYQ121" s="65"/>
      <c r="GYR121" s="65"/>
      <c r="GYS121" s="65"/>
      <c r="GYT121" s="65"/>
      <c r="GYU121" s="65"/>
      <c r="GYV121" s="65"/>
      <c r="GYW121" s="65"/>
      <c r="GYX121" s="65"/>
      <c r="GYY121" s="65"/>
      <c r="GYZ121" s="65"/>
      <c r="GZA121" s="65"/>
      <c r="GZB121" s="65"/>
      <c r="GZC121" s="65"/>
      <c r="GZD121" s="65"/>
      <c r="GZE121" s="65"/>
      <c r="GZF121" s="65"/>
      <c r="GZG121" s="65"/>
      <c r="GZH121" s="65"/>
      <c r="GZI121" s="65"/>
      <c r="GZJ121" s="65"/>
      <c r="GZK121" s="65"/>
      <c r="GZL121" s="65"/>
      <c r="GZM121" s="65"/>
      <c r="GZN121" s="65"/>
      <c r="GZO121" s="65"/>
      <c r="GZP121" s="65"/>
      <c r="GZQ121" s="65"/>
      <c r="GZR121" s="65"/>
      <c r="GZS121" s="65"/>
      <c r="GZT121" s="65"/>
      <c r="GZU121" s="65"/>
      <c r="GZV121" s="65"/>
      <c r="GZW121" s="65"/>
      <c r="GZX121" s="65"/>
      <c r="GZY121" s="65"/>
      <c r="GZZ121" s="65"/>
      <c r="HAA121" s="65"/>
      <c r="HAB121" s="65"/>
      <c r="HAC121" s="65"/>
      <c r="HAD121" s="65"/>
      <c r="HAE121" s="65"/>
      <c r="HAF121" s="65"/>
      <c r="HAG121" s="65"/>
      <c r="HAH121" s="65"/>
      <c r="HAI121" s="65"/>
      <c r="HAJ121" s="65"/>
      <c r="HAK121" s="65"/>
      <c r="HAL121" s="65"/>
      <c r="HAM121" s="65"/>
      <c r="HAN121" s="65"/>
      <c r="HAO121" s="65"/>
      <c r="HAP121" s="65"/>
      <c r="HAQ121" s="65"/>
      <c r="HAR121" s="65"/>
      <c r="HAS121" s="65"/>
      <c r="HAT121" s="65"/>
      <c r="HAU121" s="65"/>
      <c r="HAV121" s="65"/>
      <c r="HAW121" s="65"/>
      <c r="HAX121" s="65"/>
      <c r="HAY121" s="65"/>
      <c r="HAZ121" s="65"/>
      <c r="HBA121" s="65"/>
      <c r="HBB121" s="65"/>
      <c r="HBC121" s="65"/>
      <c r="HBD121" s="65"/>
      <c r="HBE121" s="65"/>
      <c r="HBF121" s="65"/>
      <c r="HBG121" s="65"/>
      <c r="HBH121" s="65"/>
      <c r="HBI121" s="65"/>
      <c r="HBJ121" s="65"/>
      <c r="HBK121" s="65"/>
      <c r="HBL121" s="65"/>
      <c r="HBM121" s="65"/>
      <c r="HBN121" s="65"/>
      <c r="HBO121" s="65"/>
      <c r="HBP121" s="65"/>
      <c r="HBQ121" s="65"/>
      <c r="HBR121" s="65"/>
      <c r="HBS121" s="65"/>
      <c r="HBT121" s="65"/>
      <c r="HBU121" s="65"/>
      <c r="HBV121" s="65"/>
      <c r="HBW121" s="65"/>
      <c r="HBX121" s="65"/>
      <c r="HBY121" s="65"/>
      <c r="HBZ121" s="65"/>
      <c r="HCA121" s="65"/>
      <c r="HCB121" s="65"/>
      <c r="HCC121" s="65"/>
      <c r="HCD121" s="65"/>
      <c r="HCE121" s="65"/>
      <c r="HCF121" s="65"/>
      <c r="HCG121" s="65"/>
      <c r="HCH121" s="65"/>
      <c r="HCI121" s="65"/>
      <c r="HCJ121" s="65"/>
      <c r="HCK121" s="65"/>
      <c r="HCL121" s="65"/>
      <c r="HCM121" s="65"/>
      <c r="HCN121" s="65"/>
      <c r="HCO121" s="65"/>
      <c r="HCP121" s="65"/>
      <c r="HCQ121" s="65"/>
      <c r="HCR121" s="65"/>
      <c r="HCS121" s="65"/>
      <c r="HCT121" s="65"/>
      <c r="HCU121" s="65"/>
      <c r="HCV121" s="65"/>
      <c r="HCW121" s="65"/>
      <c r="HCX121" s="65"/>
      <c r="HCY121" s="65"/>
      <c r="HCZ121" s="65"/>
      <c r="HDA121" s="65"/>
      <c r="HDB121" s="65"/>
      <c r="HDC121" s="65"/>
      <c r="HDD121" s="65"/>
      <c r="HDE121" s="65"/>
      <c r="HDF121" s="65"/>
      <c r="HDG121" s="65"/>
      <c r="HDH121" s="65"/>
      <c r="HDI121" s="65"/>
      <c r="HDJ121" s="65"/>
      <c r="HDK121" s="65"/>
      <c r="HDL121" s="65"/>
      <c r="HDM121" s="65"/>
      <c r="HDN121" s="65"/>
      <c r="HDO121" s="65"/>
      <c r="HDP121" s="65"/>
      <c r="HDQ121" s="65"/>
      <c r="HDR121" s="65"/>
      <c r="HDS121" s="65"/>
      <c r="HDT121" s="65"/>
      <c r="HDU121" s="65"/>
      <c r="HDV121" s="65"/>
      <c r="HDW121" s="65"/>
      <c r="HDX121" s="65"/>
      <c r="HDY121" s="65"/>
      <c r="HDZ121" s="65"/>
      <c r="HEA121" s="65"/>
      <c r="HEB121" s="65"/>
      <c r="HEC121" s="65"/>
      <c r="HED121" s="65"/>
      <c r="HEE121" s="65"/>
      <c r="HEF121" s="65"/>
      <c r="HEG121" s="65"/>
      <c r="HEH121" s="65"/>
      <c r="HEI121" s="65"/>
      <c r="HEJ121" s="65"/>
      <c r="HEK121" s="65"/>
      <c r="HEL121" s="65"/>
      <c r="HEM121" s="65"/>
      <c r="HEN121" s="65"/>
      <c r="HEO121" s="65"/>
      <c r="HEP121" s="65"/>
      <c r="HEQ121" s="65"/>
      <c r="HER121" s="65"/>
      <c r="HES121" s="65"/>
      <c r="HET121" s="65"/>
      <c r="HEU121" s="65"/>
      <c r="HEV121" s="65"/>
      <c r="HEW121" s="65"/>
      <c r="HEX121" s="65"/>
      <c r="HEY121" s="65"/>
      <c r="HEZ121" s="65"/>
      <c r="HFA121" s="65"/>
      <c r="HFB121" s="65"/>
      <c r="HFC121" s="65"/>
      <c r="HFD121" s="65"/>
      <c r="HFE121" s="65"/>
      <c r="HFF121" s="65"/>
      <c r="HFG121" s="65"/>
      <c r="HFH121" s="65"/>
      <c r="HFI121" s="65"/>
      <c r="HFJ121" s="65"/>
      <c r="HFK121" s="65"/>
      <c r="HFL121" s="65"/>
      <c r="HFM121" s="65"/>
      <c r="HFN121" s="65"/>
      <c r="HFO121" s="65"/>
      <c r="HFP121" s="65"/>
      <c r="HFQ121" s="65"/>
      <c r="HFR121" s="65"/>
      <c r="HFS121" s="65"/>
      <c r="HFT121" s="65"/>
      <c r="HFU121" s="65"/>
      <c r="HFV121" s="65"/>
      <c r="HFW121" s="65"/>
      <c r="HFX121" s="65"/>
      <c r="HFY121" s="65"/>
      <c r="HFZ121" s="65"/>
      <c r="HGA121" s="65"/>
      <c r="HGB121" s="65"/>
      <c r="HGC121" s="65"/>
      <c r="HGD121" s="65"/>
      <c r="HGE121" s="65"/>
      <c r="HGF121" s="65"/>
      <c r="HGG121" s="65"/>
      <c r="HGH121" s="65"/>
      <c r="HGI121" s="65"/>
      <c r="HGJ121" s="65"/>
      <c r="HGK121" s="65"/>
      <c r="HGL121" s="65"/>
      <c r="HGM121" s="65"/>
      <c r="HGN121" s="65"/>
      <c r="HGO121" s="65"/>
      <c r="HGP121" s="65"/>
      <c r="HGQ121" s="65"/>
      <c r="HGR121" s="65"/>
      <c r="HGS121" s="65"/>
      <c r="HGT121" s="65"/>
      <c r="HGU121" s="65"/>
      <c r="HGV121" s="65"/>
      <c r="HGW121" s="65"/>
      <c r="HGX121" s="65"/>
      <c r="HGY121" s="65"/>
      <c r="HGZ121" s="65"/>
      <c r="HHA121" s="65"/>
      <c r="HHB121" s="65"/>
      <c r="HHC121" s="65"/>
      <c r="HHD121" s="65"/>
      <c r="HHE121" s="65"/>
      <c r="HHF121" s="65"/>
      <c r="HHG121" s="65"/>
      <c r="HHH121" s="65"/>
      <c r="HHI121" s="65"/>
      <c r="HHJ121" s="65"/>
      <c r="HHK121" s="65"/>
      <c r="HHL121" s="65"/>
      <c r="HHM121" s="65"/>
      <c r="HHN121" s="65"/>
      <c r="HHO121" s="65"/>
      <c r="HHP121" s="65"/>
      <c r="HHQ121" s="65"/>
      <c r="HHR121" s="65"/>
      <c r="HHS121" s="65"/>
      <c r="HHT121" s="65"/>
      <c r="HHU121" s="65"/>
      <c r="HHV121" s="65"/>
      <c r="HHW121" s="65"/>
      <c r="HHX121" s="65"/>
      <c r="HHY121" s="65"/>
      <c r="HHZ121" s="65"/>
      <c r="HIA121" s="65"/>
      <c r="HIB121" s="65"/>
      <c r="HIC121" s="65"/>
      <c r="HID121" s="65"/>
      <c r="HIE121" s="65"/>
      <c r="HIF121" s="65"/>
      <c r="HIG121" s="65"/>
      <c r="HIH121" s="65"/>
      <c r="HII121" s="65"/>
      <c r="HIJ121" s="65"/>
      <c r="HIK121" s="65"/>
      <c r="HIL121" s="65"/>
      <c r="HIM121" s="65"/>
      <c r="HIN121" s="65"/>
      <c r="HIO121" s="65"/>
      <c r="HIP121" s="65"/>
      <c r="HIQ121" s="65"/>
      <c r="HIR121" s="65"/>
      <c r="HIS121" s="65"/>
      <c r="HIT121" s="65"/>
      <c r="HIU121" s="65"/>
      <c r="HIV121" s="65"/>
      <c r="HIW121" s="65"/>
      <c r="HIX121" s="65"/>
      <c r="HIY121" s="65"/>
      <c r="HIZ121" s="65"/>
      <c r="HJA121" s="65"/>
      <c r="HJB121" s="65"/>
      <c r="HJC121" s="65"/>
      <c r="HJD121" s="65"/>
      <c r="HJE121" s="65"/>
      <c r="HJF121" s="65"/>
      <c r="HJG121" s="65"/>
      <c r="HJH121" s="65"/>
      <c r="HJI121" s="65"/>
      <c r="HJJ121" s="65"/>
      <c r="HJK121" s="65"/>
      <c r="HJL121" s="65"/>
      <c r="HJM121" s="65"/>
      <c r="HJN121" s="65"/>
      <c r="HJO121" s="65"/>
      <c r="HJP121" s="65"/>
      <c r="HJQ121" s="65"/>
      <c r="HJR121" s="65"/>
      <c r="HJS121" s="65"/>
      <c r="HJT121" s="65"/>
      <c r="HJU121" s="65"/>
      <c r="HJV121" s="65"/>
      <c r="HJW121" s="65"/>
      <c r="HJX121" s="65"/>
      <c r="HJY121" s="65"/>
      <c r="HJZ121" s="65"/>
      <c r="HKA121" s="65"/>
      <c r="HKB121" s="65"/>
      <c r="HKC121" s="65"/>
      <c r="HKD121" s="65"/>
      <c r="HKE121" s="65"/>
      <c r="HKF121" s="65"/>
      <c r="HKG121" s="65"/>
      <c r="HKH121" s="65"/>
      <c r="HKI121" s="65"/>
      <c r="HKJ121" s="65"/>
      <c r="HKK121" s="65"/>
      <c r="HKL121" s="65"/>
      <c r="HKM121" s="65"/>
      <c r="HKN121" s="65"/>
      <c r="HKO121" s="65"/>
      <c r="HKP121" s="65"/>
      <c r="HKQ121" s="65"/>
      <c r="HKR121" s="65"/>
      <c r="HKS121" s="65"/>
      <c r="HKT121" s="65"/>
      <c r="HKU121" s="65"/>
      <c r="HKV121" s="65"/>
      <c r="HKW121" s="65"/>
      <c r="HKX121" s="65"/>
      <c r="HKY121" s="65"/>
      <c r="HKZ121" s="65"/>
      <c r="HLA121" s="65"/>
      <c r="HLB121" s="65"/>
      <c r="HLC121" s="65"/>
      <c r="HLD121" s="65"/>
      <c r="HLE121" s="65"/>
      <c r="HLF121" s="65"/>
      <c r="HLG121" s="65"/>
      <c r="HLH121" s="65"/>
      <c r="HLI121" s="65"/>
      <c r="HLJ121" s="65"/>
      <c r="HLK121" s="65"/>
      <c r="HLL121" s="65"/>
      <c r="HLM121" s="65"/>
      <c r="HLN121" s="65"/>
      <c r="HLO121" s="65"/>
      <c r="HLP121" s="65"/>
      <c r="HLQ121" s="65"/>
      <c r="HLR121" s="65"/>
      <c r="HLS121" s="65"/>
      <c r="HLT121" s="65"/>
      <c r="HLU121" s="65"/>
      <c r="HLV121" s="65"/>
      <c r="HLW121" s="65"/>
      <c r="HLX121" s="65"/>
      <c r="HLY121" s="65"/>
      <c r="HLZ121" s="65"/>
      <c r="HMA121" s="65"/>
      <c r="HMB121" s="65"/>
      <c r="HMC121" s="65"/>
      <c r="HMD121" s="65"/>
      <c r="HME121" s="65"/>
      <c r="HMF121" s="65"/>
      <c r="HMG121" s="65"/>
      <c r="HMH121" s="65"/>
      <c r="HMI121" s="65"/>
      <c r="HMJ121" s="65"/>
      <c r="HMK121" s="65"/>
      <c r="HML121" s="65"/>
      <c r="HMM121" s="65"/>
      <c r="HMN121" s="65"/>
      <c r="HMO121" s="65"/>
      <c r="HMP121" s="65"/>
      <c r="HMQ121" s="65"/>
      <c r="HMR121" s="65"/>
      <c r="HMS121" s="65"/>
      <c r="HMT121" s="65"/>
      <c r="HMU121" s="65"/>
      <c r="HMV121" s="65"/>
      <c r="HMW121" s="65"/>
      <c r="HMX121" s="65"/>
      <c r="HMY121" s="65"/>
      <c r="HMZ121" s="65"/>
      <c r="HNA121" s="65"/>
      <c r="HNB121" s="65"/>
      <c r="HNC121" s="65"/>
      <c r="HND121" s="65"/>
      <c r="HNE121" s="65"/>
      <c r="HNF121" s="65"/>
      <c r="HNG121" s="65"/>
      <c r="HNH121" s="65"/>
      <c r="HNI121" s="65"/>
      <c r="HNJ121" s="65"/>
      <c r="HNK121" s="65"/>
      <c r="HNL121" s="65"/>
      <c r="HNM121" s="65"/>
      <c r="HNN121" s="65"/>
      <c r="HNO121" s="65"/>
      <c r="HNP121" s="65"/>
      <c r="HNQ121" s="65"/>
      <c r="HNR121" s="65"/>
      <c r="HNS121" s="65"/>
      <c r="HNT121" s="65"/>
      <c r="HNU121" s="65"/>
      <c r="HNV121" s="65"/>
      <c r="HNW121" s="65"/>
      <c r="HNX121" s="65"/>
      <c r="HNY121" s="65"/>
      <c r="HNZ121" s="65"/>
      <c r="HOA121" s="65"/>
      <c r="HOB121" s="65"/>
      <c r="HOC121" s="65"/>
      <c r="HOD121" s="65"/>
      <c r="HOE121" s="65"/>
      <c r="HOF121" s="65"/>
      <c r="HOG121" s="65"/>
      <c r="HOH121" s="65"/>
      <c r="HOI121" s="65"/>
      <c r="HOJ121" s="65"/>
      <c r="HOK121" s="65"/>
      <c r="HOL121" s="65"/>
      <c r="HOM121" s="65"/>
      <c r="HON121" s="65"/>
      <c r="HOO121" s="65"/>
      <c r="HOP121" s="65"/>
      <c r="HOQ121" s="65"/>
      <c r="HOR121" s="65"/>
      <c r="HOS121" s="65"/>
      <c r="HOT121" s="65"/>
      <c r="HOU121" s="65"/>
      <c r="HOV121" s="65"/>
      <c r="HOW121" s="65"/>
      <c r="HOX121" s="65"/>
      <c r="HOY121" s="65"/>
      <c r="HOZ121" s="65"/>
      <c r="HPA121" s="65"/>
      <c r="HPB121" s="65"/>
      <c r="HPC121" s="65"/>
      <c r="HPD121" s="65"/>
      <c r="HPE121" s="65"/>
      <c r="HPF121" s="65"/>
      <c r="HPG121" s="65"/>
      <c r="HPH121" s="65"/>
      <c r="HPI121" s="65"/>
      <c r="HPJ121" s="65"/>
      <c r="HPK121" s="65"/>
      <c r="HPL121" s="65"/>
      <c r="HPM121" s="65"/>
      <c r="HPN121" s="65"/>
      <c r="HPO121" s="65"/>
      <c r="HPP121" s="65"/>
      <c r="HPQ121" s="65"/>
      <c r="HPR121" s="65"/>
      <c r="HPS121" s="65"/>
      <c r="HPT121" s="65"/>
      <c r="HPU121" s="65"/>
      <c r="HPV121" s="65"/>
      <c r="HPW121" s="65"/>
      <c r="HPX121" s="65"/>
      <c r="HPY121" s="65"/>
      <c r="HPZ121" s="65"/>
      <c r="HQA121" s="65"/>
      <c r="HQB121" s="65"/>
      <c r="HQC121" s="65"/>
      <c r="HQD121" s="65"/>
      <c r="HQE121" s="65"/>
      <c r="HQF121" s="65"/>
      <c r="HQG121" s="65"/>
      <c r="HQH121" s="65"/>
      <c r="HQI121" s="65"/>
      <c r="HQJ121" s="65"/>
      <c r="HQK121" s="65"/>
      <c r="HQL121" s="65"/>
      <c r="HQM121" s="65"/>
      <c r="HQN121" s="65"/>
      <c r="HQO121" s="65"/>
      <c r="HQP121" s="65"/>
      <c r="HQQ121" s="65"/>
      <c r="HQR121" s="65"/>
      <c r="HQS121" s="65"/>
      <c r="HQT121" s="65"/>
      <c r="HQU121" s="65"/>
      <c r="HQV121" s="65"/>
      <c r="HQW121" s="65"/>
      <c r="HQX121" s="65"/>
      <c r="HQY121" s="65"/>
      <c r="HQZ121" s="65"/>
      <c r="HRA121" s="65"/>
      <c r="HRB121" s="65"/>
      <c r="HRC121" s="65"/>
      <c r="HRD121" s="65"/>
      <c r="HRE121" s="65"/>
      <c r="HRF121" s="65"/>
      <c r="HRG121" s="65"/>
      <c r="HRH121" s="65"/>
      <c r="HRI121" s="65"/>
      <c r="HRJ121" s="65"/>
      <c r="HRK121" s="65"/>
      <c r="HRL121" s="65"/>
      <c r="HRM121" s="65"/>
      <c r="HRN121" s="65"/>
      <c r="HRO121" s="65"/>
      <c r="HRP121" s="65"/>
      <c r="HRQ121" s="65"/>
      <c r="HRR121" s="65"/>
      <c r="HRS121" s="65"/>
      <c r="HRT121" s="65"/>
      <c r="HRU121" s="65"/>
      <c r="HRV121" s="65"/>
      <c r="HRW121" s="65"/>
      <c r="HRX121" s="65"/>
      <c r="HRY121" s="65"/>
      <c r="HRZ121" s="65"/>
      <c r="HSA121" s="65"/>
      <c r="HSB121" s="65"/>
      <c r="HSC121" s="65"/>
      <c r="HSD121" s="65"/>
      <c r="HSE121" s="65"/>
      <c r="HSF121" s="65"/>
      <c r="HSG121" s="65"/>
      <c r="HSH121" s="65"/>
      <c r="HSI121" s="65"/>
      <c r="HSJ121" s="65"/>
      <c r="HSK121" s="65"/>
      <c r="HSL121" s="65"/>
      <c r="HSM121" s="65"/>
      <c r="HSN121" s="65"/>
      <c r="HSO121" s="65"/>
      <c r="HSP121" s="65"/>
      <c r="HSQ121" s="65"/>
      <c r="HSR121" s="65"/>
      <c r="HSS121" s="65"/>
      <c r="HST121" s="65"/>
      <c r="HSU121" s="65"/>
      <c r="HSV121" s="65"/>
      <c r="HSW121" s="65"/>
      <c r="HSX121" s="65"/>
      <c r="HSY121" s="65"/>
      <c r="HSZ121" s="65"/>
      <c r="HTA121" s="65"/>
      <c r="HTB121" s="65"/>
      <c r="HTC121" s="65"/>
      <c r="HTD121" s="65"/>
      <c r="HTE121" s="65"/>
      <c r="HTF121" s="65"/>
      <c r="HTG121" s="65"/>
      <c r="HTH121" s="65"/>
      <c r="HTI121" s="65"/>
      <c r="HTJ121" s="65"/>
      <c r="HTK121" s="65"/>
      <c r="HTL121" s="65"/>
      <c r="HTM121" s="65"/>
      <c r="HTN121" s="65"/>
      <c r="HTO121" s="65"/>
      <c r="HTP121" s="65"/>
      <c r="HTQ121" s="65"/>
      <c r="HTR121" s="65"/>
      <c r="HTS121" s="65"/>
      <c r="HTT121" s="65"/>
      <c r="HTU121" s="65"/>
      <c r="HTV121" s="65"/>
      <c r="HTW121" s="65"/>
      <c r="HTX121" s="65"/>
      <c r="HTY121" s="65"/>
      <c r="HTZ121" s="65"/>
      <c r="HUA121" s="65"/>
      <c r="HUB121" s="65"/>
      <c r="HUC121" s="65"/>
      <c r="HUD121" s="65"/>
      <c r="HUE121" s="65"/>
      <c r="HUF121" s="65"/>
      <c r="HUG121" s="65"/>
      <c r="HUH121" s="65"/>
      <c r="HUI121" s="65"/>
      <c r="HUJ121" s="65"/>
      <c r="HUK121" s="65"/>
      <c r="HUL121" s="65"/>
      <c r="HUM121" s="65"/>
      <c r="HUN121" s="65"/>
      <c r="HUO121" s="65"/>
      <c r="HUP121" s="65"/>
      <c r="HUQ121" s="65"/>
      <c r="HUR121" s="65"/>
      <c r="HUS121" s="65"/>
      <c r="HUT121" s="65"/>
      <c r="HUU121" s="65"/>
      <c r="HUV121" s="65"/>
      <c r="HUW121" s="65"/>
      <c r="HUX121" s="65"/>
      <c r="HUY121" s="65"/>
      <c r="HUZ121" s="65"/>
      <c r="HVA121" s="65"/>
      <c r="HVB121" s="65"/>
      <c r="HVC121" s="65"/>
      <c r="HVD121" s="65"/>
      <c r="HVE121" s="65"/>
      <c r="HVF121" s="65"/>
      <c r="HVG121" s="65"/>
      <c r="HVH121" s="65"/>
      <c r="HVI121" s="65"/>
      <c r="HVJ121" s="65"/>
      <c r="HVK121" s="65"/>
      <c r="HVL121" s="65"/>
      <c r="HVM121" s="65"/>
      <c r="HVN121" s="65"/>
      <c r="HVO121" s="65"/>
      <c r="HVP121" s="65"/>
      <c r="HVQ121" s="65"/>
      <c r="HVR121" s="65"/>
      <c r="HVS121" s="65"/>
      <c r="HVT121" s="65"/>
      <c r="HVU121" s="65"/>
      <c r="HVV121" s="65"/>
      <c r="HVW121" s="65"/>
      <c r="HVX121" s="65"/>
      <c r="HVY121" s="65"/>
      <c r="HVZ121" s="65"/>
      <c r="HWA121" s="65"/>
      <c r="HWB121" s="65"/>
      <c r="HWC121" s="65"/>
      <c r="HWD121" s="65"/>
      <c r="HWE121" s="65"/>
      <c r="HWF121" s="65"/>
      <c r="HWG121" s="65"/>
      <c r="HWH121" s="65"/>
      <c r="HWI121" s="65"/>
      <c r="HWJ121" s="65"/>
      <c r="HWK121" s="65"/>
      <c r="HWL121" s="65"/>
      <c r="HWM121" s="65"/>
      <c r="HWN121" s="65"/>
      <c r="HWO121" s="65"/>
      <c r="HWP121" s="65"/>
      <c r="HWQ121" s="65"/>
      <c r="HWR121" s="65"/>
      <c r="HWS121" s="65"/>
      <c r="HWT121" s="65"/>
      <c r="HWU121" s="65"/>
      <c r="HWV121" s="65"/>
      <c r="HWW121" s="65"/>
      <c r="HWX121" s="65"/>
      <c r="HWY121" s="65"/>
      <c r="HWZ121" s="65"/>
      <c r="HXA121" s="65"/>
      <c r="HXB121" s="65"/>
      <c r="HXC121" s="65"/>
      <c r="HXD121" s="65"/>
      <c r="HXE121" s="65"/>
      <c r="HXF121" s="65"/>
      <c r="HXG121" s="65"/>
      <c r="HXH121" s="65"/>
      <c r="HXI121" s="65"/>
      <c r="HXJ121" s="65"/>
      <c r="HXK121" s="65"/>
      <c r="HXL121" s="65"/>
      <c r="HXM121" s="65"/>
      <c r="HXN121" s="65"/>
      <c r="HXO121" s="65"/>
      <c r="HXP121" s="65"/>
      <c r="HXQ121" s="65"/>
      <c r="HXR121" s="65"/>
      <c r="HXS121" s="65"/>
      <c r="HXT121" s="65"/>
      <c r="HXU121" s="65"/>
      <c r="HXV121" s="65"/>
      <c r="HXW121" s="65"/>
      <c r="HXX121" s="65"/>
      <c r="HXY121" s="65"/>
      <c r="HXZ121" s="65"/>
      <c r="HYA121" s="65"/>
      <c r="HYB121" s="65"/>
      <c r="HYC121" s="65"/>
      <c r="HYD121" s="65"/>
      <c r="HYE121" s="65"/>
      <c r="HYF121" s="65"/>
      <c r="HYG121" s="65"/>
      <c r="HYH121" s="65"/>
      <c r="HYI121" s="65"/>
      <c r="HYJ121" s="65"/>
      <c r="HYK121" s="65"/>
      <c r="HYL121" s="65"/>
      <c r="HYM121" s="65"/>
      <c r="HYN121" s="65"/>
      <c r="HYO121" s="65"/>
      <c r="HYP121" s="65"/>
      <c r="HYQ121" s="65"/>
      <c r="HYR121" s="65"/>
      <c r="HYS121" s="65"/>
      <c r="HYT121" s="65"/>
      <c r="HYU121" s="65"/>
      <c r="HYV121" s="65"/>
      <c r="HYW121" s="65"/>
      <c r="HYX121" s="65"/>
      <c r="HYY121" s="65"/>
      <c r="HYZ121" s="65"/>
      <c r="HZA121" s="65"/>
      <c r="HZB121" s="65"/>
      <c r="HZC121" s="65"/>
      <c r="HZD121" s="65"/>
      <c r="HZE121" s="65"/>
      <c r="HZF121" s="65"/>
      <c r="HZG121" s="65"/>
      <c r="HZH121" s="65"/>
      <c r="HZI121" s="65"/>
      <c r="HZJ121" s="65"/>
      <c r="HZK121" s="65"/>
      <c r="HZL121" s="65"/>
      <c r="HZM121" s="65"/>
      <c r="HZN121" s="65"/>
      <c r="HZO121" s="65"/>
      <c r="HZP121" s="65"/>
      <c r="HZQ121" s="65"/>
      <c r="HZR121" s="65"/>
      <c r="HZS121" s="65"/>
      <c r="HZT121" s="65"/>
      <c r="HZU121" s="65"/>
      <c r="HZV121" s="65"/>
      <c r="HZW121" s="65"/>
      <c r="HZX121" s="65"/>
      <c r="HZY121" s="65"/>
      <c r="HZZ121" s="65"/>
      <c r="IAA121" s="65"/>
      <c r="IAB121" s="65"/>
      <c r="IAC121" s="65"/>
      <c r="IAD121" s="65"/>
      <c r="IAE121" s="65"/>
      <c r="IAF121" s="65"/>
      <c r="IAG121" s="65"/>
      <c r="IAH121" s="65"/>
      <c r="IAI121" s="65"/>
      <c r="IAJ121" s="65"/>
      <c r="IAK121" s="65"/>
      <c r="IAL121" s="65"/>
      <c r="IAM121" s="65"/>
      <c r="IAN121" s="65"/>
      <c r="IAO121" s="65"/>
      <c r="IAP121" s="65"/>
      <c r="IAQ121" s="65"/>
      <c r="IAR121" s="65"/>
      <c r="IAS121" s="65"/>
      <c r="IAT121" s="65"/>
      <c r="IAU121" s="65"/>
      <c r="IAV121" s="65"/>
      <c r="IAW121" s="65"/>
      <c r="IAX121" s="65"/>
      <c r="IAY121" s="65"/>
      <c r="IAZ121" s="65"/>
      <c r="IBA121" s="65"/>
      <c r="IBB121" s="65"/>
      <c r="IBC121" s="65"/>
      <c r="IBD121" s="65"/>
      <c r="IBE121" s="65"/>
      <c r="IBF121" s="65"/>
      <c r="IBG121" s="65"/>
      <c r="IBH121" s="65"/>
      <c r="IBI121" s="65"/>
      <c r="IBJ121" s="65"/>
      <c r="IBK121" s="65"/>
      <c r="IBL121" s="65"/>
      <c r="IBM121" s="65"/>
      <c r="IBN121" s="65"/>
      <c r="IBO121" s="65"/>
      <c r="IBP121" s="65"/>
      <c r="IBQ121" s="65"/>
      <c r="IBR121" s="65"/>
      <c r="IBS121" s="65"/>
      <c r="IBT121" s="65"/>
      <c r="IBU121" s="65"/>
      <c r="IBV121" s="65"/>
      <c r="IBW121" s="65"/>
      <c r="IBX121" s="65"/>
      <c r="IBY121" s="65"/>
      <c r="IBZ121" s="65"/>
      <c r="ICA121" s="65"/>
      <c r="ICB121" s="65"/>
      <c r="ICC121" s="65"/>
      <c r="ICD121" s="65"/>
      <c r="ICE121" s="65"/>
      <c r="ICF121" s="65"/>
      <c r="ICG121" s="65"/>
      <c r="ICH121" s="65"/>
      <c r="ICI121" s="65"/>
      <c r="ICJ121" s="65"/>
      <c r="ICK121" s="65"/>
      <c r="ICL121" s="65"/>
      <c r="ICM121" s="65"/>
      <c r="ICN121" s="65"/>
      <c r="ICO121" s="65"/>
      <c r="ICP121" s="65"/>
      <c r="ICQ121" s="65"/>
      <c r="ICR121" s="65"/>
      <c r="ICS121" s="65"/>
      <c r="ICT121" s="65"/>
      <c r="ICU121" s="65"/>
      <c r="ICV121" s="65"/>
      <c r="ICW121" s="65"/>
      <c r="ICX121" s="65"/>
      <c r="ICY121" s="65"/>
      <c r="ICZ121" s="65"/>
      <c r="IDA121" s="65"/>
      <c r="IDB121" s="65"/>
      <c r="IDC121" s="65"/>
      <c r="IDD121" s="65"/>
      <c r="IDE121" s="65"/>
      <c r="IDF121" s="65"/>
      <c r="IDG121" s="65"/>
      <c r="IDH121" s="65"/>
      <c r="IDI121" s="65"/>
      <c r="IDJ121" s="65"/>
      <c r="IDK121" s="65"/>
      <c r="IDL121" s="65"/>
      <c r="IDM121" s="65"/>
      <c r="IDN121" s="65"/>
      <c r="IDO121" s="65"/>
      <c r="IDP121" s="65"/>
      <c r="IDQ121" s="65"/>
      <c r="IDR121" s="65"/>
      <c r="IDS121" s="65"/>
      <c r="IDT121" s="65"/>
      <c r="IDU121" s="65"/>
      <c r="IDV121" s="65"/>
      <c r="IDW121" s="65"/>
      <c r="IDX121" s="65"/>
      <c r="IDY121" s="65"/>
      <c r="IDZ121" s="65"/>
      <c r="IEA121" s="65"/>
      <c r="IEB121" s="65"/>
      <c r="IEC121" s="65"/>
      <c r="IED121" s="65"/>
      <c r="IEE121" s="65"/>
      <c r="IEF121" s="65"/>
      <c r="IEG121" s="65"/>
      <c r="IEH121" s="65"/>
      <c r="IEI121" s="65"/>
      <c r="IEJ121" s="65"/>
      <c r="IEK121" s="65"/>
      <c r="IEL121" s="65"/>
      <c r="IEM121" s="65"/>
      <c r="IEN121" s="65"/>
      <c r="IEO121" s="65"/>
      <c r="IEP121" s="65"/>
      <c r="IEQ121" s="65"/>
      <c r="IER121" s="65"/>
      <c r="IES121" s="65"/>
      <c r="IET121" s="65"/>
      <c r="IEU121" s="65"/>
      <c r="IEV121" s="65"/>
      <c r="IEW121" s="65"/>
      <c r="IEX121" s="65"/>
      <c r="IEY121" s="65"/>
      <c r="IEZ121" s="65"/>
      <c r="IFA121" s="65"/>
      <c r="IFB121" s="65"/>
      <c r="IFC121" s="65"/>
      <c r="IFD121" s="65"/>
      <c r="IFE121" s="65"/>
      <c r="IFF121" s="65"/>
      <c r="IFG121" s="65"/>
      <c r="IFH121" s="65"/>
      <c r="IFI121" s="65"/>
      <c r="IFJ121" s="65"/>
      <c r="IFK121" s="65"/>
      <c r="IFL121" s="65"/>
      <c r="IFM121" s="65"/>
      <c r="IFN121" s="65"/>
      <c r="IFO121" s="65"/>
      <c r="IFP121" s="65"/>
      <c r="IFQ121" s="65"/>
      <c r="IFR121" s="65"/>
      <c r="IFS121" s="65"/>
      <c r="IFT121" s="65"/>
      <c r="IFU121" s="65"/>
      <c r="IFV121" s="65"/>
      <c r="IFW121" s="65"/>
      <c r="IFX121" s="65"/>
      <c r="IFY121" s="65"/>
      <c r="IFZ121" s="65"/>
      <c r="IGA121" s="65"/>
      <c r="IGB121" s="65"/>
      <c r="IGC121" s="65"/>
      <c r="IGD121" s="65"/>
      <c r="IGE121" s="65"/>
      <c r="IGF121" s="65"/>
      <c r="IGG121" s="65"/>
      <c r="IGH121" s="65"/>
      <c r="IGI121" s="65"/>
      <c r="IGJ121" s="65"/>
      <c r="IGK121" s="65"/>
      <c r="IGL121" s="65"/>
      <c r="IGM121" s="65"/>
      <c r="IGN121" s="65"/>
      <c r="IGO121" s="65"/>
      <c r="IGP121" s="65"/>
      <c r="IGQ121" s="65"/>
      <c r="IGR121" s="65"/>
      <c r="IGS121" s="65"/>
      <c r="IGT121" s="65"/>
      <c r="IGU121" s="65"/>
      <c r="IGV121" s="65"/>
      <c r="IGW121" s="65"/>
      <c r="IGX121" s="65"/>
      <c r="IGY121" s="65"/>
      <c r="IGZ121" s="65"/>
      <c r="IHA121" s="65"/>
      <c r="IHB121" s="65"/>
      <c r="IHC121" s="65"/>
      <c r="IHD121" s="65"/>
      <c r="IHE121" s="65"/>
      <c r="IHF121" s="65"/>
      <c r="IHG121" s="65"/>
      <c r="IHH121" s="65"/>
      <c r="IHI121" s="65"/>
      <c r="IHJ121" s="65"/>
      <c r="IHK121" s="65"/>
      <c r="IHL121" s="65"/>
      <c r="IHM121" s="65"/>
      <c r="IHN121" s="65"/>
      <c r="IHO121" s="65"/>
      <c r="IHP121" s="65"/>
      <c r="IHQ121" s="65"/>
      <c r="IHR121" s="65"/>
      <c r="IHS121" s="65"/>
      <c r="IHT121" s="65"/>
      <c r="IHU121" s="65"/>
      <c r="IHV121" s="65"/>
      <c r="IHW121" s="65"/>
      <c r="IHX121" s="65"/>
      <c r="IHY121" s="65"/>
      <c r="IHZ121" s="65"/>
      <c r="IIA121" s="65"/>
      <c r="IIB121" s="65"/>
      <c r="IIC121" s="65"/>
      <c r="IID121" s="65"/>
      <c r="IIE121" s="65"/>
      <c r="IIF121" s="65"/>
      <c r="IIG121" s="65"/>
      <c r="IIH121" s="65"/>
      <c r="III121" s="65"/>
      <c r="IIJ121" s="65"/>
      <c r="IIK121" s="65"/>
      <c r="IIL121" s="65"/>
      <c r="IIM121" s="65"/>
      <c r="IIN121" s="65"/>
      <c r="IIO121" s="65"/>
      <c r="IIP121" s="65"/>
      <c r="IIQ121" s="65"/>
      <c r="IIR121" s="65"/>
      <c r="IIS121" s="65"/>
      <c r="IIT121" s="65"/>
      <c r="IIU121" s="65"/>
      <c r="IIV121" s="65"/>
      <c r="IIW121" s="65"/>
      <c r="IIX121" s="65"/>
      <c r="IIY121" s="65"/>
      <c r="IIZ121" s="65"/>
      <c r="IJA121" s="65"/>
      <c r="IJB121" s="65"/>
      <c r="IJC121" s="65"/>
      <c r="IJD121" s="65"/>
      <c r="IJE121" s="65"/>
      <c r="IJF121" s="65"/>
      <c r="IJG121" s="65"/>
      <c r="IJH121" s="65"/>
      <c r="IJI121" s="65"/>
      <c r="IJJ121" s="65"/>
      <c r="IJK121" s="65"/>
      <c r="IJL121" s="65"/>
      <c r="IJM121" s="65"/>
      <c r="IJN121" s="65"/>
      <c r="IJO121" s="65"/>
      <c r="IJP121" s="65"/>
      <c r="IJQ121" s="65"/>
      <c r="IJR121" s="65"/>
      <c r="IJS121" s="65"/>
      <c r="IJT121" s="65"/>
      <c r="IJU121" s="65"/>
      <c r="IJV121" s="65"/>
      <c r="IJW121" s="65"/>
      <c r="IJX121" s="65"/>
      <c r="IJY121" s="65"/>
      <c r="IJZ121" s="65"/>
      <c r="IKA121" s="65"/>
      <c r="IKB121" s="65"/>
      <c r="IKC121" s="65"/>
      <c r="IKD121" s="65"/>
      <c r="IKE121" s="65"/>
      <c r="IKF121" s="65"/>
      <c r="IKG121" s="65"/>
      <c r="IKH121" s="65"/>
      <c r="IKI121" s="65"/>
      <c r="IKJ121" s="65"/>
      <c r="IKK121" s="65"/>
      <c r="IKL121" s="65"/>
      <c r="IKM121" s="65"/>
      <c r="IKN121" s="65"/>
      <c r="IKO121" s="65"/>
      <c r="IKP121" s="65"/>
      <c r="IKQ121" s="65"/>
      <c r="IKR121" s="65"/>
      <c r="IKS121" s="65"/>
      <c r="IKT121" s="65"/>
      <c r="IKU121" s="65"/>
      <c r="IKV121" s="65"/>
      <c r="IKW121" s="65"/>
      <c r="IKX121" s="65"/>
      <c r="IKY121" s="65"/>
      <c r="IKZ121" s="65"/>
      <c r="ILA121" s="65"/>
      <c r="ILB121" s="65"/>
      <c r="ILC121" s="65"/>
      <c r="ILD121" s="65"/>
      <c r="ILE121" s="65"/>
      <c r="ILF121" s="65"/>
      <c r="ILG121" s="65"/>
      <c r="ILH121" s="65"/>
      <c r="ILI121" s="65"/>
      <c r="ILJ121" s="65"/>
      <c r="ILK121" s="65"/>
      <c r="ILL121" s="65"/>
      <c r="ILM121" s="65"/>
      <c r="ILN121" s="65"/>
      <c r="ILO121" s="65"/>
      <c r="ILP121" s="65"/>
      <c r="ILQ121" s="65"/>
      <c r="ILR121" s="65"/>
      <c r="ILS121" s="65"/>
      <c r="ILT121" s="65"/>
      <c r="ILU121" s="65"/>
      <c r="ILV121" s="65"/>
      <c r="ILW121" s="65"/>
      <c r="ILX121" s="65"/>
      <c r="ILY121" s="65"/>
      <c r="ILZ121" s="65"/>
      <c r="IMA121" s="65"/>
      <c r="IMB121" s="65"/>
      <c r="IMC121" s="65"/>
      <c r="IMD121" s="65"/>
      <c r="IME121" s="65"/>
      <c r="IMF121" s="65"/>
      <c r="IMG121" s="65"/>
      <c r="IMH121" s="65"/>
      <c r="IMI121" s="65"/>
      <c r="IMJ121" s="65"/>
      <c r="IMK121" s="65"/>
      <c r="IML121" s="65"/>
      <c r="IMM121" s="65"/>
      <c r="IMN121" s="65"/>
      <c r="IMO121" s="65"/>
      <c r="IMP121" s="65"/>
      <c r="IMQ121" s="65"/>
      <c r="IMR121" s="65"/>
      <c r="IMS121" s="65"/>
      <c r="IMT121" s="65"/>
      <c r="IMU121" s="65"/>
      <c r="IMV121" s="65"/>
      <c r="IMW121" s="65"/>
      <c r="IMX121" s="65"/>
      <c r="IMY121" s="65"/>
      <c r="IMZ121" s="65"/>
      <c r="INA121" s="65"/>
      <c r="INB121" s="65"/>
      <c r="INC121" s="65"/>
      <c r="IND121" s="65"/>
      <c r="INE121" s="65"/>
      <c r="INF121" s="65"/>
      <c r="ING121" s="65"/>
      <c r="INH121" s="65"/>
      <c r="INI121" s="65"/>
      <c r="INJ121" s="65"/>
      <c r="INK121" s="65"/>
      <c r="INL121" s="65"/>
      <c r="INM121" s="65"/>
      <c r="INN121" s="65"/>
      <c r="INO121" s="65"/>
      <c r="INP121" s="65"/>
      <c r="INQ121" s="65"/>
      <c r="INR121" s="65"/>
      <c r="INS121" s="65"/>
      <c r="INT121" s="65"/>
      <c r="INU121" s="65"/>
      <c r="INV121" s="65"/>
      <c r="INW121" s="65"/>
      <c r="INX121" s="65"/>
      <c r="INY121" s="65"/>
      <c r="INZ121" s="65"/>
      <c r="IOA121" s="65"/>
      <c r="IOB121" s="65"/>
      <c r="IOC121" s="65"/>
      <c r="IOD121" s="65"/>
      <c r="IOE121" s="65"/>
      <c r="IOF121" s="65"/>
      <c r="IOG121" s="65"/>
      <c r="IOH121" s="65"/>
      <c r="IOI121" s="65"/>
      <c r="IOJ121" s="65"/>
      <c r="IOK121" s="65"/>
      <c r="IOL121" s="65"/>
      <c r="IOM121" s="65"/>
      <c r="ION121" s="65"/>
      <c r="IOO121" s="65"/>
      <c r="IOP121" s="65"/>
      <c r="IOQ121" s="65"/>
      <c r="IOR121" s="65"/>
      <c r="IOS121" s="65"/>
      <c r="IOT121" s="65"/>
      <c r="IOU121" s="65"/>
      <c r="IOV121" s="65"/>
      <c r="IOW121" s="65"/>
      <c r="IOX121" s="65"/>
      <c r="IOY121" s="65"/>
      <c r="IOZ121" s="65"/>
      <c r="IPA121" s="65"/>
      <c r="IPB121" s="65"/>
      <c r="IPC121" s="65"/>
      <c r="IPD121" s="65"/>
      <c r="IPE121" s="65"/>
      <c r="IPF121" s="65"/>
      <c r="IPG121" s="65"/>
      <c r="IPH121" s="65"/>
      <c r="IPI121" s="65"/>
      <c r="IPJ121" s="65"/>
      <c r="IPK121" s="65"/>
      <c r="IPL121" s="65"/>
      <c r="IPM121" s="65"/>
      <c r="IPN121" s="65"/>
      <c r="IPO121" s="65"/>
      <c r="IPP121" s="65"/>
      <c r="IPQ121" s="65"/>
      <c r="IPR121" s="65"/>
      <c r="IPS121" s="65"/>
      <c r="IPT121" s="65"/>
      <c r="IPU121" s="65"/>
      <c r="IPV121" s="65"/>
      <c r="IPW121" s="65"/>
      <c r="IPX121" s="65"/>
      <c r="IPY121" s="65"/>
      <c r="IPZ121" s="65"/>
      <c r="IQA121" s="65"/>
      <c r="IQB121" s="65"/>
      <c r="IQC121" s="65"/>
      <c r="IQD121" s="65"/>
      <c r="IQE121" s="65"/>
      <c r="IQF121" s="65"/>
      <c r="IQG121" s="65"/>
      <c r="IQH121" s="65"/>
      <c r="IQI121" s="65"/>
      <c r="IQJ121" s="65"/>
      <c r="IQK121" s="65"/>
      <c r="IQL121" s="65"/>
      <c r="IQM121" s="65"/>
      <c r="IQN121" s="65"/>
      <c r="IQO121" s="65"/>
      <c r="IQP121" s="65"/>
      <c r="IQQ121" s="65"/>
      <c r="IQR121" s="65"/>
      <c r="IQS121" s="65"/>
      <c r="IQT121" s="65"/>
      <c r="IQU121" s="65"/>
      <c r="IQV121" s="65"/>
      <c r="IQW121" s="65"/>
      <c r="IQX121" s="65"/>
      <c r="IQY121" s="65"/>
      <c r="IQZ121" s="65"/>
      <c r="IRA121" s="65"/>
      <c r="IRB121" s="65"/>
      <c r="IRC121" s="65"/>
      <c r="IRD121" s="65"/>
      <c r="IRE121" s="65"/>
      <c r="IRF121" s="65"/>
      <c r="IRG121" s="65"/>
      <c r="IRH121" s="65"/>
      <c r="IRI121" s="65"/>
      <c r="IRJ121" s="65"/>
      <c r="IRK121" s="65"/>
      <c r="IRL121" s="65"/>
      <c r="IRM121" s="65"/>
      <c r="IRN121" s="65"/>
      <c r="IRO121" s="65"/>
      <c r="IRP121" s="65"/>
      <c r="IRQ121" s="65"/>
      <c r="IRR121" s="65"/>
      <c r="IRS121" s="65"/>
      <c r="IRT121" s="65"/>
      <c r="IRU121" s="65"/>
      <c r="IRV121" s="65"/>
      <c r="IRW121" s="65"/>
      <c r="IRX121" s="65"/>
      <c r="IRY121" s="65"/>
      <c r="IRZ121" s="65"/>
      <c r="ISA121" s="65"/>
      <c r="ISB121" s="65"/>
      <c r="ISC121" s="65"/>
      <c r="ISD121" s="65"/>
      <c r="ISE121" s="65"/>
      <c r="ISF121" s="65"/>
      <c r="ISG121" s="65"/>
      <c r="ISH121" s="65"/>
      <c r="ISI121" s="65"/>
      <c r="ISJ121" s="65"/>
      <c r="ISK121" s="65"/>
      <c r="ISL121" s="65"/>
      <c r="ISM121" s="65"/>
      <c r="ISN121" s="65"/>
      <c r="ISO121" s="65"/>
      <c r="ISP121" s="65"/>
      <c r="ISQ121" s="65"/>
      <c r="ISR121" s="65"/>
      <c r="ISS121" s="65"/>
      <c r="IST121" s="65"/>
      <c r="ISU121" s="65"/>
      <c r="ISV121" s="65"/>
      <c r="ISW121" s="65"/>
      <c r="ISX121" s="65"/>
      <c r="ISY121" s="65"/>
      <c r="ISZ121" s="65"/>
      <c r="ITA121" s="65"/>
      <c r="ITB121" s="65"/>
      <c r="ITC121" s="65"/>
      <c r="ITD121" s="65"/>
      <c r="ITE121" s="65"/>
      <c r="ITF121" s="65"/>
      <c r="ITG121" s="65"/>
      <c r="ITH121" s="65"/>
      <c r="ITI121" s="65"/>
      <c r="ITJ121" s="65"/>
      <c r="ITK121" s="65"/>
      <c r="ITL121" s="65"/>
      <c r="ITM121" s="65"/>
      <c r="ITN121" s="65"/>
      <c r="ITO121" s="65"/>
      <c r="ITP121" s="65"/>
      <c r="ITQ121" s="65"/>
      <c r="ITR121" s="65"/>
      <c r="ITS121" s="65"/>
      <c r="ITT121" s="65"/>
      <c r="ITU121" s="65"/>
      <c r="ITV121" s="65"/>
      <c r="ITW121" s="65"/>
      <c r="ITX121" s="65"/>
      <c r="ITY121" s="65"/>
      <c r="ITZ121" s="65"/>
      <c r="IUA121" s="65"/>
      <c r="IUB121" s="65"/>
      <c r="IUC121" s="65"/>
      <c r="IUD121" s="65"/>
      <c r="IUE121" s="65"/>
      <c r="IUF121" s="65"/>
      <c r="IUG121" s="65"/>
      <c r="IUH121" s="65"/>
      <c r="IUI121" s="65"/>
      <c r="IUJ121" s="65"/>
      <c r="IUK121" s="65"/>
      <c r="IUL121" s="65"/>
      <c r="IUM121" s="65"/>
      <c r="IUN121" s="65"/>
      <c r="IUO121" s="65"/>
      <c r="IUP121" s="65"/>
      <c r="IUQ121" s="65"/>
      <c r="IUR121" s="65"/>
      <c r="IUS121" s="65"/>
      <c r="IUT121" s="65"/>
      <c r="IUU121" s="65"/>
      <c r="IUV121" s="65"/>
      <c r="IUW121" s="65"/>
      <c r="IUX121" s="65"/>
      <c r="IUY121" s="65"/>
      <c r="IUZ121" s="65"/>
      <c r="IVA121" s="65"/>
      <c r="IVB121" s="65"/>
      <c r="IVC121" s="65"/>
      <c r="IVD121" s="65"/>
      <c r="IVE121" s="65"/>
      <c r="IVF121" s="65"/>
      <c r="IVG121" s="65"/>
      <c r="IVH121" s="65"/>
      <c r="IVI121" s="65"/>
      <c r="IVJ121" s="65"/>
      <c r="IVK121" s="65"/>
      <c r="IVL121" s="65"/>
      <c r="IVM121" s="65"/>
      <c r="IVN121" s="65"/>
      <c r="IVO121" s="65"/>
      <c r="IVP121" s="65"/>
      <c r="IVQ121" s="65"/>
      <c r="IVR121" s="65"/>
      <c r="IVS121" s="65"/>
      <c r="IVT121" s="65"/>
      <c r="IVU121" s="65"/>
      <c r="IVV121" s="65"/>
      <c r="IVW121" s="65"/>
      <c r="IVX121" s="65"/>
      <c r="IVY121" s="65"/>
      <c r="IVZ121" s="65"/>
      <c r="IWA121" s="65"/>
      <c r="IWB121" s="65"/>
      <c r="IWC121" s="65"/>
      <c r="IWD121" s="65"/>
      <c r="IWE121" s="65"/>
      <c r="IWF121" s="65"/>
      <c r="IWG121" s="65"/>
      <c r="IWH121" s="65"/>
      <c r="IWI121" s="65"/>
      <c r="IWJ121" s="65"/>
      <c r="IWK121" s="65"/>
      <c r="IWL121" s="65"/>
      <c r="IWM121" s="65"/>
      <c r="IWN121" s="65"/>
      <c r="IWO121" s="65"/>
      <c r="IWP121" s="65"/>
      <c r="IWQ121" s="65"/>
      <c r="IWR121" s="65"/>
      <c r="IWS121" s="65"/>
      <c r="IWT121" s="65"/>
      <c r="IWU121" s="65"/>
      <c r="IWV121" s="65"/>
      <c r="IWW121" s="65"/>
      <c r="IWX121" s="65"/>
      <c r="IWY121" s="65"/>
      <c r="IWZ121" s="65"/>
      <c r="IXA121" s="65"/>
      <c r="IXB121" s="65"/>
      <c r="IXC121" s="65"/>
      <c r="IXD121" s="65"/>
      <c r="IXE121" s="65"/>
      <c r="IXF121" s="65"/>
      <c r="IXG121" s="65"/>
      <c r="IXH121" s="65"/>
      <c r="IXI121" s="65"/>
      <c r="IXJ121" s="65"/>
      <c r="IXK121" s="65"/>
      <c r="IXL121" s="65"/>
      <c r="IXM121" s="65"/>
      <c r="IXN121" s="65"/>
      <c r="IXO121" s="65"/>
      <c r="IXP121" s="65"/>
      <c r="IXQ121" s="65"/>
      <c r="IXR121" s="65"/>
      <c r="IXS121" s="65"/>
      <c r="IXT121" s="65"/>
      <c r="IXU121" s="65"/>
      <c r="IXV121" s="65"/>
      <c r="IXW121" s="65"/>
      <c r="IXX121" s="65"/>
      <c r="IXY121" s="65"/>
      <c r="IXZ121" s="65"/>
      <c r="IYA121" s="65"/>
      <c r="IYB121" s="65"/>
      <c r="IYC121" s="65"/>
      <c r="IYD121" s="65"/>
      <c r="IYE121" s="65"/>
      <c r="IYF121" s="65"/>
      <c r="IYG121" s="65"/>
      <c r="IYH121" s="65"/>
      <c r="IYI121" s="65"/>
      <c r="IYJ121" s="65"/>
      <c r="IYK121" s="65"/>
      <c r="IYL121" s="65"/>
      <c r="IYM121" s="65"/>
      <c r="IYN121" s="65"/>
      <c r="IYO121" s="65"/>
      <c r="IYP121" s="65"/>
      <c r="IYQ121" s="65"/>
      <c r="IYR121" s="65"/>
      <c r="IYS121" s="65"/>
      <c r="IYT121" s="65"/>
      <c r="IYU121" s="65"/>
      <c r="IYV121" s="65"/>
      <c r="IYW121" s="65"/>
      <c r="IYX121" s="65"/>
      <c r="IYY121" s="65"/>
      <c r="IYZ121" s="65"/>
      <c r="IZA121" s="65"/>
      <c r="IZB121" s="65"/>
      <c r="IZC121" s="65"/>
      <c r="IZD121" s="65"/>
      <c r="IZE121" s="65"/>
      <c r="IZF121" s="65"/>
      <c r="IZG121" s="65"/>
      <c r="IZH121" s="65"/>
      <c r="IZI121" s="65"/>
      <c r="IZJ121" s="65"/>
      <c r="IZK121" s="65"/>
      <c r="IZL121" s="65"/>
      <c r="IZM121" s="65"/>
      <c r="IZN121" s="65"/>
      <c r="IZO121" s="65"/>
      <c r="IZP121" s="65"/>
      <c r="IZQ121" s="65"/>
      <c r="IZR121" s="65"/>
      <c r="IZS121" s="65"/>
      <c r="IZT121" s="65"/>
      <c r="IZU121" s="65"/>
      <c r="IZV121" s="65"/>
      <c r="IZW121" s="65"/>
      <c r="IZX121" s="65"/>
      <c r="IZY121" s="65"/>
      <c r="IZZ121" s="65"/>
      <c r="JAA121" s="65"/>
      <c r="JAB121" s="65"/>
      <c r="JAC121" s="65"/>
      <c r="JAD121" s="65"/>
      <c r="JAE121" s="65"/>
      <c r="JAF121" s="65"/>
      <c r="JAG121" s="65"/>
      <c r="JAH121" s="65"/>
      <c r="JAI121" s="65"/>
      <c r="JAJ121" s="65"/>
      <c r="JAK121" s="65"/>
      <c r="JAL121" s="65"/>
      <c r="JAM121" s="65"/>
      <c r="JAN121" s="65"/>
      <c r="JAO121" s="65"/>
      <c r="JAP121" s="65"/>
      <c r="JAQ121" s="65"/>
      <c r="JAR121" s="65"/>
      <c r="JAS121" s="65"/>
      <c r="JAT121" s="65"/>
      <c r="JAU121" s="65"/>
      <c r="JAV121" s="65"/>
      <c r="JAW121" s="65"/>
      <c r="JAX121" s="65"/>
      <c r="JAY121" s="65"/>
      <c r="JAZ121" s="65"/>
      <c r="JBA121" s="65"/>
      <c r="JBB121" s="65"/>
      <c r="JBC121" s="65"/>
      <c r="JBD121" s="65"/>
      <c r="JBE121" s="65"/>
      <c r="JBF121" s="65"/>
      <c r="JBG121" s="65"/>
      <c r="JBH121" s="65"/>
      <c r="JBI121" s="65"/>
      <c r="JBJ121" s="65"/>
      <c r="JBK121" s="65"/>
      <c r="JBL121" s="65"/>
      <c r="JBM121" s="65"/>
      <c r="JBN121" s="65"/>
      <c r="JBO121" s="65"/>
      <c r="JBP121" s="65"/>
      <c r="JBQ121" s="65"/>
      <c r="JBR121" s="65"/>
      <c r="JBS121" s="65"/>
      <c r="JBT121" s="65"/>
      <c r="JBU121" s="65"/>
      <c r="JBV121" s="65"/>
      <c r="JBW121" s="65"/>
      <c r="JBX121" s="65"/>
      <c r="JBY121" s="65"/>
      <c r="JBZ121" s="65"/>
      <c r="JCA121" s="65"/>
      <c r="JCB121" s="65"/>
      <c r="JCC121" s="65"/>
      <c r="JCD121" s="65"/>
      <c r="JCE121" s="65"/>
      <c r="JCF121" s="65"/>
      <c r="JCG121" s="65"/>
      <c r="JCH121" s="65"/>
      <c r="JCI121" s="65"/>
      <c r="JCJ121" s="65"/>
      <c r="JCK121" s="65"/>
      <c r="JCL121" s="65"/>
      <c r="JCM121" s="65"/>
      <c r="JCN121" s="65"/>
      <c r="JCO121" s="65"/>
      <c r="JCP121" s="65"/>
      <c r="JCQ121" s="65"/>
      <c r="JCR121" s="65"/>
      <c r="JCS121" s="65"/>
      <c r="JCT121" s="65"/>
      <c r="JCU121" s="65"/>
      <c r="JCV121" s="65"/>
      <c r="JCW121" s="65"/>
      <c r="JCX121" s="65"/>
      <c r="JCY121" s="65"/>
      <c r="JCZ121" s="65"/>
      <c r="JDA121" s="65"/>
      <c r="JDB121" s="65"/>
      <c r="JDC121" s="65"/>
      <c r="JDD121" s="65"/>
      <c r="JDE121" s="65"/>
      <c r="JDF121" s="65"/>
      <c r="JDG121" s="65"/>
      <c r="JDH121" s="65"/>
      <c r="JDI121" s="65"/>
      <c r="JDJ121" s="65"/>
      <c r="JDK121" s="65"/>
      <c r="JDL121" s="65"/>
      <c r="JDM121" s="65"/>
      <c r="JDN121" s="65"/>
      <c r="JDO121" s="65"/>
      <c r="JDP121" s="65"/>
      <c r="JDQ121" s="65"/>
      <c r="JDR121" s="65"/>
      <c r="JDS121" s="65"/>
      <c r="JDT121" s="65"/>
      <c r="JDU121" s="65"/>
      <c r="JDV121" s="65"/>
      <c r="JDW121" s="65"/>
      <c r="JDX121" s="65"/>
      <c r="JDY121" s="65"/>
      <c r="JDZ121" s="65"/>
      <c r="JEA121" s="65"/>
      <c r="JEB121" s="65"/>
      <c r="JEC121" s="65"/>
      <c r="JED121" s="65"/>
      <c r="JEE121" s="65"/>
      <c r="JEF121" s="65"/>
      <c r="JEG121" s="65"/>
      <c r="JEH121" s="65"/>
      <c r="JEI121" s="65"/>
      <c r="JEJ121" s="65"/>
      <c r="JEK121" s="65"/>
      <c r="JEL121" s="65"/>
      <c r="JEM121" s="65"/>
      <c r="JEN121" s="65"/>
      <c r="JEO121" s="65"/>
      <c r="JEP121" s="65"/>
      <c r="JEQ121" s="65"/>
      <c r="JER121" s="65"/>
      <c r="JES121" s="65"/>
      <c r="JET121" s="65"/>
      <c r="JEU121" s="65"/>
      <c r="JEV121" s="65"/>
      <c r="JEW121" s="65"/>
      <c r="JEX121" s="65"/>
      <c r="JEY121" s="65"/>
      <c r="JEZ121" s="65"/>
      <c r="JFA121" s="65"/>
      <c r="JFB121" s="65"/>
      <c r="JFC121" s="65"/>
      <c r="JFD121" s="65"/>
      <c r="JFE121" s="65"/>
      <c r="JFF121" s="65"/>
      <c r="JFG121" s="65"/>
      <c r="JFH121" s="65"/>
      <c r="JFI121" s="65"/>
      <c r="JFJ121" s="65"/>
      <c r="JFK121" s="65"/>
      <c r="JFL121" s="65"/>
      <c r="JFM121" s="65"/>
      <c r="JFN121" s="65"/>
      <c r="JFO121" s="65"/>
      <c r="JFP121" s="65"/>
      <c r="JFQ121" s="65"/>
      <c r="JFR121" s="65"/>
      <c r="JFS121" s="65"/>
      <c r="JFT121" s="65"/>
      <c r="JFU121" s="65"/>
      <c r="JFV121" s="65"/>
      <c r="JFW121" s="65"/>
      <c r="JFX121" s="65"/>
      <c r="JFY121" s="65"/>
      <c r="JFZ121" s="65"/>
      <c r="JGA121" s="65"/>
      <c r="JGB121" s="65"/>
      <c r="JGC121" s="65"/>
      <c r="JGD121" s="65"/>
      <c r="JGE121" s="65"/>
      <c r="JGF121" s="65"/>
      <c r="JGG121" s="65"/>
      <c r="JGH121" s="65"/>
      <c r="JGI121" s="65"/>
      <c r="JGJ121" s="65"/>
      <c r="JGK121" s="65"/>
      <c r="JGL121" s="65"/>
      <c r="JGM121" s="65"/>
      <c r="JGN121" s="65"/>
      <c r="JGO121" s="65"/>
      <c r="JGP121" s="65"/>
      <c r="JGQ121" s="65"/>
      <c r="JGR121" s="65"/>
      <c r="JGS121" s="65"/>
      <c r="JGT121" s="65"/>
      <c r="JGU121" s="65"/>
      <c r="JGV121" s="65"/>
      <c r="JGW121" s="65"/>
      <c r="JGX121" s="65"/>
      <c r="JGY121" s="65"/>
      <c r="JGZ121" s="65"/>
      <c r="JHA121" s="65"/>
      <c r="JHB121" s="65"/>
      <c r="JHC121" s="65"/>
      <c r="JHD121" s="65"/>
      <c r="JHE121" s="65"/>
      <c r="JHF121" s="65"/>
      <c r="JHG121" s="65"/>
      <c r="JHH121" s="65"/>
      <c r="JHI121" s="65"/>
      <c r="JHJ121" s="65"/>
      <c r="JHK121" s="65"/>
      <c r="JHL121" s="65"/>
      <c r="JHM121" s="65"/>
      <c r="JHN121" s="65"/>
      <c r="JHO121" s="65"/>
      <c r="JHP121" s="65"/>
      <c r="JHQ121" s="65"/>
      <c r="JHR121" s="65"/>
      <c r="JHS121" s="65"/>
      <c r="JHT121" s="65"/>
      <c r="JHU121" s="65"/>
      <c r="JHV121" s="65"/>
      <c r="JHW121" s="65"/>
      <c r="JHX121" s="65"/>
      <c r="JHY121" s="65"/>
      <c r="JHZ121" s="65"/>
      <c r="JIA121" s="65"/>
      <c r="JIB121" s="65"/>
      <c r="JIC121" s="65"/>
      <c r="JID121" s="65"/>
      <c r="JIE121" s="65"/>
      <c r="JIF121" s="65"/>
      <c r="JIG121" s="65"/>
      <c r="JIH121" s="65"/>
      <c r="JII121" s="65"/>
      <c r="JIJ121" s="65"/>
      <c r="JIK121" s="65"/>
      <c r="JIL121" s="65"/>
      <c r="JIM121" s="65"/>
      <c r="JIN121" s="65"/>
      <c r="JIO121" s="65"/>
      <c r="JIP121" s="65"/>
      <c r="JIQ121" s="65"/>
      <c r="JIR121" s="65"/>
      <c r="JIS121" s="65"/>
      <c r="JIT121" s="65"/>
      <c r="JIU121" s="65"/>
      <c r="JIV121" s="65"/>
      <c r="JIW121" s="65"/>
      <c r="JIX121" s="65"/>
      <c r="JIY121" s="65"/>
      <c r="JIZ121" s="65"/>
      <c r="JJA121" s="65"/>
      <c r="JJB121" s="65"/>
      <c r="JJC121" s="65"/>
      <c r="JJD121" s="65"/>
      <c r="JJE121" s="65"/>
      <c r="JJF121" s="65"/>
      <c r="JJG121" s="65"/>
      <c r="JJH121" s="65"/>
      <c r="JJI121" s="65"/>
      <c r="JJJ121" s="65"/>
      <c r="JJK121" s="65"/>
      <c r="JJL121" s="65"/>
      <c r="JJM121" s="65"/>
      <c r="JJN121" s="65"/>
      <c r="JJO121" s="65"/>
      <c r="JJP121" s="65"/>
      <c r="JJQ121" s="65"/>
      <c r="JJR121" s="65"/>
      <c r="JJS121" s="65"/>
      <c r="JJT121" s="65"/>
      <c r="JJU121" s="65"/>
      <c r="JJV121" s="65"/>
      <c r="JJW121" s="65"/>
      <c r="JJX121" s="65"/>
      <c r="JJY121" s="65"/>
      <c r="JJZ121" s="65"/>
      <c r="JKA121" s="65"/>
      <c r="JKB121" s="65"/>
      <c r="JKC121" s="65"/>
      <c r="JKD121" s="65"/>
      <c r="JKE121" s="65"/>
      <c r="JKF121" s="65"/>
      <c r="JKG121" s="65"/>
      <c r="JKH121" s="65"/>
      <c r="JKI121" s="65"/>
      <c r="JKJ121" s="65"/>
      <c r="JKK121" s="65"/>
      <c r="JKL121" s="65"/>
      <c r="JKM121" s="65"/>
      <c r="JKN121" s="65"/>
      <c r="JKO121" s="65"/>
      <c r="JKP121" s="65"/>
      <c r="JKQ121" s="65"/>
      <c r="JKR121" s="65"/>
      <c r="JKS121" s="65"/>
      <c r="JKT121" s="65"/>
      <c r="JKU121" s="65"/>
      <c r="JKV121" s="65"/>
      <c r="JKW121" s="65"/>
      <c r="JKX121" s="65"/>
      <c r="JKY121" s="65"/>
      <c r="JKZ121" s="65"/>
      <c r="JLA121" s="65"/>
      <c r="JLB121" s="65"/>
      <c r="JLC121" s="65"/>
      <c r="JLD121" s="65"/>
      <c r="JLE121" s="65"/>
      <c r="JLF121" s="65"/>
      <c r="JLG121" s="65"/>
      <c r="JLH121" s="65"/>
      <c r="JLI121" s="65"/>
      <c r="JLJ121" s="65"/>
      <c r="JLK121" s="65"/>
      <c r="JLL121" s="65"/>
      <c r="JLM121" s="65"/>
      <c r="JLN121" s="65"/>
      <c r="JLO121" s="65"/>
      <c r="JLP121" s="65"/>
      <c r="JLQ121" s="65"/>
      <c r="JLR121" s="65"/>
      <c r="JLS121" s="65"/>
      <c r="JLT121" s="65"/>
      <c r="JLU121" s="65"/>
      <c r="JLV121" s="65"/>
      <c r="JLW121" s="65"/>
      <c r="JLX121" s="65"/>
      <c r="JLY121" s="65"/>
      <c r="JLZ121" s="65"/>
      <c r="JMA121" s="65"/>
      <c r="JMB121" s="65"/>
      <c r="JMC121" s="65"/>
      <c r="JMD121" s="65"/>
      <c r="JME121" s="65"/>
      <c r="JMF121" s="65"/>
      <c r="JMG121" s="65"/>
      <c r="JMH121" s="65"/>
      <c r="JMI121" s="65"/>
      <c r="JMJ121" s="65"/>
      <c r="JMK121" s="65"/>
      <c r="JML121" s="65"/>
      <c r="JMM121" s="65"/>
      <c r="JMN121" s="65"/>
      <c r="JMO121" s="65"/>
      <c r="JMP121" s="65"/>
      <c r="JMQ121" s="65"/>
      <c r="JMR121" s="65"/>
      <c r="JMS121" s="65"/>
      <c r="JMT121" s="65"/>
      <c r="JMU121" s="65"/>
      <c r="JMV121" s="65"/>
      <c r="JMW121" s="65"/>
      <c r="JMX121" s="65"/>
      <c r="JMY121" s="65"/>
      <c r="JMZ121" s="65"/>
      <c r="JNA121" s="65"/>
      <c r="JNB121" s="65"/>
      <c r="JNC121" s="65"/>
      <c r="JND121" s="65"/>
      <c r="JNE121" s="65"/>
      <c r="JNF121" s="65"/>
      <c r="JNG121" s="65"/>
      <c r="JNH121" s="65"/>
      <c r="JNI121" s="65"/>
      <c r="JNJ121" s="65"/>
      <c r="JNK121" s="65"/>
      <c r="JNL121" s="65"/>
      <c r="JNM121" s="65"/>
      <c r="JNN121" s="65"/>
      <c r="JNO121" s="65"/>
      <c r="JNP121" s="65"/>
      <c r="JNQ121" s="65"/>
      <c r="JNR121" s="65"/>
      <c r="JNS121" s="65"/>
      <c r="JNT121" s="65"/>
      <c r="JNU121" s="65"/>
      <c r="JNV121" s="65"/>
      <c r="JNW121" s="65"/>
      <c r="JNX121" s="65"/>
      <c r="JNY121" s="65"/>
      <c r="JNZ121" s="65"/>
      <c r="JOA121" s="65"/>
      <c r="JOB121" s="65"/>
      <c r="JOC121" s="65"/>
      <c r="JOD121" s="65"/>
      <c r="JOE121" s="65"/>
      <c r="JOF121" s="65"/>
      <c r="JOG121" s="65"/>
      <c r="JOH121" s="65"/>
      <c r="JOI121" s="65"/>
      <c r="JOJ121" s="65"/>
      <c r="JOK121" s="65"/>
      <c r="JOL121" s="65"/>
      <c r="JOM121" s="65"/>
      <c r="JON121" s="65"/>
      <c r="JOO121" s="65"/>
      <c r="JOP121" s="65"/>
      <c r="JOQ121" s="65"/>
      <c r="JOR121" s="65"/>
      <c r="JOS121" s="65"/>
      <c r="JOT121" s="65"/>
      <c r="JOU121" s="65"/>
      <c r="JOV121" s="65"/>
      <c r="JOW121" s="65"/>
      <c r="JOX121" s="65"/>
      <c r="JOY121" s="65"/>
      <c r="JOZ121" s="65"/>
      <c r="JPA121" s="65"/>
      <c r="JPB121" s="65"/>
      <c r="JPC121" s="65"/>
      <c r="JPD121" s="65"/>
      <c r="JPE121" s="65"/>
      <c r="JPF121" s="65"/>
      <c r="JPG121" s="65"/>
      <c r="JPH121" s="65"/>
      <c r="JPI121" s="65"/>
      <c r="JPJ121" s="65"/>
      <c r="JPK121" s="65"/>
      <c r="JPL121" s="65"/>
      <c r="JPM121" s="65"/>
      <c r="JPN121" s="65"/>
      <c r="JPO121" s="65"/>
      <c r="JPP121" s="65"/>
      <c r="JPQ121" s="65"/>
      <c r="JPR121" s="65"/>
      <c r="JPS121" s="65"/>
      <c r="JPT121" s="65"/>
      <c r="JPU121" s="65"/>
      <c r="JPV121" s="65"/>
      <c r="JPW121" s="65"/>
      <c r="JPX121" s="65"/>
      <c r="JPY121" s="65"/>
      <c r="JPZ121" s="65"/>
      <c r="JQA121" s="65"/>
      <c r="JQB121" s="65"/>
      <c r="JQC121" s="65"/>
      <c r="JQD121" s="65"/>
      <c r="JQE121" s="65"/>
      <c r="JQF121" s="65"/>
      <c r="JQG121" s="65"/>
      <c r="JQH121" s="65"/>
      <c r="JQI121" s="65"/>
      <c r="JQJ121" s="65"/>
      <c r="JQK121" s="65"/>
      <c r="JQL121" s="65"/>
      <c r="JQM121" s="65"/>
      <c r="JQN121" s="65"/>
      <c r="JQO121" s="65"/>
      <c r="JQP121" s="65"/>
      <c r="JQQ121" s="65"/>
      <c r="JQR121" s="65"/>
      <c r="JQS121" s="65"/>
      <c r="JQT121" s="65"/>
      <c r="JQU121" s="65"/>
      <c r="JQV121" s="65"/>
      <c r="JQW121" s="65"/>
      <c r="JQX121" s="65"/>
      <c r="JQY121" s="65"/>
      <c r="JQZ121" s="65"/>
      <c r="JRA121" s="65"/>
      <c r="JRB121" s="65"/>
      <c r="JRC121" s="65"/>
      <c r="JRD121" s="65"/>
      <c r="JRE121" s="65"/>
      <c r="JRF121" s="65"/>
      <c r="JRG121" s="65"/>
      <c r="JRH121" s="65"/>
      <c r="JRI121" s="65"/>
      <c r="JRJ121" s="65"/>
      <c r="JRK121" s="65"/>
      <c r="JRL121" s="65"/>
      <c r="JRM121" s="65"/>
      <c r="JRN121" s="65"/>
      <c r="JRO121" s="65"/>
      <c r="JRP121" s="65"/>
      <c r="JRQ121" s="65"/>
      <c r="JRR121" s="65"/>
      <c r="JRS121" s="65"/>
      <c r="JRT121" s="65"/>
      <c r="JRU121" s="65"/>
      <c r="JRV121" s="65"/>
      <c r="JRW121" s="65"/>
      <c r="JRX121" s="65"/>
      <c r="JRY121" s="65"/>
      <c r="JRZ121" s="65"/>
      <c r="JSA121" s="65"/>
      <c r="JSB121" s="65"/>
      <c r="JSC121" s="65"/>
      <c r="JSD121" s="65"/>
      <c r="JSE121" s="65"/>
      <c r="JSF121" s="65"/>
      <c r="JSG121" s="65"/>
      <c r="JSH121" s="65"/>
      <c r="JSI121" s="65"/>
      <c r="JSJ121" s="65"/>
      <c r="JSK121" s="65"/>
      <c r="JSL121" s="65"/>
      <c r="JSM121" s="65"/>
      <c r="JSN121" s="65"/>
      <c r="JSO121" s="65"/>
      <c r="JSP121" s="65"/>
      <c r="JSQ121" s="65"/>
      <c r="JSR121" s="65"/>
      <c r="JSS121" s="65"/>
      <c r="JST121" s="65"/>
      <c r="JSU121" s="65"/>
      <c r="JSV121" s="65"/>
      <c r="JSW121" s="65"/>
      <c r="JSX121" s="65"/>
      <c r="JSY121" s="65"/>
      <c r="JSZ121" s="65"/>
      <c r="JTA121" s="65"/>
      <c r="JTB121" s="65"/>
      <c r="JTC121" s="65"/>
      <c r="JTD121" s="65"/>
      <c r="JTE121" s="65"/>
      <c r="JTF121" s="65"/>
      <c r="JTG121" s="65"/>
      <c r="JTH121" s="65"/>
      <c r="JTI121" s="65"/>
      <c r="JTJ121" s="65"/>
      <c r="JTK121" s="65"/>
      <c r="JTL121" s="65"/>
      <c r="JTM121" s="65"/>
      <c r="JTN121" s="65"/>
      <c r="JTO121" s="65"/>
      <c r="JTP121" s="65"/>
      <c r="JTQ121" s="65"/>
      <c r="JTR121" s="65"/>
      <c r="JTS121" s="65"/>
      <c r="JTT121" s="65"/>
      <c r="JTU121" s="65"/>
      <c r="JTV121" s="65"/>
      <c r="JTW121" s="65"/>
      <c r="JTX121" s="65"/>
      <c r="JTY121" s="65"/>
      <c r="JTZ121" s="65"/>
      <c r="JUA121" s="65"/>
      <c r="JUB121" s="65"/>
      <c r="JUC121" s="65"/>
      <c r="JUD121" s="65"/>
      <c r="JUE121" s="65"/>
      <c r="JUF121" s="65"/>
      <c r="JUG121" s="65"/>
      <c r="JUH121" s="65"/>
      <c r="JUI121" s="65"/>
      <c r="JUJ121" s="65"/>
      <c r="JUK121" s="65"/>
      <c r="JUL121" s="65"/>
      <c r="JUM121" s="65"/>
      <c r="JUN121" s="65"/>
      <c r="JUO121" s="65"/>
      <c r="JUP121" s="65"/>
      <c r="JUQ121" s="65"/>
      <c r="JUR121" s="65"/>
      <c r="JUS121" s="65"/>
      <c r="JUT121" s="65"/>
      <c r="JUU121" s="65"/>
      <c r="JUV121" s="65"/>
      <c r="JUW121" s="65"/>
      <c r="JUX121" s="65"/>
      <c r="JUY121" s="65"/>
      <c r="JUZ121" s="65"/>
      <c r="JVA121" s="65"/>
      <c r="JVB121" s="65"/>
      <c r="JVC121" s="65"/>
      <c r="JVD121" s="65"/>
      <c r="JVE121" s="65"/>
      <c r="JVF121" s="65"/>
      <c r="JVG121" s="65"/>
      <c r="JVH121" s="65"/>
      <c r="JVI121" s="65"/>
      <c r="JVJ121" s="65"/>
      <c r="JVK121" s="65"/>
      <c r="JVL121" s="65"/>
      <c r="JVM121" s="65"/>
      <c r="JVN121" s="65"/>
      <c r="JVO121" s="65"/>
      <c r="JVP121" s="65"/>
      <c r="JVQ121" s="65"/>
      <c r="JVR121" s="65"/>
      <c r="JVS121" s="65"/>
      <c r="JVT121" s="65"/>
      <c r="JVU121" s="65"/>
      <c r="JVV121" s="65"/>
      <c r="JVW121" s="65"/>
      <c r="JVX121" s="65"/>
      <c r="JVY121" s="65"/>
      <c r="JVZ121" s="65"/>
      <c r="JWA121" s="65"/>
      <c r="JWB121" s="65"/>
      <c r="JWC121" s="65"/>
      <c r="JWD121" s="65"/>
      <c r="JWE121" s="65"/>
      <c r="JWF121" s="65"/>
      <c r="JWG121" s="65"/>
      <c r="JWH121" s="65"/>
      <c r="JWI121" s="65"/>
      <c r="JWJ121" s="65"/>
      <c r="JWK121" s="65"/>
      <c r="JWL121" s="65"/>
      <c r="JWM121" s="65"/>
      <c r="JWN121" s="65"/>
      <c r="JWO121" s="65"/>
      <c r="JWP121" s="65"/>
      <c r="JWQ121" s="65"/>
      <c r="JWR121" s="65"/>
      <c r="JWS121" s="65"/>
      <c r="JWT121" s="65"/>
      <c r="JWU121" s="65"/>
      <c r="JWV121" s="65"/>
      <c r="JWW121" s="65"/>
      <c r="JWX121" s="65"/>
      <c r="JWY121" s="65"/>
      <c r="JWZ121" s="65"/>
      <c r="JXA121" s="65"/>
      <c r="JXB121" s="65"/>
      <c r="JXC121" s="65"/>
      <c r="JXD121" s="65"/>
      <c r="JXE121" s="65"/>
      <c r="JXF121" s="65"/>
      <c r="JXG121" s="65"/>
      <c r="JXH121" s="65"/>
      <c r="JXI121" s="65"/>
      <c r="JXJ121" s="65"/>
      <c r="JXK121" s="65"/>
      <c r="JXL121" s="65"/>
      <c r="JXM121" s="65"/>
      <c r="JXN121" s="65"/>
      <c r="JXO121" s="65"/>
      <c r="JXP121" s="65"/>
      <c r="JXQ121" s="65"/>
      <c r="JXR121" s="65"/>
      <c r="JXS121" s="65"/>
      <c r="JXT121" s="65"/>
      <c r="JXU121" s="65"/>
      <c r="JXV121" s="65"/>
      <c r="JXW121" s="65"/>
      <c r="JXX121" s="65"/>
      <c r="JXY121" s="65"/>
      <c r="JXZ121" s="65"/>
      <c r="JYA121" s="65"/>
      <c r="JYB121" s="65"/>
      <c r="JYC121" s="65"/>
      <c r="JYD121" s="65"/>
      <c r="JYE121" s="65"/>
      <c r="JYF121" s="65"/>
      <c r="JYG121" s="65"/>
      <c r="JYH121" s="65"/>
      <c r="JYI121" s="65"/>
      <c r="JYJ121" s="65"/>
      <c r="JYK121" s="65"/>
      <c r="JYL121" s="65"/>
      <c r="JYM121" s="65"/>
      <c r="JYN121" s="65"/>
      <c r="JYO121" s="65"/>
      <c r="JYP121" s="65"/>
      <c r="JYQ121" s="65"/>
      <c r="JYR121" s="65"/>
      <c r="JYS121" s="65"/>
      <c r="JYT121" s="65"/>
      <c r="JYU121" s="65"/>
      <c r="JYV121" s="65"/>
      <c r="JYW121" s="65"/>
      <c r="JYX121" s="65"/>
      <c r="JYY121" s="65"/>
      <c r="JYZ121" s="65"/>
      <c r="JZA121" s="65"/>
      <c r="JZB121" s="65"/>
      <c r="JZC121" s="65"/>
      <c r="JZD121" s="65"/>
      <c r="JZE121" s="65"/>
      <c r="JZF121" s="65"/>
      <c r="JZG121" s="65"/>
      <c r="JZH121" s="65"/>
      <c r="JZI121" s="65"/>
      <c r="JZJ121" s="65"/>
      <c r="JZK121" s="65"/>
      <c r="JZL121" s="65"/>
      <c r="JZM121" s="65"/>
      <c r="JZN121" s="65"/>
      <c r="JZO121" s="65"/>
      <c r="JZP121" s="65"/>
      <c r="JZQ121" s="65"/>
      <c r="JZR121" s="65"/>
      <c r="JZS121" s="65"/>
      <c r="JZT121" s="65"/>
      <c r="JZU121" s="65"/>
      <c r="JZV121" s="65"/>
      <c r="JZW121" s="65"/>
      <c r="JZX121" s="65"/>
      <c r="JZY121" s="65"/>
      <c r="JZZ121" s="65"/>
      <c r="KAA121" s="65"/>
      <c r="KAB121" s="65"/>
      <c r="KAC121" s="65"/>
      <c r="KAD121" s="65"/>
      <c r="KAE121" s="65"/>
      <c r="KAF121" s="65"/>
      <c r="KAG121" s="65"/>
      <c r="KAH121" s="65"/>
      <c r="KAI121" s="65"/>
      <c r="KAJ121" s="65"/>
      <c r="KAK121" s="65"/>
      <c r="KAL121" s="65"/>
      <c r="KAM121" s="65"/>
      <c r="KAN121" s="65"/>
      <c r="KAO121" s="65"/>
      <c r="KAP121" s="65"/>
      <c r="KAQ121" s="65"/>
      <c r="KAR121" s="65"/>
      <c r="KAS121" s="65"/>
      <c r="KAT121" s="65"/>
      <c r="KAU121" s="65"/>
      <c r="KAV121" s="65"/>
      <c r="KAW121" s="65"/>
      <c r="KAX121" s="65"/>
      <c r="KAY121" s="65"/>
      <c r="KAZ121" s="65"/>
      <c r="KBA121" s="65"/>
      <c r="KBB121" s="65"/>
      <c r="KBC121" s="65"/>
      <c r="KBD121" s="65"/>
      <c r="KBE121" s="65"/>
      <c r="KBF121" s="65"/>
      <c r="KBG121" s="65"/>
      <c r="KBH121" s="65"/>
      <c r="KBI121" s="65"/>
      <c r="KBJ121" s="65"/>
      <c r="KBK121" s="65"/>
      <c r="KBL121" s="65"/>
      <c r="KBM121" s="65"/>
      <c r="KBN121" s="65"/>
      <c r="KBO121" s="65"/>
      <c r="KBP121" s="65"/>
      <c r="KBQ121" s="65"/>
      <c r="KBR121" s="65"/>
      <c r="KBS121" s="65"/>
      <c r="KBT121" s="65"/>
      <c r="KBU121" s="65"/>
      <c r="KBV121" s="65"/>
      <c r="KBW121" s="65"/>
      <c r="KBX121" s="65"/>
      <c r="KBY121" s="65"/>
      <c r="KBZ121" s="65"/>
      <c r="KCA121" s="65"/>
      <c r="KCB121" s="65"/>
      <c r="KCC121" s="65"/>
      <c r="KCD121" s="65"/>
      <c r="KCE121" s="65"/>
      <c r="KCF121" s="65"/>
      <c r="KCG121" s="65"/>
      <c r="KCH121" s="65"/>
      <c r="KCI121" s="65"/>
      <c r="KCJ121" s="65"/>
      <c r="KCK121" s="65"/>
      <c r="KCL121" s="65"/>
      <c r="KCM121" s="65"/>
      <c r="KCN121" s="65"/>
      <c r="KCO121" s="65"/>
      <c r="KCP121" s="65"/>
      <c r="KCQ121" s="65"/>
      <c r="KCR121" s="65"/>
      <c r="KCS121" s="65"/>
      <c r="KCT121" s="65"/>
      <c r="KCU121" s="65"/>
      <c r="KCV121" s="65"/>
      <c r="KCW121" s="65"/>
      <c r="KCX121" s="65"/>
      <c r="KCY121" s="65"/>
      <c r="KCZ121" s="65"/>
      <c r="KDA121" s="65"/>
      <c r="KDB121" s="65"/>
      <c r="KDC121" s="65"/>
      <c r="KDD121" s="65"/>
      <c r="KDE121" s="65"/>
      <c r="KDF121" s="65"/>
      <c r="KDG121" s="65"/>
      <c r="KDH121" s="65"/>
      <c r="KDI121" s="65"/>
      <c r="KDJ121" s="65"/>
      <c r="KDK121" s="65"/>
      <c r="KDL121" s="65"/>
      <c r="KDM121" s="65"/>
      <c r="KDN121" s="65"/>
      <c r="KDO121" s="65"/>
      <c r="KDP121" s="65"/>
      <c r="KDQ121" s="65"/>
      <c r="KDR121" s="65"/>
      <c r="KDS121" s="65"/>
      <c r="KDT121" s="65"/>
      <c r="KDU121" s="65"/>
      <c r="KDV121" s="65"/>
      <c r="KDW121" s="65"/>
      <c r="KDX121" s="65"/>
      <c r="KDY121" s="65"/>
      <c r="KDZ121" s="65"/>
      <c r="KEA121" s="65"/>
      <c r="KEB121" s="65"/>
      <c r="KEC121" s="65"/>
      <c r="KED121" s="65"/>
      <c r="KEE121" s="65"/>
      <c r="KEF121" s="65"/>
      <c r="KEG121" s="65"/>
      <c r="KEH121" s="65"/>
      <c r="KEI121" s="65"/>
      <c r="KEJ121" s="65"/>
      <c r="KEK121" s="65"/>
      <c r="KEL121" s="65"/>
      <c r="KEM121" s="65"/>
      <c r="KEN121" s="65"/>
      <c r="KEO121" s="65"/>
      <c r="KEP121" s="65"/>
      <c r="KEQ121" s="65"/>
      <c r="KER121" s="65"/>
      <c r="KES121" s="65"/>
      <c r="KET121" s="65"/>
      <c r="KEU121" s="65"/>
      <c r="KEV121" s="65"/>
      <c r="KEW121" s="65"/>
      <c r="KEX121" s="65"/>
      <c r="KEY121" s="65"/>
      <c r="KEZ121" s="65"/>
      <c r="KFA121" s="65"/>
      <c r="KFB121" s="65"/>
      <c r="KFC121" s="65"/>
      <c r="KFD121" s="65"/>
      <c r="KFE121" s="65"/>
      <c r="KFF121" s="65"/>
      <c r="KFG121" s="65"/>
      <c r="KFH121" s="65"/>
      <c r="KFI121" s="65"/>
      <c r="KFJ121" s="65"/>
      <c r="KFK121" s="65"/>
      <c r="KFL121" s="65"/>
      <c r="KFM121" s="65"/>
      <c r="KFN121" s="65"/>
      <c r="KFO121" s="65"/>
      <c r="KFP121" s="65"/>
      <c r="KFQ121" s="65"/>
      <c r="KFR121" s="65"/>
      <c r="KFS121" s="65"/>
      <c r="KFT121" s="65"/>
      <c r="KFU121" s="65"/>
      <c r="KFV121" s="65"/>
      <c r="KFW121" s="65"/>
      <c r="KFX121" s="65"/>
      <c r="KFY121" s="65"/>
      <c r="KFZ121" s="65"/>
      <c r="KGA121" s="65"/>
      <c r="KGB121" s="65"/>
      <c r="KGC121" s="65"/>
      <c r="KGD121" s="65"/>
      <c r="KGE121" s="65"/>
      <c r="KGF121" s="65"/>
      <c r="KGG121" s="65"/>
      <c r="KGH121" s="65"/>
      <c r="KGI121" s="65"/>
      <c r="KGJ121" s="65"/>
      <c r="KGK121" s="65"/>
      <c r="KGL121" s="65"/>
      <c r="KGM121" s="65"/>
      <c r="KGN121" s="65"/>
      <c r="KGO121" s="65"/>
      <c r="KGP121" s="65"/>
      <c r="KGQ121" s="65"/>
      <c r="KGR121" s="65"/>
      <c r="KGS121" s="65"/>
      <c r="KGT121" s="65"/>
      <c r="KGU121" s="65"/>
      <c r="KGV121" s="65"/>
      <c r="KGW121" s="65"/>
      <c r="KGX121" s="65"/>
      <c r="KGY121" s="65"/>
      <c r="KGZ121" s="65"/>
      <c r="KHA121" s="65"/>
      <c r="KHB121" s="65"/>
      <c r="KHC121" s="65"/>
      <c r="KHD121" s="65"/>
      <c r="KHE121" s="65"/>
      <c r="KHF121" s="65"/>
      <c r="KHG121" s="65"/>
      <c r="KHH121" s="65"/>
      <c r="KHI121" s="65"/>
      <c r="KHJ121" s="65"/>
      <c r="KHK121" s="65"/>
      <c r="KHL121" s="65"/>
      <c r="KHM121" s="65"/>
      <c r="KHN121" s="65"/>
      <c r="KHO121" s="65"/>
      <c r="KHP121" s="65"/>
      <c r="KHQ121" s="65"/>
      <c r="KHR121" s="65"/>
      <c r="KHS121" s="65"/>
      <c r="KHT121" s="65"/>
      <c r="KHU121" s="65"/>
      <c r="KHV121" s="65"/>
      <c r="KHW121" s="65"/>
      <c r="KHX121" s="65"/>
      <c r="KHY121" s="65"/>
      <c r="KHZ121" s="65"/>
      <c r="KIA121" s="65"/>
      <c r="KIB121" s="65"/>
      <c r="KIC121" s="65"/>
      <c r="KID121" s="65"/>
      <c r="KIE121" s="65"/>
      <c r="KIF121" s="65"/>
      <c r="KIG121" s="65"/>
      <c r="KIH121" s="65"/>
      <c r="KII121" s="65"/>
      <c r="KIJ121" s="65"/>
      <c r="KIK121" s="65"/>
      <c r="KIL121" s="65"/>
      <c r="KIM121" s="65"/>
      <c r="KIN121" s="65"/>
      <c r="KIO121" s="65"/>
      <c r="KIP121" s="65"/>
      <c r="KIQ121" s="65"/>
      <c r="KIR121" s="65"/>
      <c r="KIS121" s="65"/>
      <c r="KIT121" s="65"/>
      <c r="KIU121" s="65"/>
      <c r="KIV121" s="65"/>
      <c r="KIW121" s="65"/>
      <c r="KIX121" s="65"/>
      <c r="KIY121" s="65"/>
      <c r="KIZ121" s="65"/>
      <c r="KJA121" s="65"/>
      <c r="KJB121" s="65"/>
      <c r="KJC121" s="65"/>
      <c r="KJD121" s="65"/>
      <c r="KJE121" s="65"/>
      <c r="KJF121" s="65"/>
      <c r="KJG121" s="65"/>
      <c r="KJH121" s="65"/>
      <c r="KJI121" s="65"/>
      <c r="KJJ121" s="65"/>
      <c r="KJK121" s="65"/>
      <c r="KJL121" s="65"/>
      <c r="KJM121" s="65"/>
      <c r="KJN121" s="65"/>
      <c r="KJO121" s="65"/>
      <c r="KJP121" s="65"/>
      <c r="KJQ121" s="65"/>
      <c r="KJR121" s="65"/>
      <c r="KJS121" s="65"/>
      <c r="KJT121" s="65"/>
      <c r="KJU121" s="65"/>
      <c r="KJV121" s="65"/>
      <c r="KJW121" s="65"/>
      <c r="KJX121" s="65"/>
      <c r="KJY121" s="65"/>
      <c r="KJZ121" s="65"/>
      <c r="KKA121" s="65"/>
      <c r="KKB121" s="65"/>
      <c r="KKC121" s="65"/>
      <c r="KKD121" s="65"/>
      <c r="KKE121" s="65"/>
      <c r="KKF121" s="65"/>
      <c r="KKG121" s="65"/>
      <c r="KKH121" s="65"/>
      <c r="KKI121" s="65"/>
      <c r="KKJ121" s="65"/>
      <c r="KKK121" s="65"/>
      <c r="KKL121" s="65"/>
      <c r="KKM121" s="65"/>
      <c r="KKN121" s="65"/>
      <c r="KKO121" s="65"/>
      <c r="KKP121" s="65"/>
      <c r="KKQ121" s="65"/>
      <c r="KKR121" s="65"/>
      <c r="KKS121" s="65"/>
      <c r="KKT121" s="65"/>
      <c r="KKU121" s="65"/>
      <c r="KKV121" s="65"/>
      <c r="KKW121" s="65"/>
      <c r="KKX121" s="65"/>
      <c r="KKY121" s="65"/>
      <c r="KKZ121" s="65"/>
      <c r="KLA121" s="65"/>
      <c r="KLB121" s="65"/>
      <c r="KLC121" s="65"/>
      <c r="KLD121" s="65"/>
      <c r="KLE121" s="65"/>
      <c r="KLF121" s="65"/>
      <c r="KLG121" s="65"/>
      <c r="KLH121" s="65"/>
      <c r="KLI121" s="65"/>
      <c r="KLJ121" s="65"/>
      <c r="KLK121" s="65"/>
      <c r="KLL121" s="65"/>
      <c r="KLM121" s="65"/>
      <c r="KLN121" s="65"/>
      <c r="KLO121" s="65"/>
      <c r="KLP121" s="65"/>
      <c r="KLQ121" s="65"/>
      <c r="KLR121" s="65"/>
      <c r="KLS121" s="65"/>
      <c r="KLT121" s="65"/>
      <c r="KLU121" s="65"/>
      <c r="KLV121" s="65"/>
      <c r="KLW121" s="65"/>
      <c r="KLX121" s="65"/>
      <c r="KLY121" s="65"/>
      <c r="KLZ121" s="65"/>
      <c r="KMA121" s="65"/>
      <c r="KMB121" s="65"/>
      <c r="KMC121" s="65"/>
      <c r="KMD121" s="65"/>
      <c r="KME121" s="65"/>
      <c r="KMF121" s="65"/>
      <c r="KMG121" s="65"/>
      <c r="KMH121" s="65"/>
      <c r="KMI121" s="65"/>
      <c r="KMJ121" s="65"/>
      <c r="KMK121" s="65"/>
      <c r="KML121" s="65"/>
      <c r="KMM121" s="65"/>
      <c r="KMN121" s="65"/>
      <c r="KMO121" s="65"/>
      <c r="KMP121" s="65"/>
      <c r="KMQ121" s="65"/>
      <c r="KMR121" s="65"/>
      <c r="KMS121" s="65"/>
      <c r="KMT121" s="65"/>
      <c r="KMU121" s="65"/>
      <c r="KMV121" s="65"/>
      <c r="KMW121" s="65"/>
      <c r="KMX121" s="65"/>
      <c r="KMY121" s="65"/>
      <c r="KMZ121" s="65"/>
      <c r="KNA121" s="65"/>
      <c r="KNB121" s="65"/>
      <c r="KNC121" s="65"/>
      <c r="KND121" s="65"/>
      <c r="KNE121" s="65"/>
      <c r="KNF121" s="65"/>
      <c r="KNG121" s="65"/>
      <c r="KNH121" s="65"/>
      <c r="KNI121" s="65"/>
      <c r="KNJ121" s="65"/>
      <c r="KNK121" s="65"/>
      <c r="KNL121" s="65"/>
      <c r="KNM121" s="65"/>
      <c r="KNN121" s="65"/>
      <c r="KNO121" s="65"/>
      <c r="KNP121" s="65"/>
      <c r="KNQ121" s="65"/>
      <c r="KNR121" s="65"/>
      <c r="KNS121" s="65"/>
      <c r="KNT121" s="65"/>
      <c r="KNU121" s="65"/>
      <c r="KNV121" s="65"/>
      <c r="KNW121" s="65"/>
      <c r="KNX121" s="65"/>
      <c r="KNY121" s="65"/>
      <c r="KNZ121" s="65"/>
      <c r="KOA121" s="65"/>
      <c r="KOB121" s="65"/>
      <c r="KOC121" s="65"/>
      <c r="KOD121" s="65"/>
      <c r="KOE121" s="65"/>
      <c r="KOF121" s="65"/>
      <c r="KOG121" s="65"/>
      <c r="KOH121" s="65"/>
      <c r="KOI121" s="65"/>
      <c r="KOJ121" s="65"/>
      <c r="KOK121" s="65"/>
      <c r="KOL121" s="65"/>
      <c r="KOM121" s="65"/>
      <c r="KON121" s="65"/>
      <c r="KOO121" s="65"/>
      <c r="KOP121" s="65"/>
      <c r="KOQ121" s="65"/>
      <c r="KOR121" s="65"/>
      <c r="KOS121" s="65"/>
      <c r="KOT121" s="65"/>
      <c r="KOU121" s="65"/>
      <c r="KOV121" s="65"/>
      <c r="KOW121" s="65"/>
      <c r="KOX121" s="65"/>
      <c r="KOY121" s="65"/>
      <c r="KOZ121" s="65"/>
      <c r="KPA121" s="65"/>
      <c r="KPB121" s="65"/>
      <c r="KPC121" s="65"/>
      <c r="KPD121" s="65"/>
      <c r="KPE121" s="65"/>
      <c r="KPF121" s="65"/>
      <c r="KPG121" s="65"/>
      <c r="KPH121" s="65"/>
      <c r="KPI121" s="65"/>
      <c r="KPJ121" s="65"/>
      <c r="KPK121" s="65"/>
      <c r="KPL121" s="65"/>
      <c r="KPM121" s="65"/>
      <c r="KPN121" s="65"/>
      <c r="KPO121" s="65"/>
      <c r="KPP121" s="65"/>
      <c r="KPQ121" s="65"/>
      <c r="KPR121" s="65"/>
      <c r="KPS121" s="65"/>
      <c r="KPT121" s="65"/>
      <c r="KPU121" s="65"/>
      <c r="KPV121" s="65"/>
      <c r="KPW121" s="65"/>
      <c r="KPX121" s="65"/>
      <c r="KPY121" s="65"/>
      <c r="KPZ121" s="65"/>
      <c r="KQA121" s="65"/>
      <c r="KQB121" s="65"/>
      <c r="KQC121" s="65"/>
      <c r="KQD121" s="65"/>
      <c r="KQE121" s="65"/>
      <c r="KQF121" s="65"/>
      <c r="KQG121" s="65"/>
      <c r="KQH121" s="65"/>
      <c r="KQI121" s="65"/>
      <c r="KQJ121" s="65"/>
      <c r="KQK121" s="65"/>
      <c r="KQL121" s="65"/>
      <c r="KQM121" s="65"/>
      <c r="KQN121" s="65"/>
      <c r="KQO121" s="65"/>
      <c r="KQP121" s="65"/>
      <c r="KQQ121" s="65"/>
      <c r="KQR121" s="65"/>
      <c r="KQS121" s="65"/>
      <c r="KQT121" s="65"/>
      <c r="KQU121" s="65"/>
      <c r="KQV121" s="65"/>
      <c r="KQW121" s="65"/>
      <c r="KQX121" s="65"/>
      <c r="KQY121" s="65"/>
      <c r="KQZ121" s="65"/>
      <c r="KRA121" s="65"/>
      <c r="KRB121" s="65"/>
      <c r="KRC121" s="65"/>
      <c r="KRD121" s="65"/>
      <c r="KRE121" s="65"/>
      <c r="KRF121" s="65"/>
      <c r="KRG121" s="65"/>
      <c r="KRH121" s="65"/>
      <c r="KRI121" s="65"/>
      <c r="KRJ121" s="65"/>
      <c r="KRK121" s="65"/>
      <c r="KRL121" s="65"/>
      <c r="KRM121" s="65"/>
      <c r="KRN121" s="65"/>
      <c r="KRO121" s="65"/>
      <c r="KRP121" s="65"/>
      <c r="KRQ121" s="65"/>
      <c r="KRR121" s="65"/>
      <c r="KRS121" s="65"/>
      <c r="KRT121" s="65"/>
      <c r="KRU121" s="65"/>
      <c r="KRV121" s="65"/>
      <c r="KRW121" s="65"/>
      <c r="KRX121" s="65"/>
      <c r="KRY121" s="65"/>
      <c r="KRZ121" s="65"/>
      <c r="KSA121" s="65"/>
      <c r="KSB121" s="65"/>
      <c r="KSC121" s="65"/>
      <c r="KSD121" s="65"/>
      <c r="KSE121" s="65"/>
      <c r="KSF121" s="65"/>
      <c r="KSG121" s="65"/>
      <c r="KSH121" s="65"/>
      <c r="KSI121" s="65"/>
      <c r="KSJ121" s="65"/>
      <c r="KSK121" s="65"/>
      <c r="KSL121" s="65"/>
      <c r="KSM121" s="65"/>
      <c r="KSN121" s="65"/>
      <c r="KSO121" s="65"/>
      <c r="KSP121" s="65"/>
      <c r="KSQ121" s="65"/>
      <c r="KSR121" s="65"/>
      <c r="KSS121" s="65"/>
      <c r="KST121" s="65"/>
      <c r="KSU121" s="65"/>
      <c r="KSV121" s="65"/>
      <c r="KSW121" s="65"/>
      <c r="KSX121" s="65"/>
      <c r="KSY121" s="65"/>
      <c r="KSZ121" s="65"/>
      <c r="KTA121" s="65"/>
      <c r="KTB121" s="65"/>
      <c r="KTC121" s="65"/>
      <c r="KTD121" s="65"/>
      <c r="KTE121" s="65"/>
      <c r="KTF121" s="65"/>
      <c r="KTG121" s="65"/>
      <c r="KTH121" s="65"/>
      <c r="KTI121" s="65"/>
      <c r="KTJ121" s="65"/>
      <c r="KTK121" s="65"/>
      <c r="KTL121" s="65"/>
      <c r="KTM121" s="65"/>
      <c r="KTN121" s="65"/>
      <c r="KTO121" s="65"/>
      <c r="KTP121" s="65"/>
      <c r="KTQ121" s="65"/>
      <c r="KTR121" s="65"/>
      <c r="KTS121" s="65"/>
      <c r="KTT121" s="65"/>
      <c r="KTU121" s="65"/>
      <c r="KTV121" s="65"/>
      <c r="KTW121" s="65"/>
      <c r="KTX121" s="65"/>
      <c r="KTY121" s="65"/>
      <c r="KTZ121" s="65"/>
      <c r="KUA121" s="65"/>
      <c r="KUB121" s="65"/>
      <c r="KUC121" s="65"/>
      <c r="KUD121" s="65"/>
      <c r="KUE121" s="65"/>
      <c r="KUF121" s="65"/>
      <c r="KUG121" s="65"/>
      <c r="KUH121" s="65"/>
      <c r="KUI121" s="65"/>
      <c r="KUJ121" s="65"/>
      <c r="KUK121" s="65"/>
      <c r="KUL121" s="65"/>
      <c r="KUM121" s="65"/>
      <c r="KUN121" s="65"/>
      <c r="KUO121" s="65"/>
      <c r="KUP121" s="65"/>
      <c r="KUQ121" s="65"/>
      <c r="KUR121" s="65"/>
      <c r="KUS121" s="65"/>
      <c r="KUT121" s="65"/>
      <c r="KUU121" s="65"/>
      <c r="KUV121" s="65"/>
      <c r="KUW121" s="65"/>
      <c r="KUX121" s="65"/>
      <c r="KUY121" s="65"/>
      <c r="KUZ121" s="65"/>
      <c r="KVA121" s="65"/>
      <c r="KVB121" s="65"/>
      <c r="KVC121" s="65"/>
      <c r="KVD121" s="65"/>
      <c r="KVE121" s="65"/>
      <c r="KVF121" s="65"/>
      <c r="KVG121" s="65"/>
      <c r="KVH121" s="65"/>
      <c r="KVI121" s="65"/>
      <c r="KVJ121" s="65"/>
      <c r="KVK121" s="65"/>
      <c r="KVL121" s="65"/>
      <c r="KVM121" s="65"/>
      <c r="KVN121" s="65"/>
      <c r="KVO121" s="65"/>
      <c r="KVP121" s="65"/>
      <c r="KVQ121" s="65"/>
      <c r="KVR121" s="65"/>
      <c r="KVS121" s="65"/>
      <c r="KVT121" s="65"/>
      <c r="KVU121" s="65"/>
      <c r="KVV121" s="65"/>
      <c r="KVW121" s="65"/>
      <c r="KVX121" s="65"/>
      <c r="KVY121" s="65"/>
      <c r="KVZ121" s="65"/>
      <c r="KWA121" s="65"/>
      <c r="KWB121" s="65"/>
      <c r="KWC121" s="65"/>
      <c r="KWD121" s="65"/>
      <c r="KWE121" s="65"/>
      <c r="KWF121" s="65"/>
      <c r="KWG121" s="65"/>
      <c r="KWH121" s="65"/>
      <c r="KWI121" s="65"/>
      <c r="KWJ121" s="65"/>
      <c r="KWK121" s="65"/>
      <c r="KWL121" s="65"/>
      <c r="KWM121" s="65"/>
      <c r="KWN121" s="65"/>
      <c r="KWO121" s="65"/>
      <c r="KWP121" s="65"/>
      <c r="KWQ121" s="65"/>
      <c r="KWR121" s="65"/>
      <c r="KWS121" s="65"/>
      <c r="KWT121" s="65"/>
      <c r="KWU121" s="65"/>
      <c r="KWV121" s="65"/>
      <c r="KWW121" s="65"/>
      <c r="KWX121" s="65"/>
      <c r="KWY121" s="65"/>
      <c r="KWZ121" s="65"/>
      <c r="KXA121" s="65"/>
      <c r="KXB121" s="65"/>
      <c r="KXC121" s="65"/>
      <c r="KXD121" s="65"/>
      <c r="KXE121" s="65"/>
      <c r="KXF121" s="65"/>
      <c r="KXG121" s="65"/>
      <c r="KXH121" s="65"/>
      <c r="KXI121" s="65"/>
      <c r="KXJ121" s="65"/>
      <c r="KXK121" s="65"/>
      <c r="KXL121" s="65"/>
      <c r="KXM121" s="65"/>
      <c r="KXN121" s="65"/>
      <c r="KXO121" s="65"/>
      <c r="KXP121" s="65"/>
      <c r="KXQ121" s="65"/>
      <c r="KXR121" s="65"/>
      <c r="KXS121" s="65"/>
      <c r="KXT121" s="65"/>
      <c r="KXU121" s="65"/>
      <c r="KXV121" s="65"/>
      <c r="KXW121" s="65"/>
      <c r="KXX121" s="65"/>
      <c r="KXY121" s="65"/>
      <c r="KXZ121" s="65"/>
      <c r="KYA121" s="65"/>
      <c r="KYB121" s="65"/>
      <c r="KYC121" s="65"/>
      <c r="KYD121" s="65"/>
      <c r="KYE121" s="65"/>
      <c r="KYF121" s="65"/>
      <c r="KYG121" s="65"/>
      <c r="KYH121" s="65"/>
      <c r="KYI121" s="65"/>
      <c r="KYJ121" s="65"/>
      <c r="KYK121" s="65"/>
      <c r="KYL121" s="65"/>
      <c r="KYM121" s="65"/>
      <c r="KYN121" s="65"/>
      <c r="KYO121" s="65"/>
      <c r="KYP121" s="65"/>
      <c r="KYQ121" s="65"/>
      <c r="KYR121" s="65"/>
      <c r="KYS121" s="65"/>
      <c r="KYT121" s="65"/>
      <c r="KYU121" s="65"/>
      <c r="KYV121" s="65"/>
      <c r="KYW121" s="65"/>
      <c r="KYX121" s="65"/>
      <c r="KYY121" s="65"/>
      <c r="KYZ121" s="65"/>
      <c r="KZA121" s="65"/>
      <c r="KZB121" s="65"/>
      <c r="KZC121" s="65"/>
      <c r="KZD121" s="65"/>
      <c r="KZE121" s="65"/>
      <c r="KZF121" s="65"/>
      <c r="KZG121" s="65"/>
      <c r="KZH121" s="65"/>
      <c r="KZI121" s="65"/>
      <c r="KZJ121" s="65"/>
      <c r="KZK121" s="65"/>
      <c r="KZL121" s="65"/>
      <c r="KZM121" s="65"/>
      <c r="KZN121" s="65"/>
      <c r="KZO121" s="65"/>
      <c r="KZP121" s="65"/>
      <c r="KZQ121" s="65"/>
      <c r="KZR121" s="65"/>
      <c r="KZS121" s="65"/>
      <c r="KZT121" s="65"/>
      <c r="KZU121" s="65"/>
      <c r="KZV121" s="65"/>
      <c r="KZW121" s="65"/>
      <c r="KZX121" s="65"/>
      <c r="KZY121" s="65"/>
      <c r="KZZ121" s="65"/>
      <c r="LAA121" s="65"/>
      <c r="LAB121" s="65"/>
      <c r="LAC121" s="65"/>
      <c r="LAD121" s="65"/>
      <c r="LAE121" s="65"/>
      <c r="LAF121" s="65"/>
      <c r="LAG121" s="65"/>
      <c r="LAH121" s="65"/>
      <c r="LAI121" s="65"/>
      <c r="LAJ121" s="65"/>
      <c r="LAK121" s="65"/>
      <c r="LAL121" s="65"/>
      <c r="LAM121" s="65"/>
      <c r="LAN121" s="65"/>
      <c r="LAO121" s="65"/>
      <c r="LAP121" s="65"/>
      <c r="LAQ121" s="65"/>
      <c r="LAR121" s="65"/>
      <c r="LAS121" s="65"/>
      <c r="LAT121" s="65"/>
      <c r="LAU121" s="65"/>
      <c r="LAV121" s="65"/>
      <c r="LAW121" s="65"/>
      <c r="LAX121" s="65"/>
      <c r="LAY121" s="65"/>
      <c r="LAZ121" s="65"/>
      <c r="LBA121" s="65"/>
      <c r="LBB121" s="65"/>
      <c r="LBC121" s="65"/>
      <c r="LBD121" s="65"/>
      <c r="LBE121" s="65"/>
      <c r="LBF121" s="65"/>
      <c r="LBG121" s="65"/>
      <c r="LBH121" s="65"/>
      <c r="LBI121" s="65"/>
      <c r="LBJ121" s="65"/>
      <c r="LBK121" s="65"/>
      <c r="LBL121" s="65"/>
      <c r="LBM121" s="65"/>
      <c r="LBN121" s="65"/>
      <c r="LBO121" s="65"/>
      <c r="LBP121" s="65"/>
      <c r="LBQ121" s="65"/>
      <c r="LBR121" s="65"/>
      <c r="LBS121" s="65"/>
      <c r="LBT121" s="65"/>
      <c r="LBU121" s="65"/>
      <c r="LBV121" s="65"/>
      <c r="LBW121" s="65"/>
      <c r="LBX121" s="65"/>
      <c r="LBY121" s="65"/>
      <c r="LBZ121" s="65"/>
      <c r="LCA121" s="65"/>
      <c r="LCB121" s="65"/>
      <c r="LCC121" s="65"/>
      <c r="LCD121" s="65"/>
      <c r="LCE121" s="65"/>
      <c r="LCF121" s="65"/>
      <c r="LCG121" s="65"/>
      <c r="LCH121" s="65"/>
      <c r="LCI121" s="65"/>
      <c r="LCJ121" s="65"/>
      <c r="LCK121" s="65"/>
      <c r="LCL121" s="65"/>
      <c r="LCM121" s="65"/>
      <c r="LCN121" s="65"/>
      <c r="LCO121" s="65"/>
      <c r="LCP121" s="65"/>
      <c r="LCQ121" s="65"/>
      <c r="LCR121" s="65"/>
      <c r="LCS121" s="65"/>
      <c r="LCT121" s="65"/>
      <c r="LCU121" s="65"/>
      <c r="LCV121" s="65"/>
      <c r="LCW121" s="65"/>
      <c r="LCX121" s="65"/>
      <c r="LCY121" s="65"/>
      <c r="LCZ121" s="65"/>
      <c r="LDA121" s="65"/>
      <c r="LDB121" s="65"/>
      <c r="LDC121" s="65"/>
      <c r="LDD121" s="65"/>
      <c r="LDE121" s="65"/>
      <c r="LDF121" s="65"/>
      <c r="LDG121" s="65"/>
      <c r="LDH121" s="65"/>
      <c r="LDI121" s="65"/>
      <c r="LDJ121" s="65"/>
      <c r="LDK121" s="65"/>
      <c r="LDL121" s="65"/>
      <c r="LDM121" s="65"/>
      <c r="LDN121" s="65"/>
      <c r="LDO121" s="65"/>
      <c r="LDP121" s="65"/>
      <c r="LDQ121" s="65"/>
      <c r="LDR121" s="65"/>
      <c r="LDS121" s="65"/>
      <c r="LDT121" s="65"/>
      <c r="LDU121" s="65"/>
      <c r="LDV121" s="65"/>
      <c r="LDW121" s="65"/>
      <c r="LDX121" s="65"/>
      <c r="LDY121" s="65"/>
      <c r="LDZ121" s="65"/>
      <c r="LEA121" s="65"/>
      <c r="LEB121" s="65"/>
      <c r="LEC121" s="65"/>
      <c r="LED121" s="65"/>
      <c r="LEE121" s="65"/>
      <c r="LEF121" s="65"/>
      <c r="LEG121" s="65"/>
      <c r="LEH121" s="65"/>
      <c r="LEI121" s="65"/>
      <c r="LEJ121" s="65"/>
      <c r="LEK121" s="65"/>
      <c r="LEL121" s="65"/>
      <c r="LEM121" s="65"/>
      <c r="LEN121" s="65"/>
      <c r="LEO121" s="65"/>
      <c r="LEP121" s="65"/>
      <c r="LEQ121" s="65"/>
      <c r="LER121" s="65"/>
      <c r="LES121" s="65"/>
      <c r="LET121" s="65"/>
      <c r="LEU121" s="65"/>
      <c r="LEV121" s="65"/>
      <c r="LEW121" s="65"/>
      <c r="LEX121" s="65"/>
      <c r="LEY121" s="65"/>
      <c r="LEZ121" s="65"/>
      <c r="LFA121" s="65"/>
      <c r="LFB121" s="65"/>
      <c r="LFC121" s="65"/>
      <c r="LFD121" s="65"/>
      <c r="LFE121" s="65"/>
      <c r="LFF121" s="65"/>
      <c r="LFG121" s="65"/>
      <c r="LFH121" s="65"/>
      <c r="LFI121" s="65"/>
      <c r="LFJ121" s="65"/>
      <c r="LFK121" s="65"/>
      <c r="LFL121" s="65"/>
      <c r="LFM121" s="65"/>
      <c r="LFN121" s="65"/>
      <c r="LFO121" s="65"/>
      <c r="LFP121" s="65"/>
      <c r="LFQ121" s="65"/>
      <c r="LFR121" s="65"/>
      <c r="LFS121" s="65"/>
      <c r="LFT121" s="65"/>
      <c r="LFU121" s="65"/>
      <c r="LFV121" s="65"/>
      <c r="LFW121" s="65"/>
      <c r="LFX121" s="65"/>
      <c r="LFY121" s="65"/>
      <c r="LFZ121" s="65"/>
      <c r="LGA121" s="65"/>
      <c r="LGB121" s="65"/>
      <c r="LGC121" s="65"/>
      <c r="LGD121" s="65"/>
      <c r="LGE121" s="65"/>
      <c r="LGF121" s="65"/>
      <c r="LGG121" s="65"/>
      <c r="LGH121" s="65"/>
      <c r="LGI121" s="65"/>
      <c r="LGJ121" s="65"/>
      <c r="LGK121" s="65"/>
      <c r="LGL121" s="65"/>
      <c r="LGM121" s="65"/>
      <c r="LGN121" s="65"/>
      <c r="LGO121" s="65"/>
      <c r="LGP121" s="65"/>
      <c r="LGQ121" s="65"/>
      <c r="LGR121" s="65"/>
      <c r="LGS121" s="65"/>
      <c r="LGT121" s="65"/>
      <c r="LGU121" s="65"/>
      <c r="LGV121" s="65"/>
      <c r="LGW121" s="65"/>
      <c r="LGX121" s="65"/>
      <c r="LGY121" s="65"/>
      <c r="LGZ121" s="65"/>
      <c r="LHA121" s="65"/>
      <c r="LHB121" s="65"/>
      <c r="LHC121" s="65"/>
      <c r="LHD121" s="65"/>
      <c r="LHE121" s="65"/>
      <c r="LHF121" s="65"/>
      <c r="LHG121" s="65"/>
      <c r="LHH121" s="65"/>
      <c r="LHI121" s="65"/>
      <c r="LHJ121" s="65"/>
      <c r="LHK121" s="65"/>
      <c r="LHL121" s="65"/>
      <c r="LHM121" s="65"/>
      <c r="LHN121" s="65"/>
      <c r="LHO121" s="65"/>
      <c r="LHP121" s="65"/>
      <c r="LHQ121" s="65"/>
      <c r="LHR121" s="65"/>
      <c r="LHS121" s="65"/>
      <c r="LHT121" s="65"/>
      <c r="LHU121" s="65"/>
      <c r="LHV121" s="65"/>
      <c r="LHW121" s="65"/>
      <c r="LHX121" s="65"/>
      <c r="LHY121" s="65"/>
      <c r="LHZ121" s="65"/>
      <c r="LIA121" s="65"/>
      <c r="LIB121" s="65"/>
      <c r="LIC121" s="65"/>
      <c r="LID121" s="65"/>
      <c r="LIE121" s="65"/>
      <c r="LIF121" s="65"/>
      <c r="LIG121" s="65"/>
      <c r="LIH121" s="65"/>
      <c r="LII121" s="65"/>
      <c r="LIJ121" s="65"/>
      <c r="LIK121" s="65"/>
      <c r="LIL121" s="65"/>
      <c r="LIM121" s="65"/>
      <c r="LIN121" s="65"/>
      <c r="LIO121" s="65"/>
      <c r="LIP121" s="65"/>
      <c r="LIQ121" s="65"/>
      <c r="LIR121" s="65"/>
      <c r="LIS121" s="65"/>
      <c r="LIT121" s="65"/>
      <c r="LIU121" s="65"/>
      <c r="LIV121" s="65"/>
      <c r="LIW121" s="65"/>
      <c r="LIX121" s="65"/>
      <c r="LIY121" s="65"/>
      <c r="LIZ121" s="65"/>
      <c r="LJA121" s="65"/>
      <c r="LJB121" s="65"/>
      <c r="LJC121" s="65"/>
      <c r="LJD121" s="65"/>
      <c r="LJE121" s="65"/>
      <c r="LJF121" s="65"/>
      <c r="LJG121" s="65"/>
      <c r="LJH121" s="65"/>
      <c r="LJI121" s="65"/>
      <c r="LJJ121" s="65"/>
      <c r="LJK121" s="65"/>
      <c r="LJL121" s="65"/>
      <c r="LJM121" s="65"/>
      <c r="LJN121" s="65"/>
      <c r="LJO121" s="65"/>
      <c r="LJP121" s="65"/>
      <c r="LJQ121" s="65"/>
      <c r="LJR121" s="65"/>
      <c r="LJS121" s="65"/>
      <c r="LJT121" s="65"/>
      <c r="LJU121" s="65"/>
      <c r="LJV121" s="65"/>
      <c r="LJW121" s="65"/>
      <c r="LJX121" s="65"/>
      <c r="LJY121" s="65"/>
      <c r="LJZ121" s="65"/>
      <c r="LKA121" s="65"/>
      <c r="LKB121" s="65"/>
      <c r="LKC121" s="65"/>
      <c r="LKD121" s="65"/>
      <c r="LKE121" s="65"/>
      <c r="LKF121" s="65"/>
      <c r="LKG121" s="65"/>
      <c r="LKH121" s="65"/>
      <c r="LKI121" s="65"/>
      <c r="LKJ121" s="65"/>
      <c r="LKK121" s="65"/>
      <c r="LKL121" s="65"/>
      <c r="LKM121" s="65"/>
      <c r="LKN121" s="65"/>
      <c r="LKO121" s="65"/>
      <c r="LKP121" s="65"/>
      <c r="LKQ121" s="65"/>
      <c r="LKR121" s="65"/>
      <c r="LKS121" s="65"/>
      <c r="LKT121" s="65"/>
      <c r="LKU121" s="65"/>
      <c r="LKV121" s="65"/>
      <c r="LKW121" s="65"/>
      <c r="LKX121" s="65"/>
      <c r="LKY121" s="65"/>
      <c r="LKZ121" s="65"/>
      <c r="LLA121" s="65"/>
      <c r="LLB121" s="65"/>
      <c r="LLC121" s="65"/>
      <c r="LLD121" s="65"/>
      <c r="LLE121" s="65"/>
      <c r="LLF121" s="65"/>
      <c r="LLG121" s="65"/>
      <c r="LLH121" s="65"/>
      <c r="LLI121" s="65"/>
      <c r="LLJ121" s="65"/>
      <c r="LLK121" s="65"/>
      <c r="LLL121" s="65"/>
      <c r="LLM121" s="65"/>
      <c r="LLN121" s="65"/>
      <c r="LLO121" s="65"/>
      <c r="LLP121" s="65"/>
      <c r="LLQ121" s="65"/>
      <c r="LLR121" s="65"/>
      <c r="LLS121" s="65"/>
      <c r="LLT121" s="65"/>
      <c r="LLU121" s="65"/>
      <c r="LLV121" s="65"/>
      <c r="LLW121" s="65"/>
      <c r="LLX121" s="65"/>
      <c r="LLY121" s="65"/>
      <c r="LLZ121" s="65"/>
      <c r="LMA121" s="65"/>
      <c r="LMB121" s="65"/>
      <c r="LMC121" s="65"/>
      <c r="LMD121" s="65"/>
      <c r="LME121" s="65"/>
      <c r="LMF121" s="65"/>
      <c r="LMG121" s="65"/>
      <c r="LMH121" s="65"/>
      <c r="LMI121" s="65"/>
      <c r="LMJ121" s="65"/>
      <c r="LMK121" s="65"/>
      <c r="LML121" s="65"/>
      <c r="LMM121" s="65"/>
      <c r="LMN121" s="65"/>
      <c r="LMO121" s="65"/>
      <c r="LMP121" s="65"/>
      <c r="LMQ121" s="65"/>
      <c r="LMR121" s="65"/>
      <c r="LMS121" s="65"/>
      <c r="LMT121" s="65"/>
      <c r="LMU121" s="65"/>
      <c r="LMV121" s="65"/>
      <c r="LMW121" s="65"/>
      <c r="LMX121" s="65"/>
      <c r="LMY121" s="65"/>
      <c r="LMZ121" s="65"/>
      <c r="LNA121" s="65"/>
      <c r="LNB121" s="65"/>
      <c r="LNC121" s="65"/>
      <c r="LND121" s="65"/>
      <c r="LNE121" s="65"/>
      <c r="LNF121" s="65"/>
      <c r="LNG121" s="65"/>
      <c r="LNH121" s="65"/>
      <c r="LNI121" s="65"/>
      <c r="LNJ121" s="65"/>
      <c r="LNK121" s="65"/>
      <c r="LNL121" s="65"/>
      <c r="LNM121" s="65"/>
      <c r="LNN121" s="65"/>
      <c r="LNO121" s="65"/>
      <c r="LNP121" s="65"/>
      <c r="LNQ121" s="65"/>
      <c r="LNR121" s="65"/>
      <c r="LNS121" s="65"/>
      <c r="LNT121" s="65"/>
      <c r="LNU121" s="65"/>
      <c r="LNV121" s="65"/>
      <c r="LNW121" s="65"/>
      <c r="LNX121" s="65"/>
      <c r="LNY121" s="65"/>
      <c r="LNZ121" s="65"/>
      <c r="LOA121" s="65"/>
      <c r="LOB121" s="65"/>
      <c r="LOC121" s="65"/>
      <c r="LOD121" s="65"/>
      <c r="LOE121" s="65"/>
      <c r="LOF121" s="65"/>
      <c r="LOG121" s="65"/>
      <c r="LOH121" s="65"/>
      <c r="LOI121" s="65"/>
      <c r="LOJ121" s="65"/>
      <c r="LOK121" s="65"/>
      <c r="LOL121" s="65"/>
      <c r="LOM121" s="65"/>
      <c r="LON121" s="65"/>
      <c r="LOO121" s="65"/>
      <c r="LOP121" s="65"/>
      <c r="LOQ121" s="65"/>
      <c r="LOR121" s="65"/>
      <c r="LOS121" s="65"/>
      <c r="LOT121" s="65"/>
      <c r="LOU121" s="65"/>
      <c r="LOV121" s="65"/>
      <c r="LOW121" s="65"/>
      <c r="LOX121" s="65"/>
      <c r="LOY121" s="65"/>
      <c r="LOZ121" s="65"/>
      <c r="LPA121" s="65"/>
      <c r="LPB121" s="65"/>
      <c r="LPC121" s="65"/>
      <c r="LPD121" s="65"/>
      <c r="LPE121" s="65"/>
      <c r="LPF121" s="65"/>
      <c r="LPG121" s="65"/>
      <c r="LPH121" s="65"/>
      <c r="LPI121" s="65"/>
      <c r="LPJ121" s="65"/>
      <c r="LPK121" s="65"/>
      <c r="LPL121" s="65"/>
      <c r="LPM121" s="65"/>
      <c r="LPN121" s="65"/>
      <c r="LPO121" s="65"/>
      <c r="LPP121" s="65"/>
      <c r="LPQ121" s="65"/>
      <c r="LPR121" s="65"/>
      <c r="LPS121" s="65"/>
      <c r="LPT121" s="65"/>
      <c r="LPU121" s="65"/>
      <c r="LPV121" s="65"/>
      <c r="LPW121" s="65"/>
      <c r="LPX121" s="65"/>
      <c r="LPY121" s="65"/>
      <c r="LPZ121" s="65"/>
      <c r="LQA121" s="65"/>
      <c r="LQB121" s="65"/>
      <c r="LQC121" s="65"/>
      <c r="LQD121" s="65"/>
      <c r="LQE121" s="65"/>
      <c r="LQF121" s="65"/>
      <c r="LQG121" s="65"/>
      <c r="LQH121" s="65"/>
      <c r="LQI121" s="65"/>
      <c r="LQJ121" s="65"/>
      <c r="LQK121" s="65"/>
      <c r="LQL121" s="65"/>
      <c r="LQM121" s="65"/>
      <c r="LQN121" s="65"/>
      <c r="LQO121" s="65"/>
      <c r="LQP121" s="65"/>
      <c r="LQQ121" s="65"/>
      <c r="LQR121" s="65"/>
      <c r="LQS121" s="65"/>
      <c r="LQT121" s="65"/>
      <c r="LQU121" s="65"/>
      <c r="LQV121" s="65"/>
      <c r="LQW121" s="65"/>
      <c r="LQX121" s="65"/>
      <c r="LQY121" s="65"/>
      <c r="LQZ121" s="65"/>
      <c r="LRA121" s="65"/>
      <c r="LRB121" s="65"/>
      <c r="LRC121" s="65"/>
      <c r="LRD121" s="65"/>
      <c r="LRE121" s="65"/>
      <c r="LRF121" s="65"/>
      <c r="LRG121" s="65"/>
      <c r="LRH121" s="65"/>
      <c r="LRI121" s="65"/>
      <c r="LRJ121" s="65"/>
      <c r="LRK121" s="65"/>
      <c r="LRL121" s="65"/>
      <c r="LRM121" s="65"/>
      <c r="LRN121" s="65"/>
      <c r="LRO121" s="65"/>
      <c r="LRP121" s="65"/>
      <c r="LRQ121" s="65"/>
      <c r="LRR121" s="65"/>
      <c r="LRS121" s="65"/>
      <c r="LRT121" s="65"/>
      <c r="LRU121" s="65"/>
      <c r="LRV121" s="65"/>
      <c r="LRW121" s="65"/>
      <c r="LRX121" s="65"/>
      <c r="LRY121" s="65"/>
      <c r="LRZ121" s="65"/>
      <c r="LSA121" s="65"/>
      <c r="LSB121" s="65"/>
      <c r="LSC121" s="65"/>
      <c r="LSD121" s="65"/>
      <c r="LSE121" s="65"/>
      <c r="LSF121" s="65"/>
      <c r="LSG121" s="65"/>
      <c r="LSH121" s="65"/>
      <c r="LSI121" s="65"/>
      <c r="LSJ121" s="65"/>
      <c r="LSK121" s="65"/>
      <c r="LSL121" s="65"/>
      <c r="LSM121" s="65"/>
      <c r="LSN121" s="65"/>
      <c r="LSO121" s="65"/>
      <c r="LSP121" s="65"/>
      <c r="LSQ121" s="65"/>
      <c r="LSR121" s="65"/>
      <c r="LSS121" s="65"/>
      <c r="LST121" s="65"/>
      <c r="LSU121" s="65"/>
      <c r="LSV121" s="65"/>
      <c r="LSW121" s="65"/>
      <c r="LSX121" s="65"/>
      <c r="LSY121" s="65"/>
      <c r="LSZ121" s="65"/>
      <c r="LTA121" s="65"/>
      <c r="LTB121" s="65"/>
      <c r="LTC121" s="65"/>
      <c r="LTD121" s="65"/>
      <c r="LTE121" s="65"/>
      <c r="LTF121" s="65"/>
      <c r="LTG121" s="65"/>
      <c r="LTH121" s="65"/>
      <c r="LTI121" s="65"/>
      <c r="LTJ121" s="65"/>
      <c r="LTK121" s="65"/>
      <c r="LTL121" s="65"/>
      <c r="LTM121" s="65"/>
      <c r="LTN121" s="65"/>
      <c r="LTO121" s="65"/>
      <c r="LTP121" s="65"/>
      <c r="LTQ121" s="65"/>
      <c r="LTR121" s="65"/>
      <c r="LTS121" s="65"/>
      <c r="LTT121" s="65"/>
      <c r="LTU121" s="65"/>
      <c r="LTV121" s="65"/>
      <c r="LTW121" s="65"/>
      <c r="LTX121" s="65"/>
      <c r="LTY121" s="65"/>
      <c r="LTZ121" s="65"/>
      <c r="LUA121" s="65"/>
      <c r="LUB121" s="65"/>
      <c r="LUC121" s="65"/>
      <c r="LUD121" s="65"/>
      <c r="LUE121" s="65"/>
      <c r="LUF121" s="65"/>
      <c r="LUG121" s="65"/>
      <c r="LUH121" s="65"/>
      <c r="LUI121" s="65"/>
      <c r="LUJ121" s="65"/>
      <c r="LUK121" s="65"/>
      <c r="LUL121" s="65"/>
      <c r="LUM121" s="65"/>
      <c r="LUN121" s="65"/>
      <c r="LUO121" s="65"/>
      <c r="LUP121" s="65"/>
      <c r="LUQ121" s="65"/>
      <c r="LUR121" s="65"/>
      <c r="LUS121" s="65"/>
      <c r="LUT121" s="65"/>
      <c r="LUU121" s="65"/>
      <c r="LUV121" s="65"/>
      <c r="LUW121" s="65"/>
      <c r="LUX121" s="65"/>
      <c r="LUY121" s="65"/>
      <c r="LUZ121" s="65"/>
      <c r="LVA121" s="65"/>
      <c r="LVB121" s="65"/>
      <c r="LVC121" s="65"/>
      <c r="LVD121" s="65"/>
      <c r="LVE121" s="65"/>
      <c r="LVF121" s="65"/>
      <c r="LVG121" s="65"/>
      <c r="LVH121" s="65"/>
      <c r="LVI121" s="65"/>
      <c r="LVJ121" s="65"/>
      <c r="LVK121" s="65"/>
      <c r="LVL121" s="65"/>
      <c r="LVM121" s="65"/>
      <c r="LVN121" s="65"/>
      <c r="LVO121" s="65"/>
      <c r="LVP121" s="65"/>
      <c r="LVQ121" s="65"/>
      <c r="LVR121" s="65"/>
      <c r="LVS121" s="65"/>
      <c r="LVT121" s="65"/>
      <c r="LVU121" s="65"/>
      <c r="LVV121" s="65"/>
      <c r="LVW121" s="65"/>
      <c r="LVX121" s="65"/>
      <c r="LVY121" s="65"/>
      <c r="LVZ121" s="65"/>
      <c r="LWA121" s="65"/>
      <c r="LWB121" s="65"/>
      <c r="LWC121" s="65"/>
      <c r="LWD121" s="65"/>
      <c r="LWE121" s="65"/>
      <c r="LWF121" s="65"/>
      <c r="LWG121" s="65"/>
      <c r="LWH121" s="65"/>
      <c r="LWI121" s="65"/>
      <c r="LWJ121" s="65"/>
      <c r="LWK121" s="65"/>
      <c r="LWL121" s="65"/>
      <c r="LWM121" s="65"/>
      <c r="LWN121" s="65"/>
      <c r="LWO121" s="65"/>
      <c r="LWP121" s="65"/>
      <c r="LWQ121" s="65"/>
      <c r="LWR121" s="65"/>
      <c r="LWS121" s="65"/>
      <c r="LWT121" s="65"/>
      <c r="LWU121" s="65"/>
      <c r="LWV121" s="65"/>
      <c r="LWW121" s="65"/>
      <c r="LWX121" s="65"/>
      <c r="LWY121" s="65"/>
      <c r="LWZ121" s="65"/>
      <c r="LXA121" s="65"/>
      <c r="LXB121" s="65"/>
      <c r="LXC121" s="65"/>
      <c r="LXD121" s="65"/>
      <c r="LXE121" s="65"/>
      <c r="LXF121" s="65"/>
      <c r="LXG121" s="65"/>
      <c r="LXH121" s="65"/>
      <c r="LXI121" s="65"/>
      <c r="LXJ121" s="65"/>
      <c r="LXK121" s="65"/>
      <c r="LXL121" s="65"/>
      <c r="LXM121" s="65"/>
      <c r="LXN121" s="65"/>
      <c r="LXO121" s="65"/>
      <c r="LXP121" s="65"/>
      <c r="LXQ121" s="65"/>
      <c r="LXR121" s="65"/>
      <c r="LXS121" s="65"/>
      <c r="LXT121" s="65"/>
      <c r="LXU121" s="65"/>
      <c r="LXV121" s="65"/>
      <c r="LXW121" s="65"/>
      <c r="LXX121" s="65"/>
      <c r="LXY121" s="65"/>
      <c r="LXZ121" s="65"/>
      <c r="LYA121" s="65"/>
      <c r="LYB121" s="65"/>
      <c r="LYC121" s="65"/>
      <c r="LYD121" s="65"/>
      <c r="LYE121" s="65"/>
      <c r="LYF121" s="65"/>
      <c r="LYG121" s="65"/>
      <c r="LYH121" s="65"/>
      <c r="LYI121" s="65"/>
      <c r="LYJ121" s="65"/>
      <c r="LYK121" s="65"/>
      <c r="LYL121" s="65"/>
      <c r="LYM121" s="65"/>
      <c r="LYN121" s="65"/>
      <c r="LYO121" s="65"/>
      <c r="LYP121" s="65"/>
      <c r="LYQ121" s="65"/>
      <c r="LYR121" s="65"/>
      <c r="LYS121" s="65"/>
      <c r="LYT121" s="65"/>
      <c r="LYU121" s="65"/>
      <c r="LYV121" s="65"/>
      <c r="LYW121" s="65"/>
      <c r="LYX121" s="65"/>
      <c r="LYY121" s="65"/>
      <c r="LYZ121" s="65"/>
      <c r="LZA121" s="65"/>
      <c r="LZB121" s="65"/>
      <c r="LZC121" s="65"/>
      <c r="LZD121" s="65"/>
      <c r="LZE121" s="65"/>
      <c r="LZF121" s="65"/>
      <c r="LZG121" s="65"/>
      <c r="LZH121" s="65"/>
      <c r="LZI121" s="65"/>
      <c r="LZJ121" s="65"/>
      <c r="LZK121" s="65"/>
      <c r="LZL121" s="65"/>
      <c r="LZM121" s="65"/>
      <c r="LZN121" s="65"/>
      <c r="LZO121" s="65"/>
      <c r="LZP121" s="65"/>
      <c r="LZQ121" s="65"/>
      <c r="LZR121" s="65"/>
      <c r="LZS121" s="65"/>
      <c r="LZT121" s="65"/>
      <c r="LZU121" s="65"/>
      <c r="LZV121" s="65"/>
      <c r="LZW121" s="65"/>
      <c r="LZX121" s="65"/>
      <c r="LZY121" s="65"/>
      <c r="LZZ121" s="65"/>
      <c r="MAA121" s="65"/>
      <c r="MAB121" s="65"/>
      <c r="MAC121" s="65"/>
      <c r="MAD121" s="65"/>
      <c r="MAE121" s="65"/>
      <c r="MAF121" s="65"/>
      <c r="MAG121" s="65"/>
      <c r="MAH121" s="65"/>
      <c r="MAI121" s="65"/>
      <c r="MAJ121" s="65"/>
      <c r="MAK121" s="65"/>
      <c r="MAL121" s="65"/>
      <c r="MAM121" s="65"/>
      <c r="MAN121" s="65"/>
      <c r="MAO121" s="65"/>
      <c r="MAP121" s="65"/>
      <c r="MAQ121" s="65"/>
      <c r="MAR121" s="65"/>
      <c r="MAS121" s="65"/>
      <c r="MAT121" s="65"/>
      <c r="MAU121" s="65"/>
      <c r="MAV121" s="65"/>
      <c r="MAW121" s="65"/>
      <c r="MAX121" s="65"/>
      <c r="MAY121" s="65"/>
      <c r="MAZ121" s="65"/>
      <c r="MBA121" s="65"/>
      <c r="MBB121" s="65"/>
      <c r="MBC121" s="65"/>
      <c r="MBD121" s="65"/>
      <c r="MBE121" s="65"/>
      <c r="MBF121" s="65"/>
      <c r="MBG121" s="65"/>
      <c r="MBH121" s="65"/>
      <c r="MBI121" s="65"/>
      <c r="MBJ121" s="65"/>
      <c r="MBK121" s="65"/>
      <c r="MBL121" s="65"/>
      <c r="MBM121" s="65"/>
      <c r="MBN121" s="65"/>
      <c r="MBO121" s="65"/>
      <c r="MBP121" s="65"/>
      <c r="MBQ121" s="65"/>
      <c r="MBR121" s="65"/>
      <c r="MBS121" s="65"/>
      <c r="MBT121" s="65"/>
      <c r="MBU121" s="65"/>
      <c r="MBV121" s="65"/>
      <c r="MBW121" s="65"/>
      <c r="MBX121" s="65"/>
      <c r="MBY121" s="65"/>
      <c r="MBZ121" s="65"/>
      <c r="MCA121" s="65"/>
      <c r="MCB121" s="65"/>
      <c r="MCC121" s="65"/>
      <c r="MCD121" s="65"/>
      <c r="MCE121" s="65"/>
      <c r="MCF121" s="65"/>
      <c r="MCG121" s="65"/>
      <c r="MCH121" s="65"/>
      <c r="MCI121" s="65"/>
      <c r="MCJ121" s="65"/>
      <c r="MCK121" s="65"/>
      <c r="MCL121" s="65"/>
      <c r="MCM121" s="65"/>
      <c r="MCN121" s="65"/>
      <c r="MCO121" s="65"/>
      <c r="MCP121" s="65"/>
      <c r="MCQ121" s="65"/>
      <c r="MCR121" s="65"/>
      <c r="MCS121" s="65"/>
      <c r="MCT121" s="65"/>
      <c r="MCU121" s="65"/>
      <c r="MCV121" s="65"/>
      <c r="MCW121" s="65"/>
      <c r="MCX121" s="65"/>
      <c r="MCY121" s="65"/>
      <c r="MCZ121" s="65"/>
      <c r="MDA121" s="65"/>
      <c r="MDB121" s="65"/>
      <c r="MDC121" s="65"/>
      <c r="MDD121" s="65"/>
      <c r="MDE121" s="65"/>
      <c r="MDF121" s="65"/>
      <c r="MDG121" s="65"/>
      <c r="MDH121" s="65"/>
      <c r="MDI121" s="65"/>
      <c r="MDJ121" s="65"/>
      <c r="MDK121" s="65"/>
      <c r="MDL121" s="65"/>
      <c r="MDM121" s="65"/>
      <c r="MDN121" s="65"/>
      <c r="MDO121" s="65"/>
      <c r="MDP121" s="65"/>
      <c r="MDQ121" s="65"/>
      <c r="MDR121" s="65"/>
      <c r="MDS121" s="65"/>
      <c r="MDT121" s="65"/>
      <c r="MDU121" s="65"/>
      <c r="MDV121" s="65"/>
      <c r="MDW121" s="65"/>
      <c r="MDX121" s="65"/>
      <c r="MDY121" s="65"/>
      <c r="MDZ121" s="65"/>
      <c r="MEA121" s="65"/>
      <c r="MEB121" s="65"/>
      <c r="MEC121" s="65"/>
      <c r="MED121" s="65"/>
      <c r="MEE121" s="65"/>
      <c r="MEF121" s="65"/>
      <c r="MEG121" s="65"/>
      <c r="MEH121" s="65"/>
      <c r="MEI121" s="65"/>
      <c r="MEJ121" s="65"/>
      <c r="MEK121" s="65"/>
      <c r="MEL121" s="65"/>
      <c r="MEM121" s="65"/>
      <c r="MEN121" s="65"/>
      <c r="MEO121" s="65"/>
      <c r="MEP121" s="65"/>
      <c r="MEQ121" s="65"/>
      <c r="MER121" s="65"/>
      <c r="MES121" s="65"/>
      <c r="MET121" s="65"/>
      <c r="MEU121" s="65"/>
      <c r="MEV121" s="65"/>
      <c r="MEW121" s="65"/>
      <c r="MEX121" s="65"/>
      <c r="MEY121" s="65"/>
      <c r="MEZ121" s="65"/>
      <c r="MFA121" s="65"/>
      <c r="MFB121" s="65"/>
      <c r="MFC121" s="65"/>
      <c r="MFD121" s="65"/>
      <c r="MFE121" s="65"/>
      <c r="MFF121" s="65"/>
      <c r="MFG121" s="65"/>
      <c r="MFH121" s="65"/>
      <c r="MFI121" s="65"/>
      <c r="MFJ121" s="65"/>
      <c r="MFK121" s="65"/>
      <c r="MFL121" s="65"/>
      <c r="MFM121" s="65"/>
      <c r="MFN121" s="65"/>
      <c r="MFO121" s="65"/>
      <c r="MFP121" s="65"/>
      <c r="MFQ121" s="65"/>
      <c r="MFR121" s="65"/>
      <c r="MFS121" s="65"/>
      <c r="MFT121" s="65"/>
      <c r="MFU121" s="65"/>
      <c r="MFV121" s="65"/>
      <c r="MFW121" s="65"/>
      <c r="MFX121" s="65"/>
      <c r="MFY121" s="65"/>
      <c r="MFZ121" s="65"/>
      <c r="MGA121" s="65"/>
      <c r="MGB121" s="65"/>
      <c r="MGC121" s="65"/>
      <c r="MGD121" s="65"/>
      <c r="MGE121" s="65"/>
      <c r="MGF121" s="65"/>
      <c r="MGG121" s="65"/>
      <c r="MGH121" s="65"/>
      <c r="MGI121" s="65"/>
      <c r="MGJ121" s="65"/>
      <c r="MGK121" s="65"/>
      <c r="MGL121" s="65"/>
      <c r="MGM121" s="65"/>
      <c r="MGN121" s="65"/>
      <c r="MGO121" s="65"/>
      <c r="MGP121" s="65"/>
      <c r="MGQ121" s="65"/>
      <c r="MGR121" s="65"/>
      <c r="MGS121" s="65"/>
      <c r="MGT121" s="65"/>
      <c r="MGU121" s="65"/>
      <c r="MGV121" s="65"/>
      <c r="MGW121" s="65"/>
      <c r="MGX121" s="65"/>
      <c r="MGY121" s="65"/>
      <c r="MGZ121" s="65"/>
      <c r="MHA121" s="65"/>
      <c r="MHB121" s="65"/>
      <c r="MHC121" s="65"/>
      <c r="MHD121" s="65"/>
      <c r="MHE121" s="65"/>
      <c r="MHF121" s="65"/>
      <c r="MHG121" s="65"/>
      <c r="MHH121" s="65"/>
      <c r="MHI121" s="65"/>
      <c r="MHJ121" s="65"/>
      <c r="MHK121" s="65"/>
      <c r="MHL121" s="65"/>
      <c r="MHM121" s="65"/>
      <c r="MHN121" s="65"/>
      <c r="MHO121" s="65"/>
      <c r="MHP121" s="65"/>
      <c r="MHQ121" s="65"/>
      <c r="MHR121" s="65"/>
      <c r="MHS121" s="65"/>
      <c r="MHT121" s="65"/>
      <c r="MHU121" s="65"/>
      <c r="MHV121" s="65"/>
      <c r="MHW121" s="65"/>
      <c r="MHX121" s="65"/>
      <c r="MHY121" s="65"/>
      <c r="MHZ121" s="65"/>
      <c r="MIA121" s="65"/>
      <c r="MIB121" s="65"/>
      <c r="MIC121" s="65"/>
      <c r="MID121" s="65"/>
      <c r="MIE121" s="65"/>
      <c r="MIF121" s="65"/>
      <c r="MIG121" s="65"/>
      <c r="MIH121" s="65"/>
      <c r="MII121" s="65"/>
      <c r="MIJ121" s="65"/>
      <c r="MIK121" s="65"/>
      <c r="MIL121" s="65"/>
      <c r="MIM121" s="65"/>
      <c r="MIN121" s="65"/>
      <c r="MIO121" s="65"/>
      <c r="MIP121" s="65"/>
      <c r="MIQ121" s="65"/>
      <c r="MIR121" s="65"/>
      <c r="MIS121" s="65"/>
      <c r="MIT121" s="65"/>
      <c r="MIU121" s="65"/>
      <c r="MIV121" s="65"/>
      <c r="MIW121" s="65"/>
      <c r="MIX121" s="65"/>
      <c r="MIY121" s="65"/>
      <c r="MIZ121" s="65"/>
      <c r="MJA121" s="65"/>
      <c r="MJB121" s="65"/>
      <c r="MJC121" s="65"/>
      <c r="MJD121" s="65"/>
      <c r="MJE121" s="65"/>
      <c r="MJF121" s="65"/>
      <c r="MJG121" s="65"/>
      <c r="MJH121" s="65"/>
      <c r="MJI121" s="65"/>
      <c r="MJJ121" s="65"/>
      <c r="MJK121" s="65"/>
      <c r="MJL121" s="65"/>
      <c r="MJM121" s="65"/>
      <c r="MJN121" s="65"/>
      <c r="MJO121" s="65"/>
      <c r="MJP121" s="65"/>
      <c r="MJQ121" s="65"/>
      <c r="MJR121" s="65"/>
      <c r="MJS121" s="65"/>
      <c r="MJT121" s="65"/>
      <c r="MJU121" s="65"/>
      <c r="MJV121" s="65"/>
      <c r="MJW121" s="65"/>
      <c r="MJX121" s="65"/>
      <c r="MJY121" s="65"/>
      <c r="MJZ121" s="65"/>
      <c r="MKA121" s="65"/>
      <c r="MKB121" s="65"/>
      <c r="MKC121" s="65"/>
      <c r="MKD121" s="65"/>
      <c r="MKE121" s="65"/>
      <c r="MKF121" s="65"/>
      <c r="MKG121" s="65"/>
      <c r="MKH121" s="65"/>
      <c r="MKI121" s="65"/>
      <c r="MKJ121" s="65"/>
      <c r="MKK121" s="65"/>
      <c r="MKL121" s="65"/>
      <c r="MKM121" s="65"/>
      <c r="MKN121" s="65"/>
      <c r="MKO121" s="65"/>
      <c r="MKP121" s="65"/>
      <c r="MKQ121" s="65"/>
      <c r="MKR121" s="65"/>
      <c r="MKS121" s="65"/>
      <c r="MKT121" s="65"/>
      <c r="MKU121" s="65"/>
      <c r="MKV121" s="65"/>
      <c r="MKW121" s="65"/>
      <c r="MKX121" s="65"/>
      <c r="MKY121" s="65"/>
      <c r="MKZ121" s="65"/>
      <c r="MLA121" s="65"/>
      <c r="MLB121" s="65"/>
      <c r="MLC121" s="65"/>
      <c r="MLD121" s="65"/>
      <c r="MLE121" s="65"/>
      <c r="MLF121" s="65"/>
      <c r="MLG121" s="65"/>
      <c r="MLH121" s="65"/>
      <c r="MLI121" s="65"/>
      <c r="MLJ121" s="65"/>
      <c r="MLK121" s="65"/>
      <c r="MLL121" s="65"/>
      <c r="MLM121" s="65"/>
      <c r="MLN121" s="65"/>
      <c r="MLO121" s="65"/>
      <c r="MLP121" s="65"/>
      <c r="MLQ121" s="65"/>
      <c r="MLR121" s="65"/>
      <c r="MLS121" s="65"/>
      <c r="MLT121" s="65"/>
      <c r="MLU121" s="65"/>
      <c r="MLV121" s="65"/>
      <c r="MLW121" s="65"/>
      <c r="MLX121" s="65"/>
      <c r="MLY121" s="65"/>
      <c r="MLZ121" s="65"/>
      <c r="MMA121" s="65"/>
      <c r="MMB121" s="65"/>
      <c r="MMC121" s="65"/>
      <c r="MMD121" s="65"/>
      <c r="MME121" s="65"/>
      <c r="MMF121" s="65"/>
      <c r="MMG121" s="65"/>
      <c r="MMH121" s="65"/>
      <c r="MMI121" s="65"/>
      <c r="MMJ121" s="65"/>
      <c r="MMK121" s="65"/>
      <c r="MML121" s="65"/>
      <c r="MMM121" s="65"/>
      <c r="MMN121" s="65"/>
      <c r="MMO121" s="65"/>
      <c r="MMP121" s="65"/>
      <c r="MMQ121" s="65"/>
      <c r="MMR121" s="65"/>
      <c r="MMS121" s="65"/>
      <c r="MMT121" s="65"/>
      <c r="MMU121" s="65"/>
      <c r="MMV121" s="65"/>
      <c r="MMW121" s="65"/>
      <c r="MMX121" s="65"/>
      <c r="MMY121" s="65"/>
      <c r="MMZ121" s="65"/>
      <c r="MNA121" s="65"/>
      <c r="MNB121" s="65"/>
      <c r="MNC121" s="65"/>
      <c r="MND121" s="65"/>
      <c r="MNE121" s="65"/>
      <c r="MNF121" s="65"/>
      <c r="MNG121" s="65"/>
      <c r="MNH121" s="65"/>
      <c r="MNI121" s="65"/>
      <c r="MNJ121" s="65"/>
      <c r="MNK121" s="65"/>
      <c r="MNL121" s="65"/>
      <c r="MNM121" s="65"/>
      <c r="MNN121" s="65"/>
      <c r="MNO121" s="65"/>
      <c r="MNP121" s="65"/>
      <c r="MNQ121" s="65"/>
      <c r="MNR121" s="65"/>
      <c r="MNS121" s="65"/>
      <c r="MNT121" s="65"/>
      <c r="MNU121" s="65"/>
      <c r="MNV121" s="65"/>
      <c r="MNW121" s="65"/>
      <c r="MNX121" s="65"/>
      <c r="MNY121" s="65"/>
      <c r="MNZ121" s="65"/>
      <c r="MOA121" s="65"/>
      <c r="MOB121" s="65"/>
      <c r="MOC121" s="65"/>
      <c r="MOD121" s="65"/>
      <c r="MOE121" s="65"/>
      <c r="MOF121" s="65"/>
      <c r="MOG121" s="65"/>
      <c r="MOH121" s="65"/>
      <c r="MOI121" s="65"/>
      <c r="MOJ121" s="65"/>
      <c r="MOK121" s="65"/>
      <c r="MOL121" s="65"/>
      <c r="MOM121" s="65"/>
      <c r="MON121" s="65"/>
      <c r="MOO121" s="65"/>
      <c r="MOP121" s="65"/>
      <c r="MOQ121" s="65"/>
      <c r="MOR121" s="65"/>
      <c r="MOS121" s="65"/>
      <c r="MOT121" s="65"/>
      <c r="MOU121" s="65"/>
      <c r="MOV121" s="65"/>
      <c r="MOW121" s="65"/>
      <c r="MOX121" s="65"/>
      <c r="MOY121" s="65"/>
      <c r="MOZ121" s="65"/>
      <c r="MPA121" s="65"/>
      <c r="MPB121" s="65"/>
      <c r="MPC121" s="65"/>
      <c r="MPD121" s="65"/>
      <c r="MPE121" s="65"/>
      <c r="MPF121" s="65"/>
      <c r="MPG121" s="65"/>
      <c r="MPH121" s="65"/>
      <c r="MPI121" s="65"/>
      <c r="MPJ121" s="65"/>
      <c r="MPK121" s="65"/>
      <c r="MPL121" s="65"/>
      <c r="MPM121" s="65"/>
      <c r="MPN121" s="65"/>
      <c r="MPO121" s="65"/>
      <c r="MPP121" s="65"/>
      <c r="MPQ121" s="65"/>
      <c r="MPR121" s="65"/>
      <c r="MPS121" s="65"/>
      <c r="MPT121" s="65"/>
      <c r="MPU121" s="65"/>
      <c r="MPV121" s="65"/>
      <c r="MPW121" s="65"/>
      <c r="MPX121" s="65"/>
      <c r="MPY121" s="65"/>
      <c r="MPZ121" s="65"/>
      <c r="MQA121" s="65"/>
      <c r="MQB121" s="65"/>
      <c r="MQC121" s="65"/>
      <c r="MQD121" s="65"/>
      <c r="MQE121" s="65"/>
      <c r="MQF121" s="65"/>
      <c r="MQG121" s="65"/>
      <c r="MQH121" s="65"/>
      <c r="MQI121" s="65"/>
      <c r="MQJ121" s="65"/>
      <c r="MQK121" s="65"/>
      <c r="MQL121" s="65"/>
      <c r="MQM121" s="65"/>
      <c r="MQN121" s="65"/>
      <c r="MQO121" s="65"/>
      <c r="MQP121" s="65"/>
      <c r="MQQ121" s="65"/>
      <c r="MQR121" s="65"/>
      <c r="MQS121" s="65"/>
      <c r="MQT121" s="65"/>
      <c r="MQU121" s="65"/>
      <c r="MQV121" s="65"/>
      <c r="MQW121" s="65"/>
      <c r="MQX121" s="65"/>
      <c r="MQY121" s="65"/>
      <c r="MQZ121" s="65"/>
      <c r="MRA121" s="65"/>
      <c r="MRB121" s="65"/>
      <c r="MRC121" s="65"/>
      <c r="MRD121" s="65"/>
      <c r="MRE121" s="65"/>
      <c r="MRF121" s="65"/>
      <c r="MRG121" s="65"/>
      <c r="MRH121" s="65"/>
      <c r="MRI121" s="65"/>
      <c r="MRJ121" s="65"/>
      <c r="MRK121" s="65"/>
      <c r="MRL121" s="65"/>
      <c r="MRM121" s="65"/>
      <c r="MRN121" s="65"/>
      <c r="MRO121" s="65"/>
      <c r="MRP121" s="65"/>
      <c r="MRQ121" s="65"/>
      <c r="MRR121" s="65"/>
      <c r="MRS121" s="65"/>
      <c r="MRT121" s="65"/>
      <c r="MRU121" s="65"/>
      <c r="MRV121" s="65"/>
      <c r="MRW121" s="65"/>
      <c r="MRX121" s="65"/>
      <c r="MRY121" s="65"/>
      <c r="MRZ121" s="65"/>
      <c r="MSA121" s="65"/>
      <c r="MSB121" s="65"/>
      <c r="MSC121" s="65"/>
      <c r="MSD121" s="65"/>
      <c r="MSE121" s="65"/>
      <c r="MSF121" s="65"/>
      <c r="MSG121" s="65"/>
      <c r="MSH121" s="65"/>
      <c r="MSI121" s="65"/>
      <c r="MSJ121" s="65"/>
      <c r="MSK121" s="65"/>
      <c r="MSL121" s="65"/>
      <c r="MSM121" s="65"/>
      <c r="MSN121" s="65"/>
      <c r="MSO121" s="65"/>
      <c r="MSP121" s="65"/>
      <c r="MSQ121" s="65"/>
      <c r="MSR121" s="65"/>
      <c r="MSS121" s="65"/>
      <c r="MST121" s="65"/>
      <c r="MSU121" s="65"/>
      <c r="MSV121" s="65"/>
      <c r="MSW121" s="65"/>
      <c r="MSX121" s="65"/>
      <c r="MSY121" s="65"/>
      <c r="MSZ121" s="65"/>
      <c r="MTA121" s="65"/>
      <c r="MTB121" s="65"/>
      <c r="MTC121" s="65"/>
      <c r="MTD121" s="65"/>
      <c r="MTE121" s="65"/>
      <c r="MTF121" s="65"/>
      <c r="MTG121" s="65"/>
      <c r="MTH121" s="65"/>
      <c r="MTI121" s="65"/>
      <c r="MTJ121" s="65"/>
      <c r="MTK121" s="65"/>
      <c r="MTL121" s="65"/>
      <c r="MTM121" s="65"/>
      <c r="MTN121" s="65"/>
      <c r="MTO121" s="65"/>
      <c r="MTP121" s="65"/>
      <c r="MTQ121" s="65"/>
      <c r="MTR121" s="65"/>
      <c r="MTS121" s="65"/>
      <c r="MTT121" s="65"/>
      <c r="MTU121" s="65"/>
      <c r="MTV121" s="65"/>
      <c r="MTW121" s="65"/>
      <c r="MTX121" s="65"/>
      <c r="MTY121" s="65"/>
      <c r="MTZ121" s="65"/>
      <c r="MUA121" s="65"/>
      <c r="MUB121" s="65"/>
      <c r="MUC121" s="65"/>
      <c r="MUD121" s="65"/>
      <c r="MUE121" s="65"/>
      <c r="MUF121" s="65"/>
      <c r="MUG121" s="65"/>
      <c r="MUH121" s="65"/>
      <c r="MUI121" s="65"/>
      <c r="MUJ121" s="65"/>
      <c r="MUK121" s="65"/>
      <c r="MUL121" s="65"/>
      <c r="MUM121" s="65"/>
      <c r="MUN121" s="65"/>
      <c r="MUO121" s="65"/>
      <c r="MUP121" s="65"/>
      <c r="MUQ121" s="65"/>
      <c r="MUR121" s="65"/>
      <c r="MUS121" s="65"/>
      <c r="MUT121" s="65"/>
      <c r="MUU121" s="65"/>
      <c r="MUV121" s="65"/>
      <c r="MUW121" s="65"/>
      <c r="MUX121" s="65"/>
      <c r="MUY121" s="65"/>
      <c r="MUZ121" s="65"/>
      <c r="MVA121" s="65"/>
      <c r="MVB121" s="65"/>
      <c r="MVC121" s="65"/>
      <c r="MVD121" s="65"/>
      <c r="MVE121" s="65"/>
      <c r="MVF121" s="65"/>
      <c r="MVG121" s="65"/>
      <c r="MVH121" s="65"/>
      <c r="MVI121" s="65"/>
      <c r="MVJ121" s="65"/>
      <c r="MVK121" s="65"/>
      <c r="MVL121" s="65"/>
      <c r="MVM121" s="65"/>
      <c r="MVN121" s="65"/>
      <c r="MVO121" s="65"/>
      <c r="MVP121" s="65"/>
      <c r="MVQ121" s="65"/>
      <c r="MVR121" s="65"/>
      <c r="MVS121" s="65"/>
      <c r="MVT121" s="65"/>
      <c r="MVU121" s="65"/>
      <c r="MVV121" s="65"/>
      <c r="MVW121" s="65"/>
      <c r="MVX121" s="65"/>
      <c r="MVY121" s="65"/>
      <c r="MVZ121" s="65"/>
      <c r="MWA121" s="65"/>
      <c r="MWB121" s="65"/>
      <c r="MWC121" s="65"/>
      <c r="MWD121" s="65"/>
      <c r="MWE121" s="65"/>
      <c r="MWF121" s="65"/>
      <c r="MWG121" s="65"/>
      <c r="MWH121" s="65"/>
      <c r="MWI121" s="65"/>
      <c r="MWJ121" s="65"/>
      <c r="MWK121" s="65"/>
      <c r="MWL121" s="65"/>
      <c r="MWM121" s="65"/>
      <c r="MWN121" s="65"/>
      <c r="MWO121" s="65"/>
      <c r="MWP121" s="65"/>
      <c r="MWQ121" s="65"/>
      <c r="MWR121" s="65"/>
      <c r="MWS121" s="65"/>
      <c r="MWT121" s="65"/>
      <c r="MWU121" s="65"/>
      <c r="MWV121" s="65"/>
      <c r="MWW121" s="65"/>
      <c r="MWX121" s="65"/>
      <c r="MWY121" s="65"/>
      <c r="MWZ121" s="65"/>
      <c r="MXA121" s="65"/>
      <c r="MXB121" s="65"/>
      <c r="MXC121" s="65"/>
      <c r="MXD121" s="65"/>
      <c r="MXE121" s="65"/>
      <c r="MXF121" s="65"/>
      <c r="MXG121" s="65"/>
      <c r="MXH121" s="65"/>
      <c r="MXI121" s="65"/>
      <c r="MXJ121" s="65"/>
      <c r="MXK121" s="65"/>
      <c r="MXL121" s="65"/>
      <c r="MXM121" s="65"/>
      <c r="MXN121" s="65"/>
      <c r="MXO121" s="65"/>
      <c r="MXP121" s="65"/>
      <c r="MXQ121" s="65"/>
      <c r="MXR121" s="65"/>
      <c r="MXS121" s="65"/>
      <c r="MXT121" s="65"/>
      <c r="MXU121" s="65"/>
      <c r="MXV121" s="65"/>
      <c r="MXW121" s="65"/>
      <c r="MXX121" s="65"/>
      <c r="MXY121" s="65"/>
      <c r="MXZ121" s="65"/>
      <c r="MYA121" s="65"/>
      <c r="MYB121" s="65"/>
      <c r="MYC121" s="65"/>
      <c r="MYD121" s="65"/>
      <c r="MYE121" s="65"/>
      <c r="MYF121" s="65"/>
      <c r="MYG121" s="65"/>
      <c r="MYH121" s="65"/>
      <c r="MYI121" s="65"/>
      <c r="MYJ121" s="65"/>
      <c r="MYK121" s="65"/>
      <c r="MYL121" s="65"/>
      <c r="MYM121" s="65"/>
      <c r="MYN121" s="65"/>
      <c r="MYO121" s="65"/>
      <c r="MYP121" s="65"/>
      <c r="MYQ121" s="65"/>
      <c r="MYR121" s="65"/>
      <c r="MYS121" s="65"/>
      <c r="MYT121" s="65"/>
      <c r="MYU121" s="65"/>
      <c r="MYV121" s="65"/>
      <c r="MYW121" s="65"/>
      <c r="MYX121" s="65"/>
      <c r="MYY121" s="65"/>
      <c r="MYZ121" s="65"/>
      <c r="MZA121" s="65"/>
      <c r="MZB121" s="65"/>
      <c r="MZC121" s="65"/>
      <c r="MZD121" s="65"/>
      <c r="MZE121" s="65"/>
      <c r="MZF121" s="65"/>
      <c r="MZG121" s="65"/>
      <c r="MZH121" s="65"/>
      <c r="MZI121" s="65"/>
      <c r="MZJ121" s="65"/>
      <c r="MZK121" s="65"/>
      <c r="MZL121" s="65"/>
      <c r="MZM121" s="65"/>
      <c r="MZN121" s="65"/>
      <c r="MZO121" s="65"/>
      <c r="MZP121" s="65"/>
      <c r="MZQ121" s="65"/>
      <c r="MZR121" s="65"/>
      <c r="MZS121" s="65"/>
      <c r="MZT121" s="65"/>
      <c r="MZU121" s="65"/>
      <c r="MZV121" s="65"/>
      <c r="MZW121" s="65"/>
      <c r="MZX121" s="65"/>
      <c r="MZY121" s="65"/>
      <c r="MZZ121" s="65"/>
      <c r="NAA121" s="65"/>
      <c r="NAB121" s="65"/>
      <c r="NAC121" s="65"/>
      <c r="NAD121" s="65"/>
      <c r="NAE121" s="65"/>
      <c r="NAF121" s="65"/>
      <c r="NAG121" s="65"/>
      <c r="NAH121" s="65"/>
      <c r="NAI121" s="65"/>
      <c r="NAJ121" s="65"/>
      <c r="NAK121" s="65"/>
      <c r="NAL121" s="65"/>
      <c r="NAM121" s="65"/>
      <c r="NAN121" s="65"/>
      <c r="NAO121" s="65"/>
      <c r="NAP121" s="65"/>
      <c r="NAQ121" s="65"/>
      <c r="NAR121" s="65"/>
      <c r="NAS121" s="65"/>
      <c r="NAT121" s="65"/>
      <c r="NAU121" s="65"/>
      <c r="NAV121" s="65"/>
      <c r="NAW121" s="65"/>
      <c r="NAX121" s="65"/>
      <c r="NAY121" s="65"/>
      <c r="NAZ121" s="65"/>
      <c r="NBA121" s="65"/>
      <c r="NBB121" s="65"/>
      <c r="NBC121" s="65"/>
      <c r="NBD121" s="65"/>
      <c r="NBE121" s="65"/>
      <c r="NBF121" s="65"/>
      <c r="NBG121" s="65"/>
      <c r="NBH121" s="65"/>
      <c r="NBI121" s="65"/>
      <c r="NBJ121" s="65"/>
      <c r="NBK121" s="65"/>
      <c r="NBL121" s="65"/>
      <c r="NBM121" s="65"/>
      <c r="NBN121" s="65"/>
      <c r="NBO121" s="65"/>
      <c r="NBP121" s="65"/>
      <c r="NBQ121" s="65"/>
      <c r="NBR121" s="65"/>
      <c r="NBS121" s="65"/>
      <c r="NBT121" s="65"/>
      <c r="NBU121" s="65"/>
      <c r="NBV121" s="65"/>
      <c r="NBW121" s="65"/>
      <c r="NBX121" s="65"/>
      <c r="NBY121" s="65"/>
      <c r="NBZ121" s="65"/>
      <c r="NCA121" s="65"/>
      <c r="NCB121" s="65"/>
      <c r="NCC121" s="65"/>
      <c r="NCD121" s="65"/>
      <c r="NCE121" s="65"/>
      <c r="NCF121" s="65"/>
      <c r="NCG121" s="65"/>
      <c r="NCH121" s="65"/>
      <c r="NCI121" s="65"/>
      <c r="NCJ121" s="65"/>
      <c r="NCK121" s="65"/>
      <c r="NCL121" s="65"/>
      <c r="NCM121" s="65"/>
      <c r="NCN121" s="65"/>
      <c r="NCO121" s="65"/>
      <c r="NCP121" s="65"/>
      <c r="NCQ121" s="65"/>
      <c r="NCR121" s="65"/>
      <c r="NCS121" s="65"/>
      <c r="NCT121" s="65"/>
      <c r="NCU121" s="65"/>
      <c r="NCV121" s="65"/>
      <c r="NCW121" s="65"/>
      <c r="NCX121" s="65"/>
      <c r="NCY121" s="65"/>
      <c r="NCZ121" s="65"/>
      <c r="NDA121" s="65"/>
      <c r="NDB121" s="65"/>
      <c r="NDC121" s="65"/>
      <c r="NDD121" s="65"/>
      <c r="NDE121" s="65"/>
      <c r="NDF121" s="65"/>
      <c r="NDG121" s="65"/>
      <c r="NDH121" s="65"/>
      <c r="NDI121" s="65"/>
      <c r="NDJ121" s="65"/>
      <c r="NDK121" s="65"/>
      <c r="NDL121" s="65"/>
      <c r="NDM121" s="65"/>
      <c r="NDN121" s="65"/>
      <c r="NDO121" s="65"/>
      <c r="NDP121" s="65"/>
      <c r="NDQ121" s="65"/>
      <c r="NDR121" s="65"/>
      <c r="NDS121" s="65"/>
      <c r="NDT121" s="65"/>
      <c r="NDU121" s="65"/>
      <c r="NDV121" s="65"/>
      <c r="NDW121" s="65"/>
      <c r="NDX121" s="65"/>
      <c r="NDY121" s="65"/>
      <c r="NDZ121" s="65"/>
      <c r="NEA121" s="65"/>
      <c r="NEB121" s="65"/>
      <c r="NEC121" s="65"/>
      <c r="NED121" s="65"/>
      <c r="NEE121" s="65"/>
      <c r="NEF121" s="65"/>
      <c r="NEG121" s="65"/>
      <c r="NEH121" s="65"/>
      <c r="NEI121" s="65"/>
      <c r="NEJ121" s="65"/>
      <c r="NEK121" s="65"/>
      <c r="NEL121" s="65"/>
      <c r="NEM121" s="65"/>
      <c r="NEN121" s="65"/>
      <c r="NEO121" s="65"/>
      <c r="NEP121" s="65"/>
      <c r="NEQ121" s="65"/>
      <c r="NER121" s="65"/>
      <c r="NES121" s="65"/>
      <c r="NET121" s="65"/>
      <c r="NEU121" s="65"/>
      <c r="NEV121" s="65"/>
      <c r="NEW121" s="65"/>
      <c r="NEX121" s="65"/>
      <c r="NEY121" s="65"/>
      <c r="NEZ121" s="65"/>
      <c r="NFA121" s="65"/>
      <c r="NFB121" s="65"/>
      <c r="NFC121" s="65"/>
      <c r="NFD121" s="65"/>
      <c r="NFE121" s="65"/>
      <c r="NFF121" s="65"/>
      <c r="NFG121" s="65"/>
      <c r="NFH121" s="65"/>
      <c r="NFI121" s="65"/>
      <c r="NFJ121" s="65"/>
      <c r="NFK121" s="65"/>
      <c r="NFL121" s="65"/>
      <c r="NFM121" s="65"/>
      <c r="NFN121" s="65"/>
      <c r="NFO121" s="65"/>
      <c r="NFP121" s="65"/>
      <c r="NFQ121" s="65"/>
      <c r="NFR121" s="65"/>
      <c r="NFS121" s="65"/>
      <c r="NFT121" s="65"/>
      <c r="NFU121" s="65"/>
      <c r="NFV121" s="65"/>
      <c r="NFW121" s="65"/>
      <c r="NFX121" s="65"/>
      <c r="NFY121" s="65"/>
      <c r="NFZ121" s="65"/>
      <c r="NGA121" s="65"/>
      <c r="NGB121" s="65"/>
      <c r="NGC121" s="65"/>
      <c r="NGD121" s="65"/>
      <c r="NGE121" s="65"/>
      <c r="NGF121" s="65"/>
      <c r="NGG121" s="65"/>
      <c r="NGH121" s="65"/>
      <c r="NGI121" s="65"/>
      <c r="NGJ121" s="65"/>
      <c r="NGK121" s="65"/>
      <c r="NGL121" s="65"/>
      <c r="NGM121" s="65"/>
      <c r="NGN121" s="65"/>
      <c r="NGO121" s="65"/>
      <c r="NGP121" s="65"/>
      <c r="NGQ121" s="65"/>
      <c r="NGR121" s="65"/>
      <c r="NGS121" s="65"/>
      <c r="NGT121" s="65"/>
      <c r="NGU121" s="65"/>
      <c r="NGV121" s="65"/>
      <c r="NGW121" s="65"/>
      <c r="NGX121" s="65"/>
      <c r="NGY121" s="65"/>
      <c r="NGZ121" s="65"/>
      <c r="NHA121" s="65"/>
      <c r="NHB121" s="65"/>
      <c r="NHC121" s="65"/>
      <c r="NHD121" s="65"/>
      <c r="NHE121" s="65"/>
      <c r="NHF121" s="65"/>
      <c r="NHG121" s="65"/>
      <c r="NHH121" s="65"/>
      <c r="NHI121" s="65"/>
      <c r="NHJ121" s="65"/>
      <c r="NHK121" s="65"/>
      <c r="NHL121" s="65"/>
      <c r="NHM121" s="65"/>
      <c r="NHN121" s="65"/>
      <c r="NHO121" s="65"/>
      <c r="NHP121" s="65"/>
      <c r="NHQ121" s="65"/>
      <c r="NHR121" s="65"/>
      <c r="NHS121" s="65"/>
      <c r="NHT121" s="65"/>
      <c r="NHU121" s="65"/>
      <c r="NHV121" s="65"/>
      <c r="NHW121" s="65"/>
      <c r="NHX121" s="65"/>
      <c r="NHY121" s="65"/>
      <c r="NHZ121" s="65"/>
      <c r="NIA121" s="65"/>
      <c r="NIB121" s="65"/>
      <c r="NIC121" s="65"/>
      <c r="NID121" s="65"/>
      <c r="NIE121" s="65"/>
      <c r="NIF121" s="65"/>
      <c r="NIG121" s="65"/>
      <c r="NIH121" s="65"/>
      <c r="NII121" s="65"/>
      <c r="NIJ121" s="65"/>
      <c r="NIK121" s="65"/>
      <c r="NIL121" s="65"/>
      <c r="NIM121" s="65"/>
      <c r="NIN121" s="65"/>
      <c r="NIO121" s="65"/>
      <c r="NIP121" s="65"/>
      <c r="NIQ121" s="65"/>
      <c r="NIR121" s="65"/>
      <c r="NIS121" s="65"/>
      <c r="NIT121" s="65"/>
      <c r="NIU121" s="65"/>
      <c r="NIV121" s="65"/>
      <c r="NIW121" s="65"/>
      <c r="NIX121" s="65"/>
      <c r="NIY121" s="65"/>
      <c r="NIZ121" s="65"/>
      <c r="NJA121" s="65"/>
      <c r="NJB121" s="65"/>
      <c r="NJC121" s="65"/>
      <c r="NJD121" s="65"/>
      <c r="NJE121" s="65"/>
      <c r="NJF121" s="65"/>
      <c r="NJG121" s="65"/>
      <c r="NJH121" s="65"/>
      <c r="NJI121" s="65"/>
      <c r="NJJ121" s="65"/>
      <c r="NJK121" s="65"/>
      <c r="NJL121" s="65"/>
      <c r="NJM121" s="65"/>
      <c r="NJN121" s="65"/>
      <c r="NJO121" s="65"/>
      <c r="NJP121" s="65"/>
      <c r="NJQ121" s="65"/>
      <c r="NJR121" s="65"/>
      <c r="NJS121" s="65"/>
      <c r="NJT121" s="65"/>
      <c r="NJU121" s="65"/>
      <c r="NJV121" s="65"/>
      <c r="NJW121" s="65"/>
      <c r="NJX121" s="65"/>
      <c r="NJY121" s="65"/>
      <c r="NJZ121" s="65"/>
      <c r="NKA121" s="65"/>
      <c r="NKB121" s="65"/>
      <c r="NKC121" s="65"/>
      <c r="NKD121" s="65"/>
      <c r="NKE121" s="65"/>
      <c r="NKF121" s="65"/>
      <c r="NKG121" s="65"/>
      <c r="NKH121" s="65"/>
      <c r="NKI121" s="65"/>
      <c r="NKJ121" s="65"/>
      <c r="NKK121" s="65"/>
      <c r="NKL121" s="65"/>
      <c r="NKM121" s="65"/>
      <c r="NKN121" s="65"/>
      <c r="NKO121" s="65"/>
      <c r="NKP121" s="65"/>
      <c r="NKQ121" s="65"/>
      <c r="NKR121" s="65"/>
      <c r="NKS121" s="65"/>
      <c r="NKT121" s="65"/>
      <c r="NKU121" s="65"/>
      <c r="NKV121" s="65"/>
      <c r="NKW121" s="65"/>
      <c r="NKX121" s="65"/>
      <c r="NKY121" s="65"/>
      <c r="NKZ121" s="65"/>
      <c r="NLA121" s="65"/>
      <c r="NLB121" s="65"/>
      <c r="NLC121" s="65"/>
      <c r="NLD121" s="65"/>
      <c r="NLE121" s="65"/>
      <c r="NLF121" s="65"/>
      <c r="NLG121" s="65"/>
      <c r="NLH121" s="65"/>
      <c r="NLI121" s="65"/>
      <c r="NLJ121" s="65"/>
      <c r="NLK121" s="65"/>
      <c r="NLL121" s="65"/>
      <c r="NLM121" s="65"/>
      <c r="NLN121" s="65"/>
      <c r="NLO121" s="65"/>
      <c r="NLP121" s="65"/>
      <c r="NLQ121" s="65"/>
      <c r="NLR121" s="65"/>
      <c r="NLS121" s="65"/>
      <c r="NLT121" s="65"/>
      <c r="NLU121" s="65"/>
      <c r="NLV121" s="65"/>
      <c r="NLW121" s="65"/>
      <c r="NLX121" s="65"/>
      <c r="NLY121" s="65"/>
      <c r="NLZ121" s="65"/>
      <c r="NMA121" s="65"/>
      <c r="NMB121" s="65"/>
      <c r="NMC121" s="65"/>
      <c r="NMD121" s="65"/>
      <c r="NME121" s="65"/>
      <c r="NMF121" s="65"/>
      <c r="NMG121" s="65"/>
      <c r="NMH121" s="65"/>
      <c r="NMI121" s="65"/>
      <c r="NMJ121" s="65"/>
      <c r="NMK121" s="65"/>
      <c r="NML121" s="65"/>
      <c r="NMM121" s="65"/>
      <c r="NMN121" s="65"/>
      <c r="NMO121" s="65"/>
      <c r="NMP121" s="65"/>
      <c r="NMQ121" s="65"/>
      <c r="NMR121" s="65"/>
      <c r="NMS121" s="65"/>
      <c r="NMT121" s="65"/>
      <c r="NMU121" s="65"/>
      <c r="NMV121" s="65"/>
      <c r="NMW121" s="65"/>
      <c r="NMX121" s="65"/>
      <c r="NMY121" s="65"/>
      <c r="NMZ121" s="65"/>
      <c r="NNA121" s="65"/>
      <c r="NNB121" s="65"/>
      <c r="NNC121" s="65"/>
      <c r="NND121" s="65"/>
      <c r="NNE121" s="65"/>
      <c r="NNF121" s="65"/>
      <c r="NNG121" s="65"/>
      <c r="NNH121" s="65"/>
      <c r="NNI121" s="65"/>
      <c r="NNJ121" s="65"/>
      <c r="NNK121" s="65"/>
      <c r="NNL121" s="65"/>
      <c r="NNM121" s="65"/>
      <c r="NNN121" s="65"/>
      <c r="NNO121" s="65"/>
      <c r="NNP121" s="65"/>
      <c r="NNQ121" s="65"/>
      <c r="NNR121" s="65"/>
      <c r="NNS121" s="65"/>
      <c r="NNT121" s="65"/>
      <c r="NNU121" s="65"/>
      <c r="NNV121" s="65"/>
      <c r="NNW121" s="65"/>
      <c r="NNX121" s="65"/>
      <c r="NNY121" s="65"/>
      <c r="NNZ121" s="65"/>
      <c r="NOA121" s="65"/>
      <c r="NOB121" s="65"/>
      <c r="NOC121" s="65"/>
      <c r="NOD121" s="65"/>
      <c r="NOE121" s="65"/>
      <c r="NOF121" s="65"/>
      <c r="NOG121" s="65"/>
      <c r="NOH121" s="65"/>
      <c r="NOI121" s="65"/>
      <c r="NOJ121" s="65"/>
      <c r="NOK121" s="65"/>
      <c r="NOL121" s="65"/>
      <c r="NOM121" s="65"/>
      <c r="NON121" s="65"/>
      <c r="NOO121" s="65"/>
      <c r="NOP121" s="65"/>
      <c r="NOQ121" s="65"/>
      <c r="NOR121" s="65"/>
      <c r="NOS121" s="65"/>
      <c r="NOT121" s="65"/>
      <c r="NOU121" s="65"/>
      <c r="NOV121" s="65"/>
      <c r="NOW121" s="65"/>
      <c r="NOX121" s="65"/>
      <c r="NOY121" s="65"/>
      <c r="NOZ121" s="65"/>
      <c r="NPA121" s="65"/>
      <c r="NPB121" s="65"/>
      <c r="NPC121" s="65"/>
      <c r="NPD121" s="65"/>
      <c r="NPE121" s="65"/>
      <c r="NPF121" s="65"/>
      <c r="NPG121" s="65"/>
      <c r="NPH121" s="65"/>
      <c r="NPI121" s="65"/>
      <c r="NPJ121" s="65"/>
      <c r="NPK121" s="65"/>
      <c r="NPL121" s="65"/>
      <c r="NPM121" s="65"/>
      <c r="NPN121" s="65"/>
      <c r="NPO121" s="65"/>
      <c r="NPP121" s="65"/>
      <c r="NPQ121" s="65"/>
      <c r="NPR121" s="65"/>
      <c r="NPS121" s="65"/>
      <c r="NPT121" s="65"/>
      <c r="NPU121" s="65"/>
      <c r="NPV121" s="65"/>
      <c r="NPW121" s="65"/>
      <c r="NPX121" s="65"/>
      <c r="NPY121" s="65"/>
      <c r="NPZ121" s="65"/>
      <c r="NQA121" s="65"/>
      <c r="NQB121" s="65"/>
      <c r="NQC121" s="65"/>
      <c r="NQD121" s="65"/>
      <c r="NQE121" s="65"/>
      <c r="NQF121" s="65"/>
      <c r="NQG121" s="65"/>
      <c r="NQH121" s="65"/>
      <c r="NQI121" s="65"/>
      <c r="NQJ121" s="65"/>
      <c r="NQK121" s="65"/>
      <c r="NQL121" s="65"/>
      <c r="NQM121" s="65"/>
      <c r="NQN121" s="65"/>
      <c r="NQO121" s="65"/>
      <c r="NQP121" s="65"/>
      <c r="NQQ121" s="65"/>
      <c r="NQR121" s="65"/>
      <c r="NQS121" s="65"/>
      <c r="NQT121" s="65"/>
      <c r="NQU121" s="65"/>
      <c r="NQV121" s="65"/>
      <c r="NQW121" s="65"/>
      <c r="NQX121" s="65"/>
      <c r="NQY121" s="65"/>
      <c r="NQZ121" s="65"/>
      <c r="NRA121" s="65"/>
      <c r="NRB121" s="65"/>
      <c r="NRC121" s="65"/>
      <c r="NRD121" s="65"/>
      <c r="NRE121" s="65"/>
      <c r="NRF121" s="65"/>
      <c r="NRG121" s="65"/>
      <c r="NRH121" s="65"/>
      <c r="NRI121" s="65"/>
      <c r="NRJ121" s="65"/>
      <c r="NRK121" s="65"/>
      <c r="NRL121" s="65"/>
      <c r="NRM121" s="65"/>
      <c r="NRN121" s="65"/>
      <c r="NRO121" s="65"/>
      <c r="NRP121" s="65"/>
      <c r="NRQ121" s="65"/>
      <c r="NRR121" s="65"/>
      <c r="NRS121" s="65"/>
      <c r="NRT121" s="65"/>
      <c r="NRU121" s="65"/>
      <c r="NRV121" s="65"/>
      <c r="NRW121" s="65"/>
      <c r="NRX121" s="65"/>
      <c r="NRY121" s="65"/>
      <c r="NRZ121" s="65"/>
      <c r="NSA121" s="65"/>
      <c r="NSB121" s="65"/>
      <c r="NSC121" s="65"/>
      <c r="NSD121" s="65"/>
      <c r="NSE121" s="65"/>
      <c r="NSF121" s="65"/>
      <c r="NSG121" s="65"/>
      <c r="NSH121" s="65"/>
      <c r="NSI121" s="65"/>
      <c r="NSJ121" s="65"/>
      <c r="NSK121" s="65"/>
      <c r="NSL121" s="65"/>
      <c r="NSM121" s="65"/>
      <c r="NSN121" s="65"/>
      <c r="NSO121" s="65"/>
      <c r="NSP121" s="65"/>
      <c r="NSQ121" s="65"/>
      <c r="NSR121" s="65"/>
      <c r="NSS121" s="65"/>
      <c r="NST121" s="65"/>
      <c r="NSU121" s="65"/>
      <c r="NSV121" s="65"/>
      <c r="NSW121" s="65"/>
      <c r="NSX121" s="65"/>
      <c r="NSY121" s="65"/>
      <c r="NSZ121" s="65"/>
      <c r="NTA121" s="65"/>
      <c r="NTB121" s="65"/>
      <c r="NTC121" s="65"/>
      <c r="NTD121" s="65"/>
      <c r="NTE121" s="65"/>
      <c r="NTF121" s="65"/>
      <c r="NTG121" s="65"/>
      <c r="NTH121" s="65"/>
      <c r="NTI121" s="65"/>
      <c r="NTJ121" s="65"/>
      <c r="NTK121" s="65"/>
      <c r="NTL121" s="65"/>
      <c r="NTM121" s="65"/>
      <c r="NTN121" s="65"/>
      <c r="NTO121" s="65"/>
      <c r="NTP121" s="65"/>
      <c r="NTQ121" s="65"/>
      <c r="NTR121" s="65"/>
      <c r="NTS121" s="65"/>
      <c r="NTT121" s="65"/>
      <c r="NTU121" s="65"/>
      <c r="NTV121" s="65"/>
      <c r="NTW121" s="65"/>
      <c r="NTX121" s="65"/>
      <c r="NTY121" s="65"/>
      <c r="NTZ121" s="65"/>
      <c r="NUA121" s="65"/>
      <c r="NUB121" s="65"/>
      <c r="NUC121" s="65"/>
      <c r="NUD121" s="65"/>
      <c r="NUE121" s="65"/>
      <c r="NUF121" s="65"/>
      <c r="NUG121" s="65"/>
      <c r="NUH121" s="65"/>
      <c r="NUI121" s="65"/>
      <c r="NUJ121" s="65"/>
      <c r="NUK121" s="65"/>
      <c r="NUL121" s="65"/>
      <c r="NUM121" s="65"/>
      <c r="NUN121" s="65"/>
      <c r="NUO121" s="65"/>
      <c r="NUP121" s="65"/>
      <c r="NUQ121" s="65"/>
      <c r="NUR121" s="65"/>
      <c r="NUS121" s="65"/>
      <c r="NUT121" s="65"/>
      <c r="NUU121" s="65"/>
      <c r="NUV121" s="65"/>
      <c r="NUW121" s="65"/>
      <c r="NUX121" s="65"/>
      <c r="NUY121" s="65"/>
      <c r="NUZ121" s="65"/>
      <c r="NVA121" s="65"/>
      <c r="NVB121" s="65"/>
      <c r="NVC121" s="65"/>
      <c r="NVD121" s="65"/>
      <c r="NVE121" s="65"/>
      <c r="NVF121" s="65"/>
      <c r="NVG121" s="65"/>
      <c r="NVH121" s="65"/>
      <c r="NVI121" s="65"/>
      <c r="NVJ121" s="65"/>
      <c r="NVK121" s="65"/>
      <c r="NVL121" s="65"/>
      <c r="NVM121" s="65"/>
      <c r="NVN121" s="65"/>
      <c r="NVO121" s="65"/>
      <c r="NVP121" s="65"/>
      <c r="NVQ121" s="65"/>
      <c r="NVR121" s="65"/>
      <c r="NVS121" s="65"/>
      <c r="NVT121" s="65"/>
      <c r="NVU121" s="65"/>
      <c r="NVV121" s="65"/>
      <c r="NVW121" s="65"/>
      <c r="NVX121" s="65"/>
      <c r="NVY121" s="65"/>
      <c r="NVZ121" s="65"/>
      <c r="NWA121" s="65"/>
      <c r="NWB121" s="65"/>
      <c r="NWC121" s="65"/>
      <c r="NWD121" s="65"/>
      <c r="NWE121" s="65"/>
      <c r="NWF121" s="65"/>
      <c r="NWG121" s="65"/>
      <c r="NWH121" s="65"/>
      <c r="NWI121" s="65"/>
      <c r="NWJ121" s="65"/>
      <c r="NWK121" s="65"/>
      <c r="NWL121" s="65"/>
      <c r="NWM121" s="65"/>
      <c r="NWN121" s="65"/>
      <c r="NWO121" s="65"/>
      <c r="NWP121" s="65"/>
      <c r="NWQ121" s="65"/>
      <c r="NWR121" s="65"/>
      <c r="NWS121" s="65"/>
      <c r="NWT121" s="65"/>
      <c r="NWU121" s="65"/>
      <c r="NWV121" s="65"/>
      <c r="NWW121" s="65"/>
      <c r="NWX121" s="65"/>
      <c r="NWY121" s="65"/>
      <c r="NWZ121" s="65"/>
      <c r="NXA121" s="65"/>
      <c r="NXB121" s="65"/>
      <c r="NXC121" s="65"/>
      <c r="NXD121" s="65"/>
      <c r="NXE121" s="65"/>
      <c r="NXF121" s="65"/>
      <c r="NXG121" s="65"/>
      <c r="NXH121" s="65"/>
      <c r="NXI121" s="65"/>
      <c r="NXJ121" s="65"/>
      <c r="NXK121" s="65"/>
      <c r="NXL121" s="65"/>
      <c r="NXM121" s="65"/>
      <c r="NXN121" s="65"/>
      <c r="NXO121" s="65"/>
      <c r="NXP121" s="65"/>
      <c r="NXQ121" s="65"/>
      <c r="NXR121" s="65"/>
      <c r="NXS121" s="65"/>
      <c r="NXT121" s="65"/>
      <c r="NXU121" s="65"/>
      <c r="NXV121" s="65"/>
      <c r="NXW121" s="65"/>
      <c r="NXX121" s="65"/>
      <c r="NXY121" s="65"/>
      <c r="NXZ121" s="65"/>
      <c r="NYA121" s="65"/>
      <c r="NYB121" s="65"/>
      <c r="NYC121" s="65"/>
      <c r="NYD121" s="65"/>
      <c r="NYE121" s="65"/>
      <c r="NYF121" s="65"/>
      <c r="NYG121" s="65"/>
      <c r="NYH121" s="65"/>
      <c r="NYI121" s="65"/>
      <c r="NYJ121" s="65"/>
      <c r="NYK121" s="65"/>
      <c r="NYL121" s="65"/>
      <c r="NYM121" s="65"/>
      <c r="NYN121" s="65"/>
      <c r="NYO121" s="65"/>
      <c r="NYP121" s="65"/>
      <c r="NYQ121" s="65"/>
      <c r="NYR121" s="65"/>
      <c r="NYS121" s="65"/>
      <c r="NYT121" s="65"/>
      <c r="NYU121" s="65"/>
      <c r="NYV121" s="65"/>
      <c r="NYW121" s="65"/>
      <c r="NYX121" s="65"/>
      <c r="NYY121" s="65"/>
      <c r="NYZ121" s="65"/>
      <c r="NZA121" s="65"/>
      <c r="NZB121" s="65"/>
      <c r="NZC121" s="65"/>
      <c r="NZD121" s="65"/>
      <c r="NZE121" s="65"/>
      <c r="NZF121" s="65"/>
      <c r="NZG121" s="65"/>
      <c r="NZH121" s="65"/>
      <c r="NZI121" s="65"/>
      <c r="NZJ121" s="65"/>
      <c r="NZK121" s="65"/>
      <c r="NZL121" s="65"/>
      <c r="NZM121" s="65"/>
      <c r="NZN121" s="65"/>
      <c r="NZO121" s="65"/>
      <c r="NZP121" s="65"/>
      <c r="NZQ121" s="65"/>
      <c r="NZR121" s="65"/>
      <c r="NZS121" s="65"/>
      <c r="NZT121" s="65"/>
      <c r="NZU121" s="65"/>
      <c r="NZV121" s="65"/>
      <c r="NZW121" s="65"/>
      <c r="NZX121" s="65"/>
      <c r="NZY121" s="65"/>
      <c r="NZZ121" s="65"/>
      <c r="OAA121" s="65"/>
      <c r="OAB121" s="65"/>
      <c r="OAC121" s="65"/>
      <c r="OAD121" s="65"/>
      <c r="OAE121" s="65"/>
      <c r="OAF121" s="65"/>
      <c r="OAG121" s="65"/>
      <c r="OAH121" s="65"/>
      <c r="OAI121" s="65"/>
      <c r="OAJ121" s="65"/>
      <c r="OAK121" s="65"/>
      <c r="OAL121" s="65"/>
      <c r="OAM121" s="65"/>
      <c r="OAN121" s="65"/>
      <c r="OAO121" s="65"/>
      <c r="OAP121" s="65"/>
      <c r="OAQ121" s="65"/>
      <c r="OAR121" s="65"/>
      <c r="OAS121" s="65"/>
      <c r="OAT121" s="65"/>
      <c r="OAU121" s="65"/>
      <c r="OAV121" s="65"/>
      <c r="OAW121" s="65"/>
      <c r="OAX121" s="65"/>
      <c r="OAY121" s="65"/>
      <c r="OAZ121" s="65"/>
      <c r="OBA121" s="65"/>
      <c r="OBB121" s="65"/>
      <c r="OBC121" s="65"/>
      <c r="OBD121" s="65"/>
      <c r="OBE121" s="65"/>
      <c r="OBF121" s="65"/>
      <c r="OBG121" s="65"/>
      <c r="OBH121" s="65"/>
      <c r="OBI121" s="65"/>
      <c r="OBJ121" s="65"/>
      <c r="OBK121" s="65"/>
      <c r="OBL121" s="65"/>
      <c r="OBM121" s="65"/>
      <c r="OBN121" s="65"/>
      <c r="OBO121" s="65"/>
      <c r="OBP121" s="65"/>
      <c r="OBQ121" s="65"/>
      <c r="OBR121" s="65"/>
      <c r="OBS121" s="65"/>
      <c r="OBT121" s="65"/>
      <c r="OBU121" s="65"/>
      <c r="OBV121" s="65"/>
      <c r="OBW121" s="65"/>
      <c r="OBX121" s="65"/>
      <c r="OBY121" s="65"/>
      <c r="OBZ121" s="65"/>
      <c r="OCA121" s="65"/>
      <c r="OCB121" s="65"/>
      <c r="OCC121" s="65"/>
      <c r="OCD121" s="65"/>
      <c r="OCE121" s="65"/>
      <c r="OCF121" s="65"/>
      <c r="OCG121" s="65"/>
      <c r="OCH121" s="65"/>
      <c r="OCI121" s="65"/>
      <c r="OCJ121" s="65"/>
      <c r="OCK121" s="65"/>
      <c r="OCL121" s="65"/>
      <c r="OCM121" s="65"/>
      <c r="OCN121" s="65"/>
      <c r="OCO121" s="65"/>
      <c r="OCP121" s="65"/>
      <c r="OCQ121" s="65"/>
      <c r="OCR121" s="65"/>
      <c r="OCS121" s="65"/>
      <c r="OCT121" s="65"/>
      <c r="OCU121" s="65"/>
      <c r="OCV121" s="65"/>
      <c r="OCW121" s="65"/>
      <c r="OCX121" s="65"/>
      <c r="OCY121" s="65"/>
      <c r="OCZ121" s="65"/>
      <c r="ODA121" s="65"/>
      <c r="ODB121" s="65"/>
      <c r="ODC121" s="65"/>
      <c r="ODD121" s="65"/>
      <c r="ODE121" s="65"/>
      <c r="ODF121" s="65"/>
      <c r="ODG121" s="65"/>
      <c r="ODH121" s="65"/>
      <c r="ODI121" s="65"/>
      <c r="ODJ121" s="65"/>
      <c r="ODK121" s="65"/>
      <c r="ODL121" s="65"/>
      <c r="ODM121" s="65"/>
      <c r="ODN121" s="65"/>
      <c r="ODO121" s="65"/>
      <c r="ODP121" s="65"/>
      <c r="ODQ121" s="65"/>
      <c r="ODR121" s="65"/>
      <c r="ODS121" s="65"/>
      <c r="ODT121" s="65"/>
      <c r="ODU121" s="65"/>
      <c r="ODV121" s="65"/>
      <c r="ODW121" s="65"/>
      <c r="ODX121" s="65"/>
      <c r="ODY121" s="65"/>
      <c r="ODZ121" s="65"/>
      <c r="OEA121" s="65"/>
      <c r="OEB121" s="65"/>
      <c r="OEC121" s="65"/>
      <c r="OED121" s="65"/>
      <c r="OEE121" s="65"/>
      <c r="OEF121" s="65"/>
      <c r="OEG121" s="65"/>
      <c r="OEH121" s="65"/>
      <c r="OEI121" s="65"/>
      <c r="OEJ121" s="65"/>
      <c r="OEK121" s="65"/>
      <c r="OEL121" s="65"/>
      <c r="OEM121" s="65"/>
      <c r="OEN121" s="65"/>
      <c r="OEO121" s="65"/>
      <c r="OEP121" s="65"/>
      <c r="OEQ121" s="65"/>
      <c r="OER121" s="65"/>
      <c r="OES121" s="65"/>
      <c r="OET121" s="65"/>
      <c r="OEU121" s="65"/>
      <c r="OEV121" s="65"/>
      <c r="OEW121" s="65"/>
      <c r="OEX121" s="65"/>
      <c r="OEY121" s="65"/>
      <c r="OEZ121" s="65"/>
      <c r="OFA121" s="65"/>
      <c r="OFB121" s="65"/>
      <c r="OFC121" s="65"/>
      <c r="OFD121" s="65"/>
      <c r="OFE121" s="65"/>
      <c r="OFF121" s="65"/>
      <c r="OFG121" s="65"/>
      <c r="OFH121" s="65"/>
      <c r="OFI121" s="65"/>
      <c r="OFJ121" s="65"/>
      <c r="OFK121" s="65"/>
      <c r="OFL121" s="65"/>
      <c r="OFM121" s="65"/>
      <c r="OFN121" s="65"/>
      <c r="OFO121" s="65"/>
      <c r="OFP121" s="65"/>
      <c r="OFQ121" s="65"/>
      <c r="OFR121" s="65"/>
      <c r="OFS121" s="65"/>
      <c r="OFT121" s="65"/>
      <c r="OFU121" s="65"/>
      <c r="OFV121" s="65"/>
      <c r="OFW121" s="65"/>
      <c r="OFX121" s="65"/>
      <c r="OFY121" s="65"/>
      <c r="OFZ121" s="65"/>
      <c r="OGA121" s="65"/>
      <c r="OGB121" s="65"/>
      <c r="OGC121" s="65"/>
      <c r="OGD121" s="65"/>
      <c r="OGE121" s="65"/>
      <c r="OGF121" s="65"/>
      <c r="OGG121" s="65"/>
      <c r="OGH121" s="65"/>
      <c r="OGI121" s="65"/>
      <c r="OGJ121" s="65"/>
      <c r="OGK121" s="65"/>
      <c r="OGL121" s="65"/>
      <c r="OGM121" s="65"/>
      <c r="OGN121" s="65"/>
      <c r="OGO121" s="65"/>
      <c r="OGP121" s="65"/>
      <c r="OGQ121" s="65"/>
      <c r="OGR121" s="65"/>
      <c r="OGS121" s="65"/>
      <c r="OGT121" s="65"/>
      <c r="OGU121" s="65"/>
      <c r="OGV121" s="65"/>
      <c r="OGW121" s="65"/>
      <c r="OGX121" s="65"/>
      <c r="OGY121" s="65"/>
      <c r="OGZ121" s="65"/>
      <c r="OHA121" s="65"/>
      <c r="OHB121" s="65"/>
      <c r="OHC121" s="65"/>
      <c r="OHD121" s="65"/>
      <c r="OHE121" s="65"/>
      <c r="OHF121" s="65"/>
      <c r="OHG121" s="65"/>
      <c r="OHH121" s="65"/>
      <c r="OHI121" s="65"/>
      <c r="OHJ121" s="65"/>
      <c r="OHK121" s="65"/>
      <c r="OHL121" s="65"/>
      <c r="OHM121" s="65"/>
      <c r="OHN121" s="65"/>
      <c r="OHO121" s="65"/>
      <c r="OHP121" s="65"/>
      <c r="OHQ121" s="65"/>
      <c r="OHR121" s="65"/>
      <c r="OHS121" s="65"/>
      <c r="OHT121" s="65"/>
      <c r="OHU121" s="65"/>
      <c r="OHV121" s="65"/>
      <c r="OHW121" s="65"/>
      <c r="OHX121" s="65"/>
      <c r="OHY121" s="65"/>
      <c r="OHZ121" s="65"/>
      <c r="OIA121" s="65"/>
      <c r="OIB121" s="65"/>
      <c r="OIC121" s="65"/>
      <c r="OID121" s="65"/>
      <c r="OIE121" s="65"/>
      <c r="OIF121" s="65"/>
      <c r="OIG121" s="65"/>
      <c r="OIH121" s="65"/>
      <c r="OII121" s="65"/>
      <c r="OIJ121" s="65"/>
      <c r="OIK121" s="65"/>
      <c r="OIL121" s="65"/>
      <c r="OIM121" s="65"/>
      <c r="OIN121" s="65"/>
      <c r="OIO121" s="65"/>
      <c r="OIP121" s="65"/>
      <c r="OIQ121" s="65"/>
      <c r="OIR121" s="65"/>
      <c r="OIS121" s="65"/>
      <c r="OIT121" s="65"/>
      <c r="OIU121" s="65"/>
      <c r="OIV121" s="65"/>
      <c r="OIW121" s="65"/>
      <c r="OIX121" s="65"/>
      <c r="OIY121" s="65"/>
      <c r="OIZ121" s="65"/>
      <c r="OJA121" s="65"/>
      <c r="OJB121" s="65"/>
      <c r="OJC121" s="65"/>
      <c r="OJD121" s="65"/>
      <c r="OJE121" s="65"/>
      <c r="OJF121" s="65"/>
      <c r="OJG121" s="65"/>
      <c r="OJH121" s="65"/>
      <c r="OJI121" s="65"/>
      <c r="OJJ121" s="65"/>
      <c r="OJK121" s="65"/>
      <c r="OJL121" s="65"/>
      <c r="OJM121" s="65"/>
      <c r="OJN121" s="65"/>
      <c r="OJO121" s="65"/>
      <c r="OJP121" s="65"/>
      <c r="OJQ121" s="65"/>
      <c r="OJR121" s="65"/>
      <c r="OJS121" s="65"/>
      <c r="OJT121" s="65"/>
      <c r="OJU121" s="65"/>
      <c r="OJV121" s="65"/>
      <c r="OJW121" s="65"/>
      <c r="OJX121" s="65"/>
      <c r="OJY121" s="65"/>
      <c r="OJZ121" s="65"/>
      <c r="OKA121" s="65"/>
      <c r="OKB121" s="65"/>
      <c r="OKC121" s="65"/>
      <c r="OKD121" s="65"/>
      <c r="OKE121" s="65"/>
      <c r="OKF121" s="65"/>
      <c r="OKG121" s="65"/>
      <c r="OKH121" s="65"/>
      <c r="OKI121" s="65"/>
      <c r="OKJ121" s="65"/>
      <c r="OKK121" s="65"/>
      <c r="OKL121" s="65"/>
      <c r="OKM121" s="65"/>
      <c r="OKN121" s="65"/>
      <c r="OKO121" s="65"/>
      <c r="OKP121" s="65"/>
      <c r="OKQ121" s="65"/>
      <c r="OKR121" s="65"/>
      <c r="OKS121" s="65"/>
      <c r="OKT121" s="65"/>
      <c r="OKU121" s="65"/>
      <c r="OKV121" s="65"/>
      <c r="OKW121" s="65"/>
      <c r="OKX121" s="65"/>
      <c r="OKY121" s="65"/>
      <c r="OKZ121" s="65"/>
      <c r="OLA121" s="65"/>
      <c r="OLB121" s="65"/>
      <c r="OLC121" s="65"/>
      <c r="OLD121" s="65"/>
      <c r="OLE121" s="65"/>
      <c r="OLF121" s="65"/>
      <c r="OLG121" s="65"/>
      <c r="OLH121" s="65"/>
      <c r="OLI121" s="65"/>
      <c r="OLJ121" s="65"/>
      <c r="OLK121" s="65"/>
      <c r="OLL121" s="65"/>
      <c r="OLM121" s="65"/>
      <c r="OLN121" s="65"/>
      <c r="OLO121" s="65"/>
      <c r="OLP121" s="65"/>
      <c r="OLQ121" s="65"/>
      <c r="OLR121" s="65"/>
      <c r="OLS121" s="65"/>
      <c r="OLT121" s="65"/>
      <c r="OLU121" s="65"/>
      <c r="OLV121" s="65"/>
      <c r="OLW121" s="65"/>
      <c r="OLX121" s="65"/>
      <c r="OLY121" s="65"/>
      <c r="OLZ121" s="65"/>
      <c r="OMA121" s="65"/>
      <c r="OMB121" s="65"/>
      <c r="OMC121" s="65"/>
      <c r="OMD121" s="65"/>
      <c r="OME121" s="65"/>
      <c r="OMF121" s="65"/>
      <c r="OMG121" s="65"/>
      <c r="OMH121" s="65"/>
      <c r="OMI121" s="65"/>
      <c r="OMJ121" s="65"/>
      <c r="OMK121" s="65"/>
      <c r="OML121" s="65"/>
      <c r="OMM121" s="65"/>
      <c r="OMN121" s="65"/>
      <c r="OMO121" s="65"/>
      <c r="OMP121" s="65"/>
      <c r="OMQ121" s="65"/>
      <c r="OMR121" s="65"/>
      <c r="OMS121" s="65"/>
      <c r="OMT121" s="65"/>
      <c r="OMU121" s="65"/>
      <c r="OMV121" s="65"/>
      <c r="OMW121" s="65"/>
      <c r="OMX121" s="65"/>
      <c r="OMY121" s="65"/>
      <c r="OMZ121" s="65"/>
      <c r="ONA121" s="65"/>
      <c r="ONB121" s="65"/>
      <c r="ONC121" s="65"/>
      <c r="OND121" s="65"/>
      <c r="ONE121" s="65"/>
      <c r="ONF121" s="65"/>
      <c r="ONG121" s="65"/>
      <c r="ONH121" s="65"/>
      <c r="ONI121" s="65"/>
      <c r="ONJ121" s="65"/>
      <c r="ONK121" s="65"/>
      <c r="ONL121" s="65"/>
      <c r="ONM121" s="65"/>
      <c r="ONN121" s="65"/>
      <c r="ONO121" s="65"/>
      <c r="ONP121" s="65"/>
      <c r="ONQ121" s="65"/>
      <c r="ONR121" s="65"/>
      <c r="ONS121" s="65"/>
      <c r="ONT121" s="65"/>
      <c r="ONU121" s="65"/>
      <c r="ONV121" s="65"/>
      <c r="ONW121" s="65"/>
      <c r="ONX121" s="65"/>
      <c r="ONY121" s="65"/>
      <c r="ONZ121" s="65"/>
      <c r="OOA121" s="65"/>
      <c r="OOB121" s="65"/>
      <c r="OOC121" s="65"/>
      <c r="OOD121" s="65"/>
      <c r="OOE121" s="65"/>
      <c r="OOF121" s="65"/>
      <c r="OOG121" s="65"/>
      <c r="OOH121" s="65"/>
      <c r="OOI121" s="65"/>
      <c r="OOJ121" s="65"/>
      <c r="OOK121" s="65"/>
      <c r="OOL121" s="65"/>
      <c r="OOM121" s="65"/>
      <c r="OON121" s="65"/>
      <c r="OOO121" s="65"/>
      <c r="OOP121" s="65"/>
      <c r="OOQ121" s="65"/>
      <c r="OOR121" s="65"/>
      <c r="OOS121" s="65"/>
      <c r="OOT121" s="65"/>
      <c r="OOU121" s="65"/>
      <c r="OOV121" s="65"/>
      <c r="OOW121" s="65"/>
      <c r="OOX121" s="65"/>
      <c r="OOY121" s="65"/>
      <c r="OOZ121" s="65"/>
      <c r="OPA121" s="65"/>
      <c r="OPB121" s="65"/>
      <c r="OPC121" s="65"/>
      <c r="OPD121" s="65"/>
      <c r="OPE121" s="65"/>
      <c r="OPF121" s="65"/>
      <c r="OPG121" s="65"/>
      <c r="OPH121" s="65"/>
      <c r="OPI121" s="65"/>
      <c r="OPJ121" s="65"/>
      <c r="OPK121" s="65"/>
      <c r="OPL121" s="65"/>
      <c r="OPM121" s="65"/>
      <c r="OPN121" s="65"/>
      <c r="OPO121" s="65"/>
      <c r="OPP121" s="65"/>
      <c r="OPQ121" s="65"/>
      <c r="OPR121" s="65"/>
      <c r="OPS121" s="65"/>
      <c r="OPT121" s="65"/>
      <c r="OPU121" s="65"/>
      <c r="OPV121" s="65"/>
      <c r="OPW121" s="65"/>
      <c r="OPX121" s="65"/>
      <c r="OPY121" s="65"/>
      <c r="OPZ121" s="65"/>
      <c r="OQA121" s="65"/>
      <c r="OQB121" s="65"/>
      <c r="OQC121" s="65"/>
      <c r="OQD121" s="65"/>
      <c r="OQE121" s="65"/>
      <c r="OQF121" s="65"/>
      <c r="OQG121" s="65"/>
      <c r="OQH121" s="65"/>
      <c r="OQI121" s="65"/>
      <c r="OQJ121" s="65"/>
      <c r="OQK121" s="65"/>
      <c r="OQL121" s="65"/>
      <c r="OQM121" s="65"/>
      <c r="OQN121" s="65"/>
      <c r="OQO121" s="65"/>
      <c r="OQP121" s="65"/>
      <c r="OQQ121" s="65"/>
      <c r="OQR121" s="65"/>
      <c r="OQS121" s="65"/>
      <c r="OQT121" s="65"/>
      <c r="OQU121" s="65"/>
      <c r="OQV121" s="65"/>
      <c r="OQW121" s="65"/>
      <c r="OQX121" s="65"/>
      <c r="OQY121" s="65"/>
      <c r="OQZ121" s="65"/>
      <c r="ORA121" s="65"/>
      <c r="ORB121" s="65"/>
      <c r="ORC121" s="65"/>
      <c r="ORD121" s="65"/>
      <c r="ORE121" s="65"/>
      <c r="ORF121" s="65"/>
      <c r="ORG121" s="65"/>
      <c r="ORH121" s="65"/>
      <c r="ORI121" s="65"/>
      <c r="ORJ121" s="65"/>
      <c r="ORK121" s="65"/>
      <c r="ORL121" s="65"/>
      <c r="ORM121" s="65"/>
      <c r="ORN121" s="65"/>
      <c r="ORO121" s="65"/>
      <c r="ORP121" s="65"/>
      <c r="ORQ121" s="65"/>
      <c r="ORR121" s="65"/>
      <c r="ORS121" s="65"/>
      <c r="ORT121" s="65"/>
      <c r="ORU121" s="65"/>
      <c r="ORV121" s="65"/>
      <c r="ORW121" s="65"/>
      <c r="ORX121" s="65"/>
      <c r="ORY121" s="65"/>
      <c r="ORZ121" s="65"/>
      <c r="OSA121" s="65"/>
      <c r="OSB121" s="65"/>
      <c r="OSC121" s="65"/>
      <c r="OSD121" s="65"/>
      <c r="OSE121" s="65"/>
      <c r="OSF121" s="65"/>
      <c r="OSG121" s="65"/>
      <c r="OSH121" s="65"/>
      <c r="OSI121" s="65"/>
      <c r="OSJ121" s="65"/>
      <c r="OSK121" s="65"/>
      <c r="OSL121" s="65"/>
      <c r="OSM121" s="65"/>
      <c r="OSN121" s="65"/>
      <c r="OSO121" s="65"/>
      <c r="OSP121" s="65"/>
      <c r="OSQ121" s="65"/>
      <c r="OSR121" s="65"/>
      <c r="OSS121" s="65"/>
      <c r="OST121" s="65"/>
      <c r="OSU121" s="65"/>
      <c r="OSV121" s="65"/>
      <c r="OSW121" s="65"/>
      <c r="OSX121" s="65"/>
      <c r="OSY121" s="65"/>
      <c r="OSZ121" s="65"/>
      <c r="OTA121" s="65"/>
      <c r="OTB121" s="65"/>
      <c r="OTC121" s="65"/>
      <c r="OTD121" s="65"/>
      <c r="OTE121" s="65"/>
      <c r="OTF121" s="65"/>
      <c r="OTG121" s="65"/>
      <c r="OTH121" s="65"/>
      <c r="OTI121" s="65"/>
      <c r="OTJ121" s="65"/>
      <c r="OTK121" s="65"/>
      <c r="OTL121" s="65"/>
      <c r="OTM121" s="65"/>
      <c r="OTN121" s="65"/>
      <c r="OTO121" s="65"/>
      <c r="OTP121" s="65"/>
      <c r="OTQ121" s="65"/>
      <c r="OTR121" s="65"/>
      <c r="OTS121" s="65"/>
      <c r="OTT121" s="65"/>
      <c r="OTU121" s="65"/>
      <c r="OTV121" s="65"/>
      <c r="OTW121" s="65"/>
      <c r="OTX121" s="65"/>
      <c r="OTY121" s="65"/>
      <c r="OTZ121" s="65"/>
      <c r="OUA121" s="65"/>
      <c r="OUB121" s="65"/>
      <c r="OUC121" s="65"/>
      <c r="OUD121" s="65"/>
      <c r="OUE121" s="65"/>
      <c r="OUF121" s="65"/>
      <c r="OUG121" s="65"/>
      <c r="OUH121" s="65"/>
      <c r="OUI121" s="65"/>
      <c r="OUJ121" s="65"/>
      <c r="OUK121" s="65"/>
      <c r="OUL121" s="65"/>
      <c r="OUM121" s="65"/>
      <c r="OUN121" s="65"/>
      <c r="OUO121" s="65"/>
      <c r="OUP121" s="65"/>
      <c r="OUQ121" s="65"/>
      <c r="OUR121" s="65"/>
      <c r="OUS121" s="65"/>
      <c r="OUT121" s="65"/>
      <c r="OUU121" s="65"/>
      <c r="OUV121" s="65"/>
      <c r="OUW121" s="65"/>
      <c r="OUX121" s="65"/>
      <c r="OUY121" s="65"/>
      <c r="OUZ121" s="65"/>
      <c r="OVA121" s="65"/>
      <c r="OVB121" s="65"/>
      <c r="OVC121" s="65"/>
      <c r="OVD121" s="65"/>
      <c r="OVE121" s="65"/>
      <c r="OVF121" s="65"/>
      <c r="OVG121" s="65"/>
      <c r="OVH121" s="65"/>
      <c r="OVI121" s="65"/>
      <c r="OVJ121" s="65"/>
      <c r="OVK121" s="65"/>
      <c r="OVL121" s="65"/>
      <c r="OVM121" s="65"/>
      <c r="OVN121" s="65"/>
      <c r="OVO121" s="65"/>
      <c r="OVP121" s="65"/>
      <c r="OVQ121" s="65"/>
      <c r="OVR121" s="65"/>
      <c r="OVS121" s="65"/>
      <c r="OVT121" s="65"/>
      <c r="OVU121" s="65"/>
      <c r="OVV121" s="65"/>
      <c r="OVW121" s="65"/>
      <c r="OVX121" s="65"/>
      <c r="OVY121" s="65"/>
      <c r="OVZ121" s="65"/>
      <c r="OWA121" s="65"/>
      <c r="OWB121" s="65"/>
      <c r="OWC121" s="65"/>
      <c r="OWD121" s="65"/>
      <c r="OWE121" s="65"/>
      <c r="OWF121" s="65"/>
      <c r="OWG121" s="65"/>
      <c r="OWH121" s="65"/>
      <c r="OWI121" s="65"/>
      <c r="OWJ121" s="65"/>
      <c r="OWK121" s="65"/>
      <c r="OWL121" s="65"/>
      <c r="OWM121" s="65"/>
      <c r="OWN121" s="65"/>
      <c r="OWO121" s="65"/>
      <c r="OWP121" s="65"/>
      <c r="OWQ121" s="65"/>
      <c r="OWR121" s="65"/>
      <c r="OWS121" s="65"/>
      <c r="OWT121" s="65"/>
      <c r="OWU121" s="65"/>
      <c r="OWV121" s="65"/>
      <c r="OWW121" s="65"/>
      <c r="OWX121" s="65"/>
      <c r="OWY121" s="65"/>
      <c r="OWZ121" s="65"/>
      <c r="OXA121" s="65"/>
      <c r="OXB121" s="65"/>
      <c r="OXC121" s="65"/>
      <c r="OXD121" s="65"/>
      <c r="OXE121" s="65"/>
      <c r="OXF121" s="65"/>
      <c r="OXG121" s="65"/>
      <c r="OXH121" s="65"/>
      <c r="OXI121" s="65"/>
      <c r="OXJ121" s="65"/>
      <c r="OXK121" s="65"/>
      <c r="OXL121" s="65"/>
      <c r="OXM121" s="65"/>
      <c r="OXN121" s="65"/>
      <c r="OXO121" s="65"/>
      <c r="OXP121" s="65"/>
      <c r="OXQ121" s="65"/>
      <c r="OXR121" s="65"/>
      <c r="OXS121" s="65"/>
      <c r="OXT121" s="65"/>
      <c r="OXU121" s="65"/>
      <c r="OXV121" s="65"/>
      <c r="OXW121" s="65"/>
      <c r="OXX121" s="65"/>
      <c r="OXY121" s="65"/>
      <c r="OXZ121" s="65"/>
      <c r="OYA121" s="65"/>
      <c r="OYB121" s="65"/>
      <c r="OYC121" s="65"/>
      <c r="OYD121" s="65"/>
      <c r="OYE121" s="65"/>
      <c r="OYF121" s="65"/>
      <c r="OYG121" s="65"/>
      <c r="OYH121" s="65"/>
      <c r="OYI121" s="65"/>
      <c r="OYJ121" s="65"/>
      <c r="OYK121" s="65"/>
      <c r="OYL121" s="65"/>
      <c r="OYM121" s="65"/>
      <c r="OYN121" s="65"/>
      <c r="OYO121" s="65"/>
      <c r="OYP121" s="65"/>
      <c r="OYQ121" s="65"/>
      <c r="OYR121" s="65"/>
      <c r="OYS121" s="65"/>
      <c r="OYT121" s="65"/>
      <c r="OYU121" s="65"/>
      <c r="OYV121" s="65"/>
      <c r="OYW121" s="65"/>
      <c r="OYX121" s="65"/>
      <c r="OYY121" s="65"/>
      <c r="OYZ121" s="65"/>
      <c r="OZA121" s="65"/>
      <c r="OZB121" s="65"/>
      <c r="OZC121" s="65"/>
      <c r="OZD121" s="65"/>
      <c r="OZE121" s="65"/>
      <c r="OZF121" s="65"/>
      <c r="OZG121" s="65"/>
      <c r="OZH121" s="65"/>
      <c r="OZI121" s="65"/>
      <c r="OZJ121" s="65"/>
      <c r="OZK121" s="65"/>
      <c r="OZL121" s="65"/>
      <c r="OZM121" s="65"/>
      <c r="OZN121" s="65"/>
      <c r="OZO121" s="65"/>
      <c r="OZP121" s="65"/>
      <c r="OZQ121" s="65"/>
      <c r="OZR121" s="65"/>
      <c r="OZS121" s="65"/>
      <c r="OZT121" s="65"/>
      <c r="OZU121" s="65"/>
      <c r="OZV121" s="65"/>
      <c r="OZW121" s="65"/>
      <c r="OZX121" s="65"/>
      <c r="OZY121" s="65"/>
      <c r="OZZ121" s="65"/>
      <c r="PAA121" s="65"/>
      <c r="PAB121" s="65"/>
      <c r="PAC121" s="65"/>
      <c r="PAD121" s="65"/>
      <c r="PAE121" s="65"/>
      <c r="PAF121" s="65"/>
      <c r="PAG121" s="65"/>
      <c r="PAH121" s="65"/>
      <c r="PAI121" s="65"/>
      <c r="PAJ121" s="65"/>
      <c r="PAK121" s="65"/>
      <c r="PAL121" s="65"/>
      <c r="PAM121" s="65"/>
      <c r="PAN121" s="65"/>
      <c r="PAO121" s="65"/>
      <c r="PAP121" s="65"/>
      <c r="PAQ121" s="65"/>
      <c r="PAR121" s="65"/>
      <c r="PAS121" s="65"/>
      <c r="PAT121" s="65"/>
      <c r="PAU121" s="65"/>
      <c r="PAV121" s="65"/>
      <c r="PAW121" s="65"/>
      <c r="PAX121" s="65"/>
      <c r="PAY121" s="65"/>
      <c r="PAZ121" s="65"/>
      <c r="PBA121" s="65"/>
      <c r="PBB121" s="65"/>
      <c r="PBC121" s="65"/>
      <c r="PBD121" s="65"/>
      <c r="PBE121" s="65"/>
      <c r="PBF121" s="65"/>
      <c r="PBG121" s="65"/>
      <c r="PBH121" s="65"/>
      <c r="PBI121" s="65"/>
      <c r="PBJ121" s="65"/>
      <c r="PBK121" s="65"/>
      <c r="PBL121" s="65"/>
      <c r="PBM121" s="65"/>
      <c r="PBN121" s="65"/>
      <c r="PBO121" s="65"/>
      <c r="PBP121" s="65"/>
      <c r="PBQ121" s="65"/>
      <c r="PBR121" s="65"/>
      <c r="PBS121" s="65"/>
      <c r="PBT121" s="65"/>
      <c r="PBU121" s="65"/>
      <c r="PBV121" s="65"/>
      <c r="PBW121" s="65"/>
      <c r="PBX121" s="65"/>
      <c r="PBY121" s="65"/>
      <c r="PBZ121" s="65"/>
      <c r="PCA121" s="65"/>
      <c r="PCB121" s="65"/>
      <c r="PCC121" s="65"/>
      <c r="PCD121" s="65"/>
      <c r="PCE121" s="65"/>
      <c r="PCF121" s="65"/>
      <c r="PCG121" s="65"/>
      <c r="PCH121" s="65"/>
      <c r="PCI121" s="65"/>
      <c r="PCJ121" s="65"/>
      <c r="PCK121" s="65"/>
      <c r="PCL121" s="65"/>
      <c r="PCM121" s="65"/>
      <c r="PCN121" s="65"/>
      <c r="PCO121" s="65"/>
      <c r="PCP121" s="65"/>
      <c r="PCQ121" s="65"/>
      <c r="PCR121" s="65"/>
      <c r="PCS121" s="65"/>
      <c r="PCT121" s="65"/>
      <c r="PCU121" s="65"/>
      <c r="PCV121" s="65"/>
      <c r="PCW121" s="65"/>
      <c r="PCX121" s="65"/>
      <c r="PCY121" s="65"/>
      <c r="PCZ121" s="65"/>
      <c r="PDA121" s="65"/>
      <c r="PDB121" s="65"/>
      <c r="PDC121" s="65"/>
      <c r="PDD121" s="65"/>
      <c r="PDE121" s="65"/>
      <c r="PDF121" s="65"/>
      <c r="PDG121" s="65"/>
      <c r="PDH121" s="65"/>
      <c r="PDI121" s="65"/>
      <c r="PDJ121" s="65"/>
      <c r="PDK121" s="65"/>
      <c r="PDL121" s="65"/>
      <c r="PDM121" s="65"/>
      <c r="PDN121" s="65"/>
      <c r="PDO121" s="65"/>
      <c r="PDP121" s="65"/>
      <c r="PDQ121" s="65"/>
      <c r="PDR121" s="65"/>
      <c r="PDS121" s="65"/>
      <c r="PDT121" s="65"/>
      <c r="PDU121" s="65"/>
      <c r="PDV121" s="65"/>
      <c r="PDW121" s="65"/>
      <c r="PDX121" s="65"/>
      <c r="PDY121" s="65"/>
      <c r="PDZ121" s="65"/>
      <c r="PEA121" s="65"/>
      <c r="PEB121" s="65"/>
      <c r="PEC121" s="65"/>
      <c r="PED121" s="65"/>
      <c r="PEE121" s="65"/>
      <c r="PEF121" s="65"/>
      <c r="PEG121" s="65"/>
      <c r="PEH121" s="65"/>
      <c r="PEI121" s="65"/>
      <c r="PEJ121" s="65"/>
      <c r="PEK121" s="65"/>
      <c r="PEL121" s="65"/>
      <c r="PEM121" s="65"/>
      <c r="PEN121" s="65"/>
      <c r="PEO121" s="65"/>
      <c r="PEP121" s="65"/>
      <c r="PEQ121" s="65"/>
      <c r="PER121" s="65"/>
      <c r="PES121" s="65"/>
      <c r="PET121" s="65"/>
      <c r="PEU121" s="65"/>
      <c r="PEV121" s="65"/>
      <c r="PEW121" s="65"/>
      <c r="PEX121" s="65"/>
      <c r="PEY121" s="65"/>
      <c r="PEZ121" s="65"/>
      <c r="PFA121" s="65"/>
      <c r="PFB121" s="65"/>
      <c r="PFC121" s="65"/>
      <c r="PFD121" s="65"/>
      <c r="PFE121" s="65"/>
      <c r="PFF121" s="65"/>
      <c r="PFG121" s="65"/>
      <c r="PFH121" s="65"/>
      <c r="PFI121" s="65"/>
      <c r="PFJ121" s="65"/>
      <c r="PFK121" s="65"/>
      <c r="PFL121" s="65"/>
      <c r="PFM121" s="65"/>
      <c r="PFN121" s="65"/>
      <c r="PFO121" s="65"/>
      <c r="PFP121" s="65"/>
      <c r="PFQ121" s="65"/>
      <c r="PFR121" s="65"/>
      <c r="PFS121" s="65"/>
      <c r="PFT121" s="65"/>
      <c r="PFU121" s="65"/>
      <c r="PFV121" s="65"/>
      <c r="PFW121" s="65"/>
      <c r="PFX121" s="65"/>
      <c r="PFY121" s="65"/>
      <c r="PFZ121" s="65"/>
      <c r="PGA121" s="65"/>
      <c r="PGB121" s="65"/>
      <c r="PGC121" s="65"/>
      <c r="PGD121" s="65"/>
      <c r="PGE121" s="65"/>
      <c r="PGF121" s="65"/>
      <c r="PGG121" s="65"/>
      <c r="PGH121" s="65"/>
      <c r="PGI121" s="65"/>
      <c r="PGJ121" s="65"/>
      <c r="PGK121" s="65"/>
      <c r="PGL121" s="65"/>
      <c r="PGM121" s="65"/>
      <c r="PGN121" s="65"/>
      <c r="PGO121" s="65"/>
      <c r="PGP121" s="65"/>
      <c r="PGQ121" s="65"/>
      <c r="PGR121" s="65"/>
      <c r="PGS121" s="65"/>
      <c r="PGT121" s="65"/>
      <c r="PGU121" s="65"/>
      <c r="PGV121" s="65"/>
      <c r="PGW121" s="65"/>
      <c r="PGX121" s="65"/>
      <c r="PGY121" s="65"/>
      <c r="PGZ121" s="65"/>
      <c r="PHA121" s="65"/>
      <c r="PHB121" s="65"/>
      <c r="PHC121" s="65"/>
      <c r="PHD121" s="65"/>
      <c r="PHE121" s="65"/>
      <c r="PHF121" s="65"/>
      <c r="PHG121" s="65"/>
      <c r="PHH121" s="65"/>
      <c r="PHI121" s="65"/>
      <c r="PHJ121" s="65"/>
      <c r="PHK121" s="65"/>
      <c r="PHL121" s="65"/>
      <c r="PHM121" s="65"/>
      <c r="PHN121" s="65"/>
      <c r="PHO121" s="65"/>
      <c r="PHP121" s="65"/>
      <c r="PHQ121" s="65"/>
      <c r="PHR121" s="65"/>
      <c r="PHS121" s="65"/>
      <c r="PHT121" s="65"/>
      <c r="PHU121" s="65"/>
      <c r="PHV121" s="65"/>
      <c r="PHW121" s="65"/>
      <c r="PHX121" s="65"/>
      <c r="PHY121" s="65"/>
      <c r="PHZ121" s="65"/>
      <c r="PIA121" s="65"/>
      <c r="PIB121" s="65"/>
      <c r="PIC121" s="65"/>
      <c r="PID121" s="65"/>
      <c r="PIE121" s="65"/>
      <c r="PIF121" s="65"/>
      <c r="PIG121" s="65"/>
      <c r="PIH121" s="65"/>
      <c r="PII121" s="65"/>
      <c r="PIJ121" s="65"/>
      <c r="PIK121" s="65"/>
      <c r="PIL121" s="65"/>
      <c r="PIM121" s="65"/>
      <c r="PIN121" s="65"/>
      <c r="PIO121" s="65"/>
      <c r="PIP121" s="65"/>
      <c r="PIQ121" s="65"/>
      <c r="PIR121" s="65"/>
      <c r="PIS121" s="65"/>
      <c r="PIT121" s="65"/>
      <c r="PIU121" s="65"/>
      <c r="PIV121" s="65"/>
      <c r="PIW121" s="65"/>
      <c r="PIX121" s="65"/>
      <c r="PIY121" s="65"/>
      <c r="PIZ121" s="65"/>
      <c r="PJA121" s="65"/>
      <c r="PJB121" s="65"/>
      <c r="PJC121" s="65"/>
      <c r="PJD121" s="65"/>
      <c r="PJE121" s="65"/>
      <c r="PJF121" s="65"/>
      <c r="PJG121" s="65"/>
      <c r="PJH121" s="65"/>
      <c r="PJI121" s="65"/>
      <c r="PJJ121" s="65"/>
      <c r="PJK121" s="65"/>
      <c r="PJL121" s="65"/>
      <c r="PJM121" s="65"/>
      <c r="PJN121" s="65"/>
      <c r="PJO121" s="65"/>
      <c r="PJP121" s="65"/>
      <c r="PJQ121" s="65"/>
      <c r="PJR121" s="65"/>
      <c r="PJS121" s="65"/>
      <c r="PJT121" s="65"/>
      <c r="PJU121" s="65"/>
      <c r="PJV121" s="65"/>
      <c r="PJW121" s="65"/>
      <c r="PJX121" s="65"/>
      <c r="PJY121" s="65"/>
      <c r="PJZ121" s="65"/>
      <c r="PKA121" s="65"/>
      <c r="PKB121" s="65"/>
      <c r="PKC121" s="65"/>
      <c r="PKD121" s="65"/>
      <c r="PKE121" s="65"/>
      <c r="PKF121" s="65"/>
      <c r="PKG121" s="65"/>
      <c r="PKH121" s="65"/>
      <c r="PKI121" s="65"/>
      <c r="PKJ121" s="65"/>
      <c r="PKK121" s="65"/>
      <c r="PKL121" s="65"/>
      <c r="PKM121" s="65"/>
      <c r="PKN121" s="65"/>
      <c r="PKO121" s="65"/>
      <c r="PKP121" s="65"/>
      <c r="PKQ121" s="65"/>
      <c r="PKR121" s="65"/>
      <c r="PKS121" s="65"/>
      <c r="PKT121" s="65"/>
      <c r="PKU121" s="65"/>
      <c r="PKV121" s="65"/>
      <c r="PKW121" s="65"/>
      <c r="PKX121" s="65"/>
      <c r="PKY121" s="65"/>
      <c r="PKZ121" s="65"/>
      <c r="PLA121" s="65"/>
      <c r="PLB121" s="65"/>
      <c r="PLC121" s="65"/>
      <c r="PLD121" s="65"/>
      <c r="PLE121" s="65"/>
      <c r="PLF121" s="65"/>
      <c r="PLG121" s="65"/>
      <c r="PLH121" s="65"/>
      <c r="PLI121" s="65"/>
      <c r="PLJ121" s="65"/>
      <c r="PLK121" s="65"/>
      <c r="PLL121" s="65"/>
      <c r="PLM121" s="65"/>
      <c r="PLN121" s="65"/>
      <c r="PLO121" s="65"/>
      <c r="PLP121" s="65"/>
      <c r="PLQ121" s="65"/>
      <c r="PLR121" s="65"/>
      <c r="PLS121" s="65"/>
      <c r="PLT121" s="65"/>
      <c r="PLU121" s="65"/>
      <c r="PLV121" s="65"/>
      <c r="PLW121" s="65"/>
      <c r="PLX121" s="65"/>
      <c r="PLY121" s="65"/>
      <c r="PLZ121" s="65"/>
      <c r="PMA121" s="65"/>
      <c r="PMB121" s="65"/>
      <c r="PMC121" s="65"/>
      <c r="PMD121" s="65"/>
      <c r="PME121" s="65"/>
      <c r="PMF121" s="65"/>
      <c r="PMG121" s="65"/>
      <c r="PMH121" s="65"/>
      <c r="PMI121" s="65"/>
      <c r="PMJ121" s="65"/>
      <c r="PMK121" s="65"/>
      <c r="PML121" s="65"/>
      <c r="PMM121" s="65"/>
      <c r="PMN121" s="65"/>
      <c r="PMO121" s="65"/>
      <c r="PMP121" s="65"/>
      <c r="PMQ121" s="65"/>
      <c r="PMR121" s="65"/>
      <c r="PMS121" s="65"/>
      <c r="PMT121" s="65"/>
      <c r="PMU121" s="65"/>
      <c r="PMV121" s="65"/>
      <c r="PMW121" s="65"/>
      <c r="PMX121" s="65"/>
      <c r="PMY121" s="65"/>
      <c r="PMZ121" s="65"/>
      <c r="PNA121" s="65"/>
      <c r="PNB121" s="65"/>
      <c r="PNC121" s="65"/>
      <c r="PND121" s="65"/>
      <c r="PNE121" s="65"/>
      <c r="PNF121" s="65"/>
      <c r="PNG121" s="65"/>
      <c r="PNH121" s="65"/>
      <c r="PNI121" s="65"/>
      <c r="PNJ121" s="65"/>
      <c r="PNK121" s="65"/>
      <c r="PNL121" s="65"/>
      <c r="PNM121" s="65"/>
      <c r="PNN121" s="65"/>
      <c r="PNO121" s="65"/>
      <c r="PNP121" s="65"/>
      <c r="PNQ121" s="65"/>
      <c r="PNR121" s="65"/>
      <c r="PNS121" s="65"/>
      <c r="PNT121" s="65"/>
      <c r="PNU121" s="65"/>
      <c r="PNV121" s="65"/>
      <c r="PNW121" s="65"/>
      <c r="PNX121" s="65"/>
      <c r="PNY121" s="65"/>
      <c r="PNZ121" s="65"/>
      <c r="POA121" s="65"/>
      <c r="POB121" s="65"/>
      <c r="POC121" s="65"/>
      <c r="POD121" s="65"/>
      <c r="POE121" s="65"/>
      <c r="POF121" s="65"/>
      <c r="POG121" s="65"/>
      <c r="POH121" s="65"/>
      <c r="POI121" s="65"/>
      <c r="POJ121" s="65"/>
      <c r="POK121" s="65"/>
      <c r="POL121" s="65"/>
      <c r="POM121" s="65"/>
      <c r="PON121" s="65"/>
      <c r="POO121" s="65"/>
      <c r="POP121" s="65"/>
      <c r="POQ121" s="65"/>
      <c r="POR121" s="65"/>
      <c r="POS121" s="65"/>
      <c r="POT121" s="65"/>
      <c r="POU121" s="65"/>
      <c r="POV121" s="65"/>
      <c r="POW121" s="65"/>
      <c r="POX121" s="65"/>
      <c r="POY121" s="65"/>
      <c r="POZ121" s="65"/>
      <c r="PPA121" s="65"/>
      <c r="PPB121" s="65"/>
      <c r="PPC121" s="65"/>
      <c r="PPD121" s="65"/>
      <c r="PPE121" s="65"/>
      <c r="PPF121" s="65"/>
      <c r="PPG121" s="65"/>
      <c r="PPH121" s="65"/>
      <c r="PPI121" s="65"/>
      <c r="PPJ121" s="65"/>
      <c r="PPK121" s="65"/>
      <c r="PPL121" s="65"/>
      <c r="PPM121" s="65"/>
      <c r="PPN121" s="65"/>
      <c r="PPO121" s="65"/>
      <c r="PPP121" s="65"/>
      <c r="PPQ121" s="65"/>
      <c r="PPR121" s="65"/>
      <c r="PPS121" s="65"/>
      <c r="PPT121" s="65"/>
      <c r="PPU121" s="65"/>
      <c r="PPV121" s="65"/>
      <c r="PPW121" s="65"/>
      <c r="PPX121" s="65"/>
      <c r="PPY121" s="65"/>
      <c r="PPZ121" s="65"/>
      <c r="PQA121" s="65"/>
      <c r="PQB121" s="65"/>
      <c r="PQC121" s="65"/>
      <c r="PQD121" s="65"/>
      <c r="PQE121" s="65"/>
      <c r="PQF121" s="65"/>
      <c r="PQG121" s="65"/>
      <c r="PQH121" s="65"/>
      <c r="PQI121" s="65"/>
      <c r="PQJ121" s="65"/>
      <c r="PQK121" s="65"/>
      <c r="PQL121" s="65"/>
      <c r="PQM121" s="65"/>
      <c r="PQN121" s="65"/>
      <c r="PQO121" s="65"/>
      <c r="PQP121" s="65"/>
      <c r="PQQ121" s="65"/>
      <c r="PQR121" s="65"/>
      <c r="PQS121" s="65"/>
      <c r="PQT121" s="65"/>
      <c r="PQU121" s="65"/>
      <c r="PQV121" s="65"/>
      <c r="PQW121" s="65"/>
      <c r="PQX121" s="65"/>
      <c r="PQY121" s="65"/>
      <c r="PQZ121" s="65"/>
      <c r="PRA121" s="65"/>
      <c r="PRB121" s="65"/>
      <c r="PRC121" s="65"/>
      <c r="PRD121" s="65"/>
      <c r="PRE121" s="65"/>
      <c r="PRF121" s="65"/>
      <c r="PRG121" s="65"/>
      <c r="PRH121" s="65"/>
      <c r="PRI121" s="65"/>
      <c r="PRJ121" s="65"/>
      <c r="PRK121" s="65"/>
      <c r="PRL121" s="65"/>
      <c r="PRM121" s="65"/>
      <c r="PRN121" s="65"/>
      <c r="PRO121" s="65"/>
      <c r="PRP121" s="65"/>
      <c r="PRQ121" s="65"/>
      <c r="PRR121" s="65"/>
      <c r="PRS121" s="65"/>
      <c r="PRT121" s="65"/>
      <c r="PRU121" s="65"/>
      <c r="PRV121" s="65"/>
      <c r="PRW121" s="65"/>
      <c r="PRX121" s="65"/>
      <c r="PRY121" s="65"/>
      <c r="PRZ121" s="65"/>
      <c r="PSA121" s="65"/>
      <c r="PSB121" s="65"/>
      <c r="PSC121" s="65"/>
      <c r="PSD121" s="65"/>
      <c r="PSE121" s="65"/>
      <c r="PSF121" s="65"/>
      <c r="PSG121" s="65"/>
      <c r="PSH121" s="65"/>
      <c r="PSI121" s="65"/>
      <c r="PSJ121" s="65"/>
      <c r="PSK121" s="65"/>
      <c r="PSL121" s="65"/>
      <c r="PSM121" s="65"/>
      <c r="PSN121" s="65"/>
      <c r="PSO121" s="65"/>
      <c r="PSP121" s="65"/>
      <c r="PSQ121" s="65"/>
      <c r="PSR121" s="65"/>
      <c r="PSS121" s="65"/>
      <c r="PST121" s="65"/>
      <c r="PSU121" s="65"/>
      <c r="PSV121" s="65"/>
      <c r="PSW121" s="65"/>
      <c r="PSX121" s="65"/>
      <c r="PSY121" s="65"/>
      <c r="PSZ121" s="65"/>
      <c r="PTA121" s="65"/>
      <c r="PTB121" s="65"/>
      <c r="PTC121" s="65"/>
      <c r="PTD121" s="65"/>
      <c r="PTE121" s="65"/>
      <c r="PTF121" s="65"/>
      <c r="PTG121" s="65"/>
      <c r="PTH121" s="65"/>
      <c r="PTI121" s="65"/>
      <c r="PTJ121" s="65"/>
      <c r="PTK121" s="65"/>
      <c r="PTL121" s="65"/>
      <c r="PTM121" s="65"/>
      <c r="PTN121" s="65"/>
      <c r="PTO121" s="65"/>
      <c r="PTP121" s="65"/>
      <c r="PTQ121" s="65"/>
      <c r="PTR121" s="65"/>
      <c r="PTS121" s="65"/>
      <c r="PTT121" s="65"/>
      <c r="PTU121" s="65"/>
      <c r="PTV121" s="65"/>
      <c r="PTW121" s="65"/>
      <c r="PTX121" s="65"/>
      <c r="PTY121" s="65"/>
      <c r="PTZ121" s="65"/>
      <c r="PUA121" s="65"/>
      <c r="PUB121" s="65"/>
      <c r="PUC121" s="65"/>
      <c r="PUD121" s="65"/>
      <c r="PUE121" s="65"/>
      <c r="PUF121" s="65"/>
      <c r="PUG121" s="65"/>
      <c r="PUH121" s="65"/>
      <c r="PUI121" s="65"/>
      <c r="PUJ121" s="65"/>
      <c r="PUK121" s="65"/>
      <c r="PUL121" s="65"/>
      <c r="PUM121" s="65"/>
      <c r="PUN121" s="65"/>
      <c r="PUO121" s="65"/>
      <c r="PUP121" s="65"/>
      <c r="PUQ121" s="65"/>
      <c r="PUR121" s="65"/>
      <c r="PUS121" s="65"/>
      <c r="PUT121" s="65"/>
      <c r="PUU121" s="65"/>
      <c r="PUV121" s="65"/>
      <c r="PUW121" s="65"/>
      <c r="PUX121" s="65"/>
      <c r="PUY121" s="65"/>
      <c r="PUZ121" s="65"/>
      <c r="PVA121" s="65"/>
      <c r="PVB121" s="65"/>
      <c r="PVC121" s="65"/>
      <c r="PVD121" s="65"/>
      <c r="PVE121" s="65"/>
      <c r="PVF121" s="65"/>
      <c r="PVG121" s="65"/>
      <c r="PVH121" s="65"/>
      <c r="PVI121" s="65"/>
      <c r="PVJ121" s="65"/>
      <c r="PVK121" s="65"/>
      <c r="PVL121" s="65"/>
      <c r="PVM121" s="65"/>
      <c r="PVN121" s="65"/>
      <c r="PVO121" s="65"/>
      <c r="PVP121" s="65"/>
      <c r="PVQ121" s="65"/>
      <c r="PVR121" s="65"/>
      <c r="PVS121" s="65"/>
      <c r="PVT121" s="65"/>
      <c r="PVU121" s="65"/>
      <c r="PVV121" s="65"/>
      <c r="PVW121" s="65"/>
      <c r="PVX121" s="65"/>
      <c r="PVY121" s="65"/>
      <c r="PVZ121" s="65"/>
      <c r="PWA121" s="65"/>
      <c r="PWB121" s="65"/>
      <c r="PWC121" s="65"/>
      <c r="PWD121" s="65"/>
      <c r="PWE121" s="65"/>
      <c r="PWF121" s="65"/>
      <c r="PWG121" s="65"/>
      <c r="PWH121" s="65"/>
      <c r="PWI121" s="65"/>
      <c r="PWJ121" s="65"/>
      <c r="PWK121" s="65"/>
      <c r="PWL121" s="65"/>
      <c r="PWM121" s="65"/>
      <c r="PWN121" s="65"/>
      <c r="PWO121" s="65"/>
      <c r="PWP121" s="65"/>
      <c r="PWQ121" s="65"/>
      <c r="PWR121" s="65"/>
      <c r="PWS121" s="65"/>
      <c r="PWT121" s="65"/>
      <c r="PWU121" s="65"/>
      <c r="PWV121" s="65"/>
      <c r="PWW121" s="65"/>
      <c r="PWX121" s="65"/>
      <c r="PWY121" s="65"/>
      <c r="PWZ121" s="65"/>
      <c r="PXA121" s="65"/>
      <c r="PXB121" s="65"/>
      <c r="PXC121" s="65"/>
      <c r="PXD121" s="65"/>
      <c r="PXE121" s="65"/>
      <c r="PXF121" s="65"/>
      <c r="PXG121" s="65"/>
      <c r="PXH121" s="65"/>
      <c r="PXI121" s="65"/>
      <c r="PXJ121" s="65"/>
      <c r="PXK121" s="65"/>
      <c r="PXL121" s="65"/>
      <c r="PXM121" s="65"/>
      <c r="PXN121" s="65"/>
      <c r="PXO121" s="65"/>
      <c r="PXP121" s="65"/>
      <c r="PXQ121" s="65"/>
      <c r="PXR121" s="65"/>
      <c r="PXS121" s="65"/>
      <c r="PXT121" s="65"/>
      <c r="PXU121" s="65"/>
      <c r="PXV121" s="65"/>
      <c r="PXW121" s="65"/>
      <c r="PXX121" s="65"/>
      <c r="PXY121" s="65"/>
      <c r="PXZ121" s="65"/>
      <c r="PYA121" s="65"/>
      <c r="PYB121" s="65"/>
      <c r="PYC121" s="65"/>
      <c r="PYD121" s="65"/>
      <c r="PYE121" s="65"/>
      <c r="PYF121" s="65"/>
      <c r="PYG121" s="65"/>
      <c r="PYH121" s="65"/>
      <c r="PYI121" s="65"/>
      <c r="PYJ121" s="65"/>
      <c r="PYK121" s="65"/>
      <c r="PYL121" s="65"/>
      <c r="PYM121" s="65"/>
      <c r="PYN121" s="65"/>
      <c r="PYO121" s="65"/>
      <c r="PYP121" s="65"/>
      <c r="PYQ121" s="65"/>
      <c r="PYR121" s="65"/>
      <c r="PYS121" s="65"/>
      <c r="PYT121" s="65"/>
      <c r="PYU121" s="65"/>
      <c r="PYV121" s="65"/>
      <c r="PYW121" s="65"/>
      <c r="PYX121" s="65"/>
      <c r="PYY121" s="65"/>
      <c r="PYZ121" s="65"/>
      <c r="PZA121" s="65"/>
      <c r="PZB121" s="65"/>
      <c r="PZC121" s="65"/>
      <c r="PZD121" s="65"/>
      <c r="PZE121" s="65"/>
      <c r="PZF121" s="65"/>
      <c r="PZG121" s="65"/>
      <c r="PZH121" s="65"/>
      <c r="PZI121" s="65"/>
      <c r="PZJ121" s="65"/>
      <c r="PZK121" s="65"/>
      <c r="PZL121" s="65"/>
      <c r="PZM121" s="65"/>
      <c r="PZN121" s="65"/>
      <c r="PZO121" s="65"/>
      <c r="PZP121" s="65"/>
      <c r="PZQ121" s="65"/>
      <c r="PZR121" s="65"/>
      <c r="PZS121" s="65"/>
      <c r="PZT121" s="65"/>
      <c r="PZU121" s="65"/>
      <c r="PZV121" s="65"/>
      <c r="PZW121" s="65"/>
      <c r="PZX121" s="65"/>
      <c r="PZY121" s="65"/>
      <c r="PZZ121" s="65"/>
      <c r="QAA121" s="65"/>
      <c r="QAB121" s="65"/>
      <c r="QAC121" s="65"/>
      <c r="QAD121" s="65"/>
      <c r="QAE121" s="65"/>
      <c r="QAF121" s="65"/>
      <c r="QAG121" s="65"/>
      <c r="QAH121" s="65"/>
      <c r="QAI121" s="65"/>
      <c r="QAJ121" s="65"/>
      <c r="QAK121" s="65"/>
      <c r="QAL121" s="65"/>
      <c r="QAM121" s="65"/>
      <c r="QAN121" s="65"/>
      <c r="QAO121" s="65"/>
      <c r="QAP121" s="65"/>
      <c r="QAQ121" s="65"/>
      <c r="QAR121" s="65"/>
      <c r="QAS121" s="65"/>
      <c r="QAT121" s="65"/>
      <c r="QAU121" s="65"/>
      <c r="QAV121" s="65"/>
      <c r="QAW121" s="65"/>
      <c r="QAX121" s="65"/>
      <c r="QAY121" s="65"/>
      <c r="QAZ121" s="65"/>
      <c r="QBA121" s="65"/>
      <c r="QBB121" s="65"/>
      <c r="QBC121" s="65"/>
      <c r="QBD121" s="65"/>
      <c r="QBE121" s="65"/>
      <c r="QBF121" s="65"/>
      <c r="QBG121" s="65"/>
      <c r="QBH121" s="65"/>
      <c r="QBI121" s="65"/>
      <c r="QBJ121" s="65"/>
      <c r="QBK121" s="65"/>
      <c r="QBL121" s="65"/>
      <c r="QBM121" s="65"/>
      <c r="QBN121" s="65"/>
      <c r="QBO121" s="65"/>
      <c r="QBP121" s="65"/>
      <c r="QBQ121" s="65"/>
      <c r="QBR121" s="65"/>
      <c r="QBS121" s="65"/>
      <c r="QBT121" s="65"/>
      <c r="QBU121" s="65"/>
      <c r="QBV121" s="65"/>
      <c r="QBW121" s="65"/>
      <c r="QBX121" s="65"/>
      <c r="QBY121" s="65"/>
      <c r="QBZ121" s="65"/>
      <c r="QCA121" s="65"/>
      <c r="QCB121" s="65"/>
      <c r="QCC121" s="65"/>
      <c r="QCD121" s="65"/>
      <c r="QCE121" s="65"/>
      <c r="QCF121" s="65"/>
      <c r="QCG121" s="65"/>
      <c r="QCH121" s="65"/>
      <c r="QCI121" s="65"/>
      <c r="QCJ121" s="65"/>
      <c r="QCK121" s="65"/>
      <c r="QCL121" s="65"/>
      <c r="QCM121" s="65"/>
      <c r="QCN121" s="65"/>
      <c r="QCO121" s="65"/>
      <c r="QCP121" s="65"/>
      <c r="QCQ121" s="65"/>
      <c r="QCR121" s="65"/>
      <c r="QCS121" s="65"/>
      <c r="QCT121" s="65"/>
      <c r="QCU121" s="65"/>
      <c r="QCV121" s="65"/>
      <c r="QCW121" s="65"/>
      <c r="QCX121" s="65"/>
      <c r="QCY121" s="65"/>
      <c r="QCZ121" s="65"/>
      <c r="QDA121" s="65"/>
      <c r="QDB121" s="65"/>
      <c r="QDC121" s="65"/>
      <c r="QDD121" s="65"/>
      <c r="QDE121" s="65"/>
      <c r="QDF121" s="65"/>
      <c r="QDG121" s="65"/>
      <c r="QDH121" s="65"/>
      <c r="QDI121" s="65"/>
      <c r="QDJ121" s="65"/>
      <c r="QDK121" s="65"/>
      <c r="QDL121" s="65"/>
      <c r="QDM121" s="65"/>
      <c r="QDN121" s="65"/>
      <c r="QDO121" s="65"/>
      <c r="QDP121" s="65"/>
      <c r="QDQ121" s="65"/>
      <c r="QDR121" s="65"/>
      <c r="QDS121" s="65"/>
      <c r="QDT121" s="65"/>
      <c r="QDU121" s="65"/>
      <c r="QDV121" s="65"/>
      <c r="QDW121" s="65"/>
      <c r="QDX121" s="65"/>
      <c r="QDY121" s="65"/>
      <c r="QDZ121" s="65"/>
      <c r="QEA121" s="65"/>
      <c r="QEB121" s="65"/>
      <c r="QEC121" s="65"/>
      <c r="QED121" s="65"/>
      <c r="QEE121" s="65"/>
      <c r="QEF121" s="65"/>
      <c r="QEG121" s="65"/>
      <c r="QEH121" s="65"/>
      <c r="QEI121" s="65"/>
      <c r="QEJ121" s="65"/>
      <c r="QEK121" s="65"/>
      <c r="QEL121" s="65"/>
      <c r="QEM121" s="65"/>
      <c r="QEN121" s="65"/>
      <c r="QEO121" s="65"/>
      <c r="QEP121" s="65"/>
      <c r="QEQ121" s="65"/>
      <c r="QER121" s="65"/>
      <c r="QES121" s="65"/>
      <c r="QET121" s="65"/>
      <c r="QEU121" s="65"/>
      <c r="QEV121" s="65"/>
      <c r="QEW121" s="65"/>
      <c r="QEX121" s="65"/>
      <c r="QEY121" s="65"/>
      <c r="QEZ121" s="65"/>
      <c r="QFA121" s="65"/>
      <c r="QFB121" s="65"/>
      <c r="QFC121" s="65"/>
      <c r="QFD121" s="65"/>
      <c r="QFE121" s="65"/>
      <c r="QFF121" s="65"/>
      <c r="QFG121" s="65"/>
      <c r="QFH121" s="65"/>
      <c r="QFI121" s="65"/>
      <c r="QFJ121" s="65"/>
      <c r="QFK121" s="65"/>
      <c r="QFL121" s="65"/>
      <c r="QFM121" s="65"/>
      <c r="QFN121" s="65"/>
      <c r="QFO121" s="65"/>
      <c r="QFP121" s="65"/>
      <c r="QFQ121" s="65"/>
      <c r="QFR121" s="65"/>
      <c r="QFS121" s="65"/>
      <c r="QFT121" s="65"/>
      <c r="QFU121" s="65"/>
      <c r="QFV121" s="65"/>
      <c r="QFW121" s="65"/>
      <c r="QFX121" s="65"/>
      <c r="QFY121" s="65"/>
      <c r="QFZ121" s="65"/>
      <c r="QGA121" s="65"/>
      <c r="QGB121" s="65"/>
      <c r="QGC121" s="65"/>
      <c r="QGD121" s="65"/>
      <c r="QGE121" s="65"/>
      <c r="QGF121" s="65"/>
      <c r="QGG121" s="65"/>
      <c r="QGH121" s="65"/>
      <c r="QGI121" s="65"/>
      <c r="QGJ121" s="65"/>
      <c r="QGK121" s="65"/>
      <c r="QGL121" s="65"/>
      <c r="QGM121" s="65"/>
      <c r="QGN121" s="65"/>
      <c r="QGO121" s="65"/>
      <c r="QGP121" s="65"/>
      <c r="QGQ121" s="65"/>
      <c r="QGR121" s="65"/>
      <c r="QGS121" s="65"/>
      <c r="QGT121" s="65"/>
      <c r="QGU121" s="65"/>
      <c r="QGV121" s="65"/>
      <c r="QGW121" s="65"/>
      <c r="QGX121" s="65"/>
      <c r="QGY121" s="65"/>
      <c r="QGZ121" s="65"/>
      <c r="QHA121" s="65"/>
      <c r="QHB121" s="65"/>
      <c r="QHC121" s="65"/>
      <c r="QHD121" s="65"/>
      <c r="QHE121" s="65"/>
      <c r="QHF121" s="65"/>
      <c r="QHG121" s="65"/>
      <c r="QHH121" s="65"/>
      <c r="QHI121" s="65"/>
      <c r="QHJ121" s="65"/>
      <c r="QHK121" s="65"/>
      <c r="QHL121" s="65"/>
      <c r="QHM121" s="65"/>
      <c r="QHN121" s="65"/>
      <c r="QHO121" s="65"/>
      <c r="QHP121" s="65"/>
      <c r="QHQ121" s="65"/>
      <c r="QHR121" s="65"/>
      <c r="QHS121" s="65"/>
      <c r="QHT121" s="65"/>
      <c r="QHU121" s="65"/>
      <c r="QHV121" s="65"/>
      <c r="QHW121" s="65"/>
      <c r="QHX121" s="65"/>
      <c r="QHY121" s="65"/>
      <c r="QHZ121" s="65"/>
      <c r="QIA121" s="65"/>
      <c r="QIB121" s="65"/>
      <c r="QIC121" s="65"/>
      <c r="QID121" s="65"/>
      <c r="QIE121" s="65"/>
      <c r="QIF121" s="65"/>
      <c r="QIG121" s="65"/>
      <c r="QIH121" s="65"/>
      <c r="QII121" s="65"/>
      <c r="QIJ121" s="65"/>
      <c r="QIK121" s="65"/>
      <c r="QIL121" s="65"/>
      <c r="QIM121" s="65"/>
      <c r="QIN121" s="65"/>
      <c r="QIO121" s="65"/>
      <c r="QIP121" s="65"/>
      <c r="QIQ121" s="65"/>
      <c r="QIR121" s="65"/>
      <c r="QIS121" s="65"/>
      <c r="QIT121" s="65"/>
      <c r="QIU121" s="65"/>
      <c r="QIV121" s="65"/>
      <c r="QIW121" s="65"/>
      <c r="QIX121" s="65"/>
      <c r="QIY121" s="65"/>
      <c r="QIZ121" s="65"/>
      <c r="QJA121" s="65"/>
      <c r="QJB121" s="65"/>
      <c r="QJC121" s="65"/>
      <c r="QJD121" s="65"/>
      <c r="QJE121" s="65"/>
      <c r="QJF121" s="65"/>
      <c r="QJG121" s="65"/>
      <c r="QJH121" s="65"/>
      <c r="QJI121" s="65"/>
      <c r="QJJ121" s="65"/>
      <c r="QJK121" s="65"/>
      <c r="QJL121" s="65"/>
      <c r="QJM121" s="65"/>
      <c r="QJN121" s="65"/>
      <c r="QJO121" s="65"/>
      <c r="QJP121" s="65"/>
      <c r="QJQ121" s="65"/>
      <c r="QJR121" s="65"/>
      <c r="QJS121" s="65"/>
      <c r="QJT121" s="65"/>
      <c r="QJU121" s="65"/>
      <c r="QJV121" s="65"/>
      <c r="QJW121" s="65"/>
      <c r="QJX121" s="65"/>
      <c r="QJY121" s="65"/>
      <c r="QJZ121" s="65"/>
      <c r="QKA121" s="65"/>
      <c r="QKB121" s="65"/>
      <c r="QKC121" s="65"/>
      <c r="QKD121" s="65"/>
      <c r="QKE121" s="65"/>
      <c r="QKF121" s="65"/>
      <c r="QKG121" s="65"/>
      <c r="QKH121" s="65"/>
      <c r="QKI121" s="65"/>
      <c r="QKJ121" s="65"/>
      <c r="QKK121" s="65"/>
      <c r="QKL121" s="65"/>
      <c r="QKM121" s="65"/>
      <c r="QKN121" s="65"/>
      <c r="QKO121" s="65"/>
      <c r="QKP121" s="65"/>
      <c r="QKQ121" s="65"/>
      <c r="QKR121" s="65"/>
      <c r="QKS121" s="65"/>
      <c r="QKT121" s="65"/>
      <c r="QKU121" s="65"/>
      <c r="QKV121" s="65"/>
      <c r="QKW121" s="65"/>
      <c r="QKX121" s="65"/>
      <c r="QKY121" s="65"/>
      <c r="QKZ121" s="65"/>
      <c r="QLA121" s="65"/>
      <c r="QLB121" s="65"/>
      <c r="QLC121" s="65"/>
      <c r="QLD121" s="65"/>
      <c r="QLE121" s="65"/>
      <c r="QLF121" s="65"/>
      <c r="QLG121" s="65"/>
      <c r="QLH121" s="65"/>
      <c r="QLI121" s="65"/>
      <c r="QLJ121" s="65"/>
      <c r="QLK121" s="65"/>
      <c r="QLL121" s="65"/>
      <c r="QLM121" s="65"/>
      <c r="QLN121" s="65"/>
      <c r="QLO121" s="65"/>
      <c r="QLP121" s="65"/>
      <c r="QLQ121" s="65"/>
      <c r="QLR121" s="65"/>
      <c r="QLS121" s="65"/>
      <c r="QLT121" s="65"/>
      <c r="QLU121" s="65"/>
      <c r="QLV121" s="65"/>
      <c r="QLW121" s="65"/>
      <c r="QLX121" s="65"/>
      <c r="QLY121" s="65"/>
      <c r="QLZ121" s="65"/>
      <c r="QMA121" s="65"/>
      <c r="QMB121" s="65"/>
      <c r="QMC121" s="65"/>
      <c r="QMD121" s="65"/>
      <c r="QME121" s="65"/>
      <c r="QMF121" s="65"/>
      <c r="QMG121" s="65"/>
      <c r="QMH121" s="65"/>
      <c r="QMI121" s="65"/>
      <c r="QMJ121" s="65"/>
      <c r="QMK121" s="65"/>
      <c r="QML121" s="65"/>
      <c r="QMM121" s="65"/>
      <c r="QMN121" s="65"/>
      <c r="QMO121" s="65"/>
      <c r="QMP121" s="65"/>
      <c r="QMQ121" s="65"/>
      <c r="QMR121" s="65"/>
      <c r="QMS121" s="65"/>
      <c r="QMT121" s="65"/>
      <c r="QMU121" s="65"/>
      <c r="QMV121" s="65"/>
      <c r="QMW121" s="65"/>
      <c r="QMX121" s="65"/>
      <c r="QMY121" s="65"/>
      <c r="QMZ121" s="65"/>
      <c r="QNA121" s="65"/>
      <c r="QNB121" s="65"/>
      <c r="QNC121" s="65"/>
      <c r="QND121" s="65"/>
      <c r="QNE121" s="65"/>
      <c r="QNF121" s="65"/>
      <c r="QNG121" s="65"/>
      <c r="QNH121" s="65"/>
      <c r="QNI121" s="65"/>
      <c r="QNJ121" s="65"/>
      <c r="QNK121" s="65"/>
      <c r="QNL121" s="65"/>
      <c r="QNM121" s="65"/>
      <c r="QNN121" s="65"/>
      <c r="QNO121" s="65"/>
      <c r="QNP121" s="65"/>
      <c r="QNQ121" s="65"/>
      <c r="QNR121" s="65"/>
      <c r="QNS121" s="65"/>
      <c r="QNT121" s="65"/>
      <c r="QNU121" s="65"/>
      <c r="QNV121" s="65"/>
      <c r="QNW121" s="65"/>
      <c r="QNX121" s="65"/>
      <c r="QNY121" s="65"/>
      <c r="QNZ121" s="65"/>
      <c r="QOA121" s="65"/>
      <c r="QOB121" s="65"/>
      <c r="QOC121" s="65"/>
      <c r="QOD121" s="65"/>
      <c r="QOE121" s="65"/>
      <c r="QOF121" s="65"/>
      <c r="QOG121" s="65"/>
      <c r="QOH121" s="65"/>
      <c r="QOI121" s="65"/>
      <c r="QOJ121" s="65"/>
      <c r="QOK121" s="65"/>
      <c r="QOL121" s="65"/>
      <c r="QOM121" s="65"/>
      <c r="QON121" s="65"/>
      <c r="QOO121" s="65"/>
      <c r="QOP121" s="65"/>
      <c r="QOQ121" s="65"/>
      <c r="QOR121" s="65"/>
      <c r="QOS121" s="65"/>
      <c r="QOT121" s="65"/>
      <c r="QOU121" s="65"/>
      <c r="QOV121" s="65"/>
      <c r="QOW121" s="65"/>
      <c r="QOX121" s="65"/>
      <c r="QOY121" s="65"/>
      <c r="QOZ121" s="65"/>
      <c r="QPA121" s="65"/>
      <c r="QPB121" s="65"/>
      <c r="QPC121" s="65"/>
      <c r="QPD121" s="65"/>
      <c r="QPE121" s="65"/>
      <c r="QPF121" s="65"/>
      <c r="QPG121" s="65"/>
      <c r="QPH121" s="65"/>
      <c r="QPI121" s="65"/>
      <c r="QPJ121" s="65"/>
      <c r="QPK121" s="65"/>
      <c r="QPL121" s="65"/>
      <c r="QPM121" s="65"/>
      <c r="QPN121" s="65"/>
      <c r="QPO121" s="65"/>
      <c r="QPP121" s="65"/>
      <c r="QPQ121" s="65"/>
      <c r="QPR121" s="65"/>
      <c r="QPS121" s="65"/>
      <c r="QPT121" s="65"/>
      <c r="QPU121" s="65"/>
      <c r="QPV121" s="65"/>
      <c r="QPW121" s="65"/>
      <c r="QPX121" s="65"/>
      <c r="QPY121" s="65"/>
      <c r="QPZ121" s="65"/>
      <c r="QQA121" s="65"/>
      <c r="QQB121" s="65"/>
      <c r="QQC121" s="65"/>
      <c r="QQD121" s="65"/>
      <c r="QQE121" s="65"/>
      <c r="QQF121" s="65"/>
      <c r="QQG121" s="65"/>
      <c r="QQH121" s="65"/>
      <c r="QQI121" s="65"/>
      <c r="QQJ121" s="65"/>
      <c r="QQK121" s="65"/>
      <c r="QQL121" s="65"/>
      <c r="QQM121" s="65"/>
      <c r="QQN121" s="65"/>
      <c r="QQO121" s="65"/>
      <c r="QQP121" s="65"/>
      <c r="QQQ121" s="65"/>
      <c r="QQR121" s="65"/>
      <c r="QQS121" s="65"/>
      <c r="QQT121" s="65"/>
      <c r="QQU121" s="65"/>
      <c r="QQV121" s="65"/>
      <c r="QQW121" s="65"/>
      <c r="QQX121" s="65"/>
      <c r="QQY121" s="65"/>
      <c r="QQZ121" s="65"/>
      <c r="QRA121" s="65"/>
      <c r="QRB121" s="65"/>
      <c r="QRC121" s="65"/>
      <c r="QRD121" s="65"/>
      <c r="QRE121" s="65"/>
      <c r="QRF121" s="65"/>
      <c r="QRG121" s="65"/>
      <c r="QRH121" s="65"/>
      <c r="QRI121" s="65"/>
      <c r="QRJ121" s="65"/>
      <c r="QRK121" s="65"/>
      <c r="QRL121" s="65"/>
      <c r="QRM121" s="65"/>
      <c r="QRN121" s="65"/>
      <c r="QRO121" s="65"/>
      <c r="QRP121" s="65"/>
      <c r="QRQ121" s="65"/>
      <c r="QRR121" s="65"/>
      <c r="QRS121" s="65"/>
      <c r="QRT121" s="65"/>
      <c r="QRU121" s="65"/>
      <c r="QRV121" s="65"/>
      <c r="QRW121" s="65"/>
      <c r="QRX121" s="65"/>
      <c r="QRY121" s="65"/>
      <c r="QRZ121" s="65"/>
      <c r="QSA121" s="65"/>
      <c r="QSB121" s="65"/>
      <c r="QSC121" s="65"/>
      <c r="QSD121" s="65"/>
      <c r="QSE121" s="65"/>
      <c r="QSF121" s="65"/>
      <c r="QSG121" s="65"/>
      <c r="QSH121" s="65"/>
      <c r="QSI121" s="65"/>
      <c r="QSJ121" s="65"/>
      <c r="QSK121" s="65"/>
      <c r="QSL121" s="65"/>
      <c r="QSM121" s="65"/>
      <c r="QSN121" s="65"/>
      <c r="QSO121" s="65"/>
      <c r="QSP121" s="65"/>
      <c r="QSQ121" s="65"/>
      <c r="QSR121" s="65"/>
      <c r="QSS121" s="65"/>
      <c r="QST121" s="65"/>
      <c r="QSU121" s="65"/>
      <c r="QSV121" s="65"/>
      <c r="QSW121" s="65"/>
      <c r="QSX121" s="65"/>
      <c r="QSY121" s="65"/>
      <c r="QSZ121" s="65"/>
      <c r="QTA121" s="65"/>
      <c r="QTB121" s="65"/>
      <c r="QTC121" s="65"/>
      <c r="QTD121" s="65"/>
      <c r="QTE121" s="65"/>
      <c r="QTF121" s="65"/>
      <c r="QTG121" s="65"/>
      <c r="QTH121" s="65"/>
      <c r="QTI121" s="65"/>
      <c r="QTJ121" s="65"/>
      <c r="QTK121" s="65"/>
      <c r="QTL121" s="65"/>
      <c r="QTM121" s="65"/>
      <c r="QTN121" s="65"/>
      <c r="QTO121" s="65"/>
      <c r="QTP121" s="65"/>
      <c r="QTQ121" s="65"/>
      <c r="QTR121" s="65"/>
      <c r="QTS121" s="65"/>
      <c r="QTT121" s="65"/>
      <c r="QTU121" s="65"/>
      <c r="QTV121" s="65"/>
      <c r="QTW121" s="65"/>
      <c r="QTX121" s="65"/>
      <c r="QTY121" s="65"/>
      <c r="QTZ121" s="65"/>
      <c r="QUA121" s="65"/>
      <c r="QUB121" s="65"/>
      <c r="QUC121" s="65"/>
      <c r="QUD121" s="65"/>
      <c r="QUE121" s="65"/>
      <c r="QUF121" s="65"/>
      <c r="QUG121" s="65"/>
      <c r="QUH121" s="65"/>
      <c r="QUI121" s="65"/>
      <c r="QUJ121" s="65"/>
      <c r="QUK121" s="65"/>
      <c r="QUL121" s="65"/>
      <c r="QUM121" s="65"/>
      <c r="QUN121" s="65"/>
      <c r="QUO121" s="65"/>
      <c r="QUP121" s="65"/>
      <c r="QUQ121" s="65"/>
      <c r="QUR121" s="65"/>
      <c r="QUS121" s="65"/>
      <c r="QUT121" s="65"/>
      <c r="QUU121" s="65"/>
      <c r="QUV121" s="65"/>
      <c r="QUW121" s="65"/>
      <c r="QUX121" s="65"/>
      <c r="QUY121" s="65"/>
      <c r="QUZ121" s="65"/>
      <c r="QVA121" s="65"/>
      <c r="QVB121" s="65"/>
      <c r="QVC121" s="65"/>
      <c r="QVD121" s="65"/>
      <c r="QVE121" s="65"/>
      <c r="QVF121" s="65"/>
      <c r="QVG121" s="65"/>
      <c r="QVH121" s="65"/>
      <c r="QVI121" s="65"/>
      <c r="QVJ121" s="65"/>
      <c r="QVK121" s="65"/>
      <c r="QVL121" s="65"/>
      <c r="QVM121" s="65"/>
      <c r="QVN121" s="65"/>
      <c r="QVO121" s="65"/>
      <c r="QVP121" s="65"/>
      <c r="QVQ121" s="65"/>
      <c r="QVR121" s="65"/>
      <c r="QVS121" s="65"/>
      <c r="QVT121" s="65"/>
      <c r="QVU121" s="65"/>
      <c r="QVV121" s="65"/>
      <c r="QVW121" s="65"/>
      <c r="QVX121" s="65"/>
      <c r="QVY121" s="65"/>
      <c r="QVZ121" s="65"/>
      <c r="QWA121" s="65"/>
      <c r="QWB121" s="65"/>
      <c r="QWC121" s="65"/>
      <c r="QWD121" s="65"/>
      <c r="QWE121" s="65"/>
      <c r="QWF121" s="65"/>
      <c r="QWG121" s="65"/>
      <c r="QWH121" s="65"/>
      <c r="QWI121" s="65"/>
      <c r="QWJ121" s="65"/>
      <c r="QWK121" s="65"/>
      <c r="QWL121" s="65"/>
      <c r="QWM121" s="65"/>
      <c r="QWN121" s="65"/>
      <c r="QWO121" s="65"/>
      <c r="QWP121" s="65"/>
      <c r="QWQ121" s="65"/>
      <c r="QWR121" s="65"/>
      <c r="QWS121" s="65"/>
      <c r="QWT121" s="65"/>
      <c r="QWU121" s="65"/>
      <c r="QWV121" s="65"/>
      <c r="QWW121" s="65"/>
      <c r="QWX121" s="65"/>
      <c r="QWY121" s="65"/>
      <c r="QWZ121" s="65"/>
      <c r="QXA121" s="65"/>
      <c r="QXB121" s="65"/>
      <c r="QXC121" s="65"/>
      <c r="QXD121" s="65"/>
      <c r="QXE121" s="65"/>
      <c r="QXF121" s="65"/>
      <c r="QXG121" s="65"/>
      <c r="QXH121" s="65"/>
      <c r="QXI121" s="65"/>
      <c r="QXJ121" s="65"/>
      <c r="QXK121" s="65"/>
      <c r="QXL121" s="65"/>
      <c r="QXM121" s="65"/>
      <c r="QXN121" s="65"/>
      <c r="QXO121" s="65"/>
      <c r="QXP121" s="65"/>
      <c r="QXQ121" s="65"/>
      <c r="QXR121" s="65"/>
      <c r="QXS121" s="65"/>
      <c r="QXT121" s="65"/>
      <c r="QXU121" s="65"/>
      <c r="QXV121" s="65"/>
      <c r="QXW121" s="65"/>
      <c r="QXX121" s="65"/>
      <c r="QXY121" s="65"/>
      <c r="QXZ121" s="65"/>
      <c r="QYA121" s="65"/>
      <c r="QYB121" s="65"/>
      <c r="QYC121" s="65"/>
      <c r="QYD121" s="65"/>
      <c r="QYE121" s="65"/>
      <c r="QYF121" s="65"/>
      <c r="QYG121" s="65"/>
      <c r="QYH121" s="65"/>
      <c r="QYI121" s="65"/>
      <c r="QYJ121" s="65"/>
      <c r="QYK121" s="65"/>
      <c r="QYL121" s="65"/>
      <c r="QYM121" s="65"/>
      <c r="QYN121" s="65"/>
      <c r="QYO121" s="65"/>
      <c r="QYP121" s="65"/>
      <c r="QYQ121" s="65"/>
      <c r="QYR121" s="65"/>
      <c r="QYS121" s="65"/>
      <c r="QYT121" s="65"/>
      <c r="QYU121" s="65"/>
      <c r="QYV121" s="65"/>
      <c r="QYW121" s="65"/>
      <c r="QYX121" s="65"/>
      <c r="QYY121" s="65"/>
      <c r="QYZ121" s="65"/>
      <c r="QZA121" s="65"/>
      <c r="QZB121" s="65"/>
      <c r="QZC121" s="65"/>
      <c r="QZD121" s="65"/>
      <c r="QZE121" s="65"/>
      <c r="QZF121" s="65"/>
      <c r="QZG121" s="65"/>
      <c r="QZH121" s="65"/>
      <c r="QZI121" s="65"/>
      <c r="QZJ121" s="65"/>
      <c r="QZK121" s="65"/>
      <c r="QZL121" s="65"/>
      <c r="QZM121" s="65"/>
      <c r="QZN121" s="65"/>
      <c r="QZO121" s="65"/>
      <c r="QZP121" s="65"/>
      <c r="QZQ121" s="65"/>
      <c r="QZR121" s="65"/>
      <c r="QZS121" s="65"/>
      <c r="QZT121" s="65"/>
      <c r="QZU121" s="65"/>
      <c r="QZV121" s="65"/>
      <c r="QZW121" s="65"/>
      <c r="QZX121" s="65"/>
      <c r="QZY121" s="65"/>
      <c r="QZZ121" s="65"/>
      <c r="RAA121" s="65"/>
      <c r="RAB121" s="65"/>
      <c r="RAC121" s="65"/>
      <c r="RAD121" s="65"/>
      <c r="RAE121" s="65"/>
      <c r="RAF121" s="65"/>
      <c r="RAG121" s="65"/>
      <c r="RAH121" s="65"/>
      <c r="RAI121" s="65"/>
      <c r="RAJ121" s="65"/>
      <c r="RAK121" s="65"/>
      <c r="RAL121" s="65"/>
      <c r="RAM121" s="65"/>
      <c r="RAN121" s="65"/>
      <c r="RAO121" s="65"/>
      <c r="RAP121" s="65"/>
      <c r="RAQ121" s="65"/>
      <c r="RAR121" s="65"/>
      <c r="RAS121" s="65"/>
      <c r="RAT121" s="65"/>
      <c r="RAU121" s="65"/>
      <c r="RAV121" s="65"/>
      <c r="RAW121" s="65"/>
      <c r="RAX121" s="65"/>
      <c r="RAY121" s="65"/>
      <c r="RAZ121" s="65"/>
      <c r="RBA121" s="65"/>
      <c r="RBB121" s="65"/>
      <c r="RBC121" s="65"/>
      <c r="RBD121" s="65"/>
      <c r="RBE121" s="65"/>
      <c r="RBF121" s="65"/>
      <c r="RBG121" s="65"/>
      <c r="RBH121" s="65"/>
      <c r="RBI121" s="65"/>
      <c r="RBJ121" s="65"/>
      <c r="RBK121" s="65"/>
      <c r="RBL121" s="65"/>
      <c r="RBM121" s="65"/>
      <c r="RBN121" s="65"/>
      <c r="RBO121" s="65"/>
      <c r="RBP121" s="65"/>
      <c r="RBQ121" s="65"/>
      <c r="RBR121" s="65"/>
      <c r="RBS121" s="65"/>
      <c r="RBT121" s="65"/>
      <c r="RBU121" s="65"/>
      <c r="RBV121" s="65"/>
      <c r="RBW121" s="65"/>
      <c r="RBX121" s="65"/>
      <c r="RBY121" s="65"/>
      <c r="RBZ121" s="65"/>
      <c r="RCA121" s="65"/>
      <c r="RCB121" s="65"/>
      <c r="RCC121" s="65"/>
      <c r="RCD121" s="65"/>
      <c r="RCE121" s="65"/>
      <c r="RCF121" s="65"/>
      <c r="RCG121" s="65"/>
      <c r="RCH121" s="65"/>
      <c r="RCI121" s="65"/>
      <c r="RCJ121" s="65"/>
      <c r="RCK121" s="65"/>
      <c r="RCL121" s="65"/>
      <c r="RCM121" s="65"/>
      <c r="RCN121" s="65"/>
      <c r="RCO121" s="65"/>
      <c r="RCP121" s="65"/>
      <c r="RCQ121" s="65"/>
      <c r="RCR121" s="65"/>
      <c r="RCS121" s="65"/>
      <c r="RCT121" s="65"/>
      <c r="RCU121" s="65"/>
      <c r="RCV121" s="65"/>
      <c r="RCW121" s="65"/>
      <c r="RCX121" s="65"/>
      <c r="RCY121" s="65"/>
      <c r="RCZ121" s="65"/>
      <c r="RDA121" s="65"/>
      <c r="RDB121" s="65"/>
      <c r="RDC121" s="65"/>
      <c r="RDD121" s="65"/>
      <c r="RDE121" s="65"/>
      <c r="RDF121" s="65"/>
      <c r="RDG121" s="65"/>
      <c r="RDH121" s="65"/>
      <c r="RDI121" s="65"/>
      <c r="RDJ121" s="65"/>
      <c r="RDK121" s="65"/>
      <c r="RDL121" s="65"/>
      <c r="RDM121" s="65"/>
      <c r="RDN121" s="65"/>
      <c r="RDO121" s="65"/>
      <c r="RDP121" s="65"/>
      <c r="RDQ121" s="65"/>
      <c r="RDR121" s="65"/>
      <c r="RDS121" s="65"/>
      <c r="RDT121" s="65"/>
      <c r="RDU121" s="65"/>
      <c r="RDV121" s="65"/>
      <c r="RDW121" s="65"/>
      <c r="RDX121" s="65"/>
      <c r="RDY121" s="65"/>
      <c r="RDZ121" s="65"/>
      <c r="REA121" s="65"/>
      <c r="REB121" s="65"/>
      <c r="REC121" s="65"/>
      <c r="RED121" s="65"/>
      <c r="REE121" s="65"/>
      <c r="REF121" s="65"/>
      <c r="REG121" s="65"/>
      <c r="REH121" s="65"/>
      <c r="REI121" s="65"/>
      <c r="REJ121" s="65"/>
      <c r="REK121" s="65"/>
      <c r="REL121" s="65"/>
      <c r="REM121" s="65"/>
      <c r="REN121" s="65"/>
      <c r="REO121" s="65"/>
      <c r="REP121" s="65"/>
      <c r="REQ121" s="65"/>
      <c r="RER121" s="65"/>
      <c r="RES121" s="65"/>
      <c r="RET121" s="65"/>
      <c r="REU121" s="65"/>
      <c r="REV121" s="65"/>
      <c r="REW121" s="65"/>
      <c r="REX121" s="65"/>
      <c r="REY121" s="65"/>
      <c r="REZ121" s="65"/>
      <c r="RFA121" s="65"/>
      <c r="RFB121" s="65"/>
      <c r="RFC121" s="65"/>
      <c r="RFD121" s="65"/>
      <c r="RFE121" s="65"/>
      <c r="RFF121" s="65"/>
      <c r="RFG121" s="65"/>
      <c r="RFH121" s="65"/>
      <c r="RFI121" s="65"/>
      <c r="RFJ121" s="65"/>
      <c r="RFK121" s="65"/>
      <c r="RFL121" s="65"/>
      <c r="RFM121" s="65"/>
      <c r="RFN121" s="65"/>
      <c r="RFO121" s="65"/>
      <c r="RFP121" s="65"/>
      <c r="RFQ121" s="65"/>
      <c r="RFR121" s="65"/>
      <c r="RFS121" s="65"/>
      <c r="RFT121" s="65"/>
      <c r="RFU121" s="65"/>
      <c r="RFV121" s="65"/>
      <c r="RFW121" s="65"/>
      <c r="RFX121" s="65"/>
      <c r="RFY121" s="65"/>
      <c r="RFZ121" s="65"/>
      <c r="RGA121" s="65"/>
      <c r="RGB121" s="65"/>
      <c r="RGC121" s="65"/>
      <c r="RGD121" s="65"/>
      <c r="RGE121" s="65"/>
      <c r="RGF121" s="65"/>
      <c r="RGG121" s="65"/>
      <c r="RGH121" s="65"/>
      <c r="RGI121" s="65"/>
      <c r="RGJ121" s="65"/>
      <c r="RGK121" s="65"/>
      <c r="RGL121" s="65"/>
      <c r="RGM121" s="65"/>
      <c r="RGN121" s="65"/>
      <c r="RGO121" s="65"/>
      <c r="RGP121" s="65"/>
      <c r="RGQ121" s="65"/>
      <c r="RGR121" s="65"/>
      <c r="RGS121" s="65"/>
      <c r="RGT121" s="65"/>
      <c r="RGU121" s="65"/>
      <c r="RGV121" s="65"/>
      <c r="RGW121" s="65"/>
      <c r="RGX121" s="65"/>
      <c r="RGY121" s="65"/>
      <c r="RGZ121" s="65"/>
      <c r="RHA121" s="65"/>
      <c r="RHB121" s="65"/>
      <c r="RHC121" s="65"/>
      <c r="RHD121" s="65"/>
      <c r="RHE121" s="65"/>
      <c r="RHF121" s="65"/>
      <c r="RHG121" s="65"/>
      <c r="RHH121" s="65"/>
      <c r="RHI121" s="65"/>
      <c r="RHJ121" s="65"/>
      <c r="RHK121" s="65"/>
      <c r="RHL121" s="65"/>
      <c r="RHM121" s="65"/>
      <c r="RHN121" s="65"/>
      <c r="RHO121" s="65"/>
      <c r="RHP121" s="65"/>
      <c r="RHQ121" s="65"/>
      <c r="RHR121" s="65"/>
      <c r="RHS121" s="65"/>
      <c r="RHT121" s="65"/>
      <c r="RHU121" s="65"/>
      <c r="RHV121" s="65"/>
      <c r="RHW121" s="65"/>
      <c r="RHX121" s="65"/>
      <c r="RHY121" s="65"/>
      <c r="RHZ121" s="65"/>
      <c r="RIA121" s="65"/>
      <c r="RIB121" s="65"/>
      <c r="RIC121" s="65"/>
      <c r="RID121" s="65"/>
      <c r="RIE121" s="65"/>
      <c r="RIF121" s="65"/>
      <c r="RIG121" s="65"/>
      <c r="RIH121" s="65"/>
      <c r="RII121" s="65"/>
      <c r="RIJ121" s="65"/>
      <c r="RIK121" s="65"/>
      <c r="RIL121" s="65"/>
      <c r="RIM121" s="65"/>
      <c r="RIN121" s="65"/>
      <c r="RIO121" s="65"/>
      <c r="RIP121" s="65"/>
      <c r="RIQ121" s="65"/>
      <c r="RIR121" s="65"/>
      <c r="RIS121" s="65"/>
      <c r="RIT121" s="65"/>
      <c r="RIU121" s="65"/>
      <c r="RIV121" s="65"/>
      <c r="RIW121" s="65"/>
      <c r="RIX121" s="65"/>
      <c r="RIY121" s="65"/>
      <c r="RIZ121" s="65"/>
      <c r="RJA121" s="65"/>
      <c r="RJB121" s="65"/>
      <c r="RJC121" s="65"/>
      <c r="RJD121" s="65"/>
      <c r="RJE121" s="65"/>
      <c r="RJF121" s="65"/>
      <c r="RJG121" s="65"/>
      <c r="RJH121" s="65"/>
      <c r="RJI121" s="65"/>
      <c r="RJJ121" s="65"/>
      <c r="RJK121" s="65"/>
      <c r="RJL121" s="65"/>
      <c r="RJM121" s="65"/>
      <c r="RJN121" s="65"/>
      <c r="RJO121" s="65"/>
      <c r="RJP121" s="65"/>
      <c r="RJQ121" s="65"/>
      <c r="RJR121" s="65"/>
      <c r="RJS121" s="65"/>
      <c r="RJT121" s="65"/>
      <c r="RJU121" s="65"/>
      <c r="RJV121" s="65"/>
      <c r="RJW121" s="65"/>
      <c r="RJX121" s="65"/>
      <c r="RJY121" s="65"/>
      <c r="RJZ121" s="65"/>
      <c r="RKA121" s="65"/>
      <c r="RKB121" s="65"/>
      <c r="RKC121" s="65"/>
      <c r="RKD121" s="65"/>
      <c r="RKE121" s="65"/>
      <c r="RKF121" s="65"/>
      <c r="RKG121" s="65"/>
      <c r="RKH121" s="65"/>
      <c r="RKI121" s="65"/>
      <c r="RKJ121" s="65"/>
      <c r="RKK121" s="65"/>
      <c r="RKL121" s="65"/>
      <c r="RKM121" s="65"/>
      <c r="RKN121" s="65"/>
      <c r="RKO121" s="65"/>
      <c r="RKP121" s="65"/>
      <c r="RKQ121" s="65"/>
      <c r="RKR121" s="65"/>
      <c r="RKS121" s="65"/>
      <c r="RKT121" s="65"/>
      <c r="RKU121" s="65"/>
      <c r="RKV121" s="65"/>
      <c r="RKW121" s="65"/>
      <c r="RKX121" s="65"/>
      <c r="RKY121" s="65"/>
      <c r="RKZ121" s="65"/>
      <c r="RLA121" s="65"/>
      <c r="RLB121" s="65"/>
      <c r="RLC121" s="65"/>
      <c r="RLD121" s="65"/>
      <c r="RLE121" s="65"/>
      <c r="RLF121" s="65"/>
      <c r="RLG121" s="65"/>
      <c r="RLH121" s="65"/>
      <c r="RLI121" s="65"/>
      <c r="RLJ121" s="65"/>
      <c r="RLK121" s="65"/>
      <c r="RLL121" s="65"/>
      <c r="RLM121" s="65"/>
      <c r="RLN121" s="65"/>
      <c r="RLO121" s="65"/>
      <c r="RLP121" s="65"/>
      <c r="RLQ121" s="65"/>
      <c r="RLR121" s="65"/>
      <c r="RLS121" s="65"/>
      <c r="RLT121" s="65"/>
      <c r="RLU121" s="65"/>
      <c r="RLV121" s="65"/>
      <c r="RLW121" s="65"/>
      <c r="RLX121" s="65"/>
      <c r="RLY121" s="65"/>
      <c r="RLZ121" s="65"/>
      <c r="RMA121" s="65"/>
      <c r="RMB121" s="65"/>
      <c r="RMC121" s="65"/>
      <c r="RMD121" s="65"/>
      <c r="RME121" s="65"/>
      <c r="RMF121" s="65"/>
      <c r="RMG121" s="65"/>
      <c r="RMH121" s="65"/>
      <c r="RMI121" s="65"/>
      <c r="RMJ121" s="65"/>
      <c r="RMK121" s="65"/>
      <c r="RML121" s="65"/>
      <c r="RMM121" s="65"/>
      <c r="RMN121" s="65"/>
      <c r="RMO121" s="65"/>
      <c r="RMP121" s="65"/>
      <c r="RMQ121" s="65"/>
      <c r="RMR121" s="65"/>
      <c r="RMS121" s="65"/>
      <c r="RMT121" s="65"/>
      <c r="RMU121" s="65"/>
      <c r="RMV121" s="65"/>
      <c r="RMW121" s="65"/>
      <c r="RMX121" s="65"/>
      <c r="RMY121" s="65"/>
      <c r="RMZ121" s="65"/>
      <c r="RNA121" s="65"/>
      <c r="RNB121" s="65"/>
      <c r="RNC121" s="65"/>
      <c r="RND121" s="65"/>
      <c r="RNE121" s="65"/>
      <c r="RNF121" s="65"/>
      <c r="RNG121" s="65"/>
      <c r="RNH121" s="65"/>
      <c r="RNI121" s="65"/>
      <c r="RNJ121" s="65"/>
      <c r="RNK121" s="65"/>
      <c r="RNL121" s="65"/>
      <c r="RNM121" s="65"/>
      <c r="RNN121" s="65"/>
      <c r="RNO121" s="65"/>
      <c r="RNP121" s="65"/>
      <c r="RNQ121" s="65"/>
      <c r="RNR121" s="65"/>
      <c r="RNS121" s="65"/>
      <c r="RNT121" s="65"/>
      <c r="RNU121" s="65"/>
      <c r="RNV121" s="65"/>
      <c r="RNW121" s="65"/>
      <c r="RNX121" s="65"/>
      <c r="RNY121" s="65"/>
      <c r="RNZ121" s="65"/>
      <c r="ROA121" s="65"/>
      <c r="ROB121" s="65"/>
      <c r="ROC121" s="65"/>
      <c r="ROD121" s="65"/>
      <c r="ROE121" s="65"/>
      <c r="ROF121" s="65"/>
      <c r="ROG121" s="65"/>
      <c r="ROH121" s="65"/>
      <c r="ROI121" s="65"/>
      <c r="ROJ121" s="65"/>
      <c r="ROK121" s="65"/>
      <c r="ROL121" s="65"/>
      <c r="ROM121" s="65"/>
      <c r="RON121" s="65"/>
      <c r="ROO121" s="65"/>
      <c r="ROP121" s="65"/>
      <c r="ROQ121" s="65"/>
      <c r="ROR121" s="65"/>
      <c r="ROS121" s="65"/>
      <c r="ROT121" s="65"/>
      <c r="ROU121" s="65"/>
      <c r="ROV121" s="65"/>
      <c r="ROW121" s="65"/>
      <c r="ROX121" s="65"/>
      <c r="ROY121" s="65"/>
      <c r="ROZ121" s="65"/>
      <c r="RPA121" s="65"/>
      <c r="RPB121" s="65"/>
      <c r="RPC121" s="65"/>
      <c r="RPD121" s="65"/>
      <c r="RPE121" s="65"/>
      <c r="RPF121" s="65"/>
      <c r="RPG121" s="65"/>
      <c r="RPH121" s="65"/>
      <c r="RPI121" s="65"/>
      <c r="RPJ121" s="65"/>
      <c r="RPK121" s="65"/>
      <c r="RPL121" s="65"/>
      <c r="RPM121" s="65"/>
      <c r="RPN121" s="65"/>
      <c r="RPO121" s="65"/>
      <c r="RPP121" s="65"/>
      <c r="RPQ121" s="65"/>
      <c r="RPR121" s="65"/>
      <c r="RPS121" s="65"/>
      <c r="RPT121" s="65"/>
      <c r="RPU121" s="65"/>
      <c r="RPV121" s="65"/>
      <c r="RPW121" s="65"/>
      <c r="RPX121" s="65"/>
      <c r="RPY121" s="65"/>
      <c r="RPZ121" s="65"/>
      <c r="RQA121" s="65"/>
      <c r="RQB121" s="65"/>
      <c r="RQC121" s="65"/>
      <c r="RQD121" s="65"/>
      <c r="RQE121" s="65"/>
      <c r="RQF121" s="65"/>
      <c r="RQG121" s="65"/>
      <c r="RQH121" s="65"/>
      <c r="RQI121" s="65"/>
      <c r="RQJ121" s="65"/>
      <c r="RQK121" s="65"/>
      <c r="RQL121" s="65"/>
      <c r="RQM121" s="65"/>
      <c r="RQN121" s="65"/>
      <c r="RQO121" s="65"/>
      <c r="RQP121" s="65"/>
      <c r="RQQ121" s="65"/>
      <c r="RQR121" s="65"/>
      <c r="RQS121" s="65"/>
      <c r="RQT121" s="65"/>
      <c r="RQU121" s="65"/>
      <c r="RQV121" s="65"/>
      <c r="RQW121" s="65"/>
      <c r="RQX121" s="65"/>
      <c r="RQY121" s="65"/>
      <c r="RQZ121" s="65"/>
      <c r="RRA121" s="65"/>
      <c r="RRB121" s="65"/>
      <c r="RRC121" s="65"/>
      <c r="RRD121" s="65"/>
      <c r="RRE121" s="65"/>
      <c r="RRF121" s="65"/>
      <c r="RRG121" s="65"/>
      <c r="RRH121" s="65"/>
      <c r="RRI121" s="65"/>
      <c r="RRJ121" s="65"/>
      <c r="RRK121" s="65"/>
      <c r="RRL121" s="65"/>
      <c r="RRM121" s="65"/>
      <c r="RRN121" s="65"/>
      <c r="RRO121" s="65"/>
      <c r="RRP121" s="65"/>
      <c r="RRQ121" s="65"/>
      <c r="RRR121" s="65"/>
      <c r="RRS121" s="65"/>
      <c r="RRT121" s="65"/>
      <c r="RRU121" s="65"/>
      <c r="RRV121" s="65"/>
      <c r="RRW121" s="65"/>
      <c r="RRX121" s="65"/>
      <c r="RRY121" s="65"/>
      <c r="RRZ121" s="65"/>
      <c r="RSA121" s="65"/>
      <c r="RSB121" s="65"/>
      <c r="RSC121" s="65"/>
      <c r="RSD121" s="65"/>
      <c r="RSE121" s="65"/>
      <c r="RSF121" s="65"/>
      <c r="RSG121" s="65"/>
      <c r="RSH121" s="65"/>
      <c r="RSI121" s="65"/>
      <c r="RSJ121" s="65"/>
      <c r="RSK121" s="65"/>
      <c r="RSL121" s="65"/>
      <c r="RSM121" s="65"/>
      <c r="RSN121" s="65"/>
      <c r="RSO121" s="65"/>
      <c r="RSP121" s="65"/>
      <c r="RSQ121" s="65"/>
      <c r="RSR121" s="65"/>
      <c r="RSS121" s="65"/>
      <c r="RST121" s="65"/>
      <c r="RSU121" s="65"/>
      <c r="RSV121" s="65"/>
      <c r="RSW121" s="65"/>
      <c r="RSX121" s="65"/>
      <c r="RSY121" s="65"/>
      <c r="RSZ121" s="65"/>
      <c r="RTA121" s="65"/>
      <c r="RTB121" s="65"/>
      <c r="RTC121" s="65"/>
      <c r="RTD121" s="65"/>
      <c r="RTE121" s="65"/>
      <c r="RTF121" s="65"/>
      <c r="RTG121" s="65"/>
      <c r="RTH121" s="65"/>
      <c r="RTI121" s="65"/>
      <c r="RTJ121" s="65"/>
      <c r="RTK121" s="65"/>
      <c r="RTL121" s="65"/>
      <c r="RTM121" s="65"/>
      <c r="RTN121" s="65"/>
      <c r="RTO121" s="65"/>
      <c r="RTP121" s="65"/>
      <c r="RTQ121" s="65"/>
      <c r="RTR121" s="65"/>
      <c r="RTS121" s="65"/>
      <c r="RTT121" s="65"/>
      <c r="RTU121" s="65"/>
      <c r="RTV121" s="65"/>
      <c r="RTW121" s="65"/>
      <c r="RTX121" s="65"/>
      <c r="RTY121" s="65"/>
      <c r="RTZ121" s="65"/>
      <c r="RUA121" s="65"/>
      <c r="RUB121" s="65"/>
      <c r="RUC121" s="65"/>
      <c r="RUD121" s="65"/>
      <c r="RUE121" s="65"/>
      <c r="RUF121" s="65"/>
      <c r="RUG121" s="65"/>
      <c r="RUH121" s="65"/>
      <c r="RUI121" s="65"/>
      <c r="RUJ121" s="65"/>
      <c r="RUK121" s="65"/>
      <c r="RUL121" s="65"/>
      <c r="RUM121" s="65"/>
      <c r="RUN121" s="65"/>
      <c r="RUO121" s="65"/>
      <c r="RUP121" s="65"/>
      <c r="RUQ121" s="65"/>
      <c r="RUR121" s="65"/>
      <c r="RUS121" s="65"/>
      <c r="RUT121" s="65"/>
      <c r="RUU121" s="65"/>
      <c r="RUV121" s="65"/>
      <c r="RUW121" s="65"/>
      <c r="RUX121" s="65"/>
      <c r="RUY121" s="65"/>
      <c r="RUZ121" s="65"/>
      <c r="RVA121" s="65"/>
      <c r="RVB121" s="65"/>
      <c r="RVC121" s="65"/>
      <c r="RVD121" s="65"/>
      <c r="RVE121" s="65"/>
      <c r="RVF121" s="65"/>
      <c r="RVG121" s="65"/>
      <c r="RVH121" s="65"/>
      <c r="RVI121" s="65"/>
      <c r="RVJ121" s="65"/>
      <c r="RVK121" s="65"/>
      <c r="RVL121" s="65"/>
      <c r="RVM121" s="65"/>
      <c r="RVN121" s="65"/>
      <c r="RVO121" s="65"/>
      <c r="RVP121" s="65"/>
      <c r="RVQ121" s="65"/>
      <c r="RVR121" s="65"/>
      <c r="RVS121" s="65"/>
      <c r="RVT121" s="65"/>
      <c r="RVU121" s="65"/>
      <c r="RVV121" s="65"/>
      <c r="RVW121" s="65"/>
      <c r="RVX121" s="65"/>
      <c r="RVY121" s="65"/>
      <c r="RVZ121" s="65"/>
      <c r="RWA121" s="65"/>
      <c r="RWB121" s="65"/>
      <c r="RWC121" s="65"/>
      <c r="RWD121" s="65"/>
      <c r="RWE121" s="65"/>
      <c r="RWF121" s="65"/>
      <c r="RWG121" s="65"/>
      <c r="RWH121" s="65"/>
      <c r="RWI121" s="65"/>
      <c r="RWJ121" s="65"/>
      <c r="RWK121" s="65"/>
      <c r="RWL121" s="65"/>
      <c r="RWM121" s="65"/>
      <c r="RWN121" s="65"/>
      <c r="RWO121" s="65"/>
      <c r="RWP121" s="65"/>
      <c r="RWQ121" s="65"/>
      <c r="RWR121" s="65"/>
      <c r="RWS121" s="65"/>
      <c r="RWT121" s="65"/>
      <c r="RWU121" s="65"/>
      <c r="RWV121" s="65"/>
      <c r="RWW121" s="65"/>
      <c r="RWX121" s="65"/>
      <c r="RWY121" s="65"/>
      <c r="RWZ121" s="65"/>
      <c r="RXA121" s="65"/>
      <c r="RXB121" s="65"/>
      <c r="RXC121" s="65"/>
      <c r="RXD121" s="65"/>
      <c r="RXE121" s="65"/>
      <c r="RXF121" s="65"/>
      <c r="RXG121" s="65"/>
      <c r="RXH121" s="65"/>
      <c r="RXI121" s="65"/>
      <c r="RXJ121" s="65"/>
      <c r="RXK121" s="65"/>
      <c r="RXL121" s="65"/>
      <c r="RXM121" s="65"/>
      <c r="RXN121" s="65"/>
      <c r="RXO121" s="65"/>
      <c r="RXP121" s="65"/>
      <c r="RXQ121" s="65"/>
      <c r="RXR121" s="65"/>
      <c r="RXS121" s="65"/>
      <c r="RXT121" s="65"/>
      <c r="RXU121" s="65"/>
      <c r="RXV121" s="65"/>
      <c r="RXW121" s="65"/>
      <c r="RXX121" s="65"/>
      <c r="RXY121" s="65"/>
      <c r="RXZ121" s="65"/>
      <c r="RYA121" s="65"/>
      <c r="RYB121" s="65"/>
      <c r="RYC121" s="65"/>
      <c r="RYD121" s="65"/>
      <c r="RYE121" s="65"/>
      <c r="RYF121" s="65"/>
      <c r="RYG121" s="65"/>
      <c r="RYH121" s="65"/>
      <c r="RYI121" s="65"/>
      <c r="RYJ121" s="65"/>
      <c r="RYK121" s="65"/>
      <c r="RYL121" s="65"/>
      <c r="RYM121" s="65"/>
      <c r="RYN121" s="65"/>
      <c r="RYO121" s="65"/>
      <c r="RYP121" s="65"/>
      <c r="RYQ121" s="65"/>
      <c r="RYR121" s="65"/>
      <c r="RYS121" s="65"/>
      <c r="RYT121" s="65"/>
      <c r="RYU121" s="65"/>
      <c r="RYV121" s="65"/>
      <c r="RYW121" s="65"/>
      <c r="RYX121" s="65"/>
      <c r="RYY121" s="65"/>
      <c r="RYZ121" s="65"/>
      <c r="RZA121" s="65"/>
      <c r="RZB121" s="65"/>
      <c r="RZC121" s="65"/>
      <c r="RZD121" s="65"/>
      <c r="RZE121" s="65"/>
      <c r="RZF121" s="65"/>
      <c r="RZG121" s="65"/>
      <c r="RZH121" s="65"/>
      <c r="RZI121" s="65"/>
      <c r="RZJ121" s="65"/>
      <c r="RZK121" s="65"/>
      <c r="RZL121" s="65"/>
      <c r="RZM121" s="65"/>
      <c r="RZN121" s="65"/>
      <c r="RZO121" s="65"/>
      <c r="RZP121" s="65"/>
      <c r="RZQ121" s="65"/>
      <c r="RZR121" s="65"/>
      <c r="RZS121" s="65"/>
      <c r="RZT121" s="65"/>
      <c r="RZU121" s="65"/>
      <c r="RZV121" s="65"/>
      <c r="RZW121" s="65"/>
      <c r="RZX121" s="65"/>
      <c r="RZY121" s="65"/>
      <c r="RZZ121" s="65"/>
      <c r="SAA121" s="65"/>
      <c r="SAB121" s="65"/>
      <c r="SAC121" s="65"/>
      <c r="SAD121" s="65"/>
      <c r="SAE121" s="65"/>
      <c r="SAF121" s="65"/>
      <c r="SAG121" s="65"/>
      <c r="SAH121" s="65"/>
      <c r="SAI121" s="65"/>
      <c r="SAJ121" s="65"/>
      <c r="SAK121" s="65"/>
      <c r="SAL121" s="65"/>
      <c r="SAM121" s="65"/>
      <c r="SAN121" s="65"/>
      <c r="SAO121" s="65"/>
      <c r="SAP121" s="65"/>
      <c r="SAQ121" s="65"/>
      <c r="SAR121" s="65"/>
      <c r="SAS121" s="65"/>
      <c r="SAT121" s="65"/>
      <c r="SAU121" s="65"/>
      <c r="SAV121" s="65"/>
      <c r="SAW121" s="65"/>
      <c r="SAX121" s="65"/>
      <c r="SAY121" s="65"/>
      <c r="SAZ121" s="65"/>
      <c r="SBA121" s="65"/>
      <c r="SBB121" s="65"/>
      <c r="SBC121" s="65"/>
      <c r="SBD121" s="65"/>
      <c r="SBE121" s="65"/>
      <c r="SBF121" s="65"/>
      <c r="SBG121" s="65"/>
      <c r="SBH121" s="65"/>
      <c r="SBI121" s="65"/>
      <c r="SBJ121" s="65"/>
      <c r="SBK121" s="65"/>
      <c r="SBL121" s="65"/>
      <c r="SBM121" s="65"/>
      <c r="SBN121" s="65"/>
      <c r="SBO121" s="65"/>
      <c r="SBP121" s="65"/>
      <c r="SBQ121" s="65"/>
      <c r="SBR121" s="65"/>
      <c r="SBS121" s="65"/>
      <c r="SBT121" s="65"/>
      <c r="SBU121" s="65"/>
      <c r="SBV121" s="65"/>
      <c r="SBW121" s="65"/>
      <c r="SBX121" s="65"/>
      <c r="SBY121" s="65"/>
      <c r="SBZ121" s="65"/>
      <c r="SCA121" s="65"/>
      <c r="SCB121" s="65"/>
      <c r="SCC121" s="65"/>
      <c r="SCD121" s="65"/>
      <c r="SCE121" s="65"/>
      <c r="SCF121" s="65"/>
      <c r="SCG121" s="65"/>
      <c r="SCH121" s="65"/>
      <c r="SCI121" s="65"/>
      <c r="SCJ121" s="65"/>
      <c r="SCK121" s="65"/>
      <c r="SCL121" s="65"/>
      <c r="SCM121" s="65"/>
      <c r="SCN121" s="65"/>
      <c r="SCO121" s="65"/>
      <c r="SCP121" s="65"/>
      <c r="SCQ121" s="65"/>
      <c r="SCR121" s="65"/>
      <c r="SCS121" s="65"/>
      <c r="SCT121" s="65"/>
      <c r="SCU121" s="65"/>
      <c r="SCV121" s="65"/>
      <c r="SCW121" s="65"/>
      <c r="SCX121" s="65"/>
      <c r="SCY121" s="65"/>
      <c r="SCZ121" s="65"/>
      <c r="SDA121" s="65"/>
      <c r="SDB121" s="65"/>
      <c r="SDC121" s="65"/>
      <c r="SDD121" s="65"/>
      <c r="SDE121" s="65"/>
      <c r="SDF121" s="65"/>
      <c r="SDG121" s="65"/>
      <c r="SDH121" s="65"/>
      <c r="SDI121" s="65"/>
      <c r="SDJ121" s="65"/>
      <c r="SDK121" s="65"/>
      <c r="SDL121" s="65"/>
      <c r="SDM121" s="65"/>
      <c r="SDN121" s="65"/>
      <c r="SDO121" s="65"/>
      <c r="SDP121" s="65"/>
      <c r="SDQ121" s="65"/>
      <c r="SDR121" s="65"/>
      <c r="SDS121" s="65"/>
      <c r="SDT121" s="65"/>
      <c r="SDU121" s="65"/>
      <c r="SDV121" s="65"/>
      <c r="SDW121" s="65"/>
      <c r="SDX121" s="65"/>
      <c r="SDY121" s="65"/>
      <c r="SDZ121" s="65"/>
      <c r="SEA121" s="65"/>
      <c r="SEB121" s="65"/>
      <c r="SEC121" s="65"/>
      <c r="SED121" s="65"/>
      <c r="SEE121" s="65"/>
      <c r="SEF121" s="65"/>
      <c r="SEG121" s="65"/>
      <c r="SEH121" s="65"/>
      <c r="SEI121" s="65"/>
      <c r="SEJ121" s="65"/>
      <c r="SEK121" s="65"/>
      <c r="SEL121" s="65"/>
      <c r="SEM121" s="65"/>
      <c r="SEN121" s="65"/>
      <c r="SEO121" s="65"/>
      <c r="SEP121" s="65"/>
      <c r="SEQ121" s="65"/>
      <c r="SER121" s="65"/>
      <c r="SES121" s="65"/>
      <c r="SET121" s="65"/>
      <c r="SEU121" s="65"/>
      <c r="SEV121" s="65"/>
      <c r="SEW121" s="65"/>
      <c r="SEX121" s="65"/>
      <c r="SEY121" s="65"/>
      <c r="SEZ121" s="65"/>
      <c r="SFA121" s="65"/>
      <c r="SFB121" s="65"/>
      <c r="SFC121" s="65"/>
      <c r="SFD121" s="65"/>
      <c r="SFE121" s="65"/>
      <c r="SFF121" s="65"/>
      <c r="SFG121" s="65"/>
      <c r="SFH121" s="65"/>
      <c r="SFI121" s="65"/>
      <c r="SFJ121" s="65"/>
      <c r="SFK121" s="65"/>
      <c r="SFL121" s="65"/>
      <c r="SFM121" s="65"/>
      <c r="SFN121" s="65"/>
      <c r="SFO121" s="65"/>
      <c r="SFP121" s="65"/>
      <c r="SFQ121" s="65"/>
      <c r="SFR121" s="65"/>
      <c r="SFS121" s="65"/>
      <c r="SFT121" s="65"/>
      <c r="SFU121" s="65"/>
      <c r="SFV121" s="65"/>
      <c r="SFW121" s="65"/>
      <c r="SFX121" s="65"/>
      <c r="SFY121" s="65"/>
      <c r="SFZ121" s="65"/>
      <c r="SGA121" s="65"/>
      <c r="SGB121" s="65"/>
      <c r="SGC121" s="65"/>
      <c r="SGD121" s="65"/>
      <c r="SGE121" s="65"/>
      <c r="SGF121" s="65"/>
      <c r="SGG121" s="65"/>
      <c r="SGH121" s="65"/>
      <c r="SGI121" s="65"/>
      <c r="SGJ121" s="65"/>
      <c r="SGK121" s="65"/>
      <c r="SGL121" s="65"/>
      <c r="SGM121" s="65"/>
      <c r="SGN121" s="65"/>
      <c r="SGO121" s="65"/>
      <c r="SGP121" s="65"/>
      <c r="SGQ121" s="65"/>
      <c r="SGR121" s="65"/>
      <c r="SGS121" s="65"/>
      <c r="SGT121" s="65"/>
      <c r="SGU121" s="65"/>
      <c r="SGV121" s="65"/>
      <c r="SGW121" s="65"/>
      <c r="SGX121" s="65"/>
      <c r="SGY121" s="65"/>
      <c r="SGZ121" s="65"/>
      <c r="SHA121" s="65"/>
      <c r="SHB121" s="65"/>
      <c r="SHC121" s="65"/>
      <c r="SHD121" s="65"/>
      <c r="SHE121" s="65"/>
      <c r="SHF121" s="65"/>
      <c r="SHG121" s="65"/>
      <c r="SHH121" s="65"/>
      <c r="SHI121" s="65"/>
      <c r="SHJ121" s="65"/>
      <c r="SHK121" s="65"/>
      <c r="SHL121" s="65"/>
      <c r="SHM121" s="65"/>
      <c r="SHN121" s="65"/>
      <c r="SHO121" s="65"/>
      <c r="SHP121" s="65"/>
      <c r="SHQ121" s="65"/>
      <c r="SHR121" s="65"/>
      <c r="SHS121" s="65"/>
      <c r="SHT121" s="65"/>
      <c r="SHU121" s="65"/>
      <c r="SHV121" s="65"/>
      <c r="SHW121" s="65"/>
      <c r="SHX121" s="65"/>
      <c r="SHY121" s="65"/>
      <c r="SHZ121" s="65"/>
      <c r="SIA121" s="65"/>
      <c r="SIB121" s="65"/>
      <c r="SIC121" s="65"/>
      <c r="SID121" s="65"/>
      <c r="SIE121" s="65"/>
      <c r="SIF121" s="65"/>
      <c r="SIG121" s="65"/>
      <c r="SIH121" s="65"/>
      <c r="SII121" s="65"/>
      <c r="SIJ121" s="65"/>
      <c r="SIK121" s="65"/>
      <c r="SIL121" s="65"/>
      <c r="SIM121" s="65"/>
      <c r="SIN121" s="65"/>
      <c r="SIO121" s="65"/>
      <c r="SIP121" s="65"/>
      <c r="SIQ121" s="65"/>
      <c r="SIR121" s="65"/>
      <c r="SIS121" s="65"/>
      <c r="SIT121" s="65"/>
      <c r="SIU121" s="65"/>
      <c r="SIV121" s="65"/>
      <c r="SIW121" s="65"/>
      <c r="SIX121" s="65"/>
      <c r="SIY121" s="65"/>
      <c r="SIZ121" s="65"/>
      <c r="SJA121" s="65"/>
      <c r="SJB121" s="65"/>
      <c r="SJC121" s="65"/>
      <c r="SJD121" s="65"/>
      <c r="SJE121" s="65"/>
      <c r="SJF121" s="65"/>
      <c r="SJG121" s="65"/>
      <c r="SJH121" s="65"/>
      <c r="SJI121" s="65"/>
      <c r="SJJ121" s="65"/>
      <c r="SJK121" s="65"/>
      <c r="SJL121" s="65"/>
      <c r="SJM121" s="65"/>
      <c r="SJN121" s="65"/>
      <c r="SJO121" s="65"/>
      <c r="SJP121" s="65"/>
      <c r="SJQ121" s="65"/>
      <c r="SJR121" s="65"/>
      <c r="SJS121" s="65"/>
      <c r="SJT121" s="65"/>
      <c r="SJU121" s="65"/>
      <c r="SJV121" s="65"/>
      <c r="SJW121" s="65"/>
      <c r="SJX121" s="65"/>
      <c r="SJY121" s="65"/>
      <c r="SJZ121" s="65"/>
      <c r="SKA121" s="65"/>
      <c r="SKB121" s="65"/>
      <c r="SKC121" s="65"/>
      <c r="SKD121" s="65"/>
      <c r="SKE121" s="65"/>
      <c r="SKF121" s="65"/>
      <c r="SKG121" s="65"/>
      <c r="SKH121" s="65"/>
      <c r="SKI121" s="65"/>
      <c r="SKJ121" s="65"/>
      <c r="SKK121" s="65"/>
      <c r="SKL121" s="65"/>
      <c r="SKM121" s="65"/>
      <c r="SKN121" s="65"/>
      <c r="SKO121" s="65"/>
      <c r="SKP121" s="65"/>
      <c r="SKQ121" s="65"/>
      <c r="SKR121" s="65"/>
      <c r="SKS121" s="65"/>
      <c r="SKT121" s="65"/>
      <c r="SKU121" s="65"/>
      <c r="SKV121" s="65"/>
      <c r="SKW121" s="65"/>
      <c r="SKX121" s="65"/>
      <c r="SKY121" s="65"/>
      <c r="SKZ121" s="65"/>
      <c r="SLA121" s="65"/>
      <c r="SLB121" s="65"/>
      <c r="SLC121" s="65"/>
      <c r="SLD121" s="65"/>
      <c r="SLE121" s="65"/>
      <c r="SLF121" s="65"/>
      <c r="SLG121" s="65"/>
      <c r="SLH121" s="65"/>
      <c r="SLI121" s="65"/>
      <c r="SLJ121" s="65"/>
      <c r="SLK121" s="65"/>
      <c r="SLL121" s="65"/>
      <c r="SLM121" s="65"/>
      <c r="SLN121" s="65"/>
      <c r="SLO121" s="65"/>
      <c r="SLP121" s="65"/>
      <c r="SLQ121" s="65"/>
      <c r="SLR121" s="65"/>
      <c r="SLS121" s="65"/>
      <c r="SLT121" s="65"/>
      <c r="SLU121" s="65"/>
      <c r="SLV121" s="65"/>
      <c r="SLW121" s="65"/>
      <c r="SLX121" s="65"/>
      <c r="SLY121" s="65"/>
      <c r="SLZ121" s="65"/>
      <c r="SMA121" s="65"/>
      <c r="SMB121" s="65"/>
      <c r="SMC121" s="65"/>
      <c r="SMD121" s="65"/>
      <c r="SME121" s="65"/>
      <c r="SMF121" s="65"/>
      <c r="SMG121" s="65"/>
      <c r="SMH121" s="65"/>
      <c r="SMI121" s="65"/>
      <c r="SMJ121" s="65"/>
      <c r="SMK121" s="65"/>
      <c r="SML121" s="65"/>
      <c r="SMM121" s="65"/>
      <c r="SMN121" s="65"/>
      <c r="SMO121" s="65"/>
      <c r="SMP121" s="65"/>
      <c r="SMQ121" s="65"/>
      <c r="SMR121" s="65"/>
      <c r="SMS121" s="65"/>
      <c r="SMT121" s="65"/>
      <c r="SMU121" s="65"/>
      <c r="SMV121" s="65"/>
      <c r="SMW121" s="65"/>
      <c r="SMX121" s="65"/>
      <c r="SMY121" s="65"/>
      <c r="SMZ121" s="65"/>
      <c r="SNA121" s="65"/>
      <c r="SNB121" s="65"/>
      <c r="SNC121" s="65"/>
      <c r="SND121" s="65"/>
      <c r="SNE121" s="65"/>
      <c r="SNF121" s="65"/>
      <c r="SNG121" s="65"/>
      <c r="SNH121" s="65"/>
      <c r="SNI121" s="65"/>
      <c r="SNJ121" s="65"/>
      <c r="SNK121" s="65"/>
      <c r="SNL121" s="65"/>
      <c r="SNM121" s="65"/>
      <c r="SNN121" s="65"/>
      <c r="SNO121" s="65"/>
      <c r="SNP121" s="65"/>
      <c r="SNQ121" s="65"/>
      <c r="SNR121" s="65"/>
      <c r="SNS121" s="65"/>
      <c r="SNT121" s="65"/>
      <c r="SNU121" s="65"/>
      <c r="SNV121" s="65"/>
      <c r="SNW121" s="65"/>
      <c r="SNX121" s="65"/>
      <c r="SNY121" s="65"/>
      <c r="SNZ121" s="65"/>
      <c r="SOA121" s="65"/>
      <c r="SOB121" s="65"/>
      <c r="SOC121" s="65"/>
      <c r="SOD121" s="65"/>
      <c r="SOE121" s="65"/>
      <c r="SOF121" s="65"/>
      <c r="SOG121" s="65"/>
      <c r="SOH121" s="65"/>
      <c r="SOI121" s="65"/>
      <c r="SOJ121" s="65"/>
      <c r="SOK121" s="65"/>
      <c r="SOL121" s="65"/>
      <c r="SOM121" s="65"/>
      <c r="SON121" s="65"/>
      <c r="SOO121" s="65"/>
      <c r="SOP121" s="65"/>
      <c r="SOQ121" s="65"/>
      <c r="SOR121" s="65"/>
      <c r="SOS121" s="65"/>
      <c r="SOT121" s="65"/>
      <c r="SOU121" s="65"/>
      <c r="SOV121" s="65"/>
      <c r="SOW121" s="65"/>
      <c r="SOX121" s="65"/>
      <c r="SOY121" s="65"/>
      <c r="SOZ121" s="65"/>
      <c r="SPA121" s="65"/>
      <c r="SPB121" s="65"/>
      <c r="SPC121" s="65"/>
      <c r="SPD121" s="65"/>
      <c r="SPE121" s="65"/>
      <c r="SPF121" s="65"/>
      <c r="SPG121" s="65"/>
      <c r="SPH121" s="65"/>
      <c r="SPI121" s="65"/>
      <c r="SPJ121" s="65"/>
      <c r="SPK121" s="65"/>
      <c r="SPL121" s="65"/>
      <c r="SPM121" s="65"/>
      <c r="SPN121" s="65"/>
      <c r="SPO121" s="65"/>
      <c r="SPP121" s="65"/>
      <c r="SPQ121" s="65"/>
      <c r="SPR121" s="65"/>
      <c r="SPS121" s="65"/>
      <c r="SPT121" s="65"/>
      <c r="SPU121" s="65"/>
      <c r="SPV121" s="65"/>
      <c r="SPW121" s="65"/>
      <c r="SPX121" s="65"/>
      <c r="SPY121" s="65"/>
      <c r="SPZ121" s="65"/>
      <c r="SQA121" s="65"/>
      <c r="SQB121" s="65"/>
      <c r="SQC121" s="65"/>
      <c r="SQD121" s="65"/>
      <c r="SQE121" s="65"/>
      <c r="SQF121" s="65"/>
      <c r="SQG121" s="65"/>
      <c r="SQH121" s="65"/>
      <c r="SQI121" s="65"/>
      <c r="SQJ121" s="65"/>
      <c r="SQK121" s="65"/>
      <c r="SQL121" s="65"/>
      <c r="SQM121" s="65"/>
      <c r="SQN121" s="65"/>
      <c r="SQO121" s="65"/>
      <c r="SQP121" s="65"/>
      <c r="SQQ121" s="65"/>
      <c r="SQR121" s="65"/>
      <c r="SQS121" s="65"/>
      <c r="SQT121" s="65"/>
      <c r="SQU121" s="65"/>
      <c r="SQV121" s="65"/>
      <c r="SQW121" s="65"/>
      <c r="SQX121" s="65"/>
      <c r="SQY121" s="65"/>
      <c r="SQZ121" s="65"/>
      <c r="SRA121" s="65"/>
      <c r="SRB121" s="65"/>
      <c r="SRC121" s="65"/>
      <c r="SRD121" s="65"/>
      <c r="SRE121" s="65"/>
      <c r="SRF121" s="65"/>
      <c r="SRG121" s="65"/>
      <c r="SRH121" s="65"/>
      <c r="SRI121" s="65"/>
      <c r="SRJ121" s="65"/>
      <c r="SRK121" s="65"/>
      <c r="SRL121" s="65"/>
      <c r="SRM121" s="65"/>
      <c r="SRN121" s="65"/>
      <c r="SRO121" s="65"/>
      <c r="SRP121" s="65"/>
      <c r="SRQ121" s="65"/>
      <c r="SRR121" s="65"/>
      <c r="SRS121" s="65"/>
      <c r="SRT121" s="65"/>
      <c r="SRU121" s="65"/>
      <c r="SRV121" s="65"/>
      <c r="SRW121" s="65"/>
      <c r="SRX121" s="65"/>
      <c r="SRY121" s="65"/>
      <c r="SRZ121" s="65"/>
      <c r="SSA121" s="65"/>
      <c r="SSB121" s="65"/>
      <c r="SSC121" s="65"/>
      <c r="SSD121" s="65"/>
      <c r="SSE121" s="65"/>
      <c r="SSF121" s="65"/>
      <c r="SSG121" s="65"/>
      <c r="SSH121" s="65"/>
      <c r="SSI121" s="65"/>
      <c r="SSJ121" s="65"/>
      <c r="SSK121" s="65"/>
      <c r="SSL121" s="65"/>
      <c r="SSM121" s="65"/>
      <c r="SSN121" s="65"/>
      <c r="SSO121" s="65"/>
      <c r="SSP121" s="65"/>
      <c r="SSQ121" s="65"/>
      <c r="SSR121" s="65"/>
      <c r="SSS121" s="65"/>
      <c r="SST121" s="65"/>
      <c r="SSU121" s="65"/>
      <c r="SSV121" s="65"/>
      <c r="SSW121" s="65"/>
      <c r="SSX121" s="65"/>
      <c r="SSY121" s="65"/>
      <c r="SSZ121" s="65"/>
      <c r="STA121" s="65"/>
      <c r="STB121" s="65"/>
      <c r="STC121" s="65"/>
      <c r="STD121" s="65"/>
      <c r="STE121" s="65"/>
      <c r="STF121" s="65"/>
      <c r="STG121" s="65"/>
      <c r="STH121" s="65"/>
      <c r="STI121" s="65"/>
      <c r="STJ121" s="65"/>
      <c r="STK121" s="65"/>
      <c r="STL121" s="65"/>
      <c r="STM121" s="65"/>
      <c r="STN121" s="65"/>
      <c r="STO121" s="65"/>
      <c r="STP121" s="65"/>
      <c r="STQ121" s="65"/>
      <c r="STR121" s="65"/>
      <c r="STS121" s="65"/>
      <c r="STT121" s="65"/>
      <c r="STU121" s="65"/>
      <c r="STV121" s="65"/>
      <c r="STW121" s="65"/>
      <c r="STX121" s="65"/>
      <c r="STY121" s="65"/>
      <c r="STZ121" s="65"/>
      <c r="SUA121" s="65"/>
      <c r="SUB121" s="65"/>
      <c r="SUC121" s="65"/>
      <c r="SUD121" s="65"/>
      <c r="SUE121" s="65"/>
      <c r="SUF121" s="65"/>
      <c r="SUG121" s="65"/>
      <c r="SUH121" s="65"/>
      <c r="SUI121" s="65"/>
      <c r="SUJ121" s="65"/>
      <c r="SUK121" s="65"/>
      <c r="SUL121" s="65"/>
      <c r="SUM121" s="65"/>
      <c r="SUN121" s="65"/>
      <c r="SUO121" s="65"/>
      <c r="SUP121" s="65"/>
      <c r="SUQ121" s="65"/>
      <c r="SUR121" s="65"/>
      <c r="SUS121" s="65"/>
      <c r="SUT121" s="65"/>
      <c r="SUU121" s="65"/>
      <c r="SUV121" s="65"/>
      <c r="SUW121" s="65"/>
      <c r="SUX121" s="65"/>
      <c r="SUY121" s="65"/>
      <c r="SUZ121" s="65"/>
      <c r="SVA121" s="65"/>
      <c r="SVB121" s="65"/>
      <c r="SVC121" s="65"/>
      <c r="SVD121" s="65"/>
      <c r="SVE121" s="65"/>
      <c r="SVF121" s="65"/>
      <c r="SVG121" s="65"/>
      <c r="SVH121" s="65"/>
      <c r="SVI121" s="65"/>
      <c r="SVJ121" s="65"/>
      <c r="SVK121" s="65"/>
      <c r="SVL121" s="65"/>
      <c r="SVM121" s="65"/>
      <c r="SVN121" s="65"/>
      <c r="SVO121" s="65"/>
      <c r="SVP121" s="65"/>
      <c r="SVQ121" s="65"/>
      <c r="SVR121" s="65"/>
      <c r="SVS121" s="65"/>
      <c r="SVT121" s="65"/>
      <c r="SVU121" s="65"/>
      <c r="SVV121" s="65"/>
      <c r="SVW121" s="65"/>
      <c r="SVX121" s="65"/>
      <c r="SVY121" s="65"/>
      <c r="SVZ121" s="65"/>
      <c r="SWA121" s="65"/>
      <c r="SWB121" s="65"/>
      <c r="SWC121" s="65"/>
      <c r="SWD121" s="65"/>
      <c r="SWE121" s="65"/>
      <c r="SWF121" s="65"/>
      <c r="SWG121" s="65"/>
      <c r="SWH121" s="65"/>
      <c r="SWI121" s="65"/>
      <c r="SWJ121" s="65"/>
      <c r="SWK121" s="65"/>
      <c r="SWL121" s="65"/>
      <c r="SWM121" s="65"/>
      <c r="SWN121" s="65"/>
      <c r="SWO121" s="65"/>
      <c r="SWP121" s="65"/>
      <c r="SWQ121" s="65"/>
      <c r="SWR121" s="65"/>
      <c r="SWS121" s="65"/>
      <c r="SWT121" s="65"/>
      <c r="SWU121" s="65"/>
      <c r="SWV121" s="65"/>
      <c r="SWW121" s="65"/>
      <c r="SWX121" s="65"/>
      <c r="SWY121" s="65"/>
      <c r="SWZ121" s="65"/>
      <c r="SXA121" s="65"/>
      <c r="SXB121" s="65"/>
      <c r="SXC121" s="65"/>
      <c r="SXD121" s="65"/>
      <c r="SXE121" s="65"/>
      <c r="SXF121" s="65"/>
      <c r="SXG121" s="65"/>
      <c r="SXH121" s="65"/>
      <c r="SXI121" s="65"/>
      <c r="SXJ121" s="65"/>
      <c r="SXK121" s="65"/>
      <c r="SXL121" s="65"/>
      <c r="SXM121" s="65"/>
      <c r="SXN121" s="65"/>
      <c r="SXO121" s="65"/>
      <c r="SXP121" s="65"/>
      <c r="SXQ121" s="65"/>
      <c r="SXR121" s="65"/>
      <c r="SXS121" s="65"/>
      <c r="SXT121" s="65"/>
      <c r="SXU121" s="65"/>
      <c r="SXV121" s="65"/>
      <c r="SXW121" s="65"/>
      <c r="SXX121" s="65"/>
      <c r="SXY121" s="65"/>
      <c r="SXZ121" s="65"/>
      <c r="SYA121" s="65"/>
      <c r="SYB121" s="65"/>
      <c r="SYC121" s="65"/>
      <c r="SYD121" s="65"/>
      <c r="SYE121" s="65"/>
      <c r="SYF121" s="65"/>
      <c r="SYG121" s="65"/>
      <c r="SYH121" s="65"/>
      <c r="SYI121" s="65"/>
      <c r="SYJ121" s="65"/>
      <c r="SYK121" s="65"/>
      <c r="SYL121" s="65"/>
      <c r="SYM121" s="65"/>
      <c r="SYN121" s="65"/>
      <c r="SYO121" s="65"/>
      <c r="SYP121" s="65"/>
      <c r="SYQ121" s="65"/>
      <c r="SYR121" s="65"/>
      <c r="SYS121" s="65"/>
      <c r="SYT121" s="65"/>
      <c r="SYU121" s="65"/>
      <c r="SYV121" s="65"/>
      <c r="SYW121" s="65"/>
      <c r="SYX121" s="65"/>
      <c r="SYY121" s="65"/>
      <c r="SYZ121" s="65"/>
      <c r="SZA121" s="65"/>
      <c r="SZB121" s="65"/>
      <c r="SZC121" s="65"/>
      <c r="SZD121" s="65"/>
      <c r="SZE121" s="65"/>
      <c r="SZF121" s="65"/>
      <c r="SZG121" s="65"/>
      <c r="SZH121" s="65"/>
      <c r="SZI121" s="65"/>
      <c r="SZJ121" s="65"/>
      <c r="SZK121" s="65"/>
      <c r="SZL121" s="65"/>
      <c r="SZM121" s="65"/>
      <c r="SZN121" s="65"/>
      <c r="SZO121" s="65"/>
      <c r="SZP121" s="65"/>
      <c r="SZQ121" s="65"/>
      <c r="SZR121" s="65"/>
      <c r="SZS121" s="65"/>
      <c r="SZT121" s="65"/>
      <c r="SZU121" s="65"/>
      <c r="SZV121" s="65"/>
      <c r="SZW121" s="65"/>
      <c r="SZX121" s="65"/>
      <c r="SZY121" s="65"/>
      <c r="SZZ121" s="65"/>
      <c r="TAA121" s="65"/>
      <c r="TAB121" s="65"/>
      <c r="TAC121" s="65"/>
      <c r="TAD121" s="65"/>
      <c r="TAE121" s="65"/>
      <c r="TAF121" s="65"/>
      <c r="TAG121" s="65"/>
      <c r="TAH121" s="65"/>
      <c r="TAI121" s="65"/>
      <c r="TAJ121" s="65"/>
      <c r="TAK121" s="65"/>
      <c r="TAL121" s="65"/>
      <c r="TAM121" s="65"/>
      <c r="TAN121" s="65"/>
      <c r="TAO121" s="65"/>
      <c r="TAP121" s="65"/>
      <c r="TAQ121" s="65"/>
      <c r="TAR121" s="65"/>
      <c r="TAS121" s="65"/>
      <c r="TAT121" s="65"/>
      <c r="TAU121" s="65"/>
      <c r="TAV121" s="65"/>
      <c r="TAW121" s="65"/>
      <c r="TAX121" s="65"/>
      <c r="TAY121" s="65"/>
      <c r="TAZ121" s="65"/>
      <c r="TBA121" s="65"/>
      <c r="TBB121" s="65"/>
      <c r="TBC121" s="65"/>
      <c r="TBD121" s="65"/>
      <c r="TBE121" s="65"/>
      <c r="TBF121" s="65"/>
      <c r="TBG121" s="65"/>
      <c r="TBH121" s="65"/>
      <c r="TBI121" s="65"/>
      <c r="TBJ121" s="65"/>
      <c r="TBK121" s="65"/>
      <c r="TBL121" s="65"/>
      <c r="TBM121" s="65"/>
      <c r="TBN121" s="65"/>
      <c r="TBO121" s="65"/>
      <c r="TBP121" s="65"/>
      <c r="TBQ121" s="65"/>
      <c r="TBR121" s="65"/>
      <c r="TBS121" s="65"/>
      <c r="TBT121" s="65"/>
      <c r="TBU121" s="65"/>
      <c r="TBV121" s="65"/>
      <c r="TBW121" s="65"/>
      <c r="TBX121" s="65"/>
      <c r="TBY121" s="65"/>
      <c r="TBZ121" s="65"/>
      <c r="TCA121" s="65"/>
      <c r="TCB121" s="65"/>
      <c r="TCC121" s="65"/>
      <c r="TCD121" s="65"/>
      <c r="TCE121" s="65"/>
      <c r="TCF121" s="65"/>
      <c r="TCG121" s="65"/>
      <c r="TCH121" s="65"/>
      <c r="TCI121" s="65"/>
      <c r="TCJ121" s="65"/>
      <c r="TCK121" s="65"/>
      <c r="TCL121" s="65"/>
      <c r="TCM121" s="65"/>
      <c r="TCN121" s="65"/>
      <c r="TCO121" s="65"/>
      <c r="TCP121" s="65"/>
      <c r="TCQ121" s="65"/>
      <c r="TCR121" s="65"/>
      <c r="TCS121" s="65"/>
      <c r="TCT121" s="65"/>
      <c r="TCU121" s="65"/>
      <c r="TCV121" s="65"/>
      <c r="TCW121" s="65"/>
      <c r="TCX121" s="65"/>
      <c r="TCY121" s="65"/>
      <c r="TCZ121" s="65"/>
      <c r="TDA121" s="65"/>
      <c r="TDB121" s="65"/>
      <c r="TDC121" s="65"/>
      <c r="TDD121" s="65"/>
      <c r="TDE121" s="65"/>
      <c r="TDF121" s="65"/>
      <c r="TDG121" s="65"/>
      <c r="TDH121" s="65"/>
      <c r="TDI121" s="65"/>
      <c r="TDJ121" s="65"/>
      <c r="TDK121" s="65"/>
      <c r="TDL121" s="65"/>
      <c r="TDM121" s="65"/>
      <c r="TDN121" s="65"/>
      <c r="TDO121" s="65"/>
      <c r="TDP121" s="65"/>
      <c r="TDQ121" s="65"/>
      <c r="TDR121" s="65"/>
      <c r="TDS121" s="65"/>
      <c r="TDT121" s="65"/>
      <c r="TDU121" s="65"/>
      <c r="TDV121" s="65"/>
      <c r="TDW121" s="65"/>
      <c r="TDX121" s="65"/>
      <c r="TDY121" s="65"/>
      <c r="TDZ121" s="65"/>
      <c r="TEA121" s="65"/>
      <c r="TEB121" s="65"/>
      <c r="TEC121" s="65"/>
      <c r="TED121" s="65"/>
      <c r="TEE121" s="65"/>
      <c r="TEF121" s="65"/>
      <c r="TEG121" s="65"/>
      <c r="TEH121" s="65"/>
      <c r="TEI121" s="65"/>
      <c r="TEJ121" s="65"/>
      <c r="TEK121" s="65"/>
      <c r="TEL121" s="65"/>
      <c r="TEM121" s="65"/>
      <c r="TEN121" s="65"/>
      <c r="TEO121" s="65"/>
      <c r="TEP121" s="65"/>
      <c r="TEQ121" s="65"/>
      <c r="TER121" s="65"/>
      <c r="TES121" s="65"/>
      <c r="TET121" s="65"/>
      <c r="TEU121" s="65"/>
      <c r="TEV121" s="65"/>
      <c r="TEW121" s="65"/>
      <c r="TEX121" s="65"/>
      <c r="TEY121" s="65"/>
      <c r="TEZ121" s="65"/>
      <c r="TFA121" s="65"/>
      <c r="TFB121" s="65"/>
      <c r="TFC121" s="65"/>
      <c r="TFD121" s="65"/>
      <c r="TFE121" s="65"/>
      <c r="TFF121" s="65"/>
      <c r="TFG121" s="65"/>
      <c r="TFH121" s="65"/>
      <c r="TFI121" s="65"/>
      <c r="TFJ121" s="65"/>
      <c r="TFK121" s="65"/>
      <c r="TFL121" s="65"/>
      <c r="TFM121" s="65"/>
      <c r="TFN121" s="65"/>
      <c r="TFO121" s="65"/>
      <c r="TFP121" s="65"/>
      <c r="TFQ121" s="65"/>
      <c r="TFR121" s="65"/>
      <c r="TFS121" s="65"/>
      <c r="TFT121" s="65"/>
      <c r="TFU121" s="65"/>
      <c r="TFV121" s="65"/>
      <c r="TFW121" s="65"/>
      <c r="TFX121" s="65"/>
      <c r="TFY121" s="65"/>
      <c r="TFZ121" s="65"/>
      <c r="TGA121" s="65"/>
      <c r="TGB121" s="65"/>
      <c r="TGC121" s="65"/>
      <c r="TGD121" s="65"/>
      <c r="TGE121" s="65"/>
      <c r="TGF121" s="65"/>
      <c r="TGG121" s="65"/>
      <c r="TGH121" s="65"/>
      <c r="TGI121" s="65"/>
      <c r="TGJ121" s="65"/>
      <c r="TGK121" s="65"/>
      <c r="TGL121" s="65"/>
      <c r="TGM121" s="65"/>
      <c r="TGN121" s="65"/>
      <c r="TGO121" s="65"/>
      <c r="TGP121" s="65"/>
      <c r="TGQ121" s="65"/>
      <c r="TGR121" s="65"/>
      <c r="TGS121" s="65"/>
      <c r="TGT121" s="65"/>
      <c r="TGU121" s="65"/>
      <c r="TGV121" s="65"/>
      <c r="TGW121" s="65"/>
      <c r="TGX121" s="65"/>
      <c r="TGY121" s="65"/>
      <c r="TGZ121" s="65"/>
      <c r="THA121" s="65"/>
      <c r="THB121" s="65"/>
      <c r="THC121" s="65"/>
      <c r="THD121" s="65"/>
      <c r="THE121" s="65"/>
      <c r="THF121" s="65"/>
      <c r="THG121" s="65"/>
      <c r="THH121" s="65"/>
      <c r="THI121" s="65"/>
      <c r="THJ121" s="65"/>
      <c r="THK121" s="65"/>
      <c r="THL121" s="65"/>
      <c r="THM121" s="65"/>
      <c r="THN121" s="65"/>
      <c r="THO121" s="65"/>
      <c r="THP121" s="65"/>
      <c r="THQ121" s="65"/>
      <c r="THR121" s="65"/>
      <c r="THS121" s="65"/>
      <c r="THT121" s="65"/>
      <c r="THU121" s="65"/>
      <c r="THV121" s="65"/>
      <c r="THW121" s="65"/>
      <c r="THX121" s="65"/>
      <c r="THY121" s="65"/>
      <c r="THZ121" s="65"/>
      <c r="TIA121" s="65"/>
      <c r="TIB121" s="65"/>
      <c r="TIC121" s="65"/>
      <c r="TID121" s="65"/>
      <c r="TIE121" s="65"/>
      <c r="TIF121" s="65"/>
      <c r="TIG121" s="65"/>
      <c r="TIH121" s="65"/>
      <c r="TII121" s="65"/>
      <c r="TIJ121" s="65"/>
      <c r="TIK121" s="65"/>
      <c r="TIL121" s="65"/>
      <c r="TIM121" s="65"/>
      <c r="TIN121" s="65"/>
      <c r="TIO121" s="65"/>
      <c r="TIP121" s="65"/>
      <c r="TIQ121" s="65"/>
      <c r="TIR121" s="65"/>
      <c r="TIS121" s="65"/>
      <c r="TIT121" s="65"/>
      <c r="TIU121" s="65"/>
      <c r="TIV121" s="65"/>
      <c r="TIW121" s="65"/>
      <c r="TIX121" s="65"/>
      <c r="TIY121" s="65"/>
      <c r="TIZ121" s="65"/>
      <c r="TJA121" s="65"/>
      <c r="TJB121" s="65"/>
      <c r="TJC121" s="65"/>
      <c r="TJD121" s="65"/>
      <c r="TJE121" s="65"/>
      <c r="TJF121" s="65"/>
      <c r="TJG121" s="65"/>
      <c r="TJH121" s="65"/>
      <c r="TJI121" s="65"/>
      <c r="TJJ121" s="65"/>
      <c r="TJK121" s="65"/>
      <c r="TJL121" s="65"/>
      <c r="TJM121" s="65"/>
      <c r="TJN121" s="65"/>
      <c r="TJO121" s="65"/>
      <c r="TJP121" s="65"/>
      <c r="TJQ121" s="65"/>
      <c r="TJR121" s="65"/>
      <c r="TJS121" s="65"/>
      <c r="TJT121" s="65"/>
      <c r="TJU121" s="65"/>
      <c r="TJV121" s="65"/>
      <c r="TJW121" s="65"/>
      <c r="TJX121" s="65"/>
      <c r="TJY121" s="65"/>
      <c r="TJZ121" s="65"/>
      <c r="TKA121" s="65"/>
      <c r="TKB121" s="65"/>
      <c r="TKC121" s="65"/>
      <c r="TKD121" s="65"/>
      <c r="TKE121" s="65"/>
      <c r="TKF121" s="65"/>
      <c r="TKG121" s="65"/>
      <c r="TKH121" s="65"/>
      <c r="TKI121" s="65"/>
      <c r="TKJ121" s="65"/>
      <c r="TKK121" s="65"/>
      <c r="TKL121" s="65"/>
      <c r="TKM121" s="65"/>
      <c r="TKN121" s="65"/>
      <c r="TKO121" s="65"/>
      <c r="TKP121" s="65"/>
      <c r="TKQ121" s="65"/>
      <c r="TKR121" s="65"/>
      <c r="TKS121" s="65"/>
      <c r="TKT121" s="65"/>
      <c r="TKU121" s="65"/>
      <c r="TKV121" s="65"/>
      <c r="TKW121" s="65"/>
      <c r="TKX121" s="65"/>
      <c r="TKY121" s="65"/>
      <c r="TKZ121" s="65"/>
      <c r="TLA121" s="65"/>
      <c r="TLB121" s="65"/>
      <c r="TLC121" s="65"/>
      <c r="TLD121" s="65"/>
      <c r="TLE121" s="65"/>
      <c r="TLF121" s="65"/>
      <c r="TLG121" s="65"/>
      <c r="TLH121" s="65"/>
      <c r="TLI121" s="65"/>
      <c r="TLJ121" s="65"/>
      <c r="TLK121" s="65"/>
      <c r="TLL121" s="65"/>
      <c r="TLM121" s="65"/>
      <c r="TLN121" s="65"/>
      <c r="TLO121" s="65"/>
      <c r="TLP121" s="65"/>
      <c r="TLQ121" s="65"/>
      <c r="TLR121" s="65"/>
      <c r="TLS121" s="65"/>
      <c r="TLT121" s="65"/>
      <c r="TLU121" s="65"/>
      <c r="TLV121" s="65"/>
      <c r="TLW121" s="65"/>
      <c r="TLX121" s="65"/>
      <c r="TLY121" s="65"/>
      <c r="TLZ121" s="65"/>
      <c r="TMA121" s="65"/>
      <c r="TMB121" s="65"/>
      <c r="TMC121" s="65"/>
      <c r="TMD121" s="65"/>
      <c r="TME121" s="65"/>
      <c r="TMF121" s="65"/>
      <c r="TMG121" s="65"/>
      <c r="TMH121" s="65"/>
      <c r="TMI121" s="65"/>
      <c r="TMJ121" s="65"/>
      <c r="TMK121" s="65"/>
      <c r="TML121" s="65"/>
      <c r="TMM121" s="65"/>
      <c r="TMN121" s="65"/>
      <c r="TMO121" s="65"/>
      <c r="TMP121" s="65"/>
      <c r="TMQ121" s="65"/>
      <c r="TMR121" s="65"/>
      <c r="TMS121" s="65"/>
      <c r="TMT121" s="65"/>
      <c r="TMU121" s="65"/>
      <c r="TMV121" s="65"/>
      <c r="TMW121" s="65"/>
      <c r="TMX121" s="65"/>
      <c r="TMY121" s="65"/>
      <c r="TMZ121" s="65"/>
      <c r="TNA121" s="65"/>
      <c r="TNB121" s="65"/>
      <c r="TNC121" s="65"/>
      <c r="TND121" s="65"/>
      <c r="TNE121" s="65"/>
      <c r="TNF121" s="65"/>
      <c r="TNG121" s="65"/>
      <c r="TNH121" s="65"/>
      <c r="TNI121" s="65"/>
      <c r="TNJ121" s="65"/>
      <c r="TNK121" s="65"/>
      <c r="TNL121" s="65"/>
      <c r="TNM121" s="65"/>
      <c r="TNN121" s="65"/>
      <c r="TNO121" s="65"/>
      <c r="TNP121" s="65"/>
      <c r="TNQ121" s="65"/>
      <c r="TNR121" s="65"/>
      <c r="TNS121" s="65"/>
      <c r="TNT121" s="65"/>
      <c r="TNU121" s="65"/>
      <c r="TNV121" s="65"/>
      <c r="TNW121" s="65"/>
      <c r="TNX121" s="65"/>
      <c r="TNY121" s="65"/>
      <c r="TNZ121" s="65"/>
      <c r="TOA121" s="65"/>
      <c r="TOB121" s="65"/>
      <c r="TOC121" s="65"/>
      <c r="TOD121" s="65"/>
      <c r="TOE121" s="65"/>
      <c r="TOF121" s="65"/>
      <c r="TOG121" s="65"/>
      <c r="TOH121" s="65"/>
      <c r="TOI121" s="65"/>
      <c r="TOJ121" s="65"/>
      <c r="TOK121" s="65"/>
      <c r="TOL121" s="65"/>
      <c r="TOM121" s="65"/>
      <c r="TON121" s="65"/>
      <c r="TOO121" s="65"/>
      <c r="TOP121" s="65"/>
      <c r="TOQ121" s="65"/>
      <c r="TOR121" s="65"/>
      <c r="TOS121" s="65"/>
      <c r="TOT121" s="65"/>
      <c r="TOU121" s="65"/>
      <c r="TOV121" s="65"/>
      <c r="TOW121" s="65"/>
      <c r="TOX121" s="65"/>
      <c r="TOY121" s="65"/>
      <c r="TOZ121" s="65"/>
      <c r="TPA121" s="65"/>
      <c r="TPB121" s="65"/>
      <c r="TPC121" s="65"/>
      <c r="TPD121" s="65"/>
      <c r="TPE121" s="65"/>
      <c r="TPF121" s="65"/>
      <c r="TPG121" s="65"/>
      <c r="TPH121" s="65"/>
      <c r="TPI121" s="65"/>
      <c r="TPJ121" s="65"/>
      <c r="TPK121" s="65"/>
      <c r="TPL121" s="65"/>
      <c r="TPM121" s="65"/>
      <c r="TPN121" s="65"/>
      <c r="TPO121" s="65"/>
      <c r="TPP121" s="65"/>
      <c r="TPQ121" s="65"/>
      <c r="TPR121" s="65"/>
      <c r="TPS121" s="65"/>
      <c r="TPT121" s="65"/>
      <c r="TPU121" s="65"/>
      <c r="TPV121" s="65"/>
      <c r="TPW121" s="65"/>
      <c r="TPX121" s="65"/>
      <c r="TPY121" s="65"/>
      <c r="TPZ121" s="65"/>
      <c r="TQA121" s="65"/>
      <c r="TQB121" s="65"/>
      <c r="TQC121" s="65"/>
      <c r="TQD121" s="65"/>
      <c r="TQE121" s="65"/>
      <c r="TQF121" s="65"/>
      <c r="TQG121" s="65"/>
      <c r="TQH121" s="65"/>
      <c r="TQI121" s="65"/>
      <c r="TQJ121" s="65"/>
      <c r="TQK121" s="65"/>
      <c r="TQL121" s="65"/>
      <c r="TQM121" s="65"/>
      <c r="TQN121" s="65"/>
      <c r="TQO121" s="65"/>
      <c r="TQP121" s="65"/>
      <c r="TQQ121" s="65"/>
      <c r="TQR121" s="65"/>
      <c r="TQS121" s="65"/>
      <c r="TQT121" s="65"/>
      <c r="TQU121" s="65"/>
      <c r="TQV121" s="65"/>
      <c r="TQW121" s="65"/>
      <c r="TQX121" s="65"/>
      <c r="TQY121" s="65"/>
      <c r="TQZ121" s="65"/>
      <c r="TRA121" s="65"/>
      <c r="TRB121" s="65"/>
      <c r="TRC121" s="65"/>
      <c r="TRD121" s="65"/>
      <c r="TRE121" s="65"/>
      <c r="TRF121" s="65"/>
      <c r="TRG121" s="65"/>
      <c r="TRH121" s="65"/>
      <c r="TRI121" s="65"/>
      <c r="TRJ121" s="65"/>
      <c r="TRK121" s="65"/>
      <c r="TRL121" s="65"/>
      <c r="TRM121" s="65"/>
      <c r="TRN121" s="65"/>
      <c r="TRO121" s="65"/>
      <c r="TRP121" s="65"/>
      <c r="TRQ121" s="65"/>
      <c r="TRR121" s="65"/>
      <c r="TRS121" s="65"/>
      <c r="TRT121" s="65"/>
      <c r="TRU121" s="65"/>
      <c r="TRV121" s="65"/>
      <c r="TRW121" s="65"/>
      <c r="TRX121" s="65"/>
      <c r="TRY121" s="65"/>
      <c r="TRZ121" s="65"/>
      <c r="TSA121" s="65"/>
      <c r="TSB121" s="65"/>
      <c r="TSC121" s="65"/>
      <c r="TSD121" s="65"/>
      <c r="TSE121" s="65"/>
      <c r="TSF121" s="65"/>
      <c r="TSG121" s="65"/>
      <c r="TSH121" s="65"/>
      <c r="TSI121" s="65"/>
      <c r="TSJ121" s="65"/>
      <c r="TSK121" s="65"/>
      <c r="TSL121" s="65"/>
      <c r="TSM121" s="65"/>
      <c r="TSN121" s="65"/>
      <c r="TSO121" s="65"/>
      <c r="TSP121" s="65"/>
      <c r="TSQ121" s="65"/>
      <c r="TSR121" s="65"/>
      <c r="TSS121" s="65"/>
      <c r="TST121" s="65"/>
      <c r="TSU121" s="65"/>
      <c r="TSV121" s="65"/>
      <c r="TSW121" s="65"/>
      <c r="TSX121" s="65"/>
      <c r="TSY121" s="65"/>
      <c r="TSZ121" s="65"/>
      <c r="TTA121" s="65"/>
      <c r="TTB121" s="65"/>
      <c r="TTC121" s="65"/>
      <c r="TTD121" s="65"/>
      <c r="TTE121" s="65"/>
      <c r="TTF121" s="65"/>
      <c r="TTG121" s="65"/>
      <c r="TTH121" s="65"/>
      <c r="TTI121" s="65"/>
      <c r="TTJ121" s="65"/>
      <c r="TTK121" s="65"/>
      <c r="TTL121" s="65"/>
      <c r="TTM121" s="65"/>
      <c r="TTN121" s="65"/>
      <c r="TTO121" s="65"/>
      <c r="TTP121" s="65"/>
      <c r="TTQ121" s="65"/>
      <c r="TTR121" s="65"/>
      <c r="TTS121" s="65"/>
      <c r="TTT121" s="65"/>
      <c r="TTU121" s="65"/>
      <c r="TTV121" s="65"/>
      <c r="TTW121" s="65"/>
      <c r="TTX121" s="65"/>
      <c r="TTY121" s="65"/>
      <c r="TTZ121" s="65"/>
      <c r="TUA121" s="65"/>
      <c r="TUB121" s="65"/>
      <c r="TUC121" s="65"/>
      <c r="TUD121" s="65"/>
      <c r="TUE121" s="65"/>
      <c r="TUF121" s="65"/>
      <c r="TUG121" s="65"/>
      <c r="TUH121" s="65"/>
      <c r="TUI121" s="65"/>
      <c r="TUJ121" s="65"/>
      <c r="TUK121" s="65"/>
      <c r="TUL121" s="65"/>
      <c r="TUM121" s="65"/>
      <c r="TUN121" s="65"/>
      <c r="TUO121" s="65"/>
      <c r="TUP121" s="65"/>
      <c r="TUQ121" s="65"/>
      <c r="TUR121" s="65"/>
      <c r="TUS121" s="65"/>
      <c r="TUT121" s="65"/>
      <c r="TUU121" s="65"/>
      <c r="TUV121" s="65"/>
      <c r="TUW121" s="65"/>
      <c r="TUX121" s="65"/>
      <c r="TUY121" s="65"/>
      <c r="TUZ121" s="65"/>
      <c r="TVA121" s="65"/>
      <c r="TVB121" s="65"/>
      <c r="TVC121" s="65"/>
      <c r="TVD121" s="65"/>
      <c r="TVE121" s="65"/>
      <c r="TVF121" s="65"/>
      <c r="TVG121" s="65"/>
      <c r="TVH121" s="65"/>
      <c r="TVI121" s="65"/>
      <c r="TVJ121" s="65"/>
      <c r="TVK121" s="65"/>
      <c r="TVL121" s="65"/>
      <c r="TVM121" s="65"/>
      <c r="TVN121" s="65"/>
      <c r="TVO121" s="65"/>
      <c r="TVP121" s="65"/>
      <c r="TVQ121" s="65"/>
      <c r="TVR121" s="65"/>
      <c r="TVS121" s="65"/>
      <c r="TVT121" s="65"/>
      <c r="TVU121" s="65"/>
      <c r="TVV121" s="65"/>
      <c r="TVW121" s="65"/>
      <c r="TVX121" s="65"/>
      <c r="TVY121" s="65"/>
      <c r="TVZ121" s="65"/>
      <c r="TWA121" s="65"/>
      <c r="TWB121" s="65"/>
      <c r="TWC121" s="65"/>
      <c r="TWD121" s="65"/>
      <c r="TWE121" s="65"/>
      <c r="TWF121" s="65"/>
      <c r="TWG121" s="65"/>
      <c r="TWH121" s="65"/>
      <c r="TWI121" s="65"/>
      <c r="TWJ121" s="65"/>
      <c r="TWK121" s="65"/>
      <c r="TWL121" s="65"/>
      <c r="TWM121" s="65"/>
      <c r="TWN121" s="65"/>
      <c r="TWO121" s="65"/>
      <c r="TWP121" s="65"/>
      <c r="TWQ121" s="65"/>
      <c r="TWR121" s="65"/>
      <c r="TWS121" s="65"/>
      <c r="TWT121" s="65"/>
      <c r="TWU121" s="65"/>
      <c r="TWV121" s="65"/>
      <c r="TWW121" s="65"/>
      <c r="TWX121" s="65"/>
      <c r="TWY121" s="65"/>
      <c r="TWZ121" s="65"/>
      <c r="TXA121" s="65"/>
      <c r="TXB121" s="65"/>
      <c r="TXC121" s="65"/>
      <c r="TXD121" s="65"/>
      <c r="TXE121" s="65"/>
      <c r="TXF121" s="65"/>
      <c r="TXG121" s="65"/>
      <c r="TXH121" s="65"/>
      <c r="TXI121" s="65"/>
      <c r="TXJ121" s="65"/>
      <c r="TXK121" s="65"/>
      <c r="TXL121" s="65"/>
      <c r="TXM121" s="65"/>
      <c r="TXN121" s="65"/>
      <c r="TXO121" s="65"/>
      <c r="TXP121" s="65"/>
      <c r="TXQ121" s="65"/>
      <c r="TXR121" s="65"/>
      <c r="TXS121" s="65"/>
      <c r="TXT121" s="65"/>
      <c r="TXU121" s="65"/>
      <c r="TXV121" s="65"/>
      <c r="TXW121" s="65"/>
      <c r="TXX121" s="65"/>
      <c r="TXY121" s="65"/>
      <c r="TXZ121" s="65"/>
      <c r="TYA121" s="65"/>
      <c r="TYB121" s="65"/>
      <c r="TYC121" s="65"/>
      <c r="TYD121" s="65"/>
      <c r="TYE121" s="65"/>
      <c r="TYF121" s="65"/>
      <c r="TYG121" s="65"/>
      <c r="TYH121" s="65"/>
      <c r="TYI121" s="65"/>
      <c r="TYJ121" s="65"/>
      <c r="TYK121" s="65"/>
      <c r="TYL121" s="65"/>
      <c r="TYM121" s="65"/>
      <c r="TYN121" s="65"/>
      <c r="TYO121" s="65"/>
      <c r="TYP121" s="65"/>
      <c r="TYQ121" s="65"/>
      <c r="TYR121" s="65"/>
      <c r="TYS121" s="65"/>
      <c r="TYT121" s="65"/>
      <c r="TYU121" s="65"/>
      <c r="TYV121" s="65"/>
      <c r="TYW121" s="65"/>
      <c r="TYX121" s="65"/>
      <c r="TYY121" s="65"/>
      <c r="TYZ121" s="65"/>
      <c r="TZA121" s="65"/>
      <c r="TZB121" s="65"/>
      <c r="TZC121" s="65"/>
      <c r="TZD121" s="65"/>
      <c r="TZE121" s="65"/>
      <c r="TZF121" s="65"/>
      <c r="TZG121" s="65"/>
      <c r="TZH121" s="65"/>
      <c r="TZI121" s="65"/>
      <c r="TZJ121" s="65"/>
      <c r="TZK121" s="65"/>
      <c r="TZL121" s="65"/>
      <c r="TZM121" s="65"/>
      <c r="TZN121" s="65"/>
      <c r="TZO121" s="65"/>
      <c r="TZP121" s="65"/>
      <c r="TZQ121" s="65"/>
      <c r="TZR121" s="65"/>
      <c r="TZS121" s="65"/>
      <c r="TZT121" s="65"/>
      <c r="TZU121" s="65"/>
      <c r="TZV121" s="65"/>
      <c r="TZW121" s="65"/>
      <c r="TZX121" s="65"/>
      <c r="TZY121" s="65"/>
      <c r="TZZ121" s="65"/>
      <c r="UAA121" s="65"/>
      <c r="UAB121" s="65"/>
      <c r="UAC121" s="65"/>
      <c r="UAD121" s="65"/>
      <c r="UAE121" s="65"/>
      <c r="UAF121" s="65"/>
      <c r="UAG121" s="65"/>
      <c r="UAH121" s="65"/>
      <c r="UAI121" s="65"/>
      <c r="UAJ121" s="65"/>
      <c r="UAK121" s="65"/>
      <c r="UAL121" s="65"/>
      <c r="UAM121" s="65"/>
      <c r="UAN121" s="65"/>
      <c r="UAO121" s="65"/>
      <c r="UAP121" s="65"/>
      <c r="UAQ121" s="65"/>
      <c r="UAR121" s="65"/>
      <c r="UAS121" s="65"/>
      <c r="UAT121" s="65"/>
      <c r="UAU121" s="65"/>
      <c r="UAV121" s="65"/>
      <c r="UAW121" s="65"/>
      <c r="UAX121" s="65"/>
      <c r="UAY121" s="65"/>
      <c r="UAZ121" s="65"/>
      <c r="UBA121" s="65"/>
      <c r="UBB121" s="65"/>
      <c r="UBC121" s="65"/>
      <c r="UBD121" s="65"/>
      <c r="UBE121" s="65"/>
      <c r="UBF121" s="65"/>
      <c r="UBG121" s="65"/>
      <c r="UBH121" s="65"/>
      <c r="UBI121" s="65"/>
      <c r="UBJ121" s="65"/>
      <c r="UBK121" s="65"/>
      <c r="UBL121" s="65"/>
      <c r="UBM121" s="65"/>
      <c r="UBN121" s="65"/>
      <c r="UBO121" s="65"/>
      <c r="UBP121" s="65"/>
      <c r="UBQ121" s="65"/>
      <c r="UBR121" s="65"/>
      <c r="UBS121" s="65"/>
      <c r="UBT121" s="65"/>
      <c r="UBU121" s="65"/>
      <c r="UBV121" s="65"/>
      <c r="UBW121" s="65"/>
      <c r="UBX121" s="65"/>
      <c r="UBY121" s="65"/>
      <c r="UBZ121" s="65"/>
      <c r="UCA121" s="65"/>
      <c r="UCB121" s="65"/>
      <c r="UCC121" s="65"/>
      <c r="UCD121" s="65"/>
      <c r="UCE121" s="65"/>
      <c r="UCF121" s="65"/>
      <c r="UCG121" s="65"/>
      <c r="UCH121" s="65"/>
      <c r="UCI121" s="65"/>
      <c r="UCJ121" s="65"/>
      <c r="UCK121" s="65"/>
      <c r="UCL121" s="65"/>
      <c r="UCM121" s="65"/>
      <c r="UCN121" s="65"/>
      <c r="UCO121" s="65"/>
      <c r="UCP121" s="65"/>
      <c r="UCQ121" s="65"/>
      <c r="UCR121" s="65"/>
      <c r="UCS121" s="65"/>
      <c r="UCT121" s="65"/>
      <c r="UCU121" s="65"/>
      <c r="UCV121" s="65"/>
      <c r="UCW121" s="65"/>
      <c r="UCX121" s="65"/>
      <c r="UCY121" s="65"/>
      <c r="UCZ121" s="65"/>
      <c r="UDA121" s="65"/>
      <c r="UDB121" s="65"/>
      <c r="UDC121" s="65"/>
      <c r="UDD121" s="65"/>
      <c r="UDE121" s="65"/>
      <c r="UDF121" s="65"/>
      <c r="UDG121" s="65"/>
      <c r="UDH121" s="65"/>
      <c r="UDI121" s="65"/>
      <c r="UDJ121" s="65"/>
      <c r="UDK121" s="65"/>
      <c r="UDL121" s="65"/>
      <c r="UDM121" s="65"/>
      <c r="UDN121" s="65"/>
      <c r="UDO121" s="65"/>
      <c r="UDP121" s="65"/>
      <c r="UDQ121" s="65"/>
      <c r="UDR121" s="65"/>
      <c r="UDS121" s="65"/>
      <c r="UDT121" s="65"/>
      <c r="UDU121" s="65"/>
      <c r="UDV121" s="65"/>
      <c r="UDW121" s="65"/>
      <c r="UDX121" s="65"/>
      <c r="UDY121" s="65"/>
      <c r="UDZ121" s="65"/>
      <c r="UEA121" s="65"/>
      <c r="UEB121" s="65"/>
      <c r="UEC121" s="65"/>
      <c r="UED121" s="65"/>
      <c r="UEE121" s="65"/>
      <c r="UEF121" s="65"/>
      <c r="UEG121" s="65"/>
      <c r="UEH121" s="65"/>
      <c r="UEI121" s="65"/>
      <c r="UEJ121" s="65"/>
      <c r="UEK121" s="65"/>
      <c r="UEL121" s="65"/>
      <c r="UEM121" s="65"/>
      <c r="UEN121" s="65"/>
      <c r="UEO121" s="65"/>
      <c r="UEP121" s="65"/>
      <c r="UEQ121" s="65"/>
      <c r="UER121" s="65"/>
      <c r="UES121" s="65"/>
      <c r="UET121" s="65"/>
      <c r="UEU121" s="65"/>
      <c r="UEV121" s="65"/>
      <c r="UEW121" s="65"/>
      <c r="UEX121" s="65"/>
      <c r="UEY121" s="65"/>
      <c r="UEZ121" s="65"/>
      <c r="UFA121" s="65"/>
      <c r="UFB121" s="65"/>
      <c r="UFC121" s="65"/>
      <c r="UFD121" s="65"/>
      <c r="UFE121" s="65"/>
      <c r="UFF121" s="65"/>
      <c r="UFG121" s="65"/>
      <c r="UFH121" s="65"/>
      <c r="UFI121" s="65"/>
      <c r="UFJ121" s="65"/>
      <c r="UFK121" s="65"/>
      <c r="UFL121" s="65"/>
      <c r="UFM121" s="65"/>
      <c r="UFN121" s="65"/>
      <c r="UFO121" s="65"/>
      <c r="UFP121" s="65"/>
      <c r="UFQ121" s="65"/>
      <c r="UFR121" s="65"/>
      <c r="UFS121" s="65"/>
      <c r="UFT121" s="65"/>
      <c r="UFU121" s="65"/>
      <c r="UFV121" s="65"/>
      <c r="UFW121" s="65"/>
      <c r="UFX121" s="65"/>
      <c r="UFY121" s="65"/>
      <c r="UFZ121" s="65"/>
      <c r="UGA121" s="65"/>
      <c r="UGB121" s="65"/>
      <c r="UGC121" s="65"/>
      <c r="UGD121" s="65"/>
      <c r="UGE121" s="65"/>
      <c r="UGF121" s="65"/>
      <c r="UGG121" s="65"/>
      <c r="UGH121" s="65"/>
      <c r="UGI121" s="65"/>
      <c r="UGJ121" s="65"/>
      <c r="UGK121" s="65"/>
      <c r="UGL121" s="65"/>
      <c r="UGM121" s="65"/>
      <c r="UGN121" s="65"/>
      <c r="UGO121" s="65"/>
      <c r="UGP121" s="65"/>
      <c r="UGQ121" s="65"/>
      <c r="UGR121" s="65"/>
      <c r="UGS121" s="65"/>
      <c r="UGT121" s="65"/>
      <c r="UGU121" s="65"/>
      <c r="UGV121" s="65"/>
      <c r="UGW121" s="65"/>
      <c r="UGX121" s="65"/>
      <c r="UGY121" s="65"/>
      <c r="UGZ121" s="65"/>
      <c r="UHA121" s="65"/>
      <c r="UHB121" s="65"/>
      <c r="UHC121" s="65"/>
      <c r="UHD121" s="65"/>
      <c r="UHE121" s="65"/>
      <c r="UHF121" s="65"/>
      <c r="UHG121" s="65"/>
      <c r="UHH121" s="65"/>
      <c r="UHI121" s="65"/>
      <c r="UHJ121" s="65"/>
      <c r="UHK121" s="65"/>
      <c r="UHL121" s="65"/>
      <c r="UHM121" s="65"/>
      <c r="UHN121" s="65"/>
      <c r="UHO121" s="65"/>
      <c r="UHP121" s="65"/>
      <c r="UHQ121" s="65"/>
      <c r="UHR121" s="65"/>
      <c r="UHS121" s="65"/>
      <c r="UHT121" s="65"/>
      <c r="UHU121" s="65"/>
      <c r="UHV121" s="65"/>
      <c r="UHW121" s="65"/>
      <c r="UHX121" s="65"/>
      <c r="UHY121" s="65"/>
      <c r="UHZ121" s="65"/>
      <c r="UIA121" s="65"/>
      <c r="UIB121" s="65"/>
      <c r="UIC121" s="65"/>
      <c r="UID121" s="65"/>
      <c r="UIE121" s="65"/>
      <c r="UIF121" s="65"/>
      <c r="UIG121" s="65"/>
      <c r="UIH121" s="65"/>
      <c r="UII121" s="65"/>
      <c r="UIJ121" s="65"/>
      <c r="UIK121" s="65"/>
      <c r="UIL121" s="65"/>
      <c r="UIM121" s="65"/>
      <c r="UIN121" s="65"/>
      <c r="UIO121" s="65"/>
      <c r="UIP121" s="65"/>
      <c r="UIQ121" s="65"/>
      <c r="UIR121" s="65"/>
      <c r="UIS121" s="65"/>
      <c r="UIT121" s="65"/>
      <c r="UIU121" s="65"/>
      <c r="UIV121" s="65"/>
      <c r="UIW121" s="65"/>
      <c r="UIX121" s="65"/>
      <c r="UIY121" s="65"/>
      <c r="UIZ121" s="65"/>
      <c r="UJA121" s="65"/>
      <c r="UJB121" s="65"/>
      <c r="UJC121" s="65"/>
      <c r="UJD121" s="65"/>
      <c r="UJE121" s="65"/>
      <c r="UJF121" s="65"/>
      <c r="UJG121" s="65"/>
      <c r="UJH121" s="65"/>
      <c r="UJI121" s="65"/>
      <c r="UJJ121" s="65"/>
      <c r="UJK121" s="65"/>
      <c r="UJL121" s="65"/>
      <c r="UJM121" s="65"/>
      <c r="UJN121" s="65"/>
      <c r="UJO121" s="65"/>
      <c r="UJP121" s="65"/>
      <c r="UJQ121" s="65"/>
      <c r="UJR121" s="65"/>
      <c r="UJS121" s="65"/>
      <c r="UJT121" s="65"/>
      <c r="UJU121" s="65"/>
      <c r="UJV121" s="65"/>
      <c r="UJW121" s="65"/>
      <c r="UJX121" s="65"/>
      <c r="UJY121" s="65"/>
      <c r="UJZ121" s="65"/>
      <c r="UKA121" s="65"/>
      <c r="UKB121" s="65"/>
      <c r="UKC121" s="65"/>
      <c r="UKD121" s="65"/>
      <c r="UKE121" s="65"/>
      <c r="UKF121" s="65"/>
      <c r="UKG121" s="65"/>
      <c r="UKH121" s="65"/>
      <c r="UKI121" s="65"/>
      <c r="UKJ121" s="65"/>
      <c r="UKK121" s="65"/>
      <c r="UKL121" s="65"/>
      <c r="UKM121" s="65"/>
      <c r="UKN121" s="65"/>
      <c r="UKO121" s="65"/>
      <c r="UKP121" s="65"/>
      <c r="UKQ121" s="65"/>
      <c r="UKR121" s="65"/>
      <c r="UKS121" s="65"/>
      <c r="UKT121" s="65"/>
      <c r="UKU121" s="65"/>
      <c r="UKV121" s="65"/>
      <c r="UKW121" s="65"/>
      <c r="UKX121" s="65"/>
      <c r="UKY121" s="65"/>
      <c r="UKZ121" s="65"/>
      <c r="ULA121" s="65"/>
      <c r="ULB121" s="65"/>
      <c r="ULC121" s="65"/>
      <c r="ULD121" s="65"/>
      <c r="ULE121" s="65"/>
      <c r="ULF121" s="65"/>
      <c r="ULG121" s="65"/>
      <c r="ULH121" s="65"/>
      <c r="ULI121" s="65"/>
      <c r="ULJ121" s="65"/>
      <c r="ULK121" s="65"/>
      <c r="ULL121" s="65"/>
      <c r="ULM121" s="65"/>
      <c r="ULN121" s="65"/>
      <c r="ULO121" s="65"/>
      <c r="ULP121" s="65"/>
      <c r="ULQ121" s="65"/>
      <c r="ULR121" s="65"/>
      <c r="ULS121" s="65"/>
      <c r="ULT121" s="65"/>
      <c r="ULU121" s="65"/>
      <c r="ULV121" s="65"/>
      <c r="ULW121" s="65"/>
      <c r="ULX121" s="65"/>
      <c r="ULY121" s="65"/>
      <c r="ULZ121" s="65"/>
      <c r="UMA121" s="65"/>
      <c r="UMB121" s="65"/>
      <c r="UMC121" s="65"/>
      <c r="UMD121" s="65"/>
      <c r="UME121" s="65"/>
      <c r="UMF121" s="65"/>
      <c r="UMG121" s="65"/>
      <c r="UMH121" s="65"/>
      <c r="UMI121" s="65"/>
      <c r="UMJ121" s="65"/>
      <c r="UMK121" s="65"/>
      <c r="UML121" s="65"/>
      <c r="UMM121" s="65"/>
      <c r="UMN121" s="65"/>
      <c r="UMO121" s="65"/>
      <c r="UMP121" s="65"/>
      <c r="UMQ121" s="65"/>
      <c r="UMR121" s="65"/>
      <c r="UMS121" s="65"/>
      <c r="UMT121" s="65"/>
      <c r="UMU121" s="65"/>
      <c r="UMV121" s="65"/>
      <c r="UMW121" s="65"/>
      <c r="UMX121" s="65"/>
      <c r="UMY121" s="65"/>
      <c r="UMZ121" s="65"/>
      <c r="UNA121" s="65"/>
      <c r="UNB121" s="65"/>
      <c r="UNC121" s="65"/>
      <c r="UND121" s="65"/>
      <c r="UNE121" s="65"/>
      <c r="UNF121" s="65"/>
      <c r="UNG121" s="65"/>
      <c r="UNH121" s="65"/>
      <c r="UNI121" s="65"/>
      <c r="UNJ121" s="65"/>
      <c r="UNK121" s="65"/>
      <c r="UNL121" s="65"/>
      <c r="UNM121" s="65"/>
      <c r="UNN121" s="65"/>
      <c r="UNO121" s="65"/>
      <c r="UNP121" s="65"/>
      <c r="UNQ121" s="65"/>
      <c r="UNR121" s="65"/>
      <c r="UNS121" s="65"/>
      <c r="UNT121" s="65"/>
      <c r="UNU121" s="65"/>
      <c r="UNV121" s="65"/>
      <c r="UNW121" s="65"/>
      <c r="UNX121" s="65"/>
      <c r="UNY121" s="65"/>
      <c r="UNZ121" s="65"/>
      <c r="UOA121" s="65"/>
      <c r="UOB121" s="65"/>
      <c r="UOC121" s="65"/>
      <c r="UOD121" s="65"/>
      <c r="UOE121" s="65"/>
      <c r="UOF121" s="65"/>
      <c r="UOG121" s="65"/>
      <c r="UOH121" s="65"/>
      <c r="UOI121" s="65"/>
      <c r="UOJ121" s="65"/>
      <c r="UOK121" s="65"/>
      <c r="UOL121" s="65"/>
      <c r="UOM121" s="65"/>
      <c r="UON121" s="65"/>
      <c r="UOO121" s="65"/>
      <c r="UOP121" s="65"/>
      <c r="UOQ121" s="65"/>
      <c r="UOR121" s="65"/>
      <c r="UOS121" s="65"/>
      <c r="UOT121" s="65"/>
      <c r="UOU121" s="65"/>
      <c r="UOV121" s="65"/>
      <c r="UOW121" s="65"/>
      <c r="UOX121" s="65"/>
      <c r="UOY121" s="65"/>
      <c r="UOZ121" s="65"/>
      <c r="UPA121" s="65"/>
      <c r="UPB121" s="65"/>
      <c r="UPC121" s="65"/>
      <c r="UPD121" s="65"/>
      <c r="UPE121" s="65"/>
      <c r="UPF121" s="65"/>
      <c r="UPG121" s="65"/>
      <c r="UPH121" s="65"/>
      <c r="UPI121" s="65"/>
      <c r="UPJ121" s="65"/>
      <c r="UPK121" s="65"/>
      <c r="UPL121" s="65"/>
      <c r="UPM121" s="65"/>
      <c r="UPN121" s="65"/>
      <c r="UPO121" s="65"/>
      <c r="UPP121" s="65"/>
      <c r="UPQ121" s="65"/>
      <c r="UPR121" s="65"/>
      <c r="UPS121" s="65"/>
      <c r="UPT121" s="65"/>
      <c r="UPU121" s="65"/>
      <c r="UPV121" s="65"/>
      <c r="UPW121" s="65"/>
      <c r="UPX121" s="65"/>
      <c r="UPY121" s="65"/>
      <c r="UPZ121" s="65"/>
      <c r="UQA121" s="65"/>
      <c r="UQB121" s="65"/>
      <c r="UQC121" s="65"/>
      <c r="UQD121" s="65"/>
      <c r="UQE121" s="65"/>
      <c r="UQF121" s="65"/>
      <c r="UQG121" s="65"/>
      <c r="UQH121" s="65"/>
      <c r="UQI121" s="65"/>
      <c r="UQJ121" s="65"/>
      <c r="UQK121" s="65"/>
      <c r="UQL121" s="65"/>
      <c r="UQM121" s="65"/>
      <c r="UQN121" s="65"/>
      <c r="UQO121" s="65"/>
      <c r="UQP121" s="65"/>
      <c r="UQQ121" s="65"/>
      <c r="UQR121" s="65"/>
      <c r="UQS121" s="65"/>
      <c r="UQT121" s="65"/>
      <c r="UQU121" s="65"/>
      <c r="UQV121" s="65"/>
      <c r="UQW121" s="65"/>
      <c r="UQX121" s="65"/>
      <c r="UQY121" s="65"/>
      <c r="UQZ121" s="65"/>
      <c r="URA121" s="65"/>
      <c r="URB121" s="65"/>
      <c r="URC121" s="65"/>
      <c r="URD121" s="65"/>
      <c r="URE121" s="65"/>
      <c r="URF121" s="65"/>
      <c r="URG121" s="65"/>
      <c r="URH121" s="65"/>
      <c r="URI121" s="65"/>
      <c r="URJ121" s="65"/>
      <c r="URK121" s="65"/>
      <c r="URL121" s="65"/>
      <c r="URM121" s="65"/>
      <c r="URN121" s="65"/>
      <c r="URO121" s="65"/>
      <c r="URP121" s="65"/>
      <c r="URQ121" s="65"/>
      <c r="URR121" s="65"/>
      <c r="URS121" s="65"/>
      <c r="URT121" s="65"/>
      <c r="URU121" s="65"/>
      <c r="URV121" s="65"/>
      <c r="URW121" s="65"/>
      <c r="URX121" s="65"/>
      <c r="URY121" s="65"/>
      <c r="URZ121" s="65"/>
      <c r="USA121" s="65"/>
      <c r="USB121" s="65"/>
      <c r="USC121" s="65"/>
      <c r="USD121" s="65"/>
      <c r="USE121" s="65"/>
      <c r="USF121" s="65"/>
      <c r="USG121" s="65"/>
      <c r="USH121" s="65"/>
      <c r="USI121" s="65"/>
      <c r="USJ121" s="65"/>
      <c r="USK121" s="65"/>
      <c r="USL121" s="65"/>
      <c r="USM121" s="65"/>
      <c r="USN121" s="65"/>
      <c r="USO121" s="65"/>
      <c r="USP121" s="65"/>
      <c r="USQ121" s="65"/>
      <c r="USR121" s="65"/>
      <c r="USS121" s="65"/>
      <c r="UST121" s="65"/>
      <c r="USU121" s="65"/>
      <c r="USV121" s="65"/>
      <c r="USW121" s="65"/>
      <c r="USX121" s="65"/>
      <c r="USY121" s="65"/>
      <c r="USZ121" s="65"/>
      <c r="UTA121" s="65"/>
      <c r="UTB121" s="65"/>
      <c r="UTC121" s="65"/>
      <c r="UTD121" s="65"/>
      <c r="UTE121" s="65"/>
      <c r="UTF121" s="65"/>
      <c r="UTG121" s="65"/>
      <c r="UTH121" s="65"/>
      <c r="UTI121" s="65"/>
      <c r="UTJ121" s="65"/>
      <c r="UTK121" s="65"/>
      <c r="UTL121" s="65"/>
      <c r="UTM121" s="65"/>
      <c r="UTN121" s="65"/>
      <c r="UTO121" s="65"/>
      <c r="UTP121" s="65"/>
      <c r="UTQ121" s="65"/>
      <c r="UTR121" s="65"/>
      <c r="UTS121" s="65"/>
      <c r="UTT121" s="65"/>
      <c r="UTU121" s="65"/>
      <c r="UTV121" s="65"/>
      <c r="UTW121" s="65"/>
      <c r="UTX121" s="65"/>
      <c r="UTY121" s="65"/>
      <c r="UTZ121" s="65"/>
      <c r="UUA121" s="65"/>
      <c r="UUB121" s="65"/>
      <c r="UUC121" s="65"/>
      <c r="UUD121" s="65"/>
      <c r="UUE121" s="65"/>
      <c r="UUF121" s="65"/>
      <c r="UUG121" s="65"/>
      <c r="UUH121" s="65"/>
      <c r="UUI121" s="65"/>
      <c r="UUJ121" s="65"/>
      <c r="UUK121" s="65"/>
      <c r="UUL121" s="65"/>
      <c r="UUM121" s="65"/>
      <c r="UUN121" s="65"/>
      <c r="UUO121" s="65"/>
      <c r="UUP121" s="65"/>
      <c r="UUQ121" s="65"/>
      <c r="UUR121" s="65"/>
      <c r="UUS121" s="65"/>
      <c r="UUT121" s="65"/>
      <c r="UUU121" s="65"/>
      <c r="UUV121" s="65"/>
      <c r="UUW121" s="65"/>
      <c r="UUX121" s="65"/>
      <c r="UUY121" s="65"/>
      <c r="UUZ121" s="65"/>
      <c r="UVA121" s="65"/>
      <c r="UVB121" s="65"/>
      <c r="UVC121" s="65"/>
      <c r="UVD121" s="65"/>
      <c r="UVE121" s="65"/>
      <c r="UVF121" s="65"/>
      <c r="UVG121" s="65"/>
      <c r="UVH121" s="65"/>
      <c r="UVI121" s="65"/>
      <c r="UVJ121" s="65"/>
      <c r="UVK121" s="65"/>
      <c r="UVL121" s="65"/>
      <c r="UVM121" s="65"/>
      <c r="UVN121" s="65"/>
      <c r="UVO121" s="65"/>
      <c r="UVP121" s="65"/>
      <c r="UVQ121" s="65"/>
      <c r="UVR121" s="65"/>
      <c r="UVS121" s="65"/>
      <c r="UVT121" s="65"/>
      <c r="UVU121" s="65"/>
      <c r="UVV121" s="65"/>
      <c r="UVW121" s="65"/>
      <c r="UVX121" s="65"/>
      <c r="UVY121" s="65"/>
      <c r="UVZ121" s="65"/>
      <c r="UWA121" s="65"/>
      <c r="UWB121" s="65"/>
      <c r="UWC121" s="65"/>
      <c r="UWD121" s="65"/>
      <c r="UWE121" s="65"/>
      <c r="UWF121" s="65"/>
      <c r="UWG121" s="65"/>
      <c r="UWH121" s="65"/>
      <c r="UWI121" s="65"/>
      <c r="UWJ121" s="65"/>
      <c r="UWK121" s="65"/>
      <c r="UWL121" s="65"/>
      <c r="UWM121" s="65"/>
      <c r="UWN121" s="65"/>
      <c r="UWO121" s="65"/>
      <c r="UWP121" s="65"/>
      <c r="UWQ121" s="65"/>
      <c r="UWR121" s="65"/>
      <c r="UWS121" s="65"/>
      <c r="UWT121" s="65"/>
      <c r="UWU121" s="65"/>
      <c r="UWV121" s="65"/>
      <c r="UWW121" s="65"/>
      <c r="UWX121" s="65"/>
      <c r="UWY121" s="65"/>
      <c r="UWZ121" s="65"/>
      <c r="UXA121" s="65"/>
      <c r="UXB121" s="65"/>
      <c r="UXC121" s="65"/>
      <c r="UXD121" s="65"/>
      <c r="UXE121" s="65"/>
      <c r="UXF121" s="65"/>
      <c r="UXG121" s="65"/>
      <c r="UXH121" s="65"/>
      <c r="UXI121" s="65"/>
      <c r="UXJ121" s="65"/>
      <c r="UXK121" s="65"/>
      <c r="UXL121" s="65"/>
      <c r="UXM121" s="65"/>
      <c r="UXN121" s="65"/>
      <c r="UXO121" s="65"/>
      <c r="UXP121" s="65"/>
      <c r="UXQ121" s="65"/>
      <c r="UXR121" s="65"/>
      <c r="UXS121" s="65"/>
      <c r="UXT121" s="65"/>
      <c r="UXU121" s="65"/>
      <c r="UXV121" s="65"/>
      <c r="UXW121" s="65"/>
      <c r="UXX121" s="65"/>
      <c r="UXY121" s="65"/>
      <c r="UXZ121" s="65"/>
      <c r="UYA121" s="65"/>
      <c r="UYB121" s="65"/>
      <c r="UYC121" s="65"/>
      <c r="UYD121" s="65"/>
      <c r="UYE121" s="65"/>
      <c r="UYF121" s="65"/>
      <c r="UYG121" s="65"/>
      <c r="UYH121" s="65"/>
      <c r="UYI121" s="65"/>
      <c r="UYJ121" s="65"/>
      <c r="UYK121" s="65"/>
      <c r="UYL121" s="65"/>
      <c r="UYM121" s="65"/>
      <c r="UYN121" s="65"/>
      <c r="UYO121" s="65"/>
      <c r="UYP121" s="65"/>
      <c r="UYQ121" s="65"/>
      <c r="UYR121" s="65"/>
      <c r="UYS121" s="65"/>
      <c r="UYT121" s="65"/>
      <c r="UYU121" s="65"/>
      <c r="UYV121" s="65"/>
      <c r="UYW121" s="65"/>
      <c r="UYX121" s="65"/>
      <c r="UYY121" s="65"/>
      <c r="UYZ121" s="65"/>
      <c r="UZA121" s="65"/>
      <c r="UZB121" s="65"/>
      <c r="UZC121" s="65"/>
      <c r="UZD121" s="65"/>
      <c r="UZE121" s="65"/>
      <c r="UZF121" s="65"/>
      <c r="UZG121" s="65"/>
      <c r="UZH121" s="65"/>
      <c r="UZI121" s="65"/>
      <c r="UZJ121" s="65"/>
      <c r="UZK121" s="65"/>
      <c r="UZL121" s="65"/>
      <c r="UZM121" s="65"/>
      <c r="UZN121" s="65"/>
      <c r="UZO121" s="65"/>
      <c r="UZP121" s="65"/>
      <c r="UZQ121" s="65"/>
      <c r="UZR121" s="65"/>
      <c r="UZS121" s="65"/>
      <c r="UZT121" s="65"/>
      <c r="UZU121" s="65"/>
      <c r="UZV121" s="65"/>
      <c r="UZW121" s="65"/>
      <c r="UZX121" s="65"/>
      <c r="UZY121" s="65"/>
      <c r="UZZ121" s="65"/>
      <c r="VAA121" s="65"/>
      <c r="VAB121" s="65"/>
      <c r="VAC121" s="65"/>
      <c r="VAD121" s="65"/>
      <c r="VAE121" s="65"/>
      <c r="VAF121" s="65"/>
      <c r="VAG121" s="65"/>
      <c r="VAH121" s="65"/>
      <c r="VAI121" s="65"/>
      <c r="VAJ121" s="65"/>
      <c r="VAK121" s="65"/>
      <c r="VAL121" s="65"/>
      <c r="VAM121" s="65"/>
      <c r="VAN121" s="65"/>
      <c r="VAO121" s="65"/>
      <c r="VAP121" s="65"/>
      <c r="VAQ121" s="65"/>
      <c r="VAR121" s="65"/>
      <c r="VAS121" s="65"/>
      <c r="VAT121" s="65"/>
      <c r="VAU121" s="65"/>
      <c r="VAV121" s="65"/>
      <c r="VAW121" s="65"/>
      <c r="VAX121" s="65"/>
      <c r="VAY121" s="65"/>
      <c r="VAZ121" s="65"/>
      <c r="VBA121" s="65"/>
      <c r="VBB121" s="65"/>
      <c r="VBC121" s="65"/>
      <c r="VBD121" s="65"/>
      <c r="VBE121" s="65"/>
      <c r="VBF121" s="65"/>
      <c r="VBG121" s="65"/>
      <c r="VBH121" s="65"/>
      <c r="VBI121" s="65"/>
      <c r="VBJ121" s="65"/>
      <c r="VBK121" s="65"/>
      <c r="VBL121" s="65"/>
      <c r="VBM121" s="65"/>
      <c r="VBN121" s="65"/>
      <c r="VBO121" s="65"/>
      <c r="VBP121" s="65"/>
      <c r="VBQ121" s="65"/>
      <c r="VBR121" s="65"/>
      <c r="VBS121" s="65"/>
      <c r="VBT121" s="65"/>
      <c r="VBU121" s="65"/>
      <c r="VBV121" s="65"/>
      <c r="VBW121" s="65"/>
      <c r="VBX121" s="65"/>
      <c r="VBY121" s="65"/>
      <c r="VBZ121" s="65"/>
      <c r="VCA121" s="65"/>
      <c r="VCB121" s="65"/>
      <c r="VCC121" s="65"/>
      <c r="VCD121" s="65"/>
      <c r="VCE121" s="65"/>
      <c r="VCF121" s="65"/>
      <c r="VCG121" s="65"/>
      <c r="VCH121" s="65"/>
      <c r="VCI121" s="65"/>
      <c r="VCJ121" s="65"/>
      <c r="VCK121" s="65"/>
      <c r="VCL121" s="65"/>
      <c r="VCM121" s="65"/>
      <c r="VCN121" s="65"/>
      <c r="VCO121" s="65"/>
      <c r="VCP121" s="65"/>
      <c r="VCQ121" s="65"/>
      <c r="VCR121" s="65"/>
      <c r="VCS121" s="65"/>
      <c r="VCT121" s="65"/>
      <c r="VCU121" s="65"/>
      <c r="VCV121" s="65"/>
      <c r="VCW121" s="65"/>
      <c r="VCX121" s="65"/>
      <c r="VCY121" s="65"/>
      <c r="VCZ121" s="65"/>
      <c r="VDA121" s="65"/>
      <c r="VDB121" s="65"/>
      <c r="VDC121" s="65"/>
      <c r="VDD121" s="65"/>
      <c r="VDE121" s="65"/>
      <c r="VDF121" s="65"/>
      <c r="VDG121" s="65"/>
      <c r="VDH121" s="65"/>
      <c r="VDI121" s="65"/>
      <c r="VDJ121" s="65"/>
      <c r="VDK121" s="65"/>
      <c r="VDL121" s="65"/>
      <c r="VDM121" s="65"/>
      <c r="VDN121" s="65"/>
      <c r="VDO121" s="65"/>
      <c r="VDP121" s="65"/>
      <c r="VDQ121" s="65"/>
      <c r="VDR121" s="65"/>
      <c r="VDS121" s="65"/>
      <c r="VDT121" s="65"/>
      <c r="VDU121" s="65"/>
      <c r="VDV121" s="65"/>
      <c r="VDW121" s="65"/>
      <c r="VDX121" s="65"/>
      <c r="VDY121" s="65"/>
      <c r="VDZ121" s="65"/>
      <c r="VEA121" s="65"/>
      <c r="VEB121" s="65"/>
      <c r="VEC121" s="65"/>
      <c r="VED121" s="65"/>
      <c r="VEE121" s="65"/>
      <c r="VEF121" s="65"/>
      <c r="VEG121" s="65"/>
      <c r="VEH121" s="65"/>
      <c r="VEI121" s="65"/>
      <c r="VEJ121" s="65"/>
      <c r="VEK121" s="65"/>
      <c r="VEL121" s="65"/>
      <c r="VEM121" s="65"/>
      <c r="VEN121" s="65"/>
      <c r="VEO121" s="65"/>
      <c r="VEP121" s="65"/>
      <c r="VEQ121" s="65"/>
      <c r="VER121" s="65"/>
      <c r="VES121" s="65"/>
      <c r="VET121" s="65"/>
      <c r="VEU121" s="65"/>
      <c r="VEV121" s="65"/>
      <c r="VEW121" s="65"/>
      <c r="VEX121" s="65"/>
      <c r="VEY121" s="65"/>
      <c r="VEZ121" s="65"/>
      <c r="VFA121" s="65"/>
      <c r="VFB121" s="65"/>
      <c r="VFC121" s="65"/>
      <c r="VFD121" s="65"/>
      <c r="VFE121" s="65"/>
      <c r="VFF121" s="65"/>
      <c r="VFG121" s="65"/>
      <c r="VFH121" s="65"/>
      <c r="VFI121" s="65"/>
      <c r="VFJ121" s="65"/>
      <c r="VFK121" s="65"/>
      <c r="VFL121" s="65"/>
      <c r="VFM121" s="65"/>
      <c r="VFN121" s="65"/>
      <c r="VFO121" s="65"/>
      <c r="VFP121" s="65"/>
      <c r="VFQ121" s="65"/>
      <c r="VFR121" s="65"/>
      <c r="VFS121" s="65"/>
      <c r="VFT121" s="65"/>
      <c r="VFU121" s="65"/>
      <c r="VFV121" s="65"/>
      <c r="VFW121" s="65"/>
      <c r="VFX121" s="65"/>
      <c r="VFY121" s="65"/>
      <c r="VFZ121" s="65"/>
      <c r="VGA121" s="65"/>
      <c r="VGB121" s="65"/>
      <c r="VGC121" s="65"/>
      <c r="VGD121" s="65"/>
      <c r="VGE121" s="65"/>
      <c r="VGF121" s="65"/>
      <c r="VGG121" s="65"/>
      <c r="VGH121" s="65"/>
      <c r="VGI121" s="65"/>
      <c r="VGJ121" s="65"/>
      <c r="VGK121" s="65"/>
      <c r="VGL121" s="65"/>
      <c r="VGM121" s="65"/>
      <c r="VGN121" s="65"/>
      <c r="VGO121" s="65"/>
      <c r="VGP121" s="65"/>
      <c r="VGQ121" s="65"/>
      <c r="VGR121" s="65"/>
      <c r="VGS121" s="65"/>
      <c r="VGT121" s="65"/>
      <c r="VGU121" s="65"/>
      <c r="VGV121" s="65"/>
      <c r="VGW121" s="65"/>
      <c r="VGX121" s="65"/>
      <c r="VGY121" s="65"/>
      <c r="VGZ121" s="65"/>
      <c r="VHA121" s="65"/>
      <c r="VHB121" s="65"/>
      <c r="VHC121" s="65"/>
      <c r="VHD121" s="65"/>
      <c r="VHE121" s="65"/>
      <c r="VHF121" s="65"/>
      <c r="VHG121" s="65"/>
      <c r="VHH121" s="65"/>
      <c r="VHI121" s="65"/>
      <c r="VHJ121" s="65"/>
      <c r="VHK121" s="65"/>
      <c r="VHL121" s="65"/>
      <c r="VHM121" s="65"/>
      <c r="VHN121" s="65"/>
      <c r="VHO121" s="65"/>
      <c r="VHP121" s="65"/>
      <c r="VHQ121" s="65"/>
      <c r="VHR121" s="65"/>
      <c r="VHS121" s="65"/>
      <c r="VHT121" s="65"/>
      <c r="VHU121" s="65"/>
      <c r="VHV121" s="65"/>
      <c r="VHW121" s="65"/>
      <c r="VHX121" s="65"/>
      <c r="VHY121" s="65"/>
      <c r="VHZ121" s="65"/>
      <c r="VIA121" s="65"/>
      <c r="VIB121" s="65"/>
      <c r="VIC121" s="65"/>
      <c r="VID121" s="65"/>
      <c r="VIE121" s="65"/>
      <c r="VIF121" s="65"/>
      <c r="VIG121" s="65"/>
      <c r="VIH121" s="65"/>
      <c r="VII121" s="65"/>
      <c r="VIJ121" s="65"/>
      <c r="VIK121" s="65"/>
      <c r="VIL121" s="65"/>
      <c r="VIM121" s="65"/>
      <c r="VIN121" s="65"/>
      <c r="VIO121" s="65"/>
      <c r="VIP121" s="65"/>
      <c r="VIQ121" s="65"/>
      <c r="VIR121" s="65"/>
      <c r="VIS121" s="65"/>
      <c r="VIT121" s="65"/>
      <c r="VIU121" s="65"/>
      <c r="VIV121" s="65"/>
      <c r="VIW121" s="65"/>
      <c r="VIX121" s="65"/>
      <c r="VIY121" s="65"/>
      <c r="VIZ121" s="65"/>
      <c r="VJA121" s="65"/>
      <c r="VJB121" s="65"/>
      <c r="VJC121" s="65"/>
      <c r="VJD121" s="65"/>
      <c r="VJE121" s="65"/>
      <c r="VJF121" s="65"/>
      <c r="VJG121" s="65"/>
      <c r="VJH121" s="65"/>
      <c r="VJI121" s="65"/>
      <c r="VJJ121" s="65"/>
      <c r="VJK121" s="65"/>
      <c r="VJL121" s="65"/>
      <c r="VJM121" s="65"/>
      <c r="VJN121" s="65"/>
      <c r="VJO121" s="65"/>
      <c r="VJP121" s="65"/>
      <c r="VJQ121" s="65"/>
      <c r="VJR121" s="65"/>
      <c r="VJS121" s="65"/>
      <c r="VJT121" s="65"/>
      <c r="VJU121" s="65"/>
      <c r="VJV121" s="65"/>
      <c r="VJW121" s="65"/>
      <c r="VJX121" s="65"/>
      <c r="VJY121" s="65"/>
      <c r="VJZ121" s="65"/>
      <c r="VKA121" s="65"/>
      <c r="VKB121" s="65"/>
      <c r="VKC121" s="65"/>
      <c r="VKD121" s="65"/>
      <c r="VKE121" s="65"/>
      <c r="VKF121" s="65"/>
      <c r="VKG121" s="65"/>
      <c r="VKH121" s="65"/>
      <c r="VKI121" s="65"/>
      <c r="VKJ121" s="65"/>
      <c r="VKK121" s="65"/>
      <c r="VKL121" s="65"/>
      <c r="VKM121" s="65"/>
      <c r="VKN121" s="65"/>
      <c r="VKO121" s="65"/>
      <c r="VKP121" s="65"/>
      <c r="VKQ121" s="65"/>
      <c r="VKR121" s="65"/>
      <c r="VKS121" s="65"/>
      <c r="VKT121" s="65"/>
      <c r="VKU121" s="65"/>
      <c r="VKV121" s="65"/>
      <c r="VKW121" s="65"/>
      <c r="VKX121" s="65"/>
      <c r="VKY121" s="65"/>
      <c r="VKZ121" s="65"/>
      <c r="VLA121" s="65"/>
      <c r="VLB121" s="65"/>
      <c r="VLC121" s="65"/>
      <c r="VLD121" s="65"/>
      <c r="VLE121" s="65"/>
      <c r="VLF121" s="65"/>
      <c r="VLG121" s="65"/>
      <c r="VLH121" s="65"/>
      <c r="VLI121" s="65"/>
      <c r="VLJ121" s="65"/>
      <c r="VLK121" s="65"/>
      <c r="VLL121" s="65"/>
      <c r="VLM121" s="65"/>
      <c r="VLN121" s="65"/>
      <c r="VLO121" s="65"/>
      <c r="VLP121" s="65"/>
      <c r="VLQ121" s="65"/>
      <c r="VLR121" s="65"/>
      <c r="VLS121" s="65"/>
      <c r="VLT121" s="65"/>
      <c r="VLU121" s="65"/>
      <c r="VLV121" s="65"/>
      <c r="VLW121" s="65"/>
      <c r="VLX121" s="65"/>
      <c r="VLY121" s="65"/>
      <c r="VLZ121" s="65"/>
      <c r="VMA121" s="65"/>
      <c r="VMB121" s="65"/>
      <c r="VMC121" s="65"/>
      <c r="VMD121" s="65"/>
      <c r="VME121" s="65"/>
      <c r="VMF121" s="65"/>
      <c r="VMG121" s="65"/>
      <c r="VMH121" s="65"/>
      <c r="VMI121" s="65"/>
      <c r="VMJ121" s="65"/>
      <c r="VMK121" s="65"/>
      <c r="VML121" s="65"/>
      <c r="VMM121" s="65"/>
      <c r="VMN121" s="65"/>
      <c r="VMO121" s="65"/>
      <c r="VMP121" s="65"/>
      <c r="VMQ121" s="65"/>
      <c r="VMR121" s="65"/>
      <c r="VMS121" s="65"/>
      <c r="VMT121" s="65"/>
      <c r="VMU121" s="65"/>
      <c r="VMV121" s="65"/>
      <c r="VMW121" s="65"/>
      <c r="VMX121" s="65"/>
      <c r="VMY121" s="65"/>
      <c r="VMZ121" s="65"/>
      <c r="VNA121" s="65"/>
      <c r="VNB121" s="65"/>
      <c r="VNC121" s="65"/>
      <c r="VND121" s="65"/>
      <c r="VNE121" s="65"/>
      <c r="VNF121" s="65"/>
      <c r="VNG121" s="65"/>
      <c r="VNH121" s="65"/>
      <c r="VNI121" s="65"/>
      <c r="VNJ121" s="65"/>
      <c r="VNK121" s="65"/>
      <c r="VNL121" s="65"/>
      <c r="VNM121" s="65"/>
      <c r="VNN121" s="65"/>
      <c r="VNO121" s="65"/>
      <c r="VNP121" s="65"/>
      <c r="VNQ121" s="65"/>
      <c r="VNR121" s="65"/>
      <c r="VNS121" s="65"/>
      <c r="VNT121" s="65"/>
      <c r="VNU121" s="65"/>
      <c r="VNV121" s="65"/>
      <c r="VNW121" s="65"/>
      <c r="VNX121" s="65"/>
      <c r="VNY121" s="65"/>
      <c r="VNZ121" s="65"/>
      <c r="VOA121" s="65"/>
      <c r="VOB121" s="65"/>
      <c r="VOC121" s="65"/>
      <c r="VOD121" s="65"/>
      <c r="VOE121" s="65"/>
      <c r="VOF121" s="65"/>
      <c r="VOG121" s="65"/>
      <c r="VOH121" s="65"/>
      <c r="VOI121" s="65"/>
      <c r="VOJ121" s="65"/>
      <c r="VOK121" s="65"/>
      <c r="VOL121" s="65"/>
      <c r="VOM121" s="65"/>
      <c r="VON121" s="65"/>
      <c r="VOO121" s="65"/>
      <c r="VOP121" s="65"/>
      <c r="VOQ121" s="65"/>
      <c r="VOR121" s="65"/>
      <c r="VOS121" s="65"/>
      <c r="VOT121" s="65"/>
      <c r="VOU121" s="65"/>
      <c r="VOV121" s="65"/>
      <c r="VOW121" s="65"/>
      <c r="VOX121" s="65"/>
      <c r="VOY121" s="65"/>
      <c r="VOZ121" s="65"/>
      <c r="VPA121" s="65"/>
      <c r="VPB121" s="65"/>
      <c r="VPC121" s="65"/>
      <c r="VPD121" s="65"/>
      <c r="VPE121" s="65"/>
      <c r="VPF121" s="65"/>
      <c r="VPG121" s="65"/>
      <c r="VPH121" s="65"/>
      <c r="VPI121" s="65"/>
      <c r="VPJ121" s="65"/>
      <c r="VPK121" s="65"/>
      <c r="VPL121" s="65"/>
      <c r="VPM121" s="65"/>
      <c r="VPN121" s="65"/>
      <c r="VPO121" s="65"/>
      <c r="VPP121" s="65"/>
      <c r="VPQ121" s="65"/>
      <c r="VPR121" s="65"/>
      <c r="VPS121" s="65"/>
      <c r="VPT121" s="65"/>
      <c r="VPU121" s="65"/>
      <c r="VPV121" s="65"/>
      <c r="VPW121" s="65"/>
      <c r="VPX121" s="65"/>
      <c r="VPY121" s="65"/>
      <c r="VPZ121" s="65"/>
      <c r="VQA121" s="65"/>
      <c r="VQB121" s="65"/>
      <c r="VQC121" s="65"/>
      <c r="VQD121" s="65"/>
      <c r="VQE121" s="65"/>
      <c r="VQF121" s="65"/>
      <c r="VQG121" s="65"/>
      <c r="VQH121" s="65"/>
      <c r="VQI121" s="65"/>
      <c r="VQJ121" s="65"/>
      <c r="VQK121" s="65"/>
      <c r="VQL121" s="65"/>
      <c r="VQM121" s="65"/>
      <c r="VQN121" s="65"/>
      <c r="VQO121" s="65"/>
      <c r="VQP121" s="65"/>
      <c r="VQQ121" s="65"/>
      <c r="VQR121" s="65"/>
      <c r="VQS121" s="65"/>
      <c r="VQT121" s="65"/>
      <c r="VQU121" s="65"/>
      <c r="VQV121" s="65"/>
      <c r="VQW121" s="65"/>
      <c r="VQX121" s="65"/>
      <c r="VQY121" s="65"/>
      <c r="VQZ121" s="65"/>
      <c r="VRA121" s="65"/>
      <c r="VRB121" s="65"/>
      <c r="VRC121" s="65"/>
      <c r="VRD121" s="65"/>
      <c r="VRE121" s="65"/>
      <c r="VRF121" s="65"/>
      <c r="VRG121" s="65"/>
      <c r="VRH121" s="65"/>
      <c r="VRI121" s="65"/>
      <c r="VRJ121" s="65"/>
      <c r="VRK121" s="65"/>
      <c r="VRL121" s="65"/>
      <c r="VRM121" s="65"/>
      <c r="VRN121" s="65"/>
      <c r="VRO121" s="65"/>
      <c r="VRP121" s="65"/>
      <c r="VRQ121" s="65"/>
      <c r="VRR121" s="65"/>
      <c r="VRS121" s="65"/>
      <c r="VRT121" s="65"/>
      <c r="VRU121" s="65"/>
      <c r="VRV121" s="65"/>
      <c r="VRW121" s="65"/>
      <c r="VRX121" s="65"/>
      <c r="VRY121" s="65"/>
      <c r="VRZ121" s="65"/>
      <c r="VSA121" s="65"/>
      <c r="VSB121" s="65"/>
      <c r="VSC121" s="65"/>
      <c r="VSD121" s="65"/>
      <c r="VSE121" s="65"/>
      <c r="VSF121" s="65"/>
      <c r="VSG121" s="65"/>
      <c r="VSH121" s="65"/>
      <c r="VSI121" s="65"/>
      <c r="VSJ121" s="65"/>
      <c r="VSK121" s="65"/>
      <c r="VSL121" s="65"/>
      <c r="VSM121" s="65"/>
      <c r="VSN121" s="65"/>
      <c r="VSO121" s="65"/>
      <c r="VSP121" s="65"/>
      <c r="VSQ121" s="65"/>
      <c r="VSR121" s="65"/>
      <c r="VSS121" s="65"/>
      <c r="VST121" s="65"/>
      <c r="VSU121" s="65"/>
      <c r="VSV121" s="65"/>
      <c r="VSW121" s="65"/>
      <c r="VSX121" s="65"/>
      <c r="VSY121" s="65"/>
      <c r="VSZ121" s="65"/>
      <c r="VTA121" s="65"/>
      <c r="VTB121" s="65"/>
      <c r="VTC121" s="65"/>
      <c r="VTD121" s="65"/>
      <c r="VTE121" s="65"/>
      <c r="VTF121" s="65"/>
      <c r="VTG121" s="65"/>
      <c r="VTH121" s="65"/>
      <c r="VTI121" s="65"/>
      <c r="VTJ121" s="65"/>
      <c r="VTK121" s="65"/>
      <c r="VTL121" s="65"/>
      <c r="VTM121" s="65"/>
      <c r="VTN121" s="65"/>
      <c r="VTO121" s="65"/>
      <c r="VTP121" s="65"/>
      <c r="VTQ121" s="65"/>
      <c r="VTR121" s="65"/>
      <c r="VTS121" s="65"/>
      <c r="VTT121" s="65"/>
      <c r="VTU121" s="65"/>
      <c r="VTV121" s="65"/>
      <c r="VTW121" s="65"/>
      <c r="VTX121" s="65"/>
      <c r="VTY121" s="65"/>
      <c r="VTZ121" s="65"/>
      <c r="VUA121" s="65"/>
      <c r="VUB121" s="65"/>
      <c r="VUC121" s="65"/>
      <c r="VUD121" s="65"/>
      <c r="VUE121" s="65"/>
      <c r="VUF121" s="65"/>
      <c r="VUG121" s="65"/>
      <c r="VUH121" s="65"/>
      <c r="VUI121" s="65"/>
      <c r="VUJ121" s="65"/>
      <c r="VUK121" s="65"/>
      <c r="VUL121" s="65"/>
      <c r="VUM121" s="65"/>
      <c r="VUN121" s="65"/>
      <c r="VUO121" s="65"/>
      <c r="VUP121" s="65"/>
      <c r="VUQ121" s="65"/>
      <c r="VUR121" s="65"/>
      <c r="VUS121" s="65"/>
      <c r="VUT121" s="65"/>
      <c r="VUU121" s="65"/>
      <c r="VUV121" s="65"/>
      <c r="VUW121" s="65"/>
      <c r="VUX121" s="65"/>
      <c r="VUY121" s="65"/>
      <c r="VUZ121" s="65"/>
      <c r="VVA121" s="65"/>
      <c r="VVB121" s="65"/>
      <c r="VVC121" s="65"/>
      <c r="VVD121" s="65"/>
      <c r="VVE121" s="65"/>
      <c r="VVF121" s="65"/>
      <c r="VVG121" s="65"/>
      <c r="VVH121" s="65"/>
      <c r="VVI121" s="65"/>
      <c r="VVJ121" s="65"/>
      <c r="VVK121" s="65"/>
      <c r="VVL121" s="65"/>
      <c r="VVM121" s="65"/>
      <c r="VVN121" s="65"/>
      <c r="VVO121" s="65"/>
      <c r="VVP121" s="65"/>
      <c r="VVQ121" s="65"/>
      <c r="VVR121" s="65"/>
      <c r="VVS121" s="65"/>
      <c r="VVT121" s="65"/>
      <c r="VVU121" s="65"/>
      <c r="VVV121" s="65"/>
      <c r="VVW121" s="65"/>
      <c r="VVX121" s="65"/>
      <c r="VVY121" s="65"/>
      <c r="VVZ121" s="65"/>
      <c r="VWA121" s="65"/>
      <c r="VWB121" s="65"/>
      <c r="VWC121" s="65"/>
      <c r="VWD121" s="65"/>
      <c r="VWE121" s="65"/>
      <c r="VWF121" s="65"/>
      <c r="VWG121" s="65"/>
      <c r="VWH121" s="65"/>
      <c r="VWI121" s="65"/>
      <c r="VWJ121" s="65"/>
      <c r="VWK121" s="65"/>
      <c r="VWL121" s="65"/>
      <c r="VWM121" s="65"/>
      <c r="VWN121" s="65"/>
      <c r="VWO121" s="65"/>
      <c r="VWP121" s="65"/>
      <c r="VWQ121" s="65"/>
      <c r="VWR121" s="65"/>
      <c r="VWS121" s="65"/>
      <c r="VWT121" s="65"/>
      <c r="VWU121" s="65"/>
      <c r="VWV121" s="65"/>
      <c r="VWW121" s="65"/>
      <c r="VWX121" s="65"/>
      <c r="VWY121" s="65"/>
      <c r="VWZ121" s="65"/>
      <c r="VXA121" s="65"/>
      <c r="VXB121" s="65"/>
      <c r="VXC121" s="65"/>
      <c r="VXD121" s="65"/>
      <c r="VXE121" s="65"/>
      <c r="VXF121" s="65"/>
      <c r="VXG121" s="65"/>
      <c r="VXH121" s="65"/>
      <c r="VXI121" s="65"/>
      <c r="VXJ121" s="65"/>
      <c r="VXK121" s="65"/>
      <c r="VXL121" s="65"/>
      <c r="VXM121" s="65"/>
      <c r="VXN121" s="65"/>
      <c r="VXO121" s="65"/>
      <c r="VXP121" s="65"/>
      <c r="VXQ121" s="65"/>
      <c r="VXR121" s="65"/>
      <c r="VXS121" s="65"/>
      <c r="VXT121" s="65"/>
      <c r="VXU121" s="65"/>
      <c r="VXV121" s="65"/>
      <c r="VXW121" s="65"/>
      <c r="VXX121" s="65"/>
      <c r="VXY121" s="65"/>
      <c r="VXZ121" s="65"/>
      <c r="VYA121" s="65"/>
      <c r="VYB121" s="65"/>
      <c r="VYC121" s="65"/>
      <c r="VYD121" s="65"/>
      <c r="VYE121" s="65"/>
      <c r="VYF121" s="65"/>
      <c r="VYG121" s="65"/>
      <c r="VYH121" s="65"/>
      <c r="VYI121" s="65"/>
      <c r="VYJ121" s="65"/>
      <c r="VYK121" s="65"/>
      <c r="VYL121" s="65"/>
      <c r="VYM121" s="65"/>
      <c r="VYN121" s="65"/>
      <c r="VYO121" s="65"/>
      <c r="VYP121" s="65"/>
      <c r="VYQ121" s="65"/>
      <c r="VYR121" s="65"/>
      <c r="VYS121" s="65"/>
      <c r="VYT121" s="65"/>
      <c r="VYU121" s="65"/>
      <c r="VYV121" s="65"/>
      <c r="VYW121" s="65"/>
      <c r="VYX121" s="65"/>
      <c r="VYY121" s="65"/>
      <c r="VYZ121" s="65"/>
      <c r="VZA121" s="65"/>
      <c r="VZB121" s="65"/>
      <c r="VZC121" s="65"/>
      <c r="VZD121" s="65"/>
      <c r="VZE121" s="65"/>
      <c r="VZF121" s="65"/>
      <c r="VZG121" s="65"/>
      <c r="VZH121" s="65"/>
      <c r="VZI121" s="65"/>
      <c r="VZJ121" s="65"/>
      <c r="VZK121" s="65"/>
      <c r="VZL121" s="65"/>
      <c r="VZM121" s="65"/>
      <c r="VZN121" s="65"/>
      <c r="VZO121" s="65"/>
      <c r="VZP121" s="65"/>
      <c r="VZQ121" s="65"/>
      <c r="VZR121" s="65"/>
      <c r="VZS121" s="65"/>
      <c r="VZT121" s="65"/>
      <c r="VZU121" s="65"/>
      <c r="VZV121" s="65"/>
      <c r="VZW121" s="65"/>
      <c r="VZX121" s="65"/>
      <c r="VZY121" s="65"/>
      <c r="VZZ121" s="65"/>
      <c r="WAA121" s="65"/>
      <c r="WAB121" s="65"/>
      <c r="WAC121" s="65"/>
      <c r="WAD121" s="65"/>
      <c r="WAE121" s="65"/>
      <c r="WAF121" s="65"/>
      <c r="WAG121" s="65"/>
      <c r="WAH121" s="65"/>
      <c r="WAI121" s="65"/>
      <c r="WAJ121" s="65"/>
      <c r="WAK121" s="65"/>
      <c r="WAL121" s="65"/>
      <c r="WAM121" s="65"/>
      <c r="WAN121" s="65"/>
      <c r="WAO121" s="65"/>
      <c r="WAP121" s="65"/>
      <c r="WAQ121" s="65"/>
      <c r="WAR121" s="65"/>
      <c r="WAS121" s="65"/>
      <c r="WAT121" s="65"/>
      <c r="WAU121" s="65"/>
      <c r="WAV121" s="65"/>
      <c r="WAW121" s="65"/>
      <c r="WAX121" s="65"/>
      <c r="WAY121" s="65"/>
      <c r="WAZ121" s="65"/>
      <c r="WBA121" s="65"/>
      <c r="WBB121" s="65"/>
      <c r="WBC121" s="65"/>
      <c r="WBD121" s="65"/>
      <c r="WBE121" s="65"/>
      <c r="WBF121" s="65"/>
      <c r="WBG121" s="65"/>
      <c r="WBH121" s="65"/>
      <c r="WBI121" s="65"/>
      <c r="WBJ121" s="65"/>
      <c r="WBK121" s="65"/>
      <c r="WBL121" s="65"/>
      <c r="WBM121" s="65"/>
      <c r="WBN121" s="65"/>
      <c r="WBO121" s="65"/>
      <c r="WBP121" s="65"/>
      <c r="WBQ121" s="65"/>
      <c r="WBR121" s="65"/>
      <c r="WBS121" s="65"/>
      <c r="WBT121" s="65"/>
      <c r="WBU121" s="65"/>
      <c r="WBV121" s="65"/>
      <c r="WBW121" s="65"/>
      <c r="WBX121" s="65"/>
      <c r="WBY121" s="65"/>
      <c r="WBZ121" s="65"/>
      <c r="WCA121" s="65"/>
      <c r="WCB121" s="65"/>
      <c r="WCC121" s="65"/>
      <c r="WCD121" s="65"/>
      <c r="WCE121" s="65"/>
      <c r="WCF121" s="65"/>
      <c r="WCG121" s="65"/>
      <c r="WCH121" s="65"/>
      <c r="WCI121" s="65"/>
      <c r="WCJ121" s="65"/>
      <c r="WCK121" s="65"/>
      <c r="WCL121" s="65"/>
      <c r="WCM121" s="65"/>
      <c r="WCN121" s="65"/>
      <c r="WCO121" s="65"/>
      <c r="WCP121" s="65"/>
      <c r="WCQ121" s="65"/>
      <c r="WCR121" s="65"/>
      <c r="WCS121" s="65"/>
      <c r="WCT121" s="65"/>
      <c r="WCU121" s="65"/>
      <c r="WCV121" s="65"/>
      <c r="WCW121" s="65"/>
      <c r="WCX121" s="65"/>
      <c r="WCY121" s="65"/>
      <c r="WCZ121" s="65"/>
      <c r="WDA121" s="65"/>
      <c r="WDB121" s="65"/>
      <c r="WDC121" s="65"/>
      <c r="WDD121" s="65"/>
      <c r="WDE121" s="65"/>
      <c r="WDF121" s="65"/>
      <c r="WDG121" s="65"/>
      <c r="WDH121" s="65"/>
      <c r="WDI121" s="65"/>
      <c r="WDJ121" s="65"/>
      <c r="WDK121" s="65"/>
      <c r="WDL121" s="65"/>
      <c r="WDM121" s="65"/>
      <c r="WDN121" s="65"/>
      <c r="WDO121" s="65"/>
      <c r="WDP121" s="65"/>
      <c r="WDQ121" s="65"/>
      <c r="WDR121" s="65"/>
      <c r="WDS121" s="65"/>
      <c r="WDT121" s="65"/>
      <c r="WDU121" s="65"/>
      <c r="WDV121" s="65"/>
      <c r="WDW121" s="65"/>
      <c r="WDX121" s="65"/>
      <c r="WDY121" s="65"/>
      <c r="WDZ121" s="65"/>
      <c r="WEA121" s="65"/>
      <c r="WEB121" s="65"/>
      <c r="WEC121" s="65"/>
      <c r="WED121" s="65"/>
      <c r="WEE121" s="65"/>
      <c r="WEF121" s="65"/>
      <c r="WEG121" s="65"/>
      <c r="WEH121" s="65"/>
      <c r="WEI121" s="65"/>
      <c r="WEJ121" s="65"/>
      <c r="WEK121" s="65"/>
      <c r="WEL121" s="65"/>
      <c r="WEM121" s="65"/>
      <c r="WEN121" s="65"/>
      <c r="WEO121" s="65"/>
      <c r="WEP121" s="65"/>
      <c r="WEQ121" s="65"/>
      <c r="WER121" s="65"/>
      <c r="WES121" s="65"/>
      <c r="WET121" s="65"/>
      <c r="WEU121" s="65"/>
      <c r="WEV121" s="65"/>
      <c r="WEW121" s="65"/>
      <c r="WEX121" s="65"/>
      <c r="WEY121" s="65"/>
      <c r="WEZ121" s="65"/>
      <c r="WFA121" s="65"/>
      <c r="WFB121" s="65"/>
      <c r="WFC121" s="65"/>
      <c r="WFD121" s="65"/>
      <c r="WFE121" s="65"/>
      <c r="WFF121" s="65"/>
      <c r="WFG121" s="65"/>
      <c r="WFH121" s="65"/>
      <c r="WFI121" s="65"/>
      <c r="WFJ121" s="65"/>
      <c r="WFK121" s="65"/>
      <c r="WFL121" s="65"/>
      <c r="WFM121" s="65"/>
      <c r="WFN121" s="65"/>
      <c r="WFO121" s="65"/>
      <c r="WFP121" s="65"/>
      <c r="WFQ121" s="65"/>
      <c r="WFR121" s="65"/>
      <c r="WFS121" s="65"/>
      <c r="WFT121" s="65"/>
      <c r="WFU121" s="65"/>
      <c r="WFV121" s="65"/>
      <c r="WFW121" s="65"/>
      <c r="WFX121" s="65"/>
      <c r="WFY121" s="65"/>
      <c r="WFZ121" s="65"/>
      <c r="WGA121" s="65"/>
      <c r="WGB121" s="65"/>
      <c r="WGC121" s="65"/>
      <c r="WGD121" s="65"/>
      <c r="WGE121" s="65"/>
      <c r="WGF121" s="65"/>
      <c r="WGG121" s="65"/>
      <c r="WGH121" s="65"/>
      <c r="WGI121" s="65"/>
      <c r="WGJ121" s="65"/>
      <c r="WGK121" s="65"/>
      <c r="WGL121" s="65"/>
      <c r="WGM121" s="65"/>
      <c r="WGN121" s="65"/>
      <c r="WGO121" s="65"/>
      <c r="WGP121" s="65"/>
      <c r="WGQ121" s="65"/>
      <c r="WGR121" s="65"/>
      <c r="WGS121" s="65"/>
      <c r="WGT121" s="65"/>
      <c r="WGU121" s="65"/>
      <c r="WGV121" s="65"/>
      <c r="WGW121" s="65"/>
      <c r="WGX121" s="65"/>
      <c r="WGY121" s="65"/>
      <c r="WGZ121" s="65"/>
      <c r="WHA121" s="65"/>
      <c r="WHB121" s="65"/>
      <c r="WHC121" s="65"/>
      <c r="WHD121" s="65"/>
      <c r="WHE121" s="65"/>
      <c r="WHF121" s="65"/>
      <c r="WHG121" s="65"/>
      <c r="WHH121" s="65"/>
      <c r="WHI121" s="65"/>
      <c r="WHJ121" s="65"/>
      <c r="WHK121" s="65"/>
      <c r="WHL121" s="65"/>
      <c r="WHM121" s="65"/>
      <c r="WHN121" s="65"/>
      <c r="WHO121" s="65"/>
      <c r="WHP121" s="65"/>
      <c r="WHQ121" s="65"/>
      <c r="WHR121" s="65"/>
      <c r="WHS121" s="65"/>
      <c r="WHT121" s="65"/>
      <c r="WHU121" s="65"/>
      <c r="WHV121" s="65"/>
      <c r="WHW121" s="65"/>
      <c r="WHX121" s="65"/>
      <c r="WHY121" s="65"/>
      <c r="WHZ121" s="65"/>
      <c r="WIA121" s="65"/>
      <c r="WIB121" s="65"/>
      <c r="WIC121" s="65"/>
      <c r="WID121" s="65"/>
      <c r="WIE121" s="65"/>
      <c r="WIF121" s="65"/>
      <c r="WIG121" s="65"/>
      <c r="WIH121" s="65"/>
      <c r="WII121" s="65"/>
      <c r="WIJ121" s="65"/>
      <c r="WIK121" s="65"/>
      <c r="WIL121" s="65"/>
      <c r="WIM121" s="65"/>
      <c r="WIN121" s="65"/>
      <c r="WIO121" s="65"/>
      <c r="WIP121" s="65"/>
      <c r="WIQ121" s="65"/>
      <c r="WIR121" s="65"/>
      <c r="WIS121" s="65"/>
      <c r="WIT121" s="65"/>
      <c r="WIU121" s="65"/>
      <c r="WIV121" s="65"/>
      <c r="WIW121" s="65"/>
      <c r="WIX121" s="65"/>
      <c r="WIY121" s="65"/>
      <c r="WIZ121" s="65"/>
      <c r="WJA121" s="65"/>
      <c r="WJB121" s="65"/>
      <c r="WJC121" s="65"/>
      <c r="WJD121" s="65"/>
      <c r="WJE121" s="65"/>
      <c r="WJF121" s="65"/>
      <c r="WJG121" s="65"/>
      <c r="WJH121" s="65"/>
      <c r="WJI121" s="65"/>
      <c r="WJJ121" s="65"/>
      <c r="WJK121" s="65"/>
      <c r="WJL121" s="65"/>
      <c r="WJM121" s="65"/>
      <c r="WJN121" s="65"/>
      <c r="WJO121" s="65"/>
      <c r="WJP121" s="65"/>
      <c r="WJQ121" s="65"/>
      <c r="WJR121" s="65"/>
      <c r="WJS121" s="65"/>
      <c r="WJT121" s="65"/>
      <c r="WJU121" s="65"/>
      <c r="WJV121" s="65"/>
      <c r="WJW121" s="65"/>
      <c r="WJX121" s="65"/>
      <c r="WJY121" s="65"/>
      <c r="WJZ121" s="65"/>
      <c r="WKA121" s="65"/>
      <c r="WKB121" s="65"/>
      <c r="WKC121" s="65"/>
      <c r="WKD121" s="65"/>
      <c r="WKE121" s="65"/>
      <c r="WKF121" s="65"/>
      <c r="WKG121" s="65"/>
      <c r="WKH121" s="65"/>
      <c r="WKI121" s="65"/>
      <c r="WKJ121" s="65"/>
      <c r="WKK121" s="65"/>
      <c r="WKL121" s="65"/>
      <c r="WKM121" s="65"/>
      <c r="WKN121" s="65"/>
      <c r="WKO121" s="65"/>
      <c r="WKP121" s="65"/>
      <c r="WKQ121" s="65"/>
      <c r="WKR121" s="65"/>
      <c r="WKS121" s="65"/>
      <c r="WKT121" s="65"/>
      <c r="WKU121" s="65"/>
      <c r="WKV121" s="65"/>
      <c r="WKW121" s="65"/>
      <c r="WKX121" s="65"/>
      <c r="WKY121" s="65"/>
      <c r="WKZ121" s="65"/>
      <c r="WLA121" s="65"/>
      <c r="WLB121" s="65"/>
      <c r="WLC121" s="65"/>
      <c r="WLD121" s="65"/>
      <c r="WLE121" s="65"/>
      <c r="WLF121" s="65"/>
      <c r="WLG121" s="65"/>
      <c r="WLH121" s="65"/>
      <c r="WLI121" s="65"/>
      <c r="WLJ121" s="65"/>
      <c r="WLK121" s="65"/>
      <c r="WLL121" s="65"/>
      <c r="WLM121" s="65"/>
      <c r="WLN121" s="65"/>
      <c r="WLO121" s="65"/>
      <c r="WLP121" s="65"/>
      <c r="WLQ121" s="65"/>
      <c r="WLR121" s="65"/>
      <c r="WLS121" s="65"/>
      <c r="WLT121" s="65"/>
      <c r="WLU121" s="65"/>
      <c r="WLV121" s="65"/>
      <c r="WLW121" s="65"/>
      <c r="WLX121" s="65"/>
      <c r="WLY121" s="65"/>
      <c r="WLZ121" s="65"/>
      <c r="WMA121" s="65"/>
      <c r="WMB121" s="65"/>
      <c r="WMC121" s="65"/>
      <c r="WMD121" s="65"/>
      <c r="WME121" s="65"/>
      <c r="WMF121" s="65"/>
      <c r="WMG121" s="65"/>
      <c r="WMH121" s="65"/>
      <c r="WMI121" s="65"/>
      <c r="WMJ121" s="65"/>
      <c r="WMK121" s="65"/>
      <c r="WML121" s="65"/>
      <c r="WMM121" s="65"/>
      <c r="WMN121" s="65"/>
      <c r="WMO121" s="65"/>
      <c r="WMP121" s="65"/>
      <c r="WMQ121" s="65"/>
      <c r="WMR121" s="65"/>
      <c r="WMS121" s="65"/>
      <c r="WMT121" s="65"/>
      <c r="WMU121" s="65"/>
      <c r="WMV121" s="65"/>
      <c r="WMW121" s="65"/>
      <c r="WMX121" s="65"/>
      <c r="WMY121" s="65"/>
      <c r="WMZ121" s="65"/>
      <c r="WNA121" s="65"/>
      <c r="WNB121" s="65"/>
      <c r="WNC121" s="65"/>
      <c r="WND121" s="65"/>
      <c r="WNE121" s="65"/>
      <c r="WNF121" s="65"/>
      <c r="WNG121" s="65"/>
      <c r="WNH121" s="65"/>
      <c r="WNI121" s="65"/>
      <c r="WNJ121" s="65"/>
      <c r="WNK121" s="65"/>
      <c r="WNL121" s="65"/>
      <c r="WNM121" s="65"/>
      <c r="WNN121" s="65"/>
      <c r="WNO121" s="65"/>
      <c r="WNP121" s="65"/>
      <c r="WNQ121" s="65"/>
      <c r="WNR121" s="65"/>
      <c r="WNS121" s="65"/>
      <c r="WNT121" s="65"/>
      <c r="WNU121" s="65"/>
      <c r="WNV121" s="65"/>
      <c r="WNW121" s="65"/>
      <c r="WNX121" s="65"/>
      <c r="WNY121" s="65"/>
      <c r="WNZ121" s="65"/>
      <c r="WOA121" s="65"/>
      <c r="WOB121" s="65"/>
      <c r="WOC121" s="65"/>
      <c r="WOD121" s="65"/>
      <c r="WOE121" s="65"/>
      <c r="WOF121" s="65"/>
      <c r="WOG121" s="65"/>
      <c r="WOH121" s="65"/>
      <c r="WOI121" s="65"/>
      <c r="WOJ121" s="65"/>
      <c r="WOK121" s="65"/>
      <c r="WOL121" s="65"/>
      <c r="WOM121" s="65"/>
      <c r="WON121" s="65"/>
      <c r="WOO121" s="65"/>
      <c r="WOP121" s="65"/>
      <c r="WOQ121" s="65"/>
      <c r="WOR121" s="65"/>
      <c r="WOS121" s="65"/>
      <c r="WOT121" s="65"/>
      <c r="WOU121" s="65"/>
      <c r="WOV121" s="65"/>
      <c r="WOW121" s="65"/>
      <c r="WOX121" s="65"/>
      <c r="WOY121" s="65"/>
      <c r="WOZ121" s="65"/>
      <c r="WPA121" s="65"/>
      <c r="WPB121" s="65"/>
      <c r="WPC121" s="65"/>
      <c r="WPD121" s="65"/>
      <c r="WPE121" s="65"/>
      <c r="WPF121" s="65"/>
      <c r="WPG121" s="65"/>
      <c r="WPH121" s="65"/>
      <c r="WPI121" s="65"/>
      <c r="WPJ121" s="65"/>
      <c r="WPK121" s="65"/>
      <c r="WPL121" s="65"/>
      <c r="WPM121" s="65"/>
      <c r="WPN121" s="65"/>
      <c r="WPO121" s="65"/>
      <c r="WPP121" s="65"/>
      <c r="WPQ121" s="65"/>
      <c r="WPR121" s="65"/>
      <c r="WPS121" s="65"/>
      <c r="WPT121" s="65"/>
      <c r="WPU121" s="65"/>
      <c r="WPV121" s="65"/>
      <c r="WPW121" s="65"/>
      <c r="WPX121" s="65"/>
      <c r="WPY121" s="65"/>
      <c r="WPZ121" s="65"/>
      <c r="WQA121" s="65"/>
      <c r="WQB121" s="65"/>
      <c r="WQC121" s="65"/>
      <c r="WQD121" s="65"/>
      <c r="WQE121" s="65"/>
      <c r="WQF121" s="65"/>
      <c r="WQG121" s="65"/>
      <c r="WQH121" s="65"/>
      <c r="WQI121" s="65"/>
      <c r="WQJ121" s="65"/>
      <c r="WQK121" s="65"/>
      <c r="WQL121" s="65"/>
      <c r="WQM121" s="65"/>
      <c r="WQN121" s="65"/>
      <c r="WQO121" s="65"/>
      <c r="WQP121" s="65"/>
      <c r="WQQ121" s="65"/>
      <c r="WQR121" s="65"/>
      <c r="WQS121" s="65"/>
      <c r="WQT121" s="65"/>
      <c r="WQU121" s="65"/>
      <c r="WQV121" s="65"/>
      <c r="WQW121" s="65"/>
      <c r="WQX121" s="65"/>
      <c r="WQY121" s="65"/>
      <c r="WQZ121" s="65"/>
      <c r="WRA121" s="65"/>
      <c r="WRB121" s="65"/>
      <c r="WRC121" s="65"/>
      <c r="WRD121" s="65"/>
      <c r="WRE121" s="65"/>
      <c r="WRF121" s="65"/>
      <c r="WRG121" s="65"/>
      <c r="WRH121" s="65"/>
      <c r="WRI121" s="65"/>
      <c r="WRJ121" s="65"/>
      <c r="WRK121" s="65"/>
      <c r="WRL121" s="65"/>
      <c r="WRM121" s="65"/>
      <c r="WRN121" s="65"/>
      <c r="WRO121" s="65"/>
      <c r="WRP121" s="65"/>
      <c r="WRQ121" s="65"/>
      <c r="WRR121" s="65"/>
      <c r="WRS121" s="65"/>
      <c r="WRT121" s="65"/>
      <c r="WRU121" s="65"/>
      <c r="WRV121" s="65"/>
      <c r="WRW121" s="65"/>
      <c r="WRX121" s="65"/>
      <c r="WRY121" s="65"/>
      <c r="WRZ121" s="65"/>
      <c r="WSA121" s="65"/>
      <c r="WSB121" s="65"/>
      <c r="WSC121" s="65"/>
      <c r="WSD121" s="65"/>
      <c r="WSE121" s="65"/>
      <c r="WSF121" s="65"/>
      <c r="WSG121" s="65"/>
      <c r="WSH121" s="65"/>
      <c r="WSI121" s="65"/>
      <c r="WSJ121" s="65"/>
      <c r="WSK121" s="65"/>
      <c r="WSL121" s="65"/>
      <c r="WSM121" s="65"/>
      <c r="WSN121" s="65"/>
      <c r="WSO121" s="65"/>
      <c r="WSP121" s="65"/>
      <c r="WSQ121" s="65"/>
      <c r="WSR121" s="65"/>
      <c r="WSS121" s="65"/>
      <c r="WST121" s="65"/>
      <c r="WSU121" s="65"/>
      <c r="WSV121" s="65"/>
      <c r="WSW121" s="65"/>
      <c r="WSX121" s="65"/>
      <c r="WSY121" s="65"/>
      <c r="WSZ121" s="65"/>
      <c r="WTA121" s="65"/>
      <c r="WTB121" s="65"/>
      <c r="WTC121" s="65"/>
      <c r="WTD121" s="65"/>
      <c r="WTE121" s="65"/>
      <c r="WTF121" s="65"/>
      <c r="WTG121" s="65"/>
      <c r="WTH121" s="65"/>
      <c r="WTI121" s="65"/>
      <c r="WTJ121" s="65"/>
      <c r="WTK121" s="65"/>
      <c r="WTL121" s="65"/>
      <c r="WTM121" s="65"/>
      <c r="WTN121" s="65"/>
      <c r="WTO121" s="65"/>
      <c r="WTP121" s="65"/>
      <c r="WTQ121" s="65"/>
      <c r="WTR121" s="65"/>
      <c r="WTS121" s="65"/>
      <c r="WTT121" s="65"/>
      <c r="WTU121" s="65"/>
      <c r="WTV121" s="65"/>
      <c r="WTW121" s="65"/>
      <c r="WTX121" s="65"/>
      <c r="WTY121" s="65"/>
      <c r="WTZ121" s="65"/>
      <c r="WUA121" s="65"/>
      <c r="WUB121" s="65"/>
      <c r="WUC121" s="65"/>
      <c r="WUD121" s="65"/>
      <c r="WUE121" s="65"/>
      <c r="WUF121" s="65"/>
      <c r="WUG121" s="65"/>
      <c r="WUH121" s="65"/>
      <c r="WUI121" s="65"/>
      <c r="WUJ121" s="65"/>
      <c r="WUK121" s="65"/>
      <c r="WUL121" s="65"/>
      <c r="WUM121" s="65"/>
      <c r="WUN121" s="65"/>
      <c r="WUO121" s="65"/>
      <c r="WUP121" s="65"/>
      <c r="WUQ121" s="65"/>
      <c r="WUR121" s="65"/>
      <c r="WUS121" s="65"/>
      <c r="WUT121" s="65"/>
      <c r="WUU121" s="65"/>
      <c r="WUV121" s="65"/>
      <c r="WUW121" s="65"/>
      <c r="WUX121" s="65"/>
      <c r="WUY121" s="65"/>
      <c r="WUZ121" s="65"/>
      <c r="WVA121" s="65"/>
      <c r="WVB121" s="65"/>
      <c r="WVC121" s="65"/>
      <c r="WVD121" s="65"/>
      <c r="WVE121" s="65"/>
      <c r="WVF121" s="65"/>
      <c r="WVG121" s="65"/>
      <c r="WVH121" s="65"/>
      <c r="WVI121" s="65"/>
      <c r="WVJ121" s="65"/>
      <c r="WVK121" s="65"/>
      <c r="WVL121" s="65"/>
      <c r="WVM121" s="65"/>
      <c r="WVN121" s="65"/>
      <c r="WVO121" s="65"/>
      <c r="WVP121" s="65"/>
      <c r="WVQ121" s="65"/>
      <c r="WVR121" s="65"/>
      <c r="WVS121" s="65"/>
      <c r="WVT121" s="65"/>
      <c r="WVU121" s="65"/>
      <c r="WVV121" s="65"/>
      <c r="WVW121" s="65"/>
      <c r="WVX121" s="65"/>
      <c r="WVY121" s="65"/>
      <c r="WVZ121" s="65"/>
      <c r="WWA121" s="65"/>
      <c r="WWB121" s="65"/>
      <c r="WWC121" s="65"/>
      <c r="WWD121" s="65"/>
      <c r="WWE121" s="65"/>
      <c r="WWF121" s="65"/>
      <c r="WWG121" s="65"/>
      <c r="WWH121" s="65"/>
      <c r="WWI121" s="65"/>
      <c r="WWJ121" s="65"/>
      <c r="WWK121" s="65"/>
      <c r="WWL121" s="65"/>
      <c r="WWM121" s="65"/>
      <c r="WWN121" s="65"/>
      <c r="WWO121" s="65"/>
      <c r="WWP121" s="65"/>
      <c r="WWQ121" s="65"/>
      <c r="WWR121" s="65"/>
      <c r="WWS121" s="65"/>
      <c r="WWT121" s="65"/>
      <c r="WWU121" s="65"/>
      <c r="WWV121" s="65"/>
      <c r="WWW121" s="65"/>
      <c r="WWX121" s="65"/>
      <c r="WWY121" s="65"/>
      <c r="WWZ121" s="65"/>
      <c r="WXA121" s="65"/>
      <c r="WXB121" s="65"/>
      <c r="WXC121" s="65"/>
      <c r="WXD121" s="65"/>
      <c r="WXE121" s="65"/>
      <c r="WXF121" s="65"/>
      <c r="WXG121" s="65"/>
      <c r="WXH121" s="65"/>
      <c r="WXI121" s="65"/>
      <c r="WXJ121" s="65"/>
      <c r="WXK121" s="65"/>
      <c r="WXL121" s="65"/>
      <c r="WXM121" s="65"/>
      <c r="WXN121" s="65"/>
      <c r="WXO121" s="65"/>
      <c r="WXP121" s="65"/>
      <c r="WXQ121" s="65"/>
      <c r="WXR121" s="65"/>
      <c r="WXS121" s="65"/>
      <c r="WXT121" s="65"/>
      <c r="WXU121" s="65"/>
      <c r="WXV121" s="65"/>
      <c r="WXW121" s="65"/>
      <c r="WXX121" s="65"/>
      <c r="WXY121" s="65"/>
      <c r="WXZ121" s="65"/>
      <c r="WYA121" s="65"/>
      <c r="WYB121" s="65"/>
      <c r="WYC121" s="65"/>
      <c r="WYD121" s="65"/>
      <c r="WYE121" s="65"/>
      <c r="WYF121" s="65"/>
      <c r="WYG121" s="65"/>
      <c r="WYH121" s="65"/>
      <c r="WYI121" s="65"/>
      <c r="WYJ121" s="65"/>
      <c r="WYK121" s="65"/>
      <c r="WYL121" s="65"/>
      <c r="WYM121" s="65"/>
      <c r="WYN121" s="65"/>
      <c r="WYO121" s="65"/>
      <c r="WYP121" s="65"/>
      <c r="WYQ121" s="65"/>
      <c r="WYR121" s="65"/>
      <c r="WYS121" s="65"/>
      <c r="WYT121" s="65"/>
      <c r="WYU121" s="65"/>
      <c r="WYV121" s="65"/>
      <c r="WYW121" s="65"/>
      <c r="WYX121" s="65"/>
      <c r="WYY121" s="65"/>
      <c r="WYZ121" s="65"/>
      <c r="WZA121" s="65"/>
      <c r="WZB121" s="65"/>
      <c r="WZC121" s="65"/>
      <c r="WZD121" s="65"/>
      <c r="WZE121" s="65"/>
      <c r="WZF121" s="65"/>
      <c r="WZG121" s="65"/>
      <c r="WZH121" s="65"/>
      <c r="WZI121" s="65"/>
      <c r="WZJ121" s="65"/>
      <c r="WZK121" s="65"/>
      <c r="WZL121" s="65"/>
      <c r="WZM121" s="65"/>
      <c r="WZN121" s="65"/>
      <c r="WZO121" s="65"/>
      <c r="WZP121" s="65"/>
      <c r="WZQ121" s="65"/>
      <c r="WZR121" s="65"/>
      <c r="WZS121" s="65"/>
      <c r="WZT121" s="65"/>
      <c r="WZU121" s="65"/>
      <c r="WZV121" s="65"/>
      <c r="WZW121" s="65"/>
      <c r="WZX121" s="65"/>
      <c r="WZY121" s="65"/>
      <c r="WZZ121" s="65"/>
      <c r="XAA121" s="65"/>
      <c r="XAB121" s="65"/>
      <c r="XAC121" s="65"/>
      <c r="XAD121" s="65"/>
      <c r="XAE121" s="65"/>
      <c r="XAF121" s="65"/>
      <c r="XAG121" s="65"/>
      <c r="XAH121" s="65"/>
      <c r="XAI121" s="65"/>
      <c r="XAJ121" s="65"/>
      <c r="XAK121" s="65"/>
      <c r="XAL121" s="65"/>
      <c r="XAM121" s="65"/>
      <c r="XAN121" s="65"/>
      <c r="XAO121" s="65"/>
      <c r="XAP121" s="65"/>
      <c r="XAQ121" s="65"/>
      <c r="XAR121" s="65"/>
      <c r="XAS121" s="65"/>
      <c r="XAT121" s="65"/>
      <c r="XAU121" s="65"/>
      <c r="XAV121" s="65"/>
      <c r="XAW121" s="65"/>
      <c r="XAX121" s="65"/>
      <c r="XAY121" s="65"/>
      <c r="XAZ121" s="65"/>
      <c r="XBA121" s="65"/>
      <c r="XBB121" s="65"/>
      <c r="XBC121" s="65"/>
      <c r="XBD121" s="65"/>
      <c r="XBE121" s="65"/>
      <c r="XBF121" s="65"/>
      <c r="XBG121" s="65"/>
      <c r="XBH121" s="65"/>
      <c r="XBI121" s="65"/>
      <c r="XBJ121" s="65"/>
      <c r="XBK121" s="65"/>
      <c r="XBL121" s="65"/>
      <c r="XBM121" s="65"/>
      <c r="XBN121" s="65"/>
      <c r="XBO121" s="65"/>
      <c r="XBP121" s="65"/>
      <c r="XBQ121" s="65"/>
      <c r="XBR121" s="65"/>
      <c r="XBS121" s="65"/>
      <c r="XBT121" s="65"/>
      <c r="XBU121" s="65"/>
      <c r="XBV121" s="65"/>
      <c r="XBW121" s="65"/>
      <c r="XBX121" s="65"/>
      <c r="XBY121" s="65"/>
      <c r="XBZ121" s="65"/>
      <c r="XCA121" s="65"/>
      <c r="XCB121" s="65"/>
      <c r="XCC121" s="65"/>
      <c r="XCD121" s="65"/>
      <c r="XCE121" s="65"/>
      <c r="XCF121" s="65"/>
      <c r="XCG121" s="65"/>
      <c r="XCH121" s="65"/>
      <c r="XCI121" s="65"/>
      <c r="XCJ121" s="65"/>
      <c r="XCK121" s="65"/>
      <c r="XCL121" s="65"/>
      <c r="XCM121" s="65"/>
      <c r="XCN121" s="65"/>
      <c r="XCO121" s="65"/>
      <c r="XCP121" s="65"/>
      <c r="XCQ121" s="65"/>
      <c r="XCR121" s="65"/>
      <c r="XCS121" s="65"/>
      <c r="XCT121" s="65"/>
      <c r="XCU121" s="65"/>
      <c r="XCV121" s="65"/>
      <c r="XCW121" s="65"/>
      <c r="XCX121" s="65"/>
      <c r="XCY121" s="65"/>
      <c r="XCZ121" s="65"/>
      <c r="XDA121" s="65"/>
      <c r="XDB121" s="65"/>
      <c r="XDC121" s="65"/>
      <c r="XDD121" s="65"/>
      <c r="XDE121" s="65"/>
      <c r="XDF121" s="65"/>
      <c r="XDG121" s="65"/>
      <c r="XDH121" s="65"/>
      <c r="XDI121" s="65"/>
      <c r="XDJ121" s="65"/>
      <c r="XDK121" s="65"/>
      <c r="XDL121" s="65"/>
      <c r="XDM121" s="65"/>
      <c r="XDN121" s="65"/>
      <c r="XDO121" s="65"/>
      <c r="XDP121" s="65"/>
      <c r="XDQ121" s="65"/>
      <c r="XDR121" s="65"/>
      <c r="XDS121" s="65"/>
      <c r="XDT121" s="65"/>
      <c r="XDU121" s="65"/>
      <c r="XDV121" s="65"/>
      <c r="XDW121" s="65"/>
      <c r="XDX121" s="65"/>
      <c r="XDY121" s="65"/>
      <c r="XDZ121" s="65"/>
      <c r="XEA121" s="65"/>
      <c r="XEB121" s="65"/>
      <c r="XEC121" s="65"/>
      <c r="XED121" s="65"/>
      <c r="XEE121" s="65"/>
      <c r="XEF121" s="65"/>
      <c r="XEG121" s="65"/>
      <c r="XEH121" s="65"/>
      <c r="XEI121" s="65"/>
      <c r="XEJ121" s="65"/>
      <c r="XEK121" s="65"/>
      <c r="XEL121" s="65"/>
      <c r="XEM121" s="65"/>
      <c r="XEN121" s="65"/>
      <c r="XEO121" s="65"/>
      <c r="XEP121" s="65"/>
      <c r="XEQ121" s="65"/>
      <c r="XER121" s="65"/>
      <c r="XES121" s="65"/>
      <c r="XET121" s="65"/>
      <c r="XEU121" s="65"/>
      <c r="XEV121" s="65"/>
      <c r="XEW121" s="65"/>
      <c r="XEX121" s="65"/>
      <c r="XEY121" s="65"/>
      <c r="XEZ121" s="65"/>
    </row>
    <row r="122" spans="1:16380" x14ac:dyDescent="0.25">
      <c r="A122" t="s">
        <v>340</v>
      </c>
      <c r="B122" t="str">
        <f>VLOOKUP(A122,'Korrigerade leveranser GD'!$A$4:$B$482,2,FALSE)</f>
        <v>Stockholm</v>
      </c>
      <c r="C122" s="10"/>
      <c r="D122" s="10"/>
      <c r="E122" s="10"/>
      <c r="F122" s="10">
        <v>0</v>
      </c>
      <c r="G122" s="10">
        <v>27.753</v>
      </c>
      <c r="H122" s="10">
        <v>0</v>
      </c>
      <c r="I122" s="10">
        <v>5.0609999999999999</v>
      </c>
      <c r="J122" s="10">
        <v>30.920999999999999</v>
      </c>
      <c r="K122" s="10">
        <v>0</v>
      </c>
      <c r="L122" s="10">
        <v>14.919371551248975</v>
      </c>
      <c r="M122" s="10">
        <v>40.222999999999999</v>
      </c>
      <c r="N122" s="10">
        <v>36</v>
      </c>
      <c r="O122" s="10">
        <v>37.1</v>
      </c>
      <c r="P122" s="10">
        <v>45.5</v>
      </c>
      <c r="Q122" s="10">
        <v>53.9</v>
      </c>
      <c r="R122" s="10">
        <v>43.1</v>
      </c>
      <c r="S122" s="10">
        <f>IFERROR(VLOOKUP('Leveranser per nät'!A122,'lev 2012'!$B$2:$E$445,4,FALSE),"")</f>
        <v>50</v>
      </c>
      <c r="T122" s="10">
        <f>IFERROR(VLOOKUP('Leveranser per nät'!A122,'lev 2013'!$B$2:$E$445,4,FALSE),"")</f>
        <v>52.21</v>
      </c>
      <c r="U122" s="10">
        <f>IFERROR(VLOOKUP('Leveranser per nät'!A122,'lev 2014'!$B$2:$E$432,4,FALSE),"")</f>
        <v>49.6</v>
      </c>
      <c r="V122" s="10">
        <f>IFERROR(INDEX(Levererat_2015[Leveranser till eget nät],MATCH($A122,Levererat_2015[Indexnamn],0)),"")</f>
        <v>46.1</v>
      </c>
      <c r="W122" s="10">
        <f>IFERROR(INDEX(Levererat_2016[Leveranser till eget nät],MATCH($A122,Levererat_2016[Indexnamn],0)),"")</f>
        <v>54.45</v>
      </c>
      <c r="X122" s="10">
        <f>IFERROR(INDEX(Tabell4[Leveranser till eget nät],MATCH('Leveranser per nät'!A122,Tabell4[[Finns i listan ]],0)),"")</f>
        <v>63.7</v>
      </c>
      <c r="Y122" s="10">
        <f>IFERROR(INDEX(Tabell6[Kolumn1],MATCH($A122,Tabell6[Indexnmamn],0)),"")</f>
        <v>67.75</v>
      </c>
      <c r="Z122" s="10">
        <v>65.201999999999998</v>
      </c>
      <c r="AA122" s="10">
        <v>59.941000000000003</v>
      </c>
      <c r="AB122" s="10">
        <f>VLOOKUP(A122,Tabell9[[Indexnamn]:[Kolumn1]],3,FALSE)</f>
        <v>73.052999999999997</v>
      </c>
      <c r="AC122" s="10">
        <f>VLOOKUP($A122,'Lev 2022'!$K$2:$L$474,2,FALSE)</f>
        <v>68.825000000000003</v>
      </c>
      <c r="AG122" s="2">
        <f t="shared" si="3"/>
        <v>-4.2279999999999944</v>
      </c>
      <c r="AH122" s="103">
        <f t="shared" si="4"/>
        <v>-5.787578881086327E-2</v>
      </c>
    </row>
    <row r="123" spans="1:16380" x14ac:dyDescent="0.25">
      <c r="A123" t="s">
        <v>137</v>
      </c>
      <c r="B123" t="str">
        <f>VLOOKUP(A123,'Korrigerade leveranser GD'!$A$4:$B$482,2,FALSE)</f>
        <v>Gällivare</v>
      </c>
      <c r="C123" s="10">
        <v>119</v>
      </c>
      <c r="D123" s="10">
        <v>119.42</v>
      </c>
      <c r="E123" s="10">
        <v>134</v>
      </c>
      <c r="F123" s="10">
        <v>129</v>
      </c>
      <c r="G123" s="10">
        <v>119</v>
      </c>
      <c r="H123" s="10">
        <v>125</v>
      </c>
      <c r="I123" s="10">
        <v>125</v>
      </c>
      <c r="J123" s="10">
        <v>129</v>
      </c>
      <c r="K123" s="10">
        <v>135.97</v>
      </c>
      <c r="L123" s="10">
        <v>135.97</v>
      </c>
      <c r="M123" s="10">
        <v>135.56</v>
      </c>
      <c r="N123" s="10">
        <v>135.309</v>
      </c>
      <c r="O123" s="10">
        <v>142</v>
      </c>
      <c r="P123" s="10">
        <v>148</v>
      </c>
      <c r="Q123" s="10">
        <v>156</v>
      </c>
      <c r="R123" s="10">
        <v>148</v>
      </c>
      <c r="S123" s="10">
        <f>IFERROR(VLOOKUP('Leveranser per nät'!A123,'lev 2012'!$B$2:$E$445,4,FALSE),"")</f>
        <v>167</v>
      </c>
      <c r="T123" s="10">
        <f>IFERROR(VLOOKUP('Leveranser per nät'!A123,'lev 2013'!$B$2:$E$445,4,FALSE),"")</f>
        <v>154.19999999999999</v>
      </c>
      <c r="U123" s="10">
        <f>IFERROR(VLOOKUP('Leveranser per nät'!A123,'lev 2014'!$B$2:$E$432,4,FALSE),"")</f>
        <v>155</v>
      </c>
      <c r="V123" s="10">
        <f>IFERROR(INDEX(Levererat_2015[Leveranser till eget nät],MATCH($A123,Levererat_2015[Indexnamn],0)),"")</f>
        <v>152.80000000000001</v>
      </c>
      <c r="W123" s="10">
        <f>IFERROR(INDEX(Levererat_2016[Leveranser till eget nät],MATCH($A123,Levererat_2016[Indexnamn],0)),"")</f>
        <v>157</v>
      </c>
      <c r="X123" s="10">
        <v>161.6</v>
      </c>
      <c r="Y123" s="10">
        <f>IFERROR(INDEX(Tabell6[Kolumn1],MATCH($A123,Tabell6[Indexnmamn],0)),"")</f>
        <v>162</v>
      </c>
      <c r="Z123" s="10">
        <v>165</v>
      </c>
      <c r="AA123" s="10">
        <v>145</v>
      </c>
      <c r="AB123" s="10">
        <v>152.52000000000001</v>
      </c>
      <c r="AC123" s="10">
        <f>VLOOKUP($A123,'Lev 2022'!$K$2:$L$474,2,FALSE)</f>
        <v>144.08000000000001</v>
      </c>
      <c r="AG123" s="2">
        <f t="shared" si="3"/>
        <v>-8.4399999999999977</v>
      </c>
      <c r="AH123" s="103">
        <f t="shared" si="4"/>
        <v>-5.5337004982953034E-2</v>
      </c>
    </row>
    <row r="124" spans="1:16380" x14ac:dyDescent="0.25">
      <c r="A124" t="s">
        <v>322</v>
      </c>
      <c r="B124" t="str">
        <f>VLOOKUP(A124,'Korrigerade leveranser GD'!$A$4:$B$482,2,FALSE)</f>
        <v>Ulricehamn</v>
      </c>
      <c r="C124" s="10"/>
      <c r="D124" s="10"/>
      <c r="E124" s="10"/>
      <c r="F124" s="10"/>
      <c r="G124" s="10"/>
      <c r="H124" s="10"/>
      <c r="I124" s="10"/>
      <c r="J124" s="10"/>
      <c r="K124" s="10">
        <v>0</v>
      </c>
      <c r="L124" s="10">
        <v>2.2320000000000002</v>
      </c>
      <c r="M124" s="10">
        <v>2.004</v>
      </c>
      <c r="N124" s="10">
        <v>2.1589999999999998</v>
      </c>
      <c r="O124" s="10">
        <v>2.02</v>
      </c>
      <c r="P124" s="10">
        <v>2.1459999999999999</v>
      </c>
      <c r="Q124" s="10">
        <v>2.5649999999999999</v>
      </c>
      <c r="R124" s="10">
        <v>2.1429999999999998</v>
      </c>
      <c r="S124" s="10">
        <f>IFERROR(VLOOKUP('Leveranser per nät'!A124,'lev 2012'!$B$2:$E$445,4,FALSE),"")</f>
        <v>2.37</v>
      </c>
      <c r="T124" s="10">
        <f>IFERROR(VLOOKUP('Leveranser per nät'!A124,'lev 2013'!$B$2:$E$445,4,FALSE),"")</f>
        <v>2.29</v>
      </c>
      <c r="U124" s="10">
        <f>IFERROR(VLOOKUP('Leveranser per nät'!A124,'lev 2014'!$B$2:$E$432,4,FALSE),"")</f>
        <v>2.1389999999999998</v>
      </c>
      <c r="V124" s="10">
        <f>IFERROR(INDEX(Levererat_2015[Leveranser till eget nät],MATCH($A124,Levererat_2015[Indexnamn],0)),"")</f>
        <v>2.2759999999999998</v>
      </c>
      <c r="W124" s="10">
        <f>IFERROR(INDEX(Levererat_2016[Leveranser till eget nät],MATCH($A124,Levererat_2016[Indexnamn],0)),"")</f>
        <v>2.3250000000000002</v>
      </c>
      <c r="X124" s="10">
        <f>IFERROR(INDEX(Tabell4[Leveranser till eget nät],MATCH('Leveranser per nät'!A124,Tabell4[[Finns i listan ]],0)),"")</f>
        <v>2.2490000000000001</v>
      </c>
      <c r="Y124" s="10">
        <f>IFERROR(INDEX(Tabell6[Kolumn1],MATCH($A124,Tabell6[Indexnmamn],0)),"")</f>
        <v>2.161</v>
      </c>
      <c r="Z124" s="10">
        <v>2.1240000000000001</v>
      </c>
      <c r="AA124" s="10">
        <v>2.0379999999999998</v>
      </c>
      <c r="AB124" s="10">
        <f>VLOOKUP(A124,Tabell9[[Indexnamn]:[Kolumn1]],3,FALSE)</f>
        <v>2.375</v>
      </c>
      <c r="AC124" s="10">
        <f>VLOOKUP($A124,'Lev 2022'!$K$2:$L$474,2,FALSE)</f>
        <v>2.2360000000000002</v>
      </c>
      <c r="AG124" s="2">
        <f t="shared" si="3"/>
        <v>-0.13899999999999979</v>
      </c>
      <c r="AH124" s="103">
        <f t="shared" si="4"/>
        <v>-5.8526315789473593E-2</v>
      </c>
    </row>
    <row r="125" spans="1:16380" x14ac:dyDescent="0.25">
      <c r="A125" t="s">
        <v>138</v>
      </c>
      <c r="B125" t="str">
        <f>VLOOKUP(A125,'Korrigerade leveranser GD'!$A$4:$B$482,2,FALSE)</f>
        <v>Gävle</v>
      </c>
      <c r="C125" s="10">
        <v>720</v>
      </c>
      <c r="D125" s="10">
        <v>603.63</v>
      </c>
      <c r="E125" s="10">
        <v>626</v>
      </c>
      <c r="F125" s="10">
        <v>661</v>
      </c>
      <c r="G125" s="10">
        <v>661</v>
      </c>
      <c r="H125" s="10">
        <v>677.22</v>
      </c>
      <c r="I125" s="10">
        <v>696</v>
      </c>
      <c r="J125" s="10">
        <v>715.78</v>
      </c>
      <c r="K125" s="10">
        <v>717.36</v>
      </c>
      <c r="L125" s="10">
        <v>691.45</v>
      </c>
      <c r="M125" s="10">
        <v>662</v>
      </c>
      <c r="N125" s="10">
        <v>677</v>
      </c>
      <c r="O125" s="10">
        <v>662.57299999999998</v>
      </c>
      <c r="P125" s="10">
        <v>700</v>
      </c>
      <c r="Q125" s="10">
        <v>814</v>
      </c>
      <c r="R125" s="10">
        <v>673.8</v>
      </c>
      <c r="S125" s="10">
        <f>IFERROR(VLOOKUP('Leveranser per nät'!A125,'lev 2012'!$B$2:$E$445,4,FALSE),"")</f>
        <v>732</v>
      </c>
      <c r="T125" s="10">
        <f>IFERROR(VLOOKUP('Leveranser per nät'!A125,'lev 2013'!$B$2:$E$445,4,FALSE),"")</f>
        <v>702.1</v>
      </c>
      <c r="U125" s="10">
        <f>IFERROR(VLOOKUP('Leveranser per nät'!A125,'lev 2014'!$B$2:$E$432,4,FALSE),"")</f>
        <v>650.6</v>
      </c>
      <c r="V125" s="10">
        <f>IFERROR(INDEX(Levererat_2015[Leveranser till eget nät],MATCH($A125,Levererat_2015[Indexnamn],0)),"")</f>
        <v>647.70000000000005</v>
      </c>
      <c r="W125" s="10">
        <f>IFERROR(INDEX(Levererat_2016[Leveranser till eget nät],MATCH($A125,Levererat_2016[Indexnamn],0)),"")</f>
        <v>688.8</v>
      </c>
      <c r="X125" s="10">
        <f>IFERROR(INDEX(Tabell4[Leveranser till eget nät],MATCH('Leveranser per nät'!A125,Tabell4[[Finns i listan ]],0)),"")</f>
        <v>684.8</v>
      </c>
      <c r="Y125" s="10">
        <f>IFERROR(INDEX(Tabell6[Kolumn1],MATCH($A125,Tabell6[Indexnmamn],0)),"")</f>
        <v>680</v>
      </c>
      <c r="Z125" s="10">
        <v>685</v>
      </c>
      <c r="AA125" s="10">
        <v>606.29999999999995</v>
      </c>
      <c r="AB125" s="10">
        <f>VLOOKUP(A125,Tabell9[[Indexnamn]:[Kolumn1]],3,FALSE)</f>
        <v>712.3</v>
      </c>
      <c r="AC125" s="10">
        <f>VLOOKUP($A125,'Lev 2022'!$K$2:$L$474,2,FALSE)</f>
        <v>662.10699999999997</v>
      </c>
      <c r="AG125" s="2">
        <f t="shared" si="3"/>
        <v>-50.192999999999984</v>
      </c>
      <c r="AH125" s="103">
        <f t="shared" si="4"/>
        <v>-7.0466095746174351E-2</v>
      </c>
    </row>
    <row r="126" spans="1:16380" x14ac:dyDescent="0.25">
      <c r="A126" t="s">
        <v>966</v>
      </c>
      <c r="B126" t="str">
        <f>VLOOKUP(A126,'Korrigerade leveranser GD'!$A$4:$B$482,2,FALSE)</f>
        <v>Göteborg</v>
      </c>
      <c r="C126" s="10">
        <v>3707</v>
      </c>
      <c r="D126" s="10">
        <v>3703.72</v>
      </c>
      <c r="E126" s="10">
        <v>3702.384</v>
      </c>
      <c r="F126" s="10">
        <v>3825</v>
      </c>
      <c r="G126" s="10">
        <v>3819</v>
      </c>
      <c r="H126" s="10">
        <v>3835</v>
      </c>
      <c r="I126" s="10">
        <v>3841</v>
      </c>
      <c r="J126" s="10">
        <v>3695</v>
      </c>
      <c r="K126" s="10">
        <v>3711.2</v>
      </c>
      <c r="L126" s="10">
        <v>3719.204077849251</v>
      </c>
      <c r="M126" s="10">
        <v>3709</v>
      </c>
      <c r="N126" s="10">
        <v>3656</v>
      </c>
      <c r="O126" s="10">
        <v>3661</v>
      </c>
      <c r="P126" s="10">
        <v>3425</v>
      </c>
      <c r="Q126" s="10">
        <v>3990</v>
      </c>
      <c r="R126" s="10">
        <v>3671.9415307420099</v>
      </c>
      <c r="S126" s="10">
        <v>3679.7</v>
      </c>
      <c r="T126" s="10">
        <v>3533.9645999999998</v>
      </c>
      <c r="U126" s="10">
        <v>3098.4430000000002</v>
      </c>
      <c r="V126" s="10">
        <v>3252.43</v>
      </c>
      <c r="W126" s="10">
        <v>3332.1000000000004</v>
      </c>
      <c r="X126" s="10">
        <v>3444.5699999999997</v>
      </c>
      <c r="Y126" s="10">
        <v>3138.4300000000003</v>
      </c>
      <c r="Z126" s="10">
        <v>2938.84</v>
      </c>
      <c r="AA126" s="10">
        <v>2928.6093700000001</v>
      </c>
      <c r="AB126" s="10">
        <f>VLOOKUP(A126,Tabell9[[Indexnamn]:[Kolumn1]],3,FALSE)</f>
        <v>3436.5840000000003</v>
      </c>
      <c r="AC126" s="10">
        <f>VLOOKUP($A126,'Lev 2022'!$K$2:$L$474,2,FALSE)</f>
        <v>3106.0250000000001</v>
      </c>
      <c r="AG126" s="2">
        <f t="shared" si="3"/>
        <v>-330.5590000000002</v>
      </c>
      <c r="AH126" s="103">
        <f t="shared" si="4"/>
        <v>-9.6188249727054587E-2</v>
      </c>
    </row>
    <row r="127" spans="1:16380" x14ac:dyDescent="0.25">
      <c r="A127" t="s">
        <v>139</v>
      </c>
      <c r="B127" t="str">
        <f>VLOOKUP(A127,'Korrigerade leveranser GD'!$A$4:$B$482,2,FALSE)</f>
        <v>Götene</v>
      </c>
      <c r="C127" s="10">
        <v>19</v>
      </c>
      <c r="D127" s="10">
        <v>16.739999999999998</v>
      </c>
      <c r="E127" s="10">
        <v>18</v>
      </c>
      <c r="F127" s="10">
        <v>15.519</v>
      </c>
      <c r="G127" s="10">
        <v>16.466999999999999</v>
      </c>
      <c r="H127" s="10">
        <v>19.759</v>
      </c>
      <c r="I127" s="10">
        <v>25.524999999999999</v>
      </c>
      <c r="J127" s="10">
        <v>23</v>
      </c>
      <c r="K127" s="10">
        <v>25.622</v>
      </c>
      <c r="L127" s="10">
        <v>28.135000000000002</v>
      </c>
      <c r="M127" s="10">
        <v>31.734000000000002</v>
      </c>
      <c r="N127" s="10">
        <v>30.027999999999999</v>
      </c>
      <c r="O127" s="10">
        <v>33.185000000000002</v>
      </c>
      <c r="P127" s="10">
        <v>33.603000000000002</v>
      </c>
      <c r="Q127" s="10">
        <v>40.9</v>
      </c>
      <c r="R127" s="10">
        <v>33.04</v>
      </c>
      <c r="S127" s="10">
        <f>IFERROR(VLOOKUP('Leveranser per nät'!A127,'lev 2012'!$B$2:$E$445,4,FALSE),"")</f>
        <v>34</v>
      </c>
      <c r="T127" s="10">
        <f>IFERROR(VLOOKUP('Leveranser per nät'!A127,'lev 2013'!$B$2:$E$445,4,FALSE),"")</f>
        <v>33.281999999999996</v>
      </c>
      <c r="U127" s="10">
        <f>IFERROR(VLOOKUP('Leveranser per nät'!A127,'lev 2014'!$B$2:$E$432,4,FALSE),"")</f>
        <v>114.6</v>
      </c>
      <c r="V127" s="10">
        <f>IFERROR(INDEX(Levererat_2015[Leveranser till eget nät],MATCH($A127,Levererat_2015[Indexnamn],0)),"")</f>
        <v>117</v>
      </c>
      <c r="W127" s="10">
        <f>IFERROR(INDEX(Levererat_2016[Leveranser till eget nät],MATCH($A127,Levererat_2016[Indexnamn],0)),"")</f>
        <v>119.2</v>
      </c>
      <c r="X127" s="10">
        <f>IFERROR(INDEX(Tabell4[Leveranser till eget nät],MATCH('Leveranser per nät'!A127,Tabell4[[Finns i listan ]],0)),"")</f>
        <v>117.6</v>
      </c>
      <c r="Y127" s="10">
        <f>IFERROR(INDEX(Tabell6[Kolumn1],MATCH($A127,Tabell6[Indexnmamn],0)),"")</f>
        <v>113.941</v>
      </c>
      <c r="Z127" s="10">
        <v>98.884</v>
      </c>
      <c r="AA127" s="10">
        <v>107.44799999999999</v>
      </c>
      <c r="AB127" s="10">
        <f>VLOOKUP(A127,Tabell9[[Indexnamn]:[Kolumn1]],3,FALSE)</f>
        <v>112.97</v>
      </c>
      <c r="AC127" s="10">
        <f>VLOOKUP($A127,'Lev 2022'!$K$2:$L$474,2,FALSE)</f>
        <v>110.8</v>
      </c>
      <c r="AG127" s="2">
        <f t="shared" si="3"/>
        <v>-2.1700000000000017</v>
      </c>
      <c r="AH127" s="103">
        <f t="shared" si="4"/>
        <v>-1.9208639461804036E-2</v>
      </c>
    </row>
    <row r="128" spans="1:16380" x14ac:dyDescent="0.25">
      <c r="A128" t="s">
        <v>141</v>
      </c>
      <c r="B128" t="str">
        <f>VLOOKUP(A128,'Korrigerade leveranser GD'!$A$4:$B$482,2,FALSE)</f>
        <v>Habo</v>
      </c>
      <c r="C128" s="10">
        <v>0</v>
      </c>
      <c r="D128" s="10">
        <v>5.63</v>
      </c>
      <c r="E128" s="10">
        <v>0</v>
      </c>
      <c r="F128" s="10">
        <v>0</v>
      </c>
      <c r="G128" s="10">
        <v>9</v>
      </c>
      <c r="H128" s="10">
        <v>10</v>
      </c>
      <c r="I128" s="10">
        <v>10</v>
      </c>
      <c r="J128" s="10">
        <v>12.221</v>
      </c>
      <c r="K128" s="10">
        <v>12.35</v>
      </c>
      <c r="L128" s="10">
        <v>13.685</v>
      </c>
      <c r="M128" s="10">
        <v>14.759</v>
      </c>
      <c r="N128" s="10">
        <v>15.269</v>
      </c>
      <c r="O128" s="10">
        <v>15.332000000000001</v>
      </c>
      <c r="P128" s="10">
        <v>16.344999999999999</v>
      </c>
      <c r="Q128" s="10">
        <v>21.4</v>
      </c>
      <c r="R128" s="10">
        <v>16</v>
      </c>
      <c r="S128" s="56">
        <f>R128+(T128-R128)/2</f>
        <v>16.7</v>
      </c>
      <c r="T128" s="10">
        <f>IFERROR(VLOOKUP('Leveranser per nät'!A128,'lev 2013'!$B$2:$E$445,4,FALSE),"")</f>
        <v>17.399999999999999</v>
      </c>
      <c r="U128" s="10">
        <f>IFERROR(VLOOKUP('Leveranser per nät'!A128,'lev 2014'!$B$2:$E$432,4,FALSE),"")</f>
        <v>18.8</v>
      </c>
      <c r="V128" s="10">
        <f>IFERROR(INDEX(Levererat_2015[Leveranser till eget nät],MATCH($A128,Levererat_2015[Indexnamn],0)),"")</f>
        <v>20</v>
      </c>
      <c r="W128" s="10">
        <f>IFERROR(INDEX(Levererat_2016[Leveranser till eget nät],MATCH($A128,Levererat_2016[Indexnamn],0)),"")</f>
        <v>20.2</v>
      </c>
      <c r="X128" s="10">
        <f>IFERROR(INDEX(Tabell4[Leveranser till eget nät],MATCH('Leveranser per nät'!A128,Tabell4[[Finns i listan ]],0)),"")</f>
        <v>20.8</v>
      </c>
      <c r="Y128" s="10">
        <f>IFERROR(INDEX(Tabell6[Kolumn1],MATCH($A128,Tabell6[Indexnmamn],0)),"")</f>
        <v>21.3</v>
      </c>
      <c r="Z128" s="10">
        <v>21.2</v>
      </c>
      <c r="AA128" s="69">
        <v>21.2</v>
      </c>
      <c r="AB128" s="10">
        <f>VLOOKUP(A128,Tabell9[[Indexnamn]:[Kolumn1]],3,FALSE)</f>
        <v>21</v>
      </c>
      <c r="AC128" s="10">
        <f>VLOOKUP($A128,'Lev 2022'!$K$2:$L$474,2,FALSE)</f>
        <v>26.8</v>
      </c>
      <c r="AG128" s="2">
        <f t="shared" si="3"/>
        <v>5.8000000000000007</v>
      </c>
      <c r="AH128" s="103">
        <f t="shared" si="4"/>
        <v>0.27619047619047621</v>
      </c>
    </row>
    <row r="129" spans="1:34" s="65" customFormat="1" x14ac:dyDescent="0.25">
      <c r="A129" s="65" t="s">
        <v>487</v>
      </c>
      <c r="B129" s="65" t="str">
        <f>VLOOKUP(A129,'Korrigerade leveranser GD'!$A$4:$B$482,2,FALSE)</f>
        <v>Gävle</v>
      </c>
      <c r="C129" s="68"/>
      <c r="D129" s="68"/>
      <c r="E129" s="68"/>
      <c r="F129" s="68"/>
      <c r="G129" s="68"/>
      <c r="H129" s="68"/>
      <c r="I129" s="68"/>
      <c r="J129" s="68"/>
      <c r="K129" s="68">
        <v>0</v>
      </c>
      <c r="L129" s="68">
        <v>1.0766</v>
      </c>
      <c r="M129" s="68">
        <v>0</v>
      </c>
      <c r="N129" s="68"/>
      <c r="O129" s="68"/>
      <c r="P129" s="68">
        <v>0</v>
      </c>
      <c r="Q129" s="68">
        <v>0.5</v>
      </c>
      <c r="R129" s="68">
        <v>0.4</v>
      </c>
      <c r="S129" s="68">
        <f>IFERROR(VLOOKUP('Leveranser per nät'!A129,'lev 2012'!$B$2:$E$445,4,FALSE),"")</f>
        <v>0.4</v>
      </c>
      <c r="T129" s="68" t="str">
        <f>IFERROR(VLOOKUP('Leveranser per nät'!A129,'lev 2013'!$B$2:$E$445,4,FALSE),"")</f>
        <v/>
      </c>
      <c r="U129" s="68" t="str">
        <f>IFERROR(VLOOKUP('Leveranser per nät'!A129,'lev 2014'!$B$2:$E$432,4,FALSE),"")</f>
        <v/>
      </c>
      <c r="V129" s="68" t="str">
        <f>IFERROR(INDEX(Levererat_2015[Leveranser till eget nät],MATCH($A129,Levererat_2015[Indexnamn],0)),"")</f>
        <v/>
      </c>
      <c r="W129" s="68" t="str">
        <f>IFERROR(INDEX(Levererat_2016[Leveranser till eget nät],MATCH($A129,Levererat_2016[Indexnamn],0)),"")</f>
        <v/>
      </c>
      <c r="X129" s="68" t="str">
        <f>IFERROR(INDEX(Tabell4[Leveranser till eget nät],MATCH('Leveranser per nät'!A129,Tabell4[[Finns i listan ]],0)),"")</f>
        <v/>
      </c>
      <c r="Y129" s="68" t="str">
        <f>IFERROR(INDEX(Tabell6[Kolumn1],MATCH($A129,Tabell6[Indexnmamn],0)),"")</f>
        <v/>
      </c>
      <c r="Z129" s="68"/>
      <c r="AA129" s="68" t="s">
        <v>779</v>
      </c>
      <c r="AB129" s="10"/>
      <c r="AC129" s="10"/>
      <c r="AD129"/>
      <c r="AE129"/>
      <c r="AG129" s="2">
        <f t="shared" si="3"/>
        <v>0</v>
      </c>
      <c r="AH129" s="103"/>
    </row>
    <row r="130" spans="1:34" x14ac:dyDescent="0.25">
      <c r="A130" t="s">
        <v>520</v>
      </c>
      <c r="B130" t="str">
        <f>VLOOKUP(A130,'Korrigerade leveranser GD'!$A$4:$B$482,2,FALSE)</f>
        <v>Hagfors</v>
      </c>
      <c r="C130" s="10"/>
      <c r="D130" s="10"/>
      <c r="E130" s="10"/>
      <c r="F130" s="10"/>
      <c r="G130" s="10"/>
      <c r="H130" s="10"/>
      <c r="I130" s="10"/>
      <c r="J130" s="10"/>
      <c r="K130" s="10"/>
      <c r="L130" s="10"/>
      <c r="M130" s="10"/>
      <c r="N130" s="10"/>
      <c r="O130" s="10"/>
      <c r="P130" s="10"/>
      <c r="Q130" s="10"/>
      <c r="R130" s="10"/>
      <c r="S130" s="10" t="str">
        <f>IFERROR(VLOOKUP('Leveranser per nät'!A130,'lev 2012'!$B$2:$E$445,4,FALSE),"")</f>
        <v/>
      </c>
      <c r="T130" s="10">
        <f>IFERROR(VLOOKUP('Leveranser per nät'!A130,'lev 2013'!$B$2:$E$445,4,FALSE),"")</f>
        <v>50.6</v>
      </c>
      <c r="U130" s="10">
        <f>IFERROR(VLOOKUP('Leveranser per nät'!A130,'lev 2014'!$B$2:$E$432,4,FALSE),"")</f>
        <v>45.3</v>
      </c>
      <c r="V130" s="10">
        <f>IFERROR(INDEX(Levererat_2015[Leveranser till eget nät],MATCH($A130,Levererat_2015[Indexnamn],0)),"")</f>
        <v>47.65</v>
      </c>
      <c r="W130" s="10">
        <f>IFERROR(INDEX(Levererat_2016[Leveranser till eget nät],MATCH($A130,Levererat_2016[Indexnamn],0)),"")</f>
        <v>50.8</v>
      </c>
      <c r="X130" s="10">
        <f>IFERROR(INDEX(Tabell4[Leveranser till eget nät],MATCH('Leveranser per nät'!A130,Tabell4[[Finns i listan ]],0)),"")</f>
        <v>51.01</v>
      </c>
      <c r="Y130" s="10">
        <f>IFERROR(INDEX(Tabell6[Kolumn1],MATCH($A130,Tabell6[Indexnmamn],0)),"")</f>
        <v>51.68</v>
      </c>
      <c r="Z130" s="10">
        <v>50.99</v>
      </c>
      <c r="AA130" s="10">
        <v>44.856999999999999</v>
      </c>
      <c r="AB130" s="10">
        <f>VLOOKUP(A130,Tabell9[[Indexnamn]:[Kolumn1]],3,FALSE)</f>
        <v>52.62</v>
      </c>
      <c r="AC130" s="10">
        <f>VLOOKUP($A130,'Lev 2022'!$K$2:$L$474,2,FALSE)</f>
        <v>48.96</v>
      </c>
      <c r="AG130" s="2">
        <f t="shared" si="3"/>
        <v>-3.6599999999999966</v>
      </c>
      <c r="AH130" s="103">
        <f t="shared" si="4"/>
        <v>-6.9555302166476568E-2</v>
      </c>
    </row>
    <row r="131" spans="1:34" s="65" customFormat="1" x14ac:dyDescent="0.25">
      <c r="A131" s="65" t="s">
        <v>208</v>
      </c>
      <c r="B131" s="65" t="str">
        <f>VLOOKUP(A131,'Korrigerade leveranser GD'!$A$4:$B$482,2,FALSE)</f>
        <v>Västerås</v>
      </c>
      <c r="C131" s="68">
        <v>99</v>
      </c>
      <c r="D131" s="68">
        <v>92.51</v>
      </c>
      <c r="E131" s="68">
        <v>98</v>
      </c>
      <c r="F131" s="68">
        <v>95</v>
      </c>
      <c r="G131" s="68">
        <v>89</v>
      </c>
      <c r="H131" s="68">
        <v>100</v>
      </c>
      <c r="I131" s="68">
        <v>102</v>
      </c>
      <c r="J131" s="68">
        <v>97</v>
      </c>
      <c r="K131" s="73">
        <v>0</v>
      </c>
      <c r="L131" s="73"/>
      <c r="M131" s="73">
        <v>0</v>
      </c>
      <c r="N131" s="68">
        <v>112</v>
      </c>
      <c r="O131" s="68">
        <v>114.7</v>
      </c>
      <c r="P131" s="74">
        <v>105</v>
      </c>
      <c r="Q131" s="75">
        <v>0</v>
      </c>
      <c r="R131" s="68">
        <v>102</v>
      </c>
      <c r="S131" s="68" t="str">
        <f>IFERROR(VLOOKUP('Leveranser per nät'!A131,'lev 2012'!$B$2:$E$445,4,FALSE),"")</f>
        <v/>
      </c>
      <c r="T131" s="68" t="str">
        <f>IFERROR(VLOOKUP('Leveranser per nät'!A131,'lev 2013'!$B$2:$E$445,4,FALSE),"")</f>
        <v/>
      </c>
      <c r="U131" s="68" t="str">
        <f>IFERROR(VLOOKUP('Leveranser per nät'!A131,'lev 2014'!$B$2:$E$432,4,FALSE),"")</f>
        <v/>
      </c>
      <c r="V131" s="68" t="str">
        <f>IFERROR(INDEX(Levererat_2015[Leveranser till eget nät],MATCH($A131,Levererat_2015[Indexnamn],0)),"")</f>
        <v/>
      </c>
      <c r="W131" s="68" t="str">
        <f>IFERROR(INDEX(Levererat_2016[Leveranser till eget nät],MATCH($A131,Levererat_2016[Indexnamn],0)),"")</f>
        <v/>
      </c>
      <c r="X131" s="68" t="str">
        <f>IFERROR(INDEX(Tabell4[Leveranser till eget nät],MATCH('Leveranser per nät'!A131,Tabell4[[Finns i listan ]],0)),"")</f>
        <v/>
      </c>
      <c r="Y131" s="68" t="str">
        <f>IFERROR(INDEX(Tabell6[Kolumn1],MATCH($A131,Tabell6[Indexnmamn],0)),"")</f>
        <v/>
      </c>
      <c r="Z131" s="68"/>
      <c r="AA131" s="68" t="s">
        <v>779</v>
      </c>
      <c r="AB131" s="10"/>
      <c r="AC131" s="10"/>
      <c r="AD131"/>
      <c r="AE131"/>
      <c r="AG131" s="2">
        <f t="shared" si="3"/>
        <v>0</v>
      </c>
      <c r="AH131" s="103"/>
    </row>
    <row r="132" spans="1:34" x14ac:dyDescent="0.25">
      <c r="A132" t="s">
        <v>220</v>
      </c>
      <c r="B132" t="str">
        <f>VLOOKUP(A132,'Korrigerade leveranser GD'!$A$4:$B$482,2,FALSE)</f>
        <v>Norrtälje</v>
      </c>
      <c r="C132" s="10"/>
      <c r="D132" s="10"/>
      <c r="E132" s="10">
        <v>0</v>
      </c>
      <c r="F132" s="10">
        <v>14</v>
      </c>
      <c r="G132" s="10">
        <v>14</v>
      </c>
      <c r="H132" s="10">
        <v>15</v>
      </c>
      <c r="I132" s="10">
        <v>15</v>
      </c>
      <c r="J132" s="10">
        <v>15</v>
      </c>
      <c r="K132" s="10">
        <v>15.778</v>
      </c>
      <c r="L132" s="10">
        <v>15.545999999999999</v>
      </c>
      <c r="M132" s="10">
        <v>16.105</v>
      </c>
      <c r="N132" s="10">
        <v>15.661</v>
      </c>
      <c r="O132" s="10">
        <v>15.622</v>
      </c>
      <c r="P132" s="10">
        <v>14.763</v>
      </c>
      <c r="Q132" s="10">
        <v>18.048999999999999</v>
      </c>
      <c r="R132" s="10">
        <v>15.254</v>
      </c>
      <c r="S132" s="10">
        <f>IFERROR(VLOOKUP('Leveranser per nät'!A132,'lev 2012'!$B$2:$E$445,4,FALSE),"")</f>
        <v>16.39</v>
      </c>
      <c r="T132" s="10">
        <f>IFERROR(VLOOKUP('Leveranser per nät'!A132,'lev 2013'!$B$2:$E$445,4,FALSE),"")</f>
        <v>15.721</v>
      </c>
      <c r="U132" s="10">
        <f>IFERROR(VLOOKUP('Leveranser per nät'!A132,'lev 2014'!$B$2:$E$432,4,FALSE),"")</f>
        <v>14.896000000000001</v>
      </c>
      <c r="V132" s="10">
        <f>IFERROR(INDEX(Levererat_2015[Leveranser till eget nät],MATCH($A132,Levererat_2015[Indexnamn],0)),"")</f>
        <v>15.855</v>
      </c>
      <c r="W132" s="10">
        <f>IFERROR(INDEX(Levererat_2016[Leveranser till eget nät],MATCH($A132,Levererat_2016[Indexnamn],0)),"")</f>
        <v>17.007999999999999</v>
      </c>
      <c r="X132" s="10">
        <f>IFERROR(INDEX(Tabell4[Leveranser till eget nät],MATCH('Leveranser per nät'!A132,Tabell4[[Finns i listan ]],0)),"")</f>
        <v>17.117999999999999</v>
      </c>
      <c r="Y132" s="10">
        <f>IFERROR(INDEX(Tabell6[Kolumn1],MATCH($A132,Tabell6[Indexnmamn],0)),"")</f>
        <v>16.640999999999998</v>
      </c>
      <c r="Z132" s="10">
        <v>16.670000000000002</v>
      </c>
      <c r="AA132" s="10">
        <v>14.923999999999999</v>
      </c>
      <c r="AB132" s="10">
        <f>VLOOKUP(A132,Tabell9[[Indexnamn]:[Kolumn1]],3,FALSE)</f>
        <v>16.436</v>
      </c>
      <c r="AC132" s="10">
        <f>VLOOKUP($A132,'Lev 2022'!$K$2:$L$474,2,FALSE)</f>
        <v>15.426</v>
      </c>
      <c r="AG132" s="2">
        <f t="shared" si="3"/>
        <v>-1.0099999999999998</v>
      </c>
      <c r="AH132" s="103">
        <f t="shared" si="4"/>
        <v>-6.1450474568021406E-2</v>
      </c>
    </row>
    <row r="133" spans="1:34" x14ac:dyDescent="0.25">
      <c r="A133" t="s">
        <v>142</v>
      </c>
      <c r="B133" t="str">
        <f>VLOOKUP(A133,'Korrigerade leveranser GD'!$A$4:$B$482,2,FALSE)</f>
        <v>Halmstad</v>
      </c>
      <c r="C133" s="10">
        <v>335</v>
      </c>
      <c r="D133" s="10">
        <v>329.71</v>
      </c>
      <c r="E133" s="10">
        <v>333</v>
      </c>
      <c r="F133" s="10">
        <v>324</v>
      </c>
      <c r="G133" s="10">
        <v>311.06099999999998</v>
      </c>
      <c r="H133" s="10">
        <v>353</v>
      </c>
      <c r="I133" s="10">
        <v>361</v>
      </c>
      <c r="J133" s="10">
        <v>386.18200000000002</v>
      </c>
      <c r="K133" s="10">
        <v>419.15300000000002</v>
      </c>
      <c r="L133" s="10">
        <v>441.16699999999997</v>
      </c>
      <c r="M133" s="10">
        <v>492</v>
      </c>
      <c r="N133" s="10">
        <v>508.5</v>
      </c>
      <c r="O133" s="10">
        <v>512.5</v>
      </c>
      <c r="P133" s="10">
        <v>523.70000000000005</v>
      </c>
      <c r="Q133" s="10">
        <v>608</v>
      </c>
      <c r="R133" s="10">
        <v>603</v>
      </c>
      <c r="S133" s="10">
        <f>IFERROR(VLOOKUP('Leveranser per nät'!A133,'lev 2012'!$B$2:$E$445,4,FALSE),"")</f>
        <v>565</v>
      </c>
      <c r="T133" s="10">
        <f>IFERROR(VLOOKUP('Leveranser per nät'!A133,'lev 2013'!$B$2:$E$445,4,FALSE),"")</f>
        <v>575</v>
      </c>
      <c r="U133" s="10">
        <f>IFERROR(VLOOKUP('Leveranser per nät'!A133,'lev 2014'!$B$2:$E$432,4,FALSE),"")</f>
        <v>524</v>
      </c>
      <c r="V133" s="10">
        <f>IFERROR(INDEX(Levererat_2015[Leveranser till eget nät],MATCH($A133,Levererat_2015[Indexnamn],0)),"")</f>
        <v>543</v>
      </c>
      <c r="W133" s="10">
        <f>IFERROR(INDEX(Levererat_2016[Leveranser till eget nät],MATCH($A133,Levererat_2016[Indexnamn],0)),"")</f>
        <v>572</v>
      </c>
      <c r="X133" s="10">
        <f>IFERROR(INDEX(Tabell4[Leveranser till eget nät],MATCH('Leveranser per nät'!A133,Tabell4[[Finns i listan ]],0)),"")</f>
        <v>566</v>
      </c>
      <c r="Y133" s="10">
        <f>IFERROR(INDEX(Tabell6[Kolumn1],MATCH($A133,Tabell6[Indexnmamn],0)),"")</f>
        <v>575</v>
      </c>
      <c r="Z133" s="10">
        <v>537.70000000000005</v>
      </c>
      <c r="AA133" s="10">
        <v>507.7</v>
      </c>
      <c r="AB133" s="10">
        <f>VLOOKUP(A133,Tabell9[[Indexnamn]:[Kolumn1]],3,FALSE)</f>
        <v>571.20000000000005</v>
      </c>
      <c r="AC133" s="10">
        <f>VLOOKUP($A133,'Lev 2022'!$K$2:$L$474,2,FALSE)</f>
        <v>549.70000000000005</v>
      </c>
      <c r="AG133" s="2">
        <f t="shared" ref="AG133:AG196" si="5">AC133-AB133</f>
        <v>-21.5</v>
      </c>
      <c r="AH133" s="103">
        <f t="shared" ref="AH133:AH195" si="6">AG133/AB133</f>
        <v>-3.7640056022408962E-2</v>
      </c>
    </row>
    <row r="134" spans="1:34" s="77" customFormat="1" x14ac:dyDescent="0.25">
      <c r="A134" s="77" t="s">
        <v>533</v>
      </c>
      <c r="B134" s="77" t="s">
        <v>533</v>
      </c>
      <c r="C134" s="69"/>
      <c r="D134" s="69"/>
      <c r="E134" s="69"/>
      <c r="F134" s="69"/>
      <c r="G134" s="69"/>
      <c r="H134" s="69"/>
      <c r="I134" s="69"/>
      <c r="J134" s="69"/>
      <c r="K134" s="69"/>
      <c r="L134" s="69"/>
      <c r="M134" s="69"/>
      <c r="N134" s="69"/>
      <c r="O134" s="69"/>
      <c r="P134" s="69"/>
      <c r="Q134" s="69"/>
      <c r="R134" s="69"/>
      <c r="S134" s="69">
        <v>11.189</v>
      </c>
      <c r="T134" s="69">
        <v>10.583</v>
      </c>
      <c r="U134" s="69">
        <f>T134+(V134-T134)/2</f>
        <v>10.4915</v>
      </c>
      <c r="V134" s="69">
        <v>10.4</v>
      </c>
      <c r="W134" s="69">
        <v>10</v>
      </c>
      <c r="X134" s="69">
        <v>10</v>
      </c>
      <c r="Y134" s="69">
        <v>10.9</v>
      </c>
      <c r="Z134" s="69">
        <v>10.9</v>
      </c>
      <c r="AA134" s="69">
        <v>9.9</v>
      </c>
      <c r="AB134" s="69">
        <v>11</v>
      </c>
      <c r="AC134" s="10">
        <f>VLOOKUP($A134,'Lev 2022'!$K$2:$L$474,2,FALSE)</f>
        <v>11</v>
      </c>
      <c r="AG134" s="2">
        <f t="shared" si="5"/>
        <v>0</v>
      </c>
      <c r="AH134" s="103">
        <f t="shared" si="6"/>
        <v>0</v>
      </c>
    </row>
    <row r="135" spans="1:34" x14ac:dyDescent="0.25">
      <c r="A135" t="s">
        <v>345</v>
      </c>
      <c r="B135" t="str">
        <f>VLOOKUP(A135,'Korrigerade leveranser GD'!$A$4:$B$482,2,FALSE)</f>
        <v>Haparanda</v>
      </c>
      <c r="C135" s="10">
        <v>44.170999999999999</v>
      </c>
      <c r="D135" s="10">
        <v>42.444000000000003</v>
      </c>
      <c r="E135" s="10">
        <v>49.529000000000003</v>
      </c>
      <c r="F135" s="10">
        <v>49.372</v>
      </c>
      <c r="G135" s="10">
        <v>47</v>
      </c>
      <c r="H135" s="10">
        <v>50</v>
      </c>
      <c r="I135" s="10">
        <v>52</v>
      </c>
      <c r="J135" s="10">
        <v>45.12</v>
      </c>
      <c r="K135" s="10">
        <v>45.944000000000003</v>
      </c>
      <c r="L135" s="10">
        <v>45.944000000000003</v>
      </c>
      <c r="M135" s="10">
        <v>49.8</v>
      </c>
      <c r="N135" s="10">
        <v>53.9</v>
      </c>
      <c r="O135" s="10">
        <v>53.4</v>
      </c>
      <c r="P135" s="10">
        <v>56.2</v>
      </c>
      <c r="Q135" s="10">
        <v>64</v>
      </c>
      <c r="R135" s="10">
        <v>56.1</v>
      </c>
      <c r="S135" s="10">
        <f>IFERROR(VLOOKUP('Leveranser per nät'!A135,'lev 2012'!$B$2:$E$445,4,FALSE),"")</f>
        <v>60</v>
      </c>
      <c r="T135" s="10">
        <f>IFERROR(VLOOKUP('Leveranser per nät'!A135,'lev 2013'!$B$2:$E$445,4,FALSE),"")</f>
        <v>55.4</v>
      </c>
      <c r="U135" s="10">
        <f>IFERROR(VLOOKUP('Leveranser per nät'!A135,'lev 2014'!$B$2:$E$432,4,FALSE),"")</f>
        <v>54.03</v>
      </c>
      <c r="V135" s="10">
        <f>IFERROR(INDEX(Levererat_2015[Leveranser till eget nät],MATCH($A135,Levererat_2015[Indexnamn],0)),"")</f>
        <v>52.3</v>
      </c>
      <c r="W135" s="10">
        <v>57.6</v>
      </c>
      <c r="X135" s="10">
        <v>56.7</v>
      </c>
      <c r="Y135" s="10">
        <v>56</v>
      </c>
      <c r="Z135" s="10">
        <v>57.280999999999999</v>
      </c>
      <c r="AA135" s="58">
        <v>51.9</v>
      </c>
      <c r="AB135" s="10">
        <f>VLOOKUP(A135,Tabell9[[Indexnamn]:[Kolumn1]],3,FALSE)</f>
        <v>60.2</v>
      </c>
      <c r="AC135" s="10">
        <f>VLOOKUP($A135,'Lev 2022'!$K$2:$L$474,2,FALSE)</f>
        <v>55.900000000000006</v>
      </c>
      <c r="AG135" s="2">
        <f t="shared" si="5"/>
        <v>-4.2999999999999972</v>
      </c>
      <c r="AH135" s="103">
        <f t="shared" si="6"/>
        <v>-7.1428571428571383E-2</v>
      </c>
    </row>
    <row r="136" spans="1:34" x14ac:dyDescent="0.25">
      <c r="A136" t="s">
        <v>254</v>
      </c>
      <c r="B136" t="str">
        <f>VLOOKUP(A136,'Korrigerade leveranser GD'!$A$4:$B$482,2,FALSE)</f>
        <v>Sala</v>
      </c>
      <c r="C136" s="10"/>
      <c r="D136" s="10"/>
      <c r="E136" s="10"/>
      <c r="F136" s="10"/>
      <c r="G136" s="10"/>
      <c r="H136" s="10"/>
      <c r="I136" s="10"/>
      <c r="J136" s="10"/>
      <c r="K136" s="10">
        <v>0</v>
      </c>
      <c r="L136" s="10">
        <v>25.282</v>
      </c>
      <c r="M136" s="10">
        <v>7.9</v>
      </c>
      <c r="N136" s="10">
        <v>24.410000000000004</v>
      </c>
      <c r="O136" s="10">
        <v>1</v>
      </c>
      <c r="P136" s="10">
        <v>31.8</v>
      </c>
      <c r="Q136" s="10">
        <v>26.14</v>
      </c>
      <c r="R136" s="10">
        <v>35.6</v>
      </c>
      <c r="S136" s="10" t="str">
        <f>IFERROR(VLOOKUP('Leveranser per nät'!A136,'lev 2012'!$B$2:$E$445,4,FALSE),"")</f>
        <v/>
      </c>
      <c r="T136" s="10" t="str">
        <f>IFERROR(VLOOKUP('Leveranser per nät'!A136,'lev 2013'!$B$2:$E$445,4,FALSE),"")</f>
        <v/>
      </c>
      <c r="U136" s="10" t="str">
        <f>IFERROR(VLOOKUP('Leveranser per nät'!A136,'lev 2014'!$B$2:$E$432,4,FALSE),"")</f>
        <v/>
      </c>
      <c r="V136" s="10" t="str">
        <f>IFERROR(INDEX(Levererat_2015[Leveranser till eget nät],MATCH($A136,Levererat_2015[Indexnamn],0)),"")</f>
        <v/>
      </c>
      <c r="W136" s="10" t="str">
        <f>IFERROR(INDEX(Levererat_2016[Leveranser till eget nät],MATCH($A136,Levererat_2016[Indexnamn],0)),"")</f>
        <v/>
      </c>
      <c r="X136" s="10" t="str">
        <f>IFERROR(INDEX(Tabell4[Leveranser till eget nät],MATCH('Leveranser per nät'!A136,Tabell4[[Finns i listan ]],0)),"")</f>
        <v/>
      </c>
      <c r="Y136" s="10" t="str">
        <f>IFERROR(INDEX(Tabell6[Kolumn1],MATCH($A136,Tabell6[Indexnmamn],0)),"")</f>
        <v/>
      </c>
      <c r="Z136" s="10"/>
      <c r="AA136" s="10" t="s">
        <v>779</v>
      </c>
      <c r="AB136" s="10"/>
      <c r="AC136" s="10"/>
      <c r="AG136" s="2">
        <f t="shared" si="5"/>
        <v>0</v>
      </c>
      <c r="AH136" s="103"/>
    </row>
    <row r="137" spans="1:34" x14ac:dyDescent="0.25">
      <c r="A137" t="s">
        <v>64</v>
      </c>
      <c r="B137" t="str">
        <f>VLOOKUP(A137,'Korrigerade leveranser GD'!$A$4:$B$482,2,FALSE)</f>
        <v>Sveg</v>
      </c>
      <c r="C137" s="10"/>
      <c r="D137" s="10"/>
      <c r="E137" s="10">
        <v>0</v>
      </c>
      <c r="F137" s="10">
        <v>6</v>
      </c>
      <c r="G137" s="10">
        <v>6</v>
      </c>
      <c r="H137" s="10">
        <v>6</v>
      </c>
      <c r="I137" s="10">
        <v>6.6</v>
      </c>
      <c r="J137" s="10">
        <v>6.74</v>
      </c>
      <c r="K137" s="10">
        <v>4.5242186855000721</v>
      </c>
      <c r="L137" s="10">
        <v>4.5242186855000721</v>
      </c>
      <c r="M137" s="10">
        <v>6.04</v>
      </c>
      <c r="N137" s="10">
        <v>7.5</v>
      </c>
      <c r="O137" s="10">
        <v>6.6</v>
      </c>
      <c r="P137" s="10">
        <v>7</v>
      </c>
      <c r="Q137" s="10">
        <v>8.1</v>
      </c>
      <c r="R137" s="56">
        <f>Q137+(S137-Q137)/2</f>
        <v>8.0500000000000007</v>
      </c>
      <c r="S137" s="10">
        <f>IFERROR(VLOOKUP('Leveranser per nät'!A137,'lev 2012'!$B$2:$E$445,4,FALSE),"")</f>
        <v>8</v>
      </c>
      <c r="T137" s="10">
        <f>IFERROR(VLOOKUP('Leveranser per nät'!A137,'lev 2013'!$B$2:$E$445,4,FALSE),"")</f>
        <v>7.5</v>
      </c>
      <c r="U137" s="58">
        <v>7.3</v>
      </c>
      <c r="V137" s="10">
        <f>IFERROR(INDEX(Levererat_2015[Leveranser till eget nät],MATCH($A137,Levererat_2015[Indexnamn],0)),"")</f>
        <v>7.3</v>
      </c>
      <c r="W137" s="10">
        <f>IFERROR(INDEX(Levererat_2016[Leveranser till eget nät],MATCH($A137,Levererat_2016[Indexnamn],0)),"")</f>
        <v>7.6</v>
      </c>
      <c r="X137" s="10">
        <f>IFERROR(INDEX(Tabell4[Leveranser till eget nät],MATCH('Leveranser per nät'!A137,Tabell4[[Finns i listan ]],0)),"")</f>
        <v>7.7</v>
      </c>
      <c r="Y137" s="10">
        <f>IFERROR(INDEX(Tabell6[Kolumn1],MATCH($A137,Tabell6[Indexnmamn],0)),"")</f>
        <v>7.8</v>
      </c>
      <c r="Z137" s="10">
        <v>7.6479999999999997</v>
      </c>
      <c r="AA137" s="10">
        <v>6.7</v>
      </c>
      <c r="AB137" s="10">
        <f>VLOOKUP(A137,Tabell9[[Indexnamn]:[Kolumn1]],3,FALSE)</f>
        <v>7.6870000000000003</v>
      </c>
      <c r="AC137" s="10">
        <f>VLOOKUP($A137,'Lev 2022'!$K$2:$L$474,2,FALSE)</f>
        <v>7.109</v>
      </c>
      <c r="AG137" s="2">
        <f t="shared" si="5"/>
        <v>-0.57800000000000029</v>
      </c>
      <c r="AH137" s="103">
        <f t="shared" si="6"/>
        <v>-7.5191882398855242E-2</v>
      </c>
    </row>
    <row r="138" spans="1:34" x14ac:dyDescent="0.25">
      <c r="A138" t="s">
        <v>145</v>
      </c>
      <c r="B138" t="str">
        <f>VLOOKUP(A138,'Korrigerade leveranser GD'!$A$4:$B$482,2,FALSE)</f>
        <v>Hedemora</v>
      </c>
      <c r="C138" s="10">
        <v>59</v>
      </c>
      <c r="D138" s="10">
        <v>54.54</v>
      </c>
      <c r="E138" s="10">
        <v>55</v>
      </c>
      <c r="F138" s="10">
        <v>60</v>
      </c>
      <c r="G138" s="56">
        <f>F138+(H138-F138)/2</f>
        <v>62.075499999999998</v>
      </c>
      <c r="H138" s="10">
        <v>64.150999999999996</v>
      </c>
      <c r="I138" s="10">
        <v>64.150999999999996</v>
      </c>
      <c r="J138" s="10">
        <v>63</v>
      </c>
      <c r="K138" s="10">
        <v>64</v>
      </c>
      <c r="L138" s="10">
        <v>56.8</v>
      </c>
      <c r="M138" s="10">
        <v>59.4</v>
      </c>
      <c r="N138" s="10">
        <v>60.77</v>
      </c>
      <c r="O138" s="10">
        <v>60.447000000000003</v>
      </c>
      <c r="P138" s="10">
        <v>65.206999999999994</v>
      </c>
      <c r="Q138" s="58">
        <v>74.5</v>
      </c>
      <c r="R138" s="10">
        <v>60.3</v>
      </c>
      <c r="S138" s="10">
        <f>IFERROR(VLOOKUP('Leveranser per nät'!A138,'lev 2012'!$B$2:$E$445,4,FALSE),"")</f>
        <v>61</v>
      </c>
      <c r="T138" s="10">
        <f>IFERROR(VLOOKUP('Leveranser per nät'!A138,'lev 2013'!$B$2:$E$445,4,FALSE),"")</f>
        <v>61.8</v>
      </c>
      <c r="U138" s="10">
        <f>IFERROR(VLOOKUP('Leveranser per nät'!A138,'lev 2014'!$B$2:$E$432,4,FALSE),"")</f>
        <v>55.8</v>
      </c>
      <c r="V138" s="10">
        <f>IFERROR(INDEX(Levererat_2015[Leveranser till eget nät],MATCH($A138,Levererat_2015[Indexnamn],0)),"")</f>
        <v>56.4</v>
      </c>
      <c r="W138" s="10">
        <f>IFERROR(INDEX(Levererat_2016[Leveranser till eget nät],MATCH($A138,Levererat_2016[Indexnamn],0)),"")</f>
        <v>60.2</v>
      </c>
      <c r="X138" s="64">
        <v>57.5</v>
      </c>
      <c r="Y138" s="10">
        <f>IFERROR(INDEX(Tabell6[Kolumn1],MATCH($A138,Tabell6[Indexnmamn],0)),"")</f>
        <v>56.1</v>
      </c>
      <c r="Z138" s="10">
        <v>55.9</v>
      </c>
      <c r="AA138" s="10">
        <v>50.1</v>
      </c>
      <c r="AB138" s="10">
        <f>VLOOKUP(A138,Tabell9[[Indexnamn]:[Kolumn1]],3,FALSE)</f>
        <v>58.4</v>
      </c>
      <c r="AC138" s="10">
        <f>VLOOKUP($A138,'Lev 2022'!$K$2:$L$474,2,FALSE)</f>
        <v>56.100999999999999</v>
      </c>
      <c r="AG138" s="2">
        <f t="shared" si="5"/>
        <v>-2.2989999999999995</v>
      </c>
      <c r="AH138" s="103">
        <f t="shared" si="6"/>
        <v>-3.9366438356164372E-2</v>
      </c>
    </row>
    <row r="139" spans="1:34" s="77" customFormat="1" x14ac:dyDescent="0.25">
      <c r="A139" s="81" t="s">
        <v>16</v>
      </c>
      <c r="B139" s="77" t="str">
        <f>VLOOKUP(A139,'Korrigerade leveranser GD'!$A$4:$B$482,2,FALSE)</f>
        <v>Tärnsjö</v>
      </c>
      <c r="C139" s="69">
        <v>0</v>
      </c>
      <c r="D139" s="69">
        <v>3.41</v>
      </c>
      <c r="E139" s="69">
        <v>4</v>
      </c>
      <c r="F139" s="69">
        <v>0</v>
      </c>
      <c r="G139" s="69"/>
      <c r="H139" s="69"/>
      <c r="I139" s="69"/>
      <c r="J139" s="69"/>
      <c r="K139" s="69"/>
      <c r="L139" s="69"/>
      <c r="M139" s="69"/>
      <c r="N139" s="69"/>
      <c r="O139" s="69"/>
      <c r="P139" s="69">
        <v>0</v>
      </c>
      <c r="Q139" s="69">
        <v>4.3</v>
      </c>
      <c r="R139" s="69">
        <v>3.6</v>
      </c>
      <c r="S139" s="69">
        <f>IFERROR(VLOOKUP('Leveranser per nät'!A139,'lev 2012'!$B$2:$E$445,4,FALSE),"")</f>
        <v>3.8</v>
      </c>
      <c r="T139" s="69">
        <f>IFERROR(VLOOKUP('Leveranser per nät'!A139,'lev 2013'!$B$2:$E$445,4,FALSE),"")</f>
        <v>3.7</v>
      </c>
      <c r="U139" s="69">
        <f>IFERROR(VLOOKUP('Leveranser per nät'!A139,'lev 2014'!$B$2:$E$432,4,FALSE),"")</f>
        <v>3.42</v>
      </c>
      <c r="V139" s="69">
        <f>IFERROR(INDEX(Levererat_2015[Leveranser till eget nät],MATCH($A139,Levererat_2015[Indexnamn],0)),"")</f>
        <v>3.3740000000000001</v>
      </c>
      <c r="W139" s="69">
        <f>IFERROR(INDEX(Levererat_2016[Leveranser till eget nät],MATCH($A139,Levererat_2016[Indexnamn],0)),"")</f>
        <v>3.3959999999999999</v>
      </c>
      <c r="X139" s="69">
        <v>3.6</v>
      </c>
      <c r="Y139" s="69">
        <v>3.2</v>
      </c>
      <c r="Z139" s="69">
        <v>3.2</v>
      </c>
      <c r="AA139" s="69">
        <v>2.9</v>
      </c>
      <c r="AB139" s="69">
        <v>3.3</v>
      </c>
      <c r="AC139" s="56">
        <f>AB139*(1-0.07)</f>
        <v>3.0689999999999995</v>
      </c>
      <c r="AD139"/>
      <c r="AE139"/>
      <c r="AG139" s="2"/>
      <c r="AH139" s="103"/>
    </row>
    <row r="140" spans="1:34" x14ac:dyDescent="0.25">
      <c r="A140" t="s">
        <v>373</v>
      </c>
      <c r="B140" t="str">
        <f>VLOOKUP(A140,'Korrigerade leveranser GD'!$A$4:$B$482,2,FALSE)</f>
        <v>Helsingborg</v>
      </c>
      <c r="C140" s="10">
        <v>1022</v>
      </c>
      <c r="D140" s="10">
        <v>927.42</v>
      </c>
      <c r="E140" s="10">
        <v>918</v>
      </c>
      <c r="F140" s="10">
        <v>892</v>
      </c>
      <c r="G140" s="10">
        <v>847</v>
      </c>
      <c r="H140" s="10">
        <v>932</v>
      </c>
      <c r="I140" s="10">
        <v>914.2</v>
      </c>
      <c r="J140" s="10">
        <v>913</v>
      </c>
      <c r="K140" s="10">
        <v>899.33399999999995</v>
      </c>
      <c r="L140" s="10">
        <v>875.3</v>
      </c>
      <c r="M140" s="10">
        <v>839.15899999999999</v>
      </c>
      <c r="N140" s="10">
        <v>839.15899999999999</v>
      </c>
      <c r="O140" s="10">
        <v>843.97</v>
      </c>
      <c r="P140" s="10">
        <v>878.83</v>
      </c>
      <c r="Q140" s="10">
        <v>1030.3</v>
      </c>
      <c r="R140" s="10">
        <v>984.4</v>
      </c>
      <c r="S140" s="10">
        <f>IFERROR(VLOOKUP('Leveranser per nät'!A140,'lev 2012'!$B$2:$E$445,4,FALSE),"")</f>
        <v>900</v>
      </c>
      <c r="T140" s="10">
        <f>IFERROR(VLOOKUP('Leveranser per nät'!A140,'lev 2013'!$B$2:$E$445,4,FALSE),"")</f>
        <v>887.5</v>
      </c>
      <c r="U140" s="10">
        <f>IFERROR(VLOOKUP('Leveranser per nät'!A140,'lev 2014'!$B$2:$E$432,4,FALSE),"")</f>
        <v>786.86800000000005</v>
      </c>
      <c r="V140" s="10">
        <f>IFERROR(INDEX(Levererat_2015[Leveranser till eget nät],MATCH($A140,Levererat_2015[Indexnamn],0)),"")</f>
        <v>830.93899999999996</v>
      </c>
      <c r="W140" s="10">
        <f>IFERROR(INDEX(Levererat_2016[Leveranser till eget nät],MATCH($A140,Levererat_2016[Indexnamn],0)),"")</f>
        <v>874</v>
      </c>
      <c r="X140" s="10">
        <f>IFERROR(INDEX(Tabell4[Leveranser till eget nät],MATCH('Leveranser per nät'!A140,Tabell4[[Finns i listan ]],0)),"")</f>
        <v>887.22599999999989</v>
      </c>
      <c r="Y140" s="10">
        <f>IFERROR(INDEX(Tabell6[Kolumn1],MATCH($A140,Tabell6[Indexnmamn],0)),"")</f>
        <v>868.56</v>
      </c>
      <c r="Z140" s="10">
        <v>854</v>
      </c>
      <c r="AA140" s="10">
        <v>929</v>
      </c>
      <c r="AB140" s="10">
        <f>VLOOKUP(A140,Tabell9[[Indexnamn]:[Kolumn1]],3,FALSE)</f>
        <v>906.88547299999993</v>
      </c>
      <c r="AC140" s="10">
        <f>VLOOKUP($A140,'Lev 2022'!$K$2:$L$474,2,FALSE)</f>
        <v>916.3599999999999</v>
      </c>
      <c r="AG140" s="2">
        <f t="shared" si="5"/>
        <v>9.4745269999999664</v>
      </c>
      <c r="AH140" s="103">
        <f t="shared" si="6"/>
        <v>1.0447324697635737E-2</v>
      </c>
    </row>
    <row r="141" spans="1:34" x14ac:dyDescent="0.25">
      <c r="A141" t="s">
        <v>134</v>
      </c>
      <c r="B141" t="str">
        <f>VLOOKUP(A141,'Korrigerade leveranser GD'!$A$4:$B$482,2,FALSE)</f>
        <v>Visby</v>
      </c>
      <c r="C141" s="10">
        <v>16</v>
      </c>
      <c r="D141" s="10">
        <v>14.76</v>
      </c>
      <c r="E141" s="10">
        <v>14</v>
      </c>
      <c r="F141" s="10">
        <v>13</v>
      </c>
      <c r="G141" s="10">
        <v>13</v>
      </c>
      <c r="H141" s="10">
        <v>13</v>
      </c>
      <c r="I141" s="10"/>
      <c r="J141" s="10"/>
      <c r="K141" s="10"/>
      <c r="L141" s="10">
        <v>13.429014455099828</v>
      </c>
      <c r="M141" s="10">
        <v>12.1</v>
      </c>
      <c r="N141" s="10">
        <v>12.3</v>
      </c>
      <c r="O141" s="10">
        <v>11.5</v>
      </c>
      <c r="P141" s="10">
        <v>13.4</v>
      </c>
      <c r="Q141" s="10">
        <v>13.7</v>
      </c>
      <c r="R141" s="10">
        <v>12.1</v>
      </c>
      <c r="S141" s="10">
        <f>IFERROR(VLOOKUP('Leveranser per nät'!A141,'lev 2012'!$B$2:$E$445,4,FALSE),"")</f>
        <v>12.5</v>
      </c>
      <c r="T141" s="10">
        <f>IFERROR(VLOOKUP('Leveranser per nät'!A141,'lev 2013'!$B$2:$E$445,4,FALSE),"")</f>
        <v>12.3</v>
      </c>
      <c r="U141" s="10">
        <f>IFERROR(VLOOKUP('Leveranser per nät'!A141,'lev 2014'!$B$2:$E$432,4,FALSE),"")</f>
        <v>11.5</v>
      </c>
      <c r="V141" s="10">
        <f>IFERROR(INDEX(Levererat_2015[Leveranser till eget nät],MATCH($A141,Levererat_2015[Indexnamn],0)),"")</f>
        <v>11.4</v>
      </c>
      <c r="W141" s="10">
        <f>IFERROR(INDEX(Levererat_2016[Leveranser till eget nät],MATCH($A141,Levererat_2016[Indexnamn],0)),"")</f>
        <v>11.87</v>
      </c>
      <c r="X141" s="10">
        <f>IFERROR(INDEX(Tabell4[Leveranser till eget nät],MATCH('Leveranser per nät'!A141,Tabell4[[Finns i listan ]],0)),"")</f>
        <v>12.173999999999999</v>
      </c>
      <c r="Y141" s="10">
        <f>IFERROR(INDEX(Tabell6[Kolumn1],MATCH($A141,Tabell6[Indexnmamn],0)),"")</f>
        <v>11.819000000000001</v>
      </c>
      <c r="Z141" s="10">
        <v>10.939</v>
      </c>
      <c r="AA141" s="10">
        <v>10.696999999999999</v>
      </c>
      <c r="AB141" s="10">
        <f>VLOOKUP(A141,Tabell9[[Indexnamn]:[Kolumn1]],3,FALSE)</f>
        <v>12.217000000000001</v>
      </c>
      <c r="AC141" s="10">
        <f>VLOOKUP($A141,'Lev 2022'!$K$2:$L$474,2,FALSE)</f>
        <v>12.273999999999999</v>
      </c>
      <c r="AG141" s="2">
        <f>AC141-AB141</f>
        <v>5.6999999999998607E-2</v>
      </c>
      <c r="AH141" s="103">
        <f t="shared" si="6"/>
        <v>4.6656298600309901E-3</v>
      </c>
    </row>
    <row r="142" spans="1:34" s="65" customFormat="1" x14ac:dyDescent="0.25">
      <c r="A142" s="65" t="s">
        <v>131</v>
      </c>
      <c r="B142" s="65" t="str">
        <f>VLOOKUP(A142,'Korrigerade leveranser GD'!$A$4:$B$482,2,FALSE)</f>
        <v>Gislaved</v>
      </c>
      <c r="C142" s="68"/>
      <c r="D142" s="68"/>
      <c r="E142" s="68"/>
      <c r="F142" s="68"/>
      <c r="G142" s="68"/>
      <c r="H142" s="68"/>
      <c r="I142" s="68"/>
      <c r="J142" s="68"/>
      <c r="K142" s="68"/>
      <c r="L142" s="68">
        <v>0</v>
      </c>
      <c r="M142" s="68">
        <v>3.9</v>
      </c>
      <c r="N142" s="68">
        <v>3.87</v>
      </c>
      <c r="O142" s="68">
        <v>3.7</v>
      </c>
      <c r="P142" s="68">
        <v>4.0419999999999998</v>
      </c>
      <c r="Q142" s="68">
        <v>4.6529999999999996</v>
      </c>
      <c r="R142" s="68">
        <v>4.2839999999999998</v>
      </c>
      <c r="S142" s="68" t="str">
        <f>IFERROR(VLOOKUP('Leveranser per nät'!A142,'lev 2012'!$B$2:$E$445,4,FALSE),"")</f>
        <v/>
      </c>
      <c r="T142" s="68" t="str">
        <f>IFERROR(VLOOKUP('Leveranser per nät'!A142,'lev 2013'!$B$2:$E$445,4,FALSE),"")</f>
        <v/>
      </c>
      <c r="U142" s="68" t="str">
        <f>IFERROR(VLOOKUP('Leveranser per nät'!A142,'lev 2014'!$B$2:$E$432,4,FALSE),"")</f>
        <v/>
      </c>
      <c r="V142" s="68" t="str">
        <f>IFERROR(INDEX(Levererat_2015[Leveranser till eget nät],MATCH($A142,Levererat_2015[Indexnamn],0)),"")</f>
        <v/>
      </c>
      <c r="W142" s="68" t="str">
        <f>IFERROR(INDEX(Levererat_2016[Leveranser till eget nät],MATCH($A142,Levererat_2016[Indexnamn],0)),"")</f>
        <v/>
      </c>
      <c r="X142" s="68" t="str">
        <f>IFERROR(INDEX(Tabell4[Leveranser till eget nät],MATCH('Leveranser per nät'!A142,Tabell4[[Finns i listan ]],0)),"")</f>
        <v/>
      </c>
      <c r="Y142" s="68" t="str">
        <f>IFERROR(INDEX(Tabell6[Kolumn1],MATCH($A142,Tabell6[Indexnmamn],0)),"")</f>
        <v/>
      </c>
      <c r="Z142" s="68"/>
      <c r="AA142" s="68" t="s">
        <v>779</v>
      </c>
      <c r="AB142" s="10"/>
      <c r="AC142" s="10"/>
      <c r="AD142"/>
      <c r="AE142"/>
      <c r="AG142" s="2">
        <f t="shared" si="5"/>
        <v>0</v>
      </c>
      <c r="AH142" s="103"/>
    </row>
    <row r="143" spans="1:34" x14ac:dyDescent="0.25">
      <c r="A143" t="s">
        <v>1142</v>
      </c>
      <c r="B143" t="s">
        <v>187</v>
      </c>
      <c r="C143" s="10"/>
      <c r="D143" s="10"/>
      <c r="E143" s="10"/>
      <c r="F143" s="10"/>
      <c r="G143" s="10"/>
      <c r="H143" s="10"/>
      <c r="I143" s="10"/>
      <c r="J143" s="10"/>
      <c r="K143" s="10"/>
      <c r="L143" s="10"/>
      <c r="M143" s="10"/>
      <c r="N143" s="10"/>
      <c r="O143" s="10"/>
      <c r="P143" s="10"/>
      <c r="Q143" s="10"/>
      <c r="R143" s="10"/>
      <c r="S143" s="10">
        <v>3.9</v>
      </c>
      <c r="T143" s="10">
        <v>3.5</v>
      </c>
      <c r="U143" s="10">
        <v>2.9</v>
      </c>
      <c r="V143" s="10">
        <v>3.1</v>
      </c>
      <c r="W143" s="10">
        <v>3.7</v>
      </c>
      <c r="X143" s="58">
        <v>4</v>
      </c>
      <c r="Y143" s="10">
        <v>4</v>
      </c>
      <c r="Z143" s="69">
        <v>3.6</v>
      </c>
      <c r="AA143" s="69">
        <f>1.2+1.9</f>
        <v>3.0999999999999996</v>
      </c>
      <c r="AB143" s="10">
        <f>VLOOKUP(A143,Tabell9[[Indexnamn]:[Kolumn1]],3,FALSE)</f>
        <v>3.7440000000000002</v>
      </c>
      <c r="AC143" s="10">
        <f>VLOOKUP($A143,'Lev 2022'!$K$2:$L$474,2,FALSE)</f>
        <v>3.3410000000000002</v>
      </c>
      <c r="AG143" s="2">
        <f t="shared" si="5"/>
        <v>-0.40300000000000002</v>
      </c>
      <c r="AH143" s="103">
        <f t="shared" si="6"/>
        <v>-0.1076388888888889</v>
      </c>
    </row>
    <row r="144" spans="1:34" x14ac:dyDescent="0.25">
      <c r="A144" t="s">
        <v>446</v>
      </c>
      <c r="B144" t="s">
        <v>446</v>
      </c>
      <c r="C144" s="10"/>
      <c r="D144" s="10"/>
      <c r="E144" s="10"/>
      <c r="F144" s="10"/>
      <c r="G144" s="10"/>
      <c r="H144" s="10"/>
      <c r="I144" s="10"/>
      <c r="J144" s="10"/>
      <c r="K144" s="10"/>
      <c r="L144" s="10"/>
      <c r="M144" s="10"/>
      <c r="N144" s="10"/>
      <c r="O144" s="10"/>
      <c r="P144" s="10"/>
      <c r="Q144" s="10"/>
      <c r="R144" s="10"/>
      <c r="S144" s="10">
        <v>20</v>
      </c>
      <c r="T144" s="10">
        <v>20.100000000000001</v>
      </c>
      <c r="U144" s="10">
        <v>17.399999999999999</v>
      </c>
      <c r="V144" s="10">
        <v>17.3</v>
      </c>
      <c r="W144" s="10">
        <v>18.7</v>
      </c>
      <c r="X144" s="10">
        <f>IFERROR(INDEX(Tabell4[Leveranser till eget nät],MATCH('Leveranser per nät'!A144,Tabell4[[Finns i listan ]],0)),"")</f>
        <v>18.353999999999999</v>
      </c>
      <c r="Y144" s="10">
        <f>IFERROR(INDEX(Tabell6[Kolumn1],MATCH($A144,Tabell6[Indexnmamn],0)),"")</f>
        <v>18.896000000000001</v>
      </c>
      <c r="Z144" s="10">
        <v>18.5</v>
      </c>
      <c r="AA144" s="69">
        <v>17.399999999999999</v>
      </c>
      <c r="AB144" s="69">
        <v>20</v>
      </c>
      <c r="AC144" s="56">
        <f>AB144*(1-0.07)</f>
        <v>18.599999999999998</v>
      </c>
      <c r="AG144" s="2">
        <f t="shared" si="5"/>
        <v>-1.4000000000000021</v>
      </c>
      <c r="AH144" s="103">
        <f t="shared" si="6"/>
        <v>-7.0000000000000104E-2</v>
      </c>
    </row>
    <row r="145" spans="1:34" x14ac:dyDescent="0.25">
      <c r="A145" t="s">
        <v>132</v>
      </c>
      <c r="B145" t="str">
        <f>VLOOKUP(A145,'Korrigerade leveranser GD'!$A$4:$B$482,2,FALSE)</f>
        <v>Gislaved</v>
      </c>
      <c r="C145" s="10"/>
      <c r="D145" s="10"/>
      <c r="E145" s="10"/>
      <c r="F145" s="10"/>
      <c r="G145" s="10"/>
      <c r="H145" s="10"/>
      <c r="I145" s="10"/>
      <c r="J145" s="10"/>
      <c r="K145" s="10"/>
      <c r="L145" s="10">
        <v>0</v>
      </c>
      <c r="M145" s="10">
        <v>1.9</v>
      </c>
      <c r="N145" s="10">
        <v>1.7789999999999999</v>
      </c>
      <c r="O145" s="10">
        <v>3.52</v>
      </c>
      <c r="P145" s="10">
        <v>4.5590000000000002</v>
      </c>
      <c r="Q145" s="10">
        <v>5.1820000000000004</v>
      </c>
      <c r="R145" s="10">
        <v>4.9039999999999999</v>
      </c>
      <c r="S145" s="10">
        <f>IFERROR(VLOOKUP('Leveranser per nät'!A145,'lev 2012'!$B$2:$E$445,4,FALSE),"")</f>
        <v>4.6399999999999997</v>
      </c>
      <c r="T145" s="10">
        <f>IFERROR(VLOOKUP('Leveranser per nät'!A145,'lev 2013'!$B$2:$E$445,4,FALSE),"")</f>
        <v>4.5449999999999999</v>
      </c>
      <c r="U145" s="10">
        <f>IFERROR(VLOOKUP('Leveranser per nät'!A145,'lev 2014'!$B$2:$E$432,4,FALSE),"")</f>
        <v>3.976</v>
      </c>
      <c r="V145" s="10">
        <f>IFERROR(INDEX(Levererat_2015[Leveranser till eget nät],MATCH($A145,Levererat_2015[Indexnamn],0)),"")</f>
        <v>3.984</v>
      </c>
      <c r="W145" s="10">
        <f>IFERROR(INDEX(Levererat_2016[Leveranser till eget nät],MATCH($A145,Levererat_2016[Indexnamn],0)),"")</f>
        <v>4.3209999999999997</v>
      </c>
      <c r="X145" s="10">
        <f>IFERROR(INDEX(Tabell4[Leveranser till eget nät],MATCH('Leveranser per nät'!A145,Tabell4[[Finns i listan ]],0)),"")</f>
        <v>4.1779999999999999</v>
      </c>
      <c r="Y145" s="10">
        <f>IFERROR(INDEX(Tabell6[Kolumn1],MATCH($A145,Tabell6[Indexnmamn],0)),"")</f>
        <v>4.367</v>
      </c>
      <c r="Z145" s="10">
        <v>4.1779999999999999</v>
      </c>
      <c r="AA145" s="10">
        <v>3.8929999999999998</v>
      </c>
      <c r="AB145" s="10">
        <f>VLOOKUP(A145,Tabell9[[Indexnamn]:[Kolumn1]],3,FALSE)</f>
        <v>4.5289999999999999</v>
      </c>
      <c r="AC145" s="10">
        <f>VLOOKUP($A145,'Lev 2022'!$K$2:$L$474,2,FALSE)</f>
        <v>4.2729999999999997</v>
      </c>
      <c r="AG145" s="2">
        <f t="shared" si="5"/>
        <v>-0.25600000000000023</v>
      </c>
      <c r="AH145" s="103">
        <f t="shared" si="6"/>
        <v>-5.6524619121218866E-2</v>
      </c>
    </row>
    <row r="146" spans="1:34" x14ac:dyDescent="0.25">
      <c r="A146" t="s">
        <v>148</v>
      </c>
      <c r="B146" t="str">
        <f>VLOOKUP(A146,'Korrigerade leveranser GD'!$A$4:$B$482,2,FALSE)</f>
        <v>Hjo</v>
      </c>
      <c r="C146" s="10"/>
      <c r="D146" s="10"/>
      <c r="E146" s="10"/>
      <c r="F146" s="10">
        <v>2</v>
      </c>
      <c r="G146" s="10">
        <v>11</v>
      </c>
      <c r="H146" s="10">
        <v>18</v>
      </c>
      <c r="I146" s="10">
        <v>19.666</v>
      </c>
      <c r="J146" s="10">
        <v>22.254000000000001</v>
      </c>
      <c r="K146" s="10">
        <v>24.167999999999999</v>
      </c>
      <c r="L146" s="10">
        <v>24.167999999999999</v>
      </c>
      <c r="M146" s="10">
        <v>25.939</v>
      </c>
      <c r="N146" s="10">
        <v>26.885999999999999</v>
      </c>
      <c r="O146" s="10">
        <v>27.155999999999999</v>
      </c>
      <c r="P146" s="10">
        <v>30.161000000000001</v>
      </c>
      <c r="Q146" s="10">
        <v>35.926000000000002</v>
      </c>
      <c r="R146" s="10">
        <v>29.63</v>
      </c>
      <c r="S146" s="10">
        <f>IFERROR(VLOOKUP('Leveranser per nät'!A146,'lev 2012'!$B$2:$E$445,4,FALSE),"")</f>
        <v>32</v>
      </c>
      <c r="T146" s="10">
        <f>IFERROR(VLOOKUP('Leveranser per nät'!A146,'lev 2013'!$B$2:$E$445,4,FALSE),"")</f>
        <v>31.946999999999999</v>
      </c>
      <c r="U146" s="10">
        <f>IFERROR(VLOOKUP('Leveranser per nät'!A146,'lev 2014'!$B$2:$E$432,4,FALSE),"")</f>
        <v>30.33</v>
      </c>
      <c r="V146" s="10">
        <f>IFERROR(INDEX(Levererat_2015[Leveranser till eget nät],MATCH($A146,Levererat_2015[Indexnamn],0)),"")</f>
        <v>31.198</v>
      </c>
      <c r="W146" s="10">
        <f>IFERROR(INDEX(Levererat_2016[Leveranser till eget nät],MATCH($A146,Levererat_2016[Indexnamn],0)),"")</f>
        <v>33.771999999999998</v>
      </c>
      <c r="X146" s="10">
        <f>IFERROR(INDEX(Tabell4[Leveranser till eget nät],MATCH('Leveranser per nät'!A146,Tabell4[[Finns i listan ]],0)),"")</f>
        <v>33.956000000000003</v>
      </c>
      <c r="Y146" s="10">
        <f>IFERROR(INDEX(Tabell6[Kolumn1],MATCH($A146,Tabell6[Indexnmamn],0)),"")</f>
        <v>33.927999999999997</v>
      </c>
      <c r="Z146" s="10">
        <v>32.500999999999998</v>
      </c>
      <c r="AA146" s="10">
        <v>30.108000000000001</v>
      </c>
      <c r="AB146" s="10">
        <f>VLOOKUP(A146,Tabell9[[Indexnamn]:[Kolumn1]],3,FALSE)</f>
        <v>35.962000000000003</v>
      </c>
      <c r="AC146" s="10">
        <f>VLOOKUP($A146,'Lev 2022'!$K$2:$L$474,2,FALSE)</f>
        <v>33.786999999999999</v>
      </c>
      <c r="AG146" s="2">
        <f t="shared" si="5"/>
        <v>-2.1750000000000043</v>
      </c>
      <c r="AH146" s="103">
        <f t="shared" si="6"/>
        <v>-6.0480507202046715E-2</v>
      </c>
    </row>
    <row r="147" spans="1:34" x14ac:dyDescent="0.25">
      <c r="A147" s="4" t="s">
        <v>400</v>
      </c>
      <c r="B147" t="str">
        <f>VLOOKUP(A147,'Korrigerade leveranser GD'!$A$4:$B$482,2,FALSE)</f>
        <v>Ängelholm</v>
      </c>
      <c r="C147" s="11">
        <v>1.8879999999999999</v>
      </c>
      <c r="D147" s="10"/>
      <c r="E147" s="10"/>
      <c r="F147" s="10"/>
      <c r="G147" s="10"/>
      <c r="H147" s="10"/>
      <c r="I147" s="10"/>
      <c r="J147" s="10"/>
      <c r="K147" s="10"/>
      <c r="L147" s="10"/>
      <c r="M147" s="10"/>
      <c r="N147" s="10"/>
      <c r="O147" s="10"/>
      <c r="P147" s="10"/>
      <c r="Q147" s="10">
        <v>1.8879999999999999</v>
      </c>
      <c r="R147" s="10">
        <v>1.6739999999999999</v>
      </c>
      <c r="S147" s="10">
        <f>IFERROR(VLOOKUP('Leveranser per nät'!A147,'lev 2012'!$B$2:$E$445,4,FALSE),"")</f>
        <v>1.9</v>
      </c>
      <c r="T147" s="10">
        <f>IFERROR(VLOOKUP('Leveranser per nät'!A147,'lev 2013'!$B$2:$E$445,4,FALSE),"")</f>
        <v>1.8280000000000001</v>
      </c>
      <c r="U147" s="10">
        <f>IFERROR(VLOOKUP('Leveranser per nät'!A147,'lev 2014'!$B$2:$E$432,4,FALSE),"")</f>
        <v>1.58</v>
      </c>
      <c r="V147" s="10">
        <f>IFERROR(INDEX(Levererat_2015[Leveranser till eget nät],MATCH($A147,Levererat_2015[Indexnamn],0)),"")</f>
        <v>1.7</v>
      </c>
      <c r="W147" s="10">
        <f>IFERROR(INDEX(Levererat_2016[Leveranser till eget nät],MATCH($A147,Levererat_2016[Indexnamn],0)),"")</f>
        <v>1.754</v>
      </c>
      <c r="X147" s="10">
        <f>IFERROR(INDEX(Tabell4[Leveranser till eget nät],MATCH('Leveranser per nät'!A147,Tabell4[[Finns i listan ]],0)),"")</f>
        <v>1.76</v>
      </c>
      <c r="Y147" s="10">
        <f>IFERROR(INDEX(Tabell6[Kolumn1],MATCH($A147,Tabell6[Indexnmamn],0)),"")</f>
        <v>1.661</v>
      </c>
      <c r="Z147" s="10">
        <v>0.70899999999999996</v>
      </c>
      <c r="AA147" s="10">
        <v>1.6619999999999999</v>
      </c>
      <c r="AB147" s="10">
        <f>VLOOKUP(A147,Tabell9[[Indexnamn]:[Kolumn1]],3,FALSE)</f>
        <v>1.9850000000000001</v>
      </c>
      <c r="AC147" s="10">
        <f>VLOOKUP($A147,'Lev 2022'!$K$2:$L$474,2,FALSE)</f>
        <v>1.9339999999999999</v>
      </c>
      <c r="AG147" s="2">
        <f t="shared" si="5"/>
        <v>-5.1000000000000156E-2</v>
      </c>
      <c r="AH147" s="103">
        <f t="shared" si="6"/>
        <v>-2.569269521410587E-2</v>
      </c>
    </row>
    <row r="148" spans="1:34" s="5" customFormat="1" x14ac:dyDescent="0.25">
      <c r="A148" s="5" t="s">
        <v>116</v>
      </c>
      <c r="B148" s="5" t="str">
        <f>VLOOKUP(A148,'Korrigerade leveranser GD'!$A$4:$B$482,2,FALSE)</f>
        <v>Hofors</v>
      </c>
      <c r="C148" s="58"/>
      <c r="D148" s="58"/>
      <c r="E148" s="58">
        <v>79</v>
      </c>
      <c r="F148" s="58">
        <v>71</v>
      </c>
      <c r="G148" s="58">
        <v>65</v>
      </c>
      <c r="H148" s="58">
        <v>82</v>
      </c>
      <c r="I148" s="58">
        <v>84</v>
      </c>
      <c r="J148" s="58">
        <v>85.784000000000006</v>
      </c>
      <c r="K148" s="58">
        <v>0</v>
      </c>
      <c r="L148" s="58">
        <v>121.64700000000001</v>
      </c>
      <c r="M148" s="58">
        <v>124</v>
      </c>
      <c r="N148" s="58">
        <v>129.9</v>
      </c>
      <c r="O148" s="58">
        <v>123</v>
      </c>
      <c r="P148" s="58">
        <v>136</v>
      </c>
      <c r="Q148" s="58">
        <v>124.8</v>
      </c>
      <c r="R148" s="58">
        <v>63.277000000000001</v>
      </c>
      <c r="S148" s="58">
        <v>115</v>
      </c>
      <c r="T148" s="58">
        <v>106.328</v>
      </c>
      <c r="U148" s="58">
        <v>67.715000000000003</v>
      </c>
      <c r="V148" s="58">
        <v>64.525000000000006</v>
      </c>
      <c r="W148" s="58">
        <v>67.998000000000005</v>
      </c>
      <c r="X148" s="58">
        <v>66.292000000000002</v>
      </c>
      <c r="Y148" s="58">
        <f>IFERROR(INDEX(Tabell6[Kolumn1],MATCH($A148,Tabell6[Indexnmamn],0)),"")</f>
        <v>97.2</v>
      </c>
      <c r="Z148" s="58">
        <v>91.6</v>
      </c>
      <c r="AA148" s="56">
        <v>94.4</v>
      </c>
      <c r="AB148" s="10">
        <f>VLOOKUP(A148,Tabell9[[Indexnamn]:[Kolumn1]],3,FALSE)</f>
        <v>42.076999999999998</v>
      </c>
      <c r="AC148" s="10">
        <f>VLOOKUP($A148,'Lev 2022'!$K$2:$L$474,2,FALSE)</f>
        <v>39.889000000000003</v>
      </c>
      <c r="AE148"/>
      <c r="AG148" s="2">
        <f t="shared" si="5"/>
        <v>-2.1879999999999953</v>
      </c>
      <c r="AH148" s="103">
        <f t="shared" si="6"/>
        <v>-5.1999904936188307E-2</v>
      </c>
    </row>
    <row r="149" spans="1:34" s="65" customFormat="1" x14ac:dyDescent="0.25">
      <c r="A149" s="65" t="s">
        <v>325</v>
      </c>
      <c r="B149" s="65" t="str">
        <f>VLOOKUP(A149,'Korrigerade leveranser GD'!$A$4:$B$482,2,FALSE)</f>
        <v>Umeå</v>
      </c>
      <c r="C149" s="68"/>
      <c r="D149" s="68"/>
      <c r="E149" s="68"/>
      <c r="F149" s="68"/>
      <c r="G149" s="68"/>
      <c r="H149" s="68"/>
      <c r="I149" s="68">
        <v>0</v>
      </c>
      <c r="J149" s="68">
        <v>46.146000000000001</v>
      </c>
      <c r="K149" s="68">
        <v>49.454000000000001</v>
      </c>
      <c r="L149" s="68">
        <v>57.061</v>
      </c>
      <c r="M149" s="68">
        <v>51.991</v>
      </c>
      <c r="N149" s="68">
        <v>56.475999999999999</v>
      </c>
      <c r="O149" s="68">
        <v>51.518000000000001</v>
      </c>
      <c r="P149" s="68">
        <v>27.178999999999998</v>
      </c>
      <c r="Q149" s="68">
        <v>0</v>
      </c>
      <c r="R149" s="68">
        <v>0</v>
      </c>
      <c r="S149" s="68" t="str">
        <f>IFERROR(VLOOKUP('Leveranser per nät'!A149,'lev 2012'!$B$2:$E$445,4,FALSE),"")</f>
        <v/>
      </c>
      <c r="T149" s="68" t="str">
        <f>IFERROR(VLOOKUP('Leveranser per nät'!A149,'lev 2013'!$B$2:$E$445,4,FALSE),"")</f>
        <v/>
      </c>
      <c r="U149" s="68" t="str">
        <f>IFERROR(VLOOKUP('Leveranser per nät'!A149,'lev 2014'!$B$2:$E$432,4,FALSE),"")</f>
        <v/>
      </c>
      <c r="V149" s="68" t="str">
        <f>IFERROR(INDEX(Levererat_2015[Leveranser till eget nät],MATCH($A149,Levererat_2015[Indexnamn],0)),"")</f>
        <v/>
      </c>
      <c r="W149" s="68" t="str">
        <f>IFERROR(INDEX(Levererat_2016[Leveranser till eget nät],MATCH($A149,Levererat_2016[Indexnamn],0)),"")</f>
        <v/>
      </c>
      <c r="X149" s="68" t="str">
        <f>IFERROR(INDEX(Tabell4[Leveranser till eget nät],MATCH('Leveranser per nät'!A149,Tabell4[[Finns i listan ]],0)),"")</f>
        <v/>
      </c>
      <c r="Y149" s="68" t="str">
        <f>IFERROR(INDEX(Tabell6[Kolumn1],MATCH($A149,Tabell6[Indexnmamn],0)),"")</f>
        <v/>
      </c>
      <c r="Z149" s="68"/>
      <c r="AA149" s="68" t="s">
        <v>779</v>
      </c>
      <c r="AB149" s="10"/>
      <c r="AC149" s="10"/>
      <c r="AD149"/>
      <c r="AE149"/>
      <c r="AG149" s="2">
        <f t="shared" si="5"/>
        <v>0</v>
      </c>
      <c r="AH149" s="103"/>
    </row>
    <row r="150" spans="1:34" x14ac:dyDescent="0.25">
      <c r="A150" t="s">
        <v>349</v>
      </c>
      <c r="B150" t="str">
        <f>VLOOKUP(A150,'Korrigerade leveranser GD'!$A$4:$B$482,2,FALSE)</f>
        <v>Vetlanda</v>
      </c>
      <c r="C150" s="10"/>
      <c r="D150" s="10"/>
      <c r="E150" s="10"/>
      <c r="F150" s="10"/>
      <c r="G150" s="10"/>
      <c r="H150" s="10"/>
      <c r="I150" s="10"/>
      <c r="J150" s="10"/>
      <c r="K150" s="10"/>
      <c r="L150" s="10">
        <v>0</v>
      </c>
      <c r="M150" s="10">
        <v>3</v>
      </c>
      <c r="N150" s="10">
        <v>2.9580000000000002</v>
      </c>
      <c r="O150" s="10">
        <v>3.5</v>
      </c>
      <c r="P150" s="10">
        <v>3.7370000000000001</v>
      </c>
      <c r="Q150" s="10">
        <v>4.4379999999999997</v>
      </c>
      <c r="R150" s="10">
        <v>3.5739999999999998</v>
      </c>
      <c r="S150" s="10">
        <f>IFERROR(VLOOKUP('Leveranser per nät'!A150,'lev 2012'!$B$2:$E$445,4,FALSE),"")</f>
        <v>3.74</v>
      </c>
      <c r="T150" s="10">
        <f>IFERROR(VLOOKUP('Leveranser per nät'!A150,'lev 2013'!$B$2:$E$445,4,FALSE),"")</f>
        <v>3.7</v>
      </c>
      <c r="U150" s="10">
        <f>IFERROR(VLOOKUP('Leveranser per nät'!A150,'lev 2014'!$B$2:$E$432,4,FALSE),"")</f>
        <v>3.3</v>
      </c>
      <c r="V150" s="10">
        <f>IFERROR(INDEX(Levererat_2015[Leveranser till eget nät],MATCH($A150,Levererat_2015[Indexnamn],0)),"")</f>
        <v>3.8</v>
      </c>
      <c r="W150" s="10">
        <f>IFERROR(INDEX(Levererat_2016[Leveranser till eget nät],MATCH($A150,Levererat_2016[Indexnamn],0)),"")</f>
        <v>3.9</v>
      </c>
      <c r="X150" s="10">
        <f>IFERROR(INDEX(Tabell4[Leveranser till eget nät],MATCH('Leveranser per nät'!A150,Tabell4[[Finns i listan ]],0)),"")</f>
        <v>4</v>
      </c>
      <c r="Y150" s="10">
        <f>IFERROR(INDEX(Tabell6[Kolumn1],MATCH($A150,Tabell6[Indexnmamn],0)),"")</f>
        <v>4.2</v>
      </c>
      <c r="Z150" s="10">
        <v>4.1470000000000002</v>
      </c>
      <c r="AA150" s="10">
        <v>3.7589999999999999</v>
      </c>
      <c r="AB150" s="10">
        <f>VLOOKUP(A150,Tabell9[[Indexnamn]:[Kolumn1]],3,FALSE)</f>
        <v>4.4009999999999998</v>
      </c>
      <c r="AC150" s="10">
        <f>VLOOKUP($A150,'Lev 2022'!$K$2:$L$474,2,FALSE)</f>
        <v>4.3390000000000004</v>
      </c>
      <c r="AG150" s="2">
        <f t="shared" si="5"/>
        <v>-6.1999999999999389E-2</v>
      </c>
      <c r="AH150" s="103">
        <f t="shared" si="6"/>
        <v>-1.4087707339240944E-2</v>
      </c>
    </row>
    <row r="151" spans="1:34" s="77" customFormat="1" x14ac:dyDescent="0.25">
      <c r="A151" s="5" t="s">
        <v>18</v>
      </c>
      <c r="B151" s="5" t="str">
        <f>VLOOKUP(A151,'Korrigerade leveranser GD'!$A$4:$B$482,2,FALSE)</f>
        <v>Avesta</v>
      </c>
      <c r="C151" s="69"/>
      <c r="D151" s="69"/>
      <c r="E151" s="69"/>
      <c r="F151" s="69"/>
      <c r="G151" s="69"/>
      <c r="H151" s="69"/>
      <c r="I151" s="69"/>
      <c r="J151" s="69"/>
      <c r="K151" s="69">
        <v>0</v>
      </c>
      <c r="L151" s="69">
        <v>19.848231995666833</v>
      </c>
      <c r="M151" s="69">
        <v>34.177</v>
      </c>
      <c r="N151" s="69">
        <v>33.700000000000003</v>
      </c>
      <c r="O151" s="69">
        <v>0</v>
      </c>
      <c r="P151" s="69">
        <v>7.0110000000000001</v>
      </c>
      <c r="Q151" s="69">
        <v>8.3000000000000007</v>
      </c>
      <c r="R151" s="69">
        <v>7.4</v>
      </c>
      <c r="S151" s="69">
        <f>IFERROR(VLOOKUP('Leveranser per nät'!A151,'lev 2012'!$B$2:$E$445,4,FALSE),"")</f>
        <v>8.6999999999999993</v>
      </c>
      <c r="T151" s="69">
        <v>8.5</v>
      </c>
      <c r="U151" s="69">
        <v>7.7</v>
      </c>
      <c r="V151" s="69">
        <v>7.6</v>
      </c>
      <c r="W151" s="69">
        <v>8.1</v>
      </c>
      <c r="X151" s="69">
        <v>8.1999999999999993</v>
      </c>
      <c r="Y151" s="69">
        <v>7.4</v>
      </c>
      <c r="Z151" s="69">
        <v>8</v>
      </c>
      <c r="AA151" s="58">
        <v>7.5990000000000002</v>
      </c>
      <c r="AB151" s="10">
        <f>VLOOKUP(A151,Tabell9[[Indexnamn]:[Kolumn1]],3,FALSE)</f>
        <v>8.3450000000000006</v>
      </c>
      <c r="AC151" s="10">
        <f>VLOOKUP($A151,'Lev 2022'!$K$2:$L$474,2,FALSE)</f>
        <v>7.585</v>
      </c>
      <c r="AD151"/>
      <c r="AE151"/>
      <c r="AG151" s="2">
        <f t="shared" si="5"/>
        <v>-0.76000000000000068</v>
      </c>
      <c r="AH151" s="103">
        <f t="shared" si="6"/>
        <v>-9.1072498502097143E-2</v>
      </c>
    </row>
    <row r="152" spans="1:34" x14ac:dyDescent="0.25">
      <c r="A152" t="s">
        <v>181</v>
      </c>
      <c r="B152" t="str">
        <f>VLOOKUP(A152,'Korrigerade leveranser GD'!$A$4:$B$482,2,FALSE)</f>
        <v>Kinna</v>
      </c>
      <c r="C152" s="10"/>
      <c r="D152" s="10"/>
      <c r="E152" s="10"/>
      <c r="F152" s="10"/>
      <c r="G152" s="10"/>
      <c r="H152" s="10"/>
      <c r="I152" s="10"/>
      <c r="J152" s="10"/>
      <c r="K152" s="10"/>
      <c r="L152" s="10">
        <v>0</v>
      </c>
      <c r="M152" s="10">
        <v>6.3070000000000004</v>
      </c>
      <c r="N152" s="10">
        <v>6.3070000000000004</v>
      </c>
      <c r="O152" s="56">
        <f>N152+(P152-N152)/2</f>
        <v>6.3070000000000004</v>
      </c>
      <c r="P152" s="10">
        <v>6.3070000000000004</v>
      </c>
      <c r="Q152" s="10">
        <v>7.7779999999999996</v>
      </c>
      <c r="R152" s="10">
        <v>6.1749999999999998</v>
      </c>
      <c r="S152" s="10">
        <f>IFERROR(VLOOKUP('Leveranser per nät'!A152,'lev 2012'!$B$2:$E$445,4,FALSE),"")</f>
        <v>6.77</v>
      </c>
      <c r="T152" s="10">
        <f>IFERROR(VLOOKUP('Leveranser per nät'!A152,'lev 2013'!$B$2:$E$445,4,FALSE),"")</f>
        <v>6.2610000000000001</v>
      </c>
      <c r="U152" s="10">
        <f>IFERROR(VLOOKUP('Leveranser per nät'!A152,'lev 2014'!$B$2:$E$432,4,FALSE),"")</f>
        <v>6.5030000000000001</v>
      </c>
      <c r="V152" s="10">
        <f>IFERROR(INDEX(Levererat_2015[Leveranser till eget nät],MATCH($A152,Levererat_2015[Indexnamn],0)),"")</f>
        <v>5.7140000000000004</v>
      </c>
      <c r="W152" s="10">
        <f>IFERROR(INDEX(Levererat_2016[Leveranser till eget nät],MATCH($A152,Levererat_2016[Indexnamn],0)),"")</f>
        <v>5.8639999999999999</v>
      </c>
      <c r="X152" s="10">
        <f>IFERROR(INDEX(Tabell4[Leveranser till eget nät],MATCH('Leveranser per nät'!A152,Tabell4[[Finns i listan ]],0)),"")</f>
        <v>5.65</v>
      </c>
      <c r="Y152" s="10">
        <f>IFERROR(INDEX(Tabell6[Kolumn1],MATCH($A152,Tabell6[Indexnmamn],0)),"")</f>
        <v>5.46</v>
      </c>
      <c r="Z152" s="10">
        <v>5.17</v>
      </c>
      <c r="AA152" s="10">
        <v>5.05</v>
      </c>
      <c r="AB152" s="10">
        <f>VLOOKUP(A152,Tabell9[[Indexnamn]:[Kolumn1]],3,FALSE)</f>
        <v>6.21</v>
      </c>
      <c r="AC152" s="10">
        <f>VLOOKUP($A152,'Lev 2022'!$K$2:$L$474,2,FALSE)</f>
        <v>5.48</v>
      </c>
      <c r="AG152" s="2">
        <f t="shared" si="5"/>
        <v>-0.72999999999999954</v>
      </c>
      <c r="AH152" s="103">
        <f t="shared" si="6"/>
        <v>-0.11755233494363922</v>
      </c>
    </row>
    <row r="153" spans="1:34" s="65" customFormat="1" x14ac:dyDescent="0.25">
      <c r="A153" s="65" t="s">
        <v>231</v>
      </c>
      <c r="B153" s="65" t="str">
        <f>VLOOKUP(A153,'Korrigerade leveranser GD'!$A$4:$B$482,2,FALSE)</f>
        <v>Piteå</v>
      </c>
      <c r="C153" s="68">
        <v>8</v>
      </c>
      <c r="D153" s="68">
        <v>7.01</v>
      </c>
      <c r="E153" s="68">
        <v>7</v>
      </c>
      <c r="F153" s="68">
        <v>7</v>
      </c>
      <c r="G153" s="68">
        <v>0</v>
      </c>
      <c r="H153" s="68"/>
      <c r="I153" s="68"/>
      <c r="J153" s="68"/>
      <c r="K153" s="68"/>
      <c r="L153" s="68"/>
      <c r="M153" s="68"/>
      <c r="N153" s="68"/>
      <c r="O153" s="68"/>
      <c r="P153" s="68"/>
      <c r="Q153" s="68"/>
      <c r="R153" s="68"/>
      <c r="S153" s="68" t="str">
        <f>IFERROR(VLOOKUP('Leveranser per nät'!A153,'lev 2012'!$B$2:$E$445,4,FALSE),"")</f>
        <v/>
      </c>
      <c r="T153" s="68" t="str">
        <f>IFERROR(VLOOKUP('Leveranser per nät'!A153,'lev 2013'!$B$2:$E$445,4,FALSE),"")</f>
        <v/>
      </c>
      <c r="U153" s="68" t="str">
        <f>IFERROR(VLOOKUP('Leveranser per nät'!A153,'lev 2014'!$B$2:$E$432,4,FALSE),"")</f>
        <v/>
      </c>
      <c r="V153" s="68" t="str">
        <f>IFERROR(INDEX(Levererat_2015[Leveranser till eget nät],MATCH($A153,Levererat_2015[Indexnamn],0)),"")</f>
        <v/>
      </c>
      <c r="W153" s="68" t="str">
        <f>IFERROR(INDEX(Levererat_2016[Leveranser till eget nät],MATCH($A153,Levererat_2016[Indexnamn],0)),"")</f>
        <v/>
      </c>
      <c r="X153" s="68" t="str">
        <f>IFERROR(INDEX(Tabell4[Leveranser till eget nät],MATCH('Leveranser per nät'!A153,Tabell4[[Finns i listan ]],0)),"")</f>
        <v/>
      </c>
      <c r="Y153" s="68" t="str">
        <f>IFERROR(INDEX(Tabell6[Kolumn1],MATCH($A153,Tabell6[Indexnmamn],0)),"")</f>
        <v/>
      </c>
      <c r="Z153" s="68"/>
      <c r="AA153" s="68" t="s">
        <v>779</v>
      </c>
      <c r="AB153" s="10"/>
      <c r="AC153" s="10"/>
      <c r="AD153"/>
      <c r="AE153"/>
      <c r="AG153" s="2"/>
      <c r="AH153" s="103"/>
    </row>
    <row r="154" spans="1:34" s="77" customFormat="1" x14ac:dyDescent="0.25">
      <c r="A154" s="77" t="s">
        <v>401</v>
      </c>
      <c r="B154" s="77" t="str">
        <f>VLOOKUP(A154,'Korrigerade leveranser GD'!$A$4:$B$482,2,FALSE)</f>
        <v>Dorotea</v>
      </c>
      <c r="C154" s="69"/>
      <c r="D154" s="69"/>
      <c r="E154" s="69">
        <v>5</v>
      </c>
      <c r="F154" s="69">
        <v>4.4640000000000004</v>
      </c>
      <c r="G154" s="69">
        <v>4.41</v>
      </c>
      <c r="H154" s="69">
        <v>5</v>
      </c>
      <c r="I154" s="69">
        <v>4</v>
      </c>
      <c r="J154" s="69">
        <v>4</v>
      </c>
      <c r="K154" s="69">
        <v>6.5510425741519178</v>
      </c>
      <c r="L154" s="69">
        <v>6.5510425741519178</v>
      </c>
      <c r="M154" s="69">
        <v>0</v>
      </c>
      <c r="N154" s="69"/>
      <c r="O154" s="69"/>
      <c r="P154" s="69"/>
      <c r="Q154" s="69"/>
      <c r="R154" s="69"/>
      <c r="S154" s="69">
        <v>5.2</v>
      </c>
      <c r="T154" s="69">
        <v>4.9000000000000004</v>
      </c>
      <c r="U154" s="69">
        <v>4.5</v>
      </c>
      <c r="V154" s="69">
        <v>5.3</v>
      </c>
      <c r="W154" s="69">
        <v>5.0999999999999996</v>
      </c>
      <c r="X154" s="69">
        <v>5</v>
      </c>
      <c r="Y154" s="69">
        <v>5.0999999999999996</v>
      </c>
      <c r="Z154" s="69">
        <v>4.8</v>
      </c>
      <c r="AA154" s="69">
        <v>4.5</v>
      </c>
      <c r="AB154" s="69">
        <v>4.9000000000000004</v>
      </c>
      <c r="AC154" s="56">
        <f>AB154*(1-0.07)</f>
        <v>4.5570000000000004</v>
      </c>
      <c r="AD154"/>
      <c r="AE154"/>
      <c r="AG154" s="2"/>
      <c r="AH154" s="103"/>
    </row>
    <row r="155" spans="1:34" s="65" customFormat="1" x14ac:dyDescent="0.25">
      <c r="A155" s="65" t="s">
        <v>488</v>
      </c>
      <c r="B155" s="65" t="str">
        <f>VLOOKUP(A155,'Korrigerade leveranser GD'!$A$4:$B$482,2,FALSE)</f>
        <v>Stockholm</v>
      </c>
      <c r="C155" s="68"/>
      <c r="D155" s="68"/>
      <c r="E155" s="68"/>
      <c r="F155" s="68"/>
      <c r="G155" s="68"/>
      <c r="H155" s="68"/>
      <c r="I155" s="68"/>
      <c r="J155" s="68"/>
      <c r="K155" s="68"/>
      <c r="L155" s="68"/>
      <c r="M155" s="68"/>
      <c r="N155" s="68"/>
      <c r="O155" s="68"/>
      <c r="P155" s="68">
        <v>0</v>
      </c>
      <c r="Q155" s="68">
        <v>604.101</v>
      </c>
      <c r="R155" s="68">
        <v>502.59300000000002</v>
      </c>
      <c r="S155" s="68">
        <f>IFERROR(VLOOKUP('Leveranser per nät'!A155,'lev 2012'!$B$2:$E$445,4,FALSE),"")</f>
        <v>533</v>
      </c>
      <c r="T155" s="68" t="str">
        <f>IFERROR(VLOOKUP('Leveranser per nät'!A155,'lev 2013'!$B$2:$E$445,4,FALSE),"")</f>
        <v/>
      </c>
      <c r="U155" s="68" t="str">
        <f>IFERROR(VLOOKUP('Leveranser per nät'!A155,'lev 2014'!$B$2:$E$432,4,FALSE),"")</f>
        <v/>
      </c>
      <c r="V155" s="68" t="str">
        <f>IFERROR(INDEX(Levererat_2015[Leveranser till eget nät],MATCH($A155,Levererat_2015[Indexnamn],0)),"")</f>
        <v/>
      </c>
      <c r="W155" s="68" t="str">
        <f>IFERROR(INDEX(Levererat_2016[Leveranser till eget nät],MATCH($A155,Levererat_2016[Indexnamn],0)),"")</f>
        <v/>
      </c>
      <c r="X155" s="68" t="str">
        <f>IFERROR(INDEX(Tabell4[Leveranser till eget nät],MATCH('Leveranser per nät'!A155,Tabell4[[Finns i listan ]],0)),"")</f>
        <v/>
      </c>
      <c r="Y155" s="68" t="str">
        <f>IFERROR(INDEX(Tabell6[Kolumn1],MATCH($A155,Tabell6[Indexnmamn],0)),"")</f>
        <v/>
      </c>
      <c r="Z155" s="68"/>
      <c r="AA155" s="68" t="s">
        <v>779</v>
      </c>
      <c r="AB155" s="10"/>
      <c r="AC155" s="10"/>
      <c r="AD155"/>
      <c r="AE155"/>
      <c r="AG155" s="2"/>
      <c r="AH155" s="103"/>
    </row>
    <row r="156" spans="1:34" x14ac:dyDescent="0.25">
      <c r="A156" t="s">
        <v>117</v>
      </c>
      <c r="B156" t="str">
        <f>VLOOKUP(A156,'Korrigerade leveranser GD'!$A$4:$B$482,2,FALSE)</f>
        <v>Hudiksvall</v>
      </c>
      <c r="C156" s="10">
        <v>160</v>
      </c>
      <c r="D156" s="10">
        <v>150</v>
      </c>
      <c r="E156" s="10">
        <v>165</v>
      </c>
      <c r="F156" s="10">
        <v>165</v>
      </c>
      <c r="G156" s="10">
        <v>157</v>
      </c>
      <c r="H156" s="10">
        <v>170</v>
      </c>
      <c r="I156" s="10">
        <v>168</v>
      </c>
      <c r="J156" s="10">
        <v>166</v>
      </c>
      <c r="K156" s="10">
        <v>0</v>
      </c>
      <c r="L156" s="10">
        <v>0</v>
      </c>
      <c r="M156" s="10">
        <v>0</v>
      </c>
      <c r="N156" s="10">
        <v>0</v>
      </c>
      <c r="O156" s="10">
        <v>136</v>
      </c>
      <c r="P156" s="10">
        <v>136</v>
      </c>
      <c r="Q156" s="10">
        <v>159.82892999999999</v>
      </c>
      <c r="R156" s="10">
        <v>122.253</v>
      </c>
      <c r="S156" s="10">
        <f>IFERROR(VLOOKUP('Leveranser per nät'!A156,'lev 2012'!$B$2:$E$445,4,FALSE),"")</f>
        <v>129</v>
      </c>
      <c r="T156" s="10">
        <f>IFERROR(VLOOKUP('Leveranser per nät'!A156,'lev 2013'!$B$2:$E$445,4,FALSE),"")</f>
        <v>127.238</v>
      </c>
      <c r="U156" s="10">
        <f>IFERROR(VLOOKUP('Leveranser per nät'!A156,'lev 2014'!$B$2:$E$432,4,FALSE),"")</f>
        <v>117.197</v>
      </c>
      <c r="V156" s="10">
        <f>IFERROR(INDEX(Levererat_2015[Leveranser till eget nät],MATCH($A156,Levererat_2015[Indexnamn],0)),"")</f>
        <v>112.843</v>
      </c>
      <c r="W156" s="10">
        <f>IFERROR(INDEX(Levererat_2016[Leveranser till eget nät],MATCH($A156,Levererat_2016[Indexnamn],0)),"")</f>
        <v>118.759</v>
      </c>
      <c r="X156" s="10">
        <f>IFERROR(INDEX(Tabell4[Leveranser till eget nät],MATCH('Leveranser per nät'!A156,Tabell4[[Finns i listan ]],0)),"")</f>
        <v>117.779</v>
      </c>
      <c r="Y156" s="10">
        <f>IFERROR(INDEX(Tabell6[Kolumn1],MATCH($A156,Tabell6[Indexnmamn],0)),"")</f>
        <v>120.9</v>
      </c>
      <c r="Z156" s="10">
        <v>118.883</v>
      </c>
      <c r="AA156" s="10">
        <v>103.55200000000001</v>
      </c>
      <c r="AB156" s="10">
        <f>VLOOKUP(A156,Tabell9[[Indexnamn]:[Kolumn1]],3,FALSE)</f>
        <v>119.17400000000001</v>
      </c>
      <c r="AC156" s="10">
        <f>VLOOKUP($A156,'Lev 2022'!$K$2:$L$474,2,FALSE)</f>
        <v>110.333</v>
      </c>
      <c r="AG156" s="2">
        <f t="shared" si="5"/>
        <v>-8.8410000000000082</v>
      </c>
      <c r="AH156" s="103">
        <f t="shared" si="6"/>
        <v>-7.4185644519777869E-2</v>
      </c>
    </row>
    <row r="157" spans="1:34" x14ac:dyDescent="0.25">
      <c r="A157" t="s">
        <v>215</v>
      </c>
      <c r="B157" t="str">
        <f>VLOOKUP(A157,'Korrigerade leveranser GD'!$A$4:$B$482,2,FALSE)</f>
        <v>Hultsfred</v>
      </c>
      <c r="C157" s="10"/>
      <c r="D157" s="10"/>
      <c r="E157" s="10"/>
      <c r="F157" s="10"/>
      <c r="G157" s="10">
        <v>0</v>
      </c>
      <c r="H157" s="10">
        <v>38</v>
      </c>
      <c r="I157" s="56">
        <f>H157+(J157-H157)/2</f>
        <v>37.713499999999996</v>
      </c>
      <c r="J157" s="10">
        <v>37.427</v>
      </c>
      <c r="K157" s="10">
        <v>42.055443158075647</v>
      </c>
      <c r="L157" s="10">
        <v>42.055443158075647</v>
      </c>
      <c r="M157" s="10">
        <v>34.387</v>
      </c>
      <c r="N157" s="56">
        <f>M157+(O157-M157)/2</f>
        <v>36.093499999999999</v>
      </c>
      <c r="O157" s="10">
        <v>37.799999999999997</v>
      </c>
      <c r="P157" s="10">
        <v>36.03</v>
      </c>
      <c r="Q157" s="10">
        <v>42.57</v>
      </c>
      <c r="R157" s="10">
        <v>36</v>
      </c>
      <c r="S157" s="10">
        <v>51</v>
      </c>
      <c r="T157" s="10">
        <v>31</v>
      </c>
      <c r="U157" s="10">
        <v>31</v>
      </c>
      <c r="V157" s="10">
        <v>32</v>
      </c>
      <c r="W157" s="10">
        <v>33</v>
      </c>
      <c r="X157" s="58">
        <v>34.1</v>
      </c>
      <c r="Y157" s="10">
        <f>IFERROR(INDEX(Tabell6[Kolumn1],MATCH($A157,Tabell6[Indexnmamn],0)),"")</f>
        <v>32.593000000000004</v>
      </c>
      <c r="Z157" s="10">
        <v>31.111999999999998</v>
      </c>
      <c r="AA157" s="10">
        <v>28.928999999999998</v>
      </c>
      <c r="AB157" s="10">
        <f>VLOOKUP(A157,Tabell9[[Indexnamn]:[Kolumn1]],3,FALSE)</f>
        <v>33.323</v>
      </c>
      <c r="AC157" s="10">
        <f>VLOOKUP($A157,'Lev 2022'!$K$2:$L$474,2,FALSE)</f>
        <v>29.885000000000002</v>
      </c>
      <c r="AG157" s="2">
        <f t="shared" si="5"/>
        <v>-3.4379999999999988</v>
      </c>
      <c r="AH157" s="103">
        <f t="shared" si="6"/>
        <v>-0.10317198331482756</v>
      </c>
    </row>
    <row r="158" spans="1:34" x14ac:dyDescent="0.25">
      <c r="A158" t="s">
        <v>379</v>
      </c>
      <c r="B158" t="str">
        <f>VLOOKUP(A158,'Korrigerade leveranser GD'!$A$4:$B$482,2,FALSE)</f>
        <v>Örnsköldsvik</v>
      </c>
      <c r="C158" s="10"/>
      <c r="D158" s="10"/>
      <c r="E158" s="10"/>
      <c r="F158" s="10"/>
      <c r="G158" s="10"/>
      <c r="H158" s="10"/>
      <c r="I158" s="10"/>
      <c r="J158" s="10"/>
      <c r="K158" s="10"/>
      <c r="L158" s="10">
        <v>0</v>
      </c>
      <c r="M158" s="10">
        <v>7.9980000000000002</v>
      </c>
      <c r="N158" s="10">
        <v>7.5650000000000004</v>
      </c>
      <c r="O158" s="10">
        <v>7.1269999999999998</v>
      </c>
      <c r="P158" s="10">
        <v>7.58256</v>
      </c>
      <c r="Q158" s="10">
        <v>8.5609999999999999</v>
      </c>
      <c r="R158" s="58">
        <v>7</v>
      </c>
      <c r="S158" s="10">
        <f>IFERROR(VLOOKUP('Leveranser per nät'!A158,'lev 2012'!$B$2:$E$445,4,FALSE),"")</f>
        <v>7.45</v>
      </c>
      <c r="T158" s="10">
        <f>IFERROR(VLOOKUP('Leveranser per nät'!A158,'lev 2013'!$B$2:$E$445,4,FALSE),"")</f>
        <v>6.7640000000000002</v>
      </c>
      <c r="U158" s="10">
        <f>IFERROR(VLOOKUP('Leveranser per nät'!A158,'lev 2014'!$B$2:$E$432,4,FALSE),"")</f>
        <v>6.1459999999999999</v>
      </c>
      <c r="V158" s="10">
        <f>IFERROR(INDEX(Levererat_2015[Leveranser till eget nät],MATCH($A158,Levererat_2015[Indexnamn],0)),"")</f>
        <v>6.2869999999999999</v>
      </c>
      <c r="W158" s="10">
        <f>IFERROR(INDEX(Levererat_2016[Leveranser till eget nät],MATCH($A158,Levererat_2016[Indexnamn],0)),"")</f>
        <v>6.931</v>
      </c>
      <c r="X158" s="10">
        <f>IFERROR(INDEX(Tabell4[Leveranser till eget nät],MATCH('Leveranser per nät'!A158,Tabell4[[Finns i listan ]],0)),"")</f>
        <v>6.9189999999999996</v>
      </c>
      <c r="Y158" s="10">
        <f>IFERROR(INDEX(Tabell6[Kolumn1],MATCH($A158,Tabell6[Indexnmamn],0)),"")</f>
        <v>6.8</v>
      </c>
      <c r="Z158" s="10">
        <v>6.68</v>
      </c>
      <c r="AA158" s="10">
        <v>5.89</v>
      </c>
      <c r="AB158" s="10">
        <f>VLOOKUP(A158,Tabell9[[Indexnamn]:[Kolumn1]],3,FALSE)</f>
        <v>4.5199999999999996</v>
      </c>
      <c r="AC158" s="10">
        <f>VLOOKUP($A158,'Lev 2022'!$K$2:$L$474,2,FALSE)</f>
        <v>6.97</v>
      </c>
      <c r="AG158" s="2">
        <f t="shared" si="5"/>
        <v>2.4500000000000002</v>
      </c>
      <c r="AH158" s="103">
        <f t="shared" si="6"/>
        <v>0.54203539823008862</v>
      </c>
    </row>
    <row r="159" spans="1:34" x14ac:dyDescent="0.25">
      <c r="A159" t="s">
        <v>631</v>
      </c>
      <c r="B159" t="str">
        <f>VLOOKUP(A159,'Korrigerade leveranser GD'!$A$4:$B$482,2,FALSE)</f>
        <v>Degerfors</v>
      </c>
      <c r="C159" s="10">
        <v>36</v>
      </c>
      <c r="D159" s="10">
        <v>30.28</v>
      </c>
      <c r="E159" s="10">
        <v>33</v>
      </c>
      <c r="F159" s="10">
        <v>32</v>
      </c>
      <c r="G159" s="10">
        <v>30</v>
      </c>
      <c r="H159" s="10">
        <v>35</v>
      </c>
      <c r="I159" s="10">
        <v>37</v>
      </c>
      <c r="J159" s="10">
        <v>39</v>
      </c>
      <c r="K159" s="10">
        <v>34.799999999999997</v>
      </c>
      <c r="L159" s="10">
        <v>35.978000000000002</v>
      </c>
      <c r="M159" s="10">
        <v>31.5</v>
      </c>
      <c r="N159" s="10">
        <v>33.5</v>
      </c>
      <c r="O159" s="10">
        <v>32.799999999999997</v>
      </c>
      <c r="P159" s="10">
        <v>34.9</v>
      </c>
      <c r="Q159" s="10">
        <v>40.200000000000003</v>
      </c>
      <c r="R159" s="10">
        <v>31.5</v>
      </c>
      <c r="S159" s="10">
        <f>IFERROR(VLOOKUP('Leveranser per nät'!A159,'lev 2012'!$B$2:$E$445,4,FALSE),"")</f>
        <v>36</v>
      </c>
      <c r="T159" s="10">
        <f>IFERROR(VLOOKUP('Leveranser per nät'!A159,'lev 2013'!$B$2:$E$445,4,FALSE),"")</f>
        <v>34.659999999999997</v>
      </c>
      <c r="U159" s="10">
        <f>IFERROR(VLOOKUP('Leveranser per nät'!A159,'lev 2014'!$B$2:$E$432,4,FALSE),"")</f>
        <v>30.693000000000001</v>
      </c>
      <c r="V159" s="10">
        <f>IFERROR(INDEX(Levererat_2015[Leveranser till eget nät],MATCH($A159,Levererat_2015[Indexnamn],0)),"")</f>
        <v>31.568000000000001</v>
      </c>
      <c r="W159" s="10">
        <f>IFERROR(INDEX(Levererat_2016[Leveranser till eget nät],MATCH($A159,Levererat_2016[Indexnamn],0)),"")</f>
        <v>33.549999999999997</v>
      </c>
      <c r="X159" s="10">
        <f>IFERROR(INDEX(Tabell4[Leveranser till eget nät],MATCH('Leveranser per nät'!A159,Tabell4[[Finns i listan ]],0)),"")</f>
        <v>33.06</v>
      </c>
      <c r="Y159" s="10">
        <f>IFERROR(INDEX(Tabell6[Kolumn1],MATCH($A159,Tabell6[Indexnmamn],0)),"")</f>
        <v>35.369999999999997</v>
      </c>
      <c r="Z159" s="10">
        <v>35.67</v>
      </c>
      <c r="AA159" s="10">
        <v>31.303000000000001</v>
      </c>
      <c r="AB159" s="10">
        <f>VLOOKUP(A159,Tabell9[[Indexnamn]:[Kolumn1]],3,FALSE)</f>
        <v>38.43</v>
      </c>
      <c r="AC159" s="10">
        <f>VLOOKUP($A159,'Lev 2022'!$K$2:$L$474,2,FALSE)</f>
        <v>34.51</v>
      </c>
      <c r="AG159" s="2">
        <f t="shared" si="5"/>
        <v>-3.9200000000000017</v>
      </c>
      <c r="AH159" s="103">
        <f t="shared" si="6"/>
        <v>-0.10200364298724959</v>
      </c>
    </row>
    <row r="160" spans="1:34" x14ac:dyDescent="0.25">
      <c r="A160" s="4" t="s">
        <v>385</v>
      </c>
      <c r="B160" t="str">
        <f>VLOOKUP(A160,'Korrigerade leveranser GD'!$A$4:$B$482,2,FALSE)</f>
        <v>Kungälv</v>
      </c>
      <c r="C160" s="10"/>
      <c r="D160" s="10"/>
      <c r="E160" s="10"/>
      <c r="F160" s="10"/>
      <c r="G160" s="10"/>
      <c r="H160" s="10"/>
      <c r="I160" s="10"/>
      <c r="J160" s="10"/>
      <c r="K160" s="10"/>
      <c r="L160" s="10">
        <v>0.21259204751240499</v>
      </c>
      <c r="M160" s="56">
        <f>L160+(N160-L160)/2</f>
        <v>0.68629602375620247</v>
      </c>
      <c r="N160" s="10">
        <v>1.1599999999999999</v>
      </c>
      <c r="O160" s="10">
        <v>0.94199999999999995</v>
      </c>
      <c r="P160" s="10">
        <v>1.097</v>
      </c>
      <c r="Q160" s="10">
        <v>1.4870000000000001</v>
      </c>
      <c r="R160" s="10">
        <v>1.21</v>
      </c>
      <c r="S160" s="10">
        <f>IFERROR(VLOOKUP('Leveranser per nät'!A160,'lev 2012'!$B$2:$E$445,4,FALSE),"")</f>
        <v>1.3</v>
      </c>
      <c r="T160" s="10">
        <f>IFERROR(VLOOKUP('Leveranser per nät'!A160,'lev 2013'!$B$2:$E$445,4,FALSE),"")</f>
        <v>1.35</v>
      </c>
      <c r="U160" s="10">
        <f>IFERROR(VLOOKUP('Leveranser per nät'!A160,'lev 2014'!$B$2:$E$432,4,FALSE),"")</f>
        <v>1.1399999999999999</v>
      </c>
      <c r="V160" s="10">
        <f>IFERROR(INDEX(Levererat_2015[Leveranser till eget nät],MATCH($A160,Levererat_2015[Indexnamn],0)),"")</f>
        <v>1.17</v>
      </c>
      <c r="W160" s="10">
        <f>IFERROR(INDEX(Levererat_2016[Leveranser till eget nät],MATCH($A160,Levererat_2016[Indexnamn],0)),"")</f>
        <v>1.1499999999999999</v>
      </c>
      <c r="X160" s="10">
        <f>IFERROR(INDEX(Tabell4[Leveranser till eget nät],MATCH('Leveranser per nät'!A160,Tabell4[[Finns i listan ]],0)),"")</f>
        <v>1.06</v>
      </c>
      <c r="Y160" s="10">
        <f>IFERROR(INDEX(Tabell6[Kolumn1],MATCH($A160,Tabell6[Indexnmamn],0)),"")</f>
        <v>1.1025</v>
      </c>
      <c r="Z160" s="10">
        <v>1.095</v>
      </c>
      <c r="AA160" s="10">
        <v>1.0489999999999999</v>
      </c>
      <c r="AB160" s="10">
        <f>VLOOKUP(A160,Tabell9[[Indexnamn]:[Kolumn1]],3,FALSE)</f>
        <v>1.1339999999999999</v>
      </c>
      <c r="AC160" s="10">
        <f>VLOOKUP($A160,'Lev 2022'!$K$2:$L$474,2,FALSE)</f>
        <v>1.0469999999999999</v>
      </c>
      <c r="AG160" s="2">
        <f t="shared" si="5"/>
        <v>-8.6999999999999966E-2</v>
      </c>
      <c r="AH160" s="103">
        <f t="shared" si="6"/>
        <v>-7.6719576719576701E-2</v>
      </c>
    </row>
    <row r="161" spans="1:34" x14ac:dyDescent="0.25">
      <c r="A161" s="4" t="s">
        <v>386</v>
      </c>
      <c r="B161" t="str">
        <f>VLOOKUP(A161,'Korrigerade leveranser GD'!$A$4:$B$482,2,FALSE)</f>
        <v>Kungälv</v>
      </c>
      <c r="C161" s="10"/>
      <c r="D161" s="10"/>
      <c r="E161" s="10"/>
      <c r="F161" s="10"/>
      <c r="G161" s="10"/>
      <c r="H161" s="10"/>
      <c r="I161" s="10"/>
      <c r="J161" s="10">
        <v>1</v>
      </c>
      <c r="K161" s="56">
        <f t="shared" ref="K161:K162" si="7">J161+(L161-J161)/2</f>
        <v>1.1845241320425606</v>
      </c>
      <c r="L161" s="10">
        <v>1.3690482640851209</v>
      </c>
      <c r="M161" s="56">
        <f t="shared" ref="M161:M162" si="8">L161+(N161-L161)/2</f>
        <v>1.1560241320425604</v>
      </c>
      <c r="N161" s="10">
        <v>0.94299999999999995</v>
      </c>
      <c r="O161" s="10">
        <v>0.82799999999999996</v>
      </c>
      <c r="P161" s="10">
        <v>0.86199999999999999</v>
      </c>
      <c r="Q161" s="10">
        <v>1.1240000000000001</v>
      </c>
      <c r="R161" s="10">
        <v>0.94</v>
      </c>
      <c r="S161" s="10">
        <f>IFERROR(VLOOKUP('Leveranser per nät'!A161,'lev 2012'!$B$2:$E$445,4,FALSE),"")</f>
        <v>0.95</v>
      </c>
      <c r="T161" s="10">
        <f>IFERROR(VLOOKUP('Leveranser per nät'!A161,'lev 2013'!$B$2:$E$445,4,FALSE),"")</f>
        <v>0.85</v>
      </c>
      <c r="U161" s="10">
        <f>IFERROR(VLOOKUP('Leveranser per nät'!A161,'lev 2014'!$B$2:$E$432,4,FALSE),"")</f>
        <v>0.75600000000000001</v>
      </c>
      <c r="V161" s="10">
        <f>IFERROR(INDEX(Levererat_2015[Leveranser till eget nät],MATCH($A161,Levererat_2015[Indexnamn],0)),"")</f>
        <v>0.77</v>
      </c>
      <c r="W161" s="10">
        <f>IFERROR(INDEX(Levererat_2016[Leveranser till eget nät],MATCH($A161,Levererat_2016[Indexnamn],0)),"")</f>
        <v>0.89</v>
      </c>
      <c r="X161" s="10">
        <f>IFERROR(INDEX(Tabell4[Leveranser till eget nät],MATCH('Leveranser per nät'!A161,Tabell4[[Finns i listan ]],0)),"")</f>
        <v>0.75</v>
      </c>
      <c r="Y161" s="10">
        <f>IFERROR(INDEX(Tabell6[Kolumn1],MATCH($A161,Tabell6[Indexnmamn],0)),"")</f>
        <v>0.81089999999999995</v>
      </c>
      <c r="Z161" s="10">
        <v>1.032</v>
      </c>
      <c r="AA161" s="10">
        <v>1.012</v>
      </c>
      <c r="AB161" s="10">
        <f>VLOOKUP(A161,Tabell9[[Indexnamn]:[Kolumn1]],3,FALSE)</f>
        <v>1.157</v>
      </c>
      <c r="AC161" s="10">
        <f>VLOOKUP($A161,'Lev 2022'!$K$2:$L$474,2,FALSE)</f>
        <v>1.1859999999999999</v>
      </c>
      <c r="AG161" s="2">
        <f t="shared" si="5"/>
        <v>2.8999999999999915E-2</v>
      </c>
      <c r="AH161" s="103">
        <f t="shared" si="6"/>
        <v>2.5064822817631734E-2</v>
      </c>
    </row>
    <row r="162" spans="1:34" s="65" customFormat="1" x14ac:dyDescent="0.25">
      <c r="A162" s="66" t="s">
        <v>387</v>
      </c>
      <c r="B162" s="65" t="str">
        <f>VLOOKUP(A162,'Korrigerade leveranser GD'!$A$4:$B$482,2,FALSE)</f>
        <v>Kungälv</v>
      </c>
      <c r="C162" s="68"/>
      <c r="D162" s="68"/>
      <c r="E162" s="68"/>
      <c r="F162" s="68"/>
      <c r="G162" s="68"/>
      <c r="H162" s="68"/>
      <c r="I162" s="68">
        <v>2</v>
      </c>
      <c r="J162" s="68">
        <v>2</v>
      </c>
      <c r="K162" s="71">
        <f t="shared" si="7"/>
        <v>2.528</v>
      </c>
      <c r="L162" s="68">
        <v>3.056</v>
      </c>
      <c r="M162" s="71">
        <f t="shared" si="8"/>
        <v>2.7815000000000003</v>
      </c>
      <c r="N162" s="68">
        <v>2.5070000000000001</v>
      </c>
      <c r="O162" s="68">
        <v>2.1890000000000001</v>
      </c>
      <c r="P162" s="68">
        <v>2.4750000000000001</v>
      </c>
      <c r="Q162" s="68">
        <v>3.0179999999999998</v>
      </c>
      <c r="R162" s="68">
        <v>2.6</v>
      </c>
      <c r="S162" s="68">
        <f>IFERROR(VLOOKUP('Leveranser per nät'!A162,'lev 2012'!$B$2:$E$445,4,FALSE),"")</f>
        <v>3.1</v>
      </c>
      <c r="T162" s="68">
        <f>IFERROR(VLOOKUP('Leveranser per nät'!A162,'lev 2013'!$B$2:$E$445,4,FALSE),"")</f>
        <v>2.99</v>
      </c>
      <c r="U162" s="68">
        <f>IFERROR(VLOOKUP('Leveranser per nät'!A162,'lev 2014'!$B$2:$E$432,4,FALSE),"")</f>
        <v>2.76</v>
      </c>
      <c r="V162" s="68">
        <f>IFERROR(INDEX(Levererat_2015[Leveranser till eget nät],MATCH($A162,Levererat_2015[Indexnamn],0)),"")</f>
        <v>2.8</v>
      </c>
      <c r="W162" s="68">
        <f>IFERROR(INDEX(Levererat_2016[Leveranser till eget nät],MATCH($A162,Levererat_2016[Indexnamn],0)),"")</f>
        <v>2.9</v>
      </c>
      <c r="X162" s="68">
        <f>IFERROR(INDEX(Tabell4[Leveranser till eget nät],MATCH('Leveranser per nät'!A162,Tabell4[[Finns i listan ]],0)),"")</f>
        <v>2.9</v>
      </c>
      <c r="Y162" s="68">
        <f>IFERROR(INDEX(Tabell6[Kolumn1],MATCH($A162,Tabell6[Indexnmamn],0)),"")</f>
        <v>3</v>
      </c>
      <c r="Z162" s="68">
        <v>2.5499999999999998</v>
      </c>
      <c r="AA162" s="68">
        <v>2.38</v>
      </c>
      <c r="AB162" s="68"/>
      <c r="AC162" s="10"/>
      <c r="AG162" s="2">
        <f t="shared" si="5"/>
        <v>0</v>
      </c>
      <c r="AH162" s="103"/>
    </row>
    <row r="163" spans="1:34" x14ac:dyDescent="0.25">
      <c r="A163" s="4" t="s">
        <v>772</v>
      </c>
      <c r="B163" t="str">
        <f>VLOOKUP(A163,'Korrigerade leveranser GD'!$A$4:$B$482,2,FALSE)</f>
        <v>Göteborg</v>
      </c>
      <c r="C163" s="10"/>
      <c r="D163" s="10"/>
      <c r="E163" s="10"/>
      <c r="F163" s="10"/>
      <c r="G163" s="10"/>
      <c r="H163" s="10"/>
      <c r="I163" s="10"/>
      <c r="J163" s="10"/>
      <c r="K163" s="10"/>
      <c r="L163" s="10"/>
      <c r="M163" s="10"/>
      <c r="N163" s="10"/>
      <c r="O163" s="10"/>
      <c r="P163" s="10"/>
      <c r="Q163" s="10"/>
      <c r="R163" s="10"/>
      <c r="S163" s="10">
        <f>IFERROR(VLOOKUP('Leveranser per nät'!A163,'lev 2012'!$B$2:$E$445,4,FALSE),"")</f>
        <v>0.56999999999999995</v>
      </c>
      <c r="T163" s="10">
        <v>1.216</v>
      </c>
      <c r="U163" s="10">
        <f>IFERROR(VLOOKUP('Leveranser per nät'!A163,'lev 2014'!$B$2:$E$432,4,FALSE),"")</f>
        <v>1.0549999999999999</v>
      </c>
      <c r="V163" s="10">
        <v>1.0780000000000001</v>
      </c>
      <c r="W163" s="10">
        <f>IFERROR(INDEX(Levererat_2016[Leveranser till eget nät],MATCH($A163,Levererat_2016[Indexnamn],0)),"")</f>
        <v>1.23</v>
      </c>
      <c r="X163" s="10">
        <f>IFERROR(INDEX(Tabell4[Leveranser till eget nät],MATCH('Leveranser per nät'!A163,Tabell4[[Finns i listan ]],0)),"")</f>
        <v>1.228</v>
      </c>
      <c r="Y163" s="10">
        <f>IFERROR(INDEX(Tabell6[Kolumn1],MATCH($A163,Tabell6[Indexnmamn],0)),"")</f>
        <v>1.226</v>
      </c>
      <c r="Z163" s="10">
        <v>1.2310000000000001</v>
      </c>
      <c r="AA163" s="10">
        <v>1.163</v>
      </c>
      <c r="AB163" s="10">
        <f>VLOOKUP(A163,Tabell9[[Indexnamn]:[Kolumn1]],3,FALSE)</f>
        <v>1.325</v>
      </c>
      <c r="AC163" s="10">
        <f>VLOOKUP($A163,'Lev 2022'!$K$2:$L$474,2,FALSE)</f>
        <v>1.2370000000000001</v>
      </c>
      <c r="AG163" s="2">
        <f t="shared" si="5"/>
        <v>-8.7999999999999856E-2</v>
      </c>
      <c r="AH163" s="103">
        <f t="shared" si="6"/>
        <v>-6.6415094339622532E-2</v>
      </c>
    </row>
    <row r="164" spans="1:34" s="65" customFormat="1" x14ac:dyDescent="0.25">
      <c r="A164" s="65" t="s">
        <v>65</v>
      </c>
      <c r="B164" s="65" t="str">
        <f>VLOOKUP(A164,'Korrigerade leveranser GD'!$A$4:$B$482,2,FALSE)</f>
        <v>Täby</v>
      </c>
      <c r="C164" s="68"/>
      <c r="D164" s="68"/>
      <c r="E164" s="68"/>
      <c r="F164" s="68"/>
      <c r="G164" s="68"/>
      <c r="H164" s="68"/>
      <c r="I164" s="68"/>
      <c r="J164" s="68"/>
      <c r="K164" s="68"/>
      <c r="L164" s="68"/>
      <c r="M164" s="68"/>
      <c r="N164" s="68"/>
      <c r="O164" s="68">
        <v>6.5</v>
      </c>
      <c r="P164" s="68">
        <v>8</v>
      </c>
      <c r="Q164" s="68">
        <v>9.9</v>
      </c>
      <c r="R164" s="68">
        <v>8.1999999999999993</v>
      </c>
      <c r="S164" s="68">
        <f>IFERROR(VLOOKUP('Leveranser per nät'!A164,'lev 2012'!$B$2:$E$445,4,FALSE),"")</f>
        <v>8.8000000000000007</v>
      </c>
      <c r="T164" s="68" t="str">
        <f>IFERROR(VLOOKUP('Leveranser per nät'!A164,'lev 2013'!$B$2:$E$445,4,FALSE),"")</f>
        <v/>
      </c>
      <c r="U164" s="68" t="str">
        <f>IFERROR(VLOOKUP('Leveranser per nät'!A164,'lev 2014'!$B$2:$E$432,4,FALSE),"")</f>
        <v/>
      </c>
      <c r="V164" s="68" t="str">
        <f>IFERROR(INDEX(Levererat_2015[Leveranser till eget nät],MATCH($A164,Levererat_2015[Indexnamn],0)),"")</f>
        <v/>
      </c>
      <c r="W164" s="68" t="str">
        <f>IFERROR(INDEX(Levererat_2016[Leveranser till eget nät],MATCH($A164,Levererat_2016[Indexnamn],0)),"")</f>
        <v/>
      </c>
      <c r="X164" s="68" t="str">
        <f>IFERROR(INDEX(Tabell4[Leveranser till eget nät],MATCH('Leveranser per nät'!A164,Tabell4[[Finns i listan ]],0)),"")</f>
        <v/>
      </c>
      <c r="Y164" s="68" t="str">
        <f>IFERROR(INDEX(Tabell6[Kolumn1],MATCH($A164,Tabell6[Indexnmamn],0)),"")</f>
        <v/>
      </c>
      <c r="Z164" s="68"/>
      <c r="AA164" s="68" t="s">
        <v>779</v>
      </c>
      <c r="AB164" s="10"/>
      <c r="AC164" s="10"/>
      <c r="AD164"/>
      <c r="AE164"/>
      <c r="AG164" s="2">
        <f t="shared" si="5"/>
        <v>0</v>
      </c>
      <c r="AH164" s="103"/>
    </row>
    <row r="165" spans="1:34" s="65" customFormat="1" x14ac:dyDescent="0.25">
      <c r="A165" s="66" t="s">
        <v>474</v>
      </c>
      <c r="B165" s="65" t="s">
        <v>176</v>
      </c>
      <c r="C165" s="68"/>
      <c r="D165" s="68"/>
      <c r="E165" s="68"/>
      <c r="F165" s="68"/>
      <c r="G165" s="68"/>
      <c r="H165" s="68"/>
      <c r="I165" s="68"/>
      <c r="J165" s="68">
        <v>0</v>
      </c>
      <c r="K165" s="68">
        <v>1.3169999999999999</v>
      </c>
      <c r="L165" s="68">
        <v>1.2749999999999999</v>
      </c>
      <c r="M165" s="68"/>
      <c r="N165" s="68"/>
      <c r="O165" s="68"/>
      <c r="P165" s="68"/>
      <c r="Q165" s="68"/>
      <c r="R165" s="68"/>
      <c r="S165" s="68"/>
      <c r="T165" s="68" t="str">
        <f>IFERROR(VLOOKUP('Leveranser per nät'!A165,'lev 2013'!$B$2:$E$445,4,FALSE),"")</f>
        <v/>
      </c>
      <c r="U165" s="68" t="str">
        <f>IFERROR(VLOOKUP('Leveranser per nät'!A165,'lev 2014'!$B$2:$E$432,4,FALSE),"")</f>
        <v/>
      </c>
      <c r="V165" s="68" t="str">
        <f>IFERROR(INDEX(Levererat_2015[Leveranser till eget nät],MATCH($A165,Levererat_2015[Indexnamn],0)),"")</f>
        <v/>
      </c>
      <c r="W165" s="68" t="str">
        <f>IFERROR(INDEX(Levererat_2016[Leveranser till eget nät],MATCH($A165,Levererat_2016[Indexnamn],0)),"")</f>
        <v/>
      </c>
      <c r="X165" s="68" t="str">
        <f>IFERROR(INDEX(Tabell4[Leveranser till eget nät],MATCH('Leveranser per nät'!A165,Tabell4[[Finns i listan ]],0)),"")</f>
        <v/>
      </c>
      <c r="Y165" s="68" t="str">
        <f>IFERROR(INDEX(Tabell6[Kolumn1],MATCH($A165,Tabell6[Indexnmamn],0)),"")</f>
        <v/>
      </c>
      <c r="Z165" s="68"/>
      <c r="AA165" s="68" t="s">
        <v>779</v>
      </c>
      <c r="AB165" s="10"/>
      <c r="AC165" s="10"/>
      <c r="AD165"/>
      <c r="AE165"/>
      <c r="AG165" s="2">
        <f t="shared" si="5"/>
        <v>0</v>
      </c>
      <c r="AH165" s="103"/>
    </row>
    <row r="166" spans="1:34" s="65" customFormat="1" x14ac:dyDescent="0.25">
      <c r="A166" s="65" t="s">
        <v>103</v>
      </c>
      <c r="B166" s="65" t="str">
        <f>VLOOKUP(A166,'Korrigerade leveranser GD'!$A$4:$B$482,2,FALSE)</f>
        <v>Eskilstuna</v>
      </c>
      <c r="C166" s="68">
        <v>25</v>
      </c>
      <c r="D166" s="68"/>
      <c r="E166" s="68"/>
      <c r="F166" s="68">
        <v>22</v>
      </c>
      <c r="G166" s="68">
        <v>22</v>
      </c>
      <c r="H166" s="68">
        <v>24</v>
      </c>
      <c r="I166" s="68">
        <v>23</v>
      </c>
      <c r="J166" s="68">
        <v>24</v>
      </c>
      <c r="K166" s="68">
        <v>12.263</v>
      </c>
      <c r="L166" s="68">
        <v>22.713999999999999</v>
      </c>
      <c r="M166" s="68">
        <v>23.334</v>
      </c>
      <c r="N166" s="68"/>
      <c r="O166" s="68"/>
      <c r="P166" s="68"/>
      <c r="Q166" s="68"/>
      <c r="R166" s="68"/>
      <c r="S166" s="68"/>
      <c r="T166" s="68" t="str">
        <f>IFERROR(VLOOKUP('Leveranser per nät'!A166,'lev 2013'!$B$2:$E$445,4,FALSE),"")</f>
        <v/>
      </c>
      <c r="U166" s="68" t="str">
        <f>IFERROR(VLOOKUP('Leveranser per nät'!A166,'lev 2014'!$B$2:$E$432,4,FALSE),"")</f>
        <v/>
      </c>
      <c r="V166" s="68" t="str">
        <f>IFERROR(INDEX(Levererat_2015[Leveranser till eget nät],MATCH($A166,Levererat_2015[Indexnamn],0)),"")</f>
        <v/>
      </c>
      <c r="W166" s="68" t="str">
        <f>IFERROR(INDEX(Levererat_2016[Leveranser till eget nät],MATCH($A166,Levererat_2016[Indexnamn],0)),"")</f>
        <v/>
      </c>
      <c r="X166" s="68" t="str">
        <f>IFERROR(INDEX(Tabell4[Leveranser till eget nät],MATCH('Leveranser per nät'!A166,Tabell4[[Finns i listan ]],0)),"")</f>
        <v/>
      </c>
      <c r="Y166" s="68" t="str">
        <f>IFERROR(INDEX(Tabell6[Kolumn1],MATCH($A166,Tabell6[Indexnmamn],0)),"")</f>
        <v/>
      </c>
      <c r="Z166" s="68"/>
      <c r="AA166" s="68" t="s">
        <v>779</v>
      </c>
      <c r="AB166" s="10"/>
      <c r="AC166" s="10"/>
      <c r="AD166"/>
      <c r="AE166"/>
      <c r="AG166" s="2">
        <f t="shared" si="5"/>
        <v>0</v>
      </c>
      <c r="AH166" s="103"/>
    </row>
    <row r="167" spans="1:34" x14ac:dyDescent="0.25">
      <c r="A167" t="s">
        <v>125</v>
      </c>
      <c r="B167" t="str">
        <f>VLOOKUP(A167,'Korrigerade leveranser GD'!$A$4:$B$482,2,FALSE)</f>
        <v>Hällefors</v>
      </c>
      <c r="C167" s="10"/>
      <c r="D167" s="10"/>
      <c r="E167" s="10"/>
      <c r="F167" s="10">
        <v>41</v>
      </c>
      <c r="G167" s="10">
        <v>34</v>
      </c>
      <c r="H167" s="10">
        <v>36</v>
      </c>
      <c r="I167" s="10">
        <v>48</v>
      </c>
      <c r="J167" s="10">
        <v>53</v>
      </c>
      <c r="K167" s="10">
        <v>0</v>
      </c>
      <c r="L167" s="10">
        <v>0</v>
      </c>
      <c r="M167" s="10">
        <v>0</v>
      </c>
      <c r="N167" s="10">
        <v>0</v>
      </c>
      <c r="O167" s="10">
        <v>44.6</v>
      </c>
      <c r="P167" s="10">
        <v>44.6</v>
      </c>
      <c r="Q167" s="10">
        <v>51.03700200000003</v>
      </c>
      <c r="R167" s="10">
        <v>42.052999999999997</v>
      </c>
      <c r="S167" s="10">
        <f>IFERROR(VLOOKUP('Leveranser per nät'!A167,'lev 2012'!$B$2:$E$445,4,FALSE),"")</f>
        <v>44</v>
      </c>
      <c r="T167" s="10">
        <f>IFERROR(VLOOKUP('Leveranser per nät'!A167,'lev 2013'!$B$2:$E$445,4,FALSE),"")</f>
        <v>41.853999999999999</v>
      </c>
      <c r="U167" s="10">
        <f>IFERROR(VLOOKUP('Leveranser per nät'!A167,'lev 2014'!$B$2:$E$432,4,FALSE),"")</f>
        <v>37.344999999999999</v>
      </c>
      <c r="V167" s="10">
        <f>IFERROR(INDEX(Levererat_2015[Leveranser till eget nät],MATCH($A167,Levererat_2015[Indexnamn],0)),"")</f>
        <v>36.692</v>
      </c>
      <c r="W167" s="10">
        <f>IFERROR(INDEX(Levererat_2016[Leveranser till eget nät],MATCH($A167,Levererat_2016[Indexnamn],0)),"")</f>
        <v>37.362000000000002</v>
      </c>
      <c r="X167" s="10">
        <f>IFERROR(INDEX(Tabell4[Leveranser till eget nät],MATCH('Leveranser per nät'!A167,Tabell4[[Finns i listan ]],0)),"")</f>
        <v>33.713000000000001</v>
      </c>
      <c r="Y167" s="10">
        <f>IFERROR(INDEX(Tabell6[Kolumn1],MATCH($A167,Tabell6[Indexnmamn],0)),"")</f>
        <v>33.700000000000003</v>
      </c>
      <c r="Z167" s="10">
        <v>32.707000000000001</v>
      </c>
      <c r="AA167" s="10">
        <v>24.094000000000001</v>
      </c>
      <c r="AB167" s="10">
        <f>VLOOKUP(A167,Tabell9[[Indexnamn]:[Kolumn1]],3,FALSE)</f>
        <v>27.347999999999999</v>
      </c>
      <c r="AC167" s="10">
        <f>VLOOKUP($A167,'Lev 2022'!$K$2:$L$474,2,FALSE)</f>
        <v>31.439</v>
      </c>
      <c r="AG167" s="2">
        <f t="shared" si="5"/>
        <v>4.0910000000000011</v>
      </c>
      <c r="AH167" s="103">
        <f t="shared" si="6"/>
        <v>0.14959046365364931</v>
      </c>
    </row>
    <row r="168" spans="1:34" x14ac:dyDescent="0.25">
      <c r="A168" t="s">
        <v>140</v>
      </c>
      <c r="B168" t="str">
        <f>VLOOKUP(A168,'Korrigerade leveranser GD'!$A$4:$B$482,2,FALSE)</f>
        <v>Götene</v>
      </c>
      <c r="C168" s="10"/>
      <c r="D168" s="10"/>
      <c r="E168" s="10">
        <v>3</v>
      </c>
      <c r="F168" s="10">
        <v>2.4849999999999999</v>
      </c>
      <c r="G168" s="10">
        <v>2.1880000000000002</v>
      </c>
      <c r="H168" s="10">
        <v>2.6930000000000001</v>
      </c>
      <c r="I168" s="10">
        <v>2.8780000000000001</v>
      </c>
      <c r="J168" s="10">
        <v>3</v>
      </c>
      <c r="K168" s="10">
        <v>2.9140000000000001</v>
      </c>
      <c r="L168" s="10">
        <v>2.9140000000000001</v>
      </c>
      <c r="M168" s="10">
        <v>2.839</v>
      </c>
      <c r="N168" s="10">
        <v>2.8279999999999998</v>
      </c>
      <c r="O168" s="10">
        <v>2.8940000000000001</v>
      </c>
      <c r="P168" s="10">
        <v>2.9660000000000002</v>
      </c>
      <c r="Q168" s="10">
        <v>3.4359999999999999</v>
      </c>
      <c r="R168" s="10">
        <v>2.7890000000000001</v>
      </c>
      <c r="S168" s="10">
        <f>IFERROR(VLOOKUP('Leveranser per nät'!A168,'lev 2012'!$B$2:$E$445,4,FALSE),"")</f>
        <v>2.93</v>
      </c>
      <c r="T168" s="10">
        <f>IFERROR(VLOOKUP('Leveranser per nät'!A168,'lev 2013'!$B$2:$E$445,4,FALSE),"")</f>
        <v>2.7690000000000001</v>
      </c>
      <c r="U168" s="10">
        <f>IFERROR(VLOOKUP('Leveranser per nät'!A168,'lev 2014'!$B$2:$E$432,4,FALSE),"")</f>
        <v>2.5</v>
      </c>
      <c r="V168" s="10">
        <f>IFERROR(INDEX(Levererat_2015[Leveranser till eget nät],MATCH($A168,Levererat_2015[Indexnamn],0)),"")</f>
        <v>2.6</v>
      </c>
      <c r="W168" s="10">
        <f>IFERROR(INDEX(Levererat_2016[Leveranser till eget nät],MATCH($A168,Levererat_2016[Indexnamn],0)),"")</f>
        <v>2.7</v>
      </c>
      <c r="X168" s="10">
        <f>IFERROR(INDEX(Tabell4[Leveranser till eget nät],MATCH('Leveranser per nät'!A168,Tabell4[[Finns i listan ]],0)),"")</f>
        <v>2.6</v>
      </c>
      <c r="Y168" s="10">
        <f>IFERROR(INDEX(Tabell6[Kolumn1],MATCH($A168,Tabell6[Indexnmamn],0)),"")</f>
        <v>2.5230000000000001</v>
      </c>
      <c r="Z168" s="10">
        <v>2.4009999999999998</v>
      </c>
      <c r="AA168" s="10">
        <v>2.2829999999999999</v>
      </c>
      <c r="AB168" s="10">
        <f>VLOOKUP(A168,Tabell9[[Indexnamn]:[Kolumn1]],3,FALSE)</f>
        <v>2.58</v>
      </c>
      <c r="AC168" s="10">
        <f>VLOOKUP($A168,'Lev 2022'!$K$2:$L$474,2,FALSE)</f>
        <v>2.38</v>
      </c>
      <c r="AG168" s="2">
        <f t="shared" si="5"/>
        <v>-0.20000000000000018</v>
      </c>
      <c r="AH168" s="103">
        <f t="shared" si="6"/>
        <v>-7.7519379844961309E-2</v>
      </c>
    </row>
    <row r="169" spans="1:34" x14ac:dyDescent="0.25">
      <c r="A169" t="s">
        <v>150</v>
      </c>
      <c r="B169" t="str">
        <f>VLOOKUP(A169,'Korrigerade leveranser GD'!$A$4:$B$482,2,FALSE)</f>
        <v>Härnösand</v>
      </c>
      <c r="C169" s="10">
        <v>150</v>
      </c>
      <c r="D169" s="10">
        <v>136.69999999999999</v>
      </c>
      <c r="E169" s="10">
        <v>141</v>
      </c>
      <c r="F169" s="10">
        <v>137.07</v>
      </c>
      <c r="G169" s="10">
        <v>131</v>
      </c>
      <c r="H169" s="10">
        <v>145</v>
      </c>
      <c r="I169" s="10">
        <v>138</v>
      </c>
      <c r="J169" s="10">
        <v>155.554</v>
      </c>
      <c r="K169" s="10">
        <v>140.16800000000001</v>
      </c>
      <c r="L169" s="10">
        <v>151.749</v>
      </c>
      <c r="M169" s="10">
        <v>149.9</v>
      </c>
      <c r="N169" s="10">
        <v>158.80000000000001</v>
      </c>
      <c r="O169" s="10">
        <v>155</v>
      </c>
      <c r="P169" s="10">
        <v>169</v>
      </c>
      <c r="Q169" s="10">
        <v>198.4</v>
      </c>
      <c r="R169" s="10">
        <v>163.30000000000001</v>
      </c>
      <c r="S169" s="10">
        <f>IFERROR(VLOOKUP('Leveranser per nät'!A169,'lev 2012'!$B$2:$E$445,4,FALSE),"")</f>
        <v>178</v>
      </c>
      <c r="T169" s="10">
        <f>IFERROR(VLOOKUP('Leveranser per nät'!A169,'lev 2013'!$B$2:$E$445,4,FALSE),"")</f>
        <v>173.9</v>
      </c>
      <c r="U169" s="10">
        <f>IFERROR(VLOOKUP('Leveranser per nät'!A169,'lev 2014'!$B$2:$E$432,4,FALSE),"")</f>
        <v>164</v>
      </c>
      <c r="V169" s="10">
        <f>IFERROR(INDEX(Levererat_2015[Leveranser till eget nät],MATCH($A169,Levererat_2015[Indexnamn],0)),"")</f>
        <v>165</v>
      </c>
      <c r="W169" s="10">
        <f>IFERROR(INDEX(Levererat_2016[Leveranser till eget nät],MATCH($A169,Levererat_2016[Indexnamn],0)),"")</f>
        <v>176.6</v>
      </c>
      <c r="X169" s="10">
        <f>IFERROR(INDEX(Tabell4[Leveranser till eget nät],MATCH('Leveranser per nät'!A169,Tabell4[[Finns i listan ]],0)),"")</f>
        <v>178.04</v>
      </c>
      <c r="Y169" s="10">
        <f>IFERROR(INDEX(Tabell6[Kolumn1],MATCH($A169,Tabell6[Indexnmamn],0)),"")</f>
        <v>180.9</v>
      </c>
      <c r="Z169" s="10">
        <v>180</v>
      </c>
      <c r="AA169" s="10">
        <v>159.77099999999999</v>
      </c>
      <c r="AB169" s="10">
        <f>VLOOKUP(A169,Tabell9[[Indexnamn]:[Kolumn1]],3,FALSE)</f>
        <v>185.38499999999999</v>
      </c>
      <c r="AC169" s="10">
        <f>VLOOKUP($A169,'Lev 2022'!$K$2:$L$474,2,FALSE)</f>
        <v>169.672</v>
      </c>
      <c r="AG169" s="2">
        <f t="shared" si="5"/>
        <v>-15.712999999999994</v>
      </c>
      <c r="AH169" s="103">
        <f t="shared" si="6"/>
        <v>-8.475874531380638E-2</v>
      </c>
    </row>
    <row r="170" spans="1:34" x14ac:dyDescent="0.25">
      <c r="A170" t="s">
        <v>151</v>
      </c>
      <c r="B170" t="str">
        <f>VLOOKUP(A170,'Korrigerade leveranser GD'!$A$4:$B$482,2,FALSE)</f>
        <v>Hässleholm</v>
      </c>
      <c r="C170" s="10">
        <v>141</v>
      </c>
      <c r="D170" s="10">
        <v>137.38999999999999</v>
      </c>
      <c r="E170" s="10">
        <v>139</v>
      </c>
      <c r="F170" s="10">
        <v>134</v>
      </c>
      <c r="G170" s="10">
        <v>129</v>
      </c>
      <c r="H170" s="10">
        <v>144</v>
      </c>
      <c r="I170" s="10">
        <v>145</v>
      </c>
      <c r="J170" s="10">
        <v>152</v>
      </c>
      <c r="K170" s="10">
        <v>157.72300000000001</v>
      </c>
      <c r="L170" s="10">
        <v>157.78200000000001</v>
      </c>
      <c r="M170" s="10">
        <v>159.81200000000001</v>
      </c>
      <c r="N170" s="10">
        <v>161.72</v>
      </c>
      <c r="O170" s="10">
        <v>168.73099999999999</v>
      </c>
      <c r="P170" s="10">
        <v>182.17</v>
      </c>
      <c r="Q170" s="10">
        <v>214.673</v>
      </c>
      <c r="R170" s="10">
        <v>182</v>
      </c>
      <c r="S170" s="10">
        <f>IFERROR(VLOOKUP('Leveranser per nät'!A170,'lev 2012'!$B$2:$E$445,4,FALSE),"")</f>
        <v>193</v>
      </c>
      <c r="T170" s="10">
        <f>IFERROR(VLOOKUP('Leveranser per nät'!A170,'lev 2013'!$B$2:$E$445,4,FALSE),"")</f>
        <v>186</v>
      </c>
      <c r="U170" s="10">
        <f>IFERROR(VLOOKUP('Leveranser per nät'!A170,'lev 2014'!$B$2:$E$432,4,FALSE),"")</f>
        <v>165</v>
      </c>
      <c r="V170" s="10">
        <f>IFERROR(INDEX(Levererat_2015[Leveranser till eget nät],MATCH($A170,Levererat_2015[Indexnamn],0)),"")</f>
        <v>173</v>
      </c>
      <c r="W170" s="10">
        <f>IFERROR(INDEX(Levererat_2016[Leveranser till eget nät],MATCH($A170,Levererat_2016[Indexnamn],0)),"")</f>
        <v>182.2</v>
      </c>
      <c r="X170" s="10">
        <f>IFERROR(INDEX(Tabell4[Leveranser till eget nät],MATCH('Leveranser per nät'!A170,Tabell4[[Finns i listan ]],0)),"")</f>
        <v>180.5</v>
      </c>
      <c r="Y170" s="10">
        <f>IFERROR(INDEX(Tabell6[Kolumn1],MATCH($A170,Tabell6[Indexnmamn],0)),"")</f>
        <v>179.5</v>
      </c>
      <c r="Z170" s="10">
        <v>173.8</v>
      </c>
      <c r="AA170" s="10">
        <v>163.97</v>
      </c>
      <c r="AB170" s="10">
        <f>VLOOKUP(A170,Tabell9[[Indexnamn]:[Kolumn1]],3,FALSE)</f>
        <v>192.411</v>
      </c>
      <c r="AC170" s="10">
        <f>VLOOKUP($A170,'Lev 2022'!$K$2:$L$474,2,FALSE)</f>
        <v>177.02</v>
      </c>
      <c r="AG170" s="2">
        <f t="shared" si="5"/>
        <v>-15.390999999999991</v>
      </c>
      <c r="AH170" s="103">
        <f t="shared" si="6"/>
        <v>-7.9990229248847466E-2</v>
      </c>
    </row>
    <row r="171" spans="1:34" x14ac:dyDescent="0.25">
      <c r="A171" t="s">
        <v>153</v>
      </c>
      <c r="B171" t="str">
        <f>VLOOKUP(A171,'Korrigerade leveranser GD'!$A$4:$B$482,2,FALSE)</f>
        <v>Höganäs</v>
      </c>
      <c r="C171" s="10"/>
      <c r="D171" s="10"/>
      <c r="E171" s="10"/>
      <c r="F171" s="10"/>
      <c r="G171" s="10"/>
      <c r="H171" s="10"/>
      <c r="I171" s="10"/>
      <c r="J171" s="10"/>
      <c r="K171" s="10"/>
      <c r="L171" s="10"/>
      <c r="M171" s="10">
        <v>0</v>
      </c>
      <c r="N171" s="10">
        <v>24</v>
      </c>
      <c r="O171" s="10">
        <v>38</v>
      </c>
      <c r="P171" s="10">
        <v>45</v>
      </c>
      <c r="Q171" s="10">
        <v>53</v>
      </c>
      <c r="R171" s="10">
        <v>45</v>
      </c>
      <c r="S171" s="10">
        <f>IFERROR(VLOOKUP('Leveranser per nät'!A171,'lev 2012'!$B$2:$E$445,4,FALSE),"")</f>
        <v>47</v>
      </c>
      <c r="T171" s="10">
        <f>IFERROR(VLOOKUP('Leveranser per nät'!A171,'lev 2013'!$B$2:$E$445,4,FALSE),"")</f>
        <v>47.036999999999999</v>
      </c>
      <c r="U171" s="10">
        <f>IFERROR(VLOOKUP('Leveranser per nät'!A171,'lev 2014'!$B$2:$E$432,4,FALSE),"")</f>
        <v>42.039000000000001</v>
      </c>
      <c r="V171" s="10">
        <f>IFERROR(INDEX(Levererat_2015[Leveranser till eget nät],MATCH($A171,Levererat_2015[Indexnamn],0)),"")</f>
        <v>46.598999999999997</v>
      </c>
      <c r="W171" s="10">
        <f>IFERROR(INDEX(Levererat_2016[Leveranser till eget nät],MATCH($A171,Levererat_2016[Indexnamn],0)),"")</f>
        <v>39.608000000000004</v>
      </c>
      <c r="X171" s="10">
        <f>IFERROR(INDEX(Tabell4[Leveranser till eget nät],MATCH('Leveranser per nät'!A171,Tabell4[[Finns i listan ]],0)),"")</f>
        <v>43.268000000000001</v>
      </c>
      <c r="Y171" s="10">
        <f>IFERROR(INDEX(Tabell6[Kolumn1],MATCH($A171,Tabell6[Indexnmamn],0)),"")</f>
        <v>42.759</v>
      </c>
      <c r="Z171" s="10">
        <v>41.533999999999999</v>
      </c>
      <c r="AA171" s="10">
        <v>39.877000000000002</v>
      </c>
      <c r="AB171" s="10">
        <f>VLOOKUP(A171,Tabell9[[Indexnamn]:[Kolumn1]],3,FALSE)</f>
        <v>44.658999999999999</v>
      </c>
      <c r="AC171" s="10">
        <f>VLOOKUP($A171,'Lev 2022'!$K$2:$L$474,2,FALSE)</f>
        <v>41.945999999999998</v>
      </c>
      <c r="AG171" s="2">
        <f t="shared" si="5"/>
        <v>-2.713000000000001</v>
      </c>
      <c r="AH171" s="103">
        <f t="shared" si="6"/>
        <v>-6.0749233077319262E-2</v>
      </c>
    </row>
    <row r="172" spans="1:34" x14ac:dyDescent="0.25">
      <c r="A172" t="s">
        <v>1064</v>
      </c>
      <c r="B172" t="str">
        <f>VLOOKUP(A172,'Korrigerade leveranser GD'!$A$4:$B$482,2,FALSE)</f>
        <v>Örebro</v>
      </c>
      <c r="C172" s="10">
        <v>1215</v>
      </c>
      <c r="D172" s="10">
        <v>1093.3399999999999</v>
      </c>
      <c r="E172" s="10">
        <v>1123</v>
      </c>
      <c r="F172" s="10">
        <v>1077</v>
      </c>
      <c r="G172" s="10">
        <v>977</v>
      </c>
      <c r="H172" s="10">
        <v>1133</v>
      </c>
      <c r="I172" s="10">
        <v>1271</v>
      </c>
      <c r="J172" s="10">
        <v>1166</v>
      </c>
      <c r="K172" s="10">
        <v>1184.626</v>
      </c>
      <c r="L172" s="10">
        <v>1073.1345797383478</v>
      </c>
      <c r="M172" s="10">
        <v>1043</v>
      </c>
      <c r="N172" s="10">
        <v>955.60199999999998</v>
      </c>
      <c r="O172" s="10">
        <v>1103</v>
      </c>
      <c r="P172" s="10">
        <v>1097</v>
      </c>
      <c r="Q172" s="10">
        <v>1211</v>
      </c>
      <c r="R172" s="10">
        <v>1007.3</v>
      </c>
      <c r="S172" s="10">
        <v>1083</v>
      </c>
      <c r="T172" s="10">
        <v>1056.8530000000001</v>
      </c>
      <c r="U172" s="10">
        <v>959.51300000000003</v>
      </c>
      <c r="V172" s="10">
        <v>986.65800000000002</v>
      </c>
      <c r="W172" s="10">
        <f>IFERROR(INDEX(Levererat_2016[Leveranser till eget nät],MATCH($A172,Levererat_2016[Indexnamn],0)),"")</f>
        <v>1014.336</v>
      </c>
      <c r="X172" s="10">
        <f>IFERROR(INDEX(Tabell4[Leveranser till eget nät],MATCH('Leveranser per nät'!A172,Tabell4[[Finns i listan ]],0)),"")</f>
        <v>1000.413</v>
      </c>
      <c r="Y172" s="10">
        <v>1034</v>
      </c>
      <c r="Z172" s="10">
        <v>1015</v>
      </c>
      <c r="AA172" s="84">
        <v>901.5</v>
      </c>
      <c r="AB172" s="10">
        <f>VLOOKUP(A172,Tabell9[[Indexnamn]:[Kolumn1]],3,FALSE)</f>
        <v>1070.83</v>
      </c>
      <c r="AC172" s="10">
        <f>VLOOKUP($A172,'Lev 2022'!$K$2:$L$474,2,FALSE)</f>
        <v>937.60299999999995</v>
      </c>
      <c r="AG172" s="2">
        <f t="shared" si="5"/>
        <v>-133.22699999999998</v>
      </c>
      <c r="AH172" s="103">
        <f t="shared" si="6"/>
        <v>-0.12441470634928045</v>
      </c>
    </row>
    <row r="173" spans="1:34" s="77" customFormat="1" x14ac:dyDescent="0.25">
      <c r="A173" s="5" t="s">
        <v>242</v>
      </c>
      <c r="B173" s="5" t="str">
        <f>VLOOKUP(A173,'Korrigerade leveranser GD'!$A$4:$B$482,2,FALSE)</f>
        <v xml:space="preserve">Hörby </v>
      </c>
      <c r="C173" s="69"/>
      <c r="D173" s="69"/>
      <c r="E173" s="69"/>
      <c r="F173" s="69"/>
      <c r="G173" s="69"/>
      <c r="H173" s="69"/>
      <c r="I173" s="69"/>
      <c r="J173" s="69"/>
      <c r="K173" s="69">
        <v>13.1</v>
      </c>
      <c r="L173" s="69">
        <v>17.481999999999999</v>
      </c>
      <c r="M173" s="69">
        <v>21.943999999999999</v>
      </c>
      <c r="N173" s="69">
        <v>21.943999999999999</v>
      </c>
      <c r="O173" s="69">
        <v>21.943999999999999</v>
      </c>
      <c r="P173" s="69">
        <v>25.193000000000001</v>
      </c>
      <c r="Q173" s="69">
        <v>31.145</v>
      </c>
      <c r="R173" s="69">
        <v>27.324000000000002</v>
      </c>
      <c r="S173" s="69">
        <f>IFERROR(VLOOKUP('Leveranser per nät'!A173,'lev 2012'!$B$2:$E$445,4,FALSE),"")</f>
        <v>29</v>
      </c>
      <c r="T173" s="69">
        <f>IFERROR(VLOOKUP('Leveranser per nät'!A173,'lev 2013'!$B$2:$E$445,4,FALSE),"")</f>
        <v>29</v>
      </c>
      <c r="U173" s="69">
        <f>IFERROR(VLOOKUP('Leveranser per nät'!A173,'lev 2014'!$B$2:$E$432,4,FALSE),"")</f>
        <v>25.3</v>
      </c>
      <c r="V173" s="69">
        <f>IFERROR(INDEX(Levererat_2015[Leveranser till eget nät],MATCH($A173,Levererat_2015[Indexnamn],0)),"")</f>
        <v>26.4</v>
      </c>
      <c r="W173" s="69">
        <f>IFERROR(INDEX(Levererat_2016[Leveranser till eget nät],MATCH($A173,Levererat_2016[Indexnamn],0)),"")</f>
        <v>26.9</v>
      </c>
      <c r="X173" s="69">
        <v>26.6</v>
      </c>
      <c r="Y173" s="69">
        <v>26.3</v>
      </c>
      <c r="Z173" s="69">
        <v>24.7</v>
      </c>
      <c r="AA173" s="58">
        <v>23.422999999999998</v>
      </c>
      <c r="AB173" s="10">
        <f>VLOOKUP(A173,Tabell9[[Indexnamn]:[Kolumn1]],3,FALSE)</f>
        <v>26.1</v>
      </c>
      <c r="AC173" s="10">
        <f>VLOOKUP($A173,'Lev 2022'!$K$2:$L$474,2,FALSE)</f>
        <v>23.7</v>
      </c>
      <c r="AD173"/>
      <c r="AE173"/>
      <c r="AG173" s="2">
        <f t="shared" si="5"/>
        <v>-2.4000000000000021</v>
      </c>
      <c r="AH173" s="103">
        <f t="shared" si="6"/>
        <v>-9.1954022988505829E-2</v>
      </c>
    </row>
    <row r="174" spans="1:34" x14ac:dyDescent="0.25">
      <c r="A174" s="5" t="s">
        <v>326</v>
      </c>
      <c r="B174" s="5" t="str">
        <f>VLOOKUP(A174,'Korrigerade leveranser GD'!$A$4:$B$482,2,FALSE)</f>
        <v>Umeå</v>
      </c>
      <c r="C174" s="10"/>
      <c r="D174" s="10"/>
      <c r="E174" s="10"/>
      <c r="F174" s="10"/>
      <c r="G174" s="10"/>
      <c r="H174" s="10"/>
      <c r="I174" s="10"/>
      <c r="J174" s="10">
        <v>4.9740000000000002</v>
      </c>
      <c r="K174" s="10">
        <v>0</v>
      </c>
      <c r="L174" s="10">
        <v>0</v>
      </c>
      <c r="M174" s="10">
        <v>0</v>
      </c>
      <c r="N174" s="10">
        <v>7.5220000000000002</v>
      </c>
      <c r="O174" s="10">
        <v>8.6769999999999996</v>
      </c>
      <c r="P174" s="10">
        <v>9.6509999999999998</v>
      </c>
      <c r="Q174" s="10">
        <v>9.7590000000000003</v>
      </c>
      <c r="R174" s="10">
        <v>8.4600000000000009</v>
      </c>
      <c r="S174" s="10">
        <f>IFERROR(VLOOKUP('Leveranser per nät'!A174,'lev 2012'!$B$2:$E$445,4,FALSE),"")</f>
        <v>8.73</v>
      </c>
      <c r="T174" s="10">
        <f>IFERROR(VLOOKUP('Leveranser per nät'!A174,'lev 2013'!$B$2:$E$445,4,FALSE),"")</f>
        <v>8.2850000000000001</v>
      </c>
      <c r="U174" s="10">
        <f>IFERROR(VLOOKUP('Leveranser per nät'!A174,'lev 2014'!$B$2:$E$432,4,FALSE),"")</f>
        <v>7.7160000000000002</v>
      </c>
      <c r="V174" s="10">
        <f>IFERROR(INDEX(Levererat_2015[Leveranser till eget nät],MATCH($A174,Levererat_2015[Indexnamn],0)),"")</f>
        <v>6.6710000000000003</v>
      </c>
      <c r="W174" s="10">
        <f>IFERROR(INDEX(Levererat_2016[Leveranser till eget nät],MATCH($A174,Levererat_2016[Indexnamn],0)),"")</f>
        <v>7.2080000000000002</v>
      </c>
      <c r="X174" s="58">
        <f>IFERROR(INDEX(Tabell4[Leveranser till eget nät],MATCH('Leveranser per nät'!A174,Tabell4[[Finns i listan ]],0)),"")</f>
        <v>7.38</v>
      </c>
      <c r="Y174" s="10">
        <f>IFERROR(INDEX(Tabell6[Kolumn1],MATCH($A174,Tabell6[Indexnmamn],0)),"")</f>
        <v>7.41</v>
      </c>
      <c r="Z174" s="10">
        <v>7.38</v>
      </c>
      <c r="AA174" s="10">
        <v>6.56</v>
      </c>
      <c r="AB174" s="10">
        <f>VLOOKUP(A174,Tabell9[[Indexnamn]:[Kolumn1]],3,FALSE)</f>
        <v>7.75</v>
      </c>
      <c r="AC174" s="10">
        <f>VLOOKUP($A174,'Lev 2022'!$K$2:$L$474,2,FALSE)</f>
        <v>7.42</v>
      </c>
      <c r="AG174" s="2">
        <f t="shared" si="5"/>
        <v>-0.33000000000000007</v>
      </c>
      <c r="AH174" s="103">
        <f t="shared" si="6"/>
        <v>-4.2580645161290329E-2</v>
      </c>
    </row>
    <row r="175" spans="1:34" s="77" customFormat="1" x14ac:dyDescent="0.25">
      <c r="A175" s="5" t="s">
        <v>243</v>
      </c>
      <c r="B175" s="5" t="str">
        <f>VLOOKUP(A175,'Korrigerade leveranser GD'!$A$4:$B$482,2,FALSE)</f>
        <v>Höör</v>
      </c>
      <c r="C175" s="69">
        <v>16</v>
      </c>
      <c r="D175" s="69">
        <v>14.36</v>
      </c>
      <c r="E175" s="69">
        <v>15</v>
      </c>
      <c r="F175" s="69">
        <v>14</v>
      </c>
      <c r="G175" s="69">
        <v>13</v>
      </c>
      <c r="H175" s="69">
        <v>16</v>
      </c>
      <c r="I175" s="69">
        <v>0</v>
      </c>
      <c r="J175" s="69">
        <v>0</v>
      </c>
      <c r="K175" s="69">
        <v>22.41</v>
      </c>
      <c r="L175" s="69">
        <v>21.14</v>
      </c>
      <c r="M175" s="69">
        <v>22.097000000000001</v>
      </c>
      <c r="N175" s="69">
        <v>22.097000000000001</v>
      </c>
      <c r="O175" s="69">
        <v>20.097000000000001</v>
      </c>
      <c r="P175" s="69">
        <v>23.923999999999999</v>
      </c>
      <c r="Q175" s="69">
        <v>28.88</v>
      </c>
      <c r="R175" s="69">
        <v>24.975999999999999</v>
      </c>
      <c r="S175" s="69">
        <f>IFERROR(VLOOKUP('Leveranser per nät'!A175,'lev 2012'!$B$2:$E$445,4,FALSE),"")</f>
        <v>26</v>
      </c>
      <c r="T175" s="69">
        <f>IFERROR(VLOOKUP('Leveranser per nät'!A175,'lev 2013'!$B$2:$E$445,4,FALSE),"")</f>
        <v>24.8</v>
      </c>
      <c r="U175" s="69">
        <f>IFERROR(VLOOKUP('Leveranser per nät'!A175,'lev 2014'!$B$2:$E$432,4,FALSE),"")</f>
        <v>20.9</v>
      </c>
      <c r="V175" s="69">
        <f>IFERROR(INDEX(Levererat_2015[Leveranser till eget nät],MATCH($A175,Levererat_2015[Indexnamn],0)),"")</f>
        <v>22.4</v>
      </c>
      <c r="W175" s="69">
        <f>IFERROR(INDEX(Levererat_2016[Leveranser till eget nät],MATCH($A175,Levererat_2016[Indexnamn],0)),"")</f>
        <v>22.8</v>
      </c>
      <c r="X175" s="69">
        <v>21.7</v>
      </c>
      <c r="Y175" s="69">
        <v>21.3</v>
      </c>
      <c r="Z175" s="69">
        <v>20.9</v>
      </c>
      <c r="AA175" s="58">
        <v>20.343</v>
      </c>
      <c r="AB175" s="10">
        <f>VLOOKUP(A175,Tabell9[[Indexnamn]:[Kolumn1]],3,FALSE)</f>
        <v>22.9</v>
      </c>
      <c r="AC175" s="10">
        <f>VLOOKUP($A175,'Lev 2022'!$K$2:$L$474,2,FALSE)</f>
        <v>21.4</v>
      </c>
      <c r="AD175"/>
      <c r="AE175"/>
      <c r="AG175" s="2">
        <f t="shared" si="5"/>
        <v>-1.5</v>
      </c>
      <c r="AH175" s="103">
        <f t="shared" si="6"/>
        <v>-6.5502183406113537E-2</v>
      </c>
    </row>
    <row r="176" spans="1:34" x14ac:dyDescent="0.25">
      <c r="A176" s="5" t="s">
        <v>489</v>
      </c>
      <c r="B176" s="5" t="str">
        <f>VLOOKUP(A176,'Korrigerade leveranser GD'!$A$4:$B$482,2,FALSE)</f>
        <v>Hudiksvall</v>
      </c>
      <c r="C176" s="10"/>
      <c r="D176" s="10"/>
      <c r="E176" s="10"/>
      <c r="F176" s="10"/>
      <c r="G176" s="10"/>
      <c r="H176" s="10"/>
      <c r="I176" s="10"/>
      <c r="J176" s="10"/>
      <c r="K176" s="10"/>
      <c r="L176" s="10"/>
      <c r="M176" s="10"/>
      <c r="N176" s="10"/>
      <c r="O176" s="10"/>
      <c r="P176" s="10">
        <v>0</v>
      </c>
      <c r="Q176" s="10">
        <v>22.430892999999998</v>
      </c>
      <c r="R176" s="10">
        <v>16.827999999999999</v>
      </c>
      <c r="S176" s="10">
        <f>IFERROR(VLOOKUP('Leveranser per nät'!A176,'lev 2012'!$B$2:$E$445,4,FALSE),"")</f>
        <v>16.989999999999998</v>
      </c>
      <c r="T176" s="10">
        <f>IFERROR(VLOOKUP('Leveranser per nät'!A176,'lev 2013'!$B$2:$E$445,4,FALSE),"")</f>
        <v>17.093</v>
      </c>
      <c r="U176" s="10">
        <f>IFERROR(VLOOKUP('Leveranser per nät'!A176,'lev 2014'!$B$2:$E$432,4,FALSE),"")</f>
        <v>15.29</v>
      </c>
      <c r="V176" s="10">
        <f>IFERROR(INDEX(Levererat_2015[Leveranser till eget nät],MATCH($A176,Levererat_2015[Indexnamn],0)),"")</f>
        <v>15.802</v>
      </c>
      <c r="W176" s="10">
        <f>IFERROR(INDEX(Levererat_2016[Leveranser till eget nät],MATCH($A176,Levererat_2016[Indexnamn],0)),"")</f>
        <v>15.933999999999999</v>
      </c>
      <c r="X176" s="10">
        <f>IFERROR(INDEX(Tabell4[Leveranser till eget nät],MATCH('Leveranser per nät'!A176,Tabell4[[Finns i listan ]],0)),"")</f>
        <v>17.253</v>
      </c>
      <c r="Y176" s="10">
        <f>IFERROR(INDEX(Tabell6[Kolumn1],MATCH($A176,Tabell6[Indexnmamn],0)),"")</f>
        <v>16.3</v>
      </c>
      <c r="Z176" s="10">
        <v>15.672000000000001</v>
      </c>
      <c r="AA176" s="10">
        <v>13.465999999999999</v>
      </c>
      <c r="AB176" s="10">
        <f>VLOOKUP(A176,Tabell9[[Indexnamn]:[Kolumn1]],3,FALSE)</f>
        <v>12.874000000000001</v>
      </c>
      <c r="AC176" s="10">
        <f>VLOOKUP($A176,'Lev 2022'!$K$2:$L$474,2,FALSE)</f>
        <v>14.441000000000001</v>
      </c>
      <c r="AG176" s="2">
        <f t="shared" si="5"/>
        <v>1.5670000000000002</v>
      </c>
      <c r="AH176" s="103">
        <f t="shared" si="6"/>
        <v>0.12171819170421004</v>
      </c>
    </row>
    <row r="177" spans="1:34" s="65" customFormat="1" x14ac:dyDescent="0.25">
      <c r="A177" s="65" t="s">
        <v>289</v>
      </c>
      <c r="B177" s="65" t="str">
        <f>VLOOKUP(A177,'Korrigerade leveranser GD'!$A$4:$B$482,2,FALSE)</f>
        <v>Sundsvall</v>
      </c>
      <c r="C177" s="68"/>
      <c r="D177" s="68"/>
      <c r="E177" s="68"/>
      <c r="F177" s="68"/>
      <c r="G177" s="68"/>
      <c r="H177" s="68"/>
      <c r="I177" s="68"/>
      <c r="J177" s="68"/>
      <c r="K177" s="68"/>
      <c r="L177" s="68">
        <v>0</v>
      </c>
      <c r="M177" s="68">
        <v>0.71399999999999997</v>
      </c>
      <c r="N177" s="68">
        <v>0.73099999999999998</v>
      </c>
      <c r="O177" s="68">
        <v>1.2290000000000001</v>
      </c>
      <c r="P177" s="68">
        <v>2.4380000000000002</v>
      </c>
      <c r="Q177" s="68">
        <v>0</v>
      </c>
      <c r="R177" s="68"/>
      <c r="S177" s="68" t="str">
        <f>IFERROR(VLOOKUP('Leveranser per nät'!A177,'lev 2012'!$B$2:$E$445,4,FALSE),"")</f>
        <v/>
      </c>
      <c r="T177" s="68" t="str">
        <f>IFERROR(VLOOKUP('Leveranser per nät'!A177,'lev 2013'!$B$2:$E$445,4,FALSE),"")</f>
        <v/>
      </c>
      <c r="U177" s="68" t="str">
        <f>IFERROR(VLOOKUP('Leveranser per nät'!A177,'lev 2014'!$B$2:$E$432,4,FALSE),"")</f>
        <v/>
      </c>
      <c r="V177" s="68" t="str">
        <f>IFERROR(INDEX(Levererat_2015[Leveranser till eget nät],MATCH($A177,Levererat_2015[Indexnamn],0)),"")</f>
        <v/>
      </c>
      <c r="W177" s="68" t="str">
        <f>IFERROR(INDEX(Levererat_2016[Leveranser till eget nät],MATCH($A177,Levererat_2016[Indexnamn],0)),"")</f>
        <v/>
      </c>
      <c r="X177" s="68" t="str">
        <f>IFERROR(INDEX(Tabell4[Leveranser till eget nät],MATCH('Leveranser per nät'!A177,Tabell4[[Finns i listan ]],0)),"")</f>
        <v/>
      </c>
      <c r="Y177" s="68" t="str">
        <f>IFERROR(INDEX(Tabell6[Kolumn1],MATCH($A177,Tabell6[Indexnmamn],0)),"")</f>
        <v/>
      </c>
      <c r="Z177" s="68"/>
      <c r="AA177" s="68" t="s">
        <v>779</v>
      </c>
      <c r="AB177" s="10"/>
      <c r="AC177" s="10"/>
      <c r="AD177"/>
      <c r="AE177"/>
      <c r="AG177" s="2">
        <f t="shared" si="5"/>
        <v>0</v>
      </c>
      <c r="AH177" s="103"/>
    </row>
    <row r="178" spans="1:34" x14ac:dyDescent="0.25">
      <c r="A178" t="s">
        <v>92</v>
      </c>
      <c r="B178" t="str">
        <f>VLOOKUP(A178,'Korrigerade leveranser GD'!$A$4:$B$482,2,FALSE)</f>
        <v>Eksjö</v>
      </c>
      <c r="C178" s="10"/>
      <c r="D178" s="10"/>
      <c r="E178" s="10"/>
      <c r="F178" s="10"/>
      <c r="G178" s="10"/>
      <c r="H178" s="10"/>
      <c r="I178" s="10">
        <v>0</v>
      </c>
      <c r="J178" s="10">
        <v>2</v>
      </c>
      <c r="K178" s="10">
        <v>1.8149999999999999</v>
      </c>
      <c r="L178" s="10">
        <v>3.4724945232866506</v>
      </c>
      <c r="M178" s="10">
        <v>2.4180000000000001</v>
      </c>
      <c r="N178" s="10">
        <v>2</v>
      </c>
      <c r="O178" s="10">
        <v>2</v>
      </c>
      <c r="P178" s="10">
        <v>2.83</v>
      </c>
      <c r="Q178" s="10">
        <v>3.25</v>
      </c>
      <c r="R178" s="10">
        <v>2.6789999999999998</v>
      </c>
      <c r="S178" s="10">
        <f>IFERROR(VLOOKUP('Leveranser per nät'!A178,'lev 2012'!$B$2:$E$445,4,FALSE),"")</f>
        <v>2.96</v>
      </c>
      <c r="T178" s="10">
        <f>IFERROR(VLOOKUP('Leveranser per nät'!A178,'lev 2013'!$B$2:$E$445,4,FALSE),"")</f>
        <v>2.96</v>
      </c>
      <c r="U178" s="10">
        <f>IFERROR(VLOOKUP('Leveranser per nät'!A178,'lev 2014'!$B$2:$E$432,4,FALSE),"")</f>
        <v>2.637</v>
      </c>
      <c r="V178" s="10">
        <f>IFERROR(INDEX(Levererat_2015[Leveranser till eget nät],MATCH($A178,Levererat_2015[Indexnamn],0)),"")</f>
        <v>2.7770000000000001</v>
      </c>
      <c r="W178" s="10">
        <f>IFERROR(INDEX(Levererat_2016[Leveranser till eget nät],MATCH($A178,Levererat_2016[Indexnamn],0)),"")</f>
        <v>2.89</v>
      </c>
      <c r="X178" s="10">
        <f>IFERROR(INDEX(Tabell4[Leveranser till eget nät],MATCH('Leveranser per nät'!A178,Tabell4[[Finns i listan ]],0)),"")</f>
        <v>2.8919999999999999</v>
      </c>
      <c r="Y178" s="10">
        <f>IFERROR(INDEX(Tabell6[Kolumn1],MATCH($A178,Tabell6[Indexnmamn],0)),"")</f>
        <v>2.9169999999999998</v>
      </c>
      <c r="Z178" s="10">
        <v>2.8330000000000002</v>
      </c>
      <c r="AA178" s="10">
        <v>2.673</v>
      </c>
      <c r="AB178" s="10">
        <f>VLOOKUP(A178,Tabell9[[Indexnamn]:[Kolumn1]],3,FALSE)</f>
        <v>3.0459999999999998</v>
      </c>
      <c r="AC178" s="10">
        <f>VLOOKUP($A178,'Lev 2022'!$K$2:$L$474,2,FALSE)</f>
        <v>3.008</v>
      </c>
      <c r="AG178" s="2">
        <f t="shared" si="5"/>
        <v>-3.7999999999999812E-2</v>
      </c>
      <c r="AH178" s="103">
        <f t="shared" si="6"/>
        <v>-1.2475377544320359E-2</v>
      </c>
    </row>
    <row r="179" spans="1:34" x14ac:dyDescent="0.25">
      <c r="A179" t="s">
        <v>365</v>
      </c>
      <c r="B179" t="str">
        <f>VLOOKUP(A179,'Korrigerade leveranser GD'!$A$4:$B$482,2,FALSE)</f>
        <v>Växjö</v>
      </c>
      <c r="C179" s="10"/>
      <c r="D179" s="10">
        <v>0</v>
      </c>
      <c r="E179" s="10">
        <v>4</v>
      </c>
      <c r="F179" s="10">
        <v>4</v>
      </c>
      <c r="G179" s="10">
        <v>3</v>
      </c>
      <c r="H179" s="10">
        <v>3.9420000000000002</v>
      </c>
      <c r="I179" s="10">
        <v>4</v>
      </c>
      <c r="J179" s="10">
        <v>5</v>
      </c>
      <c r="K179" s="10">
        <v>4.8289999999999997</v>
      </c>
      <c r="L179" s="10">
        <v>5.4589999999999996</v>
      </c>
      <c r="M179" s="10">
        <v>6.5110000000000001</v>
      </c>
      <c r="N179" s="10">
        <v>6.5110000000000001</v>
      </c>
      <c r="O179" s="10">
        <v>7.0739999999999998</v>
      </c>
      <c r="P179" s="10">
        <v>7.63</v>
      </c>
      <c r="Q179" s="10">
        <v>8.39</v>
      </c>
      <c r="R179" s="10">
        <v>9.1760000000000002</v>
      </c>
      <c r="S179" s="10">
        <f>IFERROR(VLOOKUP('Leveranser per nät'!A179,'lev 2012'!$B$2:$E$445,4,FALSE),"")</f>
        <v>7.7</v>
      </c>
      <c r="T179" s="10">
        <f>IFERROR(VLOOKUP('Leveranser per nät'!A179,'lev 2013'!$B$2:$E$445,4,FALSE),"")</f>
        <v>8.1310000000000002</v>
      </c>
      <c r="U179" s="10">
        <f>IFERROR(VLOOKUP('Leveranser per nät'!A179,'lev 2014'!$B$2:$E$432,4,FALSE),"")</f>
        <v>7.585</v>
      </c>
      <c r="V179" s="10">
        <f>IFERROR(INDEX(Levererat_2015[Leveranser till eget nät],MATCH($A179,Levererat_2015[Indexnamn],0)),"")</f>
        <v>7.4279999999999999</v>
      </c>
      <c r="W179" s="10">
        <f>IFERROR(INDEX(Levererat_2016[Leveranser till eget nät],MATCH($A179,Levererat_2016[Indexnamn],0)),"")</f>
        <v>7.7130000000000001</v>
      </c>
      <c r="X179" s="10">
        <f>IFERROR(INDEX(Tabell4[Leveranser till eget nät],MATCH('Leveranser per nät'!A179,Tabell4[[Finns i listan ]],0)),"")</f>
        <v>7.7009999999999996</v>
      </c>
      <c r="Y179" s="10">
        <f>IFERROR(INDEX(Tabell6[Kolumn1],MATCH($A179,Tabell6[Indexnmamn],0)),"")</f>
        <v>7.7039999999999997</v>
      </c>
      <c r="Z179" s="10">
        <v>7.5730000000000004</v>
      </c>
      <c r="AA179" s="10">
        <v>7.359</v>
      </c>
      <c r="AB179" s="10">
        <f>VLOOKUP(A179,Tabell9[[Indexnamn]:[Kolumn1]],3,FALSE)</f>
        <v>8.2669999999999995</v>
      </c>
      <c r="AC179" s="10">
        <f>VLOOKUP($A179,'Lev 2022'!$K$2:$L$474,2,FALSE)</f>
        <v>7.71</v>
      </c>
      <c r="AG179" s="2">
        <f t="shared" si="5"/>
        <v>-0.5569999999999995</v>
      </c>
      <c r="AH179" s="103">
        <f t="shared" si="6"/>
        <v>-6.7376315471150305E-2</v>
      </c>
    </row>
    <row r="180" spans="1:34" x14ac:dyDescent="0.25">
      <c r="A180" t="s">
        <v>37</v>
      </c>
      <c r="B180" t="str">
        <f>VLOOKUP(A180,'Korrigerade leveranser GD'!$A$4:$B$482,2,FALSE)</f>
        <v>Leksand</v>
      </c>
      <c r="C180" s="10"/>
      <c r="D180" s="10"/>
      <c r="E180" s="10"/>
      <c r="F180" s="10"/>
      <c r="G180" s="10"/>
      <c r="H180" s="10"/>
      <c r="I180" s="10"/>
      <c r="J180" s="10"/>
      <c r="K180" s="10">
        <v>0</v>
      </c>
      <c r="L180" s="10">
        <v>0.76</v>
      </c>
      <c r="M180" s="10">
        <v>4.3</v>
      </c>
      <c r="N180" s="10">
        <v>4.3</v>
      </c>
      <c r="O180" s="10">
        <v>4.3</v>
      </c>
      <c r="P180" s="10">
        <v>8.5120000000000005</v>
      </c>
      <c r="Q180" s="10">
        <v>10.9</v>
      </c>
      <c r="R180" s="10">
        <v>8.7200000000000006</v>
      </c>
      <c r="S180" s="10">
        <f>IFERROR(VLOOKUP('Leveranser per nät'!A180,'lev 2012'!$B$2:$E$445,4,FALSE),"")</f>
        <v>9.3000000000000007</v>
      </c>
      <c r="T180" s="10">
        <f>IFERROR(VLOOKUP('Leveranser per nät'!A180,'lev 2013'!$B$2:$E$445,4,FALSE),"")</f>
        <v>9.0350000000000001</v>
      </c>
      <c r="U180" s="10">
        <f>IFERROR(VLOOKUP('Leveranser per nät'!A180,'lev 2014'!$B$2:$E$432,4,FALSE),"")</f>
        <v>8.2460000000000004</v>
      </c>
      <c r="V180" s="10">
        <f>IFERROR(INDEX(Levererat_2015[Leveranser till eget nät],MATCH($A180,Levererat_2015[Indexnamn],0)),"")</f>
        <v>8.0519999999999996</v>
      </c>
      <c r="W180" s="10">
        <f>IFERROR(INDEX(Levererat_2016[Leveranser till eget nät],MATCH($A180,Levererat_2016[Indexnamn],0)),"")</f>
        <v>8.6170000000000009</v>
      </c>
      <c r="X180" s="10">
        <f>IFERROR(INDEX(Tabell4[Leveranser till eget nät],MATCH('Leveranser per nät'!A180,Tabell4[[Finns i listan ]],0)),"")</f>
        <v>8.9190000000000005</v>
      </c>
      <c r="Y180" s="10">
        <f>IFERROR(INDEX(Tabell6[Kolumn1],MATCH($A180,Tabell6[Indexnmamn],0)),"")</f>
        <v>10.673999999999999</v>
      </c>
      <c r="Z180" s="10">
        <v>9.0679999999999996</v>
      </c>
      <c r="AA180" s="10">
        <v>8.26</v>
      </c>
      <c r="AB180" s="10">
        <f>VLOOKUP(A180,Tabell9[[Indexnamn]:[Kolumn1]],3,FALSE)</f>
        <v>10.563000000000001</v>
      </c>
      <c r="AC180" s="10">
        <f>VLOOKUP($A180,'Lev 2022'!$K$2:$L$474,2,FALSE)</f>
        <v>9.9670000000000005</v>
      </c>
      <c r="AG180" s="2">
        <f t="shared" si="5"/>
        <v>-0.59600000000000009</v>
      </c>
      <c r="AH180" s="103">
        <f t="shared" si="6"/>
        <v>-5.642336457445802E-2</v>
      </c>
    </row>
    <row r="181" spans="1:34" x14ac:dyDescent="0.25">
      <c r="A181" t="s">
        <v>154</v>
      </c>
      <c r="B181" t="str">
        <f>VLOOKUP(A181,'Korrigerade leveranser GD'!$A$4:$B$482,2,FALSE)</f>
        <v>Jokkmokk</v>
      </c>
      <c r="C181" s="10">
        <v>37</v>
      </c>
      <c r="D181" s="10">
        <v>35.61</v>
      </c>
      <c r="E181" s="10">
        <v>43</v>
      </c>
      <c r="F181" s="10">
        <v>43</v>
      </c>
      <c r="G181" s="10">
        <v>32.557000000000002</v>
      </c>
      <c r="H181" s="10">
        <v>37</v>
      </c>
      <c r="I181" s="10">
        <v>38</v>
      </c>
      <c r="J181" s="10">
        <v>36.779000000000003</v>
      </c>
      <c r="K181" s="10">
        <v>37.31</v>
      </c>
      <c r="L181" s="10">
        <v>36.116999999999997</v>
      </c>
      <c r="M181" s="10">
        <v>37.6</v>
      </c>
      <c r="N181" s="10">
        <v>37.6</v>
      </c>
      <c r="O181" s="10">
        <v>36.835999999999999</v>
      </c>
      <c r="P181" s="10">
        <v>36.878999999999998</v>
      </c>
      <c r="Q181" s="10">
        <v>40.020000000000003</v>
      </c>
      <c r="R181" s="10">
        <v>33.581000000000003</v>
      </c>
      <c r="S181" s="10">
        <f>IFERROR(VLOOKUP('Leveranser per nät'!A181,'lev 2012'!$B$2:$E$445,4,FALSE),"")</f>
        <v>37</v>
      </c>
      <c r="T181" s="10">
        <f>IFERROR(VLOOKUP('Leveranser per nät'!A181,'lev 2013'!$B$2:$E$445,4,FALSE),"")</f>
        <v>35</v>
      </c>
      <c r="U181" s="10">
        <f>IFERROR(VLOOKUP('Leveranser per nät'!A181,'lev 2014'!$B$2:$E$432,4,FALSE),"")</f>
        <v>34</v>
      </c>
      <c r="V181" s="10">
        <f>IFERROR(INDEX(Levererat_2015[Leveranser till eget nät],MATCH($A181,Levererat_2015[Indexnamn],0)),"")</f>
        <v>31.5</v>
      </c>
      <c r="W181" s="10">
        <f>IFERROR(INDEX(Levererat_2016[Leveranser till eget nät],MATCH($A181,Levererat_2016[Indexnamn],0)),"")</f>
        <v>34</v>
      </c>
      <c r="X181" s="10">
        <f>IFERROR(INDEX(Tabell4[Leveranser till eget nät],MATCH('Leveranser per nät'!A181,Tabell4[[Finns i listan ]],0)),"")</f>
        <v>34</v>
      </c>
      <c r="Y181" s="10">
        <f>IFERROR(INDEX(Tabell6[Kolumn1],MATCH($A181,Tabell6[Indexnmamn],0)),"")</f>
        <v>34.799999999999997</v>
      </c>
      <c r="Z181" s="10">
        <v>36.75</v>
      </c>
      <c r="AA181" s="10">
        <v>30.628</v>
      </c>
      <c r="AB181" s="10">
        <f>VLOOKUP(A181,Tabell9[[Indexnamn]:[Kolumn1]],3,FALSE)</f>
        <v>34.5</v>
      </c>
      <c r="AC181" s="10">
        <f>VLOOKUP($A181,'Lev 2022'!$K$2:$L$474,2,FALSE)</f>
        <v>32.6</v>
      </c>
      <c r="AG181" s="2">
        <f t="shared" si="5"/>
        <v>-1.8999999999999986</v>
      </c>
      <c r="AH181" s="103">
        <f t="shared" si="6"/>
        <v>-5.5072463768115899E-2</v>
      </c>
    </row>
    <row r="182" spans="1:34" s="65" customFormat="1" x14ac:dyDescent="0.25">
      <c r="A182" s="65" t="s">
        <v>638</v>
      </c>
      <c r="B182" s="65" t="s">
        <v>240</v>
      </c>
      <c r="C182" s="68"/>
      <c r="D182" s="68"/>
      <c r="E182" s="68"/>
      <c r="F182" s="68"/>
      <c r="G182" s="68"/>
      <c r="H182" s="68"/>
      <c r="I182" s="68"/>
      <c r="J182" s="68"/>
      <c r="K182" s="68"/>
      <c r="L182" s="68"/>
      <c r="M182" s="68"/>
      <c r="N182" s="68"/>
      <c r="O182" s="68"/>
      <c r="P182" s="68"/>
      <c r="Q182" s="68"/>
      <c r="R182" s="68"/>
      <c r="S182" s="68"/>
      <c r="T182" s="68"/>
      <c r="U182" s="68">
        <v>0</v>
      </c>
      <c r="V182" s="68">
        <v>5.2</v>
      </c>
      <c r="W182" s="68">
        <v>5.5</v>
      </c>
      <c r="X182" s="71"/>
      <c r="Y182" s="68" t="str">
        <f>IFERROR(INDEX(Tabell6[Kolumn1],MATCH($A182,Tabell6[Indexnmamn],0)),"")</f>
        <v/>
      </c>
      <c r="Z182" s="68"/>
      <c r="AA182" s="68" t="s">
        <v>779</v>
      </c>
      <c r="AB182" s="10"/>
      <c r="AC182" s="10"/>
      <c r="AD182"/>
      <c r="AE182"/>
      <c r="AG182" s="2">
        <f t="shared" si="5"/>
        <v>0</v>
      </c>
      <c r="AH182" s="103"/>
    </row>
    <row r="183" spans="1:34" s="65" customFormat="1" x14ac:dyDescent="0.25">
      <c r="A183" s="65" t="s">
        <v>47</v>
      </c>
      <c r="B183" s="65" t="s">
        <v>47</v>
      </c>
      <c r="C183" s="68"/>
      <c r="D183" s="68"/>
      <c r="E183" s="68"/>
      <c r="F183" s="68"/>
      <c r="G183" s="68"/>
      <c r="H183" s="68"/>
      <c r="I183" s="68"/>
      <c r="J183" s="68"/>
      <c r="K183" s="68"/>
      <c r="L183" s="68"/>
      <c r="M183" s="68"/>
      <c r="N183" s="68"/>
      <c r="O183" s="68">
        <v>0</v>
      </c>
      <c r="P183" s="68">
        <v>2</v>
      </c>
      <c r="Q183" s="68">
        <v>2.2000000000000002</v>
      </c>
      <c r="R183" s="68">
        <v>0</v>
      </c>
      <c r="S183" s="68" t="str">
        <f>IFERROR(VLOOKUP('Leveranser per nät'!A183,'lev 2012'!$B$2:$E$445,4,FALSE),"")</f>
        <v/>
      </c>
      <c r="T183" s="68" t="str">
        <f>IFERROR(VLOOKUP('Leveranser per nät'!A183,'lev 2013'!$B$2:$E$445,4,FALSE),"")</f>
        <v/>
      </c>
      <c r="U183" s="68" t="str">
        <f>IFERROR(VLOOKUP('Leveranser per nät'!A183,'lev 2014'!$B$2:$E$432,4,FALSE),"")</f>
        <v/>
      </c>
      <c r="V183" s="68" t="str">
        <f>IFERROR(INDEX(Levererat_2015[Leveranser till eget nät],MATCH($A183,Levererat_2015[Indexnamn],0)),"")</f>
        <v/>
      </c>
      <c r="W183" s="68" t="str">
        <f>IFERROR(INDEX(Levererat_2016[Leveranser till eget nät],MATCH($A183,Levererat_2016[Indexnamn],0)),"")</f>
        <v/>
      </c>
      <c r="X183" s="68" t="str">
        <f>IFERROR(INDEX(Tabell4[Leveranser till eget nät],MATCH('Leveranser per nät'!A183,Tabell4[[Finns i listan ]],0)),"")</f>
        <v/>
      </c>
      <c r="Y183" s="68" t="str">
        <f>IFERROR(INDEX(Tabell6[Kolumn1],MATCH($A183,Tabell6[Indexnmamn],0)),"")</f>
        <v/>
      </c>
      <c r="Z183" s="68"/>
      <c r="AA183" s="68" t="s">
        <v>779</v>
      </c>
      <c r="AB183" s="10"/>
      <c r="AC183" s="10"/>
      <c r="AD183"/>
      <c r="AE183"/>
      <c r="AG183" s="2">
        <f t="shared" si="5"/>
        <v>0</v>
      </c>
      <c r="AH183" s="103"/>
    </row>
    <row r="184" spans="1:34" x14ac:dyDescent="0.25">
      <c r="A184" t="s">
        <v>640</v>
      </c>
      <c r="B184" t="str">
        <f>VLOOKUP(A184,'Korrigerade leveranser GD'!$A$4:$B$482,2,FALSE)</f>
        <v>Karlskrona</v>
      </c>
      <c r="C184" s="10"/>
      <c r="D184" s="10"/>
      <c r="E184" s="10"/>
      <c r="F184" s="10"/>
      <c r="G184" s="10"/>
      <c r="H184" s="10"/>
      <c r="I184" s="10"/>
      <c r="J184" s="10"/>
      <c r="K184" s="10"/>
      <c r="L184" s="10"/>
      <c r="M184" s="10"/>
      <c r="N184" s="10"/>
      <c r="O184" s="10"/>
      <c r="P184" s="10"/>
      <c r="Q184" s="10"/>
      <c r="R184" s="10">
        <v>0</v>
      </c>
      <c r="S184" s="10">
        <f>IFERROR(VLOOKUP('Leveranser per nät'!A184,'lev 2012'!$B$2:$E$445,4,FALSE),"")</f>
        <v>0.36</v>
      </c>
      <c r="T184" s="10">
        <f>IFERROR(VLOOKUP('Leveranser per nät'!A184,'lev 2013'!$B$2:$E$445,4,FALSE),"")</f>
        <v>0.37</v>
      </c>
      <c r="U184" s="10">
        <f>IFERROR(VLOOKUP('Leveranser per nät'!A184,'lev 2014'!$B$2:$E$432,4,FALSE),"")</f>
        <v>0.36</v>
      </c>
      <c r="V184" s="10">
        <f>IFERROR(INDEX(Levererat_2015[Leveranser till eget nät],MATCH($A184,Levererat_2015[Indexnamn],0)),"")</f>
        <v>2.2999999999999998</v>
      </c>
      <c r="W184" s="10">
        <f>IFERROR(INDEX(Levererat_2016[Leveranser till eget nät],MATCH($A184,Levererat_2016[Indexnamn],0)),"")</f>
        <v>4.5999999999999996</v>
      </c>
      <c r="X184" s="10">
        <f>IFERROR(INDEX(Tabell4[Leveranser till eget nät],MATCH('Leveranser per nät'!A184,Tabell4[[Finns i listan ]],0)),"")</f>
        <v>5</v>
      </c>
      <c r="Y184" s="10">
        <f>IFERROR(INDEX(Tabell6[Kolumn1],MATCH($A184,Tabell6[Indexnmamn],0)),"")</f>
        <v>4.95</v>
      </c>
      <c r="Z184" s="10">
        <v>5</v>
      </c>
      <c r="AA184" s="10">
        <v>4.7919999999999998</v>
      </c>
      <c r="AB184" s="10">
        <f>VLOOKUP(A184,Tabell9[[Indexnamn]:[Kolumn1]],3,FALSE)</f>
        <v>5.7830000000000004</v>
      </c>
      <c r="AC184" s="10">
        <f>VLOOKUP($A184,'Lev 2022'!$K$2:$L$474,2,FALSE)</f>
        <v>5.2750000000000004</v>
      </c>
      <c r="AG184" s="2">
        <f t="shared" si="5"/>
        <v>-0.50800000000000001</v>
      </c>
      <c r="AH184" s="103">
        <f t="shared" si="6"/>
        <v>-8.7843679750994288E-2</v>
      </c>
    </row>
    <row r="185" spans="1:34" s="65" customFormat="1" x14ac:dyDescent="0.25">
      <c r="A185" s="65" t="s">
        <v>475</v>
      </c>
      <c r="B185" s="65" t="s">
        <v>255</v>
      </c>
      <c r="C185" s="68"/>
      <c r="D185" s="68"/>
      <c r="E185" s="68"/>
      <c r="F185" s="68"/>
      <c r="G185" s="68"/>
      <c r="H185" s="68"/>
      <c r="I185" s="68"/>
      <c r="J185" s="68"/>
      <c r="K185" s="68">
        <v>0</v>
      </c>
      <c r="L185" s="68">
        <v>3.0409999999999999</v>
      </c>
      <c r="M185" s="68">
        <v>0</v>
      </c>
      <c r="N185" s="68"/>
      <c r="O185" s="68"/>
      <c r="P185" s="68"/>
      <c r="Q185" s="68"/>
      <c r="R185" s="68"/>
      <c r="S185" s="68" t="str">
        <f>IFERROR(VLOOKUP('Leveranser per nät'!A185,'lev 2012'!$B$2:$E$445,4,FALSE),"")</f>
        <v/>
      </c>
      <c r="T185" s="68" t="str">
        <f>IFERROR(VLOOKUP('Leveranser per nät'!A185,'lev 2013'!$B$2:$E$445,4,FALSE),"")</f>
        <v/>
      </c>
      <c r="U185" s="68" t="str">
        <f>IFERROR(VLOOKUP('Leveranser per nät'!A185,'lev 2014'!$B$2:$E$432,4,FALSE),"")</f>
        <v/>
      </c>
      <c r="V185" s="68" t="str">
        <f>IFERROR(INDEX(Levererat_2015[Leveranser till eget nät],MATCH($A185,Levererat_2015[Indexnamn],0)),"")</f>
        <v/>
      </c>
      <c r="W185" s="68" t="str">
        <f>IFERROR(INDEX(Levererat_2016[Leveranser till eget nät],MATCH($A185,Levererat_2016[Indexnamn],0)),"")</f>
        <v/>
      </c>
      <c r="X185" s="68" t="str">
        <f>IFERROR(INDEX(Tabell4[Leveranser till eget nät],MATCH('Leveranser per nät'!A185,Tabell4[[Finns i listan ]],0)),"")</f>
        <v/>
      </c>
      <c r="Y185" s="68" t="str">
        <f>IFERROR(INDEX(Tabell6[Kolumn1],MATCH($A185,Tabell6[Indexnmamn],0)),"")</f>
        <v/>
      </c>
      <c r="Z185" s="68"/>
      <c r="AA185" s="68" t="s">
        <v>779</v>
      </c>
      <c r="AB185" s="10"/>
      <c r="AC185" s="10"/>
      <c r="AD185"/>
      <c r="AE185"/>
      <c r="AG185" s="2">
        <f t="shared" si="5"/>
        <v>0</v>
      </c>
      <c r="AH185" s="103"/>
    </row>
    <row r="186" spans="1:34" s="65" customFormat="1" x14ac:dyDescent="0.25">
      <c r="A186" s="65" t="s">
        <v>66</v>
      </c>
      <c r="B186" s="65" t="str">
        <f>VLOOKUP(A186,'Korrigerade leveranser GD'!$A$4:$B$482,2,FALSE)</f>
        <v>Upplands-Bro</v>
      </c>
      <c r="C186" s="68">
        <v>270</v>
      </c>
      <c r="D186" s="68">
        <v>235.97200000000001</v>
      </c>
      <c r="E186" s="68">
        <v>251</v>
      </c>
      <c r="F186" s="68">
        <v>228</v>
      </c>
      <c r="G186" s="68">
        <v>234</v>
      </c>
      <c r="H186" s="68">
        <v>250</v>
      </c>
      <c r="I186" s="68">
        <v>304.8</v>
      </c>
      <c r="J186" s="68">
        <v>297</v>
      </c>
      <c r="K186" s="68">
        <v>393.726</v>
      </c>
      <c r="L186" s="68">
        <v>256.1101186313519</v>
      </c>
      <c r="M186" s="68">
        <v>287.5</v>
      </c>
      <c r="N186" s="68">
        <v>274</v>
      </c>
      <c r="O186" s="68">
        <v>278.89999999999998</v>
      </c>
      <c r="P186" s="68">
        <v>301</v>
      </c>
      <c r="Q186" s="68">
        <v>348</v>
      </c>
      <c r="R186" s="68">
        <v>287.55</v>
      </c>
      <c r="S186" s="68">
        <f>IFERROR(VLOOKUP('Leveranser per nät'!A186,'lev 2012'!$B$2:$E$445,4,FALSE),"")</f>
        <v>308</v>
      </c>
      <c r="T186" s="71">
        <v>276</v>
      </c>
      <c r="U186" s="68">
        <f>IFERROR(VLOOKUP('Leveranser per nät'!A186,'lev 2014'!$B$2:$E$432,4,FALSE),"")</f>
        <v>259.10000000000002</v>
      </c>
      <c r="V186" s="68">
        <f>IFERROR(INDEX(Levererat_2015[Leveranser till eget nät],MATCH($A186,Levererat_2015[Indexnamn],0)),"")</f>
        <v>252.81799999999998</v>
      </c>
      <c r="W186" s="68">
        <f>IFERROR(INDEX(Levererat_2016[Leveranser till eget nät],MATCH($A186,Levererat_2016[Indexnamn],0)),"")</f>
        <v>262.79999999999995</v>
      </c>
      <c r="X186" s="68">
        <f>IFERROR(INDEX(Tabell4[Leveranser till eget nät],MATCH('Leveranser per nät'!A186,Tabell4[[Finns i listan ]],0)),"")</f>
        <v>276.29999999999995</v>
      </c>
      <c r="Y186" s="68">
        <f>IFERROR(INDEX(Tabell6[Kolumn1],MATCH($A186,Tabell6[Indexnmamn],0)),"")</f>
        <v>292</v>
      </c>
      <c r="Z186" s="68">
        <v>380</v>
      </c>
      <c r="AA186" s="71">
        <v>377.9</v>
      </c>
      <c r="AB186" s="68"/>
      <c r="AC186" s="10"/>
      <c r="AG186" s="2">
        <f t="shared" si="5"/>
        <v>0</v>
      </c>
      <c r="AH186" s="103"/>
    </row>
    <row r="187" spans="1:34" x14ac:dyDescent="0.25">
      <c r="A187" t="s">
        <v>1104</v>
      </c>
      <c r="B187" t="str">
        <f>VLOOKUP(A187,'Korrigerade leveranser GD'!$A$4:$B$482,2,FALSE)</f>
        <v>Upplands-Bro</v>
      </c>
      <c r="C187" s="10"/>
      <c r="D187" s="10"/>
      <c r="E187" s="10"/>
      <c r="F187" s="10"/>
      <c r="G187" s="10"/>
      <c r="H187" s="10"/>
      <c r="I187" s="10"/>
      <c r="J187" s="10"/>
      <c r="K187" s="10"/>
      <c r="L187" s="10"/>
      <c r="M187" s="10"/>
      <c r="N187" s="10"/>
      <c r="O187" s="10"/>
      <c r="P187" s="10"/>
      <c r="Q187" s="10"/>
      <c r="R187" s="10"/>
      <c r="S187" s="10"/>
      <c r="T187" s="56"/>
      <c r="U187" s="10"/>
      <c r="V187" s="10"/>
      <c r="W187" s="10"/>
      <c r="X187" s="10"/>
      <c r="Y187" s="10"/>
      <c r="Z187" s="10"/>
      <c r="AA187" s="56"/>
      <c r="AB187" s="10">
        <f>VLOOKUP(A187,Tabell9[[Indexnamn]:[Kolumn1]],3,FALSE)</f>
        <v>417.26499999999999</v>
      </c>
      <c r="AC187" s="10">
        <f>VLOOKUP($A187,'Lev 2022'!$K$2:$L$474,2,FALSE)</f>
        <v>374.75999999999993</v>
      </c>
      <c r="AG187" s="2">
        <f t="shared" si="5"/>
        <v>-42.505000000000052</v>
      </c>
      <c r="AH187" s="103">
        <f t="shared" si="6"/>
        <v>-0.10186572082489558</v>
      </c>
    </row>
    <row r="188" spans="1:34" x14ac:dyDescent="0.25">
      <c r="A188" t="s">
        <v>312</v>
      </c>
      <c r="B188" t="str">
        <f>VLOOKUP(A188,'Korrigerade leveranser GD'!$A$4:$B$482,2,FALSE)</f>
        <v>Södertälje</v>
      </c>
      <c r="C188" s="10"/>
      <c r="D188" s="10"/>
      <c r="E188" s="10"/>
      <c r="F188" s="10"/>
      <c r="G188" s="10"/>
      <c r="H188" s="10"/>
      <c r="I188" s="10">
        <v>30</v>
      </c>
      <c r="J188" s="10">
        <v>32</v>
      </c>
      <c r="K188" s="10">
        <v>21.321000000000002</v>
      </c>
      <c r="L188" s="10">
        <v>39.409999999999997</v>
      </c>
      <c r="M188" s="10">
        <v>43.753999999999998</v>
      </c>
      <c r="N188" s="10">
        <v>45.493000000000002</v>
      </c>
      <c r="O188" s="10">
        <v>43.581000000000003</v>
      </c>
      <c r="P188" s="10">
        <v>47.453000000000003</v>
      </c>
      <c r="Q188" s="10">
        <v>52.701999999999998</v>
      </c>
      <c r="R188" s="10">
        <v>47.142000000000003</v>
      </c>
      <c r="S188" s="72">
        <v>45.8065</v>
      </c>
      <c r="T188" s="72">
        <v>44.471000000000004</v>
      </c>
      <c r="U188" s="72">
        <v>43.1355</v>
      </c>
      <c r="V188" s="10">
        <f>IFERROR(INDEX(Levererat_2015[Leveranser till eget nät],MATCH($A188,Levererat_2015[Indexnamn],0)),"")</f>
        <v>41.8</v>
      </c>
      <c r="W188" s="10">
        <f>IFERROR(INDEX(Levererat_2016[Leveranser till eget nät],MATCH($A188,Levererat_2016[Indexnamn],0)),"")</f>
        <v>44</v>
      </c>
      <c r="X188" s="10">
        <f>IFERROR(INDEX(Tabell4[Leveranser till eget nät],MATCH('Leveranser per nät'!A188,Tabell4[[Finns i listan ]],0)),"")</f>
        <v>43.9</v>
      </c>
      <c r="Y188" s="10">
        <f>IFERROR(INDEX(Tabell6[Kolumn1],MATCH($A188,Tabell6[Indexnmamn],0)),"")</f>
        <v>43</v>
      </c>
      <c r="Z188" s="10">
        <v>42.49</v>
      </c>
      <c r="AA188" s="10">
        <v>40.39</v>
      </c>
      <c r="AB188" s="10">
        <f>VLOOKUP(A188,Tabell9[[Indexnamn]:[Kolumn1]],3,FALSE)</f>
        <v>43.872999999999998</v>
      </c>
      <c r="AC188" s="10">
        <f>VLOOKUP($A188,'Lev 2022'!$K$2:$L$474,2,FALSE)</f>
        <v>44.088000000000001</v>
      </c>
      <c r="AG188" s="2">
        <f t="shared" si="5"/>
        <v>0.21500000000000341</v>
      </c>
      <c r="AH188" s="103">
        <f t="shared" si="6"/>
        <v>4.9005082852780395E-3</v>
      </c>
    </row>
    <row r="189" spans="1:34" s="65" customFormat="1" x14ac:dyDescent="0.25">
      <c r="A189" s="65" t="s">
        <v>476</v>
      </c>
      <c r="B189" s="65" t="s">
        <v>156</v>
      </c>
      <c r="C189" s="68"/>
      <c r="D189" s="68"/>
      <c r="E189" s="68"/>
      <c r="F189" s="68"/>
      <c r="G189" s="68"/>
      <c r="H189" s="68"/>
      <c r="I189" s="68"/>
      <c r="J189" s="68"/>
      <c r="K189" s="68">
        <v>0</v>
      </c>
      <c r="L189" s="68">
        <v>9.1077999999999992</v>
      </c>
      <c r="M189" s="68">
        <v>0</v>
      </c>
      <c r="N189" s="68">
        <v>0</v>
      </c>
      <c r="O189" s="68"/>
      <c r="P189" s="68"/>
      <c r="Q189" s="68"/>
      <c r="R189" s="68"/>
      <c r="S189" s="68" t="str">
        <f>IFERROR(VLOOKUP('Leveranser per nät'!A189,'lev 2012'!$B$2:$E$445,4,FALSE),"")</f>
        <v/>
      </c>
      <c r="T189" s="68" t="str">
        <f>IFERROR(VLOOKUP('Leveranser per nät'!A189,'lev 2013'!$B$2:$E$445,4,FALSE),"")</f>
        <v/>
      </c>
      <c r="U189" s="68" t="str">
        <f>IFERROR(VLOOKUP('Leveranser per nät'!A189,'lev 2014'!$B$2:$E$432,4,FALSE),"")</f>
        <v/>
      </c>
      <c r="V189" s="68" t="str">
        <f>IFERROR(INDEX(Levererat_2015[Leveranser till eget nät],MATCH($A189,Levererat_2015[Indexnamn],0)),"")</f>
        <v/>
      </c>
      <c r="W189" s="68" t="str">
        <f>IFERROR(INDEX(Levererat_2016[Leveranser till eget nät],MATCH($A189,Levererat_2016[Indexnamn],0)),"")</f>
        <v/>
      </c>
      <c r="X189" s="68" t="str">
        <f>IFERROR(INDEX(Tabell4[Leveranser till eget nät],MATCH('Leveranser per nät'!A189,Tabell4[[Finns i listan ]],0)),"")</f>
        <v/>
      </c>
      <c r="Y189" s="68" t="str">
        <f>IFERROR(INDEX(Tabell6[Kolumn1],MATCH($A189,Tabell6[Indexnmamn],0)),"")</f>
        <v/>
      </c>
      <c r="Z189" s="68"/>
      <c r="AA189" s="68" t="s">
        <v>779</v>
      </c>
      <c r="AB189" s="10"/>
      <c r="AC189" s="10">
        <f>VLOOKUP($A189,'Lev 2022'!$K$2:$L$474,2,FALSE)</f>
        <v>10.15</v>
      </c>
      <c r="AD189"/>
      <c r="AE189"/>
      <c r="AG189" s="2">
        <f t="shared" si="5"/>
        <v>10.15</v>
      </c>
      <c r="AH189" s="103"/>
    </row>
    <row r="190" spans="1:34" x14ac:dyDescent="0.25">
      <c r="A190" t="s">
        <v>195</v>
      </c>
      <c r="B190" t="str">
        <f>VLOOKUP(A190,'Korrigerade leveranser GD'!$A$4:$B$482,2,FALSE)</f>
        <v>Ljusdal</v>
      </c>
      <c r="C190" s="10"/>
      <c r="D190" s="10"/>
      <c r="E190" s="10">
        <v>1</v>
      </c>
      <c r="F190" s="10">
        <v>7</v>
      </c>
      <c r="G190" s="10">
        <v>8</v>
      </c>
      <c r="H190" s="10">
        <v>10</v>
      </c>
      <c r="I190" s="10">
        <v>11</v>
      </c>
      <c r="J190" s="10">
        <v>11</v>
      </c>
      <c r="K190" s="10">
        <v>11.273</v>
      </c>
      <c r="L190" s="10">
        <v>10.704000000000001</v>
      </c>
      <c r="M190" s="10">
        <v>10.132</v>
      </c>
      <c r="N190" s="10">
        <v>10.516999999999999</v>
      </c>
      <c r="O190" s="10">
        <v>10.77</v>
      </c>
      <c r="P190" s="10">
        <v>10.569000000000001</v>
      </c>
      <c r="Q190" s="10">
        <v>12.75</v>
      </c>
      <c r="R190" s="10">
        <v>10.118</v>
      </c>
      <c r="S190" s="10">
        <f>IFERROR(VLOOKUP('Leveranser per nät'!A190,'lev 2012'!$B$2:$E$445,4,FALSE),"")</f>
        <v>11</v>
      </c>
      <c r="T190" s="10">
        <f>IFERROR(VLOOKUP('Leveranser per nät'!A190,'lev 2013'!$B$2:$E$445,4,FALSE),"")</f>
        <v>10.199999999999999</v>
      </c>
      <c r="U190" s="10">
        <f>IFERROR(VLOOKUP('Leveranser per nät'!A190,'lev 2014'!$B$2:$E$432,4,FALSE),"")</f>
        <v>8.6999999999999993</v>
      </c>
      <c r="V190" s="10">
        <f>IFERROR(INDEX(Levererat_2015[Leveranser till eget nät],MATCH($A190,Levererat_2015[Indexnamn],0)),"")</f>
        <v>9.6</v>
      </c>
      <c r="W190" s="10">
        <f>IFERROR(INDEX(Levererat_2016[Leveranser till eget nät],MATCH($A190,Levererat_2016[Indexnamn],0)),"")</f>
        <v>10.7</v>
      </c>
      <c r="X190" s="10">
        <f>IFERROR(INDEX(Tabell4[Leveranser till eget nät],MATCH('Leveranser per nät'!A190,Tabell4[[Finns i listan ]],0)),"")</f>
        <v>10.6</v>
      </c>
      <c r="Y190" s="10">
        <f>IFERROR(INDEX(Tabell6[Kolumn1],MATCH($A190,Tabell6[Indexnmamn],0)),"")</f>
        <v>10.5</v>
      </c>
      <c r="Z190" s="10">
        <v>11.1</v>
      </c>
      <c r="AA190" s="10">
        <v>9.6</v>
      </c>
      <c r="AB190" s="10">
        <f>VLOOKUP(A190,Tabell9[[Indexnamn]:[Kolumn1]],3,FALSE)</f>
        <v>11.05</v>
      </c>
      <c r="AC190" s="10">
        <f>VLOOKUP($A190,'Lev 2022'!$K$2:$L$474,2,FALSE)</f>
        <v>10.243</v>
      </c>
      <c r="AG190" s="2">
        <f t="shared" si="5"/>
        <v>-0.80700000000000038</v>
      </c>
      <c r="AH190" s="103">
        <f t="shared" si="6"/>
        <v>-7.3031674208144826E-2</v>
      </c>
    </row>
    <row r="191" spans="1:34" x14ac:dyDescent="0.25">
      <c r="A191" t="s">
        <v>160</v>
      </c>
      <c r="B191" t="str">
        <f>VLOOKUP(A191,'Korrigerade leveranser GD'!$A$4:$B$482,2,FALSE)</f>
        <v>Jönköping</v>
      </c>
      <c r="C191" s="10">
        <v>571</v>
      </c>
      <c r="D191" s="10">
        <v>533.97</v>
      </c>
      <c r="E191" s="10">
        <v>546</v>
      </c>
      <c r="F191" s="10">
        <v>525</v>
      </c>
      <c r="G191" s="10">
        <v>520</v>
      </c>
      <c r="H191" s="10">
        <v>573</v>
      </c>
      <c r="I191" s="10">
        <v>561</v>
      </c>
      <c r="J191" s="10">
        <v>503</v>
      </c>
      <c r="K191" s="10">
        <v>598.10299999999995</v>
      </c>
      <c r="L191" s="10">
        <v>603.43200000000002</v>
      </c>
      <c r="M191" s="10">
        <v>616.85</v>
      </c>
      <c r="N191" s="10">
        <v>511.30500000000001</v>
      </c>
      <c r="O191" s="10">
        <v>511.2</v>
      </c>
      <c r="P191" s="10">
        <v>580.58199999999999</v>
      </c>
      <c r="Q191" s="10">
        <v>813.1</v>
      </c>
      <c r="R191" s="10">
        <v>674.39</v>
      </c>
      <c r="S191" s="10">
        <f>IFERROR(VLOOKUP('Leveranser per nät'!A191,'lev 2012'!$B$2:$E$445,4,FALSE),"")</f>
        <v>653</v>
      </c>
      <c r="T191" s="10">
        <f>IFERROR(VLOOKUP('Leveranser per nät'!A191,'lev 2013'!$B$2:$E$445,4,FALSE),"")</f>
        <v>685.66</v>
      </c>
      <c r="U191" s="10">
        <f>IFERROR(VLOOKUP('Leveranser per nät'!A191,'lev 2014'!$B$2:$E$432,4,FALSE),"")</f>
        <v>619.51</v>
      </c>
      <c r="V191" s="10">
        <f>IFERROR(INDEX(Levererat_2015[Leveranser till eget nät],MATCH($A191,Levererat_2015[Indexnamn],0)),"")</f>
        <v>631.38900000000001</v>
      </c>
      <c r="W191" s="10">
        <f>IFERROR(INDEX(Levererat_2016[Leveranser till eget nät],MATCH($A191,Levererat_2016[Indexnamn],0)),"")</f>
        <v>703.62</v>
      </c>
      <c r="X191" s="10">
        <f>IFERROR(INDEX(Tabell4[Leveranser till eget nät],MATCH('Leveranser per nät'!A191,Tabell4[[Finns i listan ]],0)),"")</f>
        <v>696.71</v>
      </c>
      <c r="Y191" s="10">
        <f>IFERROR(INDEX(Tabell6[Kolumn1],MATCH($A191,Tabell6[Indexnmamn],0)),"")</f>
        <v>710.64</v>
      </c>
      <c r="Z191" s="10">
        <v>676.178</v>
      </c>
      <c r="AA191" s="10">
        <v>631.13499999999999</v>
      </c>
      <c r="AB191" s="10">
        <f>VLOOKUP(A191,Tabell9[[Indexnamn]:[Kolumn1]],3,FALSE)</f>
        <v>756.09400000000005</v>
      </c>
      <c r="AC191" s="10">
        <f>VLOOKUP($A191,'Lev 2022'!$K$2:$L$474,2,FALSE)</f>
        <v>709.88499999999999</v>
      </c>
      <c r="AG191" s="2">
        <f t="shared" si="5"/>
        <v>-46.20900000000006</v>
      </c>
      <c r="AH191" s="103">
        <f t="shared" si="6"/>
        <v>-6.111541686615693E-2</v>
      </c>
    </row>
    <row r="192" spans="1:34" x14ac:dyDescent="0.25">
      <c r="A192" t="s">
        <v>267</v>
      </c>
      <c r="B192" t="str">
        <f>VLOOKUP(A192,'Korrigerade leveranser GD'!$A$4:$B$482,2,FALSE)</f>
        <v>Piteå</v>
      </c>
      <c r="C192" s="10"/>
      <c r="D192" s="10"/>
      <c r="E192" s="10">
        <v>0</v>
      </c>
      <c r="F192" s="10">
        <v>1</v>
      </c>
      <c r="G192" s="10">
        <v>1</v>
      </c>
      <c r="H192" s="10">
        <v>5.6689999999999996</v>
      </c>
      <c r="I192" s="10">
        <v>5</v>
      </c>
      <c r="J192" s="10">
        <v>5</v>
      </c>
      <c r="K192" s="10">
        <v>5.4943999999999997</v>
      </c>
      <c r="L192" s="10">
        <v>5.1383999999999999</v>
      </c>
      <c r="M192" s="10">
        <v>5.36</v>
      </c>
      <c r="N192" s="10">
        <v>5.359</v>
      </c>
      <c r="O192" s="10">
        <v>5.4039999999999999</v>
      </c>
      <c r="P192" s="10">
        <v>5.4349999999999996</v>
      </c>
      <c r="Q192" s="10">
        <v>5.6210000000000004</v>
      </c>
      <c r="R192" s="10">
        <v>5.0599999999999996</v>
      </c>
      <c r="S192" s="10">
        <f>IFERROR(VLOOKUP('Leveranser per nät'!A192,'lev 2012'!$B$2:$E$445,4,FALSE),"")</f>
        <v>6.43</v>
      </c>
      <c r="T192" s="10">
        <f>IFERROR(VLOOKUP('Leveranser per nät'!A192,'lev 2013'!$B$2:$E$445,4,FALSE),"")</f>
        <v>5.681</v>
      </c>
      <c r="U192" s="10">
        <f>IFERROR(VLOOKUP('Leveranser per nät'!A192,'lev 2014'!$B$2:$E$432,4,FALSE),"")</f>
        <v>6.3259999999999996</v>
      </c>
      <c r="V192" s="10">
        <f>IFERROR(INDEX(Levererat_2015[Leveranser till eget nät],MATCH($A192,Levererat_2015[Indexnamn],0)),"")</f>
        <v>6.141</v>
      </c>
      <c r="W192" s="10">
        <f>IFERROR(INDEX(Levererat_2016[Leveranser till eget nät],MATCH($A192,Levererat_2016[Indexnamn],0)),"")</f>
        <v>6.61</v>
      </c>
      <c r="X192" s="10">
        <f>IFERROR(INDEX(Tabell4[Leveranser till eget nät],MATCH('Leveranser per nät'!A192,Tabell4[[Finns i listan ]],0)),"")</f>
        <v>6.6070000000000002</v>
      </c>
      <c r="Y192" s="10">
        <f>IFERROR(INDEX(Tabell6[Kolumn1],MATCH($A192,Tabell6[Indexnmamn],0)),"")</f>
        <v>6.87</v>
      </c>
      <c r="Z192" s="10">
        <v>6.3159999999999998</v>
      </c>
      <c r="AA192" s="10">
        <v>5.7530000000000001</v>
      </c>
      <c r="AB192" s="10">
        <f>VLOOKUP(A192,Tabell9[[Indexnamn]:[Kolumn1]],3,FALSE)</f>
        <v>5.8677000000000001</v>
      </c>
      <c r="AC192" s="10">
        <f>VLOOKUP($A192,'Lev 2022'!$K$2:$L$474,2,FALSE)</f>
        <v>5.3860999999999999</v>
      </c>
      <c r="AG192" s="2">
        <f t="shared" si="5"/>
        <v>-0.48160000000000025</v>
      </c>
      <c r="AH192" s="103">
        <f t="shared" si="6"/>
        <v>-8.2076452443035644E-2</v>
      </c>
    </row>
    <row r="193" spans="1:34" x14ac:dyDescent="0.25">
      <c r="A193" t="s">
        <v>346</v>
      </c>
      <c r="B193" t="str">
        <f>VLOOKUP(A193,'Korrigerade leveranser GD'!$A$4:$B$482,2,FALSE)</f>
        <v>Kalix</v>
      </c>
      <c r="C193" s="10">
        <v>59.460999999999999</v>
      </c>
      <c r="D193" s="10">
        <v>67.293000000000006</v>
      </c>
      <c r="E193" s="10">
        <v>93.701999999999998</v>
      </c>
      <c r="F193" s="10">
        <v>93.623999999999995</v>
      </c>
      <c r="G193" s="10">
        <v>89</v>
      </c>
      <c r="H193" s="10">
        <v>99</v>
      </c>
      <c r="I193" s="10">
        <v>95</v>
      </c>
      <c r="J193" s="10">
        <v>96.03</v>
      </c>
      <c r="K193" s="10">
        <v>96.733000000000004</v>
      </c>
      <c r="L193" s="10">
        <v>96.733000000000004</v>
      </c>
      <c r="M193" s="10">
        <v>91.1</v>
      </c>
      <c r="N193" s="10">
        <v>86.1</v>
      </c>
      <c r="O193" s="10">
        <v>88.9</v>
      </c>
      <c r="P193" s="10">
        <v>92.6</v>
      </c>
      <c r="Q193" s="10">
        <v>104.8</v>
      </c>
      <c r="R193" s="10">
        <v>90.5</v>
      </c>
      <c r="S193" s="10">
        <f>IFERROR(VLOOKUP('Leveranser per nät'!A193,'lev 2012'!$B$2:$E$445,4,FALSE),"")</f>
        <v>98</v>
      </c>
      <c r="T193" s="10">
        <f>IFERROR(VLOOKUP('Leveranser per nät'!A193,'lev 2013'!$B$2:$E$445,4,FALSE),"")</f>
        <v>96.6</v>
      </c>
      <c r="U193" s="10">
        <f>IFERROR(VLOOKUP('Leveranser per nät'!A193,'lev 2014'!$B$2:$E$432,4,FALSE),"")</f>
        <v>93.7</v>
      </c>
      <c r="V193" s="10">
        <f>IFERROR(INDEX(Levererat_2015[Leveranser till eget nät],MATCH($A193,Levererat_2015[Indexnamn],0)),"")</f>
        <v>95.099000000000004</v>
      </c>
      <c r="W193" s="10">
        <f>IFERROR(INDEX(Levererat_2016[Leveranser till eget nät],MATCH($A193,Levererat_2016[Indexnamn],0)),"")</f>
        <v>98.3</v>
      </c>
      <c r="X193" s="10">
        <f>IFERROR(INDEX(Tabell4[Leveranser till eget nät],MATCH('Leveranser per nät'!A193,Tabell4[[Finns i listan ]],0)),"")</f>
        <v>106.01</v>
      </c>
      <c r="Y193" s="10">
        <f>IFERROR(INDEX(Tabell6[Kolumn1],MATCH($A193,Tabell6[Indexnmamn],0)),"")</f>
        <v>108.1</v>
      </c>
      <c r="Z193" s="10">
        <v>90.472999999999999</v>
      </c>
      <c r="AA193" s="10">
        <v>71.367999999999995</v>
      </c>
      <c r="AB193" s="10">
        <f>VLOOKUP(A193,Tabell9[[Indexnamn]:[Kolumn1]],3,FALSE)</f>
        <v>94.8</v>
      </c>
      <c r="AC193" s="10">
        <f>VLOOKUP($A193,'Lev 2022'!$K$2:$L$474,2,FALSE)</f>
        <v>90.4</v>
      </c>
      <c r="AG193" s="2">
        <f t="shared" si="5"/>
        <v>-4.3999999999999915</v>
      </c>
      <c r="AH193" s="103">
        <f t="shared" si="6"/>
        <v>-4.6413502109704553E-2</v>
      </c>
    </row>
    <row r="194" spans="1:34" s="65" customFormat="1" x14ac:dyDescent="0.25">
      <c r="A194" s="65" t="s">
        <v>251</v>
      </c>
      <c r="B194" t="s">
        <v>507</v>
      </c>
      <c r="C194" s="68"/>
      <c r="D194" s="68"/>
      <c r="E194" s="68"/>
      <c r="F194" s="68"/>
      <c r="G194" s="68"/>
      <c r="H194" s="68"/>
      <c r="I194" s="68"/>
      <c r="J194" s="68">
        <v>0</v>
      </c>
      <c r="K194" s="68">
        <v>0</v>
      </c>
      <c r="L194" s="68">
        <v>0.87439999999999996</v>
      </c>
      <c r="M194" s="68">
        <v>0</v>
      </c>
      <c r="N194" s="68">
        <v>0</v>
      </c>
      <c r="O194" s="68">
        <v>15.4</v>
      </c>
      <c r="P194" s="68">
        <v>0</v>
      </c>
      <c r="Q194" s="68">
        <v>0</v>
      </c>
      <c r="R194" s="68"/>
      <c r="S194" s="68" t="str">
        <f>IFERROR(VLOOKUP('Leveranser per nät'!A194,'lev 2012'!$B$2:$E$445,4,FALSE),"")</f>
        <v/>
      </c>
      <c r="T194" s="68" t="str">
        <f>IFERROR(VLOOKUP('Leveranser per nät'!A194,'lev 2013'!$B$2:$E$445,4,FALSE),"")</f>
        <v/>
      </c>
      <c r="U194" s="68" t="str">
        <f>IFERROR(VLOOKUP('Leveranser per nät'!A194,'lev 2014'!$B$2:$E$432,4,FALSE),"")</f>
        <v/>
      </c>
      <c r="V194" s="68" t="str">
        <f>IFERROR(INDEX(Levererat_2015[Leveranser till eget nät],MATCH($A194,Levererat_2015[Indexnamn],0)),"")</f>
        <v/>
      </c>
      <c r="W194" s="68" t="str">
        <f>IFERROR(INDEX(Levererat_2016[Leveranser till eget nät],MATCH($A194,Levererat_2016[Indexnamn],0)),"")</f>
        <v/>
      </c>
      <c r="X194" s="68" t="str">
        <f>IFERROR(INDEX(Tabell4[Leveranser till eget nät],MATCH('Leveranser per nät'!A194,Tabell4[[Finns i listan ]],0)),"")</f>
        <v/>
      </c>
      <c r="Y194" s="68" t="str">
        <f>IFERROR(INDEX(Tabell6[Kolumn1],MATCH($A194,Tabell6[Indexnmamn],0)),"")</f>
        <v/>
      </c>
      <c r="Z194" s="68"/>
      <c r="AA194" s="68" t="s">
        <v>779</v>
      </c>
      <c r="AB194" s="10"/>
      <c r="AC194" s="10"/>
      <c r="AD194"/>
      <c r="AE194"/>
      <c r="AG194" s="2">
        <f t="shared" si="5"/>
        <v>0</v>
      </c>
      <c r="AH194" s="103"/>
    </row>
    <row r="195" spans="1:34" x14ac:dyDescent="0.25">
      <c r="A195" t="s">
        <v>162</v>
      </c>
      <c r="B195" t="str">
        <f>VLOOKUP(A195,'Korrigerade leveranser GD'!$A$4:$B$482,2,FALSE)</f>
        <v>Kalmar</v>
      </c>
      <c r="C195" s="10">
        <v>321</v>
      </c>
      <c r="D195" s="10">
        <v>287.33999999999997</v>
      </c>
      <c r="E195" s="10">
        <v>294</v>
      </c>
      <c r="F195" s="10">
        <v>299</v>
      </c>
      <c r="G195" s="10">
        <v>288</v>
      </c>
      <c r="H195" s="10">
        <v>337</v>
      </c>
      <c r="I195" s="10">
        <v>346.57499999999999</v>
      </c>
      <c r="J195" s="10">
        <v>356.01100000000002</v>
      </c>
      <c r="K195" s="10">
        <v>367.012</v>
      </c>
      <c r="L195" s="10">
        <v>359.84699999999998</v>
      </c>
      <c r="M195" s="10">
        <v>358.8</v>
      </c>
      <c r="N195" s="10">
        <v>347.42500000000001</v>
      </c>
      <c r="O195" s="10">
        <v>331</v>
      </c>
      <c r="P195" s="10">
        <v>360.68900000000002</v>
      </c>
      <c r="Q195" s="10">
        <v>418.26100000000002</v>
      </c>
      <c r="R195" s="10">
        <v>353.517</v>
      </c>
      <c r="S195" s="10">
        <f>IFERROR(VLOOKUP('Leveranser per nät'!A195,'lev 2012'!$B$2:$E$445,4,FALSE),"")</f>
        <v>380</v>
      </c>
      <c r="T195" s="10">
        <f>IFERROR(VLOOKUP('Leveranser per nät'!A195,'lev 2013'!$B$2:$E$445,4,FALSE),"")</f>
        <v>380.9</v>
      </c>
      <c r="U195" s="10">
        <f>IFERROR(VLOOKUP('Leveranser per nät'!A195,'lev 2014'!$B$2:$E$432,4,FALSE),"")</f>
        <v>347</v>
      </c>
      <c r="V195" s="10">
        <f>IFERROR(INDEX(Levererat_2015[Leveranser till eget nät],MATCH($A195,Levererat_2015[Indexnamn],0)),"")</f>
        <v>343.6</v>
      </c>
      <c r="W195" s="10">
        <f>IFERROR(INDEX(Levererat_2016[Leveranser till eget nät],MATCH($A195,Levererat_2016[Indexnamn],0)),"")</f>
        <v>365</v>
      </c>
      <c r="X195" s="10">
        <f>IFERROR(INDEX(Tabell4[Leveranser till eget nät],MATCH('Leveranser per nät'!A195,Tabell4[[Finns i listan ]],0)),"")</f>
        <v>364.3</v>
      </c>
      <c r="Y195" s="10">
        <f>IFERROR(INDEX(Tabell6[Kolumn1],MATCH($A195,Tabell6[Indexnmamn],0)),"")</f>
        <v>368.9</v>
      </c>
      <c r="Z195" s="10">
        <v>355.1</v>
      </c>
      <c r="AA195" s="10">
        <v>330.8</v>
      </c>
      <c r="AB195" s="10">
        <f>VLOOKUP(A195,Tabell9[[Indexnamn]:[Kolumn1]],3,FALSE)</f>
        <v>383</v>
      </c>
      <c r="AC195" s="10">
        <f>VLOOKUP($A195,'Lev 2022'!$K$2:$L$474,2,FALSE)</f>
        <v>356.57</v>
      </c>
      <c r="AG195" s="2">
        <f t="shared" si="5"/>
        <v>-26.430000000000007</v>
      </c>
      <c r="AH195" s="103">
        <f t="shared" si="6"/>
        <v>-6.9007832898172347E-2</v>
      </c>
    </row>
    <row r="196" spans="1:34" s="65" customFormat="1" x14ac:dyDescent="0.25">
      <c r="A196" s="65" t="s">
        <v>67</v>
      </c>
      <c r="B196" t="s">
        <v>441</v>
      </c>
      <c r="C196" s="68"/>
      <c r="D196" s="68"/>
      <c r="E196" s="68"/>
      <c r="F196" s="68"/>
      <c r="G196" s="68"/>
      <c r="H196" s="68"/>
      <c r="I196" s="68"/>
      <c r="J196" s="68"/>
      <c r="K196" s="68"/>
      <c r="L196" s="68">
        <v>0</v>
      </c>
      <c r="M196" s="68">
        <v>2.048</v>
      </c>
      <c r="N196" s="68">
        <v>1.8</v>
      </c>
      <c r="O196" s="68">
        <v>0</v>
      </c>
      <c r="P196" s="68"/>
      <c r="Q196" s="68"/>
      <c r="R196" s="68"/>
      <c r="S196" s="68" t="str">
        <f>IFERROR(VLOOKUP('Leveranser per nät'!A196,'lev 2012'!$B$2:$E$445,4,FALSE),"")</f>
        <v/>
      </c>
      <c r="T196" s="68" t="str">
        <f>IFERROR(VLOOKUP('Leveranser per nät'!A196,'lev 2013'!$B$2:$E$445,4,FALSE),"")</f>
        <v/>
      </c>
      <c r="U196" s="68" t="str">
        <f>IFERROR(VLOOKUP('Leveranser per nät'!A196,'lev 2014'!$B$2:$E$432,4,FALSE),"")</f>
        <v/>
      </c>
      <c r="V196" s="68" t="str">
        <f>IFERROR(INDEX(Levererat_2015[Leveranser till eget nät],MATCH($A196,Levererat_2015[Indexnamn],0)),"")</f>
        <v/>
      </c>
      <c r="W196" s="68" t="str">
        <f>IFERROR(INDEX(Levererat_2016[Leveranser till eget nät],MATCH($A196,Levererat_2016[Indexnamn],0)),"")</f>
        <v/>
      </c>
      <c r="X196" s="68" t="str">
        <f>IFERROR(INDEX(Tabell4[Leveranser till eget nät],MATCH('Leveranser per nät'!A196,Tabell4[[Finns i listan ]],0)),"")</f>
        <v/>
      </c>
      <c r="Y196" s="68" t="str">
        <f>IFERROR(INDEX(Tabell6[Kolumn1],MATCH($A196,Tabell6[Indexnmamn],0)),"")</f>
        <v/>
      </c>
      <c r="Z196" s="68"/>
      <c r="AA196" s="68" t="s">
        <v>779</v>
      </c>
      <c r="AB196" s="10"/>
      <c r="AC196" s="10"/>
      <c r="AD196"/>
      <c r="AE196"/>
      <c r="AG196" s="2">
        <f t="shared" si="5"/>
        <v>0</v>
      </c>
      <c r="AH196" s="103"/>
    </row>
    <row r="197" spans="1:34" x14ac:dyDescent="0.25">
      <c r="A197" t="s">
        <v>237</v>
      </c>
      <c r="B197" t="str">
        <f>VLOOKUP(A197,'Korrigerade leveranser GD'!$A$4:$B$482,2,FALSE)</f>
        <v>Karlsborg</v>
      </c>
      <c r="C197" s="10"/>
      <c r="D197" s="10"/>
      <c r="E197" s="10"/>
      <c r="F197" s="10"/>
      <c r="G197" s="10"/>
      <c r="H197" s="10"/>
      <c r="I197" s="10"/>
      <c r="J197" s="10">
        <v>0</v>
      </c>
      <c r="K197" s="10">
        <v>15.476000000000001</v>
      </c>
      <c r="L197" s="10">
        <v>15.583</v>
      </c>
      <c r="M197" s="10">
        <v>15.73</v>
      </c>
      <c r="N197" s="10">
        <v>15.888</v>
      </c>
      <c r="O197" s="10">
        <v>15.87</v>
      </c>
      <c r="P197" s="10">
        <v>17</v>
      </c>
      <c r="Q197" s="10">
        <v>18.414999999999999</v>
      </c>
      <c r="R197" s="10">
        <v>15.18</v>
      </c>
      <c r="S197" s="10">
        <v>16.335999999999999</v>
      </c>
      <c r="T197" s="10">
        <v>16.068000000000001</v>
      </c>
      <c r="U197" s="10">
        <v>14.772</v>
      </c>
      <c r="V197" s="10">
        <v>14.602</v>
      </c>
      <c r="W197" s="10">
        <v>15.52</v>
      </c>
      <c r="X197" s="10">
        <f>IFERROR(INDEX(Tabell4[Leveranser till eget nät],MATCH('Leveranser per nät'!A197,Tabell4[[Finns i listan ]],0)),"")</f>
        <v>15.5</v>
      </c>
      <c r="Y197" s="10">
        <f>IFERROR(INDEX(Tabell6[Kolumn1],MATCH($A197,Tabell6[Indexnmamn],0)),"")</f>
        <v>15.1</v>
      </c>
      <c r="Z197" s="10">
        <v>14.8</v>
      </c>
      <c r="AA197" s="10">
        <v>13.6</v>
      </c>
      <c r="AB197" s="10">
        <f>VLOOKUP(A197,Tabell9[[Indexnamn]:[Kolumn1]],3,FALSE)</f>
        <v>16.16</v>
      </c>
      <c r="AC197" s="10">
        <f>VLOOKUP($A197,'Lev 2022'!$K$2:$L$474,2,FALSE)</f>
        <v>14.8</v>
      </c>
      <c r="AG197" s="2">
        <f t="shared" ref="AG197:AG260" si="9">AC197-AB197</f>
        <v>-1.3599999999999994</v>
      </c>
      <c r="AH197" s="103">
        <f t="shared" ref="AH197:AH260" si="10">AG197/AB197</f>
        <v>-8.4158415841584122E-2</v>
      </c>
    </row>
    <row r="198" spans="1:34" x14ac:dyDescent="0.25">
      <c r="A198" t="s">
        <v>164</v>
      </c>
      <c r="B198" t="str">
        <f>VLOOKUP(A198,'Korrigerade leveranser GD'!$A$4:$B$482,2,FALSE)</f>
        <v>Karlshamn</v>
      </c>
      <c r="C198" s="10">
        <v>117</v>
      </c>
      <c r="D198" s="10">
        <v>104.73</v>
      </c>
      <c r="E198" s="10">
        <v>111.06</v>
      </c>
      <c r="F198" s="10">
        <v>111.06</v>
      </c>
      <c r="G198" s="10">
        <v>106.492</v>
      </c>
      <c r="H198" s="10">
        <v>130.33500000000001</v>
      </c>
      <c r="I198" s="10">
        <v>133.88800000000001</v>
      </c>
      <c r="J198" s="10">
        <v>136.85599999999999</v>
      </c>
      <c r="K198" s="10">
        <v>138.19200000000001</v>
      </c>
      <c r="L198" s="10">
        <v>135.39599999999999</v>
      </c>
      <c r="M198" s="10">
        <v>132.69999999999999</v>
      </c>
      <c r="N198" s="10">
        <v>141.411</v>
      </c>
      <c r="O198" s="10">
        <v>145</v>
      </c>
      <c r="P198" s="10">
        <v>154.69499999999999</v>
      </c>
      <c r="Q198" s="10">
        <v>181.32599999999999</v>
      </c>
      <c r="R198" s="58">
        <v>155</v>
      </c>
      <c r="S198" s="10">
        <f>IFERROR(VLOOKUP('Leveranser per nät'!A198,'lev 2012'!$B$2:$E$445,4,FALSE),"")</f>
        <v>170</v>
      </c>
      <c r="T198" s="10">
        <f>IFERROR(VLOOKUP('Leveranser per nät'!A198,'lev 2013'!$B$2:$E$445,4,FALSE),"")</f>
        <v>171.44399999999999</v>
      </c>
      <c r="U198" s="10">
        <f>IFERROR(VLOOKUP('Leveranser per nät'!A198,'lev 2014'!$B$2:$E$432,4,FALSE),"")</f>
        <v>157</v>
      </c>
      <c r="V198" s="10">
        <f>IFERROR(INDEX(Levererat_2015[Leveranser till eget nät],MATCH($A198,Levererat_2015[Indexnamn],0)),"")</f>
        <v>164.2</v>
      </c>
      <c r="W198" s="10">
        <f>IFERROR(INDEX(Levererat_2016[Leveranser till eget nät],MATCH($A198,Levererat_2016[Indexnamn],0)),"")</f>
        <v>171.88499999999999</v>
      </c>
      <c r="X198" s="10">
        <f>IFERROR(INDEX(Tabell4[Leveranser till eget nät],MATCH('Leveranser per nät'!A198,Tabell4[[Finns i listan ]],0)),"")</f>
        <v>168.55099999999999</v>
      </c>
      <c r="Y198" s="10">
        <f>IFERROR(INDEX(Tabell6[Kolumn1],MATCH($A198,Tabell6[Indexnmamn],0)),"")</f>
        <v>167.82300000000001</v>
      </c>
      <c r="Z198" s="10">
        <v>161.499</v>
      </c>
      <c r="AA198" s="10">
        <v>154.28800000000001</v>
      </c>
      <c r="AB198" s="10">
        <f>VLOOKUP(A198,Tabell9[[Indexnamn]:[Kolumn1]],3,FALSE)</f>
        <v>175.6</v>
      </c>
      <c r="AC198" s="10">
        <f>VLOOKUP($A198,'Lev 2022'!$K$2:$L$474,2,FALSE)</f>
        <v>160.703</v>
      </c>
      <c r="AG198" s="2">
        <f t="shared" si="9"/>
        <v>-14.896999999999991</v>
      </c>
      <c r="AH198" s="103">
        <f t="shared" si="10"/>
        <v>-8.4834851936218633E-2</v>
      </c>
    </row>
    <row r="199" spans="1:34" x14ac:dyDescent="0.25">
      <c r="A199" t="s">
        <v>165</v>
      </c>
      <c r="B199" t="str">
        <f>VLOOKUP(A199,'Korrigerade leveranser GD'!$A$4:$B$482,2,FALSE)</f>
        <v>Karlskoga</v>
      </c>
      <c r="C199" s="10">
        <v>376</v>
      </c>
      <c r="D199" s="10">
        <v>339.18</v>
      </c>
      <c r="E199" s="10">
        <v>339</v>
      </c>
      <c r="F199" s="10">
        <v>329</v>
      </c>
      <c r="G199" s="10">
        <v>311</v>
      </c>
      <c r="H199" s="10">
        <v>353</v>
      </c>
      <c r="I199" s="10">
        <v>345</v>
      </c>
      <c r="J199" s="10">
        <v>352</v>
      </c>
      <c r="K199" s="10">
        <v>351.58800000000002</v>
      </c>
      <c r="L199" s="10">
        <v>339.45</v>
      </c>
      <c r="M199" s="10">
        <v>337</v>
      </c>
      <c r="N199" s="10">
        <v>329</v>
      </c>
      <c r="O199" s="10">
        <v>332</v>
      </c>
      <c r="P199" s="10">
        <v>349</v>
      </c>
      <c r="Q199" s="10">
        <v>388.35914031133359</v>
      </c>
      <c r="R199" s="10">
        <v>322.05392123378886</v>
      </c>
      <c r="S199" s="10">
        <v>321</v>
      </c>
      <c r="T199" s="10">
        <v>326.60000000000002</v>
      </c>
      <c r="U199" s="10">
        <v>294.5</v>
      </c>
      <c r="V199" s="10">
        <v>295.60000000000002</v>
      </c>
      <c r="W199" s="10">
        <f>IFERROR(INDEX(Levererat_2016[Leveranser till eget nät],MATCH($A199,Levererat_2016[Indexnamn],0)),"")</f>
        <v>321.5</v>
      </c>
      <c r="X199" s="10">
        <f>IFERROR(INDEX(Tabell4[Leveranser till eget nät],MATCH('Leveranser per nät'!A199,Tabell4[[Finns i listan ]],0)),"")</f>
        <v>313.39999999999998</v>
      </c>
      <c r="Y199" s="10">
        <f>IFERROR(INDEX(Tabell6[Kolumn1],MATCH($A199,Tabell6[Indexnmamn],0)),"")</f>
        <v>305.2</v>
      </c>
      <c r="Z199" s="10">
        <v>301.60000000000002</v>
      </c>
      <c r="AA199" s="10">
        <v>279.8</v>
      </c>
      <c r="AB199" s="10">
        <f>VLOOKUP(A199,Tabell9[[Indexnamn]:[Kolumn1]],3,FALSE)</f>
        <v>321.7</v>
      </c>
      <c r="AC199" s="10">
        <f>VLOOKUP($A199,'Lev 2022'!$K$2:$L$474,2,FALSE)</f>
        <v>301.7</v>
      </c>
      <c r="AG199" s="2">
        <f t="shared" si="9"/>
        <v>-20</v>
      </c>
      <c r="AH199" s="103">
        <f t="shared" si="10"/>
        <v>-6.2169723344731115E-2</v>
      </c>
    </row>
    <row r="200" spans="1:34" x14ac:dyDescent="0.25">
      <c r="A200" t="s">
        <v>0</v>
      </c>
      <c r="B200" t="str">
        <f>VLOOKUP(A200,'Korrigerade leveranser GD'!$A$4:$B$482,2,FALSE)</f>
        <v>Karlskrona</v>
      </c>
      <c r="C200" s="10">
        <v>89</v>
      </c>
      <c r="D200" s="10">
        <v>57</v>
      </c>
      <c r="E200" s="10">
        <v>57</v>
      </c>
      <c r="F200" s="10">
        <v>76.8</v>
      </c>
      <c r="G200" s="10">
        <v>76.8</v>
      </c>
      <c r="H200" s="10">
        <v>165.05600000000001</v>
      </c>
      <c r="I200" s="10">
        <v>192.71700000000001</v>
      </c>
      <c r="J200" s="10">
        <v>197.15899999999999</v>
      </c>
      <c r="K200" s="10">
        <v>201.1</v>
      </c>
      <c r="L200" s="10">
        <v>198.82300000000001</v>
      </c>
      <c r="M200" s="10">
        <v>197.316</v>
      </c>
      <c r="N200" s="10">
        <v>194.161</v>
      </c>
      <c r="O200" s="10">
        <v>196.66800000000001</v>
      </c>
      <c r="P200" s="10">
        <v>223.3</v>
      </c>
      <c r="Q200" s="10">
        <v>268.52800000000002</v>
      </c>
      <c r="R200" s="10">
        <v>265.85199999999998</v>
      </c>
      <c r="S200" s="10">
        <f>IFERROR(VLOOKUP('Leveranser per nät'!A200,'lev 2012'!$B$2:$E$445,4,FALSE),"")</f>
        <v>245</v>
      </c>
      <c r="T200" s="10">
        <f>IFERROR(VLOOKUP('Leveranser per nät'!A200,'lev 2013'!$B$2:$E$445,4,FALSE),"")</f>
        <v>233.7</v>
      </c>
      <c r="U200" s="10">
        <f>IFERROR(VLOOKUP('Leveranser per nät'!A200,'lev 2014'!$B$2:$E$432,4,FALSE),"")</f>
        <v>212.73</v>
      </c>
      <c r="V200" s="10">
        <f>IFERROR(INDEX(Levererat_2015[Leveranser till eget nät],MATCH($A200,Levererat_2015[Indexnamn],0)),"")</f>
        <v>212.06</v>
      </c>
      <c r="W200" s="10">
        <f>IFERROR(INDEX(Levererat_2016[Leveranser till eget nät],MATCH($A200,Levererat_2016[Indexnamn],0)),"")</f>
        <v>228.1</v>
      </c>
      <c r="X200" s="10">
        <f>IFERROR(INDEX(Tabell4[Leveranser till eget nät],MATCH('Leveranser per nät'!A200,Tabell4[[Finns i listan ]],0)),"")</f>
        <v>241.78</v>
      </c>
      <c r="Y200" s="10">
        <f>IFERROR(INDEX(Tabell6[Kolumn1],MATCH($A200,Tabell6[Indexnmamn],0)),"")</f>
        <v>243.29599999999999</v>
      </c>
      <c r="Z200" s="10">
        <v>236.58</v>
      </c>
      <c r="AA200" s="10">
        <v>219.435</v>
      </c>
      <c r="AB200" s="10">
        <f>VLOOKUP(A200,Tabell9[[Indexnamn]:[Kolumn1]],3,FALSE)</f>
        <v>262.16000000000003</v>
      </c>
      <c r="AC200" s="10">
        <f>VLOOKUP($A200,'Lev 2022'!$K$2:$L$474,2,FALSE)</f>
        <v>240.09800000000001</v>
      </c>
      <c r="AG200" s="2">
        <f t="shared" si="9"/>
        <v>-22.062000000000012</v>
      </c>
      <c r="AH200" s="103">
        <f t="shared" si="10"/>
        <v>-8.4154714678059239E-2</v>
      </c>
    </row>
    <row r="201" spans="1:34" x14ac:dyDescent="0.25">
      <c r="A201" t="s">
        <v>166</v>
      </c>
      <c r="B201" t="str">
        <f>VLOOKUP(A201,'Korrigerade leveranser GD'!$A$4:$B$482,2,FALSE)</f>
        <v>Karlstad</v>
      </c>
      <c r="C201" s="10">
        <v>480</v>
      </c>
      <c r="D201" s="10">
        <v>440.63</v>
      </c>
      <c r="E201" s="10">
        <v>467</v>
      </c>
      <c r="F201" s="10">
        <v>467</v>
      </c>
      <c r="G201" s="10">
        <v>407</v>
      </c>
      <c r="H201" s="10">
        <v>481</v>
      </c>
      <c r="I201" s="10">
        <v>468</v>
      </c>
      <c r="J201" s="10">
        <v>471</v>
      </c>
      <c r="K201" s="10">
        <v>455.21199999999999</v>
      </c>
      <c r="L201" s="10">
        <v>448.69900000000001</v>
      </c>
      <c r="M201" s="10">
        <v>462.53300000000002</v>
      </c>
      <c r="N201" s="10">
        <v>463.30200000000002</v>
      </c>
      <c r="O201" s="10">
        <v>489.54</v>
      </c>
      <c r="P201" s="10">
        <v>595.18399999999997</v>
      </c>
      <c r="Q201" s="10">
        <v>729.39400000000001</v>
      </c>
      <c r="R201" s="10">
        <v>584.52200000000005</v>
      </c>
      <c r="S201" s="10">
        <f>IFERROR(VLOOKUP('Leveranser per nät'!A201,'lev 2012'!$B$2:$E$445,4,FALSE),"")</f>
        <v>555</v>
      </c>
      <c r="T201" s="10">
        <f>IFERROR(VLOOKUP('Leveranser per nät'!A201,'lev 2013'!$B$2:$E$445,4,FALSE),"")</f>
        <v>545.20100000000002</v>
      </c>
      <c r="U201" s="10">
        <f>IFERROR(VLOOKUP('Leveranser per nät'!A201,'lev 2014'!$B$2:$E$432,4,FALSE),"")</f>
        <v>489.75399999999996</v>
      </c>
      <c r="V201" s="10">
        <f>IFERROR(INDEX(Levererat_2015[Leveranser till eget nät],MATCH($A201,Levererat_2015[Indexnamn],0)),"")</f>
        <v>484.27399999999994</v>
      </c>
      <c r="W201" s="10">
        <f>IFERROR(INDEX(Levererat_2016[Leveranser till eget nät],MATCH($A201,Levererat_2016[Indexnamn],0)),"")</f>
        <v>503.49999999999994</v>
      </c>
      <c r="X201" s="10">
        <f>IFERROR(INDEX(Tabell4[Leveranser till eget nät],MATCH('Leveranser per nät'!A201,Tabell4[[Finns i listan ]],0)),"")</f>
        <v>510.64400000000001</v>
      </c>
      <c r="Y201" s="10">
        <f>IFERROR(INDEX(Tabell6[Kolumn1],MATCH($A201,Tabell6[Indexnmamn],0)),"")</f>
        <v>519.19899999999996</v>
      </c>
      <c r="Z201" s="10">
        <v>500.64800000000002</v>
      </c>
      <c r="AA201" s="10">
        <v>500.1</v>
      </c>
      <c r="AB201" s="10">
        <f>VLOOKUP(A201,Tabell9[[Indexnamn]:[Kolumn1]],3,FALSE)</f>
        <v>541.79999999999995</v>
      </c>
      <c r="AC201" s="10">
        <f>VLOOKUP($A201,'Lev 2022'!$K$2:$L$474,2,FALSE)</f>
        <v>506.69999999999993</v>
      </c>
      <c r="AG201" s="2">
        <f t="shared" si="9"/>
        <v>-35.100000000000023</v>
      </c>
      <c r="AH201" s="103">
        <f t="shared" si="10"/>
        <v>-6.4784053156146229E-2</v>
      </c>
    </row>
    <row r="202" spans="1:34" x14ac:dyDescent="0.25">
      <c r="A202" s="46" t="s">
        <v>168</v>
      </c>
      <c r="B202" t="str">
        <f>VLOOKUP(A202,'Korrigerade leveranser GD'!$A$4:$B$482,2,FALSE)</f>
        <v>Katrineholm</v>
      </c>
      <c r="C202" s="10">
        <v>212</v>
      </c>
      <c r="D202" s="10">
        <v>186.18</v>
      </c>
      <c r="E202" s="10">
        <v>192</v>
      </c>
      <c r="F202" s="10">
        <v>175</v>
      </c>
      <c r="G202" s="10">
        <v>165</v>
      </c>
      <c r="H202" s="10">
        <v>191</v>
      </c>
      <c r="I202" s="10">
        <v>181</v>
      </c>
      <c r="J202" s="10">
        <v>187</v>
      </c>
      <c r="K202" s="10">
        <v>192.83</v>
      </c>
      <c r="L202" s="10">
        <v>183.9</v>
      </c>
      <c r="M202" s="10">
        <v>185.10400000000001</v>
      </c>
      <c r="N202" s="10">
        <v>179.096</v>
      </c>
      <c r="O202" s="10">
        <v>168.4</v>
      </c>
      <c r="P202" s="10">
        <v>187.6</v>
      </c>
      <c r="Q202" s="10">
        <v>223.9</v>
      </c>
      <c r="R202" s="10">
        <v>181.5</v>
      </c>
      <c r="S202" s="10">
        <f>IFERROR(VLOOKUP('Leveranser per nät'!A202,'lev 2012'!$B$2:$E$445,4,FALSE),"")</f>
        <v>195</v>
      </c>
      <c r="T202" s="10">
        <f>IFERROR(VLOOKUP('Leveranser per nät'!A202,'lev 2013'!$B$2:$E$445,4,FALSE),"")</f>
        <v>184.2</v>
      </c>
      <c r="U202" s="10">
        <f>IFERROR(VLOOKUP('Leveranser per nät'!A202,'lev 2014'!$B$2:$E$432,4,FALSE),"")</f>
        <v>168.6</v>
      </c>
      <c r="V202" s="10">
        <f>IFERROR(INDEX(Levererat_2015[Leveranser till eget nät],MATCH($A202,Levererat_2015[Indexnamn],0)),"")</f>
        <v>162</v>
      </c>
      <c r="W202" s="10">
        <f>IFERROR(INDEX(Levererat_2016[Leveranser till eget nät],MATCH($A202,Levererat_2016[Indexnamn],0)),"")</f>
        <v>175.6</v>
      </c>
      <c r="X202" s="10">
        <f>IFERROR(INDEX(Tabell4[Leveranser till eget nät],MATCH('Leveranser per nät'!A202,Tabell4[[Finns i listan ]],0)),"")</f>
        <v>169.2</v>
      </c>
      <c r="Y202" s="10">
        <f>IFERROR(INDEX(Tabell6[Kolumn1],MATCH($A202,Tabell6[Indexnmamn],0)),"")</f>
        <v>170.4</v>
      </c>
      <c r="Z202" s="10">
        <v>165.10300000000001</v>
      </c>
      <c r="AA202" s="10">
        <v>147.47999999999999</v>
      </c>
      <c r="AB202" s="10">
        <f>VLOOKUP(A202,Tabell9[[Indexnamn]:[Kolumn1]],3,FALSE)</f>
        <v>178.16</v>
      </c>
      <c r="AC202" s="10">
        <f>VLOOKUP($A202,'Lev 2022'!$K$2:$L$474,2,FALSE)</f>
        <v>163.92</v>
      </c>
      <c r="AG202" s="2">
        <f t="shared" si="9"/>
        <v>-14.240000000000009</v>
      </c>
      <c r="AH202" s="103">
        <f t="shared" si="10"/>
        <v>-7.9928154467894086E-2</v>
      </c>
    </row>
    <row r="203" spans="1:34" x14ac:dyDescent="0.25">
      <c r="A203" t="s">
        <v>170</v>
      </c>
      <c r="B203" t="str">
        <f>VLOOKUP(A203,'Korrigerade leveranser GD'!$A$4:$B$482,2,FALSE)</f>
        <v>Kil</v>
      </c>
      <c r="C203" s="10"/>
      <c r="D203" s="10"/>
      <c r="E203" s="10"/>
      <c r="F203" s="10"/>
      <c r="G203" s="10"/>
      <c r="H203" s="10"/>
      <c r="I203" s="10"/>
      <c r="J203" s="10">
        <v>0</v>
      </c>
      <c r="K203" s="10">
        <v>24.466999999999999</v>
      </c>
      <c r="L203" s="10">
        <v>29.407</v>
      </c>
      <c r="M203" s="10">
        <v>33</v>
      </c>
      <c r="N203" s="10">
        <v>34.215000000000003</v>
      </c>
      <c r="O203" s="10">
        <v>33.200000000000003</v>
      </c>
      <c r="P203" s="10">
        <v>36.299999999999997</v>
      </c>
      <c r="Q203" s="10">
        <v>42.44</v>
      </c>
      <c r="R203" s="10">
        <v>34.9</v>
      </c>
      <c r="S203" s="10">
        <f>IFERROR(VLOOKUP('Leveranser per nät'!A203,'lev 2012'!$B$2:$E$445,4,FALSE),"")</f>
        <v>37</v>
      </c>
      <c r="T203" s="10">
        <f>IFERROR(VLOOKUP('Leveranser per nät'!A203,'lev 2013'!$B$2:$E$445,4,FALSE),"")</f>
        <v>36.5</v>
      </c>
      <c r="U203" s="10">
        <f>IFERROR(VLOOKUP('Leveranser per nät'!A203,'lev 2014'!$B$2:$E$432,4,FALSE),"")</f>
        <v>35.1</v>
      </c>
      <c r="V203" s="10">
        <f>IFERROR(INDEX(Levererat_2015[Leveranser till eget nät],MATCH($A203,Levererat_2015[Indexnamn],0)),"")</f>
        <v>33.6</v>
      </c>
      <c r="W203" s="10">
        <f>IFERROR(INDEX(Levererat_2016[Leveranser till eget nät],MATCH($A203,Levererat_2016[Indexnamn],0)),"")</f>
        <v>36.6</v>
      </c>
      <c r="X203" s="10">
        <f>IFERROR(INDEX(Tabell4[Leveranser till eget nät],MATCH('Leveranser per nät'!A203,Tabell4[[Finns i listan ]],0)),"")</f>
        <v>36.85</v>
      </c>
      <c r="Y203" s="10">
        <f>IFERROR(INDEX(Tabell6[Kolumn1],MATCH($A203,Tabell6[Indexnmamn],0)),"")</f>
        <v>36.6</v>
      </c>
      <c r="Z203" s="10">
        <v>36.450000000000003</v>
      </c>
      <c r="AA203" s="10">
        <v>32.713999999999999</v>
      </c>
      <c r="AB203" s="10">
        <f>VLOOKUP(A203,Tabell9[[Indexnamn]:[Kolumn1]],3,FALSE)</f>
        <v>38.67</v>
      </c>
      <c r="AC203" s="10">
        <f>VLOOKUP($A203,'Lev 2022'!$K$2:$L$474,2,FALSE)</f>
        <v>35.479999999999997</v>
      </c>
      <c r="AG203" s="2">
        <f t="shared" si="9"/>
        <v>-3.1900000000000048</v>
      </c>
      <c r="AH203" s="103">
        <f t="shared" si="10"/>
        <v>-8.2492888544091147E-2</v>
      </c>
    </row>
    <row r="204" spans="1:34" x14ac:dyDescent="0.25">
      <c r="A204" t="s">
        <v>22</v>
      </c>
      <c r="B204" t="str">
        <f>VLOOKUP(A204,'Korrigerade leveranser GD'!$A$4:$B$482,2,FALSE)</f>
        <v>Bollnäs</v>
      </c>
      <c r="C204" s="10">
        <v>3</v>
      </c>
      <c r="D204" s="10">
        <v>11.59</v>
      </c>
      <c r="E204" s="10">
        <v>12</v>
      </c>
      <c r="F204" s="10">
        <v>12</v>
      </c>
      <c r="G204" s="10">
        <v>12</v>
      </c>
      <c r="H204" s="10">
        <v>13</v>
      </c>
      <c r="I204" s="10">
        <v>14</v>
      </c>
      <c r="J204" s="10">
        <v>14</v>
      </c>
      <c r="K204" s="10">
        <v>13.6365</v>
      </c>
      <c r="L204" s="10">
        <v>13.3675</v>
      </c>
      <c r="M204" s="10">
        <v>16.13</v>
      </c>
      <c r="N204" s="10">
        <v>14.84</v>
      </c>
      <c r="O204" s="10">
        <v>15.38</v>
      </c>
      <c r="P204" s="10">
        <v>15.9</v>
      </c>
      <c r="Q204" s="10">
        <v>18.538</v>
      </c>
      <c r="R204" s="10">
        <v>16.634</v>
      </c>
      <c r="S204" s="10">
        <f>IFERROR(VLOOKUP('Leveranser per nät'!A204,'lev 2012'!$B$2:$E$445,4,FALSE),"")</f>
        <v>17.16</v>
      </c>
      <c r="T204" s="10">
        <f>IFERROR(VLOOKUP('Leveranser per nät'!A204,'lev 2013'!$B$2:$E$445,4,FALSE),"")</f>
        <v>17.242000000000001</v>
      </c>
      <c r="U204" s="10">
        <f>IFERROR(VLOOKUP('Leveranser per nät'!A204,'lev 2014'!$B$2:$E$432,4,FALSE),"")</f>
        <v>16.312000000000001</v>
      </c>
      <c r="V204" s="10">
        <f>IFERROR(INDEX(Levererat_2015[Leveranser till eget nät],MATCH($A204,Levererat_2015[Indexnamn],0)),"")</f>
        <v>17.306000000000001</v>
      </c>
      <c r="W204" s="10">
        <f>IFERROR(INDEX(Levererat_2016[Leveranser till eget nät],MATCH($A204,Levererat_2016[Indexnamn],0)),"")</f>
        <v>20.97</v>
      </c>
      <c r="X204" s="10">
        <f>IFERROR(INDEX(Tabell4[Leveranser till eget nät],MATCH('Leveranser per nät'!A204,Tabell4[[Finns i listan ]],0)),"")</f>
        <v>23.309000000000001</v>
      </c>
      <c r="Y204" s="10">
        <f>IFERROR(INDEX(Tabell6[Kolumn1],MATCH($A204,Tabell6[Indexnmamn],0)),"")</f>
        <v>22.678999999999998</v>
      </c>
      <c r="Z204" s="10">
        <v>22.18</v>
      </c>
      <c r="AA204" s="10">
        <v>21.991</v>
      </c>
      <c r="AB204" s="10">
        <f>VLOOKUP(A204,Tabell9[[Indexnamn]:[Kolumn1]],3,FALSE)</f>
        <v>24.370999999999999</v>
      </c>
      <c r="AC204" s="10">
        <f>VLOOKUP($A204,'Lev 2022'!$K$2:$L$474,2,FALSE)</f>
        <v>23.251000000000001</v>
      </c>
      <c r="AG204" s="2">
        <f t="shared" si="9"/>
        <v>-1.1199999999999974</v>
      </c>
      <c r="AH204" s="103">
        <f t="shared" si="10"/>
        <v>-4.5956259488736509E-2</v>
      </c>
    </row>
    <row r="205" spans="1:34" s="65" customFormat="1" ht="14.25" customHeight="1" x14ac:dyDescent="0.25">
      <c r="A205" s="65" t="s">
        <v>203</v>
      </c>
      <c r="B205" s="65" t="str">
        <f>VLOOKUP(A205,'Korrigerade leveranser GD'!$A$4:$B$482,2,FALSE)</f>
        <v>Kinna</v>
      </c>
      <c r="C205" s="68">
        <v>0</v>
      </c>
      <c r="D205" s="68">
        <v>17.579999999999998</v>
      </c>
      <c r="E205" s="68">
        <v>23</v>
      </c>
      <c r="F205" s="68">
        <v>24</v>
      </c>
      <c r="G205" s="68">
        <v>37</v>
      </c>
      <c r="H205" s="68">
        <v>64</v>
      </c>
      <c r="I205" s="68">
        <v>71</v>
      </c>
      <c r="J205" s="68">
        <v>75.003</v>
      </c>
      <c r="K205" s="68">
        <v>78.866</v>
      </c>
      <c r="L205" s="68">
        <v>74.787999999999997</v>
      </c>
      <c r="M205" s="68">
        <v>0</v>
      </c>
      <c r="N205" s="68"/>
      <c r="O205" s="68"/>
      <c r="P205" s="68"/>
      <c r="Q205" s="68"/>
      <c r="R205" s="68"/>
      <c r="S205" s="68" t="str">
        <f>IFERROR(VLOOKUP('Leveranser per nät'!A205,'lev 2012'!$B$2:$E$445,4,FALSE),"")</f>
        <v/>
      </c>
      <c r="T205" s="68" t="str">
        <f>IFERROR(VLOOKUP('Leveranser per nät'!A205,'lev 2013'!$B$2:$E$445,4,FALSE),"")</f>
        <v/>
      </c>
      <c r="U205" s="68" t="str">
        <f>IFERROR(VLOOKUP('Leveranser per nät'!A205,'lev 2014'!$B$2:$E$432,4,FALSE),"")</f>
        <v/>
      </c>
      <c r="V205" s="68" t="str">
        <f>IFERROR(INDEX(Levererat_2015[Leveranser till eget nät],MATCH($A205,Levererat_2015[Indexnamn],0)),"")</f>
        <v/>
      </c>
      <c r="W205" s="68" t="str">
        <f>IFERROR(INDEX(Levererat_2016[Leveranser till eget nät],MATCH($A205,Levererat_2016[Indexnamn],0)),"")</f>
        <v/>
      </c>
      <c r="X205" s="68" t="str">
        <f>IFERROR(INDEX(Tabell4[Leveranser till eget nät],MATCH('Leveranser per nät'!A205,Tabell4[[Finns i listan ]],0)),"")</f>
        <v/>
      </c>
      <c r="Y205" s="68" t="str">
        <f>IFERROR(INDEX(Tabell6[Kolumn1],MATCH($A205,Tabell6[Indexnmamn],0)),"")</f>
        <v/>
      </c>
      <c r="Z205" s="68"/>
      <c r="AA205" s="68" t="s">
        <v>779</v>
      </c>
      <c r="AB205" s="10"/>
      <c r="AC205" s="10"/>
      <c r="AD205"/>
      <c r="AE205"/>
      <c r="AG205" s="2"/>
      <c r="AH205" s="103"/>
    </row>
    <row r="206" spans="1:34" x14ac:dyDescent="0.25">
      <c r="A206" t="s">
        <v>390</v>
      </c>
      <c r="B206" t="str">
        <f>VLOOKUP(A206,'Korrigerade leveranser GD'!$A$4:$B$482,2,FALSE)</f>
        <v>Kiruna</v>
      </c>
      <c r="C206" s="10">
        <v>248</v>
      </c>
      <c r="D206" s="10">
        <v>237.74</v>
      </c>
      <c r="E206" s="10">
        <v>261</v>
      </c>
      <c r="F206" s="10">
        <v>223</v>
      </c>
      <c r="G206" s="10">
        <v>223</v>
      </c>
      <c r="H206" s="10">
        <v>232</v>
      </c>
      <c r="I206" s="10">
        <v>223</v>
      </c>
      <c r="J206" s="10">
        <v>208</v>
      </c>
      <c r="K206" s="10">
        <v>213.77099999999999</v>
      </c>
      <c r="L206" s="10">
        <v>201.946</v>
      </c>
      <c r="M206" s="10">
        <v>200.27</v>
      </c>
      <c r="N206" s="10">
        <v>198.858</v>
      </c>
      <c r="O206" s="10">
        <v>212.87799999999999</v>
      </c>
      <c r="P206" s="10">
        <v>201.934</v>
      </c>
      <c r="Q206" s="10">
        <v>214.459</v>
      </c>
      <c r="R206" s="10">
        <v>194.69300000000001</v>
      </c>
      <c r="S206" s="10">
        <f>IFERROR(VLOOKUP('Leveranser per nät'!A206,'lev 2012'!$B$2:$E$445,4,FALSE),"")</f>
        <v>215</v>
      </c>
      <c r="T206" s="10">
        <f>IFERROR(VLOOKUP('Leveranser per nät'!A206,'lev 2013'!$B$2:$E$445,4,FALSE),"")</f>
        <v>193.40899999999999</v>
      </c>
      <c r="U206" s="10">
        <f>IFERROR(VLOOKUP('Leveranser per nät'!A206,'lev 2014'!$B$2:$E$432,4,FALSE),"")</f>
        <v>198.25700000000001</v>
      </c>
      <c r="V206" s="10">
        <f>IFERROR(INDEX(Levererat_2015[Leveranser till eget nät],MATCH($A206,Levererat_2015[Indexnamn],0)),"")</f>
        <v>195.50700000000001</v>
      </c>
      <c r="W206" s="10">
        <f>IFERROR(INDEX(Levererat_2016[Leveranser till eget nät],MATCH($A206,Levererat_2016[Indexnamn],0)),"")</f>
        <v>191.22</v>
      </c>
      <c r="X206" s="10">
        <f>IFERROR(INDEX(Tabell4[Leveranser till eget nät],MATCH('Leveranser per nät'!A206,Tabell4[[Finns i listan ]],0)),"")</f>
        <v>200.79400000000001</v>
      </c>
      <c r="Y206" s="10">
        <f>IFERROR(INDEX(Tabell6[Kolumn1],MATCH($A206,Tabell6[Indexnmamn],0)),"")</f>
        <v>200.06800000000001</v>
      </c>
      <c r="Z206" s="10">
        <v>209.52199999999999</v>
      </c>
      <c r="AA206" s="10">
        <v>201.87100000000001</v>
      </c>
      <c r="AB206" s="10">
        <f>VLOOKUP(A206,Tabell9[[Indexnamn]:[Kolumn1]],3,FALSE)</f>
        <v>226</v>
      </c>
      <c r="AC206" s="10">
        <f>VLOOKUP($A206,'Lev 2022'!$K$2:$L$474,2,FALSE)</f>
        <v>218.16</v>
      </c>
      <c r="AG206" s="2">
        <f t="shared" si="9"/>
        <v>-7.8400000000000034</v>
      </c>
      <c r="AH206" s="103">
        <f t="shared" si="10"/>
        <v>-3.4690265486725679E-2</v>
      </c>
    </row>
    <row r="207" spans="1:34" x14ac:dyDescent="0.25">
      <c r="A207" t="s">
        <v>307</v>
      </c>
      <c r="B207" t="str">
        <f>VLOOKUP(A207,'Korrigerade leveranser GD'!$A$4:$B$482,2,FALSE)</f>
        <v>Kisa</v>
      </c>
      <c r="C207" s="10"/>
      <c r="D207" s="10"/>
      <c r="E207" s="10"/>
      <c r="F207" s="10">
        <v>0</v>
      </c>
      <c r="G207" s="10">
        <v>11.159000000000001</v>
      </c>
      <c r="H207" s="10">
        <v>12</v>
      </c>
      <c r="I207" s="10">
        <v>12.419</v>
      </c>
      <c r="J207" s="10">
        <v>12.419</v>
      </c>
      <c r="K207" s="56">
        <v>12</v>
      </c>
      <c r="L207" s="56">
        <v>11</v>
      </c>
      <c r="M207" s="10">
        <v>11</v>
      </c>
      <c r="N207" s="10">
        <v>61.5</v>
      </c>
      <c r="O207" s="10">
        <v>64.900000000000006</v>
      </c>
      <c r="P207" s="10">
        <v>78.099999999999994</v>
      </c>
      <c r="Q207" s="10">
        <v>20.8</v>
      </c>
      <c r="R207" s="10">
        <v>17.5</v>
      </c>
      <c r="S207" s="10">
        <f>IFERROR(VLOOKUP('Leveranser per nät'!A207,'lev 2012'!$B$2:$E$445,4,FALSE),"")</f>
        <v>22</v>
      </c>
      <c r="T207" s="10">
        <f>IFERROR(VLOOKUP('Leveranser per nät'!A207,'lev 2013'!$B$2:$E$445,4,FALSE),"")</f>
        <v>17.8</v>
      </c>
      <c r="U207" s="10">
        <f>IFERROR(VLOOKUP('Leveranser per nät'!A207,'lev 2014'!$B$2:$E$432,4,FALSE),"")</f>
        <v>16.899999999999999</v>
      </c>
      <c r="V207" s="10">
        <f>IFERROR(INDEX(Levererat_2015[Leveranser till eget nät],MATCH($A207,Levererat_2015[Indexnamn],0)),"")</f>
        <v>17.399999999999999</v>
      </c>
      <c r="W207" s="10">
        <f>IFERROR(INDEX(Levererat_2016[Leveranser till eget nät],MATCH($A207,Levererat_2016[Indexnamn],0)),"")</f>
        <v>18.399999999999999</v>
      </c>
      <c r="X207" s="10">
        <f>IFERROR(INDEX(Tabell4[Leveranser till eget nät],MATCH('Leveranser per nät'!A207,Tabell4[[Finns i listan ]],0)),"")</f>
        <v>18.5</v>
      </c>
      <c r="Y207" s="10">
        <f>IFERROR(INDEX(Tabell6[Kolumn1],MATCH($A207,Tabell6[Indexnmamn],0)),"")</f>
        <v>18.7</v>
      </c>
      <c r="Z207" s="10">
        <v>17.611000000000001</v>
      </c>
      <c r="AA207" s="10">
        <v>16.5</v>
      </c>
      <c r="AB207" s="10">
        <f>VLOOKUP(A207,Tabell9[[Indexnamn]:[Kolumn1]],3,FALSE)</f>
        <v>19.466000000000001</v>
      </c>
      <c r="AC207" s="10">
        <f>VLOOKUP($A207,'Lev 2022'!$K$2:$L$474,2,FALSE)</f>
        <v>18.341999999999999</v>
      </c>
      <c r="AG207" s="2">
        <f t="shared" si="9"/>
        <v>-1.1240000000000023</v>
      </c>
      <c r="AH207" s="103">
        <f t="shared" si="10"/>
        <v>-5.7741703482996107E-2</v>
      </c>
    </row>
    <row r="208" spans="1:34" x14ac:dyDescent="0.25">
      <c r="A208" t="s">
        <v>135</v>
      </c>
      <c r="B208" t="str">
        <f>VLOOKUP(A208,'Korrigerade leveranser GD'!$A$4:$B$482,2,FALSE)</f>
        <v>Visby</v>
      </c>
      <c r="C208" s="10">
        <v>6</v>
      </c>
      <c r="D208" s="10">
        <v>6.14</v>
      </c>
      <c r="E208" s="10">
        <v>8</v>
      </c>
      <c r="F208" s="10">
        <v>8</v>
      </c>
      <c r="G208" s="10">
        <v>8</v>
      </c>
      <c r="H208" s="10">
        <v>8</v>
      </c>
      <c r="I208" s="72">
        <f>($H$208-$L$208)/4*3+$L$208</f>
        <v>8.3177176332359721</v>
      </c>
      <c r="J208" s="72">
        <f>($H$208-$L$208)/4*2+$L$208</f>
        <v>8.635435266471946</v>
      </c>
      <c r="K208" s="72">
        <f>($H$208-$L$208)/4+$L$208</f>
        <v>8.9531528997079199</v>
      </c>
      <c r="L208" s="10">
        <v>9.2708705329438921</v>
      </c>
      <c r="M208" s="10">
        <v>8.4</v>
      </c>
      <c r="N208" s="10">
        <v>8.3000000000000007</v>
      </c>
      <c r="O208" s="10">
        <v>8.1999999999999993</v>
      </c>
      <c r="P208" s="10">
        <v>8.6999999999999993</v>
      </c>
      <c r="Q208" s="10">
        <v>9</v>
      </c>
      <c r="R208" s="10">
        <v>8.3000000000000007</v>
      </c>
      <c r="S208" s="10">
        <f>IFERROR(VLOOKUP('Leveranser per nät'!A208,'lev 2012'!$B$2:$E$445,4,FALSE),"")</f>
        <v>8.3000000000000007</v>
      </c>
      <c r="T208" s="10">
        <f>IFERROR(VLOOKUP('Leveranser per nät'!A208,'lev 2013'!$B$2:$E$445,4,FALSE),"")</f>
        <v>8.3000000000000007</v>
      </c>
      <c r="U208" s="10">
        <f>IFERROR(VLOOKUP('Leveranser per nät'!A208,'lev 2014'!$B$2:$E$432,4,FALSE),"")</f>
        <v>7.6</v>
      </c>
      <c r="V208" s="10">
        <f>IFERROR(INDEX(Levererat_2015[Leveranser till eget nät],MATCH($A208,Levererat_2015[Indexnamn],0)),"")</f>
        <v>7.3</v>
      </c>
      <c r="W208" s="10">
        <f>IFERROR(INDEX(Levererat_2016[Leveranser till eget nät],MATCH($A208,Levererat_2016[Indexnamn],0)),"")</f>
        <v>7.73</v>
      </c>
      <c r="X208" s="10">
        <f>IFERROR(INDEX(Tabell4[Leveranser till eget nät],MATCH('Leveranser per nät'!A208,Tabell4[[Finns i listan ]],0)),"")</f>
        <v>7.9749999999999996</v>
      </c>
      <c r="Y208" s="10">
        <f>IFERROR(INDEX(Tabell6[Kolumn1],MATCH($A208,Tabell6[Indexnmamn],0)),"")</f>
        <v>7.149</v>
      </c>
      <c r="Z208" s="10">
        <v>6.6289999999999996</v>
      </c>
      <c r="AA208" s="10">
        <v>6.4139999999999997</v>
      </c>
      <c r="AB208" s="10">
        <f>VLOOKUP(A208,Tabell9[[Indexnamn]:[Kolumn1]],3,FALSE)</f>
        <v>7.2095500000000001</v>
      </c>
      <c r="AC208" s="10">
        <f>VLOOKUP($A208,'Lev 2022'!$K$2:$L$474,2,FALSE)</f>
        <v>7.157</v>
      </c>
      <c r="AG208" s="2">
        <f t="shared" si="9"/>
        <v>-5.2550000000000097E-2</v>
      </c>
      <c r="AH208" s="103">
        <f t="shared" si="10"/>
        <v>-7.288943137921243E-3</v>
      </c>
    </row>
    <row r="209" spans="1:34" x14ac:dyDescent="0.25">
      <c r="A209" t="s">
        <v>788</v>
      </c>
      <c r="B209" t="str">
        <f>VLOOKUP(A209,'Korrigerade leveranser GD'!$A$4:$B$482,2,FALSE)</f>
        <v>Klippan</v>
      </c>
      <c r="C209" s="10">
        <v>53</v>
      </c>
      <c r="D209" s="10">
        <v>50.96</v>
      </c>
      <c r="E209" s="10">
        <v>56</v>
      </c>
      <c r="F209" s="10">
        <v>56</v>
      </c>
      <c r="G209" s="10">
        <v>57</v>
      </c>
      <c r="H209" s="10">
        <v>59</v>
      </c>
      <c r="I209" s="10">
        <v>55</v>
      </c>
      <c r="J209" s="10">
        <v>53.658000000000001</v>
      </c>
      <c r="K209" s="10">
        <v>53.911000000000001</v>
      </c>
      <c r="L209" s="10">
        <v>53.868000000000002</v>
      </c>
      <c r="M209" s="10">
        <v>53.343000000000004</v>
      </c>
      <c r="N209" s="10">
        <v>53</v>
      </c>
      <c r="O209" s="10">
        <v>54.3</v>
      </c>
      <c r="P209" s="10">
        <v>59.1</v>
      </c>
      <c r="Q209" s="10">
        <v>59.91</v>
      </c>
      <c r="R209" s="10">
        <v>60.832799999999999</v>
      </c>
      <c r="S209" s="10">
        <f>IFERROR(VLOOKUP('Leveranser per nät'!A209,'lev 2012'!$B$2:$E$445,4,FALSE),"")</f>
        <v>63</v>
      </c>
      <c r="T209" s="10">
        <v>58.65</v>
      </c>
      <c r="U209" s="10">
        <f>IFERROR(VLOOKUP('Leveranser per nät'!A209,'lev 2014'!$B$2:$E$432,4,FALSE),"")</f>
        <v>50.2</v>
      </c>
      <c r="V209" s="10">
        <f>IFERROR(INDEX(Levererat_2015[Leveranser till eget nät],MATCH($A209,Levererat_2015[Indexnamn],0)),"")</f>
        <v>53</v>
      </c>
      <c r="W209" s="10">
        <f>IFERROR(INDEX(Levererat_2016[Leveranser till eget nät],MATCH($A209,Levererat_2016[Indexnamn],0)),"")</f>
        <v>56</v>
      </c>
      <c r="X209" s="10">
        <f>IFERROR(INDEX(Tabell4[Leveranser till eget nät],MATCH('Leveranser per nät'!A209,Tabell4[[Finns i listan ]],0)),"")</f>
        <v>55</v>
      </c>
      <c r="Y209" s="10">
        <f>IFERROR(INDEX(Tabell6[Kolumn1],MATCH($A209,Tabell6[Indexnmamn],0)),"")</f>
        <v>53</v>
      </c>
      <c r="Z209" s="10">
        <v>51</v>
      </c>
      <c r="AA209" s="10">
        <v>49.536999999999999</v>
      </c>
      <c r="AB209" s="10">
        <f>VLOOKUP(A209,Tabell9[[Indexnamn]:[Kolumn1]],3,FALSE)</f>
        <v>55.957000000000001</v>
      </c>
      <c r="AC209" s="10">
        <f>VLOOKUP($A209,'Lev 2022'!$K$2:$L$474,2,FALSE)</f>
        <v>52.017000000000003</v>
      </c>
      <c r="AG209" s="2">
        <f t="shared" si="9"/>
        <v>-3.9399999999999977</v>
      </c>
      <c r="AH209" s="103">
        <f t="shared" si="10"/>
        <v>-7.04112086066086E-2</v>
      </c>
    </row>
    <row r="210" spans="1:34" x14ac:dyDescent="0.25">
      <c r="A210" t="s">
        <v>341</v>
      </c>
      <c r="B210" t="s">
        <v>341</v>
      </c>
      <c r="C210" s="10"/>
      <c r="D210" s="10">
        <v>0</v>
      </c>
      <c r="E210" s="10">
        <v>61</v>
      </c>
      <c r="F210" s="10">
        <v>61</v>
      </c>
      <c r="G210" s="56">
        <f>(F210-I210)/3*2+I210</f>
        <v>60.333333333333336</v>
      </c>
      <c r="H210" s="56">
        <f>F210+(I210-F210)/3*2</f>
        <v>59.666666666666664</v>
      </c>
      <c r="I210" s="10">
        <v>59</v>
      </c>
      <c r="J210" s="10">
        <v>47.704000000000001</v>
      </c>
      <c r="K210" s="10">
        <v>49.569807258757073</v>
      </c>
      <c r="L210" s="10">
        <v>49.569807258757073</v>
      </c>
      <c r="M210" s="10">
        <v>49.728000000000002</v>
      </c>
      <c r="N210" s="10">
        <v>43.2</v>
      </c>
      <c r="O210" s="10">
        <v>42.9</v>
      </c>
      <c r="P210" s="10">
        <v>45.1</v>
      </c>
      <c r="Q210" s="10">
        <v>50</v>
      </c>
      <c r="R210" s="10">
        <v>44</v>
      </c>
      <c r="S210" s="10">
        <f>IFERROR(VLOOKUP('Leveranser per nät'!A210,'lev 2012'!$B$2:$E$445,4,FALSE),"")</f>
        <v>47</v>
      </c>
      <c r="T210" s="10">
        <f>IFERROR(VLOOKUP('Leveranser per nät'!A210,'lev 2013'!$B$2:$E$445,4,FALSE),"")</f>
        <v>45.5</v>
      </c>
      <c r="U210" s="10">
        <f>IFERROR(VLOOKUP('Leveranser per nät'!A210,'lev 2014'!$B$2:$E$432,4,FALSE),"")</f>
        <v>44.3</v>
      </c>
      <c r="V210" s="10">
        <f>IFERROR(INDEX(Levererat_2015[Leveranser till eget nät],MATCH($A210,Levererat_2015[Indexnamn],0)),"")</f>
        <v>45.4</v>
      </c>
      <c r="W210" s="10">
        <f>IFERROR(INDEX(Levererat_2016[Leveranser till eget nät],MATCH($A210,Levererat_2016[Indexnamn],0)),"")</f>
        <v>48.26</v>
      </c>
      <c r="X210" s="10">
        <v>48</v>
      </c>
      <c r="Y210" s="10">
        <v>47.92</v>
      </c>
      <c r="Z210" s="10">
        <v>47.19</v>
      </c>
      <c r="AA210" s="58">
        <v>49.1</v>
      </c>
      <c r="AB210" s="10">
        <f>VLOOKUP(A210,Tabell9[[Indexnamn]:[Kolumn1]],3,FALSE)</f>
        <v>51.439759999999993</v>
      </c>
      <c r="AC210" s="10">
        <f>VLOOKUP($A210,'Lev 2022'!$K$2:$L$474,2,FALSE)</f>
        <v>54.627890000000001</v>
      </c>
      <c r="AG210" s="2">
        <f t="shared" si="9"/>
        <v>3.1881300000000081</v>
      </c>
      <c r="AH210" s="103">
        <f t="shared" si="10"/>
        <v>6.1977933023015824E-2</v>
      </c>
    </row>
    <row r="211" spans="1:34" s="65" customFormat="1" x14ac:dyDescent="0.25">
      <c r="A211" s="65" t="s">
        <v>402</v>
      </c>
      <c r="B211" s="65" t="str">
        <f>VLOOKUP(A211,'Korrigerade leveranser GD'!$A$4:$B$482,2,FALSE)</f>
        <v>Västerås</v>
      </c>
      <c r="C211" s="68">
        <v>8</v>
      </c>
      <c r="D211" s="68">
        <v>7.65</v>
      </c>
      <c r="E211" s="68">
        <v>8</v>
      </c>
      <c r="F211" s="68">
        <v>7</v>
      </c>
      <c r="G211" s="68">
        <v>6</v>
      </c>
      <c r="H211" s="68">
        <v>7</v>
      </c>
      <c r="I211" s="68">
        <v>7</v>
      </c>
      <c r="J211" s="68">
        <v>7</v>
      </c>
      <c r="K211" s="68">
        <v>0</v>
      </c>
      <c r="L211" s="68"/>
      <c r="M211" s="68"/>
      <c r="N211" s="68"/>
      <c r="O211" s="68"/>
      <c r="P211" s="68"/>
      <c r="Q211" s="68"/>
      <c r="R211" s="68"/>
      <c r="S211" s="68" t="str">
        <f>IFERROR(VLOOKUP('Leveranser per nät'!A211,'lev 2012'!$B$2:$E$445,4,FALSE),"")</f>
        <v/>
      </c>
      <c r="T211" s="68" t="str">
        <f>IFERROR(VLOOKUP('Leveranser per nät'!A211,'lev 2013'!$B$2:$E$445,4,FALSE),"")</f>
        <v/>
      </c>
      <c r="U211" s="68" t="str">
        <f>IFERROR(VLOOKUP('Leveranser per nät'!A211,'lev 2014'!$B$2:$E$432,4,FALSE),"")</f>
        <v/>
      </c>
      <c r="V211" s="68" t="str">
        <f>IFERROR(INDEX(Levererat_2015[Leveranser till eget nät],MATCH($A211,Levererat_2015[Indexnamn],0)),"")</f>
        <v/>
      </c>
      <c r="W211" s="68" t="str">
        <f>IFERROR(INDEX(Levererat_2016[Leveranser till eget nät],MATCH($A211,Levererat_2016[Indexnamn],0)),"")</f>
        <v/>
      </c>
      <c r="X211" s="68" t="str">
        <f>IFERROR(INDEX(Tabell4[Leveranser till eget nät],MATCH('Leveranser per nät'!A211,Tabell4[[Finns i listan ]],0)),"")</f>
        <v/>
      </c>
      <c r="Y211" s="68" t="str">
        <f>IFERROR(INDEX(Tabell6[Kolumn1],MATCH($A211,Tabell6[Indexnmamn],0)),"")</f>
        <v/>
      </c>
      <c r="Z211" s="68"/>
      <c r="AA211" s="68" t="s">
        <v>779</v>
      </c>
      <c r="AB211" s="10"/>
      <c r="AC211" s="10"/>
      <c r="AD211"/>
      <c r="AE211"/>
      <c r="AG211" s="2"/>
      <c r="AH211" s="103"/>
    </row>
    <row r="212" spans="1:34" s="65" customFormat="1" x14ac:dyDescent="0.25">
      <c r="A212" s="65" t="s">
        <v>175</v>
      </c>
      <c r="B212" s="65" t="str">
        <f>VLOOKUP(A212,'Korrigerade leveranser GD'!$A$4:$B$482,2,FALSE)</f>
        <v>Köping</v>
      </c>
      <c r="C212" s="68"/>
      <c r="D212" s="68">
        <v>0</v>
      </c>
      <c r="E212" s="68">
        <v>2</v>
      </c>
      <c r="F212" s="68">
        <v>11</v>
      </c>
      <c r="G212" s="68">
        <v>11</v>
      </c>
      <c r="H212" s="68">
        <v>12</v>
      </c>
      <c r="I212" s="68">
        <v>13</v>
      </c>
      <c r="J212" s="68">
        <v>12</v>
      </c>
      <c r="K212" s="68">
        <v>7.7779999999999996</v>
      </c>
      <c r="L212" s="68">
        <v>12.281000000000001</v>
      </c>
      <c r="M212" s="68">
        <v>12.067</v>
      </c>
      <c r="N212" s="68">
        <v>12.039</v>
      </c>
      <c r="O212" s="68">
        <v>11.596</v>
      </c>
      <c r="P212" s="68">
        <v>12.864000000000001</v>
      </c>
      <c r="Q212" s="68">
        <v>16.594999999999999</v>
      </c>
      <c r="R212" s="68">
        <v>13.412000000000001</v>
      </c>
      <c r="S212" s="68">
        <f>IFERROR(VLOOKUP('Leveranser per nät'!A212,'lev 2012'!$B$2:$E$445,4,FALSE),"")</f>
        <v>15.16</v>
      </c>
      <c r="T212" s="68">
        <f>IFERROR(VLOOKUP('Leveranser per nät'!A212,'lev 2013'!$B$2:$E$445,4,FALSE),"")</f>
        <v>14.734</v>
      </c>
      <c r="U212" s="68">
        <f>IFERROR(VLOOKUP('Leveranser per nät'!A212,'lev 2014'!$B$2:$E$432,4,FALSE),"")</f>
        <v>12.881</v>
      </c>
      <c r="V212" s="68">
        <f>IFERROR(INDEX(Levererat_2015[Leveranser till eget nät],MATCH($A212,Levererat_2015[Indexnamn],0)),"")</f>
        <v>12.885999999999999</v>
      </c>
      <c r="W212" s="68">
        <f>IFERROR(INDEX(Levererat_2016[Leveranser till eget nät],MATCH($A212,Levererat_2016[Indexnamn],0)),"")</f>
        <v>13.786</v>
      </c>
      <c r="X212" s="71">
        <f>W212+(Y212-W212)/2</f>
        <v>15.093</v>
      </c>
      <c r="Y212" s="68">
        <f>IFERROR(INDEX(Tabell6[Kolumn1],MATCH($A212,Tabell6[Indexnmamn],0)),"")</f>
        <v>16.399999999999999</v>
      </c>
      <c r="Z212" s="68"/>
      <c r="AA212" s="68" t="s">
        <v>779</v>
      </c>
      <c r="AB212" s="10"/>
      <c r="AC212" s="10"/>
      <c r="AE212"/>
      <c r="AG212" s="2"/>
      <c r="AH212" s="103"/>
    </row>
    <row r="213" spans="1:34" x14ac:dyDescent="0.25">
      <c r="A213" t="s">
        <v>126</v>
      </c>
      <c r="B213" t="str">
        <f>VLOOKUP(A213,'Korrigerade leveranser GD'!$A$4:$B$482,2,FALSE)</f>
        <v>Kopparberg</v>
      </c>
      <c r="C213" s="10"/>
      <c r="D213" s="10"/>
      <c r="E213" s="10"/>
      <c r="F213" s="10"/>
      <c r="G213" s="10"/>
      <c r="H213" s="10"/>
      <c r="I213" s="10"/>
      <c r="J213" s="10"/>
      <c r="K213" s="10"/>
      <c r="L213" s="10"/>
      <c r="M213" s="10"/>
      <c r="N213" s="10">
        <v>0</v>
      </c>
      <c r="O213" s="10">
        <v>13.6</v>
      </c>
      <c r="P213" s="10">
        <v>13.6</v>
      </c>
      <c r="Q213" s="56">
        <f>P213+(R213-P213)/2</f>
        <v>12.32</v>
      </c>
      <c r="R213" s="10">
        <v>11.04</v>
      </c>
      <c r="S213" s="10">
        <f>IFERROR(VLOOKUP('Leveranser per nät'!A213,'lev 2012'!$B$2:$E$445,4,FALSE),"")</f>
        <v>12.07</v>
      </c>
      <c r="T213" s="10">
        <f>IFERROR(VLOOKUP('Leveranser per nät'!A213,'lev 2013'!$B$2:$E$445,4,FALSE),"")</f>
        <v>11.848000000000001</v>
      </c>
      <c r="U213" s="10">
        <f>IFERROR(VLOOKUP('Leveranser per nät'!A213,'lev 2014'!$B$2:$E$432,4,FALSE),"")</f>
        <v>11.204000000000001</v>
      </c>
      <c r="V213" s="10">
        <f>IFERROR(INDEX(Levererat_2015[Leveranser till eget nät],MATCH($A213,Levererat_2015[Indexnamn],0)),"")</f>
        <v>11.252000000000001</v>
      </c>
      <c r="W213" s="10">
        <f>IFERROR(INDEX(Levererat_2016[Leveranser till eget nät],MATCH($A213,Levererat_2016[Indexnamn],0)),"")</f>
        <v>11.57</v>
      </c>
      <c r="X213" s="10">
        <f>IFERROR(INDEX(Tabell4[Leveranser till eget nät],MATCH('Leveranser per nät'!A213,Tabell4[[Finns i listan ]],0)),"")</f>
        <v>11.238</v>
      </c>
      <c r="Y213" s="10">
        <f>IFERROR(INDEX(Tabell6[Kolumn1],MATCH($A213,Tabell6[Indexnmamn],0)),"")</f>
        <v>11.1</v>
      </c>
      <c r="Z213" s="10">
        <v>10.991</v>
      </c>
      <c r="AA213" s="10">
        <v>10.057</v>
      </c>
      <c r="AB213" s="10">
        <f>VLOOKUP(A213,Tabell9[[Indexnamn]:[Kolumn1]],3,FALSE)</f>
        <v>11.525</v>
      </c>
      <c r="AC213" s="10">
        <f>VLOOKUP($A213,'Lev 2022'!$K$2:$L$474,2,FALSE)</f>
        <v>10.417</v>
      </c>
      <c r="AG213" s="2">
        <f t="shared" si="9"/>
        <v>-1.1080000000000005</v>
      </c>
      <c r="AH213" s="103">
        <f t="shared" si="10"/>
        <v>-9.6138828633405685E-2</v>
      </c>
    </row>
    <row r="214" spans="1:34" s="70" customFormat="1" x14ac:dyDescent="0.25">
      <c r="A214" s="70" t="s">
        <v>290</v>
      </c>
      <c r="B214" s="70" t="str">
        <f>VLOOKUP(A214,'Korrigerade leveranser GD'!$A$4:$B$482,2,FALSE)</f>
        <v>Sundsvall</v>
      </c>
      <c r="C214" s="76"/>
      <c r="D214" s="76"/>
      <c r="E214" s="76"/>
      <c r="F214" s="76"/>
      <c r="G214" s="76"/>
      <c r="H214" s="76"/>
      <c r="I214" s="76"/>
      <c r="J214" s="76"/>
      <c r="K214" s="76"/>
      <c r="L214" s="76"/>
      <c r="M214" s="76">
        <v>0.48899999999999999</v>
      </c>
      <c r="N214" s="76">
        <v>0.45600000000000002</v>
      </c>
      <c r="O214" s="76">
        <v>0.379</v>
      </c>
      <c r="P214" s="76">
        <v>0.29299999999999998</v>
      </c>
      <c r="Q214" s="76">
        <v>0</v>
      </c>
      <c r="R214" s="76"/>
      <c r="S214" s="76" t="str">
        <f>IFERROR(VLOOKUP('Leveranser per nät'!A214,'lev 2012'!$B$2:$E$445,4,FALSE),"")</f>
        <v/>
      </c>
      <c r="T214" s="76" t="str">
        <f>IFERROR(VLOOKUP('Leveranser per nät'!A214,'lev 2013'!$B$2:$E$445,4,FALSE),"")</f>
        <v/>
      </c>
      <c r="U214" s="76" t="str">
        <f>IFERROR(VLOOKUP('Leveranser per nät'!A214,'lev 2014'!$B$2:$E$432,4,FALSE),"")</f>
        <v/>
      </c>
      <c r="V214" s="76" t="str">
        <f>IFERROR(INDEX(Levererat_2015[Leveranser till eget nät],MATCH($A214,Levererat_2015[Indexnamn],0)),"")</f>
        <v/>
      </c>
      <c r="W214" s="76" t="str">
        <f>IFERROR(INDEX(Levererat_2016[Leveranser till eget nät],MATCH($A214,Levererat_2016[Indexnamn],0)),"")</f>
        <v/>
      </c>
      <c r="X214" s="76" t="str">
        <f>IFERROR(INDEX(Tabell4[Leveranser till eget nät],MATCH('Leveranser per nät'!A214,Tabell4[[Finns i listan ]],0)),"")</f>
        <v/>
      </c>
      <c r="Y214" s="76" t="str">
        <f>IFERROR(INDEX(Tabell6[Kolumn1],MATCH($A214,Tabell6[Indexnmamn],0)),"")</f>
        <v/>
      </c>
      <c r="Z214" s="76"/>
      <c r="AA214" s="76" t="s">
        <v>779</v>
      </c>
      <c r="AB214" s="10"/>
      <c r="AC214" s="10"/>
      <c r="AD214"/>
      <c r="AE214"/>
      <c r="AG214" s="2"/>
      <c r="AH214" s="103"/>
    </row>
    <row r="215" spans="1:34" x14ac:dyDescent="0.25">
      <c r="A215" t="s">
        <v>211</v>
      </c>
      <c r="B215" t="str">
        <f>VLOOKUP(A215,'Korrigerade leveranser GD'!$A$4:$B$482,2,FALSE)</f>
        <v>Kramfors</v>
      </c>
      <c r="C215" s="10">
        <v>46</v>
      </c>
      <c r="D215" s="10">
        <v>40.387999999999998</v>
      </c>
      <c r="E215" s="10">
        <v>39</v>
      </c>
      <c r="F215" s="10">
        <v>38</v>
      </c>
      <c r="G215" s="10">
        <v>35.1</v>
      </c>
      <c r="H215" s="10">
        <v>40.134</v>
      </c>
      <c r="I215" s="10">
        <v>37.834000000000003</v>
      </c>
      <c r="J215" s="10">
        <v>38</v>
      </c>
      <c r="K215" s="10">
        <v>36.168999999999997</v>
      </c>
      <c r="L215" s="10">
        <v>35.756</v>
      </c>
      <c r="M215" s="10">
        <v>37.270000000000003</v>
      </c>
      <c r="N215" s="10">
        <v>37.270000000000003</v>
      </c>
      <c r="O215" s="10">
        <v>9.9</v>
      </c>
      <c r="P215" s="10">
        <v>42.9</v>
      </c>
      <c r="Q215" s="10">
        <v>52.73</v>
      </c>
      <c r="R215" s="58">
        <v>40.5</v>
      </c>
      <c r="S215" s="58">
        <v>43</v>
      </c>
      <c r="T215" s="58">
        <v>62</v>
      </c>
      <c r="U215" s="58">
        <v>39</v>
      </c>
      <c r="V215" s="58">
        <v>44</v>
      </c>
      <c r="W215" s="58">
        <v>42</v>
      </c>
      <c r="X215" s="58">
        <v>47</v>
      </c>
      <c r="Y215" s="10">
        <f>IFERROR(INDEX(Tabell6[Kolumn1],MATCH($A215,Tabell6[Indexnmamn],0)),"")</f>
        <v>45.156999999999996</v>
      </c>
      <c r="Z215" s="10">
        <v>44.042000000000002</v>
      </c>
      <c r="AA215" s="10">
        <v>38.654000000000003</v>
      </c>
      <c r="AB215" s="10">
        <f>VLOOKUP(A215,Tabell9[[Indexnamn]:[Kolumn1]],3,FALSE)</f>
        <v>45.765000000000001</v>
      </c>
      <c r="AC215" s="10">
        <f>VLOOKUP($A215,'Lev 2022'!$K$2:$L$474,2,FALSE)</f>
        <v>41.512</v>
      </c>
      <c r="AG215" s="2">
        <f t="shared" si="9"/>
        <v>-4.2530000000000001</v>
      </c>
      <c r="AH215" s="103">
        <f t="shared" si="10"/>
        <v>-9.293127936195783E-2</v>
      </c>
    </row>
    <row r="216" spans="1:34" x14ac:dyDescent="0.25">
      <c r="A216" t="s">
        <v>34</v>
      </c>
      <c r="B216" t="str">
        <f>VLOOKUP(A216,'Korrigerade leveranser GD'!$A$4:$B$482,2,FALSE)</f>
        <v>Kristianstad</v>
      </c>
      <c r="C216" s="10">
        <v>216</v>
      </c>
      <c r="D216" s="10">
        <v>204.34</v>
      </c>
      <c r="E216" s="10">
        <v>219</v>
      </c>
      <c r="F216" s="10">
        <v>220</v>
      </c>
      <c r="G216" s="10">
        <v>223</v>
      </c>
      <c r="H216" s="10">
        <v>242</v>
      </c>
      <c r="I216" s="10">
        <v>261</v>
      </c>
      <c r="J216" s="10">
        <v>272</v>
      </c>
      <c r="K216" s="10">
        <v>267.78500000000003</v>
      </c>
      <c r="L216" s="10">
        <v>271.57600000000002</v>
      </c>
      <c r="M216" s="10">
        <v>263.40300000000002</v>
      </c>
      <c r="N216" s="10">
        <v>267.642</v>
      </c>
      <c r="O216" s="10">
        <v>276.82799999999997</v>
      </c>
      <c r="P216" s="10">
        <v>297.92200000000003</v>
      </c>
      <c r="Q216" s="10">
        <v>381.90300000000002</v>
      </c>
      <c r="R216" s="10">
        <v>331.21199999999999</v>
      </c>
      <c r="S216" s="10">
        <f>IFERROR(VLOOKUP('Leveranser per nät'!A216,'lev 2012'!$B$2:$E$445,4,FALSE),"")</f>
        <v>353</v>
      </c>
      <c r="T216" s="10">
        <f>IFERROR(VLOOKUP('Leveranser per nät'!A216,'lev 2013'!$B$2:$E$445,4,FALSE),"")</f>
        <v>350.84</v>
      </c>
      <c r="U216" s="10">
        <f>IFERROR(VLOOKUP('Leveranser per nät'!A216,'lev 2014'!$B$2:$E$432,4,FALSE),"")</f>
        <v>321.67599999999999</v>
      </c>
      <c r="V216" s="10">
        <f>IFERROR(INDEX(Levererat_2015[Leveranser till eget nät],MATCH($A216,Levererat_2015[Indexnamn],0)),"")</f>
        <v>336.51900000000001</v>
      </c>
      <c r="W216" s="10">
        <f>IFERROR(INDEX(Levererat_2016[Leveranser till eget nät],MATCH($A216,Levererat_2016[Indexnamn],0)),"")</f>
        <v>359.197</v>
      </c>
      <c r="X216" s="10">
        <f>IFERROR(INDEX(Tabell4[Leveranser till eget nät],MATCH('Leveranser per nät'!A216,Tabell4[[Finns i listan ]],0)),"")</f>
        <v>356.59899999999999</v>
      </c>
      <c r="Y216" s="10">
        <f>IFERROR(INDEX(Tabell6[Kolumn1],MATCH($A216,Tabell6[Indexnmamn],0)),"")</f>
        <v>355.76600000000002</v>
      </c>
      <c r="Z216" s="10">
        <v>340.601</v>
      </c>
      <c r="AA216" s="10">
        <v>316.29399999999998</v>
      </c>
      <c r="AB216" s="10">
        <f>VLOOKUP(A216,Tabell9[[Indexnamn]:[Kolumn1]],3,FALSE)</f>
        <v>363.97899999999998</v>
      </c>
      <c r="AC216" s="10">
        <f>VLOOKUP($A216,'Lev 2022'!$K$2:$L$474,2,FALSE)</f>
        <v>333.59699999999998</v>
      </c>
      <c r="AG216" s="2">
        <f t="shared" si="9"/>
        <v>-30.382000000000005</v>
      </c>
      <c r="AH216" s="103">
        <f t="shared" si="10"/>
        <v>-8.3471848650608985E-2</v>
      </c>
    </row>
    <row r="217" spans="1:34" s="65" customFormat="1" x14ac:dyDescent="0.25">
      <c r="A217" s="65" t="s">
        <v>268</v>
      </c>
      <c r="B217" s="65" t="str">
        <f>VLOOKUP(A217,'Korrigerade leveranser GD'!$A$4:$B$482,2,FALSE)</f>
        <v>Lycksele</v>
      </c>
      <c r="C217" s="68"/>
      <c r="D217" s="68"/>
      <c r="E217" s="68"/>
      <c r="F217" s="68"/>
      <c r="G217" s="68"/>
      <c r="H217" s="68"/>
      <c r="I217" s="68"/>
      <c r="J217" s="68"/>
      <c r="K217" s="68">
        <v>0</v>
      </c>
      <c r="L217" s="68">
        <v>1.1633</v>
      </c>
      <c r="M217" s="71">
        <f>L217+(N217-L217)/2</f>
        <v>1.1396500000000001</v>
      </c>
      <c r="N217" s="68">
        <v>1.1160000000000001</v>
      </c>
      <c r="O217" s="68">
        <v>1.133</v>
      </c>
      <c r="P217" s="68">
        <v>1.298</v>
      </c>
      <c r="Q217" s="68">
        <v>1.3240000000000001</v>
      </c>
      <c r="R217" s="68">
        <v>0.80500000000000005</v>
      </c>
      <c r="S217" s="68">
        <f>IFERROR(VLOOKUP('Leveranser per nät'!A217,'lev 2012'!$B$2:$E$445,4,FALSE),"")</f>
        <v>0.81</v>
      </c>
      <c r="T217" s="71">
        <f>S217+(U217-S217)/2</f>
        <v>0.65500000000000003</v>
      </c>
      <c r="U217" s="68">
        <v>0.5</v>
      </c>
      <c r="V217" s="68">
        <v>0.24299999999999999</v>
      </c>
      <c r="W217" s="68" t="str">
        <f>IFERROR(INDEX(Levererat_2016[Leveranser till eget nät],MATCH($A217,Levererat_2016[Indexnamn],0)),"")</f>
        <v/>
      </c>
      <c r="X217" s="68" t="str">
        <f>IFERROR(INDEX(Tabell4[Leveranser till eget nät],MATCH('Leveranser per nät'!A217,Tabell4[[Finns i listan ]],0)),"")</f>
        <v/>
      </c>
      <c r="Y217" s="68" t="str">
        <f>IFERROR(INDEX(Tabell6[Kolumn1],MATCH($A217,Tabell6[Indexnmamn],0)),"")</f>
        <v/>
      </c>
      <c r="Z217" s="68"/>
      <c r="AA217" s="68" t="s">
        <v>779</v>
      </c>
      <c r="AB217" s="10"/>
      <c r="AC217" s="10"/>
      <c r="AD217"/>
      <c r="AE217"/>
      <c r="AG217" s="2">
        <f t="shared" si="9"/>
        <v>0</v>
      </c>
      <c r="AH217" s="103"/>
    </row>
    <row r="218" spans="1:34" x14ac:dyDescent="0.25">
      <c r="A218" t="s">
        <v>172</v>
      </c>
      <c r="B218" t="str">
        <f>VLOOKUP(A218,'Korrigerade leveranser GD'!$A$4:$B$482,2,FALSE)</f>
        <v>Kristinehamn</v>
      </c>
      <c r="C218" s="10">
        <v>63</v>
      </c>
      <c r="D218" s="10">
        <v>74.52</v>
      </c>
      <c r="E218" s="10">
        <v>74.5</v>
      </c>
      <c r="F218" s="10">
        <v>83.340999999999994</v>
      </c>
      <c r="G218" s="10">
        <v>76</v>
      </c>
      <c r="H218" s="10">
        <v>90.519000000000005</v>
      </c>
      <c r="I218" s="10">
        <v>91.608000000000004</v>
      </c>
      <c r="J218" s="10">
        <v>94.700999999999993</v>
      </c>
      <c r="K218" s="10">
        <v>95.837000000000003</v>
      </c>
      <c r="L218" s="10">
        <v>92.55</v>
      </c>
      <c r="M218" s="10">
        <v>92.69</v>
      </c>
      <c r="N218" s="10">
        <v>92.736999999999995</v>
      </c>
      <c r="O218" s="10">
        <v>91.286000000000001</v>
      </c>
      <c r="P218" s="10">
        <v>98.090999999999994</v>
      </c>
      <c r="Q218" s="10">
        <v>120.35599999999999</v>
      </c>
      <c r="R218" s="10">
        <v>110.72199999999999</v>
      </c>
      <c r="S218" s="10">
        <f>IFERROR(VLOOKUP('Leveranser per nät'!A218,'lev 2012'!$B$2:$E$445,4,FALSE),"")</f>
        <v>106</v>
      </c>
      <c r="T218" s="10">
        <f>IFERROR(VLOOKUP('Leveranser per nät'!A218,'lev 2013'!$B$2:$E$445,4,FALSE),"")</f>
        <v>102</v>
      </c>
      <c r="U218" s="10">
        <f>IFERROR(VLOOKUP('Leveranser per nät'!A218,'lev 2014'!$B$2:$E$432,4,FALSE),"")</f>
        <v>89</v>
      </c>
      <c r="V218" s="10">
        <f>IFERROR(INDEX(Levererat_2015[Leveranser till eget nät],MATCH($A218,Levererat_2015[Indexnamn],0)),"")</f>
        <v>89</v>
      </c>
      <c r="W218" s="10">
        <v>107.248</v>
      </c>
      <c r="X218" s="10">
        <v>93.522999999999996</v>
      </c>
      <c r="Y218" s="10">
        <f>IFERROR(INDEX(Tabell6[Kolumn1],MATCH($A218,Tabell6[Indexnmamn],0)),"")</f>
        <v>93.7</v>
      </c>
      <c r="Z218" s="10">
        <v>89.9</v>
      </c>
      <c r="AA218" s="58">
        <v>80.2</v>
      </c>
      <c r="AB218" s="10">
        <f>VLOOKUP(A218,Tabell9[[Indexnamn]:[Kolumn1]],3,FALSE)</f>
        <v>98.527000000000001</v>
      </c>
      <c r="AC218" s="10">
        <f>VLOOKUP($A218,'Lev 2022'!$K$2:$L$474,2,FALSE)</f>
        <v>90.703999999999994</v>
      </c>
      <c r="AG218" s="2">
        <f t="shared" si="9"/>
        <v>-7.8230000000000075</v>
      </c>
      <c r="AH218" s="103">
        <f t="shared" si="10"/>
        <v>-7.9399555451805159E-2</v>
      </c>
    </row>
    <row r="219" spans="1:34" x14ac:dyDescent="0.25">
      <c r="A219" t="s">
        <v>801</v>
      </c>
      <c r="B219" t="s">
        <v>88</v>
      </c>
      <c r="C219" s="10"/>
      <c r="D219" s="10"/>
      <c r="E219" s="10"/>
      <c r="F219" s="10"/>
      <c r="G219" s="10"/>
      <c r="H219" s="10"/>
      <c r="I219" s="10"/>
      <c r="J219" s="10"/>
      <c r="K219" s="10"/>
      <c r="L219" s="10"/>
      <c r="M219" s="10"/>
      <c r="N219" s="10"/>
      <c r="O219" s="10"/>
      <c r="P219" s="10"/>
      <c r="Q219" s="10"/>
      <c r="R219" s="10"/>
      <c r="S219" s="10" t="str">
        <f>IFERROR(VLOOKUP('Leveranser per nät'!A219,'lev 2012'!$B$2:$E$445,4,FALSE),"")</f>
        <v/>
      </c>
      <c r="T219" s="10" t="str">
        <f>IFERROR(VLOOKUP('Leveranser per nät'!A219,'lev 2013'!$B$2:$E$445,4,FALSE),"")</f>
        <v/>
      </c>
      <c r="U219" s="10" t="str">
        <f>IFERROR(VLOOKUP('Leveranser per nät'!A219,'lev 2014'!$B$2:$E$432,4,FALSE),"")</f>
        <v/>
      </c>
      <c r="V219" s="10">
        <v>2.1549999999999998</v>
      </c>
      <c r="W219" s="10">
        <f>IFERROR(INDEX(Levererat_2016[Leveranser till eget nät],MATCH($A219,Levererat_2016[Indexnamn],0)),"")</f>
        <v>2.1309999999999998</v>
      </c>
      <c r="X219" s="10">
        <f>IFERROR(INDEX(Tabell4[Leveranser till eget nät],MATCH('Leveranser per nät'!A219,Tabell4[[Finns i listan ]],0)),"")</f>
        <v>2.2480000000000002</v>
      </c>
      <c r="Y219" s="10">
        <f>IFERROR(INDEX(Tabell6[Kolumn1],MATCH($A219,Tabell6[Indexnmamn],0)),"")</f>
        <v>2.5720000000000001</v>
      </c>
      <c r="Z219" s="10">
        <v>2.4460000000000002</v>
      </c>
      <c r="AA219" s="69">
        <v>2.2999999999999998</v>
      </c>
      <c r="AB219" s="10"/>
      <c r="AC219" s="10"/>
      <c r="AG219" s="2"/>
      <c r="AH219" s="103"/>
    </row>
    <row r="220" spans="1:34" x14ac:dyDescent="0.25">
      <c r="A220" t="s">
        <v>155</v>
      </c>
      <c r="B220" t="str">
        <f>VLOOKUP(A220,'Korrigerade leveranser GD'!$A$4:$B$482,2,FALSE)</f>
        <v>Östersund</v>
      </c>
      <c r="C220" s="10"/>
      <c r="D220" s="10"/>
      <c r="E220" s="10">
        <v>0</v>
      </c>
      <c r="F220" s="10">
        <v>18</v>
      </c>
      <c r="G220" s="10">
        <v>17</v>
      </c>
      <c r="H220" s="10">
        <v>19</v>
      </c>
      <c r="I220" s="10">
        <v>19</v>
      </c>
      <c r="J220" s="10">
        <v>21</v>
      </c>
      <c r="K220" s="10">
        <v>11.025600000000001</v>
      </c>
      <c r="L220" s="10">
        <v>22.7788</v>
      </c>
      <c r="M220" s="10">
        <v>12.7788</v>
      </c>
      <c r="N220" s="10">
        <v>24.4</v>
      </c>
      <c r="O220" s="10">
        <v>24.1</v>
      </c>
      <c r="P220" s="10">
        <v>26</v>
      </c>
      <c r="Q220" s="10">
        <v>24.5</v>
      </c>
      <c r="R220" s="10">
        <v>13.5</v>
      </c>
      <c r="S220" s="10">
        <f>IFERROR(VLOOKUP('Leveranser per nät'!A220,'lev 2012'!$B$2:$E$445,4,FALSE),"")</f>
        <v>21</v>
      </c>
      <c r="T220" s="10">
        <f>IFERROR(VLOOKUP('Leveranser per nät'!A220,'lev 2013'!$B$2:$E$445,4,FALSE),"")</f>
        <v>20.07</v>
      </c>
      <c r="U220" s="10">
        <f>IFERROR(VLOOKUP('Leveranser per nät'!A220,'lev 2014'!$B$2:$E$432,4,FALSE),"")</f>
        <v>18.78</v>
      </c>
      <c r="V220" s="10">
        <f>IFERROR(INDEX(Levererat_2015[Leveranser till eget nät],MATCH($A220,Levererat_2015[Indexnamn],0)),"")</f>
        <v>17.989999999999998</v>
      </c>
      <c r="W220" s="10">
        <f>IFERROR(INDEX(Levererat_2016[Leveranser till eget nät],MATCH($A220,Levererat_2016[Indexnamn],0)),"")</f>
        <v>18.53</v>
      </c>
      <c r="X220" s="10">
        <f>IFERROR(INDEX(Tabell4[Leveranser till eget nät],MATCH('Leveranser per nät'!A220,Tabell4[[Finns i listan ]],0)),"")</f>
        <v>18.63</v>
      </c>
      <c r="Y220" s="10">
        <f>IFERROR(INDEX(Tabell6[Kolumn1],MATCH($A220,Tabell6[Indexnmamn],0)),"")</f>
        <v>18.63</v>
      </c>
      <c r="Z220" s="10">
        <v>17.995000000000001</v>
      </c>
      <c r="AA220" s="10">
        <v>17.925999999999998</v>
      </c>
      <c r="AB220" s="10">
        <f>VLOOKUP(A220,Tabell9[[Indexnamn]:[Kolumn1]],3,FALSE)</f>
        <v>18.975000000000001</v>
      </c>
      <c r="AC220" s="10">
        <f>VLOOKUP($A220,'Lev 2022'!$K$2:$L$474,2,FALSE)</f>
        <v>12.55</v>
      </c>
      <c r="AG220" s="2">
        <f t="shared" si="9"/>
        <v>-6.4250000000000007</v>
      </c>
      <c r="AH220" s="103">
        <f t="shared" si="10"/>
        <v>-0.33860342555994732</v>
      </c>
    </row>
    <row r="221" spans="1:34" x14ac:dyDescent="0.25">
      <c r="A221" t="s">
        <v>283</v>
      </c>
      <c r="B221" t="str">
        <f>VLOOKUP(A221,'Korrigerade leveranser GD'!$A$4:$B$482,2,FALSE)</f>
        <v>Kungsbacka</v>
      </c>
      <c r="C221" s="10">
        <v>83</v>
      </c>
      <c r="D221" s="10">
        <v>77.05</v>
      </c>
      <c r="E221" s="10">
        <v>86</v>
      </c>
      <c r="F221" s="10">
        <v>85</v>
      </c>
      <c r="G221" s="10">
        <v>80</v>
      </c>
      <c r="H221" s="10">
        <v>91.8</v>
      </c>
      <c r="I221" s="10">
        <v>93.233000000000004</v>
      </c>
      <c r="J221" s="10">
        <v>113</v>
      </c>
      <c r="K221" s="10">
        <v>114</v>
      </c>
      <c r="L221" s="10">
        <v>125.36174950159682</v>
      </c>
      <c r="M221" s="10">
        <v>104.7</v>
      </c>
      <c r="N221" s="10">
        <v>106</v>
      </c>
      <c r="O221" s="10">
        <v>103.14</v>
      </c>
      <c r="P221" s="10">
        <v>117.9</v>
      </c>
      <c r="Q221" s="10">
        <v>137.1</v>
      </c>
      <c r="R221" s="10">
        <v>111.3</v>
      </c>
      <c r="S221" s="10">
        <f>IFERROR(VLOOKUP('Leveranser per nät'!A221,'lev 2012'!$B$2:$E$445,4,FALSE),"")</f>
        <v>121</v>
      </c>
      <c r="T221" s="10">
        <f>IFERROR(VLOOKUP('Leveranser per nät'!A221,'lev 2013'!$B$2:$E$445,4,FALSE),"")</f>
        <v>117.38</v>
      </c>
      <c r="U221" s="10">
        <f>IFERROR(VLOOKUP('Leveranser per nät'!A221,'lev 2014'!$B$2:$E$432,4,FALSE),"")</f>
        <v>106.19</v>
      </c>
      <c r="V221" s="10">
        <f>IFERROR(INDEX(Levererat_2015[Leveranser till eget nät],MATCH($A221,Levererat_2015[Indexnamn],0)),"")</f>
        <v>110.74</v>
      </c>
      <c r="W221" s="10">
        <f>IFERROR(INDEX(Levererat_2016[Leveranser till eget nät],MATCH($A221,Levererat_2016[Indexnamn],0)),"")</f>
        <v>118.5</v>
      </c>
      <c r="X221" s="10">
        <f>IFERROR(INDEX(Tabell4[Leveranser till eget nät],MATCH('Leveranser per nät'!A221,Tabell4[[Finns i listan ]],0)),"")</f>
        <v>118.4</v>
      </c>
      <c r="Y221" s="10">
        <f>IFERROR(INDEX(Tabell6[Kolumn1],MATCH($A221,Tabell6[Indexnmamn],0)),"")</f>
        <v>121.45</v>
      </c>
      <c r="Z221" s="10">
        <v>115.01</v>
      </c>
      <c r="AA221" s="10">
        <v>108.54</v>
      </c>
      <c r="AB221" s="10">
        <f>VLOOKUP(A221,Tabell9[[Indexnamn]:[Kolumn1]],3,FALSE)</f>
        <v>128.16999999999999</v>
      </c>
      <c r="AC221" s="10">
        <f>VLOOKUP($A221,'Lev 2022'!$K$2:$L$474,2,FALSE)</f>
        <v>117.44</v>
      </c>
      <c r="AG221" s="2">
        <f t="shared" si="9"/>
        <v>-10.72999999999999</v>
      </c>
      <c r="AH221" s="103">
        <f t="shared" si="10"/>
        <v>-8.3716938441132802E-2</v>
      </c>
    </row>
    <row r="222" spans="1:34" x14ac:dyDescent="0.25">
      <c r="A222" t="s">
        <v>477</v>
      </c>
      <c r="B222" t="s">
        <v>176</v>
      </c>
      <c r="C222" s="10"/>
      <c r="D222" s="10"/>
      <c r="E222" s="10">
        <v>0</v>
      </c>
      <c r="F222" s="10">
        <v>22.1</v>
      </c>
      <c r="G222" s="10">
        <v>22.1</v>
      </c>
      <c r="H222" s="10">
        <v>0</v>
      </c>
      <c r="I222" s="10"/>
      <c r="J222" s="10"/>
      <c r="K222" s="10"/>
      <c r="L222" s="10"/>
      <c r="M222" s="10"/>
      <c r="N222" s="10"/>
      <c r="O222" s="10"/>
      <c r="P222" s="10"/>
      <c r="Q222" s="10"/>
      <c r="R222" s="10"/>
      <c r="S222" s="10" t="str">
        <f>IFERROR(VLOOKUP('Leveranser per nät'!A222,'lev 2012'!$B$2:$E$445,4,FALSE),"")</f>
        <v/>
      </c>
      <c r="T222" s="10" t="str">
        <f>IFERROR(VLOOKUP('Leveranser per nät'!A222,'lev 2013'!$B$2:$E$445,4,FALSE),"")</f>
        <v/>
      </c>
      <c r="U222" s="10" t="str">
        <f>IFERROR(VLOOKUP('Leveranser per nät'!A222,'lev 2014'!$B$2:$E$432,4,FALSE),"")</f>
        <v/>
      </c>
      <c r="V222" s="10" t="str">
        <f>IFERROR(INDEX(Levererat_2015[Leveranser till eget nät],MATCH($A222,Levererat_2015[Indexnamn],0)),"")</f>
        <v/>
      </c>
      <c r="W222" s="10" t="str">
        <f>IFERROR(INDEX(Levererat_2016[Leveranser till eget nät],MATCH($A222,Levererat_2016[Indexnamn],0)),"")</f>
        <v/>
      </c>
      <c r="X222" s="10" t="str">
        <f>IFERROR(INDEX(Tabell4[Leveranser till eget nät],MATCH('Leveranser per nät'!A222,Tabell4[[Finns i listan ]],0)),"")</f>
        <v/>
      </c>
      <c r="Y222" s="10" t="str">
        <f>IFERROR(INDEX(Tabell6[Kolumn1],MATCH($A222,Tabell6[Indexnmamn],0)),"")</f>
        <v/>
      </c>
      <c r="Z222" s="10"/>
      <c r="AA222" s="10" t="s">
        <v>779</v>
      </c>
      <c r="AB222" s="10"/>
      <c r="AC222" s="10"/>
      <c r="AG222" s="2"/>
      <c r="AH222" s="103"/>
    </row>
    <row r="223" spans="1:34" s="65" customFormat="1" x14ac:dyDescent="0.25">
      <c r="A223" s="65" t="s">
        <v>68</v>
      </c>
      <c r="B223" s="65" t="str">
        <f>VLOOKUP(A223,'Korrigerade leveranser GD'!$A$4:$B$482,2,FALSE)</f>
        <v>Upplands-Bro</v>
      </c>
      <c r="C223" s="68">
        <v>52</v>
      </c>
      <c r="D223" s="68">
        <v>47.762</v>
      </c>
      <c r="E223" s="68">
        <v>50.17</v>
      </c>
      <c r="F223" s="68">
        <v>43.957000000000001</v>
      </c>
      <c r="G223" s="68">
        <v>43.9</v>
      </c>
      <c r="H223" s="68">
        <v>50</v>
      </c>
      <c r="I223" s="68">
        <v>46.9</v>
      </c>
      <c r="J223" s="68">
        <v>48.54</v>
      </c>
      <c r="K223" s="68">
        <v>51.161000000000001</v>
      </c>
      <c r="L223" s="68">
        <v>52.49962917586776</v>
      </c>
      <c r="M223" s="68">
        <v>46.17</v>
      </c>
      <c r="N223" s="68">
        <v>46.6</v>
      </c>
      <c r="O223" s="68">
        <v>45.8</v>
      </c>
      <c r="P223" s="68">
        <v>49</v>
      </c>
      <c r="Q223" s="68">
        <v>55.4</v>
      </c>
      <c r="R223" s="68">
        <v>45.7</v>
      </c>
      <c r="S223" s="68">
        <f>IFERROR(VLOOKUP('Leveranser per nät'!A223,'lev 2012'!$B$2:$E$445,4,FALSE),"")</f>
        <v>51</v>
      </c>
      <c r="T223" s="68">
        <f>IFERROR(VLOOKUP('Leveranser per nät'!A223,'lev 2013'!$B$2:$E$445,4,FALSE),"")</f>
        <v>49.2</v>
      </c>
      <c r="U223" s="68">
        <f>IFERROR(VLOOKUP('Leveranser per nät'!A223,'lev 2014'!$B$2:$E$432,4,FALSE),"")</f>
        <v>46.5</v>
      </c>
      <c r="V223" s="68">
        <f>IFERROR(INDEX(Levererat_2015[Leveranser till eget nät],MATCH($A223,Levererat_2015[Indexnamn],0)),"")</f>
        <v>46.6</v>
      </c>
      <c r="W223" s="68">
        <f>IFERROR(INDEX(Levererat_2016[Leveranser till eget nät],MATCH($A223,Levererat_2016[Indexnamn],0)),"")</f>
        <v>48.9</v>
      </c>
      <c r="X223" s="68">
        <f>IFERROR(INDEX(Tabell4[Leveranser till eget nät],MATCH('Leveranser per nät'!A223,Tabell4[[Finns i listan ]],0)),"")</f>
        <v>51.5</v>
      </c>
      <c r="Y223" s="68">
        <f>IFERROR(INDEX(Tabell6[Kolumn1],MATCH($A223,Tabell6[Indexnmamn],0)),"")</f>
        <v>54.2</v>
      </c>
      <c r="Z223" s="68"/>
      <c r="AA223" s="68" t="s">
        <v>779</v>
      </c>
      <c r="AB223" s="10"/>
      <c r="AC223" s="10"/>
      <c r="AE223"/>
      <c r="AG223" s="2"/>
      <c r="AH223" s="103"/>
    </row>
    <row r="224" spans="1:34" x14ac:dyDescent="0.25">
      <c r="A224" t="s">
        <v>209</v>
      </c>
      <c r="B224" t="s">
        <v>209</v>
      </c>
      <c r="C224" s="10">
        <v>26</v>
      </c>
      <c r="D224" s="10">
        <v>24.19</v>
      </c>
      <c r="E224" s="10">
        <v>25</v>
      </c>
      <c r="F224" s="10">
        <v>25</v>
      </c>
      <c r="G224" s="10">
        <v>26</v>
      </c>
      <c r="H224" s="10">
        <v>32.636000000000003</v>
      </c>
      <c r="I224" s="10">
        <v>35</v>
      </c>
      <c r="J224" s="10">
        <v>37.482999999999997</v>
      </c>
      <c r="K224" s="10">
        <v>36.92</v>
      </c>
      <c r="L224" s="10">
        <v>35.506999999999998</v>
      </c>
      <c r="M224" s="10">
        <v>35.75</v>
      </c>
      <c r="N224" s="10">
        <v>36</v>
      </c>
      <c r="O224" s="10">
        <v>36</v>
      </c>
      <c r="P224" s="10">
        <v>38</v>
      </c>
      <c r="Q224" s="10">
        <v>43.2</v>
      </c>
      <c r="R224" s="10">
        <v>36</v>
      </c>
      <c r="S224" s="10">
        <f>IFERROR(VLOOKUP('Leveranser per nät'!A224,'lev 2012'!$B$2:$E$445,4,FALSE),"")</f>
        <v>39</v>
      </c>
      <c r="T224" s="10">
        <f>IFERROR(VLOOKUP('Leveranser per nät'!A224,'lev 2013'!$B$2:$E$445,4,FALSE),"")</f>
        <v>37.200000000000003</v>
      </c>
      <c r="U224" s="10">
        <f>IFERROR(VLOOKUP('Leveranser per nät'!A224,'lev 2014'!$B$2:$E$432,4,FALSE),"")</f>
        <v>34.4</v>
      </c>
      <c r="V224" s="10">
        <f>IFERROR(INDEX(Levererat_2015[Leveranser till eget nät],MATCH($A224,Levererat_2015[Indexnamn],0)),"")</f>
        <v>34.4</v>
      </c>
      <c r="W224" s="10">
        <f>IFERROR(INDEX(Levererat_2016[Leveranser till eget nät],MATCH($A224,Levererat_2016[Indexnamn],0)),"")</f>
        <v>37.6</v>
      </c>
      <c r="X224" s="10">
        <f>IFERROR(INDEX(Tabell4[Leveranser till eget nät],MATCH('Leveranser per nät'!A224,Tabell4[[Finns i listan ]],0)),"")</f>
        <v>38.5</v>
      </c>
      <c r="Y224" s="10">
        <f>IFERROR(INDEX(Tabell6[Kolumn1],MATCH($A224,Tabell6[Indexnmamn],0)),"")</f>
        <v>37.799999999999997</v>
      </c>
      <c r="Z224" s="10">
        <v>38.299999999999997</v>
      </c>
      <c r="AA224" s="10">
        <v>33.799999999999997</v>
      </c>
      <c r="AB224" s="10">
        <f>VLOOKUP(A224,Tabell9[[Indexnamn]:[Kolumn1]],3,FALSE)</f>
        <v>38.700000000000003</v>
      </c>
      <c r="AC224" s="10">
        <f>VLOOKUP($A224,'Lev 2022'!$K$2:$L$474,2,FALSE)</f>
        <v>35.700000000000003</v>
      </c>
      <c r="AG224" s="2">
        <f t="shared" si="9"/>
        <v>-3</v>
      </c>
      <c r="AH224" s="103">
        <f t="shared" si="10"/>
        <v>-7.7519379844961239E-2</v>
      </c>
    </row>
    <row r="225" spans="1:34" x14ac:dyDescent="0.25">
      <c r="A225" t="s">
        <v>173</v>
      </c>
      <c r="B225" t="str">
        <f>VLOOKUP(A225,'Korrigerade leveranser GD'!$A$4:$B$482,2,FALSE)</f>
        <v>Kungälv</v>
      </c>
      <c r="C225" s="10"/>
      <c r="D225" s="10">
        <v>0</v>
      </c>
      <c r="E225" s="10">
        <v>70.912999999999997</v>
      </c>
      <c r="F225" s="10">
        <v>85</v>
      </c>
      <c r="G225" s="10">
        <v>81.076999999999998</v>
      </c>
      <c r="H225" s="10">
        <v>90</v>
      </c>
      <c r="I225" s="10">
        <v>90</v>
      </c>
      <c r="J225" s="10">
        <v>95.24</v>
      </c>
      <c r="K225" s="10">
        <v>97.3</v>
      </c>
      <c r="L225" s="10">
        <v>91</v>
      </c>
      <c r="M225" s="10">
        <v>99</v>
      </c>
      <c r="N225" s="10">
        <v>117.67</v>
      </c>
      <c r="O225" s="10">
        <v>102.20399999999999</v>
      </c>
      <c r="P225" s="10">
        <v>109.97</v>
      </c>
      <c r="Q225" s="10">
        <v>136.654</v>
      </c>
      <c r="R225" s="10">
        <v>110</v>
      </c>
      <c r="S225" s="10">
        <f>IFERROR(VLOOKUP('Leveranser per nät'!A225,'lev 2012'!$B$2:$E$445,4,FALSE),"")</f>
        <v>128</v>
      </c>
      <c r="T225" s="10">
        <f>IFERROR(VLOOKUP('Leveranser per nät'!A225,'lev 2013'!$B$2:$E$445,4,FALSE),"")</f>
        <v>126.7</v>
      </c>
      <c r="U225" s="10">
        <f>IFERROR(VLOOKUP('Leveranser per nät'!A225,'lev 2014'!$B$2:$E$432,4,FALSE),"")</f>
        <v>107</v>
      </c>
      <c r="V225" s="10">
        <f>IFERROR(INDEX(Levererat_2015[Leveranser till eget nät],MATCH($A225,Levererat_2015[Indexnamn],0)),"")</f>
        <v>115.7</v>
      </c>
      <c r="W225" s="10">
        <f>IFERROR(INDEX(Levererat_2016[Leveranser till eget nät],MATCH($A225,Levererat_2016[Indexnamn],0)),"")</f>
        <v>115</v>
      </c>
      <c r="X225" s="10">
        <f>IFERROR(INDEX(Tabell4[Leveranser till eget nät],MATCH('Leveranser per nät'!A225,Tabell4[[Finns i listan ]],0)),"")</f>
        <v>113</v>
      </c>
      <c r="Y225" s="10">
        <f>IFERROR(INDEX(Tabell6[Kolumn1],MATCH($A225,Tabell6[Indexnmamn],0)),"")</f>
        <v>116</v>
      </c>
      <c r="Z225" s="10">
        <v>113.8</v>
      </c>
      <c r="AA225" s="10">
        <v>107.5</v>
      </c>
      <c r="AB225" s="10"/>
      <c r="AC225" s="10"/>
      <c r="AG225" s="2"/>
      <c r="AH225" s="103"/>
    </row>
    <row r="226" spans="1:34" x14ac:dyDescent="0.25">
      <c r="A226" t="s">
        <v>1139</v>
      </c>
      <c r="B226" t="str">
        <f>VLOOKUP(A226,'Korrigerade leveranser GD'!$A$4:$B$482,2,FALSE)</f>
        <v>Kungälv</v>
      </c>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f>VLOOKUP(A226,Tabell9[[Indexnamn]:[Kolumn1]],3,FALSE)</f>
        <v>130</v>
      </c>
      <c r="AC226" s="10">
        <f>VLOOKUP($A226,'Lev 2022'!$K$2:$L$474,2,FALSE)</f>
        <v>113.6</v>
      </c>
      <c r="AG226" s="2">
        <f t="shared" si="9"/>
        <v>-16.400000000000006</v>
      </c>
      <c r="AH226" s="103">
        <f t="shared" si="10"/>
        <v>-0.1261538461538462</v>
      </c>
    </row>
    <row r="227" spans="1:34" s="65" customFormat="1" x14ac:dyDescent="0.25">
      <c r="A227" s="65" t="s">
        <v>656</v>
      </c>
      <c r="B227" s="65" t="str">
        <f>VLOOKUP(A227,'Korrigerade leveranser GD'!$A$4:$B$482,2,FALSE)</f>
        <v>Karlskoga</v>
      </c>
      <c r="C227" s="68"/>
      <c r="D227" s="68"/>
      <c r="E227" s="68"/>
      <c r="F227" s="68"/>
      <c r="G227" s="68"/>
      <c r="H227" s="68"/>
      <c r="I227" s="68"/>
      <c r="J227" s="68"/>
      <c r="K227" s="68"/>
      <c r="L227" s="68"/>
      <c r="M227" s="68"/>
      <c r="N227" s="68">
        <v>4</v>
      </c>
      <c r="O227" s="68"/>
      <c r="P227" s="68"/>
      <c r="Q227" s="68">
        <v>4.57</v>
      </c>
      <c r="R227" s="68">
        <v>3.38</v>
      </c>
      <c r="S227" s="68">
        <v>3.32</v>
      </c>
      <c r="T227" s="68">
        <f>IFERROR(VLOOKUP('Leveranser per nät'!A227,'lev 2013'!$B$2:$E$445,4,FALSE),"")</f>
        <v>2.762</v>
      </c>
      <c r="U227" s="68">
        <f>IFERROR(VLOOKUP('Leveranser per nät'!A227,'lev 2014'!$B$2:$E$432,4,FALSE),"")</f>
        <v>2.33</v>
      </c>
      <c r="V227" s="68">
        <f>IFERROR(INDEX(Levererat_2015[Leveranser till eget nät],MATCH($A227,Levererat_2015[Indexnamn],0)),"")</f>
        <v>2.3199999999999998</v>
      </c>
      <c r="W227" s="68">
        <f>IFERROR(INDEX(Levererat_2016[Leveranser till eget nät],MATCH($A227,Levererat_2016[Indexnamn],0)),"")</f>
        <v>2.57</v>
      </c>
      <c r="X227" s="68">
        <v>2.4900000000000002</v>
      </c>
      <c r="Y227" s="68" t="str">
        <f>IFERROR(INDEX(Tabell6[Kolumn1],MATCH($A227,Tabell6[Indexnmamn],0)),"")</f>
        <v/>
      </c>
      <c r="Z227" s="68"/>
      <c r="AA227" s="68" t="s">
        <v>779</v>
      </c>
      <c r="AB227" s="10"/>
      <c r="AC227" s="10"/>
      <c r="AD227"/>
      <c r="AE227"/>
      <c r="AG227" s="2"/>
      <c r="AH227" s="103"/>
    </row>
    <row r="228" spans="1:34" x14ac:dyDescent="0.25">
      <c r="A228" t="s">
        <v>104</v>
      </c>
      <c r="B228" t="str">
        <f>VLOOKUP(A228,'Korrigerade leveranser GD'!$A$4:$B$482,2,FALSE)</f>
        <v>Eskilstuna</v>
      </c>
      <c r="C228" s="10"/>
      <c r="D228" s="10"/>
      <c r="E228" s="10"/>
      <c r="F228" s="10"/>
      <c r="G228" s="10"/>
      <c r="H228" s="10"/>
      <c r="I228" s="10"/>
      <c r="J228" s="10"/>
      <c r="K228" s="10"/>
      <c r="L228" s="10">
        <v>0</v>
      </c>
      <c r="M228" s="10">
        <v>0.78800000000000003</v>
      </c>
      <c r="N228" s="10">
        <v>0.83099999999999996</v>
      </c>
      <c r="O228" s="10">
        <v>0.78900000000000003</v>
      </c>
      <c r="P228" s="10">
        <v>0.78900000000000003</v>
      </c>
      <c r="Q228" s="10">
        <v>0.93700000000000006</v>
      </c>
      <c r="R228" s="10">
        <v>1.012</v>
      </c>
      <c r="S228" s="10">
        <f>IFERROR(VLOOKUP('Leveranser per nät'!A228,'lev 2012'!$B$2:$E$445,4,FALSE),"")</f>
        <v>0.9</v>
      </c>
      <c r="T228" s="10">
        <f>IFERROR(VLOOKUP('Leveranser per nät'!A228,'lev 2013'!$B$2:$E$445,4,FALSE),"")</f>
        <v>0.9</v>
      </c>
      <c r="U228" s="10">
        <f>IFERROR(VLOOKUP('Leveranser per nät'!A228,'lev 2014'!$B$2:$E$432,4,FALSE),"")</f>
        <v>0.8</v>
      </c>
      <c r="V228" s="10">
        <f>IFERROR(INDEX(Levererat_2015[Leveranser till eget nät],MATCH($A228,Levererat_2015[Indexnamn],0)),"")</f>
        <v>0.8</v>
      </c>
      <c r="W228" s="10">
        <f>IFERROR(INDEX(Levererat_2016[Leveranser till eget nät],MATCH($A228,Levererat_2016[Indexnamn],0)),"")</f>
        <v>0.8</v>
      </c>
      <c r="X228" s="10">
        <f>IFERROR(INDEX(Tabell4[Leveranser till eget nät],MATCH('Leveranser per nät'!A228,Tabell4[[Finns i listan ]],0)),"")</f>
        <v>0.77600000000000002</v>
      </c>
      <c r="Y228" s="10">
        <f>IFERROR(INDEX(Tabell6[Kolumn1],MATCH($A228,Tabell6[Indexnmamn],0)),"")</f>
        <v>0.76939999999999997</v>
      </c>
      <c r="Z228" s="10">
        <v>0.77500000000000002</v>
      </c>
      <c r="AA228" s="10">
        <v>0.69499999999999995</v>
      </c>
      <c r="AB228" s="10">
        <f>VLOOKUP(A228,Tabell9[[Indexnamn]:[Kolumn1]],3,FALSE)</f>
        <v>0.8</v>
      </c>
      <c r="AC228" s="10">
        <f>VLOOKUP($A228,'Lev 2022'!$K$2:$L$474,2,FALSE)</f>
        <v>0.70699999999999996</v>
      </c>
      <c r="AG228" s="2">
        <f t="shared" si="9"/>
        <v>-9.3000000000000083E-2</v>
      </c>
      <c r="AH228" s="103">
        <f t="shared" si="10"/>
        <v>-0.1162500000000001</v>
      </c>
    </row>
    <row r="229" spans="1:34" x14ac:dyDescent="0.25">
      <c r="A229" t="s">
        <v>291</v>
      </c>
      <c r="B229" t="str">
        <f>VLOOKUP(A229,'Korrigerade leveranser GD'!$A$4:$B$482,2,FALSE)</f>
        <v>Sundsvall</v>
      </c>
      <c r="C229" s="10"/>
      <c r="D229" s="10"/>
      <c r="E229" s="10"/>
      <c r="F229" s="10"/>
      <c r="G229" s="10"/>
      <c r="H229" s="10"/>
      <c r="I229" s="10"/>
      <c r="J229" s="10"/>
      <c r="K229" s="10"/>
      <c r="L229" s="10">
        <v>0</v>
      </c>
      <c r="M229" s="10">
        <v>20.271999999999998</v>
      </c>
      <c r="N229" s="10">
        <v>21.082999999999998</v>
      </c>
      <c r="O229" s="10">
        <v>21.465</v>
      </c>
      <c r="P229" s="10">
        <v>23.12</v>
      </c>
      <c r="Q229" s="10">
        <v>27.003</v>
      </c>
      <c r="R229" s="10">
        <v>27.5</v>
      </c>
      <c r="S229" s="10">
        <f>IFERROR(VLOOKUP('Leveranser per nät'!A229,'lev 2012'!$B$2:$E$445,4,FALSE),"")</f>
        <v>24</v>
      </c>
      <c r="T229" s="10">
        <f>IFERROR(VLOOKUP('Leveranser per nät'!A229,'lev 2013'!$B$2:$E$445,4,FALSE),"")</f>
        <v>22.852</v>
      </c>
      <c r="U229" s="10">
        <f>IFERROR(VLOOKUP('Leveranser per nät'!A229,'lev 2014'!$B$2:$E$432,4,FALSE),"")</f>
        <v>21.4</v>
      </c>
      <c r="V229" s="10">
        <f>IFERROR(INDEX(Levererat_2015[Leveranser till eget nät],MATCH($A229,Levererat_2015[Indexnamn],0)),"")</f>
        <v>21.366</v>
      </c>
      <c r="W229" s="10">
        <f>IFERROR(INDEX(Levererat_2016[Leveranser till eget nät],MATCH($A229,Levererat_2016[Indexnamn],0)),"")</f>
        <v>22.416</v>
      </c>
      <c r="X229" s="10">
        <f>IFERROR(INDEX(Tabell4[Leveranser till eget nät],MATCH('Leveranser per nät'!A229,Tabell4[[Finns i listan ]],0)),"")</f>
        <v>22.17</v>
      </c>
      <c r="Y229" s="10">
        <f>IFERROR(INDEX(Tabell6[Kolumn1],MATCH($A229,Tabell6[Indexnmamn],0)),"")</f>
        <v>22.38</v>
      </c>
      <c r="Z229" s="10">
        <v>20.495999999999999</v>
      </c>
      <c r="AA229" s="10">
        <v>17.099</v>
      </c>
      <c r="AB229" s="10">
        <f>VLOOKUP(A229,Tabell9[[Indexnamn]:[Kolumn1]],3,FALSE)</f>
        <v>20.446999999999999</v>
      </c>
      <c r="AC229" s="10">
        <f>VLOOKUP($A229,'Lev 2022'!$K$2:$L$474,2,FALSE)</f>
        <v>18.824069999999999</v>
      </c>
      <c r="AG229" s="2">
        <f t="shared" si="9"/>
        <v>-1.6229300000000002</v>
      </c>
      <c r="AH229" s="103">
        <f t="shared" si="10"/>
        <v>-7.9372524086663093E-2</v>
      </c>
    </row>
    <row r="230" spans="1:34" x14ac:dyDescent="0.25">
      <c r="A230" t="s">
        <v>182</v>
      </c>
      <c r="B230" t="str">
        <f>VLOOKUP(A230,'Korrigerade leveranser GD'!$A$4:$B$482,2,FALSE)</f>
        <v>Skara</v>
      </c>
      <c r="C230" s="10"/>
      <c r="D230" s="10"/>
      <c r="E230" s="10"/>
      <c r="F230" s="10"/>
      <c r="G230" s="10"/>
      <c r="H230" s="10"/>
      <c r="I230" s="10"/>
      <c r="J230" s="10"/>
      <c r="K230" s="10"/>
      <c r="L230" s="10">
        <v>0</v>
      </c>
      <c r="M230" s="10">
        <v>10.286</v>
      </c>
      <c r="N230" s="10">
        <v>10.286</v>
      </c>
      <c r="O230" s="56">
        <f>N230+(P230-N230)/2</f>
        <v>12.023</v>
      </c>
      <c r="P230" s="10">
        <v>13.76</v>
      </c>
      <c r="Q230" s="10">
        <v>15.333</v>
      </c>
      <c r="R230" s="10">
        <v>12.795999999999999</v>
      </c>
      <c r="S230" s="10">
        <f>IFERROR(VLOOKUP('Leveranser per nät'!A230,'lev 2012'!$B$2:$E$445,4,FALSE),"")</f>
        <v>13.33</v>
      </c>
      <c r="T230" s="10">
        <f>IFERROR(VLOOKUP('Leveranser per nät'!A230,'lev 2013'!$B$2:$E$445,4,FALSE),"")</f>
        <v>12.659000000000001</v>
      </c>
      <c r="U230" s="10">
        <f>IFERROR(VLOOKUP('Leveranser per nät'!A230,'lev 2014'!$B$2:$E$432,4,FALSE),"")</f>
        <v>11.792999999999999</v>
      </c>
      <c r="V230" s="10">
        <f>IFERROR(INDEX(Levererat_2015[Leveranser till eget nät],MATCH($A230,Levererat_2015[Indexnamn],0)),"")</f>
        <v>12.781000000000001</v>
      </c>
      <c r="W230" s="10">
        <f>IFERROR(INDEX(Levererat_2016[Leveranser till eget nät],MATCH($A230,Levererat_2016[Indexnamn],0)),"")</f>
        <v>12.9</v>
      </c>
      <c r="X230" s="10">
        <f>IFERROR(INDEX(Tabell4[Leveranser till eget nät],MATCH('Leveranser per nät'!A230,Tabell4[[Finns i listan ]],0)),"")</f>
        <v>13.7</v>
      </c>
      <c r="Y230" s="10">
        <f>IFERROR(INDEX(Tabell6[Kolumn1],MATCH($A230,Tabell6[Indexnmamn],0)),"")</f>
        <v>11.65</v>
      </c>
      <c r="Z230" s="10">
        <v>11.59</v>
      </c>
      <c r="AA230" s="10">
        <v>10.44</v>
      </c>
      <c r="AB230" s="10">
        <f>VLOOKUP(A230,Tabell9[[Indexnamn]:[Kolumn1]],3,FALSE)</f>
        <v>13.37</v>
      </c>
      <c r="AC230" s="10">
        <f>VLOOKUP($A230,'Lev 2022'!$K$2:$L$474,2,FALSE)</f>
        <v>12.96</v>
      </c>
      <c r="AG230" s="2">
        <f t="shared" si="9"/>
        <v>-0.40999999999999837</v>
      </c>
      <c r="AH230" s="103">
        <f t="shared" si="10"/>
        <v>-3.0665669409124786E-2</v>
      </c>
    </row>
    <row r="231" spans="1:34" s="65" customFormat="1" x14ac:dyDescent="0.25">
      <c r="A231" s="65" t="s">
        <v>478</v>
      </c>
      <c r="B231" t="s">
        <v>160</v>
      </c>
      <c r="C231" s="68">
        <v>0</v>
      </c>
      <c r="D231" s="68">
        <v>0.21</v>
      </c>
      <c r="E231" s="68">
        <v>0</v>
      </c>
      <c r="F231" s="68"/>
      <c r="G231" s="68"/>
      <c r="H231" s="68"/>
      <c r="I231" s="68"/>
      <c r="J231" s="68"/>
      <c r="K231" s="68"/>
      <c r="L231" s="68"/>
      <c r="M231" s="68"/>
      <c r="N231" s="68"/>
      <c r="O231" s="68"/>
      <c r="P231" s="68"/>
      <c r="Q231" s="68"/>
      <c r="R231" s="68"/>
      <c r="S231" s="68" t="str">
        <f>IFERROR(VLOOKUP('Leveranser per nät'!A231,'lev 2012'!$B$2:$E$445,4,FALSE),"")</f>
        <v/>
      </c>
      <c r="T231" s="68" t="str">
        <f>IFERROR(VLOOKUP('Leveranser per nät'!A231,'lev 2013'!$B$2:$E$445,4,FALSE),"")</f>
        <v/>
      </c>
      <c r="U231" s="68" t="str">
        <f>IFERROR(VLOOKUP('Leveranser per nät'!A231,'lev 2014'!$B$2:$E$432,4,FALSE),"")</f>
        <v/>
      </c>
      <c r="V231" s="68" t="str">
        <f>IFERROR(INDEX(Levererat_2015[Leveranser till eget nät],MATCH($A231,Levererat_2015[Indexnamn],0)),"")</f>
        <v/>
      </c>
      <c r="W231" s="68" t="str">
        <f>IFERROR(INDEX(Levererat_2016[Leveranser till eget nät],MATCH($A231,Levererat_2016[Indexnamn],0)),"")</f>
        <v/>
      </c>
      <c r="X231" s="68" t="str">
        <f>IFERROR(INDEX(Tabell4[Leveranser till eget nät],MATCH('Leveranser per nät'!A231,Tabell4[[Finns i listan ]],0)),"")</f>
        <v/>
      </c>
      <c r="Y231" s="68" t="str">
        <f>IFERROR(INDEX(Tabell6[Kolumn1],MATCH($A231,Tabell6[Indexnmamn],0)),"")</f>
        <v/>
      </c>
      <c r="Z231" s="68"/>
      <c r="AA231" s="68" t="s">
        <v>779</v>
      </c>
      <c r="AB231" s="10"/>
      <c r="AC231" s="10"/>
      <c r="AD231"/>
      <c r="AE231"/>
      <c r="AG231" s="2"/>
      <c r="AH231" s="103"/>
    </row>
    <row r="232" spans="1:34" x14ac:dyDescent="0.25">
      <c r="A232" t="s">
        <v>269</v>
      </c>
      <c r="B232" t="str">
        <f>VLOOKUP(A232,'Korrigerade leveranser GD'!$A$4:$B$482,2,FALSE)</f>
        <v>Skellefteå</v>
      </c>
      <c r="C232" s="10"/>
      <c r="D232" s="10"/>
      <c r="E232" s="10"/>
      <c r="F232" s="10"/>
      <c r="G232" s="10">
        <v>0</v>
      </c>
      <c r="H232" s="10">
        <v>5.1970000000000001</v>
      </c>
      <c r="I232" s="10">
        <v>5</v>
      </c>
      <c r="J232" s="10">
        <v>5</v>
      </c>
      <c r="K232" s="10">
        <v>5.2149999999999999</v>
      </c>
      <c r="L232" s="10">
        <v>4.9814999999999996</v>
      </c>
      <c r="M232" s="10">
        <v>4.9790000000000001</v>
      </c>
      <c r="N232" s="10">
        <v>4.7880000000000003</v>
      </c>
      <c r="O232" s="10">
        <v>4.899</v>
      </c>
      <c r="P232" s="10">
        <v>5.4450000000000003</v>
      </c>
      <c r="Q232" s="10">
        <v>5.4889999999999999</v>
      </c>
      <c r="R232" s="10">
        <v>4.6390000000000002</v>
      </c>
      <c r="S232" s="10">
        <f>IFERROR(VLOOKUP('Leveranser per nät'!A232,'lev 2012'!$B$2:$E$445,4,FALSE),"")</f>
        <v>5.18</v>
      </c>
      <c r="T232" s="10">
        <f>IFERROR(VLOOKUP('Leveranser per nät'!A232,'lev 2013'!$B$2:$E$445,4,FALSE),"")</f>
        <v>4.9080000000000004</v>
      </c>
      <c r="U232" s="10">
        <f>IFERROR(VLOOKUP('Leveranser per nät'!A232,'lev 2014'!$B$2:$E$432,4,FALSE),"")</f>
        <v>4.8730000000000002</v>
      </c>
      <c r="V232" s="10">
        <f>IFERROR(INDEX(Levererat_2015[Leveranser till eget nät],MATCH($A232,Levererat_2015[Indexnamn],0)),"")</f>
        <v>4.6079999999999997</v>
      </c>
      <c r="W232" s="10">
        <f>IFERROR(INDEX(Levererat_2016[Leveranser till eget nät],MATCH($A232,Levererat_2016[Indexnamn],0)),"")</f>
        <v>5.1639999999999997</v>
      </c>
      <c r="X232" s="10">
        <f>IFERROR(INDEX(Tabell4[Leveranser till eget nät],MATCH('Leveranser per nät'!A232,Tabell4[[Finns i listan ]],0)),"")</f>
        <v>5.29</v>
      </c>
      <c r="Y232" s="10">
        <f>IFERROR(INDEX(Tabell6[Kolumn1],MATCH($A232,Tabell6[Indexnmamn],0)),"")</f>
        <v>5.27</v>
      </c>
      <c r="Z232" s="10">
        <v>5.4980000000000002</v>
      </c>
      <c r="AA232" s="10">
        <v>4.8719999999999999</v>
      </c>
      <c r="AB232" s="10">
        <f>VLOOKUP(A232,Tabell9[[Indexnamn]:[Kolumn1]],3,FALSE)</f>
        <v>5.3026999999999997</v>
      </c>
      <c r="AC232" s="10">
        <f>VLOOKUP($A232,'Lev 2022'!$K$2:$L$474,2,FALSE)</f>
        <v>5.4922000000000004</v>
      </c>
      <c r="AG232" s="2">
        <f t="shared" si="9"/>
        <v>0.18950000000000067</v>
      </c>
      <c r="AH232" s="103">
        <f t="shared" si="10"/>
        <v>3.5736511588436208E-2</v>
      </c>
    </row>
    <row r="233" spans="1:34" s="65" customFormat="1" x14ac:dyDescent="0.25">
      <c r="A233" s="65" t="s">
        <v>32</v>
      </c>
      <c r="B233" s="65" t="str">
        <f>VLOOKUP(A233,'Korrigerade leveranser GD'!$A$4:$B$482,2,FALSE)</f>
        <v>Hammarstrand</v>
      </c>
      <c r="C233" s="68"/>
      <c r="D233" s="68"/>
      <c r="E233" s="68"/>
      <c r="F233" s="68"/>
      <c r="G233" s="68"/>
      <c r="H233" s="68"/>
      <c r="I233" s="68"/>
      <c r="J233" s="68"/>
      <c r="K233" s="68"/>
      <c r="L233" s="68">
        <v>0</v>
      </c>
      <c r="M233" s="68">
        <v>3.0230000000000001</v>
      </c>
      <c r="N233" s="68">
        <v>3.74</v>
      </c>
      <c r="O233" s="68">
        <v>3.74</v>
      </c>
      <c r="P233" s="68"/>
      <c r="Q233" s="68"/>
      <c r="R233" s="68"/>
      <c r="S233" s="68" t="str">
        <f>IFERROR(VLOOKUP('Leveranser per nät'!A233,'lev 2012'!$B$2:$E$445,4,FALSE),"")</f>
        <v/>
      </c>
      <c r="T233" s="68" t="str">
        <f>IFERROR(VLOOKUP('Leveranser per nät'!A233,'lev 2013'!$B$2:$E$445,4,FALSE),"")</f>
        <v/>
      </c>
      <c r="U233" s="68" t="str">
        <f>IFERROR(VLOOKUP('Leveranser per nät'!A233,'lev 2014'!$B$2:$E$432,4,FALSE),"")</f>
        <v/>
      </c>
      <c r="V233" s="68" t="str">
        <f>IFERROR(INDEX(Levererat_2015[Leveranser till eget nät],MATCH($A233,Levererat_2015[Indexnamn],0)),"")</f>
        <v/>
      </c>
      <c r="W233" s="68" t="str">
        <f>IFERROR(INDEX(Levererat_2016[Leveranser till eget nät],MATCH($A233,Levererat_2016[Indexnamn],0)),"")</f>
        <v/>
      </c>
      <c r="X233" s="68" t="str">
        <f>IFERROR(INDEX(Tabell4[Leveranser till eget nät],MATCH('Leveranser per nät'!A233,Tabell4[[Finns i listan ]],0)),"")</f>
        <v/>
      </c>
      <c r="Y233" s="68" t="str">
        <f>IFERROR(INDEX(Tabell6[Kolumn1],MATCH($A233,Tabell6[Indexnmamn],0)),"")</f>
        <v/>
      </c>
      <c r="Z233" s="68"/>
      <c r="AA233" s="68" t="s">
        <v>779</v>
      </c>
      <c r="AB233" s="10"/>
      <c r="AC233" s="10"/>
      <c r="AD233"/>
      <c r="AE233"/>
      <c r="AG233" s="2"/>
      <c r="AH233" s="103"/>
    </row>
    <row r="234" spans="1:34" s="65" customFormat="1" x14ac:dyDescent="0.25">
      <c r="A234" s="65" t="s">
        <v>174</v>
      </c>
      <c r="B234" s="65" t="str">
        <f>VLOOKUP(A234,'Korrigerade leveranser GD'!$A$4:$B$482,2,FALSE)</f>
        <v>Köping</v>
      </c>
      <c r="C234" s="68">
        <v>230</v>
      </c>
      <c r="D234" s="68">
        <v>189.2</v>
      </c>
      <c r="E234" s="68">
        <v>208</v>
      </c>
      <c r="F234" s="68">
        <v>193</v>
      </c>
      <c r="G234" s="68">
        <v>175</v>
      </c>
      <c r="H234" s="68">
        <v>194</v>
      </c>
      <c r="I234" s="68">
        <v>198</v>
      </c>
      <c r="J234" s="68">
        <v>186</v>
      </c>
      <c r="K234" s="68">
        <v>186.43700000000001</v>
      </c>
      <c r="L234" s="68">
        <v>184.43199999999999</v>
      </c>
      <c r="M234" s="68">
        <v>180.34</v>
      </c>
      <c r="N234" s="68">
        <v>183.851</v>
      </c>
      <c r="O234" s="68">
        <v>177.79599999999999</v>
      </c>
      <c r="P234" s="68">
        <v>194.738</v>
      </c>
      <c r="Q234" s="68">
        <v>226.83600000000001</v>
      </c>
      <c r="R234" s="68">
        <v>186.82300000000001</v>
      </c>
      <c r="S234" s="68">
        <f>IFERROR(VLOOKUP('Leveranser per nät'!A234,'lev 2012'!$B$2:$E$445,4,FALSE),"")</f>
        <v>207</v>
      </c>
      <c r="T234" s="68">
        <f>IFERROR(VLOOKUP('Leveranser per nät'!A234,'lev 2013'!$B$2:$E$445,4,FALSE),"")</f>
        <v>198.65</v>
      </c>
      <c r="U234" s="68">
        <f>IFERROR(VLOOKUP('Leveranser per nät'!A234,'lev 2014'!$B$2:$E$432,4,FALSE),"")</f>
        <v>184.899</v>
      </c>
      <c r="V234" s="68">
        <f>IFERROR(INDEX(Levererat_2015[Leveranser till eget nät],MATCH($A234,Levererat_2015[Indexnamn],0)),"")</f>
        <v>188.227</v>
      </c>
      <c r="W234" s="68">
        <f>IFERROR(INDEX(Levererat_2016[Leveranser till eget nät],MATCH($A234,Levererat_2016[Indexnamn],0)),"")</f>
        <v>196.21700000000001</v>
      </c>
      <c r="X234" s="68" t="str">
        <f>IFERROR(INDEX(Tabell4[Leveranser till eget nät],MATCH('Leveranser per nät'!A234,Tabell4[[Finns i listan ]],0)),"")</f>
        <v/>
      </c>
      <c r="Y234" s="68" t="str">
        <f>IFERROR(INDEX(Tabell6[Kolumn1],MATCH($A234,Tabell6[Indexnmamn],0)),"")</f>
        <v/>
      </c>
      <c r="Z234" s="68"/>
      <c r="AA234" s="68" t="s">
        <v>779</v>
      </c>
      <c r="AB234" s="10"/>
      <c r="AC234" s="10"/>
      <c r="AD234"/>
      <c r="AE234"/>
      <c r="AG234" s="2"/>
      <c r="AH234" s="103"/>
    </row>
    <row r="235" spans="1:34" s="77" customFormat="1" x14ac:dyDescent="0.25">
      <c r="A235" s="77" t="s">
        <v>86</v>
      </c>
      <c r="B235" s="77" t="str">
        <f>VLOOKUP(A235,'Korrigerade leveranser GD'!$A$4:$B$482,2,FALSE)</f>
        <v>Ljungby</v>
      </c>
      <c r="C235" s="69"/>
      <c r="D235" s="69"/>
      <c r="E235" s="69"/>
      <c r="F235" s="69"/>
      <c r="G235" s="69"/>
      <c r="H235" s="69"/>
      <c r="I235" s="69"/>
      <c r="J235" s="69"/>
      <c r="K235" s="69">
        <v>0</v>
      </c>
      <c r="L235" s="69">
        <v>14.380125305437653</v>
      </c>
      <c r="M235" s="69">
        <v>8.5879999999999992</v>
      </c>
      <c r="N235" s="69">
        <v>9.1999999999999993</v>
      </c>
      <c r="O235" s="69">
        <v>8.7799999999999994</v>
      </c>
      <c r="P235" s="69">
        <v>9.8030000000000008</v>
      </c>
      <c r="Q235" s="69">
        <v>11</v>
      </c>
      <c r="R235" s="69">
        <v>9.4684628310000001</v>
      </c>
      <c r="S235" s="69">
        <f>IFERROR(VLOOKUP('Leveranser per nät'!A235,'lev 2012'!$B$2:$E$445,4,FALSE),"")</f>
        <v>10.33</v>
      </c>
      <c r="T235" s="69">
        <f>IFERROR(VLOOKUP('Leveranser per nät'!A235,'lev 2013'!$B$2:$E$445,4,FALSE),"")</f>
        <v>10.039999999999999</v>
      </c>
      <c r="U235" s="69">
        <v>10</v>
      </c>
      <c r="V235" s="69">
        <v>10</v>
      </c>
      <c r="W235" s="69">
        <v>10</v>
      </c>
      <c r="X235" s="69">
        <v>10</v>
      </c>
      <c r="Y235" s="69">
        <v>9.8000000000000007</v>
      </c>
      <c r="Z235" s="69">
        <v>9.9</v>
      </c>
      <c r="AA235" s="58">
        <v>9.6999999999999993</v>
      </c>
      <c r="AB235" s="10">
        <f>VLOOKUP(A235,Tabell9[[Indexnamn]:[Kolumn1]],3,FALSE)</f>
        <v>10.9</v>
      </c>
      <c r="AC235" s="10">
        <f>VLOOKUP($A235,'Lev 2022'!$K$2:$L$474,2,FALSE)</f>
        <v>10.1</v>
      </c>
      <c r="AD235"/>
      <c r="AE235"/>
      <c r="AG235" s="2">
        <f t="shared" si="9"/>
        <v>-0.80000000000000071</v>
      </c>
      <c r="AH235" s="103">
        <f t="shared" si="10"/>
        <v>-7.3394495412844096E-2</v>
      </c>
    </row>
    <row r="236" spans="1:34" s="77" customFormat="1" x14ac:dyDescent="0.25">
      <c r="A236" s="77" t="s">
        <v>76</v>
      </c>
      <c r="B236" s="77" t="str">
        <f>VLOOKUP(A236,'Korrigerade leveranser GD'!$A$4:$B$482,2,FALSE)</f>
        <v>Värnamo</v>
      </c>
      <c r="C236" s="69"/>
      <c r="D236" s="69"/>
      <c r="E236" s="69"/>
      <c r="F236" s="69"/>
      <c r="G236" s="69"/>
      <c r="H236" s="69"/>
      <c r="I236" s="69"/>
      <c r="J236" s="69"/>
      <c r="K236" s="69">
        <v>0</v>
      </c>
      <c r="L236" s="69">
        <v>12.457631225531426</v>
      </c>
      <c r="M236" s="69">
        <v>9.4260000000000002</v>
      </c>
      <c r="N236" s="69">
        <v>12</v>
      </c>
      <c r="O236" s="69">
        <v>12.151</v>
      </c>
      <c r="P236" s="69">
        <v>13.618</v>
      </c>
      <c r="Q236" s="69">
        <v>15</v>
      </c>
      <c r="R236" s="69">
        <v>13.377051998999999</v>
      </c>
      <c r="S236" s="69">
        <f>IFERROR(VLOOKUP('Leveranser per nät'!A236,'lev 2012'!$B$2:$E$445,4,FALSE),"")</f>
        <v>14.03</v>
      </c>
      <c r="T236" s="69">
        <f>IFERROR(VLOOKUP('Leveranser per nät'!A236,'lev 2013'!$B$2:$E$445,4,FALSE),"")</f>
        <v>13.84</v>
      </c>
      <c r="U236" s="69">
        <v>14</v>
      </c>
      <c r="V236" s="69">
        <v>13.4</v>
      </c>
      <c r="W236" s="69">
        <v>14.1</v>
      </c>
      <c r="X236" s="69">
        <v>14.1</v>
      </c>
      <c r="Y236" s="69">
        <v>14.2</v>
      </c>
      <c r="Z236" s="69">
        <v>13.3</v>
      </c>
      <c r="AA236" s="58">
        <v>12.2</v>
      </c>
      <c r="AB236" s="10">
        <f>VLOOKUP(A236,Tabell9[[Indexnamn]:[Kolumn1]],3,FALSE)</f>
        <v>13.9</v>
      </c>
      <c r="AC236" s="10">
        <f>VLOOKUP($A236,'Lev 2022'!$K$2:$L$474,2,FALSE)</f>
        <v>13.3</v>
      </c>
      <c r="AD236"/>
      <c r="AE236"/>
      <c r="AG236" s="2">
        <f t="shared" si="9"/>
        <v>-0.59999999999999964</v>
      </c>
      <c r="AH236" s="103">
        <f t="shared" si="10"/>
        <v>-4.3165467625899255E-2</v>
      </c>
    </row>
    <row r="237" spans="1:34" x14ac:dyDescent="0.25">
      <c r="A237" t="s">
        <v>176</v>
      </c>
      <c r="B237" t="str">
        <f>VLOOKUP(A237,'Korrigerade leveranser GD'!$A$4:$B$482,2,FALSE)</f>
        <v>Landskrona</v>
      </c>
      <c r="C237" s="10">
        <v>274</v>
      </c>
      <c r="D237" s="10">
        <v>251.28</v>
      </c>
      <c r="E237" s="10">
        <v>246</v>
      </c>
      <c r="F237" s="10">
        <v>250</v>
      </c>
      <c r="G237" s="10">
        <v>239</v>
      </c>
      <c r="H237" s="10">
        <v>264</v>
      </c>
      <c r="I237" s="10">
        <v>264</v>
      </c>
      <c r="J237" s="10">
        <v>274</v>
      </c>
      <c r="K237" s="10">
        <v>269.91699999999997</v>
      </c>
      <c r="L237" s="10">
        <v>264.96600000000001</v>
      </c>
      <c r="M237" s="10">
        <v>258.08600000000001</v>
      </c>
      <c r="N237" s="10">
        <v>257.81299999999999</v>
      </c>
      <c r="O237" s="10">
        <v>256.863</v>
      </c>
      <c r="P237" s="10">
        <v>275.14499999999998</v>
      </c>
      <c r="Q237" s="10">
        <v>352.375</v>
      </c>
      <c r="R237" s="10">
        <v>271.87700000000001</v>
      </c>
      <c r="S237" s="10">
        <f>IFERROR(VLOOKUP('Leveranser per nät'!A237,'lev 2012'!$B$2:$E$445,4,FALSE),"")</f>
        <v>280.64999999999998</v>
      </c>
      <c r="T237" s="10">
        <f>IFERROR(VLOOKUP('Leveranser per nät'!A237,'lev 2013'!$B$2:$E$445,4,FALSE),"")</f>
        <v>270.67599999999999</v>
      </c>
      <c r="U237" s="10">
        <f>IFERROR(VLOOKUP('Leveranser per nät'!A237,'lev 2014'!$B$2:$E$432,4,FALSE),"")</f>
        <v>209.98400000000001</v>
      </c>
      <c r="V237" s="10">
        <f>IFERROR(INDEX(Levererat_2015[Leveranser till eget nät],MATCH($A237,Levererat_2015[Indexnamn],0)),"")</f>
        <v>244.40000000000003</v>
      </c>
      <c r="W237" s="10">
        <f>IFERROR(INDEX(Levererat_2016[Leveranser till eget nät],MATCH($A237,Levererat_2016[Indexnamn],0)),"")</f>
        <v>253.417</v>
      </c>
      <c r="X237" s="10">
        <f>IFERROR(INDEX(Tabell4[Leveranser till eget nät],MATCH('Leveranser per nät'!A237,Tabell4[[Finns i listan ]],0)),"")</f>
        <v>270.67</v>
      </c>
      <c r="Y237" s="10">
        <f>IFERROR(INDEX(Tabell6[Kolumn1],MATCH($A237,Tabell6[Indexnmamn],0)),"")</f>
        <v>222.5</v>
      </c>
      <c r="Z237" s="10">
        <v>196.6</v>
      </c>
      <c r="AA237" s="58">
        <v>296.7</v>
      </c>
      <c r="AB237" s="10">
        <f>VLOOKUP(A237,Tabell9[[Indexnamn]:[Kolumn1]],3,FALSE)</f>
        <v>278.59000000000003</v>
      </c>
      <c r="AC237" s="10">
        <f>VLOOKUP($A237,'Lev 2022'!$K$2:$L$474,2,FALSE)</f>
        <v>278.97399999999999</v>
      </c>
      <c r="AG237" s="2">
        <f t="shared" si="9"/>
        <v>0.38399999999995771</v>
      </c>
      <c r="AH237" s="103">
        <f t="shared" si="10"/>
        <v>1.3783696471515764E-3</v>
      </c>
    </row>
    <row r="238" spans="1:34" s="77" customFormat="1" x14ac:dyDescent="0.25">
      <c r="A238" s="77" t="s">
        <v>83</v>
      </c>
      <c r="B238" s="77" t="str">
        <f>VLOOKUP(A238,'Korrigerade leveranser GD'!$A$4:$B$482,2,FALSE)</f>
        <v>Göteborg</v>
      </c>
      <c r="C238" s="69"/>
      <c r="D238" s="69"/>
      <c r="E238" s="69"/>
      <c r="F238" s="69"/>
      <c r="G238" s="69"/>
      <c r="H238" s="69"/>
      <c r="I238" s="69"/>
      <c r="J238" s="69"/>
      <c r="K238" s="69">
        <v>0</v>
      </c>
      <c r="L238" s="69">
        <v>19.051057784486254</v>
      </c>
      <c r="M238" s="69">
        <v>12.57</v>
      </c>
      <c r="N238" s="69">
        <v>12.57</v>
      </c>
      <c r="O238" s="69">
        <v>13.624000000000001</v>
      </c>
      <c r="P238" s="69">
        <v>13.946</v>
      </c>
      <c r="Q238" s="69">
        <v>16</v>
      </c>
      <c r="R238" s="69">
        <v>14.141922440000002</v>
      </c>
      <c r="S238" s="69">
        <f>IFERROR(VLOOKUP('Leveranser per nät'!A238,'lev 2012'!$B$2:$E$445,4,FALSE),"")</f>
        <v>14.9</v>
      </c>
      <c r="T238" s="69">
        <f>IFERROR(VLOOKUP('Leveranser per nät'!A238,'lev 2013'!$B$2:$E$445,4,FALSE),"")</f>
        <v>15.55</v>
      </c>
      <c r="U238" s="69">
        <v>18</v>
      </c>
      <c r="V238" s="69">
        <v>14.6</v>
      </c>
      <c r="W238" s="69">
        <v>15.4</v>
      </c>
      <c r="X238" s="69">
        <v>15.2</v>
      </c>
      <c r="Y238" s="69">
        <v>15.4</v>
      </c>
      <c r="Z238" s="69">
        <v>15</v>
      </c>
      <c r="AA238" s="58">
        <v>14.48</v>
      </c>
      <c r="AB238" s="10">
        <f>VLOOKUP(A238,Tabell9[[Indexnamn]:[Kolumn1]],3,FALSE)</f>
        <v>16.591000000000001</v>
      </c>
      <c r="AC238" s="10">
        <f>VLOOKUP($A238,'Lev 2022'!$K$2:$L$474,2,FALSE)</f>
        <v>14.887</v>
      </c>
      <c r="AD238"/>
      <c r="AE238"/>
      <c r="AG238" s="2">
        <f t="shared" si="9"/>
        <v>-1.7040000000000006</v>
      </c>
      <c r="AH238" s="103">
        <f t="shared" si="10"/>
        <v>-0.1027062865408957</v>
      </c>
    </row>
    <row r="239" spans="1:34" x14ac:dyDescent="0.25">
      <c r="A239" t="s">
        <v>184</v>
      </c>
      <c r="B239" t="str">
        <f>VLOOKUP(A239,'Korrigerade leveranser GD'!$A$4:$B$482,2,FALSE)</f>
        <v>Laxå</v>
      </c>
      <c r="C239" s="10">
        <v>31</v>
      </c>
      <c r="D239" s="10">
        <v>30.04</v>
      </c>
      <c r="E239" s="10">
        <v>32</v>
      </c>
      <c r="F239" s="10">
        <v>31</v>
      </c>
      <c r="G239" s="10">
        <v>30</v>
      </c>
      <c r="H239" s="10">
        <v>34</v>
      </c>
      <c r="I239" s="10">
        <v>33</v>
      </c>
      <c r="J239" s="10">
        <v>33.973999999999997</v>
      </c>
      <c r="K239" s="10">
        <v>33.234000000000002</v>
      </c>
      <c r="L239" s="10">
        <v>31.847000000000001</v>
      </c>
      <c r="M239" s="10">
        <v>30.436</v>
      </c>
      <c r="N239" s="10">
        <v>30.602</v>
      </c>
      <c r="O239" s="10">
        <v>30.181000000000001</v>
      </c>
      <c r="P239" s="10">
        <v>31.58</v>
      </c>
      <c r="Q239" s="10">
        <v>36.537999999999997</v>
      </c>
      <c r="R239" s="10">
        <v>29.207999999999998</v>
      </c>
      <c r="S239" s="10">
        <f>IFERROR(VLOOKUP('Leveranser per nät'!A239,'lev 2012'!$B$2:$E$445,4,FALSE),"")</f>
        <v>30</v>
      </c>
      <c r="T239" s="10">
        <f>IFERROR(VLOOKUP('Leveranser per nät'!A239,'lev 2013'!$B$2:$E$445,4,FALSE),"")</f>
        <v>29.855</v>
      </c>
      <c r="U239" s="10">
        <f>IFERROR(VLOOKUP('Leveranser per nät'!A239,'lev 2014'!$B$2:$E$432,4,FALSE),"")</f>
        <v>27.425999999999998</v>
      </c>
      <c r="V239" s="10">
        <f>IFERROR(INDEX(Levererat_2015[Leveranser till eget nät],MATCH($A239,Levererat_2015[Indexnamn],0)),"")</f>
        <v>27.234999999999999</v>
      </c>
      <c r="W239" s="10">
        <f>IFERROR(INDEX(Levererat_2016[Leveranser till eget nät],MATCH($A239,Levererat_2016[Indexnamn],0)),"")</f>
        <v>29.68</v>
      </c>
      <c r="X239" s="58">
        <v>30.12</v>
      </c>
      <c r="Y239" s="10">
        <f>IFERROR(INDEX(Tabell6[Kolumn1],MATCH($A239,Tabell6[Indexnmamn],0)),"")</f>
        <v>29.670999999999999</v>
      </c>
      <c r="Z239" s="10">
        <v>26.231999999999999</v>
      </c>
      <c r="AA239" s="10">
        <v>25.045999999999999</v>
      </c>
      <c r="AB239" s="10">
        <f>VLOOKUP(A239,Tabell9[[Indexnamn]:[Kolumn1]],3,FALSE)</f>
        <v>29.792000000000002</v>
      </c>
      <c r="AC239" s="10">
        <f>VLOOKUP($A239,'Lev 2022'!$K$2:$L$474,2,FALSE)</f>
        <v>27.193999999999999</v>
      </c>
      <c r="AG239" s="2">
        <f t="shared" si="9"/>
        <v>-2.5980000000000025</v>
      </c>
      <c r="AH239" s="103">
        <f t="shared" si="10"/>
        <v>-8.7204618689581181E-2</v>
      </c>
    </row>
    <row r="240" spans="1:34" x14ac:dyDescent="0.25">
      <c r="A240" t="s">
        <v>38</v>
      </c>
      <c r="B240" t="str">
        <f>VLOOKUP(A240,'Korrigerade leveranser GD'!$A$4:$B$482,2,FALSE)</f>
        <v>Leksand</v>
      </c>
      <c r="C240" s="10"/>
      <c r="D240" s="10"/>
      <c r="E240" s="10"/>
      <c r="F240" s="10">
        <v>0</v>
      </c>
      <c r="G240" s="10">
        <v>11.076000000000001</v>
      </c>
      <c r="H240" s="10">
        <v>14.066000000000001</v>
      </c>
      <c r="I240" s="10">
        <v>19</v>
      </c>
      <c r="J240" s="10">
        <v>19</v>
      </c>
      <c r="K240" s="10">
        <v>22.8</v>
      </c>
      <c r="L240" s="10">
        <v>22.183</v>
      </c>
      <c r="M240" s="10">
        <v>22.8</v>
      </c>
      <c r="N240" s="10">
        <v>22.8</v>
      </c>
      <c r="O240" s="10">
        <v>22.8</v>
      </c>
      <c r="P240" s="10">
        <v>25.904</v>
      </c>
      <c r="Q240" s="10">
        <v>29.3</v>
      </c>
      <c r="R240" s="10">
        <v>29.16</v>
      </c>
      <c r="S240" s="10">
        <f>IFERROR(VLOOKUP('Leveranser per nät'!A240,'lev 2012'!$B$2:$E$445,4,FALSE),"")</f>
        <v>34</v>
      </c>
      <c r="T240" s="10">
        <f>IFERROR(VLOOKUP('Leveranser per nät'!A240,'lev 2013'!$B$2:$E$445,4,FALSE),"")</f>
        <v>32.466000000000001</v>
      </c>
      <c r="U240" s="10">
        <f>IFERROR(VLOOKUP('Leveranser per nät'!A240,'lev 2014'!$B$2:$E$432,4,FALSE),"")</f>
        <v>30.108000000000001</v>
      </c>
      <c r="V240" s="10">
        <f>IFERROR(INDEX(Levererat_2015[Leveranser till eget nät],MATCH($A240,Levererat_2015[Indexnamn],0)),"")</f>
        <v>30.277999999999999</v>
      </c>
      <c r="W240" s="10">
        <f>IFERROR(INDEX(Levererat_2016[Leveranser till eget nät],MATCH($A240,Levererat_2016[Indexnamn],0)),"")</f>
        <v>32.17</v>
      </c>
      <c r="X240" s="10">
        <f>IFERROR(INDEX(Tabell4[Leveranser till eget nät],MATCH('Leveranser per nät'!A240,Tabell4[[Finns i listan ]],0)),"")</f>
        <v>32.957000000000001</v>
      </c>
      <c r="Y240" s="10">
        <f>IFERROR(INDEX(Tabell6[Kolumn1],MATCH($A240,Tabell6[Indexnmamn],0)),"")</f>
        <v>33.930999999999997</v>
      </c>
      <c r="Z240" s="10">
        <v>32.793999999999997</v>
      </c>
      <c r="AA240" s="10">
        <v>28.747</v>
      </c>
      <c r="AB240" s="10">
        <f>VLOOKUP(A240,Tabell9[[Indexnamn]:[Kolumn1]],3,FALSE)</f>
        <v>34.159999999999997</v>
      </c>
      <c r="AC240" s="10">
        <f>VLOOKUP($A240,'Lev 2022'!$K$2:$L$474,2,FALSE)</f>
        <v>32.401000000000003</v>
      </c>
      <c r="AG240" s="2">
        <f t="shared" si="9"/>
        <v>-1.7589999999999932</v>
      </c>
      <c r="AH240" s="103">
        <f t="shared" si="10"/>
        <v>-5.1492974238875687E-2</v>
      </c>
    </row>
    <row r="241" spans="1:34" x14ac:dyDescent="0.25">
      <c r="A241" t="s">
        <v>957</v>
      </c>
      <c r="B241" t="str">
        <f>VLOOKUP(A241,'Korrigerade leveranser GD'!$A$4:$B$482,2,FALSE)</f>
        <v>Åseda</v>
      </c>
      <c r="C241" s="10"/>
      <c r="D241" s="10"/>
      <c r="E241" s="10"/>
      <c r="F241" s="10"/>
      <c r="G241" s="10"/>
      <c r="H241" s="10"/>
      <c r="I241" s="10"/>
      <c r="J241" s="10"/>
      <c r="K241" s="10"/>
      <c r="L241" s="10"/>
      <c r="M241" s="10"/>
      <c r="N241" s="10"/>
      <c r="O241" s="10"/>
      <c r="P241" s="10"/>
      <c r="Q241" s="10"/>
      <c r="R241" s="10"/>
      <c r="S241" s="10"/>
      <c r="T241" s="10">
        <v>16.5</v>
      </c>
      <c r="U241" s="10">
        <f>4.5+11.3</f>
        <v>15.8</v>
      </c>
      <c r="V241" s="10">
        <v>13.9</v>
      </c>
      <c r="W241" s="10">
        <v>14.7</v>
      </c>
      <c r="X241" s="10">
        <v>15.5</v>
      </c>
      <c r="Y241" s="10">
        <f>IFERROR(INDEX(Tabell6[Kolumn1],MATCH($A241,Tabell6[Indexnmamn],0)),"")</f>
        <v>15.7</v>
      </c>
      <c r="Z241" s="10">
        <v>15.265000000000001</v>
      </c>
      <c r="AA241" s="10">
        <v>14.6</v>
      </c>
      <c r="AB241" s="10">
        <f>VLOOKUP(A241,Tabell9[[Indexnamn]:[Kolumn1]],3,FALSE)</f>
        <v>16.314</v>
      </c>
      <c r="AC241" s="10">
        <f>VLOOKUP($A241,'Lev 2022'!$K$2:$L$474,2,FALSE)</f>
        <v>15.143000000000001</v>
      </c>
      <c r="AG241" s="2">
        <f t="shared" si="9"/>
        <v>-1.1709999999999994</v>
      </c>
      <c r="AH241" s="103">
        <f t="shared" si="10"/>
        <v>-7.1778840259899432E-2</v>
      </c>
    </row>
    <row r="242" spans="1:34" x14ac:dyDescent="0.25">
      <c r="A242" t="s">
        <v>186</v>
      </c>
      <c r="B242" t="str">
        <f>VLOOKUP(A242,'Korrigerade leveranser GD'!$A$4:$B$482,2,FALSE)</f>
        <v>Göteborg</v>
      </c>
      <c r="C242" s="10">
        <v>26</v>
      </c>
      <c r="D242" s="10">
        <v>23.23</v>
      </c>
      <c r="E242" s="10">
        <v>24</v>
      </c>
      <c r="F242" s="10">
        <v>23</v>
      </c>
      <c r="G242" s="10">
        <v>20</v>
      </c>
      <c r="H242" s="10">
        <v>23</v>
      </c>
      <c r="I242" s="10">
        <v>23</v>
      </c>
      <c r="J242" s="10">
        <v>26</v>
      </c>
      <c r="K242" s="10">
        <v>25.75</v>
      </c>
      <c r="L242" s="10">
        <v>25.1</v>
      </c>
      <c r="M242" s="10">
        <v>24.3</v>
      </c>
      <c r="N242" s="10">
        <v>24.6</v>
      </c>
      <c r="O242" s="10">
        <v>28</v>
      </c>
      <c r="P242" s="10">
        <v>25</v>
      </c>
      <c r="Q242" s="10">
        <v>31.97</v>
      </c>
      <c r="R242" s="10">
        <v>26</v>
      </c>
      <c r="S242" s="10">
        <f>IFERROR(VLOOKUP('Leveranser per nät'!A242,'lev 2012'!$B$2:$E$445,4,FALSE),"")</f>
        <v>30</v>
      </c>
      <c r="T242" s="10">
        <f>IFERROR(VLOOKUP('Leveranser per nät'!A242,'lev 2013'!$B$2:$E$445,4,FALSE),"")</f>
        <v>30</v>
      </c>
      <c r="U242" s="10">
        <f>IFERROR(VLOOKUP('Leveranser per nät'!A242,'lev 2014'!$B$2:$E$432,4,FALSE),"")</f>
        <v>27</v>
      </c>
      <c r="V242" s="10">
        <f>IFERROR(INDEX(Levererat_2015[Leveranser till eget nät],MATCH($A242,Levererat_2015[Indexnamn],0)),"")</f>
        <v>28.3</v>
      </c>
      <c r="W242" s="10">
        <f>IFERROR(INDEX(Levererat_2016[Leveranser till eget nät],MATCH($A242,Levererat_2016[Indexnamn],0)),"")</f>
        <v>31</v>
      </c>
      <c r="X242" s="10">
        <f>IFERROR(INDEX(Tabell4[Leveranser till eget nät],MATCH('Leveranser per nät'!A242,Tabell4[[Finns i listan ]],0)),"")</f>
        <v>30</v>
      </c>
      <c r="Y242" s="10">
        <f>IFERROR(INDEX(Tabell6[Kolumn1],MATCH($A242,Tabell6[Indexnmamn],0)),"")</f>
        <v>29</v>
      </c>
      <c r="Z242" s="10">
        <v>29.16</v>
      </c>
      <c r="AA242" s="10">
        <v>26.1</v>
      </c>
      <c r="AB242" s="10">
        <f>VLOOKUP(A242,Tabell9[[Indexnamn]:[Kolumn1]],3,FALSE)</f>
        <v>30.91</v>
      </c>
      <c r="AC242" s="10">
        <f>VLOOKUP($A242,'Lev 2022'!$K$2:$L$474,2,FALSE)</f>
        <v>28.5</v>
      </c>
      <c r="AG242" s="2">
        <f t="shared" si="9"/>
        <v>-2.41</v>
      </c>
      <c r="AH242" s="103">
        <f t="shared" si="10"/>
        <v>-7.7968295050145589E-2</v>
      </c>
    </row>
    <row r="243" spans="1:34" x14ac:dyDescent="0.25">
      <c r="A243" t="s">
        <v>270</v>
      </c>
      <c r="B243" t="str">
        <f>VLOOKUP(A243,'Korrigerade leveranser GD'!$A$4:$B$482,2,FALSE)</f>
        <v>Skellefteå</v>
      </c>
      <c r="C243" s="10"/>
      <c r="D243" s="10"/>
      <c r="E243" s="10"/>
      <c r="F243" s="10"/>
      <c r="G243" s="10"/>
      <c r="H243" s="10"/>
      <c r="I243" s="10"/>
      <c r="J243" s="10"/>
      <c r="K243" s="10"/>
      <c r="L243" s="10">
        <v>0</v>
      </c>
      <c r="M243" s="10">
        <v>0.48199999999999998</v>
      </c>
      <c r="N243" s="10">
        <v>3.2509999999999999</v>
      </c>
      <c r="O243" s="10">
        <v>3.2690000000000001</v>
      </c>
      <c r="P243" s="10">
        <v>3.1030000000000002</v>
      </c>
      <c r="Q243" s="10">
        <v>3.7</v>
      </c>
      <c r="R243" s="10">
        <v>3.14</v>
      </c>
      <c r="S243" s="10">
        <f>IFERROR(VLOOKUP('Leveranser per nät'!A243,'lev 2012'!$B$2:$E$445,4,FALSE),"")</f>
        <v>3.24</v>
      </c>
      <c r="T243" s="10">
        <f>IFERROR(VLOOKUP('Leveranser per nät'!A243,'lev 2013'!$B$2:$E$445,4,FALSE),"")</f>
        <v>2.87</v>
      </c>
      <c r="U243" s="10">
        <f>IFERROR(VLOOKUP('Leveranser per nät'!A243,'lev 2014'!$B$2:$E$432,4,FALSE),"")</f>
        <v>2.6659999999999999</v>
      </c>
      <c r="V243" s="10">
        <f>IFERROR(INDEX(Levererat_2015[Leveranser till eget nät],MATCH($A243,Levererat_2015[Indexnamn],0)),"")</f>
        <v>2.4849999999999999</v>
      </c>
      <c r="W243" s="10">
        <f>IFERROR(INDEX(Levererat_2016[Leveranser till eget nät],MATCH($A243,Levererat_2016[Indexnamn],0)),"")</f>
        <v>2.8359999999999999</v>
      </c>
      <c r="X243" s="10">
        <f>IFERROR(INDEX(Tabell4[Leveranser till eget nät],MATCH('Leveranser per nät'!A243,Tabell4[[Finns i listan ]],0)),"")</f>
        <v>2.6859999999999999</v>
      </c>
      <c r="Y243" s="10">
        <f>IFERROR(INDEX(Tabell6[Kolumn1],MATCH($A243,Tabell6[Indexnmamn],0)),"")</f>
        <v>2.855</v>
      </c>
      <c r="Z243" s="10">
        <v>2.863</v>
      </c>
      <c r="AA243" s="10">
        <v>2.4340000000000002</v>
      </c>
      <c r="AB243" s="10">
        <f>VLOOKUP(A243,Tabell9[[Indexnamn]:[Kolumn1]],3,FALSE)</f>
        <v>3.0392000000000001</v>
      </c>
      <c r="AC243" s="10">
        <f>VLOOKUP($A243,'Lev 2022'!$K$2:$L$474,2,FALSE)</f>
        <v>2.6867999999999999</v>
      </c>
      <c r="AG243" s="2">
        <f t="shared" si="9"/>
        <v>-0.35240000000000027</v>
      </c>
      <c r="AH243" s="103">
        <f t="shared" si="10"/>
        <v>-0.11595156620163209</v>
      </c>
    </row>
    <row r="244" spans="1:34" s="65" customFormat="1" x14ac:dyDescent="0.25">
      <c r="A244" s="65" t="s">
        <v>292</v>
      </c>
      <c r="B244" s="65" t="str">
        <f>VLOOKUP(A244,'Korrigerade leveranser GD'!$A$4:$B$482,2,FALSE)</f>
        <v>Hammarstrand</v>
      </c>
      <c r="C244" s="68"/>
      <c r="D244" s="68"/>
      <c r="E244" s="68"/>
      <c r="F244" s="68"/>
      <c r="G244" s="68"/>
      <c r="H244" s="68"/>
      <c r="I244" s="68"/>
      <c r="J244" s="68"/>
      <c r="K244" s="68"/>
      <c r="L244" s="68">
        <v>0</v>
      </c>
      <c r="M244" s="68">
        <v>1.482</v>
      </c>
      <c r="N244" s="68">
        <v>1.6830000000000001</v>
      </c>
      <c r="O244" s="68">
        <v>1.6080000000000001</v>
      </c>
      <c r="P244" s="68">
        <v>1.6519999999999999</v>
      </c>
      <c r="Q244" s="68">
        <v>0</v>
      </c>
      <c r="R244" s="68">
        <v>0</v>
      </c>
      <c r="S244" s="68" t="str">
        <f>IFERROR(VLOOKUP('Leveranser per nät'!A244,'lev 2012'!$B$2:$E$445,4,FALSE),"")</f>
        <v/>
      </c>
      <c r="T244" s="68" t="str">
        <f>IFERROR(VLOOKUP('Leveranser per nät'!A244,'lev 2013'!$B$2:$E$445,4,FALSE),"")</f>
        <v/>
      </c>
      <c r="U244" s="68" t="str">
        <f>IFERROR(VLOOKUP('Leveranser per nät'!A244,'lev 2014'!$B$2:$E$432,4,FALSE),"")</f>
        <v/>
      </c>
      <c r="V244" s="68" t="str">
        <f>IFERROR(INDEX(Levererat_2015[Leveranser till eget nät],MATCH($A244,Levererat_2015[Indexnamn],0)),"")</f>
        <v/>
      </c>
      <c r="W244" s="68" t="str">
        <f>IFERROR(INDEX(Levererat_2016[Leveranser till eget nät],MATCH($A244,Levererat_2016[Indexnamn],0)),"")</f>
        <v/>
      </c>
      <c r="X244" s="68" t="str">
        <f>IFERROR(INDEX(Tabell4[Leveranser till eget nät],MATCH('Leveranser per nät'!A244,Tabell4[[Finns i listan ]],0)),"")</f>
        <v/>
      </c>
      <c r="Y244" s="68" t="str">
        <f>IFERROR(INDEX(Tabell6[Kolumn1],MATCH($A244,Tabell6[Indexnmamn],0)),"")</f>
        <v/>
      </c>
      <c r="Z244" s="68"/>
      <c r="AA244" s="68" t="s">
        <v>779</v>
      </c>
      <c r="AB244" s="10"/>
      <c r="AC244" s="10"/>
      <c r="AD244"/>
      <c r="AE244"/>
      <c r="AG244" s="2"/>
      <c r="AH244" s="103"/>
    </row>
    <row r="245" spans="1:34" s="77" customFormat="1" x14ac:dyDescent="0.25">
      <c r="A245" s="77" t="s">
        <v>490</v>
      </c>
      <c r="B245" s="77" t="str">
        <f>VLOOKUP(A245,'Korrigerade leveranser GD'!$A$4:$B$482,2,FALSE)</f>
        <v>Ljungby</v>
      </c>
      <c r="C245" s="69"/>
      <c r="D245" s="69"/>
      <c r="E245" s="69"/>
      <c r="F245" s="69"/>
      <c r="G245" s="69"/>
      <c r="H245" s="69"/>
      <c r="I245" s="69"/>
      <c r="J245" s="69"/>
      <c r="K245" s="69"/>
      <c r="L245" s="69"/>
      <c r="M245" s="69"/>
      <c r="N245" s="69"/>
      <c r="O245" s="69"/>
      <c r="P245" s="69">
        <v>0</v>
      </c>
      <c r="Q245" s="69">
        <v>7.9</v>
      </c>
      <c r="R245" s="69">
        <v>7</v>
      </c>
      <c r="S245" s="69">
        <f>IFERROR(VLOOKUP('Leveranser per nät'!A245,'lev 2012'!$B$2:$E$445,4,FALSE),"")</f>
        <v>8.6</v>
      </c>
      <c r="T245" s="69">
        <f>IFERROR(VLOOKUP('Leveranser per nät'!A245,'lev 2013'!$B$2:$E$445,4,FALSE),"")</f>
        <v>7.53</v>
      </c>
      <c r="U245" s="69">
        <v>6.7</v>
      </c>
      <c r="V245" s="69">
        <v>6.3</v>
      </c>
      <c r="W245" s="69">
        <v>6.9</v>
      </c>
      <c r="X245" s="69">
        <v>6.9</v>
      </c>
      <c r="Y245" s="69">
        <v>7</v>
      </c>
      <c r="Z245" s="69">
        <v>6.2</v>
      </c>
      <c r="AA245" s="58">
        <v>5.7</v>
      </c>
      <c r="AB245" s="10">
        <f>VLOOKUP(A245,Tabell9[[Indexnamn]:[Kolumn1]],3,FALSE)</f>
        <v>6.8</v>
      </c>
      <c r="AC245" s="10">
        <f>VLOOKUP($A245,'Lev 2022'!$K$2:$L$474,2,FALSE)</f>
        <v>6.3</v>
      </c>
      <c r="AD245"/>
      <c r="AE245"/>
      <c r="AG245" s="2">
        <f t="shared" si="9"/>
        <v>-0.5</v>
      </c>
      <c r="AH245" s="103">
        <f t="shared" si="10"/>
        <v>-7.3529411764705885E-2</v>
      </c>
    </row>
    <row r="246" spans="1:34" s="65" customFormat="1" x14ac:dyDescent="0.25">
      <c r="A246" s="65" t="s">
        <v>403</v>
      </c>
      <c r="B246" s="65" t="str">
        <f>VLOOKUP(A246,'Korrigerade leveranser GD'!$A$4:$B$482,2,FALSE)</f>
        <v>Stockholm</v>
      </c>
      <c r="C246" s="68"/>
      <c r="D246" s="68"/>
      <c r="E246" s="68"/>
      <c r="F246" s="68"/>
      <c r="G246" s="68"/>
      <c r="H246" s="68"/>
      <c r="I246" s="68"/>
      <c r="J246" s="68"/>
      <c r="K246" s="68"/>
      <c r="L246" s="68">
        <v>5.6553010487456854</v>
      </c>
      <c r="M246" s="68">
        <v>9.5060000000000002</v>
      </c>
      <c r="N246" s="68">
        <v>9.5</v>
      </c>
      <c r="O246" s="68"/>
      <c r="P246" s="68"/>
      <c r="Q246" s="68"/>
      <c r="R246" s="68"/>
      <c r="S246" s="68" t="str">
        <f>IFERROR(VLOOKUP('Leveranser per nät'!A246,'lev 2012'!$B$2:$E$445,4,FALSE),"")</f>
        <v/>
      </c>
      <c r="T246" s="68" t="str">
        <f>IFERROR(VLOOKUP('Leveranser per nät'!A246,'lev 2013'!$B$2:$E$445,4,FALSE),"")</f>
        <v/>
      </c>
      <c r="U246" s="68" t="str">
        <f>IFERROR(VLOOKUP('Leveranser per nät'!A246,'lev 2014'!$B$2:$E$432,4,FALSE),"")</f>
        <v/>
      </c>
      <c r="V246" s="68" t="str">
        <f>IFERROR(INDEX(Levererat_2015[Leveranser till eget nät],MATCH($A246,Levererat_2015[Indexnamn],0)),"")</f>
        <v/>
      </c>
      <c r="W246" s="68" t="str">
        <f>IFERROR(INDEX(Levererat_2016[Leveranser till eget nät],MATCH($A246,Levererat_2016[Indexnamn],0)),"")</f>
        <v/>
      </c>
      <c r="X246" s="68" t="str">
        <f>IFERROR(INDEX(Tabell4[Leveranser till eget nät],MATCH('Leveranser per nät'!A246,Tabell4[[Finns i listan ]],0)),"")</f>
        <v/>
      </c>
      <c r="Y246" s="68" t="str">
        <f>IFERROR(INDEX(Tabell6[Kolumn1],MATCH($A246,Tabell6[Indexnmamn],0)),"")</f>
        <v/>
      </c>
      <c r="Z246" s="68"/>
      <c r="AA246" s="68" t="s">
        <v>779</v>
      </c>
      <c r="AB246" s="10"/>
      <c r="AC246" s="10"/>
      <c r="AD246"/>
      <c r="AE246"/>
      <c r="AG246" s="2"/>
      <c r="AH246" s="103"/>
    </row>
    <row r="247" spans="1:34" x14ac:dyDescent="0.25">
      <c r="A247" s="104" t="s">
        <v>188</v>
      </c>
      <c r="B247" t="str">
        <f>VLOOKUP(A247,'Korrigerade leveranser GD'!$A$4:$B$482,2,FALSE)</f>
        <v>Skara</v>
      </c>
      <c r="C247" s="10">
        <v>213</v>
      </c>
      <c r="D247" s="10">
        <v>196.06</v>
      </c>
      <c r="E247" s="10">
        <v>213</v>
      </c>
      <c r="F247" s="10">
        <v>211</v>
      </c>
      <c r="G247" s="10">
        <v>201</v>
      </c>
      <c r="H247" s="10">
        <v>242</v>
      </c>
      <c r="I247" s="10">
        <v>236</v>
      </c>
      <c r="J247" s="10">
        <v>255</v>
      </c>
      <c r="K247" s="10">
        <v>252.05600000000001</v>
      </c>
      <c r="L247" s="10">
        <v>250.8</v>
      </c>
      <c r="M247" s="10">
        <v>314.50400000000002</v>
      </c>
      <c r="N247" s="10">
        <v>259.39100000000002</v>
      </c>
      <c r="O247" s="10">
        <v>263.35500000000002</v>
      </c>
      <c r="P247" s="10">
        <v>289.137</v>
      </c>
      <c r="Q247" s="10">
        <v>337.81200000000001</v>
      </c>
      <c r="R247" s="10">
        <v>289.55200000000002</v>
      </c>
      <c r="S247" s="10">
        <f>IFERROR(VLOOKUP('Leveranser per nät'!A247,'lev 2012'!$B$2:$E$445,4,FALSE),"")</f>
        <v>301</v>
      </c>
      <c r="T247" s="10">
        <f>IFERROR(VLOOKUP('Leveranser per nät'!A247,'lev 2013'!$B$2:$E$445,4,FALSE),"")</f>
        <v>294.90600000000001</v>
      </c>
      <c r="U247" s="10">
        <f>IFERROR(VLOOKUP('Leveranser per nät'!A247,'lev 2014'!$B$2:$E$432,4,FALSE),"")</f>
        <v>276.94</v>
      </c>
      <c r="V247" s="10">
        <f>IFERROR(INDEX(Levererat_2015[Leveranser till eget nät],MATCH($A247,Levererat_2015[Indexnamn],0)),"")</f>
        <v>285.99</v>
      </c>
      <c r="W247" s="10">
        <f>IFERROR(INDEX(Levererat_2016[Leveranser till eget nät],MATCH($A247,Levererat_2016[Indexnamn],0)),"")</f>
        <v>297.53699999999998</v>
      </c>
      <c r="X247" s="10">
        <f>IFERROR(INDEX(Tabell4[Leveranser till eget nät],MATCH('Leveranser per nät'!A247,Tabell4[[Finns i listan ]],0)),"")</f>
        <v>300.19400000000002</v>
      </c>
      <c r="Y247" s="10">
        <f>IFERROR(INDEX(Tabell6[Kolumn1],MATCH($A247,Tabell6[Indexnmamn],0)),"")+'Lev2018'!T161</f>
        <v>295.94799999999998</v>
      </c>
      <c r="Z247" s="10">
        <f>217.59+75</f>
        <v>292.59000000000003</v>
      </c>
      <c r="AA247" s="10">
        <v>190.77</v>
      </c>
      <c r="AB247" s="10">
        <f>VLOOKUP(A247,Tabell9[[Indexnamn]:[Kolumn1]],3,FALSE)</f>
        <v>285.77999999999997</v>
      </c>
      <c r="AC247" s="10">
        <f>VLOOKUP($A247,'Lev 2022'!$K$2:$L$474,2,FALSE)</f>
        <v>267.2</v>
      </c>
      <c r="AG247" s="2">
        <f t="shared" si="9"/>
        <v>-18.579999999999984</v>
      </c>
      <c r="AH247" s="103">
        <f t="shared" si="10"/>
        <v>-6.5015046539295906E-2</v>
      </c>
    </row>
    <row r="248" spans="1:34" x14ac:dyDescent="0.25">
      <c r="A248" t="s">
        <v>189</v>
      </c>
      <c r="B248" t="s">
        <v>189</v>
      </c>
      <c r="C248" s="10">
        <v>11.678000000000001</v>
      </c>
      <c r="D248" s="10">
        <v>10.56</v>
      </c>
      <c r="E248" s="10">
        <v>10.52</v>
      </c>
      <c r="F248" s="10">
        <v>10.5</v>
      </c>
      <c r="G248" s="10">
        <v>10</v>
      </c>
      <c r="H248" s="10">
        <v>11</v>
      </c>
      <c r="I248" s="10">
        <v>11</v>
      </c>
      <c r="J248" s="10">
        <v>11.318</v>
      </c>
      <c r="K248" s="10">
        <v>12.177</v>
      </c>
      <c r="L248" s="10">
        <v>12.334</v>
      </c>
      <c r="M248" s="10">
        <v>12.233000000000001</v>
      </c>
      <c r="N248" s="10">
        <v>11.852</v>
      </c>
      <c r="O248" s="10">
        <v>11.561999999999999</v>
      </c>
      <c r="P248" s="10">
        <v>12.164118</v>
      </c>
      <c r="Q248" s="10">
        <v>14.466779000000001</v>
      </c>
      <c r="R248" s="10">
        <v>11.482625000000001</v>
      </c>
      <c r="S248" s="10">
        <f>IFERROR(VLOOKUP('Leveranser per nät'!A248,'lev 2012'!$B$2:$E$445,4,FALSE),"")</f>
        <v>12.16</v>
      </c>
      <c r="T248" s="10">
        <f>IFERROR(VLOOKUP('Leveranser per nät'!A248,'lev 2013'!$B$2:$E$445,4,FALSE),"")</f>
        <v>12.1</v>
      </c>
      <c r="U248" s="10">
        <f>IFERROR(VLOOKUP('Leveranser per nät'!A248,'lev 2014'!$B$2:$E$432,4,FALSE),"")</f>
        <v>10.331</v>
      </c>
      <c r="V248" s="10">
        <f>IFERROR(INDEX(Levererat_2015[Leveranser till eget nät],MATCH($A248,Levererat_2015[Indexnamn],0)),"")</f>
        <v>10.364000000000001</v>
      </c>
      <c r="W248" s="10">
        <f>IFERROR(INDEX(Levererat_2016[Leveranser till eget nät],MATCH($A248,Levererat_2016[Indexnamn],0)),"")</f>
        <v>11.895</v>
      </c>
      <c r="X248" s="10">
        <v>11.9</v>
      </c>
      <c r="Y248" s="10">
        <f>IFERROR(INDEX(Tabell6[Kolumn1],MATCH($A248,Tabell6[Indexnmamn],0)),"")</f>
        <v>12.323</v>
      </c>
      <c r="Z248" s="10">
        <v>11.852</v>
      </c>
      <c r="AA248" s="10">
        <v>11.034000000000001</v>
      </c>
      <c r="AB248" s="10">
        <f>VLOOKUP(A248,Tabell9[[Indexnamn]:[Kolumn1]],3,FALSE)</f>
        <v>12.9</v>
      </c>
      <c r="AC248" s="10">
        <f>VLOOKUP($A248,'Lev 2022'!$K$2:$L$474,2,FALSE)</f>
        <v>11.881</v>
      </c>
      <c r="AG248" s="2">
        <f t="shared" si="9"/>
        <v>-1.0190000000000001</v>
      </c>
      <c r="AH248" s="103">
        <f t="shared" si="10"/>
        <v>-7.8992248062015505E-2</v>
      </c>
    </row>
    <row r="249" spans="1:34" x14ac:dyDescent="0.25">
      <c r="A249" t="s">
        <v>190</v>
      </c>
      <c r="B249" t="str">
        <f>VLOOKUP(A249,'Korrigerade leveranser GD'!$A$4:$B$482,2,FALSE)</f>
        <v>Lindesberg</v>
      </c>
      <c r="C249" s="10">
        <v>70</v>
      </c>
      <c r="D249" s="10">
        <v>62.25</v>
      </c>
      <c r="E249" s="10">
        <v>67</v>
      </c>
      <c r="F249" s="10">
        <v>68</v>
      </c>
      <c r="G249" s="10">
        <v>63</v>
      </c>
      <c r="H249" s="10">
        <v>72</v>
      </c>
      <c r="I249" s="10">
        <v>75</v>
      </c>
      <c r="J249" s="10">
        <v>74</v>
      </c>
      <c r="K249" s="10">
        <v>73.814999999999998</v>
      </c>
      <c r="L249" s="10">
        <v>73.213999999999999</v>
      </c>
      <c r="M249" s="10">
        <v>71.320999999999998</v>
      </c>
      <c r="N249" s="10">
        <v>70.489999999999995</v>
      </c>
      <c r="O249" s="10">
        <v>72.263999999999996</v>
      </c>
      <c r="P249" s="10">
        <v>77.069000000000003</v>
      </c>
      <c r="Q249" s="10">
        <v>89.326999999999998</v>
      </c>
      <c r="R249" s="10">
        <v>73.2</v>
      </c>
      <c r="S249" s="10">
        <v>79.900000000000006</v>
      </c>
      <c r="T249" s="10">
        <f>IFERROR(VLOOKUP('Leveranser per nät'!A249,'lev 2013'!$B$2:$E$445,4,FALSE),"")</f>
        <v>80.465999999999994</v>
      </c>
      <c r="U249" s="10">
        <f>IFERROR(VLOOKUP('Leveranser per nät'!A249,'lev 2014'!$B$2:$E$432,4,FALSE),"")</f>
        <v>81</v>
      </c>
      <c r="V249" s="10">
        <f>IFERROR(INDEX(Levererat_2015[Leveranser till eget nät],MATCH($A249,Levererat_2015[Indexnamn],0)),"")</f>
        <v>84.4</v>
      </c>
      <c r="W249" s="10">
        <f>IFERROR(INDEX(Levererat_2016[Leveranser till eget nät],MATCH($A249,Levererat_2016[Indexnamn],0)),"")</f>
        <v>92.6</v>
      </c>
      <c r="X249" s="10">
        <f>IFERROR(INDEX(Tabell4[Leveranser till eget nät],MATCH('Leveranser per nät'!A249,Tabell4[[Finns i listan ]],0)),"")</f>
        <v>92.2</v>
      </c>
      <c r="Y249" s="10">
        <f>IFERROR(INDEX(Tabell6[Kolumn1],MATCH($A249,Tabell6[Indexnmamn],0)),"")</f>
        <v>85</v>
      </c>
      <c r="Z249" s="10">
        <v>83</v>
      </c>
      <c r="AA249" s="10">
        <v>75.900000000000006</v>
      </c>
      <c r="AB249" s="10">
        <f>VLOOKUP(A249,Tabell9[[Indexnamn]:[Kolumn1]],3,FALSE)</f>
        <v>89.1</v>
      </c>
      <c r="AC249" s="10">
        <f>VLOOKUP($A249,'Lev 2022'!$K$2:$L$474,2,FALSE)</f>
        <v>79.8</v>
      </c>
      <c r="AG249" s="2">
        <f t="shared" si="9"/>
        <v>-9.2999999999999972</v>
      </c>
      <c r="AH249" s="103">
        <f t="shared" si="10"/>
        <v>-0.10437710437710435</v>
      </c>
    </row>
    <row r="250" spans="1:34" x14ac:dyDescent="0.25">
      <c r="A250" t="s">
        <v>308</v>
      </c>
      <c r="B250" t="str">
        <f>VLOOKUP(A250,'Korrigerade leveranser GD'!$A$4:$B$482,2,FALSE)</f>
        <v>Linköping</v>
      </c>
      <c r="C250" s="10">
        <v>1260</v>
      </c>
      <c r="D250" s="10">
        <v>1124.0899999999999</v>
      </c>
      <c r="E250" s="10">
        <v>1190</v>
      </c>
      <c r="F250" s="10">
        <v>1097</v>
      </c>
      <c r="G250" s="10">
        <v>1045</v>
      </c>
      <c r="H250" s="10">
        <v>1228</v>
      </c>
      <c r="I250" s="10">
        <v>1246</v>
      </c>
      <c r="J250" s="10">
        <v>1280</v>
      </c>
      <c r="K250" s="10">
        <v>1254.5</v>
      </c>
      <c r="L250" s="10">
        <v>1231.2</v>
      </c>
      <c r="M250" s="10">
        <v>1275.9000000000001</v>
      </c>
      <c r="N250" s="10">
        <v>1583.4</v>
      </c>
      <c r="O250" s="10">
        <v>1220</v>
      </c>
      <c r="P250" s="10">
        <v>1277.8</v>
      </c>
      <c r="Q250" s="10">
        <v>1595</v>
      </c>
      <c r="R250" s="10">
        <v>1246.5</v>
      </c>
      <c r="S250" s="10">
        <f>IFERROR(VLOOKUP('Leveranser per nät'!A250,'lev 2012'!$B$2:$E$445,4,FALSE),"")</f>
        <v>1228</v>
      </c>
      <c r="T250" s="10">
        <f>IFERROR(VLOOKUP('Leveranser per nät'!A250,'lev 2013'!$B$2:$E$445,4,FALSE),"")</f>
        <v>1260.7</v>
      </c>
      <c r="U250" s="10">
        <f>IFERROR(VLOOKUP('Leveranser per nät'!A250,'lev 2014'!$B$2:$E$432,4,FALSE),"")</f>
        <v>1221.2</v>
      </c>
      <c r="V250" s="10">
        <f>IFERROR(INDEX(Levererat_2015[Leveranser till eget nät],MATCH($A250,Levererat_2015[Indexnamn],0)),"")</f>
        <v>1246.0999999999999</v>
      </c>
      <c r="W250" s="10">
        <f>IFERROR(INDEX(Levererat_2016[Leveranser till eget nät],MATCH($A250,Levererat_2016[Indexnamn],0)),"")</f>
        <v>1237</v>
      </c>
      <c r="X250" s="10">
        <f>IFERROR(INDEX(Tabell4[Leveranser till eget nät],MATCH('Leveranser per nät'!A250,Tabell4[[Finns i listan ]],0)),"")</f>
        <v>1221.4000000000001</v>
      </c>
      <c r="Y250" s="10">
        <f>IFERROR(INDEX(Tabell6[Kolumn1],MATCH($A250,Tabell6[Indexnmamn],0)),"")</f>
        <v>1244.95</v>
      </c>
      <c r="Z250" s="10">
        <v>1199.6242</v>
      </c>
      <c r="AA250" s="10">
        <v>1275.5</v>
      </c>
      <c r="AB250" s="10">
        <f>VLOOKUP(A250,Tabell9[[Indexnamn]:[Kolumn1]],3,FALSE)</f>
        <v>1377.7</v>
      </c>
      <c r="AC250" s="10">
        <f>VLOOKUP($A250,'Lev 2022'!$K$2:$L$474,2,FALSE)</f>
        <v>1289</v>
      </c>
      <c r="AG250" s="2">
        <f t="shared" si="9"/>
        <v>-88.700000000000045</v>
      </c>
      <c r="AH250" s="103">
        <f t="shared" si="10"/>
        <v>-6.4382666763446353E-2</v>
      </c>
    </row>
    <row r="251" spans="1:34" s="65" customFormat="1" x14ac:dyDescent="0.25">
      <c r="A251" s="65" t="s">
        <v>369</v>
      </c>
      <c r="B251" s="65" t="str">
        <f>VLOOKUP(A251,'Korrigerade leveranser GD'!$A$4:$B$482,2,FALSE)</f>
        <v>Ånge</v>
      </c>
      <c r="C251" s="68"/>
      <c r="D251" s="68"/>
      <c r="E251" s="68"/>
      <c r="F251" s="68"/>
      <c r="G251" s="68"/>
      <c r="H251" s="68"/>
      <c r="I251" s="68"/>
      <c r="J251" s="68"/>
      <c r="K251" s="68">
        <v>0.75</v>
      </c>
      <c r="L251" s="68">
        <v>0.66300000000000003</v>
      </c>
      <c r="M251" s="68">
        <v>0.8</v>
      </c>
      <c r="N251" s="68">
        <v>1.06</v>
      </c>
      <c r="O251" s="68">
        <v>1.1819999999999999</v>
      </c>
      <c r="P251" s="68">
        <v>1.4</v>
      </c>
      <c r="Q251" s="68">
        <v>0.374</v>
      </c>
      <c r="R251" s="68">
        <v>0.5</v>
      </c>
      <c r="S251" s="68">
        <f>IFERROR(VLOOKUP('Leveranser per nät'!A251,'lev 2012'!$B$2:$E$445,4,FALSE),"")</f>
        <v>0.9</v>
      </c>
      <c r="T251" s="71">
        <f>S251+(U251-S251)/2</f>
        <v>0.85000000000000009</v>
      </c>
      <c r="U251" s="68">
        <f>IFERROR(VLOOKUP('Leveranser per nät'!A251,'lev 2014'!$B$2:$E$432,4,FALSE),"")</f>
        <v>0.8</v>
      </c>
      <c r="V251" s="68">
        <f>IFERROR(INDEX(Levererat_2015[Leveranser till eget nät],MATCH($A251,Levererat_2015[Indexnamn],0)),"")</f>
        <v>0.5</v>
      </c>
      <c r="W251" s="68" t="str">
        <f>IFERROR(INDEX(Levererat_2016[Leveranser till eget nät],MATCH($A251,Levererat_2016[Indexnamn],0)),"")</f>
        <v/>
      </c>
      <c r="X251" s="68"/>
      <c r="Y251" s="68" t="str">
        <f>IFERROR(INDEX(Tabell6[Kolumn1],MATCH($A251,Tabell6[Indexnmamn],0)),"")</f>
        <v/>
      </c>
      <c r="Z251" s="68"/>
      <c r="AA251" s="68" t="s">
        <v>779</v>
      </c>
      <c r="AB251" s="10"/>
      <c r="AC251" s="10">
        <f>VLOOKUP($A251,'Lev 2022'!$K$2:$L$474,2,FALSE)</f>
        <v>0.42799999999999999</v>
      </c>
      <c r="AD251"/>
      <c r="AE251"/>
      <c r="AG251" s="2"/>
      <c r="AH251" s="103"/>
    </row>
    <row r="252" spans="1:34" x14ac:dyDescent="0.25">
      <c r="A252" t="s">
        <v>78</v>
      </c>
      <c r="B252" t="str">
        <f>VLOOKUP(A252,'Korrigerade leveranser GD'!$A$4:$B$482,2,FALSE)</f>
        <v>Ljungby</v>
      </c>
      <c r="C252" s="10">
        <v>73</v>
      </c>
      <c r="D252" s="10">
        <v>68.709999999999994</v>
      </c>
      <c r="E252" s="10">
        <v>72</v>
      </c>
      <c r="F252" s="10">
        <v>71</v>
      </c>
      <c r="G252" s="10">
        <v>73</v>
      </c>
      <c r="H252" s="10">
        <v>81</v>
      </c>
      <c r="I252" s="10">
        <v>92</v>
      </c>
      <c r="J252" s="10">
        <v>95.525000000000006</v>
      </c>
      <c r="K252" s="10">
        <v>102.221</v>
      </c>
      <c r="L252" s="10">
        <v>113.328</v>
      </c>
      <c r="M252" s="10">
        <v>116</v>
      </c>
      <c r="N252" s="10">
        <v>111</v>
      </c>
      <c r="O252" s="10">
        <v>119.9</v>
      </c>
      <c r="P252" s="10">
        <v>126.949</v>
      </c>
      <c r="Q252" s="10">
        <v>150</v>
      </c>
      <c r="R252" s="10">
        <v>130</v>
      </c>
      <c r="S252" s="10">
        <f>IFERROR(VLOOKUP('Leveranser per nät'!A252,'lev 2012'!$B$2:$E$445,4,FALSE),"")</f>
        <v>139</v>
      </c>
      <c r="T252" s="10">
        <f>IFERROR(VLOOKUP('Leveranser per nät'!A252,'lev 2013'!$B$2:$E$445,4,FALSE),"")</f>
        <v>145.69999999999999</v>
      </c>
      <c r="U252" s="10">
        <f>IFERROR(VLOOKUP('Leveranser per nät'!A252,'lev 2014'!$B$2:$E$432,4,FALSE),"")</f>
        <v>128.9</v>
      </c>
      <c r="V252" s="10">
        <f>IFERROR(INDEX(Levererat_2015[Leveranser till eget nät],MATCH($A252,Levererat_2015[Indexnamn],0)),"")</f>
        <v>133.80000000000001</v>
      </c>
      <c r="W252" s="10">
        <f>IFERROR(INDEX(Levererat_2016[Leveranser till eget nät],MATCH($A252,Levererat_2016[Indexnamn],0)),"")</f>
        <v>142</v>
      </c>
      <c r="X252" s="10">
        <f>IFERROR(INDEX(Tabell4[Leveranser till eget nät],MATCH('Leveranser per nät'!A252,Tabell4[[Finns i listan ]],0)),"")</f>
        <v>140.9</v>
      </c>
      <c r="Y252" s="10">
        <f>IFERROR(INDEX(Tabell6[Kolumn1],MATCH($A252,Tabell6[Indexnmamn],0)),"")</f>
        <v>139.4</v>
      </c>
      <c r="Z252" s="10">
        <v>136</v>
      </c>
      <c r="AA252" s="10">
        <v>141.5</v>
      </c>
      <c r="AB252" s="10">
        <f>VLOOKUP(A252,Tabell9[[Indexnamn]:[Kolumn1]],3,FALSE)</f>
        <v>135.61000000000001</v>
      </c>
      <c r="AC252" s="10">
        <f>VLOOKUP($A252,'Lev 2022'!$K$2:$L$474,2,FALSE)</f>
        <v>124.39999999999999</v>
      </c>
      <c r="AG252" s="2">
        <f t="shared" si="9"/>
        <v>-11.210000000000022</v>
      </c>
      <c r="AH252" s="103">
        <f t="shared" si="10"/>
        <v>-8.2663520389351972E-2</v>
      </c>
    </row>
    <row r="253" spans="1:34" s="65" customFormat="1" x14ac:dyDescent="0.25">
      <c r="A253" s="65" t="s">
        <v>381</v>
      </c>
      <c r="B253" s="65" t="s">
        <v>78</v>
      </c>
      <c r="C253" s="68"/>
      <c r="D253" s="68"/>
      <c r="E253" s="68"/>
      <c r="F253" s="68"/>
      <c r="G253" s="68"/>
      <c r="H253" s="68"/>
      <c r="I253" s="68"/>
      <c r="J253" s="68"/>
      <c r="K253" s="68"/>
      <c r="L253" s="68">
        <v>0</v>
      </c>
      <c r="M253" s="68">
        <v>25.2</v>
      </c>
      <c r="N253" s="68">
        <v>33</v>
      </c>
      <c r="O253" s="68"/>
      <c r="P253" s="68"/>
      <c r="Q253" s="68"/>
      <c r="R253" s="68"/>
      <c r="S253" s="68"/>
      <c r="T253" s="68" t="str">
        <f>IFERROR(VLOOKUP('Leveranser per nät'!A253,'lev 2013'!$B$2:$E$445,4,FALSE),"")</f>
        <v/>
      </c>
      <c r="U253" s="68" t="str">
        <f>IFERROR(VLOOKUP('Leveranser per nät'!A253,'lev 2014'!$B$2:$E$432,4,FALSE),"")</f>
        <v/>
      </c>
      <c r="V253" s="68" t="str">
        <f>IFERROR(INDEX(Levererat_2015[Leveranser till eget nät],MATCH($A253,Levererat_2015[Indexnamn],0)),"")</f>
        <v/>
      </c>
      <c r="W253" s="68" t="str">
        <f>IFERROR(INDEX(Levererat_2016[Leveranser till eget nät],MATCH($A253,Levererat_2016[Indexnamn],0)),"")</f>
        <v/>
      </c>
      <c r="X253" s="68" t="str">
        <f>IFERROR(INDEX(Tabell4[Leveranser till eget nät],MATCH('Leveranser per nät'!A253,Tabell4[[Finns i listan ]],0)),"")</f>
        <v/>
      </c>
      <c r="Y253" s="68" t="str">
        <f>IFERROR(INDEX(Tabell6[Kolumn1],MATCH($A253,Tabell6[Indexnmamn],0)),"")</f>
        <v/>
      </c>
      <c r="Z253" s="68"/>
      <c r="AA253" s="68" t="s">
        <v>779</v>
      </c>
      <c r="AB253" s="10"/>
      <c r="AC253" s="10"/>
      <c r="AD253"/>
      <c r="AE253"/>
      <c r="AG253" s="2">
        <f t="shared" si="9"/>
        <v>0</v>
      </c>
      <c r="AH253" s="103"/>
    </row>
    <row r="254" spans="1:34" x14ac:dyDescent="0.25">
      <c r="A254" s="4" t="s">
        <v>404</v>
      </c>
      <c r="B254" t="str">
        <f>VLOOKUP(A254,'Korrigerade leveranser GD'!$A$4:$B$482,2,FALSE)</f>
        <v>Linköping</v>
      </c>
      <c r="C254" s="10"/>
      <c r="D254" s="10"/>
      <c r="E254" s="10"/>
      <c r="F254" s="10"/>
      <c r="G254" s="10"/>
      <c r="H254" s="10"/>
      <c r="I254" s="10"/>
      <c r="J254" s="10"/>
      <c r="K254" s="10"/>
      <c r="L254" s="10"/>
      <c r="M254" s="10"/>
      <c r="N254" s="10"/>
      <c r="O254" s="10"/>
      <c r="P254" s="10">
        <v>0</v>
      </c>
      <c r="Q254" s="10">
        <v>3.6</v>
      </c>
      <c r="R254" s="10">
        <v>3.1179999999999999</v>
      </c>
      <c r="S254" s="10">
        <f>IFERROR(VLOOKUP('Leveranser per nät'!A254,'lev 2012'!$B$2:$E$445,4,FALSE),"")</f>
        <v>3.81</v>
      </c>
      <c r="T254" s="10">
        <f>IFERROR(VLOOKUP('Leveranser per nät'!A254,'lev 2013'!$B$2:$E$445,4,FALSE),"")</f>
        <v>4.25</v>
      </c>
      <c r="U254" s="10">
        <f>IFERROR(VLOOKUP('Leveranser per nät'!A254,'lev 2014'!$B$2:$E$432,4,FALSE),"")</f>
        <v>3.72</v>
      </c>
      <c r="V254" s="10">
        <f>IFERROR(INDEX(Levererat_2015[Leveranser till eget nät],MATCH($A254,Levererat_2015[Indexnamn],0)),"")</f>
        <v>3.93</v>
      </c>
      <c r="W254" s="10">
        <f>IFERROR(INDEX(Levererat_2016[Leveranser till eget nät],MATCH($A254,Levererat_2016[Indexnamn],0)),"")</f>
        <v>4.17</v>
      </c>
      <c r="X254" s="10">
        <f>IFERROR(INDEX(Tabell4[Leveranser till eget nät],MATCH('Leveranser per nät'!A254,Tabell4[[Finns i listan ]],0)),"")</f>
        <v>4.1669999999999998</v>
      </c>
      <c r="Y254" s="10">
        <f>IFERROR(INDEX(Tabell6[Kolumn1],MATCH($A254,Tabell6[Indexnmamn],0)),"")</f>
        <v>4.2690000000000001</v>
      </c>
      <c r="Z254" s="10">
        <v>4.3470000000000004</v>
      </c>
      <c r="AA254" s="10">
        <v>4</v>
      </c>
      <c r="AB254" s="10">
        <f>VLOOKUP(A254,Tabell9[[Indexnamn]:[Kolumn1]],3,FALSE)</f>
        <v>4.78</v>
      </c>
      <c r="AC254" s="10">
        <f>VLOOKUP($A254,'Lev 2022'!$K$2:$L$474,2,FALSE)</f>
        <v>4.3499999999999996</v>
      </c>
      <c r="AG254" s="2">
        <f t="shared" si="9"/>
        <v>-0.4300000000000006</v>
      </c>
      <c r="AH254" s="103">
        <f t="shared" si="10"/>
        <v>-8.9958158995816023E-2</v>
      </c>
    </row>
    <row r="255" spans="1:34" x14ac:dyDescent="0.25">
      <c r="A255" t="s">
        <v>193</v>
      </c>
      <c r="B255" t="str">
        <f>VLOOKUP(A255,'Korrigerade leveranser GD'!$A$4:$B$482,2,FALSE)</f>
        <v>Ljusdal</v>
      </c>
      <c r="C255" s="10">
        <v>59</v>
      </c>
      <c r="D255" s="10">
        <v>51.52</v>
      </c>
      <c r="E255" s="10">
        <v>53</v>
      </c>
      <c r="F255" s="10">
        <v>56</v>
      </c>
      <c r="G255" s="10">
        <v>61</v>
      </c>
      <c r="H255" s="10">
        <v>76</v>
      </c>
      <c r="I255" s="10">
        <v>65</v>
      </c>
      <c r="J255" s="10">
        <v>67</v>
      </c>
      <c r="K255" s="10">
        <v>67.942999999999998</v>
      </c>
      <c r="L255" s="10">
        <v>69.018000000000001</v>
      </c>
      <c r="M255" s="10">
        <v>68.307000000000002</v>
      </c>
      <c r="N255" s="10">
        <v>71.701999999999998</v>
      </c>
      <c r="O255" s="10">
        <v>70.786000000000001</v>
      </c>
      <c r="P255" s="10">
        <v>70.573999999999998</v>
      </c>
      <c r="Q255" s="10">
        <v>78.77</v>
      </c>
      <c r="R255" s="10">
        <v>62.429000000000002</v>
      </c>
      <c r="S255" s="10">
        <f>IFERROR(VLOOKUP('Leveranser per nät'!A255,'lev 2012'!$B$2:$E$445,4,FALSE),"")</f>
        <v>66</v>
      </c>
      <c r="T255" s="10">
        <f>IFERROR(VLOOKUP('Leveranser per nät'!A255,'lev 2013'!$B$2:$E$445,4,FALSE),"")</f>
        <v>63.1</v>
      </c>
      <c r="U255" s="10">
        <f>IFERROR(VLOOKUP('Leveranser per nät'!A255,'lev 2014'!$B$2:$E$432,4,FALSE),"")</f>
        <v>52</v>
      </c>
      <c r="V255" s="10">
        <f>IFERROR(INDEX(Levererat_2015[Leveranser till eget nät],MATCH($A255,Levererat_2015[Indexnamn],0)),"")</f>
        <v>59.1</v>
      </c>
      <c r="W255" s="10">
        <f>IFERROR(INDEX(Levererat_2016[Leveranser till eget nät],MATCH($A255,Levererat_2016[Indexnamn],0)),"")</f>
        <v>63.3</v>
      </c>
      <c r="X255" s="10">
        <f>IFERROR(INDEX(Tabell4[Leveranser till eget nät],MATCH('Leveranser per nät'!A255,Tabell4[[Finns i listan ]],0)),"")</f>
        <v>64</v>
      </c>
      <c r="Y255" s="10">
        <f>IFERROR(INDEX(Tabell6[Kolumn1],MATCH($A255,Tabell6[Indexnmamn],0)),"")</f>
        <v>63.1</v>
      </c>
      <c r="Z255" s="10">
        <v>61.7</v>
      </c>
      <c r="AA255" s="10">
        <v>55.5</v>
      </c>
      <c r="AB255" s="10">
        <f>VLOOKUP(A255,Tabell9[[Indexnamn]:[Kolumn1]],3,FALSE)</f>
        <v>63.99</v>
      </c>
      <c r="AC255" s="10">
        <f>VLOOKUP($A255,'Lev 2022'!$K$2:$L$474,2,FALSE)</f>
        <v>59.915999999999997</v>
      </c>
      <c r="AG255" s="2">
        <f t="shared" si="9"/>
        <v>-4.0740000000000052</v>
      </c>
      <c r="AH255" s="103">
        <f t="shared" si="10"/>
        <v>-6.3666197843413111E-2</v>
      </c>
    </row>
    <row r="256" spans="1:34" s="65" customFormat="1" x14ac:dyDescent="0.25">
      <c r="A256" s="65" t="s">
        <v>479</v>
      </c>
      <c r="B256" s="65" t="str">
        <f>VLOOKUP(A256,'Korrigerade leveranser GD'!$A$4:$B$482,2,FALSE)</f>
        <v>Kopparberg</v>
      </c>
      <c r="C256" s="68">
        <v>17.073</v>
      </c>
      <c r="D256" s="68">
        <v>15.08</v>
      </c>
      <c r="E256" s="68">
        <v>16</v>
      </c>
      <c r="F256" s="68">
        <v>15</v>
      </c>
      <c r="G256" s="68">
        <v>15</v>
      </c>
      <c r="H256" s="68">
        <v>0</v>
      </c>
      <c r="I256" s="68">
        <v>0</v>
      </c>
      <c r="J256" s="68">
        <v>14</v>
      </c>
      <c r="K256" s="68"/>
      <c r="L256" s="68"/>
      <c r="M256" s="68"/>
      <c r="N256" s="68"/>
      <c r="O256" s="68"/>
      <c r="P256" s="68"/>
      <c r="Q256" s="68"/>
      <c r="R256" s="68"/>
      <c r="S256" s="68" t="str">
        <f>IFERROR(VLOOKUP('Leveranser per nät'!A256,'lev 2012'!$B$2:$E$445,4,FALSE),"")</f>
        <v/>
      </c>
      <c r="T256" s="68" t="str">
        <f>IFERROR(VLOOKUP('Leveranser per nät'!A256,'lev 2013'!$B$2:$E$445,4,FALSE),"")</f>
        <v/>
      </c>
      <c r="U256" s="68" t="str">
        <f>IFERROR(VLOOKUP('Leveranser per nät'!A256,'lev 2014'!$B$2:$E$432,4,FALSE),"")</f>
        <v/>
      </c>
      <c r="V256" s="68" t="str">
        <f>IFERROR(INDEX(Levererat_2015[Leveranser till eget nät],MATCH($A256,Levererat_2015[Indexnamn],0)),"")</f>
        <v/>
      </c>
      <c r="W256" s="68" t="str">
        <f>IFERROR(INDEX(Levererat_2016[Leveranser till eget nät],MATCH($A256,Levererat_2016[Indexnamn],0)),"")</f>
        <v/>
      </c>
      <c r="X256" s="68" t="str">
        <f>IFERROR(INDEX(Tabell4[Leveranser till eget nät],MATCH('Leveranser per nät'!A256,Tabell4[[Finns i listan ]],0)),"")</f>
        <v/>
      </c>
      <c r="Y256" s="68" t="str">
        <f>IFERROR(INDEX(Tabell6[Kolumn1],MATCH($A256,Tabell6[Indexnmamn],0)),"")</f>
        <v/>
      </c>
      <c r="Z256" s="68"/>
      <c r="AA256" s="68" t="s">
        <v>779</v>
      </c>
      <c r="AB256" s="10"/>
      <c r="AC256" s="10"/>
      <c r="AD256"/>
      <c r="AE256"/>
      <c r="AG256" s="2"/>
      <c r="AH256" s="103"/>
    </row>
    <row r="257" spans="1:34" x14ac:dyDescent="0.25">
      <c r="A257" t="s">
        <v>302</v>
      </c>
      <c r="B257" t="str">
        <f>VLOOKUP(A257,'Korrigerade leveranser GD'!$A$4:$B$482,2,FALSE)</f>
        <v>Söderhamn</v>
      </c>
      <c r="C257" s="10"/>
      <c r="D257" s="10">
        <v>15.87</v>
      </c>
      <c r="E257" s="10">
        <v>18</v>
      </c>
      <c r="F257" s="10">
        <v>0</v>
      </c>
      <c r="G257" s="10"/>
      <c r="H257" s="10"/>
      <c r="I257" s="10"/>
      <c r="J257" s="10"/>
      <c r="K257" s="10"/>
      <c r="L257" s="10"/>
      <c r="M257" s="10">
        <v>12.327</v>
      </c>
      <c r="N257" s="10">
        <v>11.794</v>
      </c>
      <c r="O257" s="10">
        <v>11.973000000000001</v>
      </c>
      <c r="P257" s="10">
        <v>11.345999000000001</v>
      </c>
      <c r="Q257" s="10">
        <v>12.941177</v>
      </c>
      <c r="R257" s="10">
        <v>10.805999999999999</v>
      </c>
      <c r="S257" s="10">
        <f>IFERROR(VLOOKUP('Leveranser per nät'!A257,'lev 2012'!$B$2:$E$445,4,FALSE),"")</f>
        <v>11.91</v>
      </c>
      <c r="T257" s="10">
        <f>IFERROR(VLOOKUP('Leveranser per nät'!A257,'lev 2013'!$B$2:$E$445,4,FALSE),"")</f>
        <v>11.084535000000001</v>
      </c>
      <c r="U257" s="10">
        <f>IFERROR(VLOOKUP('Leveranser per nät'!A257,'lev 2014'!$B$2:$E$432,4,FALSE),"")</f>
        <v>10.45514</v>
      </c>
      <c r="V257" s="10">
        <f>IFERROR(INDEX(Levererat_2015[Leveranser till eget nät],MATCH($A257,Levererat_2015[Indexnamn],0)),"")</f>
        <v>10.371</v>
      </c>
      <c r="W257" s="10">
        <f>IFERROR(INDEX(Levererat_2016[Leveranser till eget nät],MATCH($A257,Levererat_2016[Indexnamn],0)),"")</f>
        <v>9.9640000000000004</v>
      </c>
      <c r="X257" s="10">
        <f>IFERROR(INDEX(Tabell4[Leveranser till eget nät],MATCH('Leveranser per nät'!A257,Tabell4[[Finns i listan ]],0)),"")</f>
        <v>9.657</v>
      </c>
      <c r="Y257" s="10">
        <f>IFERROR(INDEX(Tabell6[Kolumn1],MATCH($A257,Tabell6[Indexnmamn],0)),"")</f>
        <v>9.4990000000000006</v>
      </c>
      <c r="Z257" s="10">
        <v>9.32</v>
      </c>
      <c r="AA257" s="10">
        <v>7.9050000000000002</v>
      </c>
      <c r="AB257" s="10">
        <f>VLOOKUP(A257,Tabell9[[Indexnamn]:[Kolumn1]],3,FALSE)</f>
        <v>9.1</v>
      </c>
      <c r="AC257" s="10">
        <f>VLOOKUP($A257,'Lev 2022'!$K$2:$L$474,2,FALSE)</f>
        <v>8.6969999999999992</v>
      </c>
      <c r="AG257" s="2">
        <f t="shared" si="9"/>
        <v>-0.40300000000000047</v>
      </c>
      <c r="AH257" s="103">
        <f t="shared" si="10"/>
        <v>-4.4285714285714338E-2</v>
      </c>
    </row>
    <row r="258" spans="1:34" x14ac:dyDescent="0.25">
      <c r="A258" t="s">
        <v>293</v>
      </c>
      <c r="B258" t="str">
        <f>VLOOKUP(A258,'Korrigerade leveranser GD'!$A$4:$B$482,2,FALSE)</f>
        <v>Sundsvall</v>
      </c>
      <c r="C258" s="10"/>
      <c r="D258" s="10"/>
      <c r="E258" s="10"/>
      <c r="F258" s="10"/>
      <c r="G258" s="10"/>
      <c r="H258" s="10"/>
      <c r="I258" s="10"/>
      <c r="J258" s="10"/>
      <c r="K258" s="10"/>
      <c r="L258" s="10"/>
      <c r="M258" s="10">
        <v>0.189</v>
      </c>
      <c r="N258" s="10">
        <v>0.85599999999999998</v>
      </c>
      <c r="O258" s="10">
        <v>1.4910000000000001</v>
      </c>
      <c r="P258" s="10">
        <v>1.7689999999999999</v>
      </c>
      <c r="Q258" s="10"/>
      <c r="R258" s="10"/>
      <c r="S258" s="10" t="str">
        <f>IFERROR(VLOOKUP('Leveranser per nät'!A258,'lev 2012'!$B$2:$E$445,4,FALSE),"")</f>
        <v/>
      </c>
      <c r="T258" s="10" t="str">
        <f>IFERROR(VLOOKUP('Leveranser per nät'!A258,'lev 2013'!$B$2:$E$445,4,FALSE),"")</f>
        <v/>
      </c>
      <c r="U258" s="10" t="str">
        <f>IFERROR(VLOOKUP('Leveranser per nät'!A258,'lev 2014'!$B$2:$E$432,4,FALSE),"")</f>
        <v/>
      </c>
      <c r="V258" s="10" t="str">
        <f>IFERROR(INDEX(Levererat_2015[Leveranser till eget nät],MATCH($A258,Levererat_2015[Indexnamn],0)),"")</f>
        <v/>
      </c>
      <c r="W258" s="10" t="str">
        <f>IFERROR(INDEX(Levererat_2016[Leveranser till eget nät],MATCH($A258,Levererat_2016[Indexnamn],0)),"")</f>
        <v/>
      </c>
      <c r="X258" s="10" t="str">
        <f>IFERROR(INDEX(Tabell4[Leveranser till eget nät],MATCH('Leveranser per nät'!A258,Tabell4[[Finns i listan ]],0)),"")</f>
        <v/>
      </c>
      <c r="Y258" s="10" t="str">
        <f>IFERROR(INDEX(Tabell6[Kolumn1],MATCH($A258,Tabell6[Indexnmamn],0)),"")</f>
        <v/>
      </c>
      <c r="Z258" s="10"/>
      <c r="AA258" s="10" t="s">
        <v>779</v>
      </c>
      <c r="AB258" s="10"/>
      <c r="AC258" s="10"/>
      <c r="AG258" s="2"/>
      <c r="AH258" s="103"/>
    </row>
    <row r="259" spans="1:34" x14ac:dyDescent="0.25">
      <c r="A259" t="s">
        <v>359</v>
      </c>
      <c r="B259" t="str">
        <f>VLOOKUP(A259,'Korrigerade leveranser GD'!$A$4:$B$482,2,FALSE)</f>
        <v>Kopparberg</v>
      </c>
      <c r="C259" s="10">
        <v>72</v>
      </c>
      <c r="D259" s="10">
        <v>63.9</v>
      </c>
      <c r="E259" s="10">
        <v>65.81</v>
      </c>
      <c r="F259" s="10">
        <v>78</v>
      </c>
      <c r="G259" s="10">
        <v>78</v>
      </c>
      <c r="H259" s="10">
        <v>95.106999999999999</v>
      </c>
      <c r="I259" s="10">
        <v>89</v>
      </c>
      <c r="J259" s="10">
        <v>92</v>
      </c>
      <c r="K259" s="10">
        <v>98.983000000000004</v>
      </c>
      <c r="L259" s="10">
        <v>95.453999999999994</v>
      </c>
      <c r="M259" s="10">
        <v>94.132000000000005</v>
      </c>
      <c r="N259" s="10">
        <v>96.289000000000001</v>
      </c>
      <c r="O259" s="10">
        <v>105.017</v>
      </c>
      <c r="P259" s="10">
        <v>109.08499999999999</v>
      </c>
      <c r="Q259" s="10">
        <v>117.77</v>
      </c>
      <c r="R259" s="10">
        <v>99.662000000000006</v>
      </c>
      <c r="S259" s="10">
        <f>IFERROR(VLOOKUP('Leveranser per nät'!A259,'lev 2012'!$B$2:$E$445,4,FALSE),"")</f>
        <v>106</v>
      </c>
      <c r="T259" s="10">
        <f>IFERROR(VLOOKUP('Leveranser per nät'!A259,'lev 2013'!$B$2:$E$445,4,FALSE),"")</f>
        <v>102.261</v>
      </c>
      <c r="U259" s="10">
        <f>IFERROR(VLOOKUP('Leveranser per nät'!A259,'lev 2014'!$B$2:$E$432,4,FALSE),"")</f>
        <v>96.010999999999996</v>
      </c>
      <c r="V259" s="10">
        <f>IFERROR(INDEX(Levererat_2015[Leveranser till eget nät],MATCH($A259,Levererat_2015[Indexnamn],0)),"")</f>
        <v>96.805999999999997</v>
      </c>
      <c r="W259" s="10">
        <f>IFERROR(INDEX(Levererat_2016[Leveranser till eget nät],MATCH($A259,Levererat_2016[Indexnamn],0)),"")</f>
        <v>105.03100000000001</v>
      </c>
      <c r="X259" s="10">
        <f>IFERROR(INDEX(Tabell4[Leveranser till eget nät],MATCH('Leveranser per nät'!A259,Tabell4[[Finns i listan ]],0)),"")</f>
        <v>103.77800000000001</v>
      </c>
      <c r="Y259" s="10">
        <f>IFERROR(INDEX(Tabell6[Kolumn1],MATCH($A259,Tabell6[Indexnmamn],0)),"")</f>
        <v>101.849</v>
      </c>
      <c r="Z259" s="10">
        <v>102.86799999999999</v>
      </c>
      <c r="AA259" s="10">
        <v>95.757000000000005</v>
      </c>
      <c r="AB259" s="10">
        <f>VLOOKUP(A259,Tabell9[[Indexnamn]:[Kolumn1]],3,FALSE)</f>
        <v>106.05</v>
      </c>
      <c r="AC259" s="10">
        <f>VLOOKUP($A259,'Lev 2022'!$K$2:$L$474,2,FALSE)</f>
        <v>105.6</v>
      </c>
      <c r="AG259" s="2">
        <f t="shared" si="9"/>
        <v>-0.45000000000000284</v>
      </c>
      <c r="AH259" s="103">
        <f t="shared" si="10"/>
        <v>-4.2432814710042701E-3</v>
      </c>
    </row>
    <row r="260" spans="1:34" x14ac:dyDescent="0.25">
      <c r="A260" s="104" t="s">
        <v>196</v>
      </c>
      <c r="B260" t="str">
        <f>VLOOKUP(A260,'Korrigerade leveranser GD'!$A$4:$B$482,2,FALSE)</f>
        <v>Luleå</v>
      </c>
      <c r="C260" s="10">
        <v>666</v>
      </c>
      <c r="D260" s="10">
        <v>650.45000000000005</v>
      </c>
      <c r="E260" s="10">
        <v>698.66899999999998</v>
      </c>
      <c r="F260" s="10">
        <v>681</v>
      </c>
      <c r="G260" s="10">
        <v>632</v>
      </c>
      <c r="H260" s="10">
        <v>704.85199999999998</v>
      </c>
      <c r="I260" s="10">
        <v>724.27</v>
      </c>
      <c r="J260" s="10">
        <v>702</v>
      </c>
      <c r="K260" s="10">
        <v>732.98599999999999</v>
      </c>
      <c r="L260" s="10">
        <v>689.6</v>
      </c>
      <c r="M260" s="10">
        <v>709.9</v>
      </c>
      <c r="N260" s="10">
        <v>737.9</v>
      </c>
      <c r="O260" s="10">
        <v>738.1</v>
      </c>
      <c r="P260" s="55">
        <v>763</v>
      </c>
      <c r="Q260" s="10">
        <v>861.6</v>
      </c>
      <c r="R260" s="10">
        <v>727.9</v>
      </c>
      <c r="S260" s="10">
        <f>IFERROR(VLOOKUP('Leveranser per nät'!A260,'lev 2012'!$B$2:$E$445,4,FALSE),"")</f>
        <v>806</v>
      </c>
      <c r="T260" s="10">
        <f>IFERROR(VLOOKUP('Leveranser per nät'!A260,'lev 2013'!$B$2:$E$445,4,FALSE),"")</f>
        <v>775.1</v>
      </c>
      <c r="U260" s="10">
        <f>IFERROR(VLOOKUP('Leveranser per nät'!A260,'lev 2014'!$B$2:$E$432,4,FALSE),"")</f>
        <v>743.5</v>
      </c>
      <c r="V260" s="10">
        <f>IFERROR(INDEX(Levererat_2015[Leveranser till eget nät],MATCH($A260,Levererat_2015[Indexnamn],0)),"")</f>
        <v>714.8</v>
      </c>
      <c r="W260" s="10">
        <f>IFERROR(INDEX(Levererat_2016[Leveranser till eget nät],MATCH($A260,Levererat_2016[Indexnamn],0)),"")</f>
        <v>773.4</v>
      </c>
      <c r="X260" s="10">
        <f>IFERROR(INDEX(Tabell4[Leveranser till eget nät],MATCH('Leveranser per nät'!A260,Tabell4[[Finns i listan ]],0)),"")</f>
        <v>781.1</v>
      </c>
      <c r="Y260" s="10">
        <f>IFERROR(INDEX(Tabell6[Kolumn1],MATCH($A260,Tabell6[Indexnmamn],0)),"")</f>
        <v>789.2</v>
      </c>
      <c r="Z260" s="10">
        <f>820.2+6.7</f>
        <v>826.90000000000009</v>
      </c>
      <c r="AA260" s="10">
        <v>708.4</v>
      </c>
      <c r="AB260" s="10">
        <f>VLOOKUP(A260,Tabell9[[Indexnamn]:[Kolumn1]],3,FALSE)</f>
        <v>833.43999999999994</v>
      </c>
      <c r="AC260" s="10">
        <f>VLOOKUP($A260,'Lev 2022'!$K$2:$L$474,2,FALSE)</f>
        <v>773.94</v>
      </c>
      <c r="AG260" s="2">
        <f t="shared" si="9"/>
        <v>-59.499999999999886</v>
      </c>
      <c r="AH260" s="103">
        <f t="shared" si="10"/>
        <v>-7.1390861969667749E-2</v>
      </c>
    </row>
    <row r="261" spans="1:34" x14ac:dyDescent="0.25">
      <c r="A261" t="s">
        <v>388</v>
      </c>
      <c r="B261" t="str">
        <f>VLOOKUP(A261,'Korrigerade leveranser GD'!$A$4:$B$482,2,FALSE)</f>
        <v>Lund</v>
      </c>
      <c r="C261" s="10">
        <v>916</v>
      </c>
      <c r="D261" s="10">
        <v>843.9</v>
      </c>
      <c r="E261" s="10">
        <v>847</v>
      </c>
      <c r="F261" s="10">
        <v>792</v>
      </c>
      <c r="G261" s="10">
        <v>732</v>
      </c>
      <c r="H261" s="10">
        <v>813</v>
      </c>
      <c r="I261" s="10">
        <v>863</v>
      </c>
      <c r="J261" s="10">
        <v>875</v>
      </c>
      <c r="K261" s="10">
        <v>893.5</v>
      </c>
      <c r="L261" s="10">
        <v>815.5</v>
      </c>
      <c r="M261" s="10">
        <v>784</v>
      </c>
      <c r="N261" s="10">
        <v>780</v>
      </c>
      <c r="O261" s="10">
        <v>762.8</v>
      </c>
      <c r="P261" s="10">
        <v>772.9</v>
      </c>
      <c r="Q261" s="10"/>
      <c r="R261" s="10"/>
      <c r="S261" s="10"/>
      <c r="T261" s="10" t="str">
        <f>IFERROR(VLOOKUP('Leveranser per nät'!A261,'lev 2013'!$B$2:$E$445,4,FALSE),"")</f>
        <v/>
      </c>
      <c r="U261" s="10" t="str">
        <f>IFERROR(VLOOKUP('Leveranser per nät'!A261,'lev 2014'!$B$2:$E$432,4,FALSE),"")</f>
        <v/>
      </c>
      <c r="V261" s="10" t="str">
        <f>IFERROR(INDEX(Levererat_2015[Leveranser till eget nät],MATCH($A261,Levererat_2015[Indexnamn],0)),"")</f>
        <v/>
      </c>
      <c r="W261" s="10" t="str">
        <f>IFERROR(INDEX(Levererat_2016[Leveranser till eget nät],MATCH($A261,Levererat_2016[Indexnamn],0)),"")</f>
        <v/>
      </c>
      <c r="X261" s="10" t="str">
        <f>IFERROR(INDEX(Tabell4[Leveranser till eget nät],MATCH('Leveranser per nät'!A261,Tabell4[[Finns i listan ]],0)),"")</f>
        <v/>
      </c>
      <c r="Y261" s="10" t="str">
        <f>IFERROR(INDEX(Tabell6[Kolumn1],MATCH($A261,Tabell6[Indexnmamn],0)),"")</f>
        <v/>
      </c>
      <c r="Z261" s="10"/>
      <c r="AA261" s="10" t="s">
        <v>779</v>
      </c>
      <c r="AB261" s="10"/>
      <c r="AC261" s="10"/>
      <c r="AG261" s="2"/>
      <c r="AH261" s="103"/>
    </row>
    <row r="262" spans="1:34" x14ac:dyDescent="0.25">
      <c r="A262" t="s">
        <v>259</v>
      </c>
      <c r="B262" t="str">
        <f>VLOOKUP(A262,'Korrigerade leveranser GD'!$A$4:$B$482,2,FALSE)</f>
        <v>Lycksele</v>
      </c>
      <c r="C262" s="10">
        <v>87.962999999999994</v>
      </c>
      <c r="D262" s="10">
        <v>83.13</v>
      </c>
      <c r="E262" s="10">
        <v>89.248999999999995</v>
      </c>
      <c r="F262" s="10">
        <v>90.254000000000005</v>
      </c>
      <c r="G262" s="10">
        <v>89.221999999999994</v>
      </c>
      <c r="H262" s="10">
        <v>123</v>
      </c>
      <c r="I262" s="10">
        <v>117</v>
      </c>
      <c r="J262" s="10">
        <v>116.991</v>
      </c>
      <c r="K262" s="10">
        <v>120</v>
      </c>
      <c r="L262" s="10">
        <v>127.693</v>
      </c>
      <c r="M262" s="10">
        <v>98.796999999999997</v>
      </c>
      <c r="N262" s="10">
        <v>98.796999999999997</v>
      </c>
      <c r="O262" s="10">
        <v>99.426000000000002</v>
      </c>
      <c r="P262" s="10">
        <v>104.90300000000001</v>
      </c>
      <c r="Q262" s="10">
        <v>117.393</v>
      </c>
      <c r="R262" s="10">
        <v>98.56</v>
      </c>
      <c r="S262" s="10">
        <f>IFERROR(VLOOKUP('Leveranser per nät'!A262,'lev 2012'!$B$2:$E$445,4,FALSE),"")</f>
        <v>111</v>
      </c>
      <c r="T262" s="10">
        <f>IFERROR(VLOOKUP('Leveranser per nät'!A262,'lev 2013'!$B$2:$E$445,4,FALSE),"")</f>
        <v>102.925</v>
      </c>
      <c r="U262" s="10">
        <f>IFERROR(VLOOKUP('Leveranser per nät'!A262,'lev 2014'!$B$2:$E$432,4,FALSE),"")</f>
        <v>97.12</v>
      </c>
      <c r="V262" s="10">
        <f>IFERROR(INDEX(Levererat_2015[Leveranser till eget nät],MATCH($A262,Levererat_2015[Indexnamn],0)),"")</f>
        <v>94.522000000000006</v>
      </c>
      <c r="W262" s="10">
        <f>IFERROR(INDEX(Levererat_2016[Leveranser till eget nät],MATCH($A262,Levererat_2016[Indexnamn],0)),"")</f>
        <v>102.982</v>
      </c>
      <c r="X262" s="10">
        <f>IFERROR(INDEX(Tabell4[Leveranser till eget nät],MATCH('Leveranser per nät'!A262,Tabell4[[Finns i listan ]],0)),"")</f>
        <v>102.57599999999999</v>
      </c>
      <c r="Y262" s="10">
        <f>IFERROR(INDEX(Tabell6[Kolumn1],MATCH($A262,Tabell6[Indexnmamn],0)),"")</f>
        <v>105.599</v>
      </c>
      <c r="Z262" s="10">
        <v>106.455</v>
      </c>
      <c r="AA262" s="10">
        <v>91.427999999999997</v>
      </c>
      <c r="AB262" s="10">
        <f>VLOOKUP(A262,Tabell9[[Indexnamn]:[Kolumn1]],3,FALSE)</f>
        <v>105.1253</v>
      </c>
      <c r="AC262" s="10">
        <f>VLOOKUP($A262,'Lev 2022'!$K$2:$L$474,2,FALSE)</f>
        <v>94.608599999999996</v>
      </c>
      <c r="AG262" s="2">
        <f t="shared" ref="AG262:AG324" si="11">AC262-AB262</f>
        <v>-10.5167</v>
      </c>
      <c r="AH262" s="103">
        <f t="shared" ref="AH262:AH324" si="12">AG262/AB262</f>
        <v>-0.10003966694982083</v>
      </c>
    </row>
    <row r="263" spans="1:34" x14ac:dyDescent="0.25">
      <c r="A263" s="4" t="s">
        <v>405</v>
      </c>
      <c r="B263" t="str">
        <f>VLOOKUP(A263,'Korrigerade leveranser GD'!$A$4:$B$482,2,FALSE)</f>
        <v>Hagfors</v>
      </c>
      <c r="C263" s="10"/>
      <c r="D263" s="10"/>
      <c r="E263" s="10"/>
      <c r="F263" s="10"/>
      <c r="G263" s="10"/>
      <c r="H263" s="10"/>
      <c r="I263" s="10"/>
      <c r="J263" s="10"/>
      <c r="K263" s="10"/>
      <c r="L263" s="10"/>
      <c r="M263" s="10"/>
      <c r="N263" s="10"/>
      <c r="O263" s="10"/>
      <c r="P263" s="10"/>
      <c r="Q263" s="10">
        <v>2.5910000000000002</v>
      </c>
      <c r="R263" s="10">
        <v>2.14</v>
      </c>
      <c r="S263" s="10">
        <f>IFERROR(VLOOKUP('Leveranser per nät'!A263,'lev 2012'!$B$2:$E$445,4,FALSE),"")</f>
        <v>2.4300000000000002</v>
      </c>
      <c r="T263" s="10">
        <f>IFERROR(VLOOKUP('Leveranser per nät'!A263,'lev 2013'!$B$2:$E$445,4,FALSE),"")</f>
        <v>2.4449999999999998</v>
      </c>
      <c r="U263" s="10">
        <f>IFERROR(VLOOKUP('Leveranser per nät'!A263,'lev 2014'!$B$2:$E$432,4,FALSE),"")</f>
        <v>2.1</v>
      </c>
      <c r="V263" s="10">
        <f>IFERROR(INDEX(Levererat_2015[Leveranser till eget nät],MATCH($A263,Levererat_2015[Indexnamn],0)),"")</f>
        <v>2.1</v>
      </c>
      <c r="W263" s="10">
        <f>IFERROR(INDEX(Levererat_2016[Leveranser till eget nät],MATCH($A263,Levererat_2016[Indexnamn],0)),"")</f>
        <v>2.31</v>
      </c>
      <c r="X263" s="10">
        <f>IFERROR(INDEX(Tabell4[Leveranser till eget nät],MATCH('Leveranser per nät'!A263,Tabell4[[Finns i listan ]],0)),"")</f>
        <v>2.15</v>
      </c>
      <c r="Y263" s="10">
        <f>IFERROR(INDEX(Tabell6[Kolumn1],MATCH($A263,Tabell6[Indexnmamn],0)),"")</f>
        <v>2.12</v>
      </c>
      <c r="Z263" s="10">
        <v>2.23</v>
      </c>
      <c r="AA263" s="10">
        <v>1.9430000000000001</v>
      </c>
      <c r="AB263" s="10">
        <f>VLOOKUP(A263,Tabell9[[Indexnamn]:[Kolumn1]],3,FALSE)</f>
        <v>2.323</v>
      </c>
      <c r="AC263" s="10">
        <f>VLOOKUP($A263,'Lev 2022'!$K$2:$L$474,2,FALSE)</f>
        <v>2.1440000000000001</v>
      </c>
      <c r="AG263" s="2">
        <f t="shared" si="11"/>
        <v>-0.17899999999999983</v>
      </c>
      <c r="AH263" s="103">
        <f t="shared" si="12"/>
        <v>-7.7055531640120467E-2</v>
      </c>
    </row>
    <row r="264" spans="1:34" x14ac:dyDescent="0.25">
      <c r="A264" t="s">
        <v>187</v>
      </c>
      <c r="B264" t="str">
        <f>VLOOKUP(A264,'Korrigerade leveranser GD'!$A$4:$B$482,2,FALSE)</f>
        <v>Lysekil</v>
      </c>
      <c r="C264" s="10"/>
      <c r="D264" s="10"/>
      <c r="E264" s="10"/>
      <c r="F264" s="10"/>
      <c r="G264" s="10"/>
      <c r="H264" s="10"/>
      <c r="I264" s="10">
        <v>0</v>
      </c>
      <c r="J264" s="10">
        <v>18.088999999999999</v>
      </c>
      <c r="K264" s="10">
        <v>32.799999999999997</v>
      </c>
      <c r="L264" s="10">
        <v>35.604999999999997</v>
      </c>
      <c r="M264" s="10">
        <v>36.323</v>
      </c>
      <c r="N264" s="10">
        <v>36.576999999999998</v>
      </c>
      <c r="O264" s="10">
        <v>38.697000000000003</v>
      </c>
      <c r="P264" s="10">
        <v>42.776000000000003</v>
      </c>
      <c r="Q264" s="10">
        <v>51.165999999999997</v>
      </c>
      <c r="R264" s="10">
        <v>41.481000000000002</v>
      </c>
      <c r="S264" s="10">
        <f>IFERROR(VLOOKUP('Leveranser per nät'!A264,'lev 2012'!$B$2:$E$445,4,FALSE),"")</f>
        <v>42</v>
      </c>
      <c r="T264" s="10">
        <f>IFERROR(VLOOKUP('Leveranser per nät'!A264,'lev 2013'!$B$2:$E$445,4,FALSE),"")</f>
        <v>43.305999999999997</v>
      </c>
      <c r="U264" s="10">
        <f>IFERROR(VLOOKUP('Leveranser per nät'!A264,'lev 2014'!$B$2:$E$432,4,FALSE),"")</f>
        <v>39.554000000000002</v>
      </c>
      <c r="V264" s="10">
        <f>IFERROR(INDEX(Levererat_2015[Leveranser till eget nät],MATCH($A264,Levererat_2015[Indexnamn],0)),"")</f>
        <v>40.548999999999999</v>
      </c>
      <c r="W264" s="10">
        <f>IFERROR(INDEX(Levererat_2016[Leveranser till eget nät],MATCH($A264,Levererat_2016[Indexnamn],0)),"")</f>
        <v>43.5</v>
      </c>
      <c r="X264" s="10">
        <f>IFERROR(INDEX(Tabell4[Leveranser till eget nät],MATCH('Leveranser per nät'!A264,Tabell4[[Finns i listan ]],0)),"")</f>
        <v>43.564999999999998</v>
      </c>
      <c r="Y264" s="10">
        <f>IFERROR(INDEX(Tabell6[Kolumn1],MATCH($A264,Tabell6[Indexnmamn],0)),"")</f>
        <v>44.374000000000002</v>
      </c>
      <c r="Z264" s="10">
        <v>42.332000000000001</v>
      </c>
      <c r="AA264" s="10">
        <v>39.037999999999997</v>
      </c>
      <c r="AB264" s="10">
        <f>VLOOKUP(A264,Tabell9[[Indexnamn]:[Kolumn1]],3,FALSE)</f>
        <v>44.85</v>
      </c>
      <c r="AC264" s="10">
        <f>VLOOKUP($A264,'Lev 2022'!$K$2:$L$474,2,FALSE)</f>
        <v>41.122999999999998</v>
      </c>
      <c r="AG264" s="2">
        <f t="shared" si="11"/>
        <v>-3.7270000000000039</v>
      </c>
      <c r="AH264" s="103">
        <f t="shared" si="12"/>
        <v>-8.3099219620958842E-2</v>
      </c>
    </row>
    <row r="265" spans="1:34" x14ac:dyDescent="0.25">
      <c r="A265" s="3" t="s">
        <v>99</v>
      </c>
      <c r="B265" t="s">
        <v>163</v>
      </c>
      <c r="C265" s="10"/>
      <c r="D265" s="10"/>
      <c r="E265" s="10"/>
      <c r="F265" s="10"/>
      <c r="G265" s="10"/>
      <c r="H265" s="10"/>
      <c r="I265" s="10"/>
      <c r="J265" s="10"/>
      <c r="K265" s="10"/>
      <c r="L265" s="10"/>
      <c r="M265" s="10"/>
      <c r="N265" s="10"/>
      <c r="O265" s="10"/>
      <c r="P265" s="10">
        <v>1.5</v>
      </c>
      <c r="Q265" s="10">
        <v>1.7</v>
      </c>
      <c r="R265" s="10"/>
      <c r="S265" s="10" t="str">
        <f>IFERROR(VLOOKUP('Leveranser per nät'!A265,'lev 2012'!$B$2:$E$445,4,FALSE),"")</f>
        <v/>
      </c>
      <c r="T265" s="10" t="str">
        <f>IFERROR(VLOOKUP('Leveranser per nät'!A265,'lev 2013'!$B$2:$E$445,4,FALSE),"")</f>
        <v/>
      </c>
      <c r="U265" s="10" t="str">
        <f>IFERROR(VLOOKUP('Leveranser per nät'!A265,'lev 2014'!$B$2:$E$432,4,FALSE),"")</f>
        <v/>
      </c>
      <c r="V265" s="10" t="str">
        <f>IFERROR(INDEX(Levererat_2015[Leveranser till eget nät],MATCH($A265,Levererat_2015[Indexnamn],0)),"")</f>
        <v/>
      </c>
      <c r="W265" s="10" t="str">
        <f>IFERROR(INDEX(Levererat_2016[Leveranser till eget nät],MATCH($A265,Levererat_2016[Indexnamn],0)),"")</f>
        <v/>
      </c>
      <c r="X265" s="10" t="str">
        <f>IFERROR(INDEX(Tabell4[Leveranser till eget nät],MATCH('Leveranser per nät'!A265,Tabell4[[Finns i listan ]],0)),"")</f>
        <v/>
      </c>
      <c r="Y265" s="10" t="str">
        <f>IFERROR(INDEX(Tabell6[Kolumn1],MATCH($A265,Tabell6[Indexnmamn],0)),"")</f>
        <v/>
      </c>
      <c r="Z265" s="10"/>
      <c r="AA265" s="10" t="s">
        <v>779</v>
      </c>
      <c r="AB265" s="10"/>
      <c r="AC265" s="10"/>
      <c r="AG265" s="2"/>
      <c r="AH265" s="103"/>
    </row>
    <row r="266" spans="1:34" x14ac:dyDescent="0.25">
      <c r="A266" t="s">
        <v>69</v>
      </c>
      <c r="B266" t="str">
        <f>VLOOKUP(A266,'Korrigerade leveranser GD'!$A$4:$B$482,2,FALSE)</f>
        <v>Sollefteå</v>
      </c>
      <c r="C266" s="10">
        <v>2</v>
      </c>
      <c r="D266" s="10">
        <v>3.8809999999999998</v>
      </c>
      <c r="E266" s="10">
        <v>4</v>
      </c>
      <c r="F266" s="10">
        <v>1.954</v>
      </c>
      <c r="G266" s="10">
        <v>1.84</v>
      </c>
      <c r="H266" s="10">
        <v>4</v>
      </c>
      <c r="I266" s="10">
        <v>4</v>
      </c>
      <c r="J266" s="10">
        <v>4.3</v>
      </c>
      <c r="K266" s="10">
        <v>4.3</v>
      </c>
      <c r="L266" s="10">
        <v>4.3253399875787384</v>
      </c>
      <c r="M266" s="10">
        <v>3.67</v>
      </c>
      <c r="N266" s="10">
        <v>3.8</v>
      </c>
      <c r="O266" s="10">
        <v>3.9</v>
      </c>
      <c r="P266" s="10">
        <v>6</v>
      </c>
      <c r="Q266" s="10">
        <v>4.8</v>
      </c>
      <c r="R266" s="56">
        <f>(Q266-S266)/2+S266</f>
        <v>4.4649999999999999</v>
      </c>
      <c r="S266" s="10">
        <f>IFERROR(VLOOKUP('Leveranser per nät'!A266,'lev 2012'!$B$2:$E$445,4,FALSE),"")</f>
        <v>4.13</v>
      </c>
      <c r="T266" s="10">
        <f>IFERROR(VLOOKUP('Leveranser per nät'!A266,'lev 2013'!$B$2:$E$445,4,FALSE),"")</f>
        <v>3.8119999999999998</v>
      </c>
      <c r="U266" s="10">
        <v>3.8</v>
      </c>
      <c r="V266" s="10">
        <f>IFERROR(INDEX(Levererat_2015[Leveranser till eget nät],MATCH($A266,Levererat_2015[Indexnamn],0)),"")</f>
        <v>3.8</v>
      </c>
      <c r="W266" s="10">
        <f>IFERROR(INDEX(Levererat_2016[Leveranser till eget nät],MATCH($A266,Levererat_2016[Indexnamn],0)),"")</f>
        <v>4.2</v>
      </c>
      <c r="X266" s="10">
        <f>IFERROR(INDEX(Tabell4[Leveranser till eget nät],MATCH('Leveranser per nät'!A266,Tabell4[[Finns i listan ]],0)),"")</f>
        <v>4.2</v>
      </c>
      <c r="Y266" s="10">
        <f>IFERROR(INDEX(Tabell6[Kolumn1],MATCH($A266,Tabell6[Indexnmamn],0)),"")</f>
        <v>4</v>
      </c>
      <c r="Z266" s="10">
        <v>3.9</v>
      </c>
      <c r="AA266" s="10">
        <v>3.5</v>
      </c>
      <c r="AB266" s="10">
        <f>VLOOKUP(A266,Tabell9[[Indexnamn]:[Kolumn1]],3,FALSE)</f>
        <v>3.9590000000000001</v>
      </c>
      <c r="AC266" s="10">
        <f>VLOOKUP($A266,'Lev 2022'!$K$2:$L$474,2,FALSE)</f>
        <v>3.6869999999999998</v>
      </c>
      <c r="AG266" s="2">
        <f t="shared" si="11"/>
        <v>-0.27200000000000024</v>
      </c>
      <c r="AH266" s="103">
        <f t="shared" si="12"/>
        <v>-6.8704218236928571E-2</v>
      </c>
    </row>
    <row r="267" spans="1:34" x14ac:dyDescent="0.25">
      <c r="A267" t="s">
        <v>147</v>
      </c>
      <c r="B267" t="str">
        <f>VLOOKUP(A267,'Korrigerade leveranser GD'!$A$4:$B$482,2,FALSE)</f>
        <v>Hedemora</v>
      </c>
      <c r="C267" s="10"/>
      <c r="D267" s="10"/>
      <c r="E267" s="10"/>
      <c r="F267" s="10"/>
      <c r="G267" s="10"/>
      <c r="H267" s="10">
        <v>4.3499999999999996</v>
      </c>
      <c r="I267" s="10">
        <v>5.1269999999999998</v>
      </c>
      <c r="J267" s="10">
        <v>5.1269999999999998</v>
      </c>
      <c r="K267" s="10">
        <v>5</v>
      </c>
      <c r="L267" s="10">
        <v>6.5</v>
      </c>
      <c r="M267" s="10">
        <v>6.74</v>
      </c>
      <c r="N267" s="10">
        <v>6.49</v>
      </c>
      <c r="O267" s="10">
        <v>6.5549999999999997</v>
      </c>
      <c r="P267" s="10">
        <v>6.5919999999999996</v>
      </c>
      <c r="Q267" s="58">
        <v>7.5</v>
      </c>
      <c r="R267" s="10">
        <v>6.3</v>
      </c>
      <c r="S267" s="10">
        <f>IFERROR(VLOOKUP('Leveranser per nät'!A267,'lev 2012'!$B$2:$E$445,4,FALSE),"")</f>
        <v>6.38</v>
      </c>
      <c r="T267" s="10">
        <f>IFERROR(VLOOKUP('Leveranser per nät'!A267,'lev 2013'!$B$2:$E$445,4,FALSE),"")</f>
        <v>6.2439999999999998</v>
      </c>
      <c r="U267" s="10">
        <f>IFERROR(VLOOKUP('Leveranser per nät'!A267,'lev 2014'!$B$2:$E$432,4,FALSE),"")</f>
        <v>6.1</v>
      </c>
      <c r="V267" s="10">
        <f>IFERROR(INDEX(Levererat_2015[Leveranser till eget nät],MATCH($A267,Levererat_2015[Indexnamn],0)),"")</f>
        <v>6.6</v>
      </c>
      <c r="W267" s="10">
        <f>IFERROR(INDEX(Levererat_2016[Leveranser till eget nät],MATCH($A267,Levererat_2016[Indexnamn],0)),"")</f>
        <v>6.77</v>
      </c>
      <c r="X267" s="58">
        <v>6.8</v>
      </c>
      <c r="Y267" s="10">
        <f>IFERROR(INDEX(Tabell6[Kolumn1],MATCH($A267,Tabell6[Indexnmamn],0)),"")</f>
        <v>6.59</v>
      </c>
      <c r="Z267" s="10">
        <v>6.38</v>
      </c>
      <c r="AA267" s="10">
        <v>5.9</v>
      </c>
      <c r="AB267" s="10">
        <f>VLOOKUP(A267,Tabell9[[Indexnamn]:[Kolumn1]],3,FALSE)</f>
        <v>6.7</v>
      </c>
      <c r="AC267" s="10">
        <f>VLOOKUP($A267,'Lev 2022'!$K$2:$L$474,2,FALSE)</f>
        <v>6.1</v>
      </c>
      <c r="AG267" s="2">
        <f t="shared" si="11"/>
        <v>-0.60000000000000053</v>
      </c>
      <c r="AH267" s="103">
        <f t="shared" si="12"/>
        <v>-8.9552238805970227E-2</v>
      </c>
    </row>
    <row r="268" spans="1:34" x14ac:dyDescent="0.25">
      <c r="A268" s="3" t="s">
        <v>24</v>
      </c>
      <c r="B268" t="str">
        <f>VLOOKUP(A268,'Korrigerade leveranser GD'!$A$4:$B$482,2,FALSE)</f>
        <v>Borgholm</v>
      </c>
      <c r="C268" s="10"/>
      <c r="D268" s="10"/>
      <c r="E268" s="10"/>
      <c r="F268" s="10"/>
      <c r="G268" s="10"/>
      <c r="H268" s="10"/>
      <c r="I268" s="10"/>
      <c r="J268" s="10"/>
      <c r="K268" s="10"/>
      <c r="L268" s="10"/>
      <c r="M268" s="10"/>
      <c r="N268" s="10"/>
      <c r="O268" s="10"/>
      <c r="P268" s="10">
        <v>0</v>
      </c>
      <c r="Q268" s="10">
        <v>2.2879999999999998</v>
      </c>
      <c r="R268" s="10">
        <v>2.27</v>
      </c>
      <c r="S268" s="56">
        <f>(R268-T268)/2+T268</f>
        <v>2.335</v>
      </c>
      <c r="T268" s="10">
        <f>IFERROR(VLOOKUP('Leveranser per nät'!A268,'lev 2013'!$B$2:$E$445,4,FALSE),"")</f>
        <v>2.4</v>
      </c>
      <c r="U268" s="10">
        <f>IFERROR(VLOOKUP('Leveranser per nät'!A268,'lev 2014'!$B$2:$E$432,4,FALSE),"")</f>
        <v>2.06</v>
      </c>
      <c r="V268" s="10">
        <f>IFERROR(INDEX(Levererat_2015[Leveranser till eget nät],MATCH($A268,Levererat_2015[Indexnamn],0)),"")</f>
        <v>2.0819999999999999</v>
      </c>
      <c r="W268" s="10">
        <f>IFERROR(INDEX(Levererat_2016[Leveranser till eget nät],MATCH($A268,Levererat_2016[Indexnamn],0)),"")</f>
        <v>1.8959999999999999</v>
      </c>
      <c r="X268" s="10">
        <f>IFERROR(INDEX(Tabell4[Leveranser till eget nät],MATCH('Leveranser per nät'!A268,Tabell4[[Finns i listan ]],0)),"")</f>
        <v>1.61</v>
      </c>
      <c r="Y268" s="10">
        <f>IFERROR(INDEX(Tabell6[Kolumn1],MATCH($A268,Tabell6[Indexnmamn],0)),"")</f>
        <v>2.0990000000000002</v>
      </c>
      <c r="Z268" s="10">
        <v>2.3759999999999999</v>
      </c>
      <c r="AA268" s="10">
        <v>1.7769999999999999</v>
      </c>
      <c r="AB268" s="10">
        <f>VLOOKUP(A268,Tabell9[[Indexnamn]:[Kolumn1]],3,FALSE)</f>
        <v>1.7</v>
      </c>
      <c r="AC268" s="10">
        <f>VLOOKUP($A268,'Lev 2022'!$K$2:$L$474,2,FALSE)</f>
        <v>1.8</v>
      </c>
      <c r="AG268" s="2">
        <f t="shared" si="11"/>
        <v>0.10000000000000009</v>
      </c>
      <c r="AH268" s="103">
        <f t="shared" si="12"/>
        <v>5.8823529411764761E-2</v>
      </c>
    </row>
    <row r="269" spans="1:34" x14ac:dyDescent="0.25">
      <c r="A269" t="s">
        <v>271</v>
      </c>
      <c r="B269" t="str">
        <f>VLOOKUP(A269,'Korrigerade leveranser GD'!$A$4:$B$482,2,FALSE)</f>
        <v>Robertsfors</v>
      </c>
      <c r="C269" s="10"/>
      <c r="D269" s="10"/>
      <c r="E269" s="10"/>
      <c r="F269" s="10">
        <v>1</v>
      </c>
      <c r="G269" s="10">
        <v>1</v>
      </c>
      <c r="H269" s="10">
        <v>1</v>
      </c>
      <c r="I269" s="10">
        <v>2</v>
      </c>
      <c r="J269" s="10">
        <v>2</v>
      </c>
      <c r="K269" s="10">
        <v>0.94499999999999995</v>
      </c>
      <c r="L269" s="10">
        <v>0.89860000000000007</v>
      </c>
      <c r="M269" s="10">
        <v>0.93500000000000005</v>
      </c>
      <c r="N269" s="10">
        <v>1.0620000000000001</v>
      </c>
      <c r="O269" s="10">
        <v>1.2270000000000001</v>
      </c>
      <c r="P269" s="10">
        <v>1.8779999999999999</v>
      </c>
      <c r="Q269" s="10">
        <v>2.129</v>
      </c>
      <c r="R269" s="10">
        <v>1.8029999999999999</v>
      </c>
      <c r="S269" s="10">
        <f>IFERROR(VLOOKUP('Leveranser per nät'!A269,'lev 2012'!$B$2:$E$445,4,FALSE),"")</f>
        <v>1.89</v>
      </c>
      <c r="T269" s="10">
        <f>IFERROR(VLOOKUP('Leveranser per nät'!A269,'lev 2013'!$B$2:$E$445,4,FALSE),"")</f>
        <v>1.97</v>
      </c>
      <c r="U269" s="10">
        <f>IFERROR(VLOOKUP('Leveranser per nät'!A269,'lev 2014'!$B$2:$E$432,4,FALSE),"")</f>
        <v>2.3929999999999998</v>
      </c>
      <c r="V269" s="10">
        <f>IFERROR(INDEX(Levererat_2015[Leveranser till eget nät],MATCH($A269,Levererat_2015[Indexnamn],0)),"")</f>
        <v>2.3530000000000002</v>
      </c>
      <c r="W269" s="10">
        <f>IFERROR(INDEX(Levererat_2016[Leveranser till eget nät],MATCH($A269,Levererat_2016[Indexnamn],0)),"")</f>
        <v>3.1749999999999998</v>
      </c>
      <c r="X269" s="10">
        <f>IFERROR(INDEX(Tabell4[Leveranser till eget nät],MATCH('Leveranser per nät'!A269,Tabell4[[Finns i listan ]],0)),"")</f>
        <v>3.2730000000000001</v>
      </c>
      <c r="Y269" s="10">
        <f>IFERROR(INDEX(Tabell6[Kolumn1],MATCH($A269,Tabell6[Indexnmamn],0)),"")</f>
        <v>3.2170000000000001</v>
      </c>
      <c r="Z269" s="10">
        <v>3.3250000000000002</v>
      </c>
      <c r="AA269" s="10">
        <v>2.9929999999999999</v>
      </c>
      <c r="AB269" s="10">
        <f>VLOOKUP(A269,Tabell9[[Indexnamn]:[Kolumn1]],3,FALSE)</f>
        <v>3.319</v>
      </c>
      <c r="AC269" s="10">
        <f>VLOOKUP($A269,'Lev 2022'!$K$2:$L$474,2,FALSE)</f>
        <v>3.5133999999999999</v>
      </c>
      <c r="AG269" s="2">
        <f t="shared" si="11"/>
        <v>0.19439999999999991</v>
      </c>
      <c r="AH269" s="103">
        <f t="shared" si="12"/>
        <v>5.8571858993672767E-2</v>
      </c>
    </row>
    <row r="270" spans="1:34" x14ac:dyDescent="0.25">
      <c r="A270" s="3" t="s">
        <v>200</v>
      </c>
      <c r="B270" t="str">
        <f>VLOOKUP(A270,'Korrigerade leveranser GD'!$A$4:$B$482,2,FALSE)</f>
        <v>Flen</v>
      </c>
      <c r="C270" s="10"/>
      <c r="D270" s="10"/>
      <c r="E270" s="10"/>
      <c r="F270" s="10"/>
      <c r="G270" s="10"/>
      <c r="H270" s="10"/>
      <c r="I270" s="10"/>
      <c r="J270" s="10"/>
      <c r="K270" s="10"/>
      <c r="L270" s="10"/>
      <c r="M270" s="10"/>
      <c r="N270" s="10"/>
      <c r="O270" s="10"/>
      <c r="P270" s="10"/>
      <c r="Q270" s="10"/>
      <c r="R270" s="10"/>
      <c r="S270" s="10" t="str">
        <f>IFERROR(VLOOKUP('Leveranser per nät'!A270,'lev 2012'!$B$2:$E$445,4,FALSE),"")</f>
        <v/>
      </c>
      <c r="T270" s="10" t="str">
        <f>IFERROR(VLOOKUP('Leveranser per nät'!A270,'lev 2013'!$B$2:$E$445,4,FALSE),"")</f>
        <v/>
      </c>
      <c r="U270" s="10">
        <v>13.5</v>
      </c>
      <c r="V270" s="10">
        <f>IFERROR(INDEX(Levererat_2015[Leveranser till eget nät],MATCH($A270,Levererat_2015[Indexnamn],0)),"")</f>
        <v>13.595000000000001</v>
      </c>
      <c r="W270" s="10">
        <f>IFERROR(INDEX(Levererat_2016[Leveranser till eget nät],MATCH($A270,Levererat_2016[Indexnamn],0)),"")</f>
        <v>14.6</v>
      </c>
      <c r="X270" s="10">
        <f>IFERROR(INDEX(Tabell4[Leveranser till eget nät],MATCH('Leveranser per nät'!A270,Tabell4[[Finns i listan ]],0)),"")</f>
        <v>14.914</v>
      </c>
      <c r="Y270" s="10">
        <f>IFERROR(INDEX(Tabell6[Kolumn1],MATCH($A270,Tabell6[Indexnmamn],0)),"")</f>
        <v>14.8</v>
      </c>
      <c r="Z270" s="10">
        <v>14.295999999999999</v>
      </c>
      <c r="AA270" s="10">
        <v>13.1</v>
      </c>
      <c r="AB270" s="10">
        <f>VLOOKUP(A270,Tabell9[[Indexnamn]:[Kolumn1]],3,FALSE)</f>
        <v>14.9</v>
      </c>
      <c r="AC270" s="10">
        <f>VLOOKUP($A270,'Lev 2022'!$K$2:$L$474,2,FALSE)</f>
        <v>13.9</v>
      </c>
      <c r="AG270" s="2">
        <f t="shared" si="11"/>
        <v>-1</v>
      </c>
      <c r="AH270" s="103">
        <f t="shared" si="12"/>
        <v>-6.7114093959731544E-2</v>
      </c>
    </row>
    <row r="271" spans="1:34" x14ac:dyDescent="0.25">
      <c r="A271" t="s">
        <v>43</v>
      </c>
      <c r="B271" t="str">
        <f>VLOOKUP(A271,'Korrigerade leveranser GD'!$A$4:$B$482,2,FALSE)</f>
        <v>Malmö</v>
      </c>
      <c r="C271" s="10">
        <v>2543.8829999999998</v>
      </c>
      <c r="D271" s="10">
        <v>2331.3560000000002</v>
      </c>
      <c r="E271" s="10">
        <v>2272.308</v>
      </c>
      <c r="F271" s="10">
        <v>2898.69</v>
      </c>
      <c r="G271" s="10">
        <v>2749.259</v>
      </c>
      <c r="H271" s="10">
        <v>2255</v>
      </c>
      <c r="I271" s="10">
        <v>2201.2220000000002</v>
      </c>
      <c r="J271" s="10">
        <v>2257.2429999999999</v>
      </c>
      <c r="K271" s="10">
        <v>2230</v>
      </c>
      <c r="L271" s="10">
        <v>2420.8290667250731</v>
      </c>
      <c r="M271" s="10">
        <v>2200</v>
      </c>
      <c r="N271" s="10">
        <v>2032</v>
      </c>
      <c r="O271" s="10">
        <v>2331</v>
      </c>
      <c r="P271" s="10">
        <v>2183.2420000000002</v>
      </c>
      <c r="Q271" s="10">
        <v>2502</v>
      </c>
      <c r="R271" s="10">
        <v>2164.3622336379995</v>
      </c>
      <c r="S271" s="10">
        <f>IFERROR(VLOOKUP('Leveranser per nät'!A271,'lev 2012'!$B$2:$E$445,4,FALSE),"")</f>
        <v>2244</v>
      </c>
      <c r="T271" s="10">
        <f>IFERROR(VLOOKUP('Leveranser per nät'!A271,'lev 2013'!$B$2:$E$445,4,FALSE),"")</f>
        <v>2200</v>
      </c>
      <c r="U271" s="10">
        <f>IFERROR(VLOOKUP('Leveranser per nät'!A271,'lev 2014'!$B$2:$E$432,4,FALSE),"")</f>
        <v>1940</v>
      </c>
      <c r="V271" s="10">
        <f>IFERROR(INDEX(Levererat_2015[Leveranser till eget nät],MATCH($A271,Levererat_2015[Indexnamn],0)),"")</f>
        <v>2052</v>
      </c>
      <c r="W271" s="10">
        <f>IFERROR(INDEX(Levererat_2016[Leveranser till eget nät],MATCH($A271,Levererat_2016[Indexnamn],0)),"")</f>
        <v>2129</v>
      </c>
      <c r="X271" s="10">
        <v>2111</v>
      </c>
      <c r="Y271" s="10">
        <v>2074</v>
      </c>
      <c r="Z271" s="10">
        <v>1971</v>
      </c>
      <c r="AA271" s="10">
        <v>1893.3579999999999</v>
      </c>
      <c r="AB271" s="10">
        <f>VLOOKUP(A271,Tabell9[[Indexnamn]:[Kolumn1]],3,FALSE)</f>
        <v>2129.6210000000001</v>
      </c>
      <c r="AC271" s="10">
        <f>VLOOKUP($A271,'Lev 2022'!$K$2:$L$474,2,FALSE)</f>
        <v>1965.9</v>
      </c>
      <c r="AG271" s="2">
        <f t="shared" si="11"/>
        <v>-163.721</v>
      </c>
      <c r="AH271" s="103">
        <f t="shared" si="12"/>
        <v>-7.6877998479541659E-2</v>
      </c>
    </row>
    <row r="272" spans="1:34" x14ac:dyDescent="0.25">
      <c r="A272" s="46" t="s">
        <v>201</v>
      </c>
      <c r="B272" t="str">
        <f>VLOOKUP(A272,'Korrigerade leveranser GD'!$A$4:$B$482,2,FALSE)</f>
        <v>Malung</v>
      </c>
      <c r="C272" s="10"/>
      <c r="D272" s="10"/>
      <c r="E272" s="10"/>
      <c r="F272" s="10"/>
      <c r="G272" s="10"/>
      <c r="H272" s="10">
        <v>19</v>
      </c>
      <c r="I272" s="10">
        <v>21</v>
      </c>
      <c r="J272" s="10">
        <v>19.899999999999999</v>
      </c>
      <c r="K272" s="10">
        <v>19.641999999999999</v>
      </c>
      <c r="L272" s="10">
        <v>19.643000000000001</v>
      </c>
      <c r="M272" s="10">
        <v>20.100000000000001</v>
      </c>
      <c r="N272" s="10">
        <v>21.004999999999999</v>
      </c>
      <c r="O272" s="10">
        <v>20.861999999999998</v>
      </c>
      <c r="P272" s="10">
        <v>24.07</v>
      </c>
      <c r="Q272" s="10">
        <v>28.31</v>
      </c>
      <c r="R272" s="10">
        <v>22.5</v>
      </c>
      <c r="S272" s="10">
        <f>IFERROR(VLOOKUP('Leveranser per nät'!A272,'lev 2012'!$B$2:$E$445,4,FALSE),"")</f>
        <v>24</v>
      </c>
      <c r="T272" s="10">
        <f>IFERROR(VLOOKUP('Leveranser per nät'!A272,'lev 2013'!$B$2:$E$445,4,FALSE),"")</f>
        <v>23.2</v>
      </c>
      <c r="U272" s="10">
        <f>IFERROR(VLOOKUP('Leveranser per nät'!A272,'lev 2014'!$B$2:$E$432,4,FALSE),"")</f>
        <v>22.3</v>
      </c>
      <c r="V272" s="10">
        <f>IFERROR(INDEX(Levererat_2015[Leveranser till eget nät],MATCH($A272,Levererat_2015[Indexnamn],0)),"")</f>
        <v>28.8</v>
      </c>
      <c r="W272" s="10">
        <f>IFERROR(INDEX(Levererat_2016[Leveranser till eget nät],MATCH($A272,Levererat_2016[Indexnamn],0)),"")</f>
        <v>27.6</v>
      </c>
      <c r="X272" s="10">
        <f>IFERROR(INDEX(Tabell4[Leveranser till eget nät],MATCH('Leveranser per nät'!A272,Tabell4[[Finns i listan ]],0)),"")</f>
        <v>27.1</v>
      </c>
      <c r="Y272" s="10">
        <f>IFERROR(INDEX(Tabell6[Kolumn1],MATCH($A272,Tabell6[Indexnmamn],0)),"")</f>
        <v>27</v>
      </c>
      <c r="Z272" s="10">
        <v>27</v>
      </c>
      <c r="AA272" s="10">
        <v>23.7</v>
      </c>
      <c r="AB272" s="10">
        <f>VLOOKUP(A272,Tabell9[[Indexnamn]:[Kolumn1]],3,FALSE)</f>
        <v>27.2</v>
      </c>
      <c r="AC272" s="10">
        <f>VLOOKUP($A272,'Lev 2022'!$K$2:$L$474,2,FALSE)</f>
        <v>26.2</v>
      </c>
      <c r="AG272" s="2">
        <f t="shared" si="11"/>
        <v>-1</v>
      </c>
      <c r="AH272" s="103">
        <f t="shared" si="12"/>
        <v>-3.6764705882352942E-2</v>
      </c>
    </row>
    <row r="273" spans="1:34" x14ac:dyDescent="0.25">
      <c r="A273" t="s">
        <v>257</v>
      </c>
      <c r="B273" t="str">
        <f>VLOOKUP(A273,'Korrigerade leveranser GD'!$A$4:$B$482,2,FALSE)</f>
        <v>Malå</v>
      </c>
      <c r="C273" s="10">
        <v>35</v>
      </c>
      <c r="D273" s="10">
        <v>53.75</v>
      </c>
      <c r="E273" s="10">
        <v>64</v>
      </c>
      <c r="F273" s="10">
        <v>69</v>
      </c>
      <c r="G273" s="10">
        <v>69</v>
      </c>
      <c r="H273" s="10">
        <v>86.061999999999998</v>
      </c>
      <c r="I273" s="10">
        <v>88</v>
      </c>
      <c r="J273" s="10">
        <v>83</v>
      </c>
      <c r="K273" s="10">
        <v>85.361999999999995</v>
      </c>
      <c r="L273" s="10">
        <v>85.042000000000002</v>
      </c>
      <c r="M273" s="10">
        <v>86.343000000000004</v>
      </c>
      <c r="N273" s="10">
        <v>84.933999999999997</v>
      </c>
      <c r="O273" s="10">
        <v>70.817999999999998</v>
      </c>
      <c r="P273" s="10">
        <v>79.037999999999997</v>
      </c>
      <c r="Q273" s="10">
        <v>90.938000000000002</v>
      </c>
      <c r="R273" s="10">
        <v>70.968999999999994</v>
      </c>
      <c r="S273" s="10">
        <f>IFERROR(VLOOKUP('Leveranser per nät'!A273,'lev 2012'!$B$2:$E$445,4,FALSE),"")</f>
        <v>73</v>
      </c>
      <c r="T273" s="10">
        <f>IFERROR(VLOOKUP('Leveranser per nät'!A273,'lev 2013'!$B$2:$E$445,4,FALSE),"")</f>
        <v>71.888000000000005</v>
      </c>
      <c r="U273" s="10">
        <f>IFERROR(VLOOKUP('Leveranser per nät'!A273,'lev 2014'!$B$2:$E$432,4,FALSE),"")</f>
        <v>74.183999999999997</v>
      </c>
      <c r="V273" s="10">
        <f>IFERROR(INDEX(Levererat_2015[Leveranser till eget nät],MATCH($A273,Levererat_2015[Indexnamn],0)),"")</f>
        <v>67.852999999999994</v>
      </c>
      <c r="W273" s="10">
        <f>IFERROR(INDEX(Levererat_2016[Leveranser till eget nät],MATCH($A273,Levererat_2016[Indexnamn],0)),"")</f>
        <v>74.350999999999999</v>
      </c>
      <c r="X273" s="10">
        <f>IFERROR(INDEX(Tabell4[Leveranser till eget nät],MATCH('Leveranser per nät'!A273,Tabell4[[Finns i listan ]],0)),"")</f>
        <v>80.331999999999994</v>
      </c>
      <c r="Y273" s="10">
        <f>IFERROR(INDEX(Tabell6[Kolumn1],MATCH($A273,Tabell6[Indexnmamn],0)),"")</f>
        <v>87.786000000000001</v>
      </c>
      <c r="Z273" s="10">
        <v>84.712000000000003</v>
      </c>
      <c r="AA273" s="10">
        <v>74.311999999999998</v>
      </c>
      <c r="AB273" s="10">
        <f>VLOOKUP(A273,Tabell9[[Indexnamn]:[Kolumn1]],3,FALSE)</f>
        <v>71.776499999999999</v>
      </c>
      <c r="AC273" s="10">
        <f>VLOOKUP($A273,'Lev 2022'!$K$2:$L$474,2,FALSE)</f>
        <v>70.478899999999996</v>
      </c>
      <c r="AG273" s="2">
        <f t="shared" si="11"/>
        <v>-1.2976000000000028</v>
      </c>
      <c r="AH273" s="103">
        <f t="shared" si="12"/>
        <v>-1.8078340403892678E-2</v>
      </c>
    </row>
    <row r="274" spans="1:34" x14ac:dyDescent="0.25">
      <c r="A274" t="s">
        <v>93</v>
      </c>
      <c r="B274" t="str">
        <f>VLOOKUP(A274,'Korrigerade leveranser GD'!$A$4:$B$482,2,FALSE)</f>
        <v>Hultsfred</v>
      </c>
      <c r="C274" s="10"/>
      <c r="D274" s="10"/>
      <c r="E274" s="10"/>
      <c r="F274" s="10"/>
      <c r="G274" s="10"/>
      <c r="H274" s="10"/>
      <c r="I274" s="10"/>
      <c r="J274" s="10">
        <v>8</v>
      </c>
      <c r="K274" s="10">
        <v>6.4359999999999999</v>
      </c>
      <c r="L274" s="10">
        <v>11.729235116707562</v>
      </c>
      <c r="M274" s="10">
        <v>8.59</v>
      </c>
      <c r="N274" s="10">
        <v>8</v>
      </c>
      <c r="O274" s="10">
        <v>10</v>
      </c>
      <c r="P274" s="10">
        <v>11.33</v>
      </c>
      <c r="Q274" s="10">
        <v>14.66</v>
      </c>
      <c r="R274" s="10">
        <v>12.999000000000001</v>
      </c>
      <c r="S274" s="10">
        <f>IFERROR(VLOOKUP('Leveranser per nät'!A274,'lev 2012'!$B$2:$E$445,4,FALSE),"")</f>
        <v>14.7</v>
      </c>
      <c r="T274" s="10">
        <f>IFERROR(VLOOKUP('Leveranser per nät'!A274,'lev 2013'!$B$2:$E$445,4,FALSE),"")</f>
        <v>14.644</v>
      </c>
      <c r="U274" s="10">
        <f>IFERROR(VLOOKUP('Leveranser per nät'!A274,'lev 2014'!$B$2:$E$432,4,FALSE),"")</f>
        <v>13.115</v>
      </c>
      <c r="V274" s="10">
        <f>IFERROR(INDEX(Levererat_2015[Leveranser till eget nät],MATCH($A274,Levererat_2015[Indexnamn],0)),"")</f>
        <v>13.257</v>
      </c>
      <c r="W274" s="10">
        <f>IFERROR(INDEX(Levererat_2016[Leveranser till eget nät],MATCH($A274,Levererat_2016[Indexnamn],0)),"")</f>
        <v>14.476000000000001</v>
      </c>
      <c r="X274" s="10">
        <f>IFERROR(INDEX(Tabell4[Leveranser till eget nät],MATCH('Leveranser per nät'!A274,Tabell4[[Finns i listan ]],0)),"")</f>
        <v>14.401999999999999</v>
      </c>
      <c r="Y274" s="10">
        <f>IFERROR(INDEX(Tabell6[Kolumn1],MATCH($A274,Tabell6[Indexnmamn],0)),"")</f>
        <v>14.026</v>
      </c>
      <c r="Z274" s="10">
        <v>12.869</v>
      </c>
      <c r="AA274" s="10">
        <v>11.625</v>
      </c>
      <c r="AB274" s="10">
        <f>VLOOKUP(A274,Tabell9[[Indexnamn]:[Kolumn1]],3,FALSE)</f>
        <v>13.411</v>
      </c>
      <c r="AC274" s="10">
        <f>VLOOKUP($A274,'Lev 2022'!$K$2:$L$474,2,FALSE)</f>
        <v>12.244999999999999</v>
      </c>
      <c r="AG274" s="2">
        <f t="shared" si="11"/>
        <v>-1.1660000000000004</v>
      </c>
      <c r="AH274" s="103">
        <f t="shared" si="12"/>
        <v>-8.6943553799120152E-2</v>
      </c>
    </row>
    <row r="275" spans="1:34" x14ac:dyDescent="0.25">
      <c r="A275" t="s">
        <v>406</v>
      </c>
      <c r="B275" t="s">
        <v>311</v>
      </c>
      <c r="C275" s="10"/>
      <c r="D275" s="10"/>
      <c r="E275" s="10"/>
      <c r="F275" s="10"/>
      <c r="G275" s="10"/>
      <c r="H275" s="10"/>
      <c r="I275" s="10"/>
      <c r="J275" s="10"/>
      <c r="K275" s="10">
        <v>3.3730000000000002</v>
      </c>
      <c r="L275" s="10">
        <v>4.1760000000000002</v>
      </c>
      <c r="M275" s="10"/>
      <c r="N275" s="10"/>
      <c r="O275" s="10"/>
      <c r="P275" s="10"/>
      <c r="Q275" s="10"/>
      <c r="R275" s="10"/>
      <c r="S275" s="10" t="str">
        <f>IFERROR(VLOOKUP('Leveranser per nät'!A275,'lev 2012'!$B$2:$E$445,4,FALSE),"")</f>
        <v/>
      </c>
      <c r="T275" s="10" t="str">
        <f>IFERROR(VLOOKUP('Leveranser per nät'!A275,'lev 2013'!$B$2:$E$445,4,FALSE),"")</f>
        <v/>
      </c>
      <c r="U275" s="10" t="str">
        <f>IFERROR(VLOOKUP('Leveranser per nät'!A275,'lev 2014'!$B$2:$E$432,4,FALSE),"")</f>
        <v/>
      </c>
      <c r="V275" s="10" t="str">
        <f>IFERROR(INDEX(Levererat_2015[Leveranser till eget nät],MATCH($A275,Levererat_2015[Indexnamn],0)),"")</f>
        <v/>
      </c>
      <c r="W275" s="10" t="str">
        <f>IFERROR(INDEX(Levererat_2016[Leveranser till eget nät],MATCH($A275,Levererat_2016[Indexnamn],0)),"")</f>
        <v/>
      </c>
      <c r="X275" s="10" t="str">
        <f>IFERROR(INDEX(Tabell4[Leveranser till eget nät],MATCH('Leveranser per nät'!A275,Tabell4[[Finns i listan ]],0)),"")</f>
        <v/>
      </c>
      <c r="Y275" s="10" t="str">
        <f>IFERROR(INDEX(Tabell6[Kolumn1],MATCH($A275,Tabell6[Indexnmamn],0)),"")</f>
        <v/>
      </c>
      <c r="Z275" s="10"/>
      <c r="AA275" s="10"/>
      <c r="AB275" s="10"/>
      <c r="AC275" s="10"/>
      <c r="AG275" s="2"/>
      <c r="AH275" s="103"/>
    </row>
    <row r="276" spans="1:34" x14ac:dyDescent="0.25">
      <c r="A276" t="s">
        <v>202</v>
      </c>
      <c r="B276" t="str">
        <f>VLOOKUP(A276,'Korrigerade leveranser GD'!$A$4:$B$482,2,FALSE)</f>
        <v>Mariestad</v>
      </c>
      <c r="C276" s="10">
        <v>32</v>
      </c>
      <c r="D276" s="10">
        <v>37.799999999999997</v>
      </c>
      <c r="E276" s="10">
        <v>45</v>
      </c>
      <c r="F276" s="10">
        <v>59</v>
      </c>
      <c r="G276" s="10">
        <v>57</v>
      </c>
      <c r="H276" s="10">
        <v>71</v>
      </c>
      <c r="I276" s="10">
        <v>78</v>
      </c>
      <c r="J276" s="10">
        <v>89</v>
      </c>
      <c r="K276" s="10">
        <v>89.001000000000005</v>
      </c>
      <c r="L276" s="10">
        <v>98</v>
      </c>
      <c r="M276" s="10">
        <v>110.089</v>
      </c>
      <c r="N276" s="10">
        <v>109.35899999999999</v>
      </c>
      <c r="O276" s="10">
        <v>109</v>
      </c>
      <c r="P276" s="10">
        <v>138.4</v>
      </c>
      <c r="Q276" s="10">
        <v>151.18799999999999</v>
      </c>
      <c r="R276" s="10">
        <v>129.13499999999999</v>
      </c>
      <c r="S276" s="10">
        <f>IFERROR(VLOOKUP('Leveranser per nät'!A276,'lev 2012'!$B$2:$E$445,4,FALSE),"")</f>
        <v>135</v>
      </c>
      <c r="T276" s="10">
        <f>IFERROR(VLOOKUP('Leveranser per nät'!A276,'lev 2013'!$B$2:$E$445,4,FALSE),"")</f>
        <v>131.256</v>
      </c>
      <c r="U276" s="10">
        <f>IFERROR(VLOOKUP('Leveranser per nät'!A276,'lev 2014'!$B$2:$E$432,4,FALSE),"")</f>
        <v>118.5</v>
      </c>
      <c r="V276" s="10">
        <f>IFERROR(INDEX(Levererat_2015[Leveranser till eget nät],MATCH($A276,Levererat_2015[Indexnamn],0)),"")</f>
        <v>119.6</v>
      </c>
      <c r="W276" s="10">
        <f>IFERROR(INDEX(Levererat_2016[Leveranser till eget nät],MATCH($A276,Levererat_2016[Indexnamn],0)),"")</f>
        <v>128.6</v>
      </c>
      <c r="X276" s="10">
        <f>IFERROR(INDEX(Tabell4[Leveranser till eget nät],MATCH('Leveranser per nät'!A276,Tabell4[[Finns i listan ]],0)),"")</f>
        <v>124.956</v>
      </c>
      <c r="Y276" s="10">
        <f>IFERROR(INDEX(Tabell6[Kolumn1],MATCH($A276,Tabell6[Indexnmamn],0)),"")</f>
        <v>128.35300000000001</v>
      </c>
      <c r="Z276" s="10">
        <v>125.908</v>
      </c>
      <c r="AA276" s="10">
        <v>119.116</v>
      </c>
      <c r="AB276" s="10">
        <f>VLOOKUP(A276,Tabell9[[Indexnamn]:[Kolumn1]],3,FALSE)</f>
        <v>141.16</v>
      </c>
      <c r="AC276" s="10">
        <f>VLOOKUP($A276,'Lev 2022'!$K$2:$L$474,2,FALSE)</f>
        <v>132.63</v>
      </c>
      <c r="AG276" s="2">
        <f t="shared" si="11"/>
        <v>-8.5300000000000011</v>
      </c>
      <c r="AH276" s="103">
        <f t="shared" si="12"/>
        <v>-6.0427883253046197E-2</v>
      </c>
    </row>
    <row r="277" spans="1:34" s="77" customFormat="1" x14ac:dyDescent="0.25">
      <c r="A277" s="77" t="s">
        <v>82</v>
      </c>
      <c r="B277" s="77" t="str">
        <f>VLOOKUP(A277,'Korrigerade leveranser GD'!$A$4:$B$482,2,FALSE)</f>
        <v>Markaryd</v>
      </c>
      <c r="C277" s="69"/>
      <c r="D277" s="69"/>
      <c r="E277" s="69"/>
      <c r="F277" s="69"/>
      <c r="G277" s="69"/>
      <c r="H277" s="69"/>
      <c r="I277" s="69"/>
      <c r="J277" s="69"/>
      <c r="K277" s="69"/>
      <c r="L277" s="69">
        <v>0</v>
      </c>
      <c r="M277" s="69">
        <v>17.399999999999999</v>
      </c>
      <c r="N277" s="69">
        <v>17</v>
      </c>
      <c r="O277" s="69">
        <v>15.602</v>
      </c>
      <c r="P277" s="69">
        <v>19.184000000000001</v>
      </c>
      <c r="Q277" s="69">
        <v>22</v>
      </c>
      <c r="R277" s="69">
        <v>19.257268001</v>
      </c>
      <c r="S277" s="69">
        <f>IFERROR(VLOOKUP('Leveranser per nät'!A277,'lev 2012'!$B$2:$E$445,4,FALSE),"")</f>
        <v>22</v>
      </c>
      <c r="T277" s="69">
        <f>IFERROR(VLOOKUP('Leveranser per nät'!A277,'lev 2013'!$B$2:$E$445,4,FALSE),"")</f>
        <v>22.6</v>
      </c>
      <c r="U277" s="56">
        <f>(T277-V277)/2+V277</f>
        <v>21.9</v>
      </c>
      <c r="V277" s="69">
        <v>21.2</v>
      </c>
      <c r="W277" s="69">
        <v>21.2</v>
      </c>
      <c r="X277" s="69">
        <v>20.6</v>
      </c>
      <c r="Y277" s="69">
        <v>20.2</v>
      </c>
      <c r="Z277" s="69">
        <v>19.399999999999999</v>
      </c>
      <c r="AA277" s="58">
        <v>18.279</v>
      </c>
      <c r="AB277" s="10">
        <f>VLOOKUP(A277,Tabell9[[Indexnamn]:[Kolumn1]],3,FALSE)</f>
        <v>20.8</v>
      </c>
      <c r="AC277" s="10">
        <f>VLOOKUP($A277,'Lev 2022'!$K$2:$L$474,2,FALSE)</f>
        <v>18.5</v>
      </c>
      <c r="AD277"/>
      <c r="AE277"/>
      <c r="AG277" s="2">
        <f t="shared" si="11"/>
        <v>-2.3000000000000007</v>
      </c>
      <c r="AH277" s="103">
        <f t="shared" si="12"/>
        <v>-0.1105769230769231</v>
      </c>
    </row>
    <row r="278" spans="1:34" x14ac:dyDescent="0.25">
      <c r="A278" t="s">
        <v>294</v>
      </c>
      <c r="B278" t="str">
        <f>VLOOKUP(A278,'Korrigerade leveranser GD'!$A$4:$B$482,2,FALSE)</f>
        <v>Sundsvall</v>
      </c>
      <c r="C278" s="10"/>
      <c r="D278" s="10"/>
      <c r="E278" s="10"/>
      <c r="F278" s="10"/>
      <c r="G278" s="10"/>
      <c r="H278" s="10"/>
      <c r="I278" s="10"/>
      <c r="J278" s="10"/>
      <c r="K278" s="10"/>
      <c r="L278" s="10">
        <v>0</v>
      </c>
      <c r="M278" s="10">
        <v>10.792</v>
      </c>
      <c r="N278" s="10">
        <v>12.759</v>
      </c>
      <c r="O278" s="10">
        <v>11.414999999999999</v>
      </c>
      <c r="P278" s="10">
        <v>14.285</v>
      </c>
      <c r="Q278" s="10">
        <v>13.2</v>
      </c>
      <c r="R278" s="10">
        <v>24.3</v>
      </c>
      <c r="S278" s="10">
        <f>IFERROR(VLOOKUP('Leveranser per nät'!A278,'lev 2012'!$B$2:$E$445,4,FALSE),"")</f>
        <v>15.6</v>
      </c>
      <c r="T278" s="10">
        <f>IFERROR(VLOOKUP('Leveranser per nät'!A278,'lev 2013'!$B$2:$E$445,4,FALSE),"")</f>
        <v>15.288</v>
      </c>
      <c r="U278" s="10">
        <f>IFERROR(VLOOKUP('Leveranser per nät'!A278,'lev 2014'!$B$2:$E$432,4,FALSE),"")</f>
        <v>14.4</v>
      </c>
      <c r="V278" s="10">
        <f>IFERROR(INDEX(Levererat_2015[Leveranser till eget nät],MATCH($A278,Levererat_2015[Indexnamn],0)),"")</f>
        <v>14.74</v>
      </c>
      <c r="W278" s="10">
        <f>IFERROR(INDEX(Levererat_2016[Leveranser till eget nät],MATCH($A278,Levererat_2016[Indexnamn],0)),"")</f>
        <v>18.888000000000002</v>
      </c>
      <c r="X278" s="10">
        <f>IFERROR(INDEX(Tabell4[Leveranser till eget nät],MATCH('Leveranser per nät'!A278,Tabell4[[Finns i listan ]],0)),"")</f>
        <v>15.388999999999999</v>
      </c>
      <c r="Y278" s="10">
        <f>IFERROR(INDEX(Tabell6[Kolumn1],MATCH($A278,Tabell6[Indexnmamn],0)),"")</f>
        <v>15.986000000000001</v>
      </c>
      <c r="Z278" s="10">
        <v>15.109</v>
      </c>
      <c r="AA278" s="10">
        <v>14.196</v>
      </c>
      <c r="AB278" s="10">
        <f>VLOOKUP(A278,Tabell9[[Indexnamn]:[Kolumn1]],3,FALSE)</f>
        <v>15.247</v>
      </c>
      <c r="AC278" s="10">
        <f>VLOOKUP($A278,'Lev 2022'!$K$2:$L$474,2,FALSE)</f>
        <v>14.52459</v>
      </c>
      <c r="AG278" s="2">
        <f t="shared" si="11"/>
        <v>-0.72241</v>
      </c>
      <c r="AH278" s="103">
        <f t="shared" si="12"/>
        <v>-4.7380468288843708E-2</v>
      </c>
    </row>
    <row r="279" spans="1:34" x14ac:dyDescent="0.25">
      <c r="A279" t="s">
        <v>205</v>
      </c>
      <c r="B279" t="str">
        <f>VLOOKUP(A279,'Korrigerade leveranser GD'!$A$4:$B$482,2,FALSE)</f>
        <v>Mjölby</v>
      </c>
      <c r="C279" s="10">
        <v>128</v>
      </c>
      <c r="D279" s="10">
        <v>110.8</v>
      </c>
      <c r="E279" s="10">
        <v>127</v>
      </c>
      <c r="F279" s="10">
        <v>122</v>
      </c>
      <c r="G279" s="10">
        <v>122</v>
      </c>
      <c r="H279" s="10">
        <v>147</v>
      </c>
      <c r="I279" s="10">
        <v>150.5</v>
      </c>
      <c r="J279" s="10">
        <v>160</v>
      </c>
      <c r="K279" s="10">
        <v>159.518</v>
      </c>
      <c r="L279" s="10">
        <v>154.227</v>
      </c>
      <c r="M279" s="10">
        <v>157</v>
      </c>
      <c r="N279" s="10">
        <v>156</v>
      </c>
      <c r="O279" s="10">
        <v>164</v>
      </c>
      <c r="P279" s="10">
        <v>176</v>
      </c>
      <c r="Q279" s="10">
        <v>203.2</v>
      </c>
      <c r="R279" s="10">
        <v>168</v>
      </c>
      <c r="S279" s="10">
        <f>IFERROR(VLOOKUP('Leveranser per nät'!A279,'lev 2012'!$B$2:$E$445,4,FALSE),"")</f>
        <v>186</v>
      </c>
      <c r="T279" s="10">
        <v>180.9</v>
      </c>
      <c r="U279" s="10">
        <f>IFERROR(VLOOKUP('Leveranser per nät'!A279,'lev 2014'!$B$2:$E$432,4,FALSE),"")</f>
        <v>164.5</v>
      </c>
      <c r="V279" s="10">
        <f>IFERROR(INDEX(Levererat_2015[Leveranser till eget nät],MATCH($A279,Levererat_2015[Indexnamn],0)),"")</f>
        <v>164.23000000000002</v>
      </c>
      <c r="W279" s="10">
        <f>IFERROR(INDEX(Levererat_2016[Leveranser till eget nät],MATCH($A279,Levererat_2016[Indexnamn],0)),"")</f>
        <v>176.54000000000002</v>
      </c>
      <c r="X279" s="10">
        <f>IFERROR(INDEX(Tabell4[Leveranser till eget nät],MATCH('Leveranser per nät'!A279,Tabell4[[Finns i listan ]],0)),"")</f>
        <v>175.09</v>
      </c>
      <c r="Y279" s="10">
        <f>IFERROR(INDEX(Tabell6[Kolumn1],MATCH($A279,Tabell6[Indexnmamn],0)),"")</f>
        <v>175.88</v>
      </c>
      <c r="Z279" s="10">
        <v>174.06</v>
      </c>
      <c r="AA279" s="10">
        <v>159.30000000000001</v>
      </c>
      <c r="AB279" s="10">
        <f>VLOOKUP(A279,Tabell9[[Indexnamn]:[Kolumn1]],3,FALSE)</f>
        <v>187.3</v>
      </c>
      <c r="AC279" s="10">
        <f>VLOOKUP($A279,'Lev 2022'!$K$2:$L$474,2,FALSE)</f>
        <v>174.56209999999999</v>
      </c>
      <c r="AG279" s="2">
        <f t="shared" si="11"/>
        <v>-12.737900000000025</v>
      </c>
      <c r="AH279" s="103">
        <f t="shared" si="12"/>
        <v>-6.8008008542445403E-2</v>
      </c>
    </row>
    <row r="280" spans="1:34" s="65" customFormat="1" x14ac:dyDescent="0.25">
      <c r="A280" s="65" t="s">
        <v>795</v>
      </c>
      <c r="B280" s="65" t="s">
        <v>301</v>
      </c>
      <c r="C280" s="68"/>
      <c r="D280" s="68"/>
      <c r="E280" s="68"/>
      <c r="F280" s="68"/>
      <c r="G280" s="68"/>
      <c r="H280" s="68"/>
      <c r="I280" s="68"/>
      <c r="J280" s="68"/>
      <c r="K280" s="68"/>
      <c r="L280" s="68"/>
      <c r="M280" s="68"/>
      <c r="N280" s="68"/>
      <c r="O280" s="68"/>
      <c r="P280" s="68"/>
      <c r="Q280" s="68"/>
      <c r="R280" s="68"/>
      <c r="S280" s="68"/>
      <c r="T280" s="68"/>
      <c r="U280" s="68">
        <v>0.79800000000000004</v>
      </c>
      <c r="V280" s="68">
        <v>0.78900000000000003</v>
      </c>
      <c r="W280" s="68">
        <v>0.47699999999999998</v>
      </c>
      <c r="X280" s="68"/>
      <c r="Y280" s="68"/>
      <c r="Z280" s="68"/>
      <c r="AA280" s="68" t="s">
        <v>779</v>
      </c>
      <c r="AB280" s="10"/>
      <c r="AC280" s="10"/>
      <c r="AD280"/>
      <c r="AE280"/>
      <c r="AG280" s="2"/>
      <c r="AH280" s="103"/>
    </row>
    <row r="281" spans="1:34" x14ac:dyDescent="0.25">
      <c r="A281" t="s">
        <v>3</v>
      </c>
      <c r="B281" t="str">
        <f>VLOOKUP(A281,'Korrigerade leveranser GD'!$A$4:$B$482,2,FALSE)</f>
        <v>Alvesta</v>
      </c>
      <c r="C281" s="10"/>
      <c r="D281" s="10"/>
      <c r="E281" s="10"/>
      <c r="F281" s="10"/>
      <c r="G281" s="10">
        <v>0</v>
      </c>
      <c r="H281" s="10">
        <v>8</v>
      </c>
      <c r="I281" s="10">
        <v>20.86</v>
      </c>
      <c r="J281" s="10">
        <v>21</v>
      </c>
      <c r="K281" s="56">
        <f>(J281-M281)/3*2+M281</f>
        <v>25.333333333333336</v>
      </c>
      <c r="L281" s="56">
        <f>(J281-M281)/3+M281</f>
        <v>29.666666666666668</v>
      </c>
      <c r="M281" s="10">
        <v>34</v>
      </c>
      <c r="N281" s="10">
        <v>33</v>
      </c>
      <c r="O281" s="10">
        <v>35</v>
      </c>
      <c r="P281" s="10">
        <v>35</v>
      </c>
      <c r="Q281" s="10">
        <v>38</v>
      </c>
      <c r="R281" s="10">
        <v>34.749000000000002</v>
      </c>
      <c r="S281" s="10">
        <f>IFERROR(VLOOKUP('Leveranser per nät'!A281,'lev 2012'!$B$2:$E$445,4,FALSE),"")</f>
        <v>34</v>
      </c>
      <c r="T281" s="10">
        <v>29.1</v>
      </c>
      <c r="U281" s="10">
        <v>28.9</v>
      </c>
      <c r="V281" s="58">
        <v>31.3</v>
      </c>
      <c r="W281" s="10">
        <f>IFERROR(INDEX(Levererat_2016[Leveranser till eget nät],MATCH($A281,Levererat_2016[Indexnamn],0)),"")</f>
        <v>11.27</v>
      </c>
      <c r="X281" s="10">
        <f>IFERROR(INDEX(Tabell4[Leveranser till eget nät],MATCH('Leveranser per nät'!A281,Tabell4[[Finns i listan ]],0)),"")</f>
        <v>10.3</v>
      </c>
      <c r="Y281" s="10">
        <f>IFERROR(INDEX(Tabell6[Kolumn1],MATCH($A281,Tabell6[Indexnmamn],0)),"")</f>
        <v>10.67</v>
      </c>
      <c r="Z281" s="10">
        <v>10.71</v>
      </c>
      <c r="AA281" s="10">
        <v>10.130000000000001</v>
      </c>
      <c r="AB281" s="10">
        <f>VLOOKUP(A281,Tabell9[[Indexnamn]:[Kolumn1]],3,FALSE)</f>
        <v>11.62</v>
      </c>
      <c r="AC281" s="10">
        <f>VLOOKUP($A281,'Lev 2022'!$K$2:$L$474,2,FALSE)</f>
        <v>10.57</v>
      </c>
      <c r="AG281" s="2">
        <f t="shared" si="11"/>
        <v>-1.0499999999999989</v>
      </c>
      <c r="AH281" s="103">
        <f t="shared" si="12"/>
        <v>-9.0361445783132446E-2</v>
      </c>
    </row>
    <row r="282" spans="1:34" x14ac:dyDescent="0.25">
      <c r="A282" t="s">
        <v>491</v>
      </c>
      <c r="B282" t="str">
        <f>VLOOKUP(A282,'Korrigerade leveranser GD'!$A$4:$B$482,2,FALSE)</f>
        <v>Örnsköldsvik</v>
      </c>
      <c r="C282" s="10"/>
      <c r="D282" s="10"/>
      <c r="E282" s="10"/>
      <c r="F282" s="10"/>
      <c r="G282" s="10"/>
      <c r="H282" s="10"/>
      <c r="I282" s="10"/>
      <c r="J282" s="10"/>
      <c r="K282" s="10"/>
      <c r="L282" s="10"/>
      <c r="M282" s="10"/>
      <c r="N282" s="10"/>
      <c r="O282" s="10"/>
      <c r="P282" s="10"/>
      <c r="Q282" s="10">
        <v>0.63700000000000001</v>
      </c>
      <c r="R282" s="58">
        <v>0.5</v>
      </c>
      <c r="S282" s="10">
        <f>IFERROR(VLOOKUP('Leveranser per nät'!A282,'lev 2012'!$B$2:$E$445,4,FALSE),"")</f>
        <v>0.61</v>
      </c>
      <c r="T282" s="10">
        <f>IFERROR(VLOOKUP('Leveranser per nät'!A282,'lev 2013'!$B$2:$E$445,4,FALSE),"")</f>
        <v>0.57599999999999996</v>
      </c>
      <c r="U282" s="10">
        <f>IFERROR(VLOOKUP('Leveranser per nät'!A282,'lev 2014'!$B$2:$E$432,4,FALSE),"")</f>
        <v>0.53100000000000003</v>
      </c>
      <c r="V282" s="10">
        <f>IFERROR(INDEX(Levererat_2015[Leveranser till eget nät],MATCH($A282,Levererat_2015[Indexnamn],0)),"")</f>
        <v>0.56200000000000006</v>
      </c>
      <c r="W282" s="10">
        <f>IFERROR(INDEX(Levererat_2016[Leveranser till eget nät],MATCH($A282,Levererat_2016[Indexnamn],0)),"")</f>
        <v>0.58499999999999996</v>
      </c>
      <c r="X282" s="10">
        <f>IFERROR(INDEX(Tabell4[Leveranser till eget nät],MATCH('Leveranser per nät'!A282,Tabell4[[Finns i listan ]],0)),"")</f>
        <v>0.59499999999999997</v>
      </c>
      <c r="Y282" s="10">
        <f>IFERROR(INDEX(Tabell6[Kolumn1],MATCH($A282,Tabell6[Indexnmamn],0)),"")</f>
        <v>0.54</v>
      </c>
      <c r="Z282" s="10">
        <v>0.43</v>
      </c>
      <c r="AA282" s="10">
        <v>0.4</v>
      </c>
      <c r="AB282" s="10">
        <f>VLOOKUP(A282,Tabell9[[Indexnamn]:[Kolumn1]],3,FALSE)</f>
        <v>0.36</v>
      </c>
      <c r="AC282" s="10">
        <f>VLOOKUP($A282,'Lev 2022'!$K$2:$L$474,2,FALSE)</f>
        <v>0.52</v>
      </c>
      <c r="AG282" s="2">
        <f t="shared" si="11"/>
        <v>0.16000000000000003</v>
      </c>
      <c r="AH282" s="103">
        <f t="shared" si="12"/>
        <v>0.44444444444444453</v>
      </c>
    </row>
    <row r="283" spans="1:34" x14ac:dyDescent="0.25">
      <c r="A283" t="s">
        <v>52</v>
      </c>
      <c r="B283" t="str">
        <f>VLOOKUP(A283,'Korrigerade leveranser GD'!$A$4:$B$482,2,FALSE)</f>
        <v>Mora</v>
      </c>
      <c r="C283" s="10">
        <v>91</v>
      </c>
      <c r="D283" s="10">
        <v>77.34</v>
      </c>
      <c r="E283" s="10">
        <v>79</v>
      </c>
      <c r="F283" s="10">
        <v>86</v>
      </c>
      <c r="G283" s="10">
        <v>80</v>
      </c>
      <c r="H283" s="10">
        <v>92</v>
      </c>
      <c r="I283" s="10">
        <v>95</v>
      </c>
      <c r="J283" s="10">
        <v>92</v>
      </c>
      <c r="K283" s="10">
        <v>93.572999999999993</v>
      </c>
      <c r="L283" s="10">
        <v>120.35638884532223</v>
      </c>
      <c r="M283" s="10">
        <v>83.861999999999995</v>
      </c>
      <c r="N283" s="10">
        <v>95.7</v>
      </c>
      <c r="O283" s="10">
        <v>98.3</v>
      </c>
      <c r="P283" s="10">
        <v>116</v>
      </c>
      <c r="Q283" s="10">
        <v>132.5</v>
      </c>
      <c r="R283" s="10">
        <v>105.24</v>
      </c>
      <c r="S283" s="10">
        <f>IFERROR(VLOOKUP('Leveranser per nät'!A283,'lev 2012'!$B$2:$E$445,4,FALSE),"")</f>
        <v>113</v>
      </c>
      <c r="T283" s="10">
        <f>IFERROR(VLOOKUP('Leveranser per nät'!A283,'lev 2013'!$B$2:$E$445,4,FALSE),"")</f>
        <v>111.563</v>
      </c>
      <c r="U283" s="10">
        <f>IFERROR(VLOOKUP('Leveranser per nät'!A283,'lev 2014'!$B$2:$E$432,4,FALSE),"")</f>
        <v>99.132000000000005</v>
      </c>
      <c r="V283" s="10">
        <f>IFERROR(INDEX(Levererat_2015[Leveranser till eget nät],MATCH($A283,Levererat_2015[Indexnamn],0)),"")</f>
        <v>99.8</v>
      </c>
      <c r="W283" s="10">
        <f>IFERROR(INDEX(Levererat_2016[Leveranser till eget nät],MATCH($A283,Levererat_2016[Indexnamn],0)),"")</f>
        <v>105</v>
      </c>
      <c r="X283" s="10">
        <f>IFERROR(INDEX(Tabell4[Leveranser till eget nät],MATCH('Leveranser per nät'!A283,Tabell4[[Finns i listan ]],0)),"")</f>
        <v>113.002</v>
      </c>
      <c r="Y283" s="10">
        <f>IFERROR(INDEX(Tabell6[Kolumn1],MATCH($A283,Tabell6[Indexnmamn],0)),"")</f>
        <v>107.4</v>
      </c>
      <c r="Z283" s="10">
        <v>104.622</v>
      </c>
      <c r="AA283" s="10">
        <v>91.834000000000003</v>
      </c>
      <c r="AB283" s="10">
        <f>VLOOKUP(A283,Tabell9[[Indexnamn]:[Kolumn1]],3,FALSE)</f>
        <v>109.202</v>
      </c>
      <c r="AC283" s="10">
        <f>VLOOKUP($A283,'Lev 2022'!$K$2:$L$474,2,FALSE)</f>
        <v>102.71599999999999</v>
      </c>
      <c r="AG283" s="2">
        <f t="shared" si="11"/>
        <v>-6.4860000000000042</v>
      </c>
      <c r="AH283" s="103">
        <f t="shared" si="12"/>
        <v>-5.9394516583945386E-2</v>
      </c>
    </row>
    <row r="284" spans="1:34" s="65" customFormat="1" x14ac:dyDescent="0.25">
      <c r="A284" s="65" t="s">
        <v>492</v>
      </c>
      <c r="B284" s="65" t="s">
        <v>253</v>
      </c>
      <c r="C284" s="68"/>
      <c r="D284" s="68"/>
      <c r="E284" s="68"/>
      <c r="F284" s="68"/>
      <c r="G284" s="68"/>
      <c r="H284" s="68"/>
      <c r="I284" s="68"/>
      <c r="J284" s="68"/>
      <c r="K284" s="68"/>
      <c r="L284" s="68"/>
      <c r="M284" s="68"/>
      <c r="N284" s="68"/>
      <c r="O284" s="68"/>
      <c r="P284" s="68">
        <v>0</v>
      </c>
      <c r="Q284" s="68">
        <v>9.5</v>
      </c>
      <c r="R284" s="68">
        <v>9.1</v>
      </c>
      <c r="S284" s="68" t="str">
        <f>IFERROR(VLOOKUP('Leveranser per nät'!A284,'lev 2012'!$B$2:$E$445,4,FALSE),"")</f>
        <v/>
      </c>
      <c r="T284" s="68" t="str">
        <f>IFERROR(VLOOKUP('Leveranser per nät'!A284,'lev 2013'!$B$2:$E$445,4,FALSE),"")</f>
        <v/>
      </c>
      <c r="U284" s="68" t="str">
        <f>IFERROR(VLOOKUP('Leveranser per nät'!A284,'lev 2014'!$B$2:$E$432,4,FALSE),"")</f>
        <v/>
      </c>
      <c r="V284" s="68" t="str">
        <f>IFERROR(INDEX(Levererat_2015[Leveranser till eget nät],MATCH($A284,Levererat_2015[Indexnamn],0)),"")</f>
        <v/>
      </c>
      <c r="W284" s="68" t="str">
        <f>IFERROR(INDEX(Levererat_2016[Leveranser till eget nät],MATCH($A284,Levererat_2016[Indexnamn],0)),"")</f>
        <v/>
      </c>
      <c r="X284" s="68" t="str">
        <f>IFERROR(INDEX(Tabell4[Leveranser till eget nät],MATCH('Leveranser per nät'!A284,Tabell4[[Finns i listan ]],0)),"")</f>
        <v/>
      </c>
      <c r="Y284" s="68" t="str">
        <f>IFERROR(INDEX(Tabell6[Kolumn1],MATCH($A284,Tabell6[Indexnmamn],0)),"")</f>
        <v/>
      </c>
      <c r="Z284" s="68"/>
      <c r="AA284" s="68" t="s">
        <v>779</v>
      </c>
      <c r="AB284" s="10"/>
      <c r="AC284" s="10"/>
      <c r="AD284"/>
      <c r="AE284"/>
      <c r="AG284" s="2"/>
      <c r="AH284" s="103"/>
    </row>
    <row r="285" spans="1:34" x14ac:dyDescent="0.25">
      <c r="A285" t="s">
        <v>336</v>
      </c>
      <c r="B285" t="str">
        <f>VLOOKUP(A285,'Korrigerade leveranser GD'!$A$4:$B$482,2,FALSE)</f>
        <v>Motala</v>
      </c>
      <c r="C285" s="10">
        <v>97</v>
      </c>
      <c r="D285" s="10">
        <v>123.74</v>
      </c>
      <c r="E285" s="10">
        <v>152</v>
      </c>
      <c r="F285" s="10">
        <v>165</v>
      </c>
      <c r="G285" s="10">
        <v>153</v>
      </c>
      <c r="H285" s="10">
        <v>170</v>
      </c>
      <c r="I285" s="10">
        <v>173.02699999999999</v>
      </c>
      <c r="J285" s="10">
        <v>166.60499999999999</v>
      </c>
      <c r="K285" s="10">
        <v>141.85119757627297</v>
      </c>
      <c r="L285" s="10">
        <v>141.85119757627297</v>
      </c>
      <c r="M285" s="10">
        <v>185.27199999999999</v>
      </c>
      <c r="N285" s="10">
        <v>165.8</v>
      </c>
      <c r="O285" s="10">
        <v>154.69999999999999</v>
      </c>
      <c r="P285" s="10">
        <v>165.1</v>
      </c>
      <c r="Q285" s="10">
        <v>190.73</v>
      </c>
      <c r="R285" s="10">
        <v>161.1</v>
      </c>
      <c r="S285" s="10">
        <f>IFERROR(VLOOKUP('Leveranser per nät'!A285,'lev 2012'!$B$2:$E$445,4,FALSE),"")</f>
        <v>166</v>
      </c>
      <c r="T285" s="10">
        <f>IFERROR(VLOOKUP('Leveranser per nät'!A285,'lev 2013'!$B$2:$E$445,4,FALSE),"")</f>
        <v>160.33000000000001</v>
      </c>
      <c r="U285" s="10">
        <f>IFERROR(VLOOKUP('Leveranser per nät'!A285,'lev 2014'!$B$2:$E$432,4,FALSE),"")</f>
        <v>145.69999999999999</v>
      </c>
      <c r="V285" s="10">
        <f>IFERROR(INDEX(Levererat_2015[Leveranser till eget nät],MATCH($A285,Levererat_2015[Indexnamn],0)),"")</f>
        <v>148.30000000000001</v>
      </c>
      <c r="W285" s="10">
        <f>IFERROR(INDEX(Levererat_2016[Leveranser till eget nät],MATCH($A285,Levererat_2016[Indexnamn],0)),"")</f>
        <v>154.97</v>
      </c>
      <c r="X285" s="10">
        <f>IFERROR(INDEX(Tabell4[Leveranser till eget nät],MATCH('Leveranser per nät'!A285,Tabell4[[Finns i listan ]],0)),"")</f>
        <v>149.9</v>
      </c>
      <c r="Y285" s="10">
        <f>IFERROR(INDEX(Tabell6[Kolumn1],MATCH($A285,Tabell6[Indexnmamn],0)),"")</f>
        <v>150.82400000000001</v>
      </c>
      <c r="Z285" s="10">
        <v>143.173</v>
      </c>
      <c r="AA285" s="10">
        <v>128.041</v>
      </c>
      <c r="AB285" s="10">
        <f>VLOOKUP(A285,Tabell9[[Indexnamn]:[Kolumn1]],3,FALSE)</f>
        <v>151.02000000000001</v>
      </c>
      <c r="AC285" s="10">
        <f>VLOOKUP($A285,'Lev 2022'!$K$2:$L$474,2,FALSE)</f>
        <v>141.40199999999999</v>
      </c>
      <c r="AG285" s="2">
        <f t="shared" si="11"/>
        <v>-9.6180000000000234</v>
      </c>
      <c r="AH285" s="103">
        <f t="shared" si="12"/>
        <v>-6.3686928883591731E-2</v>
      </c>
    </row>
    <row r="286" spans="1:34" s="77" customFormat="1" x14ac:dyDescent="0.25">
      <c r="A286" s="77" t="s">
        <v>493</v>
      </c>
      <c r="B286" s="77" t="s">
        <v>493</v>
      </c>
      <c r="C286" s="69"/>
      <c r="D286" s="69"/>
      <c r="E286" s="69"/>
      <c r="F286" s="69"/>
      <c r="G286" s="69"/>
      <c r="H286" s="69"/>
      <c r="I286" s="69"/>
      <c r="J286" s="69"/>
      <c r="K286" s="69"/>
      <c r="L286" s="69"/>
      <c r="M286" s="69"/>
      <c r="N286" s="69"/>
      <c r="O286" s="69"/>
      <c r="P286" s="69"/>
      <c r="Q286" s="69">
        <v>0</v>
      </c>
      <c r="R286" s="69">
        <v>16.5</v>
      </c>
      <c r="S286" s="69">
        <v>18.5</v>
      </c>
      <c r="T286" s="69">
        <v>17.3</v>
      </c>
      <c r="U286" s="69">
        <f>IFERROR(VLOOKUP('Leveranser per nät'!A286,'lev 2014'!$B$2:$E$432,4,FALSE),"")</f>
        <v>15.5</v>
      </c>
      <c r="V286" s="69">
        <f>IFERROR(INDEX(Levererat_2015[Leveranser till eget nät],MATCH($A286,Levererat_2015[Indexnamn],0)),"")</f>
        <v>17.298999999999999</v>
      </c>
      <c r="W286" s="69">
        <f>IFERROR(INDEX(Levererat_2016[Leveranser till eget nät],MATCH($A286,Levererat_2016[Indexnamn],0)),"")</f>
        <v>17.899999999999999</v>
      </c>
      <c r="X286" s="69">
        <f>IFERROR(INDEX(Tabell4[Leveranser till eget nät],MATCH('Leveranser per nät'!A286,Tabell4[[Finns i listan ]],0)),"")</f>
        <v>17.600000000000001</v>
      </c>
      <c r="Y286" s="69">
        <f>IFERROR(INDEX(Tabell6[Kolumn1],MATCH($A286,Tabell6[Indexnmamn],0)),"")</f>
        <v>17.8</v>
      </c>
      <c r="Z286" s="69">
        <v>18.2</v>
      </c>
      <c r="AA286" s="69">
        <v>17.8</v>
      </c>
      <c r="AB286" s="69">
        <v>20</v>
      </c>
      <c r="AC286" s="56">
        <f>AB286*(1-0.07)</f>
        <v>18.599999999999998</v>
      </c>
      <c r="AG286" s="2">
        <f t="shared" si="11"/>
        <v>-1.4000000000000021</v>
      </c>
      <c r="AH286" s="103">
        <f t="shared" si="12"/>
        <v>-7.0000000000000104E-2</v>
      </c>
    </row>
    <row r="287" spans="1:34" x14ac:dyDescent="0.25">
      <c r="A287" t="s">
        <v>319</v>
      </c>
      <c r="B287" t="str">
        <f>VLOOKUP(A287,'Korrigerade leveranser GD'!$A$4:$B$482,2,FALSE)</f>
        <v>Munkedal</v>
      </c>
      <c r="C287" s="10"/>
      <c r="D287" s="10"/>
      <c r="E287" s="10"/>
      <c r="F287" s="10"/>
      <c r="G287" s="10"/>
      <c r="H287" s="10"/>
      <c r="I287" s="10"/>
      <c r="J287" s="10"/>
      <c r="K287" s="10"/>
      <c r="L287" s="10">
        <v>0</v>
      </c>
      <c r="M287" s="10">
        <v>0.621</v>
      </c>
      <c r="N287" s="10">
        <v>6.3879999999999999</v>
      </c>
      <c r="O287" s="10">
        <v>6.3109999999999999</v>
      </c>
      <c r="P287" s="10">
        <v>7.2149999999999999</v>
      </c>
      <c r="Q287" s="10">
        <v>7.3</v>
      </c>
      <c r="R287" s="10">
        <v>7.0650000000000004</v>
      </c>
      <c r="S287" s="10">
        <f>IFERROR(VLOOKUP('Leveranser per nät'!A287,'lev 2012'!$B$2:$E$445,4,FALSE),"")</f>
        <v>6.95</v>
      </c>
      <c r="T287" s="10">
        <f>IFERROR(VLOOKUP('Leveranser per nät'!A287,'lev 2013'!$B$2:$E$445,4,FALSE),"")</f>
        <v>6.81</v>
      </c>
      <c r="U287" s="10">
        <f>IFERROR(VLOOKUP('Leveranser per nät'!A287,'lev 2014'!$B$2:$E$432,4,FALSE),"")</f>
        <v>6.06</v>
      </c>
      <c r="V287" s="10">
        <f>IFERROR(INDEX(Levererat_2015[Leveranser till eget nät],MATCH($A287,Levererat_2015[Indexnamn],0)),"")</f>
        <v>6.2</v>
      </c>
      <c r="W287" s="10">
        <f>IFERROR(INDEX(Levererat_2016[Leveranser till eget nät],MATCH($A287,Levererat_2016[Indexnamn],0)),"")</f>
        <v>6.95</v>
      </c>
      <c r="X287" s="10">
        <f>IFERROR(INDEX(Tabell4[Leveranser till eget nät],MATCH('Leveranser per nät'!A287,Tabell4[[Finns i listan ]],0)),"")</f>
        <v>6.9720000000000004</v>
      </c>
      <c r="Y287" s="10">
        <f>IFERROR(INDEX(Tabell6[Kolumn1],MATCH($A287,Tabell6[Indexnmamn],0)),"")</f>
        <v>7.0449999999999999</v>
      </c>
      <c r="Z287" s="10">
        <v>6.7720000000000002</v>
      </c>
      <c r="AA287" s="10">
        <v>6.14</v>
      </c>
      <c r="AB287" s="10">
        <f>VLOOKUP(A287,Tabell9[[Indexnamn]:[Kolumn1]],3,FALSE)</f>
        <v>7.46</v>
      </c>
      <c r="AC287" s="10">
        <f>VLOOKUP($A287,'Lev 2022'!$K$2:$L$474,2,FALSE)</f>
        <v>6.88</v>
      </c>
      <c r="AG287" s="2">
        <f t="shared" si="11"/>
        <v>-0.58000000000000007</v>
      </c>
      <c r="AH287" s="103">
        <f t="shared" si="12"/>
        <v>-7.774798927613942E-2</v>
      </c>
    </row>
    <row r="288" spans="1:34" s="77" customFormat="1" x14ac:dyDescent="0.25">
      <c r="A288" s="77" t="s">
        <v>206</v>
      </c>
      <c r="B288" s="77" t="s">
        <v>206</v>
      </c>
      <c r="C288" s="69">
        <v>40</v>
      </c>
      <c r="D288" s="69">
        <v>34.22</v>
      </c>
      <c r="E288" s="69">
        <v>36</v>
      </c>
      <c r="F288" s="69">
        <v>34</v>
      </c>
      <c r="G288" s="69">
        <v>31</v>
      </c>
      <c r="H288" s="69">
        <v>35</v>
      </c>
      <c r="I288" s="69">
        <v>33</v>
      </c>
      <c r="J288" s="69">
        <v>33.5</v>
      </c>
      <c r="K288" s="69">
        <v>35.174999999999997</v>
      </c>
      <c r="L288" s="69">
        <v>36.646999999999998</v>
      </c>
      <c r="M288" s="69">
        <v>37.56</v>
      </c>
      <c r="N288" s="69">
        <v>36.786000000000001</v>
      </c>
      <c r="O288" s="69">
        <v>35.624000000000002</v>
      </c>
      <c r="P288" s="69">
        <v>36.76</v>
      </c>
      <c r="Q288" s="69">
        <v>45.057000000000002</v>
      </c>
      <c r="R288" s="69">
        <v>35.700000000000003</v>
      </c>
      <c r="S288" s="69">
        <v>36.5</v>
      </c>
      <c r="T288" s="69">
        <v>34.200000000000003</v>
      </c>
      <c r="U288" s="69">
        <v>29.7</v>
      </c>
      <c r="V288" s="69">
        <v>30</v>
      </c>
      <c r="W288" s="69">
        <v>32.1</v>
      </c>
      <c r="X288" s="69">
        <v>33</v>
      </c>
      <c r="Y288" s="69">
        <v>33.9</v>
      </c>
      <c r="Z288" s="69">
        <v>32.700000000000003</v>
      </c>
      <c r="AA288" s="69">
        <v>30</v>
      </c>
      <c r="AB288" s="69">
        <v>35.700000000000003</v>
      </c>
      <c r="AC288" s="56">
        <f>AB288*(1-0.07)</f>
        <v>33.201000000000001</v>
      </c>
      <c r="AD288"/>
      <c r="AE288"/>
      <c r="AG288" s="2"/>
      <c r="AH288" s="103">
        <f t="shared" si="12"/>
        <v>0</v>
      </c>
    </row>
    <row r="289" spans="1:34" x14ac:dyDescent="0.25">
      <c r="A289" t="s">
        <v>480</v>
      </c>
      <c r="B289" t="s">
        <v>157</v>
      </c>
      <c r="C289" s="10"/>
      <c r="D289" s="10"/>
      <c r="E289" s="10"/>
      <c r="F289" s="10"/>
      <c r="G289" s="10"/>
      <c r="H289" s="10"/>
      <c r="I289" s="10"/>
      <c r="J289" s="10"/>
      <c r="K289" s="10"/>
      <c r="L289" s="10">
        <v>1.2924</v>
      </c>
      <c r="M289" s="10"/>
      <c r="N289" s="10"/>
      <c r="O289" s="10"/>
      <c r="P289" s="10"/>
      <c r="Q289" s="10"/>
      <c r="R289" s="10"/>
      <c r="S289" s="10"/>
      <c r="T289" s="10" t="str">
        <f>IFERROR(VLOOKUP('Leveranser per nät'!A289,'lev 2013'!$B$2:$E$445,4,FALSE),"")</f>
        <v/>
      </c>
      <c r="U289" s="10" t="str">
        <f>IFERROR(VLOOKUP('Leveranser per nät'!A289,'lev 2014'!$B$2:$E$432,4,FALSE),"")</f>
        <v/>
      </c>
      <c r="V289" s="10" t="str">
        <f>IFERROR(INDEX(Levererat_2015[Leveranser till eget nät],MATCH($A289,Levererat_2015[Indexnamn],0)),"")</f>
        <v/>
      </c>
      <c r="W289" s="10" t="str">
        <f>IFERROR(INDEX(Levererat_2016[Leveranser till eget nät],MATCH($A289,Levererat_2016[Indexnamn],0)),"")</f>
        <v/>
      </c>
      <c r="X289" s="10" t="str">
        <f>IFERROR(INDEX(Tabell4[Leveranser till eget nät],MATCH('Leveranser per nät'!A289,Tabell4[[Finns i listan ]],0)),"")</f>
        <v/>
      </c>
      <c r="Y289" s="10" t="str">
        <f>IFERROR(INDEX(Tabell6[Kolumn1],MATCH($A289,Tabell6[Indexnmamn],0)),"")</f>
        <v/>
      </c>
      <c r="Z289" s="10"/>
      <c r="AA289" s="10" t="s">
        <v>779</v>
      </c>
      <c r="AB289" s="10"/>
      <c r="AC289" s="10"/>
      <c r="AG289" s="2"/>
      <c r="AH289" s="103"/>
    </row>
    <row r="290" spans="1:34" x14ac:dyDescent="0.25">
      <c r="A290" s="104" t="s">
        <v>210</v>
      </c>
      <c r="B290" t="s">
        <v>210</v>
      </c>
      <c r="C290" s="10">
        <v>237.86699999999999</v>
      </c>
      <c r="D290" s="10">
        <v>217.94</v>
      </c>
      <c r="E290" s="10">
        <v>228</v>
      </c>
      <c r="F290" s="10">
        <v>226</v>
      </c>
      <c r="G290" s="10">
        <v>220</v>
      </c>
      <c r="H290" s="10">
        <v>269</v>
      </c>
      <c r="I290" s="10">
        <v>271</v>
      </c>
      <c r="J290" s="10">
        <v>272</v>
      </c>
      <c r="K290" s="10">
        <v>274.74040000000002</v>
      </c>
      <c r="L290" s="10">
        <v>269.06</v>
      </c>
      <c r="M290" s="10">
        <v>267.31700000000001</v>
      </c>
      <c r="N290" s="10">
        <v>267.79399999999998</v>
      </c>
      <c r="O290" s="10">
        <v>267</v>
      </c>
      <c r="P290" s="10">
        <v>296</v>
      </c>
      <c r="Q290" s="10">
        <v>346</v>
      </c>
      <c r="R290" s="10">
        <v>333</v>
      </c>
      <c r="S290" s="10">
        <f>IFERROR(VLOOKUP('Leveranser per nät'!A290,'lev 2012'!$B$2:$E$445,4,FALSE),"")</f>
        <v>298</v>
      </c>
      <c r="T290" s="10">
        <f>IFERROR(VLOOKUP('Leveranser per nät'!A290,'lev 2013'!$B$2:$E$445,4,FALSE),"")+'lev 2013'!E243</f>
        <v>310.79000000000002</v>
      </c>
      <c r="U290" s="10">
        <f>IFERROR(VLOOKUP('Leveranser per nät'!A290,'lev 2014'!$B$2:$E$432,4,FALSE),"")+'lev 2014'!E241</f>
        <v>266.19299999999998</v>
      </c>
      <c r="V290" s="10">
        <f>IFERROR(INDEX(Levererat_2015[Leveranser till eget nät],MATCH($A290,Levererat_2015[Indexnamn],0)),"")+'Lev 2015'!F221+'Lev 2015'!F222</f>
        <v>284.017</v>
      </c>
      <c r="W290" s="10">
        <f>IFERROR(INDEX(Levererat_2016[Leveranser till eget nät],MATCH($A290,Levererat_2016[Indexnamn],0)),"")+'Lev 2016'!F220+'Lev 2016'!F221</f>
        <v>301.81</v>
      </c>
      <c r="X290" s="10">
        <f>IFERROR(INDEX(Tabell4[Leveranser till eget nät],MATCH('Leveranser per nät'!A290,Tabell4[[Finns i listan ]],0)),"")+'Lev 2017'!K214+'Lev 2017'!K215</f>
        <v>346.07800000000003</v>
      </c>
      <c r="Y290" s="10">
        <f>IFERROR(INDEX(Tabell6[Kolumn1],MATCH($A290,Tabell6[Indexnmamn],0)),"")+'Lev2018'!T187+'Lev2018'!T188</f>
        <v>282.47300000000001</v>
      </c>
      <c r="Z290" s="10">
        <v>273.11500000000001</v>
      </c>
      <c r="AA290" s="10">
        <v>285.86500000000001</v>
      </c>
      <c r="AB290" s="10">
        <f>VLOOKUP(A290,Tabell9[[Indexnamn]:[Kolumn1]],3,FALSE)</f>
        <v>298.72800000000001</v>
      </c>
      <c r="AC290" s="10">
        <f>VLOOKUP($A290,'Lev 2022'!$K$2:$L$474,2,FALSE)</f>
        <v>263.69000000000005</v>
      </c>
      <c r="AG290" s="2">
        <f t="shared" si="11"/>
        <v>-35.037999999999954</v>
      </c>
      <c r="AH290" s="103">
        <f t="shared" si="12"/>
        <v>-0.11729064567097812</v>
      </c>
    </row>
    <row r="291" spans="1:34" s="77" customFormat="1" x14ac:dyDescent="0.25">
      <c r="A291" s="5" t="s">
        <v>84</v>
      </c>
      <c r="B291" s="5" t="str">
        <f>VLOOKUP(A291,'Korrigerade leveranser GD'!$A$4:$B$482,2,FALSE)</f>
        <v>Göteborg</v>
      </c>
      <c r="C291" s="69"/>
      <c r="D291" s="69"/>
      <c r="E291" s="69"/>
      <c r="F291" s="69"/>
      <c r="G291" s="69"/>
      <c r="H291" s="69"/>
      <c r="I291" s="69"/>
      <c r="J291" s="69"/>
      <c r="K291" s="69"/>
      <c r="L291" s="69">
        <v>41.915587432393053</v>
      </c>
      <c r="M291" s="69">
        <v>39.645000000000003</v>
      </c>
      <c r="N291" s="69">
        <v>39.645000000000003</v>
      </c>
      <c r="O291" s="69">
        <v>39.561</v>
      </c>
      <c r="P291" s="69">
        <v>44.737000000000002</v>
      </c>
      <c r="Q291" s="69">
        <v>52</v>
      </c>
      <c r="R291" s="69">
        <v>45.108429495000003</v>
      </c>
      <c r="S291" s="69">
        <f>IFERROR(VLOOKUP('Leveranser per nät'!A291,'lev 2012'!$B$2:$E$445,4,FALSE),"")</f>
        <v>47</v>
      </c>
      <c r="T291" s="69">
        <f>IFERROR(VLOOKUP('Leveranser per nät'!A291,'lev 2013'!$B$2:$E$445,4,FALSE),"")</f>
        <v>45.23</v>
      </c>
      <c r="U291" s="56">
        <f>(T291-V291)/2+V291</f>
        <v>43.215000000000003</v>
      </c>
      <c r="V291" s="69">
        <v>41.2</v>
      </c>
      <c r="W291" s="69">
        <v>46.7</v>
      </c>
      <c r="X291" s="69">
        <v>46.2</v>
      </c>
      <c r="Y291" s="69">
        <v>45.8</v>
      </c>
      <c r="Z291" s="69">
        <v>43.6</v>
      </c>
      <c r="AA291" s="58">
        <v>42.067999999999998</v>
      </c>
      <c r="AB291" s="10">
        <f>VLOOKUP(A291,Tabell9[[Indexnamn]:[Kolumn1]],3,FALSE)</f>
        <v>50.497999999999998</v>
      </c>
      <c r="AC291" s="10">
        <f>VLOOKUP($A291,'Lev 2022'!$K$2:$L$474,2,FALSE)</f>
        <v>46.738</v>
      </c>
      <c r="AD291"/>
      <c r="AE291"/>
      <c r="AG291" s="2">
        <f t="shared" si="11"/>
        <v>-3.759999999999998</v>
      </c>
      <c r="AH291" s="103">
        <f t="shared" si="12"/>
        <v>-7.4458394391857072E-2</v>
      </c>
    </row>
    <row r="292" spans="1:34" s="77" customFormat="1" x14ac:dyDescent="0.25">
      <c r="A292" s="59" t="s">
        <v>80</v>
      </c>
      <c r="B292" s="5" t="str">
        <f>VLOOKUP(A292,'Korrigerade leveranser GD'!$A$4:$B$482,2,FALSE)</f>
        <v>Mönsterås</v>
      </c>
      <c r="C292" s="69"/>
      <c r="D292" s="69"/>
      <c r="E292" s="69"/>
      <c r="F292" s="69"/>
      <c r="G292" s="69"/>
      <c r="H292" s="69"/>
      <c r="I292" s="69"/>
      <c r="J292" s="69"/>
      <c r="K292" s="69"/>
      <c r="L292" s="69">
        <v>57.206425026672662</v>
      </c>
      <c r="M292" s="69">
        <v>39.581000000000003</v>
      </c>
      <c r="N292" s="69">
        <v>38</v>
      </c>
      <c r="O292" s="69">
        <v>40.351999999999997</v>
      </c>
      <c r="P292" s="69">
        <v>41.274999999999999</v>
      </c>
      <c r="Q292" s="69">
        <v>48</v>
      </c>
      <c r="R292" s="69">
        <v>54</v>
      </c>
      <c r="S292" s="69">
        <f>IFERROR(VLOOKUP('Leveranser per nät'!A292,'lev 2012'!$B$2:$E$445,4,FALSE),"")</f>
        <v>42</v>
      </c>
      <c r="T292" s="69">
        <f>IFERROR(VLOOKUP('Leveranser per nät'!A292,'lev 2013'!$B$2:$E$445,4,FALSE),"")</f>
        <v>43.639000000000003</v>
      </c>
      <c r="U292" s="56">
        <f>(T292-V292)/2+V292</f>
        <v>46.419499999999999</v>
      </c>
      <c r="V292" s="69">
        <v>49.2</v>
      </c>
      <c r="W292" s="69">
        <v>52.1</v>
      </c>
      <c r="X292" s="69">
        <v>51.5</v>
      </c>
      <c r="Y292" s="69">
        <v>51.2</v>
      </c>
      <c r="Z292" s="69">
        <v>48.8</v>
      </c>
      <c r="AA292" s="58">
        <v>45.2</v>
      </c>
      <c r="AB292" s="10">
        <f>VLOOKUP(A292,Tabell9[[Indexnamn]:[Kolumn1]],3,FALSE)</f>
        <v>52</v>
      </c>
      <c r="AC292" s="10">
        <f>VLOOKUP($A292,'Lev 2022'!$K$2:$L$474,2,FALSE)</f>
        <v>46.6</v>
      </c>
      <c r="AD292"/>
      <c r="AE292"/>
      <c r="AG292" s="2">
        <f t="shared" si="11"/>
        <v>-5.3999999999999986</v>
      </c>
      <c r="AH292" s="103">
        <f t="shared" si="12"/>
        <v>-0.10384615384615382</v>
      </c>
    </row>
    <row r="293" spans="1:34" s="65" customFormat="1" x14ac:dyDescent="0.25">
      <c r="A293" s="70" t="s">
        <v>469</v>
      </c>
      <c r="B293" s="5" t="s">
        <v>156</v>
      </c>
      <c r="C293" s="68"/>
      <c r="D293" s="68"/>
      <c r="E293" s="68"/>
      <c r="F293" s="68"/>
      <c r="G293" s="68"/>
      <c r="H293" s="68"/>
      <c r="I293" s="68"/>
      <c r="J293" s="68"/>
      <c r="K293" s="68"/>
      <c r="L293" s="68">
        <v>3.1865000000000001</v>
      </c>
      <c r="M293" s="68"/>
      <c r="N293" s="68"/>
      <c r="O293" s="68"/>
      <c r="P293" s="68"/>
      <c r="Q293" s="68"/>
      <c r="R293" s="68"/>
      <c r="S293" s="68" t="str">
        <f>IFERROR(VLOOKUP('Leveranser per nät'!A293,'lev 2012'!$B$2:$E$445,4,FALSE),"")</f>
        <v/>
      </c>
      <c r="T293" s="68" t="str">
        <f>IFERROR(VLOOKUP('Leveranser per nät'!A293,'lev 2013'!$B$2:$E$445,4,FALSE),"")</f>
        <v/>
      </c>
      <c r="U293" s="68" t="str">
        <f>IFERROR(VLOOKUP('Leveranser per nät'!A293,'lev 2014'!$B$2:$E$432,4,FALSE),"")</f>
        <v/>
      </c>
      <c r="V293" s="68" t="str">
        <f>IFERROR(INDEX(Levererat_2015[Leveranser till eget nät],MATCH($A293,Levererat_2015[Indexnamn],0)),"")</f>
        <v/>
      </c>
      <c r="W293" s="68" t="str">
        <f>IFERROR(INDEX(Levererat_2016[Leveranser till eget nät],MATCH($A293,Levererat_2016[Indexnamn],0)),"")</f>
        <v/>
      </c>
      <c r="X293" s="68" t="str">
        <f>IFERROR(INDEX(Tabell4[Leveranser till eget nät],MATCH('Leveranser per nät'!A293,Tabell4[[Finns i listan ]],0)),"")</f>
        <v/>
      </c>
      <c r="Y293" s="68" t="str">
        <f>IFERROR(INDEX(Tabell6[Kolumn1],MATCH($A293,Tabell6[Indexnmamn],0)),"")</f>
        <v/>
      </c>
      <c r="Z293" s="68"/>
      <c r="AA293" s="68" t="s">
        <v>779</v>
      </c>
      <c r="AB293" s="10"/>
      <c r="AC293" s="10">
        <f>VLOOKUP($A293,'Lev 2022'!$K$2:$L$474,2,FALSE)</f>
        <v>4.6900000000000004</v>
      </c>
      <c r="AD293"/>
      <c r="AE293"/>
      <c r="AG293" s="2">
        <f t="shared" si="11"/>
        <v>4.6900000000000004</v>
      </c>
      <c r="AH293" s="103"/>
    </row>
    <row r="294" spans="1:34" s="65" customFormat="1" x14ac:dyDescent="0.25">
      <c r="A294" s="65" t="s">
        <v>408</v>
      </c>
      <c r="B294" s="65" t="str">
        <f>VLOOKUP(A294,'Korrigerade leveranser GD'!$A$4:$B$482,2,FALSE)</f>
        <v>Stockholm</v>
      </c>
      <c r="C294" s="68"/>
      <c r="D294" s="68"/>
      <c r="E294" s="68"/>
      <c r="F294" s="68">
        <v>22</v>
      </c>
      <c r="G294" s="68">
        <v>20</v>
      </c>
      <c r="H294" s="68"/>
      <c r="I294" s="68"/>
      <c r="J294" s="68"/>
      <c r="K294" s="68"/>
      <c r="L294" s="68">
        <v>17.3017842858725</v>
      </c>
      <c r="M294" s="68"/>
      <c r="N294" s="68"/>
      <c r="O294" s="68"/>
      <c r="P294" s="68"/>
      <c r="Q294" s="68"/>
      <c r="R294" s="68"/>
      <c r="S294" s="68" t="str">
        <f>IFERROR(VLOOKUP('Leveranser per nät'!A294,'lev 2012'!$B$2:$E$445,4,FALSE),"")</f>
        <v/>
      </c>
      <c r="T294" s="68" t="str">
        <f>IFERROR(VLOOKUP('Leveranser per nät'!A294,'lev 2013'!$B$2:$E$445,4,FALSE),"")</f>
        <v/>
      </c>
      <c r="U294" s="68" t="str">
        <f>IFERROR(VLOOKUP('Leveranser per nät'!A294,'lev 2014'!$B$2:$E$432,4,FALSE),"")</f>
        <v/>
      </c>
      <c r="V294" s="68" t="str">
        <f>IFERROR(INDEX(Levererat_2015[Leveranser till eget nät],MATCH($A294,Levererat_2015[Indexnamn],0)),"")</f>
        <v/>
      </c>
      <c r="W294" s="68" t="str">
        <f>IFERROR(INDEX(Levererat_2016[Leveranser till eget nät],MATCH($A294,Levererat_2016[Indexnamn],0)),"")</f>
        <v/>
      </c>
      <c r="X294" s="68" t="str">
        <f>IFERROR(INDEX(Tabell4[Leveranser till eget nät],MATCH('Leveranser per nät'!A294,Tabell4[[Finns i listan ]],0)),"")</f>
        <v/>
      </c>
      <c r="Y294" s="68" t="str">
        <f>IFERROR(INDEX(Tabell6[Kolumn1],MATCH($A294,Tabell6[Indexnmamn],0)),"")</f>
        <v/>
      </c>
      <c r="Z294" s="68"/>
      <c r="AA294" s="68" t="s">
        <v>779</v>
      </c>
      <c r="AB294" s="10"/>
      <c r="AC294" s="10"/>
      <c r="AD294"/>
      <c r="AE294"/>
      <c r="AG294" s="2"/>
      <c r="AH294" s="103"/>
    </row>
    <row r="295" spans="1:34" s="77" customFormat="1" x14ac:dyDescent="0.25">
      <c r="A295" s="5" t="s">
        <v>70</v>
      </c>
      <c r="B295" s="5" t="s">
        <v>70</v>
      </c>
      <c r="C295" s="69">
        <v>31</v>
      </c>
      <c r="D295" s="69">
        <v>26.9</v>
      </c>
      <c r="E295" s="69">
        <v>26</v>
      </c>
      <c r="F295" s="69">
        <v>25</v>
      </c>
      <c r="G295" s="69">
        <v>23</v>
      </c>
      <c r="H295" s="69">
        <v>52</v>
      </c>
      <c r="I295" s="69">
        <v>27</v>
      </c>
      <c r="J295" s="69">
        <v>28</v>
      </c>
      <c r="K295" s="56">
        <f>(J295-L295)/2+L295</f>
        <v>28.685000000000002</v>
      </c>
      <c r="L295" s="69">
        <v>29.37</v>
      </c>
      <c r="M295" s="69">
        <v>29.369</v>
      </c>
      <c r="N295" s="69">
        <v>29.5</v>
      </c>
      <c r="O295" s="69">
        <v>30.3</v>
      </c>
      <c r="P295" s="69">
        <v>32</v>
      </c>
      <c r="Q295" s="69">
        <v>37.299999999999997</v>
      </c>
      <c r="R295" s="69">
        <v>30.93</v>
      </c>
      <c r="S295" s="69">
        <f>IFERROR(VLOOKUP('Leveranser per nät'!A295,'lev 2012'!$B$2:$E$445,4,FALSE),"")</f>
        <v>34</v>
      </c>
      <c r="T295" s="69">
        <v>32.5</v>
      </c>
      <c r="U295" s="56">
        <f>(T295-V295)/2+V295</f>
        <v>30.6</v>
      </c>
      <c r="V295" s="69">
        <v>28.7</v>
      </c>
      <c r="W295" s="69">
        <v>31.1</v>
      </c>
      <c r="X295" s="69">
        <v>30.8</v>
      </c>
      <c r="Y295" s="69">
        <v>30.7</v>
      </c>
      <c r="Z295" s="69">
        <v>30.6</v>
      </c>
      <c r="AA295" s="58">
        <v>27.535</v>
      </c>
      <c r="AB295" s="10">
        <f>VLOOKUP(A295,Tabell9[[Indexnamn]:[Kolumn1]],3,FALSE)</f>
        <v>31.934999999999999</v>
      </c>
      <c r="AC295" s="10">
        <f>VLOOKUP($A295,'Lev 2022'!$K$2:$L$474,2,FALSE)</f>
        <v>29.503</v>
      </c>
      <c r="AD295"/>
      <c r="AE295"/>
      <c r="AG295" s="2">
        <f t="shared" si="11"/>
        <v>-2.4319999999999986</v>
      </c>
      <c r="AH295" s="103">
        <f t="shared" si="12"/>
        <v>-7.6154689212462781E-2</v>
      </c>
    </row>
    <row r="296" spans="1:34" x14ac:dyDescent="0.25">
      <c r="A296" t="s">
        <v>356</v>
      </c>
      <c r="B296" t="s">
        <v>356</v>
      </c>
      <c r="C296" s="10"/>
      <c r="D296" s="10"/>
      <c r="E296" s="10"/>
      <c r="F296" s="10">
        <v>0</v>
      </c>
      <c r="G296" s="10">
        <v>13.407</v>
      </c>
      <c r="H296" s="10">
        <v>16.5</v>
      </c>
      <c r="I296" s="10">
        <v>18.327000000000002</v>
      </c>
      <c r="J296" s="10">
        <v>18.085999999999999</v>
      </c>
      <c r="K296" s="10">
        <v>6</v>
      </c>
      <c r="L296" s="10">
        <v>0</v>
      </c>
      <c r="M296" s="10">
        <v>23.344999999999999</v>
      </c>
      <c r="N296" s="10">
        <v>18.649000000000001</v>
      </c>
      <c r="O296" s="10">
        <v>18.388999999999999</v>
      </c>
      <c r="P296" s="10">
        <v>19.751999999999999</v>
      </c>
      <c r="Q296" s="10">
        <v>22.088000000000001</v>
      </c>
      <c r="R296" s="10">
        <v>17.408000000000001</v>
      </c>
      <c r="S296" s="10">
        <f>IFERROR(VLOOKUP('Leveranser per nät'!A296,'lev 2012'!$B$2:$E$445,4,FALSE),"")</f>
        <v>18.87</v>
      </c>
      <c r="T296" s="10">
        <f>IFERROR(VLOOKUP('Leveranser per nät'!A296,'lev 2013'!$B$2:$E$445,4,FALSE),"")</f>
        <v>18.896000000000001</v>
      </c>
      <c r="U296" s="10">
        <f>IFERROR(VLOOKUP('Leveranser per nät'!A296,'lev 2014'!$B$2:$E$432,4,FALSE),"")</f>
        <v>17.329000000000001</v>
      </c>
      <c r="V296" s="10">
        <f>IFERROR(INDEX(Levererat_2015[Leveranser till eget nät],MATCH($A296,Levererat_2015[Indexnamn],0)),"")</f>
        <v>17.452999999999999</v>
      </c>
      <c r="W296" s="10">
        <f>IFERROR(INDEX(Levererat_2016[Leveranser till eget nät],MATCH($A296,Levererat_2016[Indexnamn],0)),"")</f>
        <v>18.331</v>
      </c>
      <c r="X296" s="10">
        <f>IFERROR(INDEX(Tabell4[Leveranser till eget nät],MATCH('Leveranser per nät'!A296,Tabell4[[Finns i listan ]],0)),"")</f>
        <v>18.187999999999999</v>
      </c>
      <c r="Y296" s="10">
        <f>IFERROR(INDEX(Tabell6[Kolumn1],MATCH($A296,Tabell6[Indexnmamn],0)),"")</f>
        <v>18.561</v>
      </c>
      <c r="Z296" s="10">
        <v>18.343</v>
      </c>
      <c r="AA296" s="10">
        <v>16.707000000000001</v>
      </c>
      <c r="AB296" s="10">
        <f>VLOOKUP(A296,Tabell9[[Indexnamn]:[Kolumn1]],3,FALSE)</f>
        <v>18.78</v>
      </c>
      <c r="AC296" s="10">
        <f>VLOOKUP($A296,'Lev 2022'!$K$2:$L$474,2,FALSE)</f>
        <v>17.8</v>
      </c>
      <c r="AG296" s="2">
        <f t="shared" si="11"/>
        <v>-0.98000000000000043</v>
      </c>
      <c r="AH296" s="103">
        <f t="shared" si="12"/>
        <v>-5.2183173588924409E-2</v>
      </c>
    </row>
    <row r="297" spans="1:34" x14ac:dyDescent="0.25">
      <c r="A297" s="114" t="s">
        <v>870</v>
      </c>
      <c r="B297" s="77" t="s">
        <v>870</v>
      </c>
      <c r="C297" s="10"/>
      <c r="D297" s="10"/>
      <c r="E297" s="10"/>
      <c r="F297" s="10"/>
      <c r="G297" s="10"/>
      <c r="H297" s="10"/>
      <c r="I297" s="10"/>
      <c r="J297" s="10"/>
      <c r="K297" s="10"/>
      <c r="L297" s="10"/>
      <c r="M297" s="10"/>
      <c r="N297" s="10"/>
      <c r="O297" s="10"/>
      <c r="P297" s="10"/>
      <c r="Q297" s="10"/>
      <c r="R297" s="10"/>
      <c r="S297" s="10">
        <v>15.2</v>
      </c>
      <c r="T297" s="10">
        <v>14.7</v>
      </c>
      <c r="U297" s="10">
        <v>14.1</v>
      </c>
      <c r="V297" s="10">
        <v>14.2</v>
      </c>
      <c r="W297" s="10">
        <v>14.4</v>
      </c>
      <c r="X297" s="10">
        <f>IFERROR(INDEX(Tabell4[Leveranser till eget nät],MATCH('Leveranser per nät'!A297,Tabell4[[Finns i listan ]],0)),"")</f>
        <v>14.5</v>
      </c>
      <c r="Y297" s="10">
        <v>14.9</v>
      </c>
      <c r="Z297" s="10">
        <v>14.3</v>
      </c>
      <c r="AA297" s="69">
        <v>12.7</v>
      </c>
      <c r="AB297" s="69">
        <v>14.9</v>
      </c>
      <c r="AC297" s="56">
        <f>AB297*(1-0.07)</f>
        <v>13.856999999999999</v>
      </c>
      <c r="AG297" s="2">
        <f t="shared" si="11"/>
        <v>-1.043000000000001</v>
      </c>
      <c r="AH297" s="103">
        <f t="shared" si="12"/>
        <v>-7.0000000000000062E-2</v>
      </c>
    </row>
    <row r="298" spans="1:34" s="77" customFormat="1" x14ac:dyDescent="0.25">
      <c r="A298" s="5" t="s">
        <v>51</v>
      </c>
      <c r="B298" s="5" t="str">
        <f>VLOOKUP(A298,'Korrigerade leveranser GD'!$A$4:$B$482,2,FALSE)</f>
        <v>Nordmaling</v>
      </c>
      <c r="C298" s="69">
        <v>9</v>
      </c>
      <c r="D298" s="69">
        <v>9.1579999999999995</v>
      </c>
      <c r="E298" s="69">
        <v>9.9359999999999999</v>
      </c>
      <c r="F298" s="69">
        <v>9.9540000000000006</v>
      </c>
      <c r="G298" s="69">
        <v>10</v>
      </c>
      <c r="H298" s="69">
        <v>10</v>
      </c>
      <c r="I298" s="69">
        <v>10</v>
      </c>
      <c r="J298" s="69">
        <v>11</v>
      </c>
      <c r="K298" s="69">
        <v>10.987232983522876</v>
      </c>
      <c r="L298" s="69">
        <v>10.987232983522876</v>
      </c>
      <c r="M298" s="69">
        <v>10</v>
      </c>
      <c r="N298" s="69">
        <v>10.1</v>
      </c>
      <c r="O298" s="69">
        <v>11.9</v>
      </c>
      <c r="P298" s="69">
        <v>13</v>
      </c>
      <c r="Q298" s="69">
        <v>12.9</v>
      </c>
      <c r="R298" s="69">
        <v>12.07</v>
      </c>
      <c r="S298" s="69">
        <f>IFERROR(VLOOKUP('Leveranser per nät'!A298,'lev 2012'!$B$2:$E$445,4,FALSE),"")</f>
        <v>11.27</v>
      </c>
      <c r="T298" s="56">
        <f>(S298-V298)/2+V298</f>
        <v>11.484999999999999</v>
      </c>
      <c r="U298" s="90">
        <v>11.3</v>
      </c>
      <c r="V298" s="69">
        <v>11.7</v>
      </c>
      <c r="W298" s="69">
        <v>11.7</v>
      </c>
      <c r="X298" s="69">
        <v>11</v>
      </c>
      <c r="Y298" s="69">
        <v>11.6</v>
      </c>
      <c r="Z298" s="69">
        <v>11.4</v>
      </c>
      <c r="AA298" s="58">
        <v>9.7870000000000008</v>
      </c>
      <c r="AB298" s="10">
        <f>VLOOKUP(A298,Tabell9[[Indexnamn]:[Kolumn1]],3,FALSE)</f>
        <v>11.388999999999999</v>
      </c>
      <c r="AC298" s="10">
        <f>VLOOKUP($A298,'Lev 2022'!$K$2:$L$474,2,FALSE)</f>
        <v>10.89</v>
      </c>
      <c r="AD298"/>
      <c r="AE298"/>
      <c r="AG298" s="2">
        <f t="shared" si="11"/>
        <v>-0.49899999999999878</v>
      </c>
      <c r="AH298" s="103">
        <f t="shared" si="12"/>
        <v>-4.3814206690666331E-2</v>
      </c>
    </row>
    <row r="299" spans="1:34" s="65" customFormat="1" x14ac:dyDescent="0.25">
      <c r="A299" s="65" t="s">
        <v>161</v>
      </c>
      <c r="B299" s="65" t="str">
        <f>VLOOKUP(A299,'Korrigerade leveranser GD'!$A$4:$B$482,2,FALSE)</f>
        <v>Jönköping</v>
      </c>
      <c r="C299" s="68"/>
      <c r="D299" s="68"/>
      <c r="E299" s="68"/>
      <c r="F299" s="68"/>
      <c r="G299" s="68"/>
      <c r="H299" s="68">
        <v>1</v>
      </c>
      <c r="I299" s="68">
        <v>2</v>
      </c>
      <c r="J299" s="68">
        <v>3</v>
      </c>
      <c r="K299" s="68">
        <v>2.524</v>
      </c>
      <c r="L299" s="68">
        <v>2.875</v>
      </c>
      <c r="M299" s="68">
        <v>4</v>
      </c>
      <c r="N299" s="68">
        <v>3.9359999999999999</v>
      </c>
      <c r="O299" s="68">
        <v>4.2809999999999997</v>
      </c>
      <c r="P299" s="68">
        <v>4.9359999999999999</v>
      </c>
      <c r="Q299" s="68">
        <v>9.2070000000000007</v>
      </c>
      <c r="R299" s="68">
        <v>0</v>
      </c>
      <c r="S299" s="68" t="str">
        <f>IFERROR(VLOOKUP('Leveranser per nät'!A299,'lev 2012'!$B$2:$E$445,4,FALSE),"")</f>
        <v/>
      </c>
      <c r="T299" s="68" t="str">
        <f>IFERROR(VLOOKUP('Leveranser per nät'!A299,'lev 2013'!$B$2:$E$445,4,FALSE),"")</f>
        <v/>
      </c>
      <c r="U299" s="68" t="str">
        <f>IFERROR(VLOOKUP('Leveranser per nät'!A299,'lev 2014'!$B$2:$E$432,4,FALSE),"")</f>
        <v/>
      </c>
      <c r="V299" s="68" t="str">
        <f>IFERROR(INDEX(Levererat_2015[Leveranser till eget nät],MATCH($A299,Levererat_2015[Indexnamn],0)),"")</f>
        <v/>
      </c>
      <c r="W299" s="68" t="str">
        <f>IFERROR(INDEX(Levererat_2016[Leveranser till eget nät],MATCH($A299,Levererat_2016[Indexnamn],0)),"")</f>
        <v/>
      </c>
      <c r="X299" s="68" t="str">
        <f>IFERROR(INDEX(Tabell4[Leveranser till eget nät],MATCH('Leveranser per nät'!A299,Tabell4[[Finns i listan ]],0)),"")</f>
        <v/>
      </c>
      <c r="Y299" s="68" t="str">
        <f>IFERROR(INDEX(Tabell6[Kolumn1],MATCH($A299,Tabell6[Indexnmamn],0)),"")</f>
        <v/>
      </c>
      <c r="Z299" s="68"/>
      <c r="AA299" s="68" t="s">
        <v>779</v>
      </c>
      <c r="AB299" s="10"/>
      <c r="AC299" s="10"/>
      <c r="AD299"/>
      <c r="AE299"/>
      <c r="AG299" s="2"/>
      <c r="AH299" s="103"/>
    </row>
    <row r="300" spans="1:34" x14ac:dyDescent="0.25">
      <c r="A300" t="s">
        <v>232</v>
      </c>
      <c r="B300" t="str">
        <f>VLOOKUP(A300,'Korrigerade leveranser GD'!$A$4:$B$482,2,FALSE)</f>
        <v>Piteå</v>
      </c>
      <c r="C300" s="10">
        <v>3.49</v>
      </c>
      <c r="D300" s="10">
        <v>3.4400000000000004</v>
      </c>
      <c r="E300" s="10">
        <v>4</v>
      </c>
      <c r="F300" s="10">
        <v>4</v>
      </c>
      <c r="G300" s="56">
        <f>(F300-H300)/2+H300</f>
        <v>3.5</v>
      </c>
      <c r="H300" s="10">
        <v>3</v>
      </c>
      <c r="I300" s="10">
        <v>4</v>
      </c>
      <c r="J300" s="10">
        <v>4</v>
      </c>
      <c r="K300" s="10">
        <v>4.7726000000000006</v>
      </c>
      <c r="L300" s="10">
        <v>4.468</v>
      </c>
      <c r="M300" s="56">
        <f>(L300-P300)/4*3+P300</f>
        <v>4.9359999999999999</v>
      </c>
      <c r="N300" s="56">
        <f>(L300-P300)/4*2+P300</f>
        <v>5.4039999999999999</v>
      </c>
      <c r="O300" s="56">
        <f>(L300-Q300)/4+Q300</f>
        <v>5.452</v>
      </c>
      <c r="P300" s="10">
        <v>6.34</v>
      </c>
      <c r="Q300" s="10">
        <v>5.78</v>
      </c>
      <c r="R300" s="10">
        <v>6.35</v>
      </c>
      <c r="S300" s="10">
        <f>IFERROR(VLOOKUP('Leveranser per nät'!A300,'lev 2012'!$B$2:$E$445,4,FALSE),"")</f>
        <v>6.83</v>
      </c>
      <c r="T300" s="10">
        <f>IFERROR(VLOOKUP('Leveranser per nät'!A300,'lev 2013'!$B$2:$E$445,4,FALSE),"")</f>
        <v>5.95</v>
      </c>
      <c r="U300" s="10">
        <f>IFERROR(VLOOKUP('Leveranser per nät'!A300,'lev 2014'!$B$2:$E$432,4,FALSE),"")</f>
        <v>5.89</v>
      </c>
      <c r="V300" s="10">
        <f>IFERROR(INDEX(Levererat_2015[Leveranser till eget nät],MATCH($A300,Levererat_2015[Indexnamn],0)),"")</f>
        <v>5.65</v>
      </c>
      <c r="W300" s="10">
        <f>IFERROR(INDEX(Levererat_2016[Leveranser till eget nät],MATCH($A300,Levererat_2016[Indexnamn],0)),"")</f>
        <v>6.05</v>
      </c>
      <c r="X300" s="10">
        <f>IFERROR(INDEX(Tabell4[Leveranser till eget nät],MATCH('Leveranser per nät'!A300,Tabell4[[Finns i listan ]],0)),"")</f>
        <v>6.0140000000000002</v>
      </c>
      <c r="Y300" s="10">
        <f>IFERROR(INDEX(Tabell6[Kolumn1],MATCH($A300,Tabell6[Indexnmamn],0)),"")</f>
        <v>6.06</v>
      </c>
      <c r="Z300" s="10">
        <v>6.26</v>
      </c>
      <c r="AA300" s="10">
        <v>5.43</v>
      </c>
      <c r="AB300" s="10">
        <f>VLOOKUP(A300,Tabell9[[Indexnamn]:[Kolumn1]],3,FALSE)</f>
        <v>6.2</v>
      </c>
      <c r="AC300" s="10">
        <f>VLOOKUP($A300,'Lev 2022'!$K$2:$L$474,2,FALSE)</f>
        <v>6.2</v>
      </c>
      <c r="AG300" s="2"/>
      <c r="AH300" s="103"/>
    </row>
    <row r="301" spans="1:34" s="65" customFormat="1" x14ac:dyDescent="0.25">
      <c r="A301" s="65" t="s">
        <v>88</v>
      </c>
      <c r="B301" s="65" t="str">
        <f>VLOOKUP(A301,'Korrigerade leveranser GD'!$A$4:$B$482,2,FALSE)</f>
        <v>Norrköping</v>
      </c>
      <c r="C301" s="68">
        <v>1032.96</v>
      </c>
      <c r="D301" s="68">
        <v>978.6</v>
      </c>
      <c r="E301" s="68">
        <v>1027</v>
      </c>
      <c r="F301" s="68">
        <v>1017.5</v>
      </c>
      <c r="G301" s="68">
        <v>890</v>
      </c>
      <c r="H301" s="68">
        <v>952</v>
      </c>
      <c r="I301" s="68">
        <v>931</v>
      </c>
      <c r="J301" s="68">
        <v>947.56700000000001</v>
      </c>
      <c r="K301" s="68">
        <v>989.84400000000005</v>
      </c>
      <c r="L301" s="68">
        <v>897.75097815359493</v>
      </c>
      <c r="M301" s="68">
        <v>878</v>
      </c>
      <c r="N301" s="68">
        <v>899.96699999999998</v>
      </c>
      <c r="O301" s="68">
        <v>1005</v>
      </c>
      <c r="P301" s="76">
        <v>961.3</v>
      </c>
      <c r="Q301" s="68">
        <v>1098</v>
      </c>
      <c r="R301" s="68">
        <v>920</v>
      </c>
      <c r="S301" s="68">
        <f>IFERROR(VLOOKUP('Leveranser per nät'!A301,'lev 2012'!$B$2:$E$445,4,FALSE),"")</f>
        <v>980</v>
      </c>
      <c r="T301" s="68">
        <f>IFERROR(VLOOKUP('Leveranser per nät'!A301,'lev 2013'!$B$2:$E$445,4,FALSE),"")</f>
        <v>961</v>
      </c>
      <c r="U301" s="68">
        <f>IFERROR(VLOOKUP('Leveranser per nät'!A301,'lev 2014'!$B$2:$E$432,4,FALSE),"")</f>
        <v>870.2</v>
      </c>
      <c r="V301" s="68">
        <f>IFERROR(INDEX(Levererat_2015[Leveranser till eget nät],MATCH($A301,Levererat_2015[Indexnamn],0)),"")</f>
        <v>867</v>
      </c>
      <c r="W301" s="68">
        <f>IFERROR(INDEX(Levererat_2016[Leveranser till eget nät],MATCH($A301,Levererat_2016[Indexnamn],0)),"")</f>
        <v>916</v>
      </c>
      <c r="X301" s="68" t="str">
        <f>IFERROR(INDEX(Tabell4[Leveranser till eget nät],MATCH('Leveranser per nät'!A301,Tabell4[[Finns i listan ]],0)),"")</f>
        <v/>
      </c>
      <c r="Y301" s="68" t="str">
        <f>IFERROR(INDEX(Tabell6[Kolumn1],MATCH($A301,Tabell6[Indexnmamn],0)),"")</f>
        <v/>
      </c>
      <c r="Z301" s="68"/>
      <c r="AA301" s="68" t="s">
        <v>779</v>
      </c>
      <c r="AB301" s="10"/>
      <c r="AC301" s="10"/>
      <c r="AD301"/>
      <c r="AE301"/>
      <c r="AG301" s="2"/>
      <c r="AH301" s="103"/>
    </row>
    <row r="302" spans="1:34" x14ac:dyDescent="0.25">
      <c r="A302" t="s">
        <v>927</v>
      </c>
      <c r="B302" t="s">
        <v>88</v>
      </c>
      <c r="C302" s="10"/>
      <c r="D302" s="10"/>
      <c r="E302" s="10"/>
      <c r="F302" s="10"/>
      <c r="G302" s="10"/>
      <c r="H302" s="10"/>
      <c r="I302" s="10"/>
      <c r="J302" s="10"/>
      <c r="K302" s="10"/>
      <c r="L302" s="10"/>
      <c r="M302" s="10"/>
      <c r="N302" s="10"/>
      <c r="O302" s="10"/>
      <c r="P302" s="10"/>
      <c r="Q302" s="10"/>
      <c r="R302" s="10"/>
      <c r="S302" s="10"/>
      <c r="T302" s="10"/>
      <c r="U302" s="10"/>
      <c r="V302" s="10"/>
      <c r="W302" s="10"/>
      <c r="X302" s="10" t="str">
        <f>IFERROR(INDEX(Tabell4[Leveranser till eget nät],MATCH('Leveranser per nät'!A302,Tabell4[[Finns i listan ]],0)),"")</f>
        <v/>
      </c>
      <c r="Y302" s="10" t="str">
        <f>IFERROR(INDEX(Tabell6[Kolumn1],MATCH($A302,Tabell6[Indexnmamn],0)),"")</f>
        <v/>
      </c>
      <c r="Z302" s="10">
        <v>879</v>
      </c>
      <c r="AA302" s="10">
        <v>774.8</v>
      </c>
      <c r="AB302" s="10">
        <f>VLOOKUP(A302,Tabell9[[Indexnamn]:[Kolumn1]],3,FALSE)</f>
        <v>920.8</v>
      </c>
      <c r="AC302" s="10">
        <f>VLOOKUP($A302,'Lev 2022'!$K$2:$L$474,2,FALSE)</f>
        <v>799.5</v>
      </c>
      <c r="AG302" s="2">
        <f t="shared" si="11"/>
        <v>-121.29999999999995</v>
      </c>
      <c r="AH302" s="103">
        <f t="shared" si="12"/>
        <v>-0.13173327541268459</v>
      </c>
    </row>
    <row r="303" spans="1:34" s="77" customFormat="1" x14ac:dyDescent="0.25">
      <c r="A303" s="77" t="s">
        <v>494</v>
      </c>
      <c r="B303" s="77" t="str">
        <f>VLOOKUP(A303,'Korrigerade leveranser GD'!$A$4:$B$482,2,FALSE)</f>
        <v>Gävle</v>
      </c>
      <c r="C303" s="69"/>
      <c r="D303" s="69"/>
      <c r="E303" s="69"/>
      <c r="F303" s="69"/>
      <c r="G303" s="69"/>
      <c r="H303" s="69"/>
      <c r="I303" s="69"/>
      <c r="J303" s="69"/>
      <c r="K303" s="69"/>
      <c r="L303" s="69"/>
      <c r="M303" s="69"/>
      <c r="N303" s="69"/>
      <c r="O303" s="69"/>
      <c r="P303" s="69">
        <v>4.2</v>
      </c>
      <c r="Q303" s="69">
        <v>3.9</v>
      </c>
      <c r="R303" s="69">
        <v>3.3</v>
      </c>
      <c r="S303" s="69">
        <f>IFERROR(VLOOKUP('Leveranser per nät'!A303,'lev 2012'!$B$2:$E$445,4,FALSE),"")</f>
        <v>3.5</v>
      </c>
      <c r="T303" s="69">
        <f>IFERROR(VLOOKUP('Leveranser per nät'!A303,'lev 2013'!$B$2:$E$445,4,FALSE),"")</f>
        <v>3.4</v>
      </c>
      <c r="U303" s="69">
        <f>IFERROR(VLOOKUP('Leveranser per nät'!A303,'lev 2014'!$B$2:$E$432,4,FALSE),"")</f>
        <v>3.2280000000000002</v>
      </c>
      <c r="V303" s="69">
        <f>IFERROR(INDEX(Levererat_2015[Leveranser till eget nät],MATCH($A303,Levererat_2015[Indexnamn],0)),"")</f>
        <v>3.306</v>
      </c>
      <c r="W303" s="69">
        <f>IFERROR(INDEX(Levererat_2016[Leveranser till eget nät],MATCH($A303,Levererat_2016[Indexnamn],0)),"")</f>
        <v>3.468</v>
      </c>
      <c r="X303" s="69">
        <v>3.47</v>
      </c>
      <c r="Y303" s="69">
        <v>3.3</v>
      </c>
      <c r="Z303" s="69">
        <v>3.1</v>
      </c>
      <c r="AA303" s="69">
        <v>2.8</v>
      </c>
      <c r="AB303" s="69">
        <v>3.2</v>
      </c>
      <c r="AC303" s="56">
        <f>AB303*(1-0.07)</f>
        <v>2.976</v>
      </c>
      <c r="AD303"/>
      <c r="AE303"/>
      <c r="AG303" s="2"/>
      <c r="AH303" s="103">
        <f t="shared" si="12"/>
        <v>0</v>
      </c>
    </row>
    <row r="304" spans="1:34" x14ac:dyDescent="0.25">
      <c r="A304" t="s">
        <v>221</v>
      </c>
      <c r="B304" t="str">
        <f>VLOOKUP(A304,'Korrigerade leveranser GD'!$A$4:$B$482,2,FALSE)</f>
        <v>Norrtälje</v>
      </c>
      <c r="C304" s="10">
        <v>125</v>
      </c>
      <c r="D304" s="10">
        <v>124.09</v>
      </c>
      <c r="E304" s="10">
        <v>131</v>
      </c>
      <c r="F304" s="10">
        <v>94</v>
      </c>
      <c r="G304" s="10">
        <v>93</v>
      </c>
      <c r="H304" s="10">
        <v>101</v>
      </c>
      <c r="I304" s="10">
        <v>107</v>
      </c>
      <c r="J304" s="10">
        <v>110</v>
      </c>
      <c r="K304" s="10">
        <v>111.54900000000001</v>
      </c>
      <c r="L304" s="10">
        <v>106.286</v>
      </c>
      <c r="M304" s="10">
        <v>105.851</v>
      </c>
      <c r="N304" s="10">
        <v>105.917</v>
      </c>
      <c r="O304" s="10">
        <v>102.562</v>
      </c>
      <c r="P304" s="10">
        <v>111.179</v>
      </c>
      <c r="Q304" s="10">
        <v>132.517</v>
      </c>
      <c r="R304" s="10">
        <v>109.583</v>
      </c>
      <c r="S304" s="10">
        <f>IFERROR(VLOOKUP('Leveranser per nät'!A304,'lev 2012'!$B$2:$E$445,4,FALSE),"")</f>
        <v>125</v>
      </c>
      <c r="T304" s="10">
        <f>IFERROR(VLOOKUP('Leveranser per nät'!A304,'lev 2013'!$B$2:$E$445,4,FALSE),"")</f>
        <v>122.807</v>
      </c>
      <c r="U304" s="10">
        <f>IFERROR(VLOOKUP('Leveranser per nät'!A304,'lev 2014'!$B$2:$E$432,4,FALSE),"")</f>
        <v>115.727</v>
      </c>
      <c r="V304" s="10">
        <f>IFERROR(INDEX(Levererat_2015[Leveranser till eget nät],MATCH($A304,Levererat_2015[Indexnamn],0)),"")</f>
        <v>114.63500000000001</v>
      </c>
      <c r="W304" s="10">
        <f>IFERROR(INDEX(Levererat_2016[Leveranser till eget nät],MATCH($A304,Levererat_2016[Indexnamn],0)),"")</f>
        <v>122.11499999999999</v>
      </c>
      <c r="X304" s="10">
        <f>IFERROR(INDEX(Tabell4[Leveranser till eget nät],MATCH('Leveranser per nät'!A304,Tabell4[[Finns i listan ]],0)),"")</f>
        <v>125.523</v>
      </c>
      <c r="Y304" s="10">
        <f>IFERROR(INDEX(Tabell6[Kolumn1],MATCH($A304,Tabell6[Indexnmamn],0)),"")</f>
        <v>123.922</v>
      </c>
      <c r="Z304" s="10">
        <v>119.46599999999999</v>
      </c>
      <c r="AA304" s="10">
        <v>108.73</v>
      </c>
      <c r="AB304" s="10">
        <f>VLOOKUP(A304,Tabell9[[Indexnamn]:[Kolumn1]],3,FALSE)</f>
        <v>132.74199999999999</v>
      </c>
      <c r="AC304" s="10">
        <f>VLOOKUP($A304,'Lev 2022'!$K$2:$L$474,2,FALSE)</f>
        <v>128.52099999999999</v>
      </c>
      <c r="AG304" s="2">
        <f t="shared" si="11"/>
        <v>-4.2210000000000036</v>
      </c>
      <c r="AH304" s="103">
        <f t="shared" si="12"/>
        <v>-3.1798526464871739E-2</v>
      </c>
    </row>
    <row r="305" spans="1:34" x14ac:dyDescent="0.25">
      <c r="A305" t="s">
        <v>258</v>
      </c>
      <c r="B305" t="str">
        <f>VLOOKUP(A305,'Korrigerade leveranser GD'!$A$4:$B$482,2,FALSE)</f>
        <v xml:space="preserve">Norsjö </v>
      </c>
      <c r="C305" s="10">
        <v>14</v>
      </c>
      <c r="D305" s="10">
        <v>16.16</v>
      </c>
      <c r="E305" s="10">
        <v>26</v>
      </c>
      <c r="F305" s="10">
        <v>9</v>
      </c>
      <c r="G305" s="10">
        <v>9</v>
      </c>
      <c r="H305" s="10">
        <v>11.631</v>
      </c>
      <c r="I305" s="10">
        <v>11</v>
      </c>
      <c r="J305" s="10">
        <v>12</v>
      </c>
      <c r="K305" s="10">
        <v>12.132</v>
      </c>
      <c r="L305" s="10">
        <v>12.192299999999999</v>
      </c>
      <c r="M305" s="10">
        <v>12.678000000000001</v>
      </c>
      <c r="N305" s="10">
        <v>13.202999999999999</v>
      </c>
      <c r="O305" s="10">
        <v>13.96</v>
      </c>
      <c r="P305" s="10">
        <v>13.423</v>
      </c>
      <c r="Q305" s="10">
        <v>13.917999999999999</v>
      </c>
      <c r="R305" s="10">
        <v>11.91</v>
      </c>
      <c r="S305" s="10">
        <f>IFERROR(VLOOKUP('Leveranser per nät'!A305,'lev 2012'!$B$2:$E$445,4,FALSE),"")</f>
        <v>13.58</v>
      </c>
      <c r="T305" s="10">
        <f>IFERROR(VLOOKUP('Leveranser per nät'!A305,'lev 2013'!$B$2:$E$445,4,FALSE),"")</f>
        <v>12.398999999999999</v>
      </c>
      <c r="U305" s="10">
        <f>IFERROR(VLOOKUP('Leveranser per nät'!A305,'lev 2014'!$B$2:$E$432,4,FALSE),"")</f>
        <v>12.15</v>
      </c>
      <c r="V305" s="10">
        <f>IFERROR(INDEX(Levererat_2015[Leveranser till eget nät],MATCH($A305,Levererat_2015[Indexnamn],0)),"")</f>
        <v>11.77</v>
      </c>
      <c r="W305" s="10">
        <f>IFERROR(INDEX(Levererat_2016[Leveranser till eget nät],MATCH($A305,Levererat_2016[Indexnamn],0)),"")</f>
        <v>12.27</v>
      </c>
      <c r="X305" s="10">
        <f>IFERROR(INDEX(Tabell4[Leveranser till eget nät],MATCH('Leveranser per nät'!A305,Tabell4[[Finns i listan ]],0)),"")</f>
        <v>13.19</v>
      </c>
      <c r="Y305" s="10">
        <f>IFERROR(INDEX(Tabell6[Kolumn1],MATCH($A305,Tabell6[Indexnmamn],0)),"")</f>
        <v>13.169</v>
      </c>
      <c r="Z305" s="10">
        <v>13.79</v>
      </c>
      <c r="AA305" s="10">
        <v>12.637</v>
      </c>
      <c r="AB305" s="10">
        <f>VLOOKUP(A305,Tabell9[[Indexnamn]:[Kolumn1]],3,FALSE)</f>
        <v>14.2773</v>
      </c>
      <c r="AC305" s="10">
        <f>VLOOKUP($A305,'Lev 2022'!$K$2:$L$474,2,FALSE)</f>
        <v>13.6014</v>
      </c>
      <c r="AG305" s="2">
        <f t="shared" si="11"/>
        <v>-0.67590000000000039</v>
      </c>
      <c r="AH305" s="103">
        <f t="shared" si="12"/>
        <v>-4.7340883780546766E-2</v>
      </c>
    </row>
    <row r="306" spans="1:34" s="65" customFormat="1" x14ac:dyDescent="0.25">
      <c r="A306" s="65" t="s">
        <v>409</v>
      </c>
      <c r="B306" t="s">
        <v>0</v>
      </c>
      <c r="C306" s="68"/>
      <c r="D306" s="68"/>
      <c r="E306" s="68"/>
      <c r="F306" s="68">
        <v>6.3</v>
      </c>
      <c r="G306" s="68">
        <v>6.3</v>
      </c>
      <c r="H306" s="68"/>
      <c r="I306" s="68"/>
      <c r="J306" s="68"/>
      <c r="K306" s="68"/>
      <c r="L306" s="68"/>
      <c r="M306" s="68"/>
      <c r="N306" s="68"/>
      <c r="O306" s="68"/>
      <c r="P306" s="68"/>
      <c r="Q306" s="68"/>
      <c r="R306" s="68"/>
      <c r="S306" s="68" t="str">
        <f>IFERROR(VLOOKUP('Leveranser per nät'!A306,'lev 2012'!$B$2:$E$445,4,FALSE),"")</f>
        <v/>
      </c>
      <c r="T306" s="68" t="str">
        <f>IFERROR(VLOOKUP('Leveranser per nät'!A306,'lev 2013'!$B$2:$E$445,4,FALSE),"")</f>
        <v/>
      </c>
      <c r="U306" s="68" t="str">
        <f>IFERROR(VLOOKUP('Leveranser per nät'!A306,'lev 2014'!$B$2:$E$432,4,FALSE),"")</f>
        <v/>
      </c>
      <c r="V306" s="68" t="str">
        <f>IFERROR(INDEX(Levererat_2015[Leveranser till eget nät],MATCH($A306,Levererat_2015[Indexnamn],0)),"")</f>
        <v/>
      </c>
      <c r="W306" s="68" t="str">
        <f>IFERROR(INDEX(Levererat_2016[Leveranser till eget nät],MATCH($A306,Levererat_2016[Indexnamn],0)),"")</f>
        <v/>
      </c>
      <c r="X306" s="68" t="str">
        <f>IFERROR(INDEX(Tabell4[Leveranser till eget nät],MATCH('Leveranser per nät'!A306,Tabell4[[Finns i listan ]],0)),"")</f>
        <v/>
      </c>
      <c r="Y306" s="68" t="str">
        <f>IFERROR(INDEX(Tabell6[Kolumn1],MATCH($A306,Tabell6[Indexnmamn],0)),"")</f>
        <v/>
      </c>
      <c r="Z306" s="68"/>
      <c r="AA306" s="68" t="s">
        <v>779</v>
      </c>
      <c r="AB306" s="10"/>
      <c r="AC306" s="10"/>
      <c r="AD306"/>
      <c r="AE306"/>
      <c r="AG306" s="2"/>
      <c r="AH306" s="103"/>
    </row>
    <row r="307" spans="1:34" x14ac:dyDescent="0.25">
      <c r="A307" t="s">
        <v>163</v>
      </c>
      <c r="B307" t="str">
        <f>VLOOKUP(A307,'Korrigerade leveranser GD'!$A$4:$B$482,2,FALSE)</f>
        <v>Nybro</v>
      </c>
      <c r="C307" s="10">
        <v>54</v>
      </c>
      <c r="D307" s="10">
        <v>48.35</v>
      </c>
      <c r="E307" s="10">
        <v>48</v>
      </c>
      <c r="F307" s="10">
        <v>49</v>
      </c>
      <c r="G307" s="10">
        <v>47</v>
      </c>
      <c r="H307" s="10">
        <v>55</v>
      </c>
      <c r="I307" s="10">
        <v>57</v>
      </c>
      <c r="J307" s="10">
        <v>55</v>
      </c>
      <c r="K307" s="10">
        <v>70.957999999999998</v>
      </c>
      <c r="L307" s="10">
        <v>79.785990495941604</v>
      </c>
      <c r="M307" s="10">
        <v>76.103999999999999</v>
      </c>
      <c r="N307" s="10">
        <v>89.3</v>
      </c>
      <c r="O307" s="10">
        <v>79.712999999999994</v>
      </c>
      <c r="P307" s="10">
        <v>88</v>
      </c>
      <c r="Q307" s="10">
        <v>144</v>
      </c>
      <c r="R307" s="10">
        <v>123.5</v>
      </c>
      <c r="S307" s="10">
        <f>IFERROR(VLOOKUP('Leveranser per nät'!A307,'lev 2012'!$B$2:$E$445,4,FALSE),"")</f>
        <v>93</v>
      </c>
      <c r="T307" s="10">
        <f>IFERROR(VLOOKUP('Leveranser per nät'!A307,'lev 2013'!$B$2:$E$445,4,FALSE),"")</f>
        <v>133.43</v>
      </c>
      <c r="U307" s="10">
        <f>IFERROR(VLOOKUP('Leveranser per nät'!A307,'lev 2014'!$B$2:$E$432,4,FALSE),"")</f>
        <v>120.3</v>
      </c>
      <c r="V307" s="10">
        <f>IFERROR(INDEX(Levererat_2015[Leveranser till eget nät],MATCH($A307,Levererat_2015[Indexnamn],0)),"")</f>
        <v>130.5</v>
      </c>
      <c r="W307" s="10">
        <f>IFERROR(INDEX(Levererat_2016[Leveranser till eget nät],MATCH($A307,Levererat_2016[Indexnamn],0)),"")</f>
        <v>148.6</v>
      </c>
      <c r="X307" s="10">
        <v>141</v>
      </c>
      <c r="Y307" s="10">
        <f>IFERROR(INDEX(Tabell6[Kolumn1],MATCH($A307,Tabell6[Indexnmamn],0)),"")</f>
        <v>144</v>
      </c>
      <c r="Z307" s="10">
        <v>123.5</v>
      </c>
      <c r="AA307" s="58">
        <v>135.6</v>
      </c>
      <c r="AB307" s="10">
        <f>VLOOKUP(A307,Tabell9[[Indexnamn]:[Kolumn1]],3,FALSE)</f>
        <v>136.69999999999999</v>
      </c>
      <c r="AC307" s="10">
        <f>VLOOKUP($A307,'Lev 2022'!$K$2:$L$474,2,FALSE)</f>
        <v>131</v>
      </c>
      <c r="AG307" s="2">
        <f t="shared" si="11"/>
        <v>-5.6999999999999886</v>
      </c>
      <c r="AH307" s="103">
        <f t="shared" si="12"/>
        <v>-4.1697147037307897E-2</v>
      </c>
    </row>
    <row r="308" spans="1:34" s="65" customFormat="1" x14ac:dyDescent="0.25">
      <c r="A308" s="65" t="s">
        <v>384</v>
      </c>
      <c r="B308" s="65" t="str">
        <f>VLOOKUP(A308,'Korrigerade leveranser GD'!$A$4:$B$482,2,FALSE)</f>
        <v>Nybro</v>
      </c>
      <c r="C308" s="68"/>
      <c r="D308" s="68"/>
      <c r="E308" s="68"/>
      <c r="F308" s="68"/>
      <c r="G308" s="68"/>
      <c r="H308" s="68"/>
      <c r="I308" s="68"/>
      <c r="J308" s="68"/>
      <c r="K308" s="68"/>
      <c r="L308" s="68"/>
      <c r="M308" s="68">
        <v>137.5</v>
      </c>
      <c r="N308" s="68">
        <v>137.10499999999999</v>
      </c>
      <c r="O308" s="68">
        <v>132.80000000000001</v>
      </c>
      <c r="P308" s="68">
        <v>132.69999999999999</v>
      </c>
      <c r="Q308" s="68"/>
      <c r="R308" s="68"/>
      <c r="S308" s="68" t="str">
        <f>IFERROR(VLOOKUP('Leveranser per nät'!A308,'lev 2012'!$B$2:$E$445,4,FALSE),"")</f>
        <v/>
      </c>
      <c r="T308" s="68" t="str">
        <f>IFERROR(VLOOKUP('Leveranser per nät'!A308,'lev 2013'!$B$2:$E$445,4,FALSE),"")</f>
        <v/>
      </c>
      <c r="U308" s="68" t="str">
        <f>IFERROR(VLOOKUP('Leveranser per nät'!A308,'lev 2014'!$B$2:$E$432,4,FALSE),"")</f>
        <v/>
      </c>
      <c r="V308" s="68" t="str">
        <f>IFERROR(INDEX(Levererat_2015[Leveranser till eget nät],MATCH($A308,Levererat_2015[Indexnamn],0)),"")</f>
        <v/>
      </c>
      <c r="W308" s="68" t="str">
        <f>IFERROR(INDEX(Levererat_2016[Leveranser till eget nät],MATCH($A308,Levererat_2016[Indexnamn],0)),"")</f>
        <v/>
      </c>
      <c r="X308" s="68" t="str">
        <f>IFERROR(INDEX(Tabell4[Leveranser till eget nät],MATCH('Leveranser per nät'!A308,Tabell4[[Finns i listan ]],0)),"")</f>
        <v/>
      </c>
      <c r="Y308" s="68" t="str">
        <f>IFERROR(INDEX(Tabell6[Kolumn1],MATCH($A308,Tabell6[Indexnmamn],0)),"")</f>
        <v/>
      </c>
      <c r="Z308" s="68"/>
      <c r="AA308" s="68" t="s">
        <v>779</v>
      </c>
      <c r="AB308" s="10"/>
      <c r="AC308" s="10"/>
      <c r="AD308"/>
      <c r="AE308"/>
      <c r="AG308" s="2"/>
      <c r="AH308" s="103"/>
    </row>
    <row r="309" spans="1:34" s="65" customFormat="1" x14ac:dyDescent="0.25">
      <c r="A309" s="65" t="s">
        <v>313</v>
      </c>
      <c r="B309" s="65" t="str">
        <f>VLOOKUP(A309,'Korrigerade leveranser GD'!$A$4:$B$482,2,FALSE)</f>
        <v>Nykvarn</v>
      </c>
      <c r="C309" s="68"/>
      <c r="D309" s="68"/>
      <c r="E309" s="68"/>
      <c r="F309" s="68"/>
      <c r="G309" s="68"/>
      <c r="H309" s="68">
        <v>16</v>
      </c>
      <c r="I309" s="68">
        <v>17</v>
      </c>
      <c r="J309" s="68">
        <v>18</v>
      </c>
      <c r="K309" s="68">
        <v>17.509</v>
      </c>
      <c r="L309" s="68">
        <v>18.635000000000002</v>
      </c>
      <c r="M309" s="68">
        <v>19.510999999999999</v>
      </c>
      <c r="N309" s="68">
        <v>21.097999999999999</v>
      </c>
      <c r="O309" s="68">
        <v>21.097999999999999</v>
      </c>
      <c r="P309" s="68">
        <v>22.535</v>
      </c>
      <c r="Q309" s="68"/>
      <c r="R309" s="68"/>
      <c r="S309" s="68" t="str">
        <f>IFERROR(VLOOKUP('Leveranser per nät'!A309,'lev 2012'!$B$2:$E$445,4,FALSE),"")</f>
        <v/>
      </c>
      <c r="T309" s="68" t="str">
        <f>IFERROR(VLOOKUP('Leveranser per nät'!A309,'lev 2013'!$B$2:$E$445,4,FALSE),"")</f>
        <v/>
      </c>
      <c r="U309" s="68" t="str">
        <f>IFERROR(VLOOKUP('Leveranser per nät'!A309,'lev 2014'!$B$2:$E$432,4,FALSE),"")</f>
        <v/>
      </c>
      <c r="V309" s="68" t="str">
        <f>IFERROR(INDEX(Levererat_2015[Leveranser till eget nät],MATCH($A309,Levererat_2015[Indexnamn],0)),"")</f>
        <v/>
      </c>
      <c r="W309" s="68"/>
      <c r="X309" s="68" t="str">
        <f>IFERROR(INDEX(Tabell4[Leveranser till eget nät],MATCH('Leveranser per nät'!A309,Tabell4[[Finns i listan ]],0)),"")</f>
        <v/>
      </c>
      <c r="Y309" s="68" t="str">
        <f>IFERROR(INDEX(Tabell6[Kolumn1],MATCH($A309,Tabell6[Indexnmamn],0)),"")</f>
        <v/>
      </c>
      <c r="Z309" s="68"/>
      <c r="AA309" s="68" t="s">
        <v>779</v>
      </c>
      <c r="AB309" s="10"/>
      <c r="AC309" s="10"/>
      <c r="AD309"/>
      <c r="AE309"/>
      <c r="AG309" s="2"/>
      <c r="AH309" s="103"/>
    </row>
    <row r="310" spans="1:34" x14ac:dyDescent="0.25">
      <c r="A310" t="s">
        <v>337</v>
      </c>
      <c r="B310" t="str">
        <f>VLOOKUP(A310,'Korrigerade leveranser GD'!$A$4:$B$482,2,FALSE)</f>
        <v>Nyköping</v>
      </c>
      <c r="C310" s="10">
        <v>332</v>
      </c>
      <c r="D310" s="10">
        <v>285.62</v>
      </c>
      <c r="E310" s="56">
        <f>(D310-G310)/3*2+G310</f>
        <v>275.74666666666667</v>
      </c>
      <c r="F310" s="56">
        <f>(D310-G310)/3+G310</f>
        <v>265.87333333333333</v>
      </c>
      <c r="G310" s="10">
        <v>256</v>
      </c>
      <c r="H310" s="10">
        <v>261</v>
      </c>
      <c r="I310" s="10">
        <v>281</v>
      </c>
      <c r="J310" s="10">
        <v>296</v>
      </c>
      <c r="K310" s="10">
        <v>283.423</v>
      </c>
      <c r="L310" s="10">
        <v>211.97489758754173</v>
      </c>
      <c r="M310" s="10">
        <v>306.89699999999999</v>
      </c>
      <c r="N310" s="10">
        <v>264.89999999999998</v>
      </c>
      <c r="O310" s="10">
        <v>254.2</v>
      </c>
      <c r="P310" s="10">
        <v>273.39999999999998</v>
      </c>
      <c r="Q310" s="10">
        <v>322.8</v>
      </c>
      <c r="R310" s="10">
        <v>265.89999999999998</v>
      </c>
      <c r="S310" s="10">
        <f>IFERROR(VLOOKUP('Leveranser per nät'!A310,'lev 2012'!$B$2:$E$445,4,FALSE),"")</f>
        <v>284</v>
      </c>
      <c r="T310" s="10">
        <f>IFERROR(VLOOKUP('Leveranser per nät'!A310,'lev 2013'!$B$2:$E$445,4,FALSE),"")</f>
        <v>284.05</v>
      </c>
      <c r="U310" s="10">
        <f>IFERROR(VLOOKUP('Leveranser per nät'!A310,'lev 2014'!$B$2:$E$432,4,FALSE),"")</f>
        <v>259.2</v>
      </c>
      <c r="V310" s="10">
        <f>IFERROR(INDEX(Levererat_2015[Leveranser till eget nät],MATCH($A310,Levererat_2015[Indexnamn],0)),"")</f>
        <v>256.2</v>
      </c>
      <c r="W310" s="10">
        <f>IFERROR(INDEX(Levererat_2016[Leveranser till eget nät],MATCH($A310,Levererat_2016[Indexnamn],0)),"")</f>
        <v>283.41000000000003</v>
      </c>
      <c r="X310" s="10">
        <f>IFERROR(INDEX(Tabell4[Leveranser till eget nät],MATCH('Leveranser per nät'!A310,Tabell4[[Finns i listan ]],0)),"")</f>
        <v>269.5</v>
      </c>
      <c r="Y310" s="10">
        <f>IFERROR(INDEX(Tabell6[Kolumn1],MATCH($A310,Tabell6[Indexnmamn],0)),"")</f>
        <v>270.89100000000002</v>
      </c>
      <c r="Z310" s="10">
        <v>261.93</v>
      </c>
      <c r="AA310" s="10">
        <v>243.66399999999999</v>
      </c>
      <c r="AB310" s="10">
        <f>VLOOKUP(A310,Tabell9[[Indexnamn]:[Kolumn1]],3,FALSE)</f>
        <v>280.375</v>
      </c>
      <c r="AC310" s="10">
        <f>VLOOKUP($A310,'Lev 2022'!$K$2:$L$474,2,FALSE)</f>
        <v>258.73</v>
      </c>
      <c r="AG310" s="2">
        <f t="shared" si="11"/>
        <v>-21.644999999999982</v>
      </c>
      <c r="AH310" s="103">
        <f t="shared" si="12"/>
        <v>-7.7200178332590214E-2</v>
      </c>
    </row>
    <row r="311" spans="1:34" x14ac:dyDescent="0.25">
      <c r="A311" t="s">
        <v>121</v>
      </c>
      <c r="B311" t="str">
        <f>VLOOKUP(A311,'Korrigerade leveranser GD'!$A$4:$B$482,2,FALSE)</f>
        <v>Nynäshamn</v>
      </c>
      <c r="C311" s="10">
        <v>14</v>
      </c>
      <c r="D311" s="10">
        <v>14.79</v>
      </c>
      <c r="E311" s="10">
        <v>15</v>
      </c>
      <c r="F311" s="10">
        <v>18</v>
      </c>
      <c r="G311" s="10">
        <v>17</v>
      </c>
      <c r="H311" s="10">
        <v>16</v>
      </c>
      <c r="I311" s="56">
        <f>(H311-J311)/2+J311</f>
        <v>16</v>
      </c>
      <c r="J311" s="10">
        <v>16</v>
      </c>
      <c r="K311" s="10"/>
      <c r="L311" s="10"/>
      <c r="M311" s="10"/>
      <c r="N311" s="10"/>
      <c r="O311" s="10"/>
      <c r="P311" s="10">
        <v>222.95</v>
      </c>
      <c r="Q311" s="10">
        <v>0</v>
      </c>
      <c r="R311" s="10">
        <v>58.735999999999997</v>
      </c>
      <c r="S311" s="10">
        <f>IFERROR(VLOOKUP('Leveranser per nät'!A311,'lev 2012'!$B$2:$E$445,4,FALSE),"")</f>
        <v>62</v>
      </c>
      <c r="T311" s="10">
        <f>IFERROR(VLOOKUP('Leveranser per nät'!A311,'lev 2013'!$B$2:$E$445,4,FALSE),"")</f>
        <v>59.045000000000002</v>
      </c>
      <c r="U311" s="10">
        <f>IFERROR(VLOOKUP('Leveranser per nät'!A311,'lev 2014'!$B$2:$E$432,4,FALSE),"")</f>
        <v>55.302</v>
      </c>
      <c r="V311" s="10">
        <f>IFERROR(INDEX(Levererat_2015[Leveranser till eget nät],MATCH($A311,Levererat_2015[Indexnamn],0)),"")</f>
        <v>53.823999999999998</v>
      </c>
      <c r="W311" s="10">
        <f>IFERROR(INDEX(Levererat_2016[Leveranser till eget nät],MATCH($A311,Levererat_2016[Indexnamn],0)),"")</f>
        <v>58.087000000000003</v>
      </c>
      <c r="X311" s="10">
        <f>IFERROR(INDEX(Tabell4[Leveranser till eget nät],MATCH('Leveranser per nät'!A311,Tabell4[[Finns i listan ]],0)),"")</f>
        <v>212.739</v>
      </c>
      <c r="Y311" s="10">
        <f>IFERROR(INDEX(Tabell6[Kolumn1],MATCH($A311,Tabell6[Indexnmamn],0)),"")</f>
        <v>208.7</v>
      </c>
      <c r="Z311" s="10">
        <v>66.548000000000002</v>
      </c>
      <c r="AA311" s="10">
        <v>59.512</v>
      </c>
      <c r="AB311" s="10">
        <f>VLOOKUP(A311,Tabell9[[Indexnamn]:[Kolumn1]],3,FALSE)</f>
        <v>71.67</v>
      </c>
      <c r="AC311" s="10">
        <f>VLOOKUP($A311,'Lev 2022'!$K$2:$L$474,2,FALSE)</f>
        <v>57.290999999999997</v>
      </c>
      <c r="AG311" s="2">
        <f t="shared" si="11"/>
        <v>-14.379000000000005</v>
      </c>
      <c r="AH311" s="103">
        <f t="shared" si="12"/>
        <v>-0.20062787777312691</v>
      </c>
    </row>
    <row r="312" spans="1:34" s="65" customFormat="1" x14ac:dyDescent="0.25">
      <c r="A312" s="65" t="s">
        <v>410</v>
      </c>
      <c r="B312" t="s">
        <v>157</v>
      </c>
      <c r="C312" s="68"/>
      <c r="D312" s="68"/>
      <c r="E312" s="68"/>
      <c r="F312" s="68"/>
      <c r="G312" s="68"/>
      <c r="H312" s="68"/>
      <c r="I312" s="68"/>
      <c r="J312" s="68"/>
      <c r="K312" s="68"/>
      <c r="L312" s="68">
        <v>2.8178000000000001</v>
      </c>
      <c r="M312" s="68"/>
      <c r="N312" s="68"/>
      <c r="O312" s="68"/>
      <c r="P312" s="68"/>
      <c r="Q312" s="68"/>
      <c r="R312" s="68"/>
      <c r="S312" s="68" t="str">
        <f>IFERROR(VLOOKUP('Leveranser per nät'!A312,'lev 2012'!$B$2:$E$445,4,FALSE),"")</f>
        <v/>
      </c>
      <c r="T312" s="68" t="str">
        <f>IFERROR(VLOOKUP('Leveranser per nät'!A312,'lev 2013'!$B$2:$E$445,4,FALSE),"")</f>
        <v/>
      </c>
      <c r="U312" s="68" t="str">
        <f>IFERROR(VLOOKUP('Leveranser per nät'!A312,'lev 2014'!$B$2:$E$432,4,FALSE),"")</f>
        <v/>
      </c>
      <c r="V312" s="68" t="str">
        <f>IFERROR(INDEX(Levererat_2015[Leveranser till eget nät],MATCH($A312,Levererat_2015[Indexnamn],0)),"")</f>
        <v/>
      </c>
      <c r="W312" s="68" t="str">
        <f>IFERROR(INDEX(Levererat_2016[Leveranser till eget nät],MATCH($A312,Levererat_2016[Indexnamn],0)),"")</f>
        <v/>
      </c>
      <c r="X312" s="68" t="str">
        <f>IFERROR(INDEX(Tabell4[Leveranser till eget nät],MATCH('Leveranser per nät'!A312,Tabell4[[Finns i listan ]],0)),"")</f>
        <v/>
      </c>
      <c r="Y312" s="68" t="str">
        <f>IFERROR(INDEX(Tabell6[Kolumn1],MATCH($A312,Tabell6[Indexnmamn],0)),"")</f>
        <v/>
      </c>
      <c r="Z312" s="68"/>
      <c r="AA312" s="68" t="s">
        <v>779</v>
      </c>
      <c r="AB312" s="10"/>
      <c r="AC312" s="10">
        <f>VLOOKUP($A312,'Lev 2022'!$K$2:$L$474,2,FALSE)</f>
        <v>3.4</v>
      </c>
      <c r="AD312"/>
      <c r="AE312"/>
      <c r="AG312" s="2">
        <f t="shared" si="11"/>
        <v>3.4</v>
      </c>
      <c r="AH312" s="103"/>
    </row>
    <row r="313" spans="1:34" x14ac:dyDescent="0.25">
      <c r="A313" t="s">
        <v>223</v>
      </c>
      <c r="B313" t="str">
        <f>VLOOKUP(A313,'Korrigerade leveranser GD'!$A$4:$B$482,2,FALSE)</f>
        <v>Nässjö</v>
      </c>
      <c r="C313" s="10">
        <v>124</v>
      </c>
      <c r="D313" s="10">
        <v>114.6</v>
      </c>
      <c r="E313" s="10">
        <v>124</v>
      </c>
      <c r="F313" s="10">
        <v>118</v>
      </c>
      <c r="G313" s="10">
        <v>114</v>
      </c>
      <c r="H313" s="10">
        <v>134.73699999999999</v>
      </c>
      <c r="I313" s="10">
        <v>137.79400000000001</v>
      </c>
      <c r="J313" s="10">
        <v>143.34200000000001</v>
      </c>
      <c r="K313" s="10">
        <v>142.62</v>
      </c>
      <c r="L313" s="10">
        <v>140.38</v>
      </c>
      <c r="M313" s="10">
        <v>141.93199999999999</v>
      </c>
      <c r="N313" s="10">
        <v>144.30600000000001</v>
      </c>
      <c r="O313" s="10">
        <v>146.96700000000001</v>
      </c>
      <c r="P313" s="10">
        <v>156.40799999999999</v>
      </c>
      <c r="Q313" s="10">
        <v>180.251</v>
      </c>
      <c r="R313" s="10">
        <v>148.809</v>
      </c>
      <c r="S313" s="10">
        <f>IFERROR(VLOOKUP('Leveranser per nät'!A313,'lev 2012'!$B$2:$E$445,4,FALSE),"")</f>
        <v>162</v>
      </c>
      <c r="T313" s="10">
        <f>IFERROR(VLOOKUP('Leveranser per nät'!A313,'lev 2013'!$B$2:$E$445,4,FALSE),"")</f>
        <v>157.19800000000001</v>
      </c>
      <c r="U313" s="10">
        <f>IFERROR(VLOOKUP('Leveranser per nät'!A313,'lev 2014'!$B$2:$E$432,4,FALSE),"")</f>
        <v>143.143</v>
      </c>
      <c r="V313" s="10">
        <f>IFERROR(INDEX(Levererat_2015[Leveranser till eget nät],MATCH($A313,Levererat_2015[Indexnamn],0)),"")</f>
        <v>146.80199999999999</v>
      </c>
      <c r="W313" s="10">
        <f>IFERROR(INDEX(Levererat_2016[Leveranser till eget nät],MATCH($A313,Levererat_2016[Indexnamn],0)),"")</f>
        <v>151.4</v>
      </c>
      <c r="X313" s="58">
        <v>152.1</v>
      </c>
      <c r="Y313" s="10">
        <f>IFERROR(INDEX(Tabell6[Kolumn1],MATCH($A313,Tabell6[Indexnmamn],0)),"")</f>
        <v>150.80000000000001</v>
      </c>
      <c r="Z313" s="10">
        <v>145.30000000000001</v>
      </c>
      <c r="AA313" s="10">
        <v>137.19999999999999</v>
      </c>
      <c r="AB313" s="10">
        <f>VLOOKUP(A313,Tabell9[[Indexnamn]:[Kolumn1]],3,FALSE)</f>
        <v>157.5</v>
      </c>
      <c r="AC313" s="10">
        <f>VLOOKUP($A313,'Lev 2022'!$K$2:$L$474,2,FALSE)</f>
        <v>146.80000000000001</v>
      </c>
      <c r="AG313" s="2">
        <f t="shared" si="11"/>
        <v>-10.699999999999989</v>
      </c>
      <c r="AH313" s="103">
        <f t="shared" si="12"/>
        <v>-6.7936507936507864E-2</v>
      </c>
    </row>
    <row r="314" spans="1:34" s="77" customFormat="1" x14ac:dyDescent="0.25">
      <c r="A314" s="77" t="s">
        <v>127</v>
      </c>
      <c r="B314" s="77" t="str">
        <f>VLOOKUP(A314,'Korrigerade leveranser GD'!$A$4:$B$482,2,FALSE)</f>
        <v>Hudiksvall</v>
      </c>
      <c r="C314" s="69"/>
      <c r="D314" s="69"/>
      <c r="E314" s="69"/>
      <c r="F314" s="69"/>
      <c r="G314" s="69"/>
      <c r="H314" s="69"/>
      <c r="I314" s="69"/>
      <c r="J314" s="69"/>
      <c r="K314" s="69"/>
      <c r="L314" s="69"/>
      <c r="M314" s="69"/>
      <c r="N314" s="69"/>
      <c r="O314" s="69">
        <v>1.9</v>
      </c>
      <c r="P314" s="69">
        <v>1.9</v>
      </c>
      <c r="Q314" s="69">
        <v>2.266</v>
      </c>
      <c r="R314" s="69">
        <v>1.839</v>
      </c>
      <c r="S314" s="69">
        <f>IFERROR(VLOOKUP('Leveranser per nät'!A314,'lev 2012'!$B$2:$E$445,4,FALSE),"")</f>
        <v>1.93</v>
      </c>
      <c r="T314" s="69">
        <f>IFERROR(VLOOKUP('Leveranser per nät'!A314,'lev 2013'!$B$2:$E$445,4,FALSE),"")</f>
        <v>1.92</v>
      </c>
      <c r="U314" s="69">
        <f>IFERROR(VLOOKUP('Leveranser per nät'!A314,'lev 2014'!$B$2:$E$432,4,FALSE),"")</f>
        <v>1.627</v>
      </c>
      <c r="V314" s="69">
        <f>IFERROR(INDEX(Levererat_2015[Leveranser till eget nät],MATCH($A314,Levererat_2015[Indexnamn],0)),"")</f>
        <v>1.591</v>
      </c>
      <c r="W314" s="69">
        <v>1.8</v>
      </c>
      <c r="X314" s="69">
        <v>1.6</v>
      </c>
      <c r="Y314" s="69">
        <v>1.6</v>
      </c>
      <c r="Z314" s="69">
        <v>1.6</v>
      </c>
      <c r="AA314" s="69">
        <v>1.4</v>
      </c>
      <c r="AB314" s="69">
        <v>1.6</v>
      </c>
      <c r="AC314" s="56">
        <f>AB314*(1-0.07)</f>
        <v>1.488</v>
      </c>
      <c r="AD314"/>
      <c r="AE314"/>
      <c r="AG314" s="2"/>
      <c r="AH314" s="103"/>
    </row>
    <row r="315" spans="1:34" x14ac:dyDescent="0.25">
      <c r="A315" t="s">
        <v>71</v>
      </c>
      <c r="B315" t="str">
        <f>VLOOKUP(A315,'Korrigerade leveranser GD'!$A$4:$B$482,2,FALSE)</f>
        <v>Junsele</v>
      </c>
      <c r="C315" s="10"/>
      <c r="D315" s="10">
        <v>0.97</v>
      </c>
      <c r="E315" s="10">
        <v>1</v>
      </c>
      <c r="F315" s="10">
        <v>1.3240000000000001</v>
      </c>
      <c r="G315" s="10">
        <v>1.4</v>
      </c>
      <c r="H315" s="10">
        <v>2</v>
      </c>
      <c r="I315" s="10">
        <v>1</v>
      </c>
      <c r="J315" s="10">
        <v>1.5329999999999999</v>
      </c>
      <c r="K315" s="10">
        <v>1.5329999999999999</v>
      </c>
      <c r="L315" s="10">
        <v>2.2593924206472855</v>
      </c>
      <c r="M315" s="10">
        <v>1.37</v>
      </c>
      <c r="N315" s="10">
        <v>1.6</v>
      </c>
      <c r="O315" s="10">
        <v>1.4</v>
      </c>
      <c r="P315" s="10">
        <v>2</v>
      </c>
      <c r="Q315" s="10">
        <v>2</v>
      </c>
      <c r="R315" s="56">
        <f>(Q315-S315)/2+S315</f>
        <v>2.0499999999999998</v>
      </c>
      <c r="S315" s="10">
        <v>2.1</v>
      </c>
      <c r="T315" s="10">
        <f>IFERROR(VLOOKUP('Leveranser per nät'!A315,'lev 2013'!$B$2:$E$445,4,FALSE),"")</f>
        <v>1.899</v>
      </c>
      <c r="U315" s="58">
        <v>1.7</v>
      </c>
      <c r="V315" s="10">
        <f>IFERROR(INDEX(Levererat_2015[Leveranser till eget nät],MATCH($A315,Levererat_2015[Indexnamn],0)),"")</f>
        <v>1.7</v>
      </c>
      <c r="W315" s="10">
        <f>IFERROR(INDEX(Levererat_2016[Leveranser till eget nät],MATCH($A315,Levererat_2016[Indexnamn],0)),"")</f>
        <v>1.9</v>
      </c>
      <c r="X315" s="10">
        <f>IFERROR(INDEX(Tabell4[Leveranser till eget nät],MATCH('Leveranser per nät'!A315,Tabell4[[Finns i listan ]],0)),"")</f>
        <v>1.7</v>
      </c>
      <c r="Y315" s="10">
        <f>IFERROR(INDEX(Tabell6[Kolumn1],MATCH($A315,Tabell6[Indexnmamn],0)),"")</f>
        <v>1.8</v>
      </c>
      <c r="Z315" s="10">
        <v>1.827</v>
      </c>
      <c r="AA315" s="10">
        <v>1.764</v>
      </c>
      <c r="AB315" s="10">
        <f>VLOOKUP(A315,Tabell9[[Indexnamn]:[Kolumn1]],3,FALSE)</f>
        <v>1.978</v>
      </c>
      <c r="AC315" s="10">
        <f>VLOOKUP($A315,'Lev 2022'!$K$2:$L$474,2,FALSE)</f>
        <v>1.8979999999999999</v>
      </c>
      <c r="AG315" s="2">
        <f t="shared" si="11"/>
        <v>-8.0000000000000071E-2</v>
      </c>
      <c r="AH315" s="103">
        <f t="shared" si="12"/>
        <v>-4.0444893832153724E-2</v>
      </c>
    </row>
    <row r="316" spans="1:34" x14ac:dyDescent="0.25">
      <c r="A316" t="s">
        <v>682</v>
      </c>
      <c r="B316" t="str">
        <f>VLOOKUP(A316,'Korrigerade leveranser GD'!$A$4:$B$482,2,FALSE)</f>
        <v>Karlskrona</v>
      </c>
      <c r="C316" s="10"/>
      <c r="D316" s="10"/>
      <c r="E316" s="10"/>
      <c r="F316" s="10"/>
      <c r="G316" s="10"/>
      <c r="H316" s="10"/>
      <c r="I316" s="10"/>
      <c r="J316" s="10"/>
      <c r="K316" s="10"/>
      <c r="L316" s="10"/>
      <c r="M316" s="10"/>
      <c r="N316" s="10"/>
      <c r="O316" s="10"/>
      <c r="P316" s="10"/>
      <c r="Q316" s="10"/>
      <c r="R316" s="10">
        <v>0</v>
      </c>
      <c r="S316" s="10">
        <f>IFERROR(VLOOKUP('Leveranser per nät'!A316,'lev 2012'!$B$2:$E$445,4,FALSE),"")</f>
        <v>3</v>
      </c>
      <c r="T316" s="10">
        <f>IFERROR(VLOOKUP('Leveranser per nät'!A316,'lev 2013'!$B$2:$E$445,4,FALSE),"")</f>
        <v>3.2</v>
      </c>
      <c r="U316" s="10">
        <f>IFERROR(VLOOKUP('Leveranser per nät'!A316,'lev 2014'!$B$2:$E$432,4,FALSE),"")</f>
        <v>3.21</v>
      </c>
      <c r="V316" s="10">
        <f>IFERROR(INDEX(Levererat_2015[Leveranser till eget nät],MATCH($A316,Levererat_2015[Indexnamn],0)),"")</f>
        <v>3.5</v>
      </c>
      <c r="W316" s="10">
        <f>IFERROR(INDEX(Levererat_2016[Leveranser till eget nät],MATCH($A316,Levererat_2016[Indexnamn],0)),"")</f>
        <v>4</v>
      </c>
      <c r="X316" s="10">
        <f>IFERROR(INDEX(Tabell4[Leveranser till eget nät],MATCH('Leveranser per nät'!A316,Tabell4[[Finns i listan ]],0)),"")</f>
        <v>4.2699999999999996</v>
      </c>
      <c r="Y316" s="10">
        <f>IFERROR(INDEX(Tabell6[Kolumn1],MATCH($A316,Tabell6[Indexnmamn],0)),"")</f>
        <v>4.0970000000000004</v>
      </c>
      <c r="Z316" s="10">
        <v>3.53</v>
      </c>
      <c r="AA316" s="10">
        <v>3.3490000000000002</v>
      </c>
      <c r="AB316" s="10">
        <f>VLOOKUP(A316,Tabell9[[Indexnamn]:[Kolumn1]],3,FALSE)</f>
        <v>4.2850000000000001</v>
      </c>
      <c r="AC316" s="10">
        <f>VLOOKUP($A316,'Lev 2022'!$K$2:$L$474,2,FALSE)</f>
        <v>4.0449999999999999</v>
      </c>
      <c r="AG316" s="2">
        <f t="shared" si="11"/>
        <v>-0.24000000000000021</v>
      </c>
      <c r="AH316" s="103">
        <f t="shared" si="12"/>
        <v>-5.6009334889148242E-2</v>
      </c>
    </row>
    <row r="317" spans="1:34" s="77" customFormat="1" x14ac:dyDescent="0.25">
      <c r="A317" s="81" t="s">
        <v>8</v>
      </c>
      <c r="B317" s="77" t="str">
        <f>VLOOKUP(A317,'Korrigerade leveranser GD'!$A$4:$B$482,2,FALSE)</f>
        <v>Ockelbo</v>
      </c>
      <c r="C317" s="69"/>
      <c r="D317" s="69"/>
      <c r="E317" s="69"/>
      <c r="F317" s="69"/>
      <c r="G317" s="69"/>
      <c r="H317" s="69"/>
      <c r="I317" s="69"/>
      <c r="J317" s="69"/>
      <c r="K317" s="69"/>
      <c r="L317" s="69"/>
      <c r="M317" s="69"/>
      <c r="N317" s="69"/>
      <c r="O317" s="69"/>
      <c r="P317" s="69">
        <v>25</v>
      </c>
      <c r="Q317" s="69">
        <v>25.3</v>
      </c>
      <c r="R317" s="69">
        <v>21.2</v>
      </c>
      <c r="S317" s="69">
        <f>IFERROR(VLOOKUP('Leveranser per nät'!A317,'lev 2012'!$B$2:$E$445,4,FALSE),"")</f>
        <v>23</v>
      </c>
      <c r="T317" s="69">
        <f>IFERROR(VLOOKUP('Leveranser per nät'!A317,'lev 2013'!$B$2:$E$445,4,FALSE),"")</f>
        <v>22</v>
      </c>
      <c r="U317" s="69">
        <f>IFERROR(VLOOKUP('Leveranser per nät'!A317,'lev 2014'!$B$2:$E$432,4,FALSE),"")</f>
        <v>21.513999999999999</v>
      </c>
      <c r="V317" s="69">
        <f>IFERROR(INDEX(Levererat_2015[Leveranser till eget nät],MATCH($A317,Levererat_2015[Indexnamn],0)),"")</f>
        <v>22.541</v>
      </c>
      <c r="W317" s="69">
        <f>IFERROR(INDEX(Levererat_2016[Leveranser till eget nät],MATCH($A317,Levererat_2016[Indexnamn],0)),"")</f>
        <v>22.245000000000001</v>
      </c>
      <c r="X317" s="69">
        <v>21.9</v>
      </c>
      <c r="Y317" s="69">
        <v>21.2</v>
      </c>
      <c r="Z317" s="69">
        <v>21.3</v>
      </c>
      <c r="AA317" s="69">
        <v>19.399999999999999</v>
      </c>
      <c r="AB317" s="69">
        <v>21.5</v>
      </c>
      <c r="AC317" s="56">
        <f>AB317*(1-0.07)</f>
        <v>19.994999999999997</v>
      </c>
      <c r="AD317"/>
      <c r="AE317"/>
      <c r="AG317" s="2"/>
      <c r="AH317" s="103"/>
    </row>
    <row r="318" spans="1:34" s="77" customFormat="1" x14ac:dyDescent="0.25">
      <c r="A318" s="5" t="s">
        <v>56</v>
      </c>
      <c r="B318" s="5" t="str">
        <f>VLOOKUP(A318,'Korrigerade leveranser GD'!$A$4:$B$482,2,FALSE)</f>
        <v>Örebro</v>
      </c>
      <c r="C318" s="69">
        <v>5</v>
      </c>
      <c r="D318" s="69">
        <v>4.87</v>
      </c>
      <c r="E318" s="69">
        <v>5</v>
      </c>
      <c r="F318" s="69">
        <v>4</v>
      </c>
      <c r="G318" s="69">
        <v>4</v>
      </c>
      <c r="H318" s="69">
        <v>5</v>
      </c>
      <c r="I318" s="69">
        <v>5</v>
      </c>
      <c r="J318" s="69">
        <v>5</v>
      </c>
      <c r="K318" s="69">
        <v>5</v>
      </c>
      <c r="L318" s="69">
        <v>5.9609270934345169</v>
      </c>
      <c r="M318" s="69">
        <v>4.2329999999999997</v>
      </c>
      <c r="N318" s="69">
        <v>4.9000000000000004</v>
      </c>
      <c r="O318" s="69">
        <v>4.9000000000000004</v>
      </c>
      <c r="P318" s="69">
        <v>6</v>
      </c>
      <c r="Q318" s="69">
        <v>6.7</v>
      </c>
      <c r="R318" s="69">
        <v>5.18</v>
      </c>
      <c r="S318" s="69">
        <f>IFERROR(VLOOKUP('Leveranser per nät'!A318,'lev 2012'!$B$2:$E$445,4,FALSE),"")</f>
        <v>5.76</v>
      </c>
      <c r="T318" s="56">
        <f>(S318-V318)/3*2+V318</f>
        <v>5.5066666666666668</v>
      </c>
      <c r="U318" s="56">
        <f>(S318-V318)/3+V318</f>
        <v>5.253333333333333</v>
      </c>
      <c r="V318" s="69">
        <v>5</v>
      </c>
      <c r="W318" s="69">
        <v>5.0999999999999996</v>
      </c>
      <c r="X318" s="69">
        <v>5.3</v>
      </c>
      <c r="Y318" s="69">
        <v>5.3</v>
      </c>
      <c r="Z318" s="69">
        <v>4.9000000000000004</v>
      </c>
      <c r="AA318" s="58">
        <v>4.5330000000000004</v>
      </c>
      <c r="AB318" s="10">
        <f>VLOOKUP(A318,Tabell9[[Indexnamn]:[Kolumn1]],3,FALSE)</f>
        <v>5.44</v>
      </c>
      <c r="AC318" s="10">
        <f>VLOOKUP($A318,'Lev 2022'!$K$2:$L$474,2,FALSE)</f>
        <v>4.8719999999999999</v>
      </c>
      <c r="AD318"/>
      <c r="AE318"/>
      <c r="AG318" s="2">
        <f t="shared" si="11"/>
        <v>-0.5680000000000005</v>
      </c>
      <c r="AH318" s="103">
        <f t="shared" si="12"/>
        <v>-0.10441176470588244</v>
      </c>
    </row>
    <row r="319" spans="1:34" x14ac:dyDescent="0.25">
      <c r="A319" s="5" t="s">
        <v>411</v>
      </c>
      <c r="B319" s="5" t="s">
        <v>207</v>
      </c>
      <c r="C319" s="10"/>
      <c r="D319" s="10">
        <v>0.48</v>
      </c>
      <c r="E319" s="10">
        <v>1</v>
      </c>
      <c r="F319" s="10">
        <v>1</v>
      </c>
      <c r="G319" s="10"/>
      <c r="H319" s="10"/>
      <c r="I319" s="10"/>
      <c r="J319" s="10"/>
      <c r="K319" s="10"/>
      <c r="L319" s="10"/>
      <c r="M319" s="10"/>
      <c r="N319" s="10"/>
      <c r="O319" s="10"/>
      <c r="P319" s="10"/>
      <c r="Q319" s="10"/>
      <c r="R319" s="10"/>
      <c r="S319" s="10" t="str">
        <f>IFERROR(VLOOKUP('Leveranser per nät'!A319,'lev 2012'!$B$2:$E$445,4,FALSE),"")</f>
        <v/>
      </c>
      <c r="T319" s="10" t="str">
        <f>IFERROR(VLOOKUP('Leveranser per nät'!A319,'lev 2013'!$B$2:$E$445,4,FALSE),"")</f>
        <v/>
      </c>
      <c r="U319" s="10" t="str">
        <f>IFERROR(VLOOKUP('Leveranser per nät'!A319,'lev 2014'!$B$2:$E$432,4,FALSE),"")</f>
        <v/>
      </c>
      <c r="V319" s="10" t="str">
        <f>IFERROR(INDEX(Levererat_2015[Leveranser till eget nät],MATCH($A319,Levererat_2015[Indexnamn],0)),"")</f>
        <v/>
      </c>
      <c r="W319" s="10" t="str">
        <f>IFERROR(INDEX(Levererat_2016[Leveranser till eget nät],MATCH($A319,Levererat_2016[Indexnamn],0)),"")</f>
        <v/>
      </c>
      <c r="X319" s="10" t="str">
        <f>IFERROR(INDEX(Tabell4[Leveranser till eget nät],MATCH('Leveranser per nät'!A319,Tabell4[[Finns i listan ]],0)),"")</f>
        <v/>
      </c>
      <c r="Y319" s="10" t="str">
        <f>IFERROR(INDEX(Tabell6[Kolumn1],MATCH($A319,Tabell6[Indexnmamn],0)),"")</f>
        <v/>
      </c>
      <c r="Z319" s="10"/>
      <c r="AA319" s="10" t="s">
        <v>779</v>
      </c>
      <c r="AB319" s="10"/>
      <c r="AC319" s="10"/>
      <c r="AG319" s="2"/>
      <c r="AH319" s="103"/>
    </row>
    <row r="320" spans="1:34" x14ac:dyDescent="0.25">
      <c r="A320" t="s">
        <v>226</v>
      </c>
      <c r="B320" t="str">
        <f>VLOOKUP(A320,'Korrigerade leveranser GD'!$A$4:$B$482,2,FALSE)</f>
        <v>Olofström</v>
      </c>
      <c r="C320" s="10"/>
      <c r="D320" s="10"/>
      <c r="E320" s="10"/>
      <c r="F320" s="10"/>
      <c r="G320" s="10"/>
      <c r="H320" s="10"/>
      <c r="I320" s="10"/>
      <c r="J320" s="10"/>
      <c r="K320" s="10"/>
      <c r="L320" s="10"/>
      <c r="M320" s="10">
        <v>40.281999999999996</v>
      </c>
      <c r="N320" s="10">
        <v>39.631</v>
      </c>
      <c r="O320" s="10">
        <v>40.880000000000003</v>
      </c>
      <c r="P320" s="10">
        <v>41.7</v>
      </c>
      <c r="Q320" s="10">
        <v>46.8</v>
      </c>
      <c r="R320" s="10">
        <v>39.799999999999997</v>
      </c>
      <c r="S320" s="10">
        <f>IFERROR(VLOOKUP('Leveranser per nät'!A320,'lev 2012'!$B$2:$E$445,4,FALSE),"")</f>
        <v>43</v>
      </c>
      <c r="T320" s="10">
        <f>IFERROR(VLOOKUP('Leveranser per nät'!A320,'lev 2013'!$B$2:$E$445,4,FALSE),"")</f>
        <v>41.4</v>
      </c>
      <c r="U320" s="10">
        <f>IFERROR(VLOOKUP('Leveranser per nät'!A320,'lev 2014'!$B$2:$E$432,4,FALSE),"")</f>
        <v>38.241</v>
      </c>
      <c r="V320" s="10">
        <f>IFERROR(INDEX(Levererat_2015[Leveranser till eget nät],MATCH($A320,Levererat_2015[Indexnamn],0)),"")</f>
        <v>42.54</v>
      </c>
      <c r="W320" s="10">
        <f>IFERROR(INDEX(Levererat_2016[Leveranser till eget nät],MATCH($A320,Levererat_2016[Indexnamn],0)),"")</f>
        <v>49.66</v>
      </c>
      <c r="X320" s="10">
        <f>IFERROR(INDEX(Tabell4[Leveranser till eget nät],MATCH('Leveranser per nät'!A320,Tabell4[[Finns i listan ]],0)),"")</f>
        <v>48.54</v>
      </c>
      <c r="Y320" s="10">
        <f>IFERROR(INDEX(Tabell6[Kolumn1],MATCH($A320,Tabell6[Indexnmamn],0)),"")</f>
        <v>49</v>
      </c>
      <c r="Z320" s="10">
        <v>45.4</v>
      </c>
      <c r="AA320" s="10">
        <v>43.5</v>
      </c>
      <c r="AB320" s="10">
        <f>VLOOKUP(A320,Tabell9[[Indexnamn]:[Kolumn1]],3,FALSE)</f>
        <v>50.13</v>
      </c>
      <c r="AC320" s="10">
        <f>VLOOKUP($A320,'Lev 2022'!$K$2:$L$474,2,FALSE)</f>
        <v>47.76</v>
      </c>
      <c r="AG320" s="2">
        <f t="shared" si="11"/>
        <v>-2.3700000000000045</v>
      </c>
      <c r="AH320" s="103">
        <f t="shared" si="12"/>
        <v>-4.7277079593058137E-2</v>
      </c>
    </row>
    <row r="321" spans="1:34" x14ac:dyDescent="0.25">
      <c r="A321" t="s">
        <v>26</v>
      </c>
      <c r="B321" t="str">
        <f>VLOOKUP(A321,'Korrigerade leveranser GD'!$A$4:$B$482,2,FALSE)</f>
        <v>Borlänge</v>
      </c>
      <c r="C321" s="10"/>
      <c r="D321" s="10"/>
      <c r="E321" s="10"/>
      <c r="F321" s="10"/>
      <c r="G321" s="10"/>
      <c r="H321" s="10"/>
      <c r="I321" s="10"/>
      <c r="J321" s="10"/>
      <c r="K321" s="10"/>
      <c r="L321" s="10"/>
      <c r="M321" s="10">
        <v>0</v>
      </c>
      <c r="N321" s="10">
        <v>0.8</v>
      </c>
      <c r="O321" s="10">
        <v>1.5</v>
      </c>
      <c r="P321" s="10">
        <v>2.1</v>
      </c>
      <c r="Q321" s="10">
        <v>2.2999999999999998</v>
      </c>
      <c r="R321" s="10">
        <v>2.1</v>
      </c>
      <c r="S321" s="10">
        <f>IFERROR(VLOOKUP('Leveranser per nät'!A321,'lev 2012'!$B$2:$E$445,4,FALSE),"")</f>
        <v>2.13</v>
      </c>
      <c r="T321" s="10">
        <f>IFERROR(VLOOKUP('Leveranser per nät'!A321,'lev 2013'!$B$2:$E$445,4,FALSE),"")</f>
        <v>1.97</v>
      </c>
      <c r="U321" s="10">
        <f>IFERROR(VLOOKUP('Leveranser per nät'!A321,'lev 2014'!$B$2:$E$432,4,FALSE),"")</f>
        <v>1.7909999999999999</v>
      </c>
      <c r="V321" s="10">
        <f>IFERROR(INDEX(Levererat_2015[Leveranser till eget nät],MATCH($A321,Levererat_2015[Indexnamn],0)),"")</f>
        <v>1.621</v>
      </c>
      <c r="W321" s="10">
        <f>IFERROR(INDEX(Levererat_2016[Leveranser till eget nät],MATCH($A321,Levererat_2016[Indexnamn],0)),"")</f>
        <v>1.8680000000000001</v>
      </c>
      <c r="X321" s="10">
        <f>IFERROR(INDEX(Tabell4[Leveranser till eget nät],MATCH('Leveranser per nät'!A321,Tabell4[[Finns i listan ]],0)),"")</f>
        <v>1.831</v>
      </c>
      <c r="Y321" s="10">
        <f>IFERROR(INDEX(Tabell6[Kolumn1],MATCH($A321,Tabell6[Indexnmamn],0)),"")</f>
        <v>1.96</v>
      </c>
      <c r="Z321" s="10">
        <v>1.861</v>
      </c>
      <c r="AA321" s="10">
        <v>1.64</v>
      </c>
      <c r="AB321" s="10">
        <f>VLOOKUP(A321,Tabell9[[Indexnamn]:[Kolumn1]],3,FALSE)</f>
        <v>1.851</v>
      </c>
      <c r="AC321" s="10">
        <f>VLOOKUP($A321,'Lev 2022'!$K$2:$L$474,2,FALSE)</f>
        <v>1.89</v>
      </c>
      <c r="AG321" s="2">
        <f t="shared" si="11"/>
        <v>3.8999999999999924E-2</v>
      </c>
      <c r="AH321" s="103">
        <f t="shared" si="12"/>
        <v>2.1069692058346797E-2</v>
      </c>
    </row>
    <row r="322" spans="1:34" x14ac:dyDescent="0.25">
      <c r="A322" t="s">
        <v>53</v>
      </c>
      <c r="B322" t="str">
        <f>VLOOKUP(A322,'Korrigerade leveranser GD'!$A$4:$B$482,2,FALSE)</f>
        <v>Orsa</v>
      </c>
      <c r="C322" s="10"/>
      <c r="D322" s="10"/>
      <c r="E322" s="10"/>
      <c r="F322" s="10"/>
      <c r="G322" s="10"/>
      <c r="H322" s="10"/>
      <c r="I322" s="10"/>
      <c r="J322" s="10"/>
      <c r="K322" s="10">
        <v>17.742999999999999</v>
      </c>
      <c r="L322" s="10">
        <v>22.227683107022095</v>
      </c>
      <c r="M322" s="10">
        <v>19.533999999999999</v>
      </c>
      <c r="N322" s="10">
        <v>20.8</v>
      </c>
      <c r="O322" s="10">
        <v>21.4</v>
      </c>
      <c r="P322" s="10">
        <v>24</v>
      </c>
      <c r="Q322" s="10">
        <v>26.6</v>
      </c>
      <c r="R322" s="10">
        <v>21.58</v>
      </c>
      <c r="S322" s="10">
        <f>IFERROR(VLOOKUP('Leveranser per nät'!A322,'lev 2012'!$B$2:$E$445,4,FALSE),"")</f>
        <v>24</v>
      </c>
      <c r="T322" s="10">
        <f>IFERROR(VLOOKUP('Leveranser per nät'!A322,'lev 2013'!$B$2:$E$445,4,FALSE),"")</f>
        <v>24.253</v>
      </c>
      <c r="U322" s="10">
        <f>IFERROR(VLOOKUP('Leveranser per nät'!A322,'lev 2014'!$B$2:$E$432,4,FALSE),"")</f>
        <v>22.065999999999999</v>
      </c>
      <c r="V322" s="10">
        <f>IFERROR(INDEX(Levererat_2015[Leveranser till eget nät],MATCH($A322,Levererat_2015[Indexnamn],0)),"")</f>
        <v>22.66</v>
      </c>
      <c r="W322" s="10">
        <f>IFERROR(INDEX(Levererat_2016[Leveranser till eget nät],MATCH($A322,Levererat_2016[Indexnamn],0)),"")</f>
        <v>24</v>
      </c>
      <c r="X322" s="10">
        <f>IFERROR(INDEX(Tabell4[Leveranser till eget nät],MATCH('Leveranser per nät'!A322,Tabell4[[Finns i listan ]],0)),"")</f>
        <v>23.428999999999998</v>
      </c>
      <c r="Y322" s="10">
        <f>IFERROR(INDEX(Tabell6[Kolumn1],MATCH($A322,Tabell6[Indexnmamn],0)),"")</f>
        <v>22.3</v>
      </c>
      <c r="Z322" s="10">
        <v>22.591000000000001</v>
      </c>
      <c r="AA322" s="10">
        <v>20.123999999999999</v>
      </c>
      <c r="AB322" s="10">
        <f>VLOOKUP(A322,Tabell9[[Indexnamn]:[Kolumn1]],3,FALSE)</f>
        <v>23.594999999999999</v>
      </c>
      <c r="AC322" s="10">
        <f>VLOOKUP($A322,'Lev 2022'!$K$2:$L$474,2,FALSE)</f>
        <v>22.411999999999999</v>
      </c>
      <c r="AG322" s="2">
        <f t="shared" si="11"/>
        <v>-1.1829999999999998</v>
      </c>
      <c r="AH322" s="103">
        <f t="shared" si="12"/>
        <v>-5.0137741046831955E-2</v>
      </c>
    </row>
    <row r="323" spans="1:34" s="77" customFormat="1" x14ac:dyDescent="0.25">
      <c r="A323" s="77" t="s">
        <v>114</v>
      </c>
      <c r="B323" s="77" t="str">
        <f>VLOOKUP(A323,'Korrigerade leveranser GD'!$A$4:$B$482,2,FALSE)</f>
        <v>Osby</v>
      </c>
      <c r="C323" s="69">
        <v>37</v>
      </c>
      <c r="D323" s="69">
        <v>33.799999999999997</v>
      </c>
      <c r="E323" s="69">
        <v>38</v>
      </c>
      <c r="F323" s="69">
        <v>34</v>
      </c>
      <c r="G323" s="69">
        <v>31</v>
      </c>
      <c r="H323" s="69">
        <v>35</v>
      </c>
      <c r="I323" s="69">
        <v>38</v>
      </c>
      <c r="J323" s="69">
        <v>36.722000000000001</v>
      </c>
      <c r="K323" s="69">
        <v>39.664999999999999</v>
      </c>
      <c r="L323" s="69">
        <v>39.664999999999999</v>
      </c>
      <c r="M323" s="69">
        <v>38.979999999999997</v>
      </c>
      <c r="N323" s="69">
        <v>40.094000000000001</v>
      </c>
      <c r="O323" s="69">
        <v>38.835999999999999</v>
      </c>
      <c r="P323" s="80">
        <v>45</v>
      </c>
      <c r="Q323" s="69">
        <v>47.9</v>
      </c>
      <c r="R323" s="69">
        <v>42.2</v>
      </c>
      <c r="S323" s="69">
        <f>IFERROR(VLOOKUP('Leveranser per nät'!A323,'lev 2012'!$B$2:$E$445,4,FALSE),"")</f>
        <v>47</v>
      </c>
      <c r="T323" s="69">
        <v>47</v>
      </c>
      <c r="U323" s="69">
        <v>45.5</v>
      </c>
      <c r="V323" s="69">
        <v>41.6</v>
      </c>
      <c r="W323" s="69">
        <v>50</v>
      </c>
      <c r="X323" s="69">
        <v>43.9</v>
      </c>
      <c r="Y323" s="69">
        <v>46.2</v>
      </c>
      <c r="Z323" s="69">
        <v>42.5</v>
      </c>
      <c r="AA323" s="69">
        <v>45.3</v>
      </c>
      <c r="AB323" s="69">
        <v>46.6</v>
      </c>
      <c r="AC323" s="56">
        <f>AB323*(1-0.07)</f>
        <v>43.338000000000001</v>
      </c>
      <c r="AD323"/>
      <c r="AE323"/>
      <c r="AG323" s="2"/>
      <c r="AH323" s="103"/>
    </row>
    <row r="324" spans="1:34" x14ac:dyDescent="0.25">
      <c r="A324" t="s">
        <v>227</v>
      </c>
      <c r="B324" t="str">
        <f>VLOOKUP(A324,'Korrigerade leveranser GD'!$A$4:$B$482,2,FALSE)</f>
        <v>Oskarshamn</v>
      </c>
      <c r="C324" s="10">
        <v>69</v>
      </c>
      <c r="D324" s="10">
        <v>70.87</v>
      </c>
      <c r="E324" s="10">
        <v>70</v>
      </c>
      <c r="F324" s="10">
        <v>68</v>
      </c>
      <c r="G324" s="10">
        <v>64</v>
      </c>
      <c r="H324" s="10">
        <v>73</v>
      </c>
      <c r="I324" s="10">
        <v>91</v>
      </c>
      <c r="J324" s="10">
        <v>94</v>
      </c>
      <c r="K324" s="10">
        <v>96.959000000000003</v>
      </c>
      <c r="L324" s="10">
        <v>96.376999999999995</v>
      </c>
      <c r="M324" s="10">
        <v>94.4</v>
      </c>
      <c r="N324" s="10">
        <v>97.3</v>
      </c>
      <c r="O324" s="10">
        <v>105.5</v>
      </c>
      <c r="P324" s="10">
        <v>120.2</v>
      </c>
      <c r="Q324" s="10">
        <v>148.6</v>
      </c>
      <c r="R324" s="10">
        <v>127.8</v>
      </c>
      <c r="S324" s="10">
        <f>IFERROR(VLOOKUP('Leveranser per nät'!A324,'lev 2012'!$B$2:$E$445,4,FALSE),"")</f>
        <v>132</v>
      </c>
      <c r="T324" s="10">
        <f>IFERROR(VLOOKUP('Leveranser per nät'!A324,'lev 2013'!$B$2:$E$445,4,FALSE),"")</f>
        <v>132.30000000000001</v>
      </c>
      <c r="U324" s="10">
        <f>IFERROR(VLOOKUP('Leveranser per nät'!A324,'lev 2014'!$B$2:$E$432,4,FALSE),"")</f>
        <v>120.6</v>
      </c>
      <c r="V324" s="10">
        <f>IFERROR(INDEX(Levererat_2015[Leveranser till eget nät],MATCH($A324,Levererat_2015[Indexnamn],0)),"")</f>
        <v>126.2</v>
      </c>
      <c r="W324" s="10">
        <f>IFERROR(INDEX(Levererat_2016[Leveranser till eget nät],MATCH($A324,Levererat_2016[Indexnamn],0)),"")</f>
        <v>142.5</v>
      </c>
      <c r="X324" s="10">
        <f>IFERROR(INDEX(Tabell4[Leveranser till eget nät],MATCH('Leveranser per nät'!A324,Tabell4[[Finns i listan ]],0)),"")</f>
        <v>142.80000000000001</v>
      </c>
      <c r="Y324" s="10">
        <f>IFERROR(INDEX(Tabell6[Kolumn1],MATCH($A324,Tabell6[Indexnmamn],0)),"")</f>
        <v>148.6</v>
      </c>
      <c r="Z324" s="10">
        <v>146.30000000000001</v>
      </c>
      <c r="AA324" s="10">
        <v>128.9</v>
      </c>
      <c r="AB324" s="10">
        <f>VLOOKUP(A324,Tabell9[[Indexnamn]:[Kolumn1]],3,FALSE)</f>
        <v>149.5</v>
      </c>
      <c r="AC324" s="10">
        <f>VLOOKUP($A324,'Lev 2022'!$K$2:$L$474,2,FALSE)</f>
        <v>137.80000000000001</v>
      </c>
      <c r="AG324" s="2">
        <f t="shared" si="11"/>
        <v>-11.699999999999989</v>
      </c>
      <c r="AH324" s="103">
        <f t="shared" si="12"/>
        <v>-7.8260869565217314E-2</v>
      </c>
    </row>
    <row r="325" spans="1:34" x14ac:dyDescent="0.25">
      <c r="A325" t="s">
        <v>228</v>
      </c>
      <c r="B325" t="str">
        <f>VLOOKUP(A325,'Korrigerade leveranser GD'!$A$4:$B$482,2,FALSE)</f>
        <v>Oxelösund</v>
      </c>
      <c r="C325" s="10">
        <v>96</v>
      </c>
      <c r="D325" s="10">
        <v>84.78</v>
      </c>
      <c r="E325" s="10">
        <v>85</v>
      </c>
      <c r="F325" s="10">
        <v>81</v>
      </c>
      <c r="G325" s="10">
        <v>76</v>
      </c>
      <c r="H325" s="10">
        <v>80.587000000000003</v>
      </c>
      <c r="I325" s="10">
        <v>79</v>
      </c>
      <c r="J325" s="10">
        <v>86.191000000000003</v>
      </c>
      <c r="K325" s="10">
        <v>82.206000000000003</v>
      </c>
      <c r="L325" s="10">
        <v>85.65</v>
      </c>
      <c r="M325" s="10">
        <v>85.7</v>
      </c>
      <c r="N325" s="10">
        <v>85.7</v>
      </c>
      <c r="O325" s="10">
        <v>78.599999999999994</v>
      </c>
      <c r="P325" s="10">
        <v>82.3</v>
      </c>
      <c r="Q325" s="10">
        <v>100.4</v>
      </c>
      <c r="R325" s="10">
        <v>82.6</v>
      </c>
      <c r="S325" s="10">
        <f>IFERROR(VLOOKUP('Leveranser per nät'!A325,'lev 2012'!$B$2:$E$445,4,FALSE),"")</f>
        <v>82</v>
      </c>
      <c r="T325" s="10">
        <f>IFERROR(VLOOKUP('Leveranser per nät'!A325,'lev 2013'!$B$2:$E$445,4,FALSE),"")</f>
        <v>83.1</v>
      </c>
      <c r="U325" s="10">
        <f>IFERROR(VLOOKUP('Leveranser per nät'!A325,'lev 2014'!$B$2:$E$432,4,FALSE),"")</f>
        <v>77.8</v>
      </c>
      <c r="V325" s="10">
        <f>IFERROR(INDEX(Levererat_2015[Leveranser till eget nät],MATCH($A325,Levererat_2015[Indexnamn],0)),"")</f>
        <v>76.8</v>
      </c>
      <c r="W325" s="10">
        <f>IFERROR(INDEX(Levererat_2016[Leveranser till eget nät],MATCH($A325,Levererat_2016[Indexnamn],0)),"")</f>
        <v>81.7</v>
      </c>
      <c r="X325" s="10">
        <f>IFERROR(INDEX(Tabell4[Leveranser till eget nät],MATCH('Leveranser per nät'!A325,Tabell4[[Finns i listan ]],0)),"")</f>
        <v>82.4</v>
      </c>
      <c r="Y325" s="10">
        <f>IFERROR(INDEX(Tabell6[Kolumn1],MATCH($A325,Tabell6[Indexnmamn],0)),"")</f>
        <v>82.9</v>
      </c>
      <c r="Z325" s="10">
        <v>80.7</v>
      </c>
      <c r="AA325" s="10">
        <v>78.900000000000006</v>
      </c>
      <c r="AB325" s="10">
        <f>VLOOKUP(A325,Tabell9[[Indexnamn]:[Kolumn1]],3,FALSE)</f>
        <v>88.8</v>
      </c>
      <c r="AC325" s="10">
        <f>VLOOKUP($A325,'Lev 2022'!$K$2:$L$474,2,FALSE)</f>
        <v>74.599999999999994</v>
      </c>
      <c r="AG325" s="2">
        <f t="shared" ref="AG325:AG388" si="13">AC325-AB325</f>
        <v>-14.200000000000003</v>
      </c>
      <c r="AH325" s="103">
        <f t="shared" ref="AH325:AH388" si="14">AG325/AB325</f>
        <v>-0.15990990990990994</v>
      </c>
    </row>
    <row r="326" spans="1:34" s="77" customFormat="1" x14ac:dyDescent="0.25">
      <c r="A326" s="77" t="s">
        <v>412</v>
      </c>
      <c r="B326" s="77" t="str">
        <f>VLOOKUP(A326,'Korrigerade leveranser GD'!$A$4:$B$482,2,FALSE)</f>
        <v>Pajala</v>
      </c>
      <c r="C326" s="69">
        <v>18.911000000000001</v>
      </c>
      <c r="D326" s="69">
        <v>19.032</v>
      </c>
      <c r="E326" s="69">
        <v>23</v>
      </c>
      <c r="F326" s="69">
        <v>21.047999999999998</v>
      </c>
      <c r="G326" s="69">
        <v>19</v>
      </c>
      <c r="H326" s="69">
        <v>21</v>
      </c>
      <c r="I326" s="69">
        <v>23</v>
      </c>
      <c r="J326" s="69">
        <v>23</v>
      </c>
      <c r="K326" s="69">
        <v>22.486000000000001</v>
      </c>
      <c r="L326" s="69">
        <v>22.486000000000001</v>
      </c>
      <c r="M326" s="56">
        <f>(L326-N326)/2+N326</f>
        <v>20.692999999999998</v>
      </c>
      <c r="N326" s="69">
        <v>18.899999999999999</v>
      </c>
      <c r="O326" s="69">
        <v>22.1</v>
      </c>
      <c r="P326" s="69">
        <v>24</v>
      </c>
      <c r="Q326" s="69">
        <v>24.2</v>
      </c>
      <c r="R326" s="69">
        <v>21.7</v>
      </c>
      <c r="S326" s="69">
        <v>23.4</v>
      </c>
      <c r="T326" s="69">
        <v>23.3</v>
      </c>
      <c r="U326" s="69">
        <v>23.1</v>
      </c>
      <c r="V326" s="69">
        <v>23.5</v>
      </c>
      <c r="W326" s="69">
        <v>23.8</v>
      </c>
      <c r="X326" s="69">
        <v>24.9</v>
      </c>
      <c r="Y326" s="69">
        <v>24.2</v>
      </c>
      <c r="Z326" s="10">
        <v>24.82</v>
      </c>
      <c r="AA326" s="69">
        <v>22.4</v>
      </c>
      <c r="AB326" s="69">
        <v>24.8</v>
      </c>
      <c r="AC326" s="56">
        <f>AB326*(1-0.07)</f>
        <v>23.064</v>
      </c>
      <c r="AD326"/>
      <c r="AE326"/>
      <c r="AG326" s="2">
        <f t="shared" si="13"/>
        <v>-1.7360000000000007</v>
      </c>
      <c r="AH326" s="103">
        <f t="shared" si="14"/>
        <v>-7.0000000000000021E-2</v>
      </c>
    </row>
    <row r="327" spans="1:34" s="77" customFormat="1" x14ac:dyDescent="0.25">
      <c r="A327" s="5" t="s">
        <v>932</v>
      </c>
      <c r="B327" s="5" t="s">
        <v>932</v>
      </c>
      <c r="C327" s="69"/>
      <c r="D327" s="69"/>
      <c r="E327" s="69"/>
      <c r="F327" s="69"/>
      <c r="G327" s="69"/>
      <c r="H327" s="69"/>
      <c r="I327" s="69"/>
      <c r="J327" s="69"/>
      <c r="K327" s="69"/>
      <c r="L327" s="69"/>
      <c r="M327" s="56"/>
      <c r="N327" s="69"/>
      <c r="O327" s="69"/>
      <c r="P327" s="69"/>
      <c r="Q327" s="56"/>
      <c r="R327" s="56"/>
      <c r="S327" s="69"/>
      <c r="T327" s="69"/>
      <c r="U327" s="69"/>
      <c r="V327" s="69"/>
      <c r="W327" s="69"/>
      <c r="X327" s="69"/>
      <c r="Y327" s="10">
        <f>IFERROR(INDEX(Tabell6[Kolumn1],MATCH($A327,Tabell6[Indexnmamn],0)),"")</f>
        <v>158</v>
      </c>
      <c r="Z327" s="10">
        <v>151</v>
      </c>
      <c r="AA327" s="58">
        <v>142</v>
      </c>
      <c r="AB327" s="10">
        <f>VLOOKUP(A327,Tabell9[[Indexnamn]:[Kolumn1]],3,FALSE)</f>
        <v>164</v>
      </c>
      <c r="AC327" s="10">
        <f>VLOOKUP($A327,'Lev 2022'!$K$2:$L$474,2,FALSE)</f>
        <v>147</v>
      </c>
      <c r="AD327"/>
      <c r="AE327"/>
      <c r="AG327" s="2">
        <f t="shared" si="13"/>
        <v>-17</v>
      </c>
      <c r="AH327" s="103">
        <f t="shared" si="14"/>
        <v>-0.10365853658536585</v>
      </c>
    </row>
    <row r="328" spans="1:34" x14ac:dyDescent="0.25">
      <c r="A328" t="s">
        <v>229</v>
      </c>
      <c r="B328" t="s">
        <v>229</v>
      </c>
      <c r="C328" s="10">
        <v>36.823999999999998</v>
      </c>
      <c r="D328" s="10">
        <v>33.359000000000002</v>
      </c>
      <c r="E328" s="10">
        <v>34.045000000000002</v>
      </c>
      <c r="F328" s="10">
        <v>31.808</v>
      </c>
      <c r="G328" s="10">
        <v>31.7</v>
      </c>
      <c r="H328" s="10">
        <v>32.700000000000003</v>
      </c>
      <c r="I328" s="10">
        <v>32.5</v>
      </c>
      <c r="J328" s="10">
        <v>32.57</v>
      </c>
      <c r="K328" s="10">
        <v>34.799999999999997</v>
      </c>
      <c r="L328" s="10">
        <v>37.1</v>
      </c>
      <c r="M328" s="10">
        <v>39.326999999999998</v>
      </c>
      <c r="N328" s="10">
        <v>39.799999999999997</v>
      </c>
      <c r="O328" s="10">
        <v>41.127000000000002</v>
      </c>
      <c r="P328" s="10">
        <v>43.8</v>
      </c>
      <c r="Q328" s="10">
        <v>50.4</v>
      </c>
      <c r="R328" s="10">
        <v>43.5</v>
      </c>
      <c r="S328" s="10">
        <f>IFERROR(VLOOKUP('Leveranser per nät'!A328,'lev 2012'!$B$2:$E$445,4,FALSE),"")</f>
        <v>47</v>
      </c>
      <c r="T328" s="10">
        <f>IFERROR(VLOOKUP('Leveranser per nät'!A328,'lev 2013'!$B$2:$E$445,4,FALSE),"")</f>
        <v>45.5</v>
      </c>
      <c r="U328" s="10">
        <f>IFERROR(VLOOKUP('Leveranser per nät'!A328,'lev 2014'!$B$2:$E$432,4,FALSE),"")</f>
        <v>41.8</v>
      </c>
      <c r="V328" s="10">
        <f>IFERROR(INDEX(Levererat_2015[Leveranser till eget nät],MATCH($A328,Levererat_2015[Indexnamn],0)),"")</f>
        <v>44.1</v>
      </c>
      <c r="W328" s="10">
        <f>IFERROR(INDEX(Levererat_2016[Leveranser till eget nät],MATCH($A328,Levererat_2016[Indexnamn],0)),"")</f>
        <v>46</v>
      </c>
      <c r="X328" s="10">
        <f>IFERROR(INDEX(Tabell4[Leveranser till eget nät],MATCH('Leveranser per nät'!A328,Tabell4[[Finns i listan ]],0)),"")</f>
        <v>46</v>
      </c>
      <c r="Y328" s="10">
        <f>IFERROR(INDEX(Tabell6[Kolumn1],MATCH($A328,Tabell6[Indexnmamn],0)),"")</f>
        <v>45.8</v>
      </c>
      <c r="Z328" s="10">
        <v>44.9</v>
      </c>
      <c r="AA328" s="10">
        <v>44.2</v>
      </c>
      <c r="AB328" s="10">
        <f>VLOOKUP(A328,Tabell9[[Indexnamn]:[Kolumn1]],3,FALSE)</f>
        <v>48.9</v>
      </c>
      <c r="AC328" s="10">
        <f>VLOOKUP($A328,'Lev 2022'!$K$2:$L$474,2,FALSE)</f>
        <v>45.7</v>
      </c>
      <c r="AG328" s="2">
        <f t="shared" si="13"/>
        <v>-3.1999999999999957</v>
      </c>
      <c r="AH328" s="103">
        <f t="shared" si="14"/>
        <v>-6.5439672801635901E-2</v>
      </c>
    </row>
    <row r="329" spans="1:34" x14ac:dyDescent="0.25">
      <c r="A329" t="s">
        <v>230</v>
      </c>
      <c r="B329" t="str">
        <f>VLOOKUP(A329,'Korrigerade leveranser GD'!$A$4:$B$482,2,FALSE)</f>
        <v>Piteå</v>
      </c>
      <c r="C329" s="10">
        <v>159</v>
      </c>
      <c r="D329" s="10">
        <v>153.41999999999999</v>
      </c>
      <c r="E329" s="10">
        <v>163</v>
      </c>
      <c r="F329" s="10">
        <v>170</v>
      </c>
      <c r="G329" s="10">
        <v>160.5</v>
      </c>
      <c r="H329" s="10">
        <v>169</v>
      </c>
      <c r="I329" s="10">
        <v>171</v>
      </c>
      <c r="J329" s="10">
        <v>172.429</v>
      </c>
      <c r="K329" s="10">
        <v>181.238</v>
      </c>
      <c r="L329" s="10">
        <v>175.30799999999999</v>
      </c>
      <c r="M329" s="10">
        <v>188</v>
      </c>
      <c r="N329" s="10">
        <v>188</v>
      </c>
      <c r="O329" s="10">
        <v>206.1</v>
      </c>
      <c r="P329" s="10">
        <v>211.1</v>
      </c>
      <c r="Q329" s="10">
        <v>254.3</v>
      </c>
      <c r="R329" s="10">
        <v>234.62</v>
      </c>
      <c r="S329" s="10">
        <f>IFERROR(VLOOKUP('Leveranser per nät'!A329,'lev 2012'!$B$2:$E$445,4,FALSE),"")</f>
        <v>239</v>
      </c>
      <c r="T329" s="10">
        <f>IFERROR(VLOOKUP('Leveranser per nät'!A329,'lev 2013'!$B$2:$E$445,4,FALSE),"")</f>
        <v>219.93</v>
      </c>
      <c r="U329" s="10">
        <f>IFERROR(VLOOKUP('Leveranser per nät'!A329,'lev 2014'!$B$2:$E$432,4,FALSE),"")</f>
        <v>217.47</v>
      </c>
      <c r="V329" s="10">
        <f>IFERROR(INDEX(Levererat_2015[Leveranser till eget nät],MATCH($A329,Levererat_2015[Indexnamn],0)),"")</f>
        <v>212.5</v>
      </c>
      <c r="W329" s="10">
        <f>IFERROR(INDEX(Levererat_2016[Leveranser till eget nät],MATCH($A329,Levererat_2016[Indexnamn],0)),"")</f>
        <v>238.1</v>
      </c>
      <c r="X329" s="10">
        <f>IFERROR(INDEX(Tabell4[Leveranser till eget nät],MATCH('Leveranser per nät'!A329,Tabell4[[Finns i listan ]],0)),"")</f>
        <v>241</v>
      </c>
      <c r="Y329" s="10">
        <f>IFERROR(INDEX(Tabell6[Kolumn1],MATCH($A329,Tabell6[Indexnmamn],0)),"")</f>
        <v>246.8</v>
      </c>
      <c r="Z329" s="10">
        <v>255.83</v>
      </c>
      <c r="AA329" s="10">
        <v>222.98</v>
      </c>
      <c r="AB329" s="10">
        <f>VLOOKUP(A329,Tabell9[[Indexnamn]:[Kolumn1]],3,FALSE)</f>
        <v>259.60000000000002</v>
      </c>
      <c r="AC329" s="10">
        <f>VLOOKUP($A329,'Lev 2022'!$K$2:$L$474,2,FALSE)</f>
        <v>240.6</v>
      </c>
      <c r="AG329" s="2">
        <f t="shared" si="13"/>
        <v>-19.000000000000028</v>
      </c>
      <c r="AH329" s="103">
        <f t="shared" si="14"/>
        <v>-7.3189522342064814E-2</v>
      </c>
    </row>
    <row r="330" spans="1:34" s="65" customFormat="1" x14ac:dyDescent="0.25">
      <c r="A330" s="65" t="s">
        <v>295</v>
      </c>
      <c r="B330" s="65" t="str">
        <f>VLOOKUP(A330,'Korrigerade leveranser GD'!$A$4:$B$482,2,FALSE)</f>
        <v>Västerås</v>
      </c>
      <c r="C330" s="68"/>
      <c r="D330" s="68"/>
      <c r="E330" s="68"/>
      <c r="F330" s="68"/>
      <c r="G330" s="68"/>
      <c r="H330" s="68"/>
      <c r="I330" s="68"/>
      <c r="J330" s="68">
        <v>0</v>
      </c>
      <c r="K330" s="68">
        <v>4.0199999999999996</v>
      </c>
      <c r="L330" s="68">
        <v>4.08</v>
      </c>
      <c r="M330" s="68">
        <v>3.8</v>
      </c>
      <c r="N330" s="68">
        <v>10.199999999999999</v>
      </c>
      <c r="O330" s="68">
        <v>4.95</v>
      </c>
      <c r="P330" s="76">
        <v>4.5</v>
      </c>
      <c r="Q330" s="76">
        <v>5.3</v>
      </c>
      <c r="R330" s="68">
        <v>4.7</v>
      </c>
      <c r="S330" s="68">
        <v>4.7</v>
      </c>
      <c r="T330" s="68">
        <f>IFERROR(VLOOKUP('Leveranser per nät'!A330,'lev 2013'!$B$2:$E$445,4,FALSE),"")</f>
        <v>3.7</v>
      </c>
      <c r="U330" s="68" t="str">
        <f>IFERROR(VLOOKUP('Leveranser per nät'!A330,'lev 2014'!$B$2:$E$432,4,FALSE),"")</f>
        <v/>
      </c>
      <c r="V330" s="68" t="str">
        <f>IFERROR(INDEX(Levererat_2015[Leveranser till eget nät],MATCH($A330,Levererat_2015[Indexnamn],0)),"")</f>
        <v/>
      </c>
      <c r="W330" s="68" t="str">
        <f>IFERROR(INDEX(Levererat_2016[Leveranser till eget nät],MATCH($A330,Levererat_2016[Indexnamn],0)),"")</f>
        <v/>
      </c>
      <c r="X330" s="68" t="str">
        <f>IFERROR(INDEX(Tabell4[Leveranser till eget nät],MATCH('Leveranser per nät'!A330,Tabell4[[Finns i listan ]],0)),"")</f>
        <v/>
      </c>
      <c r="Y330" s="68" t="str">
        <f>IFERROR(INDEX(Tabell6[Kolumn1],MATCH($A330,Tabell6[Indexnmamn],0)),"")</f>
        <v/>
      </c>
      <c r="Z330" s="68"/>
      <c r="AA330" s="68" t="s">
        <v>779</v>
      </c>
      <c r="AB330" s="10"/>
      <c r="AC330" s="10"/>
      <c r="AD330"/>
      <c r="AE330"/>
      <c r="AG330" s="2"/>
      <c r="AH330" s="103"/>
    </row>
    <row r="331" spans="1:34" x14ac:dyDescent="0.25">
      <c r="A331" t="s">
        <v>72</v>
      </c>
      <c r="B331" t="str">
        <f>VLOOKUP(A331,'Korrigerade leveranser GD'!$A$4:$B$482,2,FALSE)</f>
        <v>Junsele</v>
      </c>
      <c r="C331" s="10">
        <v>8</v>
      </c>
      <c r="D331" s="10">
        <v>6.2779999999999996</v>
      </c>
      <c r="E331" s="10">
        <v>6.7530000000000001</v>
      </c>
      <c r="F331" s="10">
        <v>6.3920000000000003</v>
      </c>
      <c r="G331" s="10">
        <v>6.12</v>
      </c>
      <c r="H331" s="10">
        <v>7.1470000000000002</v>
      </c>
      <c r="I331" s="10">
        <v>7</v>
      </c>
      <c r="J331" s="10">
        <v>6.56</v>
      </c>
      <c r="K331" s="10">
        <v>6.56</v>
      </c>
      <c r="L331" s="10">
        <v>9.0766933608687488</v>
      </c>
      <c r="M331" s="10">
        <v>5.7</v>
      </c>
      <c r="N331" s="10">
        <v>5.9</v>
      </c>
      <c r="O331" s="10">
        <v>5.9</v>
      </c>
      <c r="P331" s="10">
        <v>6</v>
      </c>
      <c r="Q331" s="10">
        <v>6.8</v>
      </c>
      <c r="R331" s="56">
        <f>(Q331-S331)/2+S331</f>
        <v>6.46</v>
      </c>
      <c r="S331" s="10">
        <f>IFERROR(VLOOKUP('Leveranser per nät'!A331,'lev 2012'!$B$2:$E$445,4,FALSE),"")</f>
        <v>6.12</v>
      </c>
      <c r="T331" s="10">
        <f>IFERROR(VLOOKUP('Leveranser per nät'!A331,'lev 2013'!$B$2:$E$445,4,FALSE),"")</f>
        <v>5.6159999999999997</v>
      </c>
      <c r="U331" s="58">
        <v>5.2</v>
      </c>
      <c r="V331" s="10">
        <f>IFERROR(INDEX(Levererat_2015[Leveranser till eget nät],MATCH($A331,Levererat_2015[Indexnamn],0)),"")</f>
        <v>5</v>
      </c>
      <c r="W331" s="10">
        <f>IFERROR(INDEX(Levererat_2016[Leveranser till eget nät],MATCH($A331,Levererat_2016[Indexnamn],0)),"")</f>
        <v>5.4</v>
      </c>
      <c r="X331" s="10">
        <f>IFERROR(INDEX(Tabell4[Leveranser till eget nät],MATCH('Leveranser per nät'!A331,Tabell4[[Finns i listan ]],0)),"")</f>
        <v>5.3</v>
      </c>
      <c r="Y331" s="10">
        <f>IFERROR(INDEX(Tabell6[Kolumn1],MATCH($A331,Tabell6[Indexnmamn],0)),"")</f>
        <v>5.5</v>
      </c>
      <c r="Z331" s="10">
        <v>5.1020000000000003</v>
      </c>
      <c r="AA331" s="10">
        <v>4.5970000000000004</v>
      </c>
      <c r="AB331" s="10">
        <f>VLOOKUP(A331,Tabell9[[Indexnamn]:[Kolumn1]],3,FALSE)</f>
        <v>5.3710000000000004</v>
      </c>
      <c r="AC331" s="10">
        <f>VLOOKUP($A331,'Lev 2022'!$K$2:$L$474,2,FALSE)</f>
        <v>4.984</v>
      </c>
      <c r="AG331" s="2">
        <f t="shared" si="13"/>
        <v>-0.38700000000000045</v>
      </c>
      <c r="AH331" s="103">
        <f t="shared" si="14"/>
        <v>-7.2053621299571852E-2</v>
      </c>
    </row>
    <row r="332" spans="1:34" x14ac:dyDescent="0.25">
      <c r="A332" s="4" t="s">
        <v>413</v>
      </c>
      <c r="B332" t="str">
        <f>VLOOKUP(A332,'Korrigerade leveranser GD'!$A$4:$B$482,2,FALSE)</f>
        <v>Gislaved</v>
      </c>
      <c r="C332" s="10"/>
      <c r="D332" s="10"/>
      <c r="E332" s="10"/>
      <c r="F332" s="10"/>
      <c r="G332" s="10"/>
      <c r="H332" s="10"/>
      <c r="I332" s="10"/>
      <c r="J332" s="10"/>
      <c r="K332" s="10"/>
      <c r="L332" s="10"/>
      <c r="M332" s="10"/>
      <c r="N332" s="10"/>
      <c r="O332" s="10"/>
      <c r="P332" s="10">
        <v>0</v>
      </c>
      <c r="Q332" s="10">
        <v>2.496</v>
      </c>
      <c r="R332" s="10">
        <v>2.2050000000000001</v>
      </c>
      <c r="S332" s="10">
        <f>IFERROR(VLOOKUP('Leveranser per nät'!A332,'lev 2012'!$B$2:$E$445,4,FALSE),"")</f>
        <v>2.19</v>
      </c>
      <c r="T332" s="10">
        <f>IFERROR(VLOOKUP('Leveranser per nät'!A332,'lev 2013'!$B$2:$E$445,4,FALSE),"")</f>
        <v>2.1669999999999998</v>
      </c>
      <c r="U332" s="10">
        <f>IFERROR(VLOOKUP('Leveranser per nät'!A332,'lev 2014'!$B$2:$E$432,4,FALSE),"")</f>
        <v>1.9670000000000001</v>
      </c>
      <c r="V332" s="10">
        <f>IFERROR(INDEX(Levererat_2015[Leveranser till eget nät],MATCH($A332,Levererat_2015[Indexnamn],0)),"")</f>
        <v>2.0230000000000001</v>
      </c>
      <c r="W332" s="10">
        <f>IFERROR(INDEX(Levererat_2016[Leveranser till eget nät],MATCH($A332,Levererat_2016[Indexnamn],0)),"")</f>
        <v>2.1190000000000002</v>
      </c>
      <c r="X332" s="10">
        <f>IFERROR(INDEX(Tabell4[Leveranser till eget nät],MATCH('Leveranser per nät'!A332,Tabell4[[Finns i listan ]],0)),"")</f>
        <v>2.09</v>
      </c>
      <c r="Y332" s="10">
        <f>IFERROR(INDEX(Tabell6[Kolumn1],MATCH($A332,Tabell6[Indexnmamn],0)),"")</f>
        <v>2.1549999999999998</v>
      </c>
      <c r="Z332" s="10">
        <v>2.0609999999999999</v>
      </c>
      <c r="AA332" s="10">
        <v>2.02</v>
      </c>
      <c r="AB332" s="10">
        <f>VLOOKUP(A332,Tabell9[[Indexnamn]:[Kolumn1]],3,FALSE)</f>
        <v>2.2669999999999999</v>
      </c>
      <c r="AC332" s="10">
        <f>VLOOKUP($A332,'Lev 2022'!$K$2:$L$474,2,FALSE)</f>
        <v>2.0390000000000001</v>
      </c>
      <c r="AG332" s="2">
        <f t="shared" si="13"/>
        <v>-0.22799999999999976</v>
      </c>
      <c r="AH332" s="103">
        <f t="shared" si="14"/>
        <v>-0.10057344508160554</v>
      </c>
    </row>
    <row r="333" spans="1:34" x14ac:dyDescent="0.25">
      <c r="A333" t="s">
        <v>222</v>
      </c>
      <c r="B333" t="str">
        <f>VLOOKUP(A333,'Korrigerade leveranser GD'!$A$4:$B$482,2,FALSE)</f>
        <v>Norrtälje</v>
      </c>
      <c r="C333" s="10"/>
      <c r="D333" s="10"/>
      <c r="E333" s="10">
        <v>0</v>
      </c>
      <c r="F333" s="10">
        <v>15</v>
      </c>
      <c r="G333" s="10">
        <v>15</v>
      </c>
      <c r="H333" s="10">
        <v>18</v>
      </c>
      <c r="I333" s="10">
        <v>17</v>
      </c>
      <c r="J333" s="10">
        <v>17</v>
      </c>
      <c r="K333" s="10">
        <v>18.760000000000002</v>
      </c>
      <c r="L333" s="10">
        <v>18.911000000000001</v>
      </c>
      <c r="M333" s="10">
        <v>19.245000000000001</v>
      </c>
      <c r="N333" s="10">
        <v>18.582999999999998</v>
      </c>
      <c r="O333" s="10">
        <v>17.498000000000001</v>
      </c>
      <c r="P333" s="10">
        <v>17.620999999999999</v>
      </c>
      <c r="Q333" s="10">
        <v>20.869</v>
      </c>
      <c r="R333" s="10">
        <v>17.565999999999999</v>
      </c>
      <c r="S333" s="10">
        <f>IFERROR(VLOOKUP('Leveranser per nät'!A333,'lev 2012'!$B$2:$E$445,4,FALSE),"")</f>
        <v>19.649999999999999</v>
      </c>
      <c r="T333" s="10">
        <f>IFERROR(VLOOKUP('Leveranser per nät'!A333,'lev 2013'!$B$2:$E$445,4,FALSE),"")</f>
        <v>18.997</v>
      </c>
      <c r="U333" s="10">
        <f>IFERROR(VLOOKUP('Leveranser per nät'!A333,'lev 2014'!$B$2:$E$432,4,FALSE),"")</f>
        <v>18.050999999999998</v>
      </c>
      <c r="V333" s="10">
        <f>IFERROR(INDEX(Levererat_2015[Leveranser till eget nät],MATCH($A333,Levererat_2015[Indexnamn],0)),"")</f>
        <v>19.408999999999999</v>
      </c>
      <c r="W333" s="10">
        <f>IFERROR(INDEX(Levererat_2016[Leveranser till eget nät],MATCH($A333,Levererat_2016[Indexnamn],0)),"")</f>
        <v>17.367000000000001</v>
      </c>
      <c r="X333" s="10">
        <f>IFERROR(INDEX(Tabell4[Leveranser till eget nät],MATCH('Leveranser per nät'!A333,Tabell4[[Finns i listan ]],0)),"")</f>
        <v>17.408000000000001</v>
      </c>
      <c r="Y333" s="10">
        <f>IFERROR(INDEX(Tabell6[Kolumn1],MATCH($A333,Tabell6[Indexnmamn],0)),"")</f>
        <v>17.280999999999999</v>
      </c>
      <c r="Z333" s="10">
        <v>16.859000000000002</v>
      </c>
      <c r="AA333" s="10">
        <v>15.132</v>
      </c>
      <c r="AB333" s="10">
        <f>VLOOKUP(A333,Tabell9[[Indexnamn]:[Kolumn1]],3,FALSE)</f>
        <v>17.600999999999999</v>
      </c>
      <c r="AC333" s="10">
        <f>VLOOKUP($A333,'Lev 2022'!$K$2:$L$474,2,FALSE)</f>
        <v>17.314</v>
      </c>
      <c r="AG333" s="2">
        <f t="shared" si="13"/>
        <v>-0.28699999999999903</v>
      </c>
      <c r="AH333" s="103">
        <f t="shared" si="14"/>
        <v>-1.6305891710698201E-2</v>
      </c>
    </row>
    <row r="334" spans="1:34" x14ac:dyDescent="0.25">
      <c r="A334" t="s">
        <v>262</v>
      </c>
      <c r="B334" t="str">
        <f>VLOOKUP(A334,'Korrigerade leveranser GD'!$A$4:$B$482,2,FALSE)</f>
        <v>Robertsfors</v>
      </c>
      <c r="C334" s="10"/>
      <c r="D334" s="10"/>
      <c r="E334" s="10"/>
      <c r="F334" s="10"/>
      <c r="G334" s="10"/>
      <c r="H334" s="10"/>
      <c r="I334" s="10"/>
      <c r="J334" s="10"/>
      <c r="K334" s="10"/>
      <c r="L334" s="10">
        <v>0</v>
      </c>
      <c r="M334" s="10">
        <v>6.3550000000000004</v>
      </c>
      <c r="N334" s="10">
        <v>6.7859999999999996</v>
      </c>
      <c r="O334" s="10">
        <v>7.9160000000000004</v>
      </c>
      <c r="P334" s="10">
        <v>10.813000000000001</v>
      </c>
      <c r="Q334" s="10">
        <v>11.840999999999999</v>
      </c>
      <c r="R334" s="10">
        <v>8.9009999999999998</v>
      </c>
      <c r="S334" s="10">
        <f>IFERROR(VLOOKUP('Leveranser per nät'!A334,'lev 2012'!$B$2:$E$445,4,FALSE),"")</f>
        <v>9.73</v>
      </c>
      <c r="T334" s="10">
        <f>IFERROR(VLOOKUP('Leveranser per nät'!A334,'lev 2013'!$B$2:$E$445,4,FALSE),"")</f>
        <v>9.2149999999999999</v>
      </c>
      <c r="U334" s="10">
        <f>IFERROR(VLOOKUP('Leveranser per nät'!A334,'lev 2014'!$B$2:$E$432,4,FALSE),"")</f>
        <v>8.91</v>
      </c>
      <c r="V334" s="10">
        <f>IFERROR(INDEX(Levererat_2015[Leveranser till eget nät],MATCH($A334,Levererat_2015[Indexnamn],0)),"")</f>
        <v>9.2639999999999993</v>
      </c>
      <c r="W334" s="10">
        <f>IFERROR(INDEX(Levererat_2016[Leveranser till eget nät],MATCH($A334,Levererat_2016[Indexnamn],0)),"")</f>
        <v>11.132</v>
      </c>
      <c r="X334" s="10">
        <f>IFERROR(INDEX(Tabell4[Leveranser till eget nät],MATCH('Leveranser per nät'!A334,Tabell4[[Finns i listan ]],0)),"")</f>
        <v>10.973000000000001</v>
      </c>
      <c r="Y334" s="10">
        <f>IFERROR(INDEX(Tabell6[Kolumn1],MATCH($A334,Tabell6[Indexnmamn],0)),"")</f>
        <v>9.8339999999999996</v>
      </c>
      <c r="Z334" s="10">
        <v>9.3279999999999994</v>
      </c>
      <c r="AA334" s="10">
        <v>7.8410000000000002</v>
      </c>
      <c r="AB334" s="10">
        <f>VLOOKUP(A334,Tabell9[[Indexnamn]:[Kolumn1]],3,FALSE)</f>
        <v>10.007999999999999</v>
      </c>
      <c r="AC334" s="10">
        <f>VLOOKUP($A334,'Lev 2022'!$K$2:$L$474,2,FALSE)</f>
        <v>9.2136999999999993</v>
      </c>
      <c r="AG334" s="2">
        <f t="shared" si="13"/>
        <v>-0.79429999999999978</v>
      </c>
      <c r="AH334" s="103">
        <f t="shared" si="14"/>
        <v>-7.9366506794564334E-2</v>
      </c>
    </row>
    <row r="335" spans="1:34" x14ac:dyDescent="0.25">
      <c r="A335" t="s">
        <v>414</v>
      </c>
      <c r="B335" t="str">
        <f>VLOOKUP(A335,'Korrigerade leveranser GD'!$A$4:$B$482,2,FALSE)</f>
        <v>Ronneby</v>
      </c>
      <c r="C335" s="10"/>
      <c r="D335" s="10">
        <v>0</v>
      </c>
      <c r="E335" s="10">
        <v>42</v>
      </c>
      <c r="F335" s="10">
        <v>86.225999999999999</v>
      </c>
      <c r="G335" s="10">
        <v>87.9</v>
      </c>
      <c r="H335" s="10">
        <v>109.1</v>
      </c>
      <c r="I335" s="10">
        <v>111.6</v>
      </c>
      <c r="J335" s="10">
        <v>119.1</v>
      </c>
      <c r="K335" s="10">
        <v>116.6</v>
      </c>
      <c r="L335" s="10">
        <v>173.63794369645044</v>
      </c>
      <c r="M335" s="10">
        <v>84.76</v>
      </c>
      <c r="N335" s="10">
        <v>84.76</v>
      </c>
      <c r="O335" s="10">
        <v>84.800000000000011</v>
      </c>
      <c r="P335" s="10">
        <v>96.2</v>
      </c>
      <c r="Q335" s="10">
        <v>124.3</v>
      </c>
      <c r="R335" s="10">
        <v>92.1</v>
      </c>
      <c r="S335" s="10">
        <f>IFERROR(VLOOKUP('Leveranser per nät'!A335,'lev 2012'!$B$2:$E$445,4,FALSE),"")</f>
        <v>96</v>
      </c>
      <c r="T335" s="10">
        <f>IFERROR(VLOOKUP('Leveranser per nät'!A335,'lev 2013'!$B$2:$E$445,4,FALSE),"")</f>
        <v>94</v>
      </c>
      <c r="U335" s="10">
        <f>IFERROR(VLOOKUP('Leveranser per nät'!A335,'lev 2014'!$B$2:$E$432,4,FALSE),"")</f>
        <v>82.9</v>
      </c>
      <c r="V335" s="10">
        <f>IFERROR(INDEX(Levererat_2015[Leveranser till eget nät],MATCH($A335,Levererat_2015[Indexnamn],0)),"")</f>
        <v>91.3</v>
      </c>
      <c r="W335" s="10">
        <f>IFERROR(INDEX(Levererat_2016[Leveranser till eget nät],MATCH($A335,Levererat_2016[Indexnamn],0)),"")</f>
        <v>105.1</v>
      </c>
      <c r="X335" s="10">
        <f>IFERROR(INDEX(Tabell4[Leveranser till eget nät],MATCH('Leveranser per nät'!A335,Tabell4[[Finns i listan ]],0)),"")</f>
        <v>106.2</v>
      </c>
      <c r="Y335" s="10">
        <f>IFERROR(INDEX(Tabell6[Kolumn1],MATCH($A335,Tabell6[Indexnmamn],0)),"")</f>
        <v>106.9</v>
      </c>
      <c r="Z335" s="10">
        <v>99.5</v>
      </c>
      <c r="AA335" s="10">
        <v>97.3</v>
      </c>
      <c r="AB335" s="10">
        <f>VLOOKUP(A335,Tabell9[[Indexnamn]:[Kolumn1]],3,FALSE)</f>
        <v>112.7</v>
      </c>
      <c r="AC335" s="10">
        <f>VLOOKUP($A335,'Lev 2022'!$K$2:$L$474,2,FALSE)</f>
        <v>102.2</v>
      </c>
      <c r="AG335" s="2">
        <f t="shared" si="13"/>
        <v>-10.5</v>
      </c>
      <c r="AH335" s="103">
        <f t="shared" si="14"/>
        <v>-9.3167701863354033E-2</v>
      </c>
    </row>
    <row r="336" spans="1:34" x14ac:dyDescent="0.25">
      <c r="A336" t="s">
        <v>233</v>
      </c>
      <c r="B336" t="str">
        <f>VLOOKUP(A336,'Korrigerade leveranser GD'!$A$4:$B$482,2,FALSE)</f>
        <v>Piteå</v>
      </c>
      <c r="C336" s="10">
        <v>1</v>
      </c>
      <c r="D336" s="10">
        <v>0.82</v>
      </c>
      <c r="E336" s="10">
        <v>1</v>
      </c>
      <c r="F336" s="10">
        <v>1</v>
      </c>
      <c r="G336" s="56">
        <f>(F336-H336)/2+H336</f>
        <v>1</v>
      </c>
      <c r="H336" s="10">
        <v>1</v>
      </c>
      <c r="I336" s="10">
        <v>1</v>
      </c>
      <c r="J336" s="10">
        <v>1</v>
      </c>
      <c r="K336" s="10">
        <v>1.0812999999999999</v>
      </c>
      <c r="L336" s="10">
        <v>0.92500000000000004</v>
      </c>
      <c r="M336" s="56">
        <f>(L336-O336)/3*2+O336</f>
        <v>0.87</v>
      </c>
      <c r="N336" s="56">
        <f>(L336-O336)/3+O336</f>
        <v>0.81500000000000006</v>
      </c>
      <c r="O336" s="10">
        <v>0.76</v>
      </c>
      <c r="P336" s="10">
        <v>0.7</v>
      </c>
      <c r="Q336" s="10">
        <v>0.8</v>
      </c>
      <c r="R336" s="10">
        <v>1.1299999999999999</v>
      </c>
      <c r="S336" s="10">
        <f>IFERROR(VLOOKUP('Leveranser per nät'!A336,'lev 2012'!$B$2:$E$445,4,FALSE),"")</f>
        <v>1.53</v>
      </c>
      <c r="T336" s="10">
        <f>IFERROR(VLOOKUP('Leveranser per nät'!A336,'lev 2013'!$B$2:$E$445,4,FALSE),"")</f>
        <v>1.36</v>
      </c>
      <c r="U336" s="10">
        <f>IFERROR(VLOOKUP('Leveranser per nät'!A336,'lev 2014'!$B$2:$E$432,4,FALSE),"")</f>
        <v>1.32</v>
      </c>
      <c r="V336" s="10">
        <f>IFERROR(INDEX(Levererat_2015[Leveranser till eget nät],MATCH($A336,Levererat_2015[Indexnamn],0)),"")</f>
        <v>1.28</v>
      </c>
      <c r="W336" s="10">
        <f>IFERROR(INDEX(Levererat_2016[Leveranser till eget nät],MATCH($A336,Levererat_2016[Indexnamn],0)),"")</f>
        <v>1.42</v>
      </c>
      <c r="X336" s="10">
        <f>IFERROR(INDEX(Tabell4[Leveranser till eget nät],MATCH('Leveranser per nät'!A336,Tabell4[[Finns i listan ]],0)),"")</f>
        <v>1.429</v>
      </c>
      <c r="Y336" s="10">
        <f>IFERROR(INDEX(Tabell6[Kolumn1],MATCH($A336,Tabell6[Indexnmamn],0)),"")</f>
        <v>1.468</v>
      </c>
      <c r="Z336" s="10">
        <v>1.51</v>
      </c>
      <c r="AA336" s="10">
        <v>1.2</v>
      </c>
      <c r="AB336" s="10">
        <f>VLOOKUP(A336,Tabell9[[Indexnamn]:[Kolumn1]],3,FALSE)</f>
        <v>1.65</v>
      </c>
      <c r="AC336" s="10">
        <f>VLOOKUP($A336,'Lev 2022'!$K$2:$L$474,2,FALSE)</f>
        <v>1.65</v>
      </c>
      <c r="AG336" s="2">
        <f t="shared" si="13"/>
        <v>0</v>
      </c>
      <c r="AH336" s="103">
        <f t="shared" si="14"/>
        <v>0</v>
      </c>
    </row>
    <row r="337" spans="1:34" x14ac:dyDescent="0.25">
      <c r="A337" t="s">
        <v>366</v>
      </c>
      <c r="B337" t="str">
        <f>VLOOKUP(A337,'Korrigerade leveranser GD'!$A$4:$B$482,2,FALSE)</f>
        <v>Växjö</v>
      </c>
      <c r="C337" s="10"/>
      <c r="D337" s="10">
        <v>0</v>
      </c>
      <c r="E337" s="10">
        <v>5</v>
      </c>
      <c r="F337" s="10">
        <v>5</v>
      </c>
      <c r="G337" s="10">
        <v>5</v>
      </c>
      <c r="H337" s="10">
        <v>6.5519999999999996</v>
      </c>
      <c r="I337" s="10">
        <v>7</v>
      </c>
      <c r="J337" s="10">
        <v>7</v>
      </c>
      <c r="K337" s="10">
        <v>13.07</v>
      </c>
      <c r="L337" s="10">
        <v>7.0140000000000002</v>
      </c>
      <c r="M337" s="10">
        <v>7.8170000000000002</v>
      </c>
      <c r="N337" s="10">
        <v>7.8170000000000002</v>
      </c>
      <c r="O337" s="10">
        <v>9.2919999999999998</v>
      </c>
      <c r="P337" s="10">
        <v>9.8070000000000004</v>
      </c>
      <c r="Q337" s="10">
        <v>11.436999999999999</v>
      </c>
      <c r="R337" s="10">
        <v>12.023</v>
      </c>
      <c r="S337" s="10">
        <f>IFERROR(VLOOKUP('Leveranser per nät'!A337,'lev 2012'!$B$2:$E$445,4,FALSE),"")</f>
        <v>10.4</v>
      </c>
      <c r="T337" s="10">
        <f>IFERROR(VLOOKUP('Leveranser per nät'!A337,'lev 2013'!$B$2:$E$445,4,FALSE),"")</f>
        <v>10.997</v>
      </c>
      <c r="U337" s="10">
        <f>IFERROR(VLOOKUP('Leveranser per nät'!A337,'lev 2014'!$B$2:$E$432,4,FALSE),"")</f>
        <v>10.375999999999999</v>
      </c>
      <c r="V337" s="10">
        <f>IFERROR(INDEX(Levererat_2015[Leveranser till eget nät],MATCH($A337,Levererat_2015[Indexnamn],0)),"")</f>
        <v>9.9659999999999993</v>
      </c>
      <c r="W337" s="10">
        <f>IFERROR(INDEX(Levererat_2016[Leveranser till eget nät],MATCH($A337,Levererat_2016[Indexnamn],0)),"")</f>
        <v>10.760999999999999</v>
      </c>
      <c r="X337" s="10">
        <f>IFERROR(INDEX(Tabell4[Leveranser till eget nät],MATCH('Leveranser per nät'!A337,Tabell4[[Finns i listan ]],0)),"")</f>
        <v>10.417</v>
      </c>
      <c r="Y337" s="10">
        <f>IFERROR(INDEX(Tabell6[Kolumn1],MATCH($A337,Tabell6[Indexnmamn],0)),"")</f>
        <v>10.163</v>
      </c>
      <c r="Z337" s="10">
        <v>9.7870000000000008</v>
      </c>
      <c r="AA337" s="10">
        <v>9.4730000000000008</v>
      </c>
      <c r="AB337" s="10">
        <f>VLOOKUP(A337,Tabell9[[Indexnamn]:[Kolumn1]],3,FALSE)</f>
        <v>9.7880000000000003</v>
      </c>
      <c r="AC337" s="10">
        <f>VLOOKUP($A337,'Lev 2022'!$K$2:$L$474,2,FALSE)</f>
        <v>9.7159999999999993</v>
      </c>
      <c r="AG337" s="2">
        <f t="shared" si="13"/>
        <v>-7.2000000000000952E-2</v>
      </c>
      <c r="AH337" s="103">
        <f t="shared" si="14"/>
        <v>-7.3559460563956836E-3</v>
      </c>
    </row>
    <row r="338" spans="1:34" s="77" customFormat="1" x14ac:dyDescent="0.25">
      <c r="A338" s="5" t="s">
        <v>73</v>
      </c>
      <c r="B338" s="5" t="str">
        <f>VLOOKUP(A338,'Korrigerade leveranser GD'!$A$4:$B$482,2,FALSE)</f>
        <v>Örnsköldsvik</v>
      </c>
      <c r="C338" s="69"/>
      <c r="D338" s="69"/>
      <c r="E338" s="69">
        <v>0</v>
      </c>
      <c r="F338" s="69">
        <v>1.075</v>
      </c>
      <c r="G338" s="69">
        <v>1</v>
      </c>
      <c r="H338" s="69">
        <v>1</v>
      </c>
      <c r="I338" s="69">
        <v>1</v>
      </c>
      <c r="J338" s="56">
        <f>(I338-K338)/2+K338</f>
        <v>1.4895030298217189</v>
      </c>
      <c r="K338" s="69">
        <v>1.9790060596434378</v>
      </c>
      <c r="L338" s="69">
        <v>1.9790060596434378</v>
      </c>
      <c r="M338" s="56">
        <f>(L338-N338)/2+N338</f>
        <v>1.7725030298217188</v>
      </c>
      <c r="N338" s="69">
        <v>1.5660000000000001</v>
      </c>
      <c r="O338" s="69">
        <v>1.5</v>
      </c>
      <c r="P338" s="56">
        <f>(O338-Q338)/2+Q338</f>
        <v>1.7</v>
      </c>
      <c r="Q338" s="69">
        <v>1.9</v>
      </c>
      <c r="R338" s="69">
        <v>1.9</v>
      </c>
      <c r="S338" s="69">
        <f>IFERROR(VLOOKUP('Leveranser per nät'!A338,'lev 2012'!$B$2:$E$445,4,FALSE),"")</f>
        <v>1.8</v>
      </c>
      <c r="T338" s="56">
        <f>(S338-U338)/2+U338</f>
        <v>1.85</v>
      </c>
      <c r="U338" s="69">
        <v>1.9</v>
      </c>
      <c r="V338" s="69">
        <v>5.6</v>
      </c>
      <c r="W338" s="69">
        <v>7</v>
      </c>
      <c r="X338" s="69">
        <v>7.3</v>
      </c>
      <c r="Y338" s="69">
        <v>7.2</v>
      </c>
      <c r="Z338" s="69">
        <v>7.6</v>
      </c>
      <c r="AA338" s="58">
        <v>6.74</v>
      </c>
      <c r="AB338" s="10">
        <f>VLOOKUP(A338,Tabell9[[Indexnamn]:[Kolumn1]],3,FALSE)</f>
        <v>7.6970000000000001</v>
      </c>
      <c r="AC338" s="10">
        <f>VLOOKUP($A338,'Lev 2022'!$K$2:$L$474,2,FALSE)</f>
        <v>7.3380000000000001</v>
      </c>
      <c r="AD338"/>
      <c r="AE338"/>
      <c r="AG338" s="2">
        <f t="shared" si="13"/>
        <v>-0.35899999999999999</v>
      </c>
      <c r="AH338" s="103">
        <f t="shared" si="14"/>
        <v>-4.6641548655320254E-2</v>
      </c>
    </row>
    <row r="339" spans="1:34" s="77" customFormat="1" x14ac:dyDescent="0.25">
      <c r="A339" s="5" t="s">
        <v>87</v>
      </c>
      <c r="B339" s="5" t="str">
        <f>VLOOKUP(A339,'Korrigerade leveranser GD'!$A$4:$B$482,2,FALSE)</f>
        <v>Tingsryd</v>
      </c>
      <c r="C339" s="69"/>
      <c r="D339" s="69"/>
      <c r="E339" s="69"/>
      <c r="F339" s="69"/>
      <c r="G339" s="69"/>
      <c r="H339" s="69"/>
      <c r="I339" s="69"/>
      <c r="J339" s="69"/>
      <c r="K339" s="69">
        <v>0</v>
      </c>
      <c r="L339" s="69">
        <v>14.818093148401029</v>
      </c>
      <c r="M339" s="69">
        <v>12.106999999999999</v>
      </c>
      <c r="N339" s="69">
        <v>12.106999999999999</v>
      </c>
      <c r="O339" s="69">
        <v>10.346</v>
      </c>
      <c r="P339" s="69">
        <v>13.089</v>
      </c>
      <c r="Q339" s="69">
        <v>14</v>
      </c>
      <c r="R339" s="69">
        <v>12.720516002</v>
      </c>
      <c r="S339" s="69">
        <f>IFERROR(VLOOKUP('Leveranser per nät'!A339,'lev 2012'!$B$2:$E$445,4,FALSE),"")</f>
        <v>12.77</v>
      </c>
      <c r="T339" s="69">
        <f>IFERROR(VLOOKUP('Leveranser per nät'!A339,'lev 2013'!$B$2:$E$445,4,FALSE),"")</f>
        <v>12.2</v>
      </c>
      <c r="U339" s="56">
        <f>(T339-V339)/2+V339</f>
        <v>12</v>
      </c>
      <c r="V339" s="69">
        <v>11.8</v>
      </c>
      <c r="W339" s="69">
        <v>12</v>
      </c>
      <c r="X339" s="69">
        <v>12.2</v>
      </c>
      <c r="Y339" s="69">
        <v>11.7</v>
      </c>
      <c r="Z339" s="69">
        <v>10.9</v>
      </c>
      <c r="AA339" s="58">
        <v>10.9</v>
      </c>
      <c r="AB339" s="10">
        <f>VLOOKUP(A339,Tabell9[[Indexnamn]:[Kolumn1]],3,FALSE)</f>
        <v>12.4</v>
      </c>
      <c r="AC339" s="10">
        <f>VLOOKUP($A339,'Lev 2022'!$K$2:$L$474,2,FALSE)</f>
        <v>11.7</v>
      </c>
      <c r="AD339"/>
      <c r="AE339"/>
      <c r="AG339" s="2">
        <f t="shared" si="13"/>
        <v>-0.70000000000000107</v>
      </c>
      <c r="AH339" s="103">
        <f t="shared" si="14"/>
        <v>-5.6451612903225888E-2</v>
      </c>
    </row>
    <row r="340" spans="1:34" x14ac:dyDescent="0.25">
      <c r="A340" t="s">
        <v>354</v>
      </c>
      <c r="B340" t="str">
        <f>VLOOKUP(A340,'Korrigerade leveranser GD'!$A$4:$B$482,2,FALSE)</f>
        <v>Alvesta</v>
      </c>
      <c r="C340" s="10"/>
      <c r="D340" s="10"/>
      <c r="E340" s="10"/>
      <c r="F340" s="10"/>
      <c r="G340" s="10">
        <v>0</v>
      </c>
      <c r="H340" s="10">
        <v>3</v>
      </c>
      <c r="I340" s="10">
        <v>8</v>
      </c>
      <c r="J340" s="10">
        <v>9</v>
      </c>
      <c r="K340" s="10">
        <v>9.49</v>
      </c>
      <c r="L340" s="10">
        <v>9.3239999999999998</v>
      </c>
      <c r="M340" s="10">
        <v>9.3360000000000003</v>
      </c>
      <c r="N340" s="10">
        <v>9.2339599999999997</v>
      </c>
      <c r="O340" s="10">
        <v>9.5713609999999996</v>
      </c>
      <c r="P340" s="10">
        <v>9.933014</v>
      </c>
      <c r="Q340" s="10">
        <v>11.226921000000001</v>
      </c>
      <c r="R340" s="10">
        <v>9.224361</v>
      </c>
      <c r="S340" s="10">
        <f>IFERROR(VLOOKUP('Leveranser per nät'!A340,'lev 2012'!$B$2:$E$445,4,FALSE),"")</f>
        <v>9.73</v>
      </c>
      <c r="T340" s="10">
        <f>IFERROR(VLOOKUP('Leveranser per nät'!A340,'lev 2013'!$B$2:$E$445,4,FALSE),"")</f>
        <v>9.4280000000000008</v>
      </c>
      <c r="U340" s="10">
        <f>IFERROR(VLOOKUP('Leveranser per nät'!A340,'lev 2014'!$B$2:$E$432,4,FALSE),"")</f>
        <v>8.2639999999999993</v>
      </c>
      <c r="V340" s="10">
        <f>IFERROR(INDEX(Levererat_2015[Leveranser till eget nät],MATCH($A340,Levererat_2015[Indexnamn],0)),"")</f>
        <v>8.5047689999999996</v>
      </c>
      <c r="W340" s="10">
        <f>IFERROR(INDEX(Levererat_2016[Leveranser till eget nät],MATCH($A340,Levererat_2016[Indexnamn],0)),"")</f>
        <v>9.0839999999999996</v>
      </c>
      <c r="X340" s="10">
        <f>IFERROR(INDEX(Tabell4[Leveranser till eget nät],MATCH('Leveranser per nät'!A340,Tabell4[[Finns i listan ]],0)),"")</f>
        <v>9.2149999999999999</v>
      </c>
      <c r="Y340" s="10">
        <f>IFERROR(INDEX(Tabell6[Kolumn1],MATCH($A340,Tabell6[Indexnmamn],0)),"")</f>
        <v>9.5990000000000002</v>
      </c>
      <c r="Z340" s="10">
        <v>9.1300000000000008</v>
      </c>
      <c r="AA340" s="10">
        <v>9.2219999999999995</v>
      </c>
      <c r="AB340" s="10">
        <f>VLOOKUP(A340,Tabell9[[Indexnamn]:[Kolumn1]],3,FALSE)</f>
        <v>10.167</v>
      </c>
      <c r="AC340" s="10">
        <f>VLOOKUP($A340,'Lev 2022'!$K$2:$L$474,2,FALSE)</f>
        <v>9.3529999999999998</v>
      </c>
      <c r="AG340" s="2">
        <f t="shared" si="13"/>
        <v>-0.81400000000000006</v>
      </c>
      <c r="AH340" s="103">
        <f t="shared" si="14"/>
        <v>-8.0062948755778504E-2</v>
      </c>
    </row>
    <row r="341" spans="1:34" x14ac:dyDescent="0.25">
      <c r="A341" t="s">
        <v>197</v>
      </c>
      <c r="B341" t="str">
        <f>VLOOKUP(A341,'Korrigerade leveranser GD'!$A$4:$B$482,2,FALSE)</f>
        <v>Luleå</v>
      </c>
      <c r="C341" s="10"/>
      <c r="D341" s="10"/>
      <c r="E341" s="10"/>
      <c r="F341" s="10"/>
      <c r="G341" s="10"/>
      <c r="H341" s="10"/>
      <c r="I341" s="10"/>
      <c r="J341" s="10"/>
      <c r="K341" s="10"/>
      <c r="L341" s="10">
        <v>0</v>
      </c>
      <c r="M341" s="10">
        <v>17.600000000000001</v>
      </c>
      <c r="N341" s="10">
        <v>19.2</v>
      </c>
      <c r="O341" s="10">
        <v>19.899999999999999</v>
      </c>
      <c r="P341" s="10">
        <v>21</v>
      </c>
      <c r="Q341" s="10">
        <v>23.2</v>
      </c>
      <c r="R341" s="10">
        <v>20.2</v>
      </c>
      <c r="S341" s="10">
        <f>IFERROR(VLOOKUP('Leveranser per nät'!A341,'lev 2012'!$B$2:$E$445,4,FALSE),"")</f>
        <v>22</v>
      </c>
      <c r="T341" s="10">
        <f>IFERROR(VLOOKUP('Leveranser per nät'!A341,'lev 2013'!$B$2:$E$445,4,FALSE),"")</f>
        <v>22.7</v>
      </c>
      <c r="U341" s="10">
        <f>IFERROR(VLOOKUP('Leveranser per nät'!A341,'lev 2014'!$B$2:$E$432,4,FALSE),"")</f>
        <v>21.1</v>
      </c>
      <c r="V341" s="10">
        <f>IFERROR(INDEX(Levererat_2015[Leveranser till eget nät],MATCH($A341,Levererat_2015[Indexnamn],0)),"")</f>
        <v>20.5</v>
      </c>
      <c r="W341" s="10">
        <f>IFERROR(INDEX(Levererat_2016[Leveranser till eget nät],MATCH($A341,Levererat_2016[Indexnamn],0)),"")</f>
        <v>22.2</v>
      </c>
      <c r="X341" s="10">
        <f>IFERROR(INDEX(Tabell4[Leveranser till eget nät],MATCH('Leveranser per nät'!A341,Tabell4[[Finns i listan ]],0)),"")</f>
        <v>22.7</v>
      </c>
      <c r="Y341" s="10">
        <f>IFERROR(INDEX(Tabell6[Kolumn1],MATCH($A341,Tabell6[Indexnmamn],0)),"")</f>
        <v>22.4</v>
      </c>
      <c r="Z341" s="10">
        <v>22.2</v>
      </c>
      <c r="AA341" s="10">
        <v>19.5</v>
      </c>
      <c r="AB341" s="10">
        <f>VLOOKUP(A341,Tabell9[[Indexnamn]:[Kolumn1]],3,FALSE)</f>
        <v>22.4</v>
      </c>
      <c r="AC341" s="10">
        <f>VLOOKUP($A341,'Lev 2022'!$K$2:$L$474,2,FALSE)</f>
        <v>21</v>
      </c>
      <c r="AG341" s="2">
        <f t="shared" si="13"/>
        <v>-1.3999999999999986</v>
      </c>
      <c r="AH341" s="103">
        <f t="shared" si="14"/>
        <v>-6.2499999999999938E-2</v>
      </c>
    </row>
    <row r="342" spans="1:34" x14ac:dyDescent="0.25">
      <c r="A342" t="s">
        <v>252</v>
      </c>
      <c r="B342" t="str">
        <f>VLOOKUP(A342,'Korrigerade leveranser GD'!$A$4:$B$482,2,FALSE)</f>
        <v>Rättvik</v>
      </c>
      <c r="C342" s="10">
        <v>34</v>
      </c>
      <c r="D342" s="10">
        <v>29.33</v>
      </c>
      <c r="E342" s="10">
        <v>28</v>
      </c>
      <c r="F342" s="10">
        <v>28</v>
      </c>
      <c r="G342" s="10">
        <v>29</v>
      </c>
      <c r="H342" s="10">
        <v>33</v>
      </c>
      <c r="I342" s="10">
        <v>32</v>
      </c>
      <c r="J342" s="10">
        <v>33.433</v>
      </c>
      <c r="K342" s="10">
        <v>34.000999999999998</v>
      </c>
      <c r="L342" s="10">
        <v>35.549999999999997</v>
      </c>
      <c r="M342" s="10">
        <v>36</v>
      </c>
      <c r="N342" s="10">
        <v>38.6</v>
      </c>
      <c r="O342" s="10">
        <v>41.7</v>
      </c>
      <c r="P342" s="10">
        <v>45.7</v>
      </c>
      <c r="Q342" s="10">
        <v>53.3</v>
      </c>
      <c r="R342" s="10">
        <v>50</v>
      </c>
      <c r="S342" s="10">
        <f>IFERROR(VLOOKUP('Leveranser per nät'!A342,'lev 2012'!$B$2:$E$445,4,FALSE),"")</f>
        <v>48</v>
      </c>
      <c r="T342" s="10">
        <f>IFERROR(VLOOKUP('Leveranser per nät'!A342,'lev 2013'!$B$2:$E$445,4,FALSE),"")</f>
        <v>46.3</v>
      </c>
      <c r="U342" s="10">
        <f>IFERROR(VLOOKUP('Leveranser per nät'!A342,'lev 2014'!$B$2:$E$432,4,FALSE),"")</f>
        <v>43.1</v>
      </c>
      <c r="V342" s="10">
        <f>IFERROR(INDEX(Levererat_2015[Leveranser till eget nät],MATCH($A342,Levererat_2015[Indexnamn],0)),"")</f>
        <v>42.9</v>
      </c>
      <c r="W342" s="10">
        <f>IFERROR(INDEX(Levererat_2016[Leveranser till eget nät],MATCH($A342,Levererat_2016[Indexnamn],0)),"")</f>
        <v>44.5</v>
      </c>
      <c r="X342" s="58">
        <v>45.1</v>
      </c>
      <c r="Y342" s="10">
        <f>IFERROR(INDEX(Tabell6[Kolumn1],MATCH($A342,Tabell6[Indexnmamn],0)),"")</f>
        <v>44.9</v>
      </c>
      <c r="Z342" s="10">
        <v>44.7</v>
      </c>
      <c r="AA342" s="10">
        <v>37.698999999999998</v>
      </c>
      <c r="AB342" s="10">
        <f>VLOOKUP(A342,Tabell9[[Indexnamn]:[Kolumn1]],3,FALSE)</f>
        <v>44.311</v>
      </c>
      <c r="AC342" s="10">
        <f>VLOOKUP($A342,'Lev 2022'!$K$2:$L$474,2,FALSE)</f>
        <v>42.145000000000003</v>
      </c>
      <c r="AG342" s="2">
        <f t="shared" si="13"/>
        <v>-2.1659999999999968</v>
      </c>
      <c r="AH342" s="103">
        <f t="shared" si="14"/>
        <v>-4.8881767506939518E-2</v>
      </c>
    </row>
    <row r="343" spans="1:34" s="65" customFormat="1" x14ac:dyDescent="0.25">
      <c r="A343" s="67" t="s">
        <v>11</v>
      </c>
      <c r="B343" s="65" t="str">
        <f>VLOOKUP(A343,'Korrigerade leveranser GD'!$A$4:$B$482,2,FALSE)</f>
        <v>Gävle</v>
      </c>
      <c r="C343" s="68"/>
      <c r="D343" s="68"/>
      <c r="E343" s="68"/>
      <c r="F343" s="68"/>
      <c r="G343" s="68"/>
      <c r="H343" s="68"/>
      <c r="I343" s="68"/>
      <c r="J343" s="68"/>
      <c r="K343" s="68"/>
      <c r="L343" s="68"/>
      <c r="M343" s="68"/>
      <c r="N343" s="68"/>
      <c r="O343" s="68"/>
      <c r="P343" s="68">
        <v>0</v>
      </c>
      <c r="Q343" s="68">
        <v>0.4</v>
      </c>
      <c r="R343" s="68">
        <v>0.3</v>
      </c>
      <c r="S343" s="68">
        <f>IFERROR(VLOOKUP('Leveranser per nät'!A343,'lev 2012'!$B$2:$E$445,4,FALSE),"")</f>
        <v>0.4</v>
      </c>
      <c r="T343" s="68" t="str">
        <f>IFERROR(VLOOKUP('Leveranser per nät'!A343,'lev 2013'!$B$2:$E$445,4,FALSE),"")</f>
        <v/>
      </c>
      <c r="U343" s="68" t="str">
        <f>IFERROR(VLOOKUP('Leveranser per nät'!A343,'lev 2014'!$B$2:$E$432,4,FALSE),"")</f>
        <v/>
      </c>
      <c r="V343" s="68" t="str">
        <f>IFERROR(INDEX(Levererat_2015[Leveranser till eget nät],MATCH($A343,Levererat_2015[Indexnamn],0)),"")</f>
        <v/>
      </c>
      <c r="W343" s="68" t="str">
        <f>IFERROR(INDEX(Levererat_2016[Leveranser till eget nät],MATCH($A343,Levererat_2016[Indexnamn],0)),"")</f>
        <v/>
      </c>
      <c r="X343" s="68" t="str">
        <f>IFERROR(INDEX(Tabell4[Leveranser till eget nät],MATCH('Leveranser per nät'!A343,Tabell4[[Finns i listan ]],0)),"")</f>
        <v/>
      </c>
      <c r="Y343" s="68" t="str">
        <f>IFERROR(INDEX(Tabell6[Kolumn1],MATCH($A343,Tabell6[Indexnmamn],0)),"")</f>
        <v/>
      </c>
      <c r="Z343" s="68"/>
      <c r="AA343" s="68" t="s">
        <v>779</v>
      </c>
      <c r="AB343" s="10"/>
      <c r="AC343" s="10"/>
      <c r="AD343"/>
      <c r="AE343"/>
      <c r="AG343" s="2"/>
      <c r="AH343" s="103"/>
    </row>
    <row r="344" spans="1:34" x14ac:dyDescent="0.25">
      <c r="A344" t="s">
        <v>300</v>
      </c>
      <c r="B344" t="str">
        <f>VLOOKUP(A344,'Korrigerade leveranser GD'!$A$4:$B$482,2,FALSE)</f>
        <v>Sävsjö</v>
      </c>
      <c r="C344" s="10"/>
      <c r="D344" s="10"/>
      <c r="E344" s="10"/>
      <c r="F344" s="10">
        <v>0</v>
      </c>
      <c r="G344" s="10">
        <v>2</v>
      </c>
      <c r="H344" s="10">
        <v>2</v>
      </c>
      <c r="I344" s="10">
        <v>2</v>
      </c>
      <c r="J344" s="10">
        <v>2.2109999999999999</v>
      </c>
      <c r="K344" s="10">
        <v>0</v>
      </c>
      <c r="L344" s="10">
        <v>0</v>
      </c>
      <c r="M344" s="10">
        <v>0</v>
      </c>
      <c r="N344" s="10">
        <v>2.4</v>
      </c>
      <c r="O344" s="10">
        <v>2.5</v>
      </c>
      <c r="P344" s="10">
        <v>2.9</v>
      </c>
      <c r="Q344" s="10">
        <v>3.8</v>
      </c>
      <c r="R344" s="10">
        <v>2.9</v>
      </c>
      <c r="S344" s="10">
        <f>IFERROR(VLOOKUP('Leveranser per nät'!A344,'lev 2012'!$B$2:$E$445,4,FALSE),"")</f>
        <v>3.3</v>
      </c>
      <c r="T344" s="10">
        <f>IFERROR(VLOOKUP('Leveranser per nät'!A344,'lev 2013'!$B$2:$E$445,4,FALSE),"")</f>
        <v>3.4</v>
      </c>
      <c r="U344" s="10">
        <f>IFERROR(VLOOKUP('Leveranser per nät'!A344,'lev 2014'!$B$2:$E$432,4,FALSE),"")</f>
        <v>3.1</v>
      </c>
      <c r="V344" s="10">
        <f>IFERROR(INDEX(Levererat_2015[Leveranser till eget nät],MATCH($A344,Levererat_2015[Indexnamn],0)),"")</f>
        <v>3.34</v>
      </c>
      <c r="W344" s="10">
        <f>IFERROR(INDEX(Levererat_2016[Leveranser till eget nät],MATCH($A344,Levererat_2016[Indexnamn],0)),"")</f>
        <v>3.7</v>
      </c>
      <c r="X344" s="10">
        <f>IFERROR(INDEX(Tabell4[Leveranser till eget nät],MATCH('Leveranser per nät'!A344,Tabell4[[Finns i listan ]],0)),"")</f>
        <v>3.6869999999999998</v>
      </c>
      <c r="Y344" s="10">
        <f>IFERROR(INDEX(Tabell6[Kolumn1],MATCH($A344,Tabell6[Indexnmamn],0)),"")</f>
        <v>3.7309999999999999</v>
      </c>
      <c r="Z344" s="10">
        <v>3.85</v>
      </c>
      <c r="AA344" s="10">
        <v>3.7320000000000002</v>
      </c>
      <c r="AB344" s="10">
        <f>VLOOKUP(A344,Tabell9[[Indexnamn]:[Kolumn1]],3,FALSE)</f>
        <v>4.3369999999999997</v>
      </c>
      <c r="AC344" s="10">
        <f>VLOOKUP($A344,'Lev 2022'!$K$2:$L$474,2,FALSE)</f>
        <v>3.7909999999999999</v>
      </c>
      <c r="AG344" s="2">
        <f t="shared" si="13"/>
        <v>-0.54599999999999982</v>
      </c>
      <c r="AH344" s="103">
        <f t="shared" si="14"/>
        <v>-0.12589347475213278</v>
      </c>
    </row>
    <row r="345" spans="1:34" x14ac:dyDescent="0.25">
      <c r="A345" t="s">
        <v>693</v>
      </c>
      <c r="B345" t="str">
        <f>VLOOKUP(A345,'Korrigerade leveranser GD'!$A$4:$B$482,2,FALSE)</f>
        <v>Sala</v>
      </c>
      <c r="C345" s="10">
        <v>112</v>
      </c>
      <c r="D345" s="10">
        <v>102.86</v>
      </c>
      <c r="E345" s="10">
        <v>108</v>
      </c>
      <c r="F345" s="10">
        <v>108</v>
      </c>
      <c r="G345" s="10">
        <v>96</v>
      </c>
      <c r="H345" s="10">
        <v>113.136</v>
      </c>
      <c r="I345" s="10">
        <v>120</v>
      </c>
      <c r="J345" s="10">
        <v>134</v>
      </c>
      <c r="K345" s="10">
        <v>133</v>
      </c>
      <c r="L345" s="10">
        <v>145.84200000000001</v>
      </c>
      <c r="M345" s="10">
        <v>141.5</v>
      </c>
      <c r="N345" s="10">
        <v>113</v>
      </c>
      <c r="O345" s="10">
        <v>108</v>
      </c>
      <c r="P345" s="10">
        <v>113.4</v>
      </c>
      <c r="Q345" s="10">
        <v>132</v>
      </c>
      <c r="R345" s="10">
        <v>103.2</v>
      </c>
      <c r="S345" s="10">
        <f>IFERROR(VLOOKUP('Leveranser per nät'!A345,'lev 2012'!$B$2:$E$445,4,FALSE),"")</f>
        <v>158</v>
      </c>
      <c r="T345" s="10">
        <f>IFERROR(VLOOKUP('Leveranser per nät'!A345,'lev 2013'!$B$2:$E$445,4,FALSE),"")</f>
        <v>149.69999999999999</v>
      </c>
      <c r="U345" s="10">
        <f>IFERROR(VLOOKUP('Leveranser per nät'!A345,'lev 2014'!$B$2:$E$432,4,FALSE),"")</f>
        <v>137.43</v>
      </c>
      <c r="V345" s="10">
        <f>IFERROR(INDEX(Levererat_2015[Leveranser till eget nät],MATCH($A345,Levererat_2015[Indexnamn],0)),"")</f>
        <v>135.5</v>
      </c>
      <c r="W345" s="10">
        <f>IFERROR(INDEX(Levererat_2016[Leveranser till eget nät],MATCH($A345,Levererat_2016[Indexnamn],0)),"")</f>
        <v>148.6</v>
      </c>
      <c r="X345" s="10">
        <f>IFERROR(INDEX(Tabell4[Leveranser till eget nät],MATCH('Leveranser per nät'!A345,Tabell4[[Finns i listan ]],0)),"")</f>
        <v>147.9</v>
      </c>
      <c r="Y345" s="10">
        <f>IFERROR(INDEX(Tabell6[Kolumn1],MATCH($A345,Tabell6[Indexnmamn],0)),"")</f>
        <v>146.04</v>
      </c>
      <c r="Z345" s="10">
        <v>143.65</v>
      </c>
      <c r="AA345" s="10">
        <v>128.893415</v>
      </c>
      <c r="AB345" s="10">
        <f>VLOOKUP(A345,Tabell9[[Indexnamn]:[Kolumn1]],3,FALSE)</f>
        <v>151.525215</v>
      </c>
      <c r="AC345" s="10">
        <f>VLOOKUP($A345,'Lev 2022'!$K$2:$L$474,2,FALSE)</f>
        <v>140.30441400000001</v>
      </c>
      <c r="AG345" s="2">
        <f t="shared" si="13"/>
        <v>-11.220800999999994</v>
      </c>
      <c r="AH345" s="103">
        <f t="shared" si="14"/>
        <v>-7.4052368115762088E-2</v>
      </c>
    </row>
    <row r="346" spans="1:34" x14ac:dyDescent="0.25">
      <c r="A346" t="s">
        <v>342</v>
      </c>
      <c r="B346" t="str">
        <f>VLOOKUP(A346,'Korrigerade leveranser GD'!$A$4:$B$482,2,FALSE)</f>
        <v>Värmdö</v>
      </c>
      <c r="C346" s="10"/>
      <c r="D346" s="10"/>
      <c r="E346" s="10"/>
      <c r="F346" s="10"/>
      <c r="G346" s="10"/>
      <c r="H346" s="10"/>
      <c r="I346" s="10"/>
      <c r="J346" s="10"/>
      <c r="K346" s="10"/>
      <c r="L346" s="10">
        <v>0</v>
      </c>
      <c r="M346" s="10">
        <v>36.164999999999999</v>
      </c>
      <c r="N346" s="10">
        <v>37.6</v>
      </c>
      <c r="O346" s="10">
        <v>36.9</v>
      </c>
      <c r="P346" s="10">
        <v>38.299999999999997</v>
      </c>
      <c r="Q346" s="10"/>
      <c r="R346" s="10"/>
      <c r="S346" s="10" t="str">
        <f>IFERROR(VLOOKUP('Leveranser per nät'!A346,'lev 2012'!$B$2:$E$445,4,FALSE),"")</f>
        <v/>
      </c>
      <c r="T346" s="10">
        <v>28.94</v>
      </c>
      <c r="U346" s="10">
        <f>IFERROR(VLOOKUP('Leveranser per nät'!A346,'lev 2014'!$B$2:$E$432,4,FALSE),"")</f>
        <v>27.2</v>
      </c>
      <c r="V346" s="10">
        <f>IFERROR(INDEX(Levererat_2015[Leveranser till eget nät],MATCH($A346,Levererat_2015[Indexnamn],0)),"")</f>
        <v>27.1</v>
      </c>
      <c r="W346" s="10">
        <f>IFERROR(INDEX(Levererat_2016[Leveranser till eget nät],MATCH($A346,Levererat_2016[Indexnamn],0)),"")</f>
        <v>28.04</v>
      </c>
      <c r="X346" s="10">
        <f>IFERROR(INDEX(Tabell4[Leveranser till eget nät],MATCH('Leveranser per nät'!A346,Tabell4[[Finns i listan ]],0)),"")</f>
        <v>27.7</v>
      </c>
      <c r="Y346" s="10">
        <f>IFERROR(INDEX(Tabell6[Kolumn1],MATCH($A346,Tabell6[Indexnmamn],0)),"")</f>
        <v>27.100999999999999</v>
      </c>
      <c r="Z346" s="10">
        <v>25.696000000000002</v>
      </c>
      <c r="AA346" s="10">
        <v>23.995000000000001</v>
      </c>
      <c r="AB346" s="10">
        <f>VLOOKUP(A346,Tabell9[[Indexnamn]:[Kolumn1]],3,FALSE)</f>
        <v>28.356999999999999</v>
      </c>
      <c r="AC346" s="10">
        <f>VLOOKUP($A346,'Lev 2022'!$K$2:$L$474,2,FALSE)</f>
        <v>25.922000000000001</v>
      </c>
      <c r="AG346" s="2">
        <f t="shared" si="13"/>
        <v>-2.4349999999999987</v>
      </c>
      <c r="AH346" s="103">
        <f t="shared" si="14"/>
        <v>-8.5869450223930555E-2</v>
      </c>
    </row>
    <row r="347" spans="1:34" x14ac:dyDescent="0.25">
      <c r="A347" t="s">
        <v>796</v>
      </c>
      <c r="B347" t="s">
        <v>301</v>
      </c>
      <c r="C347" s="10"/>
      <c r="D347" s="10"/>
      <c r="E347" s="10"/>
      <c r="F347" s="10"/>
      <c r="G347" s="10"/>
      <c r="H347" s="10"/>
      <c r="I347" s="10"/>
      <c r="J347" s="10"/>
      <c r="K347" s="10"/>
      <c r="L347" s="10"/>
      <c r="M347" s="10"/>
      <c r="N347" s="10"/>
      <c r="O347" s="10"/>
      <c r="P347" s="10"/>
      <c r="Q347" s="10"/>
      <c r="R347" s="10"/>
      <c r="S347" s="10"/>
      <c r="T347" s="10">
        <v>3.2</v>
      </c>
      <c r="U347" s="10">
        <v>3.0085999999999999</v>
      </c>
      <c r="V347" s="10">
        <v>3.0339999999999998</v>
      </c>
      <c r="W347" s="10">
        <v>3.089</v>
      </c>
      <c r="X347" s="10">
        <f>IFERROR(INDEX(Tabell4[Leveranser till eget nät],MATCH('Leveranser per nät'!A347,Tabell4[[Finns i listan ]],0)),"")</f>
        <v>3.0710000000000002</v>
      </c>
      <c r="Y347" s="10">
        <f>IFERROR(INDEX(Tabell6[Kolumn1],MATCH($A347,Tabell6[Indexnmamn],0)),"")</f>
        <v>3.149</v>
      </c>
      <c r="Z347" s="10">
        <v>3.0680000000000001</v>
      </c>
      <c r="AA347" s="10">
        <v>2.5590000000000002</v>
      </c>
      <c r="AB347" s="10">
        <f>VLOOKUP(A347,Tabell9[[Indexnamn]:[Kolumn1]],3,FALSE)</f>
        <v>2.9140000000000001</v>
      </c>
      <c r="AC347" s="10">
        <f>VLOOKUP($A347,'Lev 2022'!$K$2:$L$474,2,FALSE)</f>
        <v>2.6429999999999998</v>
      </c>
      <c r="AG347" s="2">
        <f t="shared" si="13"/>
        <v>-0.27100000000000035</v>
      </c>
      <c r="AH347" s="103">
        <f t="shared" si="14"/>
        <v>-9.2999313658201896E-2</v>
      </c>
    </row>
    <row r="348" spans="1:34" x14ac:dyDescent="0.25">
      <c r="A348" t="s">
        <v>255</v>
      </c>
      <c r="B348" t="str">
        <f>VLOOKUP(A348,'Korrigerade leveranser GD'!$A$4:$B$482,2,FALSE)</f>
        <v>Sandviken</v>
      </c>
      <c r="C348" s="10">
        <v>228</v>
      </c>
      <c r="D348" s="10">
        <v>200.03</v>
      </c>
      <c r="E348" s="10">
        <v>215</v>
      </c>
      <c r="F348" s="10">
        <v>207</v>
      </c>
      <c r="G348" s="10">
        <v>199</v>
      </c>
      <c r="H348" s="10">
        <v>222.358</v>
      </c>
      <c r="I348" s="10">
        <v>221</v>
      </c>
      <c r="J348" s="10">
        <v>232.91</v>
      </c>
      <c r="K348" s="10">
        <v>222.99100000000001</v>
      </c>
      <c r="L348" s="10">
        <v>208.44800000000001</v>
      </c>
      <c r="M348" s="10">
        <v>229</v>
      </c>
      <c r="N348" s="10">
        <v>229.1</v>
      </c>
      <c r="O348" s="10">
        <v>229.4</v>
      </c>
      <c r="P348" s="10">
        <v>239</v>
      </c>
      <c r="Q348" s="10">
        <v>264.3</v>
      </c>
      <c r="R348" s="10">
        <v>203.041</v>
      </c>
      <c r="S348" s="10">
        <f>IFERROR(VLOOKUP('Leveranser per nät'!A348,'lev 2012'!$B$2:$E$445,4,FALSE),"")</f>
        <v>232</v>
      </c>
      <c r="T348" s="10">
        <f>IFERROR(VLOOKUP('Leveranser per nät'!A348,'lev 2013'!$B$2:$E$445,4,FALSE),"")</f>
        <v>223.4</v>
      </c>
      <c r="U348" s="10">
        <f>IFERROR(VLOOKUP('Leveranser per nät'!A348,'lev 2014'!$B$2:$E$432,4,FALSE),"")</f>
        <v>213.6</v>
      </c>
      <c r="V348" s="10">
        <f>IFERROR(INDEX(Levererat_2015[Leveranser till eget nät],MATCH($A348,Levererat_2015[Indexnamn],0)),"")</f>
        <v>215.2</v>
      </c>
      <c r="W348" s="10">
        <f>IFERROR(INDEX(Levererat_2016[Leveranser till eget nät],MATCH($A348,Levererat_2016[Indexnamn],0)),"")</f>
        <v>228.3</v>
      </c>
      <c r="X348" s="10">
        <f>IFERROR(INDEX(Tabell4[Leveranser till eget nät],MATCH('Leveranser per nät'!A348,Tabell4[[Finns i listan ]],0)),"")</f>
        <v>228</v>
      </c>
      <c r="Y348" s="10">
        <f>IFERROR(INDEX(Tabell6[Kolumn1],MATCH($A348,Tabell6[Indexnmamn],0)),"")</f>
        <v>215</v>
      </c>
      <c r="Z348" s="10">
        <v>224.6</v>
      </c>
      <c r="AA348" s="10">
        <v>198.3</v>
      </c>
      <c r="AB348" s="10">
        <f>VLOOKUP(A348,Tabell9[[Indexnamn]:[Kolumn1]],3,FALSE)</f>
        <v>227.2</v>
      </c>
      <c r="AC348" s="10">
        <f>VLOOKUP($A348,'Lev 2022'!$K$2:$L$474,2,FALSE)</f>
        <v>216.8</v>
      </c>
      <c r="AG348" s="2">
        <f t="shared" si="13"/>
        <v>-10.399999999999977</v>
      </c>
      <c r="AH348" s="103">
        <f t="shared" si="14"/>
        <v>-4.5774647887323848E-2</v>
      </c>
    </row>
    <row r="349" spans="1:34" x14ac:dyDescent="0.25">
      <c r="A349" t="s">
        <v>375</v>
      </c>
      <c r="B349" t="str">
        <f>VLOOKUP(A349,'Korrigerade leveranser GD'!$A$4:$B$482,2,FALSE)</f>
        <v>Simrishamn</v>
      </c>
      <c r="C349" s="10">
        <v>0</v>
      </c>
      <c r="D349" s="10">
        <v>32.6</v>
      </c>
      <c r="E349" s="10">
        <v>33</v>
      </c>
      <c r="F349" s="10">
        <v>33</v>
      </c>
      <c r="G349" s="10">
        <v>38</v>
      </c>
      <c r="H349" s="10">
        <v>46.9</v>
      </c>
      <c r="I349" s="10">
        <v>46.722999999999999</v>
      </c>
      <c r="J349" s="10">
        <v>42.805999999999997</v>
      </c>
      <c r="K349" s="10">
        <v>44.043999999999997</v>
      </c>
      <c r="L349" s="10">
        <v>42.414999999999999</v>
      </c>
      <c r="M349" s="10">
        <v>42.414999999999999</v>
      </c>
      <c r="N349" s="10">
        <v>44.533999999999999</v>
      </c>
      <c r="O349" s="10">
        <v>43.9</v>
      </c>
      <c r="P349" s="10">
        <v>47.2</v>
      </c>
      <c r="Q349" s="10">
        <v>52.8</v>
      </c>
      <c r="R349" s="10">
        <v>45.9</v>
      </c>
      <c r="S349" s="10">
        <f>IFERROR(VLOOKUP('Leveranser per nät'!A349,'lev 2012'!$B$2:$E$445,4,FALSE),"")</f>
        <v>48</v>
      </c>
      <c r="T349" s="10">
        <f>IFERROR(VLOOKUP('Leveranser per nät'!A349,'lev 2013'!$B$2:$E$445,4,FALSE),"")</f>
        <v>46.5</v>
      </c>
      <c r="U349" s="10">
        <f>IFERROR(VLOOKUP('Leveranser per nät'!A349,'lev 2014'!$B$2:$E$432,4,FALSE),"")</f>
        <v>43.6</v>
      </c>
      <c r="V349" s="10">
        <f>IFERROR(INDEX(Levererat_2015[Leveranser till eget nät],MATCH($A349,Levererat_2015[Indexnamn],0)),"")</f>
        <v>46.5</v>
      </c>
      <c r="W349" s="10">
        <f>IFERROR(INDEX(Levererat_2016[Leveranser till eget nät],MATCH($A349,Levererat_2016[Indexnamn],0)),"")</f>
        <v>48.2</v>
      </c>
      <c r="X349" s="10">
        <f>IFERROR(INDEX(Tabell4[Leveranser till eget nät],MATCH('Leveranser per nät'!A349,Tabell4[[Finns i listan ]],0)),"")</f>
        <v>48.1</v>
      </c>
      <c r="Y349" s="10">
        <f>IFERROR(INDEX(Tabell6[Kolumn1],MATCH($A349,Tabell6[Indexnmamn],0)),"")</f>
        <v>47.3</v>
      </c>
      <c r="Z349" s="10">
        <v>46.1</v>
      </c>
      <c r="AA349" s="10">
        <v>43.3</v>
      </c>
      <c r="AB349" s="10">
        <f>VLOOKUP(A349,Tabell9[[Indexnamn]:[Kolumn1]],3,FALSE)</f>
        <v>49.1</v>
      </c>
      <c r="AC349" s="10">
        <f>VLOOKUP($A349,'Lev 2022'!$K$2:$L$474,2,FALSE)</f>
        <v>44.6</v>
      </c>
      <c r="AG349" s="2">
        <f t="shared" si="13"/>
        <v>-4.5</v>
      </c>
      <c r="AH349" s="103">
        <f t="shared" si="14"/>
        <v>-9.1649694501018328E-2</v>
      </c>
    </row>
    <row r="350" spans="1:34" x14ac:dyDescent="0.25">
      <c r="A350" t="s">
        <v>234</v>
      </c>
      <c r="B350" t="str">
        <f>VLOOKUP(A350,'Korrigerade leveranser GD'!$A$4:$B$482,2,FALSE)</f>
        <v>Piteå</v>
      </c>
      <c r="C350" s="10">
        <v>2</v>
      </c>
      <c r="D350" s="10">
        <v>2.44</v>
      </c>
      <c r="E350" s="10">
        <v>3</v>
      </c>
      <c r="F350" s="10">
        <v>2</v>
      </c>
      <c r="G350" s="56">
        <f>(F350-H350)/2+H350</f>
        <v>2</v>
      </c>
      <c r="H350" s="10">
        <v>2</v>
      </c>
      <c r="I350" s="10">
        <v>2</v>
      </c>
      <c r="J350" s="10">
        <v>2</v>
      </c>
      <c r="K350" s="10">
        <v>2.3555999999999999</v>
      </c>
      <c r="L350" s="10">
        <v>2.1349999999999998</v>
      </c>
      <c r="M350" s="56">
        <f>(L350-O350)/3*2+O350</f>
        <v>2.1233333333333331</v>
      </c>
      <c r="N350" s="56">
        <f>(L350-O350)/3+O350</f>
        <v>2.1116666666666668</v>
      </c>
      <c r="O350" s="10">
        <v>2.1</v>
      </c>
      <c r="P350" s="10">
        <v>2.1</v>
      </c>
      <c r="Q350" s="10">
        <v>2.5</v>
      </c>
      <c r="R350" s="10">
        <v>2.02</v>
      </c>
      <c r="S350" s="10">
        <f>IFERROR(VLOOKUP('Leveranser per nät'!A350,'lev 2012'!$B$2:$E$445,4,FALSE),"")</f>
        <v>2.02</v>
      </c>
      <c r="T350" s="10">
        <f>IFERROR(VLOOKUP('Leveranser per nät'!A350,'lev 2013'!$B$2:$E$445,4,FALSE),"")</f>
        <v>1.98</v>
      </c>
      <c r="U350" s="10">
        <f>IFERROR(VLOOKUP('Leveranser per nät'!A350,'lev 2014'!$B$2:$E$432,4,FALSE),"")</f>
        <v>1.94</v>
      </c>
      <c r="V350" s="10">
        <f>IFERROR(INDEX(Levererat_2015[Leveranser till eget nät],MATCH($A350,Levererat_2015[Indexnamn],0)),"")</f>
        <v>1.84</v>
      </c>
      <c r="W350" s="10">
        <f>IFERROR(INDEX(Levererat_2016[Leveranser till eget nät],MATCH($A350,Levererat_2016[Indexnamn],0)),"")</f>
        <v>1.85</v>
      </c>
      <c r="X350" s="10">
        <f>IFERROR(INDEX(Tabell4[Leveranser till eget nät],MATCH('Leveranser per nät'!A350,Tabell4[[Finns i listan ]],0)),"")</f>
        <v>1.9390000000000001</v>
      </c>
      <c r="Y350" s="10">
        <f>IFERROR(INDEX(Tabell6[Kolumn1],MATCH($A350,Tabell6[Indexnmamn],0)),"")</f>
        <v>2.09</v>
      </c>
      <c r="Z350" s="10">
        <v>2.0699999999999998</v>
      </c>
      <c r="AA350" s="10">
        <v>1.77</v>
      </c>
      <c r="AB350" s="10">
        <f>VLOOKUP(A350,Tabell9[[Indexnamn]:[Kolumn1]],3,FALSE)</f>
        <v>2.0699999999999998</v>
      </c>
      <c r="AC350" s="10">
        <f>VLOOKUP($A350,'Lev 2022'!$K$2:$L$474,2,FALSE)</f>
        <v>2.0670000000000002</v>
      </c>
      <c r="AG350" s="2"/>
      <c r="AH350" s="103"/>
    </row>
    <row r="351" spans="1:34" x14ac:dyDescent="0.25">
      <c r="A351" s="5" t="s">
        <v>415</v>
      </c>
      <c r="B351" s="5" t="s">
        <v>318</v>
      </c>
      <c r="C351" s="10"/>
      <c r="D351" s="10"/>
      <c r="E351" s="10"/>
      <c r="F351" s="10"/>
      <c r="G351" s="10"/>
      <c r="H351" s="10"/>
      <c r="I351" s="10"/>
      <c r="J351" s="10">
        <v>0</v>
      </c>
      <c r="K351" s="10">
        <v>0</v>
      </c>
      <c r="L351" s="10">
        <v>2.2639999999999998</v>
      </c>
      <c r="M351" s="10">
        <v>0</v>
      </c>
      <c r="N351" s="10">
        <v>0</v>
      </c>
      <c r="O351" s="10"/>
      <c r="P351" s="10"/>
      <c r="Q351" s="10"/>
      <c r="R351" s="10"/>
      <c r="S351" s="10" t="str">
        <f>IFERROR(VLOOKUP('Leveranser per nät'!A351,'lev 2012'!$B$2:$E$445,4,FALSE),"")</f>
        <v/>
      </c>
      <c r="T351" s="10" t="str">
        <f>IFERROR(VLOOKUP('Leveranser per nät'!A351,'lev 2013'!$B$2:$E$445,4,FALSE),"")</f>
        <v/>
      </c>
      <c r="U351" s="10" t="str">
        <f>IFERROR(VLOOKUP('Leveranser per nät'!A351,'lev 2014'!$B$2:$E$432,4,FALSE),"")</f>
        <v/>
      </c>
      <c r="V351" s="10" t="str">
        <f>IFERROR(INDEX(Levererat_2015[Leveranser till eget nät],MATCH($A351,Levererat_2015[Indexnamn],0)),"")</f>
        <v/>
      </c>
      <c r="W351" s="10" t="str">
        <f>IFERROR(INDEX(Levererat_2016[Leveranser till eget nät],MATCH($A351,Levererat_2016[Indexnamn],0)),"")</f>
        <v/>
      </c>
      <c r="X351" s="10" t="str">
        <f>IFERROR(INDEX(Tabell4[Leveranser till eget nät],MATCH('Leveranser per nät'!A351,Tabell4[[Finns i listan ]],0)),"")</f>
        <v/>
      </c>
      <c r="Y351" s="10" t="str">
        <f>IFERROR(INDEX(Tabell6[Kolumn1],MATCH($A351,Tabell6[Indexnmamn],0)),"")</f>
        <v/>
      </c>
      <c r="Z351" s="10">
        <v>0</v>
      </c>
      <c r="AA351" s="10" t="s">
        <v>779</v>
      </c>
      <c r="AB351" s="10"/>
      <c r="AC351" s="56"/>
      <c r="AG351" s="2"/>
      <c r="AH351" s="103"/>
    </row>
    <row r="352" spans="1:34" s="77" customFormat="1" x14ac:dyDescent="0.25">
      <c r="A352" s="5" t="s">
        <v>244</v>
      </c>
      <c r="B352" s="5" t="str">
        <f>VLOOKUP(A352,'Korrigerade leveranser GD'!$A$4:$B$482,2,FALSE)</f>
        <v>Sjöbo</v>
      </c>
      <c r="C352" s="69"/>
      <c r="D352" s="69"/>
      <c r="E352" s="69"/>
      <c r="F352" s="69"/>
      <c r="G352" s="69"/>
      <c r="H352" s="69"/>
      <c r="I352" s="69"/>
      <c r="J352" s="69">
        <v>0</v>
      </c>
      <c r="K352" s="69">
        <v>19.154</v>
      </c>
      <c r="L352" s="69">
        <v>22.045999999999999</v>
      </c>
      <c r="M352" s="69">
        <v>22.777000000000001</v>
      </c>
      <c r="N352" s="69">
        <v>18.600000000000001</v>
      </c>
      <c r="O352" s="69">
        <v>18.600000000000001</v>
      </c>
      <c r="P352" s="69">
        <v>26.86</v>
      </c>
      <c r="Q352" s="69">
        <v>32.362000000000002</v>
      </c>
      <c r="R352" s="69">
        <v>25.257000000000001</v>
      </c>
      <c r="S352" s="69">
        <f>IFERROR(VLOOKUP('Leveranser per nät'!A352,'lev 2012'!$B$2:$E$445,4,FALSE),"")</f>
        <v>26</v>
      </c>
      <c r="T352" s="69">
        <f>IFERROR(VLOOKUP('Leveranser per nät'!A352,'lev 2013'!$B$2:$E$445,4,FALSE),"")</f>
        <v>25.7</v>
      </c>
      <c r="U352" s="69">
        <f>IFERROR(VLOOKUP('Leveranser per nät'!A352,'lev 2014'!$B$2:$E$432,4,FALSE),"")</f>
        <v>22.5</v>
      </c>
      <c r="V352" s="69">
        <f>IFERROR(INDEX(Levererat_2015[Leveranser till eget nät],MATCH($A352,Levererat_2015[Indexnamn],0)),"")</f>
        <v>24.1</v>
      </c>
      <c r="W352" s="69">
        <f>IFERROR(INDEX(Levererat_2016[Leveranser till eget nät],MATCH($A352,Levererat_2016[Indexnamn],0)),"")</f>
        <v>26.3</v>
      </c>
      <c r="X352" s="69">
        <v>26.5</v>
      </c>
      <c r="Y352" s="69">
        <v>26</v>
      </c>
      <c r="Z352" s="69">
        <v>24.7</v>
      </c>
      <c r="AA352" s="58">
        <v>23.937000000000001</v>
      </c>
      <c r="AB352" s="10">
        <f>VLOOKUP(A352,Tabell9[[Indexnamn]:[Kolumn1]],3,FALSE)</f>
        <v>27.2</v>
      </c>
      <c r="AC352" s="10">
        <f>VLOOKUP($A352,'Lev 2022'!$K$2:$L$474,2,FALSE)</f>
        <v>26</v>
      </c>
      <c r="AD352"/>
      <c r="AE352"/>
      <c r="AG352" s="2">
        <f t="shared" si="13"/>
        <v>-1.1999999999999993</v>
      </c>
      <c r="AH352" s="103">
        <f t="shared" si="14"/>
        <v>-4.4117647058823505E-2</v>
      </c>
    </row>
    <row r="353" spans="1:34" x14ac:dyDescent="0.25">
      <c r="A353" t="s">
        <v>256</v>
      </c>
      <c r="B353" t="str">
        <f>VLOOKUP(A353,'Korrigerade leveranser GD'!$A$4:$B$482,2,FALSE)</f>
        <v>Skara</v>
      </c>
      <c r="C353" s="10">
        <v>14</v>
      </c>
      <c r="D353" s="10">
        <v>13.36</v>
      </c>
      <c r="E353" s="10">
        <v>14</v>
      </c>
      <c r="F353" s="10">
        <v>14</v>
      </c>
      <c r="G353" s="10">
        <v>21</v>
      </c>
      <c r="H353" s="10">
        <v>41.680999999999997</v>
      </c>
      <c r="I353" s="10">
        <v>41.680999999999997</v>
      </c>
      <c r="J353" s="10">
        <v>60.69</v>
      </c>
      <c r="K353" s="10">
        <v>60.32</v>
      </c>
      <c r="L353" s="10">
        <v>59.423000000000002</v>
      </c>
      <c r="M353" s="10">
        <v>59.604999999999997</v>
      </c>
      <c r="N353" s="10">
        <v>66.218999999999994</v>
      </c>
      <c r="O353" s="10">
        <v>69.724000000000004</v>
      </c>
      <c r="P353" s="10">
        <v>80.304000000000002</v>
      </c>
      <c r="Q353" s="10">
        <v>93.975999999999999</v>
      </c>
      <c r="R353" s="10">
        <v>88.811999999999998</v>
      </c>
      <c r="S353" s="10">
        <f>IFERROR(VLOOKUP('Leveranser per nät'!A353,'lev 2012'!$B$2:$E$445,4,FALSE),"")</f>
        <v>86</v>
      </c>
      <c r="T353" s="10">
        <f>IFERROR(VLOOKUP('Leveranser per nät'!A353,'lev 2013'!$B$2:$E$445,4,FALSE),"")</f>
        <v>86.2</v>
      </c>
      <c r="U353" s="10">
        <f>IFERROR(VLOOKUP('Leveranser per nät'!A353,'lev 2014'!$B$2:$E$432,4,FALSE),"")</f>
        <v>84.94</v>
      </c>
      <c r="V353" s="10">
        <f>IFERROR(INDEX(Levererat_2015[Leveranser till eget nät],MATCH($A353,Levererat_2015[Indexnamn],0)),"")</f>
        <v>83.7</v>
      </c>
      <c r="W353" s="10">
        <f>IFERROR(INDEX(Levererat_2016[Leveranser till eget nät],MATCH($A353,Levererat_2016[Indexnamn],0)),"")</f>
        <v>90.2</v>
      </c>
      <c r="X353" s="10">
        <f>IFERROR(INDEX(Tabell4[Leveranser till eget nät],MATCH('Leveranser per nät'!A353,Tabell4[[Finns i listan ]],0)),"")</f>
        <v>88.8</v>
      </c>
      <c r="Y353" s="10">
        <f>IFERROR(INDEX(Tabell6[Kolumn1],MATCH($A353,Tabell6[Indexnmamn],0)),"")</f>
        <v>88.4</v>
      </c>
      <c r="Z353" s="10">
        <v>87.8</v>
      </c>
      <c r="AA353" s="10">
        <v>84.9</v>
      </c>
      <c r="AB353" s="10">
        <f>VLOOKUP(A353,Tabell9[[Indexnamn]:[Kolumn1]],3,FALSE)</f>
        <v>92.7</v>
      </c>
      <c r="AC353" s="10">
        <f>VLOOKUP($A353,'Lev 2022'!$K$2:$L$474,2,FALSE)</f>
        <v>87.4</v>
      </c>
      <c r="AG353" s="2">
        <f t="shared" si="13"/>
        <v>-5.2999999999999972</v>
      </c>
      <c r="AH353" s="103">
        <f t="shared" si="14"/>
        <v>-5.7173678532901805E-2</v>
      </c>
    </row>
    <row r="354" spans="1:34" x14ac:dyDescent="0.25">
      <c r="A354" t="s">
        <v>261</v>
      </c>
      <c r="B354" t="str">
        <f>VLOOKUP(A354,'Korrigerade leveranser GD'!$A$4:$B$482,2,FALSE)</f>
        <v>Skellefteå</v>
      </c>
      <c r="C354" s="10">
        <v>265</v>
      </c>
      <c r="D354" s="10">
        <v>263.64999999999998</v>
      </c>
      <c r="E354" s="10">
        <v>284</v>
      </c>
      <c r="F354" s="10">
        <v>262</v>
      </c>
      <c r="G354" s="10">
        <v>262</v>
      </c>
      <c r="H354" s="10">
        <v>293.10000000000002</v>
      </c>
      <c r="I354" s="10">
        <v>283</v>
      </c>
      <c r="J354" s="10">
        <v>270.35700000000003</v>
      </c>
      <c r="K354" s="10">
        <v>273.55040000000002</v>
      </c>
      <c r="L354" s="10">
        <v>260.4803</v>
      </c>
      <c r="M354" s="10">
        <v>282.55200000000002</v>
      </c>
      <c r="N354" s="10">
        <v>283.97399999999999</v>
      </c>
      <c r="O354" s="10">
        <v>291.745</v>
      </c>
      <c r="P354" s="10">
        <v>302.68599999999998</v>
      </c>
      <c r="Q354" s="10">
        <v>347.57499999999999</v>
      </c>
      <c r="R354" s="10">
        <v>296.21100000000001</v>
      </c>
      <c r="S354" s="10">
        <f>IFERROR(VLOOKUP('Leveranser per nät'!A354,'lev 2012'!$B$2:$E$445,4,FALSE),"")</f>
        <v>341</v>
      </c>
      <c r="T354" s="10">
        <f>IFERROR(VLOOKUP('Leveranser per nät'!A354,'lev 2013'!$B$2:$E$445,4,FALSE),"")</f>
        <v>316.14100000000002</v>
      </c>
      <c r="U354" s="10">
        <f>IFERROR(VLOOKUP('Leveranser per nät'!A354,'lev 2014'!$B$2:$E$432,4,FALSE),"")</f>
        <v>304.428</v>
      </c>
      <c r="V354" s="10">
        <f>IFERROR(INDEX(Levererat_2015[Leveranser till eget nät],MATCH($A354,Levererat_2015[Indexnamn],0)),"")</f>
        <v>293.30099999999999</v>
      </c>
      <c r="W354" s="10">
        <f>IFERROR(INDEX(Levererat_2016[Leveranser till eget nät],MATCH($A354,Levererat_2016[Indexnamn],0)),"")</f>
        <v>322.60000000000002</v>
      </c>
      <c r="X354" s="10">
        <f>IFERROR(INDEX(Tabell4[Leveranser till eget nät],MATCH('Leveranser per nät'!A354,Tabell4[[Finns i listan ]],0)),"")</f>
        <v>324.74</v>
      </c>
      <c r="Y354" s="10">
        <f>IFERROR(INDEX(Tabell6[Kolumn1],MATCH($A354,Tabell6[Indexnmamn],0)),"")</f>
        <v>323.15499999999997</v>
      </c>
      <c r="Z354" s="10">
        <v>352.221</v>
      </c>
      <c r="AA354" s="10">
        <v>312.03300000000002</v>
      </c>
      <c r="AB354" s="10">
        <f>VLOOKUP(A354,Tabell9[[Indexnamn]:[Kolumn1]],3,FALSE)</f>
        <v>358.8981</v>
      </c>
      <c r="AC354" s="10">
        <f>VLOOKUP($A354,'Lev 2022'!$K$2:$L$474,2,FALSE)</f>
        <v>351.95330000000001</v>
      </c>
      <c r="AG354" s="2">
        <f t="shared" si="13"/>
        <v>-6.9447999999999865</v>
      </c>
      <c r="AH354" s="103">
        <f t="shared" si="14"/>
        <v>-1.9350339274574E-2</v>
      </c>
    </row>
    <row r="355" spans="1:34" x14ac:dyDescent="0.25">
      <c r="A355" s="5" t="s">
        <v>329</v>
      </c>
      <c r="B355" s="5" t="str">
        <f>VLOOKUP(A355,'Korrigerade leveranser GD'!$A$4:$B$482,2,FALSE)</f>
        <v>Vaggeryd</v>
      </c>
      <c r="C355" s="10">
        <v>12</v>
      </c>
      <c r="D355" s="10">
        <v>11.9</v>
      </c>
      <c r="E355" s="10">
        <v>12</v>
      </c>
      <c r="F355" s="10">
        <v>12</v>
      </c>
      <c r="G355" s="10">
        <v>11</v>
      </c>
      <c r="H355" s="10">
        <v>14</v>
      </c>
      <c r="I355" s="10">
        <v>15</v>
      </c>
      <c r="J355" s="10">
        <v>15</v>
      </c>
      <c r="K355" s="10">
        <v>14.105</v>
      </c>
      <c r="L355" s="10">
        <v>15.047000000000001</v>
      </c>
      <c r="M355" s="10">
        <v>14.1</v>
      </c>
      <c r="N355" s="10">
        <v>14.8</v>
      </c>
      <c r="O355" s="10">
        <v>15.8</v>
      </c>
      <c r="P355" s="10">
        <v>17.8</v>
      </c>
      <c r="Q355" s="10">
        <v>21.8</v>
      </c>
      <c r="R355" s="10">
        <v>19.5</v>
      </c>
      <c r="S355" s="10">
        <f>IFERROR(VLOOKUP('Leveranser per nät'!A355,'lev 2012'!$B$2:$E$445,4,FALSE),"")</f>
        <v>22</v>
      </c>
      <c r="T355" s="10">
        <v>22</v>
      </c>
      <c r="U355" s="10">
        <v>19</v>
      </c>
      <c r="V355" s="10">
        <f>IFERROR(INDEX(Levererat_2015[Leveranser till eget nät],MATCH($A355,Levererat_2015[Indexnamn],0)),"")</f>
        <v>19.687999999999999</v>
      </c>
      <c r="W355" s="10">
        <f>IFERROR(INDEX(Levererat_2016[Leveranser till eget nät],MATCH($A355,Levererat_2016[Indexnamn],0)),"")</f>
        <v>21.585999999999999</v>
      </c>
      <c r="X355" s="10">
        <f>IFERROR(INDEX(Tabell4[Leveranser till eget nät],MATCH('Leveranser per nät'!A355,Tabell4[[Finns i listan ]],0)),"")</f>
        <v>21.738</v>
      </c>
      <c r="Y355" s="10">
        <f>IFERROR(INDEX(Tabell6[Kolumn1],MATCH($A355,Tabell6[Indexnmamn],0)),"")</f>
        <v>22.716999999999999</v>
      </c>
      <c r="Z355" s="10">
        <v>21.449000000000002</v>
      </c>
      <c r="AA355" s="10">
        <v>21.683</v>
      </c>
      <c r="AB355" s="10">
        <f>VLOOKUP(A355,Tabell9[[Indexnamn]:[Kolumn1]],3,FALSE)</f>
        <v>29.06</v>
      </c>
      <c r="AC355" s="10">
        <f>VLOOKUP($A355,'Lev 2022'!$K$2:$L$474,2,FALSE)</f>
        <v>28.475000000000001</v>
      </c>
      <c r="AG355" s="2">
        <f t="shared" si="13"/>
        <v>-0.5849999999999973</v>
      </c>
      <c r="AH355" s="103">
        <f t="shared" si="14"/>
        <v>-2.0130763936682634E-2</v>
      </c>
    </row>
    <row r="356" spans="1:34" s="77" customFormat="1" x14ac:dyDescent="0.25">
      <c r="A356" s="5" t="s">
        <v>55</v>
      </c>
      <c r="B356" s="5" t="s">
        <v>55</v>
      </c>
      <c r="C356" s="69">
        <v>14</v>
      </c>
      <c r="D356" s="69">
        <v>12.02</v>
      </c>
      <c r="E356" s="69">
        <v>11</v>
      </c>
      <c r="F356" s="69">
        <v>11</v>
      </c>
      <c r="G356" s="69">
        <v>10</v>
      </c>
      <c r="H356" s="69">
        <v>11</v>
      </c>
      <c r="I356" s="69">
        <v>12.307</v>
      </c>
      <c r="J356" s="69">
        <v>6</v>
      </c>
      <c r="K356" s="69">
        <v>10.971755298741058</v>
      </c>
      <c r="L356" s="69">
        <v>15.925510597482118</v>
      </c>
      <c r="M356" s="69">
        <v>13.273999999999999</v>
      </c>
      <c r="N356" s="69">
        <v>14.7</v>
      </c>
      <c r="O356" s="69">
        <v>13.2</v>
      </c>
      <c r="P356" s="69">
        <v>14</v>
      </c>
      <c r="Q356" s="69">
        <v>16.3</v>
      </c>
      <c r="R356" s="69">
        <v>12.89</v>
      </c>
      <c r="S356" s="69">
        <f>IFERROR(VLOOKUP('Leveranser per nät'!A356,'lev 2012'!$B$2:$E$445,4,FALSE),"")</f>
        <v>15.26</v>
      </c>
      <c r="T356" s="69">
        <v>14.3</v>
      </c>
      <c r="U356" s="56">
        <f>(T356-V356)/2+V356</f>
        <v>14.100000000000001</v>
      </c>
      <c r="V356" s="69">
        <v>13.9</v>
      </c>
      <c r="W356" s="69">
        <v>14</v>
      </c>
      <c r="X356" s="69">
        <v>14.2</v>
      </c>
      <c r="Y356" s="69">
        <v>14.8</v>
      </c>
      <c r="Z356" s="69">
        <v>14.4</v>
      </c>
      <c r="AA356" s="58">
        <v>13.34</v>
      </c>
      <c r="AB356" s="10">
        <f>VLOOKUP(A356,Tabell9[[Indexnamn]:[Kolumn1]],3,FALSE)</f>
        <v>14.648</v>
      </c>
      <c r="AC356" s="10">
        <f>VLOOKUP($A356,'Lev 2022'!$K$2:$L$474,2,FALSE)</f>
        <v>13.452999999999999</v>
      </c>
      <c r="AD356"/>
      <c r="AE356"/>
      <c r="AG356" s="2">
        <f t="shared" si="13"/>
        <v>-1.1950000000000003</v>
      </c>
      <c r="AH356" s="103">
        <f t="shared" si="14"/>
        <v>-8.158110322228293E-2</v>
      </c>
    </row>
    <row r="357" spans="1:34" x14ac:dyDescent="0.25">
      <c r="A357" t="s">
        <v>143</v>
      </c>
      <c r="B357" t="str">
        <f>VLOOKUP(A357,'Korrigerade leveranser GD'!$A$4:$B$482,2,FALSE)</f>
        <v>Karlstad</v>
      </c>
      <c r="C357" s="10">
        <v>27</v>
      </c>
      <c r="D357" s="10">
        <v>23.5</v>
      </c>
      <c r="E357" s="10">
        <v>24</v>
      </c>
      <c r="F357" s="10">
        <v>23</v>
      </c>
      <c r="G357" s="10">
        <v>22</v>
      </c>
      <c r="H357" s="10">
        <v>25</v>
      </c>
      <c r="I357" s="10">
        <v>24</v>
      </c>
      <c r="J357" s="10">
        <v>27</v>
      </c>
      <c r="K357" s="10">
        <v>26.303000000000001</v>
      </c>
      <c r="L357" s="10">
        <v>29.640999999999998</v>
      </c>
      <c r="M357" s="10">
        <v>30</v>
      </c>
      <c r="N357" s="10">
        <v>45.241</v>
      </c>
      <c r="O357" s="10">
        <v>42.962000000000003</v>
      </c>
      <c r="P357" s="10">
        <v>50.911000000000001</v>
      </c>
      <c r="Q357" s="10">
        <v>59.798000000000002</v>
      </c>
      <c r="R357" s="10">
        <v>47.7</v>
      </c>
      <c r="S357" s="10">
        <f>IFERROR(VLOOKUP('Leveranser per nät'!A357,'lev 2012'!$B$2:$E$445,4,FALSE),"")</f>
        <v>53</v>
      </c>
      <c r="T357" s="10">
        <f>IFERROR(VLOOKUP('Leveranser per nät'!A357,'lev 2013'!$B$2:$E$445,4,FALSE),"")</f>
        <v>51.6</v>
      </c>
      <c r="U357" s="10">
        <f>IFERROR(VLOOKUP('Leveranser per nät'!A357,'lev 2014'!$B$2:$E$432,4,FALSE),"")</f>
        <v>43.2</v>
      </c>
      <c r="V357" s="10">
        <f>IFERROR(INDEX(Levererat_2015[Leveranser till eget nät],MATCH($A357,Levererat_2015[Indexnamn],0)),"")</f>
        <v>43.6</v>
      </c>
      <c r="W357" s="10">
        <f>IFERROR(INDEX(Levererat_2016[Leveranser till eget nät],MATCH($A357,Levererat_2016[Indexnamn],0)),"")</f>
        <v>48.9</v>
      </c>
      <c r="X357" s="10">
        <f>IFERROR(INDEX(Tabell4[Leveranser till eget nät],MATCH('Leveranser per nät'!A357,Tabell4[[Finns i listan ]],0)),"")</f>
        <v>46.6</v>
      </c>
      <c r="Y357" s="10">
        <f>IFERROR(INDEX(Tabell6[Kolumn1],MATCH($A357,Tabell6[Indexnmamn],0)),"")</f>
        <v>47.3</v>
      </c>
      <c r="Z357" s="10">
        <v>46.1</v>
      </c>
      <c r="AA357" s="10">
        <v>40.5</v>
      </c>
      <c r="AB357" s="69">
        <v>51</v>
      </c>
      <c r="AC357" s="10">
        <f>VLOOKUP($A357,'Lev 2022'!$K$2:$L$474,2,FALSE)</f>
        <v>48.1</v>
      </c>
      <c r="AG357" s="2">
        <f t="shared" si="13"/>
        <v>-2.8999999999999986</v>
      </c>
      <c r="AH357" s="103">
        <f t="shared" si="14"/>
        <v>-5.6862745098039187E-2</v>
      </c>
    </row>
    <row r="358" spans="1:34" s="65" customFormat="1" x14ac:dyDescent="0.25">
      <c r="A358" s="67" t="s">
        <v>12</v>
      </c>
      <c r="B358" s="65" t="str">
        <f>VLOOKUP(A358,'Korrigerade leveranser GD'!$A$4:$B$482,2,FALSE)</f>
        <v>Gävle</v>
      </c>
      <c r="C358" s="68"/>
      <c r="D358" s="68"/>
      <c r="E358" s="68"/>
      <c r="F358" s="68"/>
      <c r="G358" s="68"/>
      <c r="H358" s="68"/>
      <c r="I358" s="68"/>
      <c r="J358" s="68"/>
      <c r="K358" s="68"/>
      <c r="L358" s="68"/>
      <c r="M358" s="68"/>
      <c r="N358" s="68"/>
      <c r="O358" s="68">
        <v>0</v>
      </c>
      <c r="P358" s="68">
        <v>0</v>
      </c>
      <c r="Q358" s="68">
        <v>0.2</v>
      </c>
      <c r="R358" s="68">
        <v>0.2</v>
      </c>
      <c r="S358" s="68">
        <f>IFERROR(VLOOKUP('Leveranser per nät'!A358,'lev 2012'!$B$2:$E$445,4,FALSE),"")</f>
        <v>0.2</v>
      </c>
      <c r="T358" s="68" t="str">
        <f>IFERROR(VLOOKUP('Leveranser per nät'!A358,'lev 2013'!$B$2:$E$445,4,FALSE),"")</f>
        <v/>
      </c>
      <c r="U358" s="68" t="str">
        <f>IFERROR(VLOOKUP('Leveranser per nät'!A358,'lev 2014'!$B$2:$E$432,4,FALSE),"")</f>
        <v/>
      </c>
      <c r="V358" s="68" t="str">
        <f>IFERROR(INDEX(Levererat_2015[Leveranser till eget nät],MATCH($A358,Levererat_2015[Indexnamn],0)),"")</f>
        <v/>
      </c>
      <c r="W358" s="68" t="str">
        <f>IFERROR(INDEX(Levererat_2016[Leveranser till eget nät],MATCH($A358,Levererat_2016[Indexnamn],0)),"")</f>
        <v/>
      </c>
      <c r="X358" s="68" t="str">
        <f>IFERROR(INDEX(Tabell4[Leveranser till eget nät],MATCH('Leveranser per nät'!A358,Tabell4[[Finns i listan ]],0)),"")</f>
        <v/>
      </c>
      <c r="Y358" s="68" t="str">
        <f>IFERROR(INDEX(Tabell6[Kolumn1],MATCH($A358,Tabell6[Indexnmamn],0)),"")</f>
        <v/>
      </c>
      <c r="Z358" s="68"/>
      <c r="AA358" s="68" t="s">
        <v>779</v>
      </c>
      <c r="AB358" s="10"/>
      <c r="AC358" s="10"/>
      <c r="AD358"/>
      <c r="AE358"/>
      <c r="AG358" s="2"/>
      <c r="AH358" s="103"/>
    </row>
    <row r="359" spans="1:34" x14ac:dyDescent="0.25">
      <c r="A359" t="s">
        <v>276</v>
      </c>
      <c r="B359" t="str">
        <f>VLOOKUP(A359,'Korrigerade leveranser GD'!$A$4:$B$482,2,FALSE)</f>
        <v>Skövde</v>
      </c>
      <c r="C359" s="10"/>
      <c r="D359" s="10"/>
      <c r="E359" s="10"/>
      <c r="F359" s="10"/>
      <c r="G359" s="10"/>
      <c r="H359" s="10"/>
      <c r="I359" s="10"/>
      <c r="J359" s="10"/>
      <c r="K359" s="10"/>
      <c r="L359" s="10">
        <v>0</v>
      </c>
      <c r="M359" s="10">
        <v>7.8</v>
      </c>
      <c r="N359" s="10">
        <v>7.4</v>
      </c>
      <c r="O359" s="10">
        <v>7.4</v>
      </c>
      <c r="P359" s="10">
        <v>7.9</v>
      </c>
      <c r="Q359" s="10">
        <v>7.9</v>
      </c>
      <c r="R359" s="10">
        <v>9</v>
      </c>
      <c r="S359" s="10">
        <f>IFERROR(VLOOKUP('Leveranser per nät'!A359,'lev 2012'!$B$2:$E$445,4,FALSE),"")</f>
        <v>8.48</v>
      </c>
      <c r="T359" s="10">
        <f>IFERROR(VLOOKUP('Leveranser per nät'!A359,'lev 2013'!$B$2:$E$445,4,FALSE),"")</f>
        <v>8.5129999999999999</v>
      </c>
      <c r="U359" s="10">
        <f>IFERROR(VLOOKUP('Leveranser per nät'!A359,'lev 2014'!$B$2:$E$432,4,FALSE),"")</f>
        <v>7.9370000000000003</v>
      </c>
      <c r="V359" s="10">
        <f>IFERROR(INDEX(Levererat_2015[Leveranser till eget nät],MATCH($A359,Levererat_2015[Indexnamn],0)),"")</f>
        <v>8.7810000000000006</v>
      </c>
      <c r="W359" s="10">
        <f>IFERROR(INDEX(Levererat_2016[Leveranser till eget nät],MATCH($A359,Levererat_2016[Indexnamn],0)),"")</f>
        <v>9.5824020000000001</v>
      </c>
      <c r="X359" s="10">
        <f>IFERROR(INDEX(Tabell4[Leveranser till eget nät],MATCH('Leveranser per nät'!A359,Tabell4[[Finns i listan ]],0)),"")</f>
        <v>9.8672079999999998</v>
      </c>
      <c r="Y359" s="10">
        <f>IFERROR(INDEX(Tabell6[Kolumn1],MATCH($A359,Tabell6[Indexnmamn],0)),"")</f>
        <v>9.7629999999999999</v>
      </c>
      <c r="Z359" s="10">
        <v>9.5350000000000001</v>
      </c>
      <c r="AA359" s="10">
        <v>9.2460000000000004</v>
      </c>
      <c r="AB359" s="10">
        <f>VLOOKUP(A359,Tabell9[[Indexnamn]:[Kolumn1]],3,FALSE)</f>
        <v>10.762233999999999</v>
      </c>
      <c r="AC359" s="10">
        <f>VLOOKUP($A359,'Lev 2022'!$K$2:$L$474,2,FALSE)</f>
        <v>9.8395220000000005</v>
      </c>
      <c r="AG359" s="2">
        <f t="shared" si="13"/>
        <v>-0.92271199999999887</v>
      </c>
      <c r="AH359" s="103">
        <f t="shared" si="14"/>
        <v>-8.5736102745953946E-2</v>
      </c>
    </row>
    <row r="360" spans="1:34" x14ac:dyDescent="0.25">
      <c r="A360" t="s">
        <v>183</v>
      </c>
      <c r="B360" t="s">
        <v>183</v>
      </c>
      <c r="C360" s="10"/>
      <c r="D360" s="10"/>
      <c r="E360" s="10"/>
      <c r="F360" s="10"/>
      <c r="G360" s="10"/>
      <c r="H360" s="10"/>
      <c r="I360" s="10"/>
      <c r="J360" s="10"/>
      <c r="K360" s="10"/>
      <c r="L360" s="10">
        <v>0</v>
      </c>
      <c r="M360" s="10">
        <v>17.481000000000002</v>
      </c>
      <c r="N360" s="10">
        <v>17.481000000000002</v>
      </c>
      <c r="O360" s="56">
        <f>(N360-P360)/2+P360</f>
        <v>21.054500000000001</v>
      </c>
      <c r="P360" s="10">
        <v>24.628</v>
      </c>
      <c r="Q360" s="10">
        <v>28.4</v>
      </c>
      <c r="R360" s="10">
        <v>25.638999999999999</v>
      </c>
      <c r="S360" s="10">
        <f>IFERROR(VLOOKUP('Leveranser per nät'!A360,'lev 2012'!$B$2:$E$445,4,FALSE),"")</f>
        <v>27</v>
      </c>
      <c r="T360" s="10">
        <f>IFERROR(VLOOKUP('Leveranser per nät'!A360,'lev 2013'!$B$2:$E$445,4,FALSE),"")</f>
        <v>26.585999999999999</v>
      </c>
      <c r="U360" s="10">
        <f>IFERROR(VLOOKUP('Leveranser per nät'!A360,'lev 2014'!$B$2:$E$432,4,FALSE),"")</f>
        <v>24.687000000000001</v>
      </c>
      <c r="V360" s="10">
        <f>IFERROR(INDEX(Levererat_2015[Leveranser till eget nät],MATCH($A360,Levererat_2015[Indexnamn],0)),"")</f>
        <v>26.956</v>
      </c>
      <c r="W360" s="10">
        <f>IFERROR(INDEX(Levererat_2016[Leveranser till eget nät],MATCH($A360,Levererat_2016[Indexnamn],0)),"")</f>
        <v>28.012</v>
      </c>
      <c r="X360" s="10">
        <f>IFERROR(INDEX(Tabell4[Leveranser till eget nät],MATCH('Leveranser per nät'!A360,Tabell4[[Finns i listan ]],0)),"")</f>
        <v>30.26</v>
      </c>
      <c r="Y360" s="10">
        <f>IFERROR(INDEX(Tabell6[Kolumn1],MATCH($A360,Tabell6[Indexnmamn],0)),"")</f>
        <v>28</v>
      </c>
      <c r="Z360" s="10">
        <v>27.08</v>
      </c>
      <c r="AA360" s="10">
        <v>26.34</v>
      </c>
      <c r="AB360" s="10">
        <f>VLOOKUP(A360,Tabell9[[Indexnamn]:[Kolumn1]],3,FALSE)</f>
        <v>28.6</v>
      </c>
      <c r="AC360" s="10">
        <f>VLOOKUP($A360,'Lev 2022'!$K$2:$L$474,2,FALSE)</f>
        <v>30.36</v>
      </c>
      <c r="AG360" s="2">
        <f t="shared" si="13"/>
        <v>1.759999999999998</v>
      </c>
      <c r="AH360" s="103">
        <f t="shared" si="14"/>
        <v>6.1538461538461466E-2</v>
      </c>
    </row>
    <row r="361" spans="1:34" s="77" customFormat="1" x14ac:dyDescent="0.25">
      <c r="A361" s="77" t="s">
        <v>15</v>
      </c>
      <c r="B361" s="77" t="str">
        <f>VLOOKUP(A361,'Korrigerade leveranser GD'!$A$4:$B$482,2,FALSE)</f>
        <v>Skutskär</v>
      </c>
      <c r="C361" s="69">
        <v>23</v>
      </c>
      <c r="D361" s="69">
        <v>21.4</v>
      </c>
      <c r="E361" s="69">
        <v>23</v>
      </c>
      <c r="F361" s="69">
        <v>21</v>
      </c>
      <c r="G361" s="69">
        <v>21</v>
      </c>
      <c r="H361" s="69">
        <v>21</v>
      </c>
      <c r="I361" s="69">
        <v>24.084</v>
      </c>
      <c r="J361" s="69">
        <v>25.957000000000001</v>
      </c>
      <c r="K361" s="69">
        <v>26.295500000000001</v>
      </c>
      <c r="L361" s="69">
        <v>25.423999999999999</v>
      </c>
      <c r="M361" s="69">
        <v>25.423999999999999</v>
      </c>
      <c r="N361" s="69">
        <v>25.423999999999999</v>
      </c>
      <c r="O361" s="56">
        <f>(N361-P361)/2+P361</f>
        <v>19.462</v>
      </c>
      <c r="P361" s="83">
        <v>13.5</v>
      </c>
      <c r="Q361" s="69">
        <v>29.8</v>
      </c>
      <c r="R361" s="69">
        <v>24.1</v>
      </c>
      <c r="S361" s="69">
        <f>IFERROR(VLOOKUP('Leveranser per nät'!A361,'lev 2012'!$B$2:$E$445,4,FALSE),"")</f>
        <v>25</v>
      </c>
      <c r="T361" s="69">
        <f>IFERROR(VLOOKUP('Leveranser per nät'!A361,'lev 2013'!$B$2:$E$445,4,FALSE),"")</f>
        <v>25.4</v>
      </c>
      <c r="U361" s="69">
        <f>IFERROR(VLOOKUP('Leveranser per nät'!A361,'lev 2014'!$B$2:$E$432,4,FALSE),"")</f>
        <v>23.940999999999999</v>
      </c>
      <c r="V361" s="69">
        <f>IFERROR(INDEX(Levererat_2015[Leveranser till eget nät],MATCH($A361,Levererat_2015[Indexnamn],0)),"")</f>
        <v>24.847000000000001</v>
      </c>
      <c r="W361" s="69">
        <f>IFERROR(INDEX(Levererat_2016[Leveranser till eget nät],MATCH($A361,Levererat_2016[Indexnamn],0)),"")</f>
        <v>26.55</v>
      </c>
      <c r="X361" s="69">
        <v>25.8</v>
      </c>
      <c r="Y361" s="69">
        <v>24.4</v>
      </c>
      <c r="Z361" s="69">
        <v>24.6</v>
      </c>
      <c r="AA361" s="69">
        <v>22.3</v>
      </c>
      <c r="AB361" s="69">
        <v>25.2</v>
      </c>
      <c r="AC361" s="56">
        <f>AB361*(1-0.07)</f>
        <v>23.435999999999996</v>
      </c>
      <c r="AD361"/>
      <c r="AE361"/>
      <c r="AG361" s="2"/>
      <c r="AH361" s="103">
        <f t="shared" si="14"/>
        <v>0</v>
      </c>
    </row>
    <row r="362" spans="1:34" s="65" customFormat="1" x14ac:dyDescent="0.25">
      <c r="A362" s="65" t="s">
        <v>167</v>
      </c>
      <c r="B362" s="65" t="str">
        <f>VLOOKUP(A362,'Korrigerade leveranser GD'!$A$4:$B$482,2,FALSE)</f>
        <v>Karlstad</v>
      </c>
      <c r="C362" s="68"/>
      <c r="D362" s="68">
        <v>0</v>
      </c>
      <c r="E362" s="68">
        <v>1</v>
      </c>
      <c r="F362" s="68">
        <v>5</v>
      </c>
      <c r="G362" s="68">
        <v>6</v>
      </c>
      <c r="H362" s="68">
        <v>7</v>
      </c>
      <c r="I362" s="68">
        <v>7</v>
      </c>
      <c r="J362" s="68">
        <v>7</v>
      </c>
      <c r="K362" s="68">
        <v>6.5439999999999996</v>
      </c>
      <c r="L362" s="68">
        <v>6.5439999999999996</v>
      </c>
      <c r="M362" s="68">
        <v>6.5869999999999997</v>
      </c>
      <c r="N362" s="68">
        <v>6.9050000000000002</v>
      </c>
      <c r="O362" s="68">
        <v>7.0190000000000001</v>
      </c>
      <c r="P362" s="68">
        <v>0</v>
      </c>
      <c r="Q362" s="68"/>
      <c r="R362" s="68"/>
      <c r="S362" s="68" t="str">
        <f>IFERROR(VLOOKUP('Leveranser per nät'!A362,'lev 2012'!$B$2:$E$445,4,FALSE),"")</f>
        <v/>
      </c>
      <c r="T362" s="68" t="str">
        <f>IFERROR(VLOOKUP('Leveranser per nät'!A362,'lev 2013'!$B$2:$E$445,4,FALSE),"")</f>
        <v/>
      </c>
      <c r="U362" s="68" t="str">
        <f>IFERROR(VLOOKUP('Leveranser per nät'!A362,'lev 2014'!$B$2:$E$432,4,FALSE),"")</f>
        <v/>
      </c>
      <c r="V362" s="68" t="str">
        <f>IFERROR(INDEX(Levererat_2015[Leveranser till eget nät],MATCH($A362,Levererat_2015[Indexnamn],0)),"")</f>
        <v/>
      </c>
      <c r="W362" s="68" t="str">
        <f>IFERROR(INDEX(Levererat_2016[Leveranser till eget nät],MATCH($A362,Levererat_2016[Indexnamn],0)),"")</f>
        <v/>
      </c>
      <c r="X362" s="68" t="str">
        <f>IFERROR(INDEX(Tabell4[Leveranser till eget nät],MATCH('Leveranser per nät'!A362,Tabell4[[Finns i listan ]],0)),"")</f>
        <v/>
      </c>
      <c r="Y362" s="68" t="str">
        <f>IFERROR(INDEX(Tabell6[Kolumn1],MATCH($A362,Tabell6[Indexnmamn],0)),"")</f>
        <v/>
      </c>
      <c r="Z362" s="68"/>
      <c r="AA362" s="68" t="s">
        <v>779</v>
      </c>
      <c r="AB362" s="10"/>
      <c r="AC362" s="10"/>
      <c r="AD362"/>
      <c r="AE362"/>
      <c r="AG362" s="2"/>
      <c r="AH362" s="103"/>
    </row>
    <row r="363" spans="1:34" s="65" customFormat="1" x14ac:dyDescent="0.25">
      <c r="A363" s="65" t="s">
        <v>481</v>
      </c>
      <c r="B363" s="65" t="str">
        <f>VLOOKUP(A363,'Korrigerade leveranser GD'!$A$4:$B$482,2,FALSE)</f>
        <v>Upplands-Bro</v>
      </c>
      <c r="C363" s="68"/>
      <c r="D363" s="68"/>
      <c r="E363" s="68"/>
      <c r="F363" s="68"/>
      <c r="G363" s="68"/>
      <c r="H363" s="68"/>
      <c r="I363" s="68"/>
      <c r="J363" s="68"/>
      <c r="K363" s="68"/>
      <c r="L363" s="68">
        <v>0</v>
      </c>
      <c r="M363" s="68">
        <v>0.33600000000000002</v>
      </c>
      <c r="N363" s="68">
        <v>0.3</v>
      </c>
      <c r="O363" s="68">
        <v>0.3</v>
      </c>
      <c r="P363" s="68">
        <v>0</v>
      </c>
      <c r="Q363" s="68"/>
      <c r="R363" s="68"/>
      <c r="S363" s="68" t="str">
        <f>IFERROR(VLOOKUP('Leveranser per nät'!A363,'lev 2012'!$B$2:$E$445,4,FALSE),"")</f>
        <v/>
      </c>
      <c r="T363" s="68" t="str">
        <f>IFERROR(VLOOKUP('Leveranser per nät'!A363,'lev 2013'!$B$2:$E$445,4,FALSE),"")</f>
        <v/>
      </c>
      <c r="U363" s="68" t="str">
        <f>IFERROR(VLOOKUP('Leveranser per nät'!A363,'lev 2014'!$B$2:$E$432,4,FALSE),"")</f>
        <v/>
      </c>
      <c r="V363" s="68" t="str">
        <f>IFERROR(INDEX(Levererat_2015[Leveranser till eget nät],MATCH($A363,Levererat_2015[Indexnamn],0)),"")</f>
        <v/>
      </c>
      <c r="W363" s="68" t="str">
        <f>IFERROR(INDEX(Levererat_2016[Leveranser till eget nät],MATCH($A363,Levererat_2016[Indexnamn],0)),"")</f>
        <v/>
      </c>
      <c r="X363" s="68" t="str">
        <f>IFERROR(INDEX(Tabell4[Leveranser till eget nät],MATCH('Leveranser per nät'!A363,Tabell4[[Finns i listan ]],0)),"")</f>
        <v/>
      </c>
      <c r="Y363" s="68" t="str">
        <f>IFERROR(INDEX(Tabell6[Kolumn1],MATCH($A363,Tabell6[Indexnmamn],0)),"")</f>
        <v/>
      </c>
      <c r="Z363" s="68"/>
      <c r="AA363" s="68" t="s">
        <v>779</v>
      </c>
      <c r="AB363" s="10"/>
      <c r="AC363" s="10"/>
      <c r="AD363"/>
      <c r="AE363"/>
      <c r="AG363" s="2"/>
      <c r="AH363" s="103"/>
    </row>
    <row r="364" spans="1:34" x14ac:dyDescent="0.25">
      <c r="A364" t="s">
        <v>309</v>
      </c>
      <c r="B364" t="str">
        <f>VLOOKUP(A364,'Korrigerade leveranser GD'!$A$4:$B$482,2,FALSE)</f>
        <v>Norrköping</v>
      </c>
      <c r="C364" s="10"/>
      <c r="D364" s="10"/>
      <c r="E364" s="10"/>
      <c r="F364" s="10"/>
      <c r="G364" s="10"/>
      <c r="H364" s="10"/>
      <c r="I364" s="10"/>
      <c r="J364" s="10">
        <v>0</v>
      </c>
      <c r="K364" s="10">
        <v>1.5620000000000001</v>
      </c>
      <c r="L364" s="10">
        <v>5.4</v>
      </c>
      <c r="M364" s="10">
        <v>8.8000000000000007</v>
      </c>
      <c r="N364" s="10">
        <v>13.462</v>
      </c>
      <c r="O364" s="10">
        <v>13.86</v>
      </c>
      <c r="P364" s="10">
        <v>14.9</v>
      </c>
      <c r="Q364" s="10">
        <v>17.899999999999999</v>
      </c>
      <c r="R364" s="10">
        <v>16</v>
      </c>
      <c r="S364" s="10">
        <f>IFERROR(VLOOKUP('Leveranser per nät'!A364,'lev 2012'!$B$2:$E$445,4,FALSE),"")</f>
        <v>18.100000000000001</v>
      </c>
      <c r="T364" s="10">
        <f>IFERROR(VLOOKUP('Leveranser per nät'!A364,'lev 2013'!$B$2:$E$445,4,FALSE),"")</f>
        <v>17.600000000000001</v>
      </c>
      <c r="U364" s="10">
        <f>IFERROR(VLOOKUP('Leveranser per nät'!A364,'lev 2014'!$B$2:$E$432,4,FALSE),"")</f>
        <v>16</v>
      </c>
      <c r="V364" s="10">
        <f>IFERROR(INDEX(Levererat_2015[Leveranser till eget nät],MATCH($A364,Levererat_2015[Indexnamn],0)),"")</f>
        <v>16.3</v>
      </c>
      <c r="W364" s="10">
        <f>IFERROR(INDEX(Levererat_2016[Leveranser till eget nät],MATCH($A364,Levererat_2016[Indexnamn],0)),"")</f>
        <v>17</v>
      </c>
      <c r="X364" s="10">
        <f>IFERROR(INDEX(Tabell4[Leveranser till eget nät],MATCH('Leveranser per nät'!A364,Tabell4[[Finns i listan ]],0)),"")</f>
        <v>16.899999999999999</v>
      </c>
      <c r="Y364" s="10">
        <f>IFERROR(INDEX(Tabell6[Kolumn1],MATCH($A364,Tabell6[Indexnmamn],0)),"")</f>
        <v>17.2</v>
      </c>
      <c r="Z364" s="10">
        <v>17.236000000000001</v>
      </c>
      <c r="AA364" s="10">
        <v>16.013999999999999</v>
      </c>
      <c r="AB364" s="10">
        <f>VLOOKUP(A364,Tabell9[[Indexnamn]:[Kolumn1]],3,FALSE)</f>
        <v>18.574999999999999</v>
      </c>
      <c r="AC364" s="10">
        <f>VLOOKUP($A364,'Lev 2022'!$K$2:$L$474,2,FALSE)</f>
        <v>17.587</v>
      </c>
      <c r="AG364" s="2">
        <f t="shared" si="13"/>
        <v>-0.98799999999999955</v>
      </c>
      <c r="AH364" s="103">
        <f t="shared" si="14"/>
        <v>-5.3189771197846548E-2</v>
      </c>
    </row>
    <row r="365" spans="1:34" x14ac:dyDescent="0.25">
      <c r="A365" t="s">
        <v>275</v>
      </c>
      <c r="B365" t="str">
        <f>VLOOKUP(A365,'Korrigerade leveranser GD'!$A$4:$B$482,2,FALSE)</f>
        <v>Skövde</v>
      </c>
      <c r="C365" s="10">
        <v>191</v>
      </c>
      <c r="D365" s="10">
        <v>178.97</v>
      </c>
      <c r="E365" s="10">
        <v>203</v>
      </c>
      <c r="F365" s="10">
        <v>198</v>
      </c>
      <c r="G365" s="10">
        <v>190</v>
      </c>
      <c r="H365" s="10">
        <v>220.92</v>
      </c>
      <c r="I365" s="10">
        <v>224.73</v>
      </c>
      <c r="J365" s="10">
        <v>240.27600000000001</v>
      </c>
      <c r="K365" s="10">
        <v>245.86600000000001</v>
      </c>
      <c r="L365" s="10">
        <v>252.49100000000001</v>
      </c>
      <c r="M365" s="10">
        <v>239.9</v>
      </c>
      <c r="N365" s="10">
        <v>232.7</v>
      </c>
      <c r="O365" s="10">
        <v>294.89999999999998</v>
      </c>
      <c r="P365" s="10">
        <v>273.5</v>
      </c>
      <c r="Q365" s="10">
        <v>408.5</v>
      </c>
      <c r="R365" s="10">
        <v>312.60000000000002</v>
      </c>
      <c r="S365" s="10">
        <f>IFERROR(VLOOKUP('Leveranser per nät'!A365,'lev 2012'!$B$2:$E$445,4,FALSE),"")</f>
        <v>366</v>
      </c>
      <c r="T365" s="10">
        <f>IFERROR(VLOOKUP('Leveranser per nät'!A365,'lev 2013'!$B$2:$E$445,4,FALSE),"")</f>
        <v>362.11500000000001</v>
      </c>
      <c r="U365" s="10">
        <f>IFERROR(VLOOKUP('Leveranser per nät'!A365,'lev 2014'!$B$2:$E$432,4,FALSE),"")</f>
        <v>315.59300000000002</v>
      </c>
      <c r="V365" s="10">
        <f>IFERROR(INDEX(Levererat_2015[Leveranser till eget nät],MATCH($A365,Levererat_2015[Indexnamn],0)),"")</f>
        <v>338.62400000000002</v>
      </c>
      <c r="W365" s="10">
        <f>IFERROR(INDEX(Levererat_2016[Leveranser till eget nät],MATCH($A365,Levererat_2016[Indexnamn],0)),"")</f>
        <v>374.39600000000002</v>
      </c>
      <c r="X365" s="10">
        <f>IFERROR(INDEX(Tabell4[Leveranser till eget nät],MATCH('Leveranser per nät'!A365,Tabell4[[Finns i listan ]],0)),"")</f>
        <v>342.63099999999997</v>
      </c>
      <c r="Y365" s="10">
        <f>IFERROR(INDEX(Tabell6[Kolumn1],MATCH($A365,Tabell6[Indexnmamn],0)),"")</f>
        <v>359.29</v>
      </c>
      <c r="Z365" s="10">
        <v>336.66699999999997</v>
      </c>
      <c r="AA365" s="10">
        <v>314.625</v>
      </c>
      <c r="AB365" s="10">
        <f>VLOOKUP(A365,Tabell9[[Indexnamn]:[Kolumn1]],3,FALSE)</f>
        <v>383.14869700000003</v>
      </c>
      <c r="AC365" s="10">
        <f>VLOOKUP($A365,'Lev 2022'!$K$2:$L$474,2,FALSE)</f>
        <v>366.39353699999998</v>
      </c>
      <c r="AG365" s="2">
        <f t="shared" si="13"/>
        <v>-16.755160000000046</v>
      </c>
      <c r="AH365" s="103">
        <f t="shared" si="14"/>
        <v>-4.3730176120108391E-2</v>
      </c>
    </row>
    <row r="366" spans="1:34" s="65" customFormat="1" x14ac:dyDescent="0.25">
      <c r="A366" s="65" t="s">
        <v>700</v>
      </c>
      <c r="B366" s="65" t="s">
        <v>239</v>
      </c>
      <c r="C366" s="68"/>
      <c r="D366" s="68"/>
      <c r="E366" s="68"/>
      <c r="F366" s="68"/>
      <c r="G366" s="68"/>
      <c r="H366" s="68"/>
      <c r="I366" s="68"/>
      <c r="J366" s="68"/>
      <c r="K366" s="68"/>
      <c r="L366" s="68"/>
      <c r="M366" s="68"/>
      <c r="N366" s="68"/>
      <c r="O366" s="68"/>
      <c r="P366" s="68"/>
      <c r="Q366" s="68"/>
      <c r="R366" s="68"/>
      <c r="S366" s="68"/>
      <c r="T366" s="68"/>
      <c r="U366" s="68">
        <v>0</v>
      </c>
      <c r="V366" s="68">
        <v>0.5</v>
      </c>
      <c r="W366" s="68">
        <v>0.5</v>
      </c>
      <c r="X366" s="68" t="str">
        <f>IFERROR(INDEX(Tabell4[Leveranser till eget nät],MATCH('Leveranser per nät'!A366,Tabell4[[Finns i listan ]],0)),"")</f>
        <v/>
      </c>
      <c r="Y366" s="68" t="str">
        <f>IFERROR(INDEX(Tabell6[Kolumn1],MATCH($A366,Tabell6[Indexnmamn],0)),"")</f>
        <v/>
      </c>
      <c r="Z366" s="68"/>
      <c r="AA366" s="68" t="s">
        <v>779</v>
      </c>
      <c r="AB366" s="10"/>
      <c r="AC366" s="10"/>
      <c r="AD366"/>
      <c r="AE366"/>
      <c r="AG366" s="2"/>
      <c r="AH366" s="103"/>
    </row>
    <row r="367" spans="1:34" ht="14.25" customHeight="1" x14ac:dyDescent="0.25">
      <c r="A367" t="s">
        <v>136</v>
      </c>
      <c r="B367" t="str">
        <f>VLOOKUP(A367,'Korrigerade leveranser GD'!$A$4:$B$482,2,FALSE)</f>
        <v>Visby</v>
      </c>
      <c r="C367" s="10">
        <v>27</v>
      </c>
      <c r="D367" s="10">
        <v>25.07</v>
      </c>
      <c r="E367" s="10">
        <v>26</v>
      </c>
      <c r="F367" s="10">
        <v>23</v>
      </c>
      <c r="G367" s="10">
        <v>23</v>
      </c>
      <c r="H367" s="10">
        <v>23</v>
      </c>
      <c r="I367" s="56">
        <f>(H367-L367)/4*3+L367</f>
        <v>22.381681243122038</v>
      </c>
      <c r="J367" s="56">
        <f>(H367-L367)/4*2+L367</f>
        <v>21.763362486244073</v>
      </c>
      <c r="K367" s="56">
        <f>(H367-M367)/4+M367</f>
        <v>20.674999999999997</v>
      </c>
      <c r="L367" s="10">
        <v>20.526724972488147</v>
      </c>
      <c r="M367" s="10">
        <v>19.899999999999999</v>
      </c>
      <c r="N367" s="10">
        <v>19</v>
      </c>
      <c r="O367" s="10">
        <v>17.3</v>
      </c>
      <c r="P367" s="56">
        <f>(O367-Q367)/2+Q367</f>
        <v>19.3</v>
      </c>
      <c r="Q367" s="10">
        <v>21.3</v>
      </c>
      <c r="R367" s="10">
        <v>21.5</v>
      </c>
      <c r="S367" s="10">
        <f>IFERROR(VLOOKUP('Leveranser per nät'!A367,'lev 2012'!$B$2:$E$445,4,FALSE),"")</f>
        <v>17.8</v>
      </c>
      <c r="T367" s="10">
        <f>IFERROR(VLOOKUP('Leveranser per nät'!A367,'lev 2013'!$B$2:$E$445,4,FALSE),"")</f>
        <v>17.5</v>
      </c>
      <c r="U367" s="10">
        <f>IFERROR(VLOOKUP('Leveranser per nät'!A367,'lev 2014'!$B$2:$E$432,4,FALSE),"")</f>
        <v>16.100000000000001</v>
      </c>
      <c r="V367" s="10">
        <f>IFERROR(INDEX(Levererat_2015[Leveranser till eget nät],MATCH($A367,Levererat_2015[Indexnamn],0)),"")</f>
        <v>15.5</v>
      </c>
      <c r="W367" s="10">
        <f>IFERROR(INDEX(Levererat_2016[Leveranser till eget nät],MATCH($A367,Levererat_2016[Indexnamn],0)),"")</f>
        <v>16.22</v>
      </c>
      <c r="X367" s="10">
        <f>IFERROR(INDEX(Tabell4[Leveranser till eget nät],MATCH('Leveranser per nät'!A367,Tabell4[[Finns i listan ]],0)),"")</f>
        <v>16.611000000000001</v>
      </c>
      <c r="Y367" s="10">
        <f>IFERROR(INDEX(Tabell6[Kolumn1],MATCH($A367,Tabell6[Indexnmamn],0)),"")</f>
        <v>15.727</v>
      </c>
      <c r="Z367" s="10">
        <v>15.843999999999999</v>
      </c>
      <c r="AA367" s="10">
        <v>14.098000000000001</v>
      </c>
      <c r="AB367" s="10">
        <f>VLOOKUP(A367,Tabell9[[Indexnamn]:[Kolumn1]],3,FALSE)</f>
        <v>15.423</v>
      </c>
      <c r="AC367" s="10">
        <f>VLOOKUP($A367,'Lev 2022'!$K$2:$L$474,2,FALSE)</f>
        <v>14.733000000000001</v>
      </c>
      <c r="AG367" s="2">
        <f t="shared" si="13"/>
        <v>-0.6899999999999995</v>
      </c>
      <c r="AH367" s="103">
        <f t="shared" si="14"/>
        <v>-4.4738377747519903E-2</v>
      </c>
    </row>
    <row r="368" spans="1:34" x14ac:dyDescent="0.25">
      <c r="A368" t="s">
        <v>278</v>
      </c>
      <c r="B368" t="s">
        <v>278</v>
      </c>
      <c r="C368" s="10">
        <v>46</v>
      </c>
      <c r="D368" s="10">
        <v>38.96</v>
      </c>
      <c r="E368" s="10">
        <v>40</v>
      </c>
      <c r="F368" s="10">
        <v>41.192999999999998</v>
      </c>
      <c r="G368" s="10">
        <v>46</v>
      </c>
      <c r="H368" s="10">
        <v>41.055</v>
      </c>
      <c r="I368" s="10">
        <v>36</v>
      </c>
      <c r="J368" s="10">
        <v>34</v>
      </c>
      <c r="K368" s="10">
        <v>32.945</v>
      </c>
      <c r="L368" s="10">
        <v>42.388599999999997</v>
      </c>
      <c r="M368" s="10">
        <v>42.2</v>
      </c>
      <c r="N368" s="10">
        <v>42.2</v>
      </c>
      <c r="O368" s="10">
        <v>42.2</v>
      </c>
      <c r="P368" s="10">
        <v>44.4</v>
      </c>
      <c r="Q368" s="10">
        <v>50.1</v>
      </c>
      <c r="R368" s="10">
        <v>40.299999999999997</v>
      </c>
      <c r="S368" s="10">
        <f>IFERROR(VLOOKUP('Leveranser per nät'!A368,'lev 2012'!$B$2:$E$445,4,FALSE),"")</f>
        <v>45</v>
      </c>
      <c r="T368" s="56">
        <f>(S368-U368)/2+U368</f>
        <v>42.143500000000003</v>
      </c>
      <c r="U368" s="10">
        <f>IFERROR(VLOOKUP('Leveranser per nät'!A368,'lev 2014'!$B$2:$E$432,4,FALSE),"")</f>
        <v>39.286999999999999</v>
      </c>
      <c r="V368" s="10">
        <f>IFERROR(INDEX(Levererat_2015[Leveranser till eget nät],MATCH($A368,Levererat_2015[Indexnamn],0)),"")</f>
        <v>39.445</v>
      </c>
      <c r="W368" s="10">
        <f>IFERROR(INDEX(Levererat_2016[Leveranser till eget nät],MATCH($A368,Levererat_2016[Indexnamn],0)),"")</f>
        <v>42.985999999999997</v>
      </c>
      <c r="X368" s="10">
        <f>IFERROR(INDEX(Tabell4[Leveranser till eget nät],MATCH('Leveranser per nät'!A368,Tabell4[[Finns i listan ]],0)),"")</f>
        <v>42.728000000000002</v>
      </c>
      <c r="Y368" s="10">
        <f>IFERROR(INDEX(Tabell6[Kolumn1],MATCH($A368,Tabell6[Indexnmamn],0)),"")</f>
        <v>43.204000000000001</v>
      </c>
      <c r="Z368" s="10">
        <v>42.6</v>
      </c>
      <c r="AA368" s="10">
        <v>37.94</v>
      </c>
      <c r="AB368" s="10">
        <f>VLOOKUP(A368,Tabell9[[Indexnamn]:[Kolumn1]],3,FALSE)</f>
        <v>44.484000000000002</v>
      </c>
      <c r="AC368" s="10">
        <f>VLOOKUP($A368,'Lev 2022'!$K$2:$L$474,2,FALSE)</f>
        <v>41.375999999999998</v>
      </c>
      <c r="AG368" s="2">
        <f t="shared" si="13"/>
        <v>-3.1080000000000041</v>
      </c>
      <c r="AH368" s="103">
        <f t="shared" si="14"/>
        <v>-6.9867817642298449E-2</v>
      </c>
    </row>
    <row r="369" spans="1:34" x14ac:dyDescent="0.25">
      <c r="A369" t="s">
        <v>931</v>
      </c>
      <c r="B369" t="s">
        <v>443</v>
      </c>
      <c r="C369" s="10"/>
      <c r="D369" s="10"/>
      <c r="E369" s="10"/>
      <c r="F369" s="10"/>
      <c r="G369" s="10"/>
      <c r="H369" s="10"/>
      <c r="I369" s="10"/>
      <c r="J369" s="10"/>
      <c r="K369" s="10"/>
      <c r="L369" s="10"/>
      <c r="M369" s="10"/>
      <c r="N369" s="10"/>
      <c r="O369" s="10"/>
      <c r="P369" s="10"/>
      <c r="Q369" s="10"/>
      <c r="R369" s="10"/>
      <c r="S369" s="10"/>
      <c r="T369" s="56"/>
      <c r="U369" s="10"/>
      <c r="V369" s="10" t="str">
        <f>IFERROR(INDEX(Levererat_2015[Leveranser till eget nät],MATCH($A369,Levererat_2015[Indexnamn],0)),"")</f>
        <v/>
      </c>
      <c r="W369" s="10" t="str">
        <f>IFERROR(INDEX(Levererat_2016[Leveranser till eget nät],MATCH($A369,Levererat_2016[Indexnamn],0)),"")</f>
        <v/>
      </c>
      <c r="X369" s="10">
        <f>IFERROR(INDEX(Tabell4[Leveranser till eget nät],MATCH('Leveranser per nät'!A369,Tabell4[[Finns i listan ]],0)),"")</f>
        <v>0</v>
      </c>
      <c r="Y369" s="10">
        <f>IFERROR(INDEX(Tabell6[Kolumn1],MATCH($A369,Tabell6[Indexnmamn],0)),"")</f>
        <v>3.0550000000000002</v>
      </c>
      <c r="Z369" s="10">
        <v>6.3410000000000002</v>
      </c>
      <c r="AA369" s="10">
        <v>6.5590000000000002</v>
      </c>
      <c r="AB369" s="10">
        <f>VLOOKUP(A369,Tabell9[[Indexnamn]:[Kolumn1]],3,FALSE)</f>
        <v>7.3029999999999999</v>
      </c>
      <c r="AC369" s="10">
        <f>VLOOKUP($A369,'Lev 2022'!$K$2:$L$474,2,FALSE)</f>
        <v>6.9980000000000002</v>
      </c>
      <c r="AG369" s="2">
        <f t="shared" si="13"/>
        <v>-0.30499999999999972</v>
      </c>
      <c r="AH369" s="103">
        <f t="shared" si="14"/>
        <v>-4.1763658770368306E-2</v>
      </c>
    </row>
    <row r="370" spans="1:34" x14ac:dyDescent="0.25">
      <c r="A370" t="s">
        <v>49</v>
      </c>
      <c r="B370" t="str">
        <f>VLOOKUP(A370,'Korrigerade leveranser GD'!$A$4:$B$482,2,FALSE)</f>
        <v>Sollefteå</v>
      </c>
      <c r="C370" s="10">
        <v>61</v>
      </c>
      <c r="D370" s="10">
        <v>63.94</v>
      </c>
      <c r="E370" s="10">
        <v>58.529000000000003</v>
      </c>
      <c r="F370" s="10">
        <v>61.444000000000003</v>
      </c>
      <c r="G370" s="10">
        <v>60.05</v>
      </c>
      <c r="H370" s="10">
        <v>66.468000000000004</v>
      </c>
      <c r="I370" s="10">
        <v>66.2</v>
      </c>
      <c r="J370" s="10">
        <v>69.94</v>
      </c>
      <c r="K370" s="10">
        <v>69.94</v>
      </c>
      <c r="L370" s="10">
        <v>88.827051227323651</v>
      </c>
      <c r="M370" s="10">
        <v>59.9</v>
      </c>
      <c r="N370" s="10">
        <v>65</v>
      </c>
      <c r="O370" s="10">
        <v>59.3</v>
      </c>
      <c r="P370" s="10">
        <v>63</v>
      </c>
      <c r="Q370" s="10">
        <v>71</v>
      </c>
      <c r="R370" s="10">
        <v>56.57</v>
      </c>
      <c r="S370" s="10">
        <f>IFERROR(VLOOKUP('Leveranser per nät'!A370,'lev 2012'!$B$2:$E$445,4,FALSE),"")</f>
        <v>61</v>
      </c>
      <c r="T370" s="56">
        <f>(S370-U370)/2+U370</f>
        <v>58.021999999999998</v>
      </c>
      <c r="U370" s="10">
        <f>IFERROR(VLOOKUP('Leveranser per nät'!A370,'lev 2014'!$B$2:$E$432,4,FALSE),"")</f>
        <v>55.043999999999997</v>
      </c>
      <c r="V370" s="10">
        <f>IFERROR(INDEX(Levererat_2015[Leveranser till eget nät],MATCH($A370,Levererat_2015[Indexnamn],0)),"")</f>
        <v>55</v>
      </c>
      <c r="W370" s="10">
        <f>IFERROR(INDEX(Levererat_2016[Leveranser till eget nät],MATCH($A370,Levererat_2016[Indexnamn],0)),"")</f>
        <v>60.7</v>
      </c>
      <c r="X370" s="10">
        <f>IFERROR(INDEX(Tabell4[Leveranser till eget nät],MATCH('Leveranser per nät'!A370,Tabell4[[Finns i listan ]],0)),"")</f>
        <v>60.838999999999999</v>
      </c>
      <c r="Y370" s="10">
        <f>IFERROR(INDEX(Tabell6[Kolumn1],MATCH($A370,Tabell6[Indexnmamn],0)),"")</f>
        <v>62.1</v>
      </c>
      <c r="Z370" s="10">
        <v>59.720999999999997</v>
      </c>
      <c r="AA370" s="10">
        <v>53.863999999999997</v>
      </c>
      <c r="AB370" s="10">
        <f>VLOOKUP(A370,Tabell9[[Indexnamn]:[Kolumn1]],3,FALSE)</f>
        <v>65.616</v>
      </c>
      <c r="AC370" s="10">
        <f>VLOOKUP($A370,'Lev 2022'!$K$2:$L$474,2,FALSE)</f>
        <v>62.655999999999999</v>
      </c>
      <c r="AG370" s="2">
        <f t="shared" si="13"/>
        <v>-2.9600000000000009</v>
      </c>
      <c r="AH370" s="103">
        <f t="shared" si="14"/>
        <v>-4.5110948549134368E-2</v>
      </c>
    </row>
    <row r="371" spans="1:34" x14ac:dyDescent="0.25">
      <c r="A371" t="s">
        <v>280</v>
      </c>
      <c r="B371" t="str">
        <f>VLOOKUP(A371,'Korrigerade leveranser GD'!$A$4:$B$482,2,FALSE)</f>
        <v>Sollentuna</v>
      </c>
      <c r="C371" s="10">
        <v>301</v>
      </c>
      <c r="D371" s="10">
        <v>283.51</v>
      </c>
      <c r="E371" s="10">
        <v>289</v>
      </c>
      <c r="F371" s="10">
        <v>281</v>
      </c>
      <c r="G371" s="10">
        <v>278</v>
      </c>
      <c r="H371" s="10">
        <v>298</v>
      </c>
      <c r="I371" s="10">
        <v>298</v>
      </c>
      <c r="J371" s="10">
        <v>308</v>
      </c>
      <c r="K371" s="10">
        <v>301.48599999999999</v>
      </c>
      <c r="L371" s="10">
        <v>297.98099999999999</v>
      </c>
      <c r="M371" s="10">
        <v>293.8</v>
      </c>
      <c r="N371" s="10">
        <v>295</v>
      </c>
      <c r="O371" s="10">
        <v>302.8</v>
      </c>
      <c r="P371" s="10">
        <v>322.89999999999998</v>
      </c>
      <c r="Q371" s="10">
        <v>373</v>
      </c>
      <c r="R371" s="10">
        <v>304</v>
      </c>
      <c r="S371" s="10">
        <f>IFERROR(VLOOKUP('Leveranser per nät'!A371,'lev 2012'!$B$2:$E$445,4,FALSE),"")</f>
        <v>331</v>
      </c>
      <c r="T371" s="10">
        <f>IFERROR(VLOOKUP('Leveranser per nät'!A371,'lev 2013'!$B$2:$E$445,4,FALSE),"")</f>
        <v>319.2</v>
      </c>
      <c r="U371" s="10">
        <f>IFERROR(VLOOKUP('Leveranser per nät'!A371,'lev 2014'!$B$2:$E$432,4,FALSE),"")</f>
        <v>294</v>
      </c>
      <c r="V371" s="10">
        <f>IFERROR(INDEX(Levererat_2015[Leveranser till eget nät],MATCH($A371,Levererat_2015[Indexnamn],0)),"")</f>
        <v>334</v>
      </c>
      <c r="W371" s="10">
        <f>IFERROR(INDEX(Levererat_2016[Leveranser till eget nät],MATCH($A371,Levererat_2016[Indexnamn],0)),"")</f>
        <v>314</v>
      </c>
      <c r="X371" s="10">
        <f>IFERROR(INDEX(Tabell4[Leveranser till eget nät],MATCH('Leveranser per nät'!A371,Tabell4[[Finns i listan ]],0)),"")</f>
        <v>307</v>
      </c>
      <c r="Y371" s="10">
        <f>IFERROR(INDEX(Tabell6[Kolumn1],MATCH($A371,Tabell6[Indexnmamn],0)),"")</f>
        <v>302</v>
      </c>
      <c r="Z371" s="10">
        <v>295</v>
      </c>
      <c r="AA371" s="10">
        <v>265.60000000000002</v>
      </c>
      <c r="AB371" s="10">
        <f>VLOOKUP(A371,Tabell9[[Indexnamn]:[Kolumn1]],3,FALSE)</f>
        <v>319.54399999999998</v>
      </c>
      <c r="AC371" s="10">
        <f>VLOOKUP($A371,'Lev 2022'!$K$2:$L$474,2,FALSE)</f>
        <v>303.39999999999998</v>
      </c>
      <c r="AG371" s="2">
        <f t="shared" si="13"/>
        <v>-16.144000000000005</v>
      </c>
      <c r="AH371" s="103">
        <f t="shared" si="14"/>
        <v>-5.0521993841223765E-2</v>
      </c>
    </row>
    <row r="372" spans="1:34" x14ac:dyDescent="0.25">
      <c r="A372" s="4" t="s">
        <v>416</v>
      </c>
      <c r="B372" t="str">
        <f>VLOOKUP(A372,'Korrigerade leveranser GD'!$A$4:$B$482,2,FALSE)</f>
        <v>Säter</v>
      </c>
      <c r="C372" s="10">
        <v>2</v>
      </c>
      <c r="D372" s="10">
        <v>2.2000000000000002</v>
      </c>
      <c r="E372" s="56">
        <f>(D372-G372)/3*2+G372</f>
        <v>2.8</v>
      </c>
      <c r="F372" s="56">
        <f>(D372-G372)/3+G372</f>
        <v>3.4</v>
      </c>
      <c r="G372" s="10">
        <v>4</v>
      </c>
      <c r="H372" s="10">
        <v>2.4660000000000002</v>
      </c>
      <c r="I372" s="10">
        <v>2.5190000000000001</v>
      </c>
      <c r="J372" s="10">
        <v>2.5190000000000001</v>
      </c>
      <c r="K372" s="10">
        <v>2.36</v>
      </c>
      <c r="L372" s="10">
        <v>2.36</v>
      </c>
      <c r="M372" s="56">
        <f>(L372-N372)/2+N372</f>
        <v>2.3449999999999998</v>
      </c>
      <c r="N372" s="10">
        <v>2.33</v>
      </c>
      <c r="O372" s="10">
        <v>2.4220000000000002</v>
      </c>
      <c r="P372" s="10">
        <v>2.5329999999999999</v>
      </c>
      <c r="Q372" s="56">
        <f>(P372-R372)/2+R372</f>
        <v>2.5024999999999999</v>
      </c>
      <c r="R372" s="10">
        <v>2.472</v>
      </c>
      <c r="S372" s="10">
        <f>IFERROR(VLOOKUP('Leveranser per nät'!A372,'lev 2012'!$B$2:$E$445,4,FALSE),"")</f>
        <v>2.4500000000000002</v>
      </c>
      <c r="T372" s="10">
        <f>IFERROR(VLOOKUP('Leveranser per nät'!A372,'lev 2013'!$B$2:$E$445,4,FALSE),"")</f>
        <v>2.484</v>
      </c>
      <c r="U372" s="10">
        <f>IFERROR(VLOOKUP('Leveranser per nät'!A372,'lev 2014'!$B$2:$E$432,4,FALSE),"")</f>
        <v>1.9750000000000001</v>
      </c>
      <c r="V372" s="10">
        <f>IFERROR(INDEX(Levererat_2015[Leveranser till eget nät],MATCH($A372,Levererat_2015[Indexnamn],0)),"")</f>
        <v>2.2000000000000002</v>
      </c>
      <c r="W372" s="10">
        <f>IFERROR(INDEX(Levererat_2016[Leveranser till eget nät],MATCH($A372,Levererat_2016[Indexnamn],0)),"")</f>
        <v>2.2200000000000002</v>
      </c>
      <c r="X372" s="56">
        <f>(W372-Y372)/2+Y372</f>
        <v>2.2450000000000001</v>
      </c>
      <c r="Y372" s="10">
        <f>IFERROR(INDEX(Tabell6[Kolumn1],MATCH($A372,Tabell6[Indexnmamn],0)),"")</f>
        <v>2.27</v>
      </c>
      <c r="Z372" s="10">
        <v>2.2400000000000002</v>
      </c>
      <c r="AA372" s="10">
        <v>1.96</v>
      </c>
      <c r="AB372" s="115"/>
      <c r="AC372" s="10">
        <f>VLOOKUP($A372,'Lev 2022'!$K$2:$L$474,2,FALSE)</f>
        <v>2.12</v>
      </c>
      <c r="AG372" s="2">
        <f t="shared" si="13"/>
        <v>2.12</v>
      </c>
      <c r="AH372" s="103"/>
    </row>
    <row r="373" spans="1:34" x14ac:dyDescent="0.25">
      <c r="A373" t="s">
        <v>44</v>
      </c>
      <c r="B373" t="s">
        <v>44</v>
      </c>
      <c r="C373" s="10">
        <v>27</v>
      </c>
      <c r="D373" s="10">
        <v>24.4</v>
      </c>
      <c r="E373" s="10">
        <v>25</v>
      </c>
      <c r="F373" s="10">
        <v>25</v>
      </c>
      <c r="G373" s="10">
        <v>25</v>
      </c>
      <c r="H373" s="56">
        <f>(G373-I373)/2+I373</f>
        <v>24.154499999999999</v>
      </c>
      <c r="I373" s="10">
        <v>23.309000000000001</v>
      </c>
      <c r="J373" s="10">
        <v>24.376000000000001</v>
      </c>
      <c r="K373" s="56">
        <f>(J373-L373)/2+L373</f>
        <v>29.419806744484539</v>
      </c>
      <c r="L373" s="10">
        <v>34.463613488969081</v>
      </c>
      <c r="M373" s="10">
        <v>25</v>
      </c>
      <c r="N373" s="10">
        <v>23</v>
      </c>
      <c r="O373" s="10">
        <v>25.2</v>
      </c>
      <c r="P373" s="10">
        <v>25.853000000000002</v>
      </c>
      <c r="Q373" s="10">
        <v>30</v>
      </c>
      <c r="R373" s="10">
        <v>25.337292000000001</v>
      </c>
      <c r="S373" s="10">
        <f>IFERROR(VLOOKUP('Leveranser per nät'!A373,'lev 2012'!$B$2:$E$445,4,FALSE),"")</f>
        <v>26</v>
      </c>
      <c r="T373" s="10">
        <f>IFERROR(VLOOKUP('Leveranser per nät'!A373,'lev 2013'!$B$2:$E$445,4,FALSE),"")</f>
        <v>25.323</v>
      </c>
      <c r="U373" s="10">
        <f>IFERROR(VLOOKUP('Leveranser per nät'!A373,'lev 2014'!$B$2:$E$432,4,FALSE),"")</f>
        <v>27.52</v>
      </c>
      <c r="V373" s="10">
        <f>IFERROR(INDEX(Levererat_2015[Leveranser till eget nät],MATCH($A373,Levererat_2015[Indexnamn],0)),"")</f>
        <v>22.74</v>
      </c>
      <c r="W373" s="10">
        <f>IFERROR(INDEX(Levererat_2016[Leveranser till eget nät],MATCH($A373,Levererat_2016[Indexnamn],0)),"")</f>
        <v>24</v>
      </c>
      <c r="X373" s="10">
        <f>IFERROR(INDEX(Tabell4[Leveranser till eget nät],MATCH('Leveranser per nät'!A373,Tabell4[[Finns i listan ]],0)),"")</f>
        <v>23.271999999999998</v>
      </c>
      <c r="Y373" s="10">
        <f>IFERROR(INDEX(Tabell6[Kolumn1],MATCH($A373,Tabell6[Indexnmamn],0)),"")</f>
        <v>23.9</v>
      </c>
      <c r="Z373" s="10">
        <v>25.547000000000001</v>
      </c>
      <c r="AA373" s="10">
        <v>25.922999999999998</v>
      </c>
      <c r="AB373" s="10">
        <f>VLOOKUP(A373,Tabell9[[Indexnamn]:[Kolumn1]],3,FALSE)</f>
        <v>29.609000000000002</v>
      </c>
      <c r="AC373" s="10">
        <f>VLOOKUP($A373,'Lev 2022'!$K$2:$L$474,2,FALSE)</f>
        <v>27.524000000000001</v>
      </c>
      <c r="AG373" s="2">
        <f t="shared" si="13"/>
        <v>-2.0850000000000009</v>
      </c>
      <c r="AH373" s="103">
        <f t="shared" si="14"/>
        <v>-7.041777837819585E-2</v>
      </c>
    </row>
    <row r="374" spans="1:34" x14ac:dyDescent="0.25">
      <c r="A374" s="4" t="s">
        <v>417</v>
      </c>
      <c r="B374" t="str">
        <f>VLOOKUP(A374,'Korrigerade leveranser GD'!$A$4:$B$482,2,FALSE)</f>
        <v>Göteborg</v>
      </c>
      <c r="C374" s="10"/>
      <c r="D374" s="10"/>
      <c r="E374" s="10"/>
      <c r="F374" s="10"/>
      <c r="G374" s="10"/>
      <c r="H374" s="10"/>
      <c r="I374" s="10"/>
      <c r="J374" s="10"/>
      <c r="K374" s="10"/>
      <c r="L374" s="10"/>
      <c r="M374" s="10"/>
      <c r="N374" s="10"/>
      <c r="O374" s="10"/>
      <c r="P374" s="10">
        <v>0</v>
      </c>
      <c r="Q374" s="10">
        <v>2</v>
      </c>
      <c r="R374" s="10">
        <v>1.4</v>
      </c>
      <c r="S374" s="10">
        <f>IFERROR(VLOOKUP('Leveranser per nät'!A374,'lev 2012'!$B$2:$E$445,4,FALSE),"")</f>
        <v>1.5</v>
      </c>
      <c r="T374" s="10">
        <f>IFERROR(VLOOKUP('Leveranser per nät'!A374,'lev 2013'!$B$2:$E$445,4,FALSE),"")</f>
        <v>2</v>
      </c>
      <c r="U374" s="10">
        <f>IFERROR(VLOOKUP('Leveranser per nät'!A374,'lev 2014'!$B$2:$E$432,4,FALSE),"")</f>
        <v>1.4</v>
      </c>
      <c r="V374" s="10">
        <f>IFERROR(INDEX(Levererat_2015[Leveranser till eget nät],MATCH($A374,Levererat_2015[Indexnamn],0)),"")</f>
        <v>1.5</v>
      </c>
      <c r="W374" s="10">
        <f>IFERROR(INDEX(Levererat_2016[Leveranser till eget nät],MATCH($A374,Levererat_2016[Indexnamn],0)),"")</f>
        <v>2.4</v>
      </c>
      <c r="X374" s="10">
        <f>IFERROR(INDEX(Tabell4[Leveranser till eget nät],MATCH('Leveranser per nät'!A374,Tabell4[[Finns i listan ]],0)),"")</f>
        <v>3.4</v>
      </c>
      <c r="Y374" s="10">
        <f>IFERROR(INDEX(Tabell6[Kolumn1],MATCH($A374,Tabell6[Indexnmamn],0)),"")</f>
        <v>3.1</v>
      </c>
      <c r="Z374" s="10">
        <v>3.15</v>
      </c>
      <c r="AA374" s="10">
        <v>3.05</v>
      </c>
      <c r="AB374" s="10">
        <f>VLOOKUP(A374,Tabell9[[Indexnamn]:[Kolumn1]],3,FALSE)</f>
        <v>4.51</v>
      </c>
      <c r="AC374" s="10">
        <f>VLOOKUP($A374,'Lev 2022'!$K$2:$L$474,2,FALSE)</f>
        <v>4.2</v>
      </c>
      <c r="AG374" s="2">
        <f t="shared" si="13"/>
        <v>-0.30999999999999961</v>
      </c>
      <c r="AH374" s="103">
        <f t="shared" si="14"/>
        <v>-6.8736141906873535E-2</v>
      </c>
    </row>
    <row r="375" spans="1:34" x14ac:dyDescent="0.25">
      <c r="A375" s="4" t="s">
        <v>704</v>
      </c>
      <c r="B375" t="str">
        <f>VLOOKUP(A375,'Korrigerade leveranser GD'!$A$4:$B$482,2,FALSE)</f>
        <v>Jönköping</v>
      </c>
      <c r="C375" s="10"/>
      <c r="D375" s="10"/>
      <c r="E375" s="10"/>
      <c r="F375" s="10"/>
      <c r="G375" s="10"/>
      <c r="H375" s="10"/>
      <c r="I375" s="10"/>
      <c r="J375" s="10"/>
      <c r="K375" s="10"/>
      <c r="L375" s="10"/>
      <c r="M375" s="10"/>
      <c r="N375" s="10"/>
      <c r="O375" s="10"/>
      <c r="P375" s="10"/>
      <c r="Q375" s="10"/>
      <c r="R375" s="10">
        <v>0</v>
      </c>
      <c r="S375" s="10">
        <f>IFERROR(VLOOKUP('Leveranser per nät'!A375,'lev 2012'!$B$2:$E$445,4,FALSE),"")</f>
        <v>2.6</v>
      </c>
      <c r="T375" s="10">
        <f>IFERROR(VLOOKUP('Leveranser per nät'!A375,'lev 2013'!$B$2:$E$445,4,FALSE),"")</f>
        <v>2.54</v>
      </c>
      <c r="U375" s="10">
        <f>IFERROR(VLOOKUP('Leveranser per nät'!A375,'lev 2014'!$B$2:$E$432,4,FALSE),"")</f>
        <v>2.91</v>
      </c>
      <c r="V375" s="10">
        <f>IFERROR(INDEX(Levererat_2015[Leveranser till eget nät],MATCH($A375,Levererat_2015[Indexnamn],0)),"")</f>
        <v>2.88</v>
      </c>
      <c r="W375" s="10" t="str">
        <f>IFERROR(INDEX(Levererat_2016[Leveranser till eget nät],MATCH($A375,Levererat_2016[Indexnamn],0)),"")</f>
        <v/>
      </c>
      <c r="X375" s="10" t="str">
        <f>IFERROR(INDEX(Tabell4[Leveranser till eget nät],MATCH('Leveranser per nät'!A375,Tabell4[[Finns i listan ]],0)),"")</f>
        <v/>
      </c>
      <c r="Y375" s="10" t="str">
        <f>IFERROR(INDEX(Tabell6[Kolumn1],MATCH($A375,Tabell6[Indexnmamn],0)),"")</f>
        <v/>
      </c>
      <c r="Z375" s="10"/>
      <c r="AA375" s="10" t="s">
        <v>779</v>
      </c>
      <c r="AB375" s="10"/>
      <c r="AC375" s="10"/>
      <c r="AG375" s="2"/>
      <c r="AH375" s="103"/>
    </row>
    <row r="376" spans="1:34" x14ac:dyDescent="0.25">
      <c r="A376" s="4" t="s">
        <v>705</v>
      </c>
      <c r="B376" t="str">
        <f>VLOOKUP(A376,'Korrigerade leveranser GD'!$A$4:$B$482,2,FALSE)</f>
        <v>Falköping</v>
      </c>
      <c r="C376" s="10"/>
      <c r="D376" s="10"/>
      <c r="E376" s="10"/>
      <c r="F376" s="10"/>
      <c r="G376" s="10"/>
      <c r="H376" s="10"/>
      <c r="I376" s="10"/>
      <c r="J376" s="10"/>
      <c r="K376" s="10"/>
      <c r="L376" s="10"/>
      <c r="M376" s="10"/>
      <c r="N376" s="10"/>
      <c r="O376" s="10"/>
      <c r="P376" s="10"/>
      <c r="Q376" s="10"/>
      <c r="R376" s="10"/>
      <c r="S376" s="10" t="str">
        <f>IFERROR(VLOOKUP('Leveranser per nät'!A376,'lev 2012'!$B$2:$E$445,4,FALSE),"")</f>
        <v/>
      </c>
      <c r="T376" s="10">
        <f>IFERROR(VLOOKUP('Leveranser per nät'!A376,'lev 2013'!$B$2:$E$445,4,FALSE),"")</f>
        <v>4.9820000000000002</v>
      </c>
      <c r="U376" s="10">
        <f>IFERROR(VLOOKUP('Leveranser per nät'!A376,'lev 2014'!$B$2:$E$432,4,FALSE),"")</f>
        <v>4.4000000000000004</v>
      </c>
      <c r="V376" s="10">
        <f>IFERROR(INDEX(Levererat_2015[Leveranser till eget nät],MATCH($A376,Levererat_2015[Indexnamn],0)),"")</f>
        <v>4.8</v>
      </c>
      <c r="W376" s="10">
        <f>IFERROR(INDEX(Levererat_2016[Leveranser till eget nät],MATCH($A376,Levererat_2016[Indexnamn],0)),"")</f>
        <v>4.5</v>
      </c>
      <c r="X376" s="10">
        <f>IFERROR(INDEX(Tabell4[Leveranser till eget nät],MATCH('Leveranser per nät'!A376,Tabell4[[Finns i listan ]],0)),"")</f>
        <v>4.3</v>
      </c>
      <c r="Y376" s="10">
        <f>IFERROR(INDEX(Tabell6[Kolumn1],MATCH($A376,Tabell6[Indexnmamn],0)),"")</f>
        <v>4.0999999999999996</v>
      </c>
      <c r="Z376" s="10">
        <v>4</v>
      </c>
      <c r="AA376" s="10">
        <v>3.5</v>
      </c>
      <c r="AB376" s="10">
        <f>VLOOKUP(A376,Tabell9[[Indexnamn]:[Kolumn1]],3,FALSE)</f>
        <v>3.8</v>
      </c>
      <c r="AC376" s="10">
        <f>VLOOKUP($A376,'Lev 2022'!$K$2:$L$474,2,FALSE)</f>
        <v>3.6</v>
      </c>
      <c r="AG376" s="2">
        <f t="shared" si="13"/>
        <v>-0.19999999999999973</v>
      </c>
      <c r="AH376" s="103">
        <f t="shared" si="14"/>
        <v>-5.2631578947368356E-2</v>
      </c>
    </row>
    <row r="377" spans="1:34" x14ac:dyDescent="0.25">
      <c r="A377" s="4" t="s">
        <v>418</v>
      </c>
      <c r="B377" t="str">
        <f>VLOOKUP(A377,'Korrigerade leveranser GD'!$A$4:$B$482,2,FALSE)</f>
        <v>Stenungsund</v>
      </c>
      <c r="C377" s="10">
        <v>55</v>
      </c>
      <c r="D377" s="10">
        <v>55</v>
      </c>
      <c r="E377" s="10">
        <v>57.228000000000002</v>
      </c>
      <c r="F377" s="10">
        <v>54</v>
      </c>
      <c r="G377" s="10">
        <v>47</v>
      </c>
      <c r="H377" s="10">
        <v>57</v>
      </c>
      <c r="I377" s="10">
        <v>55.11</v>
      </c>
      <c r="J377" s="10">
        <v>59.7</v>
      </c>
      <c r="K377" s="10">
        <v>55.11</v>
      </c>
      <c r="L377" s="10">
        <v>55.11</v>
      </c>
      <c r="M377" s="10">
        <v>62</v>
      </c>
      <c r="N377" s="10">
        <v>62.1</v>
      </c>
      <c r="O377" s="10">
        <v>62.9</v>
      </c>
      <c r="P377" s="10">
        <v>69.900000000000006</v>
      </c>
      <c r="Q377" s="10">
        <v>82.6</v>
      </c>
      <c r="R377" s="10">
        <v>69</v>
      </c>
      <c r="S377" s="10">
        <f>IFERROR(VLOOKUP('Leveranser per nät'!A377,'lev 2012'!$B$2:$E$445,4,FALSE),"")</f>
        <v>76</v>
      </c>
      <c r="T377" s="10">
        <f>IFERROR(VLOOKUP('Leveranser per nät'!A377,'lev 2013'!$B$2:$E$445,4,FALSE),"")</f>
        <v>76.168000000000006</v>
      </c>
      <c r="U377" s="10">
        <f>IFERROR(VLOOKUP('Leveranser per nät'!A377,'lev 2014'!$B$2:$E$432,4,FALSE),"")</f>
        <v>69</v>
      </c>
      <c r="V377" s="10">
        <f>IFERROR(INDEX(Levererat_2015[Leveranser till eget nät],MATCH($A377,Levererat_2015[Indexnamn],0)),"")</f>
        <v>71</v>
      </c>
      <c r="W377" s="10">
        <f>IFERROR(INDEX(Levererat_2016[Leveranser till eget nät],MATCH($A377,Levererat_2016[Indexnamn],0)),"")</f>
        <v>77</v>
      </c>
      <c r="X377" s="10">
        <f>IFERROR(INDEX(Tabell4[Leveranser till eget nät],MATCH('Leveranser per nät'!A377,Tabell4[[Finns i listan ]],0)),"")</f>
        <v>75.900000000000006</v>
      </c>
      <c r="Y377" s="10">
        <f>IFERROR(INDEX(Tabell6[Kolumn1],MATCH($A377,Tabell6[Indexnmamn],0)),"")</f>
        <v>77.3</v>
      </c>
      <c r="Z377" s="10">
        <v>75.400000000000006</v>
      </c>
      <c r="AA377" s="10">
        <v>72.959999999999994</v>
      </c>
      <c r="AB377" s="10">
        <f>VLOOKUP(A377,Tabell9[[Indexnamn]:[Kolumn1]],3,FALSE)</f>
        <v>85.75</v>
      </c>
      <c r="AC377" s="10">
        <f>VLOOKUP($A377,'Lev 2022'!$K$2:$L$474,2,FALSE)</f>
        <v>79.72</v>
      </c>
      <c r="AG377" s="2">
        <f t="shared" si="13"/>
        <v>-6.0300000000000011</v>
      </c>
      <c r="AH377" s="103">
        <f t="shared" si="14"/>
        <v>-7.0320699708454823E-2</v>
      </c>
    </row>
    <row r="378" spans="1:34" x14ac:dyDescent="0.25">
      <c r="A378" s="4" t="s">
        <v>816</v>
      </c>
      <c r="B378" t="str">
        <f>VLOOKUP(A378,'Korrigerade leveranser GD'!$A$4:$B$482,2,FALSE)</f>
        <v>Jönköping</v>
      </c>
      <c r="C378" s="10"/>
      <c r="D378" s="10"/>
      <c r="E378" s="10"/>
      <c r="F378" s="10"/>
      <c r="G378" s="10"/>
      <c r="H378" s="10"/>
      <c r="I378" s="10"/>
      <c r="J378" s="10"/>
      <c r="K378" s="10"/>
      <c r="L378" s="10"/>
      <c r="M378" s="10"/>
      <c r="N378" s="10"/>
      <c r="O378" s="10"/>
      <c r="P378" s="10"/>
      <c r="Q378" s="10"/>
      <c r="R378" s="10"/>
      <c r="S378" s="10" t="str">
        <f>IFERROR(VLOOKUP('Leveranser per nät'!A378,'lev 2012'!$B$2:$E$445,4,FALSE),"")</f>
        <v/>
      </c>
      <c r="T378" s="10" t="str">
        <f>IFERROR(VLOOKUP('Leveranser per nät'!A378,'lev 2013'!$B$2:$E$445,4,FALSE),"")</f>
        <v/>
      </c>
      <c r="U378" s="10" t="str">
        <f>IFERROR(VLOOKUP('Leveranser per nät'!A378,'lev 2014'!$B$2:$E$432,4,FALSE),"")</f>
        <v/>
      </c>
      <c r="V378" s="10">
        <f>IFERROR(INDEX(Levererat_2015[Leveranser till eget nät],MATCH($A378,Levererat_2015[Indexnamn],0)),"")</f>
        <v>0.09</v>
      </c>
      <c r="W378" s="10">
        <f>IFERROR(INDEX(Levererat_2016[Leveranser till eget nät],MATCH($A378,Levererat_2016[Indexnamn],0)),"")</f>
        <v>0.66</v>
      </c>
      <c r="X378" s="10">
        <f>IFERROR(INDEX(Tabell4[Leveranser till eget nät],MATCH('Leveranser per nät'!A378,Tabell4[[Finns i listan ]],0)),"")</f>
        <v>1.077</v>
      </c>
      <c r="Y378" s="10">
        <f>IFERROR(INDEX(Tabell6[Kolumn1],MATCH($A378,Tabell6[Indexnmamn],0)),"")</f>
        <v>3.14</v>
      </c>
      <c r="Z378" s="10">
        <v>5.117</v>
      </c>
      <c r="AA378" s="10">
        <v>5.2770000000000001</v>
      </c>
      <c r="AB378" s="115"/>
      <c r="AC378" s="10">
        <f>VLOOKUP($A378,'Lev 2022'!$K$2:$L$474,2,FALSE)</f>
        <v>1.97</v>
      </c>
      <c r="AG378" s="2"/>
      <c r="AH378" s="103"/>
    </row>
    <row r="379" spans="1:34" s="65" customFormat="1" x14ac:dyDescent="0.25">
      <c r="A379" s="65" t="s">
        <v>419</v>
      </c>
      <c r="B379" s="65" t="str">
        <f>VLOOKUP(A379,'Korrigerade leveranser GD'!$A$4:$B$482,2,FALSE)</f>
        <v>Karlstad</v>
      </c>
      <c r="C379" s="68">
        <v>0</v>
      </c>
      <c r="D379" s="68">
        <v>0</v>
      </c>
      <c r="E379" s="68">
        <v>2</v>
      </c>
      <c r="F379" s="68">
        <v>4</v>
      </c>
      <c r="G379" s="68">
        <v>4</v>
      </c>
      <c r="H379" s="68">
        <v>0</v>
      </c>
      <c r="I379" s="68"/>
      <c r="J379" s="68"/>
      <c r="K379" s="68"/>
      <c r="L379" s="68"/>
      <c r="M379" s="68"/>
      <c r="N379" s="68"/>
      <c r="O379" s="68"/>
      <c r="P379" s="68"/>
      <c r="Q379" s="68"/>
      <c r="R379" s="68"/>
      <c r="S379" s="68"/>
      <c r="T379" s="68" t="str">
        <f>IFERROR(VLOOKUP('Leveranser per nät'!A379,'lev 2013'!$B$2:$E$445,4,FALSE),"")</f>
        <v/>
      </c>
      <c r="U379" s="68" t="str">
        <f>IFERROR(VLOOKUP('Leveranser per nät'!A379,'lev 2014'!$B$2:$E$432,4,FALSE),"")</f>
        <v/>
      </c>
      <c r="V379" s="68" t="str">
        <f>IFERROR(INDEX(Levererat_2015[Leveranser till eget nät],MATCH($A379,Levererat_2015[Indexnamn],0)),"")</f>
        <v/>
      </c>
      <c r="W379" s="68" t="str">
        <f>IFERROR(INDEX(Levererat_2016[Leveranser till eget nät],MATCH($A379,Levererat_2016[Indexnamn],0)),"")</f>
        <v/>
      </c>
      <c r="X379" s="68" t="str">
        <f>IFERROR(INDEX(Tabell4[Leveranser till eget nät],MATCH('Leveranser per nät'!A379,Tabell4[[Finns i listan ]],0)),"")</f>
        <v/>
      </c>
      <c r="Y379" s="68" t="str">
        <f>IFERROR(INDEX(Tabell6[Kolumn1],MATCH($A379,Tabell6[Indexnmamn],0)),"")</f>
        <v/>
      </c>
      <c r="Z379" s="68"/>
      <c r="AA379" s="68" t="s">
        <v>779</v>
      </c>
      <c r="AB379" s="10"/>
      <c r="AC379" s="10"/>
      <c r="AD379"/>
      <c r="AE379"/>
      <c r="AG379" s="2"/>
      <c r="AH379" s="103"/>
    </row>
    <row r="380" spans="1:34" x14ac:dyDescent="0.25">
      <c r="A380" t="s">
        <v>420</v>
      </c>
      <c r="B380" t="str">
        <f>VLOOKUP(A380,'Korrigerade leveranser GD'!$A$4:$B$482,2,FALSE)</f>
        <v>Stockholm</v>
      </c>
      <c r="C380" s="10">
        <v>2920</v>
      </c>
      <c r="D380" s="10">
        <v>2717.07</v>
      </c>
      <c r="E380" s="10">
        <v>2738.65</v>
      </c>
      <c r="F380" s="10">
        <v>2729.65</v>
      </c>
      <c r="G380" s="10">
        <v>2489</v>
      </c>
      <c r="H380" s="10">
        <v>2820</v>
      </c>
      <c r="I380" s="10">
        <v>2867</v>
      </c>
      <c r="J380" s="10">
        <v>2916</v>
      </c>
      <c r="K380" s="10">
        <v>0</v>
      </c>
      <c r="L380" s="10"/>
      <c r="M380" s="10"/>
      <c r="N380" s="10"/>
      <c r="O380" s="10">
        <v>0</v>
      </c>
      <c r="P380" s="10">
        <v>7754.6</v>
      </c>
      <c r="Q380" s="10">
        <v>8908</v>
      </c>
      <c r="R380" s="10">
        <v>7978.223</v>
      </c>
      <c r="S380" s="10">
        <f>IFERROR(VLOOKUP('Leveranser per nät'!A380,'lev 2012'!$B$2:$E$445,4,FALSE),"")</f>
        <v>7784.8280000000004</v>
      </c>
      <c r="T380" s="10">
        <f>IFERROR(VLOOKUP('Leveranser per nät'!A380,'lev 2013'!$B$2:$E$445,4,FALSE),"")</f>
        <v>7540.9930000000004</v>
      </c>
      <c r="U380" s="10">
        <f>IFERROR(VLOOKUP('Leveranser per nät'!A380,'lev 2014'!$B$2:$E$432,4,FALSE),"")</f>
        <v>6921.6790000000001</v>
      </c>
      <c r="V380" s="10">
        <f>IFERROR(INDEX(Levererat_2015[Leveranser till eget nät],MATCH($A380,Levererat_2015[Indexnamn],0)),"")</f>
        <v>6736.0209999999997</v>
      </c>
      <c r="W380" s="10">
        <f>IFERROR(INDEX(Levererat_2016[Leveranser till eget nät],MATCH($A380,Levererat_2016[Indexnamn],0)),"")</f>
        <v>7343.9380000000001</v>
      </c>
      <c r="X380" s="10">
        <f>IFERROR(INDEX(Tabell4[Leveranser till eget nät],MATCH('Leveranser per nät'!A380,Tabell4[[Finns i listan ]],0)),"")</f>
        <v>7197.93</v>
      </c>
      <c r="Y380" s="10">
        <f>IFERROR(INDEX(Tabell6[Kolumn1],MATCH($A380,Tabell6[Indexnmamn],0)),"")</f>
        <v>7165.7870000000003</v>
      </c>
      <c r="Z380" s="10">
        <v>8032.2060000000001</v>
      </c>
      <c r="AA380" s="10">
        <v>7170.8670000000002</v>
      </c>
      <c r="AB380" s="10">
        <f>VLOOKUP(A380,Tabell9[[Indexnamn]:[Kolumn1]],3,FALSE)</f>
        <v>8244.34</v>
      </c>
      <c r="AC380" s="10">
        <f>VLOOKUP($A380,'Lev 2022'!$K$2:$L$474,2,FALSE)</f>
        <v>7727.2889999999998</v>
      </c>
      <c r="AG380" s="2">
        <f>AC380-AB380</f>
        <v>-517.05100000000039</v>
      </c>
      <c r="AH380" s="103">
        <f t="shared" si="14"/>
        <v>-6.2715875376318828E-2</v>
      </c>
    </row>
    <row r="381" spans="1:34" x14ac:dyDescent="0.25">
      <c r="A381" s="4" t="s">
        <v>421</v>
      </c>
      <c r="B381" t="str">
        <f>VLOOKUP(A381,'Korrigerade leveranser GD'!$A$4:$B$482,2,FALSE)</f>
        <v>Stenungsund</v>
      </c>
      <c r="C381" s="10"/>
      <c r="D381" s="10"/>
      <c r="E381" s="10"/>
      <c r="F381" s="10"/>
      <c r="G381" s="10"/>
      <c r="H381" s="10"/>
      <c r="I381" s="10"/>
      <c r="J381" s="10"/>
      <c r="K381" s="10"/>
      <c r="L381" s="10"/>
      <c r="M381" s="10"/>
      <c r="N381" s="10"/>
      <c r="O381" s="10"/>
      <c r="P381" s="10">
        <v>0</v>
      </c>
      <c r="Q381" s="10">
        <v>1.1000000000000001</v>
      </c>
      <c r="R381" s="10">
        <v>0.9</v>
      </c>
      <c r="S381" s="10">
        <f>IFERROR(VLOOKUP('Leveranser per nät'!A381,'lev 2012'!$B$2:$E$445,4,FALSE),"")</f>
        <v>1</v>
      </c>
      <c r="T381" s="10">
        <f>IFERROR(VLOOKUP('Leveranser per nät'!A381,'lev 2013'!$B$2:$E$445,4,FALSE),"")</f>
        <v>0.9</v>
      </c>
      <c r="U381" s="10">
        <f>IFERROR(VLOOKUP('Leveranser per nät'!A381,'lev 2014'!$B$2:$E$432,4,FALSE),"")</f>
        <v>0.84</v>
      </c>
      <c r="V381" s="10">
        <f>IFERROR(INDEX(Levererat_2015[Leveranser till eget nät],MATCH($A381,Levererat_2015[Indexnamn],0)),"")</f>
        <v>0.84299999999999997</v>
      </c>
      <c r="W381" s="10">
        <f>IFERROR(INDEX(Levererat_2016[Leveranser till eget nät],MATCH($A381,Levererat_2016[Indexnamn],0)),"")</f>
        <v>0.88700000000000001</v>
      </c>
      <c r="X381" s="10">
        <f>IFERROR(INDEX(Tabell4[Leveranser till eget nät],MATCH('Leveranser per nät'!A381,Tabell4[[Finns i listan ]],0)),"")</f>
        <v>0.90400000000000003</v>
      </c>
      <c r="Y381" s="10">
        <f>IFERROR(INDEX(Tabell6[Kolumn1],MATCH($A381,Tabell6[Indexnmamn],0)),"")</f>
        <v>0.872</v>
      </c>
      <c r="Z381" s="10">
        <v>0.94</v>
      </c>
      <c r="AA381" s="10">
        <v>0.79400000000000004</v>
      </c>
      <c r="AB381" s="10">
        <f>VLOOKUP(A381,Tabell9[[Indexnamn]:[Kolumn1]],3,FALSE)</f>
        <v>1.1539999999999999</v>
      </c>
      <c r="AC381" s="10">
        <f>VLOOKUP($A381,'Lev 2022'!$K$2:$L$474,2,FALSE)</f>
        <v>1.337</v>
      </c>
      <c r="AG381" s="2">
        <f t="shared" si="13"/>
        <v>0.18300000000000005</v>
      </c>
      <c r="AH381" s="103">
        <f t="shared" si="14"/>
        <v>0.15857885615251305</v>
      </c>
    </row>
    <row r="382" spans="1:34" s="65" customFormat="1" x14ac:dyDescent="0.25">
      <c r="A382" s="65" t="s">
        <v>422</v>
      </c>
      <c r="B382" s="65" t="str">
        <f>VLOOKUP(A382,'Korrigerade leveranser GD'!$A$4:$B$482,2,FALSE)</f>
        <v>Nynäshamn</v>
      </c>
      <c r="C382" s="68"/>
      <c r="D382" s="68">
        <v>3.06</v>
      </c>
      <c r="E382" s="68">
        <v>3</v>
      </c>
      <c r="F382" s="68">
        <v>0</v>
      </c>
      <c r="G382" s="68">
        <v>0</v>
      </c>
      <c r="H382" s="68">
        <v>3</v>
      </c>
      <c r="I382" s="68">
        <v>0</v>
      </c>
      <c r="J382" s="68">
        <v>3</v>
      </c>
      <c r="K382" s="68">
        <v>0</v>
      </c>
      <c r="L382" s="68"/>
      <c r="M382" s="68"/>
      <c r="N382" s="68"/>
      <c r="O382" s="68"/>
      <c r="P382" s="68"/>
      <c r="Q382" s="68"/>
      <c r="R382" s="68"/>
      <c r="S382" s="68"/>
      <c r="T382" s="68" t="str">
        <f>IFERROR(VLOOKUP('Leveranser per nät'!A382,'lev 2013'!$B$2:$E$445,4,FALSE),"")</f>
        <v/>
      </c>
      <c r="U382" s="68" t="str">
        <f>IFERROR(VLOOKUP('Leveranser per nät'!A382,'lev 2014'!$B$2:$E$432,4,FALSE),"")</f>
        <v/>
      </c>
      <c r="V382" s="68" t="str">
        <f>IFERROR(INDEX(Levererat_2015[Leveranser till eget nät],MATCH($A382,Levererat_2015[Indexnamn],0)),"")</f>
        <v/>
      </c>
      <c r="W382" s="68" t="str">
        <f>IFERROR(INDEX(Levererat_2016[Leveranser till eget nät],MATCH($A382,Levererat_2016[Indexnamn],0)),"")</f>
        <v/>
      </c>
      <c r="X382" s="68" t="str">
        <f>IFERROR(INDEX(Tabell4[Leveranser till eget nät],MATCH('Leveranser per nät'!A382,Tabell4[[Finns i listan ]],0)),"")</f>
        <v/>
      </c>
      <c r="Y382" s="68" t="str">
        <f>IFERROR(INDEX(Tabell6[Kolumn1],MATCH($A382,Tabell6[Indexnmamn],0)),"")</f>
        <v/>
      </c>
      <c r="Z382" s="68"/>
      <c r="AA382" s="68" t="s">
        <v>779</v>
      </c>
      <c r="AB382" s="10"/>
      <c r="AC382" s="10"/>
      <c r="AD382"/>
      <c r="AE382"/>
      <c r="AG382" s="2"/>
      <c r="AH382" s="103"/>
    </row>
    <row r="383" spans="1:34" x14ac:dyDescent="0.25">
      <c r="A383" t="s">
        <v>353</v>
      </c>
      <c r="B383" t="str">
        <f>VLOOKUP(A383,'Korrigerade leveranser GD'!$A$4:$B$482,2,FALSE)</f>
        <v>Vimmerby</v>
      </c>
      <c r="C383" s="10"/>
      <c r="D383" s="10"/>
      <c r="E383" s="10"/>
      <c r="F383" s="10"/>
      <c r="G383" s="10"/>
      <c r="H383" s="10"/>
      <c r="I383" s="10"/>
      <c r="J383" s="10"/>
      <c r="K383" s="10"/>
      <c r="L383" s="10"/>
      <c r="M383" s="10"/>
      <c r="N383" s="10">
        <v>0</v>
      </c>
      <c r="O383" s="10">
        <v>4.3</v>
      </c>
      <c r="P383" s="10">
        <v>5.7</v>
      </c>
      <c r="Q383" s="10">
        <v>8.8699999999999992</v>
      </c>
      <c r="R383" s="10">
        <v>7.54</v>
      </c>
      <c r="S383" s="10">
        <f>IFERROR(VLOOKUP('Leveranser per nät'!A383,'lev 2012'!$B$2:$E$445,4,FALSE),"")</f>
        <v>7.08</v>
      </c>
      <c r="T383" s="10">
        <f>IFERROR(VLOOKUP('Leveranser per nät'!A383,'lev 2013'!$B$2:$E$445,4,FALSE),"")</f>
        <v>7.3390000000000004</v>
      </c>
      <c r="U383" s="10">
        <f>IFERROR(VLOOKUP('Leveranser per nät'!A383,'lev 2014'!$B$2:$E$432,4,FALSE),"")</f>
        <v>6.0860000000000003</v>
      </c>
      <c r="V383" s="10">
        <f>IFERROR(INDEX(Levererat_2015[Leveranser till eget nät],MATCH($A383,Levererat_2015[Indexnamn],0)),"")</f>
        <v>6.3410000000000002</v>
      </c>
      <c r="W383" s="10">
        <f>IFERROR(INDEX(Levererat_2016[Leveranser till eget nät],MATCH($A383,Levererat_2016[Indexnamn],0)),"")</f>
        <v>6.4850000000000003</v>
      </c>
      <c r="X383" s="10">
        <f>IFERROR(INDEX(Tabell4[Leveranser till eget nät],MATCH('Leveranser per nät'!A383,Tabell4[[Finns i listan ]],0)),"")</f>
        <v>6.8170000000000002</v>
      </c>
      <c r="Y383" s="10">
        <f>IFERROR(INDEX(Tabell6[Kolumn1],MATCH($A383,Tabell6[Indexnmamn],0)),"")</f>
        <v>6.7370000000000001</v>
      </c>
      <c r="Z383" s="10">
        <v>6.6470000000000002</v>
      </c>
      <c r="AA383" s="10">
        <v>6.37</v>
      </c>
      <c r="AB383" s="10">
        <f>VLOOKUP(A383,Tabell9[[Indexnamn]:[Kolumn1]],3,FALSE)</f>
        <v>5.4930000000000003</v>
      </c>
      <c r="AC383" s="10">
        <f>VLOOKUP($A383,'Lev 2022'!$K$2:$L$474,2,FALSE)</f>
        <v>4.0860000000000003</v>
      </c>
      <c r="AG383" s="2">
        <f t="shared" si="13"/>
        <v>-1.407</v>
      </c>
      <c r="AH383" s="103">
        <f t="shared" si="14"/>
        <v>-0.25614418350628071</v>
      </c>
    </row>
    <row r="384" spans="1:34" s="70" customFormat="1" x14ac:dyDescent="0.25">
      <c r="A384" s="70" t="s">
        <v>247</v>
      </c>
      <c r="B384" s="70" t="s">
        <v>247</v>
      </c>
      <c r="C384" s="76"/>
      <c r="D384" s="76"/>
      <c r="E384" s="76"/>
      <c r="F384" s="76">
        <v>0</v>
      </c>
      <c r="G384" s="76">
        <v>25</v>
      </c>
      <c r="H384" s="76">
        <v>29.53</v>
      </c>
      <c r="I384" s="76">
        <v>29.146999999999998</v>
      </c>
      <c r="J384" s="76">
        <v>12.734999999999999</v>
      </c>
      <c r="K384" s="76">
        <v>23.888960217374208</v>
      </c>
      <c r="L384" s="76">
        <v>23.888960217374208</v>
      </c>
      <c r="M384" s="76">
        <v>6.5</v>
      </c>
      <c r="N384" s="76">
        <v>22.655999999999999</v>
      </c>
      <c r="O384" s="76">
        <v>21.905999999999999</v>
      </c>
      <c r="P384" s="76">
        <v>21.544</v>
      </c>
      <c r="Q384" s="76">
        <v>26.606000000000002</v>
      </c>
      <c r="R384" s="76">
        <v>19.899999999999999</v>
      </c>
      <c r="S384" s="76">
        <f>IFERROR(VLOOKUP('Leveranser per nät'!A384,'lev 2012'!$B$2:$E$445,4,FALSE),"")</f>
        <v>19.05</v>
      </c>
      <c r="T384" s="76">
        <f>IFERROR(VLOOKUP('Leveranser per nät'!A384,'lev 2013'!$B$2:$E$445,4,FALSE),"")</f>
        <v>17.350999999999999</v>
      </c>
      <c r="U384" s="76">
        <f>IFERROR(VLOOKUP('Leveranser per nät'!A384,'lev 2014'!$B$2:$E$432,4,FALSE),"")</f>
        <v>14.084</v>
      </c>
      <c r="V384" s="76">
        <f>IFERROR(INDEX(Levererat_2015[Leveranser till eget nät],MATCH($A384,Levererat_2015[Indexnamn],0)),"")</f>
        <v>13.973000000000001</v>
      </c>
      <c r="W384" s="76" t="str">
        <f>IFERROR(INDEX(Levererat_2016[Leveranser till eget nät],MATCH($A384,Levererat_2016[Indexnamn],0)),"")</f>
        <v/>
      </c>
      <c r="X384" s="76"/>
      <c r="Y384" s="76" t="str">
        <f>IFERROR(INDEX(Tabell6[Kolumn1],MATCH($A384,Tabell6[Indexnmamn],0)),"")</f>
        <v/>
      </c>
      <c r="Z384" s="76"/>
      <c r="AA384" s="76" t="s">
        <v>779</v>
      </c>
      <c r="AB384" s="10"/>
      <c r="AC384" s="10"/>
      <c r="AD384" s="5"/>
      <c r="AE384"/>
      <c r="AG384" s="2">
        <f t="shared" si="13"/>
        <v>0</v>
      </c>
      <c r="AH384" s="103"/>
    </row>
    <row r="385" spans="1:34" x14ac:dyDescent="0.25">
      <c r="A385" t="s">
        <v>272</v>
      </c>
      <c r="B385" t="str">
        <f>VLOOKUP(A385,'Korrigerade leveranser GD'!$A$4:$B$482,2,FALSE)</f>
        <v>Storuman</v>
      </c>
      <c r="C385" s="10"/>
      <c r="D385" s="10"/>
      <c r="E385" s="10"/>
      <c r="F385" s="10"/>
      <c r="G385" s="10"/>
      <c r="H385" s="10"/>
      <c r="I385" s="10"/>
      <c r="J385" s="10"/>
      <c r="K385" s="10"/>
      <c r="L385" s="10"/>
      <c r="M385" s="10">
        <v>0</v>
      </c>
      <c r="N385" s="10">
        <v>31.541</v>
      </c>
      <c r="O385" s="10">
        <v>29.465</v>
      </c>
      <c r="P385" s="10">
        <v>31.538</v>
      </c>
      <c r="Q385" s="10">
        <v>34.606000000000002</v>
      </c>
      <c r="R385" s="10">
        <v>29.3</v>
      </c>
      <c r="S385" s="10">
        <f>IFERROR(VLOOKUP('Leveranser per nät'!A385,'lev 2012'!$B$2:$E$445,4,FALSE),"")</f>
        <v>32</v>
      </c>
      <c r="T385" s="10">
        <f>IFERROR(VLOOKUP('Leveranser per nät'!A385,'lev 2013'!$B$2:$E$445,4,FALSE),"")</f>
        <v>29.599</v>
      </c>
      <c r="U385" s="10">
        <f>IFERROR(VLOOKUP('Leveranser per nät'!A385,'lev 2014'!$B$2:$E$432,4,FALSE),"")</f>
        <v>28.03</v>
      </c>
      <c r="V385" s="10">
        <f>IFERROR(INDEX(Levererat_2015[Leveranser till eget nät],MATCH($A385,Levererat_2015[Indexnamn],0)),"")</f>
        <v>28.841999999999999</v>
      </c>
      <c r="W385" s="10">
        <f>IFERROR(INDEX(Levererat_2016[Leveranser till eget nät],MATCH($A385,Levererat_2016[Indexnamn],0)),"")</f>
        <v>30.12</v>
      </c>
      <c r="X385" s="10">
        <f>IFERROR(INDEX(Tabell4[Leveranser till eget nät],MATCH('Leveranser per nät'!A385,Tabell4[[Finns i listan ]],0)),"")</f>
        <v>29.978000000000002</v>
      </c>
      <c r="Y385" s="10">
        <f>IFERROR(INDEX(Tabell6[Kolumn1],MATCH($A385,Tabell6[Indexnmamn],0)),"")</f>
        <v>30.885999999999999</v>
      </c>
      <c r="Z385" s="10">
        <v>31.312999999999999</v>
      </c>
      <c r="AA385" s="10">
        <v>27.164000000000001</v>
      </c>
      <c r="AB385" s="10">
        <f>VLOOKUP(A385,Tabell9[[Indexnamn]:[Kolumn1]],3,FALSE)</f>
        <v>31.450700000000001</v>
      </c>
      <c r="AC385" s="10">
        <f>VLOOKUP($A385,'Lev 2022'!$K$2:$L$474,2,FALSE)</f>
        <v>29.561</v>
      </c>
      <c r="AG385" s="2">
        <f t="shared" si="13"/>
        <v>-1.8897000000000013</v>
      </c>
      <c r="AH385" s="103">
        <f t="shared" si="14"/>
        <v>-6.0084513222281262E-2</v>
      </c>
    </row>
    <row r="386" spans="1:34" s="65" customFormat="1" x14ac:dyDescent="0.25">
      <c r="A386" s="65" t="s">
        <v>423</v>
      </c>
      <c r="B386" s="65" t="s">
        <v>255</v>
      </c>
      <c r="C386" s="68"/>
      <c r="D386" s="68"/>
      <c r="E386" s="68"/>
      <c r="F386" s="68"/>
      <c r="G386" s="68"/>
      <c r="H386" s="68"/>
      <c r="I386" s="68"/>
      <c r="J386" s="68"/>
      <c r="K386" s="68">
        <v>0</v>
      </c>
      <c r="L386" s="68">
        <v>9.5220000000000002</v>
      </c>
      <c r="M386" s="68">
        <v>0</v>
      </c>
      <c r="N386" s="68"/>
      <c r="O386" s="68"/>
      <c r="P386" s="68"/>
      <c r="Q386" s="68"/>
      <c r="R386" s="68">
        <v>0</v>
      </c>
      <c r="S386" s="68">
        <f>IFERROR(VLOOKUP('Leveranser per nät'!A386,'lev 2012'!$B$2:$E$445,4,FALSE),"")</f>
        <v>1.5</v>
      </c>
      <c r="T386" s="68" t="str">
        <f>IFERROR(VLOOKUP('Leveranser per nät'!A386,'lev 2013'!$B$2:$E$445,4,FALSE),"")</f>
        <v/>
      </c>
      <c r="U386" s="68" t="str">
        <f>IFERROR(VLOOKUP('Leveranser per nät'!A386,'lev 2014'!$B$2:$E$432,4,FALSE),"")</f>
        <v/>
      </c>
      <c r="V386" s="68" t="str">
        <f>IFERROR(INDEX(Levererat_2015[Leveranser till eget nät],MATCH($A386,Levererat_2015[Indexnamn],0)),"")</f>
        <v/>
      </c>
      <c r="W386" s="68" t="str">
        <f>IFERROR(INDEX(Levererat_2016[Leveranser till eget nät],MATCH($A386,Levererat_2016[Indexnamn],0)),"")</f>
        <v/>
      </c>
      <c r="X386" s="68" t="str">
        <f>IFERROR(INDEX(Tabell4[Leveranser till eget nät],MATCH('Leveranser per nät'!A386,Tabell4[[Finns i listan ]],0)),"")</f>
        <v/>
      </c>
      <c r="Y386" s="68" t="str">
        <f>IFERROR(INDEX(Tabell6[Kolumn1],MATCH($A386,Tabell6[Indexnmamn],0)),"")</f>
        <v/>
      </c>
      <c r="Z386" s="68"/>
      <c r="AA386" s="68" t="s">
        <v>779</v>
      </c>
      <c r="AB386" s="10"/>
      <c r="AC386" s="10"/>
      <c r="AD386"/>
      <c r="AE386"/>
      <c r="AG386" s="2"/>
      <c r="AH386" s="103"/>
    </row>
    <row r="387" spans="1:34" x14ac:dyDescent="0.25">
      <c r="A387" t="s">
        <v>343</v>
      </c>
      <c r="B387" t="str">
        <f>VLOOKUP(A387,'Korrigerade leveranser GD'!$A$4:$B$482,2,FALSE)</f>
        <v>Uppsala</v>
      </c>
      <c r="C387" s="10"/>
      <c r="D387" s="10">
        <v>0</v>
      </c>
      <c r="E387" s="10">
        <v>14</v>
      </c>
      <c r="F387" s="10">
        <v>14</v>
      </c>
      <c r="G387" s="10">
        <v>0</v>
      </c>
      <c r="H387" s="10">
        <v>0</v>
      </c>
      <c r="I387" s="10">
        <v>14</v>
      </c>
      <c r="J387" s="10">
        <v>15.981</v>
      </c>
      <c r="K387" s="10">
        <v>17.239294771521724</v>
      </c>
      <c r="L387" s="10">
        <v>17.239294771521724</v>
      </c>
      <c r="M387" s="10">
        <v>16.143999999999998</v>
      </c>
      <c r="N387" s="10">
        <v>14.2</v>
      </c>
      <c r="O387" s="10">
        <v>14.3</v>
      </c>
      <c r="P387" s="10">
        <v>14.6</v>
      </c>
      <c r="Q387" s="10">
        <v>15.67</v>
      </c>
      <c r="R387" s="10">
        <v>13.6</v>
      </c>
      <c r="S387" s="10">
        <f>IFERROR(VLOOKUP('Leveranser per nät'!A387,'lev 2012'!$B$2:$E$445,4,FALSE),"")</f>
        <v>14.7</v>
      </c>
      <c r="T387" s="10">
        <f>IFERROR(VLOOKUP('Leveranser per nät'!A387,'lev 2013'!$B$2:$E$445,4,FALSE),"")</f>
        <v>14.7</v>
      </c>
      <c r="U387" s="10">
        <f>IFERROR(VLOOKUP('Leveranser per nät'!A387,'lev 2014'!$B$2:$E$432,4,FALSE),"")</f>
        <v>13.65</v>
      </c>
      <c r="V387" s="10">
        <f>IFERROR(INDEX(Levererat_2015[Leveranser till eget nät],MATCH($A387,Levererat_2015[Indexnamn],0)),"")</f>
        <v>13.5</v>
      </c>
      <c r="W387" s="10">
        <f>IFERROR(INDEX(Levererat_2016[Leveranser till eget nät],MATCH($A387,Levererat_2016[Indexnamn],0)),"")</f>
        <v>13.89</v>
      </c>
      <c r="X387" s="10">
        <f>IFERROR(INDEX(Tabell4[Leveranser till eget nät],MATCH('Leveranser per nät'!A387,Tabell4[[Finns i listan ]],0)),"")</f>
        <v>14</v>
      </c>
      <c r="Y387" s="10">
        <f>IFERROR(INDEX(Tabell6[Kolumn1],MATCH($A387,Tabell6[Indexnmamn],0)),"")</f>
        <v>14.05</v>
      </c>
      <c r="Z387" s="10">
        <v>14.379</v>
      </c>
      <c r="AA387" s="10">
        <v>13.21</v>
      </c>
      <c r="AB387" s="10">
        <f>VLOOKUP(A387,Tabell9[[Indexnamn]:[Kolumn1]],3,FALSE)</f>
        <v>14.73</v>
      </c>
      <c r="AC387" s="10">
        <f>VLOOKUP($A387,'Lev 2022'!$K$2:$L$474,2,FALSE)</f>
        <v>13.654399999999999</v>
      </c>
      <c r="AG387" s="2">
        <f t="shared" si="13"/>
        <v>-1.0756000000000014</v>
      </c>
      <c r="AH387" s="103">
        <f t="shared" si="14"/>
        <v>-7.3021045485404029E-2</v>
      </c>
    </row>
    <row r="388" spans="1:34" x14ac:dyDescent="0.25">
      <c r="A388" t="s">
        <v>285</v>
      </c>
      <c r="B388" t="str">
        <f>VLOOKUP(A388,'Korrigerade leveranser GD'!$A$4:$B$482,2,FALSE)</f>
        <v>Strängnäs</v>
      </c>
      <c r="C388" s="10"/>
      <c r="D388" s="10"/>
      <c r="E388" s="10"/>
      <c r="F388" s="10"/>
      <c r="G388" s="10">
        <v>0</v>
      </c>
      <c r="H388" s="10">
        <v>67</v>
      </c>
      <c r="I388" s="10">
        <v>82</v>
      </c>
      <c r="J388" s="10">
        <v>96</v>
      </c>
      <c r="K388" s="10">
        <v>86</v>
      </c>
      <c r="L388" s="10">
        <v>85.7</v>
      </c>
      <c r="M388" s="10">
        <v>85.7</v>
      </c>
      <c r="N388" s="10">
        <v>85.7</v>
      </c>
      <c r="O388" s="10">
        <v>102.7</v>
      </c>
      <c r="P388" s="10">
        <v>125.8</v>
      </c>
      <c r="Q388" s="10">
        <v>144.553</v>
      </c>
      <c r="R388" s="10">
        <v>150.4</v>
      </c>
      <c r="S388" s="10">
        <f>IFERROR(VLOOKUP('Leveranser per nät'!A388,'lev 2012'!$B$2:$E$445,4,FALSE),"")</f>
        <v>150</v>
      </c>
      <c r="T388" s="10">
        <f>IFERROR(VLOOKUP('Leveranser per nät'!A388,'lev 2013'!$B$2:$E$445,4,FALSE),"")</f>
        <v>149.90700000000001</v>
      </c>
      <c r="U388" s="10">
        <f>IFERROR(VLOOKUP('Leveranser per nät'!A388,'lev 2014'!$B$2:$E$432,4,FALSE),"")</f>
        <v>136.19999999999999</v>
      </c>
      <c r="V388" s="10">
        <f>IFERROR(INDEX(Levererat_2015[Leveranser till eget nät],MATCH($A388,Levererat_2015[Indexnamn],0)),"")</f>
        <v>120.9</v>
      </c>
      <c r="W388" s="10">
        <f>IFERROR(INDEX(Levererat_2016[Leveranser till eget nät],MATCH($A388,Levererat_2016[Indexnamn],0)),"")</f>
        <v>148.15</v>
      </c>
      <c r="X388" s="10">
        <f>IFERROR(INDEX(Tabell4[Leveranser till eget nät],MATCH('Leveranser per nät'!A388,Tabell4[[Finns i listan ]],0)),"")</f>
        <v>128.99299999999999</v>
      </c>
      <c r="Y388" s="10">
        <f>IFERROR(INDEX(Tabell6[Kolumn1],MATCH($A388,Tabell6[Indexnmamn],0)),"")</f>
        <v>149.37200000000001</v>
      </c>
      <c r="Z388" s="10">
        <v>149.303</v>
      </c>
      <c r="AA388" s="10">
        <v>138.24</v>
      </c>
      <c r="AB388" s="10">
        <f>VLOOKUP(A388,Tabell9[[Indexnamn]:[Kolumn1]],3,FALSE)</f>
        <v>163.31100000000001</v>
      </c>
      <c r="AC388" s="10">
        <f>VLOOKUP($A388,'Lev 2022'!$K$2:$L$474,2,FALSE)</f>
        <v>138.35900000000001</v>
      </c>
      <c r="AG388" s="2">
        <f t="shared" si="13"/>
        <v>-24.951999999999998</v>
      </c>
      <c r="AH388" s="103">
        <f t="shared" si="14"/>
        <v>-0.15278823839178007</v>
      </c>
    </row>
    <row r="389" spans="1:34" s="65" customFormat="1" x14ac:dyDescent="0.25">
      <c r="A389" s="67" t="s">
        <v>13</v>
      </c>
      <c r="B389" t="s">
        <v>138</v>
      </c>
      <c r="C389" s="68"/>
      <c r="D389" s="68"/>
      <c r="E389" s="68"/>
      <c r="F389" s="68"/>
      <c r="G389" s="68"/>
      <c r="H389" s="68"/>
      <c r="I389" s="68"/>
      <c r="J389" s="68"/>
      <c r="K389" s="68"/>
      <c r="L389" s="68"/>
      <c r="M389" s="68"/>
      <c r="N389" s="68"/>
      <c r="O389" s="68"/>
      <c r="P389" s="68">
        <v>0</v>
      </c>
      <c r="Q389" s="68">
        <v>0.2</v>
      </c>
      <c r="R389" s="68">
        <v>0</v>
      </c>
      <c r="S389" s="68" t="str">
        <f>IFERROR(VLOOKUP('Leveranser per nät'!A389,'lev 2012'!$B$2:$E$445,4,FALSE),"")</f>
        <v/>
      </c>
      <c r="T389" s="68" t="str">
        <f>IFERROR(VLOOKUP('Leveranser per nät'!A389,'lev 2013'!$B$2:$E$445,4,FALSE),"")</f>
        <v/>
      </c>
      <c r="U389" s="68" t="str">
        <f>IFERROR(VLOOKUP('Leveranser per nät'!A389,'lev 2014'!$B$2:$E$432,4,FALSE),"")</f>
        <v/>
      </c>
      <c r="V389" s="68" t="str">
        <f>IFERROR(INDEX(Levererat_2015[Leveranser till eget nät],MATCH($A389,Levererat_2015[Indexnamn],0)),"")</f>
        <v/>
      </c>
      <c r="W389" s="68" t="str">
        <f>IFERROR(INDEX(Levererat_2016[Leveranser till eget nät],MATCH($A389,Levererat_2016[Indexnamn],0)),"")</f>
        <v/>
      </c>
      <c r="X389" s="68" t="str">
        <f>IFERROR(INDEX(Tabell4[Leveranser till eget nät],MATCH('Leveranser per nät'!A389,Tabell4[[Finns i listan ]],0)),"")</f>
        <v/>
      </c>
      <c r="Y389" s="68" t="str">
        <f>IFERROR(INDEX(Tabell6[Kolumn1],MATCH($A389,Tabell6[Indexnmamn],0)),"")</f>
        <v/>
      </c>
      <c r="Z389" s="68"/>
      <c r="AA389" s="68" t="s">
        <v>779</v>
      </c>
      <c r="AB389" s="10"/>
      <c r="AC389" s="10"/>
      <c r="AD389"/>
      <c r="AE389"/>
      <c r="AG389" s="2"/>
      <c r="AH389" s="103"/>
    </row>
    <row r="390" spans="1:34" x14ac:dyDescent="0.25">
      <c r="A390" s="3" t="s">
        <v>495</v>
      </c>
      <c r="B390" t="str">
        <f>VLOOKUP(A390,'Korrigerade leveranser GD'!$A$4:$B$482,2,FALSE)</f>
        <v>Markaryd</v>
      </c>
      <c r="C390" s="10"/>
      <c r="D390" s="10"/>
      <c r="E390" s="10"/>
      <c r="F390" s="10"/>
      <c r="G390" s="10"/>
      <c r="H390" s="10"/>
      <c r="I390" s="10"/>
      <c r="J390" s="10"/>
      <c r="K390" s="10"/>
      <c r="L390" s="10"/>
      <c r="M390" s="10"/>
      <c r="N390" s="10"/>
      <c r="O390" s="10"/>
      <c r="P390" s="10">
        <v>0</v>
      </c>
      <c r="Q390" s="10">
        <v>8.4</v>
      </c>
      <c r="R390" s="10">
        <v>3.6256550010000002</v>
      </c>
      <c r="S390" s="10">
        <f>IFERROR(VLOOKUP('Leveranser per nät'!A390,'lev 2012'!$B$2:$E$445,4,FALSE),"")</f>
        <v>4.62</v>
      </c>
      <c r="T390" s="10">
        <f>IFERROR(VLOOKUP('Leveranser per nät'!A390,'lev 2013'!$B$2:$E$445,4,FALSE),"")</f>
        <v>10.199999999999999</v>
      </c>
      <c r="U390" s="56">
        <f>(T390-V390)/2+V390</f>
        <v>9.1999999999999993</v>
      </c>
      <c r="V390" s="69">
        <v>8.1999999999999993</v>
      </c>
      <c r="W390" s="69">
        <v>8.4</v>
      </c>
      <c r="X390" s="69">
        <v>9.6999999999999993</v>
      </c>
      <c r="Y390" s="69">
        <v>9.9</v>
      </c>
      <c r="Z390" s="69">
        <v>9.3000000000000007</v>
      </c>
      <c r="AA390" s="10">
        <v>9.4</v>
      </c>
      <c r="AB390" s="10">
        <f>VLOOKUP(A390,Tabell9[[Indexnamn]:[Kolumn1]],3,FALSE)</f>
        <v>10.7</v>
      </c>
      <c r="AC390" s="10">
        <f>VLOOKUP($A390,'Lev 2022'!$K$2:$L$474,2,FALSE)</f>
        <v>9.9</v>
      </c>
      <c r="AG390" s="2">
        <f t="shared" ref="AG390:AG452" si="15">AC390-AB390</f>
        <v>-0.79999999999999893</v>
      </c>
      <c r="AH390" s="103">
        <f t="shared" ref="AH390:AH452" si="16">AG390/AB390</f>
        <v>-7.4766355140186827E-2</v>
      </c>
    </row>
    <row r="391" spans="1:34" x14ac:dyDescent="0.25">
      <c r="A391" t="s">
        <v>466</v>
      </c>
      <c r="B391" t="str">
        <f>VLOOKUP(A391,'Korrigerade leveranser GD'!$A$4:$B$482,2,FALSE)</f>
        <v>Dorotea</v>
      </c>
      <c r="C391" s="10">
        <v>37</v>
      </c>
      <c r="D391" s="10">
        <v>30.306999999999999</v>
      </c>
      <c r="E391" s="10">
        <v>38.491999999999997</v>
      </c>
      <c r="F391" s="10">
        <v>30</v>
      </c>
      <c r="G391" s="10">
        <v>31</v>
      </c>
      <c r="H391" s="10">
        <v>33</v>
      </c>
      <c r="I391" s="10">
        <v>29</v>
      </c>
      <c r="J391" s="56">
        <f>(I391-K391)/2+K391</f>
        <v>28.661000000000001</v>
      </c>
      <c r="K391" s="10">
        <v>28.321999999999999</v>
      </c>
      <c r="L391" s="10">
        <v>34.71465709126322</v>
      </c>
      <c r="M391" s="10">
        <v>0</v>
      </c>
      <c r="N391" s="10"/>
      <c r="O391" s="10"/>
      <c r="P391" s="10"/>
      <c r="Q391" s="10"/>
      <c r="R391" s="10"/>
      <c r="S391" s="10">
        <v>51.5</v>
      </c>
      <c r="T391" s="10">
        <v>49.6</v>
      </c>
      <c r="U391" s="10">
        <v>48.2</v>
      </c>
      <c r="V391" s="10">
        <v>48.4</v>
      </c>
      <c r="W391" s="10">
        <v>51.9</v>
      </c>
      <c r="X391" s="10">
        <f>IFERROR(INDEX(Tabell4[Leveranser till eget nät],MATCH('Leveranser per nät'!A391,Tabell4[[Finns i listan ]],0)),"")</f>
        <v>51.6</v>
      </c>
      <c r="Y391" s="10">
        <f>IFERROR(INDEX(Tabell6[Kolumn1],MATCH($A391,Tabell6[Indexnmamn],0)),"")</f>
        <v>55.7</v>
      </c>
      <c r="Z391" s="10">
        <v>54.4</v>
      </c>
      <c r="AA391" s="10">
        <v>50.5</v>
      </c>
      <c r="AB391" s="10">
        <f>VLOOKUP(A391,Tabell9[[Indexnamn]:[Kolumn1]],3,FALSE)</f>
        <v>55.5</v>
      </c>
      <c r="AC391" s="10">
        <f>VLOOKUP($A391,'Lev 2022'!$K$2:$L$474,2,FALSE)</f>
        <v>54.4</v>
      </c>
      <c r="AG391" s="2">
        <f t="shared" si="15"/>
        <v>-1.1000000000000014</v>
      </c>
      <c r="AH391" s="103">
        <f t="shared" si="16"/>
        <v>-1.9819819819819846E-2</v>
      </c>
    </row>
    <row r="392" spans="1:34" s="65" customFormat="1" x14ac:dyDescent="0.25">
      <c r="A392" s="65" t="s">
        <v>424</v>
      </c>
      <c r="B392" t="s">
        <v>301</v>
      </c>
      <c r="C392" s="68">
        <v>0</v>
      </c>
      <c r="D392" s="68">
        <v>2.27</v>
      </c>
      <c r="E392" s="68">
        <v>2</v>
      </c>
      <c r="F392" s="68">
        <v>0</v>
      </c>
      <c r="G392" s="68">
        <v>0</v>
      </c>
      <c r="H392" s="68"/>
      <c r="I392" s="68"/>
      <c r="J392" s="68"/>
      <c r="K392" s="68"/>
      <c r="L392" s="68"/>
      <c r="M392" s="68"/>
      <c r="N392" s="68"/>
      <c r="O392" s="68"/>
      <c r="P392" s="68"/>
      <c r="Q392" s="68"/>
      <c r="R392" s="68"/>
      <c r="S392" s="68"/>
      <c r="T392" s="68" t="str">
        <f>IFERROR(VLOOKUP('Leveranser per nät'!A392,'lev 2013'!$B$2:$E$445,4,FALSE),"")</f>
        <v/>
      </c>
      <c r="U392" s="68" t="str">
        <f>IFERROR(VLOOKUP('Leveranser per nät'!A392,'lev 2014'!$B$2:$E$432,4,FALSE),"")</f>
        <v/>
      </c>
      <c r="V392" s="68" t="str">
        <f>IFERROR(INDEX(Levererat_2015[Leveranser till eget nät],MATCH($A392,Levererat_2015[Indexnamn],0)),"")</f>
        <v/>
      </c>
      <c r="W392" s="68" t="str">
        <f>IFERROR(INDEX(Levererat_2016[Leveranser till eget nät],MATCH($A392,Levererat_2016[Indexnamn],0)),"")</f>
        <v/>
      </c>
      <c r="X392" s="68" t="str">
        <f>IFERROR(INDEX(Tabell4[Leveranser till eget nät],MATCH('Leveranser per nät'!A392,Tabell4[[Finns i listan ]],0)),"")</f>
        <v/>
      </c>
      <c r="Y392" s="68" t="str">
        <f>IFERROR(INDEX(Tabell6[Kolumn1],MATCH($A392,Tabell6[Indexnmamn],0)),"")</f>
        <v/>
      </c>
      <c r="Z392" s="68"/>
      <c r="AA392" s="68" t="s">
        <v>779</v>
      </c>
      <c r="AB392" s="10"/>
      <c r="AC392" s="10"/>
      <c r="AD392"/>
      <c r="AE392"/>
      <c r="AG392" s="2"/>
      <c r="AH392" s="103"/>
    </row>
    <row r="393" spans="1:34" x14ac:dyDescent="0.25">
      <c r="A393" t="s">
        <v>710</v>
      </c>
      <c r="B393" t="str">
        <f>VLOOKUP(A393,'Korrigerade leveranser GD'!$A$4:$B$482,2,FALSE)</f>
        <v>Karlskrona</v>
      </c>
      <c r="C393" s="10"/>
      <c r="D393" s="10"/>
      <c r="E393" s="10"/>
      <c r="F393" s="10"/>
      <c r="G393" s="10"/>
      <c r="H393" s="10"/>
      <c r="I393" s="10"/>
      <c r="J393" s="10"/>
      <c r="K393" s="10"/>
      <c r="L393" s="10"/>
      <c r="M393" s="10"/>
      <c r="N393" s="10"/>
      <c r="O393" s="10"/>
      <c r="P393" s="10"/>
      <c r="Q393" s="10"/>
      <c r="R393" s="10"/>
      <c r="S393" s="10">
        <f>IFERROR(VLOOKUP('Leveranser per nät'!A393,'lev 2012'!$B$2:$E$445,4,FALSE),"")</f>
        <v>0.8</v>
      </c>
      <c r="T393" s="10">
        <f>IFERROR(VLOOKUP('Leveranser per nät'!A393,'lev 2013'!$B$2:$E$445,4,FALSE),"")</f>
        <v>0.8</v>
      </c>
      <c r="U393" s="10">
        <f>IFERROR(VLOOKUP('Leveranser per nät'!A393,'lev 2014'!$B$2:$E$432,4,FALSE),"")</f>
        <v>0.67</v>
      </c>
      <c r="V393" s="10">
        <f>IFERROR(INDEX(Levererat_2015[Leveranser till eget nät],MATCH($A393,Levererat_2015[Indexnamn],0)),"")</f>
        <v>0.75800000000000001</v>
      </c>
      <c r="W393" s="10">
        <f>IFERROR(INDEX(Levererat_2016[Leveranser till eget nät],MATCH($A393,Levererat_2016[Indexnamn],0)),"")</f>
        <v>0.75</v>
      </c>
      <c r="X393" s="10">
        <f>IFERROR(INDEX(Tabell4[Leveranser till eget nät],MATCH('Leveranser per nät'!A393,Tabell4[[Finns i listan ]],0)),"")</f>
        <v>0.71499999999999997</v>
      </c>
      <c r="Y393" s="10">
        <f>IFERROR(INDEX(Tabell6[Kolumn1],MATCH($A393,Tabell6[Indexnmamn],0)),"")</f>
        <v>0.7</v>
      </c>
      <c r="Z393" s="10">
        <v>0.63</v>
      </c>
      <c r="AA393" s="10">
        <v>0.57899999999999996</v>
      </c>
      <c r="AB393" s="10">
        <f>VLOOKUP(A393,Tabell9[[Indexnamn]:[Kolumn1]],3,FALSE)</f>
        <v>0.69099999999999995</v>
      </c>
      <c r="AC393" s="10">
        <f>VLOOKUP($A393,'Lev 2022'!$K$2:$L$474,2,FALSE)</f>
        <v>0.61599999999999999</v>
      </c>
      <c r="AG393" s="2">
        <f t="shared" si="15"/>
        <v>-7.4999999999999956E-2</v>
      </c>
      <c r="AH393" s="103">
        <f t="shared" si="16"/>
        <v>-0.10853835021707664</v>
      </c>
    </row>
    <row r="394" spans="1:34" x14ac:dyDescent="0.25">
      <c r="A394" t="s">
        <v>128</v>
      </c>
      <c r="B394" t="str">
        <f>VLOOKUP(A394,'Korrigerade leveranser GD'!$A$4:$B$482,2,FALSE)</f>
        <v>Östmark</v>
      </c>
      <c r="C394" s="10"/>
      <c r="D394" s="10"/>
      <c r="E394" s="10"/>
      <c r="F394" s="10"/>
      <c r="G394" s="10"/>
      <c r="H394" s="10"/>
      <c r="I394" s="10"/>
      <c r="J394" s="10"/>
      <c r="K394" s="10"/>
      <c r="L394" s="10"/>
      <c r="M394" s="10"/>
      <c r="N394" s="10"/>
      <c r="O394" s="10">
        <v>0</v>
      </c>
      <c r="P394" s="10">
        <v>2.4</v>
      </c>
      <c r="Q394" s="10">
        <v>3</v>
      </c>
      <c r="R394" s="10">
        <v>1.9830000000000001</v>
      </c>
      <c r="S394" s="10">
        <f>IFERROR(VLOOKUP('Leveranser per nät'!A394,'lev 2012'!$B$2:$E$445,4,FALSE),"")</f>
        <v>2.1</v>
      </c>
      <c r="T394" s="10">
        <f>IFERROR(VLOOKUP('Leveranser per nät'!A394,'lev 2013'!$B$2:$E$445,4,FALSE),"")</f>
        <v>1.881</v>
      </c>
      <c r="U394" s="10">
        <f>IFERROR(VLOOKUP('Leveranser per nät'!A394,'lev 2014'!$B$2:$E$432,4,FALSE),"")</f>
        <v>1.5740000000000001</v>
      </c>
      <c r="V394" s="10">
        <f>IFERROR(INDEX(Levererat_2015[Leveranser till eget nät],MATCH($A394,Levererat_2015[Indexnamn],0)),"")</f>
        <v>1.5429999999999999</v>
      </c>
      <c r="W394" s="10">
        <f>IFERROR(INDEX(Levererat_2016[Leveranser till eget nät],MATCH($A394,Levererat_2016[Indexnamn],0)),"")</f>
        <v>1.671</v>
      </c>
      <c r="X394" s="10">
        <f>IFERROR(INDEX(Tabell4[Leveranser till eget nät],MATCH('Leveranser per nät'!A394,Tabell4[[Finns i listan ]],0)),"")</f>
        <v>1.7210000000000001</v>
      </c>
      <c r="Y394" s="10">
        <f>IFERROR(INDEX(Tabell6[Kolumn1],MATCH($A394,Tabell6[Indexnmamn],0)),"")</f>
        <v>1.7</v>
      </c>
      <c r="Z394" s="10">
        <v>1.7</v>
      </c>
      <c r="AA394" s="10">
        <v>1.4790000000000001</v>
      </c>
      <c r="AB394" s="10">
        <f>VLOOKUP(A394,Tabell9[[Indexnamn]:[Kolumn1]],3,FALSE)</f>
        <v>1.6879999999999999</v>
      </c>
      <c r="AC394" s="10">
        <f>VLOOKUP($A394,'Lev 2022'!$K$2:$L$474,2,FALSE)</f>
        <v>1.444</v>
      </c>
      <c r="AG394" s="2">
        <f t="shared" si="15"/>
        <v>-0.24399999999999999</v>
      </c>
      <c r="AH394" s="103">
        <f t="shared" si="16"/>
        <v>-0.14454976303317535</v>
      </c>
    </row>
    <row r="395" spans="1:34" x14ac:dyDescent="0.25">
      <c r="A395" t="s">
        <v>277</v>
      </c>
      <c r="B395" t="str">
        <f>VLOOKUP(A395,'Korrigerade leveranser GD'!$A$4:$B$482,2,FALSE)</f>
        <v>Skövde</v>
      </c>
      <c r="C395" s="10"/>
      <c r="D395" s="10"/>
      <c r="E395" s="10"/>
      <c r="F395" s="10"/>
      <c r="G395" s="10"/>
      <c r="H395" s="10"/>
      <c r="I395" s="10"/>
      <c r="J395" s="10"/>
      <c r="K395" s="10"/>
      <c r="L395" s="10">
        <v>0</v>
      </c>
      <c r="M395" s="10">
        <v>3.3</v>
      </c>
      <c r="N395" s="10">
        <v>3.5</v>
      </c>
      <c r="O395" s="10">
        <v>3.2</v>
      </c>
      <c r="P395" s="10">
        <v>3.4</v>
      </c>
      <c r="Q395" s="10">
        <v>3.4</v>
      </c>
      <c r="R395" s="10">
        <v>4.0999999999999996</v>
      </c>
      <c r="S395" s="10">
        <f>IFERROR(VLOOKUP('Leveranser per nät'!A395,'lev 2012'!$B$2:$E$445,4,FALSE),"")</f>
        <v>4.26</v>
      </c>
      <c r="T395" s="10">
        <f>IFERROR(VLOOKUP('Leveranser per nät'!A395,'lev 2013'!$B$2:$E$445,4,FALSE),"")</f>
        <v>4.343</v>
      </c>
      <c r="U395" s="10">
        <f>IFERROR(VLOOKUP('Leveranser per nät'!A395,'lev 2014'!$B$2:$E$432,4,FALSE),"")</f>
        <v>3.9649999999999999</v>
      </c>
      <c r="V395" s="10">
        <f>IFERROR(INDEX(Levererat_2015[Leveranser till eget nät],MATCH($A395,Levererat_2015[Indexnamn],0)),"")</f>
        <v>4.2640000000000002</v>
      </c>
      <c r="W395" s="10">
        <f>IFERROR(INDEX(Levererat_2016[Leveranser till eget nät],MATCH($A395,Levererat_2016[Indexnamn],0)),"")</f>
        <v>4.5446489999999997</v>
      </c>
      <c r="X395" s="10">
        <f>IFERROR(INDEX(Tabell4[Leveranser till eget nät],MATCH('Leveranser per nät'!A395,Tabell4[[Finns i listan ]],0)),"")</f>
        <v>4.4372439999999997</v>
      </c>
      <c r="Y395" s="10">
        <f>IFERROR(INDEX(Tabell6[Kolumn1],MATCH($A395,Tabell6[Indexnmamn],0)),"")</f>
        <v>4.4852100000000004</v>
      </c>
      <c r="Z395" s="10">
        <v>4.3879999999999999</v>
      </c>
      <c r="AA395" s="10">
        <v>4.1470000000000002</v>
      </c>
      <c r="AB395" s="10">
        <f>VLOOKUP(A395,Tabell9[[Indexnamn]:[Kolumn1]],3,FALSE)</f>
        <v>4.7092510000000001</v>
      </c>
      <c r="AC395" s="10">
        <f>VLOOKUP($A395,'Lev 2022'!$K$2:$L$474,2,FALSE)</f>
        <v>4.3131029999999999</v>
      </c>
      <c r="AG395" s="2">
        <f t="shared" si="15"/>
        <v>-0.39614800000000017</v>
      </c>
      <c r="AH395" s="103">
        <f t="shared" si="16"/>
        <v>-8.4121232866967627E-2</v>
      </c>
    </row>
    <row r="396" spans="1:34" s="65" customFormat="1" x14ac:dyDescent="0.25">
      <c r="A396" s="65" t="s">
        <v>286</v>
      </c>
      <c r="B396" s="65" t="str">
        <f>VLOOKUP(A396,'Korrigerade leveranser GD'!$A$4:$B$482,2,FALSE)</f>
        <v>Strängnäs</v>
      </c>
      <c r="C396" s="68"/>
      <c r="D396" s="68"/>
      <c r="E396" s="68"/>
      <c r="F396" s="68"/>
      <c r="G396" s="68"/>
      <c r="H396" s="68"/>
      <c r="I396" s="68"/>
      <c r="J396" s="68"/>
      <c r="K396" s="68">
        <v>0</v>
      </c>
      <c r="L396" s="68">
        <v>11.095000000000001</v>
      </c>
      <c r="M396" s="68">
        <v>11.095000000000001</v>
      </c>
      <c r="N396" s="68">
        <v>11.095000000000001</v>
      </c>
      <c r="O396" s="68">
        <v>17.5</v>
      </c>
      <c r="P396" s="68">
        <v>0</v>
      </c>
      <c r="Q396" s="68"/>
      <c r="R396" s="68"/>
      <c r="S396" s="68" t="str">
        <f>IFERROR(VLOOKUP('Leveranser per nät'!A396,'lev 2012'!$B$2:$E$445,4,FALSE),"")</f>
        <v/>
      </c>
      <c r="T396" s="68" t="str">
        <f>IFERROR(VLOOKUP('Leveranser per nät'!A396,'lev 2013'!$B$2:$E$445,4,FALSE),"")</f>
        <v/>
      </c>
      <c r="U396" s="68" t="str">
        <f>IFERROR(VLOOKUP('Leveranser per nät'!A396,'lev 2014'!$B$2:$E$432,4,FALSE),"")</f>
        <v/>
      </c>
      <c r="V396" s="68" t="str">
        <f>IFERROR(INDEX(Levererat_2015[Leveranser till eget nät],MATCH($A396,Levererat_2015[Indexnamn],0)),"")</f>
        <v/>
      </c>
      <c r="W396" s="68" t="str">
        <f>IFERROR(INDEX(Levererat_2016[Leveranser till eget nät],MATCH($A396,Levererat_2016[Indexnamn],0)),"")</f>
        <v/>
      </c>
      <c r="X396" s="68" t="str">
        <f>IFERROR(INDEX(Tabell4[Leveranser till eget nät],MATCH('Leveranser per nät'!A396,Tabell4[[Finns i listan ]],0)),"")</f>
        <v/>
      </c>
      <c r="Y396" s="68" t="str">
        <f>IFERROR(INDEX(Tabell6[Kolumn1],MATCH($A396,Tabell6[Indexnmamn],0)),"")</f>
        <v/>
      </c>
      <c r="Z396" s="68"/>
      <c r="AA396" s="68" t="s">
        <v>779</v>
      </c>
      <c r="AB396" s="10"/>
      <c r="AC396" s="10"/>
      <c r="AD396"/>
      <c r="AE396"/>
      <c r="AG396" s="2"/>
      <c r="AH396" s="103"/>
    </row>
    <row r="397" spans="1:34" x14ac:dyDescent="0.25">
      <c r="A397" t="s">
        <v>219</v>
      </c>
      <c r="B397" t="s">
        <v>219</v>
      </c>
      <c r="C397" s="10">
        <v>923</v>
      </c>
      <c r="D397" s="10">
        <v>864.04</v>
      </c>
      <c r="E397" s="10">
        <v>927</v>
      </c>
      <c r="F397" s="10">
        <v>898</v>
      </c>
      <c r="G397" s="10">
        <v>898</v>
      </c>
      <c r="H397" s="10">
        <v>967</v>
      </c>
      <c r="I397" s="10">
        <v>895</v>
      </c>
      <c r="J397" s="10">
        <v>1008</v>
      </c>
      <c r="K397" s="10">
        <v>996.76099999999997</v>
      </c>
      <c r="L397" s="10">
        <v>978.80600000000004</v>
      </c>
      <c r="M397" s="10">
        <v>978.9</v>
      </c>
      <c r="N397" s="10">
        <v>965.98</v>
      </c>
      <c r="O397" s="10">
        <v>936.66099999999994</v>
      </c>
      <c r="P397" s="10">
        <v>991.40300000000002</v>
      </c>
      <c r="Q397" s="10">
        <v>1166.2670000000001</v>
      </c>
      <c r="R397" s="10">
        <v>958.26199999999994</v>
      </c>
      <c r="S397" s="10">
        <f>IFERROR(VLOOKUP('Leveranser per nät'!A397,'lev 2012'!$B$2:$E$445,4,FALSE),"")</f>
        <v>1046.2</v>
      </c>
      <c r="T397" s="10">
        <f>IFERROR(VLOOKUP('Leveranser per nät'!A397,'lev 2013'!$B$2:$E$445,4,FALSE),"")</f>
        <v>1026</v>
      </c>
      <c r="U397" s="10">
        <f>IFERROR(VLOOKUP('Leveranser per nät'!A397,'lev 2014'!$B$2:$E$432,4,FALSE),"")</f>
        <v>951.80899999999997</v>
      </c>
      <c r="V397" s="10">
        <f>IFERROR(INDEX(Levererat_2015[Leveranser till eget nät],MATCH($A397,Levererat_2015[Indexnamn],0)),"")</f>
        <v>935.42100000000005</v>
      </c>
      <c r="W397" s="10">
        <f>IFERROR(INDEX(Levererat_2016[Leveranser till eget nät],MATCH($A397,Levererat_2016[Indexnamn],0)),"")</f>
        <v>1020.6</v>
      </c>
      <c r="X397" s="10">
        <f>IFERROR(INDEX(Tabell4[Leveranser till eget nät],MATCH('Leveranser per nät'!A397,Tabell4[[Finns i listan ]],0)),"")</f>
        <v>996.16700000000003</v>
      </c>
      <c r="Y397" s="10">
        <f>IFERROR(INDEX(Tabell6[Kolumn1],MATCH($A397,Tabell6[Indexnmamn],0)),"")</f>
        <v>1001.093</v>
      </c>
      <c r="Z397" s="10">
        <v>980.55399999999997</v>
      </c>
      <c r="AA397" s="10">
        <v>874</v>
      </c>
      <c r="AB397" s="10">
        <f>VLOOKUP(A397,Tabell9[[Indexnamn]:[Kolumn1]],3,FALSE)</f>
        <v>1035.8510000000001</v>
      </c>
      <c r="AC397" s="10">
        <f>VLOOKUP($A397,'Lev 2022'!$K$2:$L$474,2,FALSE)</f>
        <v>963.92700000000002</v>
      </c>
      <c r="AG397" s="2">
        <f t="shared" si="15"/>
        <v>-71.924000000000092</v>
      </c>
      <c r="AH397" s="103">
        <f t="shared" si="16"/>
        <v>-6.9434696689002651E-2</v>
      </c>
    </row>
    <row r="398" spans="1:34" x14ac:dyDescent="0.25">
      <c r="A398" s="92" t="s">
        <v>288</v>
      </c>
      <c r="B398" t="str">
        <f>VLOOKUP(A398,'Korrigerade leveranser GD'!$A$4:$B$482,2,FALSE)</f>
        <v>Sundsvall</v>
      </c>
      <c r="C398" s="10">
        <v>581</v>
      </c>
      <c r="D398" s="10">
        <v>523.88</v>
      </c>
      <c r="E398" s="10">
        <v>547</v>
      </c>
      <c r="F398" s="10">
        <v>546</v>
      </c>
      <c r="G398" s="10">
        <v>507</v>
      </c>
      <c r="H398" s="10">
        <v>568.36900000000003</v>
      </c>
      <c r="I398" s="10">
        <v>551</v>
      </c>
      <c r="J398" s="10">
        <v>562</v>
      </c>
      <c r="K398" s="10">
        <v>551.41999999999996</v>
      </c>
      <c r="L398" s="10">
        <v>538.44200000000001</v>
      </c>
      <c r="M398" s="10">
        <v>506.40199999999999</v>
      </c>
      <c r="N398" s="10">
        <v>506.86399999999998</v>
      </c>
      <c r="O398" s="10">
        <v>500.73700000000002</v>
      </c>
      <c r="P398" s="10">
        <v>562.72199999999998</v>
      </c>
      <c r="Q398" s="10">
        <v>645.226</v>
      </c>
      <c r="R398" s="10">
        <v>729.1</v>
      </c>
      <c r="S398" s="10">
        <f>IFERROR(VLOOKUP('Leveranser per nät'!A398,'lev 2012'!$B$2:$E$445,4,FALSE),"")+6.1</f>
        <v>656.1</v>
      </c>
      <c r="T398" s="10">
        <f>IFERROR(VLOOKUP('Leveranser per nät'!A398,'lev 2013'!$B$2:$E$445,4,FALSE),"")+6.621</f>
        <v>648.90099999999995</v>
      </c>
      <c r="U398" s="10">
        <f>IFERROR(VLOOKUP('Leveranser per nät'!A398,'lev 2014'!$B$2:$E$432,4,FALSE),"")+7.5</f>
        <v>512.5</v>
      </c>
      <c r="V398" s="10">
        <f>IFERROR(INDEX(Levererat_2015[Leveranser till eget nät],MATCH($A398,Levererat_2015[Indexnamn],0)),"")+6.122</f>
        <v>518.12199999999996</v>
      </c>
      <c r="W398" s="10">
        <v>540.97</v>
      </c>
      <c r="X398" s="10">
        <v>538.05499999999995</v>
      </c>
      <c r="Y398" s="10">
        <v>555.66</v>
      </c>
      <c r="Z398" s="10">
        <f>540.762+6.41</f>
        <v>547.17199999999991</v>
      </c>
      <c r="AA398" s="10">
        <v>476.03300000000002</v>
      </c>
      <c r="AB398" s="10">
        <f>VLOOKUP(A398,Tabell9[[Indexnamn]:[Kolumn1]],3,FALSE)</f>
        <v>567.00099999999998</v>
      </c>
      <c r="AC398" s="10">
        <f>VLOOKUP($A398,'Lev 2022'!$K$2:$L$474,2,FALSE)</f>
        <v>519.25073000000009</v>
      </c>
      <c r="AG398" s="2">
        <f t="shared" si="15"/>
        <v>-47.750269999999887</v>
      </c>
      <c r="AH398" s="103">
        <f t="shared" si="16"/>
        <v>-8.4215495210766628E-2</v>
      </c>
    </row>
    <row r="399" spans="1:34" s="77" customFormat="1" x14ac:dyDescent="0.25">
      <c r="A399" s="5" t="s">
        <v>236</v>
      </c>
      <c r="B399" s="5" t="str">
        <f>VLOOKUP(A399,'Korrigerade leveranser GD'!$A$4:$B$482,2,FALSE)</f>
        <v>Sunne</v>
      </c>
      <c r="C399" s="69"/>
      <c r="D399" s="69"/>
      <c r="E399" s="69"/>
      <c r="F399" s="69">
        <v>0</v>
      </c>
      <c r="G399" s="69">
        <v>29</v>
      </c>
      <c r="H399" s="69">
        <v>30.5</v>
      </c>
      <c r="I399" s="69">
        <v>32</v>
      </c>
      <c r="J399" s="69">
        <v>33.930999999999997</v>
      </c>
      <c r="K399" s="69">
        <v>33.162999999999997</v>
      </c>
      <c r="L399" s="69">
        <v>30.754000000000001</v>
      </c>
      <c r="M399" s="69">
        <v>32.4</v>
      </c>
      <c r="N399" s="69">
        <v>30.74</v>
      </c>
      <c r="O399" s="69">
        <v>32.8626</v>
      </c>
      <c r="P399" s="69">
        <v>35.110999999999997</v>
      </c>
      <c r="Q399" s="69">
        <v>41.960999999999999</v>
      </c>
      <c r="R399" s="69">
        <v>33.165999999999997</v>
      </c>
      <c r="S399" s="69">
        <f>IFERROR(VLOOKUP('Leveranser per nät'!A399,'lev 2012'!$B$2:$E$445,4,FALSE),"")</f>
        <v>35</v>
      </c>
      <c r="T399" s="69">
        <f>IFERROR(VLOOKUP('Leveranser per nät'!A399,'lev 2013'!$B$2:$E$445,4,FALSE),"")</f>
        <v>34.86</v>
      </c>
      <c r="U399" s="69">
        <f>IFERROR(VLOOKUP('Leveranser per nät'!A399,'lev 2014'!$B$2:$E$432,4,FALSE),"")</f>
        <v>32.165999999999997</v>
      </c>
      <c r="V399" s="69">
        <f>IFERROR(INDEX(Levererat_2015[Leveranser till eget nät],MATCH($A399,Levererat_2015[Indexnamn],0)),"")</f>
        <v>32.924999999999997</v>
      </c>
      <c r="W399" s="69">
        <v>36.4</v>
      </c>
      <c r="X399" s="69">
        <v>35.700000000000003</v>
      </c>
      <c r="Y399" s="69">
        <v>35.299999999999997</v>
      </c>
      <c r="Z399" s="69">
        <v>33.700000000000003</v>
      </c>
      <c r="AA399" s="58">
        <v>29.177</v>
      </c>
      <c r="AB399" s="10">
        <f>VLOOKUP(A399,Tabell9[[Indexnamn]:[Kolumn1]],3,FALSE)</f>
        <v>36.026000000000003</v>
      </c>
      <c r="AC399" s="10">
        <f>VLOOKUP($A399,'Lev 2022'!$K$2:$L$474,2,FALSE)</f>
        <v>33.226999999999997</v>
      </c>
      <c r="AD399"/>
      <c r="AE399"/>
      <c r="AG399" s="2">
        <f t="shared" si="15"/>
        <v>-2.7990000000000066</v>
      </c>
      <c r="AH399" s="103">
        <f t="shared" si="16"/>
        <v>-7.7693887747737916E-2</v>
      </c>
    </row>
    <row r="400" spans="1:34" x14ac:dyDescent="0.25">
      <c r="A400" s="5" t="s">
        <v>712</v>
      </c>
      <c r="B400" s="5" t="str">
        <f>VLOOKUP(A400,'Korrigerade leveranser GD'!$A$4:$B$482,2,FALSE)</f>
        <v>Hagfors</v>
      </c>
      <c r="C400" s="10"/>
      <c r="D400" s="10"/>
      <c r="E400" s="10"/>
      <c r="F400" s="10"/>
      <c r="G400" s="10"/>
      <c r="H400" s="10"/>
      <c r="I400" s="10"/>
      <c r="J400" s="10"/>
      <c r="K400" s="10"/>
      <c r="L400" s="10"/>
      <c r="M400" s="10"/>
      <c r="N400" s="10"/>
      <c r="O400" s="10"/>
      <c r="P400" s="10"/>
      <c r="Q400" s="10"/>
      <c r="R400" s="10"/>
      <c r="S400" s="10" t="str">
        <f>IFERROR(VLOOKUP('Leveranser per nät'!A400,'lev 2012'!$B$2:$E$445,4,FALSE),"")</f>
        <v/>
      </c>
      <c r="T400" s="10">
        <f>IFERROR(VLOOKUP('Leveranser per nät'!A400,'lev 2013'!$B$2:$E$445,4,FALSE),"")</f>
        <v>0.23300000000000001</v>
      </c>
      <c r="U400" s="10">
        <f>IFERROR(VLOOKUP('Leveranser per nät'!A400,'lev 2014'!$B$2:$E$432,4,FALSE),"")</f>
        <v>0.23400000000000001</v>
      </c>
      <c r="V400" s="10">
        <f>IFERROR(INDEX(Levererat_2015[Leveranser till eget nät],MATCH($A400,Levererat_2015[Indexnamn],0)),"")</f>
        <v>0.23300000000000001</v>
      </c>
      <c r="W400" s="10">
        <f>IFERROR(INDEX(Levererat_2016[Leveranser till eget nät],MATCH($A400,Levererat_2016[Indexnamn],0)),"")</f>
        <v>0.248</v>
      </c>
      <c r="X400" s="10">
        <f>IFERROR(INDEX(Tabell4[Leveranser till eget nät],MATCH('Leveranser per nät'!A400,Tabell4[[Finns i listan ]],0)),"")</f>
        <v>0.25700000000000001</v>
      </c>
      <c r="Y400" s="10">
        <f>IFERROR(INDEX(Tabell6[Kolumn1],MATCH($A400,Tabell6[Indexnmamn],0)),"")</f>
        <v>0.254</v>
      </c>
      <c r="Z400" s="10">
        <v>0.27200000000000002</v>
      </c>
      <c r="AA400" s="58">
        <v>0.248</v>
      </c>
      <c r="AB400" s="10">
        <f>VLOOKUP(A400,Tabell9[[Indexnamn]:[Kolumn1]],3,FALSE)</f>
        <v>0.30499999999999999</v>
      </c>
      <c r="AC400" s="10">
        <f>VLOOKUP($A400,'Lev 2022'!$K$2:$L$474,2,FALSE)</f>
        <v>0.26400000000000001</v>
      </c>
      <c r="AG400" s="2">
        <f t="shared" si="15"/>
        <v>-4.0999999999999981E-2</v>
      </c>
      <c r="AH400" s="103">
        <f t="shared" si="16"/>
        <v>-0.13442622950819666</v>
      </c>
    </row>
    <row r="401" spans="1:34" s="65" customFormat="1" x14ac:dyDescent="0.25">
      <c r="A401" s="70" t="s">
        <v>296</v>
      </c>
      <c r="B401" s="70" t="s">
        <v>296</v>
      </c>
      <c r="C401" s="68">
        <v>45</v>
      </c>
      <c r="D401" s="68">
        <v>39.6</v>
      </c>
      <c r="E401" s="68">
        <v>43</v>
      </c>
      <c r="F401" s="68">
        <v>43</v>
      </c>
      <c r="G401" s="68">
        <v>38</v>
      </c>
      <c r="H401" s="68">
        <v>44</v>
      </c>
      <c r="I401" s="68">
        <v>44</v>
      </c>
      <c r="J401" s="68">
        <v>47</v>
      </c>
      <c r="K401" s="68">
        <v>44.5</v>
      </c>
      <c r="L401" s="68">
        <v>43.6</v>
      </c>
      <c r="M401" s="68">
        <v>35.299999999999997</v>
      </c>
      <c r="N401" s="68">
        <v>36.85</v>
      </c>
      <c r="O401" s="68">
        <v>40.82</v>
      </c>
      <c r="P401" s="68">
        <v>45</v>
      </c>
      <c r="Q401" s="68">
        <v>45</v>
      </c>
      <c r="R401" s="68">
        <v>46</v>
      </c>
      <c r="S401" s="68">
        <v>39</v>
      </c>
      <c r="T401" s="68">
        <f>IFERROR(VLOOKUP('Leveranser per nät'!A401,'lev 2013'!$B$2:$E$445,4,FALSE),"")</f>
        <v>35</v>
      </c>
      <c r="U401" s="68">
        <v>40.5</v>
      </c>
      <c r="V401" s="68">
        <f>IFERROR(INDEX(Levererat_2015[Leveranser till eget nät],MATCH($A401,Levererat_2015[Indexnamn],0)),"")</f>
        <v>40.4</v>
      </c>
      <c r="W401" s="68">
        <f>IFERROR(INDEX(Levererat_2016[Leveranser till eget nät],MATCH($A401,Levererat_2016[Indexnamn],0)),"")</f>
        <v>27.8</v>
      </c>
      <c r="X401" s="68"/>
      <c r="Y401" s="68"/>
      <c r="Z401" s="68"/>
      <c r="AA401" s="76"/>
      <c r="AB401" s="10"/>
      <c r="AC401" s="10"/>
      <c r="AD401"/>
      <c r="AE401"/>
      <c r="AG401" s="2"/>
      <c r="AH401" s="103"/>
    </row>
    <row r="402" spans="1:34" s="77" customFormat="1" x14ac:dyDescent="0.25">
      <c r="A402" s="5" t="s">
        <v>42</v>
      </c>
      <c r="B402" s="5" t="str">
        <f>VLOOKUP(A402,'Korrigerade leveranser GD'!$A$4:$B$482,2,FALSE)</f>
        <v>Svalöv</v>
      </c>
      <c r="C402" s="69">
        <v>22.256</v>
      </c>
      <c r="D402" s="69">
        <v>19.47</v>
      </c>
      <c r="E402" s="69">
        <v>18</v>
      </c>
      <c r="F402" s="69">
        <v>17</v>
      </c>
      <c r="G402" s="69">
        <v>16</v>
      </c>
      <c r="H402" s="69">
        <v>19</v>
      </c>
      <c r="I402" s="69">
        <v>20</v>
      </c>
      <c r="J402" s="69">
        <v>19</v>
      </c>
      <c r="K402" s="69">
        <v>18.411000000000001</v>
      </c>
      <c r="L402" s="69">
        <v>18.573</v>
      </c>
      <c r="M402" s="69">
        <v>18.2</v>
      </c>
      <c r="N402" s="69">
        <v>17.306999999999999</v>
      </c>
      <c r="O402" s="69">
        <v>15.662000000000001</v>
      </c>
      <c r="P402" s="69">
        <v>19.648</v>
      </c>
      <c r="Q402" s="69">
        <v>23</v>
      </c>
      <c r="R402" s="69">
        <v>19.550765999999999</v>
      </c>
      <c r="S402" s="69">
        <f>IFERROR(VLOOKUP('Leveranser per nät'!A402,'lev 2012'!$B$2:$E$445,4,FALSE),"")</f>
        <v>19.87</v>
      </c>
      <c r="T402" s="69">
        <f>IFERROR(VLOOKUP('Leveranser per nät'!A402,'lev 2013'!$B$2:$E$445,4,FALSE),"")</f>
        <v>19.600000000000001</v>
      </c>
      <c r="U402" s="85">
        <f>(T402-V402)/2+V402</f>
        <v>18.8</v>
      </c>
      <c r="V402" s="85">
        <v>18</v>
      </c>
      <c r="W402" s="85">
        <v>18.899999999999999</v>
      </c>
      <c r="X402" s="85">
        <v>17.899999999999999</v>
      </c>
      <c r="Y402" s="69">
        <v>16.2</v>
      </c>
      <c r="Z402" s="69">
        <v>16</v>
      </c>
      <c r="AA402" s="58">
        <v>15.331</v>
      </c>
      <c r="AB402" s="10">
        <f>VLOOKUP(A402,Tabell9[[Indexnamn]:[Kolumn1]],3,FALSE)</f>
        <v>17.100000000000001</v>
      </c>
      <c r="AC402" s="10">
        <f>VLOOKUP($A402,'Lev 2022'!$K$2:$L$474,2,FALSE)</f>
        <v>15.8</v>
      </c>
      <c r="AD402"/>
      <c r="AE402"/>
      <c r="AG402" s="2">
        <f t="shared" si="15"/>
        <v>-1.3000000000000007</v>
      </c>
      <c r="AH402" s="103">
        <f t="shared" si="16"/>
        <v>-7.6023391812865534E-2</v>
      </c>
    </row>
    <row r="403" spans="1:34" x14ac:dyDescent="0.25">
      <c r="A403" s="5" t="s">
        <v>39</v>
      </c>
      <c r="B403" s="5" t="str">
        <f>VLOOKUP(A403,'Korrigerade leveranser GD'!$A$4:$B$482,2,FALSE)</f>
        <v>Karlskoga</v>
      </c>
      <c r="C403" s="10"/>
      <c r="D403" s="10"/>
      <c r="E403" s="10"/>
      <c r="F403" s="10"/>
      <c r="G403" s="10"/>
      <c r="H403" s="10"/>
      <c r="I403" s="10"/>
      <c r="J403" s="10">
        <v>0</v>
      </c>
      <c r="K403" s="10">
        <v>1.944</v>
      </c>
      <c r="L403" s="10">
        <v>2.4990000000000001</v>
      </c>
      <c r="M403" s="10">
        <v>3.14</v>
      </c>
      <c r="N403" s="10">
        <v>3.2</v>
      </c>
      <c r="O403" s="10">
        <v>2.9</v>
      </c>
      <c r="P403" s="10">
        <v>3.1</v>
      </c>
      <c r="Q403" s="10">
        <v>3.6</v>
      </c>
      <c r="R403" s="10">
        <v>2.77</v>
      </c>
      <c r="S403" s="10">
        <f>IFERROR(VLOOKUP('Leveranser per nät'!A403,'lev 2012'!$B$2:$E$445,4,FALSE),"")</f>
        <v>2.81</v>
      </c>
      <c r="T403" s="10">
        <f>IFERROR(VLOOKUP('Leveranser per nät'!A403,'lev 2013'!$B$2:$E$445,4,FALSE),"")</f>
        <v>2.609</v>
      </c>
      <c r="U403" s="10">
        <f>IFERROR(VLOOKUP('Leveranser per nät'!A403,'lev 2014'!$B$2:$E$432,4,FALSE),"")</f>
        <v>2.1859999999999999</v>
      </c>
      <c r="V403" s="10">
        <f>IFERROR(INDEX(Levererat_2015[Leveranser till eget nät],MATCH($A403,Levererat_2015[Indexnamn],0)),"")</f>
        <v>2.15</v>
      </c>
      <c r="W403" s="10">
        <f>IFERROR(INDEX(Levererat_2016[Leveranser till eget nät],MATCH($A403,Levererat_2016[Indexnamn],0)),"")</f>
        <v>1.86</v>
      </c>
      <c r="X403" s="10">
        <f>IFERROR(INDEX(Tabell4[Leveranser till eget nät],MATCH('Leveranser per nät'!A403,Tabell4[[Finns i listan ]],0)),"")</f>
        <v>1.45</v>
      </c>
      <c r="Y403" s="10">
        <f>IFERROR(INDEX(Tabell6[Kolumn1],MATCH($A403,Tabell6[Indexnmamn],0)),"")</f>
        <v>1.78</v>
      </c>
      <c r="Z403" s="10">
        <v>1.38</v>
      </c>
      <c r="AA403" s="58">
        <v>1.27</v>
      </c>
      <c r="AB403" s="10">
        <f>VLOOKUP(A403,Tabell9[[Indexnamn]:[Kolumn1]],3,FALSE)</f>
        <v>1.5</v>
      </c>
      <c r="AC403" s="10">
        <f>VLOOKUP($A403,'Lev 2022'!$K$2:$L$474,2,FALSE)</f>
        <v>1.37</v>
      </c>
      <c r="AG403" s="2">
        <f t="shared" si="15"/>
        <v>-0.12999999999999989</v>
      </c>
      <c r="AH403" s="103">
        <f t="shared" si="16"/>
        <v>-8.66666666666666E-2</v>
      </c>
    </row>
    <row r="404" spans="1:34" s="77" customFormat="1" x14ac:dyDescent="0.25">
      <c r="A404" s="5" t="s">
        <v>48</v>
      </c>
      <c r="B404" s="5" t="str">
        <f>VLOOKUP(A404,'Korrigerade leveranser GD'!$A$4:$B$482,2,FALSE)</f>
        <v>Sveg</v>
      </c>
      <c r="C404" s="69">
        <v>23</v>
      </c>
      <c r="D404" s="69">
        <v>21.4</v>
      </c>
      <c r="E404" s="69">
        <v>26</v>
      </c>
      <c r="F404" s="69">
        <v>23</v>
      </c>
      <c r="G404" s="69">
        <v>21</v>
      </c>
      <c r="H404" s="69">
        <v>21</v>
      </c>
      <c r="I404" s="69">
        <v>21.873999999999999</v>
      </c>
      <c r="J404" s="69">
        <v>21.751999999999999</v>
      </c>
      <c r="K404" s="69">
        <v>23.518999999999998</v>
      </c>
      <c r="L404" s="69">
        <v>30.361604498236431</v>
      </c>
      <c r="M404" s="69">
        <v>23.074999999999999</v>
      </c>
      <c r="N404" s="69">
        <v>25</v>
      </c>
      <c r="O404" s="69">
        <v>25.8</v>
      </c>
      <c r="P404" s="69">
        <v>28</v>
      </c>
      <c r="Q404" s="69">
        <v>33</v>
      </c>
      <c r="R404" s="69">
        <v>26.9</v>
      </c>
      <c r="S404" s="69">
        <f>IFERROR(VLOOKUP('Leveranser per nät'!A404,'lev 2012'!$B$2:$E$445,4,FALSE),"")</f>
        <v>28</v>
      </c>
      <c r="T404" s="56">
        <f>(S404-V404)/3*2+V404</f>
        <v>27.1</v>
      </c>
      <c r="U404" s="56">
        <f>(S404-V404)/3+V404</f>
        <v>26.2</v>
      </c>
      <c r="V404" s="85">
        <v>25.3</v>
      </c>
      <c r="W404" s="85">
        <v>27</v>
      </c>
      <c r="X404" s="85">
        <v>28</v>
      </c>
      <c r="Y404" s="85">
        <v>27.6</v>
      </c>
      <c r="Z404" s="85">
        <v>27.5</v>
      </c>
      <c r="AA404" s="58">
        <v>24.8</v>
      </c>
      <c r="AB404" s="10">
        <f>VLOOKUP(A404,Tabell9[[Indexnamn]:[Kolumn1]],3,FALSE)</f>
        <v>27.853000000000002</v>
      </c>
      <c r="AC404" s="10">
        <f>VLOOKUP($A404,'Lev 2022'!$K$2:$L$474,2,FALSE)</f>
        <v>25.927</v>
      </c>
      <c r="AD404"/>
      <c r="AE404"/>
      <c r="AG404" s="2">
        <f t="shared" si="15"/>
        <v>-1.9260000000000019</v>
      </c>
      <c r="AH404" s="103">
        <f t="shared" si="16"/>
        <v>-6.9148745198003875E-2</v>
      </c>
    </row>
    <row r="405" spans="1:34" x14ac:dyDescent="0.25">
      <c r="A405" t="s">
        <v>298</v>
      </c>
      <c r="B405" t="s">
        <v>298</v>
      </c>
      <c r="C405" s="10">
        <v>41</v>
      </c>
      <c r="D405" s="10">
        <v>41.26</v>
      </c>
      <c r="E405" s="10">
        <v>43</v>
      </c>
      <c r="F405" s="10">
        <v>41</v>
      </c>
      <c r="G405" s="10">
        <v>38</v>
      </c>
      <c r="H405" s="10">
        <v>38.493000000000002</v>
      </c>
      <c r="I405" s="10">
        <v>37.658999999999999</v>
      </c>
      <c r="J405" s="10">
        <v>39.156999999999996</v>
      </c>
      <c r="K405" s="10">
        <v>39.677999999999997</v>
      </c>
      <c r="L405" s="10">
        <v>36.765000000000001</v>
      </c>
      <c r="M405" s="10">
        <v>39.4</v>
      </c>
      <c r="N405" s="10">
        <v>37.9</v>
      </c>
      <c r="O405" s="10">
        <v>37.5</v>
      </c>
      <c r="P405" s="10">
        <v>33.6</v>
      </c>
      <c r="Q405" s="10">
        <v>43.1</v>
      </c>
      <c r="R405" s="10">
        <v>35.700000000000003</v>
      </c>
      <c r="S405" s="10">
        <f>IFERROR(VLOOKUP('Leveranser per nät'!A405,'lev 2012'!$B$2:$E$445,4,FALSE),"")</f>
        <v>40</v>
      </c>
      <c r="T405" s="10">
        <f>IFERROR(VLOOKUP('Leveranser per nät'!A405,'lev 2013'!$B$2:$E$445,4,FALSE),"")</f>
        <v>38.045000000000002</v>
      </c>
      <c r="U405" s="10">
        <f>IFERROR(VLOOKUP('Leveranser per nät'!A405,'lev 2014'!$B$2:$E$432,4,FALSE),"")</f>
        <v>32.981000000000002</v>
      </c>
      <c r="V405" s="10">
        <f>IFERROR(INDEX(Levererat_2015[Leveranser till eget nät],MATCH($A405,Levererat_2015[Indexnamn],0)),"")</f>
        <v>34.524000000000001</v>
      </c>
      <c r="W405" s="10">
        <f>IFERROR(INDEX(Levererat_2016[Leveranser till eget nät],MATCH($A405,Levererat_2016[Indexnamn],0)),"")</f>
        <v>38.99</v>
      </c>
      <c r="X405" s="10">
        <f>IFERROR(INDEX(Tabell4[Leveranser till eget nät],MATCH('Leveranser per nät'!A405,Tabell4[[Finns i listan ]],0)),"")</f>
        <v>36.49</v>
      </c>
      <c r="Y405" s="10"/>
      <c r="Z405" s="10"/>
      <c r="AA405" s="10">
        <v>32.231999999999999</v>
      </c>
      <c r="AB405" s="10">
        <f>VLOOKUP(A405,Tabell9[[Indexnamn]:[Kolumn1]],3,FALSE)</f>
        <v>37.655000000000001</v>
      </c>
      <c r="AC405" s="10">
        <f>VLOOKUP($A405,'Lev 2022'!$K$2:$L$474,2,FALSE)</f>
        <v>34.341000000000001</v>
      </c>
      <c r="AG405" s="2">
        <f t="shared" si="15"/>
        <v>-3.3140000000000001</v>
      </c>
      <c r="AH405" s="103">
        <f t="shared" si="16"/>
        <v>-8.8009560483335539E-2</v>
      </c>
    </row>
    <row r="406" spans="1:34" s="65" customFormat="1" x14ac:dyDescent="0.25">
      <c r="A406" s="65" t="s">
        <v>425</v>
      </c>
      <c r="B406" t="s">
        <v>518</v>
      </c>
      <c r="C406" s="68"/>
      <c r="D406" s="68"/>
      <c r="E406" s="68"/>
      <c r="F406" s="68"/>
      <c r="G406" s="68"/>
      <c r="H406" s="68">
        <v>0</v>
      </c>
      <c r="I406" s="68">
        <v>5</v>
      </c>
      <c r="J406" s="68">
        <v>6</v>
      </c>
      <c r="K406" s="68">
        <v>0</v>
      </c>
      <c r="L406" s="68"/>
      <c r="M406" s="68"/>
      <c r="N406" s="68"/>
      <c r="O406" s="68"/>
      <c r="P406" s="68"/>
      <c r="Q406" s="68"/>
      <c r="R406" s="68"/>
      <c r="S406" s="68"/>
      <c r="T406" s="68" t="str">
        <f>IFERROR(VLOOKUP('Leveranser per nät'!A406,'lev 2013'!$B$2:$E$445,4,FALSE),"")</f>
        <v/>
      </c>
      <c r="U406" s="68" t="str">
        <f>IFERROR(VLOOKUP('Leveranser per nät'!A406,'lev 2014'!$B$2:$E$432,4,FALSE),"")</f>
        <v/>
      </c>
      <c r="V406" s="68" t="str">
        <f>IFERROR(INDEX(Levererat_2015[Leveranser till eget nät],MATCH($A406,Levererat_2015[Indexnamn],0)),"")</f>
        <v/>
      </c>
      <c r="W406" s="68" t="str">
        <f>IFERROR(INDEX(Levererat_2016[Leveranser till eget nät],MATCH($A406,Levererat_2016[Indexnamn],0)),"")</f>
        <v/>
      </c>
      <c r="X406" s="68" t="str">
        <f>IFERROR(INDEX(Tabell4[Leveranser till eget nät],MATCH('Leveranser per nät'!A406,Tabell4[[Finns i listan ]],0)),"")</f>
        <v/>
      </c>
      <c r="Y406" s="68" t="str">
        <f>IFERROR(INDEX(Tabell6[Kolumn1],MATCH($A406,Tabell6[Indexnmamn],0)),"")</f>
        <v/>
      </c>
      <c r="Z406" s="68"/>
      <c r="AA406" s="68" t="s">
        <v>779</v>
      </c>
      <c r="AB406" s="10"/>
      <c r="AC406" s="10"/>
      <c r="AD406"/>
      <c r="AE406"/>
      <c r="AG406" s="2"/>
      <c r="AH406" s="103"/>
    </row>
    <row r="407" spans="1:34" x14ac:dyDescent="0.25">
      <c r="A407" t="s">
        <v>112</v>
      </c>
      <c r="B407" t="str">
        <f>VLOOKUP(A407,'Korrigerade leveranser GD'!$A$4:$B$482,2,FALSE)</f>
        <v>Falun</v>
      </c>
      <c r="C407" s="10"/>
      <c r="D407" s="10"/>
      <c r="E407" s="10"/>
      <c r="F407" s="10"/>
      <c r="G407" s="10"/>
      <c r="H407" s="10"/>
      <c r="I407" s="10"/>
      <c r="J407" s="10">
        <v>0</v>
      </c>
      <c r="K407" s="10">
        <v>3.2509999999999999</v>
      </c>
      <c r="L407" s="10">
        <v>4.5</v>
      </c>
      <c r="M407" s="10">
        <v>4.891</v>
      </c>
      <c r="N407" s="10">
        <v>4.9169999999999998</v>
      </c>
      <c r="O407" s="10">
        <v>4.9489999999999998</v>
      </c>
      <c r="P407" s="10">
        <v>5</v>
      </c>
      <c r="Q407" s="10">
        <v>5.4610000000000003</v>
      </c>
      <c r="R407" s="10">
        <v>4.8289999999999997</v>
      </c>
      <c r="S407" s="10">
        <f>IFERROR(VLOOKUP('Leveranser per nät'!A407,'lev 2012'!$B$2:$E$445,4,FALSE),"")</f>
        <v>5.19</v>
      </c>
      <c r="T407" s="10">
        <f>IFERROR(VLOOKUP('Leveranser per nät'!A407,'lev 2013'!$B$2:$E$445,4,FALSE),"")</f>
        <v>4.7759999999999998</v>
      </c>
      <c r="U407" s="10">
        <f>IFERROR(VLOOKUP('Leveranser per nät'!A407,'lev 2014'!$B$2:$E$432,4,FALSE),"")</f>
        <v>4.4400000000000004</v>
      </c>
      <c r="V407" s="10">
        <f>IFERROR(INDEX(Levererat_2015[Leveranser till eget nät],MATCH($A407,Levererat_2015[Indexnamn],0)),"")</f>
        <v>4.49</v>
      </c>
      <c r="W407" s="10">
        <f>IFERROR(INDEX(Levererat_2016[Leveranser till eget nät],MATCH($A407,Levererat_2016[Indexnamn],0)),"")</f>
        <v>4.62</v>
      </c>
      <c r="X407" s="10">
        <f>IFERROR(INDEX(Tabell4[Leveranser till eget nät],MATCH('Leveranser per nät'!A407,Tabell4[[Finns i listan ]],0)),"")</f>
        <v>4.7699999999999996</v>
      </c>
      <c r="Y407" s="10">
        <f>IFERROR(INDEX(Tabell6[Kolumn1],MATCH($A407,Tabell6[Indexnmamn],0)),"")</f>
        <v>4.88</v>
      </c>
      <c r="Z407" s="10">
        <v>4.8499999999999996</v>
      </c>
      <c r="AA407" s="10">
        <v>4.0199999999999996</v>
      </c>
      <c r="AB407" s="10">
        <f>VLOOKUP(A407,Tabell9[[Indexnamn]:[Kolumn1]],3,FALSE)</f>
        <v>4.7300000000000004</v>
      </c>
      <c r="AC407" s="10">
        <f>VLOOKUP($A407,'Lev 2022'!$K$2:$L$474,2,FALSE)</f>
        <v>4.3</v>
      </c>
      <c r="AG407" s="2">
        <f t="shared" si="15"/>
        <v>-0.4300000000000006</v>
      </c>
      <c r="AH407" s="103">
        <f t="shared" si="16"/>
        <v>-9.0909090909091023E-2</v>
      </c>
    </row>
    <row r="408" spans="1:34" x14ac:dyDescent="0.25">
      <c r="A408" t="s">
        <v>120</v>
      </c>
      <c r="B408" t="str">
        <f>VLOOKUP(A408,'Korrigerade leveranser GD'!$A$4:$B$482,2,FALSE)</f>
        <v>Säffle</v>
      </c>
      <c r="C408" s="10"/>
      <c r="D408" s="10"/>
      <c r="E408" s="10"/>
      <c r="F408" s="10">
        <v>0</v>
      </c>
      <c r="G408" s="10">
        <v>30</v>
      </c>
      <c r="H408" s="10">
        <v>28</v>
      </c>
      <c r="I408" s="10">
        <v>41.298999999999999</v>
      </c>
      <c r="J408" s="10">
        <v>43</v>
      </c>
      <c r="K408" s="10"/>
      <c r="L408" s="10"/>
      <c r="M408" s="10"/>
      <c r="N408" s="10"/>
      <c r="O408" s="10">
        <v>60.6</v>
      </c>
      <c r="P408" s="10">
        <v>60.6</v>
      </c>
      <c r="Q408" s="10">
        <v>68.744183999999962</v>
      </c>
      <c r="R408" s="10">
        <v>52.146999999999998</v>
      </c>
      <c r="S408" s="10">
        <f>IFERROR(VLOOKUP('Leveranser per nät'!A408,'lev 2012'!$B$2:$E$445,4,FALSE),"")</f>
        <v>57</v>
      </c>
      <c r="T408" s="10">
        <f>IFERROR(VLOOKUP('Leveranser per nät'!A408,'lev 2013'!$B$2:$E$445,4,FALSE),"")</f>
        <v>53.790999999999997</v>
      </c>
      <c r="U408" s="10">
        <f>IFERROR(VLOOKUP('Leveranser per nät'!A408,'lev 2014'!$B$2:$E$432,4,FALSE),"")</f>
        <v>47.688000000000002</v>
      </c>
      <c r="V408" s="10">
        <f>IFERROR(INDEX(Levererat_2015[Leveranser till eget nät],MATCH($A408,Levererat_2015[Indexnamn],0)),"")</f>
        <v>48.253</v>
      </c>
      <c r="W408" s="10">
        <f>IFERROR(INDEX(Levererat_2016[Leveranser till eget nät],MATCH($A408,Levererat_2016[Indexnamn],0)),"")</f>
        <v>50.42</v>
      </c>
      <c r="X408" s="10">
        <v>48.39</v>
      </c>
      <c r="Y408" s="10">
        <f>IFERROR(INDEX(Tabell6[Kolumn1],MATCH($A408,Tabell6[Indexnmamn],0)),"")</f>
        <v>49.863</v>
      </c>
      <c r="Z408" s="64">
        <v>47.171999999999997</v>
      </c>
      <c r="AA408" s="58">
        <v>43.805</v>
      </c>
      <c r="AB408" s="10">
        <f>VLOOKUP(A408,Tabell9[[Indexnamn]:[Kolumn1]],3,FALSE)</f>
        <v>51.575000000000003</v>
      </c>
      <c r="AC408" s="10">
        <f>VLOOKUP($A408,'Lev 2022'!$K$2:$L$474,2,FALSE)</f>
        <v>48.496000000000002</v>
      </c>
      <c r="AG408" s="2">
        <f t="shared" si="15"/>
        <v>-3.0790000000000006</v>
      </c>
      <c r="AH408" s="103">
        <f t="shared" si="16"/>
        <v>-5.9699466795928267E-2</v>
      </c>
    </row>
    <row r="409" spans="1:34" x14ac:dyDescent="0.25">
      <c r="A409" t="s">
        <v>144</v>
      </c>
      <c r="B409" t="str">
        <f>VLOOKUP(A409,'Korrigerade leveranser GD'!$A$4:$B$482,2,FALSE)</f>
        <v>Säter</v>
      </c>
      <c r="C409" s="10">
        <v>47</v>
      </c>
      <c r="D409" s="10">
        <v>47.34</v>
      </c>
      <c r="E409" s="10">
        <v>52.360999999999997</v>
      </c>
      <c r="F409" s="10">
        <v>52.360999999999997</v>
      </c>
      <c r="G409" s="10">
        <v>45</v>
      </c>
      <c r="H409" s="10">
        <v>48.604999999999997</v>
      </c>
      <c r="I409" s="10">
        <v>49.805</v>
      </c>
      <c r="J409" s="10">
        <v>49.805</v>
      </c>
      <c r="K409" s="10">
        <v>50.088000000000001</v>
      </c>
      <c r="L409" s="10">
        <v>48.3</v>
      </c>
      <c r="M409" s="10">
        <v>51.7</v>
      </c>
      <c r="N409" s="10">
        <v>51.2</v>
      </c>
      <c r="O409" s="10">
        <v>51.814</v>
      </c>
      <c r="P409" s="10">
        <v>53.860999999999997</v>
      </c>
      <c r="Q409" s="56">
        <f>(P409-R409)/2+R409</f>
        <v>52.396500000000003</v>
      </c>
      <c r="R409" s="10">
        <v>50.932000000000002</v>
      </c>
      <c r="S409" s="10">
        <f>IFERROR(VLOOKUP('Leveranser per nät'!A409,'lev 2012'!$B$2:$E$445,4,FALSE),"")</f>
        <v>53</v>
      </c>
      <c r="T409" s="10">
        <f>IFERROR(VLOOKUP('Leveranser per nät'!A409,'lev 2013'!$B$2:$E$445,4,FALSE),"")</f>
        <v>50.6</v>
      </c>
      <c r="U409" s="10">
        <f>IFERROR(VLOOKUP('Leveranser per nät'!A409,'lev 2014'!$B$2:$E$432,4,FALSE),"")</f>
        <v>49</v>
      </c>
      <c r="V409" s="10">
        <f>IFERROR(INDEX(Levererat_2015[Leveranser till eget nät],MATCH($A409,Levererat_2015[Indexnamn],0)),"")</f>
        <v>49</v>
      </c>
      <c r="W409" s="10">
        <f>IFERROR(INDEX(Levererat_2016[Leveranser till eget nät],MATCH($A409,Levererat_2016[Indexnamn],0)),"")</f>
        <v>51.17</v>
      </c>
      <c r="X409" s="58">
        <v>51.2</v>
      </c>
      <c r="Y409" s="10">
        <f>IFERROR(INDEX(Tabell6[Kolumn1],MATCH($A409,Tabell6[Indexnmamn],0)),"")</f>
        <v>50.14</v>
      </c>
      <c r="Z409" s="10">
        <v>49.8</v>
      </c>
      <c r="AA409" s="10">
        <v>45.5</v>
      </c>
      <c r="AB409" s="10">
        <f>VLOOKUP(A409,Tabell9[[Indexnamn]:[Kolumn1]],3,FALSE)</f>
        <v>50.45</v>
      </c>
      <c r="AC409" s="10">
        <f>VLOOKUP($A409,'Lev 2022'!$K$2:$L$474,2,FALSE)</f>
        <v>48.8</v>
      </c>
      <c r="AG409" s="2">
        <f t="shared" si="15"/>
        <v>-1.6500000000000057</v>
      </c>
      <c r="AH409" s="103">
        <f t="shared" si="16"/>
        <v>-3.2705649157581874E-2</v>
      </c>
    </row>
    <row r="410" spans="1:34" x14ac:dyDescent="0.25">
      <c r="A410" t="s">
        <v>327</v>
      </c>
      <c r="B410" t="str">
        <f>VLOOKUP(A410,'Korrigerade leveranser GD'!$A$4:$B$482,2,FALSE)</f>
        <v>Umeå</v>
      </c>
      <c r="C410" s="10"/>
      <c r="D410" s="10"/>
      <c r="E410" s="10"/>
      <c r="F410" s="10"/>
      <c r="G410" s="10"/>
      <c r="H410" s="10"/>
      <c r="I410" s="10">
        <v>0</v>
      </c>
      <c r="J410" s="10">
        <v>41.170999999999999</v>
      </c>
      <c r="K410" s="10">
        <v>42.027000000000001</v>
      </c>
      <c r="L410" s="10">
        <v>43.396535740068913</v>
      </c>
      <c r="M410" s="10">
        <v>29.396999999999998</v>
      </c>
      <c r="N410" s="10">
        <v>6.46</v>
      </c>
      <c r="O410" s="10">
        <v>5.8559999999999999</v>
      </c>
      <c r="P410" s="10">
        <v>7.5949999999999998</v>
      </c>
      <c r="Q410" s="10">
        <v>9.3219999999999992</v>
      </c>
      <c r="R410" s="10">
        <v>7.4</v>
      </c>
      <c r="S410" s="10">
        <f>IFERROR(VLOOKUP('Leveranser per nät'!A410,'lev 2012'!$B$2:$E$445,4,FALSE),"")</f>
        <v>7.78</v>
      </c>
      <c r="T410" s="10">
        <f>IFERROR(VLOOKUP('Leveranser per nät'!A410,'lev 2013'!$B$2:$E$445,4,FALSE),"")</f>
        <v>7.3250000000000002</v>
      </c>
      <c r="U410" s="10">
        <f>IFERROR(VLOOKUP('Leveranser per nät'!A410,'lev 2014'!$B$2:$E$432,4,FALSE),"")</f>
        <v>7.64</v>
      </c>
      <c r="V410" s="10">
        <f>IFERROR(INDEX(Levererat_2015[Leveranser till eget nät],MATCH($A410,Levererat_2015[Indexnamn],0)),"")</f>
        <v>6.96</v>
      </c>
      <c r="W410" s="10">
        <f>IFERROR(INDEX(Levererat_2016[Leveranser till eget nät],MATCH($A410,Levererat_2016[Indexnamn],0)),"")</f>
        <v>7.6760000000000002</v>
      </c>
      <c r="X410" s="10">
        <f>IFERROR(INDEX(Tabell4[Leveranser till eget nät],MATCH('Leveranser per nät'!A410,Tabell4[[Finns i listan ]],0)),"")</f>
        <v>7.65</v>
      </c>
      <c r="Y410" s="10">
        <f>IFERROR(INDEX(Tabell6[Kolumn1],MATCH($A410,Tabell6[Indexnmamn],0)),"")</f>
        <v>7.54</v>
      </c>
      <c r="Z410" s="10">
        <v>7.92</v>
      </c>
      <c r="AA410" s="10">
        <v>7.79</v>
      </c>
      <c r="AB410" s="10">
        <f>VLOOKUP(A410,Tabell9[[Indexnamn]:[Kolumn1]],3,FALSE)</f>
        <v>11.05</v>
      </c>
      <c r="AC410" s="10">
        <f>VLOOKUP($A410,'Lev 2022'!$K$2:$L$474,2,FALSE)</f>
        <v>10.17</v>
      </c>
      <c r="AG410" s="2">
        <f t="shared" si="15"/>
        <v>-0.88000000000000078</v>
      </c>
      <c r="AH410" s="103">
        <f t="shared" si="16"/>
        <v>-7.963800904977382E-2</v>
      </c>
    </row>
    <row r="411" spans="1:34" x14ac:dyDescent="0.25">
      <c r="A411" t="s">
        <v>299</v>
      </c>
      <c r="B411" t="str">
        <f>VLOOKUP(A411,'Korrigerade leveranser GD'!$A$4:$B$482,2,FALSE)</f>
        <v>Sävsjö</v>
      </c>
      <c r="C411" s="10"/>
      <c r="D411" s="10"/>
      <c r="E411" s="10"/>
      <c r="F411" s="10"/>
      <c r="G411" s="10"/>
      <c r="H411" s="10"/>
      <c r="I411" s="10"/>
      <c r="J411" s="10">
        <v>0</v>
      </c>
      <c r="K411" s="10">
        <v>21.766999999999999</v>
      </c>
      <c r="L411" s="10">
        <v>22.088000000000001</v>
      </c>
      <c r="M411" s="10">
        <v>24.79</v>
      </c>
      <c r="N411" s="10">
        <v>27.5</v>
      </c>
      <c r="O411" s="10">
        <v>30.9</v>
      </c>
      <c r="P411" s="10">
        <v>35.299999999999997</v>
      </c>
      <c r="Q411" s="10">
        <v>42</v>
      </c>
      <c r="R411" s="10">
        <v>34.9</v>
      </c>
      <c r="S411" s="10">
        <f>IFERROR(VLOOKUP('Leveranser per nät'!A411,'lev 2012'!$B$2:$E$445,4,FALSE),"")</f>
        <v>41</v>
      </c>
      <c r="T411" s="10">
        <f>IFERROR(VLOOKUP('Leveranser per nät'!A411,'lev 2013'!$B$2:$E$445,4,FALSE),"")</f>
        <v>41.9</v>
      </c>
      <c r="U411" s="10">
        <f>IFERROR(VLOOKUP('Leveranser per nät'!A411,'lev 2014'!$B$2:$E$432,4,FALSE),"")</f>
        <v>39.6</v>
      </c>
      <c r="V411" s="10">
        <f>IFERROR(INDEX(Levererat_2015[Leveranser till eget nät],MATCH($A411,Levererat_2015[Indexnamn],0)),"")</f>
        <v>41.7</v>
      </c>
      <c r="W411" s="10">
        <f>IFERROR(INDEX(Levererat_2016[Leveranser till eget nät],MATCH($A411,Levererat_2016[Indexnamn],0)),"")</f>
        <v>43.6</v>
      </c>
      <c r="X411" s="10">
        <f>IFERROR(INDEX(Tabell4[Leveranser till eget nät],MATCH('Leveranser per nät'!A411,Tabell4[[Finns i listan ]],0)),"")</f>
        <v>43.972000000000001</v>
      </c>
      <c r="Y411" s="10">
        <f>IFERROR(INDEX(Tabell6[Kolumn1],MATCH($A411,Tabell6[Indexnmamn],0)),"")</f>
        <v>44.280999999999999</v>
      </c>
      <c r="Z411" s="10">
        <v>44.054000000000002</v>
      </c>
      <c r="AA411" s="10">
        <v>43.215000000000003</v>
      </c>
      <c r="AB411" s="10">
        <f>VLOOKUP(A411,Tabell9[[Indexnamn]:[Kolumn1]],3,FALSE)</f>
        <v>50.347000000000001</v>
      </c>
      <c r="AC411" s="10">
        <f>VLOOKUP($A411,'Lev 2022'!$K$2:$L$474,2,FALSE)</f>
        <v>47.075000000000003</v>
      </c>
      <c r="AG411" s="2">
        <f t="shared" si="15"/>
        <v>-3.2719999999999985</v>
      </c>
      <c r="AH411" s="103">
        <f t="shared" si="16"/>
        <v>-6.4988976503068674E-2</v>
      </c>
    </row>
    <row r="412" spans="1:34" s="65" customFormat="1" x14ac:dyDescent="0.25">
      <c r="A412" s="65" t="s">
        <v>303</v>
      </c>
      <c r="B412" s="65" t="str">
        <f>VLOOKUP(A412,'Korrigerade leveranser GD'!$A$4:$B$482,2,FALSE)</f>
        <v>Söderhamn</v>
      </c>
      <c r="C412" s="68">
        <v>0</v>
      </c>
      <c r="D412" s="68">
        <v>5.32</v>
      </c>
      <c r="E412" s="68">
        <v>6</v>
      </c>
      <c r="F412" s="68">
        <v>0</v>
      </c>
      <c r="G412" s="68"/>
      <c r="H412" s="68"/>
      <c r="I412" s="68"/>
      <c r="J412" s="68"/>
      <c r="K412" s="68"/>
      <c r="L412" s="68">
        <v>0</v>
      </c>
      <c r="M412" s="68">
        <v>4.5419999999999998</v>
      </c>
      <c r="N412" s="68">
        <v>4.3659999999999997</v>
      </c>
      <c r="O412" s="68">
        <v>4.4710000000000001</v>
      </c>
      <c r="P412" s="68">
        <v>4.669772</v>
      </c>
      <c r="Q412" s="68">
        <v>0</v>
      </c>
      <c r="R412" s="68"/>
      <c r="S412" s="68" t="str">
        <f>IFERROR(VLOOKUP('Leveranser per nät'!A412,'lev 2012'!$B$2:$E$445,4,FALSE),"")</f>
        <v/>
      </c>
      <c r="T412" s="68" t="str">
        <f>IFERROR(VLOOKUP('Leveranser per nät'!A412,'lev 2013'!$B$2:$E$445,4,FALSE),"")</f>
        <v/>
      </c>
      <c r="U412" s="68" t="str">
        <f>IFERROR(VLOOKUP('Leveranser per nät'!A412,'lev 2014'!$B$2:$E$432,4,FALSE),"")</f>
        <v/>
      </c>
      <c r="V412" s="68" t="str">
        <f>IFERROR(INDEX(Levererat_2015[Leveranser till eget nät],MATCH($A412,Levererat_2015[Indexnamn],0)),"")</f>
        <v/>
      </c>
      <c r="W412" s="68" t="str">
        <f>IFERROR(INDEX(Levererat_2016[Leveranser till eget nät],MATCH($A412,Levererat_2016[Indexnamn],0)),"")</f>
        <v/>
      </c>
      <c r="X412" s="68" t="str">
        <f>IFERROR(INDEX(Tabell4[Leveranser till eget nät],MATCH('Leveranser per nät'!A412,Tabell4[[Finns i listan ]],0)),"")</f>
        <v/>
      </c>
      <c r="Y412" s="68" t="str">
        <f>IFERROR(INDEX(Tabell6[Kolumn1],MATCH($A412,Tabell6[Indexnmamn],0)),"")</f>
        <v/>
      </c>
      <c r="Z412" s="68"/>
      <c r="AA412" s="68" t="s">
        <v>779</v>
      </c>
      <c r="AB412" s="10"/>
      <c r="AC412" s="10"/>
      <c r="AD412"/>
      <c r="AE412"/>
      <c r="AG412" s="2"/>
      <c r="AH412" s="103"/>
    </row>
    <row r="413" spans="1:34" x14ac:dyDescent="0.25">
      <c r="A413" t="s">
        <v>279</v>
      </c>
      <c r="B413" t="str">
        <f>VLOOKUP(A413,'Korrigerade leveranser GD'!$A$4:$B$482,2,FALSE)</f>
        <v>Fagersta</v>
      </c>
      <c r="C413" s="10">
        <v>4</v>
      </c>
      <c r="D413" s="10">
        <v>3.74</v>
      </c>
      <c r="E413" s="10">
        <v>4</v>
      </c>
      <c r="F413" s="10">
        <v>3.6429999999999998</v>
      </c>
      <c r="G413" s="10">
        <v>3.3290000000000002</v>
      </c>
      <c r="H413" s="56">
        <f>(G413-I413)/2+I413</f>
        <v>3.1645000000000003</v>
      </c>
      <c r="I413" s="10">
        <v>3</v>
      </c>
      <c r="J413" s="10">
        <v>4</v>
      </c>
      <c r="K413" s="56">
        <f>(J413-M413)/3*2+M413</f>
        <v>3.9333333333333331</v>
      </c>
      <c r="L413" s="56">
        <f>(J413-M413)/3+M413</f>
        <v>3.8666666666666667</v>
      </c>
      <c r="M413" s="10">
        <v>3.8</v>
      </c>
      <c r="N413" s="10">
        <v>3.8</v>
      </c>
      <c r="O413" s="10">
        <v>4.2</v>
      </c>
      <c r="P413" s="10">
        <v>4.7</v>
      </c>
      <c r="Q413" s="10">
        <v>5.2</v>
      </c>
      <c r="R413" s="10">
        <v>4.4000000000000004</v>
      </c>
      <c r="S413" s="10">
        <f>IFERROR(VLOOKUP('Leveranser per nät'!A413,'lev 2012'!$B$2:$E$445,4,FALSE),"")</f>
        <v>4.68</v>
      </c>
      <c r="T413" s="56">
        <f>(S413-U413)/2+U413</f>
        <v>4.4584999999999999</v>
      </c>
      <c r="U413" s="10">
        <f>IFERROR(VLOOKUP('Leveranser per nät'!A413,'lev 2014'!$B$2:$E$432,4,FALSE),"")</f>
        <v>4.2370000000000001</v>
      </c>
      <c r="V413" s="10">
        <f>IFERROR(INDEX(Levererat_2015[Leveranser till eget nät],MATCH($A413,Levererat_2015[Indexnamn],0)),"")</f>
        <v>4.2359999999999998</v>
      </c>
      <c r="W413" s="10">
        <f>IFERROR(INDEX(Levererat_2016[Leveranser till eget nät],MATCH($A413,Levererat_2016[Indexnamn],0)),"")</f>
        <v>4.6109999999999998</v>
      </c>
      <c r="X413" s="10">
        <f>IFERROR(INDEX(Tabell4[Leveranser till eget nät],MATCH('Leveranser per nät'!A413,Tabell4[[Finns i listan ]],0)),"")</f>
        <v>4.431</v>
      </c>
      <c r="Y413" s="10">
        <f>IFERROR(INDEX(Tabell6[Kolumn1],MATCH($A413,Tabell6[Indexnmamn],0)),"")</f>
        <v>4.7210000000000001</v>
      </c>
      <c r="Z413" s="10">
        <v>4.0339999999999998</v>
      </c>
      <c r="AA413" s="10">
        <v>3.5819999999999999</v>
      </c>
      <c r="AB413" s="10">
        <f>VLOOKUP(A413,Tabell9[[Indexnamn]:[Kolumn1]],3,FALSE)</f>
        <v>4.0110000000000001</v>
      </c>
      <c r="AC413" s="10">
        <f>VLOOKUP($A413,'Lev 2022'!$K$2:$L$474,2,FALSE)</f>
        <v>3.7530000000000001</v>
      </c>
      <c r="AG413" s="2">
        <f t="shared" si="15"/>
        <v>-0.25800000000000001</v>
      </c>
      <c r="AH413" s="103">
        <f t="shared" si="16"/>
        <v>-6.4323111443530298E-2</v>
      </c>
    </row>
    <row r="414" spans="1:34" s="77" customFormat="1" x14ac:dyDescent="0.25">
      <c r="A414" s="3" t="s">
        <v>17</v>
      </c>
      <c r="B414" s="5" t="str">
        <f>VLOOKUP(A414,'Korrigerade leveranser GD'!$A$4:$B$482,2,FALSE)</f>
        <v>Tärnsjö</v>
      </c>
      <c r="C414" s="69"/>
      <c r="D414" s="69"/>
      <c r="E414" s="69"/>
      <c r="F414" s="69"/>
      <c r="G414" s="69"/>
      <c r="H414" s="69"/>
      <c r="I414" s="69"/>
      <c r="J414" s="69"/>
      <c r="K414" s="69"/>
      <c r="L414" s="69"/>
      <c r="M414" s="69"/>
      <c r="N414" s="69"/>
      <c r="O414" s="69"/>
      <c r="P414" s="69">
        <v>0</v>
      </c>
      <c r="Q414" s="69">
        <v>7.1</v>
      </c>
      <c r="R414" s="69">
        <v>5.8</v>
      </c>
      <c r="S414" s="69">
        <f>IFERROR(VLOOKUP('Leveranser per nät'!A414,'lev 2012'!$B$2:$E$445,4,FALSE),"")</f>
        <v>6.2</v>
      </c>
      <c r="T414" s="69">
        <f>IFERROR(VLOOKUP('Leveranser per nät'!A414,'lev 2013'!$B$2:$E$445,4,FALSE),"")</f>
        <v>6.1</v>
      </c>
      <c r="U414" s="69">
        <f>IFERROR(VLOOKUP('Leveranser per nät'!A414,'lev 2014'!$B$2:$E$432,4,FALSE),"")</f>
        <v>5.5449999999999999</v>
      </c>
      <c r="V414" s="69">
        <f>IFERROR(INDEX(Levererat_2015[Leveranser till eget nät],MATCH($A414,Levererat_2015[Indexnamn],0)),"")</f>
        <v>5.8159999999999998</v>
      </c>
      <c r="W414" s="69">
        <f>IFERROR(INDEX(Levererat_2016[Leveranser till eget nät],MATCH($A414,Levererat_2016[Indexnamn],0)),"")</f>
        <v>6.6970000000000001</v>
      </c>
      <c r="X414" s="69">
        <v>6.6</v>
      </c>
      <c r="Y414" s="69">
        <v>6.6</v>
      </c>
      <c r="Z414" s="69">
        <v>6.5</v>
      </c>
      <c r="AA414" s="58">
        <v>5.6</v>
      </c>
      <c r="AB414" s="69">
        <v>6.3</v>
      </c>
      <c r="AC414" s="56">
        <f>AB414*(1-0.07)</f>
        <v>5.8589999999999991</v>
      </c>
      <c r="AD414"/>
      <c r="AE414"/>
      <c r="AG414" s="2"/>
      <c r="AH414" s="103">
        <f t="shared" si="16"/>
        <v>0</v>
      </c>
    </row>
    <row r="415" spans="1:34" x14ac:dyDescent="0.25">
      <c r="A415" t="s">
        <v>301</v>
      </c>
      <c r="B415" t="str">
        <f>VLOOKUP(A415,'Korrigerade leveranser GD'!$A$4:$B$482,2,FALSE)</f>
        <v>Söderhamn</v>
      </c>
      <c r="C415" s="10">
        <v>199</v>
      </c>
      <c r="D415" s="10">
        <v>115.43</v>
      </c>
      <c r="E415" s="10">
        <v>125</v>
      </c>
      <c r="F415" s="10">
        <v>132</v>
      </c>
      <c r="G415" s="10">
        <v>150</v>
      </c>
      <c r="H415" s="10">
        <v>160</v>
      </c>
      <c r="I415" s="10">
        <v>156</v>
      </c>
      <c r="J415" s="10">
        <v>155</v>
      </c>
      <c r="K415" s="10">
        <v>147.453</v>
      </c>
      <c r="L415" s="10">
        <v>140.63399999999999</v>
      </c>
      <c r="M415" s="10">
        <v>122.634</v>
      </c>
      <c r="N415" s="10">
        <v>119.083</v>
      </c>
      <c r="O415" s="10">
        <v>120.843</v>
      </c>
      <c r="P415" s="10">
        <v>127.76809900000001</v>
      </c>
      <c r="Q415" s="10">
        <v>149.69282999999999</v>
      </c>
      <c r="R415" s="10">
        <v>120.166</v>
      </c>
      <c r="S415" s="10">
        <f>IFERROR(VLOOKUP('Leveranser per nät'!A415,'lev 2012'!$B$2:$E$445,4,FALSE),"")</f>
        <v>130</v>
      </c>
      <c r="T415" s="10">
        <f>IFERROR(VLOOKUP('Leveranser per nät'!A415,'lev 2013'!$B$2:$E$445,4,FALSE),"")</f>
        <v>125.948592</v>
      </c>
      <c r="U415" s="10">
        <f>IFERROR(VLOOKUP('Leveranser per nät'!A415,'lev 2014'!$B$2:$E$432,4,FALSE),"")</f>
        <v>118.904269</v>
      </c>
      <c r="V415" s="10">
        <f>IFERROR(INDEX(Levererat_2015[Leveranser till eget nät],MATCH($A415,Levererat_2015[Indexnamn],0)),"")</f>
        <v>121.227</v>
      </c>
      <c r="W415" s="10">
        <f>IFERROR(INDEX(Levererat_2016[Leveranser till eget nät],MATCH($A415,Levererat_2016[Indexnamn],0)),"")</f>
        <v>127.962</v>
      </c>
      <c r="X415" s="10">
        <f>IFERROR(INDEX(Tabell4[Leveranser till eget nät],MATCH('Leveranser per nät'!A415,Tabell4[[Finns i listan ]],0)),"")</f>
        <v>127.768</v>
      </c>
      <c r="Y415" s="10">
        <f>IFERROR(INDEX(Tabell6[Kolumn1],MATCH($A415,Tabell6[Indexnmamn],0)),"")</f>
        <v>125.73699999999999</v>
      </c>
      <c r="Z415" s="10">
        <v>123.666</v>
      </c>
      <c r="AA415" s="10">
        <v>106.39</v>
      </c>
      <c r="AB415" s="10">
        <f>VLOOKUP(A415,Tabell9[[Indexnamn]:[Kolumn1]],3,FALSE)</f>
        <v>123.702</v>
      </c>
      <c r="AC415" s="10">
        <f>VLOOKUP($A415,'Lev 2022'!$K$2:$L$474,2,FALSE)</f>
        <v>115.232</v>
      </c>
      <c r="AG415" s="2">
        <f t="shared" si="15"/>
        <v>-8.4699999999999989</v>
      </c>
      <c r="AH415" s="103">
        <f t="shared" si="16"/>
        <v>-6.8471002894051822E-2</v>
      </c>
    </row>
    <row r="416" spans="1:34" s="65" customFormat="1" x14ac:dyDescent="0.25">
      <c r="A416" s="65" t="s">
        <v>75</v>
      </c>
      <c r="B416" s="65" t="str">
        <f>VLOOKUP(A416,'Korrigerade leveranser GD'!$A$4:$B$482,2,FALSE)</f>
        <v>Norrköping</v>
      </c>
      <c r="C416" s="68"/>
      <c r="D416" s="68"/>
      <c r="E416" s="68"/>
      <c r="F416" s="68"/>
      <c r="G416" s="68"/>
      <c r="H416" s="68"/>
      <c r="I416" s="68"/>
      <c r="J416" s="68"/>
      <c r="K416" s="68"/>
      <c r="L416" s="68">
        <v>0</v>
      </c>
      <c r="M416" s="68">
        <v>32</v>
      </c>
      <c r="N416" s="68">
        <v>32</v>
      </c>
      <c r="O416" s="68">
        <v>27.9</v>
      </c>
      <c r="P416" s="68">
        <v>40</v>
      </c>
      <c r="Q416" s="68">
        <v>38.299999999999997</v>
      </c>
      <c r="R416" s="68">
        <v>0</v>
      </c>
      <c r="S416" s="68" t="str">
        <f>IFERROR(VLOOKUP('Leveranser per nät'!A416,'lev 2012'!$B$2:$E$445,4,FALSE),"")</f>
        <v/>
      </c>
      <c r="T416" s="68" t="str">
        <f>IFERROR(VLOOKUP('Leveranser per nät'!A416,'lev 2013'!$B$2:$E$445,4,FALSE),"")</f>
        <v/>
      </c>
      <c r="U416" s="68" t="str">
        <f>IFERROR(VLOOKUP('Leveranser per nät'!A416,'lev 2014'!$B$2:$E$432,4,FALSE),"")</f>
        <v/>
      </c>
      <c r="V416" s="68" t="str">
        <f>IFERROR(INDEX(Levererat_2015[Leveranser till eget nät],MATCH($A416,Levererat_2015[Indexnamn],0)),"")</f>
        <v/>
      </c>
      <c r="W416" s="68" t="str">
        <f>IFERROR(INDEX(Levererat_2016[Leveranser till eget nät],MATCH($A416,Levererat_2016[Indexnamn],0)),"")</f>
        <v/>
      </c>
      <c r="X416" s="68" t="str">
        <f>IFERROR(INDEX(Tabell4[Leveranser till eget nät],MATCH('Leveranser per nät'!A416,Tabell4[[Finns i listan ]],0)),"")</f>
        <v/>
      </c>
      <c r="Y416" s="68" t="str">
        <f>IFERROR(INDEX(Tabell6[Kolumn1],MATCH($A416,Tabell6[Indexnmamn],0)),"")</f>
        <v/>
      </c>
      <c r="Z416" s="68"/>
      <c r="AA416" s="68" t="s">
        <v>779</v>
      </c>
      <c r="AB416" s="10"/>
      <c r="AC416" s="10"/>
      <c r="AD416"/>
      <c r="AE416"/>
      <c r="AG416" s="2"/>
      <c r="AH416" s="103"/>
    </row>
    <row r="417" spans="1:34" x14ac:dyDescent="0.25">
      <c r="A417" t="s">
        <v>311</v>
      </c>
      <c r="B417" t="str">
        <f>VLOOKUP(A417,'Korrigerade leveranser GD'!$A$4:$B$482,2,FALSE)</f>
        <v>Södertälje</v>
      </c>
      <c r="C417" s="10">
        <v>774.57299999999998</v>
      </c>
      <c r="D417" s="10">
        <v>684.73599999999999</v>
      </c>
      <c r="E417" s="10">
        <v>686</v>
      </c>
      <c r="F417" s="10">
        <v>656</v>
      </c>
      <c r="G417" s="10">
        <v>665</v>
      </c>
      <c r="H417" s="10">
        <v>728</v>
      </c>
      <c r="I417" s="10">
        <v>679</v>
      </c>
      <c r="J417" s="10">
        <v>728.47</v>
      </c>
      <c r="K417" s="10">
        <v>756.16600000000005</v>
      </c>
      <c r="L417" s="10">
        <v>741.572</v>
      </c>
      <c r="M417" s="10">
        <v>694.34900000000005</v>
      </c>
      <c r="N417" s="10">
        <v>727.21600000000001</v>
      </c>
      <c r="O417" s="10">
        <v>681.37800000000004</v>
      </c>
      <c r="P417" s="10">
        <v>730</v>
      </c>
      <c r="Q417" s="10">
        <v>796.21500000000003</v>
      </c>
      <c r="R417" s="10">
        <v>748.32100000000003</v>
      </c>
      <c r="S417" s="10">
        <v>723.19349999999997</v>
      </c>
      <c r="T417" s="10">
        <v>724.529</v>
      </c>
      <c r="U417" s="10">
        <v>605</v>
      </c>
      <c r="V417" s="10">
        <f>IFERROR(INDEX(Levererat_2015[Leveranser till eget nät],MATCH($A417,Levererat_2015[Indexnamn],0)),"")</f>
        <v>633</v>
      </c>
      <c r="W417" s="10">
        <f>IFERROR(INDEX(Levererat_2016[Leveranser till eget nät],MATCH($A417,Levererat_2016[Indexnamn],0)),"")</f>
        <v>682</v>
      </c>
      <c r="X417" s="10">
        <f>IFERROR(INDEX(Tabell4[Leveranser till eget nät],MATCH('Leveranser per nät'!A417,Tabell4[[Finns i listan ]],0)),"")</f>
        <v>674</v>
      </c>
      <c r="Y417" s="10">
        <f>IFERROR(INDEX(Tabell6[Kolumn1],MATCH($A417,Tabell6[Indexnmamn],0)),"")</f>
        <v>688</v>
      </c>
      <c r="Z417" s="10">
        <v>668</v>
      </c>
      <c r="AA417" s="10">
        <v>615</v>
      </c>
      <c r="AB417" s="10">
        <f>VLOOKUP(A417,Tabell9[[Indexnamn]:[Kolumn1]],3,FALSE)</f>
        <v>723.62</v>
      </c>
      <c r="AC417" s="10">
        <f>VLOOKUP($A417,'Lev 2022'!$K$2:$L$474,2,FALSE)</f>
        <v>668.80600000000004</v>
      </c>
      <c r="AG417" s="2">
        <f t="shared" si="15"/>
        <v>-54.813999999999965</v>
      </c>
      <c r="AH417" s="103">
        <f t="shared" si="16"/>
        <v>-7.5749702882728448E-2</v>
      </c>
    </row>
    <row r="418" spans="1:34" x14ac:dyDescent="0.25">
      <c r="A418" t="s">
        <v>304</v>
      </c>
      <c r="B418" t="str">
        <f>VLOOKUP(A418,'Korrigerade leveranser GD'!$A$4:$B$482,2,FALSE)</f>
        <v>Botkyrka</v>
      </c>
      <c r="C418" s="10">
        <v>1103</v>
      </c>
      <c r="D418" s="10">
        <v>1034.04</v>
      </c>
      <c r="E418" s="10">
        <v>1058</v>
      </c>
      <c r="F418" s="10">
        <v>1023</v>
      </c>
      <c r="G418" s="10">
        <v>981</v>
      </c>
      <c r="H418" s="10">
        <v>1071</v>
      </c>
      <c r="I418" s="10">
        <v>1075</v>
      </c>
      <c r="J418" s="10">
        <v>1082</v>
      </c>
      <c r="K418" s="10">
        <v>1066.05</v>
      </c>
      <c r="L418" s="10">
        <v>1082.31</v>
      </c>
      <c r="M418" s="10">
        <v>1028</v>
      </c>
      <c r="N418" s="10">
        <v>1008.9</v>
      </c>
      <c r="O418" s="10">
        <v>987.76599999999996</v>
      </c>
      <c r="P418" s="10">
        <v>1040.596</v>
      </c>
      <c r="Q418" s="10">
        <v>1186.8510000000001</v>
      </c>
      <c r="R418" s="10">
        <v>1057.51</v>
      </c>
      <c r="S418" s="10">
        <f>IFERROR(VLOOKUP('Leveranser per nät'!A418,'lev 2012'!$B$2:$E$445,4,FALSE),"")</f>
        <v>1048</v>
      </c>
      <c r="T418" s="10">
        <f>IFERROR(VLOOKUP('Leveranser per nät'!A418,'lev 2013'!$B$2:$E$445,4,FALSE),"")</f>
        <v>1012.1</v>
      </c>
      <c r="U418" s="10">
        <f>IFERROR(VLOOKUP('Leveranser per nät'!A418,'lev 2014'!$B$2:$E$432,4,FALSE),"")</f>
        <v>936.6</v>
      </c>
      <c r="V418" s="10">
        <f>IFERROR(INDEX(Levererat_2015[Leveranser till eget nät],MATCH($A418,Levererat_2015[Indexnamn],0)),"")</f>
        <v>918.7</v>
      </c>
      <c r="W418" s="10">
        <f>IFERROR(INDEX(Levererat_2016[Leveranser till eget nät],MATCH($A418,Levererat_2016[Indexnamn],0)),"")</f>
        <v>981</v>
      </c>
      <c r="X418" s="10">
        <f>IFERROR(INDEX(Tabell4[Leveranser till eget nät],MATCH('Leveranser per nät'!A418,Tabell4[[Finns i listan ]],0)),"")</f>
        <v>975.86599999999999</v>
      </c>
      <c r="Y418" s="10">
        <f>IFERROR(INDEX(Tabell6[Kolumn1],MATCH($A418,Tabell6[Indexnmamn],0)),"")</f>
        <v>978.07899999999995</v>
      </c>
      <c r="Z418" s="10">
        <v>956.31799999999998</v>
      </c>
      <c r="AA418" s="10">
        <v>867.29</v>
      </c>
      <c r="AB418" s="10">
        <f>VLOOKUP(A418,Tabell9[[Indexnamn]:[Kolumn1]],3,FALSE)</f>
        <v>1004.41313</v>
      </c>
      <c r="AC418" s="10">
        <f>VLOOKUP($A418,'Lev 2022'!$K$2:$L$474,2,FALSE)</f>
        <v>945.40099999999995</v>
      </c>
      <c r="AG418" s="2">
        <f t="shared" si="15"/>
        <v>-59.01213000000007</v>
      </c>
      <c r="AH418" s="103">
        <f t="shared" si="16"/>
        <v>-5.8752846052500397E-2</v>
      </c>
    </row>
    <row r="419" spans="1:34" x14ac:dyDescent="0.25">
      <c r="A419" t="s">
        <v>391</v>
      </c>
      <c r="B419" t="str">
        <f>VLOOKUP(A419,'Korrigerade leveranser GD'!$A$4:$B$482,2,FALSE)</f>
        <v>Vimmerby</v>
      </c>
      <c r="C419" s="10"/>
      <c r="D419" s="10"/>
      <c r="E419" s="10"/>
      <c r="F419" s="10"/>
      <c r="G419" s="10"/>
      <c r="H419" s="10"/>
      <c r="I419" s="10"/>
      <c r="J419" s="10"/>
      <c r="K419" s="10"/>
      <c r="L419" s="10"/>
      <c r="M419" s="10"/>
      <c r="N419" s="10">
        <v>0</v>
      </c>
      <c r="O419" s="10">
        <v>2.4</v>
      </c>
      <c r="P419" s="10">
        <v>5</v>
      </c>
      <c r="Q419" s="10">
        <v>8.4250000000000007</v>
      </c>
      <c r="R419" s="10">
        <v>7</v>
      </c>
      <c r="S419" s="10">
        <f>IFERROR(VLOOKUP('Leveranser per nät'!A419,'lev 2012'!$B$2:$E$445,4,FALSE),"")</f>
        <v>9.5500000000000007</v>
      </c>
      <c r="T419" s="10">
        <f>IFERROR(VLOOKUP('Leveranser per nät'!A419,'lev 2013'!$B$2:$E$445,4,FALSE),"")</f>
        <v>9.9320000000000004</v>
      </c>
      <c r="U419" s="10">
        <f>IFERROR(VLOOKUP('Leveranser per nät'!A419,'lev 2014'!$B$2:$E$432,4,FALSE),"")</f>
        <v>8.4969999999999999</v>
      </c>
      <c r="V419" s="10">
        <f>IFERROR(INDEX(Levererat_2015[Leveranser till eget nät],MATCH($A419,Levererat_2015[Indexnamn],0)),"")</f>
        <v>8.4309999999999992</v>
      </c>
      <c r="W419" s="10">
        <f>IFERROR(INDEX(Levererat_2016[Leveranser till eget nät],MATCH($A419,Levererat_2016[Indexnamn],0)),"")</f>
        <v>11.076000000000001</v>
      </c>
      <c r="X419" s="10">
        <f>IFERROR(INDEX(Tabell4[Leveranser till eget nät],MATCH('Leveranser per nät'!A419,Tabell4[[Finns i listan ]],0)),"")</f>
        <v>12.039</v>
      </c>
      <c r="Y419" s="10">
        <f>IFERROR(INDEX(Tabell6[Kolumn1],MATCH($A419,Tabell6[Indexnmamn],0)),"")</f>
        <v>12.093</v>
      </c>
      <c r="Z419" s="10">
        <v>11.372</v>
      </c>
      <c r="AA419" s="10">
        <v>12.901999999999999</v>
      </c>
      <c r="AB419" s="10">
        <f>VLOOKUP(A419,Tabell9[[Indexnamn]:[Kolumn1]],3,FALSE)</f>
        <v>16.238</v>
      </c>
      <c r="AC419" s="10">
        <f>VLOOKUP($A419,'Lev 2022'!$K$2:$L$474,2,FALSE)</f>
        <v>14.247999999999999</v>
      </c>
      <c r="AG419" s="2">
        <f t="shared" si="15"/>
        <v>-1.9900000000000002</v>
      </c>
      <c r="AH419" s="103">
        <f t="shared" si="16"/>
        <v>-0.12255203842837789</v>
      </c>
    </row>
    <row r="420" spans="1:34" x14ac:dyDescent="0.25">
      <c r="A420" t="s">
        <v>463</v>
      </c>
      <c r="B420" t="s">
        <v>463</v>
      </c>
      <c r="C420" s="10"/>
      <c r="D420" s="10"/>
      <c r="E420" s="10"/>
      <c r="F420" s="10"/>
      <c r="G420" s="10"/>
      <c r="H420" s="10"/>
      <c r="I420" s="10"/>
      <c r="J420" s="10"/>
      <c r="K420" s="10"/>
      <c r="L420" s="10"/>
      <c r="M420" s="10"/>
      <c r="N420" s="10"/>
      <c r="O420" s="10"/>
      <c r="P420" s="10"/>
      <c r="Q420" s="10"/>
      <c r="R420" s="10"/>
      <c r="S420" s="10"/>
      <c r="T420" s="10">
        <v>48</v>
      </c>
      <c r="U420" s="10">
        <v>42.3</v>
      </c>
      <c r="V420" s="10">
        <v>43.8</v>
      </c>
      <c r="W420" s="10">
        <v>46.8</v>
      </c>
      <c r="X420" s="10">
        <v>46.4</v>
      </c>
      <c r="Y420" s="10">
        <v>46.9</v>
      </c>
      <c r="Z420" s="10">
        <v>46</v>
      </c>
      <c r="AA420" s="10">
        <v>44</v>
      </c>
      <c r="AB420" s="10">
        <f>VLOOKUP(A420,Tabell9[[Indexnamn]:[Kolumn1]],3,FALSE)</f>
        <v>52.408000000000001</v>
      </c>
      <c r="AC420" s="10">
        <f>VLOOKUP($A420,'Lev 2022'!$K$2:$L$474,2,FALSE)</f>
        <v>48.039000000000001</v>
      </c>
      <c r="AG420" s="2">
        <f t="shared" si="15"/>
        <v>-4.3689999999999998</v>
      </c>
      <c r="AH420" s="103">
        <f t="shared" si="16"/>
        <v>-8.3365135093878787E-2</v>
      </c>
    </row>
    <row r="421" spans="1:34" x14ac:dyDescent="0.25">
      <c r="A421" t="s">
        <v>129</v>
      </c>
      <c r="B421" t="str">
        <f>VLOOKUP(A421,'Korrigerade leveranser GD'!$A$4:$B$482,2,FALSE)</f>
        <v>Hudiksvall</v>
      </c>
      <c r="C421" s="10"/>
      <c r="D421" s="10"/>
      <c r="E421" s="10"/>
      <c r="F421" s="10"/>
      <c r="G421" s="10"/>
      <c r="H421" s="10"/>
      <c r="I421" s="10"/>
      <c r="J421" s="10"/>
      <c r="K421" s="10"/>
      <c r="L421" s="10"/>
      <c r="M421" s="10"/>
      <c r="N421" s="10"/>
      <c r="O421" s="10">
        <v>0</v>
      </c>
      <c r="P421" s="10">
        <v>7.2</v>
      </c>
      <c r="Q421" s="10">
        <v>8.3539999999999992</v>
      </c>
      <c r="R421" s="10">
        <v>6.9329999999999998</v>
      </c>
      <c r="S421" s="10">
        <f>IFERROR(VLOOKUP('Leveranser per nät'!A421,'lev 2012'!$B$2:$E$445,4,FALSE),"")</f>
        <v>7.26</v>
      </c>
      <c r="T421" s="10">
        <f>IFERROR(VLOOKUP('Leveranser per nät'!A421,'lev 2013'!$B$2:$E$445,4,FALSE),"")</f>
        <v>7.1159999999999997</v>
      </c>
      <c r="U421" s="10">
        <f>IFERROR(VLOOKUP('Leveranser per nät'!A421,'lev 2014'!$B$2:$E$432,4,FALSE),"")</f>
        <v>6.484</v>
      </c>
      <c r="V421" s="10">
        <f>IFERROR(INDEX(Levererat_2015[Leveranser till eget nät],MATCH($A421,Levererat_2015[Indexnamn],0)),"")</f>
        <v>6.9610000000000003</v>
      </c>
      <c r="W421" s="10">
        <f>IFERROR(INDEX(Levererat_2016[Leveranser till eget nät],MATCH($A421,Levererat_2016[Indexnamn],0)),"")</f>
        <v>7.1289999999999996</v>
      </c>
      <c r="X421" s="10">
        <f>IFERROR(INDEX(Tabell4[Leveranser till eget nät],MATCH('Leveranser per nät'!A421,Tabell4[[Finns i listan ]],0)),"")</f>
        <v>7.0090000000000003</v>
      </c>
      <c r="Y421" s="10">
        <f>IFERROR(INDEX(Tabell6[Kolumn1],MATCH($A421,Tabell6[Indexnmamn],0)),"")</f>
        <v>6.8</v>
      </c>
      <c r="Z421" s="10">
        <v>6.7089999999999996</v>
      </c>
      <c r="AA421" s="10">
        <v>5.9740000000000002</v>
      </c>
      <c r="AB421" s="10">
        <f>VLOOKUP(A421,Tabell9[[Indexnamn]:[Kolumn1]],3,FALSE)</f>
        <v>6.8029999999999999</v>
      </c>
      <c r="AC421" s="10">
        <f>VLOOKUP($A421,'Lev 2022'!$K$2:$L$474,2,FALSE)</f>
        <v>6.2110000000000003</v>
      </c>
      <c r="AG421" s="2">
        <f t="shared" si="15"/>
        <v>-0.59199999999999964</v>
      </c>
      <c r="AH421" s="103">
        <f t="shared" si="16"/>
        <v>-8.7020432162281294E-2</v>
      </c>
    </row>
    <row r="422" spans="1:34" x14ac:dyDescent="0.25">
      <c r="A422" t="s">
        <v>958</v>
      </c>
      <c r="B422" t="s">
        <v>151</v>
      </c>
      <c r="C422" s="10"/>
      <c r="D422" s="10"/>
      <c r="E422" s="10"/>
      <c r="F422" s="10"/>
      <c r="G422" s="10"/>
      <c r="H422" s="10"/>
      <c r="I422" s="10"/>
      <c r="J422" s="10"/>
      <c r="K422" s="10"/>
      <c r="L422" s="10"/>
      <c r="M422" s="10"/>
      <c r="N422" s="10"/>
      <c r="O422" s="10"/>
      <c r="P422" s="10"/>
      <c r="Q422" s="10"/>
      <c r="R422" s="10"/>
      <c r="S422" s="10"/>
      <c r="T422" s="10"/>
      <c r="U422" s="10"/>
      <c r="V422" s="10"/>
      <c r="W422" s="10"/>
      <c r="X422" s="10" t="str">
        <f>IFERROR(INDEX(Tabell4[Leveranser till eget nät],MATCH('Leveranser per nät'!A422,Tabell4[[Finns i listan ]],0)),"")</f>
        <v/>
      </c>
      <c r="Y422" s="10">
        <f>IFERROR(INDEX(Tabell6[Kolumn1],MATCH($A422,Tabell6[Indexnmamn],0)),"")</f>
        <v>3.5</v>
      </c>
      <c r="Z422" s="10">
        <v>3.1920000000000002</v>
      </c>
      <c r="AA422" s="10">
        <v>3.6</v>
      </c>
      <c r="AB422" s="10">
        <f>VLOOKUP(A422,Tabell9[[Indexnamn]:[Kolumn1]],3,FALSE)</f>
        <v>4.452</v>
      </c>
      <c r="AC422" s="10">
        <f>VLOOKUP($A422,'Lev 2022'!$K$2:$L$474,2,FALSE)</f>
        <v>4.0460000000000003</v>
      </c>
      <c r="AG422" s="2">
        <f t="shared" si="15"/>
        <v>-0.40599999999999969</v>
      </c>
      <c r="AH422" s="103">
        <f t="shared" si="16"/>
        <v>-9.1194968553459058E-2</v>
      </c>
    </row>
    <row r="423" spans="1:34" x14ac:dyDescent="0.25">
      <c r="A423" t="s">
        <v>426</v>
      </c>
      <c r="B423" t="s">
        <v>865</v>
      </c>
      <c r="C423" s="10"/>
      <c r="D423" s="10"/>
      <c r="E423" s="10"/>
      <c r="F423" s="10"/>
      <c r="G423" s="10"/>
      <c r="H423" s="10"/>
      <c r="I423" s="10"/>
      <c r="J423" s="10"/>
      <c r="K423" s="10">
        <v>0</v>
      </c>
      <c r="L423" s="10">
        <v>7.4050074505675552</v>
      </c>
      <c r="M423" s="10">
        <v>8.4120000000000008</v>
      </c>
      <c r="N423" s="10">
        <v>2.2000000000000002</v>
      </c>
      <c r="O423" s="10">
        <v>8.5</v>
      </c>
      <c r="P423" s="10">
        <v>9.26</v>
      </c>
      <c r="Q423" s="10">
        <v>10.9</v>
      </c>
      <c r="R423" s="58">
        <v>8.5</v>
      </c>
      <c r="S423" s="10">
        <v>9.1</v>
      </c>
      <c r="T423" s="10">
        <v>12.6</v>
      </c>
      <c r="U423" s="10">
        <v>7.6</v>
      </c>
      <c r="V423" s="10">
        <v>7.9</v>
      </c>
      <c r="W423" s="10">
        <v>8.1</v>
      </c>
      <c r="X423" s="58">
        <v>8.9</v>
      </c>
      <c r="Y423" s="10">
        <f>IFERROR(INDEX(Tabell6[Kolumn1],MATCH($A423,Tabell6[Indexnmamn],0)),"")</f>
        <v>8.5459999999999994</v>
      </c>
      <c r="Z423" s="10">
        <v>8.3810000000000002</v>
      </c>
      <c r="AA423" s="58">
        <v>8.6189999999999998</v>
      </c>
      <c r="AB423" s="10">
        <f>VLOOKUP(A423,Tabell9[[Indexnamn]:[Kolumn1]],3,FALSE)</f>
        <v>10.118</v>
      </c>
      <c r="AC423" s="10">
        <f>VLOOKUP($A423,'Lev 2022'!$K$2:$L$474,2,FALSE)</f>
        <v>8.875</v>
      </c>
      <c r="AG423" s="2">
        <f t="shared" si="15"/>
        <v>-1.2430000000000003</v>
      </c>
      <c r="AH423" s="103">
        <f t="shared" si="16"/>
        <v>-0.122850365684918</v>
      </c>
    </row>
    <row r="424" spans="1:34" s="65" customFormat="1" x14ac:dyDescent="0.25">
      <c r="A424" s="65" t="s">
        <v>427</v>
      </c>
      <c r="B424" s="65" t="str">
        <f>VLOOKUP(A424,'Korrigerade leveranser GD'!$A$4:$B$482,2,FALSE)</f>
        <v>Kävlinge</v>
      </c>
      <c r="C424" s="68"/>
      <c r="D424" s="68">
        <v>0</v>
      </c>
      <c r="E424" s="68">
        <v>1.71</v>
      </c>
      <c r="F424" s="68">
        <v>2</v>
      </c>
      <c r="G424" s="68">
        <v>2</v>
      </c>
      <c r="H424" s="68">
        <v>2</v>
      </c>
      <c r="I424" s="68">
        <v>2</v>
      </c>
      <c r="J424" s="68">
        <v>0</v>
      </c>
      <c r="K424" s="68"/>
      <c r="L424" s="68"/>
      <c r="M424" s="68"/>
      <c r="N424" s="68"/>
      <c r="O424" s="68"/>
      <c r="P424" s="68"/>
      <c r="Q424" s="68"/>
      <c r="R424" s="68"/>
      <c r="S424" s="68" t="str">
        <f>IFERROR(VLOOKUP('Leveranser per nät'!A424,'lev 2012'!$B$2:$E$445,4,FALSE),"")</f>
        <v/>
      </c>
      <c r="T424" s="68" t="str">
        <f>IFERROR(VLOOKUP('Leveranser per nät'!A424,'lev 2013'!$B$2:$E$445,4,FALSE),"")</f>
        <v/>
      </c>
      <c r="U424" s="68" t="str">
        <f>IFERROR(VLOOKUP('Leveranser per nät'!A424,'lev 2014'!$B$2:$E$432,4,FALSE),"")</f>
        <v/>
      </c>
      <c r="V424" s="68" t="str">
        <f>IFERROR(INDEX(Levererat_2015[Leveranser till eget nät],MATCH($A424,Levererat_2015[Indexnamn],0)),"")</f>
        <v/>
      </c>
      <c r="W424" s="68" t="str">
        <f>IFERROR(INDEX(Levererat_2016[Leveranser till eget nät],MATCH($A424,Levererat_2016[Indexnamn],0)),"")</f>
        <v/>
      </c>
      <c r="X424" s="68" t="str">
        <f>IFERROR(INDEX(Tabell4[Leveranser till eget nät],MATCH('Leveranser per nät'!A424,Tabell4[[Finns i listan ]],0)),"")</f>
        <v/>
      </c>
      <c r="Y424" s="68" t="str">
        <f>IFERROR(INDEX(Tabell6[Kolumn1],MATCH($A424,Tabell6[Indexnmamn],0)),"")</f>
        <v/>
      </c>
      <c r="Z424" s="68"/>
      <c r="AA424" s="68" t="s">
        <v>779</v>
      </c>
      <c r="AB424" s="10"/>
      <c r="AC424" s="10"/>
      <c r="AD424"/>
      <c r="AE424"/>
      <c r="AG424" s="2"/>
      <c r="AH424" s="103"/>
    </row>
    <row r="425" spans="1:34" x14ac:dyDescent="0.25">
      <c r="A425" t="s">
        <v>216</v>
      </c>
      <c r="B425" t="s">
        <v>216</v>
      </c>
      <c r="C425" s="10"/>
      <c r="D425" s="10"/>
      <c r="E425" s="10"/>
      <c r="F425" s="10"/>
      <c r="G425" s="10">
        <v>0</v>
      </c>
      <c r="H425" s="10">
        <v>36.390999999999998</v>
      </c>
      <c r="I425" s="10">
        <v>38.555999999999997</v>
      </c>
      <c r="J425" s="10">
        <v>43.786000000000001</v>
      </c>
      <c r="K425" s="10">
        <v>46.247</v>
      </c>
      <c r="L425" s="10">
        <v>46.153583621092807</v>
      </c>
      <c r="M425" s="10">
        <v>61.695999999999998</v>
      </c>
      <c r="N425" s="10">
        <v>14.1</v>
      </c>
      <c r="O425" s="10">
        <v>61.1</v>
      </c>
      <c r="P425" s="10">
        <v>54</v>
      </c>
      <c r="Q425" s="10">
        <v>62.1</v>
      </c>
      <c r="R425" s="58">
        <v>54.9</v>
      </c>
      <c r="S425" s="10">
        <v>56.5</v>
      </c>
      <c r="T425" s="10">
        <v>80.900000000000006</v>
      </c>
      <c r="U425" s="10">
        <v>48.8</v>
      </c>
      <c r="V425" s="10">
        <v>51.6</v>
      </c>
      <c r="W425" s="10">
        <v>55.6</v>
      </c>
      <c r="X425" s="58">
        <v>60.2</v>
      </c>
      <c r="Y425" s="10">
        <v>58.317999999999998</v>
      </c>
      <c r="Z425" s="10">
        <v>18.391999999999996</v>
      </c>
      <c r="AA425" s="10">
        <v>54.695</v>
      </c>
      <c r="AB425" s="10">
        <f>VLOOKUP(A425,Tabell9[[Indexnamn]:[Kolumn1]],3,FALSE)</f>
        <v>23.111000000000004</v>
      </c>
      <c r="AC425" s="10">
        <f>VLOOKUP($A425,'Lev 2022'!$K$2:$L$474,2,FALSE)</f>
        <v>21.840000000000003</v>
      </c>
      <c r="AG425" s="2">
        <f t="shared" si="15"/>
        <v>-1.2710000000000008</v>
      </c>
      <c r="AH425" s="103">
        <f t="shared" si="16"/>
        <v>-5.4995456708926513E-2</v>
      </c>
    </row>
    <row r="426" spans="1:34" x14ac:dyDescent="0.25">
      <c r="A426" t="s">
        <v>314</v>
      </c>
      <c r="B426" t="s">
        <v>314</v>
      </c>
      <c r="C426" s="10">
        <v>0</v>
      </c>
      <c r="D426" s="10">
        <v>10.220000000000001</v>
      </c>
      <c r="E426" s="10">
        <v>13</v>
      </c>
      <c r="F426" s="10">
        <v>13</v>
      </c>
      <c r="G426" s="10">
        <v>14</v>
      </c>
      <c r="H426" s="10">
        <v>16</v>
      </c>
      <c r="I426" s="10">
        <v>21</v>
      </c>
      <c r="J426" s="10">
        <v>26</v>
      </c>
      <c r="K426" s="10">
        <v>28.228000000000002</v>
      </c>
      <c r="L426" s="10">
        <v>28.850999999999999</v>
      </c>
      <c r="M426" s="10">
        <v>47</v>
      </c>
      <c r="N426" s="10">
        <v>46</v>
      </c>
      <c r="O426" s="10">
        <v>49</v>
      </c>
      <c r="P426" s="10">
        <v>58</v>
      </c>
      <c r="Q426" s="10">
        <v>66.378</v>
      </c>
      <c r="R426" s="10">
        <v>55.5</v>
      </c>
      <c r="S426" s="10">
        <f>IFERROR(VLOOKUP('Leveranser per nät'!A426,'lev 2012'!$B$2:$E$445,4,FALSE),"")</f>
        <v>59</v>
      </c>
      <c r="T426" s="10">
        <f>IFERROR(VLOOKUP('Leveranser per nät'!A426,'lev 2013'!$B$2:$E$445,4,FALSE),"")</f>
        <v>57.831000000000003</v>
      </c>
      <c r="U426" s="10">
        <f>IFERROR(VLOOKUP('Leveranser per nät'!A426,'lev 2014'!$B$2:$E$432,4,FALSE),"")</f>
        <v>49.759</v>
      </c>
      <c r="V426" s="10">
        <f>IFERROR(INDEX(Levererat_2015[Leveranser till eget nät],MATCH($A426,Levererat_2015[Indexnamn],0)),"")</f>
        <v>48.65</v>
      </c>
      <c r="W426" s="10">
        <f>IFERROR(INDEX(Levererat_2016[Leveranser till eget nät],MATCH($A426,Levererat_2016[Indexnamn],0)),"")</f>
        <v>52.838999999999999</v>
      </c>
      <c r="X426" s="10">
        <f>IFERROR(INDEX(Tabell4[Leveranser till eget nät],MATCH('Leveranser per nät'!A426,Tabell4[[Finns i listan ]],0)),"")</f>
        <v>52.008000000000003</v>
      </c>
      <c r="Y426" s="10">
        <f>IFERROR(INDEX(Tabell6[Kolumn1],MATCH($A426,Tabell6[Indexnmamn],0)),"")</f>
        <v>53.524999999999999</v>
      </c>
      <c r="Z426" s="10">
        <v>52.332999999999998</v>
      </c>
      <c r="AA426" s="10">
        <v>49.308999999999997</v>
      </c>
      <c r="AB426" s="10">
        <f>VLOOKUP(A426,Tabell9[[Indexnamn]:[Kolumn1]],3,FALSE)</f>
        <v>57.646999999999998</v>
      </c>
      <c r="AC426" s="10">
        <f>VLOOKUP($A426,'Lev 2022'!$K$2:$L$474,2,FALSE)</f>
        <v>53.664999999999999</v>
      </c>
      <c r="AG426" s="2">
        <f t="shared" si="15"/>
        <v>-3.9819999999999993</v>
      </c>
      <c r="AH426" s="103">
        <f t="shared" si="16"/>
        <v>-6.9075580689368046E-2</v>
      </c>
    </row>
    <row r="427" spans="1:34" x14ac:dyDescent="0.25">
      <c r="A427" t="s">
        <v>719</v>
      </c>
      <c r="B427" t="s">
        <v>275</v>
      </c>
      <c r="C427" s="10"/>
      <c r="D427" s="10"/>
      <c r="E427" s="10"/>
      <c r="F427" s="10"/>
      <c r="G427" s="10"/>
      <c r="H427" s="10"/>
      <c r="I427" s="10"/>
      <c r="J427" s="10"/>
      <c r="K427" s="10"/>
      <c r="L427" s="10"/>
      <c r="M427" s="10"/>
      <c r="N427" s="10"/>
      <c r="O427" s="10"/>
      <c r="P427" s="10"/>
      <c r="Q427" s="10"/>
      <c r="R427" s="10"/>
      <c r="S427" s="10">
        <v>1.67</v>
      </c>
      <c r="T427" s="10">
        <v>1.7689999999999999</v>
      </c>
      <c r="U427" s="10">
        <v>1.704</v>
      </c>
      <c r="V427" s="10">
        <v>1.7789999999999999</v>
      </c>
      <c r="W427" s="10">
        <v>2.0470000000000002</v>
      </c>
      <c r="X427" s="10">
        <f>IFERROR(INDEX(Tabell4[Leveranser till eget nät],MATCH('Leveranser per nät'!A427,Tabell4[[Finns i listan ]],0)),"")</f>
        <v>2.0640000000000001</v>
      </c>
      <c r="Y427" s="10">
        <f>IFERROR(INDEX(Tabell6[Kolumn1],MATCH($A427,Tabell6[Indexnmamn],0)),"")</f>
        <v>2.0739999999999998</v>
      </c>
      <c r="Z427" s="10">
        <v>1.988</v>
      </c>
      <c r="AA427" s="10">
        <v>1.8080000000000001</v>
      </c>
      <c r="AB427" s="10">
        <f>VLOOKUP(A427,Tabell9[[Indexnamn]:[Kolumn1]],3,FALSE)</f>
        <v>2.1054490000000001</v>
      </c>
      <c r="AC427" s="10">
        <f>VLOOKUP($A427,'Lev 2022'!$K$2:$L$474,2,FALSE)</f>
        <v>2.0001350000000002</v>
      </c>
      <c r="AG427" s="2">
        <f t="shared" si="15"/>
        <v>-0.10531399999999991</v>
      </c>
      <c r="AH427" s="103">
        <f t="shared" si="16"/>
        <v>-5.0019734507936266E-2</v>
      </c>
    </row>
    <row r="428" spans="1:34" x14ac:dyDescent="0.25">
      <c r="A428" t="s">
        <v>315</v>
      </c>
      <c r="B428" t="str">
        <f>VLOOKUP(A428,'Korrigerade leveranser GD'!$A$4:$B$482,2,FALSE)</f>
        <v>Tierp</v>
      </c>
      <c r="C428" s="10">
        <v>34</v>
      </c>
      <c r="D428" s="10">
        <v>31.91</v>
      </c>
      <c r="E428" s="10">
        <v>34</v>
      </c>
      <c r="F428" s="10">
        <v>32</v>
      </c>
      <c r="G428" s="10">
        <v>29</v>
      </c>
      <c r="H428" s="10">
        <v>32</v>
      </c>
      <c r="I428" s="10">
        <v>34</v>
      </c>
      <c r="J428" s="10">
        <v>35</v>
      </c>
      <c r="K428" s="10">
        <v>36.074800000000003</v>
      </c>
      <c r="L428" s="10">
        <v>36.054000000000002</v>
      </c>
      <c r="M428" s="10">
        <v>37.14</v>
      </c>
      <c r="N428" s="10">
        <v>38.226999999999997</v>
      </c>
      <c r="O428" s="10">
        <v>39.853000000000002</v>
      </c>
      <c r="P428" s="10">
        <v>42.874000000000002</v>
      </c>
      <c r="Q428" s="10">
        <v>49.472999999999999</v>
      </c>
      <c r="R428" s="10">
        <v>41.442</v>
      </c>
      <c r="S428" s="10">
        <f>IFERROR(VLOOKUP('Leveranser per nät'!A428,'lev 2012'!$B$2:$E$445,4,FALSE),"")</f>
        <v>47</v>
      </c>
      <c r="T428" s="10">
        <f>IFERROR(VLOOKUP('Leveranser per nät'!A428,'lev 2013'!$B$2:$E$445,4,FALSE),"")</f>
        <v>45.204999999999998</v>
      </c>
      <c r="U428" s="10">
        <f>IFERROR(VLOOKUP('Leveranser per nät'!A428,'lev 2014'!$B$2:$E$432,4,FALSE),"")</f>
        <v>43.046999999999997</v>
      </c>
      <c r="V428" s="10">
        <f>IFERROR(INDEX(Levererat_2015[Leveranser till eget nät],MATCH($A428,Levererat_2015[Indexnamn],0)),"")</f>
        <v>44.058999999999997</v>
      </c>
      <c r="W428" s="10">
        <f>IFERROR(INDEX(Levererat_2016[Leveranser till eget nät],MATCH($A428,Levererat_2016[Indexnamn],0)),"")</f>
        <v>52.591999999999999</v>
      </c>
      <c r="X428" s="10">
        <f>IFERROR(INDEX(Tabell4[Leveranser till eget nät],MATCH('Leveranser per nät'!A428,Tabell4[[Finns i listan ]],0)),"")</f>
        <v>59.192</v>
      </c>
      <c r="Y428" s="10">
        <f>IFERROR(INDEX(Tabell6[Kolumn1],MATCH($A428,Tabell6[Indexnmamn],0)),"")</f>
        <v>57.95</v>
      </c>
      <c r="Z428" s="10">
        <v>46.96</v>
      </c>
      <c r="AA428" s="10">
        <v>43.1</v>
      </c>
      <c r="AB428" s="10">
        <f>VLOOKUP(A428,Tabell9[[Indexnamn]:[Kolumn1]],3,FALSE)</f>
        <v>49.73</v>
      </c>
      <c r="AC428" s="10">
        <f>VLOOKUP($A428,'Lev 2022'!$K$2:$L$474,2,FALSE)</f>
        <v>46.38</v>
      </c>
      <c r="AG428" s="2">
        <f t="shared" si="15"/>
        <v>-3.3499999999999943</v>
      </c>
      <c r="AH428" s="103">
        <f t="shared" si="16"/>
        <v>-6.7363764327367681E-2</v>
      </c>
    </row>
    <row r="429" spans="1:34" x14ac:dyDescent="0.25">
      <c r="A429" t="s">
        <v>798</v>
      </c>
      <c r="B429" t="s">
        <v>321</v>
      </c>
      <c r="C429" s="10"/>
      <c r="D429" s="10"/>
      <c r="E429" s="10"/>
      <c r="F429" s="10"/>
      <c r="G429" s="10"/>
      <c r="H429" s="10"/>
      <c r="I429" s="10"/>
      <c r="J429" s="10"/>
      <c r="K429" s="10"/>
      <c r="L429" s="10"/>
      <c r="M429" s="10"/>
      <c r="N429" s="10"/>
      <c r="O429" s="10"/>
      <c r="P429" s="10"/>
      <c r="Q429" s="10"/>
      <c r="R429" s="10"/>
      <c r="S429" s="10"/>
      <c r="T429" s="10"/>
      <c r="U429" s="10"/>
      <c r="V429" s="10"/>
      <c r="W429" s="10"/>
      <c r="X429" s="10">
        <f>IFERROR(INDEX(Tabell4[Leveranser till eget nät],MATCH('Leveranser per nät'!A429,Tabell4[[Finns i listan ]],0)),"")</f>
        <v>0.82099999999999995</v>
      </c>
      <c r="Y429" s="10">
        <f>IFERROR(INDEX(Tabell6[Kolumn1],MATCH($A429,Tabell6[Indexnmamn],0)),"")</f>
        <v>0.82399999999999995</v>
      </c>
      <c r="Z429" s="10">
        <v>0.78800000000000003</v>
      </c>
      <c r="AA429" s="10">
        <v>0.77200000000000002</v>
      </c>
      <c r="AB429" s="10">
        <f>VLOOKUP(A429,Tabell9[[Indexnamn]:[Kolumn1]],3,FALSE)</f>
        <v>0.91</v>
      </c>
      <c r="AC429" s="10">
        <f>VLOOKUP($A429,'Lev 2022'!$K$2:$L$474,2,FALSE)</f>
        <v>0.80600000000000005</v>
      </c>
      <c r="AG429" s="2">
        <f t="shared" si="15"/>
        <v>-0.10399999999999998</v>
      </c>
      <c r="AH429" s="103">
        <f t="shared" si="16"/>
        <v>-0.11428571428571425</v>
      </c>
    </row>
    <row r="430" spans="1:34" x14ac:dyDescent="0.25">
      <c r="A430" s="4" t="s">
        <v>428</v>
      </c>
      <c r="B430" t="str">
        <f>VLOOKUP(A430,'Korrigerade leveranser GD'!$A$4:$B$482,2,FALSE)</f>
        <v>Mariestad</v>
      </c>
      <c r="C430" s="10"/>
      <c r="D430" s="10"/>
      <c r="E430" s="10"/>
      <c r="F430" s="10"/>
      <c r="G430" s="10"/>
      <c r="H430" s="10"/>
      <c r="I430" s="10"/>
      <c r="J430" s="10"/>
      <c r="K430" s="10"/>
      <c r="L430" s="10"/>
      <c r="M430" s="10"/>
      <c r="N430" s="10"/>
      <c r="O430" s="10"/>
      <c r="P430" s="10">
        <v>0</v>
      </c>
      <c r="Q430" s="10">
        <v>2.5</v>
      </c>
      <c r="R430" s="10">
        <v>2.7</v>
      </c>
      <c r="S430" s="10">
        <f>IFERROR(VLOOKUP('Leveranser per nät'!A430,'lev 2012'!$B$2:$E$445,4,FALSE),"")</f>
        <v>2.93</v>
      </c>
      <c r="T430" s="10">
        <f>IFERROR(VLOOKUP('Leveranser per nät'!A430,'lev 2013'!$B$2:$E$445,4,FALSE),"")</f>
        <v>3.0510000000000002</v>
      </c>
      <c r="U430" s="10">
        <f>IFERROR(VLOOKUP('Leveranser per nät'!A430,'lev 2014'!$B$2:$E$432,4,FALSE),"")</f>
        <v>2.8079999999999998</v>
      </c>
      <c r="V430" s="10">
        <f>IFERROR(INDEX(Levererat_2015[Leveranser till eget nät],MATCH($A430,Levererat_2015[Indexnamn],0)),"")</f>
        <v>2.919</v>
      </c>
      <c r="W430" s="10">
        <f>IFERROR(INDEX(Levererat_2016[Leveranser till eget nät],MATCH($A430,Levererat_2016[Indexnamn],0)),"")</f>
        <v>3.051812</v>
      </c>
      <c r="X430" s="10">
        <f>IFERROR(INDEX(Tabell4[Leveranser till eget nät],MATCH('Leveranser per nät'!A430,Tabell4[[Finns i listan ]],0)),"")</f>
        <v>3.0190000000000001</v>
      </c>
      <c r="Y430" s="10">
        <f>IFERROR(INDEX(Tabell6[Kolumn1],MATCH($A430,Tabell6[Indexnmamn],0)),"")</f>
        <v>3.2269999999999999</v>
      </c>
      <c r="Z430" s="10">
        <v>3.0329999999999999</v>
      </c>
      <c r="AA430" s="10">
        <v>2.8380000000000001</v>
      </c>
      <c r="AB430" s="10">
        <f>VLOOKUP(A430,Tabell9[[Indexnamn]:[Kolumn1]],3,FALSE)</f>
        <v>3.265619</v>
      </c>
      <c r="AC430" s="10">
        <f>VLOOKUP($A430,'Lev 2022'!$K$2:$L$474,2,FALSE)</f>
        <v>3.0248149999999998</v>
      </c>
      <c r="AG430" s="2">
        <f t="shared" si="15"/>
        <v>-0.24080400000000024</v>
      </c>
      <c r="AH430" s="103">
        <f t="shared" si="16"/>
        <v>-7.3739159405919741E-2</v>
      </c>
    </row>
    <row r="431" spans="1:34" x14ac:dyDescent="0.25">
      <c r="A431" t="s">
        <v>54</v>
      </c>
      <c r="B431" t="s">
        <v>54</v>
      </c>
      <c r="C431" s="10">
        <v>74</v>
      </c>
      <c r="D431" s="10">
        <v>66.27</v>
      </c>
      <c r="E431" s="10">
        <v>67</v>
      </c>
      <c r="F431" s="10">
        <v>65</v>
      </c>
      <c r="G431" s="10">
        <v>61</v>
      </c>
      <c r="H431" s="10">
        <v>68</v>
      </c>
      <c r="I431" s="10">
        <v>68</v>
      </c>
      <c r="J431" s="10">
        <v>78.22</v>
      </c>
      <c r="K431" s="10">
        <v>72.183000000000007</v>
      </c>
      <c r="L431" s="10">
        <v>82.549874401128989</v>
      </c>
      <c r="M431" s="10">
        <v>71.400000000000006</v>
      </c>
      <c r="N431" s="10">
        <v>65</v>
      </c>
      <c r="O431" s="10">
        <v>66.2</v>
      </c>
      <c r="P431" s="10">
        <v>81</v>
      </c>
      <c r="Q431" s="10">
        <v>79.7</v>
      </c>
      <c r="R431" s="10">
        <v>65.260000000000005</v>
      </c>
      <c r="S431" s="10">
        <f>IFERROR(VLOOKUP('Leveranser per nät'!A431,'lev 2012'!$B$2:$E$445,4,FALSE),"")</f>
        <v>71</v>
      </c>
      <c r="T431" s="58">
        <v>71</v>
      </c>
      <c r="U431" s="10">
        <f>IFERROR(VLOOKUP('Leveranser per nät'!A431,'lev 2014'!$B$2:$E$432,4,FALSE),"")</f>
        <v>63.171999999999997</v>
      </c>
      <c r="V431" s="10">
        <f>IFERROR(INDEX(Levererat_2015[Leveranser till eget nät],MATCH($A431,Levererat_2015[Indexnamn],0)),"")</f>
        <v>62</v>
      </c>
      <c r="W431" s="10">
        <f>IFERROR(INDEX(Levererat_2016[Leveranser till eget nät],MATCH($A431,Levererat_2016[Indexnamn],0)),"")</f>
        <v>64</v>
      </c>
      <c r="X431" s="10">
        <f>IFERROR(INDEX(Tabell4[Leveranser till eget nät],MATCH('Leveranser per nät'!A431,Tabell4[[Finns i listan ]],0)),"")</f>
        <v>63.899000000000001</v>
      </c>
      <c r="Y431" s="10">
        <f>IFERROR(INDEX(Tabell6[Kolumn1],MATCH($A431,Tabell6[Indexnmamn],0)),"")</f>
        <v>71.900000000000006</v>
      </c>
      <c r="Z431" s="10">
        <v>70.462000000000003</v>
      </c>
      <c r="AA431" s="10">
        <v>56.174999999999997</v>
      </c>
      <c r="AB431" s="10">
        <f>VLOOKUP(A431,Tabell9[[Indexnamn]:[Kolumn1]],3,FALSE)</f>
        <v>75.566999999999993</v>
      </c>
      <c r="AC431" s="10">
        <f>VLOOKUP($A431,'Lev 2022'!$K$2:$L$474,2,FALSE)</f>
        <v>63.627000000000002</v>
      </c>
      <c r="AG431" s="2">
        <f t="shared" si="15"/>
        <v>-11.939999999999991</v>
      </c>
      <c r="AH431" s="103">
        <f t="shared" si="16"/>
        <v>-0.15800547858192057</v>
      </c>
    </row>
    <row r="432" spans="1:34" s="65" customFormat="1" x14ac:dyDescent="0.25">
      <c r="A432" s="65" t="s">
        <v>35</v>
      </c>
      <c r="B432" s="65" t="str">
        <f>VLOOKUP(A432,'Korrigerade leveranser GD'!$A$4:$B$482,2,FALSE)</f>
        <v>Kristianstad</v>
      </c>
      <c r="C432" s="68"/>
      <c r="D432" s="68"/>
      <c r="E432" s="68"/>
      <c r="F432" s="68"/>
      <c r="G432" s="68"/>
      <c r="H432" s="68"/>
      <c r="I432" s="68"/>
      <c r="J432" s="68">
        <v>0</v>
      </c>
      <c r="K432" s="68">
        <v>0.46700000000000003</v>
      </c>
      <c r="L432" s="68">
        <v>0.51700000000000002</v>
      </c>
      <c r="M432" s="68">
        <v>0.46600000000000003</v>
      </c>
      <c r="N432" s="68">
        <v>0.48199999999999998</v>
      </c>
      <c r="O432" s="68">
        <v>0.41699999999999998</v>
      </c>
      <c r="P432" s="68">
        <v>0.42499999999999999</v>
      </c>
      <c r="Q432" s="68">
        <v>0</v>
      </c>
      <c r="R432" s="68"/>
      <c r="S432" s="68" t="str">
        <f>IFERROR(VLOOKUP('Leveranser per nät'!A432,'lev 2012'!$B$2:$E$445,4,FALSE),"")</f>
        <v/>
      </c>
      <c r="T432" s="68" t="str">
        <f>IFERROR(VLOOKUP('Leveranser per nät'!A432,'lev 2013'!$B$2:$E$445,4,FALSE),"")</f>
        <v/>
      </c>
      <c r="U432" s="68" t="str">
        <f>IFERROR(VLOOKUP('Leveranser per nät'!A432,'lev 2014'!$B$2:$E$432,4,FALSE),"")</f>
        <v/>
      </c>
      <c r="V432" s="68" t="str">
        <f>IFERROR(INDEX(Levererat_2015[Leveranser till eget nät],MATCH($A432,Levererat_2015[Indexnamn],0)),"")</f>
        <v/>
      </c>
      <c r="W432" s="68" t="str">
        <f>IFERROR(INDEX(Levererat_2016[Leveranser till eget nät],MATCH($A432,Levererat_2016[Indexnamn],0)),"")</f>
        <v/>
      </c>
      <c r="X432" s="68" t="str">
        <f>IFERROR(INDEX(Tabell4[Leveranser till eget nät],MATCH('Leveranser per nät'!A432,Tabell4[[Finns i listan ]],0)),"")</f>
        <v/>
      </c>
      <c r="Y432" s="68" t="str">
        <f>IFERROR(INDEX(Tabell6[Kolumn1],MATCH($A432,Tabell6[Indexnmamn],0)),"")</f>
        <v/>
      </c>
      <c r="Z432" s="68"/>
      <c r="AA432" s="68" t="s">
        <v>779</v>
      </c>
      <c r="AB432" s="10"/>
      <c r="AC432" s="10"/>
      <c r="AD432"/>
      <c r="AE432"/>
      <c r="AG432" s="2"/>
      <c r="AH432" s="103"/>
    </row>
    <row r="433" spans="1:34" s="77" customFormat="1" x14ac:dyDescent="0.25">
      <c r="A433" s="5" t="s">
        <v>245</v>
      </c>
      <c r="B433" s="5" t="str">
        <f>VLOOKUP(A433,'Korrigerade leveranser GD'!$A$4:$B$482,2,FALSE)</f>
        <v>Tomelilla</v>
      </c>
      <c r="C433" s="69"/>
      <c r="D433" s="69"/>
      <c r="E433" s="69"/>
      <c r="F433" s="69">
        <v>0</v>
      </c>
      <c r="G433" s="69">
        <v>9</v>
      </c>
      <c r="H433" s="69">
        <v>0</v>
      </c>
      <c r="I433" s="69">
        <v>28.486999999999998</v>
      </c>
      <c r="J433" s="69">
        <v>28.486999999999998</v>
      </c>
      <c r="K433" s="69">
        <v>30.707999999999998</v>
      </c>
      <c r="L433" s="69">
        <v>31.536999999999999</v>
      </c>
      <c r="M433" s="69">
        <v>32.579000000000001</v>
      </c>
      <c r="N433" s="69">
        <v>24.2</v>
      </c>
      <c r="O433" s="69">
        <v>24.2</v>
      </c>
      <c r="P433" s="69">
        <v>32.72</v>
      </c>
      <c r="Q433" s="69">
        <v>37.646999999999998</v>
      </c>
      <c r="R433" s="69">
        <v>31.620999999999999</v>
      </c>
      <c r="S433" s="69">
        <f>IFERROR(VLOOKUP('Leveranser per nät'!A433,'lev 2012'!$B$2:$E$445,4,FALSE),"")</f>
        <v>33</v>
      </c>
      <c r="T433" s="69">
        <f>IFERROR(VLOOKUP('Leveranser per nät'!A433,'lev 2013'!$B$2:$E$445,4,FALSE),"")</f>
        <v>32</v>
      </c>
      <c r="U433" s="69">
        <f>IFERROR(VLOOKUP('Leveranser per nät'!A433,'lev 2014'!$B$2:$E$432,4,FALSE),"")</f>
        <v>28.4</v>
      </c>
      <c r="V433" s="69">
        <f>IFERROR(INDEX(Levererat_2015[Leveranser till eget nät],MATCH($A433,Levererat_2015[Indexnamn],0)),"")</f>
        <v>29.3</v>
      </c>
      <c r="W433" s="69">
        <f>IFERROR(INDEX(Levererat_2016[Leveranser till eget nät],MATCH($A433,Levererat_2016[Indexnamn],0)),"")</f>
        <v>30.7</v>
      </c>
      <c r="X433" s="69">
        <v>30.9</v>
      </c>
      <c r="Y433" s="69">
        <v>30.7</v>
      </c>
      <c r="Z433" s="69">
        <v>29.7</v>
      </c>
      <c r="AA433" s="58">
        <v>28.396000000000001</v>
      </c>
      <c r="AB433" s="58">
        <v>31.8</v>
      </c>
      <c r="AC433" s="10">
        <f>VLOOKUP($A433,'Lev 2022'!$K$2:$L$474,2,FALSE)</f>
        <v>29.5</v>
      </c>
      <c r="AD433"/>
      <c r="AE433"/>
      <c r="AG433" s="2">
        <f t="shared" si="15"/>
        <v>-2.3000000000000007</v>
      </c>
      <c r="AH433" s="103">
        <f t="shared" si="16"/>
        <v>-7.2327044025157258E-2</v>
      </c>
    </row>
    <row r="434" spans="1:34" x14ac:dyDescent="0.25">
      <c r="A434" s="5" t="s">
        <v>130</v>
      </c>
      <c r="B434" t="str">
        <f>VLOOKUP(A434,'Korrigerade leveranser GD'!$A$4:$B$482,2,FALSE)</f>
        <v>Sunne</v>
      </c>
      <c r="C434" s="10"/>
      <c r="D434" s="10"/>
      <c r="E434" s="10"/>
      <c r="F434" s="10"/>
      <c r="G434" s="10"/>
      <c r="H434" s="10"/>
      <c r="I434" s="10">
        <v>0</v>
      </c>
      <c r="J434" s="10">
        <v>31</v>
      </c>
      <c r="K434" s="10">
        <v>0</v>
      </c>
      <c r="L434" s="10"/>
      <c r="M434" s="10"/>
      <c r="N434" s="10"/>
      <c r="O434" s="10">
        <v>0</v>
      </c>
      <c r="P434" s="10">
        <v>33.299999999999997</v>
      </c>
      <c r="Q434" s="10">
        <v>102</v>
      </c>
      <c r="R434" s="10">
        <v>83.108000000000004</v>
      </c>
      <c r="S434" s="10">
        <f>IFERROR(VLOOKUP('Leveranser per nät'!A434,'lev 2012'!$B$2:$E$445,4,FALSE),"")</f>
        <v>89</v>
      </c>
      <c r="T434" s="10">
        <f>IFERROR(VLOOKUP('Leveranser per nät'!A434,'lev 2013'!$B$2:$E$445,4,FALSE),"")</f>
        <v>87.647999999999996</v>
      </c>
      <c r="U434" s="10">
        <f>IFERROR(VLOOKUP('Leveranser per nät'!A434,'lev 2014'!$B$2:$E$432,4,FALSE),"")</f>
        <v>85.637</v>
      </c>
      <c r="V434" s="10">
        <v>87.488</v>
      </c>
      <c r="W434" s="10">
        <v>95.218000000000004</v>
      </c>
      <c r="X434" s="10">
        <v>91</v>
      </c>
      <c r="Y434" s="10">
        <v>94.350000000000009</v>
      </c>
      <c r="Z434" s="10">
        <v>79.188999999999993</v>
      </c>
      <c r="AA434" s="10">
        <v>27.747</v>
      </c>
      <c r="AB434" s="10">
        <f>VLOOKUP(A434,Tabell9[[Indexnamn]:[Kolumn1]],3,FALSE)</f>
        <v>32.542000000000002</v>
      </c>
      <c r="AC434" s="10">
        <f>VLOOKUP($A434,'Lev 2022'!$K$2:$L$474,2,FALSE)</f>
        <v>30.545999999999999</v>
      </c>
      <c r="AG434" s="2">
        <f t="shared" si="15"/>
        <v>-1.9960000000000022</v>
      </c>
      <c r="AH434" s="103">
        <f t="shared" si="16"/>
        <v>-6.1336119476369064E-2</v>
      </c>
    </row>
    <row r="435" spans="1:34" s="77" customFormat="1" x14ac:dyDescent="0.25">
      <c r="A435" s="77" t="s">
        <v>149</v>
      </c>
      <c r="B435" s="77" t="str">
        <f>VLOOKUP(A435,'Korrigerade leveranser GD'!$A$4:$B$482,2,FALSE)</f>
        <v>Hofors</v>
      </c>
      <c r="C435" s="69"/>
      <c r="D435" s="69"/>
      <c r="E435" s="69"/>
      <c r="F435" s="69">
        <v>0</v>
      </c>
      <c r="G435" s="69">
        <v>3</v>
      </c>
      <c r="H435" s="69">
        <v>3</v>
      </c>
      <c r="I435" s="69">
        <v>3</v>
      </c>
      <c r="J435" s="69">
        <v>3</v>
      </c>
      <c r="K435" s="69">
        <v>3.3180000000000001</v>
      </c>
      <c r="L435" s="69">
        <v>3.1949999999999998</v>
      </c>
      <c r="M435" s="69">
        <v>3.2</v>
      </c>
      <c r="N435" s="69">
        <v>3.4</v>
      </c>
      <c r="O435" s="56">
        <f>(N435-P435)/2+P435</f>
        <v>3.7</v>
      </c>
      <c r="P435" s="69">
        <v>4</v>
      </c>
      <c r="Q435" s="69">
        <v>4.4000000000000004</v>
      </c>
      <c r="R435" s="69">
        <v>3.0680000000000001</v>
      </c>
      <c r="S435" s="69">
        <v>3.3</v>
      </c>
      <c r="T435" s="69">
        <v>3.1</v>
      </c>
      <c r="U435" s="69">
        <v>3</v>
      </c>
      <c r="V435" s="69">
        <v>3.1</v>
      </c>
      <c r="W435" s="69">
        <v>3</v>
      </c>
      <c r="X435" s="69">
        <v>3.2</v>
      </c>
      <c r="Y435" s="69">
        <v>2.9</v>
      </c>
      <c r="Z435" s="69">
        <v>2.7</v>
      </c>
      <c r="AA435" s="69">
        <v>2.5</v>
      </c>
      <c r="AB435" s="69">
        <v>2.9</v>
      </c>
      <c r="AC435" s="56">
        <f>AB435*(1-0.07)</f>
        <v>2.6969999999999996</v>
      </c>
      <c r="AD435"/>
      <c r="AE435"/>
      <c r="AG435" s="2"/>
      <c r="AH435" s="103">
        <f t="shared" si="16"/>
        <v>0</v>
      </c>
    </row>
    <row r="436" spans="1:34" x14ac:dyDescent="0.25">
      <c r="A436" t="s">
        <v>27</v>
      </c>
      <c r="B436" t="str">
        <f>VLOOKUP(A436,'Korrigerade leveranser GD'!$A$4:$B$482,2,FALSE)</f>
        <v>Borlänge</v>
      </c>
      <c r="C436" s="10"/>
      <c r="D436" s="10"/>
      <c r="E436" s="10"/>
      <c r="F436" s="10"/>
      <c r="G436" s="10"/>
      <c r="H436" s="10"/>
      <c r="I436" s="10"/>
      <c r="J436" s="10"/>
      <c r="K436" s="10">
        <v>0</v>
      </c>
      <c r="L436" s="10">
        <v>2.7210000000000001</v>
      </c>
      <c r="M436" s="10">
        <v>2.2999999999999998</v>
      </c>
      <c r="N436" s="10">
        <v>2.4</v>
      </c>
      <c r="O436" s="10">
        <v>1.7</v>
      </c>
      <c r="P436" s="10">
        <v>2.5299999999999998</v>
      </c>
      <c r="Q436" s="10">
        <v>2.9</v>
      </c>
      <c r="R436" s="10">
        <v>2.5</v>
      </c>
      <c r="S436" s="10">
        <f>IFERROR(VLOOKUP('Leveranser per nät'!A436,'lev 2012'!$B$2:$E$445,4,FALSE),"")</f>
        <v>2.6</v>
      </c>
      <c r="T436" s="10">
        <f>IFERROR(VLOOKUP('Leveranser per nät'!A436,'lev 2013'!$B$2:$E$445,4,FALSE),"")</f>
        <v>2.5</v>
      </c>
      <c r="U436" s="10">
        <f>IFERROR(VLOOKUP('Leveranser per nät'!A436,'lev 2014'!$B$2:$E$432,4,FALSE),"")</f>
        <v>2.39</v>
      </c>
      <c r="V436" s="10">
        <f>IFERROR(INDEX(Levererat_2015[Leveranser till eget nät],MATCH($A436,Levererat_2015[Indexnamn],0)),"")</f>
        <v>2.7490000000000001</v>
      </c>
      <c r="W436" s="10">
        <f>IFERROR(INDEX(Levererat_2016[Leveranser till eget nät],MATCH($A436,Levererat_2016[Indexnamn],0)),"")</f>
        <v>2.8180000000000001</v>
      </c>
      <c r="X436" s="10">
        <f>IFERROR(INDEX(Tabell4[Leveranser till eget nät],MATCH('Leveranser per nät'!A436,Tabell4[[Finns i listan ]],0)),"")</f>
        <v>3.1</v>
      </c>
      <c r="Y436" s="10">
        <f>IFERROR(INDEX(Tabell6[Kolumn1],MATCH($A436,Tabell6[Indexnmamn],0)),"")</f>
        <v>3.133</v>
      </c>
      <c r="Z436" s="10">
        <v>3.2610000000000001</v>
      </c>
      <c r="AA436" s="10">
        <v>2.9740000000000002</v>
      </c>
      <c r="AB436" s="10">
        <f>VLOOKUP(A436,Tabell9[[Indexnamn]:[Kolumn1]],3,FALSE)</f>
        <v>2.9630000000000001</v>
      </c>
      <c r="AC436" s="10">
        <f>VLOOKUP($A436,'Lev 2022'!$K$2:$L$474,2,FALSE)</f>
        <v>3.149</v>
      </c>
      <c r="AG436" s="2">
        <f t="shared" si="15"/>
        <v>0.18599999999999994</v>
      </c>
      <c r="AH436" s="103">
        <f t="shared" si="16"/>
        <v>6.2774215322308452E-2</v>
      </c>
    </row>
    <row r="437" spans="1:34" x14ac:dyDescent="0.25">
      <c r="A437" t="s">
        <v>514</v>
      </c>
      <c r="B437" t="s">
        <v>514</v>
      </c>
      <c r="C437" s="10"/>
      <c r="D437" s="10"/>
      <c r="E437" s="10"/>
      <c r="F437" s="10"/>
      <c r="G437" s="10"/>
      <c r="H437" s="10"/>
      <c r="I437" s="10"/>
      <c r="J437" s="10"/>
      <c r="K437" s="10"/>
      <c r="L437" s="10"/>
      <c r="M437" s="10"/>
      <c r="N437" s="10"/>
      <c r="O437" s="10"/>
      <c r="P437" s="10"/>
      <c r="Q437" s="10"/>
      <c r="R437" s="10"/>
      <c r="S437" s="10"/>
      <c r="T437" s="10">
        <v>0.13</v>
      </c>
      <c r="U437" s="10">
        <v>0.12</v>
      </c>
      <c r="V437" s="10">
        <v>13.4</v>
      </c>
      <c r="W437" s="10">
        <v>12</v>
      </c>
      <c r="X437" s="58">
        <v>11.9</v>
      </c>
      <c r="Y437" s="10">
        <f>IFERROR(INDEX(Tabell6[Kolumn1],MATCH($A437,Tabell6[Indexnmamn],0)),"")</f>
        <v>12.355</v>
      </c>
      <c r="Z437" s="10">
        <v>13.129</v>
      </c>
      <c r="AA437" s="10">
        <v>12.8</v>
      </c>
      <c r="AB437" s="69">
        <v>14.7</v>
      </c>
      <c r="AC437" s="10">
        <f>VLOOKUP($A437,'Lev 2022'!$K$2:$L$474,2,FALSE)</f>
        <v>13.340999999999999</v>
      </c>
      <c r="AG437" s="2">
        <f t="shared" si="15"/>
        <v>-1.359</v>
      </c>
      <c r="AH437" s="103">
        <f t="shared" si="16"/>
        <v>-9.2448979591836733E-2</v>
      </c>
    </row>
    <row r="438" spans="1:34" x14ac:dyDescent="0.25">
      <c r="A438" t="s">
        <v>316</v>
      </c>
      <c r="B438" t="str">
        <f>VLOOKUP(A438,'Korrigerade leveranser GD'!$A$4:$B$482,2,FALSE)</f>
        <v>Tranås</v>
      </c>
      <c r="C438" s="10">
        <v>132</v>
      </c>
      <c r="D438" s="10">
        <v>119.74</v>
      </c>
      <c r="E438" s="10">
        <v>124</v>
      </c>
      <c r="F438" s="10">
        <v>117</v>
      </c>
      <c r="G438" s="10">
        <v>109</v>
      </c>
      <c r="H438" s="10">
        <v>124</v>
      </c>
      <c r="I438" s="10">
        <v>119</v>
      </c>
      <c r="J438" s="10">
        <v>128.84</v>
      </c>
      <c r="K438" s="10">
        <v>123.32</v>
      </c>
      <c r="L438" s="10">
        <v>123.16</v>
      </c>
      <c r="M438" s="10">
        <v>125.7</v>
      </c>
      <c r="N438" s="10">
        <v>120.5</v>
      </c>
      <c r="O438" s="10">
        <v>119</v>
      </c>
      <c r="P438" s="10">
        <v>128</v>
      </c>
      <c r="Q438" s="10">
        <v>149</v>
      </c>
      <c r="R438" s="10">
        <v>138.6</v>
      </c>
      <c r="S438" s="10">
        <f>IFERROR(VLOOKUP('Leveranser per nät'!A438,'lev 2012'!$B$2:$E$445,4,FALSE),"")</f>
        <v>132</v>
      </c>
      <c r="T438" s="10">
        <f>IFERROR(VLOOKUP('Leveranser per nät'!A438,'lev 2013'!$B$2:$E$445,4,FALSE),"")</f>
        <v>128</v>
      </c>
      <c r="U438" s="10">
        <f>IFERROR(VLOOKUP('Leveranser per nät'!A438,'lev 2014'!$B$2:$E$432,4,FALSE),"")</f>
        <v>114</v>
      </c>
      <c r="V438" s="10">
        <f>IFERROR(INDEX(Levererat_2015[Leveranser till eget nät],MATCH($A438,Levererat_2015[Indexnamn],0)),"")</f>
        <v>116</v>
      </c>
      <c r="W438" s="10">
        <f>IFERROR(INDEX(Levererat_2016[Leveranser till eget nät],MATCH($A438,Levererat_2016[Indexnamn],0)),"")</f>
        <v>123</v>
      </c>
      <c r="X438" s="10">
        <f>IFERROR(INDEX(Tabell4[Leveranser till eget nät],MATCH('Leveranser per nät'!A438,Tabell4[[Finns i listan ]],0)),"")</f>
        <v>125</v>
      </c>
      <c r="Y438" s="10">
        <f>IFERROR(INDEX(Tabell6[Kolumn1],MATCH($A438,Tabell6[Indexnmamn],0)),"")</f>
        <v>124</v>
      </c>
      <c r="Z438" s="10">
        <v>122</v>
      </c>
      <c r="AA438" s="10">
        <v>112.303</v>
      </c>
      <c r="AB438" s="10">
        <f>VLOOKUP(A438,Tabell9[[Indexnamn]:[Kolumn1]],3,FALSE)</f>
        <v>131.12200000000001</v>
      </c>
      <c r="AC438" s="10">
        <f>VLOOKUP($A438,'Lev 2022'!$K$2:$L$474,2,FALSE)</f>
        <v>119.94799999999999</v>
      </c>
      <c r="AG438" s="2">
        <f t="shared" si="15"/>
        <v>-11.174000000000021</v>
      </c>
      <c r="AH438" s="103">
        <f t="shared" si="16"/>
        <v>-8.5218346272936799E-2</v>
      </c>
    </row>
    <row r="439" spans="1:34" x14ac:dyDescent="0.25">
      <c r="A439" t="s">
        <v>317</v>
      </c>
      <c r="B439" t="str">
        <f>VLOOKUP(A439,'Korrigerade leveranser GD'!$A$4:$B$482,2,FALSE)</f>
        <v>Trelleborg</v>
      </c>
      <c r="C439" s="10">
        <v>2</v>
      </c>
      <c r="D439" s="10">
        <v>1.92</v>
      </c>
      <c r="E439" s="10">
        <v>2.0209999999999999</v>
      </c>
      <c r="F439" s="10">
        <v>2.0209999999999999</v>
      </c>
      <c r="G439" s="10">
        <v>2</v>
      </c>
      <c r="H439" s="56">
        <f>(G439-I439)/2+I439</f>
        <v>3.1070000000000002</v>
      </c>
      <c r="I439" s="10">
        <v>4.2140000000000004</v>
      </c>
      <c r="J439" s="10">
        <v>7</v>
      </c>
      <c r="K439" s="10">
        <v>6.6239999999999997</v>
      </c>
      <c r="L439" s="10">
        <v>6.5039999999999996</v>
      </c>
      <c r="M439" s="10">
        <v>8.36</v>
      </c>
      <c r="N439" s="10">
        <v>20.9</v>
      </c>
      <c r="O439" s="10">
        <v>35.1</v>
      </c>
      <c r="P439" s="10">
        <v>46.2</v>
      </c>
      <c r="Q439" s="10">
        <v>64.3</v>
      </c>
      <c r="R439" s="10">
        <v>64.430000000000007</v>
      </c>
      <c r="S439" s="10">
        <v>76.099999999999994</v>
      </c>
      <c r="T439" s="10">
        <v>87</v>
      </c>
      <c r="U439" s="10">
        <v>79</v>
      </c>
      <c r="V439" s="10">
        <f>IFERROR(INDEX(Levererat_2015[Leveranser till eget nät],MATCH($A439,Levererat_2015[Indexnamn],0)),"")</f>
        <v>84</v>
      </c>
      <c r="W439" s="10">
        <f>IFERROR(INDEX(Levererat_2016[Leveranser till eget nät],MATCH($A439,Levererat_2016[Indexnamn],0)),"")</f>
        <v>87.5</v>
      </c>
      <c r="X439" s="10">
        <f>IFERROR(INDEX(Tabell4[Leveranser till eget nät],MATCH('Leveranser per nät'!A439,Tabell4[[Finns i listan ]],0)),"")</f>
        <v>90.3</v>
      </c>
      <c r="Y439" s="10">
        <f>IFERROR(INDEX(Tabell6[Kolumn1],MATCH($A439,Tabell6[Indexnmamn],0)),"")</f>
        <v>0</v>
      </c>
      <c r="Z439" s="10">
        <v>90.1</v>
      </c>
      <c r="AA439" s="10">
        <v>84.2</v>
      </c>
      <c r="AB439" s="10">
        <f>VLOOKUP(A439,Tabell9[[Indexnamn]:[Kolumn1]],3,FALSE)</f>
        <v>95.6</v>
      </c>
      <c r="AC439" s="10">
        <f>VLOOKUP($A439,'Lev 2022'!$K$2:$L$474,2,FALSE)</f>
        <v>88.5</v>
      </c>
      <c r="AG439" s="2">
        <f t="shared" si="15"/>
        <v>-7.0999999999999943</v>
      </c>
      <c r="AH439" s="103">
        <f t="shared" si="16"/>
        <v>-7.4267782426778187E-2</v>
      </c>
    </row>
    <row r="440" spans="1:34" x14ac:dyDescent="0.25">
      <c r="A440" t="s">
        <v>318</v>
      </c>
      <c r="B440" t="str">
        <f>VLOOKUP(A440,'Korrigerade leveranser GD'!$A$4:$B$482,2,FALSE)</f>
        <v>Trollhättan</v>
      </c>
      <c r="C440" s="10">
        <v>243.89400000000001</v>
      </c>
      <c r="D440" s="10">
        <v>230.16</v>
      </c>
      <c r="E440" s="10">
        <v>243</v>
      </c>
      <c r="F440" s="10">
        <v>244</v>
      </c>
      <c r="G440" s="10">
        <v>242</v>
      </c>
      <c r="H440" s="10">
        <v>268</v>
      </c>
      <c r="I440" s="10">
        <v>268</v>
      </c>
      <c r="J440" s="10">
        <v>276</v>
      </c>
      <c r="K440" s="10">
        <v>269.31099999999998</v>
      </c>
      <c r="L440" s="10">
        <v>271.23099999999999</v>
      </c>
      <c r="M440" s="10">
        <v>263</v>
      </c>
      <c r="N440" s="10">
        <v>276</v>
      </c>
      <c r="O440" s="10">
        <v>290</v>
      </c>
      <c r="P440" s="10">
        <v>351</v>
      </c>
      <c r="Q440" s="10">
        <v>434</v>
      </c>
      <c r="R440" s="10">
        <v>335</v>
      </c>
      <c r="S440" s="10">
        <f>IFERROR(VLOOKUP('Leveranser per nät'!A440,'lev 2012'!$B$2:$E$445,4,FALSE),"")</f>
        <v>346</v>
      </c>
      <c r="T440" s="10">
        <f>IFERROR(VLOOKUP('Leveranser per nät'!A440,'lev 2013'!$B$2:$E$445,4,FALSE),"")</f>
        <v>360</v>
      </c>
      <c r="U440" s="10">
        <f>IFERROR(VLOOKUP('Leveranser per nät'!A440,'lev 2014'!$B$2:$E$432,4,FALSE),"")</f>
        <v>321</v>
      </c>
      <c r="V440" s="10">
        <f>IFERROR(INDEX(Levererat_2015[Leveranser till eget nät],MATCH($A440,Levererat_2015[Indexnamn],0)),"")</f>
        <v>321</v>
      </c>
      <c r="W440" s="10">
        <f>IFERROR(INDEX(Levererat_2016[Leveranser till eget nät],MATCH($A440,Levererat_2016[Indexnamn],0)),"")</f>
        <v>347</v>
      </c>
      <c r="X440" s="10">
        <f>IFERROR(INDEX(Tabell4[Leveranser till eget nät],MATCH('Leveranser per nät'!A440,Tabell4[[Finns i listan ]],0)),"")</f>
        <v>342.6</v>
      </c>
      <c r="Y440" s="10">
        <f>IFERROR(INDEX(Tabell6[Kolumn1],MATCH($A440,Tabell6[Indexnmamn],0)),"")</f>
        <v>342</v>
      </c>
      <c r="Z440" s="10">
        <v>333</v>
      </c>
      <c r="AA440" s="10">
        <v>303.89999999999998</v>
      </c>
      <c r="AB440" s="10">
        <f>VLOOKUP(A440,Tabell9[[Indexnamn]:[Kolumn1]],3,FALSE)</f>
        <v>339.5</v>
      </c>
      <c r="AC440" s="10">
        <f>VLOOKUP($A440,'Lev 2022'!$K$2:$L$474,2,FALSE)</f>
        <v>306.2</v>
      </c>
      <c r="AG440" s="2">
        <f t="shared" si="15"/>
        <v>-33.300000000000011</v>
      </c>
      <c r="AH440" s="103">
        <f t="shared" si="16"/>
        <v>-9.8085419734904311E-2</v>
      </c>
    </row>
    <row r="441" spans="1:34" x14ac:dyDescent="0.25">
      <c r="A441" t="s">
        <v>282</v>
      </c>
      <c r="B441" t="str">
        <f>VLOOKUP(A441,'Korrigerade leveranser GD'!$A$4:$B$482,2,FALSE)</f>
        <v>Trosa</v>
      </c>
      <c r="C441" s="10"/>
      <c r="D441" s="10"/>
      <c r="E441" s="10"/>
      <c r="F441" s="10"/>
      <c r="G441" s="10"/>
      <c r="H441" s="10"/>
      <c r="I441" s="10"/>
      <c r="J441" s="10"/>
      <c r="K441" s="10"/>
      <c r="L441" s="10">
        <v>0</v>
      </c>
      <c r="M441" s="10">
        <v>30</v>
      </c>
      <c r="N441" s="10">
        <v>30</v>
      </c>
      <c r="O441" s="10">
        <v>18.07</v>
      </c>
      <c r="P441" s="10">
        <v>21.31</v>
      </c>
      <c r="Q441" s="10">
        <v>22.4</v>
      </c>
      <c r="R441" s="10">
        <v>18.8</v>
      </c>
      <c r="S441" s="10">
        <f>IFERROR(VLOOKUP('Leveranser per nät'!A441,'lev 2012'!$B$2:$E$445,4,FALSE),"")</f>
        <v>20</v>
      </c>
      <c r="T441" s="10">
        <f>IFERROR(VLOOKUP('Leveranser per nät'!A441,'lev 2013'!$B$2:$E$445,4,FALSE),"")</f>
        <v>19.63</v>
      </c>
      <c r="U441" s="10">
        <f>IFERROR(VLOOKUP('Leveranser per nät'!A441,'lev 2014'!$B$2:$E$432,4,FALSE),"")</f>
        <v>18.87</v>
      </c>
      <c r="V441" s="10">
        <f>IFERROR(INDEX(Levererat_2015[Leveranser till eget nät],MATCH($A441,Levererat_2015[Indexnamn],0)),"")</f>
        <v>19.02</v>
      </c>
      <c r="W441" s="10">
        <f>IFERROR(INDEX(Levererat_2016[Leveranser till eget nät],MATCH($A441,Levererat_2016[Indexnamn],0)),"")</f>
        <v>21.21</v>
      </c>
      <c r="X441" s="10">
        <f>IFERROR(INDEX(Tabell4[Leveranser till eget nät],MATCH('Leveranser per nät'!A441,Tabell4[[Finns i listan ]],0)),"")</f>
        <v>20.86</v>
      </c>
      <c r="Y441" s="10">
        <f>IFERROR(INDEX(Tabell6[Kolumn1],MATCH($A441,Tabell6[Indexnmamn],0)),"")</f>
        <v>21.95</v>
      </c>
      <c r="Z441" s="10">
        <v>21.78</v>
      </c>
      <c r="AA441" s="10">
        <v>19.940000000000001</v>
      </c>
      <c r="AB441" s="10">
        <f>VLOOKUP(A441,Tabell9[[Indexnamn]:[Kolumn1]],3,FALSE)</f>
        <v>23.38</v>
      </c>
      <c r="AC441" s="10">
        <f>VLOOKUP($A441,'Lev 2022'!$K$2:$L$474,2,FALSE)</f>
        <v>21.28</v>
      </c>
      <c r="AG441" s="2">
        <f t="shared" si="15"/>
        <v>-2.0999999999999979</v>
      </c>
      <c r="AH441" s="103">
        <f t="shared" si="16"/>
        <v>-8.9820359281437043E-2</v>
      </c>
    </row>
    <row r="442" spans="1:34" s="65" customFormat="1" x14ac:dyDescent="0.25">
      <c r="A442" s="65" t="s">
        <v>331</v>
      </c>
      <c r="B442" s="65" t="str">
        <f>VLOOKUP(A442,'Korrigerade leveranser GD'!$A$4:$B$482,2,FALSE)</f>
        <v>Varberg</v>
      </c>
      <c r="C442" s="68"/>
      <c r="D442" s="68"/>
      <c r="E442" s="68"/>
      <c r="F442" s="68"/>
      <c r="G442" s="68"/>
      <c r="H442" s="68"/>
      <c r="I442" s="68"/>
      <c r="J442" s="68"/>
      <c r="K442" s="68"/>
      <c r="L442" s="68">
        <v>0</v>
      </c>
      <c r="M442" s="68">
        <v>0.5</v>
      </c>
      <c r="N442" s="68">
        <v>0.8</v>
      </c>
      <c r="O442" s="68">
        <v>1.37</v>
      </c>
      <c r="P442" s="68">
        <v>1.69</v>
      </c>
      <c r="Q442" s="68">
        <v>1.64</v>
      </c>
      <c r="R442" s="68">
        <v>1.42</v>
      </c>
      <c r="S442" s="68">
        <f>IFERROR(VLOOKUP('Leveranser per nät'!A442,'lev 2012'!$B$2:$E$445,4,FALSE),"")</f>
        <v>1.3</v>
      </c>
      <c r="T442" s="68">
        <f>IFERROR(VLOOKUP('Leveranser per nät'!A442,'lev 2013'!$B$2:$E$445,4,FALSE),"")</f>
        <v>1.22</v>
      </c>
      <c r="U442" s="68">
        <f>IFERROR(VLOOKUP('Leveranser per nät'!A442,'lev 2014'!$B$2:$E$432,4,FALSE),"")</f>
        <v>0.95699999999999996</v>
      </c>
      <c r="V442" s="68" t="str">
        <f>IFERROR(INDEX(Levererat_2015[Leveranser till eget nät],MATCH($A442,Levererat_2015[Indexnamn],0)),"")</f>
        <v/>
      </c>
      <c r="W442" s="68" t="str">
        <f>IFERROR(INDEX(Levererat_2016[Leveranser till eget nät],MATCH($A442,Levererat_2016[Indexnamn],0)),"")</f>
        <v/>
      </c>
      <c r="X442" s="68" t="str">
        <f>IFERROR(INDEX(Tabell4[Leveranser till eget nät],MATCH('Leveranser per nät'!A442,Tabell4[[Finns i listan ]],0)),"")</f>
        <v/>
      </c>
      <c r="Y442" s="68" t="str">
        <f>IFERROR(INDEX(Tabell6[Kolumn1],MATCH($A442,Tabell6[Indexnmamn],0)),"")</f>
        <v/>
      </c>
      <c r="Z442" s="68"/>
      <c r="AA442" s="68" t="s">
        <v>779</v>
      </c>
      <c r="AB442" s="10"/>
      <c r="AC442" s="10"/>
      <c r="AD442"/>
      <c r="AE442"/>
      <c r="AG442" s="2"/>
      <c r="AH442" s="103"/>
    </row>
    <row r="443" spans="1:34" x14ac:dyDescent="0.25">
      <c r="A443" t="s">
        <v>727</v>
      </c>
      <c r="B443" t="str">
        <f>VLOOKUP(A443,'Korrigerade leveranser GD'!$A$4:$B$482,2,FALSE)</f>
        <v>Sundsvall</v>
      </c>
      <c r="C443" s="10"/>
      <c r="D443" s="10"/>
      <c r="E443" s="10"/>
      <c r="F443" s="10"/>
      <c r="G443" s="10"/>
      <c r="H443" s="10"/>
      <c r="I443" s="10"/>
      <c r="J443" s="10"/>
      <c r="K443" s="10"/>
      <c r="L443" s="10"/>
      <c r="M443" s="10"/>
      <c r="N443" s="10"/>
      <c r="O443" s="10"/>
      <c r="P443" s="10"/>
      <c r="Q443" s="10"/>
      <c r="R443" s="10"/>
      <c r="S443" s="10" t="str">
        <f>IFERROR(VLOOKUP('Leveranser per nät'!A443,'lev 2012'!$B$2:$E$445,4,FALSE),"")</f>
        <v/>
      </c>
      <c r="T443" s="10" t="str">
        <f>IFERROR(VLOOKUP('Leveranser per nät'!A443,'lev 2013'!$B$2:$E$445,4,FALSE),"")</f>
        <v/>
      </c>
      <c r="U443" s="10">
        <f>IFERROR(VLOOKUP('Leveranser per nät'!A443,'lev 2014'!$B$2:$E$432,4,FALSE),"")</f>
        <v>100.3</v>
      </c>
      <c r="V443" s="10">
        <f>IFERROR(INDEX(Levererat_2015[Leveranser till eget nät],MATCH($A443,Levererat_2015[Indexnamn],0)),"")</f>
        <v>101.971</v>
      </c>
      <c r="W443" s="10">
        <f>IFERROR(INDEX(Levererat_2016[Leveranser till eget nät],MATCH($A443,Levererat_2016[Indexnamn],0)),"")</f>
        <v>109.252</v>
      </c>
      <c r="X443" s="10">
        <f>IFERROR(INDEX(Tabell4[Leveranser till eget nät],MATCH('Leveranser per nät'!A443,Tabell4[[Finns i listan ]],0)),"")</f>
        <v>127.43300000000001</v>
      </c>
      <c r="Y443" s="10">
        <f>IFERROR(INDEX(Tabell6[Kolumn1],MATCH($A443,Tabell6[Indexnmamn],0)),"")</f>
        <v>129.91300000000001</v>
      </c>
      <c r="Z443" s="10">
        <v>131.49600000000001</v>
      </c>
      <c r="AA443" s="10">
        <v>125.739</v>
      </c>
      <c r="AB443" s="10">
        <f>VLOOKUP(A443,Tabell9[[Indexnamn]:[Kolumn1]],3,FALSE)</f>
        <v>130.9</v>
      </c>
      <c r="AC443" s="10">
        <f>VLOOKUP($A443,'Lev 2022'!$K$2:$L$474,2,FALSE)</f>
        <v>132.65799999999999</v>
      </c>
      <c r="AG443" s="2">
        <f t="shared" si="15"/>
        <v>1.7579999999999814</v>
      </c>
      <c r="AH443" s="103">
        <f t="shared" si="16"/>
        <v>1.343009931245211E-2</v>
      </c>
    </row>
    <row r="444" spans="1:34" x14ac:dyDescent="0.25">
      <c r="A444" s="4" t="s">
        <v>429</v>
      </c>
      <c r="B444" t="str">
        <f>VLOOKUP(A444,'Korrigerade leveranser GD'!$A$4:$B$482,2,FALSE)</f>
        <v>Varberg</v>
      </c>
      <c r="C444" s="10"/>
      <c r="D444" s="10"/>
      <c r="E444" s="10"/>
      <c r="F444" s="10"/>
      <c r="G444" s="10"/>
      <c r="H444" s="10"/>
      <c r="I444" s="10"/>
      <c r="J444" s="10">
        <v>0</v>
      </c>
      <c r="K444" s="10">
        <v>3.7650000000000001</v>
      </c>
      <c r="L444" s="10">
        <v>4.9000000000000004</v>
      </c>
      <c r="M444" s="10">
        <v>4.6580000000000004</v>
      </c>
      <c r="N444" s="10">
        <v>4.9000000000000004</v>
      </c>
      <c r="O444" s="10">
        <v>4.26</v>
      </c>
      <c r="P444" s="10">
        <v>5.2009999999999996</v>
      </c>
      <c r="Q444" s="10">
        <v>5.23</v>
      </c>
      <c r="R444" s="10">
        <v>3.93</v>
      </c>
      <c r="S444" s="10">
        <f>IFERROR(VLOOKUP('Leveranser per nät'!A444,'lev 2012'!$B$2:$E$445,4,FALSE),"")</f>
        <v>3.86</v>
      </c>
      <c r="T444" s="10">
        <f>IFERROR(VLOOKUP('Leveranser per nät'!A444,'lev 2013'!$B$2:$E$445,4,FALSE),"")</f>
        <v>3.87</v>
      </c>
      <c r="U444" s="10">
        <f>IFERROR(VLOOKUP('Leveranser per nät'!A444,'lev 2014'!$B$2:$E$432,4,FALSE),"")</f>
        <v>3.5790000000000002</v>
      </c>
      <c r="V444" s="10">
        <f>IFERROR(INDEX(Levererat_2015[Leveranser till eget nät],MATCH($A444,Levererat_2015[Indexnamn],0)),"")</f>
        <v>3.7989999999999999</v>
      </c>
      <c r="W444" s="10">
        <f>IFERROR(INDEX(Levererat_2016[Leveranser till eget nät],MATCH($A444,Levererat_2016[Indexnamn],0)),"")</f>
        <v>3.976</v>
      </c>
      <c r="X444" s="10">
        <f>IFERROR(INDEX(Tabell4[Leveranser till eget nät],MATCH('Leveranser per nät'!A444,Tabell4[[Finns i listan ]],0)),"")</f>
        <v>4.1100000000000003</v>
      </c>
      <c r="Y444" s="10">
        <f>IFERROR(INDEX(Tabell6[Kolumn1],MATCH($A444,Tabell6[Indexnmamn],0)),"")</f>
        <v>4.968</v>
      </c>
      <c r="Z444" s="10">
        <v>5.91</v>
      </c>
      <c r="AA444" s="10">
        <v>5.7</v>
      </c>
      <c r="AB444" s="10">
        <f>VLOOKUP(A444,Tabell9[[Indexnamn]:[Kolumn1]],3,FALSE)</f>
        <v>6.66</v>
      </c>
      <c r="AC444" s="10">
        <f>VLOOKUP($A444,'Lev 2022'!$K$2:$L$474,2,FALSE)</f>
        <v>6.2110000000000003</v>
      </c>
      <c r="AG444" s="2">
        <f t="shared" si="15"/>
        <v>-0.44899999999999984</v>
      </c>
      <c r="AH444" s="103">
        <f t="shared" si="16"/>
        <v>-6.7417417417417386E-2</v>
      </c>
    </row>
    <row r="445" spans="1:34" x14ac:dyDescent="0.25">
      <c r="A445" t="s">
        <v>152</v>
      </c>
      <c r="B445" t="str">
        <f>VLOOKUP(A445,'Korrigerade leveranser GD'!$A$4:$B$482,2,FALSE)</f>
        <v>Hässleholm</v>
      </c>
      <c r="C445" s="10"/>
      <c r="D445" s="10"/>
      <c r="E445" s="10"/>
      <c r="F445" s="10">
        <v>0</v>
      </c>
      <c r="G445" s="10">
        <v>1</v>
      </c>
      <c r="H445" s="10">
        <v>5</v>
      </c>
      <c r="I445" s="10">
        <v>7</v>
      </c>
      <c r="J445" s="10">
        <v>9</v>
      </c>
      <c r="K445" s="10">
        <v>10.397</v>
      </c>
      <c r="L445" s="10">
        <v>11.99</v>
      </c>
      <c r="M445" s="10">
        <v>13.17</v>
      </c>
      <c r="N445" s="10">
        <v>14.574999999999999</v>
      </c>
      <c r="O445" s="10">
        <v>15.819000000000001</v>
      </c>
      <c r="P445" s="10">
        <v>17.044</v>
      </c>
      <c r="Q445" s="10">
        <v>19.762</v>
      </c>
      <c r="R445" s="10">
        <v>16.5</v>
      </c>
      <c r="S445" s="10">
        <f>IFERROR(VLOOKUP('Leveranser per nät'!A445,'lev 2012'!$B$2:$E$445,4,FALSE),"")</f>
        <v>17</v>
      </c>
      <c r="T445" s="10">
        <f>IFERROR(VLOOKUP('Leveranser per nät'!A445,'lev 2013'!$B$2:$E$445,4,FALSE),"")</f>
        <v>17</v>
      </c>
      <c r="U445" s="10">
        <f>IFERROR(VLOOKUP('Leveranser per nät'!A445,'lev 2014'!$B$2:$E$432,4,FALSE),"")</f>
        <v>15</v>
      </c>
      <c r="V445" s="10">
        <f>IFERROR(INDEX(Levererat_2015[Leveranser till eget nät],MATCH($A445,Levererat_2015[Indexnamn],0)),"")</f>
        <v>17</v>
      </c>
      <c r="W445" s="10">
        <f>IFERROR(INDEX(Levererat_2016[Leveranser till eget nät],MATCH($A445,Levererat_2016[Indexnamn],0)),"")</f>
        <v>17</v>
      </c>
      <c r="X445" s="10">
        <f>IFERROR(INDEX(Tabell4[Leveranser till eget nät],MATCH('Leveranser per nät'!A445,Tabell4[[Finns i listan ]],0)),"")</f>
        <v>17.7</v>
      </c>
      <c r="Y445" s="10">
        <f>IFERROR(INDEX(Tabell6[Kolumn1],MATCH($A445,Tabell6[Indexnmamn],0)),"")</f>
        <v>17</v>
      </c>
      <c r="Z445" s="10">
        <v>16.899999999999999</v>
      </c>
      <c r="AA445" s="10">
        <v>17.03</v>
      </c>
      <c r="AB445" s="10">
        <f>VLOOKUP(A445,Tabell9[[Indexnamn]:[Kolumn1]],3,FALSE)</f>
        <v>18.97</v>
      </c>
      <c r="AC445" s="10">
        <f>VLOOKUP($A445,'Lev 2022'!$K$2:$L$474,2,FALSE)</f>
        <v>17.57</v>
      </c>
      <c r="AG445" s="2">
        <f t="shared" si="15"/>
        <v>-1.3999999999999986</v>
      </c>
      <c r="AH445" s="103">
        <f t="shared" si="16"/>
        <v>-7.3800738007380004E-2</v>
      </c>
    </row>
    <row r="446" spans="1:34" x14ac:dyDescent="0.25">
      <c r="A446" s="104" t="s">
        <v>442</v>
      </c>
      <c r="B446" t="str">
        <f>VLOOKUP(A446,'Korrigerade leveranser GD'!$A$4:$B$482,2,FALSE)</f>
        <v>Stockholm-Bromma</v>
      </c>
      <c r="C446" s="10"/>
      <c r="D446" s="10"/>
      <c r="E446" s="10"/>
      <c r="F446" s="10"/>
      <c r="G446" s="10"/>
      <c r="H446" s="10"/>
      <c r="I446" s="10"/>
      <c r="J446" s="10"/>
      <c r="K446" s="10"/>
      <c r="L446" s="10"/>
      <c r="M446" s="10"/>
      <c r="N446" s="10"/>
      <c r="O446" s="10"/>
      <c r="P446" s="10"/>
      <c r="Q446" s="10"/>
      <c r="R446" s="10"/>
      <c r="S446" s="10">
        <f>IFERROR(VLOOKUP('Leveranser per nät'!A446,'lev 2012'!$B$2:$E$445,4,FALSE),"")</f>
        <v>65</v>
      </c>
      <c r="T446" s="10">
        <f>IFERROR(VLOOKUP('Leveranser per nät'!A446,'lev 2013'!$B$2:$E$445,4,FALSE),"")</f>
        <v>75</v>
      </c>
      <c r="U446" s="10">
        <f>IFERROR(VLOOKUP('Leveranser per nät'!A446,'lev 2014'!$B$2:$E$432,4,FALSE),"")</f>
        <v>83.210000000000008</v>
      </c>
      <c r="V446" s="10">
        <f>IFERROR(INDEX(Levererat_2015[Leveranser till eget nät],MATCH($A446,Levererat_2015[Indexnamn],0)),"")</f>
        <v>84.281000000000006</v>
      </c>
      <c r="W446" s="10">
        <v>125.79499999999999</v>
      </c>
      <c r="X446" s="10">
        <v>132.102</v>
      </c>
      <c r="Y446" s="10">
        <v>135.03299999999999</v>
      </c>
      <c r="Z446" s="10">
        <v>138.97</v>
      </c>
      <c r="AA446" s="10">
        <f>52.953+72.3</f>
        <v>125.253</v>
      </c>
      <c r="AB446" s="10">
        <f>VLOOKUP(A446,Tabell9[[Indexnamn]:[Kolumn1]],3,FALSE)</f>
        <v>152.58199999999999</v>
      </c>
      <c r="AC446" s="10">
        <f>VLOOKUP($A446,'Lev 2022'!$K$2:$L$474,2,FALSE)</f>
        <v>144.715</v>
      </c>
      <c r="AG446" s="2">
        <f t="shared" si="15"/>
        <v>-7.8669999999999902</v>
      </c>
      <c r="AH446" s="103">
        <f t="shared" si="16"/>
        <v>-5.1559161631122875E-2</v>
      </c>
    </row>
    <row r="447" spans="1:34" x14ac:dyDescent="0.25">
      <c r="A447" t="s">
        <v>430</v>
      </c>
      <c r="B447" t="s">
        <v>430</v>
      </c>
      <c r="C447" s="10"/>
      <c r="D447" s="10"/>
      <c r="E447" s="10"/>
      <c r="F447" s="10"/>
      <c r="G447" s="10"/>
      <c r="H447" s="10"/>
      <c r="I447" s="10"/>
      <c r="J447" s="10"/>
      <c r="K447" s="10"/>
      <c r="L447" s="10"/>
      <c r="M447" s="10"/>
      <c r="N447" s="10"/>
      <c r="O447" s="10"/>
      <c r="P447" s="10">
        <v>0</v>
      </c>
      <c r="Q447" s="10">
        <v>23.9</v>
      </c>
      <c r="R447" s="10">
        <v>20.556000000000001</v>
      </c>
      <c r="S447" s="10">
        <f>IFERROR(VLOOKUP('Leveranser per nät'!A447,'lev 2012'!$B$2:$E$445,4,FALSE),"")</f>
        <v>29</v>
      </c>
      <c r="T447" s="10">
        <f>IFERROR(VLOOKUP('Leveranser per nät'!A447,'lev 2013'!$B$2:$E$445,4,FALSE),"")</f>
        <v>23.3</v>
      </c>
      <c r="U447" s="10">
        <f>IFERROR(VLOOKUP('Leveranser per nät'!A447,'lev 2014'!$B$2:$E$432,4,FALSE),"")</f>
        <v>20.2</v>
      </c>
      <c r="V447" s="10">
        <f>IFERROR(INDEX(Levererat_2015[Leveranser till eget nät],MATCH($A447,Levererat_2015[Indexnamn],0)),"")</f>
        <v>22.1</v>
      </c>
      <c r="W447" s="10">
        <f>IFERROR(INDEX(Levererat_2016[Leveranser till eget nät],MATCH($A447,Levererat_2016[Indexnamn],0)),"")</f>
        <v>25.6</v>
      </c>
      <c r="X447" s="10">
        <f>IFERROR(INDEX(Tabell4[Leveranser till eget nät],MATCH('Leveranser per nät'!A447,Tabell4[[Finns i listan ]],0)),"")</f>
        <v>25.542000000000002</v>
      </c>
      <c r="Y447" s="10">
        <f>IFERROR(INDEX(Tabell6[Kolumn1],MATCH($A447,Tabell6[Indexnmamn],0)),"")</f>
        <v>26.018000000000001</v>
      </c>
      <c r="Z447" s="10">
        <v>24.553999999999998</v>
      </c>
      <c r="AA447" s="10">
        <v>22.76</v>
      </c>
      <c r="AB447" s="10">
        <f>VLOOKUP(A447,Tabell9[[Indexnamn]:[Kolumn1]],3,FALSE)</f>
        <v>27.12</v>
      </c>
      <c r="AC447" s="10">
        <f>VLOOKUP($A447,'Lev 2022'!$K$2:$L$474,2,FALSE)</f>
        <v>25.06</v>
      </c>
      <c r="AG447" s="2">
        <f t="shared" si="15"/>
        <v>-2.0600000000000023</v>
      </c>
      <c r="AH447" s="103">
        <f t="shared" si="16"/>
        <v>-7.5958702064896841E-2</v>
      </c>
    </row>
    <row r="448" spans="1:34" x14ac:dyDescent="0.25">
      <c r="A448" t="s">
        <v>320</v>
      </c>
      <c r="B448" t="str">
        <f>VLOOKUP(A448,'Korrigerade leveranser GD'!$A$4:$B$482,2,FALSE)</f>
        <v>Uddevalla</v>
      </c>
      <c r="C448" s="10">
        <v>289</v>
      </c>
      <c r="D448" s="10">
        <v>264.42</v>
      </c>
      <c r="E448" s="10">
        <v>274</v>
      </c>
      <c r="F448" s="10">
        <v>264</v>
      </c>
      <c r="G448" s="10">
        <v>239</v>
      </c>
      <c r="H448" s="10">
        <v>280</v>
      </c>
      <c r="I448" s="10">
        <v>265</v>
      </c>
      <c r="J448" s="10">
        <v>269.44600000000003</v>
      </c>
      <c r="K448" s="10">
        <v>264.45999999999998</v>
      </c>
      <c r="L448" s="10">
        <v>259.21300000000002</v>
      </c>
      <c r="M448" s="10">
        <v>258.39999999999998</v>
      </c>
      <c r="N448" s="10">
        <v>252.126</v>
      </c>
      <c r="O448" s="10">
        <v>250.3</v>
      </c>
      <c r="P448" s="10">
        <v>269.666</v>
      </c>
      <c r="Q448" s="10">
        <v>319.39400000000001</v>
      </c>
      <c r="R448" s="10">
        <v>259</v>
      </c>
      <c r="S448" s="10">
        <f>IFERROR(VLOOKUP('Leveranser per nät'!A448,'lev 2012'!$B$2:$E$445,4,FALSE),"")</f>
        <v>280</v>
      </c>
      <c r="T448" s="10">
        <f>IFERROR(VLOOKUP('Leveranser per nät'!A448,'lev 2013'!$B$2:$E$445,4,FALSE),"")</f>
        <v>265.10000000000002</v>
      </c>
      <c r="U448" s="10">
        <f>IFERROR(VLOOKUP('Leveranser per nät'!A448,'lev 2014'!$B$2:$E$432,4,FALSE),"")</f>
        <v>229</v>
      </c>
      <c r="V448" s="10">
        <f>IFERROR(INDEX(Levererat_2015[Leveranser till eget nät],MATCH($A448,Levererat_2015[Indexnamn],0)),"")</f>
        <v>252</v>
      </c>
      <c r="W448" s="10">
        <f>IFERROR(INDEX(Levererat_2016[Leveranser till eget nät],MATCH($A448,Levererat_2016[Indexnamn],0)),"")</f>
        <v>287.63</v>
      </c>
      <c r="X448" s="10">
        <f>IFERROR(INDEX(Tabell4[Leveranser till eget nät],MATCH('Leveranser per nät'!A448,Tabell4[[Finns i listan ]],0)),"")</f>
        <v>286.56</v>
      </c>
      <c r="Y448" s="10">
        <f>IFERROR(INDEX(Tabell6[Kolumn1],MATCH($A448,Tabell6[Indexnmamn],0)),"")</f>
        <v>302</v>
      </c>
      <c r="Z448" s="10">
        <v>304</v>
      </c>
      <c r="AA448" s="10">
        <v>265.27</v>
      </c>
      <c r="AB448" s="10">
        <f>VLOOKUP(A448,Tabell9[[Indexnamn]:[Kolumn1]],3,FALSE)</f>
        <v>333.14</v>
      </c>
      <c r="AC448" s="10">
        <f>VLOOKUP($A448,'Lev 2022'!$K$2:$L$474,2,FALSE)</f>
        <v>304.98</v>
      </c>
      <c r="AG448" s="2">
        <f t="shared" si="15"/>
        <v>-28.159999999999968</v>
      </c>
      <c r="AH448" s="103">
        <f t="shared" si="16"/>
        <v>-8.4529026835564541E-2</v>
      </c>
    </row>
    <row r="449" spans="1:34" x14ac:dyDescent="0.25">
      <c r="A449" t="s">
        <v>383</v>
      </c>
      <c r="B449" t="str">
        <f>VLOOKUP(A449,'Korrigerade leveranser GD'!$A$4:$B$482,2,FALSE)</f>
        <v xml:space="preserve">Ullared </v>
      </c>
      <c r="C449" s="10"/>
      <c r="D449" s="10"/>
      <c r="E449" s="10"/>
      <c r="F449" s="10"/>
      <c r="G449" s="10"/>
      <c r="H449" s="10"/>
      <c r="I449" s="10"/>
      <c r="J449" s="10"/>
      <c r="K449" s="10"/>
      <c r="L449" s="10"/>
      <c r="M449" s="10">
        <v>0</v>
      </c>
      <c r="N449" s="10">
        <v>1.548</v>
      </c>
      <c r="O449" s="10">
        <v>1.92</v>
      </c>
      <c r="P449" s="10">
        <v>1.97</v>
      </c>
      <c r="Q449" s="10">
        <v>2.657</v>
      </c>
      <c r="R449" s="10">
        <v>2.2160000000000002</v>
      </c>
      <c r="S449" s="10">
        <f>IFERROR(VLOOKUP('Leveranser per nät'!A449,'lev 2012'!$B$2:$E$445,4,FALSE),"")</f>
        <v>2.4</v>
      </c>
      <c r="T449" s="10">
        <f>IFERROR(VLOOKUP('Leveranser per nät'!A449,'lev 2013'!$B$2:$E$445,4,FALSE),"")</f>
        <v>2.2789999999999999</v>
      </c>
      <c r="U449" s="10">
        <f>IFERROR(VLOOKUP('Leveranser per nät'!A449,'lev 2014'!$B$2:$E$432,4,FALSE),"")</f>
        <v>1.893</v>
      </c>
      <c r="V449" s="10">
        <f>IFERROR(INDEX(Levererat_2015[Leveranser till eget nät],MATCH($A449,Levererat_2015[Indexnamn],0)),"")</f>
        <v>2.1480000000000001</v>
      </c>
      <c r="W449" s="10">
        <f>IFERROR(INDEX(Levererat_2016[Leveranser till eget nät],MATCH($A449,Levererat_2016[Indexnamn],0)),"")</f>
        <v>2.4729999999999999</v>
      </c>
      <c r="X449" s="10">
        <f>IFERROR(INDEX(Tabell4[Leveranser till eget nät],MATCH('Leveranser per nät'!A449,Tabell4[[Finns i listan ]],0)),"")</f>
        <v>2.5739999999999998</v>
      </c>
      <c r="Y449" s="10">
        <f>IFERROR(INDEX(Tabell6[Kolumn1],MATCH($A449,Tabell6[Indexnmamn],0)),"")</f>
        <v>2.4660000000000002</v>
      </c>
      <c r="Z449" s="10">
        <v>2.3220000000000001</v>
      </c>
      <c r="AA449" s="10">
        <v>2.2879999999999998</v>
      </c>
      <c r="AB449" s="10">
        <f>VLOOKUP(A449,Tabell9[[Indexnamn]:[Kolumn1]],3,FALSE)</f>
        <v>2.6760000000000002</v>
      </c>
      <c r="AC449" s="10">
        <f>VLOOKUP($A449,'Lev 2022'!$K$2:$L$474,2,FALSE)</f>
        <v>2.46</v>
      </c>
      <c r="AG449" s="2">
        <f t="shared" si="15"/>
        <v>-0.21600000000000019</v>
      </c>
      <c r="AH449" s="103">
        <f t="shared" si="16"/>
        <v>-8.0717488789237735E-2</v>
      </c>
    </row>
    <row r="450" spans="1:34" x14ac:dyDescent="0.25">
      <c r="A450" t="s">
        <v>321</v>
      </c>
      <c r="B450" t="str">
        <f>VLOOKUP(A450,'Korrigerade leveranser GD'!$A$4:$B$482,2,FALSE)</f>
        <v>Ulricehamn</v>
      </c>
      <c r="C450" s="10"/>
      <c r="D450" s="10"/>
      <c r="E450" s="10"/>
      <c r="F450" s="10"/>
      <c r="G450" s="10">
        <v>0</v>
      </c>
      <c r="H450" s="10">
        <v>12</v>
      </c>
      <c r="I450" s="10">
        <v>14</v>
      </c>
      <c r="J450" s="10">
        <v>23.702999999999999</v>
      </c>
      <c r="K450" s="10">
        <v>28</v>
      </c>
      <c r="L450" s="10">
        <v>34.045999999999999</v>
      </c>
      <c r="M450" s="10">
        <v>37.484999999999999</v>
      </c>
      <c r="N450" s="10">
        <v>42.222000000000001</v>
      </c>
      <c r="O450" s="10">
        <v>43.767000000000003</v>
      </c>
      <c r="P450" s="10">
        <v>46.575000000000003</v>
      </c>
      <c r="Q450" s="10">
        <v>54.94</v>
      </c>
      <c r="R450" s="10">
        <v>46.029000000000003</v>
      </c>
      <c r="S450" s="10">
        <f>IFERROR(VLOOKUP('Leveranser per nät'!A450,'lev 2012'!$B$2:$E$445,4,FALSE),"")</f>
        <v>49</v>
      </c>
      <c r="T450" s="10">
        <f>IFERROR(VLOOKUP('Leveranser per nät'!A450,'lev 2013'!$B$2:$E$445,4,FALSE),"")</f>
        <v>48.018000000000001</v>
      </c>
      <c r="U450" s="10">
        <f>IFERROR(VLOOKUP('Leveranser per nät'!A450,'lev 2014'!$B$2:$E$432,4,FALSE),"")</f>
        <v>42.433</v>
      </c>
      <c r="V450" s="10">
        <f>IFERROR(INDEX(Levererat_2015[Leveranser till eget nät],MATCH($A450,Levererat_2015[Indexnamn],0)),"")</f>
        <v>47.430999999999997</v>
      </c>
      <c r="W450" s="10">
        <f>IFERROR(INDEX(Levererat_2016[Leveranser till eget nät],MATCH($A450,Levererat_2016[Indexnamn],0)),"")</f>
        <v>47.862000000000002</v>
      </c>
      <c r="X450" s="10">
        <f>IFERROR(INDEX(Tabell4[Leveranser till eget nät],MATCH('Leveranser per nät'!A450,Tabell4[[Finns i listan ]],0)),"")</f>
        <v>47.639000000000003</v>
      </c>
      <c r="Y450" s="10">
        <f>IFERROR(INDEX(Tabell6[Kolumn1],MATCH($A450,Tabell6[Indexnmamn],0)),"")</f>
        <v>48.752000000000002</v>
      </c>
      <c r="Z450" s="10">
        <v>47.084000000000003</v>
      </c>
      <c r="AA450" s="10">
        <v>45.213999999999999</v>
      </c>
      <c r="AB450" s="10">
        <f>VLOOKUP(A450,Tabell9[[Indexnamn]:[Kolumn1]],3,FALSE)</f>
        <v>52.116</v>
      </c>
      <c r="AC450" s="10">
        <f>VLOOKUP($A450,'Lev 2022'!$K$2:$L$474,2,FALSE)</f>
        <v>48.066000000000003</v>
      </c>
      <c r="AG450" s="2">
        <f t="shared" si="15"/>
        <v>-4.0499999999999972</v>
      </c>
      <c r="AH450" s="103">
        <f t="shared" si="16"/>
        <v>-7.7711259498042778E-2</v>
      </c>
    </row>
    <row r="451" spans="1:34" x14ac:dyDescent="0.25">
      <c r="A451" t="s">
        <v>324</v>
      </c>
      <c r="B451" t="str">
        <f>VLOOKUP(A451,'Korrigerade leveranser GD'!$A$4:$B$482,2,FALSE)</f>
        <v>Umeå</v>
      </c>
      <c r="C451" s="10">
        <v>695</v>
      </c>
      <c r="D451" s="10">
        <v>659</v>
      </c>
      <c r="E451" s="10">
        <v>699</v>
      </c>
      <c r="F451" s="10">
        <v>774</v>
      </c>
      <c r="G451" s="10">
        <v>721</v>
      </c>
      <c r="H451" s="10">
        <v>791</v>
      </c>
      <c r="I451" s="10">
        <v>801</v>
      </c>
      <c r="J451" s="10">
        <v>738.71100000000001</v>
      </c>
      <c r="K451" s="10">
        <v>750.77599999999995</v>
      </c>
      <c r="L451" s="10">
        <v>730.32299999999998</v>
      </c>
      <c r="M451" s="10">
        <v>750.44299999999987</v>
      </c>
      <c r="N451" s="10">
        <v>761.14300000000003</v>
      </c>
      <c r="O451" s="10">
        <v>755.58600000000001</v>
      </c>
      <c r="P451" s="10">
        <v>812.69100000000003</v>
      </c>
      <c r="Q451" s="10">
        <v>945.31799999999998</v>
      </c>
      <c r="R451" s="10">
        <v>820.35</v>
      </c>
      <c r="S451" s="10">
        <f>IFERROR(VLOOKUP('Leveranser per nät'!A451,'lev 2012'!$B$2:$E$445,4,FALSE),"")</f>
        <v>866</v>
      </c>
      <c r="T451" s="10">
        <f>IFERROR(VLOOKUP('Leveranser per nät'!A451,'lev 2013'!$B$2:$E$445,4,FALSE),"")</f>
        <v>818.35</v>
      </c>
      <c r="U451" s="10">
        <f>IFERROR(VLOOKUP('Leveranser per nät'!A451,'lev 2014'!$B$2:$E$432,4,FALSE),"")</f>
        <v>788.96299999999997</v>
      </c>
      <c r="V451" s="10">
        <f>IFERROR(INDEX(Levererat_2015[Leveranser till eget nät],MATCH($A451,Levererat_2015[Indexnamn],0)),"")</f>
        <v>761.05499999999995</v>
      </c>
      <c r="W451" s="10">
        <f>IFERROR(INDEX(Levererat_2016[Leveranser till eget nät],MATCH($A451,Levererat_2016[Indexnamn],0)),"")</f>
        <v>839.721</v>
      </c>
      <c r="X451" s="10">
        <f>IFERROR(INDEX(Tabell4[Leveranser till eget nät],MATCH('Leveranser per nät'!A451,Tabell4[[Finns i listan ]],0)),"")</f>
        <v>848.08</v>
      </c>
      <c r="Y451" s="10">
        <f>IFERROR(INDEX(Tabell6[Kolumn1],MATCH($A451,Tabell6[Indexnmamn],0)),"")</f>
        <v>854.3</v>
      </c>
      <c r="Z451" s="10">
        <v>873.8</v>
      </c>
      <c r="AA451" s="10">
        <v>758.2</v>
      </c>
      <c r="AB451" s="10">
        <f>VLOOKUP(A451,Tabell9[[Indexnamn]:[Kolumn1]],3,FALSE)</f>
        <v>886.45</v>
      </c>
      <c r="AC451" s="10">
        <f>VLOOKUP($A451,'Lev 2022'!$K$2:$L$474,2,FALSE)</f>
        <v>825.8</v>
      </c>
      <c r="AG451" s="2">
        <f t="shared" si="15"/>
        <v>-60.650000000000091</v>
      </c>
      <c r="AH451" s="103">
        <f t="shared" si="16"/>
        <v>-6.8418974561453086E-2</v>
      </c>
    </row>
    <row r="452" spans="1:34" x14ac:dyDescent="0.25">
      <c r="A452" t="s">
        <v>335</v>
      </c>
      <c r="B452" t="str">
        <f>VLOOKUP(A452,'Korrigerade leveranser GD'!$A$4:$B$482,2,FALSE)</f>
        <v>Uppsala</v>
      </c>
      <c r="C452" s="10">
        <v>1758</v>
      </c>
      <c r="D452" s="10">
        <v>1538.78</v>
      </c>
      <c r="E452" s="10">
        <v>1531</v>
      </c>
      <c r="F452" s="10">
        <v>1531</v>
      </c>
      <c r="G452" s="10">
        <v>1485</v>
      </c>
      <c r="H452" s="10">
        <v>1530.856</v>
      </c>
      <c r="I452" s="10">
        <v>1583</v>
      </c>
      <c r="J452" s="10">
        <v>1596</v>
      </c>
      <c r="K452" s="10">
        <v>1435.0709999999999</v>
      </c>
      <c r="L452" s="10">
        <v>1906.6802414218448</v>
      </c>
      <c r="M452" s="10">
        <v>1544.135</v>
      </c>
      <c r="N452" s="10">
        <v>1443.4</v>
      </c>
      <c r="O452" s="10">
        <v>1288.5</v>
      </c>
      <c r="P452" s="10">
        <v>1465</v>
      </c>
      <c r="Q452" s="10">
        <v>1633</v>
      </c>
      <c r="R452" s="10">
        <v>1324.4</v>
      </c>
      <c r="S452" s="10">
        <f>IFERROR(VLOOKUP('Leveranser per nät'!A452,'lev 2012'!$B$2:$E$445,4,FALSE),"")</f>
        <v>1415</v>
      </c>
      <c r="T452" s="10">
        <f>IFERROR(VLOOKUP('Leveranser per nät'!A452,'lev 2013'!$B$2:$E$445,4,FALSE),"")</f>
        <v>1357</v>
      </c>
      <c r="U452" s="10">
        <f>IFERROR(VLOOKUP('Leveranser per nät'!A452,'lev 2014'!$B$2:$E$432,4,FALSE),"")</f>
        <v>1357.7</v>
      </c>
      <c r="V452" s="10">
        <f>IFERROR(INDEX(Levererat_2015[Leveranser till eget nät],MATCH($A452,Levererat_2015[Indexnamn],0)),"")</f>
        <v>1357.5</v>
      </c>
      <c r="W452" s="10">
        <f>IFERROR(INDEX(Levererat_2016[Leveranser till eget nät],MATCH($A452,Levererat_2016[Indexnamn],0)),"")</f>
        <v>1437.25</v>
      </c>
      <c r="X452" s="10">
        <f>IFERROR(INDEX(Tabell4[Leveranser till eget nät],MATCH('Leveranser per nät'!A452,Tabell4[[Finns i listan ]],0)),"")</f>
        <v>1429.4</v>
      </c>
      <c r="Y452" s="10">
        <f>IFERROR(INDEX(Tabell6[Kolumn1],MATCH($A452,Tabell6[Indexnmamn],0)),"")</f>
        <v>1419.3689999999999</v>
      </c>
      <c r="Z452" s="10">
        <v>1289.133</v>
      </c>
      <c r="AA452" s="10">
        <v>1144.3699999999999</v>
      </c>
      <c r="AB452" s="10">
        <f>VLOOKUP(A452,Tabell9[[Indexnamn]:[Kolumn1]],3,FALSE)</f>
        <v>1348.25</v>
      </c>
      <c r="AC452" s="10">
        <f>VLOOKUP($A452,'Lev 2022'!$K$2:$L$474,2,FALSE)</f>
        <v>1375.1949999999999</v>
      </c>
      <c r="AG452" s="2">
        <f t="shared" si="15"/>
        <v>26.944999999999936</v>
      </c>
      <c r="AH452" s="103">
        <f t="shared" si="16"/>
        <v>1.9985165955868672E-2</v>
      </c>
    </row>
    <row r="453" spans="1:34" x14ac:dyDescent="0.25">
      <c r="A453" t="s">
        <v>273</v>
      </c>
      <c r="B453" t="str">
        <f>VLOOKUP(A453,'Korrigerade leveranser GD'!$A$4:$B$482,2,FALSE)</f>
        <v>Skellefteå</v>
      </c>
      <c r="C453" s="10"/>
      <c r="D453" s="10"/>
      <c r="E453" s="10">
        <v>0</v>
      </c>
      <c r="F453" s="10">
        <v>17</v>
      </c>
      <c r="G453" s="10">
        <v>17</v>
      </c>
      <c r="H453" s="10">
        <v>20.170999999999999</v>
      </c>
      <c r="I453" s="10">
        <v>22</v>
      </c>
      <c r="J453" s="10">
        <v>27</v>
      </c>
      <c r="K453" s="10">
        <v>28.343</v>
      </c>
      <c r="L453" s="10">
        <v>26.164999999999999</v>
      </c>
      <c r="M453" s="10">
        <v>27.640999999999998</v>
      </c>
      <c r="N453" s="10">
        <v>28.695</v>
      </c>
      <c r="O453" s="10">
        <v>28.943999999999999</v>
      </c>
      <c r="P453" s="10">
        <v>29.666</v>
      </c>
      <c r="Q453" s="10">
        <v>32.103999999999999</v>
      </c>
      <c r="R453" s="10">
        <v>26.63</v>
      </c>
      <c r="S453" s="10">
        <f>IFERROR(VLOOKUP('Leveranser per nät'!A453,'lev 2012'!$B$2:$E$445,4,FALSE),"")</f>
        <v>30</v>
      </c>
      <c r="T453" s="10">
        <f>IFERROR(VLOOKUP('Leveranser per nät'!A453,'lev 2013'!$B$2:$E$445,4,FALSE),"")</f>
        <v>28.925000000000001</v>
      </c>
      <c r="U453" s="10">
        <f>IFERROR(VLOOKUP('Leveranser per nät'!A453,'lev 2014'!$B$2:$E$432,4,FALSE),"")</f>
        <v>28.052</v>
      </c>
      <c r="V453" s="10">
        <f>IFERROR(INDEX(Levererat_2015[Leveranser till eget nät],MATCH($A453,Levererat_2015[Indexnamn],0)),"")</f>
        <v>27.04</v>
      </c>
      <c r="W453" s="10">
        <f>IFERROR(INDEX(Levererat_2016[Leveranser till eget nät],MATCH($A453,Levererat_2016[Indexnamn],0)),"")</f>
        <v>30.007000000000001</v>
      </c>
      <c r="X453" s="10">
        <f>IFERROR(INDEX(Tabell4[Leveranser till eget nät],MATCH('Leveranser per nät'!A453,Tabell4[[Finns i listan ]],0)),"")</f>
        <v>31.149000000000001</v>
      </c>
      <c r="Y453" s="10">
        <f>IFERROR(INDEX(Tabell6[Kolumn1],MATCH($A453,Tabell6[Indexnmamn],0)),"")</f>
        <v>30.95</v>
      </c>
      <c r="Z453" s="10">
        <v>32.44</v>
      </c>
      <c r="AA453" s="10">
        <v>28.146000000000001</v>
      </c>
      <c r="AB453" s="10">
        <f>VLOOKUP(A453,Tabell9[[Indexnamn]:[Kolumn1]],3,FALSE)</f>
        <v>33.114699999999999</v>
      </c>
      <c r="AC453" s="10">
        <f>VLOOKUP($A453,'Lev 2022'!$K$2:$L$474,2,FALSE)</f>
        <v>30.983499999999999</v>
      </c>
      <c r="AG453" s="2">
        <f t="shared" ref="AG453:AG516" si="17">AC453-AB453</f>
        <v>-2.1311999999999998</v>
      </c>
      <c r="AH453" s="103">
        <f t="shared" ref="AH453:AH516" si="18">AG453/AB453</f>
        <v>-6.4358124941491235E-2</v>
      </c>
    </row>
    <row r="454" spans="1:34" s="77" customFormat="1" x14ac:dyDescent="0.25">
      <c r="A454" s="5" t="s">
        <v>238</v>
      </c>
      <c r="B454" s="5" t="str">
        <f>VLOOKUP(A454,'Korrigerade leveranser GD'!$A$4:$B$482,2,FALSE)</f>
        <v>Vadstena</v>
      </c>
      <c r="C454" s="69"/>
      <c r="D454" s="69"/>
      <c r="E454" s="69"/>
      <c r="F454" s="69"/>
      <c r="G454" s="69"/>
      <c r="H454" s="69"/>
      <c r="I454" s="69"/>
      <c r="J454" s="69">
        <v>0</v>
      </c>
      <c r="K454" s="69">
        <v>25.818000000000001</v>
      </c>
      <c r="L454" s="69">
        <v>25.768000000000001</v>
      </c>
      <c r="M454" s="69">
        <v>28.661000000000001</v>
      </c>
      <c r="N454" s="69">
        <v>32.633000000000003</v>
      </c>
      <c r="O454" s="69">
        <v>33.012</v>
      </c>
      <c r="P454" s="69">
        <v>37.097000000000001</v>
      </c>
      <c r="Q454" s="69">
        <v>43.567</v>
      </c>
      <c r="R454" s="69">
        <v>35.9</v>
      </c>
      <c r="S454" s="69">
        <v>38.6</v>
      </c>
      <c r="T454" s="69">
        <f>IFERROR(VLOOKUP('Leveranser per nät'!A454,'lev 2013'!$B$2:$E$445,4,FALSE),"")</f>
        <v>37.1</v>
      </c>
      <c r="U454" s="69">
        <f>IFERROR(VLOOKUP('Leveranser per nät'!A454,'lev 2014'!$B$2:$E$432,4,FALSE),"")</f>
        <v>33.799999999999997</v>
      </c>
      <c r="V454" s="69">
        <f>IFERROR(INDEX(Levererat_2015[Leveranser till eget nät],MATCH($A454,Levererat_2015[Indexnamn],0)),"")</f>
        <v>34.9</v>
      </c>
      <c r="W454" s="69">
        <f>IFERROR(INDEX(Levererat_2016[Leveranser till eget nät],MATCH($A454,Levererat_2016[Indexnamn],0)),"")</f>
        <v>38</v>
      </c>
      <c r="X454" s="69">
        <v>35.200000000000003</v>
      </c>
      <c r="Y454" s="69">
        <v>37.1</v>
      </c>
      <c r="Z454" s="69">
        <v>35.9</v>
      </c>
      <c r="AA454" s="58">
        <v>33.200000000000003</v>
      </c>
      <c r="AB454" s="10">
        <f>VLOOKUP(A454,Tabell9[[Indexnamn]:[Kolumn1]],3,FALSE)</f>
        <v>38</v>
      </c>
      <c r="AC454" s="10">
        <f>VLOOKUP($A454,'Lev 2022'!$K$2:$L$474,2,FALSE)</f>
        <v>35.200000000000003</v>
      </c>
      <c r="AD454"/>
      <c r="AE454"/>
      <c r="AG454" s="2">
        <f t="shared" si="17"/>
        <v>-2.7999999999999972</v>
      </c>
      <c r="AH454" s="103">
        <f t="shared" si="18"/>
        <v>-7.3684210526315713E-2</v>
      </c>
    </row>
    <row r="455" spans="1:34" x14ac:dyDescent="0.25">
      <c r="A455" t="s">
        <v>328</v>
      </c>
      <c r="B455" t="str">
        <f>VLOOKUP(A455,'Korrigerade leveranser GD'!$A$4:$B$482,2,FALSE)</f>
        <v>Vaggeryd</v>
      </c>
      <c r="C455" s="10">
        <v>16</v>
      </c>
      <c r="D455" s="10">
        <v>16.399999999999999</v>
      </c>
      <c r="E455" s="10">
        <v>16</v>
      </c>
      <c r="F455" s="10">
        <v>16</v>
      </c>
      <c r="G455" s="10">
        <v>14</v>
      </c>
      <c r="H455" s="10">
        <v>18</v>
      </c>
      <c r="I455" s="10">
        <v>20</v>
      </c>
      <c r="J455" s="10">
        <v>21</v>
      </c>
      <c r="K455" s="10">
        <v>20.786999999999999</v>
      </c>
      <c r="L455" s="10">
        <v>23.021999999999998</v>
      </c>
      <c r="M455" s="10">
        <v>20.5</v>
      </c>
      <c r="N455" s="10">
        <v>23.8</v>
      </c>
      <c r="O455" s="10">
        <v>23.9</v>
      </c>
      <c r="P455" s="10">
        <v>25.9</v>
      </c>
      <c r="Q455" s="10">
        <v>31.4</v>
      </c>
      <c r="R455" s="10">
        <v>25.4</v>
      </c>
      <c r="S455" s="10">
        <f>IFERROR(VLOOKUP('Leveranser per nät'!A455,'lev 2012'!$B$2:$E$445,4,FALSE),"")</f>
        <v>30</v>
      </c>
      <c r="T455" s="58">
        <v>29</v>
      </c>
      <c r="U455" s="58">
        <v>26</v>
      </c>
      <c r="V455" s="10">
        <f>IFERROR(INDEX(Levererat_2015[Leveranser till eget nät],MATCH($A455,Levererat_2015[Indexnamn],0)),"")</f>
        <v>27.3</v>
      </c>
      <c r="W455" s="10">
        <f>IFERROR(INDEX(Levererat_2016[Leveranser till eget nät],MATCH($A455,Levererat_2016[Indexnamn],0)),"")</f>
        <v>29.574999999999999</v>
      </c>
      <c r="X455" s="10">
        <f>IFERROR(INDEX(Tabell4[Leveranser till eget nät],MATCH('Leveranser per nät'!A455,Tabell4[[Finns i listan ]],0)),"")</f>
        <v>29.06</v>
      </c>
      <c r="Y455" s="10">
        <f>IFERROR(INDEX(Tabell6[Kolumn1],MATCH($A455,Tabell6[Indexnmamn],0)),"")</f>
        <v>30.187000000000001</v>
      </c>
      <c r="Z455" s="10">
        <v>28.105</v>
      </c>
      <c r="AA455" s="10">
        <v>27.492999999999999</v>
      </c>
      <c r="AB455" s="10">
        <f>VLOOKUP(A455,Tabell9[[Indexnamn]:[Kolumn1]],3,FALSE)</f>
        <v>33.408000000000001</v>
      </c>
      <c r="AC455" s="10">
        <f>VLOOKUP($A455,'Lev 2022'!$K$2:$L$474,2,FALSE)</f>
        <v>29.428000000000001</v>
      </c>
      <c r="AG455" s="2">
        <f t="shared" si="17"/>
        <v>-3.9800000000000004</v>
      </c>
      <c r="AH455" s="103">
        <f t="shared" si="18"/>
        <v>-0.11913314176245211</v>
      </c>
    </row>
    <row r="456" spans="1:34" x14ac:dyDescent="0.25">
      <c r="A456" t="s">
        <v>284</v>
      </c>
      <c r="B456" t="str">
        <f>VLOOKUP(A456,'Korrigerade leveranser GD'!$A$4:$B$482,2,FALSE)</f>
        <v>Trosa</v>
      </c>
      <c r="C456" s="10"/>
      <c r="D456" s="10"/>
      <c r="E456" s="10"/>
      <c r="F456" s="10"/>
      <c r="G456" s="10"/>
      <c r="H456" s="10"/>
      <c r="I456" s="10"/>
      <c r="J456" s="10"/>
      <c r="K456" s="10"/>
      <c r="L456" s="10"/>
      <c r="M456" s="10"/>
      <c r="N456" s="10">
        <v>0</v>
      </c>
      <c r="O456" s="10">
        <v>7.4</v>
      </c>
      <c r="P456" s="10">
        <v>10.32</v>
      </c>
      <c r="Q456" s="10">
        <v>9.1199999999999992</v>
      </c>
      <c r="R456" s="10">
        <v>7.2</v>
      </c>
      <c r="S456" s="10">
        <f>IFERROR(VLOOKUP('Leveranser per nät'!A456,'lev 2012'!$B$2:$E$445,4,FALSE),"")</f>
        <v>6.95</v>
      </c>
      <c r="T456" s="10">
        <f>IFERROR(VLOOKUP('Leveranser per nät'!A456,'lev 2013'!$B$2:$E$445,4,FALSE),"")</f>
        <v>6.18</v>
      </c>
      <c r="U456" s="10">
        <f>IFERROR(VLOOKUP('Leveranser per nät'!A456,'lev 2014'!$B$2:$E$432,4,FALSE),"")</f>
        <v>6.64</v>
      </c>
      <c r="V456" s="10">
        <f>IFERROR(INDEX(Levererat_2015[Leveranser till eget nät],MATCH($A456,Levererat_2015[Indexnamn],0)),"")</f>
        <v>7.44</v>
      </c>
      <c r="W456" s="10">
        <f>IFERROR(INDEX(Levererat_2016[Leveranser till eget nät],MATCH($A456,Levererat_2016[Indexnamn],0)),"")</f>
        <v>8.5399999999999991</v>
      </c>
      <c r="X456" s="10">
        <f>IFERROR(INDEX(Tabell4[Leveranser till eget nät],MATCH('Leveranser per nät'!A456,Tabell4[[Finns i listan ]],0)),"")</f>
        <v>8.91</v>
      </c>
      <c r="Y456" s="10">
        <f>IFERROR(INDEX(Tabell6[Kolumn1],MATCH($A456,Tabell6[Indexnmamn],0)),"")</f>
        <v>9.2100000000000009</v>
      </c>
      <c r="Z456" s="10">
        <v>9.43</v>
      </c>
      <c r="AA456" s="10">
        <v>8.93</v>
      </c>
      <c r="AB456" s="10">
        <f>VLOOKUP(A456,Tabell9[[Indexnamn]:[Kolumn1]],3,FALSE)</f>
        <v>10.54</v>
      </c>
      <c r="AC456" s="10">
        <f>VLOOKUP($A456,'Lev 2022'!$K$2:$L$474,2,FALSE)</f>
        <v>9.9</v>
      </c>
      <c r="AG456" s="2">
        <f t="shared" si="17"/>
        <v>-0.63999999999999879</v>
      </c>
      <c r="AH456" s="103">
        <f t="shared" si="18"/>
        <v>-6.0721062618595716E-2</v>
      </c>
    </row>
    <row r="457" spans="1:34" x14ac:dyDescent="0.25">
      <c r="A457" s="3" t="s">
        <v>14</v>
      </c>
      <c r="B457" t="s">
        <v>138</v>
      </c>
      <c r="C457" s="10">
        <v>0</v>
      </c>
      <c r="D457" s="10">
        <v>39.72</v>
      </c>
      <c r="E457" s="10">
        <v>40</v>
      </c>
      <c r="F457" s="10">
        <v>0</v>
      </c>
      <c r="G457" s="10"/>
      <c r="H457" s="10"/>
      <c r="I457" s="10"/>
      <c r="J457" s="10"/>
      <c r="K457" s="10"/>
      <c r="L457" s="10"/>
      <c r="M457" s="10"/>
      <c r="N457" s="10"/>
      <c r="O457" s="10"/>
      <c r="P457" s="10"/>
      <c r="Q457" s="10"/>
      <c r="R457" s="10"/>
      <c r="S457" s="10"/>
      <c r="T457" s="10" t="str">
        <f>IFERROR(VLOOKUP('Leveranser per nät'!A457,'lev 2013'!$B$2:$E$445,4,FALSE),"")</f>
        <v/>
      </c>
      <c r="U457" s="10" t="str">
        <f>IFERROR(VLOOKUP('Leveranser per nät'!A457,'lev 2014'!$B$2:$E$432,4,FALSE),"")</f>
        <v/>
      </c>
      <c r="V457" s="10" t="str">
        <f>IFERROR(INDEX(Levererat_2015[Leveranser till eget nät],MATCH($A457,Levererat_2015[Indexnamn],0)),"")</f>
        <v/>
      </c>
      <c r="W457" s="10" t="str">
        <f>IFERROR(INDEX(Levererat_2016[Leveranser till eget nät],MATCH($A457,Levererat_2016[Indexnamn],0)),"")</f>
        <v/>
      </c>
      <c r="X457" s="10" t="str">
        <f>IFERROR(INDEX(Tabell4[Leveranser till eget nät],MATCH('Leveranser per nät'!A457,Tabell4[[Finns i listan ]],0)),"")</f>
        <v/>
      </c>
      <c r="Y457" s="10" t="str">
        <f>IFERROR(INDEX(Tabell6[Kolumn1],MATCH($A457,Tabell6[Indexnmamn],0)),"")</f>
        <v/>
      </c>
      <c r="Z457" s="10"/>
      <c r="AA457" s="10" t="s">
        <v>779</v>
      </c>
      <c r="AB457" s="10"/>
      <c r="AC457" s="10"/>
      <c r="AG457" s="2"/>
      <c r="AH457" s="103"/>
    </row>
    <row r="458" spans="1:34" x14ac:dyDescent="0.25">
      <c r="A458" t="s">
        <v>212</v>
      </c>
      <c r="B458" t="str">
        <f>VLOOKUP(A458,'Korrigerade leveranser GD'!$A$4:$B$482,2,FALSE)</f>
        <v>Valdermarsvik</v>
      </c>
      <c r="C458" s="10"/>
      <c r="D458" s="10"/>
      <c r="E458" s="10"/>
      <c r="F458" s="10"/>
      <c r="G458" s="10"/>
      <c r="H458" s="10">
        <v>0</v>
      </c>
      <c r="I458" s="10">
        <v>11.529</v>
      </c>
      <c r="J458" s="10">
        <v>12.907999999999999</v>
      </c>
      <c r="K458" s="10">
        <v>12.771000000000001</v>
      </c>
      <c r="L458" s="10">
        <v>12.5291476273316</v>
      </c>
      <c r="M458" s="10">
        <v>15.491</v>
      </c>
      <c r="N458" s="10">
        <v>3.5</v>
      </c>
      <c r="O458" s="10">
        <v>14.9</v>
      </c>
      <c r="P458" s="10">
        <v>13.7</v>
      </c>
      <c r="Q458" s="10">
        <v>15.88</v>
      </c>
      <c r="R458" s="58">
        <v>12.9</v>
      </c>
      <c r="S458" s="10">
        <v>13.8</v>
      </c>
      <c r="T458" s="10">
        <v>20.399999999999999</v>
      </c>
      <c r="U458" s="10">
        <v>12.3</v>
      </c>
      <c r="V458" s="10">
        <v>13</v>
      </c>
      <c r="W458" s="10">
        <v>13.4</v>
      </c>
      <c r="X458" s="58">
        <v>13.8</v>
      </c>
      <c r="Y458" s="10">
        <f>IFERROR(INDEX(Tabell6[Kolumn1],MATCH($A458,Tabell6[Indexnmamn],0)),"")</f>
        <v>13.42</v>
      </c>
      <c r="Z458" s="10">
        <v>12.760999999999999</v>
      </c>
      <c r="AA458" s="10">
        <v>11.576000000000001</v>
      </c>
      <c r="AB458" s="10">
        <f>VLOOKUP(A458,Tabell9[[Indexnamn]:[Kolumn1]],3,FALSE)</f>
        <v>13.478999999999999</v>
      </c>
      <c r="AC458" s="10">
        <f>VLOOKUP($A458,'Lev 2022'!$K$2:$L$474,2,FALSE)</f>
        <v>12.164999999999999</v>
      </c>
      <c r="AG458" s="2">
        <f t="shared" si="17"/>
        <v>-1.3140000000000001</v>
      </c>
      <c r="AH458" s="103">
        <f t="shared" si="18"/>
        <v>-9.748497663031383E-2</v>
      </c>
    </row>
    <row r="459" spans="1:34" s="70" customFormat="1" x14ac:dyDescent="0.25">
      <c r="A459" s="70" t="s">
        <v>169</v>
      </c>
      <c r="B459" s="70" t="str">
        <f>VLOOKUP(A459,'Korrigerade leveranser GD'!$A$4:$B$482,2,FALSE)</f>
        <v>Katrineholm</v>
      </c>
      <c r="C459" s="76"/>
      <c r="D459" s="76"/>
      <c r="E459" s="76"/>
      <c r="F459" s="76"/>
      <c r="G459" s="76"/>
      <c r="H459" s="76"/>
      <c r="I459" s="76"/>
      <c r="J459" s="76">
        <v>0</v>
      </c>
      <c r="K459" s="76">
        <v>1.423</v>
      </c>
      <c r="L459" s="76">
        <v>1.6279999999999999</v>
      </c>
      <c r="M459" s="76">
        <v>1.64</v>
      </c>
      <c r="N459" s="76">
        <v>1.1599999999999999</v>
      </c>
      <c r="O459" s="76">
        <v>1.1599999999999999</v>
      </c>
      <c r="P459" s="76">
        <v>0</v>
      </c>
      <c r="Q459" s="76"/>
      <c r="R459" s="76"/>
      <c r="S459" s="76">
        <v>2.6</v>
      </c>
      <c r="T459" s="76">
        <v>2.2000000000000002</v>
      </c>
      <c r="U459" s="76">
        <v>5.2</v>
      </c>
      <c r="V459" s="76">
        <v>12.7</v>
      </c>
      <c r="W459" s="76">
        <v>12.8</v>
      </c>
      <c r="X459" s="76">
        <v>13.7</v>
      </c>
      <c r="Y459" s="76">
        <v>13.9</v>
      </c>
      <c r="Z459" s="76">
        <v>6.3</v>
      </c>
      <c r="AA459" s="76">
        <v>0</v>
      </c>
      <c r="AB459" s="76"/>
      <c r="AC459" s="10"/>
      <c r="AG459" s="2"/>
      <c r="AH459" s="103"/>
    </row>
    <row r="460" spans="1:34" x14ac:dyDescent="0.25">
      <c r="A460" t="s">
        <v>59</v>
      </c>
      <c r="B460" t="s">
        <v>59</v>
      </c>
      <c r="C460" s="10">
        <v>50.636000000000003</v>
      </c>
      <c r="D460" s="10">
        <v>47.68</v>
      </c>
      <c r="E460" s="10">
        <v>47</v>
      </c>
      <c r="F460" s="10">
        <v>46</v>
      </c>
      <c r="G460" s="10">
        <v>46</v>
      </c>
      <c r="H460" s="10">
        <v>50</v>
      </c>
      <c r="I460" s="10">
        <v>55.576000000000001</v>
      </c>
      <c r="J460" s="10">
        <v>58</v>
      </c>
      <c r="K460" s="10">
        <v>58.219000000000001</v>
      </c>
      <c r="L460" s="10">
        <v>56.432000000000002</v>
      </c>
      <c r="M460" s="10">
        <v>49.2</v>
      </c>
      <c r="N460" s="10">
        <v>49.670999999999999</v>
      </c>
      <c r="O460" s="10">
        <v>42.5</v>
      </c>
      <c r="P460" s="10">
        <v>56</v>
      </c>
      <c r="Q460" s="10">
        <v>68</v>
      </c>
      <c r="R460" s="10">
        <v>56.46</v>
      </c>
      <c r="S460" s="10">
        <f>IFERROR(VLOOKUP('Leveranser per nät'!A460,'lev 2012'!$B$2:$E$445,4,FALSE),"")</f>
        <v>63</v>
      </c>
      <c r="T460" s="10">
        <v>59.9</v>
      </c>
      <c r="U460" s="10">
        <f>IFERROR(VLOOKUP('Leveranser per nät'!A460,'lev 2014'!$B$2:$E$432,4,FALSE),"")</f>
        <v>55.6</v>
      </c>
      <c r="V460" s="10">
        <f>IFERROR(INDEX(Levererat_2015[Leveranser till eget nät],MATCH($A460,Levererat_2015[Indexnamn],0)),"")</f>
        <v>55.6</v>
      </c>
      <c r="W460" s="10">
        <f>IFERROR(INDEX(Levererat_2016[Leveranser till eget nät],MATCH($A460,Levererat_2016[Indexnamn],0)),"")</f>
        <v>58.9</v>
      </c>
      <c r="X460" s="10">
        <v>60.7</v>
      </c>
      <c r="Y460" s="10">
        <v>61</v>
      </c>
      <c r="Z460" s="10">
        <v>61</v>
      </c>
      <c r="AA460" s="10">
        <v>54.7</v>
      </c>
      <c r="AB460" s="10">
        <f>VLOOKUP(A460,Tabell9[[Indexnamn]:[Kolumn1]],3,FALSE)</f>
        <v>65.14</v>
      </c>
      <c r="AC460" s="10">
        <f>VLOOKUP($A460,'Lev 2022'!$K$2:$L$474,2,FALSE)</f>
        <v>64</v>
      </c>
      <c r="AG460" s="2">
        <f t="shared" si="17"/>
        <v>-1.1400000000000006</v>
      </c>
      <c r="AH460" s="103">
        <f t="shared" si="18"/>
        <v>-1.7500767577525337E-2</v>
      </c>
    </row>
    <row r="461" spans="1:34" s="70" customFormat="1" x14ac:dyDescent="0.25">
      <c r="A461" s="70" t="s">
        <v>235</v>
      </c>
      <c r="B461" s="70" t="str">
        <f>VLOOKUP(A461,'Korrigerade leveranser GD'!$A$4:$B$482,2,FALSE)</f>
        <v>Vansbro</v>
      </c>
      <c r="C461" s="76"/>
      <c r="D461" s="76"/>
      <c r="E461" s="76"/>
      <c r="F461" s="76"/>
      <c r="G461" s="76"/>
      <c r="H461" s="76"/>
      <c r="I461" s="76"/>
      <c r="J461" s="76"/>
      <c r="K461" s="76"/>
      <c r="L461" s="76"/>
      <c r="M461" s="76"/>
      <c r="N461" s="76">
        <v>0</v>
      </c>
      <c r="O461" s="76">
        <v>17.8</v>
      </c>
      <c r="P461" s="76">
        <v>19.257999999999999</v>
      </c>
      <c r="Q461" s="76">
        <v>22.12</v>
      </c>
      <c r="R461" s="76">
        <v>20.7</v>
      </c>
      <c r="S461" s="76">
        <f>IFERROR(VLOOKUP('Leveranser per nät'!A461,'lev 2012'!$B$2:$E$445,4,FALSE),"")</f>
        <v>19.82</v>
      </c>
      <c r="T461" s="76">
        <f>IFERROR(VLOOKUP('Leveranser per nät'!A461,'lev 2013'!$B$2:$E$445,4,FALSE),"")</f>
        <v>18.399999999999999</v>
      </c>
      <c r="U461" s="76">
        <f>IFERROR(VLOOKUP('Leveranser per nät'!A461,'lev 2014'!$B$2:$E$432,4,FALSE),"")</f>
        <v>16.536000000000001</v>
      </c>
      <c r="V461" s="76">
        <f>IFERROR(INDEX(Levererat_2015[Leveranser till eget nät],MATCH($A461,Levererat_2015[Indexnamn],0)),"")</f>
        <v>17.041</v>
      </c>
      <c r="W461" s="76">
        <v>18.600000000000001</v>
      </c>
      <c r="X461" s="76">
        <v>18</v>
      </c>
      <c r="Y461" s="76" t="str">
        <f>IFERROR(INDEX(Tabell6[Kolumn1],MATCH($A461,Tabell6[Indexnmamn],0)),"")</f>
        <v/>
      </c>
      <c r="Z461" s="76"/>
      <c r="AA461" s="76" t="s">
        <v>779</v>
      </c>
      <c r="AB461" s="76"/>
      <c r="AC461" s="10"/>
      <c r="AG461" s="2"/>
      <c r="AH461" s="103"/>
    </row>
    <row r="462" spans="1:34" x14ac:dyDescent="0.25">
      <c r="A462" t="s">
        <v>330</v>
      </c>
      <c r="B462" t="str">
        <f>VLOOKUP(A462,'Korrigerade leveranser GD'!$A$4:$B$482,2,FALSE)</f>
        <v>Jokkmokk</v>
      </c>
      <c r="C462" s="10"/>
      <c r="D462" s="10">
        <v>0</v>
      </c>
      <c r="E462" s="10">
        <v>20.5</v>
      </c>
      <c r="F462" s="10">
        <v>20.5</v>
      </c>
      <c r="G462" s="10">
        <v>19</v>
      </c>
      <c r="H462" s="56">
        <f>(G462-I462)/2+I462</f>
        <v>20.643000000000001</v>
      </c>
      <c r="I462" s="10">
        <v>22.286000000000001</v>
      </c>
      <c r="J462" s="10">
        <f>($I462-$M462)/4*3+$M462</f>
        <v>22.820250000000001</v>
      </c>
      <c r="K462" s="10">
        <f>($I462-$M462)/4*2+$M462</f>
        <v>23.354500000000002</v>
      </c>
      <c r="L462" s="10">
        <f t="shared" ref="L462" si="19">($I462-$M462)/4+$M462</f>
        <v>23.888749999999998</v>
      </c>
      <c r="M462" s="10">
        <v>24.422999999999998</v>
      </c>
      <c r="N462" s="10">
        <v>24.422999999999998</v>
      </c>
      <c r="O462" s="10">
        <v>26</v>
      </c>
      <c r="P462" s="10">
        <v>29</v>
      </c>
      <c r="Q462" s="10">
        <v>36.6</v>
      </c>
      <c r="R462" s="58">
        <v>27.7</v>
      </c>
      <c r="S462" s="10">
        <f>IFERROR(VLOOKUP('Leveranser per nät'!A462,'lev 2012'!$B$2:$E$445,4,FALSE),"")</f>
        <v>33</v>
      </c>
      <c r="T462" s="10">
        <f>IFERROR(VLOOKUP('Leveranser per nät'!A462,'lev 2013'!$B$2:$E$445,4,FALSE),"")</f>
        <v>32.4</v>
      </c>
      <c r="U462" s="10">
        <f>IFERROR(VLOOKUP('Leveranser per nät'!A462,'lev 2014'!$B$2:$E$432,4,FALSE),"")</f>
        <v>35.74</v>
      </c>
      <c r="V462" s="10">
        <f>IFERROR(INDEX(Levererat_2015[Leveranser till eget nät],MATCH($A462,Levererat_2015[Indexnamn],0)),"")</f>
        <v>37.76</v>
      </c>
      <c r="W462" s="10">
        <f>IFERROR(INDEX(Levererat_2016[Leveranser till eget nät],MATCH($A462,Levererat_2016[Indexnamn],0)),"")</f>
        <v>35.68</v>
      </c>
      <c r="X462" s="10">
        <f>IFERROR(INDEX(Tabell4[Leveranser till eget nät],MATCH('Leveranser per nät'!A462,Tabell4[[Finns i listan ]],0)),"")</f>
        <v>38.03</v>
      </c>
      <c r="Y462" s="10">
        <f>IFERROR(INDEX(Tabell6[Kolumn1],MATCH($A462,Tabell6[Indexnmamn],0)),"")</f>
        <v>31.73</v>
      </c>
      <c r="Z462" s="10">
        <v>34.17</v>
      </c>
      <c r="AA462" s="10">
        <v>29.5</v>
      </c>
      <c r="AB462" s="10">
        <f>VLOOKUP(A462,Tabell9[[Indexnamn]:[Kolumn1]],3,FALSE)</f>
        <v>35.85</v>
      </c>
      <c r="AC462" s="10">
        <f>VLOOKUP($A462,'Lev 2022'!$K$2:$L$474,2,FALSE)</f>
        <v>31.091000000000001</v>
      </c>
      <c r="AG462" s="2">
        <f t="shared" si="17"/>
        <v>-4.7590000000000003</v>
      </c>
      <c r="AH462" s="103">
        <f t="shared" si="18"/>
        <v>-0.13274755927475593</v>
      </c>
    </row>
    <row r="463" spans="1:34" x14ac:dyDescent="0.25">
      <c r="A463" t="s">
        <v>332</v>
      </c>
      <c r="B463" t="str">
        <f>VLOOKUP(A463,'Korrigerade leveranser GD'!$A$4:$B$482,2,FALSE)</f>
        <v>Varberg</v>
      </c>
      <c r="C463" s="10">
        <v>7</v>
      </c>
      <c r="D463" s="10">
        <v>7.97</v>
      </c>
      <c r="E463" s="10">
        <v>9</v>
      </c>
      <c r="F463" s="10">
        <v>8</v>
      </c>
      <c r="G463" s="10">
        <v>9</v>
      </c>
      <c r="H463" s="10">
        <v>21</v>
      </c>
      <c r="I463" s="10">
        <v>52</v>
      </c>
      <c r="J463" s="10">
        <v>61</v>
      </c>
      <c r="K463" s="10">
        <v>78.599999999999994</v>
      </c>
      <c r="L463" s="10">
        <v>94.3</v>
      </c>
      <c r="M463" s="10">
        <v>103.2</v>
      </c>
      <c r="N463" s="10">
        <v>109.3</v>
      </c>
      <c r="O463" s="10">
        <v>119.6</v>
      </c>
      <c r="P463" s="10">
        <v>126.1</v>
      </c>
      <c r="Q463" s="10">
        <v>160.19999999999999</v>
      </c>
      <c r="R463" s="10">
        <v>134.19999999999999</v>
      </c>
      <c r="S463" s="10">
        <f>IFERROR(VLOOKUP('Leveranser per nät'!A463,'lev 2012'!$B$2:$E$445,4,FALSE),"")</f>
        <v>153</v>
      </c>
      <c r="T463" s="10">
        <f>IFERROR(VLOOKUP('Leveranser per nät'!A463,'lev 2013'!$B$2:$E$445,4,FALSE),"")</f>
        <v>162</v>
      </c>
      <c r="U463" s="10">
        <f>IFERROR(VLOOKUP('Leveranser per nät'!A463,'lev 2014'!$B$2:$E$432,4,FALSE),"")</f>
        <v>134.76</v>
      </c>
      <c r="V463" s="10">
        <f>IFERROR(INDEX(Levererat_2015[Leveranser till eget nät],MATCH($A463,Levererat_2015[Indexnamn],0)),"")</f>
        <v>139.10400000000001</v>
      </c>
      <c r="W463" s="10">
        <f>IFERROR(INDEX(Levererat_2016[Leveranser till eget nät],MATCH($A463,Levererat_2016[Indexnamn],0)),"")</f>
        <v>150.43100000000001</v>
      </c>
      <c r="X463" s="10">
        <f>IFERROR(INDEX(Tabell4[Leveranser till eget nät],MATCH('Leveranser per nät'!A463,Tabell4[[Finns i listan ]],0)),"")</f>
        <v>150.11500000000001</v>
      </c>
      <c r="Y463" s="10">
        <f>IFERROR(INDEX(Tabell6[Kolumn1],MATCH($A463,Tabell6[Indexnmamn],0)),"")</f>
        <v>152.30000000000001</v>
      </c>
      <c r="Z463" s="10">
        <v>149</v>
      </c>
      <c r="AA463" s="10">
        <v>141.15700000000001</v>
      </c>
      <c r="AB463" s="10">
        <f>VLOOKUP(A463,Tabell9[[Indexnamn]:[Kolumn1]],3,FALSE)</f>
        <v>168.05</v>
      </c>
      <c r="AC463" s="10">
        <f>VLOOKUP($A463,'Lev 2022'!$K$2:$L$474,2,FALSE)</f>
        <v>157.72999999999999</v>
      </c>
      <c r="AG463" s="2">
        <f t="shared" si="17"/>
        <v>-10.320000000000022</v>
      </c>
      <c r="AH463" s="103">
        <f t="shared" si="18"/>
        <v>-6.1410294555192028E-2</v>
      </c>
    </row>
    <row r="464" spans="1:34" x14ac:dyDescent="0.25">
      <c r="A464" t="s">
        <v>58</v>
      </c>
      <c r="B464" t="s">
        <v>58</v>
      </c>
      <c r="C464" s="10">
        <v>2.7</v>
      </c>
      <c r="D464" s="10">
        <v>2.5299999999999998</v>
      </c>
      <c r="E464" s="10">
        <v>2.645</v>
      </c>
      <c r="F464" s="10">
        <v>2</v>
      </c>
      <c r="G464" s="10">
        <v>2.25</v>
      </c>
      <c r="H464" s="10">
        <v>2.25</v>
      </c>
      <c r="I464" s="10">
        <v>0</v>
      </c>
      <c r="J464" s="10">
        <v>0</v>
      </c>
      <c r="K464" s="10">
        <v>0</v>
      </c>
      <c r="L464" s="10">
        <v>0</v>
      </c>
      <c r="M464" s="10">
        <v>26.2</v>
      </c>
      <c r="N464" s="10">
        <v>25.1</v>
      </c>
      <c r="O464" s="10">
        <v>23.7</v>
      </c>
      <c r="P464" s="10">
        <v>24</v>
      </c>
      <c r="Q464" s="10">
        <v>27</v>
      </c>
      <c r="R464" s="10">
        <v>22.91</v>
      </c>
      <c r="S464" s="10">
        <f>IFERROR(VLOOKUP('Leveranser per nät'!A464,'lev 2012'!$B$2:$E$445,4,FALSE),"")</f>
        <v>24</v>
      </c>
      <c r="T464" s="56">
        <f>(S464-U464)/2+U464</f>
        <v>23.1</v>
      </c>
      <c r="U464" s="10">
        <f>IFERROR(VLOOKUP('Leveranser per nät'!A464,'lev 2014'!$B$2:$E$432,4,FALSE),"")</f>
        <v>22.2</v>
      </c>
      <c r="V464" s="10">
        <f>IFERROR(INDEX(Levererat_2015[Leveranser till eget nät],MATCH($A464,Levererat_2015[Indexnamn],0)),"")</f>
        <v>22.6</v>
      </c>
      <c r="W464" s="10">
        <f>IFERROR(INDEX(Levererat_2016[Leveranser till eget nät],MATCH($A464,Levererat_2016[Indexnamn],0)),"")</f>
        <v>25.1</v>
      </c>
      <c r="X464" s="10">
        <f>IFERROR(INDEX(Tabell4[Leveranser till eget nät],MATCH('Leveranser per nät'!A464,Tabell4[[Finns i listan ]],0)),"")</f>
        <v>25.257000000000001</v>
      </c>
      <c r="Y464" s="10">
        <f>IFERROR(INDEX(Tabell6[Kolumn1],MATCH($A464,Tabell6[Indexnmamn],0)),"")</f>
        <v>23.6</v>
      </c>
      <c r="Z464" s="10">
        <v>22.984000000000002</v>
      </c>
      <c r="AA464" s="10">
        <v>21.326000000000001</v>
      </c>
      <c r="AB464" s="10">
        <f>VLOOKUP(A464,Tabell9[[Indexnamn]:[Kolumn1]],3,FALSE)</f>
        <v>24.061</v>
      </c>
      <c r="AC464" s="10">
        <f>VLOOKUP($A464,'Lev 2022'!$K$2:$L$474,2,FALSE)</f>
        <v>22.521999999999998</v>
      </c>
      <c r="AG464" s="2">
        <f t="shared" si="17"/>
        <v>-1.5390000000000015</v>
      </c>
      <c r="AH464" s="103">
        <f t="shared" si="18"/>
        <v>-6.3962428826732115E-2</v>
      </c>
    </row>
    <row r="465" spans="1:34" x14ac:dyDescent="0.25">
      <c r="A465" t="s">
        <v>333</v>
      </c>
      <c r="B465" t="str">
        <f>VLOOKUP(A465,'Korrigerade leveranser GD'!$A$4:$B$482,2,FALSE)</f>
        <v>Varberg</v>
      </c>
      <c r="C465" s="10"/>
      <c r="D465" s="10"/>
      <c r="E465" s="10"/>
      <c r="F465" s="10"/>
      <c r="G465" s="10"/>
      <c r="H465" s="10"/>
      <c r="I465" s="10"/>
      <c r="J465" s="10"/>
      <c r="K465" s="10"/>
      <c r="L465" s="10">
        <v>0</v>
      </c>
      <c r="M465" s="10">
        <v>3.3</v>
      </c>
      <c r="N465" s="10">
        <v>3.9</v>
      </c>
      <c r="O465" s="10">
        <v>3.86</v>
      </c>
      <c r="P465" s="10">
        <v>4.32</v>
      </c>
      <c r="Q465" s="10">
        <v>4.54</v>
      </c>
      <c r="R465" s="10">
        <v>3.7</v>
      </c>
      <c r="S465" s="10">
        <f>IFERROR(VLOOKUP('Leveranser per nät'!A465,'lev 2012'!$B$2:$E$445,4,FALSE),"")</f>
        <v>3.98</v>
      </c>
      <c r="T465" s="10">
        <f>IFERROR(VLOOKUP('Leveranser per nät'!A465,'lev 2013'!$B$2:$E$445,4,FALSE),"")</f>
        <v>3.72</v>
      </c>
      <c r="U465" s="10">
        <f>IFERROR(VLOOKUP('Leveranser per nät'!A465,'lev 2014'!$B$2:$E$432,4,FALSE),"")</f>
        <v>2.7250000000000001</v>
      </c>
      <c r="V465" s="10">
        <f>IFERROR(INDEX(Levererat_2015[Leveranser till eget nät],MATCH($A465,Levererat_2015[Indexnamn],0)),"")</f>
        <v>3.5270000000000001</v>
      </c>
      <c r="W465" s="10">
        <f>IFERROR(INDEX(Levererat_2016[Leveranser till eget nät],MATCH($A465,Levererat_2016[Indexnamn],0)),"")</f>
        <v>3.8</v>
      </c>
      <c r="X465" s="10">
        <f>IFERROR(INDEX(Tabell4[Leveranser till eget nät],MATCH('Leveranser per nät'!A465,Tabell4[[Finns i listan ]],0)),"")</f>
        <v>3.847</v>
      </c>
      <c r="Y465" s="10">
        <f>IFERROR(INDEX(Tabell6[Kolumn1],MATCH($A465,Tabell6[Indexnmamn],0)),"")</f>
        <v>3.6349999999999998</v>
      </c>
      <c r="Z465" s="10">
        <v>3.847</v>
      </c>
      <c r="AA465" s="10">
        <v>3.4</v>
      </c>
      <c r="AB465" s="10">
        <f>VLOOKUP(A465,Tabell9[[Indexnamn]:[Kolumn1]],3,FALSE)</f>
        <v>3.86</v>
      </c>
      <c r="AC465" s="10">
        <f>VLOOKUP($A465,'Lev 2022'!$K$2:$L$474,2,FALSE)</f>
        <v>3.4060000000000001</v>
      </c>
      <c r="AG465" s="2">
        <f t="shared" si="17"/>
        <v>-0.45399999999999974</v>
      </c>
      <c r="AH465" s="103">
        <f t="shared" si="18"/>
        <v>-0.11761658031088076</v>
      </c>
    </row>
    <row r="466" spans="1:34" x14ac:dyDescent="0.25">
      <c r="A466" t="s">
        <v>192</v>
      </c>
      <c r="B466" t="str">
        <f>VLOOKUP(A466,'Korrigerade leveranser GD'!$A$4:$B$482,2,FALSE)</f>
        <v>Lindesberg</v>
      </c>
      <c r="C466" s="10">
        <v>0</v>
      </c>
      <c r="D466" s="10">
        <v>2.59</v>
      </c>
      <c r="E466" s="10">
        <v>3</v>
      </c>
      <c r="F466" s="10">
        <v>3</v>
      </c>
      <c r="G466" s="10">
        <v>5</v>
      </c>
      <c r="H466" s="10">
        <v>5</v>
      </c>
      <c r="I466" s="10">
        <v>5</v>
      </c>
      <c r="J466" s="10">
        <v>5</v>
      </c>
      <c r="K466" s="10">
        <v>4.62</v>
      </c>
      <c r="L466" s="10">
        <v>5.0830000000000002</v>
      </c>
      <c r="M466" s="10">
        <v>4.4000000000000004</v>
      </c>
      <c r="N466" s="10">
        <v>4.41</v>
      </c>
      <c r="O466" s="10">
        <v>4.0620000000000003</v>
      </c>
      <c r="P466" s="10">
        <v>4.1470000000000002</v>
      </c>
      <c r="Q466" s="10">
        <v>5.0019999999999998</v>
      </c>
      <c r="R466" s="10">
        <v>4</v>
      </c>
      <c r="S466" s="58">
        <v>4.3</v>
      </c>
      <c r="T466" s="10">
        <f>IFERROR(VLOOKUP('Leveranser per nät'!A466,'lev 2013'!$B$2:$E$445,4,FALSE),"")</f>
        <v>3.7</v>
      </c>
      <c r="U466" s="10">
        <f>IFERROR(VLOOKUP('Leveranser per nät'!A466,'lev 2014'!$B$2:$E$432,4,FALSE),"")</f>
        <v>3.319</v>
      </c>
      <c r="V466" s="10">
        <f>IFERROR(INDEX(Levererat_2015[Leveranser till eget nät],MATCH($A466,Levererat_2015[Indexnamn],0)),"")</f>
        <v>3.6</v>
      </c>
      <c r="W466" s="10">
        <f>IFERROR(INDEX(Levererat_2016[Leveranser till eget nät],MATCH($A466,Levererat_2016[Indexnamn],0)),"")</f>
        <v>3.5</v>
      </c>
      <c r="X466" s="10">
        <f>IFERROR(INDEX(Tabell4[Leveranser till eget nät],MATCH('Leveranser per nät'!A466,Tabell4[[Finns i listan ]],0)),"")</f>
        <v>3.7</v>
      </c>
      <c r="Y466" s="10">
        <f>IFERROR(INDEX(Tabell6[Kolumn1],MATCH($A466,Tabell6[Indexnmamn],0)),"")</f>
        <v>3.8</v>
      </c>
      <c r="Z466" s="10">
        <v>3.8</v>
      </c>
      <c r="AA466" s="10">
        <v>3.5</v>
      </c>
      <c r="AB466" s="10">
        <f>VLOOKUP(A466,Tabell9[[Indexnamn]:[Kolumn1]],3,FALSE)</f>
        <v>4.3</v>
      </c>
      <c r="AC466" s="10">
        <f>VLOOKUP($A466,'Lev 2022'!$K$2:$L$474,2,FALSE)</f>
        <v>3.7</v>
      </c>
      <c r="AG466" s="2">
        <f t="shared" si="17"/>
        <v>-0.59999999999999964</v>
      </c>
      <c r="AH466" s="103">
        <f t="shared" si="18"/>
        <v>-0.13953488372093015</v>
      </c>
    </row>
    <row r="467" spans="1:34" x14ac:dyDescent="0.25">
      <c r="A467" t="s">
        <v>431</v>
      </c>
      <c r="B467" t="str">
        <f>VLOOKUP(A467,'Korrigerade leveranser GD'!$A$4:$B$482,2,FALSE)</f>
        <v>Ängelholm</v>
      </c>
      <c r="C467" s="10"/>
      <c r="D467" s="10"/>
      <c r="E467" s="10"/>
      <c r="F467" s="10"/>
      <c r="G467" s="10"/>
      <c r="H467" s="10"/>
      <c r="I467" s="10"/>
      <c r="J467" s="10"/>
      <c r="K467" s="10"/>
      <c r="L467" s="10"/>
      <c r="M467" s="10"/>
      <c r="N467" s="10"/>
      <c r="O467" s="10"/>
      <c r="P467" s="10">
        <v>0</v>
      </c>
      <c r="Q467" s="10">
        <v>10.36</v>
      </c>
      <c r="R467" s="10">
        <v>8.8719999999999999</v>
      </c>
      <c r="S467" s="10">
        <f>IFERROR(VLOOKUP('Leveranser per nät'!A467,'lev 2012'!$B$2:$E$445,4,FALSE),"")</f>
        <v>10.199999999999999</v>
      </c>
      <c r="T467" s="10">
        <f>IFERROR(VLOOKUP('Leveranser per nät'!A467,'lev 2013'!$B$2:$E$445,4,FALSE),"")</f>
        <v>9.6</v>
      </c>
      <c r="U467" s="10">
        <f>IFERROR(VLOOKUP('Leveranser per nät'!A467,'lev 2014'!$B$2:$E$432,4,FALSE),"")</f>
        <v>8.58</v>
      </c>
      <c r="V467" s="10">
        <f>IFERROR(INDEX(Levererat_2015[Leveranser till eget nät],MATCH($A467,Levererat_2015[Indexnamn],0)),"")</f>
        <v>9</v>
      </c>
      <c r="W467" s="10">
        <f>IFERROR(INDEX(Levererat_2016[Leveranser till eget nät],MATCH($A467,Levererat_2016[Indexnamn],0)),"")</f>
        <v>9.1999999999999993</v>
      </c>
      <c r="X467" s="10">
        <f>IFERROR(INDEX(Tabell4[Leveranser till eget nät],MATCH('Leveranser per nät'!A467,Tabell4[[Finns i listan ]],0)),"")</f>
        <v>9.2829999999999995</v>
      </c>
      <c r="Y467" s="10">
        <f>IFERROR(INDEX(Tabell6[Kolumn1],MATCH($A467,Tabell6[Indexnmamn],0)),"")</f>
        <v>8.49</v>
      </c>
      <c r="Z467" s="10">
        <v>3.3159999999999998</v>
      </c>
      <c r="AA467" s="10">
        <v>7.3079999999999998</v>
      </c>
      <c r="AB467" s="10">
        <f>VLOOKUP(A467,Tabell9[[Indexnamn]:[Kolumn1]],3,FALSE)</f>
        <v>8.7129999999999992</v>
      </c>
      <c r="AC467" s="10">
        <f>VLOOKUP($A467,'Lev 2022'!$K$2:$L$474,2,FALSE)</f>
        <v>8.0719999999999992</v>
      </c>
      <c r="AG467" s="2">
        <f t="shared" si="17"/>
        <v>-0.64100000000000001</v>
      </c>
      <c r="AH467" s="103">
        <f t="shared" si="18"/>
        <v>-7.3568231378400101E-2</v>
      </c>
    </row>
    <row r="468" spans="1:34" x14ac:dyDescent="0.25">
      <c r="A468" s="4" t="s">
        <v>729</v>
      </c>
      <c r="B468" t="str">
        <f>VLOOKUP(A468,'Korrigerade leveranser GD'!$A$4:$B$482,2,FALSE)</f>
        <v>Falkenberg</v>
      </c>
      <c r="C468" s="10"/>
      <c r="D468" s="10"/>
      <c r="E468" s="10"/>
      <c r="F468" s="10"/>
      <c r="G468" s="10"/>
      <c r="H468" s="10"/>
      <c r="I468" s="10"/>
      <c r="J468" s="10"/>
      <c r="K468" s="10"/>
      <c r="L468" s="10"/>
      <c r="M468" s="10">
        <v>0</v>
      </c>
      <c r="N468" s="10">
        <v>3.2669999999999999</v>
      </c>
      <c r="O468" s="10">
        <v>3.298</v>
      </c>
      <c r="P468" s="10">
        <v>3.38</v>
      </c>
      <c r="Q468" s="10">
        <v>4.1609999999999996</v>
      </c>
      <c r="R468" s="10">
        <v>3.3759999999999999</v>
      </c>
      <c r="S468" s="10">
        <f>IFERROR(VLOOKUP('Leveranser per nät'!A468,'lev 2012'!$B$2:$E$445,4,FALSE),"")</f>
        <v>3.65</v>
      </c>
      <c r="T468" s="10">
        <f>IFERROR(VLOOKUP('Leveranser per nät'!A468,'lev 2013'!$B$2:$E$445,4,FALSE),"")</f>
        <v>3.62</v>
      </c>
      <c r="U468" s="10">
        <f>IFERROR(VLOOKUP('Leveranser per nät'!A468,'lev 2014'!$B$2:$E$432,4,FALSE),"")</f>
        <v>3.0760000000000001</v>
      </c>
      <c r="V468" s="10">
        <f>IFERROR(INDEX(Levererat_2015[Leveranser till eget nät],MATCH($A468,Levererat_2015[Indexnamn],0)),"")</f>
        <v>3.2469999999999999</v>
      </c>
      <c r="W468" s="10">
        <f>IFERROR(INDEX(Levererat_2016[Leveranser till eget nät],MATCH($A468,Levererat_2016[Indexnamn],0)),"")</f>
        <v>3.6560000000000001</v>
      </c>
      <c r="X468" s="10">
        <f>IFERROR(INDEX(Tabell4[Leveranser till eget nät],MATCH('Leveranser per nät'!A468,Tabell4[[Finns i listan ]],0)),"")</f>
        <v>3.468</v>
      </c>
      <c r="Y468" s="10">
        <f>IFERROR(INDEX(Tabell6[Kolumn1],MATCH($A468,Tabell6[Indexnmamn],0)),"")</f>
        <v>3.2919999999999998</v>
      </c>
      <c r="Z468" s="10">
        <v>3.036</v>
      </c>
      <c r="AA468" s="10">
        <v>2.78</v>
      </c>
      <c r="AB468" s="10">
        <f>VLOOKUP(A468,Tabell9[[Indexnamn]:[Kolumn1]],3,FALSE)</f>
        <v>2.9489999999999998</v>
      </c>
      <c r="AC468" s="10">
        <f>VLOOKUP($A468,'Lev 2022'!$K$2:$L$474,2,FALSE)</f>
        <v>2.7509999999999999</v>
      </c>
      <c r="AG468" s="2">
        <f t="shared" si="17"/>
        <v>-0.19799999999999995</v>
      </c>
      <c r="AH468" s="103">
        <f t="shared" si="18"/>
        <v>-6.7141403865717181E-2</v>
      </c>
    </row>
    <row r="469" spans="1:34" x14ac:dyDescent="0.25">
      <c r="A469" t="s">
        <v>348</v>
      </c>
      <c r="B469" t="str">
        <f>VLOOKUP(A469,'Korrigerade leveranser GD'!$A$4:$B$482,2,FALSE)</f>
        <v>Vetlanda</v>
      </c>
      <c r="C469" s="10">
        <v>53</v>
      </c>
      <c r="D469" s="10">
        <v>49.73</v>
      </c>
      <c r="E469" s="10">
        <v>54</v>
      </c>
      <c r="F469" s="10">
        <v>54</v>
      </c>
      <c r="G469" s="10">
        <v>52</v>
      </c>
      <c r="H469" s="10">
        <v>56.110999999999997</v>
      </c>
      <c r="I469" s="10">
        <v>58.54</v>
      </c>
      <c r="J469" s="10">
        <v>65</v>
      </c>
      <c r="K469" s="10">
        <v>71.846000000000004</v>
      </c>
      <c r="L469" s="10">
        <v>79.995999999999995</v>
      </c>
      <c r="M469" s="10">
        <v>90</v>
      </c>
      <c r="N469" s="10">
        <v>107.626</v>
      </c>
      <c r="O469" s="10">
        <v>112</v>
      </c>
      <c r="P469" s="10">
        <v>112.88500000000001</v>
      </c>
      <c r="Q469" s="10">
        <v>134.14500000000001</v>
      </c>
      <c r="R469" s="10">
        <v>112.023</v>
      </c>
      <c r="S469" s="10">
        <f>IFERROR(VLOOKUP('Leveranser per nät'!A469,'lev 2012'!$B$2:$E$445,4,FALSE),"")</f>
        <v>121</v>
      </c>
      <c r="T469" s="10">
        <f>IFERROR(VLOOKUP('Leveranser per nät'!A469,'lev 2013'!$B$2:$E$445,4,FALSE),"")</f>
        <v>122.6</v>
      </c>
      <c r="U469" s="10">
        <f>IFERROR(VLOOKUP('Leveranser per nät'!A469,'lev 2014'!$B$2:$E$432,4,FALSE),"")</f>
        <v>111</v>
      </c>
      <c r="V469" s="10">
        <f>IFERROR(INDEX(Levererat_2015[Leveranser till eget nät],MATCH($A469,Levererat_2015[Indexnamn],0)),"")</f>
        <v>113.5</v>
      </c>
      <c r="W469" s="10">
        <f>IFERROR(INDEX(Levererat_2016[Leveranser till eget nät],MATCH($A469,Levererat_2016[Indexnamn],0)),"")</f>
        <v>125.7</v>
      </c>
      <c r="X469" s="10">
        <f>IFERROR(INDEX(Tabell4[Leveranser till eget nät],MATCH('Leveranser per nät'!A469,Tabell4[[Finns i listan ]],0)),"")</f>
        <v>127.3</v>
      </c>
      <c r="Y469" s="10">
        <f>IFERROR(INDEX(Tabell6[Kolumn1],MATCH($A469,Tabell6[Indexnmamn],0)),"")</f>
        <v>127.8</v>
      </c>
      <c r="Z469" s="10">
        <v>124.018</v>
      </c>
      <c r="AA469" s="10">
        <v>114.941</v>
      </c>
      <c r="AB469" s="10">
        <f>VLOOKUP(A469,Tabell9[[Indexnamn]:[Kolumn1]],3,FALSE)</f>
        <v>131.58699999999999</v>
      </c>
      <c r="AC469" s="10">
        <f>VLOOKUP($A469,'Lev 2022'!$K$2:$L$474,2,FALSE)</f>
        <v>122.64</v>
      </c>
      <c r="AG469" s="2">
        <f t="shared" si="17"/>
        <v>-8.9469999999999885</v>
      </c>
      <c r="AH469" s="103">
        <f t="shared" si="18"/>
        <v>-6.7993038826023769E-2</v>
      </c>
    </row>
    <row r="470" spans="1:34" s="77" customFormat="1" x14ac:dyDescent="0.25">
      <c r="A470" s="5" t="s">
        <v>45</v>
      </c>
      <c r="B470" s="5" t="str">
        <f>VLOOKUP(A470,'Korrigerade leveranser GD'!$A$4:$B$482,2,FALSE)</f>
        <v>Vilhelmina</v>
      </c>
      <c r="C470" s="69">
        <v>47</v>
      </c>
      <c r="D470" s="69">
        <v>46.9</v>
      </c>
      <c r="E470" s="69">
        <v>49</v>
      </c>
      <c r="F470" s="69">
        <v>49</v>
      </c>
      <c r="G470" s="69">
        <v>47</v>
      </c>
      <c r="H470" s="69">
        <v>53.3</v>
      </c>
      <c r="I470" s="69">
        <v>54</v>
      </c>
      <c r="J470" s="69">
        <v>55.46</v>
      </c>
      <c r="K470" s="69">
        <v>56.588999999999999</v>
      </c>
      <c r="L470" s="69">
        <v>56</v>
      </c>
      <c r="M470" s="69">
        <v>56.1</v>
      </c>
      <c r="N470" s="69">
        <v>61.3</v>
      </c>
      <c r="O470" s="69">
        <v>58.5</v>
      </c>
      <c r="P470" s="69">
        <v>65</v>
      </c>
      <c r="Q470" s="69">
        <v>68</v>
      </c>
      <c r="R470" s="69">
        <v>61.75</v>
      </c>
      <c r="S470" s="69">
        <f>IFERROR(VLOOKUP('Leveranser per nät'!A470,'lev 2012'!$B$2:$E$445,4,FALSE),"")</f>
        <v>63</v>
      </c>
      <c r="T470" s="85">
        <v>38.799999999999997</v>
      </c>
      <c r="U470" s="85">
        <v>31.3</v>
      </c>
      <c r="V470" s="85">
        <v>35.799999999999997</v>
      </c>
      <c r="W470" s="85">
        <v>38.799999999999997</v>
      </c>
      <c r="X470" s="85">
        <v>39.200000000000003</v>
      </c>
      <c r="Y470" s="69">
        <v>39</v>
      </c>
      <c r="Z470" s="69">
        <v>38.700000000000003</v>
      </c>
      <c r="AA470" s="58">
        <v>33.866</v>
      </c>
      <c r="AB470" s="10">
        <f>VLOOKUP(A470,Tabell9[[Indexnamn]:[Kolumn1]],3,FALSE)</f>
        <v>37.860999999999997</v>
      </c>
      <c r="AC470" s="10">
        <f>VLOOKUP($A470,'Lev 2022'!$K$2:$L$474,2,FALSE)</f>
        <v>35.270000000000003</v>
      </c>
      <c r="AD470"/>
      <c r="AE470"/>
      <c r="AG470" s="2">
        <f t="shared" si="17"/>
        <v>-2.590999999999994</v>
      </c>
      <c r="AH470" s="103">
        <f t="shared" si="18"/>
        <v>-6.8434536858508602E-2</v>
      </c>
    </row>
    <row r="471" spans="1:34" x14ac:dyDescent="0.25">
      <c r="A471" t="s">
        <v>350</v>
      </c>
      <c r="B471" t="str">
        <f>VLOOKUP(A471,'Korrigerade leveranser GD'!$A$4:$B$482,2,FALSE)</f>
        <v>Vimmerby</v>
      </c>
      <c r="C471" s="10">
        <v>50</v>
      </c>
      <c r="D471" s="10">
        <v>46.33</v>
      </c>
      <c r="E471" s="10">
        <v>49</v>
      </c>
      <c r="F471" s="10">
        <v>50</v>
      </c>
      <c r="G471" s="10">
        <v>50</v>
      </c>
      <c r="H471" s="10">
        <v>58</v>
      </c>
      <c r="I471" s="10">
        <v>59</v>
      </c>
      <c r="J471" s="10">
        <v>67.611999999999995</v>
      </c>
      <c r="K471" s="10">
        <v>70.203999999999994</v>
      </c>
      <c r="L471" s="10">
        <v>76.263000000000005</v>
      </c>
      <c r="M471" s="10">
        <v>78.599999999999994</v>
      </c>
      <c r="N471" s="10">
        <v>73</v>
      </c>
      <c r="O471" s="10">
        <v>74.8</v>
      </c>
      <c r="P471" s="10">
        <v>85.7</v>
      </c>
      <c r="Q471" s="10">
        <v>95.4</v>
      </c>
      <c r="R471" s="10">
        <v>79.56</v>
      </c>
      <c r="S471" s="10">
        <f>IFERROR(VLOOKUP('Leveranser per nät'!A471,'lev 2012'!$B$2:$E$445,4,FALSE),"")</f>
        <v>83</v>
      </c>
      <c r="T471" s="10">
        <f>IFERROR(VLOOKUP('Leveranser per nät'!A471,'lev 2013'!$B$2:$E$445,4,FALSE),"")</f>
        <v>86.213999999999999</v>
      </c>
      <c r="U471" s="10">
        <f>IFERROR(VLOOKUP('Leveranser per nät'!A471,'lev 2014'!$B$2:$E$432,4,FALSE),"")</f>
        <v>76.347999999999999</v>
      </c>
      <c r="V471" s="10">
        <f>IFERROR(INDEX(Levererat_2015[Leveranser till eget nät],MATCH($A471,Levererat_2015[Indexnamn],0)),"")</f>
        <v>97.671000000000006</v>
      </c>
      <c r="W471" s="10">
        <f>IFERROR(INDEX(Levererat_2016[Leveranser till eget nät],MATCH($A471,Levererat_2016[Indexnamn],0)),"")</f>
        <v>109.283</v>
      </c>
      <c r="X471" s="10">
        <f>IFERROR(INDEX(Tabell4[Leveranser till eget nät],MATCH('Leveranser per nät'!A471,Tabell4[[Finns i listan ]],0)),"")</f>
        <v>105.078</v>
      </c>
      <c r="Y471" s="10">
        <f>IFERROR(INDEX(Tabell6[Kolumn1],MATCH($A471,Tabell6[Indexnmamn],0)),"")</f>
        <v>102.31</v>
      </c>
      <c r="Z471" s="10">
        <v>103.509</v>
      </c>
      <c r="AA471" s="10">
        <v>96.983000000000004</v>
      </c>
      <c r="AB471" s="10">
        <f>VLOOKUP(A471,Tabell9[[Indexnamn]:[Kolumn1]],3,FALSE)</f>
        <v>104.572</v>
      </c>
      <c r="AC471" s="10">
        <f>VLOOKUP($A471,'Lev 2022'!$K$2:$L$474,2,FALSE)</f>
        <v>99.975999999999999</v>
      </c>
      <c r="AG471" s="2">
        <f t="shared" si="17"/>
        <v>-4.5960000000000036</v>
      </c>
      <c r="AH471" s="103">
        <f t="shared" si="18"/>
        <v>-4.3950579505030063E-2</v>
      </c>
    </row>
    <row r="472" spans="1:34" x14ac:dyDescent="0.25">
      <c r="A472" t="s">
        <v>260</v>
      </c>
      <c r="B472" t="str">
        <f>VLOOKUP(A472,'Korrigerade leveranser GD'!$A$4:$B$482,2,FALSE)</f>
        <v>Vindeln</v>
      </c>
      <c r="C472" s="10"/>
      <c r="D472" s="10"/>
      <c r="E472" s="10"/>
      <c r="F472" s="10"/>
      <c r="G472" s="10"/>
      <c r="H472" s="10">
        <v>0</v>
      </c>
      <c r="I472" s="10">
        <v>13</v>
      </c>
      <c r="J472" s="10">
        <v>14</v>
      </c>
      <c r="K472" s="10">
        <v>14.642899999999999</v>
      </c>
      <c r="L472" s="10">
        <v>12.6105</v>
      </c>
      <c r="M472" s="10">
        <v>13.436999999999999</v>
      </c>
      <c r="N472" s="10">
        <v>14.813000000000001</v>
      </c>
      <c r="O472" s="10">
        <v>14.321</v>
      </c>
      <c r="P472" s="10">
        <v>15.673999999999999</v>
      </c>
      <c r="Q472" s="10">
        <v>17.181999999999999</v>
      </c>
      <c r="R472" s="10">
        <v>14.56</v>
      </c>
      <c r="S472" s="10">
        <f>IFERROR(VLOOKUP('Leveranser per nät'!A472,'lev 2012'!$B$2:$E$445,4,FALSE),"")</f>
        <v>16.04</v>
      </c>
      <c r="T472" s="10">
        <f>IFERROR(VLOOKUP('Leveranser per nät'!A472,'lev 2013'!$B$2:$E$445,4,FALSE),"")</f>
        <v>15.217000000000001</v>
      </c>
      <c r="U472" s="10">
        <f>IFERROR(VLOOKUP('Leveranser per nät'!A472,'lev 2014'!$B$2:$E$432,4,FALSE),"")</f>
        <v>14.253</v>
      </c>
      <c r="V472" s="10">
        <f>IFERROR(INDEX(Levererat_2015[Leveranser till eget nät],MATCH($A472,Levererat_2015[Indexnamn],0)),"")</f>
        <v>13.901</v>
      </c>
      <c r="W472" s="10">
        <f>IFERROR(INDEX(Levererat_2016[Leveranser till eget nät],MATCH($A472,Levererat_2016[Indexnamn],0)),"")</f>
        <v>14.85</v>
      </c>
      <c r="X472" s="10">
        <f>IFERROR(INDEX(Tabell4[Leveranser till eget nät],MATCH('Leveranser per nät'!A472,Tabell4[[Finns i listan ]],0)),"")</f>
        <v>14.388999999999999</v>
      </c>
      <c r="Y472" s="10">
        <f>IFERROR(INDEX(Tabell6[Kolumn1],MATCH($A472,Tabell6[Indexnmamn],0)),"")</f>
        <v>13.664</v>
      </c>
      <c r="Z472" s="10">
        <v>14.087</v>
      </c>
      <c r="AA472" s="10">
        <v>12.211</v>
      </c>
      <c r="AB472" s="10">
        <f>VLOOKUP(A472,Tabell9[[Indexnamn]:[Kolumn1]],3,FALSE)</f>
        <v>14.0585</v>
      </c>
      <c r="AC472" s="10">
        <f>VLOOKUP($A472,'Lev 2022'!$K$2:$L$474,2,FALSE)</f>
        <v>12.9581</v>
      </c>
      <c r="AG472" s="2">
        <f t="shared" si="17"/>
        <v>-1.1004000000000005</v>
      </c>
      <c r="AH472" s="103">
        <f t="shared" si="18"/>
        <v>-7.8272930967030654E-2</v>
      </c>
    </row>
    <row r="473" spans="1:34" s="77" customFormat="1" x14ac:dyDescent="0.25">
      <c r="A473" s="5" t="s">
        <v>240</v>
      </c>
      <c r="B473" s="5" t="str">
        <f>VLOOKUP(A473,'Korrigerade leveranser GD'!$A$4:$B$482,2,FALSE)</f>
        <v>Vingåker</v>
      </c>
      <c r="C473" s="69"/>
      <c r="D473" s="69"/>
      <c r="E473" s="69"/>
      <c r="F473" s="69"/>
      <c r="G473" s="69"/>
      <c r="H473" s="69"/>
      <c r="I473" s="69"/>
      <c r="J473" s="69"/>
      <c r="K473" s="69"/>
      <c r="L473" s="69">
        <v>0</v>
      </c>
      <c r="M473" s="69">
        <v>20.093</v>
      </c>
      <c r="N473" s="69">
        <v>18.204000000000001</v>
      </c>
      <c r="O473" s="69">
        <v>21.114000000000001</v>
      </c>
      <c r="P473" s="69">
        <v>22.771000000000001</v>
      </c>
      <c r="Q473" s="69">
        <v>26.890999999999998</v>
      </c>
      <c r="R473" s="69">
        <v>22</v>
      </c>
      <c r="S473" s="69">
        <f>IFERROR(VLOOKUP('Leveranser per nät'!A473,'lev 2012'!$B$2:$E$445,4,FALSE),"")</f>
        <v>24</v>
      </c>
      <c r="T473" s="69">
        <f>IFERROR(VLOOKUP('Leveranser per nät'!A473,'lev 2013'!$B$2:$E$445,4,FALSE),"")</f>
        <v>24.1</v>
      </c>
      <c r="U473" s="69">
        <f>IFERROR(VLOOKUP('Leveranser per nät'!A473,'lev 2014'!$B$2:$E$432,4,FALSE),"")</f>
        <v>21.6</v>
      </c>
      <c r="V473" s="69">
        <f>IFERROR(INDEX(Levererat_2015[Leveranser till eget nät],MATCH($A473,Levererat_2015[Indexnamn],0)),"")</f>
        <v>21</v>
      </c>
      <c r="W473" s="69">
        <f>IFERROR(INDEX(Levererat_2016[Leveranser till eget nät],MATCH($A473,Levererat_2016[Indexnamn],0)),"")</f>
        <v>22</v>
      </c>
      <c r="X473" s="69">
        <v>21.3</v>
      </c>
      <c r="Y473" s="69">
        <v>20.399999999999999</v>
      </c>
      <c r="Z473" s="69">
        <v>19.8</v>
      </c>
      <c r="AA473" s="58">
        <v>17.8</v>
      </c>
      <c r="AB473" s="10">
        <f>VLOOKUP(A473,Tabell9[[Indexnamn]:[Kolumn1]],3,FALSE)</f>
        <v>21.2</v>
      </c>
      <c r="AC473" s="10">
        <f>VLOOKUP($A473,'Lev 2022'!$K$2:$L$474,2,FALSE)</f>
        <v>19.5</v>
      </c>
      <c r="AD473"/>
      <c r="AE473"/>
      <c r="AG473" s="2">
        <f t="shared" si="17"/>
        <v>-1.6999999999999993</v>
      </c>
      <c r="AH473" s="103">
        <f t="shared" si="18"/>
        <v>-8.0188679245282987E-2</v>
      </c>
    </row>
    <row r="474" spans="1:34" x14ac:dyDescent="0.25">
      <c r="A474" t="s">
        <v>855</v>
      </c>
      <c r="B474" t="s">
        <v>151</v>
      </c>
      <c r="C474" s="10"/>
      <c r="D474" s="10"/>
      <c r="E474" s="10"/>
      <c r="F474" s="10"/>
      <c r="G474" s="10"/>
      <c r="H474" s="10"/>
      <c r="I474" s="10"/>
      <c r="J474" s="10"/>
      <c r="K474" s="10"/>
      <c r="L474" s="10"/>
      <c r="M474" s="10"/>
      <c r="N474" s="10"/>
      <c r="O474" s="10"/>
      <c r="P474" s="10"/>
      <c r="Q474" s="10"/>
      <c r="R474" s="10"/>
      <c r="S474" s="10"/>
      <c r="T474" s="10"/>
      <c r="U474" s="10"/>
      <c r="V474" s="10"/>
      <c r="W474" s="10"/>
      <c r="X474" s="10">
        <f>IFERROR(INDEX(Tabell4[Leveranser till eget nät],MATCH('Leveranser per nät'!A474,Tabell4[[Finns i listan ]],0)),"")</f>
        <v>7.29</v>
      </c>
      <c r="Y474" s="10">
        <f>IFERROR(INDEX(Tabell6[Kolumn1],MATCH($A474,Tabell6[Indexnmamn],0)),"")</f>
        <v>7.74</v>
      </c>
      <c r="Z474" s="10">
        <v>7.13</v>
      </c>
      <c r="AA474" s="10">
        <v>6.8</v>
      </c>
      <c r="AB474" s="10">
        <f>VLOOKUP(A474,Tabell9[[Indexnamn]:[Kolumn1]],3,FALSE)</f>
        <v>8.3190000000000008</v>
      </c>
      <c r="AC474" s="10">
        <f>VLOOKUP($A474,'Lev 2022'!$K$2:$L$474,2,FALSE)</f>
        <v>7.63</v>
      </c>
      <c r="AG474" s="2">
        <f t="shared" si="17"/>
        <v>-0.68900000000000095</v>
      </c>
      <c r="AH474" s="103">
        <f t="shared" si="18"/>
        <v>-8.2822454621949856E-2</v>
      </c>
    </row>
    <row r="475" spans="1:34" s="65" customFormat="1" x14ac:dyDescent="0.25">
      <c r="A475" s="65" t="s">
        <v>297</v>
      </c>
      <c r="B475" s="65" t="str">
        <f>VLOOKUP(A475,'Korrigerade leveranser GD'!$A$4:$B$482,2,FALSE)</f>
        <v>Fagersta</v>
      </c>
      <c r="C475" s="68"/>
      <c r="D475" s="68"/>
      <c r="E475" s="68"/>
      <c r="F475" s="68"/>
      <c r="G475" s="68"/>
      <c r="H475" s="68"/>
      <c r="I475" s="68"/>
      <c r="J475" s="68">
        <v>0</v>
      </c>
      <c r="K475" s="68">
        <v>3.8</v>
      </c>
      <c r="L475" s="68">
        <v>3.8</v>
      </c>
      <c r="M475" s="68">
        <v>2.9</v>
      </c>
      <c r="N475" s="68">
        <v>3.2</v>
      </c>
      <c r="O475" s="68">
        <v>3.5</v>
      </c>
      <c r="P475" s="68">
        <v>3.8</v>
      </c>
      <c r="Q475" s="76">
        <v>3.8</v>
      </c>
      <c r="R475" s="68">
        <v>3.5</v>
      </c>
      <c r="S475" s="68">
        <v>3</v>
      </c>
      <c r="T475" s="68">
        <f>IFERROR(VLOOKUP('Leveranser per nät'!A475,'lev 2013'!$B$2:$E$445,4,FALSE),"")</f>
        <v>2.8</v>
      </c>
      <c r="U475" s="68" t="str">
        <f>IFERROR(VLOOKUP('Leveranser per nät'!A475,'lev 2014'!$B$2:$E$432,4,FALSE),"")</f>
        <v/>
      </c>
      <c r="V475" s="68" t="str">
        <f>IFERROR(INDEX(Levererat_2015[Leveranser till eget nät],MATCH($A475,Levererat_2015[Indexnamn],0)),"")</f>
        <v/>
      </c>
      <c r="W475" s="68" t="str">
        <f>IFERROR(INDEX(Levererat_2016[Leveranser till eget nät],MATCH($A475,Levererat_2016[Indexnamn],0)),"")</f>
        <v/>
      </c>
      <c r="X475" s="68" t="str">
        <f>IFERROR(INDEX(Tabell4[Leveranser till eget nät],MATCH('Leveranser per nät'!A475,Tabell4[[Finns i listan ]],0)),"")</f>
        <v/>
      </c>
      <c r="Y475" s="68" t="str">
        <f>IFERROR(INDEX(Tabell6[Kolumn1],MATCH($A475,Tabell6[Indexnmamn],0)),"")</f>
        <v/>
      </c>
      <c r="Z475" s="68"/>
      <c r="AA475" s="68" t="s">
        <v>779</v>
      </c>
      <c r="AB475" s="10"/>
      <c r="AC475" s="10"/>
      <c r="AD475"/>
      <c r="AE475"/>
      <c r="AG475" s="2"/>
      <c r="AH475" s="103"/>
    </row>
    <row r="476" spans="1:34" x14ac:dyDescent="0.25">
      <c r="A476" t="s">
        <v>133</v>
      </c>
      <c r="B476" t="str">
        <f>VLOOKUP(A476,'Korrigerade leveranser GD'!$A$4:$B$482,2,FALSE)</f>
        <v>Visby</v>
      </c>
      <c r="C476" s="10">
        <v>197</v>
      </c>
      <c r="D476" s="10">
        <v>180.83</v>
      </c>
      <c r="E476" s="10">
        <v>194</v>
      </c>
      <c r="F476" s="10">
        <v>181</v>
      </c>
      <c r="G476" s="10">
        <v>181</v>
      </c>
      <c r="H476" s="10">
        <v>186</v>
      </c>
      <c r="I476" s="10">
        <v>227</v>
      </c>
      <c r="J476" s="10">
        <v>231.34700000000001</v>
      </c>
      <c r="K476" s="10">
        <v>213</v>
      </c>
      <c r="L476" s="10">
        <v>177.57339003946814</v>
      </c>
      <c r="M476" s="10">
        <v>166.7</v>
      </c>
      <c r="N476" s="10">
        <v>163.80000000000001</v>
      </c>
      <c r="O476" s="10">
        <v>162.5</v>
      </c>
      <c r="P476" s="10">
        <v>170.7</v>
      </c>
      <c r="Q476" s="10">
        <v>187.9</v>
      </c>
      <c r="R476" s="10">
        <v>175.6</v>
      </c>
      <c r="S476" s="10">
        <f>IFERROR(VLOOKUP('Leveranser per nät'!A476,'lev 2012'!$B$2:$E$445,4,FALSE),"")</f>
        <v>181</v>
      </c>
      <c r="T476" s="10">
        <f>IFERROR(VLOOKUP('Leveranser per nät'!A476,'lev 2013'!$B$2:$E$445,4,FALSE),"")</f>
        <v>174</v>
      </c>
      <c r="U476" s="10">
        <f>IFERROR(VLOOKUP('Leveranser per nät'!A476,'lev 2014'!$B$2:$E$432,4,FALSE),"")</f>
        <v>165.9</v>
      </c>
      <c r="V476" s="10">
        <f>IFERROR(INDEX(Levererat_2015[Leveranser till eget nät],MATCH($A476,Levererat_2015[Indexnamn],0)),"")</f>
        <v>161.30000000000001</v>
      </c>
      <c r="W476" s="10">
        <f>IFERROR(INDEX(Levererat_2016[Leveranser till eget nät],MATCH($A476,Levererat_2016[Indexnamn],0)),"")</f>
        <v>172.3</v>
      </c>
      <c r="X476" s="10">
        <f>IFERROR(INDEX(Tabell4[Leveranser till eget nät],MATCH('Leveranser per nät'!A476,Tabell4[[Finns i listan ]],0)),"")</f>
        <v>173.37</v>
      </c>
      <c r="Y476" s="10">
        <f>IFERROR(INDEX(Tabell6[Kolumn1],MATCH($A476,Tabell6[Indexnmamn],0)),"")</f>
        <v>170.99700000000001</v>
      </c>
      <c r="Z476" s="10">
        <v>165.97499999999999</v>
      </c>
      <c r="AA476" s="10">
        <v>155.68700000000001</v>
      </c>
      <c r="AB476" s="10">
        <f>VLOOKUP(A476,Tabell9[[Indexnamn]:[Kolumn1]],3,FALSE)</f>
        <v>179.83199999999999</v>
      </c>
      <c r="AC476" s="10">
        <f>VLOOKUP($A476,'Lev 2022'!$K$2:$L$474,2,FALSE)</f>
        <v>174.447</v>
      </c>
      <c r="AG476" s="2">
        <f t="shared" si="17"/>
        <v>-5.3849999999999909</v>
      </c>
      <c r="AH476" s="103">
        <f t="shared" si="18"/>
        <v>-2.9944614973975662E-2</v>
      </c>
    </row>
    <row r="477" spans="1:34" x14ac:dyDescent="0.25">
      <c r="A477" t="s">
        <v>4</v>
      </c>
      <c r="B477" t="str">
        <f>VLOOKUP(A477,'Korrigerade leveranser GD'!$A$4:$B$482,2,FALSE)</f>
        <v>Alvesta</v>
      </c>
      <c r="C477" s="10"/>
      <c r="D477" s="10"/>
      <c r="E477" s="10"/>
      <c r="F477" s="10"/>
      <c r="G477" s="10"/>
      <c r="H477" s="10"/>
      <c r="I477" s="10">
        <v>0</v>
      </c>
      <c r="J477" s="10">
        <v>12</v>
      </c>
      <c r="K477" s="10">
        <v>18.646999999999998</v>
      </c>
      <c r="L477" s="10">
        <v>18.646999999999998</v>
      </c>
      <c r="M477" s="10">
        <v>21</v>
      </c>
      <c r="N477" s="10">
        <v>27</v>
      </c>
      <c r="O477" s="10">
        <v>29</v>
      </c>
      <c r="P477" s="10">
        <v>29</v>
      </c>
      <c r="Q477" s="10">
        <v>33</v>
      </c>
      <c r="R477" s="10">
        <v>15.66</v>
      </c>
      <c r="S477" s="10">
        <v>17.600000000000001</v>
      </c>
      <c r="T477" s="64">
        <v>13.5</v>
      </c>
      <c r="U477" s="64">
        <v>13.5</v>
      </c>
      <c r="V477" s="64">
        <v>19.7</v>
      </c>
      <c r="W477" s="10">
        <f>IFERROR(INDEX(Levererat_2016[Leveranser till eget nät],MATCH($A477,Levererat_2016[Indexnamn],0)),"")</f>
        <v>19.62</v>
      </c>
      <c r="X477" s="10">
        <f>IFERROR(INDEX(Tabell4[Leveranser till eget nät],MATCH('Leveranser per nät'!A477,Tabell4[[Finns i listan ]],0)),"")</f>
        <v>18.600000000000001</v>
      </c>
      <c r="Y477" s="10">
        <f>IFERROR(INDEX(Tabell6[Kolumn1],MATCH($A477,Tabell6[Indexnmamn],0)),"")</f>
        <v>10.67</v>
      </c>
      <c r="Z477" s="10">
        <v>16.16</v>
      </c>
      <c r="AA477" s="10">
        <v>15.22</v>
      </c>
      <c r="AB477" s="10">
        <f>VLOOKUP(A477,Tabell9[[Indexnamn]:[Kolumn1]],3,FALSE)</f>
        <v>18.84</v>
      </c>
      <c r="AC477" s="10">
        <f>VLOOKUP($A477,'Lev 2022'!$K$2:$L$474,2,FALSE)</f>
        <v>18.87</v>
      </c>
      <c r="AG477" s="2">
        <f t="shared" si="17"/>
        <v>3.0000000000001137E-2</v>
      </c>
      <c r="AH477" s="103">
        <f t="shared" si="18"/>
        <v>1.5923566878981495E-3</v>
      </c>
    </row>
    <row r="478" spans="1:34" s="65" customFormat="1" x14ac:dyDescent="0.25">
      <c r="A478" s="67" t="s">
        <v>100</v>
      </c>
      <c r="B478" t="s">
        <v>163</v>
      </c>
      <c r="C478" s="68"/>
      <c r="D478" s="68"/>
      <c r="E478" s="68"/>
      <c r="F478" s="68"/>
      <c r="G478" s="68"/>
      <c r="H478" s="68"/>
      <c r="I478" s="68"/>
      <c r="J478" s="68"/>
      <c r="K478" s="68"/>
      <c r="L478" s="68"/>
      <c r="M478" s="68"/>
      <c r="N478" s="68"/>
      <c r="O478" s="68">
        <v>0</v>
      </c>
      <c r="P478" s="68">
        <v>3</v>
      </c>
      <c r="Q478" s="68">
        <v>2.8</v>
      </c>
      <c r="R478" s="68">
        <v>0</v>
      </c>
      <c r="S478" s="68" t="str">
        <f>IFERROR(VLOOKUP('Leveranser per nät'!A478,'lev 2012'!$B$2:$E$445,4,FALSE),"")</f>
        <v/>
      </c>
      <c r="T478" s="68" t="str">
        <f>IFERROR(VLOOKUP('Leveranser per nät'!A478,'lev 2013'!$B$2:$E$445,4,FALSE),"")</f>
        <v/>
      </c>
      <c r="U478" s="68" t="str">
        <f>IFERROR(VLOOKUP('Leveranser per nät'!A478,'lev 2014'!$B$2:$E$432,4,FALSE),"")</f>
        <v/>
      </c>
      <c r="V478" s="68" t="str">
        <f>IFERROR(INDEX(Levererat_2015[Leveranser till eget nät],MATCH($A478,Levererat_2015[Indexnamn],0)),"")</f>
        <v/>
      </c>
      <c r="W478" s="68" t="str">
        <f>IFERROR(INDEX(Levererat_2016[Leveranser till eget nät],MATCH($A478,Levererat_2016[Indexnamn],0)),"")</f>
        <v/>
      </c>
      <c r="X478" s="68" t="str">
        <f>IFERROR(INDEX(Tabell4[Leveranser till eget nät],MATCH('Leveranser per nät'!A478,Tabell4[[Finns i listan ]],0)),"")</f>
        <v/>
      </c>
      <c r="Y478" s="68" t="str">
        <f>IFERROR(INDEX(Tabell6[Kolumn1],MATCH($A478,Tabell6[Indexnmamn],0)),"")</f>
        <v/>
      </c>
      <c r="Z478" s="68"/>
      <c r="AA478" s="68" t="s">
        <v>779</v>
      </c>
      <c r="AB478" s="10"/>
      <c r="AC478" s="10"/>
      <c r="AD478"/>
      <c r="AE478"/>
      <c r="AG478" s="2"/>
      <c r="AH478" s="103"/>
    </row>
    <row r="479" spans="1:34" x14ac:dyDescent="0.25">
      <c r="A479" s="65" t="s">
        <v>305</v>
      </c>
      <c r="B479" s="65" t="str">
        <f>VLOOKUP(A479,'Korrigerade leveranser GD'!$A$4:$B$482,2,FALSE)</f>
        <v>Kiruna</v>
      </c>
      <c r="C479" s="10"/>
      <c r="D479" s="10"/>
      <c r="E479" s="10">
        <v>0</v>
      </c>
      <c r="F479" s="10">
        <v>7</v>
      </c>
      <c r="G479" s="10">
        <v>7</v>
      </c>
      <c r="H479" s="10">
        <v>6.66</v>
      </c>
      <c r="I479" s="10">
        <v>6.68</v>
      </c>
      <c r="J479" s="10">
        <v>7</v>
      </c>
      <c r="K479" s="10">
        <v>6.7149999999999999</v>
      </c>
      <c r="L479" s="10">
        <v>6.1159999999999997</v>
      </c>
      <c r="M479" s="10">
        <v>6.3</v>
      </c>
      <c r="N479" s="10">
        <v>6.49</v>
      </c>
      <c r="O479" s="10">
        <v>6.7389999999999999</v>
      </c>
      <c r="P479" s="10">
        <v>6.234</v>
      </c>
      <c r="Q479" s="10">
        <v>6.5789999999999997</v>
      </c>
      <c r="R479" s="10">
        <v>6.157</v>
      </c>
      <c r="S479" s="10">
        <f>IFERROR(VLOOKUP('Leveranser per nät'!A479,'lev 2012'!$B$2:$E$445,4,FALSE),"")</f>
        <v>6.63</v>
      </c>
      <c r="T479" s="10">
        <f>IFERROR(VLOOKUP('Leveranser per nät'!A479,'lev 2013'!$B$2:$E$445,4,FALSE),"")</f>
        <v>5.8460000000000001</v>
      </c>
      <c r="U479" s="10">
        <f>IFERROR(VLOOKUP('Leveranser per nät'!A479,'lev 2014'!$B$2:$E$432,4,FALSE),"")</f>
        <v>5.8079999999999998</v>
      </c>
      <c r="V479" s="10">
        <f>IFERROR(INDEX(Levererat_2015[Leveranser till eget nät],MATCH($A479,Levererat_2015[Indexnamn],0)),"")</f>
        <v>5.3719999999999999</v>
      </c>
      <c r="W479" s="10">
        <f>IFERROR(INDEX(Levererat_2016[Leveranser till eget nät],MATCH($A479,Levererat_2016[Indexnamn],0)),"")</f>
        <v>5.4340000000000002</v>
      </c>
      <c r="X479" s="10">
        <f>IFERROR(INDEX(Tabell4[Leveranser till eget nät],MATCH('Leveranser per nät'!A479,Tabell4[[Finns i listan ]],0)),"")</f>
        <v>5.4569999999999999</v>
      </c>
      <c r="Y479" s="10">
        <f>IFERROR(INDEX(Tabell6[Kolumn1],MATCH($A479,Tabell6[Indexnmamn],0)),"")</f>
        <v>5.7569999999999997</v>
      </c>
      <c r="Z479" s="10">
        <v>5.9429999999999996</v>
      </c>
      <c r="AA479" s="10">
        <v>4.4660000000000002</v>
      </c>
      <c r="AB479" s="10">
        <f>VLOOKUP(A479,Tabell9[[Indexnamn]:[Kolumn1]],3,FALSE)</f>
        <v>5.8070000000000004</v>
      </c>
      <c r="AC479" s="72"/>
      <c r="AG479" s="2">
        <f t="shared" si="17"/>
        <v>-5.8070000000000004</v>
      </c>
      <c r="AH479" s="103"/>
    </row>
    <row r="480" spans="1:34" s="65" customFormat="1" x14ac:dyDescent="0.25">
      <c r="A480" s="70" t="s">
        <v>433</v>
      </c>
      <c r="B480" s="5" t="s">
        <v>301</v>
      </c>
      <c r="C480" s="68">
        <v>0</v>
      </c>
      <c r="D480" s="68">
        <v>5.82</v>
      </c>
      <c r="E480" s="68">
        <v>0</v>
      </c>
      <c r="F480" s="68"/>
      <c r="G480" s="68"/>
      <c r="H480" s="68"/>
      <c r="I480" s="68"/>
      <c r="J480" s="68"/>
      <c r="K480" s="68"/>
      <c r="L480" s="68"/>
      <c r="M480" s="68"/>
      <c r="N480" s="68"/>
      <c r="O480" s="68"/>
      <c r="P480" s="68"/>
      <c r="Q480" s="68"/>
      <c r="R480" s="68"/>
      <c r="S480" s="68" t="str">
        <f>IFERROR(VLOOKUP('Leveranser per nät'!A480,'lev 2012'!$B$2:$E$445,4,FALSE),"")</f>
        <v/>
      </c>
      <c r="T480" s="68" t="str">
        <f>IFERROR(VLOOKUP('Leveranser per nät'!A480,'lev 2013'!$B$2:$E$445,4,FALSE),"")</f>
        <v/>
      </c>
      <c r="U480" s="68" t="str">
        <f>IFERROR(VLOOKUP('Leveranser per nät'!A480,'lev 2014'!$B$2:$E$432,4,FALSE),"")</f>
        <v/>
      </c>
      <c r="V480" s="68" t="str">
        <f>IFERROR(INDEX(Levererat_2015[Leveranser till eget nät],MATCH($A480,Levererat_2015[Indexnamn],0)),"")</f>
        <v/>
      </c>
      <c r="W480" s="68" t="str">
        <f>IFERROR(INDEX(Levererat_2016[Leveranser till eget nät],MATCH($A480,Levererat_2016[Indexnamn],0)),"")</f>
        <v/>
      </c>
      <c r="X480" s="68" t="str">
        <f>IFERROR(INDEX(Tabell4[Leveranser till eget nät],MATCH('Leveranser per nät'!A480,Tabell4[[Finns i listan ]],0)),"")</f>
        <v/>
      </c>
      <c r="Y480" s="68" t="str">
        <f>IFERROR(INDEX(Tabell6[Kolumn1],MATCH($A480,Tabell6[Indexnmamn],0)),"")</f>
        <v/>
      </c>
      <c r="Z480" s="68"/>
      <c r="AA480" s="68" t="s">
        <v>779</v>
      </c>
      <c r="AB480" s="10"/>
      <c r="AC480" s="10"/>
      <c r="AD480"/>
      <c r="AE480"/>
      <c r="AG480" s="2"/>
      <c r="AH480" s="103"/>
    </row>
    <row r="481" spans="1:34" s="77" customFormat="1" x14ac:dyDescent="0.25">
      <c r="A481" s="5" t="s">
        <v>248</v>
      </c>
      <c r="B481" s="5" t="s">
        <v>248</v>
      </c>
      <c r="C481" s="69"/>
      <c r="D481" s="69"/>
      <c r="E481" s="69"/>
      <c r="F481" s="69"/>
      <c r="G481" s="69"/>
      <c r="H481" s="69"/>
      <c r="I481" s="69"/>
      <c r="J481" s="69">
        <v>0</v>
      </c>
      <c r="K481" s="69">
        <v>14.9</v>
      </c>
      <c r="L481" s="69">
        <v>16.951000000000001</v>
      </c>
      <c r="M481" s="69">
        <v>16.951000000000001</v>
      </c>
      <c r="N481" s="69">
        <v>14.44</v>
      </c>
      <c r="O481" s="69">
        <v>15.031000000000001</v>
      </c>
      <c r="P481" s="69"/>
      <c r="Q481" s="69"/>
      <c r="R481" s="69"/>
      <c r="S481" s="69"/>
      <c r="T481" s="69">
        <v>17.7</v>
      </c>
      <c r="U481" s="69">
        <v>15.9</v>
      </c>
      <c r="V481" s="69">
        <v>17.3</v>
      </c>
      <c r="W481" s="69">
        <v>18.3</v>
      </c>
      <c r="X481" s="69">
        <v>17.2</v>
      </c>
      <c r="Y481" s="69">
        <v>17.600000000000001</v>
      </c>
      <c r="Z481" s="69">
        <v>18.5</v>
      </c>
      <c r="AA481" s="58">
        <v>35</v>
      </c>
      <c r="AB481" s="58">
        <f>VLOOKUP(A481,Tabell9[[Indexnamn]:[Kolumn1]],3,FALSE)</f>
        <v>38.700000000000003</v>
      </c>
      <c r="AC481" s="10">
        <f>VLOOKUP($A481,'Lev 2022'!$K$2:$L$474,2,FALSE)</f>
        <v>36.299999999999997</v>
      </c>
      <c r="AD481"/>
      <c r="AE481"/>
      <c r="AG481" s="2">
        <f t="shared" si="17"/>
        <v>-2.4000000000000057</v>
      </c>
      <c r="AH481" s="103">
        <f t="shared" si="18"/>
        <v>-6.2015503875969137E-2</v>
      </c>
    </row>
    <row r="482" spans="1:34" s="65" customFormat="1" x14ac:dyDescent="0.25">
      <c r="A482" s="65" t="s">
        <v>434</v>
      </c>
      <c r="B482" s="65" t="s">
        <v>238</v>
      </c>
      <c r="C482" s="68">
        <v>0</v>
      </c>
      <c r="D482" s="68">
        <v>0.71</v>
      </c>
      <c r="E482" s="68">
        <v>0</v>
      </c>
      <c r="F482" s="68"/>
      <c r="G482" s="68"/>
      <c r="H482" s="68"/>
      <c r="I482" s="68"/>
      <c r="J482" s="68"/>
      <c r="K482" s="68">
        <v>0</v>
      </c>
      <c r="L482" s="68">
        <v>4.8019999999999996</v>
      </c>
      <c r="M482" s="68">
        <v>0</v>
      </c>
      <c r="N482" s="68"/>
      <c r="O482" s="68"/>
      <c r="P482" s="68"/>
      <c r="Q482" s="68"/>
      <c r="R482" s="68"/>
      <c r="S482" s="68" t="str">
        <f>IFERROR(VLOOKUP('Leveranser per nät'!A482,'lev 2012'!$B$2:$E$445,4,FALSE),"")</f>
        <v/>
      </c>
      <c r="T482" s="68" t="str">
        <f>IFERROR(VLOOKUP('Leveranser per nät'!A482,'lev 2013'!$B$2:$E$445,4,FALSE),"")</f>
        <v/>
      </c>
      <c r="U482" s="68" t="str">
        <f>IFERROR(VLOOKUP('Leveranser per nät'!A482,'lev 2014'!$B$2:$E$432,4,FALSE),"")</f>
        <v/>
      </c>
      <c r="V482" s="68" t="str">
        <f>IFERROR(INDEX(Levererat_2015[Leveranser till eget nät],MATCH($A482,Levererat_2015[Indexnamn],0)),"")</f>
        <v/>
      </c>
      <c r="W482" s="68" t="str">
        <f>IFERROR(INDEX(Levererat_2016[Leveranser till eget nät],MATCH($A482,Levererat_2016[Indexnamn],0)),"")</f>
        <v/>
      </c>
      <c r="X482" s="68" t="str">
        <f>IFERROR(INDEX(Tabell4[Leveranser till eget nät],MATCH('Leveranser per nät'!A482,Tabell4[[Finns i listan ]],0)),"")</f>
        <v/>
      </c>
      <c r="Y482" s="68" t="str">
        <f>IFERROR(INDEX(Tabell6[Kolumn1],MATCH($A482,Tabell6[Indexnmamn],0)),"")</f>
        <v/>
      </c>
      <c r="Z482" s="68"/>
      <c r="AA482" s="68" t="s">
        <v>779</v>
      </c>
      <c r="AB482" s="10"/>
      <c r="AC482" s="10"/>
      <c r="AD482"/>
      <c r="AE482"/>
      <c r="AG482" s="2"/>
      <c r="AH482" s="103"/>
    </row>
    <row r="483" spans="1:34" x14ac:dyDescent="0.25">
      <c r="A483" t="s">
        <v>338</v>
      </c>
      <c r="B483" t="str">
        <f>VLOOKUP(A483,'Korrigerade leveranser GD'!$A$4:$B$482,2,FALSE)</f>
        <v>Vänersborg</v>
      </c>
      <c r="C483" s="10">
        <v>137</v>
      </c>
      <c r="D483" s="10">
        <v>137.13</v>
      </c>
      <c r="E483" s="56">
        <f>(D483-G483)/3*2+G483</f>
        <v>134.90533333333332</v>
      </c>
      <c r="F483" s="56">
        <f>(D483-G483)/3+G483</f>
        <v>132.68066666666667</v>
      </c>
      <c r="G483" s="10">
        <v>130.45599999999999</v>
      </c>
      <c r="H483" s="10">
        <v>151.77199999999999</v>
      </c>
      <c r="I483" s="10">
        <v>147.56100000000001</v>
      </c>
      <c r="J483" s="10">
        <v>146.90899999999999</v>
      </c>
      <c r="K483" s="10">
        <v>149.58099999999999</v>
      </c>
      <c r="L483" s="10">
        <v>111.38755933026722</v>
      </c>
      <c r="M483" s="10">
        <v>160.202</v>
      </c>
      <c r="N483" s="10">
        <v>140.30000000000001</v>
      </c>
      <c r="O483" s="10">
        <v>137.9</v>
      </c>
      <c r="P483" s="10">
        <v>150.1</v>
      </c>
      <c r="Q483" s="10">
        <v>176.42</v>
      </c>
      <c r="R483" s="10">
        <v>158.27199999999999</v>
      </c>
      <c r="S483" s="10">
        <f>IFERROR(VLOOKUP('Leveranser per nät'!A483,'lev 2012'!$B$2:$E$445,4,FALSE),"")</f>
        <v>145</v>
      </c>
      <c r="T483" s="10">
        <f>IFERROR(VLOOKUP('Leveranser per nät'!A483,'lev 2013'!$B$2:$E$445,4,FALSE),"")</f>
        <v>140.94999999999999</v>
      </c>
      <c r="U483" s="10">
        <f>IFERROR(VLOOKUP('Leveranser per nät'!A483,'lev 2014'!$B$2:$E$432,4,FALSE),"")</f>
        <v>126.6</v>
      </c>
      <c r="V483" s="10">
        <f>IFERROR(INDEX(Levererat_2015[Leveranser till eget nät],MATCH($A483,Levererat_2015[Indexnamn],0)),"")</f>
        <v>129.69999999999999</v>
      </c>
      <c r="W483" s="10">
        <f>IFERROR(INDEX(Levererat_2016[Leveranser till eget nät],MATCH($A483,Levererat_2016[Indexnamn],0)),"")</f>
        <v>131.43</v>
      </c>
      <c r="X483" s="10">
        <f>IFERROR(INDEX(Tabell4[Leveranser till eget nät],MATCH('Leveranser per nät'!A483,Tabell4[[Finns i listan ]],0)),"")</f>
        <v>134.5</v>
      </c>
      <c r="Y483" s="10">
        <f>IFERROR(INDEX(Tabell6[Kolumn1],MATCH($A483,Tabell6[Indexnmamn],0)),"")</f>
        <v>135.69</v>
      </c>
      <c r="Z483" s="10">
        <v>129.94099999999997</v>
      </c>
      <c r="AA483" s="10">
        <v>173.3</v>
      </c>
      <c r="AB483" s="10">
        <f>VLOOKUP(A483,Tabell9[[Indexnamn]:[Kolumn1]],3,FALSE)</f>
        <v>87.480000000000018</v>
      </c>
      <c r="AC483" s="10">
        <f>VLOOKUP($A483,'Lev 2022'!$K$2:$L$474,2,FALSE)</f>
        <v>126.002</v>
      </c>
      <c r="AG483" s="2">
        <f t="shared" si="17"/>
        <v>38.521999999999977</v>
      </c>
      <c r="AH483" s="103">
        <f t="shared" si="18"/>
        <v>0.44035208047553692</v>
      </c>
    </row>
    <row r="484" spans="1:34" s="77" customFormat="1" x14ac:dyDescent="0.25">
      <c r="A484" s="77" t="s">
        <v>435</v>
      </c>
      <c r="B484" s="77" t="str">
        <f>VLOOKUP(A484,'Korrigerade leveranser GD'!$A$4:$B$482,2,FALSE)</f>
        <v>Uppsala</v>
      </c>
      <c r="C484" s="69"/>
      <c r="D484" s="69"/>
      <c r="E484" s="69"/>
      <c r="F484" s="69"/>
      <c r="G484" s="69"/>
      <c r="H484" s="69"/>
      <c r="I484" s="69"/>
      <c r="J484" s="69"/>
      <c r="K484" s="69">
        <v>0</v>
      </c>
      <c r="L484" s="69">
        <v>2.0699651628696225</v>
      </c>
      <c r="M484" s="69">
        <v>3.17</v>
      </c>
      <c r="N484" s="69">
        <v>2.2000000000000002</v>
      </c>
      <c r="O484" s="69">
        <v>2.2000000000000002</v>
      </c>
      <c r="P484" s="56">
        <v>2.15</v>
      </c>
      <c r="Q484" s="69">
        <v>2.1</v>
      </c>
      <c r="R484" s="69">
        <v>2.2000000000000002</v>
      </c>
      <c r="S484" s="69">
        <f>IFERROR(VLOOKUP('Leveranser per nät'!A484,'lev 2012'!$B$2:$E$445,4,FALSE),"")</f>
        <v>2.2000000000000002</v>
      </c>
      <c r="T484" s="69">
        <f>IFERROR(VLOOKUP('Leveranser per nät'!A484,'lev 2013'!$B$2:$E$445,4,FALSE),"")</f>
        <v>2.2999999999999998</v>
      </c>
      <c r="U484" s="69">
        <f>IFERROR(VLOOKUP('Leveranser per nät'!A484,'lev 2014'!$B$2:$E$432,4,FALSE),"")</f>
        <v>2.19</v>
      </c>
      <c r="V484" s="69">
        <f>IFERROR(INDEX(Levererat_2015[Leveranser till eget nät],MATCH($A484,Levererat_2015[Indexnamn],0)),"")</f>
        <v>2.1779999999999999</v>
      </c>
      <c r="W484" s="69">
        <f>IFERROR(INDEX(Levererat_2016[Leveranser till eget nät],MATCH($A484,Levererat_2016[Indexnamn],0)),"")</f>
        <v>2.3860000000000001</v>
      </c>
      <c r="X484" s="69">
        <v>2.2999999999999998</v>
      </c>
      <c r="Y484" s="69">
        <v>2.2999999999999998</v>
      </c>
      <c r="Z484" s="69">
        <v>2.4</v>
      </c>
      <c r="AA484" s="69">
        <v>2.2999999999999998</v>
      </c>
      <c r="AB484" s="56"/>
      <c r="AC484" s="56"/>
      <c r="AD484"/>
      <c r="AE484"/>
      <c r="AG484" s="2"/>
      <c r="AH484" s="103"/>
    </row>
    <row r="485" spans="1:34" s="77" customFormat="1" x14ac:dyDescent="0.25">
      <c r="A485" s="5" t="s">
        <v>50</v>
      </c>
      <c r="B485" s="5" t="str">
        <f>VLOOKUP(A485,'Korrigerade leveranser GD'!$A$4:$B$482,2,FALSE)</f>
        <v>Vännäs</v>
      </c>
      <c r="C485" s="69">
        <v>31</v>
      </c>
      <c r="D485" s="69">
        <v>28.52</v>
      </c>
      <c r="E485" s="69">
        <v>30</v>
      </c>
      <c r="F485" s="69">
        <v>34</v>
      </c>
      <c r="G485" s="69">
        <v>31</v>
      </c>
      <c r="H485" s="69">
        <v>35</v>
      </c>
      <c r="I485" s="69">
        <v>38</v>
      </c>
      <c r="J485" s="69">
        <v>39</v>
      </c>
      <c r="K485" s="69">
        <v>37.570999999999998</v>
      </c>
      <c r="L485" s="69">
        <v>46.199630204009985</v>
      </c>
      <c r="M485" s="69">
        <v>32.799999999999997</v>
      </c>
      <c r="N485" s="69">
        <v>30.4</v>
      </c>
      <c r="O485" s="69">
        <v>39</v>
      </c>
      <c r="P485" s="69">
        <v>42</v>
      </c>
      <c r="Q485" s="69">
        <v>43.7</v>
      </c>
      <c r="R485" s="69">
        <v>36.51</v>
      </c>
      <c r="S485" s="69">
        <f>IFERROR(VLOOKUP('Leveranser per nät'!A485,'lev 2012'!$B$2:$E$445,4,FALSE),"")</f>
        <v>40</v>
      </c>
      <c r="T485" s="69">
        <v>43.9</v>
      </c>
      <c r="U485" s="56">
        <f>(T485-V485)/2+V485</f>
        <v>42.95</v>
      </c>
      <c r="V485" s="69">
        <v>42</v>
      </c>
      <c r="W485" s="69">
        <v>43.8</v>
      </c>
      <c r="X485" s="69">
        <v>42.9</v>
      </c>
      <c r="Y485" s="69">
        <v>42.3</v>
      </c>
      <c r="Z485" s="69">
        <v>42</v>
      </c>
      <c r="AA485" s="58">
        <v>32.58</v>
      </c>
      <c r="AB485" s="10">
        <f>VLOOKUP(A485,Tabell9[[Indexnamn]:[Kolumn1]],3,FALSE)</f>
        <v>38.186999999999998</v>
      </c>
      <c r="AC485" s="10">
        <f>VLOOKUP($A485,'Lev 2022'!$K$2:$L$474,2,FALSE)</f>
        <v>34.96</v>
      </c>
      <c r="AD485"/>
      <c r="AE485"/>
      <c r="AG485" s="2">
        <f t="shared" si="17"/>
        <v>-3.2269999999999968</v>
      </c>
      <c r="AH485" s="103">
        <f t="shared" si="18"/>
        <v>-8.4505198104066745E-2</v>
      </c>
    </row>
    <row r="486" spans="1:34" s="65" customFormat="1" x14ac:dyDescent="0.25">
      <c r="A486" s="65" t="s">
        <v>380</v>
      </c>
      <c r="B486" s="65" t="str">
        <f>VLOOKUP(A486,'Korrigerade leveranser GD'!$A$4:$B$482,2,FALSE)</f>
        <v>Vännäs</v>
      </c>
      <c r="C486" s="68"/>
      <c r="D486" s="68"/>
      <c r="E486" s="68"/>
      <c r="F486" s="68"/>
      <c r="G486" s="68"/>
      <c r="H486" s="68"/>
      <c r="I486" s="68"/>
      <c r="J486" s="68"/>
      <c r="K486" s="68"/>
      <c r="L486" s="68">
        <v>0</v>
      </c>
      <c r="M486" s="68">
        <v>3.15</v>
      </c>
      <c r="N486" s="68">
        <v>2.8</v>
      </c>
      <c r="O486" s="68">
        <v>4.4000000000000004</v>
      </c>
      <c r="P486" s="71">
        <f>(O486-Q486)/2+Q486</f>
        <v>4.875</v>
      </c>
      <c r="Q486" s="68">
        <v>5.35</v>
      </c>
      <c r="R486" s="68">
        <v>4.41</v>
      </c>
      <c r="S486" s="68" t="str">
        <f>IFERROR(VLOOKUP('Leveranser per nät'!A486,'lev 2012'!$B$2:$E$445,4,FALSE),"")</f>
        <v/>
      </c>
      <c r="T486" s="68" t="str">
        <f>IFERROR(VLOOKUP('Leveranser per nät'!A486,'lev 2013'!$B$2:$E$445,4,FALSE),"")</f>
        <v/>
      </c>
      <c r="U486" s="68" t="str">
        <f>IFERROR(VLOOKUP('Leveranser per nät'!A486,'lev 2014'!$B$2:$E$432,4,FALSE),"")</f>
        <v/>
      </c>
      <c r="V486" s="68" t="str">
        <f>IFERROR(INDEX(Levererat_2015[Leveranser till eget nät],MATCH($A486,Levererat_2015[Indexnamn],0)),"")</f>
        <v/>
      </c>
      <c r="W486" s="68" t="str">
        <f>IFERROR(INDEX(Levererat_2016[Leveranser till eget nät],MATCH($A486,Levererat_2016[Indexnamn],0)),"")</f>
        <v/>
      </c>
      <c r="X486" s="68" t="str">
        <f>IFERROR(INDEX(Tabell4[Leveranser till eget nät],MATCH('Leveranser per nät'!A486,Tabell4[[Finns i listan ]],0)),"")</f>
        <v/>
      </c>
      <c r="Y486" s="68" t="str">
        <f>IFERROR(INDEX(Tabell6[Kolumn1],MATCH($A486,Tabell6[Indexnmamn],0)),"")</f>
        <v/>
      </c>
      <c r="Z486" s="68"/>
      <c r="AA486" s="68" t="s">
        <v>779</v>
      </c>
      <c r="AB486" s="10"/>
      <c r="AC486" s="10"/>
      <c r="AD486"/>
      <c r="AE486"/>
      <c r="AG486" s="2"/>
      <c r="AH486" s="103"/>
    </row>
    <row r="487" spans="1:34" x14ac:dyDescent="0.25">
      <c r="A487" s="92" t="s">
        <v>355</v>
      </c>
      <c r="B487" t="s">
        <v>355</v>
      </c>
      <c r="C487" s="10">
        <v>98</v>
      </c>
      <c r="D487" s="10">
        <v>87.89</v>
      </c>
      <c r="E487" s="10">
        <v>91</v>
      </c>
      <c r="F487" s="10">
        <v>87</v>
      </c>
      <c r="G487" s="10">
        <v>82</v>
      </c>
      <c r="H487" s="10">
        <v>91</v>
      </c>
      <c r="I487" s="10">
        <v>95</v>
      </c>
      <c r="J487" s="10">
        <v>100</v>
      </c>
      <c r="K487" s="10">
        <v>106.416</v>
      </c>
      <c r="L487" s="10">
        <v>111.137</v>
      </c>
      <c r="M487" s="10">
        <v>117.3</v>
      </c>
      <c r="N487" s="10">
        <v>119.98154</v>
      </c>
      <c r="O487" s="10">
        <v>127.422518</v>
      </c>
      <c r="P487" s="10">
        <v>137.97691900000001</v>
      </c>
      <c r="Q487" s="10">
        <v>165.741704</v>
      </c>
      <c r="R487" s="10">
        <v>138.79082600000001</v>
      </c>
      <c r="S487" s="10">
        <f>IFERROR(VLOOKUP('Leveranser per nät'!A487,'lev 2012'!$B$2:$E$445,4,FALSE),"")</f>
        <v>154</v>
      </c>
      <c r="T487" s="10">
        <f>IFERROR(VLOOKUP('Leveranser per nät'!A487,'lev 2013'!$B$2:$E$445,4,FALSE),"")</f>
        <v>151.40799999999999</v>
      </c>
      <c r="U487" s="10">
        <f>IFERROR(VLOOKUP('Leveranser per nät'!A487,'lev 2014'!$B$2:$E$432,4,FALSE),"")</f>
        <v>134.1</v>
      </c>
      <c r="V487" s="10">
        <f>IFERROR(INDEX(Levererat_2015[Leveranser till eget nät],MATCH($A487,Levererat_2015[Indexnamn],0)),"")</f>
        <v>142.86080100000001</v>
      </c>
      <c r="W487" s="10">
        <f>IFERROR(INDEX(Levererat_2016[Leveranser till eget nät],MATCH($A487,Levererat_2016[Indexnamn],0)),"")</f>
        <v>149.369</v>
      </c>
      <c r="X487" s="10">
        <f>IFERROR(INDEX(Tabell4[Leveranser till eget nät],MATCH('Leveranser per nät'!A487,Tabell4[[Finns i listan ]],0)),"")</f>
        <v>153.68899999999999</v>
      </c>
      <c r="Y487" s="10">
        <f>IFERROR(INDEX(Tabell6[Kolumn1],MATCH($A487,Tabell6[Indexnmamn],0)),"")+0.482+0.713</f>
        <v>145.291</v>
      </c>
      <c r="Z487" s="10">
        <v>140.29599999999999</v>
      </c>
      <c r="AA487" s="10">
        <v>133.01900000000001</v>
      </c>
      <c r="AB487" s="10">
        <f>VLOOKUP(A487,Tabell9[[Indexnamn]:[Kolumn1]],3,FALSE)</f>
        <v>156.166</v>
      </c>
      <c r="AC487" s="10">
        <f>VLOOKUP($A487,'Lev 2022'!$K$2:$L$474,2,FALSE)</f>
        <v>141.869</v>
      </c>
      <c r="AG487" s="2">
        <f t="shared" si="17"/>
        <v>-14.296999999999997</v>
      </c>
      <c r="AH487" s="103">
        <f t="shared" si="18"/>
        <v>-9.1550017289294711E-2</v>
      </c>
    </row>
    <row r="488" spans="1:34" s="65" customFormat="1" x14ac:dyDescent="0.25">
      <c r="A488" s="65" t="s">
        <v>436</v>
      </c>
      <c r="B488" s="65" t="str">
        <f>VLOOKUP(A488,'Korrigerade leveranser GD'!$A$4:$B$482,2,FALSE)</f>
        <v>Sollentuna</v>
      </c>
      <c r="C488" s="68">
        <v>249.411</v>
      </c>
      <c r="D488" s="68">
        <v>201</v>
      </c>
      <c r="E488" s="68">
        <v>211.86799999999999</v>
      </c>
      <c r="F488" s="68">
        <v>199</v>
      </c>
      <c r="G488" s="68">
        <v>199</v>
      </c>
      <c r="H488" s="68">
        <v>0</v>
      </c>
      <c r="I488" s="68">
        <v>0</v>
      </c>
      <c r="J488" s="68">
        <v>186</v>
      </c>
      <c r="K488" s="68">
        <v>0</v>
      </c>
      <c r="L488" s="68"/>
      <c r="M488" s="68"/>
      <c r="N488" s="68"/>
      <c r="O488" s="68"/>
      <c r="P488" s="68"/>
      <c r="Q488" s="68"/>
      <c r="R488" s="68"/>
      <c r="S488" s="68" t="str">
        <f>IFERROR(VLOOKUP('Leveranser per nät'!A488,'lev 2012'!$B$2:$E$445,4,FALSE),"")</f>
        <v/>
      </c>
      <c r="T488" s="68" t="str">
        <f>IFERROR(VLOOKUP('Leveranser per nät'!A488,'lev 2013'!$B$2:$E$445,4,FALSE),"")</f>
        <v/>
      </c>
      <c r="U488" s="68" t="str">
        <f>IFERROR(VLOOKUP('Leveranser per nät'!A488,'lev 2014'!$B$2:$E$432,4,FALSE),"")</f>
        <v/>
      </c>
      <c r="V488" s="68" t="str">
        <f>IFERROR(INDEX(Levererat_2015[Leveranser till eget nät],MATCH($A488,Levererat_2015[Indexnamn],0)),"")</f>
        <v/>
      </c>
      <c r="W488" s="68" t="str">
        <f>IFERROR(INDEX(Levererat_2016[Leveranser till eget nät],MATCH($A488,Levererat_2016[Indexnamn],0)),"")</f>
        <v/>
      </c>
      <c r="X488" s="68" t="str">
        <f>IFERROR(INDEX(Tabell4[Leveranser till eget nät],MATCH('Leveranser per nät'!A488,Tabell4[[Finns i listan ]],0)),"")</f>
        <v/>
      </c>
      <c r="Y488" s="68" t="str">
        <f>IFERROR(INDEX(Tabell6[Kolumn1],MATCH($A488,Tabell6[Indexnmamn],0)),"")</f>
        <v/>
      </c>
      <c r="Z488" s="68"/>
      <c r="AA488" s="68" t="s">
        <v>779</v>
      </c>
      <c r="AB488" s="10"/>
      <c r="AC488" s="10"/>
      <c r="AD488"/>
      <c r="AE488"/>
      <c r="AG488" s="2"/>
      <c r="AH488" s="103"/>
    </row>
    <row r="489" spans="1:34" s="65" customFormat="1" x14ac:dyDescent="0.25">
      <c r="A489" t="s">
        <v>249</v>
      </c>
      <c r="B489" t="str">
        <f>VLOOKUP(A489,'Korrigerade leveranser GD'!$A$4:$B$482,2,FALSE)</f>
        <v>Vansbro</v>
      </c>
      <c r="C489" s="10"/>
      <c r="D489" s="10"/>
      <c r="E489" s="10"/>
      <c r="F489" s="10"/>
      <c r="G489" s="10"/>
      <c r="H489" s="10"/>
      <c r="I489" s="10"/>
      <c r="J489" s="10"/>
      <c r="K489" s="10"/>
      <c r="L489" s="10">
        <v>0</v>
      </c>
      <c r="M489" s="10">
        <v>15.3</v>
      </c>
      <c r="N489" s="10">
        <v>15.3</v>
      </c>
      <c r="O489" s="10">
        <v>0</v>
      </c>
      <c r="P489" s="10">
        <v>19</v>
      </c>
      <c r="Q489" s="10">
        <v>0</v>
      </c>
      <c r="R489" s="10"/>
      <c r="S489" s="10" t="str">
        <f>IFERROR(VLOOKUP('Leveranser per nät'!A489,'lev 2012'!$B$2:$E$445,4,FALSE),"")</f>
        <v/>
      </c>
      <c r="T489" s="10" t="str">
        <f>IFERROR(VLOOKUP('Leveranser per nät'!A489,'lev 2013'!$B$2:$E$445,4,FALSE),"")</f>
        <v/>
      </c>
      <c r="U489" s="10" t="str">
        <f>IFERROR(VLOOKUP('Leveranser per nät'!A489,'lev 2014'!$B$2:$E$432,4,FALSE),"")</f>
        <v/>
      </c>
      <c r="V489" s="69">
        <v>17</v>
      </c>
      <c r="W489" s="69">
        <v>18.600000000000001</v>
      </c>
      <c r="X489" s="69">
        <v>19</v>
      </c>
      <c r="Y489" s="69">
        <v>19.2</v>
      </c>
      <c r="Z489" s="69">
        <v>19.2</v>
      </c>
      <c r="AA489" s="10">
        <v>17.984000000000002</v>
      </c>
      <c r="AB489" s="10">
        <f>VLOOKUP(A489,Tabell9[[Indexnamn]:[Kolumn1]],3,FALSE)</f>
        <v>20.359000000000002</v>
      </c>
      <c r="AC489" s="10">
        <f>VLOOKUP($A489,'Lev 2022'!$K$2:$L$474,2,FALSE)</f>
        <v>19.331</v>
      </c>
      <c r="AD489"/>
      <c r="AE489"/>
      <c r="AG489" s="2">
        <f t="shared" si="17"/>
        <v>-1.0280000000000022</v>
      </c>
      <c r="AH489" s="103">
        <f t="shared" si="18"/>
        <v>-5.0493639176776961E-2</v>
      </c>
    </row>
    <row r="490" spans="1:34" s="65" customFormat="1" x14ac:dyDescent="0.25">
      <c r="A490" s="65" t="s">
        <v>74</v>
      </c>
      <c r="B490" s="65" t="str">
        <f>VLOOKUP(A490,'Korrigerade leveranser GD'!$A$4:$B$482,2,FALSE)</f>
        <v>Västervik</v>
      </c>
      <c r="C490" s="68"/>
      <c r="D490" s="68"/>
      <c r="E490" s="68"/>
      <c r="F490" s="68"/>
      <c r="G490" s="68"/>
      <c r="H490" s="68"/>
      <c r="I490" s="68"/>
      <c r="J490" s="68"/>
      <c r="K490" s="68"/>
      <c r="L490" s="68">
        <v>0</v>
      </c>
      <c r="M490" s="68">
        <v>0.5</v>
      </c>
      <c r="N490" s="68">
        <v>0.5</v>
      </c>
      <c r="O490" s="68">
        <v>0.5</v>
      </c>
      <c r="P490" s="68">
        <v>0.5</v>
      </c>
      <c r="Q490" s="68">
        <v>1.1125</v>
      </c>
      <c r="R490" s="68">
        <v>0.9</v>
      </c>
      <c r="S490" s="68">
        <f>IFERROR(VLOOKUP('Leveranser per nät'!A490,'lev 2012'!$B$2:$E$445,4,FALSE),"")</f>
        <v>1.26</v>
      </c>
      <c r="T490" s="68" t="str">
        <f>IFERROR(VLOOKUP('Leveranser per nät'!A490,'lev 2013'!$B$2:$E$445,4,FALSE),"")</f>
        <v/>
      </c>
      <c r="U490" s="68">
        <f>IFERROR(VLOOKUP('Leveranser per nät'!A490,'lev 2014'!$B$2:$E$432,4,FALSE),"")</f>
        <v>1.22</v>
      </c>
      <c r="V490" s="68" t="str">
        <f>IFERROR(INDEX(Levererat_2015[Leveranser till eget nät],MATCH($A490,Levererat_2015[Indexnamn],0)),"")</f>
        <v/>
      </c>
      <c r="W490" s="68" t="str">
        <f>IFERROR(INDEX(Levererat_2016[Leveranser till eget nät],MATCH($A490,Levererat_2016[Indexnamn],0)),"")</f>
        <v/>
      </c>
      <c r="X490" s="68" t="str">
        <f>IFERROR(INDEX(Tabell4[Leveranser till eget nät],MATCH('Leveranser per nät'!A490,Tabell4[[Finns i listan ]],0)),"")</f>
        <v/>
      </c>
      <c r="Y490" s="68" t="str">
        <f>IFERROR(INDEX(Tabell6[Kolumn1],MATCH($A490,Tabell6[Indexnmamn],0)),"")</f>
        <v/>
      </c>
      <c r="Z490" s="68"/>
      <c r="AA490" s="68" t="s">
        <v>779</v>
      </c>
      <c r="AB490" s="10"/>
      <c r="AC490" s="10"/>
      <c r="AD490"/>
      <c r="AE490"/>
      <c r="AG490" s="2"/>
      <c r="AH490" s="103"/>
    </row>
    <row r="491" spans="1:34" x14ac:dyDescent="0.25">
      <c r="A491" t="s">
        <v>362</v>
      </c>
      <c r="B491" t="str">
        <f>VLOOKUP(A491,'Korrigerade leveranser GD'!$A$4:$B$482,2,FALSE)</f>
        <v>Valdermarsvik</v>
      </c>
      <c r="C491" s="10">
        <v>195</v>
      </c>
      <c r="D491" s="10">
        <v>146.47999999999999</v>
      </c>
      <c r="E491" s="10">
        <v>161</v>
      </c>
      <c r="F491" s="10">
        <v>155</v>
      </c>
      <c r="G491" s="10">
        <v>149</v>
      </c>
      <c r="H491" s="10">
        <v>168</v>
      </c>
      <c r="I491" s="10">
        <v>166</v>
      </c>
      <c r="J491" s="10">
        <v>175</v>
      </c>
      <c r="K491" s="10">
        <v>170.399</v>
      </c>
      <c r="L491" s="10">
        <v>164.10400000000001</v>
      </c>
      <c r="M491" s="10">
        <v>163.93299999999999</v>
      </c>
      <c r="N491" s="10">
        <v>162.351</v>
      </c>
      <c r="O491" s="10">
        <v>159.70699999999999</v>
      </c>
      <c r="P491" s="10">
        <v>174.084</v>
      </c>
      <c r="Q491" s="10">
        <v>207.88</v>
      </c>
      <c r="R491" s="10">
        <v>176.05600000000001</v>
      </c>
      <c r="S491" s="10">
        <f>IFERROR(VLOOKUP('Leveranser per nät'!A491,'lev 2012'!$B$2:$E$445,4,FALSE),"")</f>
        <v>187</v>
      </c>
      <c r="T491" s="10">
        <f>IFERROR(VLOOKUP('Leveranser per nät'!A491,'lev 2013'!$B$2:$E$445,4,FALSE),"")</f>
        <v>184.5</v>
      </c>
      <c r="U491" s="10">
        <f>IFERROR(VLOOKUP('Leveranser per nät'!A491,'lev 2014'!$B$2:$E$432,4,FALSE),"")</f>
        <v>168.3</v>
      </c>
      <c r="V491" s="10">
        <f>IFERROR(INDEX(Levererat_2015[Leveranser till eget nät],MATCH($A491,Levererat_2015[Indexnamn],0)),"")</f>
        <v>167.3</v>
      </c>
      <c r="W491" s="10">
        <f>IFERROR(INDEX(Levererat_2016[Leveranser till eget nät],MATCH($A491,Levererat_2016[Indexnamn],0)),"")</f>
        <v>181.09899999999999</v>
      </c>
      <c r="X491" s="10">
        <f>IFERROR(INDEX(Tabell4[Leveranser till eget nät],MATCH('Leveranser per nät'!A491,Tabell4[[Finns i listan ]],0)),"")</f>
        <v>177.6</v>
      </c>
      <c r="Y491" s="10">
        <f>IFERROR(INDEX(Tabell6[Kolumn1],MATCH($A491,Tabell6[Indexnmamn],0)),"")</f>
        <v>177.5</v>
      </c>
      <c r="Z491" s="10">
        <v>170.3</v>
      </c>
      <c r="AA491" s="10">
        <v>156.19999999999999</v>
      </c>
      <c r="AB491" s="10">
        <f>VLOOKUP(A491,Tabell9[[Indexnamn]:[Kolumn1]],3,FALSE)</f>
        <v>180.6</v>
      </c>
      <c r="AC491" s="10">
        <f>VLOOKUP($A491,'Lev 2022'!$K$2:$L$474,2,FALSE)</f>
        <v>167.4</v>
      </c>
      <c r="AG491" s="2">
        <f t="shared" si="17"/>
        <v>-13.199999999999989</v>
      </c>
      <c r="AH491" s="103">
        <f t="shared" si="18"/>
        <v>-7.3089700996677678E-2</v>
      </c>
    </row>
    <row r="492" spans="1:34" x14ac:dyDescent="0.25">
      <c r="A492" s="104" t="s">
        <v>207</v>
      </c>
      <c r="B492" t="str">
        <f>VLOOKUP(A492,'Korrigerade leveranser GD'!$A$4:$B$482,2,FALSE)</f>
        <v>Västerås</v>
      </c>
      <c r="C492" s="10">
        <v>1617</v>
      </c>
      <c r="D492" s="10">
        <v>1448.39</v>
      </c>
      <c r="E492" s="10">
        <v>1516</v>
      </c>
      <c r="F492" s="10">
        <v>1516</v>
      </c>
      <c r="G492" s="10">
        <v>1342.1659999999999</v>
      </c>
      <c r="H492" s="10">
        <v>1490</v>
      </c>
      <c r="I492" s="10">
        <v>1451</v>
      </c>
      <c r="J492" s="10">
        <v>1459.1880000000001</v>
      </c>
      <c r="K492" s="10">
        <v>1543.8330000000001</v>
      </c>
      <c r="L492" s="10">
        <v>1491.546</v>
      </c>
      <c r="M492" s="10">
        <v>1501</v>
      </c>
      <c r="N492" s="10">
        <v>1582</v>
      </c>
      <c r="O492" s="10">
        <v>1483</v>
      </c>
      <c r="P492" s="10">
        <v>1624</v>
      </c>
      <c r="Q492" s="10">
        <v>1790</v>
      </c>
      <c r="R492" s="10">
        <v>1309</v>
      </c>
      <c r="S492" s="10">
        <f>IFERROR(VLOOKUP('Leveranser per nät'!A492,'lev 2012'!$B$2:$E$445,4,FALSE),"")</f>
        <v>1535</v>
      </c>
      <c r="T492" s="10">
        <f>IFERROR(VLOOKUP('Leveranser per nät'!A492,'lev 2013'!$B$2:$E$445,4,FALSE),"")</f>
        <v>1455</v>
      </c>
      <c r="U492" s="10">
        <f>IFERROR(VLOOKUP('Leveranser per nät'!A492,'lev 2014'!$B$2:$E$432,4,FALSE),"")+'lev 2014'!C405</f>
        <v>1360.7000800000001</v>
      </c>
      <c r="V492" s="10">
        <f>IFERROR(INDEX(Levererat_2015[Leveranser till eget nät],MATCH($A492,Levererat_2015[Indexnamn],0)),"")+'Lev 2015'!F374</f>
        <v>1348.009</v>
      </c>
      <c r="W492" s="10">
        <f>IFERROR(INDEX(Levererat_2016[Leveranser till eget nät],MATCH($A492,Levererat_2016[Indexnamn],0)),"")+'Lev 2016'!F218</f>
        <v>1462.172</v>
      </c>
      <c r="X492" s="10">
        <f>IFERROR(INDEX(Tabell4[Leveranser till eget nät],MATCH('Leveranser per nät'!A492,Tabell4[[Finns i listan ]],0)),"")+'Lev 2017'!K212</f>
        <v>1489.0341000000001</v>
      </c>
      <c r="Y492" s="10">
        <f>IFERROR(INDEX(Tabell6[Kolumn1],MATCH($A492,Tabell6[Indexnmamn],0)),"")+'Lev2018'!T185</f>
        <v>1465.3709999999999</v>
      </c>
      <c r="Z492" s="10">
        <f>1437.5+'Lev2019'!G186</f>
        <v>1482.6369999999999</v>
      </c>
      <c r="AA492" s="10">
        <v>1296.07</v>
      </c>
      <c r="AB492" s="10">
        <f>VLOOKUP(A492,Tabell9[[Indexnamn]:[Kolumn1]],3,FALSE)</f>
        <v>1519.5268149999999</v>
      </c>
      <c r="AC492" s="10">
        <f>VLOOKUP($A492,'Lev 2022'!$K$2:$L$474,2,FALSE)</f>
        <v>1406</v>
      </c>
      <c r="AG492" s="2">
        <f t="shared" si="17"/>
        <v>-113.52681499999994</v>
      </c>
      <c r="AH492" s="103">
        <f t="shared" si="18"/>
        <v>-7.471195235208794E-2</v>
      </c>
    </row>
    <row r="493" spans="1:34" x14ac:dyDescent="0.25">
      <c r="A493" t="s">
        <v>363</v>
      </c>
      <c r="B493" t="str">
        <f>VLOOKUP(A493,'Korrigerade leveranser GD'!$A$4:$B$482,2,FALSE)</f>
        <v>Växjö</v>
      </c>
      <c r="C493" s="10">
        <v>429.42200000000003</v>
      </c>
      <c r="D493" s="10">
        <v>414.03</v>
      </c>
      <c r="E493" s="10">
        <v>409</v>
      </c>
      <c r="F493" s="10">
        <v>392</v>
      </c>
      <c r="G493" s="10">
        <v>380</v>
      </c>
      <c r="H493" s="10">
        <v>426</v>
      </c>
      <c r="I493" s="10">
        <v>429.697</v>
      </c>
      <c r="J493" s="10">
        <v>470.39</v>
      </c>
      <c r="K493" s="10">
        <v>503.07900000000001</v>
      </c>
      <c r="L493" s="10">
        <v>458.11700000000002</v>
      </c>
      <c r="M493" s="10">
        <v>483</v>
      </c>
      <c r="N493" s="10">
        <v>483</v>
      </c>
      <c r="O493" s="10">
        <v>485.22</v>
      </c>
      <c r="P493" s="10">
        <v>527.00699999999995</v>
      </c>
      <c r="Q493" s="10">
        <v>566.86699999999996</v>
      </c>
      <c r="R493" s="10">
        <v>592.66200000000003</v>
      </c>
      <c r="S493" s="10">
        <f>IFERROR(VLOOKUP('Leveranser per nät'!A493,'lev 2012'!$B$2:$E$445,4,FALSE),"")</f>
        <v>557</v>
      </c>
      <c r="T493" s="10">
        <f>IFERROR(VLOOKUP('Leveranser per nät'!A493,'lev 2013'!$B$2:$E$445,4,FALSE),"")</f>
        <v>553.02300000000002</v>
      </c>
      <c r="U493" s="10">
        <f>IFERROR(VLOOKUP('Leveranser per nät'!A493,'lev 2014'!$B$2:$E$432,4,FALSE),"")</f>
        <v>532.09799999999996</v>
      </c>
      <c r="V493" s="10">
        <f>IFERROR(INDEX(Levererat_2015[Leveranser till eget nät],MATCH($A493,Levererat_2015[Indexnamn],0)),"")</f>
        <v>509.45299999999997</v>
      </c>
      <c r="W493" s="10">
        <f>IFERROR(INDEX(Levererat_2016[Leveranser till eget nät],MATCH($A493,Levererat_2016[Indexnamn],0)),"")</f>
        <v>538.08699999999999</v>
      </c>
      <c r="X493" s="58">
        <v>557.10599999999999</v>
      </c>
      <c r="Y493" s="10">
        <f>IFERROR(INDEX(Tabell6[Kolumn1],MATCH($A493,Tabell6[Indexnmamn],0)),"")</f>
        <v>534.84799999999996</v>
      </c>
      <c r="Z493" s="10">
        <v>516.1</v>
      </c>
      <c r="AA493" s="10">
        <v>534.1</v>
      </c>
      <c r="AB493" s="10">
        <f>VLOOKUP(A493,Tabell9[[Indexnamn]:[Kolumn1]],3,FALSE)</f>
        <v>570.11199999999997</v>
      </c>
      <c r="AC493" s="10">
        <f>VLOOKUP($A493,'Lev 2022'!$K$2:$L$474,2,FALSE)</f>
        <v>534.40599999999995</v>
      </c>
      <c r="AG493" s="2">
        <f t="shared" si="17"/>
        <v>-35.706000000000017</v>
      </c>
      <c r="AH493" s="103">
        <f t="shared" si="18"/>
        <v>-6.2629799057027424E-2</v>
      </c>
    </row>
    <row r="494" spans="1:34" x14ac:dyDescent="0.25">
      <c r="A494" t="s">
        <v>367</v>
      </c>
      <c r="B494" t="str">
        <f>VLOOKUP(A494,'Korrigerade leveranser GD'!$A$4:$B$482,2,FALSE)</f>
        <v>Kristianstad</v>
      </c>
      <c r="C494" s="10">
        <v>102</v>
      </c>
      <c r="D494" s="10">
        <v>89.38</v>
      </c>
      <c r="E494" s="10">
        <v>90</v>
      </c>
      <c r="F494" s="10">
        <v>96</v>
      </c>
      <c r="G494" s="10">
        <v>95</v>
      </c>
      <c r="H494" s="10">
        <v>102</v>
      </c>
      <c r="I494" s="10">
        <v>106</v>
      </c>
      <c r="J494" s="10">
        <v>114.56399999999999</v>
      </c>
      <c r="K494" s="10">
        <v>118.661</v>
      </c>
      <c r="L494" s="10">
        <v>120.4</v>
      </c>
      <c r="M494" s="10">
        <v>117</v>
      </c>
      <c r="N494" s="10">
        <v>115</v>
      </c>
      <c r="O494" s="10">
        <v>117</v>
      </c>
      <c r="P494" s="10">
        <v>128</v>
      </c>
      <c r="Q494" s="10">
        <v>149</v>
      </c>
      <c r="R494" s="10">
        <v>132.142</v>
      </c>
      <c r="S494" s="10">
        <f>IFERROR(VLOOKUP('Leveranser per nät'!A494,'lev 2012'!$B$2:$E$445,4,FALSE),"")</f>
        <v>137</v>
      </c>
      <c r="T494" s="10">
        <f>IFERROR(VLOOKUP('Leveranser per nät'!A494,'lev 2013'!$B$2:$E$445,4,FALSE),"")</f>
        <v>137.30000000000001</v>
      </c>
      <c r="U494" s="10">
        <f>IFERROR(VLOOKUP('Leveranser per nät'!A494,'lev 2014'!$B$2:$E$432,4,FALSE),"")</f>
        <v>122.8</v>
      </c>
      <c r="V494" s="10">
        <f>IFERROR(INDEX(Levererat_2015[Leveranser till eget nät],MATCH($A494,Levererat_2015[Indexnamn],0)),"")</f>
        <v>127.248</v>
      </c>
      <c r="W494" s="10">
        <f>IFERROR(INDEX(Levererat_2016[Leveranser till eget nät],MATCH($A494,Levererat_2016[Indexnamn],0)),"")</f>
        <v>131.964</v>
      </c>
      <c r="X494" s="10">
        <f>IFERROR(INDEX(Tabell4[Leveranser till eget nät],MATCH('Leveranser per nät'!A494,Tabell4[[Finns i listan ]],0)),"")</f>
        <v>134.52000000000001</v>
      </c>
      <c r="Y494" s="10">
        <f>IFERROR(INDEX(Tabell6[Kolumn1],MATCH($A494,Tabell6[Indexnmamn],0)),"")</f>
        <v>133.149</v>
      </c>
      <c r="Z494" s="10">
        <v>128.572</v>
      </c>
      <c r="AA494" s="10">
        <v>122.964</v>
      </c>
      <c r="AB494" s="10">
        <f>VLOOKUP(A494,Tabell9[[Indexnamn]:[Kolumn1]],3,FALSE)</f>
        <v>143.68600000000001</v>
      </c>
      <c r="AC494" s="10">
        <f>VLOOKUP($A494,'Lev 2022'!$K$2:$L$474,2,FALSE)</f>
        <v>131.62799999999999</v>
      </c>
      <c r="AG494" s="2">
        <f t="shared" si="17"/>
        <v>-12.058000000000021</v>
      </c>
      <c r="AH494" s="103">
        <f t="shared" si="18"/>
        <v>-8.3919101373829186E-2</v>
      </c>
    </row>
    <row r="495" spans="1:34" s="65" customFormat="1" x14ac:dyDescent="0.25">
      <c r="A495" s="65" t="s">
        <v>36</v>
      </c>
      <c r="B495" s="65" t="str">
        <f>VLOOKUP(A495,'Korrigerade leveranser GD'!$A$4:$B$482,2,FALSE)</f>
        <v>Strängnäs</v>
      </c>
      <c r="C495" s="68"/>
      <c r="D495" s="68"/>
      <c r="E495" s="68"/>
      <c r="F495" s="68"/>
      <c r="G495" s="68"/>
      <c r="H495" s="68"/>
      <c r="I495" s="68"/>
      <c r="J495" s="68">
        <v>0</v>
      </c>
      <c r="K495" s="68">
        <v>8.6910000000000007</v>
      </c>
      <c r="L495" s="68">
        <v>10.026</v>
      </c>
      <c r="M495" s="68">
        <v>10.278</v>
      </c>
      <c r="N495" s="68">
        <v>12.374000000000001</v>
      </c>
      <c r="O495" s="68">
        <v>13.381</v>
      </c>
      <c r="P495" s="68">
        <v>15.513</v>
      </c>
      <c r="Q495" s="68">
        <v>0</v>
      </c>
      <c r="R495" s="68"/>
      <c r="S495" s="68" t="str">
        <f>IFERROR(VLOOKUP('Leveranser per nät'!A495,'lev 2012'!$B$2:$E$445,4,FALSE),"")</f>
        <v/>
      </c>
      <c r="T495" s="68" t="str">
        <f>IFERROR(VLOOKUP('Leveranser per nät'!A495,'lev 2013'!$B$2:$E$445,4,FALSE),"")</f>
        <v/>
      </c>
      <c r="U495" s="68" t="str">
        <f>IFERROR(VLOOKUP('Leveranser per nät'!A495,'lev 2014'!$B$2:$E$432,4,FALSE),"")</f>
        <v/>
      </c>
      <c r="V495" s="68" t="str">
        <f>IFERROR(INDEX(Levererat_2015[Leveranser till eget nät],MATCH($A495,Levererat_2015[Indexnamn],0)),"")</f>
        <v/>
      </c>
      <c r="W495" s="68" t="str">
        <f>IFERROR(INDEX(Levererat_2016[Leveranser till eget nät],MATCH($A495,Levererat_2016[Indexnamn],0)),"")</f>
        <v/>
      </c>
      <c r="X495" s="68" t="str">
        <f>IFERROR(INDEX(Tabell4[Leveranser till eget nät],MATCH('Leveranser per nät'!A495,Tabell4[[Finns i listan ]],0)),"")</f>
        <v/>
      </c>
      <c r="Y495" s="68" t="str">
        <f>IFERROR(INDEX(Tabell6[Kolumn1],MATCH($A495,Tabell6[Indexnmamn],0)),"")</f>
        <v/>
      </c>
      <c r="Z495" s="68"/>
      <c r="AA495" s="68" t="s">
        <v>779</v>
      </c>
      <c r="AB495" s="10"/>
      <c r="AC495" s="10"/>
      <c r="AD495"/>
      <c r="AE495"/>
      <c r="AG495" s="2"/>
      <c r="AH495" s="103"/>
    </row>
    <row r="496" spans="1:34" s="65" customFormat="1" x14ac:dyDescent="0.25">
      <c r="A496" s="65" t="s">
        <v>287</v>
      </c>
      <c r="B496" s="65" t="str">
        <f>VLOOKUP(A496,'Korrigerade leveranser GD'!$A$4:$B$482,2,FALSE)</f>
        <v>Södertälje</v>
      </c>
      <c r="C496" s="68"/>
      <c r="D496" s="68"/>
      <c r="E496" s="68"/>
      <c r="F496" s="68"/>
      <c r="G496" s="68"/>
      <c r="H496" s="68"/>
      <c r="I496" s="68"/>
      <c r="J496" s="68">
        <v>0</v>
      </c>
      <c r="K496" s="68">
        <v>2.5219999999999998</v>
      </c>
      <c r="L496" s="68">
        <v>6.5780000000000003</v>
      </c>
      <c r="M496" s="68">
        <v>6.5780000000000003</v>
      </c>
      <c r="N496" s="68">
        <v>6.5780000000000003</v>
      </c>
      <c r="O496" s="68">
        <v>5.7</v>
      </c>
      <c r="P496" s="68">
        <v>8</v>
      </c>
      <c r="Q496" s="68">
        <v>0</v>
      </c>
      <c r="R496" s="68"/>
      <c r="S496" s="68" t="str">
        <f>IFERROR(VLOOKUP('Leveranser per nät'!A496,'lev 2012'!$B$2:$E$445,4,FALSE),"")</f>
        <v/>
      </c>
      <c r="T496" s="68" t="str">
        <f>IFERROR(VLOOKUP('Leveranser per nät'!A496,'lev 2013'!$B$2:$E$445,4,FALSE),"")</f>
        <v/>
      </c>
      <c r="U496" s="68" t="str">
        <f>IFERROR(VLOOKUP('Leveranser per nät'!A496,'lev 2014'!$B$2:$E$432,4,FALSE),"")</f>
        <v/>
      </c>
      <c r="V496" s="68" t="str">
        <f>IFERROR(INDEX(Levererat_2015[Leveranser till eget nät],MATCH($A496,Levererat_2015[Indexnamn],0)),"")</f>
        <v/>
      </c>
      <c r="W496" s="68" t="str">
        <f>IFERROR(INDEX(Levererat_2016[Leveranser till eget nät],MATCH($A496,Levererat_2016[Indexnamn],0)),"")</f>
        <v/>
      </c>
      <c r="X496" s="68" t="str">
        <f>IFERROR(INDEX(Tabell4[Leveranser till eget nät],MATCH('Leveranser per nät'!A496,Tabell4[[Finns i listan ]],0)),"")</f>
        <v/>
      </c>
      <c r="Y496" s="68" t="str">
        <f>IFERROR(INDEX(Tabell6[Kolumn1],MATCH($A496,Tabell6[Indexnmamn],0)),"")</f>
        <v/>
      </c>
      <c r="Z496" s="68"/>
      <c r="AA496" s="68" t="s">
        <v>779</v>
      </c>
      <c r="AB496" s="10"/>
      <c r="AC496" s="10"/>
      <c r="AD496"/>
      <c r="AE496"/>
      <c r="AG496" s="2"/>
      <c r="AH496" s="103"/>
    </row>
    <row r="497" spans="1:34" s="65" customFormat="1" x14ac:dyDescent="0.25">
      <c r="A497" s="65" t="s">
        <v>437</v>
      </c>
      <c r="B497" s="65" t="str">
        <f>VLOOKUP(A497,'Korrigerade leveranser GD'!$A$4:$B$482,2,FALSE)</f>
        <v>Österåker</v>
      </c>
      <c r="C497" s="68">
        <v>54.13</v>
      </c>
      <c r="D497" s="68">
        <v>48.814</v>
      </c>
      <c r="E497" s="68">
        <v>49.527999999999999</v>
      </c>
      <c r="F497" s="68">
        <v>46.933</v>
      </c>
      <c r="G497" s="68">
        <v>0</v>
      </c>
      <c r="H497" s="68"/>
      <c r="I497" s="68"/>
      <c r="J497" s="68"/>
      <c r="K497" s="68"/>
      <c r="L497" s="68"/>
      <c r="M497" s="68"/>
      <c r="N497" s="68"/>
      <c r="O497" s="68"/>
      <c r="P497" s="68"/>
      <c r="Q497" s="68"/>
      <c r="R497" s="68"/>
      <c r="S497" s="68" t="str">
        <f>IFERROR(VLOOKUP('Leveranser per nät'!A497,'lev 2012'!$B$2:$E$445,4,FALSE),"")</f>
        <v/>
      </c>
      <c r="T497" s="68" t="str">
        <f>IFERROR(VLOOKUP('Leveranser per nät'!A497,'lev 2013'!$B$2:$E$445,4,FALSE),"")</f>
        <v/>
      </c>
      <c r="U497" s="68" t="str">
        <f>IFERROR(VLOOKUP('Leveranser per nät'!A497,'lev 2014'!$B$2:$E$432,4,FALSE),"")</f>
        <v/>
      </c>
      <c r="V497" s="68" t="str">
        <f>IFERROR(INDEX(Levererat_2015[Leveranser till eget nät],MATCH($A497,Levererat_2015[Indexnamn],0)),"")</f>
        <v/>
      </c>
      <c r="W497" s="68" t="str">
        <f>IFERROR(INDEX(Levererat_2016[Leveranser till eget nät],MATCH($A497,Levererat_2016[Indexnamn],0)),"")</f>
        <v/>
      </c>
      <c r="X497" s="68" t="str">
        <f>IFERROR(INDEX(Tabell4[Leveranser till eget nät],MATCH('Leveranser per nät'!A497,Tabell4[[Finns i listan ]],0)),"")</f>
        <v/>
      </c>
      <c r="Y497" s="68" t="str">
        <f>IFERROR(INDEX(Tabell6[Kolumn1],MATCH($A497,Tabell6[Indexnmamn],0)),"")</f>
        <v/>
      </c>
      <c r="Z497" s="68"/>
      <c r="AA497" s="68" t="s">
        <v>779</v>
      </c>
      <c r="AB497" s="10"/>
      <c r="AC497" s="10"/>
      <c r="AD497"/>
      <c r="AE497"/>
      <c r="AG497" s="2"/>
      <c r="AH497" s="103"/>
    </row>
    <row r="498" spans="1:34" x14ac:dyDescent="0.25">
      <c r="A498" t="s">
        <v>281</v>
      </c>
      <c r="B498" t="str">
        <f>VLOOKUP(A498,'Korrigerade leveranser GD'!$A$4:$B$482,2,FALSE)</f>
        <v>Åmål</v>
      </c>
      <c r="C498" s="10"/>
      <c r="D498" s="10"/>
      <c r="E498" s="10"/>
      <c r="F498" s="10"/>
      <c r="G498" s="10"/>
      <c r="H498" s="10"/>
      <c r="I498" s="10"/>
      <c r="J498" s="10"/>
      <c r="K498" s="10">
        <v>0</v>
      </c>
      <c r="L498" s="10">
        <v>30.955067427104868</v>
      </c>
      <c r="M498" s="10">
        <v>27.068999999999999</v>
      </c>
      <c r="N498" s="10">
        <v>30.8</v>
      </c>
      <c r="O498" s="10">
        <v>41.86</v>
      </c>
      <c r="P498" s="10">
        <v>46.78</v>
      </c>
      <c r="Q498" s="10">
        <v>51.7</v>
      </c>
      <c r="R498" s="10">
        <v>39.1</v>
      </c>
      <c r="S498" s="10">
        <f>IFERROR(VLOOKUP('Leveranser per nät'!A498,'lev 2012'!$B$2:$E$445,4,FALSE),"")</f>
        <v>43</v>
      </c>
      <c r="T498" s="10">
        <f>IFERROR(VLOOKUP('Leveranser per nät'!A498,'lev 2013'!$B$2:$E$445,4,FALSE),"")</f>
        <v>42.76</v>
      </c>
      <c r="U498" s="10">
        <f>IFERROR(VLOOKUP('Leveranser per nät'!A498,'lev 2014'!$B$2:$E$432,4,FALSE),"")</f>
        <v>38.57</v>
      </c>
      <c r="V498" s="10">
        <f>IFERROR(INDEX(Levererat_2015[Leveranser till eget nät],MATCH($A498,Levererat_2015[Indexnamn],0)),"")</f>
        <v>38.46</v>
      </c>
      <c r="W498" s="10">
        <f>IFERROR(INDEX(Levererat_2016[Leveranser till eget nät],MATCH($A498,Levererat_2016[Indexnamn],0)),"")</f>
        <v>43.3</v>
      </c>
      <c r="X498" s="10">
        <f>IFERROR(INDEX(Tabell4[Leveranser till eget nät],MATCH('Leveranser per nät'!A498,Tabell4[[Finns i listan ]],0)),"")</f>
        <v>41.34</v>
      </c>
      <c r="Y498" s="10">
        <f>IFERROR(INDEX(Tabell6[Kolumn1],MATCH($A498,Tabell6[Indexnmamn],0)),"")</f>
        <v>42.33</v>
      </c>
      <c r="Z498" s="10">
        <v>42.05</v>
      </c>
      <c r="AA498" s="10">
        <v>37.659999999999997</v>
      </c>
      <c r="AB498" s="10">
        <f>VLOOKUP(A498,Tabell9[[Indexnamn]:[Kolumn1]],3,FALSE)</f>
        <v>44.08</v>
      </c>
      <c r="AC498" s="10">
        <f>VLOOKUP($A498,'Lev 2022'!$K$2:$L$474,2,FALSE)</f>
        <v>40.049999999999997</v>
      </c>
      <c r="AG498" s="2">
        <f t="shared" si="17"/>
        <v>-4.0300000000000011</v>
      </c>
      <c r="AH498" s="103">
        <f t="shared" si="18"/>
        <v>-9.1424682395644316E-2</v>
      </c>
    </row>
    <row r="499" spans="1:34" x14ac:dyDescent="0.25">
      <c r="A499" t="s">
        <v>370</v>
      </c>
      <c r="B499" t="str">
        <f>VLOOKUP(A499,'Korrigerade leveranser GD'!$A$4:$B$482,2,FALSE)</f>
        <v>Ånge</v>
      </c>
      <c r="C499" s="10">
        <v>19</v>
      </c>
      <c r="D499" s="10">
        <v>16.8</v>
      </c>
      <c r="E499" s="10">
        <v>19</v>
      </c>
      <c r="F499" s="10">
        <v>23</v>
      </c>
      <c r="G499" s="10">
        <v>25</v>
      </c>
      <c r="H499" s="10">
        <v>28.183</v>
      </c>
      <c r="I499" s="10">
        <v>26</v>
      </c>
      <c r="J499" s="10">
        <v>28.164000000000001</v>
      </c>
      <c r="K499" s="10">
        <v>21.254000000000001</v>
      </c>
      <c r="L499" s="10">
        <v>21.631</v>
      </c>
      <c r="M499" s="10">
        <v>23</v>
      </c>
      <c r="N499" s="10">
        <v>24.518999999999998</v>
      </c>
      <c r="O499" s="10">
        <v>24.199000000000002</v>
      </c>
      <c r="P499" s="10">
        <v>24.277999999999999</v>
      </c>
      <c r="Q499" s="10">
        <v>26.904</v>
      </c>
      <c r="R499" s="10">
        <v>21.367999999999999</v>
      </c>
      <c r="S499" s="10">
        <f>IFERROR(VLOOKUP('Leveranser per nät'!A499,'lev 2012'!$B$2:$E$445,4,FALSE),"")</f>
        <v>24</v>
      </c>
      <c r="T499" s="58">
        <v>22.3</v>
      </c>
      <c r="U499" s="10">
        <f>IFERROR(VLOOKUP('Leveranser per nät'!A499,'lev 2014'!$B$2:$E$432,4,FALSE),"")</f>
        <v>21.67</v>
      </c>
      <c r="V499" s="10">
        <f>IFERROR(INDEX(Levererat_2015[Leveranser till eget nät],MATCH($A499,Levererat_2015[Indexnamn],0)),"")</f>
        <v>20.7</v>
      </c>
      <c r="W499" s="10">
        <f>IFERROR(INDEX(Levererat_2016[Leveranser till eget nät],MATCH($A499,Levererat_2016[Indexnamn],0)),"")</f>
        <v>22.411000000000001</v>
      </c>
      <c r="X499" s="10">
        <f>IFERROR(INDEX(Tabell4[Leveranser till eget nät],MATCH('Leveranser per nät'!A499,Tabell4[[Finns i listan ]],0)),"")</f>
        <v>23.01</v>
      </c>
      <c r="Y499" s="10">
        <f>IFERROR(INDEX(Tabell6[Kolumn1],MATCH($A499,Tabell6[Indexnmamn],0)),"")</f>
        <v>23.193000000000001</v>
      </c>
      <c r="Z499" s="10">
        <v>22.417999999999999</v>
      </c>
      <c r="AA499" s="10">
        <v>19.945</v>
      </c>
      <c r="AB499" s="10">
        <f>VLOOKUP(A499,Tabell9[[Indexnamn]:[Kolumn1]],3,FALSE)</f>
        <v>23.084</v>
      </c>
      <c r="AC499" s="10">
        <f>VLOOKUP($A499,'Lev 2022'!$K$2:$L$474,2,FALSE)</f>
        <v>21.763000000000002</v>
      </c>
      <c r="AG499" s="2">
        <f t="shared" si="17"/>
        <v>-1.320999999999998</v>
      </c>
      <c r="AH499" s="103">
        <f t="shared" si="18"/>
        <v>-5.7225784092878096E-2</v>
      </c>
    </row>
    <row r="500" spans="1:34" x14ac:dyDescent="0.25">
      <c r="A500" t="s">
        <v>274</v>
      </c>
      <c r="B500" t="str">
        <f>VLOOKUP(A500,'Korrigerade leveranser GD'!$A$4:$B$482,2,FALSE)</f>
        <v>Robertsfors</v>
      </c>
      <c r="C500" s="10"/>
      <c r="D500" s="10"/>
      <c r="E500" s="10"/>
      <c r="F500" s="10"/>
      <c r="G500" s="10"/>
      <c r="H500" s="10"/>
      <c r="I500" s="10"/>
      <c r="J500" s="10"/>
      <c r="K500" s="10"/>
      <c r="L500" s="10">
        <v>0</v>
      </c>
      <c r="M500" s="10">
        <v>2.585</v>
      </c>
      <c r="N500" s="10">
        <v>2.8679999999999999</v>
      </c>
      <c r="O500" s="10">
        <v>2.4740000000000002</v>
      </c>
      <c r="P500" s="10">
        <v>2.5089999999999999</v>
      </c>
      <c r="Q500" s="10">
        <v>2.5569999999999999</v>
      </c>
      <c r="R500" s="10">
        <v>2.4</v>
      </c>
      <c r="S500" s="10">
        <f>IFERROR(VLOOKUP('Leveranser per nät'!A500,'lev 2012'!$B$2:$E$445,4,FALSE),"")</f>
        <v>2.5</v>
      </c>
      <c r="T500" s="10">
        <f>IFERROR(VLOOKUP('Leveranser per nät'!A500,'lev 2013'!$B$2:$E$445,4,FALSE),"")</f>
        <v>2.573</v>
      </c>
      <c r="U500" s="10">
        <f>IFERROR(VLOOKUP('Leveranser per nät'!A500,'lev 2014'!$B$2:$E$432,4,FALSE),"")</f>
        <v>2.488</v>
      </c>
      <c r="V500" s="10">
        <f>IFERROR(INDEX(Levererat_2015[Leveranser till eget nät],MATCH($A500,Levererat_2015[Indexnamn],0)),"")</f>
        <v>2.3050000000000002</v>
      </c>
      <c r="W500" s="10">
        <f>IFERROR(INDEX(Levererat_2016[Leveranser till eget nät],MATCH($A500,Levererat_2016[Indexnamn],0)),"")</f>
        <v>2.5550000000000002</v>
      </c>
      <c r="X500" s="10">
        <f>IFERROR(INDEX(Tabell4[Leveranser till eget nät],MATCH('Leveranser per nät'!A500,Tabell4[[Finns i listan ]],0)),"")</f>
        <v>2.63</v>
      </c>
      <c r="Y500" s="10">
        <v>2.7559999999999998</v>
      </c>
      <c r="Z500" s="10">
        <v>2.7869999999999999</v>
      </c>
      <c r="AA500" s="10">
        <v>2.2197</v>
      </c>
      <c r="AB500" s="10">
        <f>VLOOKUP(A500,Tabell9[[Indexnamn]:[Kolumn1]],3,FALSE)</f>
        <v>2.6810999999999998</v>
      </c>
      <c r="AC500" s="10">
        <f>VLOOKUP($A500,'Lev 2022'!$K$2:$L$474,2,FALSE)</f>
        <v>2.5691000000000002</v>
      </c>
      <c r="AG500" s="2">
        <f t="shared" si="17"/>
        <v>-0.11199999999999966</v>
      </c>
      <c r="AH500" s="103">
        <f t="shared" si="18"/>
        <v>-4.1773898772891595E-2</v>
      </c>
    </row>
    <row r="501" spans="1:34" x14ac:dyDescent="0.25">
      <c r="A501" t="s">
        <v>156</v>
      </c>
      <c r="B501" t="str">
        <f>VLOOKUP(A501,'Korrigerade leveranser GD'!$A$4:$B$482,2,FALSE)</f>
        <v>Åre</v>
      </c>
      <c r="C501" s="10"/>
      <c r="D501" s="10"/>
      <c r="E501" s="10"/>
      <c r="F501" s="10"/>
      <c r="G501" s="10">
        <v>0</v>
      </c>
      <c r="H501" s="10">
        <v>39</v>
      </c>
      <c r="I501" s="10">
        <v>35</v>
      </c>
      <c r="J501" s="10">
        <v>35</v>
      </c>
      <c r="K501" s="10">
        <v>16.989799999999999</v>
      </c>
      <c r="L501" s="10">
        <v>24.366799999999998</v>
      </c>
      <c r="M501" s="10">
        <v>24.366799999999998</v>
      </c>
      <c r="N501" s="10">
        <v>51.4</v>
      </c>
      <c r="O501" s="10">
        <v>50.3</v>
      </c>
      <c r="P501" s="10">
        <v>52.6</v>
      </c>
      <c r="Q501" s="10">
        <v>60.6</v>
      </c>
      <c r="R501" s="10">
        <v>30.8</v>
      </c>
      <c r="S501" s="10">
        <f>IFERROR(VLOOKUP('Leveranser per nät'!A501,'lev 2012'!$B$2:$E$445,4,FALSE),"")</f>
        <v>56</v>
      </c>
      <c r="T501" s="10">
        <f>IFERROR(VLOOKUP('Leveranser per nät'!A501,'lev 2013'!$B$2:$E$445,4,FALSE),"")</f>
        <v>54.3</v>
      </c>
      <c r="U501" s="10">
        <f>IFERROR(VLOOKUP('Leveranser per nät'!A501,'lev 2014'!$B$2:$E$432,4,FALSE),"")</f>
        <v>52.44</v>
      </c>
      <c r="V501" s="10">
        <f>IFERROR(INDEX(Levererat_2015[Leveranser till eget nät],MATCH($A501,Levererat_2015[Indexnamn],0)),"")</f>
        <v>51.56</v>
      </c>
      <c r="W501" s="10">
        <f>IFERROR(INDEX(Levererat_2016[Leveranser till eget nät],MATCH($A501,Levererat_2016[Indexnamn],0)),"")</f>
        <v>54.68</v>
      </c>
      <c r="X501" s="10">
        <f>IFERROR(INDEX(Tabell4[Leveranser till eget nät],MATCH('Leveranser per nät'!A501,Tabell4[[Finns i listan ]],0)),"")</f>
        <v>55.86</v>
      </c>
      <c r="Y501" s="10">
        <f>IFERROR(INDEX(Tabell6[Kolumn1],MATCH($A501,Tabell6[Indexnmamn],0)),"")</f>
        <v>57.2</v>
      </c>
      <c r="Z501" s="10">
        <v>56.55</v>
      </c>
      <c r="AA501" s="10">
        <v>52.835999999999999</v>
      </c>
      <c r="AB501" s="10">
        <f>VLOOKUP(A501,Tabell9[[Indexnamn]:[Kolumn1]],3,FALSE)</f>
        <v>57.572000000000003</v>
      </c>
      <c r="AC501" s="10">
        <f>VLOOKUP($A501,'Lev 2022'!$K$2:$L$474,2,FALSE)</f>
        <v>35.684000000000005</v>
      </c>
      <c r="AG501" s="2">
        <f t="shared" si="17"/>
        <v>-21.887999999999998</v>
      </c>
      <c r="AH501" s="103">
        <f t="shared" si="18"/>
        <v>-0.38018481206141869</v>
      </c>
    </row>
    <row r="502" spans="1:34" x14ac:dyDescent="0.25">
      <c r="A502" t="s">
        <v>217</v>
      </c>
      <c r="B502" t="str">
        <f>VLOOKUP(A502,'Korrigerade leveranser GD'!$A$4:$B$482,2,FALSE)</f>
        <v>Hagfors</v>
      </c>
      <c r="C502" s="10"/>
      <c r="D502" s="10"/>
      <c r="E502" s="10"/>
      <c r="F502" s="10">
        <v>0</v>
      </c>
      <c r="G502" s="10">
        <v>45</v>
      </c>
      <c r="H502" s="10">
        <v>45</v>
      </c>
      <c r="I502" s="10">
        <v>27.744</v>
      </c>
      <c r="J502" s="10">
        <v>43.491</v>
      </c>
      <c r="K502" s="10">
        <v>47.204999999999998</v>
      </c>
      <c r="L502" s="10">
        <v>43.203687984271248</v>
      </c>
      <c r="M502" s="10">
        <v>18.100999999999999</v>
      </c>
      <c r="N502" s="10">
        <v>4.5</v>
      </c>
      <c r="O502" s="10">
        <v>19.899999999999999</v>
      </c>
      <c r="P502" s="10">
        <v>18.600000000000001</v>
      </c>
      <c r="Q502" s="10">
        <v>22.06</v>
      </c>
      <c r="R502" s="58">
        <v>18.399999999999999</v>
      </c>
      <c r="S502" s="58">
        <v>19.600000000000001</v>
      </c>
      <c r="T502" s="10">
        <v>26.5</v>
      </c>
      <c r="U502" s="10">
        <v>16.8</v>
      </c>
      <c r="V502" s="10">
        <v>18.2</v>
      </c>
      <c r="W502" s="10">
        <v>18.3</v>
      </c>
      <c r="X502" s="58">
        <v>17.899999999999999</v>
      </c>
      <c r="Y502" s="10">
        <f>IFERROR(INDEX(Tabell6[Kolumn1],MATCH($A502,Tabell6[Indexnmamn],0)),"")</f>
        <v>17.164000000000001</v>
      </c>
      <c r="Z502" s="10">
        <v>16.138999999999999</v>
      </c>
      <c r="AA502" s="10">
        <v>14.196999999999999</v>
      </c>
      <c r="AB502" s="10">
        <f>VLOOKUP(A502,Tabell9[[Indexnamn]:[Kolumn1]],3,FALSE)</f>
        <v>16.457000000000001</v>
      </c>
      <c r="AC502" s="10">
        <f>VLOOKUP($A502,'Lev 2022'!$K$2:$L$474,2,FALSE)</f>
        <v>14.923</v>
      </c>
      <c r="AG502" s="2">
        <f t="shared" si="17"/>
        <v>-1.5340000000000007</v>
      </c>
      <c r="AH502" s="103">
        <f t="shared" si="18"/>
        <v>-9.3212614692835913E-2</v>
      </c>
    </row>
    <row r="503" spans="1:34" s="77" customFormat="1" x14ac:dyDescent="0.25">
      <c r="A503" s="5" t="s">
        <v>77</v>
      </c>
      <c r="B503" s="5" t="str">
        <f>VLOOKUP(A503,'Korrigerade leveranser GD'!$A$4:$B$482,2,FALSE)</f>
        <v>Karlskoga</v>
      </c>
      <c r="C503" s="69"/>
      <c r="D503" s="69"/>
      <c r="E503" s="69"/>
      <c r="F503" s="69"/>
      <c r="G503" s="69"/>
      <c r="H503" s="69"/>
      <c r="I503" s="69"/>
      <c r="J503" s="69"/>
      <c r="K503" s="69">
        <v>0</v>
      </c>
      <c r="L503" s="69">
        <v>15.071310288377372</v>
      </c>
      <c r="M503" s="69">
        <v>11.438000000000001</v>
      </c>
      <c r="N503" s="69">
        <v>11.438000000000001</v>
      </c>
      <c r="O503" s="69">
        <v>11.659000000000001</v>
      </c>
      <c r="P503" s="69">
        <v>14.061</v>
      </c>
      <c r="Q503" s="69">
        <v>15</v>
      </c>
      <c r="R503" s="69">
        <v>12.948539999999999</v>
      </c>
      <c r="S503" s="69">
        <f>IFERROR(VLOOKUP('Leveranser per nät'!A503,'lev 2012'!$B$2:$E$445,4,FALSE),"")</f>
        <v>14.02</v>
      </c>
      <c r="T503" s="69">
        <f>IFERROR(VLOOKUP('Leveranser per nät'!A503,'lev 2013'!$B$2:$E$445,4,FALSE),"")</f>
        <v>13.59</v>
      </c>
      <c r="U503" s="56">
        <f>(T503-V503)/2+V503</f>
        <v>13.245000000000001</v>
      </c>
      <c r="V503" s="69">
        <v>12.9</v>
      </c>
      <c r="W503" s="69">
        <v>14</v>
      </c>
      <c r="X503" s="69">
        <v>13.9</v>
      </c>
      <c r="Y503" s="69">
        <v>14.9</v>
      </c>
      <c r="Z503" s="69">
        <v>15.6</v>
      </c>
      <c r="AA503" s="58">
        <v>14.1</v>
      </c>
      <c r="AB503" s="10">
        <f>VLOOKUP(A503,Tabell9[[Indexnamn]:[Kolumn1]],3,FALSE)</f>
        <v>17.5</v>
      </c>
      <c r="AC503" s="10">
        <f>VLOOKUP($A503,'Lev 2022'!$K$2:$L$474,2,FALSE)</f>
        <v>16.850000000000001</v>
      </c>
      <c r="AD503"/>
      <c r="AE503"/>
      <c r="AG503" s="2">
        <f t="shared" si="17"/>
        <v>-0.64999999999999858</v>
      </c>
      <c r="AH503" s="103">
        <f t="shared" si="18"/>
        <v>-3.7142857142857061E-2</v>
      </c>
    </row>
    <row r="504" spans="1:34" x14ac:dyDescent="0.25">
      <c r="A504" s="5" t="s">
        <v>482</v>
      </c>
      <c r="B504" s="5" t="s">
        <v>482</v>
      </c>
      <c r="C504" s="10"/>
      <c r="D504" s="10"/>
      <c r="E504" s="10"/>
      <c r="F504" s="10"/>
      <c r="G504" s="10"/>
      <c r="H504" s="10"/>
      <c r="I504" s="10"/>
      <c r="J504" s="10"/>
      <c r="K504" s="10"/>
      <c r="L504" s="10"/>
      <c r="M504" s="10"/>
      <c r="N504" s="10"/>
      <c r="O504" s="10"/>
      <c r="P504" s="10">
        <v>0</v>
      </c>
      <c r="Q504" s="10">
        <v>11.5</v>
      </c>
      <c r="R504" s="10">
        <v>14.3</v>
      </c>
      <c r="S504" s="10">
        <v>18.7</v>
      </c>
      <c r="T504" s="10">
        <v>22.1</v>
      </c>
      <c r="U504" s="10">
        <v>20</v>
      </c>
      <c r="V504" s="10">
        <v>22.7</v>
      </c>
      <c r="W504" s="10">
        <v>22.1</v>
      </c>
      <c r="X504" s="69">
        <v>24.4</v>
      </c>
      <c r="Y504" s="10">
        <f>IFERROR(INDEX(Tabell6[Kolumn1],MATCH($A504,Tabell6[Indexnmamn],0)),"")</f>
        <v>24.768000000000001</v>
      </c>
      <c r="Z504" s="10">
        <v>37.774999999999999</v>
      </c>
      <c r="AA504" s="10">
        <v>34.781999999999996</v>
      </c>
      <c r="AB504" s="10">
        <f>VLOOKUP(A504,Tabell9[[Indexnamn]:[Kolumn1]],3,FALSE)</f>
        <v>38.594999999999999</v>
      </c>
      <c r="AC504" s="10">
        <f>VLOOKUP($A504,'Lev 2022'!$K$2:$L$474,2,FALSE)</f>
        <v>35.85</v>
      </c>
      <c r="AG504" s="2">
        <f t="shared" si="17"/>
        <v>-2.7449999999999974</v>
      </c>
      <c r="AH504" s="103">
        <f t="shared" si="18"/>
        <v>-7.1123202487368767E-2</v>
      </c>
    </row>
    <row r="505" spans="1:34" x14ac:dyDescent="0.25">
      <c r="A505" t="s">
        <v>40</v>
      </c>
      <c r="B505" t="str">
        <f>VLOOKUP(A505,'Korrigerade leveranser GD'!$A$4:$B$482,2,FALSE)</f>
        <v>Karlskoga</v>
      </c>
      <c r="C505" s="10"/>
      <c r="D505" s="10"/>
      <c r="E505" s="10"/>
      <c r="F505" s="10"/>
      <c r="G505" s="10"/>
      <c r="H505" s="10"/>
      <c r="I505" s="10"/>
      <c r="J505" s="10"/>
      <c r="K505" s="10"/>
      <c r="L505" s="10">
        <v>0</v>
      </c>
      <c r="M505" s="10">
        <v>0.48</v>
      </c>
      <c r="N505" s="10">
        <v>0.49</v>
      </c>
      <c r="O505" s="10">
        <v>0.49</v>
      </c>
      <c r="P505" s="10">
        <v>0.52</v>
      </c>
      <c r="Q505" s="10">
        <v>0.64</v>
      </c>
      <c r="R505" s="10">
        <v>0.56999999999999995</v>
      </c>
      <c r="S505" s="10">
        <f>IFERROR(VLOOKUP('Leveranser per nät'!A505,'lev 2012'!$B$2:$E$445,4,FALSE),"")</f>
        <v>0.56000000000000005</v>
      </c>
      <c r="T505" s="10">
        <f>IFERROR(VLOOKUP('Leveranser per nät'!A505,'lev 2013'!$B$2:$E$445,4,FALSE),"")</f>
        <v>0.53</v>
      </c>
      <c r="U505" s="10">
        <f>IFERROR(VLOOKUP('Leveranser per nät'!A505,'lev 2014'!$B$2:$E$432,4,FALSE),"")</f>
        <v>0.42799999999999999</v>
      </c>
      <c r="V505" s="56">
        <f>(U505-W505)/2+W505</f>
        <v>0.49399999999999999</v>
      </c>
      <c r="W505" s="10">
        <f>IFERROR(INDEX(Levererat_2016[Leveranser till eget nät],MATCH($A505,Levererat_2016[Indexnamn],0)),"")</f>
        <v>0.56000000000000005</v>
      </c>
      <c r="X505" s="10">
        <f>IFERROR(INDEX(Tabell4[Leveranser till eget nät],MATCH('Leveranser per nät'!A505,Tabell4[[Finns i listan ]],0)),"")</f>
        <v>0.58799999999999997</v>
      </c>
      <c r="Y505" s="10">
        <f>IFERROR(INDEX(Tabell6[Kolumn1],MATCH($A505,Tabell6[Indexnmamn],0)),"")</f>
        <v>0.55400000000000005</v>
      </c>
      <c r="Z505" s="10">
        <v>0.47299999999999998</v>
      </c>
      <c r="AA505" s="10">
        <v>0.442</v>
      </c>
      <c r="AB505" s="10">
        <f>VLOOKUP(A505,Tabell9[[Indexnamn]:[Kolumn1]],3,FALSE)</f>
        <v>0.50900000000000001</v>
      </c>
      <c r="AC505" s="10">
        <f>VLOOKUP($A505,'Lev 2022'!$K$2:$L$474,2,FALSE)</f>
        <v>0.49299999999999999</v>
      </c>
      <c r="AG505" s="2">
        <f t="shared" si="17"/>
        <v>-1.6000000000000014E-2</v>
      </c>
      <c r="AH505" s="103">
        <f t="shared" si="18"/>
        <v>-3.1434184675834996E-2</v>
      </c>
    </row>
    <row r="506" spans="1:34" x14ac:dyDescent="0.25">
      <c r="A506" t="s">
        <v>310</v>
      </c>
      <c r="B506" t="str">
        <f>VLOOKUP(A506,'Korrigerade leveranser GD'!$A$4:$B$482,2,FALSE)</f>
        <v>Åtvidaberg</v>
      </c>
      <c r="C506" s="10"/>
      <c r="D506" s="10"/>
      <c r="E506" s="10"/>
      <c r="F506" s="10"/>
      <c r="G506" s="10"/>
      <c r="H506" s="10"/>
      <c r="I506" s="10"/>
      <c r="J506" s="10"/>
      <c r="K506" s="10"/>
      <c r="L506" s="10"/>
      <c r="M506" s="10"/>
      <c r="N506" s="10">
        <v>0</v>
      </c>
      <c r="O506" s="10">
        <v>28.2</v>
      </c>
      <c r="P506" s="10">
        <v>32.1</v>
      </c>
      <c r="Q506" s="10">
        <v>36.1</v>
      </c>
      <c r="R506" s="10">
        <v>31.3</v>
      </c>
      <c r="S506" s="10">
        <f>IFERROR(VLOOKUP('Leveranser per nät'!A506,'lev 2012'!$B$2:$E$445,4,FALSE),"")</f>
        <v>35</v>
      </c>
      <c r="T506" s="10">
        <f>IFERROR(VLOOKUP('Leveranser per nät'!A506,'lev 2013'!$B$2:$E$445,4,FALSE),"")</f>
        <v>32.6</v>
      </c>
      <c r="U506" s="10">
        <f>IFERROR(VLOOKUP('Leveranser per nät'!A506,'lev 2014'!$B$2:$E$432,4,FALSE),"")</f>
        <v>29.7</v>
      </c>
      <c r="V506" s="10">
        <f>IFERROR(INDEX(Levererat_2015[Leveranser till eget nät],MATCH($A506,Levererat_2015[Indexnamn],0)),"")</f>
        <v>29.3</v>
      </c>
      <c r="W506" s="10">
        <f>IFERROR(INDEX(Levererat_2016[Leveranser till eget nät],MATCH($A506,Levererat_2016[Indexnamn],0)),"")</f>
        <v>31.5</v>
      </c>
      <c r="X506" s="10">
        <f>IFERROR(INDEX(Tabell4[Leveranser till eget nät],MATCH('Leveranser per nät'!A506,Tabell4[[Finns i listan ]],0)),"")</f>
        <v>30.5</v>
      </c>
      <c r="Y506" s="10">
        <f>IFERROR(INDEX(Tabell6[Kolumn1],MATCH($A506,Tabell6[Indexnmamn],0)),"")</f>
        <v>30.8</v>
      </c>
      <c r="Z506" s="10">
        <v>30.116</v>
      </c>
      <c r="AA506" s="10">
        <v>27.3</v>
      </c>
      <c r="AB506" s="10">
        <f>VLOOKUP(A506,Tabell9[[Indexnamn]:[Kolumn1]],3,FALSE)</f>
        <v>32.017000000000003</v>
      </c>
      <c r="AC506" s="10">
        <f>VLOOKUP($A506,'Lev 2022'!$K$2:$L$474,2,FALSE)</f>
        <v>29.391999999999999</v>
      </c>
      <c r="AG506" s="2">
        <f t="shared" si="17"/>
        <v>-2.6250000000000036</v>
      </c>
      <c r="AH506" s="103">
        <f t="shared" si="18"/>
        <v>-8.1987694037542663E-2</v>
      </c>
    </row>
    <row r="507" spans="1:34" x14ac:dyDescent="0.25">
      <c r="A507" s="5" t="s">
        <v>79</v>
      </c>
      <c r="B507" s="5" t="str">
        <f>VLOOKUP(A507,'Korrigerade leveranser GD'!$A$4:$B$482,2,FALSE)</f>
        <v>Älmhult</v>
      </c>
      <c r="C507" s="10">
        <v>36</v>
      </c>
      <c r="D507" s="10">
        <v>31.96</v>
      </c>
      <c r="E507" s="10">
        <v>32</v>
      </c>
      <c r="F507" s="10">
        <v>32</v>
      </c>
      <c r="G507" s="10">
        <v>29</v>
      </c>
      <c r="H507" s="10">
        <v>33</v>
      </c>
      <c r="I507" s="56">
        <f>(H507-J507)/2+J507</f>
        <v>32.850999999999999</v>
      </c>
      <c r="J507" s="10">
        <v>32.701999999999998</v>
      </c>
      <c r="K507" s="10">
        <v>48.016707706329491</v>
      </c>
      <c r="L507" s="10">
        <v>48.016707706329491</v>
      </c>
      <c r="M507" s="10">
        <v>40.298999999999999</v>
      </c>
      <c r="N507" s="10">
        <v>40</v>
      </c>
      <c r="O507" s="10">
        <v>51.75</v>
      </c>
      <c r="P507" s="10">
        <v>62.014000000000003</v>
      </c>
      <c r="Q507" s="10">
        <v>74</v>
      </c>
      <c r="R507" s="10">
        <v>67.934353716999993</v>
      </c>
      <c r="S507" s="10">
        <f>IFERROR(VLOOKUP('Leveranser per nät'!A507,'lev 2012'!$B$2:$E$445,4,FALSE),"")</f>
        <v>74</v>
      </c>
      <c r="T507" s="10">
        <f>IFERROR(VLOOKUP('Leveranser per nät'!A507,'lev 2013'!$B$2:$E$445,4,FALSE),"")</f>
        <v>88.616</v>
      </c>
      <c r="U507" s="10">
        <f>IFERROR(VLOOKUP('Leveranser per nät'!A507,'lev 2014'!$B$2:$E$432,4,FALSE),"")</f>
        <v>77.644000000000005</v>
      </c>
      <c r="V507" s="10">
        <f>IFERROR(INDEX(Levererat_2015[Leveranser till eget nät],MATCH($A507,Levererat_2015[Indexnamn],0)),"")</f>
        <v>80.75</v>
      </c>
      <c r="W507" s="10">
        <f>IFERROR(INDEX(Levererat_2016[Leveranser till eget nät],MATCH($A507,Levererat_2016[Indexnamn],0)),"")</f>
        <v>87</v>
      </c>
      <c r="X507" s="10">
        <f>IFERROR(INDEX(Tabell4[Leveranser till eget nät],MATCH('Leveranser per nät'!A507,Tabell4[[Finns i listan ]],0)),"")</f>
        <v>81.433000000000007</v>
      </c>
      <c r="Y507" s="10">
        <f>IFERROR(INDEX(Tabell6[Kolumn1],MATCH($A507,Tabell6[Indexnmamn],0)),"")</f>
        <v>86.6</v>
      </c>
      <c r="Z507" s="10">
        <v>84.292000000000002</v>
      </c>
      <c r="AA507" s="10">
        <v>81.325000000000003</v>
      </c>
      <c r="AB507" s="10">
        <f>VLOOKUP(A507,Tabell9[[Indexnamn]:[Kolumn1]],3,FALSE)</f>
        <v>91.614000000000004</v>
      </c>
      <c r="AC507" s="10">
        <f>VLOOKUP($A507,'Lev 2022'!$K$2:$L$474,2,FALSE)</f>
        <v>86.072999999999993</v>
      </c>
      <c r="AG507" s="2">
        <f t="shared" si="17"/>
        <v>-5.541000000000011</v>
      </c>
      <c r="AH507" s="103">
        <f t="shared" si="18"/>
        <v>-6.0482022398323516E-2</v>
      </c>
    </row>
    <row r="508" spans="1:34" s="77" customFormat="1" x14ac:dyDescent="0.25">
      <c r="A508" s="113" t="s">
        <v>438</v>
      </c>
      <c r="B508" s="5" t="str">
        <f>VLOOKUP(A508,'Korrigerade leveranser GD'!$A$4:$B$482,2,FALSE)</f>
        <v>Älvdalen</v>
      </c>
      <c r="C508" s="69"/>
      <c r="D508" s="69"/>
      <c r="E508" s="69"/>
      <c r="F508" s="69"/>
      <c r="G508" s="69"/>
      <c r="H508" s="69"/>
      <c r="I508" s="69"/>
      <c r="J508" s="69"/>
      <c r="K508" s="69"/>
      <c r="L508" s="69"/>
      <c r="M508" s="69"/>
      <c r="N508" s="69"/>
      <c r="O508" s="69"/>
      <c r="P508" s="69">
        <v>0</v>
      </c>
      <c r="Q508" s="69">
        <v>8.0549999999999997</v>
      </c>
      <c r="R508" s="69">
        <v>7.7</v>
      </c>
      <c r="S508" s="69">
        <f>IFERROR(VLOOKUP('Leveranser per nät'!A508,'lev 2012'!$B$2:$E$445,4,FALSE),"")</f>
        <v>7</v>
      </c>
      <c r="T508" s="69">
        <f>IFERROR(VLOOKUP('Leveranser per nät'!A508,'lev 2013'!$B$2:$E$445,4,FALSE),"")</f>
        <v>6.1740000000000004</v>
      </c>
      <c r="U508" s="69">
        <f>2.2+5.2</f>
        <v>7.4</v>
      </c>
      <c r="V508" s="69">
        <v>10</v>
      </c>
      <c r="W508" s="69">
        <v>9.8000000000000007</v>
      </c>
      <c r="X508" s="69">
        <v>10.4</v>
      </c>
      <c r="Y508" s="69">
        <v>9.4</v>
      </c>
      <c r="Z508" s="69">
        <v>9.5</v>
      </c>
      <c r="AA508" s="58">
        <v>8.6270000000000007</v>
      </c>
      <c r="AB508" s="10">
        <f>VLOOKUP(A508,Tabell9[[Indexnamn]:[Kolumn1]],3,FALSE)</f>
        <v>9.9</v>
      </c>
      <c r="AC508" s="10">
        <f>VLOOKUP($A508,'Lev 2022'!$K$2:$L$474,2,FALSE)</f>
        <v>9.5609999999999999</v>
      </c>
      <c r="AD508"/>
      <c r="AE508"/>
      <c r="AG508" s="2">
        <f t="shared" si="17"/>
        <v>-0.33900000000000041</v>
      </c>
      <c r="AH508" s="103">
        <f t="shared" si="18"/>
        <v>-3.4242424242424283E-2</v>
      </c>
    </row>
    <row r="509" spans="1:34" s="77" customFormat="1" x14ac:dyDescent="0.25">
      <c r="A509" s="86" t="s">
        <v>737</v>
      </c>
      <c r="B509" s="77" t="str">
        <f>VLOOKUP(A509,'Korrigerade leveranser GD'!$A$4:$B$482,2,FALSE)</f>
        <v>Gävle</v>
      </c>
      <c r="C509" s="69"/>
      <c r="D509" s="69"/>
      <c r="E509" s="69"/>
      <c r="F509" s="69"/>
      <c r="G509" s="69"/>
      <c r="H509" s="69"/>
      <c r="I509" s="69"/>
      <c r="J509" s="69"/>
      <c r="K509" s="69"/>
      <c r="L509" s="69"/>
      <c r="M509" s="69"/>
      <c r="N509" s="69"/>
      <c r="O509" s="69"/>
      <c r="P509" s="69"/>
      <c r="Q509" s="69"/>
      <c r="R509" s="69"/>
      <c r="S509" s="69">
        <f>IFERROR(VLOOKUP('Leveranser per nät'!A509,'lev 2012'!$B$2:$E$445,4,FALSE),"")</f>
        <v>3</v>
      </c>
      <c r="T509" s="69">
        <f>IFERROR(VLOOKUP('Leveranser per nät'!A509,'lev 2013'!$B$2:$E$445,4,FALSE),"")</f>
        <v>2.9</v>
      </c>
      <c r="U509" s="69">
        <f>IFERROR(VLOOKUP('Leveranser per nät'!A509,'lev 2014'!$B$2:$E$432,4,FALSE),"")</f>
        <v>2.73</v>
      </c>
      <c r="V509" s="69">
        <f>IFERROR(INDEX(Levererat_2015[Leveranser till eget nät],MATCH($A509,Levererat_2015[Indexnamn],0)),"")</f>
        <v>2.835</v>
      </c>
      <c r="W509" s="69">
        <f>IFERROR(INDEX(Levererat_2016[Leveranser till eget nät],MATCH($A509,Levererat_2016[Indexnamn],0)),"")</f>
        <v>3.077</v>
      </c>
      <c r="X509" s="69">
        <v>3.2</v>
      </c>
      <c r="Y509" s="69">
        <v>3</v>
      </c>
      <c r="Z509" s="69">
        <v>2.8</v>
      </c>
      <c r="AA509" s="69">
        <v>2.7</v>
      </c>
      <c r="AB509" s="56"/>
      <c r="AC509" s="56"/>
      <c r="AD509"/>
      <c r="AE509"/>
      <c r="AG509" s="2"/>
      <c r="AH509" s="103"/>
    </row>
    <row r="510" spans="1:34" s="77" customFormat="1" x14ac:dyDescent="0.25">
      <c r="A510" s="77" t="s">
        <v>371</v>
      </c>
      <c r="B510" s="77" t="str">
        <f>VLOOKUP(A510,'Korrigerade leveranser GD'!$A$4:$B$482,2,FALSE)</f>
        <v>Älvsbyn</v>
      </c>
      <c r="C510" s="69">
        <v>32</v>
      </c>
      <c r="D510" s="69">
        <v>31.14</v>
      </c>
      <c r="E510" s="69">
        <v>31</v>
      </c>
      <c r="F510" s="69">
        <v>35</v>
      </c>
      <c r="G510" s="69">
        <v>33</v>
      </c>
      <c r="H510" s="69">
        <v>39.5</v>
      </c>
      <c r="I510" s="69">
        <v>38.487000000000002</v>
      </c>
      <c r="J510" s="69">
        <v>38.566000000000003</v>
      </c>
      <c r="K510" s="69">
        <v>40.470399999999998</v>
      </c>
      <c r="L510" s="69">
        <v>40.470399999999998</v>
      </c>
      <c r="M510" s="69">
        <v>40.470399999999998</v>
      </c>
      <c r="N510" s="69">
        <v>43.7</v>
      </c>
      <c r="O510" s="69">
        <v>71.5</v>
      </c>
      <c r="P510" s="69">
        <v>70.8</v>
      </c>
      <c r="Q510" s="69">
        <v>80.099999999999994</v>
      </c>
      <c r="R510" s="69">
        <f>(Q510-S510)/2+S510</f>
        <v>76.150000000000006</v>
      </c>
      <c r="S510" s="69">
        <v>72.2</v>
      </c>
      <c r="T510" s="69">
        <v>67.900000000000006</v>
      </c>
      <c r="U510" s="69">
        <v>64.099999999999994</v>
      </c>
      <c r="V510" s="69">
        <v>60.6</v>
      </c>
      <c r="W510" s="69">
        <v>64.7</v>
      </c>
      <c r="X510" s="69">
        <v>65.599999999999994</v>
      </c>
      <c r="Y510" s="69">
        <v>68.099999999999994</v>
      </c>
      <c r="Z510" s="69">
        <v>69.400000000000006</v>
      </c>
      <c r="AA510" s="69">
        <v>61.4</v>
      </c>
      <c r="AB510" s="69">
        <v>68.2</v>
      </c>
      <c r="AC510" s="56">
        <f>AB510*(1-0.07)</f>
        <v>63.426000000000002</v>
      </c>
      <c r="AD510"/>
      <c r="AE510"/>
      <c r="AG510" s="2"/>
      <c r="AH510" s="103"/>
    </row>
    <row r="511" spans="1:34" x14ac:dyDescent="0.25">
      <c r="A511" t="s">
        <v>372</v>
      </c>
      <c r="B511" t="str">
        <f>VLOOKUP(A511,'Korrigerade leveranser GD'!$A$4:$B$482,2,FALSE)</f>
        <v>Ängelholm</v>
      </c>
      <c r="C511" s="10">
        <v>169</v>
      </c>
      <c r="D511" s="10">
        <v>156.41999999999999</v>
      </c>
      <c r="E511" s="10">
        <v>169</v>
      </c>
      <c r="F511" s="10">
        <v>168</v>
      </c>
      <c r="G511" s="10">
        <v>165</v>
      </c>
      <c r="H511" s="10">
        <v>185</v>
      </c>
      <c r="I511" s="10">
        <v>177</v>
      </c>
      <c r="J511" s="10">
        <v>193</v>
      </c>
      <c r="K511" s="10">
        <v>191.78899999999999</v>
      </c>
      <c r="L511" s="10">
        <v>191.78899999999999</v>
      </c>
      <c r="M511" s="10">
        <v>192</v>
      </c>
      <c r="N511" s="10">
        <v>192</v>
      </c>
      <c r="O511" s="10">
        <v>187.25399999999999</v>
      </c>
      <c r="P511" s="10">
        <v>191.42</v>
      </c>
      <c r="Q511" s="10">
        <v>217.364</v>
      </c>
      <c r="R511" s="10">
        <v>178.78</v>
      </c>
      <c r="S511" s="10">
        <f>IFERROR(VLOOKUP('Leveranser per nät'!A511,'lev 2012'!$B$2:$E$445,4,FALSE),"")</f>
        <v>194</v>
      </c>
      <c r="T511" s="10">
        <f>IFERROR(VLOOKUP('Leveranser per nät'!A511,'lev 2013'!$B$2:$E$445,4,FALSE),"")</f>
        <v>185.4</v>
      </c>
      <c r="U511" s="10">
        <f>IFERROR(VLOOKUP('Leveranser per nät'!A511,'lev 2014'!$B$2:$E$432,4,FALSE),"")</f>
        <v>158.703</v>
      </c>
      <c r="V511" s="10">
        <f>IFERROR(INDEX(Levererat_2015[Leveranser till eget nät],MATCH($A511,Levererat_2015[Indexnamn],0)),"")</f>
        <v>168.25800000000001</v>
      </c>
      <c r="W511" s="10">
        <f>IFERROR(INDEX(Levererat_2016[Leveranser till eget nät],MATCH($A511,Levererat_2016[Indexnamn],0)),"")</f>
        <v>176.101</v>
      </c>
      <c r="X511" s="10">
        <f>IFERROR(INDEX(Tabell4[Leveranser till eget nät],MATCH('Leveranser per nät'!A511,Tabell4[[Finns i listan ]],0)),"")</f>
        <v>176.86</v>
      </c>
      <c r="Y511" s="10">
        <f>IFERROR(INDEX(Tabell6[Kolumn1],MATCH($A511,Tabell6[Indexnmamn],0)),"")</f>
        <v>171.738</v>
      </c>
      <c r="Z511" s="10">
        <v>161.465</v>
      </c>
      <c r="AA511" s="10">
        <v>155.61199999999999</v>
      </c>
      <c r="AB511" s="10">
        <f>VLOOKUP(A511,Tabell9[[Indexnamn]:[Kolumn1]],3,FALSE)</f>
        <v>177.65299999999999</v>
      </c>
      <c r="AC511" s="10">
        <f>VLOOKUP($A511,'Lev 2022'!$K$2:$L$474,2,FALSE)</f>
        <v>163.755</v>
      </c>
      <c r="AG511" s="2">
        <f t="shared" si="17"/>
        <v>-13.897999999999996</v>
      </c>
      <c r="AH511" s="103">
        <f t="shared" si="18"/>
        <v>-7.8231158494368222E-2</v>
      </c>
    </row>
    <row r="512" spans="1:34" x14ac:dyDescent="0.25">
      <c r="A512" t="s">
        <v>105</v>
      </c>
      <c r="B512" t="str">
        <f>VLOOKUP(A512,'Korrigerade leveranser GD'!$A$4:$B$482,2,FALSE)</f>
        <v>Eskilstuna</v>
      </c>
      <c r="C512" s="10"/>
      <c r="D512" s="10"/>
      <c r="E512" s="10"/>
      <c r="F512" s="10"/>
      <c r="G512" s="10">
        <v>0</v>
      </c>
      <c r="H512" s="10">
        <v>1</v>
      </c>
      <c r="I512" s="10">
        <v>2</v>
      </c>
      <c r="J512" s="10">
        <v>3</v>
      </c>
      <c r="K512" s="10">
        <v>3.556</v>
      </c>
      <c r="L512" s="10">
        <v>3.7120000000000002</v>
      </c>
      <c r="M512" s="10">
        <v>3.9260000000000002</v>
      </c>
      <c r="N512" s="10">
        <v>4.5529999999999999</v>
      </c>
      <c r="O512" s="10">
        <v>4.3940000000000001</v>
      </c>
      <c r="P512" s="10">
        <v>4.3940000000000001</v>
      </c>
      <c r="Q512" s="10">
        <v>6.73</v>
      </c>
      <c r="R512" s="10">
        <v>6.3710000000000004</v>
      </c>
      <c r="S512" s="10">
        <f>IFERROR(VLOOKUP('Leveranser per nät'!A512,'lev 2012'!$B$2:$E$445,4,FALSE),"")</f>
        <v>7.2</v>
      </c>
      <c r="T512" s="10">
        <f>IFERROR(VLOOKUP('Leveranser per nät'!A512,'lev 2013'!$B$2:$E$445,4,FALSE),"")</f>
        <v>6.9</v>
      </c>
      <c r="U512" s="10">
        <f>IFERROR(VLOOKUP('Leveranser per nät'!A512,'lev 2014'!$B$2:$E$432,4,FALSE),"")</f>
        <v>3.9</v>
      </c>
      <c r="V512" s="10">
        <f>IFERROR(INDEX(Levererat_2015[Leveranser till eget nät],MATCH($A512,Levererat_2015[Indexnamn],0)),"")</f>
        <v>3.95</v>
      </c>
      <c r="W512" s="10">
        <f>IFERROR(INDEX(Levererat_2016[Leveranser till eget nät],MATCH($A512,Levererat_2016[Indexnamn],0)),"")</f>
        <v>5.7</v>
      </c>
      <c r="X512" s="10">
        <f>IFERROR(INDEX(Tabell4[Leveranser till eget nät],MATCH('Leveranser per nät'!A512,Tabell4[[Finns i listan ]],0)),"")</f>
        <v>5.8</v>
      </c>
      <c r="Y512" s="10">
        <f>IFERROR(INDEX(Tabell6[Kolumn1],MATCH($A512,Tabell6[Indexnmamn],0)),"")</f>
        <v>5.8570000000000002</v>
      </c>
      <c r="Z512" s="10">
        <v>5.8049999999999997</v>
      </c>
      <c r="AA512" s="10">
        <v>5.2069999999999999</v>
      </c>
      <c r="AB512" s="10">
        <f>VLOOKUP(A512,Tabell9[[Indexnamn]:[Kolumn1]],3,FALSE)</f>
        <v>6</v>
      </c>
      <c r="AC512" s="10">
        <f>VLOOKUP($A512,'Lev 2022'!$K$2:$L$474,2,FALSE)</f>
        <v>5.6289999999999996</v>
      </c>
      <c r="AG512" s="2">
        <f t="shared" si="17"/>
        <v>-0.37100000000000044</v>
      </c>
      <c r="AH512" s="103">
        <f t="shared" si="18"/>
        <v>-6.1833333333333407E-2</v>
      </c>
    </row>
    <row r="513" spans="1:34" x14ac:dyDescent="0.25">
      <c r="A513" t="s">
        <v>177</v>
      </c>
      <c r="B513" t="str">
        <f>VLOOKUP(A513,'Korrigerade leveranser GD'!$A$4:$B$482,2,FALSE)</f>
        <v>Ödeshög</v>
      </c>
      <c r="C513" s="10"/>
      <c r="D513" s="10"/>
      <c r="E513" s="10"/>
      <c r="F513" s="10"/>
      <c r="G513" s="10"/>
      <c r="H513" s="10"/>
      <c r="I513" s="10"/>
      <c r="J513" s="10"/>
      <c r="K513" s="10"/>
      <c r="L513" s="10">
        <v>0</v>
      </c>
      <c r="M513" s="10">
        <v>11.984</v>
      </c>
      <c r="N513" s="10">
        <v>11.984</v>
      </c>
      <c r="O513" s="56">
        <f>(N513-P513)/2+P513</f>
        <v>12.532</v>
      </c>
      <c r="P513" s="10">
        <v>13.08</v>
      </c>
      <c r="Q513" s="10">
        <v>15.388</v>
      </c>
      <c r="R513" s="10">
        <v>12.349</v>
      </c>
      <c r="S513" s="10">
        <f>IFERROR(VLOOKUP('Leveranser per nät'!A513,'lev 2012'!$B$2:$E$445,4,FALSE),"")</f>
        <v>13.16</v>
      </c>
      <c r="T513" s="10">
        <f>IFERROR(VLOOKUP('Leveranser per nät'!A513,'lev 2013'!$B$2:$E$445,4,FALSE),"")</f>
        <v>12.973000000000001</v>
      </c>
      <c r="U513" s="10">
        <f>IFERROR(VLOOKUP('Leveranser per nät'!A513,'lev 2014'!$B$2:$E$432,4,FALSE),"")</f>
        <v>11.433</v>
      </c>
      <c r="V513" s="10">
        <f>IFERROR(INDEX(Levererat_2015[Leveranser till eget nät],MATCH($A513,Levererat_2015[Indexnamn],0)),"")</f>
        <v>11.563000000000001</v>
      </c>
      <c r="W513" s="10">
        <f>IFERROR(INDEX(Levererat_2016[Leveranser till eget nät],MATCH($A513,Levererat_2016[Indexnamn],0)),"")</f>
        <v>12.29</v>
      </c>
      <c r="X513" s="10">
        <f>IFERROR(INDEX(Tabell4[Leveranser till eget nät],MATCH('Leveranser per nät'!A513,Tabell4[[Finns i listan ]],0)),"")</f>
        <v>11.9</v>
      </c>
      <c r="Y513" s="10">
        <f>IFERROR(INDEX(Tabell6[Kolumn1],MATCH($A513,Tabell6[Indexnmamn],0)),"")</f>
        <v>11.76</v>
      </c>
      <c r="Z513" s="10">
        <v>11.24</v>
      </c>
      <c r="AA513" s="10">
        <v>10.52</v>
      </c>
      <c r="AB513" s="10">
        <f>VLOOKUP(A513,Tabell9[[Indexnamn]:[Kolumn1]],3,FALSE)</f>
        <v>11.94</v>
      </c>
      <c r="AC513" s="10">
        <f>VLOOKUP($A513,'Lev 2022'!$K$2:$L$474,2,FALSE)</f>
        <v>11.26</v>
      </c>
      <c r="AG513" s="2">
        <f t="shared" si="17"/>
        <v>-0.67999999999999972</v>
      </c>
      <c r="AH513" s="103">
        <f t="shared" si="18"/>
        <v>-5.6951423785594618E-2</v>
      </c>
    </row>
    <row r="514" spans="1:34" x14ac:dyDescent="0.25">
      <c r="A514" t="s">
        <v>439</v>
      </c>
      <c r="B514" t="str">
        <f>VLOOKUP(A514,'Korrigerade leveranser GD'!$A$4:$B$482,2,FALSE)</f>
        <v>Tierp</v>
      </c>
      <c r="C514" s="10"/>
      <c r="D514" s="10">
        <v>5.46</v>
      </c>
      <c r="E514" s="10">
        <v>5</v>
      </c>
      <c r="F514" s="10">
        <v>5</v>
      </c>
      <c r="G514" s="10">
        <v>5</v>
      </c>
      <c r="H514" s="10">
        <v>6</v>
      </c>
      <c r="I514" s="10">
        <v>7</v>
      </c>
      <c r="J514" s="10">
        <v>6.7169999999999996</v>
      </c>
      <c r="K514" s="10">
        <v>6.5620000000000003</v>
      </c>
      <c r="L514" s="10">
        <v>6.5620000000000003</v>
      </c>
      <c r="M514" s="56">
        <v>6.5</v>
      </c>
      <c r="N514" s="56">
        <v>6.5</v>
      </c>
      <c r="O514" s="10">
        <v>6.165</v>
      </c>
      <c r="P514" s="10">
        <v>6.89</v>
      </c>
      <c r="Q514" s="10">
        <v>8.3680000000000003</v>
      </c>
      <c r="R514" s="10">
        <v>6.9240000000000004</v>
      </c>
      <c r="S514" s="10">
        <f>IFERROR(VLOOKUP('Leveranser per nät'!A514,'lev 2012'!$B$2:$E$445,4,FALSE),"")</f>
        <v>7.71</v>
      </c>
      <c r="T514" s="10">
        <f>IFERROR(VLOOKUP('Leveranser per nät'!A514,'lev 2013'!$B$2:$E$445,4,FALSE),"")</f>
        <v>7.641</v>
      </c>
      <c r="U514" s="10">
        <f>IFERROR(VLOOKUP('Leveranser per nät'!A514,'lev 2014'!$B$2:$E$432,4,FALSE),"")</f>
        <v>7.1029999999999998</v>
      </c>
      <c r="V514" s="10">
        <f>IFERROR(INDEX(Levererat_2015[Leveranser till eget nät],MATCH($A514,Levererat_2015[Indexnamn],0)),"")</f>
        <v>7.343</v>
      </c>
      <c r="W514" s="10">
        <v>7.7</v>
      </c>
      <c r="X514" s="58">
        <v>6.3</v>
      </c>
      <c r="Y514" s="69">
        <v>7.2</v>
      </c>
      <c r="Z514" s="10">
        <v>7.24</v>
      </c>
      <c r="AA514" s="10">
        <v>6.6</v>
      </c>
      <c r="AB514" s="10">
        <f>VLOOKUP(A514,Tabell9[[Indexnamn]:[Kolumn1]],3,FALSE)</f>
        <v>7.52</v>
      </c>
      <c r="AC514" s="10">
        <f>VLOOKUP($A514,'Lev 2022'!$K$2:$L$474,2,FALSE)</f>
        <v>7.53</v>
      </c>
      <c r="AG514" s="2">
        <f t="shared" si="17"/>
        <v>1.0000000000000675E-2</v>
      </c>
      <c r="AH514" s="103">
        <f t="shared" si="18"/>
        <v>1.3297872340426429E-3</v>
      </c>
    </row>
    <row r="515" spans="1:34" x14ac:dyDescent="0.25">
      <c r="A515" t="s">
        <v>374</v>
      </c>
      <c r="B515" t="str">
        <f>VLOOKUP(A515,'Korrigerade leveranser GD'!$A$4:$B$482,2,FALSE)</f>
        <v>Films Kyrkby</v>
      </c>
      <c r="C515" s="10">
        <v>18</v>
      </c>
      <c r="D515" s="10">
        <v>17.38</v>
      </c>
      <c r="E515" s="10">
        <v>18</v>
      </c>
      <c r="F515" s="10">
        <v>18</v>
      </c>
      <c r="G515" s="10">
        <v>17</v>
      </c>
      <c r="H515" s="10">
        <v>20</v>
      </c>
      <c r="I515" s="10">
        <v>21</v>
      </c>
      <c r="J515" s="10">
        <v>21.018999999999998</v>
      </c>
      <c r="K515" s="10">
        <v>20.79</v>
      </c>
      <c r="L515" s="10">
        <v>19.931999999999999</v>
      </c>
      <c r="M515" s="10">
        <v>21.175000000000001</v>
      </c>
      <c r="N515" s="10">
        <v>20.7</v>
      </c>
      <c r="O515" s="10">
        <v>23.294</v>
      </c>
      <c r="P515" s="10">
        <v>25.478999999999999</v>
      </c>
      <c r="Q515" s="10">
        <v>30.364999999999998</v>
      </c>
      <c r="R515" s="10">
        <v>26.1</v>
      </c>
      <c r="S515" s="10">
        <v>28.7</v>
      </c>
      <c r="T515" s="10">
        <f>IFERROR(VLOOKUP('Leveranser per nät'!A515,'lev 2013'!$B$2:$E$445,4,FALSE),"")</f>
        <v>28.6</v>
      </c>
      <c r="U515" s="10">
        <f>IFERROR(VLOOKUP('Leveranser per nät'!A515,'lev 2014'!$B$2:$E$432,4,FALSE),"")</f>
        <v>24.9</v>
      </c>
      <c r="V515" s="10">
        <f>IFERROR(INDEX(Levererat_2015[Leveranser till eget nät],MATCH($A515,Levererat_2015[Indexnamn],0)),"")</f>
        <v>27.1</v>
      </c>
      <c r="W515" s="10">
        <f>IFERROR(INDEX(Levererat_2016[Leveranser till eget nät],MATCH($A515,Levererat_2016[Indexnamn],0)),"")</f>
        <v>28.6</v>
      </c>
      <c r="X515" s="10">
        <f>IFERROR(INDEX(Tabell4[Leveranser till eget nät],MATCH('Leveranser per nät'!A515,Tabell4[[Finns i listan ]],0)),"")</f>
        <v>27.7</v>
      </c>
      <c r="Y515" s="10">
        <f>IFERROR(INDEX(Tabell6[Kolumn1],MATCH($A515,Tabell6[Indexnmamn],0)),"")</f>
        <v>27.2</v>
      </c>
      <c r="Z515" s="10">
        <v>26.4</v>
      </c>
      <c r="AA515" s="10">
        <v>25.5</v>
      </c>
      <c r="AB515" s="10">
        <f>VLOOKUP(A515,Tabell9[[Indexnamn]:[Kolumn1]],3,FALSE)</f>
        <v>28.8</v>
      </c>
      <c r="AC515" s="10">
        <f>VLOOKUP($A515,'Lev 2022'!$K$2:$L$474,2,FALSE)</f>
        <v>26.2</v>
      </c>
      <c r="AG515" s="2">
        <f t="shared" si="17"/>
        <v>-2.6000000000000014</v>
      </c>
      <c r="AH515" s="103">
        <f t="shared" si="18"/>
        <v>-9.0277777777777832E-2</v>
      </c>
    </row>
    <row r="516" spans="1:34" x14ac:dyDescent="0.25">
      <c r="A516" t="s">
        <v>376</v>
      </c>
      <c r="B516" t="str">
        <f>VLOOKUP(A516,'Korrigerade leveranser GD'!$A$4:$B$482,2,FALSE)</f>
        <v>Örnsköldsvik</v>
      </c>
      <c r="C516" s="10">
        <v>172</v>
      </c>
      <c r="D516" s="10">
        <v>163.28</v>
      </c>
      <c r="E516" s="10">
        <v>171</v>
      </c>
      <c r="F516" s="10">
        <v>170</v>
      </c>
      <c r="G516" s="10">
        <v>164</v>
      </c>
      <c r="H516" s="10">
        <v>182.47399999999999</v>
      </c>
      <c r="I516" s="10">
        <v>196</v>
      </c>
      <c r="J516" s="10">
        <v>203</v>
      </c>
      <c r="K516" s="10">
        <v>215</v>
      </c>
      <c r="L516" s="10">
        <v>212.5</v>
      </c>
      <c r="M516" s="10">
        <v>215.8</v>
      </c>
      <c r="N516" s="10">
        <v>198.39</v>
      </c>
      <c r="O516" s="10">
        <v>204.386</v>
      </c>
      <c r="P516" s="10">
        <v>222.15711999999999</v>
      </c>
      <c r="Q516" s="56">
        <f>512.2790905/2-20</f>
        <v>236.13954525000003</v>
      </c>
      <c r="R516" s="56">
        <v>193.45400000000001</v>
      </c>
      <c r="S516" s="10">
        <v>245.874</v>
      </c>
      <c r="T516" s="56">
        <f>511.46/2-20</f>
        <v>235.73</v>
      </c>
      <c r="U516" s="10">
        <f>IFERROR(VLOOKUP('Leveranser per nät'!A516,'lev 2014'!$B$2:$E$432,4,FALSE),"")</f>
        <v>216.57499999999999</v>
      </c>
      <c r="V516" s="10">
        <f>IFERROR(INDEX(Levererat_2015[Leveranser till eget nät],MATCH($A516,Levererat_2015[Indexnamn],0)),"")</f>
        <v>212.696</v>
      </c>
      <c r="W516" s="10">
        <f>IFERROR(INDEX(Levererat_2016[Leveranser till eget nät],MATCH($A516,Levererat_2016[Indexnamn],0)),"")</f>
        <v>232.59800000000001</v>
      </c>
      <c r="X516" s="10">
        <f>IFERROR(INDEX(Tabell4[Leveranser till eget nät],MATCH('Leveranser per nät'!A516,Tabell4[[Finns i listan ]],0)),"")</f>
        <v>229.161</v>
      </c>
      <c r="Y516" s="10">
        <f>IFERROR(INDEX(Tabell6[Kolumn1],MATCH($A516,Tabell6[Indexnmamn],0)),"")</f>
        <v>234.08</v>
      </c>
      <c r="Z516" s="10">
        <v>232.97</v>
      </c>
      <c r="AA516" s="10">
        <v>205.5</v>
      </c>
      <c r="AB516" s="10">
        <f>VLOOKUP(A516,Tabell9[[Indexnamn]:[Kolumn1]],3,FALSE)</f>
        <v>229.76</v>
      </c>
      <c r="AC516" s="10">
        <f>VLOOKUP($A516,'Lev 2022'!$K$2:$L$474,2,FALSE)</f>
        <v>223.7</v>
      </c>
      <c r="AG516" s="2">
        <f t="shared" si="17"/>
        <v>-6.0600000000000023</v>
      </c>
      <c r="AH516" s="103">
        <f t="shared" si="18"/>
        <v>-2.6375348189415053E-2</v>
      </c>
    </row>
    <row r="517" spans="1:34" x14ac:dyDescent="0.25">
      <c r="A517" s="48" t="s">
        <v>440</v>
      </c>
      <c r="B517" s="46" t="str">
        <f>VLOOKUP(A517,'Korrigerade leveranser GD'!$A$4:$B$493,2,FALSE)</f>
        <v>Enköping</v>
      </c>
      <c r="C517" s="10"/>
      <c r="D517" s="10"/>
      <c r="E517" s="10"/>
      <c r="F517" s="10"/>
      <c r="G517" s="10"/>
      <c r="H517" s="10"/>
      <c r="I517" s="10"/>
      <c r="J517" s="10"/>
      <c r="K517" s="10"/>
      <c r="L517" s="10"/>
      <c r="M517" s="10"/>
      <c r="N517" s="10"/>
      <c r="O517" s="10"/>
      <c r="P517" s="10">
        <v>0</v>
      </c>
      <c r="Q517" s="10">
        <v>3.794</v>
      </c>
      <c r="R517" s="10">
        <v>3.5870000000000002</v>
      </c>
      <c r="S517" s="10">
        <v>5.86</v>
      </c>
      <c r="T517" s="10">
        <f>IFERROR(VLOOKUP('Leveranser per nät'!A517,'lev 2013'!$B$2:$E$445,4,FALSE),"")</f>
        <v>5.6559999999999997</v>
      </c>
      <c r="U517" s="10">
        <f>IFERROR(VLOOKUP('Leveranser per nät'!A517,'lev 2014'!$B$2:$E$432,4,FALSE),"")</f>
        <v>5.05</v>
      </c>
      <c r="V517" s="10">
        <f>IFERROR(INDEX(Levererat_2015[Leveranser till eget nät],MATCH($A517,Levererat_2015[Indexnamn],0)),"")</f>
        <v>5.0949999999999998</v>
      </c>
      <c r="W517" s="10">
        <f>IFERROR(INDEX(Levererat_2016[Leveranser till eget nät],MATCH($A517,Levererat_2016[Indexnamn],0)),"")</f>
        <v>5.12</v>
      </c>
      <c r="X517" s="10">
        <f>IFERROR(INDEX(Tabell4[Leveranser till eget nät],MATCH('Leveranser per nät'!A517,Tabell4[[Finns i listan ]],0)),"")</f>
        <v>5.43</v>
      </c>
      <c r="Y517" s="10">
        <f>IFERROR(INDEX(Tabell6[Kolumn1],MATCH($A517,Tabell6[Indexnmamn],0)),"")</f>
        <v>5.41</v>
      </c>
      <c r="Z517" s="10">
        <v>5.27</v>
      </c>
      <c r="AA517" s="10">
        <v>4.7619999999999996</v>
      </c>
      <c r="AB517" s="10">
        <f>VLOOKUP(A517,Tabell9[[Indexnamn]:[Kolumn1]],3,FALSE)</f>
        <v>3.5649999999999999</v>
      </c>
      <c r="AC517" s="10">
        <f>VLOOKUP($A517,'Lev 2022'!$K$2:$L$474,2,FALSE)</f>
        <v>3.2480000000000002</v>
      </c>
      <c r="AG517" s="2">
        <f t="shared" ref="AG517:AG521" si="20">AC517-AB517</f>
        <v>-0.31699999999999973</v>
      </c>
      <c r="AH517" s="103">
        <f t="shared" ref="AH517:AH521" si="21">AG517/AB517</f>
        <v>-8.8920056100981693E-2</v>
      </c>
    </row>
    <row r="518" spans="1:34" x14ac:dyDescent="0.25">
      <c r="A518" t="s">
        <v>218</v>
      </c>
      <c r="B518" s="46" t="str">
        <f>VLOOKUP(A518,'Korrigerade leveranser GD'!$A$4:$B$493,2,FALSE)</f>
        <v>Tärnsjö</v>
      </c>
      <c r="C518" s="10"/>
      <c r="D518" s="10"/>
      <c r="E518" s="10"/>
      <c r="F518" s="10">
        <v>0</v>
      </c>
      <c r="G518" s="10">
        <v>8.7149999999999999</v>
      </c>
      <c r="H518" s="10">
        <v>10.053000000000001</v>
      </c>
      <c r="I518" s="10">
        <v>9.843</v>
      </c>
      <c r="J518" s="10">
        <v>25.082000000000001</v>
      </c>
      <c r="K518" s="10">
        <v>9.7561754280156912</v>
      </c>
      <c r="L518" s="10">
        <v>9.7561754280156912</v>
      </c>
      <c r="M518" s="10">
        <v>9.1</v>
      </c>
      <c r="N518" s="10">
        <v>2.1</v>
      </c>
      <c r="O518" s="10">
        <v>9.3000000000000007</v>
      </c>
      <c r="P518" s="10">
        <v>8.36</v>
      </c>
      <c r="Q518" s="10">
        <v>9.1999999999999993</v>
      </c>
      <c r="R518" s="99">
        <v>7.6</v>
      </c>
      <c r="S518" s="10">
        <v>7.1016197956941101</v>
      </c>
      <c r="T518" s="10">
        <v>8.4684587521875372</v>
      </c>
      <c r="U518" s="10">
        <v>5.6159252777664719</v>
      </c>
      <c r="V518" s="10">
        <v>5.7050669488421306</v>
      </c>
      <c r="W518" s="99">
        <v>6.4776280981645025</v>
      </c>
      <c r="X518" s="56">
        <f>(W518-Y518)/2+Y518</f>
        <v>6.8893140490822518</v>
      </c>
      <c r="Y518" s="10">
        <f>IFERROR(INDEX(Tabell6[Kolumn1],MATCH($A518,Tabell6[Indexnmamn],0)),"")</f>
        <v>7.3010000000000002</v>
      </c>
      <c r="Z518" s="10">
        <v>7.28</v>
      </c>
      <c r="AA518" s="10">
        <v>6.7709999999999999</v>
      </c>
      <c r="AB518" s="10">
        <f>VLOOKUP(A518,Tabell9[[Indexnamn]:[Kolumn1]],3,FALSE)</f>
        <v>7.569</v>
      </c>
      <c r="AC518" s="10">
        <f>VLOOKUP($A518,'Lev 2022'!$K$2:$L$474,2,FALSE)</f>
        <v>7.4169999999999998</v>
      </c>
      <c r="AG518" s="2">
        <f t="shared" si="20"/>
        <v>-0.15200000000000014</v>
      </c>
      <c r="AH518" s="103">
        <f t="shared" si="21"/>
        <v>-2.0081913066455296E-2</v>
      </c>
    </row>
    <row r="519" spans="1:34" x14ac:dyDescent="0.25">
      <c r="A519" t="s">
        <v>157</v>
      </c>
      <c r="B519" s="46" t="str">
        <f>VLOOKUP(A519,'Korrigerade leveranser GD'!$A$4:$B$493,2,FALSE)</f>
        <v>Östersund</v>
      </c>
      <c r="C519" s="10">
        <v>480</v>
      </c>
      <c r="D519" s="10">
        <v>445.8</v>
      </c>
      <c r="E519" s="10">
        <v>471.19400000000002</v>
      </c>
      <c r="F519" s="10">
        <v>480</v>
      </c>
      <c r="G519" s="10">
        <v>477</v>
      </c>
      <c r="H519" s="10">
        <v>522</v>
      </c>
      <c r="I519" s="10">
        <v>509</v>
      </c>
      <c r="J519" s="10">
        <v>507.89400000000001</v>
      </c>
      <c r="K519" s="10">
        <v>494.00690000000003</v>
      </c>
      <c r="L519" s="10">
        <v>490.38299999999998</v>
      </c>
      <c r="M519" s="10">
        <v>500</v>
      </c>
      <c r="N519" s="10">
        <v>500</v>
      </c>
      <c r="O519" s="10">
        <v>506.5</v>
      </c>
      <c r="P519" s="10">
        <v>522</v>
      </c>
      <c r="Q519" s="10">
        <v>599</v>
      </c>
      <c r="R519" s="10">
        <v>502</v>
      </c>
      <c r="S519" s="10">
        <v>594.79999999999995</v>
      </c>
      <c r="T519" s="10">
        <f>IFERROR(VLOOKUP('Leveranser per nät'!A519,'lev 2013'!$B$2:$E$445,4,FALSE),"")</f>
        <v>531.1</v>
      </c>
      <c r="U519" s="10">
        <f>IFERROR(VLOOKUP('Leveranser per nät'!A519,'lev 2014'!$B$2:$E$432,4,FALSE),"")</f>
        <v>510.04</v>
      </c>
      <c r="V519" s="10">
        <f>IFERROR(INDEX(Levererat_2015[Leveranser till eget nät],MATCH($A519,Levererat_2015[Indexnamn],0)),"")</f>
        <v>514.15</v>
      </c>
      <c r="W519" s="10">
        <f>IFERROR(INDEX(Levererat_2016[Leveranser till eget nät],MATCH($A519,Levererat_2016[Indexnamn],0)),"")</f>
        <v>539.73</v>
      </c>
      <c r="X519" s="10">
        <f>IFERROR(INDEX(Tabell4[Leveranser till eget nät],MATCH('Leveranser per nät'!A519,Tabell4[[Finns i listan ]],0)),"")</f>
        <v>549.75</v>
      </c>
      <c r="Y519" s="10">
        <f>IFERROR(INDEX(Tabell6[Kolumn1],MATCH($A519,Tabell6[Indexnmamn],0)),"")</f>
        <v>551.14</v>
      </c>
      <c r="Z519" s="10">
        <v>549.01</v>
      </c>
      <c r="AA519" s="10">
        <v>547.97900000000004</v>
      </c>
      <c r="AB519" s="10">
        <f>VLOOKUP(A519,Tabell9[[Indexnamn]:[Kolumn1]],3,FALSE)</f>
        <v>555.798</v>
      </c>
      <c r="AC519" s="10">
        <f>VLOOKUP($A519,'Lev 2022'!$K$2:$L$474,2,FALSE)</f>
        <v>525.56999999999994</v>
      </c>
      <c r="AG519" s="2">
        <f t="shared" si="20"/>
        <v>-30.228000000000065</v>
      </c>
      <c r="AH519" s="103">
        <f t="shared" si="21"/>
        <v>-5.4386665659106485E-2</v>
      </c>
    </row>
    <row r="520" spans="1:34" x14ac:dyDescent="0.25">
      <c r="A520" t="s">
        <v>57</v>
      </c>
      <c r="B520" s="46" t="str">
        <f>VLOOKUP(A520,'Korrigerade leveranser GD'!$A$4:$B$493,2,FALSE)</f>
        <v>Österåker</v>
      </c>
      <c r="C520" s="10"/>
      <c r="D520" s="10"/>
      <c r="E520" s="10"/>
      <c r="F520" s="10">
        <v>0</v>
      </c>
      <c r="G520" s="10">
        <v>45.8</v>
      </c>
      <c r="H520" s="10">
        <v>50</v>
      </c>
      <c r="I520" s="10">
        <v>0</v>
      </c>
      <c r="J520" s="10"/>
      <c r="K520" s="10"/>
      <c r="L520" s="10">
        <v>0</v>
      </c>
      <c r="M520" s="10">
        <v>58.4</v>
      </c>
      <c r="N520" s="10">
        <v>54</v>
      </c>
      <c r="O520" s="10">
        <v>58.1</v>
      </c>
      <c r="P520" s="56">
        <f>(O520-Q520)/2+Q520</f>
        <v>63.849999999999994</v>
      </c>
      <c r="Q520" s="10">
        <v>69.599999999999994</v>
      </c>
      <c r="R520" s="10">
        <v>62</v>
      </c>
      <c r="S520" s="10">
        <v>69.8</v>
      </c>
      <c r="T520" s="56">
        <f>(S520-U520)/2+U520</f>
        <v>66.150000000000006</v>
      </c>
      <c r="U520" s="10">
        <f>IFERROR(VLOOKUP('Leveranser per nät'!A520,'lev 2014'!$B$2:$E$432,4,FALSE),"")</f>
        <v>62.5</v>
      </c>
      <c r="V520" s="10">
        <f>IFERROR(INDEX(Levererat_2015[Leveranser till eget nät],MATCH($A520,Levererat_2015[Indexnamn],0)),"")</f>
        <v>61.2</v>
      </c>
      <c r="W520" s="10">
        <f>IFERROR(INDEX(Levererat_2016[Leveranser till eget nät],MATCH($A520,Levererat_2016[Indexnamn],0)),"")</f>
        <v>65.7</v>
      </c>
      <c r="X520" s="10" t="str">
        <f>IFERROR(INDEX(Tabell4[Leveranser till eget nät],MATCH('Leveranser per nät'!A520,Tabell4[[Finns i listan ]],0)),"")</f>
        <v/>
      </c>
      <c r="Y520" s="10" t="str">
        <f>IFERROR(INDEX(Tabell6[Kolumn1],MATCH($A520,Tabell6[Indexnmamn],0)),"")</f>
        <v/>
      </c>
      <c r="Z520" s="10">
        <v>65</v>
      </c>
      <c r="AA520" s="10">
        <v>55.9</v>
      </c>
      <c r="AB520" s="10">
        <f>VLOOKUP(A520,Tabell9[[Indexnamn]:[Kolumn1]],3,FALSE)</f>
        <v>69</v>
      </c>
      <c r="AC520" s="10">
        <f>VLOOKUP($A520,'Lev 2022'!$K$2:$L$474,2,FALSE)</f>
        <v>66.5</v>
      </c>
      <c r="AG520" s="2">
        <f t="shared" si="20"/>
        <v>-2.5</v>
      </c>
      <c r="AH520" s="103">
        <f t="shared" si="21"/>
        <v>-3.6231884057971016E-2</v>
      </c>
    </row>
    <row r="521" spans="1:34" x14ac:dyDescent="0.25">
      <c r="A521" t="s">
        <v>528</v>
      </c>
      <c r="B521" s="46" t="str">
        <f>VLOOKUP(A521,'Korrigerade leveranser GD'!$A$4:$B$493,2,FALSE)</f>
        <v>Östhammar</v>
      </c>
      <c r="C521" s="10"/>
      <c r="D521" s="10"/>
      <c r="E521" s="10"/>
      <c r="F521" s="10"/>
      <c r="G521" s="10"/>
      <c r="H521" s="10"/>
      <c r="I521" s="10"/>
      <c r="J521" s="10"/>
      <c r="K521" s="10"/>
      <c r="L521" s="10"/>
      <c r="M521" s="10">
        <v>0</v>
      </c>
      <c r="N521" s="10">
        <v>0.5</v>
      </c>
      <c r="O521" s="10">
        <v>2.4</v>
      </c>
      <c r="P521" s="10">
        <v>1.87</v>
      </c>
      <c r="Q521" s="10">
        <v>2.3199999999999998</v>
      </c>
      <c r="R521" s="99">
        <v>2.68</v>
      </c>
      <c r="S521" s="10">
        <v>4.66</v>
      </c>
      <c r="T521" s="10">
        <v>5.56</v>
      </c>
      <c r="U521" s="10">
        <v>3.69</v>
      </c>
      <c r="V521" s="10">
        <v>3.74</v>
      </c>
      <c r="W521" s="99">
        <v>4.25</v>
      </c>
      <c r="X521" s="56">
        <f>(W521-Y521)/2+Y521</f>
        <v>4.5205000000000002</v>
      </c>
      <c r="Y521" s="10">
        <f>IFERROR(INDEX(Tabell6[Kolumn1],MATCH($A521,Tabell6[Indexnmamn],0)),"")</f>
        <v>4.7910000000000004</v>
      </c>
      <c r="Z521" s="10">
        <v>7.5659999999999998</v>
      </c>
      <c r="AA521" s="10">
        <v>7.1070000000000002</v>
      </c>
      <c r="AB521" s="10">
        <f>VLOOKUP(A521,Tabell9[[Indexnamn]:[Kolumn1]],3,FALSE)</f>
        <v>7.9820000000000002</v>
      </c>
      <c r="AC521" s="10">
        <f>VLOOKUP($A521,'Lev 2022'!$K$2:$L$474,2,FALSE)</f>
        <v>7.5940000000000003</v>
      </c>
      <c r="AG521" s="2">
        <f t="shared" si="20"/>
        <v>-0.3879999999999999</v>
      </c>
      <c r="AH521" s="103">
        <f t="shared" si="21"/>
        <v>-4.8609371084941101E-2</v>
      </c>
    </row>
    <row r="522" spans="1:34" s="77" customFormat="1" x14ac:dyDescent="0.25">
      <c r="A522" s="82" t="s">
        <v>344</v>
      </c>
      <c r="B522" s="82" t="str">
        <f>VLOOKUP(A522,'Korrigerade leveranser GD'!$A$4:$B$493,2,FALSE)</f>
        <v>Överkalix</v>
      </c>
      <c r="C522" s="69">
        <v>9.6790000000000003</v>
      </c>
      <c r="D522" s="69">
        <v>11.08</v>
      </c>
      <c r="E522" s="69">
        <v>14.547000000000001</v>
      </c>
      <c r="F522" s="69">
        <v>15.217000000000001</v>
      </c>
      <c r="G522" s="69">
        <v>15</v>
      </c>
      <c r="H522" s="69">
        <v>16</v>
      </c>
      <c r="I522" s="69">
        <v>23.343</v>
      </c>
      <c r="J522" s="69">
        <v>23.503</v>
      </c>
      <c r="K522" s="69">
        <v>26.209</v>
      </c>
      <c r="L522" s="69">
        <v>26.209</v>
      </c>
      <c r="M522" s="69">
        <v>26.3</v>
      </c>
      <c r="N522" s="69">
        <v>26.7</v>
      </c>
      <c r="O522" s="69">
        <v>26</v>
      </c>
      <c r="P522" s="69">
        <v>26.3</v>
      </c>
      <c r="Q522" s="69">
        <v>27.9</v>
      </c>
      <c r="R522" s="69">
        <v>24</v>
      </c>
      <c r="S522" s="69">
        <v>24.4</v>
      </c>
      <c r="T522" s="69">
        <v>23.5</v>
      </c>
      <c r="U522" s="69">
        <v>23.2</v>
      </c>
      <c r="V522" s="69">
        <v>23</v>
      </c>
      <c r="W522" s="69">
        <v>24.4</v>
      </c>
      <c r="X522" s="69">
        <v>27.8</v>
      </c>
      <c r="Y522" s="69">
        <v>24.2</v>
      </c>
      <c r="Z522" s="69">
        <v>23.9</v>
      </c>
      <c r="AA522" s="69">
        <v>20.6</v>
      </c>
      <c r="AB522" s="69">
        <v>24</v>
      </c>
      <c r="AC522" s="56">
        <f>AB522*(1-0.07)</f>
        <v>22.32</v>
      </c>
      <c r="AE522"/>
      <c r="AG522" s="2"/>
      <c r="AH522" s="103"/>
    </row>
    <row r="523" spans="1:34" s="77" customFormat="1" x14ac:dyDescent="0.25">
      <c r="A523" s="77" t="s">
        <v>347</v>
      </c>
      <c r="B523" s="82" t="str">
        <f>VLOOKUP(A523,'Korrigerade leveranser GD'!$A$4:$B$493,2,FALSE)</f>
        <v>Pajala</v>
      </c>
      <c r="C523" s="69">
        <v>21.565000000000001</v>
      </c>
      <c r="D523" s="69">
        <v>24.172999999999998</v>
      </c>
      <c r="E523" s="69">
        <v>36.976999999999997</v>
      </c>
      <c r="F523" s="69">
        <v>32.798999999999999</v>
      </c>
      <c r="G523" s="69">
        <v>29</v>
      </c>
      <c r="H523" s="69">
        <v>28.393999999999998</v>
      </c>
      <c r="I523" s="69">
        <v>28.4</v>
      </c>
      <c r="J523" s="69">
        <v>24.469000000000001</v>
      </c>
      <c r="K523" s="69">
        <v>25.652999999999999</v>
      </c>
      <c r="L523" s="69">
        <v>25.652999999999999</v>
      </c>
      <c r="M523" s="69">
        <v>25</v>
      </c>
      <c r="N523" s="69">
        <v>24.9</v>
      </c>
      <c r="O523" s="69">
        <v>25.6</v>
      </c>
      <c r="P523" s="69">
        <v>26.3</v>
      </c>
      <c r="Q523" s="69">
        <v>28.3</v>
      </c>
      <c r="R523" s="69">
        <v>24.5</v>
      </c>
      <c r="S523" s="69">
        <v>27</v>
      </c>
      <c r="T523" s="69">
        <f>IFERROR(VLOOKUP('Leveranser per nät'!A523,'lev 2013'!$B$2:$E$445,4,FALSE),"")</f>
        <v>24.9</v>
      </c>
      <c r="U523" s="69">
        <f>IFERROR(VLOOKUP('Leveranser per nät'!A523,'lev 2014'!$B$2:$E$432,4,FALSE),"")</f>
        <v>23.8</v>
      </c>
      <c r="V523" s="69">
        <v>23.8</v>
      </c>
      <c r="W523" s="69">
        <v>24.6</v>
      </c>
      <c r="X523" s="69">
        <v>25.2</v>
      </c>
      <c r="Y523" s="69">
        <v>23.3</v>
      </c>
      <c r="Z523" s="69">
        <v>23.5</v>
      </c>
      <c r="AA523" s="69">
        <v>20.3</v>
      </c>
      <c r="AB523" s="69">
        <v>22.7</v>
      </c>
      <c r="AC523" s="56">
        <f>AB523*(1-0.07)</f>
        <v>21.110999999999997</v>
      </c>
      <c r="AE523"/>
      <c r="AG523" s="2">
        <f>AC523-AB523</f>
        <v>-1.5890000000000022</v>
      </c>
      <c r="AH523" s="103"/>
    </row>
    <row r="524" spans="1:34" x14ac:dyDescent="0.25">
      <c r="A524" s="1" t="s">
        <v>470</v>
      </c>
      <c r="B524" s="1"/>
      <c r="C524" s="14">
        <f t="shared" ref="C524:Z524" si="22">SUM(C4:C523)</f>
        <v>40041.635999999991</v>
      </c>
      <c r="D524" s="14">
        <f t="shared" si="22"/>
        <v>37233.184999999998</v>
      </c>
      <c r="E524" s="14">
        <f t="shared" si="22"/>
        <v>38772.968000000001</v>
      </c>
      <c r="F524" s="14">
        <f t="shared" si="22"/>
        <v>39190.877999999997</v>
      </c>
      <c r="G524" s="14">
        <f t="shared" si="22"/>
        <v>37721.728833333334</v>
      </c>
      <c r="H524" s="14">
        <f t="shared" si="22"/>
        <v>40959.208666666666</v>
      </c>
      <c r="I524" s="14">
        <f t="shared" si="22"/>
        <v>41472.049898876372</v>
      </c>
      <c r="J524" s="14">
        <f t="shared" si="22"/>
        <v>42459.418550782539</v>
      </c>
      <c r="K524" s="14">
        <f t="shared" si="22"/>
        <v>39116.51423160205</v>
      </c>
      <c r="L524" s="14">
        <f t="shared" si="22"/>
        <v>39678.462121489727</v>
      </c>
      <c r="M524" s="14">
        <f t="shared" si="22"/>
        <v>39743.228857571659</v>
      </c>
      <c r="N524" s="14">
        <f t="shared" si="22"/>
        <v>39936.45766666672</v>
      </c>
      <c r="O524" s="14">
        <f t="shared" si="22"/>
        <v>40179.157979000069</v>
      </c>
      <c r="P524" s="14">
        <f t="shared" si="22"/>
        <v>50542.926880999999</v>
      </c>
      <c r="Q524" s="14">
        <f t="shared" si="22"/>
        <v>58619.206955561378</v>
      </c>
      <c r="R524" s="14">
        <f t="shared" si="22"/>
        <v>50671.819751099785</v>
      </c>
      <c r="S524" s="14">
        <f t="shared" si="22"/>
        <v>52491.181835578544</v>
      </c>
      <c r="T524" s="14">
        <f t="shared" si="22"/>
        <v>50820.610993833543</v>
      </c>
      <c r="U524" s="14">
        <f t="shared" si="22"/>
        <v>46652.40968770715</v>
      </c>
      <c r="V524" s="14">
        <f t="shared" si="22"/>
        <v>47314.297839586099</v>
      </c>
      <c r="W524" s="14">
        <f t="shared" si="22"/>
        <v>50236.82416909255</v>
      </c>
      <c r="X524" s="14">
        <f t="shared" si="22"/>
        <v>49324.726705046276</v>
      </c>
      <c r="Y524" s="14">
        <f t="shared" si="22"/>
        <v>48947.033009999999</v>
      </c>
      <c r="Z524" s="14">
        <f t="shared" si="22"/>
        <v>49524.014200000005</v>
      </c>
      <c r="AA524" s="14">
        <f>SUM(AA4:AA514)</f>
        <v>45142.482985000017</v>
      </c>
      <c r="AB524" s="14">
        <f>SUM(AB4:AB523)</f>
        <v>52609.555363000036</v>
      </c>
      <c r="AC524" s="14">
        <f>SUM(AC4:AC523)</f>
        <v>49159.067605999968</v>
      </c>
    </row>
    <row r="525" spans="1:34" x14ac:dyDescent="0.25">
      <c r="D525" s="6"/>
      <c r="E525" s="6"/>
      <c r="F525" s="6"/>
      <c r="G525" s="6"/>
      <c r="H525" s="6"/>
      <c r="I525" s="6"/>
      <c r="J525" s="6"/>
      <c r="K525" s="6"/>
      <c r="L525" s="6"/>
      <c r="M525" s="6"/>
      <c r="N525" s="6"/>
      <c r="O525" s="6"/>
      <c r="P525" s="6"/>
      <c r="R525" s="6"/>
    </row>
    <row r="526" spans="1:34" x14ac:dyDescent="0.25">
      <c r="A526" s="1" t="s">
        <v>471</v>
      </c>
      <c r="C526" s="13">
        <v>44174</v>
      </c>
      <c r="D526" s="13">
        <v>40975</v>
      </c>
      <c r="E526" s="13">
        <v>43012</v>
      </c>
      <c r="F526" s="13">
        <v>43278</v>
      </c>
      <c r="G526" s="13">
        <v>41425</v>
      </c>
      <c r="H526" s="13">
        <v>46580</v>
      </c>
      <c r="I526" s="13">
        <v>47008</v>
      </c>
      <c r="J526" s="13">
        <v>47468.061000000002</v>
      </c>
      <c r="K526" s="13">
        <v>47768</v>
      </c>
      <c r="L526" s="13">
        <v>48543</v>
      </c>
      <c r="M526" s="13">
        <v>47460.082920000059</v>
      </c>
      <c r="N526" s="13">
        <v>51201.502640000028</v>
      </c>
      <c r="O526" s="13">
        <v>51359.540839000074</v>
      </c>
      <c r="P526" s="13">
        <v>53332.048200000041</v>
      </c>
      <c r="Q526" s="13">
        <v>60151</v>
      </c>
      <c r="R526" s="13">
        <v>50631.317377999978</v>
      </c>
      <c r="S526" s="13">
        <v>53003.346991999984</v>
      </c>
      <c r="T526" s="13">
        <v>51800</v>
      </c>
      <c r="U526" s="13">
        <v>48500</v>
      </c>
      <c r="V526" s="13">
        <v>48800</v>
      </c>
      <c r="W526" s="13">
        <v>51400</v>
      </c>
      <c r="X526" s="57">
        <v>50775</v>
      </c>
      <c r="Y526" s="13">
        <v>50951</v>
      </c>
      <c r="Z526" s="13">
        <v>50237.686000000002</v>
      </c>
      <c r="AA526" s="13">
        <v>45874.21977839122</v>
      </c>
      <c r="AB526" s="13">
        <v>53334</v>
      </c>
      <c r="AC526" s="134">
        <v>49065</v>
      </c>
    </row>
    <row r="527" spans="1:34" x14ac:dyDescent="0.25">
      <c r="A527" t="s">
        <v>472</v>
      </c>
      <c r="C527" s="15">
        <f>C526-C524</f>
        <v>4132.3640000000087</v>
      </c>
      <c r="D527" s="15">
        <f>D526-D524</f>
        <v>3741.8150000000023</v>
      </c>
      <c r="E527" s="15">
        <f t="shared" ref="E527:O527" si="23">E526-E524</f>
        <v>4239.0319999999992</v>
      </c>
      <c r="F527" s="15">
        <f t="shared" si="23"/>
        <v>4087.122000000003</v>
      </c>
      <c r="G527" s="15">
        <f t="shared" si="23"/>
        <v>3703.2711666666655</v>
      </c>
      <c r="H527" s="15">
        <f t="shared" si="23"/>
        <v>5620.7913333333345</v>
      </c>
      <c r="I527" s="15">
        <f t="shared" si="23"/>
        <v>5535.950101123628</v>
      </c>
      <c r="J527" s="15">
        <f>J526-J524</f>
        <v>5008.6424492174629</v>
      </c>
      <c r="K527" s="15">
        <f t="shared" si="23"/>
        <v>8651.4857683979499</v>
      </c>
      <c r="L527" s="15">
        <f t="shared" si="23"/>
        <v>8864.537878510273</v>
      </c>
      <c r="M527" s="15">
        <f t="shared" si="23"/>
        <v>7716.8540624283996</v>
      </c>
      <c r="N527" s="15">
        <f t="shared" si="23"/>
        <v>11265.044973333308</v>
      </c>
      <c r="O527" s="15">
        <f t="shared" si="23"/>
        <v>11180.382860000005</v>
      </c>
      <c r="P527" s="15">
        <f>IF(P526-P524&lt;0, 0, P526-P524)</f>
        <v>2789.1213190000417</v>
      </c>
      <c r="Q527" s="15">
        <f t="shared" ref="Q527:U527" si="24">IF(Q526-Q524&lt;0, 0, Q526-Q524)</f>
        <v>1531.793044438622</v>
      </c>
      <c r="R527" s="15">
        <f>IF(R526-R524&lt;0, 0, R526-R524)</f>
        <v>0</v>
      </c>
      <c r="S527" s="15">
        <f t="shared" si="24"/>
        <v>512.16515642144077</v>
      </c>
      <c r="T527" s="15">
        <f t="shared" si="24"/>
        <v>979.38900616645697</v>
      </c>
      <c r="U527" s="15">
        <f t="shared" si="24"/>
        <v>1847.5903122928503</v>
      </c>
      <c r="V527" s="15">
        <f t="shared" ref="V527" si="25">IF(V526-V524&lt;0, 0, V526-V524)</f>
        <v>1485.7021604139009</v>
      </c>
      <c r="W527" s="15">
        <f t="shared" ref="W527" si="26">IF(W526-W524&lt;0, 0, W526-W524)</f>
        <v>1163.1758309074503</v>
      </c>
      <c r="X527" s="15">
        <f t="shared" ref="X527" si="27">IF(X526-X524&lt;0, 0, X526-X524)</f>
        <v>1450.273294953724</v>
      </c>
      <c r="Y527" s="15">
        <f t="shared" ref="Y527" si="28">IF(Y526-Y524&lt;0, 0, Y526-Y524)</f>
        <v>2003.9669900000008</v>
      </c>
      <c r="Z527" s="15">
        <f t="shared" ref="Z527" si="29">IF(Z526-Z524&lt;0, 0, Z526-Z524)</f>
        <v>713.67179999999644</v>
      </c>
      <c r="AA527" s="15">
        <f t="shared" ref="AA527" si="30">IF(AA526-AA524&lt;0, 0, AA526-AA524)</f>
        <v>731.73679339120281</v>
      </c>
      <c r="AB527" s="15">
        <f>IF(AB526-AB524&lt;0, 0, AB526-AB524)</f>
        <v>724.44463699996413</v>
      </c>
      <c r="AC527" s="15">
        <f t="shared" ref="AC527" si="31">IF(AC526-AC524&lt;0, 0, AC526-AC524)</f>
        <v>0</v>
      </c>
      <c r="AG527" s="2">
        <f>AVERAGE(AG4:AG523)</f>
        <v>-8.0239338571428576</v>
      </c>
      <c r="AH527" s="2">
        <f>AVERAGE(AH4:AH523)</f>
        <v>-5.9101593847323712E-2</v>
      </c>
    </row>
    <row r="528" spans="1:34" x14ac:dyDescent="0.25">
      <c r="C528" s="2"/>
      <c r="D528" s="2"/>
      <c r="E528" s="6"/>
      <c r="F528" s="6"/>
      <c r="G528" s="6"/>
      <c r="H528" s="6"/>
      <c r="I528" s="6"/>
      <c r="J528" s="6"/>
      <c r="K528" s="6"/>
      <c r="L528" s="6"/>
      <c r="M528" s="6"/>
      <c r="N528" s="6"/>
      <c r="O528" s="6"/>
      <c r="P528" s="6"/>
      <c r="Q528" s="6"/>
    </row>
    <row r="529" spans="1:29" x14ac:dyDescent="0.25">
      <c r="A529" s="1" t="s">
        <v>500</v>
      </c>
      <c r="B529" s="16">
        <v>0.7</v>
      </c>
      <c r="C529" s="103">
        <f t="shared" ref="C529:X529" si="32">C524/C526</f>
        <v>0.90645257391225587</v>
      </c>
      <c r="D529" s="103">
        <f t="shared" si="32"/>
        <v>0.90868053691275164</v>
      </c>
      <c r="E529" s="103">
        <f t="shared" si="32"/>
        <v>0.90144536408444154</v>
      </c>
      <c r="F529" s="103">
        <f t="shared" si="32"/>
        <v>0.90556120892832381</v>
      </c>
      <c r="G529" s="103">
        <f t="shared" si="32"/>
        <v>0.91060298933816142</v>
      </c>
      <c r="H529" s="103">
        <f t="shared" si="32"/>
        <v>0.87933037068842135</v>
      </c>
      <c r="I529" s="103">
        <f t="shared" si="32"/>
        <v>0.88223387293389155</v>
      </c>
      <c r="J529" s="103">
        <f>J524/J526</f>
        <v>0.89448394681178445</v>
      </c>
      <c r="K529" s="103">
        <f t="shared" si="32"/>
        <v>0.81888532556527482</v>
      </c>
      <c r="L529" s="103">
        <f t="shared" si="32"/>
        <v>0.81738792661124626</v>
      </c>
      <c r="M529" s="103">
        <f t="shared" si="32"/>
        <v>0.83740327475963061</v>
      </c>
      <c r="N529" s="103">
        <f t="shared" si="32"/>
        <v>0.77998604743032007</v>
      </c>
      <c r="O529" s="103">
        <f t="shared" si="32"/>
        <v>0.78231147168842796</v>
      </c>
      <c r="P529" s="103">
        <f t="shared" si="32"/>
        <v>0.94770271510029802</v>
      </c>
      <c r="Q529" s="103">
        <f t="shared" si="32"/>
        <v>0.97453420484383269</v>
      </c>
      <c r="R529" s="103">
        <f t="shared" si="32"/>
        <v>1.000799947052482</v>
      </c>
      <c r="S529" s="103">
        <f t="shared" si="32"/>
        <v>0.99033711670135205</v>
      </c>
      <c r="T529" s="103">
        <f t="shared" si="32"/>
        <v>0.98109287632883291</v>
      </c>
      <c r="U529" s="103">
        <f t="shared" si="32"/>
        <v>0.96190535438571445</v>
      </c>
      <c r="V529" s="103">
        <f t="shared" si="32"/>
        <v>0.96955528359807586</v>
      </c>
      <c r="W529" s="103">
        <f t="shared" si="32"/>
        <v>0.97737012002125578</v>
      </c>
      <c r="X529" s="103">
        <f t="shared" si="32"/>
        <v>0.97143725662326497</v>
      </c>
      <c r="Y529" s="109">
        <f>Y524/Y526</f>
        <v>0.96066874075091757</v>
      </c>
      <c r="Z529" s="109">
        <f>Z524/Z526</f>
        <v>0.98579409489521475</v>
      </c>
      <c r="AA529" s="109">
        <f>AA524/AA526</f>
        <v>0.98404906291755867</v>
      </c>
      <c r="AB529" s="109">
        <f>AB524/AB526</f>
        <v>0.98641683284584014</v>
      </c>
      <c r="AC529" s="109">
        <f>AC524/AC526</f>
        <v>1.0019172038316513</v>
      </c>
    </row>
    <row r="530" spans="1:29" x14ac:dyDescent="0.25">
      <c r="A530" s="1" t="s">
        <v>807</v>
      </c>
      <c r="B530" s="42">
        <f>1-Andel_beroende_av_klimat</f>
        <v>0.30000000000000004</v>
      </c>
      <c r="C530" s="2"/>
      <c r="D530" s="2"/>
      <c r="E530" s="2"/>
      <c r="F530" s="2"/>
      <c r="G530" s="2"/>
      <c r="H530" s="2"/>
      <c r="I530" s="2"/>
      <c r="J530" s="2"/>
      <c r="K530" s="2"/>
      <c r="L530" s="2"/>
      <c r="M530" s="2"/>
      <c r="N530" s="2"/>
      <c r="O530" s="2"/>
      <c r="P530" s="2"/>
      <c r="Q530" s="2"/>
      <c r="V530" s="2"/>
    </row>
    <row r="531" spans="1:29" x14ac:dyDescent="0.25">
      <c r="C531" s="2"/>
      <c r="D531" s="2"/>
      <c r="E531" s="2"/>
      <c r="F531" s="2"/>
      <c r="G531" s="2"/>
      <c r="H531" s="2"/>
      <c r="I531" s="2"/>
      <c r="J531" s="2"/>
      <c r="K531" s="2"/>
      <c r="L531" s="2"/>
      <c r="M531" s="2"/>
      <c r="N531" s="2"/>
      <c r="O531" s="2"/>
      <c r="P531" s="2"/>
      <c r="Q531" s="2"/>
      <c r="AB531" s="8">
        <v>53853.202409000049</v>
      </c>
    </row>
    <row r="532" spans="1:29" x14ac:dyDescent="0.25">
      <c r="C532" s="2"/>
      <c r="D532" s="2"/>
      <c r="E532" s="2"/>
      <c r="F532" s="2"/>
      <c r="G532" s="2"/>
      <c r="H532" s="2"/>
      <c r="I532" s="2"/>
      <c r="J532" s="2"/>
      <c r="K532" s="2"/>
      <c r="L532" s="2"/>
      <c r="M532" s="2"/>
      <c r="N532" s="2"/>
      <c r="O532" s="2"/>
      <c r="P532" s="2"/>
      <c r="Q532" s="2"/>
    </row>
    <row r="533" spans="1:29" x14ac:dyDescent="0.25">
      <c r="A533" t="s">
        <v>829</v>
      </c>
      <c r="C533" s="2">
        <f t="shared" ref="C533:AB533" si="33">COUNT(C4:C523)</f>
        <v>199</v>
      </c>
      <c r="D533" s="2">
        <f t="shared" si="33"/>
        <v>215</v>
      </c>
      <c r="E533" s="2">
        <f t="shared" si="33"/>
        <v>233</v>
      </c>
      <c r="F533" s="2">
        <f t="shared" si="33"/>
        <v>250</v>
      </c>
      <c r="G533" s="2">
        <f t="shared" si="33"/>
        <v>259</v>
      </c>
      <c r="H533" s="2">
        <f t="shared" si="33"/>
        <v>261</v>
      </c>
      <c r="I533" s="2">
        <f t="shared" si="33"/>
        <v>270</v>
      </c>
      <c r="J533" s="2">
        <f t="shared" si="33"/>
        <v>295</v>
      </c>
      <c r="K533" s="2">
        <f t="shared" si="33"/>
        <v>322</v>
      </c>
      <c r="L533" s="2">
        <f t="shared" si="33"/>
        <v>366</v>
      </c>
      <c r="M533" s="2">
        <f t="shared" si="33"/>
        <v>375</v>
      </c>
      <c r="N533" s="2">
        <f t="shared" si="33"/>
        <v>374</v>
      </c>
      <c r="O533" s="2">
        <f t="shared" si="33"/>
        <v>387</v>
      </c>
      <c r="P533" s="2">
        <f t="shared" si="33"/>
        <v>416</v>
      </c>
      <c r="Q533" s="2">
        <f t="shared" si="33"/>
        <v>416</v>
      </c>
      <c r="R533" s="2">
        <f t="shared" si="33"/>
        <v>411</v>
      </c>
      <c r="S533" s="2">
        <f t="shared" si="33"/>
        <v>411</v>
      </c>
      <c r="T533" s="2">
        <f t="shared" si="33"/>
        <v>413</v>
      </c>
      <c r="U533" s="2">
        <f t="shared" si="33"/>
        <v>418</v>
      </c>
      <c r="V533" s="2">
        <f t="shared" si="33"/>
        <v>423</v>
      </c>
      <c r="W533" s="2">
        <f t="shared" si="33"/>
        <v>419</v>
      </c>
      <c r="X533" s="2">
        <f t="shared" si="33"/>
        <v>412</v>
      </c>
      <c r="Y533" s="2">
        <f t="shared" si="33"/>
        <v>411</v>
      </c>
      <c r="Z533" s="2">
        <f t="shared" si="33"/>
        <v>410</v>
      </c>
      <c r="AA533" s="2">
        <f t="shared" si="33"/>
        <v>410</v>
      </c>
      <c r="AB533" s="2">
        <f t="shared" si="33"/>
        <v>404</v>
      </c>
      <c r="AC533" s="2">
        <f t="shared" ref="AC533" si="34">COUNT(AC4:AC523)</f>
        <v>411</v>
      </c>
    </row>
    <row r="534" spans="1:29" x14ac:dyDescent="0.25">
      <c r="A534" t="s">
        <v>830</v>
      </c>
      <c r="C534" s="2">
        <f t="shared" ref="C534:AB534" si="35">COUNTIF(C4:C523,"&gt;0")</f>
        <v>181</v>
      </c>
      <c r="D534" s="2">
        <f t="shared" si="35"/>
        <v>202</v>
      </c>
      <c r="E534" s="2">
        <f t="shared" si="35"/>
        <v>211</v>
      </c>
      <c r="F534" s="2">
        <f t="shared" si="35"/>
        <v>225</v>
      </c>
      <c r="G534" s="2">
        <f t="shared" si="35"/>
        <v>240</v>
      </c>
      <c r="H534" s="2">
        <f t="shared" si="35"/>
        <v>249</v>
      </c>
      <c r="I534" s="2">
        <f t="shared" si="35"/>
        <v>253</v>
      </c>
      <c r="J534" s="2">
        <f t="shared" si="35"/>
        <v>266</v>
      </c>
      <c r="K534" s="2">
        <f t="shared" si="35"/>
        <v>275</v>
      </c>
      <c r="L534" s="2">
        <f t="shared" si="35"/>
        <v>314</v>
      </c>
      <c r="M534" s="2">
        <f t="shared" si="35"/>
        <v>349</v>
      </c>
      <c r="N534" s="2">
        <f t="shared" si="35"/>
        <v>362</v>
      </c>
      <c r="O534" s="2">
        <f t="shared" si="35"/>
        <v>368</v>
      </c>
      <c r="P534" s="2">
        <f t="shared" si="35"/>
        <v>382</v>
      </c>
      <c r="Q534" s="2">
        <f t="shared" si="35"/>
        <v>400</v>
      </c>
      <c r="R534" s="2">
        <f t="shared" si="35"/>
        <v>396</v>
      </c>
      <c r="S534" s="2">
        <f t="shared" si="35"/>
        <v>411</v>
      </c>
      <c r="T534" s="2">
        <f t="shared" si="35"/>
        <v>413</v>
      </c>
      <c r="U534" s="2">
        <f t="shared" si="35"/>
        <v>415</v>
      </c>
      <c r="V534" s="2">
        <f t="shared" si="35"/>
        <v>423</v>
      </c>
      <c r="W534" s="2">
        <f t="shared" si="35"/>
        <v>419</v>
      </c>
      <c r="X534" s="2">
        <f t="shared" si="35"/>
        <v>411</v>
      </c>
      <c r="Y534" s="2">
        <f t="shared" si="35"/>
        <v>410</v>
      </c>
      <c r="Z534" s="2">
        <f t="shared" si="35"/>
        <v>409</v>
      </c>
      <c r="AA534" s="2">
        <f t="shared" si="35"/>
        <v>409</v>
      </c>
      <c r="AB534" s="2">
        <f t="shared" si="35"/>
        <v>404</v>
      </c>
      <c r="AC534" s="2">
        <f t="shared" ref="AC534" si="36">COUNTIF(AC4:AC523,"&gt;0")</f>
        <v>411</v>
      </c>
    </row>
    <row r="535" spans="1:29" x14ac:dyDescent="0.25">
      <c r="C535" s="2"/>
      <c r="D535" s="2"/>
      <c r="E535" s="2"/>
      <c r="F535" s="2"/>
      <c r="G535" s="2"/>
      <c r="H535" s="2"/>
      <c r="I535" s="2"/>
      <c r="J535" s="2"/>
      <c r="K535" s="2"/>
      <c r="L535" s="2"/>
      <c r="M535" s="2"/>
      <c r="N535" s="2"/>
      <c r="O535" s="2"/>
      <c r="P535" s="2"/>
      <c r="Q535" s="2"/>
    </row>
    <row r="536" spans="1:29" x14ac:dyDescent="0.25">
      <c r="C536" s="2"/>
      <c r="D536" s="2"/>
      <c r="E536" s="2"/>
      <c r="F536" s="2"/>
      <c r="G536" s="2"/>
      <c r="H536" s="2"/>
      <c r="I536" s="2"/>
      <c r="J536" s="2"/>
      <c r="K536" s="2"/>
      <c r="L536" s="2"/>
      <c r="M536" s="2"/>
      <c r="N536" s="2"/>
      <c r="O536" s="2"/>
      <c r="P536" s="2"/>
      <c r="Q536" s="2"/>
    </row>
    <row r="537" spans="1:29" x14ac:dyDescent="0.25">
      <c r="A537" t="s">
        <v>1074</v>
      </c>
      <c r="C537" s="2"/>
      <c r="D537" s="2"/>
      <c r="E537" s="13">
        <v>43012</v>
      </c>
      <c r="F537" s="13">
        <v>43278</v>
      </c>
      <c r="G537" s="13">
        <v>41425</v>
      </c>
      <c r="H537" s="13">
        <v>46580</v>
      </c>
      <c r="I537" s="13">
        <v>47008</v>
      </c>
      <c r="J537" s="13">
        <v>47468.061000000002</v>
      </c>
      <c r="K537" s="13">
        <v>47768</v>
      </c>
      <c r="L537" s="13">
        <v>48543</v>
      </c>
      <c r="M537" s="13">
        <v>47460.082920000059</v>
      </c>
      <c r="N537" s="13">
        <v>51201.502640000028</v>
      </c>
      <c r="O537" s="13">
        <v>51359.540839000074</v>
      </c>
      <c r="P537" s="13">
        <v>53332.048200000041</v>
      </c>
      <c r="Q537" s="13">
        <v>60151</v>
      </c>
      <c r="R537" s="13">
        <v>50631.317377999978</v>
      </c>
      <c r="S537" s="13">
        <v>53003.346991999984</v>
      </c>
    </row>
    <row r="538" spans="1:29" x14ac:dyDescent="0.25">
      <c r="C538" s="2"/>
      <c r="D538" s="2"/>
      <c r="E538" s="2"/>
      <c r="F538" s="2"/>
      <c r="G538" s="2"/>
      <c r="H538" s="2"/>
      <c r="I538" s="2"/>
      <c r="J538" s="2"/>
      <c r="K538" s="2"/>
      <c r="L538" s="2"/>
      <c r="M538" s="2"/>
      <c r="N538" s="2"/>
      <c r="O538" s="2"/>
      <c r="P538" s="2"/>
      <c r="Q538" s="2"/>
    </row>
    <row r="539" spans="1:29" x14ac:dyDescent="0.25">
      <c r="C539" s="2"/>
      <c r="D539" s="2"/>
      <c r="E539" s="2"/>
      <c r="F539" s="2"/>
      <c r="G539" s="2"/>
      <c r="H539" s="2"/>
      <c r="I539" s="2"/>
      <c r="J539" s="2"/>
      <c r="K539" s="2"/>
      <c r="L539" s="2"/>
      <c r="M539" s="2"/>
      <c r="N539" s="2"/>
      <c r="O539" s="2"/>
      <c r="P539" s="2"/>
      <c r="Q539" s="2"/>
    </row>
    <row r="540" spans="1:29" x14ac:dyDescent="0.25">
      <c r="C540" s="2"/>
      <c r="D540" s="2"/>
      <c r="E540" s="2"/>
      <c r="F540" s="2"/>
      <c r="G540" s="2"/>
      <c r="H540" s="2"/>
      <c r="I540" s="2"/>
      <c r="J540" s="2"/>
      <c r="K540" s="2"/>
      <c r="L540" s="2"/>
      <c r="M540" s="2"/>
      <c r="N540" s="2"/>
      <c r="O540" s="2"/>
      <c r="P540" s="2"/>
      <c r="Q540" s="2"/>
    </row>
    <row r="541" spans="1:29" x14ac:dyDescent="0.25">
      <c r="C541" s="2"/>
      <c r="D541" s="2"/>
      <c r="E541" s="2"/>
      <c r="F541" s="2"/>
      <c r="G541" s="2"/>
      <c r="H541" s="2"/>
      <c r="I541" s="2"/>
      <c r="J541" s="2"/>
      <c r="K541" s="2"/>
      <c r="L541" s="2"/>
      <c r="M541" s="2"/>
      <c r="N541" s="2"/>
      <c r="O541" s="2"/>
      <c r="P541" s="2"/>
      <c r="Q541" s="2"/>
    </row>
    <row r="542" spans="1:29" x14ac:dyDescent="0.25">
      <c r="C542" s="2"/>
      <c r="D542" s="2"/>
      <c r="E542" s="2"/>
      <c r="F542" s="2"/>
      <c r="G542" s="2"/>
      <c r="H542" s="2"/>
      <c r="I542" s="2"/>
      <c r="J542" s="2"/>
      <c r="K542" s="2"/>
      <c r="L542" s="2"/>
      <c r="M542" s="2"/>
      <c r="N542" s="2"/>
      <c r="O542" s="2"/>
      <c r="P542" s="2"/>
      <c r="Q542" s="2"/>
    </row>
    <row r="543" spans="1:29" x14ac:dyDescent="0.25">
      <c r="C543" s="2"/>
      <c r="D543" s="2"/>
      <c r="E543" s="2"/>
      <c r="F543" s="2"/>
      <c r="G543" s="2"/>
      <c r="H543" s="2"/>
      <c r="I543" s="2"/>
      <c r="J543" s="2"/>
      <c r="K543" s="2"/>
      <c r="L543" s="2"/>
      <c r="M543" s="2"/>
      <c r="N543" s="2"/>
      <c r="O543" s="2"/>
      <c r="P543" s="2"/>
      <c r="Q543" s="2"/>
    </row>
    <row r="544" spans="1:29" x14ac:dyDescent="0.25">
      <c r="C544" s="2"/>
      <c r="D544" s="2"/>
      <c r="E544" s="2"/>
      <c r="F544" s="2"/>
      <c r="G544" s="2"/>
      <c r="H544" s="2"/>
      <c r="I544" s="2"/>
      <c r="J544" s="2"/>
      <c r="K544" s="2"/>
      <c r="L544" s="2"/>
      <c r="M544" s="2"/>
      <c r="N544" s="2"/>
      <c r="O544" s="2"/>
      <c r="P544" s="2"/>
      <c r="Q544" s="2"/>
    </row>
    <row r="545" spans="3:17" x14ac:dyDescent="0.25">
      <c r="C545" s="2"/>
      <c r="D545" s="2"/>
      <c r="E545" s="2"/>
      <c r="F545" s="2"/>
      <c r="G545" s="2"/>
      <c r="H545" s="2"/>
      <c r="I545" s="2"/>
      <c r="J545" s="2"/>
      <c r="K545" s="2"/>
      <c r="L545" s="2"/>
      <c r="M545" s="2"/>
      <c r="N545" s="2"/>
      <c r="O545" s="2"/>
      <c r="P545" s="2"/>
      <c r="Q545" s="2"/>
    </row>
    <row r="546" spans="3:17" x14ac:dyDescent="0.25">
      <c r="C546" s="2"/>
      <c r="D546" s="2"/>
      <c r="E546" s="2"/>
      <c r="F546" s="2"/>
      <c r="G546" s="2"/>
      <c r="H546" s="2"/>
      <c r="I546" s="2"/>
      <c r="J546" s="2"/>
      <c r="K546" s="2"/>
      <c r="L546" s="2"/>
      <c r="M546" s="2"/>
      <c r="N546" s="2"/>
      <c r="O546" s="2"/>
      <c r="P546" s="2"/>
      <c r="Q546" s="2"/>
    </row>
    <row r="547" spans="3:17" x14ac:dyDescent="0.25">
      <c r="C547" s="2"/>
      <c r="D547" s="2"/>
      <c r="E547" s="2"/>
      <c r="F547" s="2"/>
      <c r="G547" s="2"/>
      <c r="H547" s="2"/>
      <c r="I547" s="2"/>
      <c r="J547" s="2"/>
      <c r="K547" s="2"/>
      <c r="L547" s="2"/>
      <c r="M547" s="2"/>
      <c r="N547" s="2"/>
      <c r="O547" s="2"/>
      <c r="P547" s="2"/>
      <c r="Q547" s="2"/>
    </row>
    <row r="548" spans="3:17" x14ac:dyDescent="0.25">
      <c r="C548" s="2"/>
      <c r="D548" s="2"/>
      <c r="E548" s="2"/>
      <c r="F548" s="2"/>
      <c r="G548" s="2"/>
      <c r="H548" s="2"/>
      <c r="I548" s="2"/>
      <c r="J548" s="2"/>
      <c r="K548" s="2"/>
      <c r="L548" s="2"/>
      <c r="M548" s="2"/>
      <c r="N548" s="2"/>
      <c r="O548" s="2"/>
      <c r="P548" s="2"/>
      <c r="Q548" s="2"/>
    </row>
    <row r="549" spans="3:17" x14ac:dyDescent="0.25">
      <c r="C549" s="2"/>
      <c r="D549" s="2"/>
      <c r="E549" s="2"/>
      <c r="F549" s="2"/>
      <c r="G549" s="2"/>
      <c r="H549" s="2"/>
      <c r="I549" s="2"/>
      <c r="J549" s="2"/>
      <c r="K549" s="2"/>
      <c r="L549" s="2"/>
      <c r="M549" s="2"/>
      <c r="N549" s="2"/>
      <c r="O549" s="2"/>
      <c r="P549" s="2"/>
    </row>
    <row r="550" spans="3:17" x14ac:dyDescent="0.25">
      <c r="C550" s="2"/>
      <c r="D550" s="2"/>
      <c r="E550" s="2"/>
      <c r="F550" s="2"/>
      <c r="G550" s="2"/>
      <c r="H550" s="2"/>
      <c r="I550" s="2"/>
      <c r="J550" s="2"/>
      <c r="K550" s="2"/>
      <c r="L550" s="2"/>
      <c r="M550" s="2"/>
      <c r="N550" s="2"/>
      <c r="O550" s="2"/>
      <c r="P550" s="2"/>
    </row>
    <row r="551" spans="3:17" x14ac:dyDescent="0.25">
      <c r="C551" s="2"/>
      <c r="D551" s="2"/>
      <c r="E551" s="2"/>
      <c r="F551" s="2"/>
      <c r="G551" s="2"/>
      <c r="H551" s="2"/>
      <c r="I551" s="2"/>
      <c r="J551" s="2"/>
      <c r="K551" s="2"/>
      <c r="L551" s="2"/>
      <c r="M551" s="2"/>
      <c r="N551" s="2"/>
      <c r="O551" s="2"/>
      <c r="P551" s="2"/>
    </row>
    <row r="552" spans="3:17" x14ac:dyDescent="0.25">
      <c r="C552" s="2"/>
      <c r="D552" s="2"/>
      <c r="E552" s="2"/>
      <c r="F552" s="2"/>
      <c r="G552" s="2"/>
      <c r="H552" s="2"/>
      <c r="I552" s="2"/>
      <c r="J552" s="2"/>
      <c r="K552" s="2"/>
      <c r="L552" s="2"/>
      <c r="M552" s="2"/>
      <c r="N552" s="2"/>
      <c r="O552" s="2"/>
      <c r="P552" s="2"/>
    </row>
    <row r="553" spans="3:17" x14ac:dyDescent="0.25">
      <c r="C553" s="2"/>
      <c r="D553" s="2"/>
      <c r="E553" s="2"/>
      <c r="F553" s="2"/>
      <c r="G553" s="2"/>
      <c r="H553" s="2"/>
      <c r="I553" s="2"/>
      <c r="J553" s="2"/>
      <c r="K553" s="2"/>
      <c r="L553" s="2"/>
      <c r="M553" s="2"/>
      <c r="N553" s="2"/>
      <c r="O553" s="2"/>
      <c r="P553" s="2"/>
    </row>
    <row r="554" spans="3:17" x14ac:dyDescent="0.25">
      <c r="C554" s="2"/>
      <c r="D554" s="2"/>
      <c r="E554" s="2"/>
      <c r="F554" s="2"/>
      <c r="G554" s="2"/>
      <c r="H554" s="2"/>
      <c r="I554" s="2"/>
      <c r="J554" s="2"/>
      <c r="K554" s="2"/>
      <c r="L554" s="2"/>
      <c r="M554" s="2"/>
      <c r="N554" s="2"/>
      <c r="O554" s="2"/>
      <c r="P554" s="2"/>
    </row>
    <row r="555" spans="3:17" x14ac:dyDescent="0.25">
      <c r="C555" s="2"/>
      <c r="D555" s="2"/>
      <c r="E555" s="2"/>
      <c r="F555" s="2"/>
      <c r="G555" s="2"/>
      <c r="H555" s="2"/>
      <c r="I555" s="2"/>
      <c r="J555" s="2"/>
      <c r="K555" s="2"/>
      <c r="L555" s="2"/>
      <c r="M555" s="2"/>
      <c r="N555" s="2"/>
      <c r="O555" s="2"/>
      <c r="P555" s="2"/>
    </row>
    <row r="556" spans="3:17" x14ac:dyDescent="0.25">
      <c r="C556" s="2"/>
      <c r="D556" s="2"/>
      <c r="E556" s="2"/>
      <c r="F556" s="2"/>
      <c r="G556" s="2"/>
      <c r="H556" s="2"/>
      <c r="I556" s="2"/>
      <c r="J556" s="2"/>
      <c r="K556" s="2"/>
      <c r="L556" s="2"/>
      <c r="M556" s="2"/>
      <c r="N556" s="2"/>
      <c r="O556" s="2"/>
      <c r="P556" s="2"/>
    </row>
    <row r="557" spans="3:17" x14ac:dyDescent="0.25">
      <c r="C557" s="2"/>
      <c r="D557" s="2"/>
      <c r="E557" s="2"/>
      <c r="F557" s="2"/>
      <c r="G557" s="2"/>
      <c r="H557" s="2"/>
      <c r="I557" s="2"/>
      <c r="J557" s="2"/>
      <c r="K557" s="2"/>
      <c r="L557" s="2"/>
      <c r="M557" s="2"/>
      <c r="N557" s="2"/>
      <c r="O557" s="2"/>
      <c r="P557" s="2"/>
    </row>
    <row r="558" spans="3:17" x14ac:dyDescent="0.25">
      <c r="C558" s="2"/>
      <c r="D558" s="2"/>
      <c r="E558" s="2"/>
      <c r="F558" s="2"/>
      <c r="G558" s="2"/>
      <c r="H558" s="2"/>
      <c r="I558" s="2"/>
      <c r="J558" s="2"/>
      <c r="K558" s="2"/>
      <c r="L558" s="2"/>
      <c r="M558" s="2"/>
      <c r="N558" s="2"/>
      <c r="O558" s="2"/>
      <c r="P558" s="2"/>
    </row>
    <row r="559" spans="3:17" x14ac:dyDescent="0.25">
      <c r="C559" s="2"/>
      <c r="D559" s="2"/>
      <c r="E559" s="2"/>
      <c r="F559" s="2"/>
      <c r="G559" s="2"/>
      <c r="H559" s="2"/>
      <c r="I559" s="2"/>
      <c r="J559" s="2"/>
      <c r="K559" s="2"/>
      <c r="L559" s="2"/>
      <c r="M559" s="2"/>
      <c r="N559" s="2"/>
      <c r="O559" s="2"/>
      <c r="P559" s="2"/>
    </row>
    <row r="560" spans="3:17" x14ac:dyDescent="0.25">
      <c r="C560" s="2"/>
      <c r="D560" s="2"/>
      <c r="E560" s="2"/>
      <c r="F560" s="2"/>
      <c r="G560" s="2"/>
      <c r="H560" s="2"/>
      <c r="I560" s="2"/>
      <c r="J560" s="2"/>
      <c r="K560" s="2"/>
      <c r="L560" s="2"/>
      <c r="M560" s="2"/>
      <c r="N560" s="2"/>
      <c r="O560" s="2"/>
      <c r="P560" s="2"/>
    </row>
    <row r="561" spans="3:16" x14ac:dyDescent="0.25">
      <c r="C561" s="2"/>
      <c r="D561" s="2"/>
      <c r="E561" s="2"/>
      <c r="F561" s="2"/>
      <c r="G561" s="2"/>
      <c r="H561" s="2"/>
      <c r="I561" s="2"/>
      <c r="J561" s="2"/>
      <c r="K561" s="2"/>
      <c r="L561" s="2"/>
      <c r="M561" s="2"/>
      <c r="N561" s="2"/>
      <c r="O561" s="2"/>
      <c r="P561" s="2"/>
    </row>
    <row r="562" spans="3:16" x14ac:dyDescent="0.25">
      <c r="C562" s="2"/>
      <c r="D562" s="2"/>
      <c r="E562" s="2"/>
      <c r="F562" s="2"/>
      <c r="G562" s="2"/>
      <c r="H562" s="2"/>
      <c r="I562" s="2"/>
      <c r="J562" s="2"/>
      <c r="K562" s="2"/>
      <c r="L562" s="2"/>
      <c r="M562" s="2"/>
      <c r="N562" s="2"/>
      <c r="O562" s="2"/>
      <c r="P562" s="2"/>
    </row>
    <row r="563" spans="3:16" x14ac:dyDescent="0.25">
      <c r="C563" s="2"/>
      <c r="D563" s="2"/>
      <c r="E563" s="2"/>
      <c r="F563" s="2"/>
      <c r="G563" s="2"/>
      <c r="H563" s="2"/>
      <c r="I563" s="2"/>
      <c r="J563" s="2"/>
      <c r="K563" s="2"/>
      <c r="L563" s="2"/>
      <c r="M563" s="2"/>
      <c r="N563" s="2"/>
      <c r="O563" s="2"/>
      <c r="P563" s="2"/>
    </row>
    <row r="564" spans="3:16" x14ac:dyDescent="0.25">
      <c r="C564" s="2"/>
      <c r="D564" s="2"/>
      <c r="E564" s="2"/>
      <c r="F564" s="2"/>
      <c r="G564" s="2"/>
      <c r="H564" s="2"/>
      <c r="I564" s="2"/>
      <c r="J564" s="2"/>
      <c r="K564" s="2"/>
      <c r="L564" s="2"/>
      <c r="M564" s="2"/>
      <c r="N564" s="2"/>
      <c r="O564" s="2"/>
      <c r="P564" s="2"/>
    </row>
    <row r="565" spans="3:16" x14ac:dyDescent="0.25">
      <c r="C565" s="2"/>
      <c r="D565" s="2"/>
      <c r="E565" s="2"/>
      <c r="F565" s="2"/>
      <c r="G565" s="2"/>
      <c r="H565" s="2"/>
      <c r="I565" s="2"/>
      <c r="J565" s="2"/>
      <c r="K565" s="2"/>
      <c r="L565" s="2"/>
      <c r="M565" s="2"/>
      <c r="N565" s="2"/>
      <c r="O565" s="2"/>
      <c r="P565" s="2"/>
    </row>
    <row r="566" spans="3:16" x14ac:dyDescent="0.25">
      <c r="C566" s="2"/>
      <c r="D566" s="2"/>
      <c r="E566" s="2"/>
      <c r="F566" s="2"/>
      <c r="G566" s="2"/>
      <c r="H566" s="2"/>
      <c r="I566" s="2"/>
      <c r="J566" s="2"/>
      <c r="K566" s="2"/>
      <c r="L566" s="2"/>
      <c r="M566" s="2"/>
      <c r="N566" s="2"/>
      <c r="O566" s="2"/>
      <c r="P566" s="2"/>
    </row>
    <row r="567" spans="3:16" x14ac:dyDescent="0.25">
      <c r="C567" s="2"/>
      <c r="D567" s="2"/>
      <c r="E567" s="2"/>
      <c r="F567" s="2"/>
      <c r="G567" s="2"/>
      <c r="H567" s="2"/>
      <c r="I567" s="2"/>
      <c r="J567" s="2"/>
      <c r="K567" s="2"/>
      <c r="L567" s="2"/>
      <c r="M567" s="2"/>
      <c r="N567" s="2"/>
      <c r="O567" s="2"/>
      <c r="P567" s="2"/>
    </row>
    <row r="568" spans="3:16" x14ac:dyDescent="0.25">
      <c r="C568" s="2"/>
      <c r="D568" s="2"/>
      <c r="E568" s="2"/>
      <c r="F568" s="2"/>
      <c r="G568" s="2"/>
      <c r="H568" s="2"/>
      <c r="I568" s="2"/>
      <c r="J568" s="2"/>
      <c r="K568" s="2"/>
      <c r="L568" s="2"/>
      <c r="M568" s="2"/>
      <c r="N568" s="2"/>
      <c r="O568" s="2"/>
      <c r="P568" s="2"/>
    </row>
    <row r="569" spans="3:16" x14ac:dyDescent="0.25">
      <c r="C569" s="2"/>
      <c r="D569" s="2"/>
      <c r="E569" s="2"/>
      <c r="F569" s="2"/>
      <c r="G569" s="2"/>
      <c r="H569" s="2"/>
      <c r="I569" s="2"/>
      <c r="J569" s="2"/>
      <c r="K569" s="2"/>
      <c r="L569" s="2"/>
      <c r="M569" s="2"/>
      <c r="N569" s="2"/>
      <c r="O569" s="2"/>
      <c r="P569" s="2"/>
    </row>
  </sheetData>
  <sortState xmlns:xlrd2="http://schemas.microsoft.com/office/spreadsheetml/2017/richdata2" ref="A4:AA523">
    <sortCondition ref="A4:A523"/>
  </sortState>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84A6C-0425-471A-AA86-655AB7761F2B}">
  <sheetPr codeName="Blad20"/>
  <dimension ref="A1:S530"/>
  <sheetViews>
    <sheetView topLeftCell="A133" zoomScale="80" zoomScaleNormal="80" workbookViewId="0">
      <selection activeCell="B153" sqref="B153"/>
    </sheetView>
  </sheetViews>
  <sheetFormatPr defaultRowHeight="15" x14ac:dyDescent="0.25"/>
  <cols>
    <col min="1" max="1" width="47.140625" customWidth="1"/>
    <col min="2" max="2" width="44" customWidth="1"/>
    <col min="8" max="8" width="32.140625" style="1" bestFit="1" customWidth="1"/>
    <col min="9" max="9" width="32.140625" style="1" customWidth="1"/>
    <col min="10" max="10" width="26.42578125" customWidth="1"/>
    <col min="11" max="11" width="19.140625" customWidth="1"/>
    <col min="12" max="12" width="22.7109375" customWidth="1"/>
    <col min="13" max="13" width="18.42578125" customWidth="1"/>
    <col min="14" max="14" width="17.7109375" customWidth="1"/>
    <col min="15" max="16" width="12.5703125" customWidth="1"/>
    <col min="17" max="17" width="28.85546875" customWidth="1"/>
  </cols>
  <sheetData>
    <row r="1" spans="1:17" s="132" customFormat="1" ht="105.75" thickBot="1" x14ac:dyDescent="0.3">
      <c r="A1" s="127" t="s">
        <v>783</v>
      </c>
      <c r="B1" s="128" t="s">
        <v>544</v>
      </c>
      <c r="C1" s="127" t="s">
        <v>947</v>
      </c>
      <c r="D1" s="127" t="s">
        <v>803</v>
      </c>
      <c r="E1" s="127" t="s">
        <v>1209</v>
      </c>
      <c r="F1" s="127" t="s">
        <v>1210</v>
      </c>
      <c r="G1" s="127" t="s">
        <v>1211</v>
      </c>
      <c r="H1" s="129" t="s">
        <v>1212</v>
      </c>
      <c r="I1" s="1" t="s">
        <v>544</v>
      </c>
      <c r="J1" s="129" t="s">
        <v>1213</v>
      </c>
      <c r="K1" s="130" t="s">
        <v>1214</v>
      </c>
      <c r="L1" s="130" t="s">
        <v>1215</v>
      </c>
      <c r="M1" s="131"/>
    </row>
    <row r="2" spans="1:17" x14ac:dyDescent="0.25">
      <c r="A2" t="s">
        <v>596</v>
      </c>
      <c r="B2" t="s">
        <v>383</v>
      </c>
      <c r="C2">
        <v>2022</v>
      </c>
      <c r="D2">
        <v>2.46</v>
      </c>
      <c r="E2">
        <v>0</v>
      </c>
      <c r="F2">
        <v>0</v>
      </c>
      <c r="G2">
        <v>0</v>
      </c>
      <c r="H2">
        <f>D2-SUM(E2:G2)</f>
        <v>2.46</v>
      </c>
      <c r="I2" t="s">
        <v>383</v>
      </c>
      <c r="J2" t="s">
        <v>383</v>
      </c>
      <c r="K2" t="str">
        <f>_xlfn.XLOOKUP($J2,'Leveranser per nät'!$A$4:$A$524,'Leveranser per nät'!$A$4:$A$524)</f>
        <v>Ullared-närvärme</v>
      </c>
      <c r="L2">
        <f>SUMIF($J$2:$J$474,K2,$H$2:$H$474)</f>
        <v>2.46</v>
      </c>
      <c r="M2" s="1"/>
      <c r="N2" s="1"/>
      <c r="O2" s="1"/>
    </row>
    <row r="3" spans="1:17" x14ac:dyDescent="0.25">
      <c r="A3" t="s">
        <v>596</v>
      </c>
      <c r="B3" t="s">
        <v>729</v>
      </c>
      <c r="C3">
        <v>2022</v>
      </c>
      <c r="D3">
        <v>2.7509999999999999</v>
      </c>
      <c r="E3">
        <v>0</v>
      </c>
      <c r="F3">
        <v>0</v>
      </c>
      <c r="G3">
        <v>0</v>
      </c>
      <c r="H3">
        <f t="shared" ref="H3:H65" si="0">D3-SUM(E3:G3)</f>
        <v>2.7509999999999999</v>
      </c>
      <c r="I3" t="s">
        <v>729</v>
      </c>
      <c r="J3" t="s">
        <v>729</v>
      </c>
      <c r="K3" t="str">
        <f>_xlfn.XLOOKUP($J3,'Leveranser per nät'!$A$4:$A$524,'Leveranser per nät'!$A$4:$A$524)</f>
        <v>Vessigebro-närvärme</v>
      </c>
      <c r="L3">
        <f t="shared" ref="L3:L65" si="1">SUMIF($J$2:$J$474,K3,$H$2:$H$474)</f>
        <v>2.7509999999999999</v>
      </c>
    </row>
    <row r="4" spans="1:17" x14ac:dyDescent="0.25">
      <c r="A4" t="s">
        <v>567</v>
      </c>
      <c r="B4" t="s">
        <v>109</v>
      </c>
      <c r="C4">
        <v>2022</v>
      </c>
      <c r="D4">
        <v>3.8</v>
      </c>
      <c r="E4">
        <v>0</v>
      </c>
      <c r="F4">
        <v>0</v>
      </c>
      <c r="G4">
        <v>0</v>
      </c>
      <c r="H4">
        <f t="shared" si="0"/>
        <v>3.8</v>
      </c>
      <c r="I4" t="s">
        <v>109</v>
      </c>
      <c r="J4" t="s">
        <v>109</v>
      </c>
      <c r="K4" t="str">
        <f>_xlfn.XLOOKUP($J4,'Leveranser per nät'!$A$4:$A$524,'Leveranser per nät'!$A$4:$A$524)</f>
        <v>Bjursås</v>
      </c>
      <c r="L4">
        <f t="shared" si="1"/>
        <v>3.8</v>
      </c>
    </row>
    <row r="5" spans="1:17" x14ac:dyDescent="0.25">
      <c r="A5" t="s">
        <v>567</v>
      </c>
      <c r="B5" t="s">
        <v>110</v>
      </c>
      <c r="C5">
        <v>2022</v>
      </c>
      <c r="D5">
        <v>374.2</v>
      </c>
      <c r="E5">
        <v>22.39</v>
      </c>
      <c r="F5">
        <v>0</v>
      </c>
      <c r="G5">
        <v>0</v>
      </c>
      <c r="H5">
        <f>D5-SUM(E5:G5)</f>
        <v>351.81</v>
      </c>
      <c r="I5" t="s">
        <v>110</v>
      </c>
      <c r="J5" t="s">
        <v>110</v>
      </c>
      <c r="K5" t="str">
        <f>_xlfn.XLOOKUP($J5,'Leveranser per nät'!$A$4:$A$524,'Leveranser per nät'!$A$4:$A$524)</f>
        <v>Falun</v>
      </c>
      <c r="L5">
        <f t="shared" si="1"/>
        <v>352.11</v>
      </c>
    </row>
    <row r="6" spans="1:17" x14ac:dyDescent="0.25">
      <c r="A6" t="s">
        <v>567</v>
      </c>
      <c r="B6" t="s">
        <v>111</v>
      </c>
      <c r="C6">
        <v>2022</v>
      </c>
      <c r="D6">
        <v>4.0199999999999996</v>
      </c>
      <c r="E6">
        <v>0</v>
      </c>
      <c r="F6">
        <v>0</v>
      </c>
      <c r="G6">
        <v>0</v>
      </c>
      <c r="H6">
        <f t="shared" si="0"/>
        <v>4.0199999999999996</v>
      </c>
      <c r="I6" t="s">
        <v>111</v>
      </c>
      <c r="J6" t="s">
        <v>111</v>
      </c>
      <c r="K6" t="str">
        <f>_xlfn.XLOOKUP($J6,'Leveranser per nät'!$A$4:$A$524,'Leveranser per nät'!$A$4:$A$524)</f>
        <v>Grycksbo</v>
      </c>
      <c r="L6">
        <f t="shared" si="1"/>
        <v>4.0199999999999996</v>
      </c>
    </row>
    <row r="7" spans="1:17" x14ac:dyDescent="0.25">
      <c r="A7" t="s">
        <v>567</v>
      </c>
      <c r="B7" t="s">
        <v>1178</v>
      </c>
      <c r="C7">
        <v>2022</v>
      </c>
      <c r="D7">
        <v>0.3</v>
      </c>
      <c r="E7">
        <v>0</v>
      </c>
      <c r="F7">
        <v>0</v>
      </c>
      <c r="G7">
        <v>0</v>
      </c>
      <c r="H7">
        <f>D7-SUM(E7:G7)</f>
        <v>0.3</v>
      </c>
      <c r="I7" t="s">
        <v>1178</v>
      </c>
      <c r="J7" t="s">
        <v>110</v>
      </c>
      <c r="K7" t="str">
        <f>_xlfn.XLOOKUP($J7,'Leveranser per nät'!$A$4:$A$524,'Leveranser per nät'!$A$4:$A$524)</f>
        <v>Falun</v>
      </c>
      <c r="L7">
        <f t="shared" si="1"/>
        <v>352.11</v>
      </c>
    </row>
    <row r="8" spans="1:17" x14ac:dyDescent="0.25">
      <c r="A8" t="s">
        <v>567</v>
      </c>
      <c r="B8" t="s">
        <v>112</v>
      </c>
      <c r="C8">
        <v>2022</v>
      </c>
      <c r="D8">
        <v>4.3</v>
      </c>
      <c r="E8">
        <v>0</v>
      </c>
      <c r="F8">
        <v>0</v>
      </c>
      <c r="G8">
        <v>0</v>
      </c>
      <c r="H8">
        <f t="shared" si="0"/>
        <v>4.3</v>
      </c>
      <c r="I8" t="s">
        <v>112</v>
      </c>
      <c r="J8" t="s">
        <v>112</v>
      </c>
      <c r="K8" t="str">
        <f>_xlfn.XLOOKUP($J8,'Leveranser per nät'!$A$4:$A$524,'Leveranser per nät'!$A$4:$A$524)</f>
        <v>Svärdsjö</v>
      </c>
      <c r="L8">
        <f t="shared" si="1"/>
        <v>4.3</v>
      </c>
    </row>
    <row r="9" spans="1:17" x14ac:dyDescent="0.25">
      <c r="A9" t="s">
        <v>599</v>
      </c>
      <c r="B9" t="s">
        <v>113</v>
      </c>
      <c r="C9">
        <v>2022</v>
      </c>
      <c r="D9">
        <v>110</v>
      </c>
      <c r="E9">
        <v>0</v>
      </c>
      <c r="F9">
        <v>0</v>
      </c>
      <c r="G9">
        <v>0</v>
      </c>
      <c r="H9">
        <f t="shared" si="0"/>
        <v>110</v>
      </c>
      <c r="I9" t="s">
        <v>113</v>
      </c>
      <c r="J9" t="s">
        <v>113</v>
      </c>
      <c r="K9" t="str">
        <f>_xlfn.XLOOKUP($J9,'Leveranser per nät'!$A$4:$A$524,'Leveranser per nät'!$A$4:$A$524)</f>
        <v>Finspång</v>
      </c>
      <c r="L9">
        <f t="shared" si="1"/>
        <v>110</v>
      </c>
    </row>
    <row r="10" spans="1:17" x14ac:dyDescent="0.25">
      <c r="A10" t="s">
        <v>610</v>
      </c>
      <c r="B10" t="s">
        <v>443</v>
      </c>
      <c r="C10">
        <v>2022</v>
      </c>
      <c r="D10">
        <v>44.570999999999998</v>
      </c>
      <c r="E10">
        <v>0</v>
      </c>
      <c r="F10">
        <v>0</v>
      </c>
      <c r="G10">
        <v>0</v>
      </c>
      <c r="H10">
        <f t="shared" si="0"/>
        <v>44.570999999999998</v>
      </c>
      <c r="I10" t="s">
        <v>443</v>
      </c>
      <c r="J10" t="s">
        <v>443</v>
      </c>
      <c r="K10" t="str">
        <f>_xlfn.XLOOKUP($J10,'Leveranser per nät'!$A$4:$A$524,'Leveranser per nät'!$A$4:$A$524)</f>
        <v>Gislaved</v>
      </c>
      <c r="L10">
        <f t="shared" si="1"/>
        <v>44.570999999999998</v>
      </c>
    </row>
    <row r="11" spans="1:17" x14ac:dyDescent="0.25">
      <c r="A11" t="s">
        <v>610</v>
      </c>
      <c r="B11" t="s">
        <v>132</v>
      </c>
      <c r="C11">
        <v>2022</v>
      </c>
      <c r="D11">
        <v>4.2729999999999997</v>
      </c>
      <c r="E11">
        <v>0</v>
      </c>
      <c r="F11">
        <v>0</v>
      </c>
      <c r="G11">
        <v>0</v>
      </c>
      <c r="H11">
        <f t="shared" si="0"/>
        <v>4.2729999999999997</v>
      </c>
      <c r="I11" t="s">
        <v>132</v>
      </c>
      <c r="J11" t="s">
        <v>132</v>
      </c>
      <c r="K11" t="str">
        <f>_xlfn.XLOOKUP($J11,'Leveranser per nät'!$A$4:$A$524,'Leveranser per nät'!$A$4:$A$524)</f>
        <v>Hestra</v>
      </c>
      <c r="L11">
        <f t="shared" si="1"/>
        <v>4.2729999999999997</v>
      </c>
    </row>
    <row r="12" spans="1:17" x14ac:dyDescent="0.25">
      <c r="A12" t="s">
        <v>610</v>
      </c>
      <c r="B12" t="s">
        <v>413</v>
      </c>
      <c r="C12">
        <v>2022</v>
      </c>
      <c r="D12">
        <v>2.0390000000000001</v>
      </c>
      <c r="E12">
        <v>0</v>
      </c>
      <c r="F12">
        <v>0</v>
      </c>
      <c r="G12">
        <v>0</v>
      </c>
      <c r="H12">
        <f t="shared" si="0"/>
        <v>2.0390000000000001</v>
      </c>
      <c r="I12" t="s">
        <v>413</v>
      </c>
      <c r="J12" t="s">
        <v>413</v>
      </c>
      <c r="K12" t="str">
        <f>_xlfn.XLOOKUP($J12,'Leveranser per nät'!$A$4:$A$524,'Leveranser per nät'!$A$4:$A$524)</f>
        <v>Reftele</v>
      </c>
      <c r="L12">
        <f t="shared" si="1"/>
        <v>2.0390000000000001</v>
      </c>
    </row>
    <row r="13" spans="1:17" x14ac:dyDescent="0.25">
      <c r="A13" t="s">
        <v>627</v>
      </c>
      <c r="B13" t="s">
        <v>134</v>
      </c>
      <c r="C13">
        <v>2022</v>
      </c>
      <c r="D13">
        <v>12.273999999999999</v>
      </c>
      <c r="E13">
        <v>0</v>
      </c>
      <c r="F13">
        <v>0</v>
      </c>
      <c r="G13">
        <v>0</v>
      </c>
      <c r="H13">
        <f t="shared" si="0"/>
        <v>12.273999999999999</v>
      </c>
      <c r="I13" t="s">
        <v>134</v>
      </c>
      <c r="J13" t="s">
        <v>134</v>
      </c>
      <c r="K13" t="str">
        <f>_xlfn.XLOOKUP($J13,'Leveranser per nät'!$A$4:$A$524,'Leveranser per nät'!$A$4:$A$524)</f>
        <v>Hemse</v>
      </c>
      <c r="L13">
        <f t="shared" si="1"/>
        <v>12.273999999999999</v>
      </c>
    </row>
    <row r="14" spans="1:17" x14ac:dyDescent="0.25">
      <c r="A14" t="s">
        <v>627</v>
      </c>
      <c r="B14" t="s">
        <v>135</v>
      </c>
      <c r="C14">
        <v>2022</v>
      </c>
      <c r="D14">
        <v>7.157</v>
      </c>
      <c r="E14">
        <v>0</v>
      </c>
      <c r="F14">
        <v>0</v>
      </c>
      <c r="G14">
        <v>0</v>
      </c>
      <c r="H14">
        <f t="shared" si="0"/>
        <v>7.157</v>
      </c>
      <c r="I14" t="s">
        <v>135</v>
      </c>
      <c r="J14" t="s">
        <v>135</v>
      </c>
      <c r="K14" t="str">
        <f>_xlfn.XLOOKUP($J14,'Leveranser per nät'!$A$4:$A$524,'Leveranser per nät'!$A$4:$A$524)</f>
        <v>Klintehamn</v>
      </c>
      <c r="L14">
        <f t="shared" si="1"/>
        <v>7.157</v>
      </c>
    </row>
    <row r="15" spans="1:17" x14ac:dyDescent="0.25">
      <c r="A15" t="s">
        <v>627</v>
      </c>
      <c r="B15" t="s">
        <v>136</v>
      </c>
      <c r="C15">
        <v>2022</v>
      </c>
      <c r="D15">
        <v>14.733000000000001</v>
      </c>
      <c r="E15">
        <v>0</v>
      </c>
      <c r="F15">
        <v>0</v>
      </c>
      <c r="G15">
        <v>0</v>
      </c>
      <c r="H15">
        <f t="shared" si="0"/>
        <v>14.733000000000001</v>
      </c>
      <c r="I15" t="s">
        <v>136</v>
      </c>
      <c r="J15" t="s">
        <v>136</v>
      </c>
      <c r="K15" t="str">
        <f>_xlfn.XLOOKUP($J15,'Leveranser per nät'!$A$4:$A$524,'Leveranser per nät'!$A$4:$A$524)</f>
        <v>Slite</v>
      </c>
      <c r="L15">
        <f t="shared" si="1"/>
        <v>14.733000000000001</v>
      </c>
    </row>
    <row r="16" spans="1:17" x14ac:dyDescent="0.25">
      <c r="A16" t="s">
        <v>627</v>
      </c>
      <c r="B16" t="s">
        <v>133</v>
      </c>
      <c r="C16">
        <v>2022</v>
      </c>
      <c r="D16">
        <v>174.447</v>
      </c>
      <c r="E16">
        <v>0</v>
      </c>
      <c r="F16">
        <v>0</v>
      </c>
      <c r="G16">
        <v>0</v>
      </c>
      <c r="H16">
        <f t="shared" si="0"/>
        <v>174.447</v>
      </c>
      <c r="I16" t="s">
        <v>133</v>
      </c>
      <c r="J16" t="s">
        <v>133</v>
      </c>
      <c r="K16" t="str">
        <f>_xlfn.XLOOKUP($J16,'Leveranser per nät'!$A$4:$A$524,'Leveranser per nät'!$A$4:$A$524)</f>
        <v>Visby</v>
      </c>
      <c r="L16">
        <f t="shared" si="1"/>
        <v>174.447</v>
      </c>
    </row>
    <row r="17" spans="1:12" x14ac:dyDescent="0.25">
      <c r="A17" t="s">
        <v>613</v>
      </c>
      <c r="B17" s="1" t="s">
        <v>504</v>
      </c>
      <c r="C17">
        <v>2022</v>
      </c>
      <c r="D17">
        <v>141.4</v>
      </c>
      <c r="E17">
        <v>0</v>
      </c>
      <c r="F17">
        <v>0</v>
      </c>
      <c r="G17">
        <v>0</v>
      </c>
      <c r="H17">
        <f>D17-SUM(E17:G17)</f>
        <v>141.4</v>
      </c>
      <c r="I17" t="s">
        <v>504</v>
      </c>
      <c r="J17" t="s">
        <v>137</v>
      </c>
      <c r="K17" t="str">
        <f>_xlfn.XLOOKUP($J17,'Leveranser per nät'!$A$4:$A$524,'Leveranser per nät'!$A$4:$A$524)</f>
        <v>Gällivare-Malmberget</v>
      </c>
      <c r="L17">
        <f t="shared" si="1"/>
        <v>144.08000000000001</v>
      </c>
    </row>
    <row r="18" spans="1:12" x14ac:dyDescent="0.25">
      <c r="A18" t="s">
        <v>613</v>
      </c>
      <c r="B18" s="1" t="s">
        <v>1138</v>
      </c>
      <c r="C18">
        <v>2022</v>
      </c>
      <c r="D18">
        <v>2.68</v>
      </c>
      <c r="E18">
        <v>0</v>
      </c>
      <c r="F18">
        <v>0</v>
      </c>
      <c r="G18">
        <v>0</v>
      </c>
      <c r="H18">
        <f>D18-SUM(E18:G18)</f>
        <v>2.68</v>
      </c>
      <c r="I18" t="s">
        <v>137</v>
      </c>
      <c r="J18" t="s">
        <v>137</v>
      </c>
      <c r="K18" t="str">
        <f>_xlfn.XLOOKUP($J18,'Leveranser per nät'!$A$4:$A$524,'Leveranser per nät'!$A$4:$A$524)</f>
        <v>Gällivare-Malmberget</v>
      </c>
      <c r="L18">
        <f t="shared" si="1"/>
        <v>144.08000000000001</v>
      </c>
    </row>
    <row r="19" spans="1:12" x14ac:dyDescent="0.25">
      <c r="A19" t="s">
        <v>615</v>
      </c>
      <c r="B19" t="s">
        <v>138</v>
      </c>
      <c r="C19">
        <v>2022</v>
      </c>
      <c r="D19">
        <v>662.10699999999997</v>
      </c>
      <c r="E19">
        <v>0</v>
      </c>
      <c r="F19">
        <v>0</v>
      </c>
      <c r="G19">
        <v>0</v>
      </c>
      <c r="H19">
        <f t="shared" si="0"/>
        <v>662.10699999999997</v>
      </c>
      <c r="I19" t="s">
        <v>138</v>
      </c>
      <c r="J19" t="s">
        <v>138</v>
      </c>
      <c r="K19" t="str">
        <f>_xlfn.XLOOKUP($J19,'Leveranser per nät'!$A$4:$A$524,'Leveranser per nät'!$A$4:$A$524)</f>
        <v>Gävle</v>
      </c>
      <c r="L19">
        <f t="shared" si="1"/>
        <v>662.10699999999997</v>
      </c>
    </row>
    <row r="20" spans="1:12" x14ac:dyDescent="0.25">
      <c r="A20" t="s">
        <v>616</v>
      </c>
      <c r="B20" t="s">
        <v>810</v>
      </c>
      <c r="C20">
        <v>2022</v>
      </c>
      <c r="D20" t="s">
        <v>805</v>
      </c>
      <c r="E20" t="s">
        <v>805</v>
      </c>
      <c r="F20" t="s">
        <v>805</v>
      </c>
      <c r="G20" t="s">
        <v>805</v>
      </c>
      <c r="H20"/>
      <c r="I20" t="s">
        <v>810</v>
      </c>
      <c r="J20" t="s">
        <v>966</v>
      </c>
      <c r="K20" t="str">
        <f>_xlfn.XLOOKUP($J20,'Leveranser per nät'!$A$4:$A$524,'Leveranser per nät'!$A$4:$A$524)</f>
        <v>Göteborg Ale</v>
      </c>
      <c r="L20">
        <f t="shared" si="1"/>
        <v>3106.0250000000001</v>
      </c>
    </row>
    <row r="21" spans="1:12" x14ac:dyDescent="0.25">
      <c r="A21" t="s">
        <v>616</v>
      </c>
      <c r="B21" s="1" t="s">
        <v>510</v>
      </c>
      <c r="C21">
        <v>2022</v>
      </c>
      <c r="D21">
        <v>3143.35</v>
      </c>
      <c r="E21">
        <v>35.097999999999999</v>
      </c>
      <c r="F21">
        <v>36.756999999999998</v>
      </c>
      <c r="G21">
        <v>172.63</v>
      </c>
      <c r="H21">
        <f t="shared" si="0"/>
        <v>2898.8649999999998</v>
      </c>
      <c r="I21" t="s">
        <v>510</v>
      </c>
      <c r="J21" t="s">
        <v>966</v>
      </c>
      <c r="K21" t="str">
        <f>_xlfn.XLOOKUP($J21,'Leveranser per nät'!$A$4:$A$524,'Leveranser per nät'!$A$4:$A$524)</f>
        <v>Göteborg Ale</v>
      </c>
      <c r="L21">
        <f>SUMIF($J$2:$J$474,K21,$H$2:$H$474)</f>
        <v>3106.0250000000001</v>
      </c>
    </row>
    <row r="22" spans="1:12" x14ac:dyDescent="0.25">
      <c r="A22" t="s">
        <v>616</v>
      </c>
      <c r="B22" s="1" t="s">
        <v>1179</v>
      </c>
      <c r="C22">
        <v>2022</v>
      </c>
      <c r="D22">
        <v>12.38</v>
      </c>
      <c r="E22">
        <v>0</v>
      </c>
      <c r="F22">
        <v>0</v>
      </c>
      <c r="G22">
        <v>0</v>
      </c>
      <c r="H22">
        <f t="shared" si="0"/>
        <v>12.38</v>
      </c>
      <c r="I22" t="s">
        <v>1179</v>
      </c>
      <c r="J22" t="s">
        <v>966</v>
      </c>
      <c r="K22" t="str">
        <f>_xlfn.XLOOKUP($J22,'Leveranser per nät'!$A$4:$A$524,'Leveranser per nät'!$A$4:$A$524)</f>
        <v>Göteborg Ale</v>
      </c>
      <c r="L22">
        <f t="shared" si="1"/>
        <v>3106.0250000000001</v>
      </c>
    </row>
    <row r="23" spans="1:12" x14ac:dyDescent="0.25">
      <c r="A23" t="s">
        <v>616</v>
      </c>
      <c r="B23" s="1" t="s">
        <v>1180</v>
      </c>
      <c r="C23">
        <v>2022</v>
      </c>
      <c r="D23">
        <v>194.78</v>
      </c>
      <c r="E23">
        <v>0</v>
      </c>
      <c r="F23">
        <v>0</v>
      </c>
      <c r="G23">
        <v>0</v>
      </c>
      <c r="H23">
        <f t="shared" si="0"/>
        <v>194.78</v>
      </c>
      <c r="I23" t="s">
        <v>1180</v>
      </c>
      <c r="J23" t="s">
        <v>966</v>
      </c>
      <c r="K23" t="str">
        <f>_xlfn.XLOOKUP($J23,'Leveranser per nät'!$A$4:$A$524,'Leveranser per nät'!$A$4:$A$524)</f>
        <v>Göteborg Ale</v>
      </c>
      <c r="L23">
        <f t="shared" si="1"/>
        <v>3106.0250000000001</v>
      </c>
    </row>
    <row r="24" spans="1:12" x14ac:dyDescent="0.25">
      <c r="A24" t="s">
        <v>616</v>
      </c>
      <c r="B24" s="1" t="s">
        <v>616</v>
      </c>
      <c r="C24">
        <v>2022</v>
      </c>
      <c r="D24" t="s">
        <v>805</v>
      </c>
      <c r="E24" t="s">
        <v>805</v>
      </c>
      <c r="F24" t="s">
        <v>805</v>
      </c>
      <c r="G24" t="s">
        <v>805</v>
      </c>
      <c r="H24"/>
      <c r="I24" t="s">
        <v>616</v>
      </c>
      <c r="K24" t="e">
        <f>_xlfn.XLOOKUP($J24,'Leveranser per nät'!$A$4:$A$524,'Leveranser per nät'!$A$4:$A$524)</f>
        <v>#N/A</v>
      </c>
      <c r="L24">
        <f t="shared" si="1"/>
        <v>0</v>
      </c>
    </row>
    <row r="25" spans="1:12" x14ac:dyDescent="0.25">
      <c r="A25" t="s">
        <v>616</v>
      </c>
      <c r="B25" t="s">
        <v>814</v>
      </c>
      <c r="C25">
        <v>2022</v>
      </c>
      <c r="D25" t="s">
        <v>805</v>
      </c>
      <c r="E25" t="s">
        <v>805</v>
      </c>
      <c r="F25" t="s">
        <v>805</v>
      </c>
      <c r="G25" t="s">
        <v>805</v>
      </c>
      <c r="H25"/>
      <c r="I25" t="s">
        <v>814</v>
      </c>
      <c r="K25" t="e">
        <f>_xlfn.XLOOKUP($J25,'Leveranser per nät'!$A$4:$A$524,'Leveranser per nät'!$A$4:$A$524)</f>
        <v>#N/A</v>
      </c>
      <c r="L25">
        <f t="shared" si="1"/>
        <v>0</v>
      </c>
    </row>
    <row r="26" spans="1:12" x14ac:dyDescent="0.25">
      <c r="A26" t="s">
        <v>616</v>
      </c>
      <c r="B26" t="s">
        <v>815</v>
      </c>
      <c r="C26">
        <v>2022</v>
      </c>
      <c r="D26" t="s">
        <v>805</v>
      </c>
      <c r="E26" t="s">
        <v>805</v>
      </c>
      <c r="F26" t="s">
        <v>805</v>
      </c>
      <c r="G26" t="s">
        <v>805</v>
      </c>
      <c r="H26"/>
      <c r="I26" t="s">
        <v>815</v>
      </c>
      <c r="K26" t="e">
        <f>_xlfn.XLOOKUP($J26,'Leveranser per nät'!$A$4:$A$524,'Leveranser per nät'!$A$4:$A$524)</f>
        <v>#N/A</v>
      </c>
      <c r="L26">
        <f t="shared" si="1"/>
        <v>0</v>
      </c>
    </row>
    <row r="27" spans="1:12" x14ac:dyDescent="0.25">
      <c r="A27" t="s">
        <v>618</v>
      </c>
      <c r="B27" t="s">
        <v>139</v>
      </c>
      <c r="C27">
        <v>2022</v>
      </c>
      <c r="D27">
        <v>110.8</v>
      </c>
      <c r="E27">
        <v>0</v>
      </c>
      <c r="F27">
        <v>0</v>
      </c>
      <c r="G27">
        <v>0</v>
      </c>
      <c r="H27">
        <f t="shared" si="0"/>
        <v>110.8</v>
      </c>
      <c r="I27" t="s">
        <v>139</v>
      </c>
      <c r="J27" t="s">
        <v>139</v>
      </c>
      <c r="K27" t="str">
        <f>_xlfn.XLOOKUP($J27,'Leveranser per nät'!$A$4:$A$524,'Leveranser per nät'!$A$4:$A$524)</f>
        <v>Götene</v>
      </c>
      <c r="L27">
        <f t="shared" si="1"/>
        <v>110.8</v>
      </c>
    </row>
    <row r="28" spans="1:12" x14ac:dyDescent="0.25">
      <c r="A28" t="s">
        <v>618</v>
      </c>
      <c r="B28" t="s">
        <v>140</v>
      </c>
      <c r="C28">
        <v>2022</v>
      </c>
      <c r="D28">
        <v>2.38</v>
      </c>
      <c r="E28">
        <v>0</v>
      </c>
      <c r="F28">
        <v>0</v>
      </c>
      <c r="G28">
        <v>0</v>
      </c>
      <c r="H28">
        <f t="shared" si="0"/>
        <v>2.38</v>
      </c>
      <c r="I28" t="s">
        <v>140</v>
      </c>
      <c r="J28" t="s">
        <v>140</v>
      </c>
      <c r="K28" t="str">
        <f>_xlfn.XLOOKUP($J28,'Leveranser per nät'!$A$4:$A$524,'Leveranser per nät'!$A$4:$A$524)</f>
        <v>Hällekis</v>
      </c>
      <c r="L28">
        <f t="shared" si="1"/>
        <v>2.38</v>
      </c>
    </row>
    <row r="29" spans="1:12" x14ac:dyDescent="0.25">
      <c r="A29" t="s">
        <v>619</v>
      </c>
      <c r="B29" t="s">
        <v>1107</v>
      </c>
      <c r="C29">
        <v>2022</v>
      </c>
      <c r="D29">
        <v>3.5</v>
      </c>
      <c r="E29">
        <v>0</v>
      </c>
      <c r="F29">
        <v>0</v>
      </c>
      <c r="G29">
        <v>0</v>
      </c>
      <c r="H29">
        <f t="shared" si="0"/>
        <v>3.5</v>
      </c>
      <c r="I29" t="s">
        <v>1107</v>
      </c>
      <c r="J29" t="s">
        <v>141</v>
      </c>
      <c r="K29" t="str">
        <f>_xlfn.XLOOKUP($J29,'Leveranser per nät'!$A$4:$A$524,'Leveranser per nät'!$A$4:$A$524)</f>
        <v>Habo</v>
      </c>
      <c r="L29">
        <f t="shared" si="1"/>
        <v>26.8</v>
      </c>
    </row>
    <row r="30" spans="1:12" x14ac:dyDescent="0.25">
      <c r="A30" t="s">
        <v>619</v>
      </c>
      <c r="B30" t="s">
        <v>141</v>
      </c>
      <c r="C30">
        <v>2022</v>
      </c>
      <c r="D30">
        <v>23.3</v>
      </c>
      <c r="E30">
        <v>0</v>
      </c>
      <c r="F30">
        <v>0</v>
      </c>
      <c r="G30">
        <v>0</v>
      </c>
      <c r="H30">
        <f t="shared" si="0"/>
        <v>23.3</v>
      </c>
      <c r="I30" t="s">
        <v>141</v>
      </c>
      <c r="J30" t="s">
        <v>141</v>
      </c>
      <c r="K30" t="str">
        <f>_xlfn.XLOOKUP($J30,'Leveranser per nät'!$A$4:$A$524,'Leveranser per nät'!$A$4:$A$524)</f>
        <v>Habo</v>
      </c>
      <c r="L30">
        <f t="shared" si="1"/>
        <v>26.8</v>
      </c>
    </row>
    <row r="31" spans="1:12" x14ac:dyDescent="0.25">
      <c r="A31" t="s">
        <v>972</v>
      </c>
      <c r="B31" t="s">
        <v>588</v>
      </c>
      <c r="C31">
        <v>2022</v>
      </c>
      <c r="D31">
        <v>10.428000000000001</v>
      </c>
      <c r="E31">
        <v>0</v>
      </c>
      <c r="F31">
        <v>0</v>
      </c>
      <c r="G31">
        <v>0</v>
      </c>
      <c r="H31">
        <f t="shared" si="0"/>
        <v>10.428000000000001</v>
      </c>
      <c r="I31" t="s">
        <v>588</v>
      </c>
      <c r="J31" t="s">
        <v>588</v>
      </c>
      <c r="K31" t="str">
        <f>_xlfn.XLOOKUP($J31,'Leveranser per nät'!$A$4:$A$524,'Leveranser per nät'!$A$4:$A$524)</f>
        <v>Ekshärad</v>
      </c>
      <c r="L31">
        <f t="shared" si="1"/>
        <v>10.428000000000001</v>
      </c>
    </row>
    <row r="32" spans="1:12" x14ac:dyDescent="0.25">
      <c r="A32" t="s">
        <v>972</v>
      </c>
      <c r="B32" t="s">
        <v>520</v>
      </c>
      <c r="C32">
        <v>2022</v>
      </c>
      <c r="D32">
        <v>48.96</v>
      </c>
      <c r="E32">
        <v>0</v>
      </c>
      <c r="F32">
        <v>0</v>
      </c>
      <c r="G32">
        <v>0</v>
      </c>
      <c r="H32">
        <f t="shared" si="0"/>
        <v>48.96</v>
      </c>
      <c r="I32" t="s">
        <v>520</v>
      </c>
      <c r="J32" t="s">
        <v>520</v>
      </c>
      <c r="K32" t="str">
        <f>_xlfn.XLOOKUP($J32,'Leveranser per nät'!$A$4:$A$524,'Leveranser per nät'!$A$4:$A$524)</f>
        <v>Hagfors</v>
      </c>
      <c r="L32">
        <f t="shared" si="1"/>
        <v>48.96</v>
      </c>
    </row>
    <row r="33" spans="1:15" x14ac:dyDescent="0.25">
      <c r="A33" t="s">
        <v>972</v>
      </c>
      <c r="B33" t="s">
        <v>712</v>
      </c>
      <c r="C33">
        <v>2022</v>
      </c>
      <c r="D33">
        <v>0.26400000000000001</v>
      </c>
      <c r="E33">
        <v>0</v>
      </c>
      <c r="F33">
        <v>0</v>
      </c>
      <c r="G33">
        <v>0</v>
      </c>
      <c r="H33">
        <f t="shared" si="0"/>
        <v>0.26400000000000001</v>
      </c>
      <c r="I33" t="s">
        <v>712</v>
      </c>
      <c r="J33" t="s">
        <v>712</v>
      </c>
      <c r="K33" t="str">
        <f>_xlfn.XLOOKUP($J33,'Leveranser per nät'!$A$4:$A$524,'Leveranser per nät'!$A$4:$A$524)</f>
        <v>Sunnemo</v>
      </c>
      <c r="L33">
        <f t="shared" si="1"/>
        <v>0.26400000000000001</v>
      </c>
    </row>
    <row r="34" spans="1:15" x14ac:dyDescent="0.25">
      <c r="A34" t="s">
        <v>622</v>
      </c>
      <c r="B34" s="1" t="s">
        <v>1181</v>
      </c>
      <c r="C34">
        <v>2022</v>
      </c>
      <c r="D34">
        <v>416</v>
      </c>
      <c r="E34">
        <v>0</v>
      </c>
      <c r="F34">
        <v>0</v>
      </c>
      <c r="G34">
        <v>0</v>
      </c>
      <c r="H34">
        <f t="shared" si="0"/>
        <v>416</v>
      </c>
      <c r="I34" t="s">
        <v>1181</v>
      </c>
      <c r="J34" t="s">
        <v>142</v>
      </c>
      <c r="K34" t="str">
        <f>_xlfn.XLOOKUP($J34,'Leveranser per nät'!$A$4:$A$524,'Leveranser per nät'!$A$4:$A$524)</f>
        <v>Halmstad</v>
      </c>
      <c r="L34">
        <f t="shared" si="1"/>
        <v>549.70000000000005</v>
      </c>
    </row>
    <row r="35" spans="1:15" x14ac:dyDescent="0.25">
      <c r="A35" t="s">
        <v>622</v>
      </c>
      <c r="B35" s="1" t="s">
        <v>1182</v>
      </c>
      <c r="C35">
        <v>2022</v>
      </c>
      <c r="D35">
        <v>95.7</v>
      </c>
      <c r="E35">
        <v>0</v>
      </c>
      <c r="F35">
        <v>0</v>
      </c>
      <c r="G35">
        <v>0</v>
      </c>
      <c r="H35">
        <f t="shared" si="0"/>
        <v>95.7</v>
      </c>
      <c r="I35" t="s">
        <v>1182</v>
      </c>
      <c r="J35" t="s">
        <v>142</v>
      </c>
      <c r="K35" t="str">
        <f>_xlfn.XLOOKUP($J35,'Leveranser per nät'!$A$4:$A$524,'Leveranser per nät'!$A$4:$A$524)</f>
        <v>Halmstad</v>
      </c>
      <c r="L35">
        <f t="shared" si="1"/>
        <v>549.70000000000005</v>
      </c>
    </row>
    <row r="36" spans="1:15" x14ac:dyDescent="0.25">
      <c r="A36" t="s">
        <v>622</v>
      </c>
      <c r="B36" s="1" t="s">
        <v>1183</v>
      </c>
      <c r="C36">
        <v>2022</v>
      </c>
      <c r="D36">
        <v>38</v>
      </c>
      <c r="E36">
        <v>0</v>
      </c>
      <c r="F36">
        <v>0</v>
      </c>
      <c r="G36">
        <v>0</v>
      </c>
      <c r="H36">
        <f t="shared" si="0"/>
        <v>38</v>
      </c>
      <c r="I36" t="s">
        <v>1183</v>
      </c>
      <c r="J36" t="s">
        <v>142</v>
      </c>
      <c r="K36" t="str">
        <f>_xlfn.XLOOKUP($J36,'Leveranser per nät'!$A$4:$A$524,'Leveranser per nät'!$A$4:$A$524)</f>
        <v>Halmstad</v>
      </c>
      <c r="L36">
        <f t="shared" si="1"/>
        <v>549.70000000000005</v>
      </c>
    </row>
    <row r="37" spans="1:15" x14ac:dyDescent="0.25">
      <c r="A37" t="s">
        <v>698</v>
      </c>
      <c r="B37" t="s">
        <v>143</v>
      </c>
      <c r="C37">
        <v>2022</v>
      </c>
      <c r="D37">
        <v>48.1</v>
      </c>
      <c r="E37">
        <v>0</v>
      </c>
      <c r="F37">
        <v>0</v>
      </c>
      <c r="G37">
        <v>0</v>
      </c>
      <c r="H37">
        <f t="shared" si="0"/>
        <v>48.1</v>
      </c>
      <c r="I37" t="s">
        <v>143</v>
      </c>
      <c r="J37" t="s">
        <v>143</v>
      </c>
      <c r="K37" t="str">
        <f>_xlfn.XLOOKUP($J37,'Leveranser per nät'!$A$4:$A$524,'Leveranser per nät'!$A$4:$A$524)</f>
        <v>Skoghall</v>
      </c>
      <c r="L37">
        <f t="shared" si="1"/>
        <v>48.1</v>
      </c>
      <c r="O37" s="3"/>
    </row>
    <row r="38" spans="1:15" x14ac:dyDescent="0.25">
      <c r="A38" t="s">
        <v>928</v>
      </c>
      <c r="B38" s="1" t="s">
        <v>1084</v>
      </c>
      <c r="C38">
        <v>2022</v>
      </c>
      <c r="D38">
        <v>44.2</v>
      </c>
      <c r="E38">
        <v>0</v>
      </c>
      <c r="F38">
        <v>0</v>
      </c>
      <c r="G38">
        <v>0</v>
      </c>
      <c r="H38">
        <f t="shared" si="0"/>
        <v>44.2</v>
      </c>
      <c r="I38" t="s">
        <v>1084</v>
      </c>
      <c r="J38" t="s">
        <v>345</v>
      </c>
      <c r="K38" t="str">
        <f>_xlfn.XLOOKUP($J38,'Leveranser per nät'!$A$4:$A$524,'Leveranser per nät'!$A$4:$A$524)</f>
        <v>Haparanda</v>
      </c>
      <c r="L38">
        <f t="shared" si="1"/>
        <v>55.900000000000006</v>
      </c>
    </row>
    <row r="39" spans="1:15" x14ac:dyDescent="0.25">
      <c r="A39" t="s">
        <v>928</v>
      </c>
      <c r="B39" s="1" t="s">
        <v>1085</v>
      </c>
      <c r="C39">
        <v>2022</v>
      </c>
      <c r="D39">
        <v>11.7</v>
      </c>
      <c r="E39">
        <v>0</v>
      </c>
      <c r="F39">
        <v>0</v>
      </c>
      <c r="G39">
        <v>0</v>
      </c>
      <c r="H39">
        <f t="shared" si="0"/>
        <v>11.7</v>
      </c>
      <c r="I39" t="s">
        <v>1085</v>
      </c>
      <c r="J39" t="s">
        <v>345</v>
      </c>
      <c r="K39" t="str">
        <f>_xlfn.XLOOKUP($J39,'Leveranser per nät'!$A$4:$A$524,'Leveranser per nät'!$A$4:$A$524)</f>
        <v>Haparanda</v>
      </c>
      <c r="L39">
        <f t="shared" si="1"/>
        <v>55.900000000000006</v>
      </c>
    </row>
    <row r="40" spans="1:15" x14ac:dyDescent="0.25">
      <c r="A40" t="s">
        <v>611</v>
      </c>
      <c r="B40" t="s">
        <v>145</v>
      </c>
      <c r="C40">
        <v>2022</v>
      </c>
      <c r="D40">
        <v>56.100999999999999</v>
      </c>
      <c r="E40">
        <v>0</v>
      </c>
      <c r="F40">
        <v>0</v>
      </c>
      <c r="G40">
        <v>0</v>
      </c>
      <c r="H40">
        <f t="shared" si="0"/>
        <v>56.100999999999999</v>
      </c>
      <c r="I40" t="s">
        <v>145</v>
      </c>
      <c r="J40" t="s">
        <v>145</v>
      </c>
      <c r="K40" t="str">
        <f>_xlfn.XLOOKUP($J40,'Leveranser per nät'!$A$4:$A$524,'Leveranser per nät'!$A$4:$A$524)</f>
        <v>Hedemora</v>
      </c>
      <c r="L40">
        <f t="shared" si="1"/>
        <v>56.100999999999999</v>
      </c>
    </row>
    <row r="41" spans="1:15" x14ac:dyDescent="0.25">
      <c r="A41" t="s">
        <v>611</v>
      </c>
      <c r="B41" t="s">
        <v>147</v>
      </c>
      <c r="C41">
        <v>2022</v>
      </c>
      <c r="D41">
        <v>6.1</v>
      </c>
      <c r="E41">
        <v>0</v>
      </c>
      <c r="F41">
        <v>0</v>
      </c>
      <c r="G41">
        <v>0</v>
      </c>
      <c r="H41">
        <f t="shared" si="0"/>
        <v>6.1</v>
      </c>
      <c r="I41" t="s">
        <v>147</v>
      </c>
      <c r="J41" t="s">
        <v>147</v>
      </c>
      <c r="K41" t="str">
        <f>_xlfn.XLOOKUP($J41,'Leveranser per nät'!$A$4:$A$524,'Leveranser per nät'!$A$4:$A$524)</f>
        <v>Långshyttan</v>
      </c>
      <c r="L41">
        <f t="shared" si="1"/>
        <v>6.1</v>
      </c>
    </row>
    <row r="42" spans="1:15" x14ac:dyDescent="0.25">
      <c r="A42" t="s">
        <v>611</v>
      </c>
      <c r="B42" t="s">
        <v>416</v>
      </c>
      <c r="C42">
        <v>2022</v>
      </c>
      <c r="D42">
        <v>2.12</v>
      </c>
      <c r="E42">
        <v>0</v>
      </c>
      <c r="F42">
        <v>0</v>
      </c>
      <c r="G42">
        <v>0</v>
      </c>
      <c r="H42">
        <f t="shared" si="0"/>
        <v>2.12</v>
      </c>
      <c r="I42" t="s">
        <v>416</v>
      </c>
      <c r="J42" t="s">
        <v>416</v>
      </c>
      <c r="K42" t="str">
        <f>_xlfn.XLOOKUP($J42,'Leveranser per nät'!$A$4:$A$524,'Leveranser per nät'!$A$4:$A$524)</f>
        <v>St Skedvi</v>
      </c>
      <c r="L42">
        <f t="shared" si="1"/>
        <v>2.12</v>
      </c>
    </row>
    <row r="43" spans="1:15" x14ac:dyDescent="0.25">
      <c r="A43" t="s">
        <v>611</v>
      </c>
      <c r="B43" t="s">
        <v>144</v>
      </c>
      <c r="C43">
        <v>2022</v>
      </c>
      <c r="D43">
        <v>48.8</v>
      </c>
      <c r="E43">
        <v>0</v>
      </c>
      <c r="F43">
        <v>0</v>
      </c>
      <c r="G43">
        <v>0</v>
      </c>
      <c r="H43">
        <f t="shared" si="0"/>
        <v>48.8</v>
      </c>
      <c r="I43" t="s">
        <v>144</v>
      </c>
      <c r="J43" t="s">
        <v>144</v>
      </c>
      <c r="K43" t="str">
        <f>_xlfn.XLOOKUP($J43,'Leveranser per nät'!$A$4:$A$524,'Leveranser per nät'!$A$4:$A$524)</f>
        <v>Säter</v>
      </c>
      <c r="L43">
        <f t="shared" si="1"/>
        <v>48.8</v>
      </c>
    </row>
    <row r="44" spans="1:15" x14ac:dyDescent="0.25">
      <c r="A44" t="s">
        <v>850</v>
      </c>
      <c r="B44" t="s">
        <v>446</v>
      </c>
      <c r="C44">
        <v>2022</v>
      </c>
      <c r="D44" t="s">
        <v>805</v>
      </c>
      <c r="E44" t="s">
        <v>805</v>
      </c>
      <c r="F44" t="s">
        <v>805</v>
      </c>
      <c r="G44" t="s">
        <v>805</v>
      </c>
      <c r="H44"/>
      <c r="I44" t="s">
        <v>446</v>
      </c>
      <c r="J44" t="s">
        <v>446</v>
      </c>
      <c r="K44" t="str">
        <f>_xlfn.XLOOKUP($J44,'Leveranser per nät'!$A$4:$A$524,'Leveranser per nät'!$A$4:$A$524)</f>
        <v>Herrljunga</v>
      </c>
      <c r="L44">
        <f t="shared" si="1"/>
        <v>0</v>
      </c>
    </row>
    <row r="45" spans="1:15" x14ac:dyDescent="0.25">
      <c r="A45" t="s">
        <v>628</v>
      </c>
      <c r="B45" t="s">
        <v>148</v>
      </c>
      <c r="C45">
        <v>2022</v>
      </c>
      <c r="D45">
        <v>33.786999999999999</v>
      </c>
      <c r="E45">
        <v>0</v>
      </c>
      <c r="F45">
        <v>0</v>
      </c>
      <c r="G45">
        <v>0</v>
      </c>
      <c r="H45">
        <f t="shared" si="0"/>
        <v>33.786999999999999</v>
      </c>
      <c r="I45" t="s">
        <v>148</v>
      </c>
      <c r="J45" t="s">
        <v>148</v>
      </c>
      <c r="K45" t="str">
        <f>_xlfn.XLOOKUP($J45,'Leveranser per nät'!$A$4:$A$524,'Leveranser per nät'!$A$4:$A$524)</f>
        <v>Hjo</v>
      </c>
      <c r="L45">
        <f t="shared" si="1"/>
        <v>33.786999999999999</v>
      </c>
    </row>
    <row r="46" spans="1:15" x14ac:dyDescent="0.25">
      <c r="A46" t="s">
        <v>633</v>
      </c>
      <c r="B46" t="s">
        <v>150</v>
      </c>
      <c r="C46">
        <v>2022</v>
      </c>
      <c r="D46">
        <v>169.672</v>
      </c>
      <c r="E46">
        <v>0</v>
      </c>
      <c r="F46">
        <v>0</v>
      </c>
      <c r="G46">
        <v>0</v>
      </c>
      <c r="H46">
        <f t="shared" si="0"/>
        <v>169.672</v>
      </c>
      <c r="I46" t="s">
        <v>150</v>
      </c>
      <c r="J46" t="s">
        <v>150</v>
      </c>
      <c r="K46" t="str">
        <f>_xlfn.XLOOKUP($J46,'Leveranser per nät'!$A$4:$A$524,'Leveranser per nät'!$A$4:$A$524)</f>
        <v>Härnösand</v>
      </c>
      <c r="L46">
        <f t="shared" si="1"/>
        <v>169.672</v>
      </c>
    </row>
    <row r="47" spans="1:15" x14ac:dyDescent="0.25">
      <c r="A47" t="s">
        <v>634</v>
      </c>
      <c r="B47" t="s">
        <v>151</v>
      </c>
      <c r="C47">
        <v>2022</v>
      </c>
      <c r="D47">
        <v>177.02</v>
      </c>
      <c r="E47">
        <v>0</v>
      </c>
      <c r="F47">
        <v>0</v>
      </c>
      <c r="G47">
        <v>0</v>
      </c>
      <c r="H47">
        <f t="shared" si="0"/>
        <v>177.02</v>
      </c>
      <c r="I47" t="s">
        <v>151</v>
      </c>
      <c r="J47" t="s">
        <v>151</v>
      </c>
      <c r="K47" t="str">
        <f>_xlfn.XLOOKUP($J47,'Leveranser per nät'!$A$4:$A$524,'Leveranser per nät'!$A$4:$A$524)</f>
        <v>Hässleholm</v>
      </c>
      <c r="L47">
        <f t="shared" si="1"/>
        <v>177.02</v>
      </c>
    </row>
    <row r="48" spans="1:15" x14ac:dyDescent="0.25">
      <c r="A48" t="s">
        <v>634</v>
      </c>
      <c r="B48" t="s">
        <v>152</v>
      </c>
      <c r="C48">
        <v>2022</v>
      </c>
      <c r="D48">
        <v>17.57</v>
      </c>
      <c r="E48">
        <v>0</v>
      </c>
      <c r="F48">
        <v>0</v>
      </c>
      <c r="G48">
        <v>0</v>
      </c>
      <c r="H48">
        <f t="shared" si="0"/>
        <v>17.57</v>
      </c>
      <c r="I48" t="s">
        <v>152</v>
      </c>
      <c r="J48" t="s">
        <v>152</v>
      </c>
      <c r="K48" t="str">
        <f>_xlfn.XLOOKUP($J48,'Leveranser per nät'!$A$4:$A$524,'Leveranser per nät'!$A$4:$A$524)</f>
        <v>Tyringe</v>
      </c>
      <c r="L48">
        <f t="shared" si="1"/>
        <v>17.57</v>
      </c>
      <c r="O48" s="41"/>
    </row>
    <row r="49" spans="1:12" x14ac:dyDescent="0.25">
      <c r="A49" t="s">
        <v>635</v>
      </c>
      <c r="B49" t="s">
        <v>153</v>
      </c>
      <c r="C49">
        <v>2022</v>
      </c>
      <c r="D49">
        <v>41.945999999999998</v>
      </c>
      <c r="E49">
        <v>0</v>
      </c>
      <c r="F49">
        <v>0</v>
      </c>
      <c r="G49">
        <v>0</v>
      </c>
      <c r="H49">
        <f t="shared" si="0"/>
        <v>41.945999999999998</v>
      </c>
      <c r="I49" t="s">
        <v>153</v>
      </c>
      <c r="J49" t="s">
        <v>153</v>
      </c>
      <c r="K49" t="str">
        <f>_xlfn.XLOOKUP($J49,'Leveranser per nät'!$A$4:$A$524,'Leveranser per nät'!$A$4:$A$524)</f>
        <v>Höganäs</v>
      </c>
      <c r="L49">
        <f t="shared" si="1"/>
        <v>41.945999999999998</v>
      </c>
    </row>
    <row r="50" spans="1:12" x14ac:dyDescent="0.25">
      <c r="A50" t="s">
        <v>637</v>
      </c>
      <c r="B50" t="s">
        <v>154</v>
      </c>
      <c r="C50">
        <v>2022</v>
      </c>
      <c r="D50">
        <v>32.6</v>
      </c>
      <c r="E50">
        <v>0</v>
      </c>
      <c r="F50">
        <v>0</v>
      </c>
      <c r="G50">
        <v>0</v>
      </c>
      <c r="H50">
        <f t="shared" si="0"/>
        <v>32.6</v>
      </c>
      <c r="I50" t="s">
        <v>154</v>
      </c>
      <c r="J50" t="s">
        <v>154</v>
      </c>
      <c r="K50" t="str">
        <f>_xlfn.XLOOKUP($J50,'Leveranser per nät'!$A$4:$A$524,'Leveranser per nät'!$A$4:$A$524)</f>
        <v>Jokkmokk</v>
      </c>
      <c r="L50">
        <f t="shared" si="1"/>
        <v>32.6</v>
      </c>
    </row>
    <row r="51" spans="1:12" x14ac:dyDescent="0.25">
      <c r="A51" t="s">
        <v>579</v>
      </c>
      <c r="B51" s="23" t="s">
        <v>1184</v>
      </c>
      <c r="C51">
        <v>2022</v>
      </c>
      <c r="D51">
        <v>0.70899999999999996</v>
      </c>
      <c r="E51">
        <v>0</v>
      </c>
      <c r="F51">
        <v>0</v>
      </c>
      <c r="G51">
        <v>0</v>
      </c>
      <c r="H51">
        <f t="shared" si="0"/>
        <v>0.70899999999999996</v>
      </c>
      <c r="I51" s="23" t="s">
        <v>1184</v>
      </c>
      <c r="J51" t="s">
        <v>156</v>
      </c>
      <c r="K51" t="str">
        <f>_xlfn.XLOOKUP($J51,'Leveranser per nät'!$A$4:$A$524,'Leveranser per nät'!$A$4:$A$524)</f>
        <v>Åre</v>
      </c>
      <c r="L51">
        <f t="shared" si="1"/>
        <v>35.684000000000005</v>
      </c>
    </row>
    <row r="52" spans="1:12" x14ac:dyDescent="0.25">
      <c r="A52" t="s">
        <v>579</v>
      </c>
      <c r="B52" s="23" t="s">
        <v>1086</v>
      </c>
      <c r="C52">
        <v>2022</v>
      </c>
      <c r="D52" t="s">
        <v>806</v>
      </c>
      <c r="E52">
        <v>0</v>
      </c>
      <c r="F52">
        <v>0</v>
      </c>
      <c r="G52">
        <v>0</v>
      </c>
      <c r="H52"/>
      <c r="I52" s="23" t="s">
        <v>1086</v>
      </c>
      <c r="J52" t="s">
        <v>1086</v>
      </c>
      <c r="L52">
        <f t="shared" si="1"/>
        <v>0</v>
      </c>
    </row>
    <row r="53" spans="1:12" x14ac:dyDescent="0.25">
      <c r="A53" t="s">
        <v>579</v>
      </c>
      <c r="B53" s="23" t="s">
        <v>396</v>
      </c>
      <c r="C53">
        <v>2022</v>
      </c>
      <c r="D53">
        <v>4.84</v>
      </c>
      <c r="E53">
        <v>0</v>
      </c>
      <c r="F53">
        <v>0</v>
      </c>
      <c r="G53">
        <v>0</v>
      </c>
      <c r="H53">
        <f t="shared" si="0"/>
        <v>4.84</v>
      </c>
      <c r="I53" s="23" t="s">
        <v>396</v>
      </c>
      <c r="J53" t="s">
        <v>396</v>
      </c>
      <c r="K53" t="str">
        <f>_xlfn.XLOOKUP($J53,'Leveranser per nät'!$A$4:$A$524,'Leveranser per nät'!$A$4:$A$524)</f>
        <v>Duved</v>
      </c>
      <c r="L53">
        <f t="shared" si="1"/>
        <v>4.84</v>
      </c>
    </row>
    <row r="54" spans="1:12" x14ac:dyDescent="0.25">
      <c r="A54" t="s">
        <v>579</v>
      </c>
      <c r="B54" s="23" t="s">
        <v>398</v>
      </c>
      <c r="C54">
        <v>2022</v>
      </c>
      <c r="D54">
        <v>1.9930000000000001</v>
      </c>
      <c r="E54">
        <v>0</v>
      </c>
      <c r="F54">
        <v>0</v>
      </c>
      <c r="G54">
        <v>0</v>
      </c>
      <c r="H54">
        <f t="shared" si="0"/>
        <v>1.9930000000000001</v>
      </c>
      <c r="I54" s="23" t="s">
        <v>398</v>
      </c>
      <c r="J54" t="s">
        <v>398</v>
      </c>
      <c r="K54" t="str">
        <f>_xlfn.XLOOKUP($J54,'Leveranser per nät'!$A$4:$A$524,'Leveranser per nät'!$A$4:$A$524)</f>
        <v>Föllinge</v>
      </c>
      <c r="L54">
        <f t="shared" si="1"/>
        <v>1.9930000000000001</v>
      </c>
    </row>
    <row r="55" spans="1:12" x14ac:dyDescent="0.25">
      <c r="A55" t="s">
        <v>579</v>
      </c>
      <c r="B55" s="23" t="s">
        <v>1185</v>
      </c>
      <c r="C55">
        <v>2022</v>
      </c>
      <c r="D55">
        <v>1.345</v>
      </c>
      <c r="E55">
        <v>0</v>
      </c>
      <c r="F55">
        <v>0</v>
      </c>
      <c r="G55">
        <v>0</v>
      </c>
      <c r="H55">
        <f t="shared" si="0"/>
        <v>1.345</v>
      </c>
      <c r="I55" s="23" t="s">
        <v>1185</v>
      </c>
      <c r="J55" t="s">
        <v>156</v>
      </c>
      <c r="K55" t="str">
        <f>_xlfn.XLOOKUP($J55,'Leveranser per nät'!$A$4:$A$524,'Leveranser per nät'!$A$4:$A$524)</f>
        <v>Åre</v>
      </c>
      <c r="L55">
        <f t="shared" si="1"/>
        <v>35.684000000000005</v>
      </c>
    </row>
    <row r="56" spans="1:12" x14ac:dyDescent="0.25">
      <c r="A56" t="s">
        <v>579</v>
      </c>
      <c r="B56" t="s">
        <v>476</v>
      </c>
      <c r="C56">
        <v>2022</v>
      </c>
      <c r="D56">
        <v>8.91</v>
      </c>
      <c r="E56">
        <v>0</v>
      </c>
      <c r="F56">
        <v>0</v>
      </c>
      <c r="G56">
        <v>0</v>
      </c>
      <c r="H56">
        <f t="shared" si="0"/>
        <v>8.91</v>
      </c>
      <c r="I56" t="s">
        <v>476</v>
      </c>
      <c r="J56" t="s">
        <v>476</v>
      </c>
      <c r="K56" t="str">
        <f>_xlfn.XLOOKUP($J56,'Leveranser per nät'!$A$4:$A$524,'Leveranser per nät'!$A$4:$A$524)</f>
        <v>Järpen</v>
      </c>
      <c r="L56">
        <f t="shared" si="1"/>
        <v>10.15</v>
      </c>
    </row>
    <row r="57" spans="1:12" x14ac:dyDescent="0.25">
      <c r="A57" t="s">
        <v>579</v>
      </c>
      <c r="B57" t="s">
        <v>1186</v>
      </c>
      <c r="C57">
        <v>2022</v>
      </c>
      <c r="D57">
        <v>1.24</v>
      </c>
      <c r="E57">
        <v>0</v>
      </c>
      <c r="F57">
        <v>0</v>
      </c>
      <c r="G57">
        <v>0</v>
      </c>
      <c r="H57">
        <f t="shared" si="0"/>
        <v>1.24</v>
      </c>
      <c r="I57" t="s">
        <v>1186</v>
      </c>
      <c r="J57" t="s">
        <v>476</v>
      </c>
      <c r="K57" t="str">
        <f>_xlfn.XLOOKUP($J57,'Leveranser per nät'!$A$4:$A$524,'Leveranser per nät'!$A$4:$A$524)</f>
        <v>Järpen</v>
      </c>
      <c r="L57">
        <f t="shared" si="1"/>
        <v>10.15</v>
      </c>
    </row>
    <row r="58" spans="1:12" x14ac:dyDescent="0.25">
      <c r="A58" t="s">
        <v>579</v>
      </c>
      <c r="B58" t="s">
        <v>155</v>
      </c>
      <c r="C58">
        <v>2022</v>
      </c>
      <c r="D58">
        <v>12.55</v>
      </c>
      <c r="E58">
        <v>0</v>
      </c>
      <c r="F58">
        <v>0</v>
      </c>
      <c r="G58">
        <v>0</v>
      </c>
      <c r="H58">
        <f t="shared" si="0"/>
        <v>12.55</v>
      </c>
      <c r="I58" t="s">
        <v>155</v>
      </c>
      <c r="J58" t="s">
        <v>155</v>
      </c>
      <c r="K58" t="str">
        <f>_xlfn.XLOOKUP($J58,'Leveranser per nät'!$A$4:$A$524,'Leveranser per nät'!$A$4:$A$524)</f>
        <v>Krokom</v>
      </c>
      <c r="L58">
        <f t="shared" si="1"/>
        <v>12.55</v>
      </c>
    </row>
    <row r="59" spans="1:12" x14ac:dyDescent="0.25">
      <c r="A59" t="s">
        <v>579</v>
      </c>
      <c r="B59" t="s">
        <v>469</v>
      </c>
      <c r="C59">
        <v>2022</v>
      </c>
      <c r="D59">
        <v>4.6900000000000004</v>
      </c>
      <c r="E59">
        <v>0</v>
      </c>
      <c r="F59">
        <v>0</v>
      </c>
      <c r="G59">
        <v>0</v>
      </c>
      <c r="H59">
        <f t="shared" si="0"/>
        <v>4.6900000000000004</v>
      </c>
      <c r="I59" t="s">
        <v>469</v>
      </c>
      <c r="J59" t="s">
        <v>469</v>
      </c>
      <c r="K59" t="str">
        <f>_xlfn.XLOOKUP($J59,'Leveranser per nät'!$A$4:$A$524,'Leveranser per nät'!$A$4:$A$524)</f>
        <v>Mörsil</v>
      </c>
      <c r="L59">
        <f t="shared" si="1"/>
        <v>4.6900000000000004</v>
      </c>
    </row>
    <row r="60" spans="1:12" x14ac:dyDescent="0.25">
      <c r="A60" t="s">
        <v>579</v>
      </c>
      <c r="B60" t="s">
        <v>410</v>
      </c>
      <c r="C60">
        <v>2022</v>
      </c>
      <c r="D60">
        <v>3.4</v>
      </c>
      <c r="E60">
        <v>0</v>
      </c>
      <c r="F60">
        <v>0</v>
      </c>
      <c r="G60">
        <v>0</v>
      </c>
      <c r="H60">
        <f t="shared" si="0"/>
        <v>3.4</v>
      </c>
      <c r="I60" t="s">
        <v>410</v>
      </c>
      <c r="J60" t="s">
        <v>410</v>
      </c>
      <c r="K60" t="str">
        <f>_xlfn.XLOOKUP($J60,'Leveranser per nät'!$A$4:$A$524,'Leveranser per nät'!$A$4:$A$524)</f>
        <v>Nälden</v>
      </c>
      <c r="L60">
        <f t="shared" si="1"/>
        <v>3.4</v>
      </c>
    </row>
    <row r="61" spans="1:12" x14ac:dyDescent="0.25">
      <c r="A61" t="s">
        <v>579</v>
      </c>
      <c r="B61" t="s">
        <v>156</v>
      </c>
      <c r="C61">
        <v>2022</v>
      </c>
      <c r="D61">
        <v>33.630000000000003</v>
      </c>
      <c r="E61">
        <v>0</v>
      </c>
      <c r="F61">
        <v>0</v>
      </c>
      <c r="G61">
        <v>0</v>
      </c>
      <c r="H61">
        <f t="shared" si="0"/>
        <v>33.630000000000003</v>
      </c>
      <c r="I61" t="s">
        <v>156</v>
      </c>
      <c r="J61" t="s">
        <v>156</v>
      </c>
      <c r="K61" t="str">
        <f>_xlfn.XLOOKUP($J61,'Leveranser per nät'!$A$4:$A$524,'Leveranser per nät'!$A$4:$A$524)</f>
        <v>Åre</v>
      </c>
      <c r="L61">
        <f t="shared" si="1"/>
        <v>35.684000000000005</v>
      </c>
    </row>
    <row r="62" spans="1:12" x14ac:dyDescent="0.25">
      <c r="A62" t="s">
        <v>579</v>
      </c>
      <c r="B62" s="1" t="s">
        <v>157</v>
      </c>
      <c r="C62">
        <v>2022</v>
      </c>
      <c r="D62">
        <v>524.17999999999995</v>
      </c>
      <c r="E62">
        <v>0</v>
      </c>
      <c r="F62">
        <v>0</v>
      </c>
      <c r="G62">
        <v>0</v>
      </c>
      <c r="H62">
        <f t="shared" si="0"/>
        <v>524.17999999999995</v>
      </c>
      <c r="I62" t="s">
        <v>157</v>
      </c>
      <c r="J62" t="s">
        <v>157</v>
      </c>
      <c r="K62" t="str">
        <f>_xlfn.XLOOKUP($J62,'Leveranser per nät'!$A$4:$A$524,'Leveranser per nät'!$A$4:$A$524)</f>
        <v>Östersund</v>
      </c>
      <c r="L62">
        <f t="shared" si="1"/>
        <v>525.56999999999994</v>
      </c>
    </row>
    <row r="63" spans="1:12" x14ac:dyDescent="0.25">
      <c r="A63" t="s">
        <v>579</v>
      </c>
      <c r="B63" s="1" t="s">
        <v>1087</v>
      </c>
      <c r="C63">
        <v>2022</v>
      </c>
      <c r="D63">
        <v>1.39</v>
      </c>
      <c r="E63">
        <v>0</v>
      </c>
      <c r="F63">
        <v>0</v>
      </c>
      <c r="G63">
        <v>0</v>
      </c>
      <c r="H63">
        <f t="shared" si="0"/>
        <v>1.39</v>
      </c>
      <c r="I63" t="s">
        <v>1087</v>
      </c>
      <c r="J63" t="s">
        <v>157</v>
      </c>
      <c r="K63" t="str">
        <f>_xlfn.XLOOKUP($J63,'Leveranser per nät'!$A$4:$A$524,'Leveranser per nät'!$A$4:$A$524)</f>
        <v>Östersund</v>
      </c>
      <c r="L63">
        <f t="shared" si="1"/>
        <v>525.56999999999994</v>
      </c>
    </row>
    <row r="64" spans="1:12" x14ac:dyDescent="0.25">
      <c r="A64" t="s">
        <v>975</v>
      </c>
      <c r="B64" t="s">
        <v>466</v>
      </c>
      <c r="C64">
        <v>2022</v>
      </c>
      <c r="D64">
        <v>54.4</v>
      </c>
      <c r="E64">
        <v>0</v>
      </c>
      <c r="F64">
        <v>0</v>
      </c>
      <c r="G64">
        <v>0</v>
      </c>
      <c r="H64">
        <f t="shared" si="0"/>
        <v>54.4</v>
      </c>
      <c r="I64" t="s">
        <v>466</v>
      </c>
      <c r="J64" t="s">
        <v>466</v>
      </c>
      <c r="K64" t="str">
        <f>_xlfn.XLOOKUP($J64,'Leveranser per nät'!$A$4:$A$524,'Leveranser per nät'!$A$4:$A$524)</f>
        <v>Strömsund</v>
      </c>
      <c r="L64">
        <f t="shared" si="1"/>
        <v>54.4</v>
      </c>
    </row>
    <row r="65" spans="1:12" x14ac:dyDescent="0.25">
      <c r="A65" t="s">
        <v>559</v>
      </c>
      <c r="B65" t="s">
        <v>159</v>
      </c>
      <c r="C65">
        <v>2022</v>
      </c>
      <c r="D65">
        <v>11.598000000000001</v>
      </c>
      <c r="E65">
        <v>0</v>
      </c>
      <c r="F65">
        <v>0</v>
      </c>
      <c r="G65">
        <v>0</v>
      </c>
      <c r="H65">
        <f t="shared" si="0"/>
        <v>11.598000000000001</v>
      </c>
      <c r="I65" t="s">
        <v>159</v>
      </c>
      <c r="J65" t="s">
        <v>159</v>
      </c>
      <c r="K65" t="str">
        <f>_xlfn.XLOOKUP($J65,'Leveranser per nät'!$A$4:$A$524,'Leveranser per nät'!$A$4:$A$524)</f>
        <v>Gränna</v>
      </c>
      <c r="L65">
        <f t="shared" si="1"/>
        <v>11.598000000000001</v>
      </c>
    </row>
    <row r="66" spans="1:12" x14ac:dyDescent="0.25">
      <c r="A66" t="s">
        <v>559</v>
      </c>
      <c r="B66" t="s">
        <v>160</v>
      </c>
      <c r="C66">
        <v>2022</v>
      </c>
      <c r="D66">
        <v>711.67200000000003</v>
      </c>
      <c r="E66">
        <v>1.7869999999999999</v>
      </c>
      <c r="F66">
        <v>0</v>
      </c>
      <c r="G66">
        <v>0</v>
      </c>
      <c r="H66">
        <f t="shared" ref="H66:H129" si="2">D66-SUM(E66:G66)</f>
        <v>709.88499999999999</v>
      </c>
      <c r="I66" t="s">
        <v>160</v>
      </c>
      <c r="J66" t="s">
        <v>160</v>
      </c>
      <c r="K66" t="str">
        <f>_xlfn.XLOOKUP($J66,'Leveranser per nät'!$A$4:$A$524,'Leveranser per nät'!$A$4:$A$524)</f>
        <v>Jönköping</v>
      </c>
      <c r="L66">
        <f t="shared" ref="L66:L129" si="3">SUMIF($J$2:$J$474,K66,$H$2:$H$474)</f>
        <v>709.88499999999999</v>
      </c>
    </row>
    <row r="67" spans="1:12" x14ac:dyDescent="0.25">
      <c r="A67" t="s">
        <v>643</v>
      </c>
      <c r="B67" t="s">
        <v>162</v>
      </c>
      <c r="C67">
        <v>2022</v>
      </c>
      <c r="D67">
        <v>356.57</v>
      </c>
      <c r="E67">
        <v>0</v>
      </c>
      <c r="F67">
        <v>0</v>
      </c>
      <c r="G67">
        <v>0</v>
      </c>
      <c r="H67">
        <f t="shared" si="2"/>
        <v>356.57</v>
      </c>
      <c r="I67" t="s">
        <v>162</v>
      </c>
      <c r="J67" t="s">
        <v>162</v>
      </c>
      <c r="K67" t="str">
        <f>_xlfn.XLOOKUP($J67,'Leveranser per nät'!$A$4:$A$524,'Leveranser per nät'!$A$4:$A$524)</f>
        <v>Kalmar</v>
      </c>
      <c r="L67">
        <f t="shared" si="3"/>
        <v>356.57</v>
      </c>
    </row>
    <row r="68" spans="1:12" x14ac:dyDescent="0.25">
      <c r="A68" t="s">
        <v>976</v>
      </c>
      <c r="B68" t="s">
        <v>237</v>
      </c>
      <c r="C68">
        <v>2022</v>
      </c>
      <c r="D68">
        <v>14.8</v>
      </c>
      <c r="E68">
        <v>0</v>
      </c>
      <c r="F68">
        <v>0</v>
      </c>
      <c r="G68">
        <v>0</v>
      </c>
      <c r="H68">
        <f t="shared" si="2"/>
        <v>14.8</v>
      </c>
      <c r="I68" t="s">
        <v>237</v>
      </c>
      <c r="J68" t="s">
        <v>237</v>
      </c>
      <c r="K68" t="str">
        <f>_xlfn.XLOOKUP($J68,'Leveranser per nät'!$A$4:$A$524,'Leveranser per nät'!$A$4:$A$524)</f>
        <v>Karlsborg</v>
      </c>
      <c r="L68">
        <f t="shared" si="3"/>
        <v>14.8</v>
      </c>
    </row>
    <row r="69" spans="1:12" x14ac:dyDescent="0.25">
      <c r="A69" t="s">
        <v>645</v>
      </c>
      <c r="B69" t="s">
        <v>164</v>
      </c>
      <c r="C69">
        <v>2022</v>
      </c>
      <c r="D69">
        <v>160.703</v>
      </c>
      <c r="E69">
        <v>0</v>
      </c>
      <c r="F69">
        <v>0</v>
      </c>
      <c r="G69">
        <v>0</v>
      </c>
      <c r="H69">
        <f t="shared" si="2"/>
        <v>160.703</v>
      </c>
      <c r="I69" t="s">
        <v>164</v>
      </c>
      <c r="J69" t="s">
        <v>164</v>
      </c>
      <c r="K69" t="str">
        <f>_xlfn.XLOOKUP($J69,'Leveranser per nät'!$A$4:$A$524,'Leveranser per nät'!$A$4:$A$524)</f>
        <v>Karlshamn</v>
      </c>
      <c r="L69">
        <f t="shared" si="3"/>
        <v>160.703</v>
      </c>
    </row>
    <row r="70" spans="1:12" x14ac:dyDescent="0.25">
      <c r="A70" t="s">
        <v>977</v>
      </c>
      <c r="B70" t="s">
        <v>165</v>
      </c>
      <c r="C70">
        <v>2022</v>
      </c>
      <c r="D70">
        <v>301.7</v>
      </c>
      <c r="E70">
        <v>0</v>
      </c>
      <c r="F70">
        <v>0</v>
      </c>
      <c r="G70">
        <v>0</v>
      </c>
      <c r="H70">
        <f t="shared" si="2"/>
        <v>301.7</v>
      </c>
      <c r="I70" t="s">
        <v>165</v>
      </c>
      <c r="J70" t="s">
        <v>165</v>
      </c>
      <c r="K70" t="str">
        <f>_xlfn.XLOOKUP($J70,'Leveranser per nät'!$A$4:$A$524,'Leveranser per nät'!$A$4:$A$524)</f>
        <v>Karlskoga</v>
      </c>
      <c r="L70">
        <f t="shared" si="3"/>
        <v>301.7</v>
      </c>
    </row>
    <row r="71" spans="1:12" x14ac:dyDescent="0.25">
      <c r="A71" t="s">
        <v>646</v>
      </c>
      <c r="B71" t="s">
        <v>166</v>
      </c>
      <c r="C71">
        <v>2022</v>
      </c>
      <c r="D71">
        <v>564.79999999999995</v>
      </c>
      <c r="E71">
        <v>58.1</v>
      </c>
      <c r="F71">
        <v>0</v>
      </c>
      <c r="G71">
        <v>0</v>
      </c>
      <c r="H71">
        <f t="shared" si="2"/>
        <v>506.69999999999993</v>
      </c>
      <c r="I71" t="s">
        <v>166</v>
      </c>
      <c r="J71" t="s">
        <v>166</v>
      </c>
      <c r="K71" t="str">
        <f>_xlfn.XLOOKUP($J71,'Leveranser per nät'!$A$4:$A$524,'Leveranser per nät'!$A$4:$A$524)</f>
        <v>Karlstad</v>
      </c>
      <c r="L71">
        <f t="shared" si="3"/>
        <v>506.69999999999993</v>
      </c>
    </row>
    <row r="72" spans="1:12" x14ac:dyDescent="0.25">
      <c r="A72" t="s">
        <v>649</v>
      </c>
      <c r="B72" t="s">
        <v>170</v>
      </c>
      <c r="C72">
        <v>2022</v>
      </c>
      <c r="D72">
        <v>35.479999999999997</v>
      </c>
      <c r="E72">
        <v>0</v>
      </c>
      <c r="F72">
        <v>0</v>
      </c>
      <c r="G72">
        <v>0</v>
      </c>
      <c r="H72">
        <f t="shared" si="2"/>
        <v>35.479999999999997</v>
      </c>
      <c r="I72" t="s">
        <v>170</v>
      </c>
      <c r="J72" t="s">
        <v>170</v>
      </c>
      <c r="K72" t="str">
        <f>_xlfn.XLOOKUP($J72,'Leveranser per nät'!$A$4:$A$524,'Leveranser per nät'!$A$4:$A$524)</f>
        <v>Kil</v>
      </c>
      <c r="L72">
        <f t="shared" si="3"/>
        <v>35.479999999999997</v>
      </c>
    </row>
    <row r="73" spans="1:12" x14ac:dyDescent="0.25">
      <c r="A73" t="s">
        <v>817</v>
      </c>
      <c r="B73" t="s">
        <v>390</v>
      </c>
      <c r="C73">
        <v>2022</v>
      </c>
      <c r="D73">
        <v>218.16</v>
      </c>
      <c r="E73">
        <v>0</v>
      </c>
      <c r="F73">
        <v>0</v>
      </c>
      <c r="G73">
        <v>0</v>
      </c>
      <c r="H73">
        <f t="shared" si="2"/>
        <v>218.16</v>
      </c>
      <c r="I73" t="s">
        <v>390</v>
      </c>
      <c r="J73" t="s">
        <v>390</v>
      </c>
      <c r="K73" t="str">
        <f>_xlfn.XLOOKUP($J73,'Leveranser per nät'!$A$4:$A$524,'Leveranser per nät'!$A$4:$A$524)</f>
        <v>Kiruna C</v>
      </c>
      <c r="L73">
        <f>SUMIF($J$2:$J$474,K73,$H$2:$H$474)</f>
        <v>218.16</v>
      </c>
    </row>
    <row r="74" spans="1:12" x14ac:dyDescent="0.25">
      <c r="A74" t="s">
        <v>786</v>
      </c>
      <c r="B74" t="s">
        <v>787</v>
      </c>
      <c r="C74">
        <v>2022</v>
      </c>
      <c r="D74">
        <v>855.10500000000002</v>
      </c>
      <c r="E74">
        <v>17.8</v>
      </c>
      <c r="F74">
        <v>13.77</v>
      </c>
      <c r="G74">
        <v>0</v>
      </c>
      <c r="H74">
        <f t="shared" si="2"/>
        <v>823.53499999999997</v>
      </c>
      <c r="I74" t="s">
        <v>787</v>
      </c>
      <c r="J74" t="s">
        <v>787</v>
      </c>
      <c r="K74" t="str">
        <f>_xlfn.XLOOKUP($J74,'Leveranser per nät'!$A$4:$A$524,'Leveranser per nät'!$A$4:$A$524)</f>
        <v>Eslöv-Lund-Lomma m fl</v>
      </c>
      <c r="L74">
        <f t="shared" si="3"/>
        <v>823.53499999999997</v>
      </c>
    </row>
    <row r="75" spans="1:12" x14ac:dyDescent="0.25">
      <c r="A75" t="s">
        <v>786</v>
      </c>
      <c r="B75" t="s">
        <v>788</v>
      </c>
      <c r="C75">
        <v>2022</v>
      </c>
      <c r="D75">
        <v>52.017000000000003</v>
      </c>
      <c r="E75">
        <v>0</v>
      </c>
      <c r="F75">
        <v>0</v>
      </c>
      <c r="G75">
        <v>0</v>
      </c>
      <c r="H75">
        <f t="shared" si="2"/>
        <v>52.017000000000003</v>
      </c>
      <c r="I75" t="s">
        <v>788</v>
      </c>
      <c r="J75" t="s">
        <v>788</v>
      </c>
      <c r="K75" t="str">
        <f>_xlfn.XLOOKUP($J75,'Leveranser per nät'!$A$4:$A$524,'Leveranser per nät'!$A$4:$A$524)</f>
        <v>Klippan-Ljungbyhed-Östra Ljungby</v>
      </c>
      <c r="L75">
        <f t="shared" si="3"/>
        <v>52.017000000000003</v>
      </c>
    </row>
    <row r="76" spans="1:12" x14ac:dyDescent="0.25">
      <c r="A76" t="s">
        <v>632</v>
      </c>
      <c r="B76" t="s">
        <v>385</v>
      </c>
      <c r="C76">
        <v>2022</v>
      </c>
      <c r="D76">
        <v>1.0469999999999999</v>
      </c>
      <c r="E76">
        <v>0</v>
      </c>
      <c r="F76">
        <v>0</v>
      </c>
      <c r="G76">
        <v>0</v>
      </c>
      <c r="H76">
        <f t="shared" si="2"/>
        <v>1.0469999999999999</v>
      </c>
      <c r="I76" t="s">
        <v>385</v>
      </c>
      <c r="J76" t="s">
        <v>385</v>
      </c>
      <c r="K76" t="str">
        <f>_xlfn.XLOOKUP($J76,'Leveranser per nät'!$A$4:$A$524,'Leveranser per nät'!$A$4:$A$524)</f>
        <v>HVC Kode</v>
      </c>
      <c r="L76">
        <f t="shared" si="3"/>
        <v>1.0469999999999999</v>
      </c>
    </row>
    <row r="77" spans="1:12" x14ac:dyDescent="0.25">
      <c r="A77" t="s">
        <v>632</v>
      </c>
      <c r="B77" t="s">
        <v>386</v>
      </c>
      <c r="C77">
        <v>2022</v>
      </c>
      <c r="D77">
        <v>1.1859999999999999</v>
      </c>
      <c r="E77">
        <v>0</v>
      </c>
      <c r="F77">
        <v>0</v>
      </c>
      <c r="G77">
        <v>0</v>
      </c>
      <c r="H77">
        <f t="shared" si="2"/>
        <v>1.1859999999999999</v>
      </c>
      <c r="I77" t="s">
        <v>386</v>
      </c>
      <c r="J77" t="s">
        <v>386</v>
      </c>
      <c r="K77" t="str">
        <f>_xlfn.XLOOKUP($J77,'Leveranser per nät'!$A$4:$A$524,'Leveranser per nät'!$A$4:$A$524)</f>
        <v>HVC Kärna</v>
      </c>
      <c r="L77">
        <f t="shared" si="3"/>
        <v>1.1859999999999999</v>
      </c>
    </row>
    <row r="78" spans="1:12" x14ac:dyDescent="0.25">
      <c r="A78" t="s">
        <v>632</v>
      </c>
      <c r="B78" t="s">
        <v>1139</v>
      </c>
      <c r="C78">
        <v>2022</v>
      </c>
      <c r="D78">
        <v>113.6</v>
      </c>
      <c r="E78">
        <v>0</v>
      </c>
      <c r="F78">
        <v>0</v>
      </c>
      <c r="G78">
        <v>0</v>
      </c>
      <c r="H78">
        <f t="shared" si="2"/>
        <v>113.6</v>
      </c>
      <c r="I78" t="s">
        <v>1139</v>
      </c>
      <c r="J78" t="s">
        <v>1139</v>
      </c>
      <c r="K78" t="str">
        <f>_xlfn.XLOOKUP($J78,'Leveranser per nät'!$A$4:$A$524,'Leveranser per nät'!$A$4:$A$524)</f>
        <v>Kungälv-Ytterby</v>
      </c>
      <c r="L78">
        <f t="shared" si="3"/>
        <v>113.6</v>
      </c>
    </row>
    <row r="79" spans="1:12" x14ac:dyDescent="0.25">
      <c r="A79" t="s">
        <v>658</v>
      </c>
      <c r="B79" t="s">
        <v>176</v>
      </c>
      <c r="C79">
        <v>2022</v>
      </c>
      <c r="D79">
        <v>310.774</v>
      </c>
      <c r="E79">
        <v>5.4</v>
      </c>
      <c r="F79">
        <v>26.4</v>
      </c>
      <c r="G79">
        <v>0</v>
      </c>
      <c r="H79">
        <f t="shared" si="2"/>
        <v>278.97399999999999</v>
      </c>
      <c r="I79" t="s">
        <v>176</v>
      </c>
      <c r="J79" t="s">
        <v>176</v>
      </c>
      <c r="K79" t="str">
        <f>_xlfn.XLOOKUP($J79,'Leveranser per nät'!$A$4:$A$524,'Leveranser per nät'!$A$4:$A$524)</f>
        <v>Landskrona</v>
      </c>
      <c r="L79">
        <f t="shared" si="3"/>
        <v>278.97399999999999</v>
      </c>
    </row>
    <row r="80" spans="1:12" x14ac:dyDescent="0.25">
      <c r="A80" t="s">
        <v>659</v>
      </c>
      <c r="B80" t="s">
        <v>184</v>
      </c>
      <c r="C80">
        <v>2022</v>
      </c>
      <c r="D80">
        <v>27.193999999999999</v>
      </c>
      <c r="E80">
        <v>0</v>
      </c>
      <c r="F80">
        <v>0</v>
      </c>
      <c r="G80">
        <v>0</v>
      </c>
      <c r="H80">
        <f t="shared" si="2"/>
        <v>27.193999999999999</v>
      </c>
      <c r="I80" t="s">
        <v>184</v>
      </c>
      <c r="J80" t="s">
        <v>184</v>
      </c>
      <c r="K80" t="str">
        <f>_xlfn.XLOOKUP($J80,'Leveranser per nät'!$A$4:$A$524,'Leveranser per nät'!$A$4:$A$524)</f>
        <v>Laxå</v>
      </c>
      <c r="L80">
        <f t="shared" si="3"/>
        <v>27.193999999999999</v>
      </c>
    </row>
    <row r="81" spans="1:12" x14ac:dyDescent="0.25">
      <c r="A81" t="s">
        <v>1088</v>
      </c>
      <c r="B81" t="s">
        <v>857</v>
      </c>
      <c r="C81">
        <v>2022</v>
      </c>
      <c r="D81" t="s">
        <v>805</v>
      </c>
      <c r="E81" t="s">
        <v>805</v>
      </c>
      <c r="F81" t="s">
        <v>805</v>
      </c>
      <c r="G81" t="s">
        <v>805</v>
      </c>
      <c r="H81"/>
      <c r="I81" t="s">
        <v>857</v>
      </c>
      <c r="L81">
        <f t="shared" si="3"/>
        <v>0</v>
      </c>
    </row>
    <row r="82" spans="1:12" x14ac:dyDescent="0.25">
      <c r="A82" t="s">
        <v>601</v>
      </c>
      <c r="B82" t="s">
        <v>397</v>
      </c>
      <c r="C82">
        <v>2022</v>
      </c>
      <c r="D82">
        <v>7.63</v>
      </c>
      <c r="E82">
        <v>0</v>
      </c>
      <c r="F82">
        <v>0</v>
      </c>
      <c r="G82">
        <v>0</v>
      </c>
      <c r="H82">
        <f t="shared" si="2"/>
        <v>7.63</v>
      </c>
      <c r="I82" t="s">
        <v>397</v>
      </c>
      <c r="J82" t="s">
        <v>397</v>
      </c>
      <c r="K82" t="str">
        <f>_xlfn.XLOOKUP($J82,'Leveranser per nät'!$A$4:$A$524,'Leveranser per nät'!$A$4:$A$524)</f>
        <v>Floda</v>
      </c>
      <c r="L82">
        <f t="shared" si="3"/>
        <v>7.63</v>
      </c>
    </row>
    <row r="83" spans="1:12" x14ac:dyDescent="0.25">
      <c r="A83" t="s">
        <v>601</v>
      </c>
      <c r="B83" t="s">
        <v>185</v>
      </c>
      <c r="C83">
        <v>2022</v>
      </c>
      <c r="D83">
        <v>9.2899999999999991</v>
      </c>
      <c r="E83">
        <v>0</v>
      </c>
      <c r="F83">
        <v>0</v>
      </c>
      <c r="G83">
        <v>0</v>
      </c>
      <c r="H83">
        <f t="shared" si="2"/>
        <v>9.2899999999999991</v>
      </c>
      <c r="I83" t="s">
        <v>185</v>
      </c>
      <c r="J83" t="s">
        <v>185</v>
      </c>
      <c r="K83" t="str">
        <f>_xlfn.XLOOKUP($J83,'Leveranser per nät'!$A$4:$A$524,'Leveranser per nät'!$A$4:$A$524)</f>
        <v>Gråbo</v>
      </c>
      <c r="L83">
        <f t="shared" si="3"/>
        <v>9.2899999999999991</v>
      </c>
    </row>
    <row r="84" spans="1:12" x14ac:dyDescent="0.25">
      <c r="A84" t="s">
        <v>601</v>
      </c>
      <c r="B84" t="s">
        <v>186</v>
      </c>
      <c r="C84">
        <v>2022</v>
      </c>
      <c r="D84">
        <v>28.5</v>
      </c>
      <c r="E84">
        <v>0</v>
      </c>
      <c r="F84">
        <v>0</v>
      </c>
      <c r="G84">
        <v>0</v>
      </c>
      <c r="H84">
        <f t="shared" si="2"/>
        <v>28.5</v>
      </c>
      <c r="I84" t="s">
        <v>186</v>
      </c>
      <c r="J84" t="s">
        <v>186</v>
      </c>
      <c r="K84" t="str">
        <f>_xlfn.XLOOKUP($J84,'Leveranser per nät'!$A$4:$A$524,'Leveranser per nät'!$A$4:$A$524)</f>
        <v>Lerum</v>
      </c>
      <c r="L84">
        <f t="shared" si="3"/>
        <v>28.5</v>
      </c>
    </row>
    <row r="85" spans="1:12" x14ac:dyDescent="0.25">
      <c r="A85" t="s">
        <v>601</v>
      </c>
      <c r="B85" t="s">
        <v>417</v>
      </c>
      <c r="C85">
        <v>2022</v>
      </c>
      <c r="D85">
        <v>4.2</v>
      </c>
      <c r="E85">
        <v>0</v>
      </c>
      <c r="F85">
        <v>0</v>
      </c>
      <c r="G85">
        <v>0</v>
      </c>
      <c r="H85">
        <f t="shared" si="2"/>
        <v>4.2</v>
      </c>
      <c r="I85" t="s">
        <v>417</v>
      </c>
      <c r="J85" t="s">
        <v>417</v>
      </c>
      <c r="K85" t="str">
        <f>_xlfn.XLOOKUP($J85,'Leveranser per nät'!$A$4:$A$524,'Leveranser per nät'!$A$4:$A$524)</f>
        <v>Stenkullen</v>
      </c>
      <c r="L85">
        <f t="shared" si="3"/>
        <v>4.2</v>
      </c>
    </row>
    <row r="86" spans="1:12" x14ac:dyDescent="0.25">
      <c r="A86" t="s">
        <v>669</v>
      </c>
      <c r="B86" t="s">
        <v>187</v>
      </c>
      <c r="C86">
        <v>2022</v>
      </c>
      <c r="D86">
        <v>41.122999999999998</v>
      </c>
      <c r="E86">
        <v>0</v>
      </c>
      <c r="F86">
        <v>0</v>
      </c>
      <c r="G86">
        <v>0</v>
      </c>
      <c r="H86">
        <f t="shared" si="2"/>
        <v>41.122999999999998</v>
      </c>
      <c r="I86" t="s">
        <v>187</v>
      </c>
      <c r="J86" t="s">
        <v>187</v>
      </c>
      <c r="K86" t="str">
        <f>_xlfn.XLOOKUP($J86,'Leveranser per nät'!$A$4:$A$524,'Leveranser per nät'!$A$4:$A$524)</f>
        <v>Lysekil</v>
      </c>
      <c r="L86">
        <f t="shared" si="3"/>
        <v>41.122999999999998</v>
      </c>
    </row>
    <row r="87" spans="1:12" x14ac:dyDescent="0.25">
      <c r="A87" t="s">
        <v>983</v>
      </c>
      <c r="B87" s="1" t="s">
        <v>859</v>
      </c>
      <c r="C87">
        <v>2022</v>
      </c>
      <c r="D87">
        <v>66.489999999999995</v>
      </c>
      <c r="E87">
        <v>0</v>
      </c>
      <c r="F87">
        <v>0</v>
      </c>
      <c r="G87">
        <v>0</v>
      </c>
      <c r="H87">
        <f t="shared" si="2"/>
        <v>66.489999999999995</v>
      </c>
      <c r="I87" t="s">
        <v>859</v>
      </c>
      <c r="J87" t="s">
        <v>188</v>
      </c>
      <c r="K87" t="str">
        <f>_xlfn.XLOOKUP($J87,'Leveranser per nät'!$A$4:$A$524,'Leveranser per nät'!$A$4:$A$524)</f>
        <v>Lidköping</v>
      </c>
      <c r="L87">
        <f t="shared" si="3"/>
        <v>267.2</v>
      </c>
    </row>
    <row r="88" spans="1:12" x14ac:dyDescent="0.25">
      <c r="A88" t="s">
        <v>983</v>
      </c>
      <c r="B88" s="1" t="s">
        <v>188</v>
      </c>
      <c r="C88">
        <v>2022</v>
      </c>
      <c r="D88">
        <v>200.71</v>
      </c>
      <c r="E88">
        <v>0</v>
      </c>
      <c r="F88">
        <v>0</v>
      </c>
      <c r="G88">
        <v>0</v>
      </c>
      <c r="H88">
        <f t="shared" si="2"/>
        <v>200.71</v>
      </c>
      <c r="I88" t="s">
        <v>188</v>
      </c>
      <c r="J88" t="s">
        <v>188</v>
      </c>
      <c r="K88" t="str">
        <f>_xlfn.XLOOKUP($J88,'Leveranser per nät'!$A$4:$A$524,'Leveranser per nät'!$A$4:$A$524)</f>
        <v>Lidköping</v>
      </c>
      <c r="L88">
        <f t="shared" si="3"/>
        <v>267.2</v>
      </c>
    </row>
    <row r="89" spans="1:12" x14ac:dyDescent="0.25">
      <c r="A89" t="s">
        <v>662</v>
      </c>
      <c r="B89" t="s">
        <v>189</v>
      </c>
      <c r="C89">
        <v>2022</v>
      </c>
      <c r="D89">
        <v>11.881</v>
      </c>
      <c r="E89">
        <v>0</v>
      </c>
      <c r="F89">
        <v>0</v>
      </c>
      <c r="G89">
        <v>0</v>
      </c>
      <c r="H89">
        <f t="shared" si="2"/>
        <v>11.881</v>
      </c>
      <c r="I89" t="s">
        <v>189</v>
      </c>
      <c r="J89" t="s">
        <v>189</v>
      </c>
      <c r="K89" t="str">
        <f>_xlfn.XLOOKUP($J89,'Leveranser per nät'!$A$4:$A$524,'Leveranser per nät'!$A$4:$A$524)</f>
        <v>Lilla Edet</v>
      </c>
      <c r="L89">
        <f t="shared" si="3"/>
        <v>11.881</v>
      </c>
    </row>
    <row r="90" spans="1:12" x14ac:dyDescent="0.25">
      <c r="A90" t="s">
        <v>606</v>
      </c>
      <c r="B90" t="s">
        <v>191</v>
      </c>
      <c r="C90">
        <v>2022</v>
      </c>
      <c r="D90">
        <v>13.9</v>
      </c>
      <c r="E90">
        <v>0</v>
      </c>
      <c r="F90">
        <v>0</v>
      </c>
      <c r="G90">
        <v>0</v>
      </c>
      <c r="H90">
        <f t="shared" si="2"/>
        <v>13.9</v>
      </c>
      <c r="I90" t="s">
        <v>191</v>
      </c>
      <c r="J90" t="s">
        <v>191</v>
      </c>
      <c r="K90" t="str">
        <f>_xlfn.XLOOKUP($J90,'Leveranser per nät'!$A$4:$A$524,'Leveranser per nät'!$A$4:$A$524)</f>
        <v>Frövi</v>
      </c>
      <c r="L90">
        <f t="shared" si="3"/>
        <v>13.9</v>
      </c>
    </row>
    <row r="91" spans="1:12" x14ac:dyDescent="0.25">
      <c r="A91" t="s">
        <v>606</v>
      </c>
      <c r="B91" t="s">
        <v>930</v>
      </c>
      <c r="C91">
        <v>2022</v>
      </c>
      <c r="D91">
        <v>4.7</v>
      </c>
      <c r="E91">
        <v>0</v>
      </c>
      <c r="F91">
        <v>0</v>
      </c>
      <c r="G91">
        <v>0</v>
      </c>
      <c r="H91">
        <f t="shared" si="2"/>
        <v>4.7</v>
      </c>
      <c r="I91" t="s">
        <v>930</v>
      </c>
      <c r="J91" t="s">
        <v>930</v>
      </c>
      <c r="K91" t="str">
        <f>_xlfn.XLOOKUP($J91,'Leveranser per nät'!$A$4:$A$524,'Leveranser per nät'!$A$4:$A$524)</f>
        <v>Guldsmedhyttan</v>
      </c>
      <c r="L91">
        <f t="shared" si="3"/>
        <v>4.7</v>
      </c>
    </row>
    <row r="92" spans="1:12" x14ac:dyDescent="0.25">
      <c r="A92" t="s">
        <v>606</v>
      </c>
      <c r="B92" t="s">
        <v>190</v>
      </c>
      <c r="C92">
        <v>2022</v>
      </c>
      <c r="D92">
        <v>79.8</v>
      </c>
      <c r="E92">
        <v>0</v>
      </c>
      <c r="F92">
        <v>0</v>
      </c>
      <c r="G92">
        <v>0</v>
      </c>
      <c r="H92">
        <f t="shared" si="2"/>
        <v>79.8</v>
      </c>
      <c r="I92" t="s">
        <v>190</v>
      </c>
      <c r="J92" t="s">
        <v>190</v>
      </c>
      <c r="K92" t="str">
        <f>_xlfn.XLOOKUP($J92,'Leveranser per nät'!$A$4:$A$524,'Leveranser per nät'!$A$4:$A$524)</f>
        <v>Lindesberg</v>
      </c>
      <c r="L92">
        <f t="shared" si="3"/>
        <v>79.8</v>
      </c>
    </row>
    <row r="93" spans="1:12" x14ac:dyDescent="0.25">
      <c r="A93" t="s">
        <v>606</v>
      </c>
      <c r="B93" t="s">
        <v>192</v>
      </c>
      <c r="C93">
        <v>2022</v>
      </c>
      <c r="D93">
        <v>3.7</v>
      </c>
      <c r="E93">
        <v>0</v>
      </c>
      <c r="F93">
        <v>0</v>
      </c>
      <c r="G93">
        <v>0</v>
      </c>
      <c r="H93">
        <f t="shared" si="2"/>
        <v>3.7</v>
      </c>
      <c r="I93" t="s">
        <v>192</v>
      </c>
      <c r="J93" t="s">
        <v>192</v>
      </c>
      <c r="K93" t="str">
        <f>_xlfn.XLOOKUP($J93,'Leveranser per nät'!$A$4:$A$524,'Leveranser per nät'!$A$4:$A$524)</f>
        <v>Vedevåg</v>
      </c>
      <c r="L93">
        <f t="shared" si="3"/>
        <v>3.7</v>
      </c>
    </row>
    <row r="94" spans="1:12" x14ac:dyDescent="0.25">
      <c r="A94" t="s">
        <v>663</v>
      </c>
      <c r="B94" t="s">
        <v>78</v>
      </c>
      <c r="C94">
        <v>2022</v>
      </c>
      <c r="D94">
        <v>137.1</v>
      </c>
      <c r="E94">
        <v>12.7</v>
      </c>
      <c r="F94">
        <v>0</v>
      </c>
      <c r="G94">
        <v>0</v>
      </c>
      <c r="H94">
        <f t="shared" si="2"/>
        <v>124.39999999999999</v>
      </c>
      <c r="I94" t="s">
        <v>78</v>
      </c>
      <c r="J94" t="s">
        <v>78</v>
      </c>
      <c r="K94" t="str">
        <f>_xlfn.XLOOKUP($J94,'Leveranser per nät'!$A$4:$A$524,'Leveranser per nät'!$A$4:$A$524)</f>
        <v>Ljungby</v>
      </c>
      <c r="L94">
        <f t="shared" si="3"/>
        <v>124.39999999999999</v>
      </c>
    </row>
    <row r="95" spans="1:12" x14ac:dyDescent="0.25">
      <c r="A95" t="s">
        <v>608</v>
      </c>
      <c r="B95" t="s">
        <v>194</v>
      </c>
      <c r="C95">
        <v>2022</v>
      </c>
      <c r="D95">
        <v>7.2960000000000003</v>
      </c>
      <c r="E95">
        <v>0</v>
      </c>
      <c r="F95">
        <v>0</v>
      </c>
      <c r="G95">
        <v>0</v>
      </c>
      <c r="H95">
        <f t="shared" si="2"/>
        <v>7.2960000000000003</v>
      </c>
      <c r="I95" t="s">
        <v>194</v>
      </c>
      <c r="J95" t="s">
        <v>194</v>
      </c>
      <c r="K95" t="str">
        <f>_xlfn.XLOOKUP($J95,'Leveranser per nät'!$A$4:$A$524,'Leveranser per nät'!$A$4:$A$524)</f>
        <v>Färila</v>
      </c>
      <c r="L95">
        <f t="shared" si="3"/>
        <v>7.2960000000000003</v>
      </c>
    </row>
    <row r="96" spans="1:12" x14ac:dyDescent="0.25">
      <c r="A96" t="s">
        <v>608</v>
      </c>
      <c r="B96" t="s">
        <v>195</v>
      </c>
      <c r="C96">
        <v>2022</v>
      </c>
      <c r="D96">
        <v>10.243</v>
      </c>
      <c r="E96">
        <v>0</v>
      </c>
      <c r="F96">
        <v>0</v>
      </c>
      <c r="G96">
        <v>0</v>
      </c>
      <c r="H96">
        <f t="shared" si="2"/>
        <v>10.243</v>
      </c>
      <c r="I96" t="s">
        <v>195</v>
      </c>
      <c r="J96" t="s">
        <v>195</v>
      </c>
      <c r="K96" t="str">
        <f>_xlfn.XLOOKUP($J96,'Leveranser per nät'!$A$4:$A$524,'Leveranser per nät'!$A$4:$A$524)</f>
        <v>Järvsö</v>
      </c>
      <c r="L96">
        <f t="shared" si="3"/>
        <v>10.243</v>
      </c>
    </row>
    <row r="97" spans="1:12" x14ac:dyDescent="0.25">
      <c r="A97" t="s">
        <v>608</v>
      </c>
      <c r="B97" t="s">
        <v>193</v>
      </c>
      <c r="C97">
        <v>2022</v>
      </c>
      <c r="D97">
        <v>59.915999999999997</v>
      </c>
      <c r="E97">
        <v>0</v>
      </c>
      <c r="F97">
        <v>0</v>
      </c>
      <c r="G97">
        <v>0</v>
      </c>
      <c r="H97">
        <f t="shared" si="2"/>
        <v>59.915999999999997</v>
      </c>
      <c r="I97" t="s">
        <v>193</v>
      </c>
      <c r="J97" t="s">
        <v>193</v>
      </c>
      <c r="K97" t="str">
        <f>_xlfn.XLOOKUP($J97,'Leveranser per nät'!$A$4:$A$524,'Leveranser per nät'!$A$4:$A$524)</f>
        <v>Ljusdal</v>
      </c>
      <c r="L97">
        <f t="shared" si="3"/>
        <v>59.915999999999997</v>
      </c>
    </row>
    <row r="98" spans="1:12" x14ac:dyDescent="0.25">
      <c r="A98" t="s">
        <v>667</v>
      </c>
      <c r="B98" s="1" t="s">
        <v>196</v>
      </c>
      <c r="C98">
        <v>2022</v>
      </c>
      <c r="D98">
        <v>765</v>
      </c>
      <c r="E98">
        <v>0</v>
      </c>
      <c r="F98">
        <v>0</v>
      </c>
      <c r="G98">
        <v>0</v>
      </c>
      <c r="H98">
        <f t="shared" si="2"/>
        <v>765</v>
      </c>
      <c r="I98" t="s">
        <v>196</v>
      </c>
      <c r="J98" t="s">
        <v>196</v>
      </c>
      <c r="K98" t="str">
        <f>_xlfn.XLOOKUP($J98,'Leveranser per nät'!$A$4:$A$524,'Leveranser per nät'!$A$4:$A$524)</f>
        <v>Luleå</v>
      </c>
      <c r="L98">
        <f t="shared" si="3"/>
        <v>773.94</v>
      </c>
    </row>
    <row r="99" spans="1:12" x14ac:dyDescent="0.25">
      <c r="A99" t="s">
        <v>667</v>
      </c>
      <c r="B99" s="1" t="s">
        <v>860</v>
      </c>
      <c r="C99">
        <v>2022</v>
      </c>
      <c r="D99">
        <v>8.94</v>
      </c>
      <c r="E99">
        <v>0</v>
      </c>
      <c r="F99">
        <v>0</v>
      </c>
      <c r="G99">
        <v>0</v>
      </c>
      <c r="H99">
        <f t="shared" si="2"/>
        <v>8.94</v>
      </c>
      <c r="I99" t="s">
        <v>860</v>
      </c>
      <c r="J99" t="s">
        <v>196</v>
      </c>
      <c r="K99" t="str">
        <f>_xlfn.XLOOKUP($J99,'Leveranser per nät'!$A$4:$A$524,'Leveranser per nät'!$A$4:$A$524)</f>
        <v>Luleå</v>
      </c>
      <c r="L99">
        <f t="shared" si="3"/>
        <v>773.94</v>
      </c>
    </row>
    <row r="100" spans="1:12" x14ac:dyDescent="0.25">
      <c r="A100" t="s">
        <v>667</v>
      </c>
      <c r="B100" t="s">
        <v>197</v>
      </c>
      <c r="C100">
        <v>2022</v>
      </c>
      <c r="D100">
        <v>21</v>
      </c>
      <c r="E100">
        <v>0</v>
      </c>
      <c r="F100">
        <v>0</v>
      </c>
      <c r="G100">
        <v>0</v>
      </c>
      <c r="H100">
        <f t="shared" si="2"/>
        <v>21</v>
      </c>
      <c r="I100" t="s">
        <v>197</v>
      </c>
      <c r="J100" t="s">
        <v>197</v>
      </c>
      <c r="K100" t="str">
        <f>_xlfn.XLOOKUP($J100,'Leveranser per nät'!$A$4:$A$524,'Leveranser per nät'!$A$4:$A$524)</f>
        <v>Råneå</v>
      </c>
      <c r="L100">
        <f t="shared" si="3"/>
        <v>21</v>
      </c>
    </row>
    <row r="101" spans="1:12" x14ac:dyDescent="0.25">
      <c r="A101" t="s">
        <v>671</v>
      </c>
      <c r="B101" t="s">
        <v>201</v>
      </c>
      <c r="C101">
        <v>2022</v>
      </c>
      <c r="D101">
        <v>26.2</v>
      </c>
      <c r="E101">
        <v>0</v>
      </c>
      <c r="F101">
        <v>0</v>
      </c>
      <c r="G101">
        <v>0</v>
      </c>
      <c r="H101">
        <f t="shared" si="2"/>
        <v>26.2</v>
      </c>
      <c r="I101" t="s">
        <v>201</v>
      </c>
      <c r="J101" t="s">
        <v>201</v>
      </c>
      <c r="K101" t="str">
        <f>_xlfn.XLOOKUP($J101,'Leveranser per nät'!$A$4:$A$524,'Leveranser per nät'!$A$4:$A$524)</f>
        <v>Malung</v>
      </c>
      <c r="L101">
        <f t="shared" si="3"/>
        <v>26.2</v>
      </c>
    </row>
    <row r="102" spans="1:12" x14ac:dyDescent="0.25">
      <c r="A102" t="s">
        <v>1140</v>
      </c>
      <c r="B102" t="s">
        <v>861</v>
      </c>
      <c r="C102">
        <v>2022</v>
      </c>
      <c r="D102">
        <v>86.95</v>
      </c>
      <c r="E102">
        <v>0</v>
      </c>
      <c r="F102">
        <v>0</v>
      </c>
      <c r="G102">
        <v>0</v>
      </c>
      <c r="H102">
        <f t="shared" si="2"/>
        <v>86.95</v>
      </c>
      <c r="I102" t="s">
        <v>861</v>
      </c>
      <c r="J102" t="s">
        <v>861</v>
      </c>
      <c r="K102" t="str">
        <f>_xlfn.XLOOKUP($J102,'Leveranser per nät'!$A$4:$A$524,'Leveranser per nät'!$A$4:$A$524)</f>
        <v>Assberg - Fritslanäten</v>
      </c>
      <c r="L102">
        <f t="shared" si="3"/>
        <v>86.95</v>
      </c>
    </row>
    <row r="103" spans="1:12" x14ac:dyDescent="0.25">
      <c r="A103" t="s">
        <v>1140</v>
      </c>
      <c r="B103" t="s">
        <v>772</v>
      </c>
      <c r="C103">
        <v>2022</v>
      </c>
      <c r="D103">
        <v>1.2370000000000001</v>
      </c>
      <c r="E103">
        <v>0</v>
      </c>
      <c r="F103">
        <v>0</v>
      </c>
      <c r="G103">
        <v>0</v>
      </c>
      <c r="H103">
        <f t="shared" si="2"/>
        <v>1.2370000000000001</v>
      </c>
      <c r="I103" t="s">
        <v>772</v>
      </c>
      <c r="J103" t="s">
        <v>772</v>
      </c>
      <c r="K103" t="str">
        <f>_xlfn.XLOOKUP($J103,'Leveranser per nät'!$A$4:$A$524,'Leveranser per nät'!$A$4:$A$524)</f>
        <v>Hyssna</v>
      </c>
      <c r="L103">
        <f t="shared" si="3"/>
        <v>1.2370000000000001</v>
      </c>
    </row>
    <row r="104" spans="1:12" x14ac:dyDescent="0.25">
      <c r="A104" t="s">
        <v>673</v>
      </c>
      <c r="B104" t="s">
        <v>205</v>
      </c>
      <c r="C104">
        <v>2022</v>
      </c>
      <c r="D104">
        <v>174.6</v>
      </c>
      <c r="E104">
        <v>3.7900000000000003E-2</v>
      </c>
      <c r="F104">
        <v>0</v>
      </c>
      <c r="G104">
        <v>0</v>
      </c>
      <c r="H104">
        <f t="shared" si="2"/>
        <v>174.56209999999999</v>
      </c>
      <c r="I104" t="s">
        <v>205</v>
      </c>
      <c r="J104" t="s">
        <v>205</v>
      </c>
      <c r="K104" t="str">
        <f>_xlfn.XLOOKUP($J104,'Leveranser per nät'!$A$4:$A$524,'Leveranser per nät'!$A$4:$A$524)</f>
        <v>Mjölby</v>
      </c>
      <c r="L104">
        <f t="shared" si="3"/>
        <v>174.56209999999999</v>
      </c>
    </row>
    <row r="105" spans="1:12" x14ac:dyDescent="0.25">
      <c r="A105" t="s">
        <v>674</v>
      </c>
      <c r="B105" t="s">
        <v>493</v>
      </c>
      <c r="C105">
        <v>2022</v>
      </c>
      <c r="D105" t="s">
        <v>805</v>
      </c>
      <c r="E105" t="s">
        <v>805</v>
      </c>
      <c r="F105" t="s">
        <v>805</v>
      </c>
      <c r="G105" t="s">
        <v>805</v>
      </c>
      <c r="H105"/>
      <c r="I105" t="s">
        <v>493</v>
      </c>
      <c r="J105" t="s">
        <v>493</v>
      </c>
      <c r="K105" t="str">
        <f>_xlfn.XLOOKUP($J105,'Leveranser per nät'!$A$4:$A$524,'Leveranser per nät'!$A$4:$A$524)</f>
        <v>Mullsjö</v>
      </c>
      <c r="L105">
        <f t="shared" si="3"/>
        <v>0</v>
      </c>
    </row>
    <row r="106" spans="1:12" x14ac:dyDescent="0.25">
      <c r="A106" t="s">
        <v>620</v>
      </c>
      <c r="B106" t="s">
        <v>209</v>
      </c>
      <c r="C106">
        <v>2022</v>
      </c>
      <c r="D106">
        <v>35.700000000000003</v>
      </c>
      <c r="E106">
        <v>0</v>
      </c>
      <c r="F106">
        <v>0</v>
      </c>
      <c r="G106">
        <v>0</v>
      </c>
      <c r="H106">
        <f t="shared" si="2"/>
        <v>35.700000000000003</v>
      </c>
      <c r="I106" t="s">
        <v>209</v>
      </c>
      <c r="J106" t="s">
        <v>209</v>
      </c>
      <c r="K106" t="str">
        <f>_xlfn.XLOOKUP($J106,'Leveranser per nät'!$A$4:$A$524,'Leveranser per nät'!$A$4:$A$524)</f>
        <v>Kungsör</v>
      </c>
      <c r="L106">
        <f t="shared" si="3"/>
        <v>35.700000000000003</v>
      </c>
    </row>
    <row r="107" spans="1:12" x14ac:dyDescent="0.25">
      <c r="A107" t="s">
        <v>620</v>
      </c>
      <c r="B107" t="s">
        <v>1090</v>
      </c>
      <c r="C107">
        <v>2022</v>
      </c>
      <c r="D107" t="s">
        <v>806</v>
      </c>
      <c r="E107">
        <v>0</v>
      </c>
      <c r="F107">
        <v>0</v>
      </c>
      <c r="G107">
        <v>0</v>
      </c>
      <c r="H107"/>
      <c r="I107" t="s">
        <v>1090</v>
      </c>
      <c r="L107">
        <f t="shared" si="3"/>
        <v>0</v>
      </c>
    </row>
    <row r="108" spans="1:12" x14ac:dyDescent="0.25">
      <c r="A108" t="s">
        <v>620</v>
      </c>
      <c r="B108" t="s">
        <v>207</v>
      </c>
      <c r="C108">
        <v>2022</v>
      </c>
      <c r="D108">
        <v>1373.4</v>
      </c>
      <c r="E108">
        <v>0</v>
      </c>
      <c r="F108">
        <v>0</v>
      </c>
      <c r="G108">
        <v>0</v>
      </c>
      <c r="H108">
        <f t="shared" si="2"/>
        <v>1373.4</v>
      </c>
      <c r="I108" t="s">
        <v>207</v>
      </c>
      <c r="J108" t="s">
        <v>207</v>
      </c>
      <c r="K108" t="str">
        <f>_xlfn.XLOOKUP($J108,'Leveranser per nät'!$A$4:$A$524,'Leveranser per nät'!$A$4:$A$524)</f>
        <v>Västerås</v>
      </c>
      <c r="L108">
        <f t="shared" si="3"/>
        <v>1406</v>
      </c>
    </row>
    <row r="109" spans="1:12" x14ac:dyDescent="0.25">
      <c r="A109" t="s">
        <v>620</v>
      </c>
      <c r="B109" t="s">
        <v>790</v>
      </c>
      <c r="C109">
        <v>2022</v>
      </c>
      <c r="D109">
        <v>32.6</v>
      </c>
      <c r="E109">
        <v>0</v>
      </c>
      <c r="F109">
        <v>0</v>
      </c>
      <c r="G109">
        <v>0</v>
      </c>
      <c r="H109">
        <f t="shared" si="2"/>
        <v>32.6</v>
      </c>
      <c r="I109" t="s">
        <v>790</v>
      </c>
      <c r="J109" t="s">
        <v>207</v>
      </c>
      <c r="K109" t="str">
        <f>_xlfn.XLOOKUP($J109,'Leveranser per nät'!$A$4:$A$524,'Leveranser per nät'!$A$4:$A$524)</f>
        <v>Västerås</v>
      </c>
      <c r="L109">
        <f t="shared" si="3"/>
        <v>1406</v>
      </c>
    </row>
    <row r="110" spans="1:12" x14ac:dyDescent="0.25">
      <c r="A110" t="s">
        <v>676</v>
      </c>
      <c r="B110" s="1" t="s">
        <v>210</v>
      </c>
      <c r="C110">
        <v>2022</v>
      </c>
      <c r="D110">
        <v>348.68700000000001</v>
      </c>
      <c r="E110">
        <v>149.81299999999999</v>
      </c>
      <c r="F110">
        <v>0</v>
      </c>
      <c r="G110">
        <v>0</v>
      </c>
      <c r="H110">
        <f t="shared" si="2"/>
        <v>198.87400000000002</v>
      </c>
      <c r="I110" t="s">
        <v>210</v>
      </c>
      <c r="J110" t="s">
        <v>210</v>
      </c>
      <c r="K110" t="str">
        <f>_xlfn.XLOOKUP($J110,'Leveranser per nät'!$A$4:$A$524,'Leveranser per nät'!$A$4:$A$524)</f>
        <v>Mölndal</v>
      </c>
      <c r="L110">
        <f t="shared" si="3"/>
        <v>263.69000000000005</v>
      </c>
    </row>
    <row r="111" spans="1:12" x14ac:dyDescent="0.25">
      <c r="A111" t="s">
        <v>676</v>
      </c>
      <c r="B111" s="1" t="s">
        <v>819</v>
      </c>
      <c r="C111">
        <v>2022</v>
      </c>
      <c r="D111">
        <v>64.816000000000003</v>
      </c>
      <c r="E111">
        <v>0</v>
      </c>
      <c r="F111">
        <v>0</v>
      </c>
      <c r="G111">
        <v>0</v>
      </c>
      <c r="H111">
        <f t="shared" si="2"/>
        <v>64.816000000000003</v>
      </c>
      <c r="I111" t="s">
        <v>819</v>
      </c>
      <c r="J111" t="s">
        <v>210</v>
      </c>
      <c r="K111" t="str">
        <f>_xlfn.XLOOKUP($J111,'Leveranser per nät'!$A$4:$A$524,'Leveranser per nät'!$A$4:$A$524)</f>
        <v>Mölndal</v>
      </c>
      <c r="L111">
        <f t="shared" si="3"/>
        <v>263.69000000000005</v>
      </c>
    </row>
    <row r="112" spans="1:12" x14ac:dyDescent="0.25">
      <c r="A112" t="s">
        <v>1091</v>
      </c>
      <c r="B112" t="s">
        <v>987</v>
      </c>
      <c r="C112">
        <v>2022</v>
      </c>
      <c r="D112">
        <v>3.3530000000000002</v>
      </c>
      <c r="E112">
        <v>0</v>
      </c>
      <c r="F112">
        <v>0</v>
      </c>
      <c r="G112">
        <v>0</v>
      </c>
      <c r="H112">
        <f t="shared" si="2"/>
        <v>3.3530000000000002</v>
      </c>
      <c r="I112" t="s">
        <v>987</v>
      </c>
      <c r="J112" t="s">
        <v>213</v>
      </c>
      <c r="K112" t="str">
        <f>_xlfn.XLOOKUP($J112,'Leveranser per nät'!$A$4:$A$524,'Leveranser per nät'!$A$4:$A$524)</f>
        <v>Bjuv</v>
      </c>
      <c r="L112">
        <f t="shared" si="3"/>
        <v>27.692</v>
      </c>
    </row>
    <row r="113" spans="1:12" x14ac:dyDescent="0.25">
      <c r="A113" t="s">
        <v>1091</v>
      </c>
      <c r="B113" t="s">
        <v>213</v>
      </c>
      <c r="C113">
        <v>2022</v>
      </c>
      <c r="D113">
        <v>24.338999999999999</v>
      </c>
      <c r="E113">
        <v>0</v>
      </c>
      <c r="F113">
        <v>0</v>
      </c>
      <c r="G113">
        <v>0</v>
      </c>
      <c r="H113">
        <f t="shared" si="2"/>
        <v>24.338999999999999</v>
      </c>
      <c r="I113" t="s">
        <v>213</v>
      </c>
      <c r="J113" t="s">
        <v>213</v>
      </c>
      <c r="K113" t="str">
        <f>_xlfn.XLOOKUP($J113,'Leveranser per nät'!$A$4:$A$524,'Leveranser per nät'!$A$4:$A$524)</f>
        <v>Bjuv</v>
      </c>
      <c r="L113">
        <f t="shared" si="3"/>
        <v>27.692</v>
      </c>
    </row>
    <row r="114" spans="1:12" x14ac:dyDescent="0.25">
      <c r="A114" t="s">
        <v>1091</v>
      </c>
      <c r="B114" t="s">
        <v>1141</v>
      </c>
      <c r="C114">
        <v>2022</v>
      </c>
      <c r="D114">
        <v>5.7450000000000001</v>
      </c>
      <c r="E114">
        <v>0</v>
      </c>
      <c r="F114">
        <v>0</v>
      </c>
      <c r="G114">
        <v>0</v>
      </c>
      <c r="H114">
        <f t="shared" si="2"/>
        <v>5.7450000000000001</v>
      </c>
      <c r="I114" t="s">
        <v>1141</v>
      </c>
      <c r="J114" t="s">
        <v>1141</v>
      </c>
      <c r="K114" t="str">
        <f>_xlfn.XLOOKUP($J114,'Leveranser per nät'!$A$4:$A$524,'Leveranser per nät'!$A$4:$A$524)</f>
        <v>Ellös</v>
      </c>
      <c r="L114">
        <f t="shared" si="3"/>
        <v>5.7450000000000001</v>
      </c>
    </row>
    <row r="115" spans="1:12" x14ac:dyDescent="0.25">
      <c r="A115" t="s">
        <v>1091</v>
      </c>
      <c r="B115" t="s">
        <v>214</v>
      </c>
      <c r="C115">
        <v>2022</v>
      </c>
      <c r="D115">
        <v>16.309000000000001</v>
      </c>
      <c r="E115">
        <v>0</v>
      </c>
      <c r="F115">
        <v>0</v>
      </c>
      <c r="G115">
        <v>0</v>
      </c>
      <c r="H115">
        <f t="shared" si="2"/>
        <v>16.309000000000001</v>
      </c>
      <c r="I115" t="s">
        <v>214</v>
      </c>
      <c r="J115" t="s">
        <v>214</v>
      </c>
      <c r="K115" t="str">
        <f>_xlfn.XLOOKUP($J115,'Leveranser per nät'!$A$4:$A$524,'Leveranser per nät'!$A$4:$A$524)</f>
        <v>Gimo</v>
      </c>
      <c r="L115">
        <f t="shared" si="3"/>
        <v>16.309000000000001</v>
      </c>
    </row>
    <row r="116" spans="1:12" x14ac:dyDescent="0.25">
      <c r="A116" t="s">
        <v>1091</v>
      </c>
      <c r="B116" t="s">
        <v>1038</v>
      </c>
      <c r="C116">
        <v>2022</v>
      </c>
      <c r="D116">
        <v>10.865</v>
      </c>
      <c r="E116">
        <v>0</v>
      </c>
      <c r="F116">
        <v>0</v>
      </c>
      <c r="G116">
        <v>0</v>
      </c>
      <c r="H116">
        <f t="shared" si="2"/>
        <v>10.865</v>
      </c>
      <c r="I116" s="43" t="s">
        <v>1038</v>
      </c>
      <c r="K116" t="e">
        <f>_xlfn.XLOOKUP($J116,'Leveranser per nät'!$A$4:$A$524,'Leveranser per nät'!$A$4:$A$524)</f>
        <v>#N/A</v>
      </c>
      <c r="L116">
        <f t="shared" si="3"/>
        <v>0</v>
      </c>
    </row>
    <row r="117" spans="1:12" x14ac:dyDescent="0.25">
      <c r="A117" t="s">
        <v>1091</v>
      </c>
      <c r="B117" t="s">
        <v>1142</v>
      </c>
      <c r="C117">
        <v>2022</v>
      </c>
      <c r="D117">
        <v>3.3410000000000002</v>
      </c>
      <c r="E117">
        <v>0</v>
      </c>
      <c r="F117">
        <v>0</v>
      </c>
      <c r="G117">
        <v>0</v>
      </c>
      <c r="H117">
        <f t="shared" si="2"/>
        <v>3.3410000000000002</v>
      </c>
      <c r="I117" t="s">
        <v>1142</v>
      </c>
      <c r="J117" t="s">
        <v>1142</v>
      </c>
      <c r="K117" t="str">
        <f>_xlfn.XLOOKUP($J117,'Leveranser per nät'!$A$4:$A$524,'Leveranser per nät'!$A$4:$A$524)</f>
        <v>Henån</v>
      </c>
      <c r="L117">
        <f t="shared" si="3"/>
        <v>3.3410000000000002</v>
      </c>
    </row>
    <row r="118" spans="1:12" x14ac:dyDescent="0.25">
      <c r="A118" t="s">
        <v>1091</v>
      </c>
      <c r="B118" t="s">
        <v>400</v>
      </c>
      <c r="C118">
        <v>2022</v>
      </c>
      <c r="D118">
        <v>1.9339999999999999</v>
      </c>
      <c r="E118">
        <v>0</v>
      </c>
      <c r="F118">
        <v>0</v>
      </c>
      <c r="G118">
        <v>0</v>
      </c>
      <c r="H118">
        <f t="shared" si="2"/>
        <v>1.9339999999999999</v>
      </c>
      <c r="I118" t="s">
        <v>400</v>
      </c>
      <c r="J118" t="s">
        <v>400</v>
      </c>
      <c r="K118" t="str">
        <f>_xlfn.XLOOKUP($J118,'Leveranser per nät'!$A$4:$A$524,'Leveranser per nät'!$A$4:$A$524)</f>
        <v>Hjärnarp</v>
      </c>
      <c r="L118">
        <f t="shared" si="3"/>
        <v>1.9339999999999999</v>
      </c>
    </row>
    <row r="119" spans="1:12" x14ac:dyDescent="0.25">
      <c r="A119" t="s">
        <v>1091</v>
      </c>
      <c r="B119" t="s">
        <v>215</v>
      </c>
      <c r="C119">
        <v>2022</v>
      </c>
      <c r="D119">
        <v>29.885000000000002</v>
      </c>
      <c r="E119">
        <v>0</v>
      </c>
      <c r="F119">
        <v>0</v>
      </c>
      <c r="G119">
        <v>0</v>
      </c>
      <c r="H119">
        <f t="shared" si="2"/>
        <v>29.885000000000002</v>
      </c>
      <c r="I119" t="s">
        <v>215</v>
      </c>
      <c r="J119" t="s">
        <v>215</v>
      </c>
      <c r="K119" t="str">
        <f>_xlfn.XLOOKUP($J119,'Leveranser per nät'!$A$4:$A$524,'Leveranser per nät'!$A$4:$A$524)</f>
        <v>Hultsfred</v>
      </c>
      <c r="L119">
        <f t="shared" si="3"/>
        <v>29.885000000000002</v>
      </c>
    </row>
    <row r="120" spans="1:12" x14ac:dyDescent="0.25">
      <c r="A120" t="s">
        <v>1091</v>
      </c>
      <c r="B120" t="s">
        <v>211</v>
      </c>
      <c r="C120">
        <v>2022</v>
      </c>
      <c r="D120">
        <v>41.512</v>
      </c>
      <c r="E120">
        <v>0</v>
      </c>
      <c r="F120">
        <v>0</v>
      </c>
      <c r="G120">
        <v>0</v>
      </c>
      <c r="H120">
        <f t="shared" si="2"/>
        <v>41.512</v>
      </c>
      <c r="I120" t="s">
        <v>211</v>
      </c>
      <c r="J120" t="s">
        <v>211</v>
      </c>
      <c r="K120" t="str">
        <f>_xlfn.XLOOKUP($J120,'Leveranser per nät'!$A$4:$A$524,'Leveranser per nät'!$A$4:$A$524)</f>
        <v>Kramfors</v>
      </c>
      <c r="L120">
        <f t="shared" si="3"/>
        <v>41.512</v>
      </c>
    </row>
    <row r="121" spans="1:12" x14ac:dyDescent="0.25">
      <c r="A121" t="s">
        <v>1091</v>
      </c>
      <c r="B121" t="s">
        <v>931</v>
      </c>
      <c r="C121">
        <v>2022</v>
      </c>
      <c r="D121">
        <v>6.9980000000000002</v>
      </c>
      <c r="E121">
        <v>0</v>
      </c>
      <c r="F121">
        <v>0</v>
      </c>
      <c r="G121">
        <v>0</v>
      </c>
      <c r="H121">
        <f t="shared" si="2"/>
        <v>6.9980000000000002</v>
      </c>
      <c r="I121" t="s">
        <v>931</v>
      </c>
      <c r="J121" t="s">
        <v>931</v>
      </c>
      <c r="K121" t="str">
        <f>_xlfn.XLOOKUP($J121,'Leveranser per nät'!$A$4:$A$524,'Leveranser per nät'!$A$4:$A$524)</f>
        <v>Smålandsstenar</v>
      </c>
      <c r="L121">
        <f t="shared" si="3"/>
        <v>6.9980000000000002</v>
      </c>
    </row>
    <row r="122" spans="1:12" x14ac:dyDescent="0.25">
      <c r="A122" t="s">
        <v>1091</v>
      </c>
      <c r="B122" t="s">
        <v>865</v>
      </c>
      <c r="C122">
        <v>2022</v>
      </c>
      <c r="D122">
        <v>8.875</v>
      </c>
      <c r="E122">
        <v>0</v>
      </c>
      <c r="F122">
        <v>0</v>
      </c>
      <c r="G122">
        <v>0</v>
      </c>
      <c r="H122">
        <f t="shared" si="2"/>
        <v>8.875</v>
      </c>
      <c r="I122" t="s">
        <v>865</v>
      </c>
      <c r="J122" t="s">
        <v>426</v>
      </c>
      <c r="K122" t="str">
        <f>_xlfn.XLOOKUP($J122,'Leveranser per nät'!$A$4:$A$524,'Leveranser per nät'!$A$4:$A$524)</f>
        <v>Tanumshede</v>
      </c>
      <c r="L122">
        <f t="shared" si="3"/>
        <v>8.875</v>
      </c>
    </row>
    <row r="123" spans="1:12" x14ac:dyDescent="0.25">
      <c r="A123" t="s">
        <v>1091</v>
      </c>
      <c r="B123" t="s">
        <v>216</v>
      </c>
      <c r="C123">
        <v>2022</v>
      </c>
      <c r="D123">
        <v>59.584000000000003</v>
      </c>
      <c r="E123">
        <v>37.744</v>
      </c>
      <c r="F123">
        <v>0</v>
      </c>
      <c r="G123">
        <v>0</v>
      </c>
      <c r="H123">
        <f t="shared" si="2"/>
        <v>21.840000000000003</v>
      </c>
      <c r="I123" t="s">
        <v>216</v>
      </c>
      <c r="J123" t="s">
        <v>216</v>
      </c>
      <c r="K123" t="str">
        <f>_xlfn.XLOOKUP($J123,'Leveranser per nät'!$A$4:$A$524,'Leveranser per nät'!$A$4:$A$524)</f>
        <v>Tibro</v>
      </c>
      <c r="L123">
        <f t="shared" si="3"/>
        <v>21.840000000000003</v>
      </c>
    </row>
    <row r="124" spans="1:12" x14ac:dyDescent="0.25">
      <c r="A124" t="s">
        <v>1091</v>
      </c>
      <c r="B124" t="s">
        <v>212</v>
      </c>
      <c r="C124">
        <v>2022</v>
      </c>
      <c r="D124">
        <v>12.164999999999999</v>
      </c>
      <c r="E124">
        <v>0</v>
      </c>
      <c r="F124">
        <v>0</v>
      </c>
      <c r="G124">
        <v>0</v>
      </c>
      <c r="H124">
        <f t="shared" si="2"/>
        <v>12.164999999999999</v>
      </c>
      <c r="I124" t="s">
        <v>212</v>
      </c>
      <c r="J124" t="s">
        <v>212</v>
      </c>
      <c r="K124" t="str">
        <f>_xlfn.XLOOKUP($J124,'Leveranser per nät'!$A$4:$A$524,'Leveranser per nät'!$A$4:$A$524)</f>
        <v>Valdemarsvik</v>
      </c>
      <c r="L124">
        <f t="shared" si="3"/>
        <v>12.164999999999999</v>
      </c>
    </row>
    <row r="125" spans="1:12" x14ac:dyDescent="0.25">
      <c r="A125" t="s">
        <v>1091</v>
      </c>
      <c r="B125" t="s">
        <v>431</v>
      </c>
      <c r="C125">
        <v>2022</v>
      </c>
      <c r="D125">
        <v>8.0719999999999992</v>
      </c>
      <c r="E125">
        <v>0</v>
      </c>
      <c r="F125">
        <v>0</v>
      </c>
      <c r="G125">
        <v>0</v>
      </c>
      <c r="H125">
        <f t="shared" si="2"/>
        <v>8.0719999999999992</v>
      </c>
      <c r="I125" t="s">
        <v>431</v>
      </c>
      <c r="J125" t="s">
        <v>431</v>
      </c>
      <c r="K125" t="str">
        <f>_xlfn.XLOOKUP($J125,'Leveranser per nät'!$A$4:$A$524,'Leveranser per nät'!$A$4:$A$524)</f>
        <v>Vejbystrand</v>
      </c>
      <c r="L125">
        <f t="shared" si="3"/>
        <v>8.0719999999999992</v>
      </c>
    </row>
    <row r="126" spans="1:12" x14ac:dyDescent="0.25">
      <c r="A126" t="s">
        <v>1091</v>
      </c>
      <c r="B126" t="s">
        <v>217</v>
      </c>
      <c r="C126">
        <v>2022</v>
      </c>
      <c r="D126">
        <v>14.923</v>
      </c>
      <c r="E126">
        <v>0</v>
      </c>
      <c r="F126">
        <v>0</v>
      </c>
      <c r="G126">
        <v>0</v>
      </c>
      <c r="H126">
        <f t="shared" si="2"/>
        <v>14.923</v>
      </c>
      <c r="I126" t="s">
        <v>217</v>
      </c>
      <c r="J126" t="s">
        <v>217</v>
      </c>
      <c r="K126" t="str">
        <f>_xlfn.XLOOKUP($J126,'Leveranser per nät'!$A$4:$A$524,'Leveranser per nät'!$A$4:$A$524)</f>
        <v>Årjäng</v>
      </c>
      <c r="L126">
        <f t="shared" si="3"/>
        <v>14.923</v>
      </c>
    </row>
    <row r="127" spans="1:12" x14ac:dyDescent="0.25">
      <c r="A127" t="s">
        <v>1091</v>
      </c>
      <c r="B127" t="s">
        <v>482</v>
      </c>
      <c r="C127">
        <v>2022</v>
      </c>
      <c r="D127">
        <v>35.85</v>
      </c>
      <c r="E127">
        <v>0</v>
      </c>
      <c r="F127">
        <v>0</v>
      </c>
      <c r="G127">
        <v>0</v>
      </c>
      <c r="H127">
        <f t="shared" si="2"/>
        <v>35.85</v>
      </c>
      <c r="I127" t="s">
        <v>482</v>
      </c>
      <c r="J127" t="s">
        <v>482</v>
      </c>
      <c r="K127" t="str">
        <f>_xlfn.XLOOKUP($J127,'Leveranser per nät'!$A$4:$A$524,'Leveranser per nät'!$A$4:$A$524)</f>
        <v>Åstorp</v>
      </c>
      <c r="L127">
        <f t="shared" si="3"/>
        <v>35.85</v>
      </c>
    </row>
    <row r="128" spans="1:12" x14ac:dyDescent="0.25">
      <c r="A128" t="s">
        <v>1091</v>
      </c>
      <c r="B128" t="s">
        <v>218</v>
      </c>
      <c r="C128">
        <v>2022</v>
      </c>
      <c r="D128">
        <v>7.4169999999999998</v>
      </c>
      <c r="E128">
        <v>0</v>
      </c>
      <c r="F128">
        <v>0</v>
      </c>
      <c r="G128">
        <v>0</v>
      </c>
      <c r="H128">
        <f t="shared" si="2"/>
        <v>7.4169999999999998</v>
      </c>
      <c r="I128" t="s">
        <v>218</v>
      </c>
      <c r="J128" t="s">
        <v>218</v>
      </c>
      <c r="K128" t="str">
        <f>_xlfn.XLOOKUP($J128,'Leveranser per nät'!$A$4:$A$524,'Leveranser per nät'!$A$4:$A$524)</f>
        <v>Österbybruk</v>
      </c>
      <c r="L128">
        <f t="shared" si="3"/>
        <v>7.4169999999999998</v>
      </c>
    </row>
    <row r="129" spans="1:12" x14ac:dyDescent="0.25">
      <c r="A129" t="s">
        <v>1091</v>
      </c>
      <c r="B129" t="s">
        <v>528</v>
      </c>
      <c r="C129">
        <v>2022</v>
      </c>
      <c r="D129">
        <v>7.5940000000000003</v>
      </c>
      <c r="E129">
        <v>0</v>
      </c>
      <c r="F129">
        <v>0</v>
      </c>
      <c r="G129">
        <v>0</v>
      </c>
      <c r="H129">
        <f t="shared" si="2"/>
        <v>7.5940000000000003</v>
      </c>
      <c r="I129" t="s">
        <v>528</v>
      </c>
      <c r="J129" t="s">
        <v>528</v>
      </c>
      <c r="K129" t="str">
        <f>_xlfn.XLOOKUP($J129,'Leveranser per nät'!$A$4:$A$524,'Leveranser per nät'!$A$4:$A$524)</f>
        <v>Östhammar</v>
      </c>
      <c r="L129">
        <f t="shared" si="3"/>
        <v>7.5940000000000003</v>
      </c>
    </row>
    <row r="130" spans="1:12" x14ac:dyDescent="0.25">
      <c r="A130" t="s">
        <v>866</v>
      </c>
      <c r="B130" t="s">
        <v>300</v>
      </c>
      <c r="C130">
        <v>2022</v>
      </c>
      <c r="D130">
        <v>3.7909999999999999</v>
      </c>
      <c r="E130">
        <v>0</v>
      </c>
      <c r="F130">
        <v>0</v>
      </c>
      <c r="G130">
        <v>0</v>
      </c>
      <c r="H130">
        <f t="shared" ref="H130:H193" si="4">D130-SUM(E130:G130)</f>
        <v>3.7909999999999999</v>
      </c>
      <c r="I130" t="s">
        <v>300</v>
      </c>
      <c r="J130" t="s">
        <v>300</v>
      </c>
      <c r="K130" t="str">
        <f>_xlfn.XLOOKUP($J130,'Leveranser per nät'!$A$4:$A$524,'Leveranser per nät'!$A$4:$A$524)</f>
        <v>Rörvik</v>
      </c>
      <c r="L130">
        <f t="shared" ref="L130:L193" si="5">SUMIF($J$2:$J$474,K130,$H$2:$H$474)</f>
        <v>3.7909999999999999</v>
      </c>
    </row>
    <row r="131" spans="1:12" x14ac:dyDescent="0.25">
      <c r="A131" t="s">
        <v>866</v>
      </c>
      <c r="B131" t="s">
        <v>299</v>
      </c>
      <c r="C131">
        <v>2022</v>
      </c>
      <c r="D131">
        <v>47.075000000000003</v>
      </c>
      <c r="E131">
        <v>0</v>
      </c>
      <c r="F131">
        <v>0</v>
      </c>
      <c r="G131">
        <v>0</v>
      </c>
      <c r="H131">
        <f t="shared" si="4"/>
        <v>47.075000000000003</v>
      </c>
      <c r="I131" t="s">
        <v>299</v>
      </c>
      <c r="J131" t="s">
        <v>299</v>
      </c>
      <c r="K131" t="str">
        <f>_xlfn.XLOOKUP($J131,'Leveranser per nät'!$A$4:$A$524,'Leveranser per nät'!$A$4:$A$524)</f>
        <v>Sävsjö</v>
      </c>
      <c r="L131">
        <f t="shared" si="5"/>
        <v>47.075000000000003</v>
      </c>
    </row>
    <row r="132" spans="1:12" x14ac:dyDescent="0.25">
      <c r="A132" t="s">
        <v>867</v>
      </c>
      <c r="B132" t="s">
        <v>349</v>
      </c>
      <c r="C132">
        <v>2022</v>
      </c>
      <c r="D132">
        <v>4.3390000000000004</v>
      </c>
      <c r="E132">
        <v>0</v>
      </c>
      <c r="F132">
        <v>0</v>
      </c>
      <c r="G132">
        <v>0</v>
      </c>
      <c r="H132">
        <f t="shared" si="4"/>
        <v>4.3390000000000004</v>
      </c>
      <c r="I132" t="s">
        <v>349</v>
      </c>
      <c r="J132" t="s">
        <v>349</v>
      </c>
      <c r="K132" t="str">
        <f>_xlfn.XLOOKUP($J132,'Leveranser per nät'!$A$4:$A$524,'Leveranser per nät'!$A$4:$A$524)</f>
        <v>Holsby</v>
      </c>
      <c r="L132">
        <f t="shared" si="5"/>
        <v>4.3390000000000004</v>
      </c>
    </row>
    <row r="133" spans="1:12" x14ac:dyDescent="0.25">
      <c r="A133" t="s">
        <v>867</v>
      </c>
      <c r="B133" t="s">
        <v>348</v>
      </c>
      <c r="C133">
        <v>2022</v>
      </c>
      <c r="D133">
        <v>122.64</v>
      </c>
      <c r="E133">
        <v>0</v>
      </c>
      <c r="F133">
        <v>0</v>
      </c>
      <c r="G133">
        <v>0</v>
      </c>
      <c r="H133">
        <f t="shared" si="4"/>
        <v>122.64</v>
      </c>
      <c r="I133" t="s">
        <v>348</v>
      </c>
      <c r="J133" t="s">
        <v>348</v>
      </c>
      <c r="K133" t="str">
        <f>_xlfn.XLOOKUP($J133,'Leveranser per nät'!$A$4:$A$524,'Leveranser per nät'!$A$4:$A$524)</f>
        <v>Vetlanda</v>
      </c>
      <c r="L133">
        <f t="shared" si="5"/>
        <v>122.64</v>
      </c>
    </row>
    <row r="134" spans="1:12" x14ac:dyDescent="0.25">
      <c r="A134" t="s">
        <v>1187</v>
      </c>
      <c r="B134" t="s">
        <v>870</v>
      </c>
      <c r="C134">
        <v>2022</v>
      </c>
      <c r="D134" t="s">
        <v>805</v>
      </c>
      <c r="E134" t="s">
        <v>805</v>
      </c>
      <c r="F134" t="s">
        <v>805</v>
      </c>
      <c r="G134" t="s">
        <v>805</v>
      </c>
      <c r="H134"/>
      <c r="I134" t="s">
        <v>870</v>
      </c>
      <c r="J134" t="s">
        <v>870</v>
      </c>
      <c r="K134" t="str">
        <f>_xlfn.XLOOKUP($J134,'Leveranser per nät'!$A$4:$A$524,'Leveranser per nät'!$A$4:$A$524)</f>
        <v>Nordanstig</v>
      </c>
      <c r="L134">
        <f t="shared" si="5"/>
        <v>0</v>
      </c>
    </row>
    <row r="135" spans="1:12" x14ac:dyDescent="0.25">
      <c r="A135" t="s">
        <v>711</v>
      </c>
      <c r="B135" t="s">
        <v>219</v>
      </c>
      <c r="C135">
        <v>2022</v>
      </c>
      <c r="D135">
        <v>964</v>
      </c>
      <c r="E135">
        <v>7.2999999999999995E-2</v>
      </c>
      <c r="F135">
        <v>0</v>
      </c>
      <c r="G135">
        <v>0</v>
      </c>
      <c r="H135">
        <f t="shared" si="4"/>
        <v>963.92700000000002</v>
      </c>
      <c r="I135" t="s">
        <v>219</v>
      </c>
      <c r="J135" t="s">
        <v>219</v>
      </c>
      <c r="K135" t="str">
        <f>_xlfn.XLOOKUP($J135,'Leveranser per nät'!$A$4:$A$524,'Leveranser per nät'!$A$4:$A$524)</f>
        <v>Sundbyberg-Solna</v>
      </c>
      <c r="L135">
        <f t="shared" si="5"/>
        <v>963.92700000000002</v>
      </c>
    </row>
    <row r="136" spans="1:12" x14ac:dyDescent="0.25">
      <c r="A136" t="s">
        <v>621</v>
      </c>
      <c r="B136" t="s">
        <v>220</v>
      </c>
      <c r="C136">
        <v>2022</v>
      </c>
      <c r="D136">
        <v>15.426</v>
      </c>
      <c r="E136">
        <v>0</v>
      </c>
      <c r="F136">
        <v>0</v>
      </c>
      <c r="G136">
        <v>0</v>
      </c>
      <c r="H136">
        <f t="shared" si="4"/>
        <v>15.426</v>
      </c>
      <c r="I136" t="s">
        <v>220</v>
      </c>
      <c r="J136" t="s">
        <v>220</v>
      </c>
      <c r="K136" t="str">
        <f>_xlfn.XLOOKUP($J136,'Leveranser per nät'!$A$4:$A$524,'Leveranser per nät'!$A$4:$A$524)</f>
        <v>Hallstavik</v>
      </c>
      <c r="L136">
        <f t="shared" si="5"/>
        <v>15.426</v>
      </c>
    </row>
    <row r="137" spans="1:12" x14ac:dyDescent="0.25">
      <c r="A137" t="s">
        <v>621</v>
      </c>
      <c r="B137" t="s">
        <v>221</v>
      </c>
      <c r="C137">
        <v>2022</v>
      </c>
      <c r="D137">
        <v>128.52099999999999</v>
      </c>
      <c r="E137">
        <v>0</v>
      </c>
      <c r="F137">
        <v>0</v>
      </c>
      <c r="G137">
        <v>0</v>
      </c>
      <c r="H137">
        <f t="shared" si="4"/>
        <v>128.52099999999999</v>
      </c>
      <c r="I137" t="s">
        <v>221</v>
      </c>
      <c r="J137" t="s">
        <v>221</v>
      </c>
      <c r="K137" t="str">
        <f>_xlfn.XLOOKUP($J137,'Leveranser per nät'!$A$4:$A$524,'Leveranser per nät'!$A$4:$A$524)</f>
        <v>Norrtälje</v>
      </c>
      <c r="L137">
        <f t="shared" si="5"/>
        <v>128.52099999999999</v>
      </c>
    </row>
    <row r="138" spans="1:12" x14ac:dyDescent="0.25">
      <c r="A138" t="s">
        <v>621</v>
      </c>
      <c r="B138" t="s">
        <v>222</v>
      </c>
      <c r="C138">
        <v>2022</v>
      </c>
      <c r="D138">
        <v>17.314</v>
      </c>
      <c r="E138">
        <v>0</v>
      </c>
      <c r="F138">
        <v>0</v>
      </c>
      <c r="G138">
        <v>0</v>
      </c>
      <c r="H138">
        <f t="shared" si="4"/>
        <v>17.314</v>
      </c>
      <c r="I138" t="s">
        <v>222</v>
      </c>
      <c r="J138" t="s">
        <v>222</v>
      </c>
      <c r="K138" t="str">
        <f>_xlfn.XLOOKUP($J138,'Leveranser per nät'!$A$4:$A$524,'Leveranser per nät'!$A$4:$A$524)</f>
        <v>Rimbo</v>
      </c>
      <c r="L138">
        <f t="shared" si="5"/>
        <v>17.314</v>
      </c>
    </row>
    <row r="139" spans="1:12" x14ac:dyDescent="0.25">
      <c r="A139" t="s">
        <v>679</v>
      </c>
      <c r="B139" t="s">
        <v>820</v>
      </c>
      <c r="C139">
        <v>2022</v>
      </c>
      <c r="D139">
        <v>131</v>
      </c>
      <c r="E139">
        <v>0</v>
      </c>
      <c r="F139">
        <v>0</v>
      </c>
      <c r="G139">
        <v>0</v>
      </c>
      <c r="H139">
        <f t="shared" si="4"/>
        <v>131</v>
      </c>
      <c r="I139" t="s">
        <v>820</v>
      </c>
      <c r="J139" t="s">
        <v>163</v>
      </c>
      <c r="K139" t="str">
        <f>_xlfn.XLOOKUP($J139,'Leveranser per nät'!$A$4:$A$524,'Leveranser per nät'!$A$4:$A$524)</f>
        <v>Nybro</v>
      </c>
      <c r="L139">
        <f t="shared" si="5"/>
        <v>131</v>
      </c>
    </row>
    <row r="140" spans="1:12" x14ac:dyDescent="0.25">
      <c r="A140" t="s">
        <v>551</v>
      </c>
      <c r="B140" t="s">
        <v>224</v>
      </c>
      <c r="C140">
        <v>2022</v>
      </c>
      <c r="D140">
        <v>1.51</v>
      </c>
      <c r="E140">
        <v>0</v>
      </c>
      <c r="F140">
        <v>0</v>
      </c>
      <c r="G140">
        <v>0</v>
      </c>
      <c r="H140">
        <f t="shared" si="4"/>
        <v>1.51</v>
      </c>
      <c r="I140" t="s">
        <v>224</v>
      </c>
      <c r="J140" t="s">
        <v>224</v>
      </c>
      <c r="K140" t="str">
        <f>_xlfn.XLOOKUP($J140,'Leveranser per nät'!$A$4:$A$524,'Leveranser per nät'!$A$4:$A$524)</f>
        <v>Anneberg</v>
      </c>
      <c r="L140">
        <f t="shared" si="5"/>
        <v>1.51</v>
      </c>
    </row>
    <row r="141" spans="1:12" x14ac:dyDescent="0.25">
      <c r="A141" t="s">
        <v>551</v>
      </c>
      <c r="B141" t="s">
        <v>225</v>
      </c>
      <c r="C141">
        <v>2022</v>
      </c>
      <c r="D141">
        <v>9.4600000000000009</v>
      </c>
      <c r="E141">
        <v>0</v>
      </c>
      <c r="F141">
        <v>0</v>
      </c>
      <c r="G141">
        <v>0</v>
      </c>
      <c r="H141">
        <f t="shared" si="4"/>
        <v>9.4600000000000009</v>
      </c>
      <c r="I141" t="s">
        <v>225</v>
      </c>
      <c r="J141" t="s">
        <v>225</v>
      </c>
      <c r="K141" t="str">
        <f>_xlfn.XLOOKUP($J141,'Leveranser per nät'!$A$4:$A$524,'Leveranser per nät'!$A$4:$A$524)</f>
        <v>Bodafors</v>
      </c>
      <c r="L141">
        <f t="shared" si="5"/>
        <v>9.4600000000000009</v>
      </c>
    </row>
    <row r="142" spans="1:12" x14ac:dyDescent="0.25">
      <c r="A142" t="s">
        <v>551</v>
      </c>
      <c r="B142" t="s">
        <v>223</v>
      </c>
      <c r="C142">
        <v>2022</v>
      </c>
      <c r="D142">
        <v>146.80000000000001</v>
      </c>
      <c r="E142">
        <v>0</v>
      </c>
      <c r="F142">
        <v>0</v>
      </c>
      <c r="G142">
        <v>0</v>
      </c>
      <c r="H142">
        <f t="shared" si="4"/>
        <v>146.80000000000001</v>
      </c>
      <c r="I142" t="s">
        <v>223</v>
      </c>
      <c r="J142" t="s">
        <v>223</v>
      </c>
      <c r="K142" t="str">
        <f>_xlfn.XLOOKUP($J142,'Leveranser per nät'!$A$4:$A$524,'Leveranser per nät'!$A$4:$A$524)</f>
        <v>Nässjö</v>
      </c>
      <c r="L142">
        <f t="shared" si="5"/>
        <v>146.80000000000001</v>
      </c>
    </row>
    <row r="143" spans="1:12" x14ac:dyDescent="0.25">
      <c r="A143" t="s">
        <v>683</v>
      </c>
      <c r="B143" t="s">
        <v>226</v>
      </c>
      <c r="C143">
        <v>2022</v>
      </c>
      <c r="D143">
        <v>47.76</v>
      </c>
      <c r="E143">
        <v>0</v>
      </c>
      <c r="F143">
        <v>0</v>
      </c>
      <c r="G143">
        <v>0</v>
      </c>
      <c r="H143">
        <f t="shared" si="4"/>
        <v>47.76</v>
      </c>
      <c r="I143" t="s">
        <v>226</v>
      </c>
      <c r="J143" t="s">
        <v>226</v>
      </c>
      <c r="K143" t="str">
        <f>_xlfn.XLOOKUP($J143,'Leveranser per nät'!$A$4:$A$524,'Leveranser per nät'!$A$4:$A$524)</f>
        <v>Olofström</v>
      </c>
      <c r="L143">
        <f t="shared" si="5"/>
        <v>47.76</v>
      </c>
    </row>
    <row r="144" spans="1:12" x14ac:dyDescent="0.25">
      <c r="A144" t="s">
        <v>685</v>
      </c>
      <c r="B144" t="s">
        <v>227</v>
      </c>
      <c r="C144">
        <v>2022</v>
      </c>
      <c r="D144">
        <v>137.80000000000001</v>
      </c>
      <c r="E144">
        <v>0</v>
      </c>
      <c r="F144">
        <v>0</v>
      </c>
      <c r="G144">
        <v>0</v>
      </c>
      <c r="H144">
        <f t="shared" si="4"/>
        <v>137.80000000000001</v>
      </c>
      <c r="I144" t="s">
        <v>227</v>
      </c>
      <c r="J144" t="s">
        <v>227</v>
      </c>
      <c r="K144" t="str">
        <f>_xlfn.XLOOKUP($J144,'Leveranser per nät'!$A$4:$A$524,'Leveranser per nät'!$A$4:$A$524)</f>
        <v>Oskarshamn</v>
      </c>
      <c r="L144">
        <f t="shared" si="5"/>
        <v>137.80000000000001</v>
      </c>
    </row>
    <row r="145" spans="1:12" x14ac:dyDescent="0.25">
      <c r="A145" t="s">
        <v>686</v>
      </c>
      <c r="B145" t="s">
        <v>228</v>
      </c>
      <c r="C145">
        <v>2022</v>
      </c>
      <c r="D145">
        <v>74.599999999999994</v>
      </c>
      <c r="E145">
        <v>0</v>
      </c>
      <c r="F145">
        <v>0</v>
      </c>
      <c r="G145">
        <v>0</v>
      </c>
      <c r="H145">
        <f t="shared" si="4"/>
        <v>74.599999999999994</v>
      </c>
      <c r="I145" t="s">
        <v>228</v>
      </c>
      <c r="J145" t="s">
        <v>228</v>
      </c>
      <c r="K145" t="str">
        <f>_xlfn.XLOOKUP($J145,'Leveranser per nät'!$A$4:$A$524,'Leveranser per nät'!$A$4:$A$524)</f>
        <v>Oxelösund</v>
      </c>
      <c r="L145">
        <f t="shared" si="5"/>
        <v>74.599999999999994</v>
      </c>
    </row>
    <row r="146" spans="1:12" x14ac:dyDescent="0.25">
      <c r="A146" t="s">
        <v>876</v>
      </c>
      <c r="B146" t="s">
        <v>412</v>
      </c>
      <c r="C146">
        <v>2022</v>
      </c>
      <c r="D146" t="s">
        <v>805</v>
      </c>
      <c r="E146" t="s">
        <v>805</v>
      </c>
      <c r="F146" t="s">
        <v>805</v>
      </c>
      <c r="G146" t="s">
        <v>805</v>
      </c>
      <c r="H146"/>
      <c r="I146" t="s">
        <v>412</v>
      </c>
      <c r="J146" t="s">
        <v>412</v>
      </c>
      <c r="K146" t="str">
        <f>_xlfn.XLOOKUP($J146,'Leveranser per nät'!$A$4:$A$524,'Leveranser per nät'!$A$4:$A$524)</f>
        <v>Pajala</v>
      </c>
      <c r="L146">
        <f t="shared" si="5"/>
        <v>0</v>
      </c>
    </row>
    <row r="147" spans="1:12" x14ac:dyDescent="0.25">
      <c r="A147" t="s">
        <v>813</v>
      </c>
      <c r="B147" t="s">
        <v>932</v>
      </c>
      <c r="C147">
        <v>2022</v>
      </c>
      <c r="D147">
        <v>147</v>
      </c>
      <c r="E147">
        <v>0</v>
      </c>
      <c r="F147">
        <v>0</v>
      </c>
      <c r="G147">
        <v>0</v>
      </c>
      <c r="H147">
        <f t="shared" si="4"/>
        <v>147</v>
      </c>
      <c r="I147" t="s">
        <v>932</v>
      </c>
      <c r="J147" t="s">
        <v>932</v>
      </c>
      <c r="K147" t="str">
        <f>_xlfn.XLOOKUP($J147,'Leveranser per nät'!$A$4:$A$524,'Leveranser per nät'!$A$4:$A$524)</f>
        <v>Partille</v>
      </c>
      <c r="L147">
        <f t="shared" si="5"/>
        <v>147</v>
      </c>
    </row>
    <row r="148" spans="1:12" x14ac:dyDescent="0.25">
      <c r="A148" t="s">
        <v>687</v>
      </c>
      <c r="B148" t="s">
        <v>229</v>
      </c>
      <c r="C148">
        <v>2022</v>
      </c>
      <c r="D148">
        <v>45.7</v>
      </c>
      <c r="E148">
        <v>0</v>
      </c>
      <c r="F148">
        <v>0</v>
      </c>
      <c r="G148">
        <v>0</v>
      </c>
      <c r="H148">
        <f t="shared" si="4"/>
        <v>45.7</v>
      </c>
      <c r="I148" t="s">
        <v>229</v>
      </c>
      <c r="J148" t="s">
        <v>229</v>
      </c>
      <c r="K148" t="str">
        <f>_xlfn.XLOOKUP($J148,'Leveranser per nät'!$A$4:$A$524,'Leveranser per nät'!$A$4:$A$524)</f>
        <v>Perstorp</v>
      </c>
      <c r="L148">
        <f t="shared" si="5"/>
        <v>45.7</v>
      </c>
    </row>
    <row r="149" spans="1:12" x14ac:dyDescent="0.25">
      <c r="A149" t="s">
        <v>678</v>
      </c>
      <c r="B149" t="s">
        <v>232</v>
      </c>
      <c r="C149">
        <v>2022</v>
      </c>
      <c r="D149">
        <v>6.2</v>
      </c>
      <c r="E149">
        <v>0</v>
      </c>
      <c r="F149">
        <v>0</v>
      </c>
      <c r="G149">
        <v>0</v>
      </c>
      <c r="H149">
        <f t="shared" si="4"/>
        <v>6.2</v>
      </c>
      <c r="I149" t="s">
        <v>232</v>
      </c>
      <c r="J149" t="s">
        <v>232</v>
      </c>
      <c r="K149" t="str">
        <f>_xlfn.XLOOKUP($J149,'Leveranser per nät'!$A$4:$A$524,'Leveranser per nät'!$A$4:$A$524)</f>
        <v>Norrfjärden</v>
      </c>
      <c r="L149">
        <f t="shared" si="5"/>
        <v>6.2</v>
      </c>
    </row>
    <row r="150" spans="1:12" x14ac:dyDescent="0.25">
      <c r="A150" t="s">
        <v>678</v>
      </c>
      <c r="B150" t="s">
        <v>230</v>
      </c>
      <c r="C150">
        <v>2022</v>
      </c>
      <c r="D150">
        <v>240.6</v>
      </c>
      <c r="E150">
        <v>0</v>
      </c>
      <c r="F150">
        <v>0</v>
      </c>
      <c r="G150">
        <v>0</v>
      </c>
      <c r="H150">
        <f t="shared" si="4"/>
        <v>240.6</v>
      </c>
      <c r="I150" t="s">
        <v>230</v>
      </c>
      <c r="J150" t="s">
        <v>230</v>
      </c>
      <c r="K150" t="str">
        <f>_xlfn.XLOOKUP($J150,'Leveranser per nät'!$A$4:$A$524,'Leveranser per nät'!$A$4:$A$524)</f>
        <v>Piteå</v>
      </c>
      <c r="L150">
        <f t="shared" si="5"/>
        <v>240.6</v>
      </c>
    </row>
    <row r="151" spans="1:12" x14ac:dyDescent="0.25">
      <c r="A151" t="s">
        <v>678</v>
      </c>
      <c r="B151" t="s">
        <v>233</v>
      </c>
      <c r="C151">
        <v>2022</v>
      </c>
      <c r="D151">
        <v>1.65</v>
      </c>
      <c r="E151">
        <v>0</v>
      </c>
      <c r="F151">
        <v>0</v>
      </c>
      <c r="G151">
        <v>0</v>
      </c>
      <c r="H151">
        <f t="shared" si="4"/>
        <v>1.65</v>
      </c>
      <c r="I151" t="s">
        <v>233</v>
      </c>
      <c r="J151" t="s">
        <v>233</v>
      </c>
      <c r="K151" t="str">
        <f>_xlfn.XLOOKUP($J151,'Leveranser per nät'!$A$4:$A$524,'Leveranser per nät'!$A$4:$A$524)</f>
        <v>Rosvik</v>
      </c>
      <c r="L151">
        <f t="shared" si="5"/>
        <v>1.65</v>
      </c>
    </row>
    <row r="152" spans="1:12" x14ac:dyDescent="0.25">
      <c r="A152" t="s">
        <v>678</v>
      </c>
      <c r="B152" t="s">
        <v>234</v>
      </c>
      <c r="C152">
        <v>2022</v>
      </c>
      <c r="D152">
        <v>2.0670000000000002</v>
      </c>
      <c r="E152">
        <v>0</v>
      </c>
      <c r="F152">
        <v>0</v>
      </c>
      <c r="G152">
        <v>0</v>
      </c>
      <c r="H152">
        <f t="shared" si="4"/>
        <v>2.0670000000000002</v>
      </c>
      <c r="I152" t="s">
        <v>234</v>
      </c>
      <c r="J152" t="s">
        <v>234</v>
      </c>
      <c r="K152" t="str">
        <f>_xlfn.XLOOKUP($J152,'Leveranser per nät'!$A$4:$A$524,'Leveranser per nät'!$A$4:$A$524)</f>
        <v>Sjulnäs</v>
      </c>
      <c r="L152">
        <f t="shared" si="5"/>
        <v>2.0670000000000002</v>
      </c>
    </row>
    <row r="153" spans="1:12" x14ac:dyDescent="0.25">
      <c r="A153" t="s">
        <v>1093</v>
      </c>
      <c r="B153" t="s">
        <v>533</v>
      </c>
      <c r="C153">
        <v>2022</v>
      </c>
      <c r="D153">
        <v>11</v>
      </c>
      <c r="E153">
        <v>0</v>
      </c>
      <c r="F153">
        <v>0</v>
      </c>
      <c r="G153">
        <v>0</v>
      </c>
      <c r="H153">
        <f t="shared" si="4"/>
        <v>11</v>
      </c>
      <c r="I153" t="s">
        <v>533</v>
      </c>
      <c r="J153" t="s">
        <v>533</v>
      </c>
      <c r="K153" t="str">
        <f>_xlfn.XLOOKUP($J153,'Leveranser per nät'!$A$4:$A$524,'Leveranser per nät'!$A$4:$A$524)</f>
        <v>Hammarstrand</v>
      </c>
      <c r="L153">
        <f t="shared" si="5"/>
        <v>11</v>
      </c>
    </row>
    <row r="154" spans="1:12" x14ac:dyDescent="0.25">
      <c r="A154" t="s">
        <v>581</v>
      </c>
      <c r="B154" t="s">
        <v>250</v>
      </c>
      <c r="C154">
        <v>2022</v>
      </c>
      <c r="D154">
        <v>13.3</v>
      </c>
      <c r="E154">
        <v>0</v>
      </c>
      <c r="F154">
        <v>0</v>
      </c>
      <c r="G154">
        <v>0</v>
      </c>
      <c r="H154">
        <f t="shared" si="4"/>
        <v>13.3</v>
      </c>
      <c r="I154" t="s">
        <v>250</v>
      </c>
      <c r="J154" t="s">
        <v>250</v>
      </c>
      <c r="K154" t="str">
        <f>_xlfn.XLOOKUP($J154,'Leveranser per nät'!$A$4:$A$524,'Leveranser per nät'!$A$4:$A$524)</f>
        <v>Bräkne-Hoby</v>
      </c>
      <c r="L154">
        <f t="shared" si="5"/>
        <v>13.3</v>
      </c>
    </row>
    <row r="155" spans="1:12" x14ac:dyDescent="0.25">
      <c r="A155" t="s">
        <v>581</v>
      </c>
      <c r="B155" t="s">
        <v>414</v>
      </c>
      <c r="C155">
        <v>2022</v>
      </c>
      <c r="D155">
        <v>102.2</v>
      </c>
      <c r="E155">
        <v>0</v>
      </c>
      <c r="F155">
        <v>0</v>
      </c>
      <c r="G155">
        <v>0</v>
      </c>
      <c r="H155">
        <f t="shared" si="4"/>
        <v>102.2</v>
      </c>
      <c r="I155" t="s">
        <v>414</v>
      </c>
      <c r="J155" t="s">
        <v>414</v>
      </c>
      <c r="K155" t="str">
        <f>_xlfn.XLOOKUP($J155,'Leveranser per nät'!$A$4:$A$524,'Leveranser per nät'!$A$4:$A$524)</f>
        <v>Ronneby-Kallinge</v>
      </c>
      <c r="L155">
        <f t="shared" si="5"/>
        <v>102.2</v>
      </c>
    </row>
    <row r="156" spans="1:12" x14ac:dyDescent="0.25">
      <c r="A156" t="s">
        <v>625</v>
      </c>
      <c r="B156" t="s">
        <v>1188</v>
      </c>
      <c r="C156">
        <v>2022</v>
      </c>
      <c r="D156" t="s">
        <v>805</v>
      </c>
      <c r="E156" t="s">
        <v>805</v>
      </c>
      <c r="F156" t="s">
        <v>805</v>
      </c>
      <c r="G156" t="s">
        <v>805</v>
      </c>
      <c r="H156"/>
      <c r="I156" t="s">
        <v>1188</v>
      </c>
      <c r="K156" t="e">
        <f>_xlfn.XLOOKUP($J156,'Leveranser per nät'!$A$4:$A$524,'Leveranser per nät'!$A$4:$A$524)</f>
        <v>#N/A</v>
      </c>
      <c r="L156">
        <f t="shared" si="5"/>
        <v>0</v>
      </c>
    </row>
    <row r="157" spans="1:12" x14ac:dyDescent="0.25">
      <c r="A157" t="s">
        <v>625</v>
      </c>
      <c r="B157" t="s">
        <v>1189</v>
      </c>
      <c r="C157">
        <v>2022</v>
      </c>
      <c r="D157" t="s">
        <v>805</v>
      </c>
      <c r="E157" t="s">
        <v>805</v>
      </c>
      <c r="F157" t="s">
        <v>805</v>
      </c>
      <c r="G157" t="s">
        <v>805</v>
      </c>
      <c r="H157"/>
      <c r="I157" t="s">
        <v>1189</v>
      </c>
      <c r="K157" t="e">
        <f>_xlfn.XLOOKUP($J157,'Leveranser per nät'!$A$4:$A$524,'Leveranser per nät'!$A$4:$A$524)</f>
        <v>#N/A</v>
      </c>
      <c r="L157">
        <f t="shared" si="5"/>
        <v>0</v>
      </c>
    </row>
    <row r="158" spans="1:12" x14ac:dyDescent="0.25">
      <c r="A158" t="s">
        <v>625</v>
      </c>
      <c r="B158" t="s">
        <v>693</v>
      </c>
      <c r="C158">
        <v>2022</v>
      </c>
      <c r="D158">
        <v>140.30441400000001</v>
      </c>
      <c r="E158">
        <v>0</v>
      </c>
      <c r="F158">
        <v>0</v>
      </c>
      <c r="G158">
        <v>0</v>
      </c>
      <c r="H158">
        <f t="shared" si="4"/>
        <v>140.30441400000001</v>
      </c>
      <c r="I158" t="s">
        <v>693</v>
      </c>
      <c r="J158" t="s">
        <v>693</v>
      </c>
      <c r="K158" t="str">
        <f>_xlfn.XLOOKUP($J158,'Leveranser per nät'!$A$4:$A$524,'Leveranser per nät'!$A$4:$A$524)</f>
        <v>Sala-Heby</v>
      </c>
      <c r="L158">
        <f t="shared" si="5"/>
        <v>140.30441400000001</v>
      </c>
    </row>
    <row r="159" spans="1:12" x14ac:dyDescent="0.25">
      <c r="A159" t="s">
        <v>694</v>
      </c>
      <c r="B159" t="s">
        <v>255</v>
      </c>
      <c r="C159">
        <v>2022</v>
      </c>
      <c r="D159">
        <v>216.8</v>
      </c>
      <c r="E159">
        <v>0</v>
      </c>
      <c r="F159">
        <v>0</v>
      </c>
      <c r="G159">
        <v>0</v>
      </c>
      <c r="H159">
        <f t="shared" si="4"/>
        <v>216.8</v>
      </c>
      <c r="I159" t="s">
        <v>255</v>
      </c>
      <c r="J159" t="s">
        <v>255</v>
      </c>
      <c r="K159" t="str">
        <f>_xlfn.XLOOKUP($J159,'Leveranser per nät'!$A$4:$A$524,'Leveranser per nät'!$A$4:$A$524)</f>
        <v>Sandviken</v>
      </c>
      <c r="L159">
        <f t="shared" si="5"/>
        <v>216.8</v>
      </c>
    </row>
    <row r="160" spans="1:12" x14ac:dyDescent="0.25">
      <c r="A160" t="s">
        <v>696</v>
      </c>
      <c r="B160" t="s">
        <v>256</v>
      </c>
      <c r="C160">
        <v>2022</v>
      </c>
      <c r="D160">
        <v>87.4</v>
      </c>
      <c r="E160">
        <v>0</v>
      </c>
      <c r="F160">
        <v>0</v>
      </c>
      <c r="G160">
        <v>0</v>
      </c>
      <c r="H160">
        <f t="shared" si="4"/>
        <v>87.4</v>
      </c>
      <c r="I160" t="s">
        <v>256</v>
      </c>
      <c r="J160" t="s">
        <v>256</v>
      </c>
      <c r="K160" t="str">
        <f>_xlfn.XLOOKUP($J160,'Leveranser per nät'!$A$4:$A$524,'Leveranser per nät'!$A$4:$A$524)</f>
        <v>Skara</v>
      </c>
      <c r="L160">
        <f t="shared" si="5"/>
        <v>87.4</v>
      </c>
    </row>
    <row r="161" spans="1:12" x14ac:dyDescent="0.25">
      <c r="A161" t="s">
        <v>571</v>
      </c>
      <c r="B161" t="s">
        <v>263</v>
      </c>
      <c r="C161">
        <v>2022</v>
      </c>
      <c r="D161">
        <v>6.9737</v>
      </c>
      <c r="E161">
        <v>0</v>
      </c>
      <c r="F161">
        <v>0</v>
      </c>
      <c r="G161">
        <v>0</v>
      </c>
      <c r="H161">
        <f t="shared" si="4"/>
        <v>6.9737</v>
      </c>
      <c r="I161" t="s">
        <v>263</v>
      </c>
      <c r="J161" t="s">
        <v>263</v>
      </c>
      <c r="K161" t="str">
        <f>_xlfn.XLOOKUP($J161,'Leveranser per nät'!$A$4:$A$524,'Leveranser per nät'!$A$4:$A$524)</f>
        <v>Boliden</v>
      </c>
      <c r="L161">
        <f t="shared" si="5"/>
        <v>6.9737</v>
      </c>
    </row>
    <row r="162" spans="1:12" x14ac:dyDescent="0.25">
      <c r="A162" t="s">
        <v>571</v>
      </c>
      <c r="B162" t="s">
        <v>264</v>
      </c>
      <c r="C162">
        <v>2022</v>
      </c>
      <c r="D162">
        <v>7.2408000000000001</v>
      </c>
      <c r="E162">
        <v>0</v>
      </c>
      <c r="F162">
        <v>0</v>
      </c>
      <c r="G162">
        <v>0</v>
      </c>
      <c r="H162">
        <f t="shared" si="4"/>
        <v>7.2408000000000001</v>
      </c>
      <c r="I162" t="s">
        <v>264</v>
      </c>
      <c r="J162" t="s">
        <v>264</v>
      </c>
      <c r="K162" t="str">
        <f>_xlfn.XLOOKUP($J162,'Leveranser per nät'!$A$4:$A$524,'Leveranser per nät'!$A$4:$A$524)</f>
        <v>Bureå</v>
      </c>
      <c r="L162">
        <f t="shared" si="5"/>
        <v>7.2408000000000001</v>
      </c>
    </row>
    <row r="163" spans="1:12" x14ac:dyDescent="0.25">
      <c r="A163" t="s">
        <v>571</v>
      </c>
      <c r="B163" t="s">
        <v>265</v>
      </c>
      <c r="C163">
        <v>2022</v>
      </c>
      <c r="D163">
        <v>13.983000000000001</v>
      </c>
      <c r="E163">
        <v>0</v>
      </c>
      <c r="F163">
        <v>0</v>
      </c>
      <c r="G163">
        <v>0</v>
      </c>
      <c r="H163">
        <f t="shared" si="4"/>
        <v>13.983000000000001</v>
      </c>
      <c r="I163" t="s">
        <v>265</v>
      </c>
      <c r="J163" t="s">
        <v>265</v>
      </c>
      <c r="K163" t="str">
        <f>_xlfn.XLOOKUP($J163,'Leveranser per nät'!$A$4:$A$524,'Leveranser per nät'!$A$4:$A$524)</f>
        <v>Burträsk</v>
      </c>
      <c r="L163">
        <f t="shared" si="5"/>
        <v>13.983000000000001</v>
      </c>
    </row>
    <row r="164" spans="1:12" x14ac:dyDescent="0.25">
      <c r="A164" t="s">
        <v>571</v>
      </c>
      <c r="B164" t="s">
        <v>266</v>
      </c>
      <c r="C164">
        <v>2022</v>
      </c>
      <c r="D164">
        <v>9.5807000000000002</v>
      </c>
      <c r="E164">
        <v>0</v>
      </c>
      <c r="F164">
        <v>0</v>
      </c>
      <c r="G164">
        <v>0</v>
      </c>
      <c r="H164">
        <f t="shared" si="4"/>
        <v>9.5807000000000002</v>
      </c>
      <c r="I164" t="s">
        <v>266</v>
      </c>
      <c r="J164" t="s">
        <v>266</v>
      </c>
      <c r="K164" t="str">
        <f>_xlfn.XLOOKUP($J164,'Leveranser per nät'!$A$4:$A$524,'Leveranser per nät'!$A$4:$A$524)</f>
        <v>Byske</v>
      </c>
      <c r="L164">
        <f t="shared" si="5"/>
        <v>9.5807000000000002</v>
      </c>
    </row>
    <row r="165" spans="1:12" x14ac:dyDescent="0.25">
      <c r="A165" t="s">
        <v>571</v>
      </c>
      <c r="B165" t="s">
        <v>267</v>
      </c>
      <c r="C165">
        <v>2022</v>
      </c>
      <c r="D165">
        <v>5.3860999999999999</v>
      </c>
      <c r="E165">
        <v>0</v>
      </c>
      <c r="F165">
        <v>0</v>
      </c>
      <c r="G165">
        <v>0</v>
      </c>
      <c r="H165">
        <f t="shared" si="4"/>
        <v>5.3860999999999999</v>
      </c>
      <c r="I165" t="s">
        <v>267</v>
      </c>
      <c r="J165" t="s">
        <v>267</v>
      </c>
      <c r="K165" t="str">
        <f>_xlfn.XLOOKUP($J165,'Leveranser per nät'!$A$4:$A$524,'Leveranser per nät'!$A$4:$A$524)</f>
        <v>Jörn</v>
      </c>
      <c r="L165">
        <f t="shared" si="5"/>
        <v>5.3860999999999999</v>
      </c>
    </row>
    <row r="166" spans="1:12" x14ac:dyDescent="0.25">
      <c r="A166" t="s">
        <v>571</v>
      </c>
      <c r="B166" t="s">
        <v>269</v>
      </c>
      <c r="C166">
        <v>2022</v>
      </c>
      <c r="D166">
        <v>5.4922000000000004</v>
      </c>
      <c r="E166">
        <v>0</v>
      </c>
      <c r="F166">
        <v>0</v>
      </c>
      <c r="G166">
        <v>0</v>
      </c>
      <c r="H166">
        <f t="shared" si="4"/>
        <v>5.4922000000000004</v>
      </c>
      <c r="I166" t="s">
        <v>269</v>
      </c>
      <c r="J166" t="s">
        <v>269</v>
      </c>
      <c r="K166" t="str">
        <f>_xlfn.XLOOKUP($J166,'Leveranser per nät'!$A$4:$A$524,'Leveranser per nät'!$A$4:$A$524)</f>
        <v>Kåge</v>
      </c>
      <c r="L166">
        <f t="shared" si="5"/>
        <v>5.4922000000000004</v>
      </c>
    </row>
    <row r="167" spans="1:12" x14ac:dyDescent="0.25">
      <c r="A167" t="s">
        <v>571</v>
      </c>
      <c r="B167" t="s">
        <v>270</v>
      </c>
      <c r="C167">
        <v>2022</v>
      </c>
      <c r="D167">
        <v>2.6867999999999999</v>
      </c>
      <c r="E167">
        <v>0</v>
      </c>
      <c r="F167">
        <v>0</v>
      </c>
      <c r="G167">
        <v>0</v>
      </c>
      <c r="H167">
        <f t="shared" si="4"/>
        <v>2.6867999999999999</v>
      </c>
      <c r="I167" t="s">
        <v>270</v>
      </c>
      <c r="J167" t="s">
        <v>270</v>
      </c>
      <c r="K167" t="str">
        <f>_xlfn.XLOOKUP($J167,'Leveranser per nät'!$A$4:$A$524,'Leveranser per nät'!$A$4:$A$524)</f>
        <v>Lidbacken</v>
      </c>
      <c r="L167">
        <f t="shared" si="5"/>
        <v>2.6867999999999999</v>
      </c>
    </row>
    <row r="168" spans="1:12" x14ac:dyDescent="0.25">
      <c r="A168" t="s">
        <v>571</v>
      </c>
      <c r="B168" t="s">
        <v>259</v>
      </c>
      <c r="C168">
        <v>2022</v>
      </c>
      <c r="D168">
        <v>94.608599999999996</v>
      </c>
      <c r="E168">
        <v>0</v>
      </c>
      <c r="F168">
        <v>0</v>
      </c>
      <c r="G168">
        <v>0</v>
      </c>
      <c r="H168">
        <f t="shared" si="4"/>
        <v>94.608599999999996</v>
      </c>
      <c r="I168" t="s">
        <v>259</v>
      </c>
      <c r="J168" t="s">
        <v>259</v>
      </c>
      <c r="K168" t="str">
        <f>_xlfn.XLOOKUP($J168,'Leveranser per nät'!$A$4:$A$524,'Leveranser per nät'!$A$4:$A$524)</f>
        <v>Lycksele</v>
      </c>
      <c r="L168">
        <f t="shared" si="5"/>
        <v>94.608599999999996</v>
      </c>
    </row>
    <row r="169" spans="1:12" x14ac:dyDescent="0.25">
      <c r="A169" t="s">
        <v>571</v>
      </c>
      <c r="B169" t="s">
        <v>271</v>
      </c>
      <c r="C169">
        <v>2022</v>
      </c>
      <c r="D169">
        <v>3.5133999999999999</v>
      </c>
      <c r="E169">
        <v>0</v>
      </c>
      <c r="F169">
        <v>0</v>
      </c>
      <c r="G169">
        <v>0</v>
      </c>
      <c r="H169">
        <f t="shared" si="4"/>
        <v>3.5133999999999999</v>
      </c>
      <c r="I169" t="s">
        <v>271</v>
      </c>
      <c r="J169" t="s">
        <v>271</v>
      </c>
      <c r="K169" t="str">
        <f>_xlfn.XLOOKUP($J169,'Leveranser per nät'!$A$4:$A$524,'Leveranser per nät'!$A$4:$A$524)</f>
        <v>Lövånger</v>
      </c>
      <c r="L169">
        <f t="shared" si="5"/>
        <v>3.5133999999999999</v>
      </c>
    </row>
    <row r="170" spans="1:12" x14ac:dyDescent="0.25">
      <c r="A170" t="s">
        <v>571</v>
      </c>
      <c r="B170" t="s">
        <v>257</v>
      </c>
      <c r="C170">
        <v>2022</v>
      </c>
      <c r="D170">
        <v>70.478899999999996</v>
      </c>
      <c r="E170">
        <v>0</v>
      </c>
      <c r="F170">
        <v>0</v>
      </c>
      <c r="G170">
        <v>0</v>
      </c>
      <c r="H170">
        <f t="shared" si="4"/>
        <v>70.478899999999996</v>
      </c>
      <c r="I170" t="s">
        <v>257</v>
      </c>
      <c r="J170" t="s">
        <v>257</v>
      </c>
      <c r="K170" t="str">
        <f>_xlfn.XLOOKUP($J170,'Leveranser per nät'!$A$4:$A$524,'Leveranser per nät'!$A$4:$A$524)</f>
        <v>Malå</v>
      </c>
      <c r="L170">
        <f t="shared" si="5"/>
        <v>70.478899999999996</v>
      </c>
    </row>
    <row r="171" spans="1:12" x14ac:dyDescent="0.25">
      <c r="A171" t="s">
        <v>571</v>
      </c>
      <c r="B171" t="s">
        <v>258</v>
      </c>
      <c r="C171">
        <v>2022</v>
      </c>
      <c r="D171">
        <v>13.6014</v>
      </c>
      <c r="E171">
        <v>0</v>
      </c>
      <c r="F171">
        <v>0</v>
      </c>
      <c r="G171">
        <v>0</v>
      </c>
      <c r="H171">
        <f t="shared" si="4"/>
        <v>13.6014</v>
      </c>
      <c r="I171" t="s">
        <v>258</v>
      </c>
      <c r="J171" t="s">
        <v>258</v>
      </c>
      <c r="K171" t="str">
        <f>_xlfn.XLOOKUP($J171,'Leveranser per nät'!$A$4:$A$524,'Leveranser per nät'!$A$4:$A$524)</f>
        <v>Norsjö</v>
      </c>
      <c r="L171">
        <f t="shared" si="5"/>
        <v>13.6014</v>
      </c>
    </row>
    <row r="172" spans="1:12" x14ac:dyDescent="0.25">
      <c r="A172" t="s">
        <v>571</v>
      </c>
      <c r="B172" t="s">
        <v>262</v>
      </c>
      <c r="C172">
        <v>2022</v>
      </c>
      <c r="D172">
        <v>9.2136999999999993</v>
      </c>
      <c r="E172">
        <v>0</v>
      </c>
      <c r="F172">
        <v>0</v>
      </c>
      <c r="G172">
        <v>0</v>
      </c>
      <c r="H172">
        <f t="shared" si="4"/>
        <v>9.2136999999999993</v>
      </c>
      <c r="I172" t="s">
        <v>262</v>
      </c>
      <c r="J172" t="s">
        <v>262</v>
      </c>
      <c r="K172" t="str">
        <f>_xlfn.XLOOKUP($J172,'Leveranser per nät'!$A$4:$A$524,'Leveranser per nät'!$A$4:$A$524)</f>
        <v>Robertsfors</v>
      </c>
      <c r="L172">
        <f t="shared" si="5"/>
        <v>9.2136999999999993</v>
      </c>
    </row>
    <row r="173" spans="1:12" x14ac:dyDescent="0.25">
      <c r="A173" t="s">
        <v>571</v>
      </c>
      <c r="B173" t="s">
        <v>261</v>
      </c>
      <c r="C173">
        <v>2022</v>
      </c>
      <c r="D173">
        <v>351.95330000000001</v>
      </c>
      <c r="E173">
        <v>0</v>
      </c>
      <c r="F173">
        <v>0</v>
      </c>
      <c r="G173">
        <v>0</v>
      </c>
      <c r="H173">
        <f t="shared" si="4"/>
        <v>351.95330000000001</v>
      </c>
      <c r="I173" t="s">
        <v>261</v>
      </c>
      <c r="J173" t="s">
        <v>261</v>
      </c>
      <c r="K173" t="str">
        <f>_xlfn.XLOOKUP($J173,'Leveranser per nät'!$A$4:$A$524,'Leveranser per nät'!$A$4:$A$524)</f>
        <v>Skellefteå</v>
      </c>
      <c r="L173">
        <f t="shared" si="5"/>
        <v>351.95330000000001</v>
      </c>
    </row>
    <row r="174" spans="1:12" x14ac:dyDescent="0.25">
      <c r="A174" t="s">
        <v>571</v>
      </c>
      <c r="B174" t="s">
        <v>272</v>
      </c>
      <c r="C174">
        <v>2022</v>
      </c>
      <c r="D174">
        <v>29.561</v>
      </c>
      <c r="E174">
        <v>0</v>
      </c>
      <c r="F174">
        <v>0</v>
      </c>
      <c r="G174">
        <v>0</v>
      </c>
      <c r="H174">
        <f t="shared" si="4"/>
        <v>29.561</v>
      </c>
      <c r="I174" t="s">
        <v>272</v>
      </c>
      <c r="J174" t="s">
        <v>272</v>
      </c>
      <c r="K174" t="str">
        <f>_xlfn.XLOOKUP($J174,'Leveranser per nät'!$A$4:$A$524,'Leveranser per nät'!$A$4:$A$524)</f>
        <v>Storuman</v>
      </c>
      <c r="L174">
        <f t="shared" si="5"/>
        <v>29.561</v>
      </c>
    </row>
    <row r="175" spans="1:12" x14ac:dyDescent="0.25">
      <c r="A175" t="s">
        <v>571</v>
      </c>
      <c r="B175" t="s">
        <v>273</v>
      </c>
      <c r="C175">
        <v>2022</v>
      </c>
      <c r="D175">
        <v>30.983499999999999</v>
      </c>
      <c r="E175">
        <v>0</v>
      </c>
      <c r="F175">
        <v>0</v>
      </c>
      <c r="G175">
        <v>0</v>
      </c>
      <c r="H175">
        <f t="shared" si="4"/>
        <v>30.983499999999999</v>
      </c>
      <c r="I175" t="s">
        <v>273</v>
      </c>
      <c r="J175" t="s">
        <v>273</v>
      </c>
      <c r="K175" t="str">
        <f>_xlfn.XLOOKUP($J175,'Leveranser per nät'!$A$4:$A$524,'Leveranser per nät'!$A$4:$A$524)</f>
        <v>Ursviken-Skelleftehamn</v>
      </c>
      <c r="L175">
        <f t="shared" si="5"/>
        <v>30.983499999999999</v>
      </c>
    </row>
    <row r="176" spans="1:12" x14ac:dyDescent="0.25">
      <c r="A176" t="s">
        <v>571</v>
      </c>
      <c r="B176" t="s">
        <v>260</v>
      </c>
      <c r="C176">
        <v>2022</v>
      </c>
      <c r="D176">
        <v>12.9581</v>
      </c>
      <c r="E176">
        <v>0</v>
      </c>
      <c r="F176">
        <v>0</v>
      </c>
      <c r="G176">
        <v>0</v>
      </c>
      <c r="H176">
        <f t="shared" si="4"/>
        <v>12.9581</v>
      </c>
      <c r="I176" t="s">
        <v>260</v>
      </c>
      <c r="J176" t="s">
        <v>260</v>
      </c>
      <c r="K176" t="str">
        <f>_xlfn.XLOOKUP($J176,'Leveranser per nät'!$A$4:$A$524,'Leveranser per nät'!$A$4:$A$524)</f>
        <v>Vindeln</v>
      </c>
      <c r="L176">
        <f t="shared" si="5"/>
        <v>12.9581</v>
      </c>
    </row>
    <row r="177" spans="1:15" x14ac:dyDescent="0.25">
      <c r="A177" t="s">
        <v>571</v>
      </c>
      <c r="B177" t="s">
        <v>274</v>
      </c>
      <c r="C177">
        <v>2022</v>
      </c>
      <c r="D177">
        <v>2.5691000000000002</v>
      </c>
      <c r="E177">
        <v>0</v>
      </c>
      <c r="F177">
        <v>0</v>
      </c>
      <c r="G177">
        <v>0</v>
      </c>
      <c r="H177">
        <f t="shared" si="4"/>
        <v>2.5691000000000002</v>
      </c>
      <c r="I177" t="s">
        <v>274</v>
      </c>
      <c r="J177" t="s">
        <v>274</v>
      </c>
      <c r="K177" t="str">
        <f>_xlfn.XLOOKUP($J177,'Leveranser per nät'!$A$4:$A$524,'Leveranser per nät'!$A$4:$A$524)</f>
        <v>Ånäset</v>
      </c>
      <c r="L177">
        <f t="shared" si="5"/>
        <v>2.5691000000000002</v>
      </c>
    </row>
    <row r="178" spans="1:15" x14ac:dyDescent="0.25">
      <c r="A178" t="s">
        <v>994</v>
      </c>
      <c r="B178" t="s">
        <v>276</v>
      </c>
      <c r="C178">
        <v>2022</v>
      </c>
      <c r="D178">
        <v>9.8395220000000005</v>
      </c>
      <c r="E178">
        <v>0</v>
      </c>
      <c r="F178">
        <v>0</v>
      </c>
      <c r="G178">
        <v>0</v>
      </c>
      <c r="H178">
        <f t="shared" si="4"/>
        <v>9.8395220000000005</v>
      </c>
      <c r="I178" t="s">
        <v>276</v>
      </c>
      <c r="J178" t="s">
        <v>276</v>
      </c>
      <c r="K178" t="str">
        <f>_xlfn.XLOOKUP($J178,'Leveranser per nät'!$A$4:$A$524,'Leveranser per nät'!$A$4:$A$524)</f>
        <v>Skultorp</v>
      </c>
      <c r="L178">
        <f t="shared" si="5"/>
        <v>9.8395220000000005</v>
      </c>
    </row>
    <row r="179" spans="1:15" x14ac:dyDescent="0.25">
      <c r="A179" t="s">
        <v>994</v>
      </c>
      <c r="B179" t="s">
        <v>275</v>
      </c>
      <c r="C179">
        <v>2022</v>
      </c>
      <c r="D179">
        <v>366.39353699999998</v>
      </c>
      <c r="E179">
        <v>0</v>
      </c>
      <c r="F179">
        <v>0</v>
      </c>
      <c r="G179">
        <v>0</v>
      </c>
      <c r="H179">
        <f t="shared" si="4"/>
        <v>366.39353699999998</v>
      </c>
      <c r="I179" t="s">
        <v>275</v>
      </c>
      <c r="J179" t="s">
        <v>275</v>
      </c>
      <c r="K179" t="str">
        <f>_xlfn.XLOOKUP($J179,'Leveranser per nät'!$A$4:$A$524,'Leveranser per nät'!$A$4:$A$524)</f>
        <v>Skövde</v>
      </c>
      <c r="L179">
        <f t="shared" si="5"/>
        <v>366.39353699999998</v>
      </c>
    </row>
    <row r="180" spans="1:15" x14ac:dyDescent="0.25">
      <c r="A180" t="s">
        <v>994</v>
      </c>
      <c r="B180" t="s">
        <v>277</v>
      </c>
      <c r="C180">
        <v>2022</v>
      </c>
      <c r="D180">
        <v>4.3131029999999999</v>
      </c>
      <c r="E180">
        <v>0</v>
      </c>
      <c r="F180">
        <v>0</v>
      </c>
      <c r="G180">
        <v>0</v>
      </c>
      <c r="H180">
        <f t="shared" si="4"/>
        <v>4.3131029999999999</v>
      </c>
      <c r="I180" t="s">
        <v>277</v>
      </c>
      <c r="J180" t="s">
        <v>277</v>
      </c>
      <c r="K180" t="str">
        <f>_xlfn.XLOOKUP($J180,'Leveranser per nät'!$A$4:$A$524,'Leveranser per nät'!$A$4:$A$524)</f>
        <v>Stöpen</v>
      </c>
      <c r="L180">
        <f t="shared" si="5"/>
        <v>4.3131029999999999</v>
      </c>
    </row>
    <row r="181" spans="1:15" x14ac:dyDescent="0.25">
      <c r="A181" t="s">
        <v>994</v>
      </c>
      <c r="B181" t="s">
        <v>719</v>
      </c>
      <c r="C181">
        <v>2022</v>
      </c>
      <c r="D181">
        <v>2.0001350000000002</v>
      </c>
      <c r="E181">
        <v>0</v>
      </c>
      <c r="F181">
        <v>0</v>
      </c>
      <c r="G181">
        <v>0</v>
      </c>
      <c r="H181">
        <f t="shared" si="4"/>
        <v>2.0001350000000002</v>
      </c>
      <c r="I181" t="s">
        <v>719</v>
      </c>
      <c r="J181" t="s">
        <v>719</v>
      </c>
      <c r="K181" t="str">
        <f>_xlfn.XLOOKUP($J181,'Leveranser per nät'!$A$4:$A$524,'Leveranser per nät'!$A$4:$A$524)</f>
        <v>Tidan</v>
      </c>
      <c r="L181">
        <f t="shared" si="5"/>
        <v>2.0001350000000002</v>
      </c>
    </row>
    <row r="182" spans="1:15" x14ac:dyDescent="0.25">
      <c r="A182" t="s">
        <v>994</v>
      </c>
      <c r="B182" t="s">
        <v>428</v>
      </c>
      <c r="C182">
        <v>2022</v>
      </c>
      <c r="D182">
        <v>3.0248149999999998</v>
      </c>
      <c r="E182">
        <v>0</v>
      </c>
      <c r="F182">
        <v>0</v>
      </c>
      <c r="G182">
        <v>0</v>
      </c>
      <c r="H182">
        <f t="shared" si="4"/>
        <v>3.0248149999999998</v>
      </c>
      <c r="I182" t="s">
        <v>428</v>
      </c>
      <c r="J182" t="s">
        <v>428</v>
      </c>
      <c r="K182" t="str">
        <f>_xlfn.XLOOKUP($J182,'Leveranser per nät'!$A$4:$A$524,'Leveranser per nät'!$A$4:$A$524)</f>
        <v>Timmersdala</v>
      </c>
      <c r="L182">
        <f t="shared" si="5"/>
        <v>3.0248149999999998</v>
      </c>
    </row>
    <row r="183" spans="1:15" x14ac:dyDescent="0.25">
      <c r="A183" t="s">
        <v>701</v>
      </c>
      <c r="B183" t="s">
        <v>278</v>
      </c>
      <c r="C183">
        <v>2022</v>
      </c>
      <c r="D183">
        <v>41.375999999999998</v>
      </c>
      <c r="E183">
        <v>0</v>
      </c>
      <c r="F183">
        <v>0</v>
      </c>
      <c r="G183">
        <v>0</v>
      </c>
      <c r="H183">
        <f t="shared" si="4"/>
        <v>41.375999999999998</v>
      </c>
      <c r="I183" t="s">
        <v>278</v>
      </c>
      <c r="J183" t="s">
        <v>278</v>
      </c>
      <c r="K183" t="str">
        <f>_xlfn.XLOOKUP($J183,'Leveranser per nät'!$A$4:$A$524,'Leveranser per nät'!$A$4:$A$524)</f>
        <v>Smedjebacken</v>
      </c>
      <c r="L183">
        <f t="shared" si="5"/>
        <v>41.375999999999998</v>
      </c>
    </row>
    <row r="184" spans="1:15" x14ac:dyDescent="0.25">
      <c r="A184" t="s">
        <v>701</v>
      </c>
      <c r="B184" t="s">
        <v>279</v>
      </c>
      <c r="C184">
        <v>2022</v>
      </c>
      <c r="D184">
        <v>3.7530000000000001</v>
      </c>
      <c r="E184">
        <v>0</v>
      </c>
      <c r="F184">
        <v>0</v>
      </c>
      <c r="G184">
        <v>0</v>
      </c>
      <c r="H184">
        <f t="shared" si="4"/>
        <v>3.7530000000000001</v>
      </c>
      <c r="I184" t="s">
        <v>279</v>
      </c>
      <c r="J184" t="s">
        <v>279</v>
      </c>
      <c r="K184" t="str">
        <f>_xlfn.XLOOKUP($J184,'Leveranser per nät'!$A$4:$A$524,'Leveranser per nät'!$A$4:$A$524)</f>
        <v>Söderbärke</v>
      </c>
      <c r="L184">
        <f t="shared" si="5"/>
        <v>3.7530000000000001</v>
      </c>
    </row>
    <row r="185" spans="1:15" x14ac:dyDescent="0.25">
      <c r="A185" t="s">
        <v>995</v>
      </c>
      <c r="B185" t="s">
        <v>280</v>
      </c>
      <c r="C185">
        <v>2022</v>
      </c>
      <c r="D185">
        <v>303.39999999999998</v>
      </c>
      <c r="E185">
        <v>0</v>
      </c>
      <c r="F185">
        <v>0</v>
      </c>
      <c r="G185">
        <v>0</v>
      </c>
      <c r="H185">
        <f t="shared" si="4"/>
        <v>303.39999999999998</v>
      </c>
      <c r="I185" t="s">
        <v>280</v>
      </c>
      <c r="J185" t="s">
        <v>280</v>
      </c>
      <c r="K185" t="str">
        <f>_xlfn.XLOOKUP($J185,'Leveranser per nät'!$A$4:$A$524,'Leveranser per nät'!$A$4:$A$524)</f>
        <v>Sollentuna</v>
      </c>
      <c r="L185">
        <f t="shared" si="5"/>
        <v>303.39999999999998</v>
      </c>
    </row>
    <row r="186" spans="1:15" x14ac:dyDescent="0.25">
      <c r="A186" t="s">
        <v>1190</v>
      </c>
      <c r="B186" t="s">
        <v>178</v>
      </c>
      <c r="C186">
        <v>2022</v>
      </c>
      <c r="D186">
        <v>8.34</v>
      </c>
      <c r="E186">
        <v>0</v>
      </c>
      <c r="F186">
        <v>0</v>
      </c>
      <c r="G186">
        <v>0</v>
      </c>
      <c r="H186">
        <f t="shared" si="4"/>
        <v>8.34</v>
      </c>
      <c r="I186" t="s">
        <v>178</v>
      </c>
      <c r="J186" t="s">
        <v>178</v>
      </c>
      <c r="K186" t="str">
        <f>_xlfn.XLOOKUP($J186,'Leveranser per nät'!$A$4:$A$524,'Leveranser per nät'!$A$4:$A$524)</f>
        <v>Bjärnum</v>
      </c>
      <c r="L186">
        <f t="shared" si="5"/>
        <v>8.34</v>
      </c>
    </row>
    <row r="187" spans="1:15" x14ac:dyDescent="0.25">
      <c r="A187" t="s">
        <v>1190</v>
      </c>
      <c r="B187" t="s">
        <v>179</v>
      </c>
      <c r="C187">
        <v>2022</v>
      </c>
      <c r="D187">
        <v>6.96</v>
      </c>
      <c r="E187">
        <v>0</v>
      </c>
      <c r="F187">
        <v>0</v>
      </c>
      <c r="G187">
        <v>0</v>
      </c>
      <c r="H187">
        <f t="shared" si="4"/>
        <v>6.96</v>
      </c>
      <c r="I187" t="s">
        <v>179</v>
      </c>
      <c r="J187" t="s">
        <v>179</v>
      </c>
      <c r="K187" t="str">
        <f>_xlfn.XLOOKUP($J187,'Leveranser per nät'!$A$4:$A$524,'Leveranser per nät'!$A$4:$A$524)</f>
        <v>Ed</v>
      </c>
      <c r="L187">
        <f t="shared" si="5"/>
        <v>6.96</v>
      </c>
    </row>
    <row r="188" spans="1:15" x14ac:dyDescent="0.25">
      <c r="A188" t="s">
        <v>1190</v>
      </c>
      <c r="B188" t="s">
        <v>497</v>
      </c>
      <c r="C188">
        <v>2022</v>
      </c>
      <c r="D188">
        <v>2.1259999999999999</v>
      </c>
      <c r="E188">
        <v>0</v>
      </c>
      <c r="F188">
        <v>0</v>
      </c>
      <c r="G188">
        <v>0</v>
      </c>
      <c r="H188">
        <f t="shared" si="4"/>
        <v>2.1259999999999999</v>
      </c>
      <c r="I188" t="s">
        <v>497</v>
      </c>
      <c r="J188" t="s">
        <v>497</v>
      </c>
      <c r="K188" t="str">
        <f>_xlfn.XLOOKUP($J188,'Leveranser per nät'!$A$4:$A$524,'Leveranser per nät'!$A$4:$A$524)</f>
        <v>Fjärdhundra</v>
      </c>
      <c r="L188">
        <f t="shared" si="5"/>
        <v>2.1259999999999999</v>
      </c>
    </row>
    <row r="189" spans="1:15" x14ac:dyDescent="0.25">
      <c r="A189" t="s">
        <v>1190</v>
      </c>
      <c r="B189" t="s">
        <v>1108</v>
      </c>
      <c r="C189">
        <v>2022</v>
      </c>
      <c r="D189">
        <v>27.12</v>
      </c>
      <c r="E189">
        <v>0</v>
      </c>
      <c r="F189">
        <v>0</v>
      </c>
      <c r="G189">
        <v>0</v>
      </c>
      <c r="H189">
        <f t="shared" si="4"/>
        <v>27.12</v>
      </c>
      <c r="I189" t="s">
        <v>1108</v>
      </c>
      <c r="J189" t="s">
        <v>1108</v>
      </c>
      <c r="K189" t="str">
        <f>_xlfn.XLOOKUP($J189,'Leveranser per nät'!$A$4:$A$524,'Leveranser per nät'!$A$4:$A$524)</f>
        <v>Gimmersta</v>
      </c>
      <c r="L189">
        <f t="shared" si="5"/>
        <v>27.12</v>
      </c>
    </row>
    <row r="190" spans="1:15" x14ac:dyDescent="0.25">
      <c r="A190" t="s">
        <v>1190</v>
      </c>
      <c r="B190" t="s">
        <v>180</v>
      </c>
      <c r="C190">
        <v>2022</v>
      </c>
      <c r="D190">
        <v>9.93</v>
      </c>
      <c r="E190">
        <v>0</v>
      </c>
      <c r="F190">
        <v>0</v>
      </c>
      <c r="G190">
        <v>0</v>
      </c>
      <c r="H190">
        <f t="shared" si="4"/>
        <v>9.93</v>
      </c>
      <c r="I190" t="s">
        <v>180</v>
      </c>
      <c r="J190" t="s">
        <v>180</v>
      </c>
      <c r="K190" t="str">
        <f>_xlfn.XLOOKUP($J190,'Leveranser per nät'!$A$4:$A$524,'Leveranser per nät'!$A$4:$A$524)</f>
        <v>Grästorp</v>
      </c>
      <c r="L190">
        <f t="shared" si="5"/>
        <v>9.93</v>
      </c>
    </row>
    <row r="191" spans="1:15" x14ac:dyDescent="0.25">
      <c r="A191" t="s">
        <v>1190</v>
      </c>
      <c r="B191" t="s">
        <v>181</v>
      </c>
      <c r="C191">
        <v>2022</v>
      </c>
      <c r="D191">
        <v>5.48</v>
      </c>
      <c r="E191">
        <v>0</v>
      </c>
      <c r="F191">
        <v>0</v>
      </c>
      <c r="G191">
        <v>0</v>
      </c>
      <c r="H191">
        <f t="shared" si="4"/>
        <v>5.48</v>
      </c>
      <c r="I191" t="s">
        <v>181</v>
      </c>
      <c r="J191" t="s">
        <v>181</v>
      </c>
      <c r="K191" t="str">
        <f>_xlfn.XLOOKUP($J191,'Leveranser per nät'!$A$4:$A$524,'Leveranser per nät'!$A$4:$A$524)</f>
        <v>Horred</v>
      </c>
      <c r="L191">
        <f t="shared" si="5"/>
        <v>5.48</v>
      </c>
    </row>
    <row r="192" spans="1:15" x14ac:dyDescent="0.25">
      <c r="A192" t="s">
        <v>1190</v>
      </c>
      <c r="B192" t="s">
        <v>182</v>
      </c>
      <c r="C192">
        <v>2022</v>
      </c>
      <c r="D192">
        <v>12.96</v>
      </c>
      <c r="E192">
        <v>0</v>
      </c>
      <c r="F192">
        <v>0</v>
      </c>
      <c r="G192">
        <v>0</v>
      </c>
      <c r="H192">
        <f t="shared" si="4"/>
        <v>12.96</v>
      </c>
      <c r="I192" t="s">
        <v>182</v>
      </c>
      <c r="J192" t="s">
        <v>182</v>
      </c>
      <c r="K192" t="str">
        <f>_xlfn.XLOOKUP($J192,'Leveranser per nät'!$A$4:$A$524,'Leveranser per nät'!$A$4:$A$524)</f>
        <v>Kvänum</v>
      </c>
      <c r="L192">
        <f t="shared" si="5"/>
        <v>12.96</v>
      </c>
    </row>
    <row r="193" spans="1:12" x14ac:dyDescent="0.25">
      <c r="A193" t="s">
        <v>1190</v>
      </c>
      <c r="B193" t="s">
        <v>183</v>
      </c>
      <c r="C193">
        <v>2022</v>
      </c>
      <c r="D193">
        <v>30.36</v>
      </c>
      <c r="E193">
        <v>0</v>
      </c>
      <c r="F193">
        <v>0</v>
      </c>
      <c r="G193">
        <v>0</v>
      </c>
      <c r="H193">
        <f t="shared" si="4"/>
        <v>30.36</v>
      </c>
      <c r="I193" t="s">
        <v>183</v>
      </c>
      <c r="J193" t="s">
        <v>183</v>
      </c>
      <c r="K193" t="str">
        <f>_xlfn.XLOOKUP($J193,'Leveranser per nät'!$A$4:$A$524,'Leveranser per nät'!$A$4:$A$524)</f>
        <v>Skurup</v>
      </c>
      <c r="L193">
        <f t="shared" si="5"/>
        <v>30.36</v>
      </c>
    </row>
    <row r="194" spans="1:12" x14ac:dyDescent="0.25">
      <c r="A194" t="s">
        <v>1190</v>
      </c>
      <c r="B194" t="s">
        <v>855</v>
      </c>
      <c r="C194">
        <v>2022</v>
      </c>
      <c r="D194">
        <v>7.63</v>
      </c>
      <c r="E194">
        <v>0</v>
      </c>
      <c r="F194">
        <v>0</v>
      </c>
      <c r="G194">
        <v>0</v>
      </c>
      <c r="H194">
        <f t="shared" ref="H194:H256" si="6">D194-SUM(E194:G194)</f>
        <v>7.63</v>
      </c>
      <c r="I194" t="s">
        <v>855</v>
      </c>
      <c r="J194" t="s">
        <v>855</v>
      </c>
      <c r="K194" t="str">
        <f>_xlfn.XLOOKUP($J194,'Leveranser per nät'!$A$4:$A$524,'Leveranser per nät'!$A$4:$A$524)</f>
        <v>Vinslöv</v>
      </c>
      <c r="L194">
        <f t="shared" ref="L194:L257" si="7">SUMIF($J$2:$J$474,K194,$H$2:$H$474)</f>
        <v>7.63</v>
      </c>
    </row>
    <row r="195" spans="1:12" x14ac:dyDescent="0.25">
      <c r="A195" t="s">
        <v>1190</v>
      </c>
      <c r="B195" t="s">
        <v>177</v>
      </c>
      <c r="C195">
        <v>2022</v>
      </c>
      <c r="D195">
        <v>11.26</v>
      </c>
      <c r="E195">
        <v>0</v>
      </c>
      <c r="F195">
        <v>0</v>
      </c>
      <c r="G195">
        <v>0</v>
      </c>
      <c r="H195">
        <f t="shared" si="6"/>
        <v>11.26</v>
      </c>
      <c r="I195" t="s">
        <v>177</v>
      </c>
      <c r="J195" t="s">
        <v>177</v>
      </c>
      <c r="K195" t="str">
        <f>_xlfn.XLOOKUP($J195,'Leveranser per nät'!$A$4:$A$524,'Leveranser per nät'!$A$4:$A$524)</f>
        <v>Ödeshög</v>
      </c>
      <c r="L195">
        <f t="shared" si="7"/>
        <v>11.26</v>
      </c>
    </row>
    <row r="196" spans="1:12" x14ac:dyDescent="0.25">
      <c r="A196" t="s">
        <v>1190</v>
      </c>
      <c r="B196" t="s">
        <v>440</v>
      </c>
      <c r="C196">
        <v>2022</v>
      </c>
      <c r="D196">
        <v>3.2480000000000002</v>
      </c>
      <c r="E196">
        <v>0</v>
      </c>
      <c r="F196">
        <v>0</v>
      </c>
      <c r="G196">
        <v>0</v>
      </c>
      <c r="H196">
        <f t="shared" si="6"/>
        <v>3.2480000000000002</v>
      </c>
      <c r="I196" t="s">
        <v>440</v>
      </c>
      <c r="J196" t="s">
        <v>440</v>
      </c>
      <c r="K196" t="str">
        <f>_xlfn.XLOOKUP($J196,'Leveranser per nät'!$A$4:$A$524,'Leveranser per nät'!$A$4:$A$524)</f>
        <v>Örsundsbro</v>
      </c>
      <c r="L196">
        <f t="shared" si="7"/>
        <v>3.2480000000000002</v>
      </c>
    </row>
    <row r="197" spans="1:12" x14ac:dyDescent="0.25">
      <c r="A197" t="s">
        <v>1143</v>
      </c>
      <c r="B197" t="s">
        <v>106</v>
      </c>
      <c r="C197">
        <v>2022</v>
      </c>
      <c r="D197">
        <v>98.03</v>
      </c>
      <c r="E197">
        <v>0</v>
      </c>
      <c r="F197">
        <v>0</v>
      </c>
      <c r="G197">
        <v>0</v>
      </c>
      <c r="H197">
        <f t="shared" si="6"/>
        <v>98.03</v>
      </c>
      <c r="I197" t="s">
        <v>106</v>
      </c>
      <c r="J197" t="s">
        <v>106</v>
      </c>
      <c r="K197" t="str">
        <f>_xlfn.XLOOKUP($J197,'Leveranser per nät'!$A$4:$A$524,'Leveranser per nät'!$A$4:$A$524)</f>
        <v>Falköping</v>
      </c>
      <c r="L197">
        <f t="shared" si="7"/>
        <v>98.03</v>
      </c>
    </row>
    <row r="198" spans="1:12" x14ac:dyDescent="0.25">
      <c r="A198" t="s">
        <v>1143</v>
      </c>
      <c r="B198" t="s">
        <v>107</v>
      </c>
      <c r="C198">
        <v>2022</v>
      </c>
      <c r="D198">
        <v>9.14</v>
      </c>
      <c r="E198">
        <v>0</v>
      </c>
      <c r="F198">
        <v>0</v>
      </c>
      <c r="G198">
        <v>0</v>
      </c>
      <c r="H198">
        <f t="shared" si="6"/>
        <v>9.14</v>
      </c>
      <c r="I198" t="s">
        <v>107</v>
      </c>
      <c r="J198" t="s">
        <v>107</v>
      </c>
      <c r="K198" t="str">
        <f>_xlfn.XLOOKUP($J198,'Leveranser per nät'!$A$4:$A$524,'Leveranser per nät'!$A$4:$A$524)</f>
        <v>Floby</v>
      </c>
      <c r="L198">
        <f t="shared" si="7"/>
        <v>9.14</v>
      </c>
    </row>
    <row r="199" spans="1:12" x14ac:dyDescent="0.25">
      <c r="A199" t="s">
        <v>1143</v>
      </c>
      <c r="B199" t="s">
        <v>705</v>
      </c>
      <c r="C199">
        <v>2022</v>
      </c>
      <c r="D199">
        <v>3.6</v>
      </c>
      <c r="E199">
        <v>0</v>
      </c>
      <c r="F199">
        <v>0</v>
      </c>
      <c r="G199">
        <v>0</v>
      </c>
      <c r="H199">
        <f t="shared" si="6"/>
        <v>3.6</v>
      </c>
      <c r="I199" t="s">
        <v>705</v>
      </c>
      <c r="J199" t="s">
        <v>705</v>
      </c>
      <c r="K199" t="str">
        <f>_xlfn.XLOOKUP($J199,'Leveranser per nät'!$A$4:$A$524,'Leveranser per nät'!$A$4:$A$524)</f>
        <v>Stenstorp</v>
      </c>
      <c r="L199">
        <f t="shared" si="7"/>
        <v>3.6</v>
      </c>
    </row>
    <row r="200" spans="1:12" x14ac:dyDescent="0.25">
      <c r="A200" t="s">
        <v>1100</v>
      </c>
      <c r="B200" t="s">
        <v>95</v>
      </c>
      <c r="C200">
        <v>2022</v>
      </c>
      <c r="D200">
        <v>16.3</v>
      </c>
      <c r="E200">
        <v>0</v>
      </c>
      <c r="F200">
        <v>0</v>
      </c>
      <c r="G200">
        <v>0</v>
      </c>
      <c r="H200">
        <f t="shared" si="6"/>
        <v>16.3</v>
      </c>
      <c r="I200" t="s">
        <v>95</v>
      </c>
      <c r="J200" t="s">
        <v>95</v>
      </c>
      <c r="K200" t="str">
        <f>_xlfn.XLOOKUP($J200,'Leveranser per nät'!$A$4:$A$524,'Leveranser per nät'!$A$4:$A$524)</f>
        <v>Alfta</v>
      </c>
      <c r="L200">
        <f t="shared" si="7"/>
        <v>16.3</v>
      </c>
    </row>
    <row r="201" spans="1:12" x14ac:dyDescent="0.25">
      <c r="A201" t="s">
        <v>1100</v>
      </c>
      <c r="B201" t="s">
        <v>1110</v>
      </c>
      <c r="C201">
        <v>2022</v>
      </c>
      <c r="D201">
        <v>5</v>
      </c>
      <c r="E201">
        <v>0</v>
      </c>
      <c r="F201">
        <v>0</v>
      </c>
      <c r="G201">
        <v>0</v>
      </c>
      <c r="H201">
        <f t="shared" si="6"/>
        <v>5</v>
      </c>
      <c r="I201" t="s">
        <v>1110</v>
      </c>
      <c r="J201" t="s">
        <v>341</v>
      </c>
      <c r="K201" t="str">
        <f>_xlfn.XLOOKUP($J201,'Leveranser per nät'!$A$4:$A$524,'Leveranser per nät'!$A$4:$A$524)</f>
        <v>Knivsta</v>
      </c>
      <c r="L201">
        <f t="shared" si="7"/>
        <v>54.627890000000001</v>
      </c>
    </row>
    <row r="202" spans="1:12" x14ac:dyDescent="0.25">
      <c r="A202" t="s">
        <v>1100</v>
      </c>
      <c r="B202" t="s">
        <v>1033</v>
      </c>
      <c r="C202">
        <v>2022</v>
      </c>
      <c r="D202">
        <v>6.87</v>
      </c>
      <c r="E202">
        <v>0</v>
      </c>
      <c r="F202">
        <v>0</v>
      </c>
      <c r="G202">
        <v>0</v>
      </c>
      <c r="H202">
        <f t="shared" si="6"/>
        <v>6.87</v>
      </c>
      <c r="I202" s="43" t="s">
        <v>1033</v>
      </c>
      <c r="K202" t="e">
        <f>_xlfn.XLOOKUP($J202,'Leveranser per nät'!$A$4:$A$524,'Leveranser per nät'!$A$4:$A$524)</f>
        <v>#N/A</v>
      </c>
      <c r="L202">
        <f t="shared" si="7"/>
        <v>0</v>
      </c>
    </row>
    <row r="203" spans="1:12" x14ac:dyDescent="0.25">
      <c r="A203" t="s">
        <v>1100</v>
      </c>
      <c r="B203" t="s">
        <v>81</v>
      </c>
      <c r="C203">
        <v>2022</v>
      </c>
      <c r="D203">
        <v>12.2</v>
      </c>
      <c r="E203">
        <v>0</v>
      </c>
      <c r="F203">
        <v>0</v>
      </c>
      <c r="G203">
        <v>0</v>
      </c>
      <c r="H203">
        <f t="shared" si="6"/>
        <v>12.2</v>
      </c>
      <c r="I203" t="s">
        <v>81</v>
      </c>
      <c r="J203" t="s">
        <v>81</v>
      </c>
      <c r="K203" t="str">
        <f>_xlfn.XLOOKUP($J203,'Leveranser per nät'!$A$4:$A$524,'Leveranser per nät'!$A$4:$A$524)</f>
        <v>Broby</v>
      </c>
      <c r="L203">
        <f t="shared" si="7"/>
        <v>12.2</v>
      </c>
    </row>
    <row r="204" spans="1:12" x14ac:dyDescent="0.25">
      <c r="A204" t="s">
        <v>1100</v>
      </c>
      <c r="B204" t="s">
        <v>450</v>
      </c>
      <c r="C204">
        <v>2022</v>
      </c>
      <c r="D204">
        <v>15.795</v>
      </c>
      <c r="E204">
        <v>0</v>
      </c>
      <c r="F204">
        <v>0</v>
      </c>
      <c r="G204">
        <v>0</v>
      </c>
      <c r="H204">
        <f t="shared" si="6"/>
        <v>15.795</v>
      </c>
      <c r="I204" s="43" t="s">
        <v>450</v>
      </c>
      <c r="K204" t="e">
        <f>_xlfn.XLOOKUP($J204,'Leveranser per nät'!$A$4:$A$524,'Leveranser per nät'!$A$4:$A$524)</f>
        <v>#N/A</v>
      </c>
      <c r="L204">
        <f t="shared" si="7"/>
        <v>0</v>
      </c>
    </row>
    <row r="205" spans="1:12" x14ac:dyDescent="0.25">
      <c r="A205" t="s">
        <v>1100</v>
      </c>
      <c r="B205" t="s">
        <v>46</v>
      </c>
      <c r="C205">
        <v>2022</v>
      </c>
      <c r="D205">
        <v>16.463999999999999</v>
      </c>
      <c r="E205">
        <v>0</v>
      </c>
      <c r="F205">
        <v>0</v>
      </c>
      <c r="G205">
        <v>0</v>
      </c>
      <c r="H205">
        <f t="shared" si="6"/>
        <v>16.463999999999999</v>
      </c>
      <c r="I205" t="s">
        <v>46</v>
      </c>
      <c r="J205" t="s">
        <v>46</v>
      </c>
      <c r="K205" t="str">
        <f>_xlfn.XLOOKUP($J205,'Leveranser per nät'!$A$4:$A$524,'Leveranser per nät'!$A$4:$A$524)</f>
        <v>Dorotea</v>
      </c>
      <c r="L205">
        <f t="shared" si="7"/>
        <v>16.463999999999999</v>
      </c>
    </row>
    <row r="206" spans="1:12" x14ac:dyDescent="0.25">
      <c r="A206" t="s">
        <v>1100</v>
      </c>
      <c r="B206" t="s">
        <v>96</v>
      </c>
      <c r="C206">
        <v>2022</v>
      </c>
      <c r="D206">
        <v>31.07</v>
      </c>
      <c r="E206">
        <v>0</v>
      </c>
      <c r="F206">
        <v>0</v>
      </c>
      <c r="G206">
        <v>0</v>
      </c>
      <c r="H206">
        <f t="shared" si="6"/>
        <v>31.07</v>
      </c>
      <c r="I206" t="s">
        <v>96</v>
      </c>
      <c r="J206" t="s">
        <v>96</v>
      </c>
      <c r="K206" t="str">
        <f>_xlfn.XLOOKUP($J206,'Leveranser per nät'!$A$4:$A$524,'Leveranser per nät'!$A$4:$A$524)</f>
        <v>Edsbyn</v>
      </c>
      <c r="L206">
        <f t="shared" si="7"/>
        <v>31.07</v>
      </c>
    </row>
    <row r="207" spans="1:12" x14ac:dyDescent="0.25">
      <c r="A207" t="s">
        <v>1100</v>
      </c>
      <c r="B207" t="s">
        <v>239</v>
      </c>
      <c r="C207">
        <v>2022</v>
      </c>
      <c r="D207">
        <v>43.4</v>
      </c>
      <c r="E207">
        <v>0</v>
      </c>
      <c r="F207">
        <v>0</v>
      </c>
      <c r="G207">
        <v>0</v>
      </c>
      <c r="H207">
        <f t="shared" si="6"/>
        <v>43.4</v>
      </c>
      <c r="I207" t="s">
        <v>239</v>
      </c>
      <c r="J207" t="s">
        <v>239</v>
      </c>
      <c r="K207" t="str">
        <f>_xlfn.XLOOKUP($J207,'Leveranser per nät'!$A$4:$A$524,'Leveranser per nät'!$A$4:$A$524)</f>
        <v>Flen</v>
      </c>
      <c r="L207">
        <f t="shared" si="7"/>
        <v>43.4</v>
      </c>
    </row>
    <row r="208" spans="1:12" x14ac:dyDescent="0.25">
      <c r="A208" t="s">
        <v>1100</v>
      </c>
      <c r="B208" t="s">
        <v>486</v>
      </c>
      <c r="C208">
        <v>2022</v>
      </c>
      <c r="D208">
        <v>1.3</v>
      </c>
      <c r="E208">
        <v>0</v>
      </c>
      <c r="F208">
        <v>0</v>
      </c>
      <c r="G208">
        <v>0</v>
      </c>
      <c r="H208">
        <f t="shared" si="6"/>
        <v>1.3</v>
      </c>
      <c r="I208" t="s">
        <v>486</v>
      </c>
      <c r="J208" t="s">
        <v>486</v>
      </c>
      <c r="K208" t="str">
        <f>_xlfn.XLOOKUP($J208,'Leveranser per nät'!$A$4:$A$524,'Leveranser per nät'!$A$4:$A$524)</f>
        <v>Fliseryd</v>
      </c>
      <c r="L208">
        <f t="shared" si="7"/>
        <v>1.3</v>
      </c>
    </row>
    <row r="209" spans="1:12" x14ac:dyDescent="0.25">
      <c r="A209" t="s">
        <v>1100</v>
      </c>
      <c r="B209" t="s">
        <v>1111</v>
      </c>
      <c r="C209">
        <v>2022</v>
      </c>
      <c r="D209">
        <v>1.98</v>
      </c>
      <c r="E209">
        <v>0</v>
      </c>
      <c r="F209">
        <v>0</v>
      </c>
      <c r="G209">
        <v>0</v>
      </c>
      <c r="H209">
        <f t="shared" si="6"/>
        <v>1.98</v>
      </c>
      <c r="I209" t="s">
        <v>1111</v>
      </c>
      <c r="J209" t="s">
        <v>1064</v>
      </c>
      <c r="K209" t="str">
        <f>_xlfn.XLOOKUP($J209,'Leveranser per nät'!$A$4:$A$524,'Leveranser per nät'!$A$4:$A$524)</f>
        <v>Hallsberg- Örebro- Kumla</v>
      </c>
      <c r="L209">
        <f t="shared" si="7"/>
        <v>937.60299999999995</v>
      </c>
    </row>
    <row r="210" spans="1:12" x14ac:dyDescent="0.25">
      <c r="A210" t="s">
        <v>1100</v>
      </c>
      <c r="B210" t="s">
        <v>241</v>
      </c>
      <c r="C210">
        <v>2022</v>
      </c>
      <c r="D210">
        <v>19.7</v>
      </c>
      <c r="E210">
        <v>0</v>
      </c>
      <c r="F210">
        <v>0</v>
      </c>
      <c r="G210">
        <v>0</v>
      </c>
      <c r="H210">
        <f t="shared" si="6"/>
        <v>19.7</v>
      </c>
      <c r="I210" t="s">
        <v>241</v>
      </c>
      <c r="J210" t="s">
        <v>241</v>
      </c>
      <c r="K210" t="str">
        <f>_xlfn.XLOOKUP($J210,'Leveranser per nät'!$A$4:$A$524,'Leveranser per nät'!$A$4:$A$524)</f>
        <v>Gnesta</v>
      </c>
      <c r="L210">
        <f t="shared" si="7"/>
        <v>19.7</v>
      </c>
    </row>
    <row r="211" spans="1:12" x14ac:dyDescent="0.25">
      <c r="A211" t="s">
        <v>1100</v>
      </c>
      <c r="B211" t="s">
        <v>18</v>
      </c>
      <c r="C211">
        <v>2022</v>
      </c>
      <c r="D211">
        <v>7.585</v>
      </c>
      <c r="E211">
        <v>0</v>
      </c>
      <c r="F211">
        <v>0</v>
      </c>
      <c r="G211">
        <v>0</v>
      </c>
      <c r="H211">
        <f t="shared" si="6"/>
        <v>7.585</v>
      </c>
      <c r="I211" t="s">
        <v>18</v>
      </c>
      <c r="J211" t="s">
        <v>18</v>
      </c>
      <c r="K211" t="str">
        <f>_xlfn.XLOOKUP($J211,'Leveranser per nät'!$A$4:$A$524,'Leveranser per nät'!$A$4:$A$524)</f>
        <v>Horndal</v>
      </c>
      <c r="L211">
        <f t="shared" si="7"/>
        <v>7.585</v>
      </c>
    </row>
    <row r="212" spans="1:12" x14ac:dyDescent="0.25">
      <c r="A212" t="s">
        <v>1100</v>
      </c>
      <c r="B212" t="s">
        <v>242</v>
      </c>
      <c r="C212">
        <v>2022</v>
      </c>
      <c r="D212">
        <v>23.7</v>
      </c>
      <c r="E212">
        <v>0</v>
      </c>
      <c r="F212">
        <v>0</v>
      </c>
      <c r="G212">
        <v>0</v>
      </c>
      <c r="H212">
        <f t="shared" si="6"/>
        <v>23.7</v>
      </c>
      <c r="I212" t="s">
        <v>242</v>
      </c>
      <c r="J212" t="s">
        <v>242</v>
      </c>
      <c r="K212" t="str">
        <f>_xlfn.XLOOKUP($J212,'Leveranser per nät'!$A$4:$A$524,'Leveranser per nät'!$A$4:$A$524)</f>
        <v>Hörby</v>
      </c>
      <c r="L212">
        <f t="shared" si="7"/>
        <v>23.7</v>
      </c>
    </row>
    <row r="213" spans="1:12" x14ac:dyDescent="0.25">
      <c r="A213" t="s">
        <v>1100</v>
      </c>
      <c r="B213" t="s">
        <v>243</v>
      </c>
      <c r="C213">
        <v>2022</v>
      </c>
      <c r="D213">
        <v>21.4</v>
      </c>
      <c r="E213">
        <v>0</v>
      </c>
      <c r="F213">
        <v>0</v>
      </c>
      <c r="G213">
        <v>0</v>
      </c>
      <c r="H213">
        <f t="shared" si="6"/>
        <v>21.4</v>
      </c>
      <c r="I213" t="s">
        <v>243</v>
      </c>
      <c r="J213" t="s">
        <v>243</v>
      </c>
      <c r="K213" t="str">
        <f>_xlfn.XLOOKUP($J213,'Leveranser per nät'!$A$4:$A$524,'Leveranser per nät'!$A$4:$A$524)</f>
        <v>Höör</v>
      </c>
      <c r="L213">
        <f t="shared" si="7"/>
        <v>21.4</v>
      </c>
    </row>
    <row r="214" spans="1:12" x14ac:dyDescent="0.25">
      <c r="A214" t="s">
        <v>1100</v>
      </c>
      <c r="B214" t="s">
        <v>346</v>
      </c>
      <c r="C214">
        <v>2022</v>
      </c>
      <c r="D214">
        <v>90.4</v>
      </c>
      <c r="E214">
        <v>0</v>
      </c>
      <c r="F214">
        <v>0</v>
      </c>
      <c r="G214">
        <v>0</v>
      </c>
      <c r="H214">
        <f t="shared" si="6"/>
        <v>90.4</v>
      </c>
      <c r="I214" t="s">
        <v>346</v>
      </c>
      <c r="J214" t="s">
        <v>346</v>
      </c>
      <c r="K214" t="str">
        <f>_xlfn.XLOOKUP($J214,'Leveranser per nät'!$A$4:$A$524,'Leveranser per nät'!$A$4:$A$524)</f>
        <v>Kalix</v>
      </c>
      <c r="L214">
        <f t="shared" si="7"/>
        <v>90.4</v>
      </c>
    </row>
    <row r="215" spans="1:12" x14ac:dyDescent="0.25">
      <c r="A215" t="s">
        <v>1100</v>
      </c>
      <c r="B215" t="s">
        <v>1115</v>
      </c>
      <c r="C215">
        <v>2022</v>
      </c>
      <c r="D215">
        <v>5.0999999999999996</v>
      </c>
      <c r="E215">
        <v>0</v>
      </c>
      <c r="F215">
        <v>0</v>
      </c>
      <c r="G215">
        <v>0</v>
      </c>
      <c r="H215">
        <f t="shared" si="6"/>
        <v>5.0999999999999996</v>
      </c>
      <c r="I215" s="43" t="s">
        <v>1115</v>
      </c>
      <c r="K215" t="e">
        <f>_xlfn.XLOOKUP($J215,'Leveranser per nät'!$A$4:$A$524,'Leveranser per nät'!$A$4:$A$524)</f>
        <v>#N/A</v>
      </c>
      <c r="L215">
        <f t="shared" si="7"/>
        <v>0</v>
      </c>
    </row>
    <row r="216" spans="1:12" x14ac:dyDescent="0.25">
      <c r="A216" t="s">
        <v>1100</v>
      </c>
      <c r="B216" t="s">
        <v>86</v>
      </c>
      <c r="C216">
        <v>2022</v>
      </c>
      <c r="D216">
        <v>10.1</v>
      </c>
      <c r="E216">
        <v>0</v>
      </c>
      <c r="F216">
        <v>0</v>
      </c>
      <c r="G216">
        <v>0</v>
      </c>
      <c r="H216">
        <f t="shared" si="6"/>
        <v>10.1</v>
      </c>
      <c r="I216" t="s">
        <v>86</v>
      </c>
      <c r="J216" t="s">
        <v>86</v>
      </c>
      <c r="K216" t="str">
        <f>_xlfn.XLOOKUP($J216,'Leveranser per nät'!$A$4:$A$524,'Leveranser per nät'!$A$4:$A$524)</f>
        <v>Lagan</v>
      </c>
      <c r="L216">
        <f t="shared" si="7"/>
        <v>10.1</v>
      </c>
    </row>
    <row r="217" spans="1:12" x14ac:dyDescent="0.25">
      <c r="A217" t="s">
        <v>1100</v>
      </c>
      <c r="B217" t="s">
        <v>76</v>
      </c>
      <c r="C217">
        <v>2022</v>
      </c>
      <c r="D217">
        <v>13.3</v>
      </c>
      <c r="E217">
        <v>0</v>
      </c>
      <c r="F217">
        <v>0</v>
      </c>
      <c r="G217">
        <v>0</v>
      </c>
      <c r="H217">
        <f t="shared" si="6"/>
        <v>13.3</v>
      </c>
      <c r="I217" t="s">
        <v>76</v>
      </c>
      <c r="J217" t="s">
        <v>76</v>
      </c>
      <c r="K217" t="str">
        <f>_xlfn.XLOOKUP($J217,'Leveranser per nät'!$A$4:$A$524,'Leveranser per nät'!$A$4:$A$524)</f>
        <v>Lammhult</v>
      </c>
      <c r="L217">
        <f t="shared" si="7"/>
        <v>13.3</v>
      </c>
    </row>
    <row r="218" spans="1:12" x14ac:dyDescent="0.25">
      <c r="A218" t="s">
        <v>1100</v>
      </c>
      <c r="B218" t="s">
        <v>83</v>
      </c>
      <c r="C218">
        <v>2022</v>
      </c>
      <c r="D218">
        <v>14.887</v>
      </c>
      <c r="E218">
        <v>0</v>
      </c>
      <c r="F218">
        <v>0</v>
      </c>
      <c r="G218">
        <v>0</v>
      </c>
      <c r="H218">
        <f t="shared" si="6"/>
        <v>14.887</v>
      </c>
      <c r="I218" t="s">
        <v>83</v>
      </c>
      <c r="J218" t="s">
        <v>83</v>
      </c>
      <c r="K218" t="str">
        <f>_xlfn.XLOOKUP($J218,'Leveranser per nät'!$A$4:$A$524,'Leveranser per nät'!$A$4:$A$524)</f>
        <v>Landvetter</v>
      </c>
      <c r="L218">
        <f t="shared" si="7"/>
        <v>14.887</v>
      </c>
    </row>
    <row r="219" spans="1:12" x14ac:dyDescent="0.25">
      <c r="A219" t="s">
        <v>1100</v>
      </c>
      <c r="B219" t="s">
        <v>490</v>
      </c>
      <c r="C219">
        <v>2022</v>
      </c>
      <c r="D219">
        <v>6.3</v>
      </c>
      <c r="E219">
        <v>0</v>
      </c>
      <c r="F219">
        <v>0</v>
      </c>
      <c r="G219">
        <v>0</v>
      </c>
      <c r="H219">
        <f t="shared" si="6"/>
        <v>6.3</v>
      </c>
      <c r="I219" t="s">
        <v>490</v>
      </c>
      <c r="J219" t="s">
        <v>490</v>
      </c>
      <c r="K219" t="str">
        <f>_xlfn.XLOOKUP($J219,'Leveranser per nät'!$A$4:$A$524,'Leveranser per nät'!$A$4:$A$524)</f>
        <v>Lidhult</v>
      </c>
      <c r="L219">
        <f t="shared" si="7"/>
        <v>6.3</v>
      </c>
    </row>
    <row r="220" spans="1:12" x14ac:dyDescent="0.25">
      <c r="A220" t="s">
        <v>1100</v>
      </c>
      <c r="B220" t="s">
        <v>200</v>
      </c>
      <c r="C220">
        <v>2022</v>
      </c>
      <c r="D220">
        <v>13.9</v>
      </c>
      <c r="E220">
        <v>0</v>
      </c>
      <c r="F220">
        <v>0</v>
      </c>
      <c r="G220">
        <v>0</v>
      </c>
      <c r="H220">
        <f t="shared" si="6"/>
        <v>13.9</v>
      </c>
      <c r="I220" t="s">
        <v>200</v>
      </c>
      <c r="J220" t="s">
        <v>200</v>
      </c>
      <c r="K220" t="str">
        <f>_xlfn.XLOOKUP($J220,'Leveranser per nät'!$A$4:$A$524,'Leveranser per nät'!$A$4:$A$524)</f>
        <v>Malmköping</v>
      </c>
      <c r="L220">
        <f t="shared" si="7"/>
        <v>13.9</v>
      </c>
    </row>
    <row r="221" spans="1:12" x14ac:dyDescent="0.25">
      <c r="A221" t="s">
        <v>1100</v>
      </c>
      <c r="B221" t="s">
        <v>82</v>
      </c>
      <c r="C221">
        <v>2022</v>
      </c>
      <c r="D221">
        <v>18.5</v>
      </c>
      <c r="E221">
        <v>0</v>
      </c>
      <c r="F221">
        <v>0</v>
      </c>
      <c r="G221">
        <v>0</v>
      </c>
      <c r="H221">
        <f t="shared" si="6"/>
        <v>18.5</v>
      </c>
      <c r="I221" t="s">
        <v>82</v>
      </c>
      <c r="J221" t="s">
        <v>82</v>
      </c>
      <c r="K221" t="str">
        <f>_xlfn.XLOOKUP($J221,'Leveranser per nät'!$A$4:$A$524,'Leveranser per nät'!$A$4:$A$524)</f>
        <v>Markaryd</v>
      </c>
      <c r="L221">
        <f t="shared" si="7"/>
        <v>18.5</v>
      </c>
    </row>
    <row r="222" spans="1:12" x14ac:dyDescent="0.25">
      <c r="A222" t="s">
        <v>1100</v>
      </c>
      <c r="B222" t="s">
        <v>84</v>
      </c>
      <c r="C222">
        <v>2022</v>
      </c>
      <c r="D222">
        <v>46.738</v>
      </c>
      <c r="E222">
        <v>0</v>
      </c>
      <c r="F222">
        <v>0</v>
      </c>
      <c r="G222">
        <v>0</v>
      </c>
      <c r="H222">
        <f t="shared" si="6"/>
        <v>46.738</v>
      </c>
      <c r="I222" t="s">
        <v>84</v>
      </c>
      <c r="J222" t="s">
        <v>84</v>
      </c>
      <c r="K222" t="str">
        <f>_xlfn.XLOOKUP($J222,'Leveranser per nät'!$A$4:$A$524,'Leveranser per nät'!$A$4:$A$524)</f>
        <v>Mölnlycke</v>
      </c>
      <c r="L222">
        <f t="shared" si="7"/>
        <v>46.738</v>
      </c>
    </row>
    <row r="223" spans="1:12" x14ac:dyDescent="0.25">
      <c r="A223" t="s">
        <v>1100</v>
      </c>
      <c r="B223" t="s">
        <v>80</v>
      </c>
      <c r="C223">
        <v>2022</v>
      </c>
      <c r="D223">
        <v>46.6</v>
      </c>
      <c r="E223">
        <v>0</v>
      </c>
      <c r="F223">
        <v>0</v>
      </c>
      <c r="G223">
        <v>0</v>
      </c>
      <c r="H223">
        <f t="shared" si="6"/>
        <v>46.6</v>
      </c>
      <c r="I223" t="s">
        <v>80</v>
      </c>
      <c r="J223" t="s">
        <v>80</v>
      </c>
      <c r="K223" t="str">
        <f>_xlfn.XLOOKUP($J223,'Leveranser per nät'!$A$4:$A$524,'Leveranser per nät'!$A$4:$A$524)</f>
        <v>Mönsterås</v>
      </c>
      <c r="L223">
        <f t="shared" si="7"/>
        <v>46.6</v>
      </c>
    </row>
    <row r="224" spans="1:12" x14ac:dyDescent="0.25">
      <c r="A224" t="s">
        <v>1100</v>
      </c>
      <c r="B224" t="s">
        <v>70</v>
      </c>
      <c r="C224">
        <v>2022</v>
      </c>
      <c r="D224">
        <v>29.503</v>
      </c>
      <c r="E224">
        <v>0</v>
      </c>
      <c r="F224">
        <v>0</v>
      </c>
      <c r="G224">
        <v>0</v>
      </c>
      <c r="H224">
        <f t="shared" si="6"/>
        <v>29.503</v>
      </c>
      <c r="I224" t="s">
        <v>70</v>
      </c>
      <c r="J224" t="s">
        <v>70</v>
      </c>
      <c r="K224" t="str">
        <f>_xlfn.XLOOKUP($J224,'Leveranser per nät'!$A$4:$A$524,'Leveranser per nät'!$A$4:$A$524)</f>
        <v>Nora</v>
      </c>
      <c r="L224">
        <f t="shared" si="7"/>
        <v>29.503</v>
      </c>
    </row>
    <row r="225" spans="1:12" x14ac:dyDescent="0.25">
      <c r="A225" t="s">
        <v>1100</v>
      </c>
      <c r="B225" t="s">
        <v>51</v>
      </c>
      <c r="C225">
        <v>2022</v>
      </c>
      <c r="D225">
        <v>10.89</v>
      </c>
      <c r="E225">
        <v>0</v>
      </c>
      <c r="F225">
        <v>0</v>
      </c>
      <c r="G225">
        <v>0</v>
      </c>
      <c r="H225">
        <f t="shared" si="6"/>
        <v>10.89</v>
      </c>
      <c r="I225" t="s">
        <v>51</v>
      </c>
      <c r="J225" t="s">
        <v>51</v>
      </c>
      <c r="K225" t="str">
        <f>_xlfn.XLOOKUP($J225,'Leveranser per nät'!$A$4:$A$524,'Leveranser per nät'!$A$4:$A$524)</f>
        <v>Nordmaling</v>
      </c>
      <c r="L225">
        <f t="shared" si="7"/>
        <v>10.89</v>
      </c>
    </row>
    <row r="226" spans="1:12" x14ac:dyDescent="0.25">
      <c r="A226" t="s">
        <v>1100</v>
      </c>
      <c r="B226" t="s">
        <v>56</v>
      </c>
      <c r="C226">
        <v>2022</v>
      </c>
      <c r="D226">
        <v>4.8719999999999999</v>
      </c>
      <c r="E226">
        <v>0</v>
      </c>
      <c r="F226">
        <v>0</v>
      </c>
      <c r="G226">
        <v>0</v>
      </c>
      <c r="H226">
        <f t="shared" si="6"/>
        <v>4.8719999999999999</v>
      </c>
      <c r="I226" t="s">
        <v>56</v>
      </c>
      <c r="J226" t="s">
        <v>56</v>
      </c>
      <c r="K226" t="str">
        <f>_xlfn.XLOOKUP($J226,'Leveranser per nät'!$A$4:$A$524,'Leveranser per nät'!$A$4:$A$524)</f>
        <v>Odensbacken</v>
      </c>
      <c r="L226">
        <f t="shared" si="7"/>
        <v>4.8719999999999999</v>
      </c>
    </row>
    <row r="227" spans="1:12" x14ac:dyDescent="0.25">
      <c r="A227" t="s">
        <v>1100</v>
      </c>
      <c r="B227" t="s">
        <v>1119</v>
      </c>
      <c r="C227">
        <v>2022</v>
      </c>
      <c r="D227">
        <v>0.72299999999999998</v>
      </c>
      <c r="E227">
        <v>0</v>
      </c>
      <c r="F227">
        <v>0</v>
      </c>
      <c r="G227">
        <v>0</v>
      </c>
      <c r="H227">
        <f t="shared" si="6"/>
        <v>0.72299999999999998</v>
      </c>
      <c r="I227" t="s">
        <v>1119</v>
      </c>
      <c r="J227" t="s">
        <v>1064</v>
      </c>
      <c r="K227" t="str">
        <f>_xlfn.XLOOKUP($J227,'Leveranser per nät'!$A$4:$A$524,'Leveranser per nät'!$A$4:$A$524)</f>
        <v>Hallsberg- Örebro- Kumla</v>
      </c>
      <c r="L227">
        <f t="shared" si="7"/>
        <v>937.60299999999995</v>
      </c>
    </row>
    <row r="228" spans="1:12" x14ac:dyDescent="0.25">
      <c r="A228" t="s">
        <v>1100</v>
      </c>
      <c r="B228" t="s">
        <v>73</v>
      </c>
      <c r="C228">
        <v>2022</v>
      </c>
      <c r="D228">
        <v>7.3380000000000001</v>
      </c>
      <c r="E228">
        <v>0</v>
      </c>
      <c r="F228">
        <v>0</v>
      </c>
      <c r="G228">
        <v>0</v>
      </c>
      <c r="H228">
        <f t="shared" si="6"/>
        <v>7.3380000000000001</v>
      </c>
      <c r="I228" t="s">
        <v>73</v>
      </c>
      <c r="J228" t="s">
        <v>73</v>
      </c>
      <c r="K228" t="str">
        <f>_xlfn.XLOOKUP($J228,'Leveranser per nät'!$A$4:$A$524,'Leveranser per nät'!$A$4:$A$524)</f>
        <v>Rundvik</v>
      </c>
      <c r="L228">
        <f t="shared" si="7"/>
        <v>7.3380000000000001</v>
      </c>
    </row>
    <row r="229" spans="1:12" x14ac:dyDescent="0.25">
      <c r="A229" t="s">
        <v>1100</v>
      </c>
      <c r="B229" t="s">
        <v>87</v>
      </c>
      <c r="C229">
        <v>2022</v>
      </c>
      <c r="D229">
        <v>11.7</v>
      </c>
      <c r="E229">
        <v>0</v>
      </c>
      <c r="F229">
        <v>0</v>
      </c>
      <c r="G229">
        <v>0</v>
      </c>
      <c r="H229">
        <f t="shared" si="6"/>
        <v>11.7</v>
      </c>
      <c r="I229" t="s">
        <v>87</v>
      </c>
      <c r="J229" t="s">
        <v>87</v>
      </c>
      <c r="K229" t="str">
        <f>_xlfn.XLOOKUP($J229,'Leveranser per nät'!$A$4:$A$524,'Leveranser per nät'!$A$4:$A$524)</f>
        <v>Ryd</v>
      </c>
      <c r="L229">
        <f t="shared" si="7"/>
        <v>11.7</v>
      </c>
    </row>
    <row r="230" spans="1:12" x14ac:dyDescent="0.25">
      <c r="A230" t="s">
        <v>1100</v>
      </c>
      <c r="B230" t="s">
        <v>1120</v>
      </c>
      <c r="C230">
        <v>2022</v>
      </c>
      <c r="D230">
        <v>5.0999999999999996</v>
      </c>
      <c r="E230">
        <v>0</v>
      </c>
      <c r="F230">
        <v>0</v>
      </c>
      <c r="G230">
        <v>0</v>
      </c>
      <c r="H230">
        <f t="shared" si="6"/>
        <v>5.0999999999999996</v>
      </c>
      <c r="I230" s="43" t="s">
        <v>1120</v>
      </c>
      <c r="K230" t="e">
        <f>_xlfn.XLOOKUP($J230,'Leveranser per nät'!$A$4:$A$524,'Leveranser per nät'!$A$4:$A$524)</f>
        <v>#N/A</v>
      </c>
      <c r="L230">
        <f t="shared" si="7"/>
        <v>0</v>
      </c>
    </row>
    <row r="231" spans="1:12" x14ac:dyDescent="0.25">
      <c r="A231" t="s">
        <v>1100</v>
      </c>
      <c r="B231" t="s">
        <v>244</v>
      </c>
      <c r="C231">
        <v>2022</v>
      </c>
      <c r="D231">
        <v>26</v>
      </c>
      <c r="E231">
        <v>0</v>
      </c>
      <c r="F231">
        <v>0</v>
      </c>
      <c r="G231">
        <v>0</v>
      </c>
      <c r="H231">
        <f t="shared" si="6"/>
        <v>26</v>
      </c>
      <c r="I231" t="s">
        <v>244</v>
      </c>
      <c r="J231" t="s">
        <v>244</v>
      </c>
      <c r="K231" t="str">
        <f>_xlfn.XLOOKUP($J231,'Leveranser per nät'!$A$4:$A$524,'Leveranser per nät'!$A$4:$A$524)</f>
        <v>Sjöbo</v>
      </c>
      <c r="L231">
        <f t="shared" si="7"/>
        <v>26</v>
      </c>
    </row>
    <row r="232" spans="1:12" x14ac:dyDescent="0.25">
      <c r="A232" t="s">
        <v>1100</v>
      </c>
      <c r="B232" t="s">
        <v>55</v>
      </c>
      <c r="C232">
        <v>2022</v>
      </c>
      <c r="D232">
        <v>13.452999999999999</v>
      </c>
      <c r="E232">
        <v>0</v>
      </c>
      <c r="F232">
        <v>0</v>
      </c>
      <c r="G232">
        <v>0</v>
      </c>
      <c r="H232">
        <f t="shared" si="6"/>
        <v>13.452999999999999</v>
      </c>
      <c r="I232" t="s">
        <v>55</v>
      </c>
      <c r="J232" t="s">
        <v>55</v>
      </c>
      <c r="K232" t="str">
        <f>_xlfn.XLOOKUP($J232,'Leveranser per nät'!$A$4:$A$524,'Leveranser per nät'!$A$4:$A$524)</f>
        <v>Skinnskatteberg</v>
      </c>
      <c r="L232">
        <f t="shared" si="7"/>
        <v>13.452999999999999</v>
      </c>
    </row>
    <row r="233" spans="1:12" x14ac:dyDescent="0.25">
      <c r="A233" t="s">
        <v>1100</v>
      </c>
      <c r="B233" t="s">
        <v>495</v>
      </c>
      <c r="C233">
        <v>2022</v>
      </c>
      <c r="D233">
        <v>9.9</v>
      </c>
      <c r="E233">
        <v>0</v>
      </c>
      <c r="F233">
        <v>0</v>
      </c>
      <c r="G233">
        <v>0</v>
      </c>
      <c r="H233">
        <f t="shared" si="6"/>
        <v>9.9</v>
      </c>
      <c r="I233" t="s">
        <v>495</v>
      </c>
      <c r="J233" t="s">
        <v>495</v>
      </c>
      <c r="K233" t="str">
        <f>_xlfn.XLOOKUP($J233,'Leveranser per nät'!$A$4:$A$524,'Leveranser per nät'!$A$4:$A$524)</f>
        <v>Strömsnäsbruk</v>
      </c>
      <c r="L233">
        <f t="shared" si="7"/>
        <v>9.9</v>
      </c>
    </row>
    <row r="234" spans="1:12" x14ac:dyDescent="0.25">
      <c r="A234" t="s">
        <v>1100</v>
      </c>
      <c r="B234" t="s">
        <v>236</v>
      </c>
      <c r="C234">
        <v>2022</v>
      </c>
      <c r="D234">
        <v>33.226999999999997</v>
      </c>
      <c r="E234">
        <v>0</v>
      </c>
      <c r="F234">
        <v>0</v>
      </c>
      <c r="G234">
        <v>0</v>
      </c>
      <c r="H234">
        <f t="shared" si="6"/>
        <v>33.226999999999997</v>
      </c>
      <c r="I234" t="s">
        <v>236</v>
      </c>
      <c r="J234" t="s">
        <v>236</v>
      </c>
      <c r="K234" t="str">
        <f>_xlfn.XLOOKUP($J234,'Leveranser per nät'!$A$4:$A$524,'Leveranser per nät'!$A$4:$A$524)</f>
        <v>Sunne</v>
      </c>
      <c r="L234">
        <f t="shared" si="7"/>
        <v>33.226999999999997</v>
      </c>
    </row>
    <row r="235" spans="1:12" x14ac:dyDescent="0.25">
      <c r="A235" t="s">
        <v>1100</v>
      </c>
      <c r="B235" t="s">
        <v>42</v>
      </c>
      <c r="C235">
        <v>2022</v>
      </c>
      <c r="D235">
        <v>15.8</v>
      </c>
      <c r="E235">
        <v>0</v>
      </c>
      <c r="F235">
        <v>0</v>
      </c>
      <c r="G235">
        <v>0</v>
      </c>
      <c r="H235">
        <f t="shared" si="6"/>
        <v>15.8</v>
      </c>
      <c r="I235" t="s">
        <v>42</v>
      </c>
      <c r="J235" t="s">
        <v>42</v>
      </c>
      <c r="K235" t="str">
        <f>_xlfn.XLOOKUP($J235,'Leveranser per nät'!$A$4:$A$524,'Leveranser per nät'!$A$4:$A$524)</f>
        <v>Svalöv</v>
      </c>
      <c r="L235">
        <f t="shared" si="7"/>
        <v>15.8</v>
      </c>
    </row>
    <row r="236" spans="1:12" x14ac:dyDescent="0.25">
      <c r="A236" t="s">
        <v>1100</v>
      </c>
      <c r="B236" t="s">
        <v>48</v>
      </c>
      <c r="C236">
        <v>2022</v>
      </c>
      <c r="D236">
        <v>25.927</v>
      </c>
      <c r="E236">
        <v>0</v>
      </c>
      <c r="F236">
        <v>0</v>
      </c>
      <c r="G236">
        <v>0</v>
      </c>
      <c r="H236">
        <f t="shared" si="6"/>
        <v>25.927</v>
      </c>
      <c r="I236" t="s">
        <v>48</v>
      </c>
      <c r="J236" t="s">
        <v>48</v>
      </c>
      <c r="K236" t="str">
        <f>_xlfn.XLOOKUP($J236,'Leveranser per nät'!$A$4:$A$524,'Leveranser per nät'!$A$4:$A$524)</f>
        <v>Sveg</v>
      </c>
      <c r="L236">
        <f t="shared" si="7"/>
        <v>25.927</v>
      </c>
    </row>
    <row r="237" spans="1:12" x14ac:dyDescent="0.25">
      <c r="A237" t="s">
        <v>1100</v>
      </c>
      <c r="B237" t="s">
        <v>298</v>
      </c>
      <c r="C237">
        <v>2022</v>
      </c>
      <c r="D237">
        <v>34.341000000000001</v>
      </c>
      <c r="E237">
        <v>0</v>
      </c>
      <c r="F237">
        <v>0</v>
      </c>
      <c r="G237">
        <v>0</v>
      </c>
      <c r="H237">
        <f t="shared" si="6"/>
        <v>34.341000000000001</v>
      </c>
      <c r="I237" t="s">
        <v>298</v>
      </c>
      <c r="J237" t="s">
        <v>298</v>
      </c>
      <c r="K237" t="str">
        <f>_xlfn.XLOOKUP($J237,'Leveranser per nät'!$A$4:$A$524,'Leveranser per nät'!$A$4:$A$524)</f>
        <v>Svenljunga</v>
      </c>
      <c r="L237">
        <f t="shared" si="7"/>
        <v>34.341000000000001</v>
      </c>
    </row>
    <row r="238" spans="1:12" x14ac:dyDescent="0.25">
      <c r="A238" t="s">
        <v>1100</v>
      </c>
      <c r="B238" t="s">
        <v>245</v>
      </c>
      <c r="C238">
        <v>2022</v>
      </c>
      <c r="D238">
        <v>29.5</v>
      </c>
      <c r="E238">
        <v>0</v>
      </c>
      <c r="F238">
        <v>0</v>
      </c>
      <c r="G238">
        <v>0</v>
      </c>
      <c r="H238">
        <f t="shared" si="6"/>
        <v>29.5</v>
      </c>
      <c r="I238" t="s">
        <v>245</v>
      </c>
      <c r="J238" t="s">
        <v>245</v>
      </c>
      <c r="K238" t="str">
        <f>_xlfn.XLOOKUP($J238,'Leveranser per nät'!$A$4:$A$524,'Leveranser per nät'!$A$4:$A$524)</f>
        <v>Tomelilla</v>
      </c>
      <c r="L238">
        <f t="shared" si="7"/>
        <v>29.5</v>
      </c>
    </row>
    <row r="239" spans="1:12" x14ac:dyDescent="0.25">
      <c r="A239" t="s">
        <v>1100</v>
      </c>
      <c r="B239" t="s">
        <v>1144</v>
      </c>
      <c r="C239">
        <v>2022</v>
      </c>
      <c r="D239">
        <v>5.8849999999999998</v>
      </c>
      <c r="E239">
        <v>0</v>
      </c>
      <c r="F239">
        <v>0</v>
      </c>
      <c r="G239">
        <v>0</v>
      </c>
      <c r="H239">
        <f t="shared" si="6"/>
        <v>5.8849999999999998</v>
      </c>
      <c r="I239" s="43" t="s">
        <v>1144</v>
      </c>
      <c r="K239" t="e">
        <f>_xlfn.XLOOKUP($J239,'Leveranser per nät'!$A$4:$A$524,'Leveranser per nät'!$A$4:$A$524)</f>
        <v>#N/A</v>
      </c>
      <c r="L239">
        <f t="shared" si="7"/>
        <v>0</v>
      </c>
    </row>
    <row r="240" spans="1:12" x14ac:dyDescent="0.25">
      <c r="A240" t="s">
        <v>1100</v>
      </c>
      <c r="B240" t="s">
        <v>238</v>
      </c>
      <c r="C240">
        <v>2022</v>
      </c>
      <c r="D240">
        <v>35.200000000000003</v>
      </c>
      <c r="E240">
        <v>0</v>
      </c>
      <c r="F240">
        <v>0</v>
      </c>
      <c r="G240">
        <v>0</v>
      </c>
      <c r="H240">
        <f t="shared" si="6"/>
        <v>35.200000000000003</v>
      </c>
      <c r="I240" t="s">
        <v>238</v>
      </c>
      <c r="J240" t="s">
        <v>238</v>
      </c>
      <c r="K240" t="str">
        <f>_xlfn.XLOOKUP($J240,'Leveranser per nät'!$A$4:$A$524,'Leveranser per nät'!$A$4:$A$524)</f>
        <v>Vadstena</v>
      </c>
      <c r="L240">
        <f t="shared" si="7"/>
        <v>35.200000000000003</v>
      </c>
    </row>
    <row r="241" spans="1:12" x14ac:dyDescent="0.25">
      <c r="A241" t="s">
        <v>1100</v>
      </c>
      <c r="B241" t="s">
        <v>45</v>
      </c>
      <c r="C241">
        <v>2022</v>
      </c>
      <c r="D241">
        <v>35.270000000000003</v>
      </c>
      <c r="E241">
        <v>0</v>
      </c>
      <c r="F241">
        <v>0</v>
      </c>
      <c r="G241">
        <v>0</v>
      </c>
      <c r="H241">
        <f t="shared" si="6"/>
        <v>35.270000000000003</v>
      </c>
      <c r="I241" t="s">
        <v>45</v>
      </c>
      <c r="J241" t="s">
        <v>45</v>
      </c>
      <c r="K241" t="str">
        <f>_xlfn.XLOOKUP($J241,'Leveranser per nät'!$A$4:$A$524,'Leveranser per nät'!$A$4:$A$524)</f>
        <v>Vilhelmina</v>
      </c>
      <c r="L241">
        <f t="shared" si="7"/>
        <v>35.270000000000003</v>
      </c>
    </row>
    <row r="242" spans="1:12" x14ac:dyDescent="0.25">
      <c r="A242" t="s">
        <v>1100</v>
      </c>
      <c r="B242" t="s">
        <v>240</v>
      </c>
      <c r="C242">
        <v>2022</v>
      </c>
      <c r="D242">
        <v>19.5</v>
      </c>
      <c r="E242">
        <v>0</v>
      </c>
      <c r="F242">
        <v>0</v>
      </c>
      <c r="G242">
        <v>0</v>
      </c>
      <c r="H242">
        <f t="shared" si="6"/>
        <v>19.5</v>
      </c>
      <c r="I242" t="s">
        <v>240</v>
      </c>
      <c r="J242" t="s">
        <v>240</v>
      </c>
      <c r="K242" t="str">
        <f>_xlfn.XLOOKUP($J242,'Leveranser per nät'!$A$4:$A$524,'Leveranser per nät'!$A$4:$A$524)</f>
        <v>Vingåker</v>
      </c>
      <c r="L242">
        <f t="shared" si="7"/>
        <v>19.5</v>
      </c>
    </row>
    <row r="243" spans="1:12" x14ac:dyDescent="0.25">
      <c r="A243" t="s">
        <v>1100</v>
      </c>
      <c r="B243" t="s">
        <v>1191</v>
      </c>
      <c r="C243">
        <v>2022</v>
      </c>
      <c r="D243">
        <v>3.286</v>
      </c>
      <c r="E243">
        <v>0</v>
      </c>
      <c r="F243">
        <v>0</v>
      </c>
      <c r="G243">
        <v>0</v>
      </c>
      <c r="H243">
        <f t="shared" si="6"/>
        <v>3.286</v>
      </c>
      <c r="I243" s="43" t="s">
        <v>1191</v>
      </c>
      <c r="K243" t="e">
        <f>_xlfn.XLOOKUP($J243,'Leveranser per nät'!$A$4:$A$524,'Leveranser per nät'!$A$4:$A$524)</f>
        <v>#N/A</v>
      </c>
      <c r="L243">
        <f t="shared" si="7"/>
        <v>0</v>
      </c>
    </row>
    <row r="244" spans="1:12" x14ac:dyDescent="0.25">
      <c r="A244" t="s">
        <v>1100</v>
      </c>
      <c r="B244" t="s">
        <v>248</v>
      </c>
      <c r="C244">
        <v>2022</v>
      </c>
      <c r="D244">
        <v>36.299999999999997</v>
      </c>
      <c r="E244">
        <v>0</v>
      </c>
      <c r="F244">
        <v>0</v>
      </c>
      <c r="G244">
        <v>0</v>
      </c>
      <c r="H244">
        <f t="shared" si="6"/>
        <v>36.299999999999997</v>
      </c>
      <c r="I244" t="s">
        <v>248</v>
      </c>
      <c r="J244" t="s">
        <v>248</v>
      </c>
      <c r="K244" t="str">
        <f>_xlfn.XLOOKUP($J244,'Leveranser per nät'!$A$4:$A$524,'Leveranser per nät'!$A$4:$A$524)</f>
        <v>Vårgårda</v>
      </c>
      <c r="L244">
        <f t="shared" si="7"/>
        <v>36.299999999999997</v>
      </c>
    </row>
    <row r="245" spans="1:12" x14ac:dyDescent="0.25">
      <c r="A245" t="s">
        <v>1100</v>
      </c>
      <c r="B245" t="s">
        <v>50</v>
      </c>
      <c r="C245">
        <v>2022</v>
      </c>
      <c r="D245">
        <v>34.96</v>
      </c>
      <c r="E245">
        <v>0</v>
      </c>
      <c r="F245">
        <v>0</v>
      </c>
      <c r="G245">
        <v>0</v>
      </c>
      <c r="H245">
        <f t="shared" si="6"/>
        <v>34.96</v>
      </c>
      <c r="I245" t="s">
        <v>50</v>
      </c>
      <c r="J245" t="s">
        <v>50</v>
      </c>
      <c r="K245" t="str">
        <f>_xlfn.XLOOKUP($J245,'Leveranser per nät'!$A$4:$A$524,'Leveranser per nät'!$A$4:$A$524)</f>
        <v>Vännäs</v>
      </c>
      <c r="L245">
        <f t="shared" si="7"/>
        <v>34.96</v>
      </c>
    </row>
    <row r="246" spans="1:12" x14ac:dyDescent="0.25">
      <c r="A246" t="s">
        <v>1100</v>
      </c>
      <c r="B246" t="s">
        <v>730</v>
      </c>
      <c r="C246">
        <v>2022</v>
      </c>
      <c r="D246">
        <v>4.3609999999999998</v>
      </c>
      <c r="E246">
        <v>0</v>
      </c>
      <c r="F246">
        <v>0</v>
      </c>
      <c r="G246">
        <v>0</v>
      </c>
      <c r="H246">
        <f t="shared" si="6"/>
        <v>4.3609999999999998</v>
      </c>
      <c r="I246" t="s">
        <v>730</v>
      </c>
      <c r="K246" t="e">
        <f>_xlfn.XLOOKUP($J246,'Leveranser per nät'!$A$4:$A$524,'Leveranser per nät'!$A$4:$A$524)</f>
        <v>#N/A</v>
      </c>
      <c r="L246">
        <f t="shared" si="7"/>
        <v>0</v>
      </c>
    </row>
    <row r="247" spans="1:12" x14ac:dyDescent="0.25">
      <c r="A247" t="s">
        <v>1100</v>
      </c>
      <c r="B247" t="s">
        <v>249</v>
      </c>
      <c r="C247">
        <v>2022</v>
      </c>
      <c r="D247">
        <v>19.331</v>
      </c>
      <c r="E247">
        <v>0</v>
      </c>
      <c r="F247">
        <v>0</v>
      </c>
      <c r="G247">
        <v>0</v>
      </c>
      <c r="H247">
        <f t="shared" si="6"/>
        <v>19.331</v>
      </c>
      <c r="I247" t="s">
        <v>249</v>
      </c>
      <c r="J247" t="s">
        <v>249</v>
      </c>
      <c r="K247" t="str">
        <f>_xlfn.XLOOKUP($J247,'Leveranser per nät'!$A$4:$A$524,'Leveranser per nät'!$A$4:$A$524)</f>
        <v>Västerdala</v>
      </c>
      <c r="L247">
        <f t="shared" si="7"/>
        <v>19.331</v>
      </c>
    </row>
    <row r="248" spans="1:12" x14ac:dyDescent="0.25">
      <c r="A248" t="s">
        <v>1100</v>
      </c>
      <c r="B248" t="s">
        <v>77</v>
      </c>
      <c r="C248">
        <v>2022</v>
      </c>
      <c r="D248">
        <v>16.850000000000001</v>
      </c>
      <c r="E248">
        <v>0</v>
      </c>
      <c r="F248">
        <v>0</v>
      </c>
      <c r="G248">
        <v>0</v>
      </c>
      <c r="H248">
        <f t="shared" si="6"/>
        <v>16.850000000000001</v>
      </c>
      <c r="I248" t="s">
        <v>77</v>
      </c>
      <c r="J248" t="s">
        <v>77</v>
      </c>
      <c r="K248" t="str">
        <f>_xlfn.XLOOKUP($J248,'Leveranser per nät'!$A$4:$A$524,'Leveranser per nät'!$A$4:$A$524)</f>
        <v>Åseda</v>
      </c>
      <c r="L248">
        <f t="shared" si="7"/>
        <v>16.850000000000001</v>
      </c>
    </row>
    <row r="249" spans="1:12" x14ac:dyDescent="0.25">
      <c r="A249" t="s">
        <v>1100</v>
      </c>
      <c r="B249" t="s">
        <v>438</v>
      </c>
      <c r="C249">
        <v>2022</v>
      </c>
      <c r="D249">
        <v>9.5609999999999999</v>
      </c>
      <c r="E249">
        <v>0</v>
      </c>
      <c r="F249">
        <v>0</v>
      </c>
      <c r="G249">
        <v>0</v>
      </c>
      <c r="H249">
        <f t="shared" si="6"/>
        <v>9.5609999999999999</v>
      </c>
      <c r="I249" t="s">
        <v>438</v>
      </c>
      <c r="J249" t="s">
        <v>438</v>
      </c>
      <c r="K249" t="str">
        <f>_xlfn.XLOOKUP($J249,'Leveranser per nät'!$A$4:$A$524,'Leveranser per nät'!$A$4:$A$524)</f>
        <v>Älvdalen</v>
      </c>
      <c r="L249">
        <f t="shared" si="7"/>
        <v>9.5609999999999999</v>
      </c>
    </row>
    <row r="250" spans="1:12" x14ac:dyDescent="0.25">
      <c r="A250" t="s">
        <v>1192</v>
      </c>
      <c r="B250" t="s">
        <v>285</v>
      </c>
      <c r="C250">
        <v>2022</v>
      </c>
      <c r="D250">
        <v>138.35900000000001</v>
      </c>
      <c r="E250">
        <v>0</v>
      </c>
      <c r="F250">
        <v>0</v>
      </c>
      <c r="G250">
        <v>0</v>
      </c>
      <c r="H250">
        <f t="shared" si="6"/>
        <v>138.35900000000001</v>
      </c>
      <c r="I250" t="s">
        <v>285</v>
      </c>
      <c r="J250" t="s">
        <v>285</v>
      </c>
      <c r="K250" t="str">
        <f>_xlfn.XLOOKUP($J250,'Leveranser per nät'!$A$4:$A$524,'Leveranser per nät'!$A$4:$A$524)</f>
        <v>Strängnäs</v>
      </c>
      <c r="L250">
        <f t="shared" si="7"/>
        <v>138.35900000000001</v>
      </c>
    </row>
    <row r="251" spans="1:12" x14ac:dyDescent="0.25">
      <c r="A251" t="s">
        <v>655</v>
      </c>
      <c r="B251" t="s">
        <v>283</v>
      </c>
      <c r="C251">
        <v>2022</v>
      </c>
      <c r="D251">
        <v>117.44</v>
      </c>
      <c r="E251">
        <v>0</v>
      </c>
      <c r="F251">
        <v>0</v>
      </c>
      <c r="G251">
        <v>0</v>
      </c>
      <c r="H251">
        <f t="shared" si="6"/>
        <v>117.44</v>
      </c>
      <c r="I251" t="s">
        <v>283</v>
      </c>
      <c r="J251" t="s">
        <v>283</v>
      </c>
      <c r="K251" t="str">
        <f>_xlfn.XLOOKUP($J251,'Leveranser per nät'!$A$4:$A$524,'Leveranser per nät'!$A$4:$A$524)</f>
        <v>Kungsbacka</v>
      </c>
      <c r="L251">
        <f t="shared" si="7"/>
        <v>117.44</v>
      </c>
    </row>
    <row r="252" spans="1:12" x14ac:dyDescent="0.25">
      <c r="A252" t="s">
        <v>655</v>
      </c>
      <c r="B252" t="s">
        <v>282</v>
      </c>
      <c r="C252">
        <v>2022</v>
      </c>
      <c r="D252">
        <v>21.28</v>
      </c>
      <c r="E252">
        <v>0</v>
      </c>
      <c r="F252">
        <v>0</v>
      </c>
      <c r="G252">
        <v>0</v>
      </c>
      <c r="H252">
        <f t="shared" si="6"/>
        <v>21.28</v>
      </c>
      <c r="I252" t="s">
        <v>282</v>
      </c>
      <c r="J252" t="s">
        <v>282</v>
      </c>
      <c r="K252" t="str">
        <f>_xlfn.XLOOKUP($J252,'Leveranser per nät'!$A$4:$A$524,'Leveranser per nät'!$A$4:$A$524)</f>
        <v>Trosa</v>
      </c>
      <c r="L252">
        <f t="shared" si="7"/>
        <v>21.28</v>
      </c>
    </row>
    <row r="253" spans="1:12" x14ac:dyDescent="0.25">
      <c r="A253" t="s">
        <v>655</v>
      </c>
      <c r="B253" t="s">
        <v>284</v>
      </c>
      <c r="C253">
        <v>2022</v>
      </c>
      <c r="D253">
        <v>9.9</v>
      </c>
      <c r="E253">
        <v>0</v>
      </c>
      <c r="F253">
        <v>0</v>
      </c>
      <c r="G253">
        <v>0</v>
      </c>
      <c r="H253">
        <f t="shared" si="6"/>
        <v>9.9</v>
      </c>
      <c r="I253" t="s">
        <v>284</v>
      </c>
      <c r="J253" t="s">
        <v>284</v>
      </c>
      <c r="K253" t="str">
        <f>_xlfn.XLOOKUP($J253,'Leveranser per nät'!$A$4:$A$524,'Leveranser per nät'!$A$4:$A$524)</f>
        <v>Vagnhärad</v>
      </c>
      <c r="L253">
        <f t="shared" si="7"/>
        <v>9.9</v>
      </c>
    </row>
    <row r="254" spans="1:12" x14ac:dyDescent="0.25">
      <c r="A254" t="s">
        <v>655</v>
      </c>
      <c r="B254" t="s">
        <v>281</v>
      </c>
      <c r="C254">
        <v>2022</v>
      </c>
      <c r="D254">
        <v>40.049999999999997</v>
      </c>
      <c r="E254">
        <v>0</v>
      </c>
      <c r="F254">
        <v>0</v>
      </c>
      <c r="G254">
        <v>0</v>
      </c>
      <c r="H254">
        <f t="shared" si="6"/>
        <v>40.049999999999997</v>
      </c>
      <c r="I254" t="s">
        <v>281</v>
      </c>
      <c r="J254" t="s">
        <v>281</v>
      </c>
      <c r="K254" t="str">
        <f>_xlfn.XLOOKUP($J254,'Leveranser per nät'!$A$4:$A$524,'Leveranser per nät'!$A$4:$A$524)</f>
        <v>Åmål</v>
      </c>
      <c r="L254">
        <f t="shared" si="7"/>
        <v>40.049999999999997</v>
      </c>
    </row>
    <row r="255" spans="1:12" x14ac:dyDescent="0.25">
      <c r="A255" t="s">
        <v>996</v>
      </c>
      <c r="B255" t="s">
        <v>418</v>
      </c>
      <c r="C255">
        <v>2022</v>
      </c>
      <c r="D255">
        <v>79.72</v>
      </c>
      <c r="E255">
        <v>0</v>
      </c>
      <c r="F255">
        <v>0</v>
      </c>
      <c r="G255">
        <v>0</v>
      </c>
      <c r="H255">
        <f t="shared" si="6"/>
        <v>79.72</v>
      </c>
      <c r="I255" t="s">
        <v>418</v>
      </c>
      <c r="J255" t="s">
        <v>418</v>
      </c>
      <c r="K255" t="str">
        <f>_xlfn.XLOOKUP($J255,'Leveranser per nät'!$A$4:$A$524,'Leveranser per nät'!$A$4:$A$524)</f>
        <v>Stenungsund</v>
      </c>
      <c r="L255">
        <f t="shared" si="7"/>
        <v>79.72</v>
      </c>
    </row>
    <row r="256" spans="1:12" x14ac:dyDescent="0.25">
      <c r="A256" t="s">
        <v>996</v>
      </c>
      <c r="B256" t="s">
        <v>421</v>
      </c>
      <c r="C256">
        <v>2022</v>
      </c>
      <c r="D256">
        <v>1.337</v>
      </c>
      <c r="E256">
        <v>0</v>
      </c>
      <c r="F256">
        <v>0</v>
      </c>
      <c r="G256">
        <v>0</v>
      </c>
      <c r="H256">
        <f t="shared" si="6"/>
        <v>1.337</v>
      </c>
      <c r="I256" t="s">
        <v>421</v>
      </c>
      <c r="J256" t="s">
        <v>421</v>
      </c>
      <c r="K256" t="str">
        <f>_xlfn.XLOOKUP($J256,'Leveranser per nät'!$A$4:$A$524,'Leveranser per nät'!$A$4:$A$524)</f>
        <v>Stora Höga</v>
      </c>
      <c r="L256">
        <f t="shared" si="7"/>
        <v>1.337</v>
      </c>
    </row>
    <row r="257" spans="1:12" x14ac:dyDescent="0.25">
      <c r="A257" t="s">
        <v>884</v>
      </c>
      <c r="B257" t="s">
        <v>885</v>
      </c>
      <c r="C257">
        <v>2022</v>
      </c>
      <c r="D257" t="s">
        <v>805</v>
      </c>
      <c r="E257" t="s">
        <v>805</v>
      </c>
      <c r="F257" t="s">
        <v>805</v>
      </c>
      <c r="G257" t="s">
        <v>805</v>
      </c>
      <c r="H257"/>
      <c r="I257" t="s">
        <v>885</v>
      </c>
      <c r="J257" t="s">
        <v>885</v>
      </c>
      <c r="K257" t="e">
        <f>_xlfn.XLOOKUP($J257,'Leveranser per nät'!$A$4:$A$524,'Leveranser per nät'!$A$4:$A$524)</f>
        <v>#N/A</v>
      </c>
      <c r="L257">
        <f t="shared" si="7"/>
        <v>0</v>
      </c>
    </row>
    <row r="258" spans="1:12" x14ac:dyDescent="0.25">
      <c r="A258" t="s">
        <v>884</v>
      </c>
      <c r="B258" t="s">
        <v>886</v>
      </c>
      <c r="C258">
        <v>2022</v>
      </c>
      <c r="D258" t="s">
        <v>805</v>
      </c>
      <c r="E258" t="s">
        <v>805</v>
      </c>
      <c r="F258" t="s">
        <v>805</v>
      </c>
      <c r="G258" t="s">
        <v>805</v>
      </c>
      <c r="H258"/>
      <c r="I258" t="s">
        <v>886</v>
      </c>
      <c r="J258" t="s">
        <v>886</v>
      </c>
      <c r="K258" t="e">
        <f>_xlfn.XLOOKUP($J258,'Leveranser per nät'!$A$4:$A$524,'Leveranser per nät'!$A$4:$A$524)</f>
        <v>#N/A</v>
      </c>
      <c r="L258">
        <f t="shared" ref="L258:L321" si="8">SUMIF($J$2:$J$474,K258,$H$2:$H$474)</f>
        <v>0</v>
      </c>
    </row>
    <row r="259" spans="1:12" x14ac:dyDescent="0.25">
      <c r="A259" t="s">
        <v>884</v>
      </c>
      <c r="B259" t="s">
        <v>887</v>
      </c>
      <c r="C259">
        <v>2022</v>
      </c>
      <c r="D259" t="s">
        <v>805</v>
      </c>
      <c r="E259" t="s">
        <v>805</v>
      </c>
      <c r="F259" t="s">
        <v>805</v>
      </c>
      <c r="G259" t="s">
        <v>805</v>
      </c>
      <c r="H259"/>
      <c r="I259" t="s">
        <v>887</v>
      </c>
      <c r="J259" t="s">
        <v>887</v>
      </c>
      <c r="K259" t="e">
        <f>_xlfn.XLOOKUP($J259,'Leveranser per nät'!$A$4:$A$524,'Leveranser per nät'!$A$4:$A$524)</f>
        <v>#N/A</v>
      </c>
      <c r="L259">
        <f t="shared" si="8"/>
        <v>0</v>
      </c>
    </row>
    <row r="260" spans="1:12" x14ac:dyDescent="0.25">
      <c r="A260" t="s">
        <v>884</v>
      </c>
      <c r="B260" t="s">
        <v>420</v>
      </c>
      <c r="C260">
        <v>2022</v>
      </c>
      <c r="D260">
        <v>7723.8890000000001</v>
      </c>
      <c r="E260" t="s">
        <v>805</v>
      </c>
      <c r="F260" t="s">
        <v>805</v>
      </c>
      <c r="G260" t="s">
        <v>805</v>
      </c>
      <c r="H260">
        <f t="shared" ref="H260:H321" si="9">D260-SUM(E260:G260)</f>
        <v>7723.8890000000001</v>
      </c>
      <c r="I260" t="s">
        <v>420</v>
      </c>
      <c r="J260" t="s">
        <v>420</v>
      </c>
      <c r="K260" t="str">
        <f>_xlfn.XLOOKUP($J260,'Leveranser per nät'!$A$4:$A$524,'Leveranser per nät'!$A$4:$A$524)</f>
        <v>Stockholm</v>
      </c>
      <c r="L260">
        <f t="shared" si="8"/>
        <v>7727.2889999999998</v>
      </c>
    </row>
    <row r="261" spans="1:12" x14ac:dyDescent="0.25">
      <c r="A261" t="s">
        <v>884</v>
      </c>
      <c r="B261" t="s">
        <v>933</v>
      </c>
      <c r="C261">
        <v>2022</v>
      </c>
      <c r="D261" t="s">
        <v>805</v>
      </c>
      <c r="E261" t="s">
        <v>805</v>
      </c>
      <c r="F261" t="s">
        <v>805</v>
      </c>
      <c r="G261" t="s">
        <v>805</v>
      </c>
      <c r="H261"/>
      <c r="I261" t="s">
        <v>933</v>
      </c>
      <c r="J261" t="s">
        <v>933</v>
      </c>
      <c r="K261" t="e">
        <f>_xlfn.XLOOKUP($J261,'Leveranser per nät'!$A$4:$A$524,'Leveranser per nät'!$A$4:$A$524)</f>
        <v>#N/A</v>
      </c>
      <c r="L261">
        <f t="shared" si="8"/>
        <v>0</v>
      </c>
    </row>
    <row r="262" spans="1:12" x14ac:dyDescent="0.25">
      <c r="A262" t="s">
        <v>884</v>
      </c>
      <c r="B262" t="s">
        <v>934</v>
      </c>
      <c r="C262">
        <v>2022</v>
      </c>
      <c r="D262" t="s">
        <v>805</v>
      </c>
      <c r="E262" t="s">
        <v>805</v>
      </c>
      <c r="F262" t="s">
        <v>805</v>
      </c>
      <c r="G262" t="s">
        <v>805</v>
      </c>
      <c r="H262"/>
      <c r="I262" t="s">
        <v>934</v>
      </c>
      <c r="J262" t="s">
        <v>934</v>
      </c>
      <c r="K262" t="e">
        <f>_xlfn.XLOOKUP($J262,'Leveranser per nät'!$A$4:$A$524,'Leveranser per nät'!$A$4:$A$524)</f>
        <v>#N/A</v>
      </c>
      <c r="L262">
        <f t="shared" si="8"/>
        <v>0</v>
      </c>
    </row>
    <row r="263" spans="1:12" x14ac:dyDescent="0.25">
      <c r="A263" t="s">
        <v>884</v>
      </c>
      <c r="B263" t="s">
        <v>935</v>
      </c>
      <c r="C263">
        <v>2022</v>
      </c>
      <c r="D263" t="s">
        <v>805</v>
      </c>
      <c r="E263" t="s">
        <v>805</v>
      </c>
      <c r="F263" t="s">
        <v>805</v>
      </c>
      <c r="G263" t="s">
        <v>805</v>
      </c>
      <c r="H263"/>
      <c r="I263" t="s">
        <v>935</v>
      </c>
      <c r="J263" t="s">
        <v>935</v>
      </c>
      <c r="K263" t="e">
        <f>_xlfn.XLOOKUP($J263,'Leveranser per nät'!$A$4:$A$524,'Leveranser per nät'!$A$4:$A$524)</f>
        <v>#N/A</v>
      </c>
      <c r="L263">
        <f t="shared" si="8"/>
        <v>0</v>
      </c>
    </row>
    <row r="264" spans="1:12" x14ac:dyDescent="0.25">
      <c r="A264" t="s">
        <v>884</v>
      </c>
      <c r="B264" t="s">
        <v>442</v>
      </c>
      <c r="C264">
        <v>2022</v>
      </c>
      <c r="D264">
        <v>58.215000000000003</v>
      </c>
      <c r="E264" t="s">
        <v>805</v>
      </c>
      <c r="F264" t="s">
        <v>805</v>
      </c>
      <c r="G264" t="s">
        <v>805</v>
      </c>
      <c r="H264">
        <f t="shared" si="9"/>
        <v>58.215000000000003</v>
      </c>
      <c r="I264" t="s">
        <v>442</v>
      </c>
      <c r="J264" t="s">
        <v>442</v>
      </c>
      <c r="K264" t="str">
        <f>_xlfn.XLOOKUP($J264,'Leveranser per nät'!$A$4:$A$524,'Leveranser per nät'!$A$4:$A$524)</f>
        <v>Täby</v>
      </c>
      <c r="L264">
        <f t="shared" si="8"/>
        <v>144.715</v>
      </c>
    </row>
    <row r="265" spans="1:12" x14ac:dyDescent="0.25">
      <c r="A265" t="s">
        <v>884</v>
      </c>
      <c r="B265" t="s">
        <v>891</v>
      </c>
      <c r="C265">
        <v>2022</v>
      </c>
      <c r="D265" t="s">
        <v>805</v>
      </c>
      <c r="E265" t="s">
        <v>805</v>
      </c>
      <c r="F265" t="s">
        <v>805</v>
      </c>
      <c r="G265" t="s">
        <v>805</v>
      </c>
      <c r="H265"/>
      <c r="I265" t="s">
        <v>891</v>
      </c>
      <c r="J265" t="s">
        <v>891</v>
      </c>
      <c r="K265" t="e">
        <f>_xlfn.XLOOKUP($J265,'Leveranser per nät'!$A$4:$A$524,'Leveranser per nät'!$A$4:$A$524)</f>
        <v>#N/A</v>
      </c>
      <c r="L265">
        <f t="shared" si="8"/>
        <v>0</v>
      </c>
    </row>
    <row r="266" spans="1:12" x14ac:dyDescent="0.25">
      <c r="A266" t="s">
        <v>657</v>
      </c>
      <c r="B266" t="s">
        <v>291</v>
      </c>
      <c r="C266">
        <v>2022</v>
      </c>
      <c r="D266">
        <v>18.824069999999999</v>
      </c>
      <c r="E266">
        <v>0</v>
      </c>
      <c r="F266">
        <v>0</v>
      </c>
      <c r="G266">
        <v>0</v>
      </c>
      <c r="H266">
        <f t="shared" si="9"/>
        <v>18.824069999999999</v>
      </c>
      <c r="I266" t="s">
        <v>291</v>
      </c>
      <c r="J266" t="s">
        <v>291</v>
      </c>
      <c r="K266" t="str">
        <f>_xlfn.XLOOKUP($J266,'Leveranser per nät'!$A$4:$A$524,'Leveranser per nät'!$A$4:$A$524)</f>
        <v>Kvissleby</v>
      </c>
      <c r="L266">
        <f t="shared" si="8"/>
        <v>18.824069999999999</v>
      </c>
    </row>
    <row r="267" spans="1:12" x14ac:dyDescent="0.25">
      <c r="A267" t="s">
        <v>657</v>
      </c>
      <c r="B267" t="s">
        <v>294</v>
      </c>
      <c r="C267">
        <v>2022</v>
      </c>
      <c r="D267">
        <v>14.52459</v>
      </c>
      <c r="E267">
        <v>0</v>
      </c>
      <c r="F267">
        <v>0</v>
      </c>
      <c r="G267">
        <v>0</v>
      </c>
      <c r="H267">
        <f t="shared" si="9"/>
        <v>14.52459</v>
      </c>
      <c r="I267" t="s">
        <v>294</v>
      </c>
      <c r="J267" t="s">
        <v>294</v>
      </c>
      <c r="K267" t="str">
        <f>_xlfn.XLOOKUP($J267,'Leveranser per nät'!$A$4:$A$524,'Leveranser per nät'!$A$4:$A$524)</f>
        <v>Matfors</v>
      </c>
      <c r="L267">
        <f t="shared" si="8"/>
        <v>14.52459</v>
      </c>
    </row>
    <row r="268" spans="1:12" x14ac:dyDescent="0.25">
      <c r="A268" t="s">
        <v>657</v>
      </c>
      <c r="B268" s="1" t="s">
        <v>288</v>
      </c>
      <c r="C268">
        <v>2022</v>
      </c>
      <c r="D268">
        <v>513.26678000000004</v>
      </c>
      <c r="E268">
        <v>0</v>
      </c>
      <c r="F268">
        <v>0</v>
      </c>
      <c r="G268">
        <v>0</v>
      </c>
      <c r="H268">
        <f t="shared" si="9"/>
        <v>513.26678000000004</v>
      </c>
      <c r="I268" t="s">
        <v>288</v>
      </c>
      <c r="J268" t="s">
        <v>288</v>
      </c>
      <c r="K268" t="str">
        <f>_xlfn.XLOOKUP($J268,'Leveranser per nät'!$A$4:$A$524,'Leveranser per nät'!$A$4:$A$524)</f>
        <v>Sundsvall</v>
      </c>
      <c r="L268">
        <f t="shared" si="8"/>
        <v>519.25073000000009</v>
      </c>
    </row>
    <row r="269" spans="1:12" x14ac:dyDescent="0.25">
      <c r="A269" t="s">
        <v>657</v>
      </c>
      <c r="B269" s="1" t="s">
        <v>1094</v>
      </c>
      <c r="C269">
        <v>2022</v>
      </c>
      <c r="D269" t="s">
        <v>805</v>
      </c>
      <c r="E269" t="s">
        <v>805</v>
      </c>
      <c r="F269" t="s">
        <v>805</v>
      </c>
      <c r="G269" t="s">
        <v>805</v>
      </c>
      <c r="H269"/>
      <c r="I269" t="s">
        <v>1094</v>
      </c>
      <c r="J269" t="s">
        <v>1094</v>
      </c>
      <c r="K269" t="e">
        <f>_xlfn.XLOOKUP($J269,'Leveranser per nät'!$A$4:$A$524,'Leveranser per nät'!$A$4:$A$524)</f>
        <v>#N/A</v>
      </c>
      <c r="L269">
        <f t="shared" si="8"/>
        <v>0</v>
      </c>
    </row>
    <row r="270" spans="1:12" x14ac:dyDescent="0.25">
      <c r="A270" t="s">
        <v>657</v>
      </c>
      <c r="B270" t="s">
        <v>727</v>
      </c>
      <c r="C270">
        <v>2022</v>
      </c>
      <c r="D270">
        <v>132.65799999999999</v>
      </c>
      <c r="E270">
        <v>0</v>
      </c>
      <c r="F270">
        <v>0</v>
      </c>
      <c r="G270">
        <v>0</v>
      </c>
      <c r="H270">
        <f t="shared" si="9"/>
        <v>132.65799999999999</v>
      </c>
      <c r="I270" t="s">
        <v>727</v>
      </c>
      <c r="J270" t="s">
        <v>727</v>
      </c>
      <c r="K270" t="str">
        <f>_xlfn.XLOOKUP($J270,'Leveranser per nät'!$A$4:$A$524,'Leveranser per nät'!$A$4:$A$524)</f>
        <v>Tunadal</v>
      </c>
      <c r="L270">
        <f t="shared" si="8"/>
        <v>132.65799999999999</v>
      </c>
    </row>
    <row r="271" spans="1:12" x14ac:dyDescent="0.25">
      <c r="A271" t="s">
        <v>657</v>
      </c>
      <c r="B271" s="1" t="s">
        <v>742</v>
      </c>
      <c r="C271">
        <v>2022</v>
      </c>
      <c r="D271">
        <v>5.9839500000000001</v>
      </c>
      <c r="E271">
        <v>0</v>
      </c>
      <c r="F271">
        <v>0</v>
      </c>
      <c r="G271">
        <v>0</v>
      </c>
      <c r="H271">
        <f t="shared" si="9"/>
        <v>5.9839500000000001</v>
      </c>
      <c r="I271" t="s">
        <v>742</v>
      </c>
      <c r="J271" t="s">
        <v>288</v>
      </c>
      <c r="K271" t="str">
        <f>_xlfn.XLOOKUP($J271,'Leveranser per nät'!$A$4:$A$524,'Leveranser per nät'!$A$4:$A$524)</f>
        <v>Sundsvall</v>
      </c>
      <c r="L271">
        <f t="shared" si="8"/>
        <v>519.25073000000009</v>
      </c>
    </row>
    <row r="272" spans="1:12" x14ac:dyDescent="0.25">
      <c r="A272" t="s">
        <v>1095</v>
      </c>
      <c r="B272" t="s">
        <v>797</v>
      </c>
      <c r="C272">
        <v>2022</v>
      </c>
      <c r="D272" t="s">
        <v>805</v>
      </c>
      <c r="E272" t="s">
        <v>805</v>
      </c>
      <c r="F272" t="s">
        <v>805</v>
      </c>
      <c r="G272" t="s">
        <v>805</v>
      </c>
      <c r="H272"/>
      <c r="I272" t="s">
        <v>797</v>
      </c>
      <c r="K272" t="e">
        <f>_xlfn.XLOOKUP($J272,'Leveranser per nät'!$A$4:$A$524,'Leveranser per nät'!$A$4:$A$524)</f>
        <v>#N/A</v>
      </c>
      <c r="L272">
        <f t="shared" si="8"/>
        <v>0</v>
      </c>
    </row>
    <row r="273" spans="1:12" x14ac:dyDescent="0.25">
      <c r="A273" t="s">
        <v>666</v>
      </c>
      <c r="B273" t="s">
        <v>302</v>
      </c>
      <c r="C273">
        <v>2022</v>
      </c>
      <c r="D273">
        <v>8.6969999999999992</v>
      </c>
      <c r="E273">
        <v>0</v>
      </c>
      <c r="F273">
        <v>0</v>
      </c>
      <c r="G273">
        <v>0</v>
      </c>
      <c r="H273">
        <f t="shared" si="9"/>
        <v>8.6969999999999992</v>
      </c>
      <c r="I273" t="s">
        <v>302</v>
      </c>
      <c r="J273" t="s">
        <v>302</v>
      </c>
      <c r="K273" t="str">
        <f>_xlfn.XLOOKUP($J273,'Leveranser per nät'!$A$4:$A$524,'Leveranser per nät'!$A$4:$A$524)</f>
        <v>Ljusne</v>
      </c>
      <c r="L273">
        <f t="shared" si="8"/>
        <v>8.6969999999999992</v>
      </c>
    </row>
    <row r="274" spans="1:12" x14ac:dyDescent="0.25">
      <c r="A274" t="s">
        <v>666</v>
      </c>
      <c r="B274" t="s">
        <v>796</v>
      </c>
      <c r="C274">
        <v>2022</v>
      </c>
      <c r="D274">
        <v>2.6429999999999998</v>
      </c>
      <c r="E274">
        <v>0</v>
      </c>
      <c r="F274">
        <v>0</v>
      </c>
      <c r="G274">
        <v>0</v>
      </c>
      <c r="H274">
        <f t="shared" si="9"/>
        <v>2.6429999999999998</v>
      </c>
      <c r="I274" t="s">
        <v>796</v>
      </c>
      <c r="J274" t="s">
        <v>796</v>
      </c>
      <c r="K274" t="str">
        <f>_xlfn.XLOOKUP($J274,'Leveranser per nät'!$A$4:$A$524,'Leveranser per nät'!$A$4:$A$524)</f>
        <v>Sandarne</v>
      </c>
      <c r="L274">
        <f t="shared" si="8"/>
        <v>2.6429999999999998</v>
      </c>
    </row>
    <row r="275" spans="1:12" x14ac:dyDescent="0.25">
      <c r="A275" t="s">
        <v>666</v>
      </c>
      <c r="B275" t="s">
        <v>301</v>
      </c>
      <c r="C275">
        <v>2022</v>
      </c>
      <c r="D275">
        <v>115.232</v>
      </c>
      <c r="E275">
        <v>0</v>
      </c>
      <c r="F275">
        <v>0</v>
      </c>
      <c r="G275">
        <v>0</v>
      </c>
      <c r="H275">
        <f t="shared" si="9"/>
        <v>115.232</v>
      </c>
      <c r="I275" t="s">
        <v>301</v>
      </c>
      <c r="J275" t="s">
        <v>301</v>
      </c>
      <c r="K275" t="str">
        <f>_xlfn.XLOOKUP($J275,'Leveranser per nät'!$A$4:$A$524,'Leveranser per nät'!$A$4:$A$524)</f>
        <v>Söderhamn</v>
      </c>
      <c r="L275">
        <f t="shared" si="8"/>
        <v>115.232</v>
      </c>
    </row>
    <row r="276" spans="1:12" x14ac:dyDescent="0.25">
      <c r="A276" t="s">
        <v>717</v>
      </c>
      <c r="B276" t="s">
        <v>304</v>
      </c>
      <c r="C276">
        <v>2022</v>
      </c>
      <c r="D276">
        <v>945.40099999999995</v>
      </c>
      <c r="E276">
        <v>0</v>
      </c>
      <c r="F276">
        <v>0</v>
      </c>
      <c r="G276">
        <v>0</v>
      </c>
      <c r="H276">
        <f t="shared" si="9"/>
        <v>945.40099999999995</v>
      </c>
      <c r="I276" t="s">
        <v>304</v>
      </c>
      <c r="J276" t="s">
        <v>304</v>
      </c>
      <c r="K276" t="str">
        <f>_xlfn.XLOOKUP($J276,'Leveranser per nät'!$A$4:$A$524,'Leveranser per nät'!$A$4:$A$524)</f>
        <v>Södertörn Fjärrvärme Totalt</v>
      </c>
      <c r="L276">
        <f t="shared" si="8"/>
        <v>945.40099999999995</v>
      </c>
    </row>
    <row r="277" spans="1:12" x14ac:dyDescent="0.25">
      <c r="A277" t="s">
        <v>897</v>
      </c>
      <c r="B277" t="s">
        <v>463</v>
      </c>
      <c r="C277">
        <v>2022</v>
      </c>
      <c r="D277">
        <v>48.039000000000001</v>
      </c>
      <c r="E277">
        <v>0</v>
      </c>
      <c r="F277">
        <v>0</v>
      </c>
      <c r="G277">
        <v>0</v>
      </c>
      <c r="H277">
        <f t="shared" si="9"/>
        <v>48.039000000000001</v>
      </c>
      <c r="I277" t="s">
        <v>463</v>
      </c>
      <c r="J277" t="s">
        <v>463</v>
      </c>
      <c r="K277" t="str">
        <f>_xlfn.XLOOKUP($J277,'Leveranser per nät'!$A$4:$A$524,'Leveranser per nät'!$A$4:$A$524)</f>
        <v>Sölvesborg</v>
      </c>
      <c r="L277">
        <f t="shared" si="8"/>
        <v>48.039000000000001</v>
      </c>
    </row>
    <row r="278" spans="1:12" x14ac:dyDescent="0.25">
      <c r="A278" t="s">
        <v>573</v>
      </c>
      <c r="B278" t="s">
        <v>306</v>
      </c>
      <c r="C278">
        <v>2022</v>
      </c>
      <c r="D278">
        <v>10.654</v>
      </c>
      <c r="E278">
        <v>0</v>
      </c>
      <c r="F278">
        <v>0</v>
      </c>
      <c r="G278">
        <v>0</v>
      </c>
      <c r="H278">
        <f t="shared" si="9"/>
        <v>10.654</v>
      </c>
      <c r="I278" t="s">
        <v>306</v>
      </c>
      <c r="J278" t="s">
        <v>306</v>
      </c>
      <c r="K278" t="str">
        <f>_xlfn.XLOOKUP($J278,'Leveranser per nät'!$A$4:$A$524,'Leveranser per nät'!$A$4:$A$524)</f>
        <v>Borensberg</v>
      </c>
      <c r="L278">
        <f t="shared" si="8"/>
        <v>10.654</v>
      </c>
    </row>
    <row r="279" spans="1:12" x14ac:dyDescent="0.25">
      <c r="A279" t="s">
        <v>573</v>
      </c>
      <c r="B279" t="s">
        <v>168</v>
      </c>
      <c r="C279">
        <v>2022</v>
      </c>
      <c r="D279">
        <v>163.92</v>
      </c>
      <c r="E279">
        <v>0</v>
      </c>
      <c r="F279">
        <v>0</v>
      </c>
      <c r="G279">
        <v>0</v>
      </c>
      <c r="H279">
        <f t="shared" si="9"/>
        <v>163.92</v>
      </c>
      <c r="I279" t="s">
        <v>168</v>
      </c>
      <c r="J279" t="s">
        <v>168</v>
      </c>
      <c r="K279" t="str">
        <f>_xlfn.XLOOKUP($J279,'Leveranser per nät'!$A$4:$A$524,'Leveranser per nät'!$A$4:$A$524)</f>
        <v>Katrineholm</v>
      </c>
      <c r="L279">
        <f t="shared" si="8"/>
        <v>163.92</v>
      </c>
    </row>
    <row r="280" spans="1:12" x14ac:dyDescent="0.25">
      <c r="A280" t="s">
        <v>573</v>
      </c>
      <c r="B280" t="s">
        <v>307</v>
      </c>
      <c r="C280">
        <v>2022</v>
      </c>
      <c r="D280">
        <v>18.341999999999999</v>
      </c>
      <c r="E280">
        <v>0</v>
      </c>
      <c r="F280">
        <v>0</v>
      </c>
      <c r="G280">
        <v>0</v>
      </c>
      <c r="H280">
        <f t="shared" si="9"/>
        <v>18.341999999999999</v>
      </c>
      <c r="I280" t="s">
        <v>307</v>
      </c>
      <c r="J280" t="s">
        <v>307</v>
      </c>
      <c r="K280" t="str">
        <f>_xlfn.XLOOKUP($J280,'Leveranser per nät'!$A$4:$A$524,'Leveranser per nät'!$A$4:$A$524)</f>
        <v>Kisa</v>
      </c>
      <c r="L280">
        <f t="shared" si="8"/>
        <v>18.341999999999999</v>
      </c>
    </row>
    <row r="281" spans="1:12" x14ac:dyDescent="0.25">
      <c r="A281" t="s">
        <v>573</v>
      </c>
      <c r="B281" t="s">
        <v>308</v>
      </c>
      <c r="C281">
        <v>2022</v>
      </c>
      <c r="D281">
        <v>1362.3</v>
      </c>
      <c r="E281">
        <v>73.3</v>
      </c>
      <c r="F281">
        <v>0</v>
      </c>
      <c r="G281">
        <v>0</v>
      </c>
      <c r="H281">
        <f t="shared" si="9"/>
        <v>1289</v>
      </c>
      <c r="I281" t="s">
        <v>308</v>
      </c>
      <c r="J281" t="s">
        <v>308</v>
      </c>
      <c r="K281" t="str">
        <f>_xlfn.XLOOKUP($J281,'Leveranser per nät'!$A$4:$A$524,'Leveranser per nät'!$A$4:$A$524)</f>
        <v>Linköping</v>
      </c>
      <c r="L281">
        <f t="shared" si="8"/>
        <v>1289</v>
      </c>
    </row>
    <row r="282" spans="1:12" x14ac:dyDescent="0.25">
      <c r="A282" t="s">
        <v>573</v>
      </c>
      <c r="B282" t="s">
        <v>309</v>
      </c>
      <c r="C282">
        <v>2022</v>
      </c>
      <c r="D282">
        <v>17.587</v>
      </c>
      <c r="E282">
        <v>0</v>
      </c>
      <c r="F282">
        <v>0</v>
      </c>
      <c r="G282">
        <v>0</v>
      </c>
      <c r="H282">
        <f t="shared" si="9"/>
        <v>17.587</v>
      </c>
      <c r="I282" t="s">
        <v>309</v>
      </c>
      <c r="J282" t="s">
        <v>309</v>
      </c>
      <c r="K282" t="str">
        <f>_xlfn.XLOOKUP($J282,'Leveranser per nät'!$A$4:$A$524,'Leveranser per nät'!$A$4:$A$524)</f>
        <v>Skärblacka</v>
      </c>
      <c r="L282">
        <f t="shared" si="8"/>
        <v>17.587</v>
      </c>
    </row>
    <row r="283" spans="1:12" x14ac:dyDescent="0.25">
      <c r="A283" t="s">
        <v>573</v>
      </c>
      <c r="B283" t="s">
        <v>310</v>
      </c>
      <c r="C283">
        <v>2022</v>
      </c>
      <c r="D283">
        <v>29.391999999999999</v>
      </c>
      <c r="E283">
        <v>0</v>
      </c>
      <c r="F283">
        <v>0</v>
      </c>
      <c r="G283">
        <v>0</v>
      </c>
      <c r="H283">
        <f t="shared" si="9"/>
        <v>29.391999999999999</v>
      </c>
      <c r="I283" t="s">
        <v>310</v>
      </c>
      <c r="J283" t="s">
        <v>310</v>
      </c>
      <c r="K283" t="str">
        <f>_xlfn.XLOOKUP($J283,'Leveranser per nät'!$A$4:$A$524,'Leveranser per nät'!$A$4:$A$524)</f>
        <v>Åtvidaberg</v>
      </c>
      <c r="L283">
        <f t="shared" si="8"/>
        <v>29.391999999999999</v>
      </c>
    </row>
    <row r="284" spans="1:12" x14ac:dyDescent="0.25">
      <c r="A284" t="s">
        <v>641</v>
      </c>
      <c r="B284" t="s">
        <v>312</v>
      </c>
      <c r="C284">
        <v>2022</v>
      </c>
      <c r="D284">
        <v>44.088000000000001</v>
      </c>
      <c r="E284">
        <v>0</v>
      </c>
      <c r="F284">
        <v>0</v>
      </c>
      <c r="G284">
        <v>0</v>
      </c>
      <c r="H284">
        <f t="shared" si="9"/>
        <v>44.088000000000001</v>
      </c>
      <c r="I284" t="s">
        <v>312</v>
      </c>
      <c r="J284" t="s">
        <v>312</v>
      </c>
      <c r="K284" t="str">
        <f>_xlfn.XLOOKUP($J284,'Leveranser per nät'!$A$4:$A$524,'Leveranser per nät'!$A$4:$A$524)</f>
        <v>Järna</v>
      </c>
      <c r="L284">
        <f t="shared" si="8"/>
        <v>44.088000000000001</v>
      </c>
    </row>
    <row r="285" spans="1:12" x14ac:dyDescent="0.25">
      <c r="A285" t="s">
        <v>641</v>
      </c>
      <c r="B285" t="s">
        <v>311</v>
      </c>
      <c r="C285">
        <v>2022</v>
      </c>
      <c r="D285">
        <v>668.80600000000004</v>
      </c>
      <c r="E285" t="s">
        <v>805</v>
      </c>
      <c r="F285" t="s">
        <v>805</v>
      </c>
      <c r="G285" t="s">
        <v>805</v>
      </c>
      <c r="H285">
        <f t="shared" si="9"/>
        <v>668.80600000000004</v>
      </c>
      <c r="I285" t="s">
        <v>311</v>
      </c>
      <c r="J285" t="s">
        <v>311</v>
      </c>
      <c r="K285" t="str">
        <f>_xlfn.XLOOKUP($J285,'Leveranser per nät'!$A$4:$A$524,'Leveranser per nät'!$A$4:$A$524)</f>
        <v>Södertälje</v>
      </c>
      <c r="L285">
        <f t="shared" si="8"/>
        <v>668.80600000000004</v>
      </c>
    </row>
    <row r="286" spans="1:12" x14ac:dyDescent="0.25">
      <c r="A286" t="s">
        <v>718</v>
      </c>
      <c r="B286" t="s">
        <v>314</v>
      </c>
      <c r="C286">
        <v>2022</v>
      </c>
      <c r="D286">
        <v>53.664999999999999</v>
      </c>
      <c r="E286">
        <v>0</v>
      </c>
      <c r="F286">
        <v>0</v>
      </c>
      <c r="G286">
        <v>0</v>
      </c>
      <c r="H286">
        <f t="shared" si="9"/>
        <v>53.664999999999999</v>
      </c>
      <c r="I286" t="s">
        <v>314</v>
      </c>
      <c r="J286" t="s">
        <v>314</v>
      </c>
      <c r="K286" t="str">
        <f>_xlfn.XLOOKUP($J286,'Leveranser per nät'!$A$4:$A$524,'Leveranser per nät'!$A$4:$A$524)</f>
        <v>Tidaholm</v>
      </c>
      <c r="L286">
        <f t="shared" si="8"/>
        <v>53.664999999999999</v>
      </c>
    </row>
    <row r="287" spans="1:12" x14ac:dyDescent="0.25">
      <c r="A287" t="s">
        <v>720</v>
      </c>
      <c r="B287" t="s">
        <v>1097</v>
      </c>
      <c r="C287">
        <v>2022</v>
      </c>
      <c r="D287">
        <v>4.09</v>
      </c>
      <c r="E287">
        <v>0</v>
      </c>
      <c r="F287">
        <v>0</v>
      </c>
      <c r="G287">
        <v>0</v>
      </c>
      <c r="H287">
        <f t="shared" si="9"/>
        <v>4.09</v>
      </c>
      <c r="I287" t="s">
        <v>1097</v>
      </c>
      <c r="K287" t="e">
        <f>_xlfn.XLOOKUP($J287,'Leveranser per nät'!$A$4:$A$524,'Leveranser per nät'!$A$4:$A$524)</f>
        <v>#N/A</v>
      </c>
      <c r="L287">
        <f t="shared" si="8"/>
        <v>0</v>
      </c>
    </row>
    <row r="288" spans="1:12" x14ac:dyDescent="0.25">
      <c r="A288" t="s">
        <v>720</v>
      </c>
      <c r="B288" t="s">
        <v>315</v>
      </c>
      <c r="C288">
        <v>2022</v>
      </c>
      <c r="D288">
        <v>46.38</v>
      </c>
      <c r="E288">
        <v>0</v>
      </c>
      <c r="F288">
        <v>0</v>
      </c>
      <c r="G288">
        <v>0</v>
      </c>
      <c r="H288">
        <f t="shared" si="9"/>
        <v>46.38</v>
      </c>
      <c r="I288" t="s">
        <v>315</v>
      </c>
      <c r="J288" t="s">
        <v>315</v>
      </c>
      <c r="K288" t="str">
        <f>_xlfn.XLOOKUP($J288,'Leveranser per nät'!$A$4:$A$524,'Leveranser per nät'!$A$4:$A$524)</f>
        <v>Tierp</v>
      </c>
      <c r="L288">
        <f t="shared" si="8"/>
        <v>46.38</v>
      </c>
    </row>
    <row r="289" spans="1:12" x14ac:dyDescent="0.25">
      <c r="A289" t="s">
        <v>720</v>
      </c>
      <c r="B289" t="s">
        <v>439</v>
      </c>
      <c r="C289">
        <v>2022</v>
      </c>
      <c r="D289">
        <v>7.53</v>
      </c>
      <c r="E289">
        <v>0</v>
      </c>
      <c r="F289">
        <v>0</v>
      </c>
      <c r="G289">
        <v>0</v>
      </c>
      <c r="H289">
        <f t="shared" si="9"/>
        <v>7.53</v>
      </c>
      <c r="I289" t="s">
        <v>439</v>
      </c>
      <c r="J289" t="s">
        <v>439</v>
      </c>
      <c r="K289" t="str">
        <f>_xlfn.XLOOKUP($J289,'Leveranser per nät'!$A$4:$A$524,'Leveranser per nät'!$A$4:$A$524)</f>
        <v>Örbyhus</v>
      </c>
      <c r="L289">
        <f t="shared" si="8"/>
        <v>7.53</v>
      </c>
    </row>
    <row r="290" spans="1:12" x14ac:dyDescent="0.25">
      <c r="A290" t="s">
        <v>1101</v>
      </c>
      <c r="B290" t="s">
        <v>514</v>
      </c>
      <c r="C290">
        <v>2022</v>
      </c>
      <c r="D290">
        <v>13.340999999999999</v>
      </c>
      <c r="E290">
        <v>0</v>
      </c>
      <c r="F290">
        <v>0</v>
      </c>
      <c r="G290">
        <v>0</v>
      </c>
      <c r="H290">
        <f t="shared" si="9"/>
        <v>13.340999999999999</v>
      </c>
      <c r="I290" t="s">
        <v>514</v>
      </c>
      <c r="J290" t="s">
        <v>514</v>
      </c>
      <c r="K290" t="str">
        <f>_xlfn.XLOOKUP($J290,'Leveranser per nät'!$A$4:$A$524,'Leveranser per nät'!$A$4:$A$524)</f>
        <v>Torsås</v>
      </c>
      <c r="L290">
        <f t="shared" si="8"/>
        <v>13.340999999999999</v>
      </c>
    </row>
    <row r="291" spans="1:12" x14ac:dyDescent="0.25">
      <c r="A291" t="s">
        <v>722</v>
      </c>
      <c r="B291" t="s">
        <v>316</v>
      </c>
      <c r="C291">
        <v>2022</v>
      </c>
      <c r="D291">
        <v>119.94799999999999</v>
      </c>
      <c r="E291">
        <v>0</v>
      </c>
      <c r="F291">
        <v>0</v>
      </c>
      <c r="G291">
        <v>0</v>
      </c>
      <c r="H291">
        <f t="shared" si="9"/>
        <v>119.94799999999999</v>
      </c>
      <c r="I291" t="s">
        <v>316</v>
      </c>
      <c r="J291" t="s">
        <v>316</v>
      </c>
      <c r="K291" t="str">
        <f>_xlfn.XLOOKUP($J291,'Leveranser per nät'!$A$4:$A$524,'Leveranser per nät'!$A$4:$A$524)</f>
        <v>Tranås</v>
      </c>
      <c r="L291">
        <f t="shared" si="8"/>
        <v>119.94799999999999</v>
      </c>
    </row>
    <row r="292" spans="1:12" x14ac:dyDescent="0.25">
      <c r="A292" t="s">
        <v>1193</v>
      </c>
      <c r="B292" t="s">
        <v>317</v>
      </c>
      <c r="C292">
        <v>2022</v>
      </c>
      <c r="D292">
        <v>88.5</v>
      </c>
      <c r="E292">
        <v>0</v>
      </c>
      <c r="F292">
        <v>0</v>
      </c>
      <c r="G292">
        <v>0</v>
      </c>
      <c r="H292">
        <f t="shared" si="9"/>
        <v>88.5</v>
      </c>
      <c r="I292" t="s">
        <v>317</v>
      </c>
      <c r="J292" t="s">
        <v>317</v>
      </c>
      <c r="K292" t="str">
        <f>_xlfn.XLOOKUP($J292,'Leveranser per nät'!$A$4:$A$524,'Leveranser per nät'!$A$4:$A$524)</f>
        <v>Trelleborg</v>
      </c>
      <c r="L292">
        <f t="shared" si="8"/>
        <v>88.5</v>
      </c>
    </row>
    <row r="293" spans="1:12" x14ac:dyDescent="0.25">
      <c r="A293" t="s">
        <v>725</v>
      </c>
      <c r="B293" t="s">
        <v>318</v>
      </c>
      <c r="C293">
        <v>2022</v>
      </c>
      <c r="D293">
        <v>306.2</v>
      </c>
      <c r="E293">
        <v>0</v>
      </c>
      <c r="F293">
        <v>0</v>
      </c>
      <c r="G293">
        <v>0</v>
      </c>
      <c r="H293">
        <f t="shared" si="9"/>
        <v>306.2</v>
      </c>
      <c r="I293" t="s">
        <v>318</v>
      </c>
      <c r="J293" t="s">
        <v>318</v>
      </c>
      <c r="K293" t="str">
        <f>_xlfn.XLOOKUP($J293,'Leveranser per nät'!$A$4:$A$524,'Leveranser per nät'!$A$4:$A$524)</f>
        <v>Trollhättan</v>
      </c>
      <c r="L293">
        <f t="shared" si="8"/>
        <v>306.2</v>
      </c>
    </row>
    <row r="294" spans="1:12" x14ac:dyDescent="0.25">
      <c r="A294" t="s">
        <v>665</v>
      </c>
      <c r="B294" t="s">
        <v>404</v>
      </c>
      <c r="C294">
        <v>2022</v>
      </c>
      <c r="D294">
        <v>4.3499999999999996</v>
      </c>
      <c r="E294">
        <v>0</v>
      </c>
      <c r="F294">
        <v>0</v>
      </c>
      <c r="G294">
        <v>0</v>
      </c>
      <c r="H294">
        <f t="shared" si="9"/>
        <v>4.3499999999999996</v>
      </c>
      <c r="I294" t="s">
        <v>404</v>
      </c>
      <c r="J294" t="s">
        <v>404</v>
      </c>
      <c r="K294" t="str">
        <f>_xlfn.XLOOKUP($J294,'Leveranser per nät'!$A$4:$A$524,'Leveranser per nät'!$A$4:$A$524)</f>
        <v>Ljungskile</v>
      </c>
      <c r="L294">
        <f t="shared" si="8"/>
        <v>4.3499999999999996</v>
      </c>
    </row>
    <row r="295" spans="1:12" x14ac:dyDescent="0.25">
      <c r="A295" t="s">
        <v>665</v>
      </c>
      <c r="B295" t="s">
        <v>319</v>
      </c>
      <c r="C295">
        <v>2022</v>
      </c>
      <c r="D295">
        <v>6.88</v>
      </c>
      <c r="E295">
        <v>0</v>
      </c>
      <c r="F295">
        <v>0</v>
      </c>
      <c r="G295">
        <v>0</v>
      </c>
      <c r="H295">
        <f t="shared" si="9"/>
        <v>6.88</v>
      </c>
      <c r="I295" t="s">
        <v>319</v>
      </c>
      <c r="J295" t="s">
        <v>319</v>
      </c>
      <c r="K295" t="str">
        <f>_xlfn.XLOOKUP($J295,'Leveranser per nät'!$A$4:$A$524,'Leveranser per nät'!$A$4:$A$524)</f>
        <v>Munkedal</v>
      </c>
      <c r="L295">
        <f t="shared" si="8"/>
        <v>6.88</v>
      </c>
    </row>
    <row r="296" spans="1:12" x14ac:dyDescent="0.25">
      <c r="A296" t="s">
        <v>665</v>
      </c>
      <c r="B296" t="s">
        <v>320</v>
      </c>
      <c r="C296">
        <v>2022</v>
      </c>
      <c r="D296">
        <v>304.98</v>
      </c>
      <c r="E296">
        <v>0</v>
      </c>
      <c r="F296">
        <v>0</v>
      </c>
      <c r="G296">
        <v>0</v>
      </c>
      <c r="H296">
        <f t="shared" si="9"/>
        <v>304.98</v>
      </c>
      <c r="I296" t="s">
        <v>320</v>
      </c>
      <c r="J296" t="s">
        <v>320</v>
      </c>
      <c r="K296" t="str">
        <f>_xlfn.XLOOKUP($J296,'Leveranser per nät'!$A$4:$A$524,'Leveranser per nät'!$A$4:$A$524)</f>
        <v>Uddevalla</v>
      </c>
      <c r="L296">
        <f t="shared" si="8"/>
        <v>304.98</v>
      </c>
    </row>
    <row r="297" spans="1:12" x14ac:dyDescent="0.25">
      <c r="A297" t="s">
        <v>614</v>
      </c>
      <c r="B297" t="s">
        <v>322</v>
      </c>
      <c r="C297">
        <v>2022</v>
      </c>
      <c r="D297">
        <v>2.2360000000000002</v>
      </c>
      <c r="E297">
        <v>0</v>
      </c>
      <c r="F297">
        <v>0</v>
      </c>
      <c r="G297">
        <v>0</v>
      </c>
      <c r="H297">
        <f t="shared" si="9"/>
        <v>2.2360000000000002</v>
      </c>
      <c r="I297" t="s">
        <v>322</v>
      </c>
      <c r="J297" t="s">
        <v>322</v>
      </c>
      <c r="K297" t="str">
        <f>_xlfn.XLOOKUP($J297,'Leveranser per nät'!$A$4:$A$524,'Leveranser per nät'!$A$4:$A$524)</f>
        <v>Gällstad</v>
      </c>
      <c r="L297">
        <f t="shared" si="8"/>
        <v>2.2360000000000002</v>
      </c>
    </row>
    <row r="298" spans="1:12" x14ac:dyDescent="0.25">
      <c r="A298" t="s">
        <v>614</v>
      </c>
      <c r="B298" t="s">
        <v>798</v>
      </c>
      <c r="C298">
        <v>2022</v>
      </c>
      <c r="D298">
        <v>0.80600000000000005</v>
      </c>
      <c r="E298">
        <v>0</v>
      </c>
      <c r="F298">
        <v>0</v>
      </c>
      <c r="G298">
        <v>0</v>
      </c>
      <c r="H298">
        <f t="shared" si="9"/>
        <v>0.80600000000000005</v>
      </c>
      <c r="I298" t="s">
        <v>798</v>
      </c>
      <c r="J298" t="s">
        <v>798</v>
      </c>
      <c r="K298" t="str">
        <f>_xlfn.XLOOKUP($J298,'Leveranser per nät'!$A$4:$A$524,'Leveranser per nät'!$A$4:$A$524)</f>
        <v>Timmele</v>
      </c>
      <c r="L298">
        <f t="shared" si="8"/>
        <v>0.80600000000000005</v>
      </c>
    </row>
    <row r="299" spans="1:12" x14ac:dyDescent="0.25">
      <c r="A299" t="s">
        <v>614</v>
      </c>
      <c r="B299" t="s">
        <v>321</v>
      </c>
      <c r="C299">
        <v>2022</v>
      </c>
      <c r="D299">
        <v>48.066000000000003</v>
      </c>
      <c r="E299">
        <v>0</v>
      </c>
      <c r="F299">
        <v>0</v>
      </c>
      <c r="G299">
        <v>0</v>
      </c>
      <c r="H299">
        <f t="shared" si="9"/>
        <v>48.066000000000003</v>
      </c>
      <c r="I299" t="s">
        <v>321</v>
      </c>
      <c r="J299" t="s">
        <v>321</v>
      </c>
      <c r="K299" t="str">
        <f>_xlfn.XLOOKUP($J299,'Leveranser per nät'!$A$4:$A$524,'Leveranser per nät'!$A$4:$A$524)</f>
        <v>Ulricehamn</v>
      </c>
      <c r="L299">
        <f t="shared" si="8"/>
        <v>48.066000000000003</v>
      </c>
    </row>
    <row r="300" spans="1:12" x14ac:dyDescent="0.25">
      <c r="A300" t="s">
        <v>566</v>
      </c>
      <c r="B300" t="s">
        <v>323</v>
      </c>
      <c r="C300">
        <v>2022</v>
      </c>
      <c r="D300">
        <v>6.65</v>
      </c>
      <c r="E300">
        <v>0</v>
      </c>
      <c r="F300">
        <v>0</v>
      </c>
      <c r="G300">
        <v>0</v>
      </c>
      <c r="H300">
        <f t="shared" si="9"/>
        <v>6.65</v>
      </c>
      <c r="I300" t="s">
        <v>323</v>
      </c>
      <c r="J300" t="s">
        <v>323</v>
      </c>
      <c r="K300" t="str">
        <f>_xlfn.XLOOKUP($J300,'Leveranser per nät'!$A$4:$A$524,'Leveranser per nät'!$A$4:$A$524)</f>
        <v>Bjurholm</v>
      </c>
      <c r="L300">
        <f t="shared" si="8"/>
        <v>6.65</v>
      </c>
    </row>
    <row r="301" spans="1:12" x14ac:dyDescent="0.25">
      <c r="A301" t="s">
        <v>566</v>
      </c>
      <c r="B301" t="s">
        <v>326</v>
      </c>
      <c r="C301">
        <v>2022</v>
      </c>
      <c r="D301">
        <v>7.42</v>
      </c>
      <c r="E301">
        <v>0</v>
      </c>
      <c r="F301">
        <v>0</v>
      </c>
      <c r="G301">
        <v>0</v>
      </c>
      <c r="H301">
        <f t="shared" si="9"/>
        <v>7.42</v>
      </c>
      <c r="I301" t="s">
        <v>326</v>
      </c>
      <c r="J301" t="s">
        <v>326</v>
      </c>
      <c r="K301" t="str">
        <f>_xlfn.XLOOKUP($J301,'Leveranser per nät'!$A$4:$A$524,'Leveranser per nät'!$A$4:$A$524)</f>
        <v>Hörnefors</v>
      </c>
      <c r="L301">
        <f t="shared" si="8"/>
        <v>7.42</v>
      </c>
    </row>
    <row r="302" spans="1:12" x14ac:dyDescent="0.25">
      <c r="A302" t="s">
        <v>566</v>
      </c>
      <c r="B302" t="s">
        <v>327</v>
      </c>
      <c r="C302">
        <v>2022</v>
      </c>
      <c r="D302">
        <v>10.17</v>
      </c>
      <c r="E302">
        <v>0</v>
      </c>
      <c r="F302">
        <v>0</v>
      </c>
      <c r="G302">
        <v>0</v>
      </c>
      <c r="H302">
        <f t="shared" si="9"/>
        <v>10.17</v>
      </c>
      <c r="I302" t="s">
        <v>327</v>
      </c>
      <c r="J302" t="s">
        <v>327</v>
      </c>
      <c r="K302" t="str">
        <f>_xlfn.XLOOKUP($J302,'Leveranser per nät'!$A$4:$A$524,'Leveranser per nät'!$A$4:$A$524)</f>
        <v>Sävar</v>
      </c>
      <c r="L302">
        <f t="shared" si="8"/>
        <v>10.17</v>
      </c>
    </row>
    <row r="303" spans="1:12" x14ac:dyDescent="0.25">
      <c r="A303" t="s">
        <v>566</v>
      </c>
      <c r="B303" s="1" t="s">
        <v>324</v>
      </c>
      <c r="C303">
        <v>2022</v>
      </c>
      <c r="D303">
        <v>823.99</v>
      </c>
      <c r="E303">
        <v>0</v>
      </c>
      <c r="F303">
        <v>0</v>
      </c>
      <c r="G303">
        <v>0</v>
      </c>
      <c r="H303">
        <f t="shared" si="9"/>
        <v>823.99</v>
      </c>
      <c r="I303" t="s">
        <v>324</v>
      </c>
      <c r="J303" t="s">
        <v>324</v>
      </c>
      <c r="K303" t="str">
        <f>_xlfn.XLOOKUP($J303,'Leveranser per nät'!$A$4:$A$524,'Leveranser per nät'!$A$4:$A$524)</f>
        <v>Umeå</v>
      </c>
      <c r="L303">
        <f t="shared" si="8"/>
        <v>825.8</v>
      </c>
    </row>
    <row r="304" spans="1:12" x14ac:dyDescent="0.25">
      <c r="A304" t="s">
        <v>566</v>
      </c>
      <c r="B304" s="1" t="s">
        <v>1194</v>
      </c>
      <c r="C304">
        <v>2022</v>
      </c>
      <c r="D304">
        <v>1.81</v>
      </c>
      <c r="E304">
        <v>0</v>
      </c>
      <c r="F304">
        <v>0</v>
      </c>
      <c r="G304">
        <v>0</v>
      </c>
      <c r="H304">
        <f t="shared" si="9"/>
        <v>1.81</v>
      </c>
      <c r="I304" t="s">
        <v>1194</v>
      </c>
      <c r="J304" t="s">
        <v>324</v>
      </c>
      <c r="K304" t="str">
        <f>_xlfn.XLOOKUP($J304,'Leveranser per nät'!$A$4:$A$524,'Leveranser per nät'!$A$4:$A$524)</f>
        <v>Umeå</v>
      </c>
      <c r="L304">
        <f t="shared" si="8"/>
        <v>825.8</v>
      </c>
    </row>
    <row r="305" spans="1:12" x14ac:dyDescent="0.25">
      <c r="A305" t="s">
        <v>697</v>
      </c>
      <c r="B305" t="s">
        <v>329</v>
      </c>
      <c r="C305">
        <v>2022</v>
      </c>
      <c r="D305">
        <v>28.475000000000001</v>
      </c>
      <c r="E305">
        <v>0</v>
      </c>
      <c r="F305">
        <v>0</v>
      </c>
      <c r="G305">
        <v>0</v>
      </c>
      <c r="H305">
        <f t="shared" si="9"/>
        <v>28.475000000000001</v>
      </c>
      <c r="I305" t="s">
        <v>329</v>
      </c>
      <c r="J305" t="s">
        <v>329</v>
      </c>
      <c r="K305" t="str">
        <f>_xlfn.XLOOKUP($J305,'Leveranser per nät'!$A$4:$A$524,'Leveranser per nät'!$A$4:$A$524)</f>
        <v>Skillingaryd</v>
      </c>
      <c r="L305">
        <f t="shared" si="8"/>
        <v>28.475000000000001</v>
      </c>
    </row>
    <row r="306" spans="1:12" x14ac:dyDescent="0.25">
      <c r="A306" t="s">
        <v>697</v>
      </c>
      <c r="B306" t="s">
        <v>1145</v>
      </c>
      <c r="C306">
        <v>2022</v>
      </c>
      <c r="D306">
        <v>1.97</v>
      </c>
      <c r="E306">
        <v>0</v>
      </c>
      <c r="F306">
        <v>0</v>
      </c>
      <c r="G306">
        <v>0</v>
      </c>
      <c r="H306">
        <f t="shared" si="9"/>
        <v>1.97</v>
      </c>
      <c r="I306" s="43" t="s">
        <v>1145</v>
      </c>
      <c r="J306" t="s">
        <v>816</v>
      </c>
      <c r="K306" t="str">
        <f>_xlfn.XLOOKUP($J306,'Leveranser per nät'!$A$4:$A$524,'Leveranser per nät'!$A$4:$A$524)</f>
        <v>Stigamo</v>
      </c>
      <c r="L306">
        <f t="shared" si="8"/>
        <v>1.97</v>
      </c>
    </row>
    <row r="307" spans="1:12" x14ac:dyDescent="0.25">
      <c r="A307" t="s">
        <v>697</v>
      </c>
      <c r="B307" t="s">
        <v>328</v>
      </c>
      <c r="C307">
        <v>2022</v>
      </c>
      <c r="D307">
        <v>29.428000000000001</v>
      </c>
      <c r="E307">
        <v>0</v>
      </c>
      <c r="F307">
        <v>0</v>
      </c>
      <c r="G307">
        <v>0</v>
      </c>
      <c r="H307">
        <f t="shared" si="9"/>
        <v>29.428000000000001</v>
      </c>
      <c r="I307" t="s">
        <v>328</v>
      </c>
      <c r="J307" t="s">
        <v>328</v>
      </c>
      <c r="K307" t="str">
        <f>_xlfn.XLOOKUP($J307,'Leveranser per nät'!$A$4:$A$524,'Leveranser per nät'!$A$4:$A$524)</f>
        <v>Vaggeryd</v>
      </c>
      <c r="L307">
        <f t="shared" si="8"/>
        <v>29.428000000000001</v>
      </c>
    </row>
    <row r="308" spans="1:12" x14ac:dyDescent="0.25">
      <c r="A308" t="s">
        <v>799</v>
      </c>
      <c r="B308" t="s">
        <v>330</v>
      </c>
      <c r="C308">
        <v>2022</v>
      </c>
      <c r="D308">
        <v>31.091000000000001</v>
      </c>
      <c r="E308">
        <v>0</v>
      </c>
      <c r="F308">
        <v>0</v>
      </c>
      <c r="G308">
        <v>0</v>
      </c>
      <c r="H308">
        <f t="shared" si="9"/>
        <v>31.091000000000001</v>
      </c>
      <c r="I308" t="s">
        <v>330</v>
      </c>
      <c r="J308" t="s">
        <v>330</v>
      </c>
      <c r="K308" t="str">
        <f>_xlfn.XLOOKUP($J308,'Leveranser per nät'!$A$4:$A$524,'Leveranser per nät'!$A$4:$A$524)</f>
        <v>Vara</v>
      </c>
      <c r="L308">
        <f t="shared" si="8"/>
        <v>31.091000000000001</v>
      </c>
    </row>
    <row r="309" spans="1:12" x14ac:dyDescent="0.25">
      <c r="A309" t="s">
        <v>726</v>
      </c>
      <c r="B309" t="s">
        <v>1123</v>
      </c>
      <c r="C309">
        <v>2022</v>
      </c>
      <c r="D309">
        <v>3.1579999999999999</v>
      </c>
      <c r="E309">
        <v>0</v>
      </c>
      <c r="F309">
        <v>0</v>
      </c>
      <c r="G309">
        <v>0</v>
      </c>
      <c r="H309">
        <f t="shared" si="9"/>
        <v>3.1579999999999999</v>
      </c>
      <c r="I309" t="s">
        <v>1123</v>
      </c>
      <c r="K309" t="e">
        <f>_xlfn.XLOOKUP($J309,'Leveranser per nät'!$A$4:$A$524,'Leveranser per nät'!$A$4:$A$524)</f>
        <v>#N/A</v>
      </c>
      <c r="L309">
        <f t="shared" si="8"/>
        <v>0</v>
      </c>
    </row>
    <row r="310" spans="1:12" x14ac:dyDescent="0.25">
      <c r="A310" t="s">
        <v>726</v>
      </c>
      <c r="B310" t="s">
        <v>429</v>
      </c>
      <c r="C310">
        <v>2022</v>
      </c>
      <c r="D310">
        <v>6.2110000000000003</v>
      </c>
      <c r="E310">
        <v>0</v>
      </c>
      <c r="F310">
        <v>0</v>
      </c>
      <c r="G310">
        <v>0</v>
      </c>
      <c r="H310">
        <f t="shared" si="9"/>
        <v>6.2110000000000003</v>
      </c>
      <c r="I310" t="s">
        <v>429</v>
      </c>
      <c r="J310" t="s">
        <v>429</v>
      </c>
      <c r="K310" t="str">
        <f>_xlfn.XLOOKUP($J310,'Leveranser per nät'!$A$4:$A$524,'Leveranser per nät'!$A$4:$A$524)</f>
        <v>Tvååker (Närv)</v>
      </c>
      <c r="L310">
        <f t="shared" si="8"/>
        <v>6.2110000000000003</v>
      </c>
    </row>
    <row r="311" spans="1:12" x14ac:dyDescent="0.25">
      <c r="A311" t="s">
        <v>726</v>
      </c>
      <c r="B311" t="s">
        <v>332</v>
      </c>
      <c r="C311">
        <v>2022</v>
      </c>
      <c r="D311">
        <v>157.72999999999999</v>
      </c>
      <c r="E311">
        <v>0</v>
      </c>
      <c r="F311">
        <v>0</v>
      </c>
      <c r="G311">
        <v>0</v>
      </c>
      <c r="H311">
        <f t="shared" si="9"/>
        <v>157.72999999999999</v>
      </c>
      <c r="I311" t="s">
        <v>332</v>
      </c>
      <c r="J311" t="s">
        <v>332</v>
      </c>
      <c r="K311" t="str">
        <f>_xlfn.XLOOKUP($J311,'Leveranser per nät'!$A$4:$A$524,'Leveranser per nät'!$A$4:$A$524)</f>
        <v>Varberg (Fjv)</v>
      </c>
      <c r="L311">
        <f t="shared" si="8"/>
        <v>157.72999999999999</v>
      </c>
    </row>
    <row r="312" spans="1:12" x14ac:dyDescent="0.25">
      <c r="A312" t="s">
        <v>726</v>
      </c>
      <c r="B312" t="s">
        <v>333</v>
      </c>
      <c r="C312">
        <v>2022</v>
      </c>
      <c r="D312">
        <v>3.4060000000000001</v>
      </c>
      <c r="E312">
        <v>0</v>
      </c>
      <c r="F312">
        <v>0</v>
      </c>
      <c r="G312">
        <v>0</v>
      </c>
      <c r="H312">
        <f t="shared" si="9"/>
        <v>3.4060000000000001</v>
      </c>
      <c r="I312" t="s">
        <v>333</v>
      </c>
      <c r="J312" t="s">
        <v>333</v>
      </c>
      <c r="K312" t="str">
        <f>_xlfn.XLOOKUP($J312,'Leveranser per nät'!$A$4:$A$524,'Leveranser per nät'!$A$4:$A$524)</f>
        <v>Veddige</v>
      </c>
      <c r="L312">
        <f t="shared" si="8"/>
        <v>3.4060000000000001</v>
      </c>
    </row>
    <row r="313" spans="1:12" x14ac:dyDescent="0.25">
      <c r="A313" t="s">
        <v>1002</v>
      </c>
      <c r="B313" t="s">
        <v>334</v>
      </c>
      <c r="C313">
        <v>2022</v>
      </c>
      <c r="D313">
        <v>18.013000000000002</v>
      </c>
      <c r="E313">
        <v>0</v>
      </c>
      <c r="F313">
        <v>0</v>
      </c>
      <c r="G313">
        <v>0</v>
      </c>
      <c r="H313">
        <f t="shared" si="9"/>
        <v>18.013000000000002</v>
      </c>
      <c r="I313" t="s">
        <v>334</v>
      </c>
      <c r="J313" t="s">
        <v>334</v>
      </c>
      <c r="K313" t="str">
        <f>_xlfn.XLOOKUP($J313,'Leveranser per nät'!$A$4:$A$524,'Leveranser per nät'!$A$4:$A$524)</f>
        <v>Askersund</v>
      </c>
      <c r="L313">
        <f t="shared" si="8"/>
        <v>18.013000000000002</v>
      </c>
    </row>
    <row r="314" spans="1:12" x14ac:dyDescent="0.25">
      <c r="A314" t="s">
        <v>1002</v>
      </c>
      <c r="B314" s="1" t="s">
        <v>339</v>
      </c>
      <c r="C314">
        <v>2022</v>
      </c>
      <c r="D314">
        <v>443.35599999999999</v>
      </c>
      <c r="E314">
        <v>0</v>
      </c>
      <c r="F314">
        <v>0</v>
      </c>
      <c r="G314">
        <v>0</v>
      </c>
      <c r="H314">
        <f t="shared" si="9"/>
        <v>443.35599999999999</v>
      </c>
      <c r="I314" t="s">
        <v>339</v>
      </c>
      <c r="J314" t="s">
        <v>339</v>
      </c>
      <c r="K314" t="str">
        <f>_xlfn.XLOOKUP($J314,'Leveranser per nät'!$A$4:$A$524,'Leveranser per nät'!$A$4:$A$524)</f>
        <v>Drefviken</v>
      </c>
      <c r="L314">
        <f t="shared" si="8"/>
        <v>448.50599999999997</v>
      </c>
    </row>
    <row r="315" spans="1:12" x14ac:dyDescent="0.25">
      <c r="A315" t="s">
        <v>1002</v>
      </c>
      <c r="B315" s="1" t="s">
        <v>1146</v>
      </c>
      <c r="C315">
        <v>2022</v>
      </c>
      <c r="D315">
        <v>5.15</v>
      </c>
      <c r="E315">
        <v>0</v>
      </c>
      <c r="F315">
        <v>0</v>
      </c>
      <c r="G315">
        <v>0</v>
      </c>
      <c r="H315">
        <f t="shared" si="9"/>
        <v>5.15</v>
      </c>
      <c r="I315" t="s">
        <v>1146</v>
      </c>
      <c r="J315" t="s">
        <v>339</v>
      </c>
      <c r="K315" t="str">
        <f>_xlfn.XLOOKUP($J315,'Leveranser per nät'!$A$4:$A$524,'Leveranser per nät'!$A$4:$A$524)</f>
        <v>Drefviken</v>
      </c>
      <c r="L315">
        <f t="shared" si="8"/>
        <v>448.50599999999997</v>
      </c>
    </row>
    <row r="316" spans="1:12" x14ac:dyDescent="0.25">
      <c r="A316" t="s">
        <v>1002</v>
      </c>
      <c r="B316" t="s">
        <v>340</v>
      </c>
      <c r="C316">
        <v>2022</v>
      </c>
      <c r="D316">
        <v>68.825000000000003</v>
      </c>
      <c r="E316">
        <v>0</v>
      </c>
      <c r="F316">
        <v>0</v>
      </c>
      <c r="G316">
        <v>0</v>
      </c>
      <c r="H316">
        <f t="shared" si="9"/>
        <v>68.825000000000003</v>
      </c>
      <c r="I316" t="s">
        <v>340</v>
      </c>
      <c r="J316" t="s">
        <v>340</v>
      </c>
      <c r="K316" t="str">
        <f>_xlfn.XLOOKUP($J316,'Leveranser per nät'!$A$4:$A$524,'Leveranser per nät'!$A$4:$A$524)</f>
        <v>Gustavsberg</v>
      </c>
      <c r="L316">
        <f t="shared" si="8"/>
        <v>68.825000000000003</v>
      </c>
    </row>
    <row r="317" spans="1:12" x14ac:dyDescent="0.25">
      <c r="A317" t="s">
        <v>1002</v>
      </c>
      <c r="B317" s="1" t="s">
        <v>1147</v>
      </c>
      <c r="C317">
        <v>2022</v>
      </c>
      <c r="D317">
        <v>0.29588999999999999</v>
      </c>
      <c r="E317">
        <v>0</v>
      </c>
      <c r="F317">
        <v>0</v>
      </c>
      <c r="G317">
        <v>0</v>
      </c>
      <c r="H317">
        <f t="shared" si="9"/>
        <v>0.29588999999999999</v>
      </c>
      <c r="I317" t="s">
        <v>1147</v>
      </c>
      <c r="J317" t="s">
        <v>341</v>
      </c>
      <c r="K317" t="str">
        <f>_xlfn.XLOOKUP($J317,'Leveranser per nät'!$A$4:$A$524,'Leveranser per nät'!$A$4:$A$524)</f>
        <v>Knivsta</v>
      </c>
      <c r="L317">
        <f t="shared" si="8"/>
        <v>54.627890000000001</v>
      </c>
    </row>
    <row r="318" spans="1:12" x14ac:dyDescent="0.25">
      <c r="A318" t="s">
        <v>1002</v>
      </c>
      <c r="B318" s="1" t="s">
        <v>1098</v>
      </c>
      <c r="C318">
        <v>2022</v>
      </c>
      <c r="D318">
        <v>54.965000000000003</v>
      </c>
      <c r="E318">
        <v>5.633</v>
      </c>
      <c r="F318">
        <v>0</v>
      </c>
      <c r="G318">
        <v>0</v>
      </c>
      <c r="H318">
        <f t="shared" si="9"/>
        <v>49.332000000000001</v>
      </c>
      <c r="I318" t="s">
        <v>1098</v>
      </c>
      <c r="J318" t="s">
        <v>341</v>
      </c>
      <c r="K318" t="str">
        <f>_xlfn.XLOOKUP($J318,'Leveranser per nät'!$A$4:$A$524,'Leveranser per nät'!$A$4:$A$524)</f>
        <v>Knivsta</v>
      </c>
      <c r="L318">
        <f t="shared" si="8"/>
        <v>54.627890000000001</v>
      </c>
    </row>
    <row r="319" spans="1:12" x14ac:dyDescent="0.25">
      <c r="A319" t="s">
        <v>1002</v>
      </c>
      <c r="B319" t="s">
        <v>336</v>
      </c>
      <c r="C319">
        <v>2022</v>
      </c>
      <c r="D319">
        <v>141.40199999999999</v>
      </c>
      <c r="E319">
        <v>0</v>
      </c>
      <c r="F319">
        <v>0</v>
      </c>
      <c r="G319">
        <v>0</v>
      </c>
      <c r="H319">
        <f t="shared" si="9"/>
        <v>141.40199999999999</v>
      </c>
      <c r="I319" t="s">
        <v>336</v>
      </c>
      <c r="J319" t="s">
        <v>336</v>
      </c>
      <c r="K319" t="str">
        <f>_xlfn.XLOOKUP($J319,'Leveranser per nät'!$A$4:$A$524,'Leveranser per nät'!$A$4:$A$524)</f>
        <v>Motala</v>
      </c>
      <c r="L319">
        <f t="shared" si="8"/>
        <v>141.40199999999999</v>
      </c>
    </row>
    <row r="320" spans="1:12" x14ac:dyDescent="0.25">
      <c r="A320" t="s">
        <v>1002</v>
      </c>
      <c r="B320" t="s">
        <v>337</v>
      </c>
      <c r="C320">
        <v>2022</v>
      </c>
      <c r="D320">
        <v>258.73</v>
      </c>
      <c r="E320">
        <v>0</v>
      </c>
      <c r="F320">
        <v>0</v>
      </c>
      <c r="G320">
        <v>0</v>
      </c>
      <c r="H320">
        <f t="shared" si="9"/>
        <v>258.73</v>
      </c>
      <c r="I320" t="s">
        <v>337</v>
      </c>
      <c r="J320" t="s">
        <v>337</v>
      </c>
      <c r="K320" t="str">
        <f>_xlfn.XLOOKUP($J320,'Leveranser per nät'!$A$4:$A$524,'Leveranser per nät'!$A$4:$A$524)</f>
        <v>Nyköping</v>
      </c>
      <c r="L320">
        <f t="shared" si="8"/>
        <v>258.73</v>
      </c>
    </row>
    <row r="321" spans="1:12" x14ac:dyDescent="0.25">
      <c r="A321" t="s">
        <v>1002</v>
      </c>
      <c r="B321" t="s">
        <v>342</v>
      </c>
      <c r="C321">
        <v>2022</v>
      </c>
      <c r="D321">
        <v>25.922000000000001</v>
      </c>
      <c r="E321">
        <v>0</v>
      </c>
      <c r="F321">
        <v>0</v>
      </c>
      <c r="G321">
        <v>0</v>
      </c>
      <c r="H321">
        <f t="shared" si="9"/>
        <v>25.922000000000001</v>
      </c>
      <c r="I321" t="s">
        <v>342</v>
      </c>
      <c r="J321" t="s">
        <v>342</v>
      </c>
      <c r="K321" t="str">
        <f>_xlfn.XLOOKUP($J321,'Leveranser per nät'!$A$4:$A$524,'Leveranser per nät'!$A$4:$A$524)</f>
        <v>Saltsjöbaden</v>
      </c>
      <c r="L321">
        <f t="shared" si="8"/>
        <v>25.922000000000001</v>
      </c>
    </row>
    <row r="322" spans="1:12" x14ac:dyDescent="0.25">
      <c r="A322" t="s">
        <v>1002</v>
      </c>
      <c r="B322" s="1" t="s">
        <v>343</v>
      </c>
      <c r="C322">
        <v>2022</v>
      </c>
      <c r="D322">
        <v>9.8699999999999992</v>
      </c>
      <c r="E322">
        <v>0</v>
      </c>
      <c r="F322">
        <v>0</v>
      </c>
      <c r="G322">
        <v>0</v>
      </c>
      <c r="H322">
        <f t="shared" ref="H322:H385" si="10">D322-SUM(E322:G322)</f>
        <v>9.8699999999999992</v>
      </c>
      <c r="I322" t="s">
        <v>343</v>
      </c>
      <c r="J322" t="s">
        <v>343</v>
      </c>
      <c r="K322" t="str">
        <f>_xlfn.XLOOKUP($J322,'Leveranser per nät'!$A$4:$A$524,'Leveranser per nät'!$A$4:$A$524)</f>
        <v>Storvreta</v>
      </c>
      <c r="L322">
        <f t="shared" ref="L322:L385" si="11">SUMIF($J$2:$J$474,K322,$H$2:$H$474)</f>
        <v>13.654399999999999</v>
      </c>
    </row>
    <row r="323" spans="1:12" x14ac:dyDescent="0.25">
      <c r="A323" t="s">
        <v>1002</v>
      </c>
      <c r="B323" s="1" t="s">
        <v>1148</v>
      </c>
      <c r="C323">
        <v>2022</v>
      </c>
      <c r="D323">
        <v>3.7844000000000002</v>
      </c>
      <c r="E323">
        <v>0</v>
      </c>
      <c r="F323">
        <v>0</v>
      </c>
      <c r="G323">
        <v>0</v>
      </c>
      <c r="H323">
        <f t="shared" si="10"/>
        <v>3.7844000000000002</v>
      </c>
      <c r="I323" t="s">
        <v>1148</v>
      </c>
      <c r="J323" t="s">
        <v>343</v>
      </c>
      <c r="K323" t="str">
        <f>_xlfn.XLOOKUP($J323,'Leveranser per nät'!$A$4:$A$524,'Leveranser per nät'!$A$4:$A$524)</f>
        <v>Storvreta</v>
      </c>
      <c r="L323">
        <f t="shared" si="11"/>
        <v>13.654399999999999</v>
      </c>
    </row>
    <row r="324" spans="1:12" x14ac:dyDescent="0.25">
      <c r="A324" t="s">
        <v>1002</v>
      </c>
      <c r="B324" s="1" t="s">
        <v>335</v>
      </c>
      <c r="C324">
        <v>2022</v>
      </c>
      <c r="D324">
        <v>1157.2149999999999</v>
      </c>
      <c r="E324">
        <v>0</v>
      </c>
      <c r="F324">
        <v>0</v>
      </c>
      <c r="G324">
        <v>0</v>
      </c>
      <c r="H324">
        <f t="shared" si="10"/>
        <v>1157.2149999999999</v>
      </c>
      <c r="I324" t="s">
        <v>335</v>
      </c>
      <c r="J324" t="s">
        <v>335</v>
      </c>
      <c r="K324" t="str">
        <f>_xlfn.XLOOKUP($J324,'Leveranser per nät'!$A$4:$A$524,'Leveranser per nät'!$A$4:$A$524)</f>
        <v>Uppsala</v>
      </c>
      <c r="L324">
        <f t="shared" si="11"/>
        <v>1375.1949999999999</v>
      </c>
    </row>
    <row r="325" spans="1:12" x14ac:dyDescent="0.25">
      <c r="A325" t="s">
        <v>1002</v>
      </c>
      <c r="B325" s="1" t="s">
        <v>1149</v>
      </c>
      <c r="C325">
        <v>2022</v>
      </c>
      <c r="D325">
        <v>217.98</v>
      </c>
      <c r="E325">
        <v>0</v>
      </c>
      <c r="F325">
        <v>0</v>
      </c>
      <c r="G325">
        <v>0</v>
      </c>
      <c r="H325">
        <f t="shared" si="10"/>
        <v>217.98</v>
      </c>
      <c r="I325" t="s">
        <v>1149</v>
      </c>
      <c r="J325" t="s">
        <v>335</v>
      </c>
      <c r="K325" t="str">
        <f>_xlfn.XLOOKUP($J325,'Leveranser per nät'!$A$4:$A$524,'Leveranser per nät'!$A$4:$A$524)</f>
        <v>Uppsala</v>
      </c>
      <c r="L325">
        <f t="shared" si="11"/>
        <v>1375.1949999999999</v>
      </c>
    </row>
    <row r="326" spans="1:12" x14ac:dyDescent="0.25">
      <c r="A326" t="s">
        <v>1002</v>
      </c>
      <c r="B326" t="s">
        <v>338</v>
      </c>
      <c r="C326">
        <v>2022</v>
      </c>
      <c r="D326">
        <v>209.041</v>
      </c>
      <c r="E326">
        <v>83.039000000000001</v>
      </c>
      <c r="F326">
        <v>0</v>
      </c>
      <c r="G326">
        <v>0</v>
      </c>
      <c r="H326">
        <f t="shared" si="10"/>
        <v>126.002</v>
      </c>
      <c r="I326" t="s">
        <v>338</v>
      </c>
      <c r="J326" t="s">
        <v>338</v>
      </c>
      <c r="K326" t="str">
        <f>_xlfn.XLOOKUP($J326,'Leveranser per nät'!$A$4:$A$524,'Leveranser per nät'!$A$4:$A$524)</f>
        <v>Vänersborg</v>
      </c>
      <c r="L326">
        <f t="shared" si="11"/>
        <v>126.002</v>
      </c>
    </row>
    <row r="327" spans="1:12" x14ac:dyDescent="0.25">
      <c r="A327" t="s">
        <v>605</v>
      </c>
      <c r="B327" t="s">
        <v>351</v>
      </c>
      <c r="C327">
        <v>2022</v>
      </c>
      <c r="D327">
        <v>3.0990000000000002</v>
      </c>
      <c r="E327">
        <v>0</v>
      </c>
      <c r="F327">
        <v>0</v>
      </c>
      <c r="G327">
        <v>0</v>
      </c>
      <c r="H327">
        <f t="shared" si="10"/>
        <v>3.0990000000000002</v>
      </c>
      <c r="I327" t="s">
        <v>351</v>
      </c>
      <c r="J327" t="s">
        <v>351</v>
      </c>
      <c r="K327" t="str">
        <f>_xlfn.XLOOKUP($J327,'Leveranser per nät'!$A$4:$A$524,'Leveranser per nät'!$A$4:$A$524)</f>
        <v>Frödinge</v>
      </c>
      <c r="L327">
        <f t="shared" si="11"/>
        <v>3.0990000000000002</v>
      </c>
    </row>
    <row r="328" spans="1:12" x14ac:dyDescent="0.25">
      <c r="A328" t="s">
        <v>605</v>
      </c>
      <c r="B328" t="s">
        <v>352</v>
      </c>
      <c r="C328">
        <v>2022</v>
      </c>
      <c r="D328">
        <v>4.0540000000000003</v>
      </c>
      <c r="E328">
        <v>0</v>
      </c>
      <c r="F328">
        <v>0</v>
      </c>
      <c r="G328">
        <v>0</v>
      </c>
      <c r="H328">
        <f t="shared" si="10"/>
        <v>4.0540000000000003</v>
      </c>
      <c r="I328" t="s">
        <v>352</v>
      </c>
      <c r="J328" t="s">
        <v>352</v>
      </c>
      <c r="K328" t="str">
        <f>_xlfn.XLOOKUP($J328,'Leveranser per nät'!$A$4:$A$524,'Leveranser per nät'!$A$4:$A$524)</f>
        <v>Gullringen</v>
      </c>
      <c r="L328">
        <f t="shared" si="11"/>
        <v>4.0540000000000003</v>
      </c>
    </row>
    <row r="329" spans="1:12" x14ac:dyDescent="0.25">
      <c r="A329" t="s">
        <v>605</v>
      </c>
      <c r="B329" t="s">
        <v>353</v>
      </c>
      <c r="C329">
        <v>2022</v>
      </c>
      <c r="D329">
        <v>4.0860000000000003</v>
      </c>
      <c r="E329">
        <v>0</v>
      </c>
      <c r="F329">
        <v>0</v>
      </c>
      <c r="G329">
        <v>0</v>
      </c>
      <c r="H329">
        <f t="shared" si="10"/>
        <v>4.0860000000000003</v>
      </c>
      <c r="I329" t="s">
        <v>353</v>
      </c>
      <c r="J329" t="s">
        <v>353</v>
      </c>
      <c r="K329" t="str">
        <f>_xlfn.XLOOKUP($J329,'Leveranser per nät'!$A$4:$A$524,'Leveranser per nät'!$A$4:$A$524)</f>
        <v>Storebro</v>
      </c>
      <c r="L329">
        <f t="shared" si="11"/>
        <v>4.0860000000000003</v>
      </c>
    </row>
    <row r="330" spans="1:12" x14ac:dyDescent="0.25">
      <c r="A330" t="s">
        <v>605</v>
      </c>
      <c r="B330" t="s">
        <v>391</v>
      </c>
      <c r="C330">
        <v>2022</v>
      </c>
      <c r="D330">
        <v>14.247999999999999</v>
      </c>
      <c r="E330">
        <v>0</v>
      </c>
      <c r="F330">
        <v>0</v>
      </c>
      <c r="G330">
        <v>0</v>
      </c>
      <c r="H330">
        <f t="shared" si="10"/>
        <v>14.247999999999999</v>
      </c>
      <c r="I330" t="s">
        <v>391</v>
      </c>
      <c r="J330" t="s">
        <v>391</v>
      </c>
      <c r="K330" t="str">
        <f>_xlfn.XLOOKUP($J330,'Leveranser per nät'!$A$4:$A$524,'Leveranser per nät'!$A$4:$A$524)</f>
        <v>Södra Vi</v>
      </c>
      <c r="L330">
        <f t="shared" si="11"/>
        <v>14.247999999999999</v>
      </c>
    </row>
    <row r="331" spans="1:12" x14ac:dyDescent="0.25">
      <c r="A331" t="s">
        <v>605</v>
      </c>
      <c r="B331" t="s">
        <v>350</v>
      </c>
      <c r="C331">
        <v>2022</v>
      </c>
      <c r="D331">
        <v>99.975999999999999</v>
      </c>
      <c r="E331">
        <v>0</v>
      </c>
      <c r="F331">
        <v>0</v>
      </c>
      <c r="G331">
        <v>0</v>
      </c>
      <c r="H331">
        <f t="shared" si="10"/>
        <v>99.975999999999999</v>
      </c>
      <c r="I331" t="s">
        <v>350</v>
      </c>
      <c r="J331" t="s">
        <v>350</v>
      </c>
      <c r="K331" t="str">
        <f>_xlfn.XLOOKUP($J331,'Leveranser per nät'!$A$4:$A$524,'Leveranser per nät'!$A$4:$A$524)</f>
        <v>Vimmerby</v>
      </c>
      <c r="L331">
        <f t="shared" si="11"/>
        <v>99.975999999999999</v>
      </c>
    </row>
    <row r="332" spans="1:12" x14ac:dyDescent="0.25">
      <c r="A332" t="s">
        <v>1004</v>
      </c>
      <c r="B332" t="s">
        <v>405</v>
      </c>
      <c r="C332">
        <v>2022</v>
      </c>
      <c r="D332">
        <v>2.1440000000000001</v>
      </c>
      <c r="E332">
        <v>0</v>
      </c>
      <c r="F332">
        <v>0</v>
      </c>
      <c r="G332">
        <v>0</v>
      </c>
      <c r="H332">
        <f t="shared" si="10"/>
        <v>2.1440000000000001</v>
      </c>
      <c r="I332" t="s">
        <v>405</v>
      </c>
      <c r="J332" t="s">
        <v>405</v>
      </c>
      <c r="K332" t="str">
        <f>_xlfn.XLOOKUP($J332,'Leveranser per nät'!$A$4:$A$524,'Leveranser per nät'!$A$4:$A$524)</f>
        <v>Lyrestad</v>
      </c>
      <c r="L332">
        <f t="shared" si="11"/>
        <v>2.1440000000000001</v>
      </c>
    </row>
    <row r="333" spans="1:12" x14ac:dyDescent="0.25">
      <c r="A333" t="s">
        <v>1004</v>
      </c>
      <c r="B333" t="s">
        <v>202</v>
      </c>
      <c r="C333">
        <v>2022</v>
      </c>
      <c r="D333">
        <v>132.63</v>
      </c>
      <c r="E333">
        <v>0</v>
      </c>
      <c r="F333">
        <v>0</v>
      </c>
      <c r="G333">
        <v>0</v>
      </c>
      <c r="H333">
        <f t="shared" si="10"/>
        <v>132.63</v>
      </c>
      <c r="I333" t="s">
        <v>202</v>
      </c>
      <c r="J333" t="s">
        <v>202</v>
      </c>
      <c r="K333" t="str">
        <f>_xlfn.XLOOKUP($J333,'Leveranser per nät'!$A$4:$A$524,'Leveranser per nät'!$A$4:$A$524)</f>
        <v>Mariestad</v>
      </c>
      <c r="L333">
        <f t="shared" si="11"/>
        <v>132.63</v>
      </c>
    </row>
    <row r="334" spans="1:12" x14ac:dyDescent="0.25">
      <c r="A334" t="s">
        <v>1004</v>
      </c>
      <c r="B334" t="s">
        <v>430</v>
      </c>
      <c r="C334">
        <v>2022</v>
      </c>
      <c r="D334">
        <v>25.06</v>
      </c>
      <c r="E334">
        <v>0</v>
      </c>
      <c r="F334">
        <v>0</v>
      </c>
      <c r="G334">
        <v>0</v>
      </c>
      <c r="H334">
        <f t="shared" si="10"/>
        <v>25.06</v>
      </c>
      <c r="I334" t="s">
        <v>430</v>
      </c>
      <c r="J334" t="s">
        <v>430</v>
      </c>
      <c r="K334" t="str">
        <f>_xlfn.XLOOKUP($J334,'Leveranser per nät'!$A$4:$A$524,'Leveranser per nät'!$A$4:$A$524)</f>
        <v>Töreboda</v>
      </c>
      <c r="L334">
        <f t="shared" si="11"/>
        <v>25.06</v>
      </c>
    </row>
    <row r="335" spans="1:12" x14ac:dyDescent="0.25">
      <c r="A335" t="s">
        <v>558</v>
      </c>
      <c r="B335" t="s">
        <v>118</v>
      </c>
      <c r="C335">
        <v>2022</v>
      </c>
      <c r="D335">
        <v>116.05800000000001</v>
      </c>
      <c r="E335">
        <v>0</v>
      </c>
      <c r="F335">
        <v>0</v>
      </c>
      <c r="G335">
        <v>0</v>
      </c>
      <c r="H335">
        <f t="shared" si="10"/>
        <v>116.05800000000001</v>
      </c>
      <c r="I335" t="s">
        <v>118</v>
      </c>
      <c r="J335" t="s">
        <v>118</v>
      </c>
      <c r="K335" t="str">
        <f>_xlfn.XLOOKUP($J335,'Leveranser per nät'!$A$4:$A$524,'Leveranser per nät'!$A$4:$A$524)</f>
        <v>Avesta</v>
      </c>
      <c r="L335">
        <f t="shared" si="11"/>
        <v>116.05800000000001</v>
      </c>
    </row>
    <row r="336" spans="1:12" x14ac:dyDescent="0.25">
      <c r="A336" t="s">
        <v>558</v>
      </c>
      <c r="B336" t="s">
        <v>1124</v>
      </c>
      <c r="C336">
        <v>2022</v>
      </c>
      <c r="D336">
        <v>0.70099999999999996</v>
      </c>
      <c r="E336">
        <v>0</v>
      </c>
      <c r="F336">
        <v>0</v>
      </c>
      <c r="G336">
        <v>0</v>
      </c>
      <c r="H336">
        <f t="shared" si="10"/>
        <v>0.70099999999999996</v>
      </c>
      <c r="I336" s="43" t="s">
        <v>1124</v>
      </c>
      <c r="K336" t="e">
        <f>_xlfn.XLOOKUP($J336,'Leveranser per nät'!$A$4:$A$524,'Leveranser per nät'!$A$4:$A$524)</f>
        <v>#N/A</v>
      </c>
      <c r="L336">
        <f t="shared" si="11"/>
        <v>0</v>
      </c>
    </row>
    <row r="337" spans="1:12" x14ac:dyDescent="0.25">
      <c r="A337" t="s">
        <v>558</v>
      </c>
      <c r="B337" t="s">
        <v>115</v>
      </c>
      <c r="C337">
        <v>2022</v>
      </c>
      <c r="D337">
        <v>14.067</v>
      </c>
      <c r="E337">
        <v>0</v>
      </c>
      <c r="F337">
        <v>0</v>
      </c>
      <c r="G337">
        <v>0</v>
      </c>
      <c r="H337">
        <f t="shared" si="10"/>
        <v>14.067</v>
      </c>
      <c r="I337" t="s">
        <v>115</v>
      </c>
      <c r="J337" t="s">
        <v>115</v>
      </c>
      <c r="K337" t="str">
        <f>_xlfn.XLOOKUP($J337,'Leveranser per nät'!$A$4:$A$524,'Leveranser per nät'!$A$4:$A$524)</f>
        <v>Delsbo</v>
      </c>
      <c r="L337">
        <f t="shared" si="11"/>
        <v>14.067</v>
      </c>
    </row>
    <row r="338" spans="1:12" x14ac:dyDescent="0.25">
      <c r="A338" t="s">
        <v>558</v>
      </c>
      <c r="B338" t="s">
        <v>123</v>
      </c>
      <c r="C338">
        <v>2022</v>
      </c>
      <c r="D338">
        <v>21.43</v>
      </c>
      <c r="E338">
        <v>0</v>
      </c>
      <c r="F338">
        <v>0</v>
      </c>
      <c r="G338">
        <v>0</v>
      </c>
      <c r="H338">
        <f t="shared" si="10"/>
        <v>21.43</v>
      </c>
      <c r="I338" t="s">
        <v>123</v>
      </c>
      <c r="J338" t="s">
        <v>123</v>
      </c>
      <c r="K338" t="str">
        <f>_xlfn.XLOOKUP($J338,'Leveranser per nät'!$A$4:$A$524,'Leveranser per nät'!$A$4:$A$524)</f>
        <v>Grums</v>
      </c>
      <c r="L338">
        <f t="shared" si="11"/>
        <v>21.43</v>
      </c>
    </row>
    <row r="339" spans="1:12" x14ac:dyDescent="0.25">
      <c r="A339" t="s">
        <v>558</v>
      </c>
      <c r="B339" t="s">
        <v>124</v>
      </c>
      <c r="C339">
        <v>2022</v>
      </c>
      <c r="D339">
        <v>5.1189999999999998</v>
      </c>
      <c r="E339">
        <v>0</v>
      </c>
      <c r="F339">
        <v>0</v>
      </c>
      <c r="G339">
        <v>0</v>
      </c>
      <c r="H339">
        <f t="shared" si="10"/>
        <v>5.1189999999999998</v>
      </c>
      <c r="I339" t="s">
        <v>124</v>
      </c>
      <c r="J339" t="s">
        <v>124</v>
      </c>
      <c r="K339" t="str">
        <f>_xlfn.XLOOKUP($J339,'Leveranser per nät'!$A$4:$A$524,'Leveranser per nät'!$A$4:$A$524)</f>
        <v>Grythyttan</v>
      </c>
      <c r="L339">
        <f t="shared" si="11"/>
        <v>5.1189999999999998</v>
      </c>
    </row>
    <row r="340" spans="1:12" x14ac:dyDescent="0.25">
      <c r="A340" t="s">
        <v>558</v>
      </c>
      <c r="B340" t="s">
        <v>629</v>
      </c>
      <c r="C340">
        <v>2022</v>
      </c>
      <c r="D340">
        <v>39.889000000000003</v>
      </c>
      <c r="E340">
        <v>0</v>
      </c>
      <c r="F340">
        <v>0</v>
      </c>
      <c r="G340">
        <v>0</v>
      </c>
      <c r="H340">
        <f t="shared" si="10"/>
        <v>39.889000000000003</v>
      </c>
      <c r="I340" s="43" t="s">
        <v>629</v>
      </c>
      <c r="J340" t="s">
        <v>116</v>
      </c>
      <c r="K340" t="str">
        <f>_xlfn.XLOOKUP($J340,'Leveranser per nät'!$A$4:$A$524,'Leveranser per nät'!$A$4:$A$524)</f>
        <v>Hofors</v>
      </c>
      <c r="L340">
        <f t="shared" si="11"/>
        <v>39.889000000000003</v>
      </c>
    </row>
    <row r="341" spans="1:12" x14ac:dyDescent="0.25">
      <c r="A341" t="s">
        <v>558</v>
      </c>
      <c r="B341" t="s">
        <v>117</v>
      </c>
      <c r="C341">
        <v>2022</v>
      </c>
      <c r="D341">
        <v>110.333</v>
      </c>
      <c r="E341">
        <v>0</v>
      </c>
      <c r="F341">
        <v>0</v>
      </c>
      <c r="G341">
        <v>0</v>
      </c>
      <c r="H341">
        <f t="shared" si="10"/>
        <v>110.333</v>
      </c>
      <c r="I341" t="s">
        <v>117</v>
      </c>
      <c r="J341" t="s">
        <v>117</v>
      </c>
      <c r="K341" t="str">
        <f>_xlfn.XLOOKUP($J341,'Leveranser per nät'!$A$4:$A$524,'Leveranser per nät'!$A$4:$A$524)</f>
        <v>Hudiksvall</v>
      </c>
      <c r="L341">
        <f t="shared" si="11"/>
        <v>110.333</v>
      </c>
    </row>
    <row r="342" spans="1:12" x14ac:dyDescent="0.25">
      <c r="A342" t="s">
        <v>558</v>
      </c>
      <c r="B342" t="s">
        <v>125</v>
      </c>
      <c r="C342">
        <v>2022</v>
      </c>
      <c r="D342">
        <v>31.439</v>
      </c>
      <c r="E342">
        <v>0</v>
      </c>
      <c r="F342">
        <v>0</v>
      </c>
      <c r="G342">
        <v>0</v>
      </c>
      <c r="H342">
        <f t="shared" si="10"/>
        <v>31.439</v>
      </c>
      <c r="I342" t="s">
        <v>125</v>
      </c>
      <c r="J342" t="s">
        <v>125</v>
      </c>
      <c r="K342" t="str">
        <f>_xlfn.XLOOKUP($J342,'Leveranser per nät'!$A$4:$A$524,'Leveranser per nät'!$A$4:$A$524)</f>
        <v>Hällefors</v>
      </c>
      <c r="L342">
        <f t="shared" si="11"/>
        <v>31.439</v>
      </c>
    </row>
    <row r="343" spans="1:12" x14ac:dyDescent="0.25">
      <c r="A343" t="s">
        <v>558</v>
      </c>
      <c r="B343" t="s">
        <v>489</v>
      </c>
      <c r="C343">
        <v>2022</v>
      </c>
      <c r="D343">
        <v>14.441000000000001</v>
      </c>
      <c r="E343">
        <v>0</v>
      </c>
      <c r="F343">
        <v>0</v>
      </c>
      <c r="G343">
        <v>0</v>
      </c>
      <c r="H343">
        <f t="shared" si="10"/>
        <v>14.441000000000001</v>
      </c>
      <c r="I343" t="s">
        <v>489</v>
      </c>
      <c r="J343" t="s">
        <v>489</v>
      </c>
      <c r="K343" t="str">
        <f>_xlfn.XLOOKUP($J343,'Leveranser per nät'!$A$4:$A$524,'Leveranser per nät'!$A$4:$A$524)</f>
        <v>Iggesund</v>
      </c>
      <c r="L343">
        <f t="shared" si="11"/>
        <v>14.441000000000001</v>
      </c>
    </row>
    <row r="344" spans="1:12" x14ac:dyDescent="0.25">
      <c r="A344" t="s">
        <v>558</v>
      </c>
      <c r="B344" t="s">
        <v>37</v>
      </c>
      <c r="C344">
        <v>2022</v>
      </c>
      <c r="D344">
        <v>9.9670000000000005</v>
      </c>
      <c r="E344">
        <v>0</v>
      </c>
      <c r="F344">
        <v>0</v>
      </c>
      <c r="G344">
        <v>0</v>
      </c>
      <c r="H344">
        <f t="shared" si="10"/>
        <v>9.9670000000000005</v>
      </c>
      <c r="I344" t="s">
        <v>37</v>
      </c>
      <c r="J344" t="s">
        <v>37</v>
      </c>
      <c r="K344" t="str">
        <f>_xlfn.XLOOKUP($J344,'Leveranser per nät'!$A$4:$A$524,'Leveranser per nät'!$A$4:$A$524)</f>
        <v>Insjön</v>
      </c>
      <c r="L344">
        <f t="shared" si="11"/>
        <v>9.9670000000000005</v>
      </c>
    </row>
    <row r="345" spans="1:12" x14ac:dyDescent="0.25">
      <c r="A345" t="s">
        <v>558</v>
      </c>
      <c r="B345" t="s">
        <v>126</v>
      </c>
      <c r="C345">
        <v>2022</v>
      </c>
      <c r="D345">
        <v>10.417</v>
      </c>
      <c r="E345">
        <v>0</v>
      </c>
      <c r="F345">
        <v>0</v>
      </c>
      <c r="G345">
        <v>0</v>
      </c>
      <c r="H345">
        <f t="shared" si="10"/>
        <v>10.417</v>
      </c>
      <c r="I345" t="s">
        <v>126</v>
      </c>
      <c r="J345" t="s">
        <v>126</v>
      </c>
      <c r="K345" t="str">
        <f>_xlfn.XLOOKUP($J345,'Leveranser per nät'!$A$4:$A$524,'Leveranser per nät'!$A$4:$A$524)</f>
        <v>Kopparberg</v>
      </c>
      <c r="L345">
        <f t="shared" si="11"/>
        <v>10.417</v>
      </c>
    </row>
    <row r="346" spans="1:12" x14ac:dyDescent="0.25">
      <c r="A346" t="s">
        <v>558</v>
      </c>
      <c r="B346" t="s">
        <v>654</v>
      </c>
      <c r="C346">
        <v>2022</v>
      </c>
      <c r="D346">
        <v>90.703999999999994</v>
      </c>
      <c r="E346">
        <v>0</v>
      </c>
      <c r="F346">
        <v>0</v>
      </c>
      <c r="G346">
        <v>0</v>
      </c>
      <c r="H346">
        <f t="shared" si="10"/>
        <v>90.703999999999994</v>
      </c>
      <c r="I346" t="s">
        <v>654</v>
      </c>
      <c r="J346" t="s">
        <v>172</v>
      </c>
      <c r="K346" t="str">
        <f>_xlfn.XLOOKUP($J346,'Leveranser per nät'!$A$4:$A$524,'Leveranser per nät'!$A$4:$A$524)</f>
        <v>Kristinehamn</v>
      </c>
      <c r="L346">
        <f t="shared" si="11"/>
        <v>90.703999999999994</v>
      </c>
    </row>
    <row r="347" spans="1:12" x14ac:dyDescent="0.25">
      <c r="A347" t="s">
        <v>558</v>
      </c>
      <c r="B347" t="s">
        <v>38</v>
      </c>
      <c r="C347">
        <v>2022</v>
      </c>
      <c r="D347">
        <v>32.401000000000003</v>
      </c>
      <c r="E347">
        <v>0</v>
      </c>
      <c r="F347">
        <v>0</v>
      </c>
      <c r="G347">
        <v>0</v>
      </c>
      <c r="H347">
        <f t="shared" si="10"/>
        <v>32.401000000000003</v>
      </c>
      <c r="I347" t="s">
        <v>38</v>
      </c>
      <c r="J347" t="s">
        <v>38</v>
      </c>
      <c r="K347" t="str">
        <f>_xlfn.XLOOKUP($J347,'Leveranser per nät'!$A$4:$A$524,'Leveranser per nät'!$A$4:$A$524)</f>
        <v>Leksand</v>
      </c>
      <c r="L347">
        <f t="shared" si="11"/>
        <v>32.401000000000003</v>
      </c>
    </row>
    <row r="348" spans="1:12" x14ac:dyDescent="0.25">
      <c r="A348" t="s">
        <v>558</v>
      </c>
      <c r="B348" t="s">
        <v>121</v>
      </c>
      <c r="C348">
        <v>2022</v>
      </c>
      <c r="D348">
        <v>57.290999999999997</v>
      </c>
      <c r="E348">
        <v>0</v>
      </c>
      <c r="F348">
        <v>0</v>
      </c>
      <c r="G348">
        <v>0</v>
      </c>
      <c r="H348">
        <f t="shared" si="10"/>
        <v>57.290999999999997</v>
      </c>
      <c r="I348" t="s">
        <v>121</v>
      </c>
      <c r="J348" t="s">
        <v>121</v>
      </c>
      <c r="K348" t="str">
        <f>_xlfn.XLOOKUP($J348,'Leveranser per nät'!$A$4:$A$524,'Leveranser per nät'!$A$4:$A$524)</f>
        <v>Nynäshamn</v>
      </c>
      <c r="L348">
        <f t="shared" si="11"/>
        <v>57.290999999999997</v>
      </c>
    </row>
    <row r="349" spans="1:12" x14ac:dyDescent="0.25">
      <c r="A349" t="s">
        <v>558</v>
      </c>
      <c r="B349" t="s">
        <v>252</v>
      </c>
      <c r="C349">
        <v>2022</v>
      </c>
      <c r="D349">
        <v>42.145000000000003</v>
      </c>
      <c r="E349">
        <v>0</v>
      </c>
      <c r="F349">
        <v>0</v>
      </c>
      <c r="G349">
        <v>0</v>
      </c>
      <c r="H349">
        <f t="shared" si="10"/>
        <v>42.145000000000003</v>
      </c>
      <c r="I349" t="s">
        <v>252</v>
      </c>
      <c r="J349" t="s">
        <v>252</v>
      </c>
      <c r="K349" t="str">
        <f>_xlfn.XLOOKUP($J349,'Leveranser per nät'!$A$4:$A$524,'Leveranser per nät'!$A$4:$A$524)</f>
        <v>Rättvik</v>
      </c>
      <c r="L349">
        <f t="shared" si="11"/>
        <v>42.145000000000003</v>
      </c>
    </row>
    <row r="350" spans="1:12" x14ac:dyDescent="0.25">
      <c r="A350" t="s">
        <v>558</v>
      </c>
      <c r="B350" t="s">
        <v>128</v>
      </c>
      <c r="C350">
        <v>2022</v>
      </c>
      <c r="D350">
        <v>1.444</v>
      </c>
      <c r="E350">
        <v>0</v>
      </c>
      <c r="F350">
        <v>0</v>
      </c>
      <c r="G350">
        <v>0</v>
      </c>
      <c r="H350">
        <f t="shared" si="10"/>
        <v>1.444</v>
      </c>
      <c r="I350" t="s">
        <v>128</v>
      </c>
      <c r="J350" t="s">
        <v>128</v>
      </c>
      <c r="K350" t="str">
        <f>_xlfn.XLOOKUP($J350,'Leveranser per nät'!$A$4:$A$524,'Leveranser per nät'!$A$4:$A$524)</f>
        <v>Stöllet</v>
      </c>
      <c r="L350">
        <f t="shared" si="11"/>
        <v>1.444</v>
      </c>
    </row>
    <row r="351" spans="1:12" x14ac:dyDescent="0.25">
      <c r="A351" t="s">
        <v>558</v>
      </c>
      <c r="B351" t="s">
        <v>714</v>
      </c>
      <c r="C351">
        <v>2022</v>
      </c>
      <c r="D351">
        <v>48.496000000000002</v>
      </c>
      <c r="E351">
        <v>0</v>
      </c>
      <c r="F351">
        <v>0</v>
      </c>
      <c r="G351">
        <v>0</v>
      </c>
      <c r="H351">
        <f t="shared" si="10"/>
        <v>48.496000000000002</v>
      </c>
      <c r="I351" s="43" t="s">
        <v>714</v>
      </c>
      <c r="J351" t="s">
        <v>120</v>
      </c>
      <c r="K351" t="str">
        <f>_xlfn.XLOOKUP($J351,'Leveranser per nät'!$A$4:$A$524,'Leveranser per nät'!$A$4:$A$524)</f>
        <v>Säffle</v>
      </c>
      <c r="L351">
        <f t="shared" si="11"/>
        <v>48.496000000000002</v>
      </c>
    </row>
    <row r="352" spans="1:12" x14ac:dyDescent="0.25">
      <c r="A352" t="s">
        <v>558</v>
      </c>
      <c r="B352" t="s">
        <v>129</v>
      </c>
      <c r="C352">
        <v>2022</v>
      </c>
      <c r="D352">
        <v>6.2110000000000003</v>
      </c>
      <c r="E352">
        <v>0</v>
      </c>
      <c r="F352">
        <v>0</v>
      </c>
      <c r="G352">
        <v>0</v>
      </c>
      <c r="H352">
        <f t="shared" si="10"/>
        <v>6.2110000000000003</v>
      </c>
      <c r="I352" t="s">
        <v>129</v>
      </c>
      <c r="J352" t="s">
        <v>129</v>
      </c>
      <c r="K352" t="str">
        <f>_xlfn.XLOOKUP($J352,'Leveranser per nät'!$A$4:$A$524,'Leveranser per nät'!$A$4:$A$524)</f>
        <v>Sörforsa</v>
      </c>
      <c r="L352">
        <f t="shared" si="11"/>
        <v>6.2110000000000003</v>
      </c>
    </row>
    <row r="353" spans="1:12" x14ac:dyDescent="0.25">
      <c r="A353" t="s">
        <v>558</v>
      </c>
      <c r="B353" t="s">
        <v>130</v>
      </c>
      <c r="C353">
        <v>2022</v>
      </c>
      <c r="D353">
        <v>30.545999999999999</v>
      </c>
      <c r="E353">
        <v>0</v>
      </c>
      <c r="F353">
        <v>0</v>
      </c>
      <c r="G353">
        <v>0</v>
      </c>
      <c r="H353">
        <f t="shared" si="10"/>
        <v>30.545999999999999</v>
      </c>
      <c r="I353" t="s">
        <v>130</v>
      </c>
      <c r="J353" t="s">
        <v>130</v>
      </c>
      <c r="K353" t="str">
        <f>_xlfn.XLOOKUP($J353,'Leveranser per nät'!$A$4:$A$524,'Leveranser per nät'!$A$4:$A$524)</f>
        <v>Torsby</v>
      </c>
      <c r="L353">
        <f t="shared" si="11"/>
        <v>30.545999999999999</v>
      </c>
    </row>
    <row r="354" spans="1:12" x14ac:dyDescent="0.25">
      <c r="A354" t="s">
        <v>558</v>
      </c>
      <c r="B354" t="s">
        <v>1125</v>
      </c>
      <c r="C354">
        <v>2022</v>
      </c>
      <c r="D354">
        <v>1.9219999999999999</v>
      </c>
      <c r="E354">
        <v>0</v>
      </c>
      <c r="F354">
        <v>0</v>
      </c>
      <c r="G354">
        <v>0</v>
      </c>
      <c r="H354">
        <f t="shared" si="10"/>
        <v>1.9219999999999999</v>
      </c>
      <c r="I354" s="43" t="s">
        <v>1125</v>
      </c>
      <c r="J354" t="s">
        <v>1163</v>
      </c>
      <c r="K354" t="e">
        <f>_xlfn.XLOOKUP($J354,'Leveranser per nät'!$A$4:$A$524,'Leveranser per nät'!$A$4:$A$524)</f>
        <v>#N/A</v>
      </c>
      <c r="L354">
        <f t="shared" si="11"/>
        <v>0</v>
      </c>
    </row>
    <row r="355" spans="1:12" x14ac:dyDescent="0.25">
      <c r="A355" t="s">
        <v>558</v>
      </c>
      <c r="B355" t="s">
        <v>743</v>
      </c>
      <c r="C355">
        <v>2022</v>
      </c>
      <c r="D355" t="s">
        <v>805</v>
      </c>
      <c r="E355" t="s">
        <v>805</v>
      </c>
      <c r="F355" t="s">
        <v>805</v>
      </c>
      <c r="G355" t="s">
        <v>805</v>
      </c>
      <c r="H355"/>
      <c r="I355" s="43" t="s">
        <v>743</v>
      </c>
      <c r="J355" t="s">
        <v>1163</v>
      </c>
      <c r="K355" t="e">
        <f>_xlfn.XLOOKUP($J355,'Leveranser per nät'!$A$4:$A$524,'Leveranser per nät'!$A$4:$A$524)</f>
        <v>#N/A</v>
      </c>
      <c r="L355">
        <f t="shared" si="11"/>
        <v>0</v>
      </c>
    </row>
    <row r="356" spans="1:12" x14ac:dyDescent="0.25">
      <c r="A356" t="s">
        <v>689</v>
      </c>
      <c r="B356" t="s">
        <v>1005</v>
      </c>
      <c r="C356">
        <v>2022</v>
      </c>
      <c r="D356">
        <v>1.6839999999999999</v>
      </c>
      <c r="E356">
        <v>0</v>
      </c>
      <c r="F356">
        <v>0</v>
      </c>
      <c r="G356">
        <v>0</v>
      </c>
      <c r="H356">
        <f t="shared" si="10"/>
        <v>1.6839999999999999</v>
      </c>
      <c r="I356" s="43" t="s">
        <v>1005</v>
      </c>
      <c r="J356" t="s">
        <v>1163</v>
      </c>
      <c r="K356" t="e">
        <f>_xlfn.XLOOKUP($J356,'Leveranser per nät'!$A$4:$A$524,'Leveranser per nät'!$A$4:$A$524)</f>
        <v>#N/A</v>
      </c>
      <c r="L356">
        <f t="shared" si="11"/>
        <v>0</v>
      </c>
    </row>
    <row r="357" spans="1:12" x14ac:dyDescent="0.25">
      <c r="A357" t="s">
        <v>689</v>
      </c>
      <c r="B357" t="s">
        <v>1006</v>
      </c>
      <c r="C357">
        <v>2022</v>
      </c>
      <c r="D357">
        <v>3.7629999999999999</v>
      </c>
      <c r="E357">
        <v>0</v>
      </c>
      <c r="F357">
        <v>0</v>
      </c>
      <c r="G357">
        <v>0</v>
      </c>
      <c r="H357">
        <f t="shared" si="10"/>
        <v>3.7629999999999999</v>
      </c>
      <c r="I357" s="43" t="s">
        <v>1006</v>
      </c>
      <c r="J357" t="s">
        <v>1163</v>
      </c>
      <c r="K357" t="e">
        <f>_xlfn.XLOOKUP($J357,'Leveranser per nät'!$A$4:$A$524,'Leveranser per nät'!$A$4:$A$524)</f>
        <v>#N/A</v>
      </c>
      <c r="L357">
        <f t="shared" si="11"/>
        <v>0</v>
      </c>
    </row>
    <row r="358" spans="1:12" x14ac:dyDescent="0.25">
      <c r="A358" t="s">
        <v>689</v>
      </c>
      <c r="B358" t="s">
        <v>1007</v>
      </c>
      <c r="C358">
        <v>2022</v>
      </c>
      <c r="D358">
        <v>3.4239999999999999</v>
      </c>
      <c r="E358">
        <v>0</v>
      </c>
      <c r="F358">
        <v>0</v>
      </c>
      <c r="G358">
        <v>0</v>
      </c>
      <c r="H358">
        <f t="shared" si="10"/>
        <v>3.4239999999999999</v>
      </c>
      <c r="I358" s="43" t="s">
        <v>1007</v>
      </c>
      <c r="J358" t="s">
        <v>1163</v>
      </c>
      <c r="K358" t="e">
        <f>_xlfn.XLOOKUP($J358,'Leveranser per nät'!$A$4:$A$524,'Leveranser per nät'!$A$4:$A$524)</f>
        <v>#N/A</v>
      </c>
      <c r="L358">
        <f t="shared" si="11"/>
        <v>0</v>
      </c>
    </row>
    <row r="359" spans="1:12" x14ac:dyDescent="0.25">
      <c r="A359" t="s">
        <v>689</v>
      </c>
      <c r="B359" t="s">
        <v>1008</v>
      </c>
      <c r="C359">
        <v>2022</v>
      </c>
      <c r="D359">
        <v>0.65700000000000003</v>
      </c>
      <c r="E359">
        <v>0</v>
      </c>
      <c r="F359">
        <v>0</v>
      </c>
      <c r="G359">
        <v>0</v>
      </c>
      <c r="H359">
        <f t="shared" si="10"/>
        <v>0.65700000000000003</v>
      </c>
      <c r="I359" s="43" t="s">
        <v>1008</v>
      </c>
      <c r="J359" t="s">
        <v>1163</v>
      </c>
      <c r="K359" t="e">
        <f>_xlfn.XLOOKUP($J359,'Leveranser per nät'!$A$4:$A$524,'Leveranser per nät'!$A$4:$A$524)</f>
        <v>#N/A</v>
      </c>
      <c r="L359">
        <f t="shared" si="11"/>
        <v>0</v>
      </c>
    </row>
    <row r="360" spans="1:12" x14ac:dyDescent="0.25">
      <c r="A360" t="s">
        <v>689</v>
      </c>
      <c r="B360" t="s">
        <v>354</v>
      </c>
      <c r="C360">
        <v>2022</v>
      </c>
      <c r="D360">
        <v>9.3529999999999998</v>
      </c>
      <c r="E360">
        <v>0</v>
      </c>
      <c r="F360">
        <v>0</v>
      </c>
      <c r="G360">
        <v>0</v>
      </c>
      <c r="H360">
        <f t="shared" si="10"/>
        <v>9.3529999999999998</v>
      </c>
      <c r="I360" t="s">
        <v>354</v>
      </c>
      <c r="J360" t="s">
        <v>354</v>
      </c>
      <c r="K360" t="str">
        <f>_xlfn.XLOOKUP($J360,'Leveranser per nät'!$A$4:$A$524,'Leveranser per nät'!$A$4:$A$524)</f>
        <v>Rydaholm</v>
      </c>
      <c r="L360">
        <f t="shared" si="11"/>
        <v>9.3529999999999998</v>
      </c>
    </row>
    <row r="361" spans="1:12" x14ac:dyDescent="0.25">
      <c r="A361" t="s">
        <v>689</v>
      </c>
      <c r="B361" t="s">
        <v>355</v>
      </c>
      <c r="C361">
        <v>2022</v>
      </c>
      <c r="D361">
        <v>141.869</v>
      </c>
      <c r="E361">
        <v>0</v>
      </c>
      <c r="F361">
        <v>0</v>
      </c>
      <c r="G361">
        <v>0</v>
      </c>
      <c r="H361">
        <f t="shared" si="10"/>
        <v>141.869</v>
      </c>
      <c r="I361" t="s">
        <v>355</v>
      </c>
      <c r="J361" t="s">
        <v>355</v>
      </c>
      <c r="K361" t="str">
        <f>_xlfn.XLOOKUP($J361,'Leveranser per nät'!$A$4:$A$524,'Leveranser per nät'!$A$4:$A$524)</f>
        <v>Värnamo</v>
      </c>
      <c r="L361">
        <f t="shared" si="11"/>
        <v>141.869</v>
      </c>
    </row>
    <row r="362" spans="1:12" x14ac:dyDescent="0.25">
      <c r="A362" t="s">
        <v>595</v>
      </c>
      <c r="B362" t="s">
        <v>357</v>
      </c>
      <c r="C362">
        <v>2022</v>
      </c>
      <c r="D362">
        <v>88</v>
      </c>
      <c r="E362">
        <v>0</v>
      </c>
      <c r="F362">
        <v>0</v>
      </c>
      <c r="G362">
        <v>0</v>
      </c>
      <c r="H362">
        <f t="shared" si="10"/>
        <v>88</v>
      </c>
      <c r="I362" t="s">
        <v>357</v>
      </c>
      <c r="J362" t="s">
        <v>357</v>
      </c>
      <c r="K362" t="str">
        <f>_xlfn.XLOOKUP($J362,'Leveranser per nät'!$A$4:$A$524,'Leveranser per nät'!$A$4:$A$524)</f>
        <v>Fagersta</v>
      </c>
      <c r="L362">
        <f t="shared" si="11"/>
        <v>88</v>
      </c>
    </row>
    <row r="363" spans="1:12" x14ac:dyDescent="0.25">
      <c r="A363" t="s">
        <v>595</v>
      </c>
      <c r="B363" t="s">
        <v>358</v>
      </c>
      <c r="C363">
        <v>2022</v>
      </c>
      <c r="D363">
        <v>12.4</v>
      </c>
      <c r="E363">
        <v>0</v>
      </c>
      <c r="F363">
        <v>0</v>
      </c>
      <c r="G363">
        <v>0</v>
      </c>
      <c r="H363">
        <f t="shared" si="10"/>
        <v>12.4</v>
      </c>
      <c r="I363" t="s">
        <v>358</v>
      </c>
      <c r="J363" t="s">
        <v>358</v>
      </c>
      <c r="K363" t="str">
        <f>_xlfn.XLOOKUP($J363,'Leveranser per nät'!$A$4:$A$524,'Leveranser per nät'!$A$4:$A$524)</f>
        <v>Grängesberg</v>
      </c>
      <c r="L363">
        <f t="shared" si="11"/>
        <v>12.4</v>
      </c>
    </row>
    <row r="364" spans="1:12" x14ac:dyDescent="0.25">
      <c r="A364" t="s">
        <v>595</v>
      </c>
      <c r="B364" t="s">
        <v>359</v>
      </c>
      <c r="C364">
        <v>2022</v>
      </c>
      <c r="D364">
        <v>105.6</v>
      </c>
      <c r="E364">
        <v>0</v>
      </c>
      <c r="F364">
        <v>0</v>
      </c>
      <c r="G364">
        <v>0</v>
      </c>
      <c r="H364">
        <f t="shared" si="10"/>
        <v>105.6</v>
      </c>
      <c r="I364" t="s">
        <v>359</v>
      </c>
      <c r="J364" t="s">
        <v>359</v>
      </c>
      <c r="K364" t="str">
        <f>_xlfn.XLOOKUP($J364,'Leveranser per nät'!$A$4:$A$524,'Leveranser per nät'!$A$4:$A$524)</f>
        <v>Ludvika</v>
      </c>
      <c r="L364">
        <f t="shared" si="11"/>
        <v>105.6</v>
      </c>
    </row>
    <row r="365" spans="1:12" x14ac:dyDescent="0.25">
      <c r="A365" t="s">
        <v>595</v>
      </c>
      <c r="B365" t="s">
        <v>356</v>
      </c>
      <c r="C365">
        <v>2022</v>
      </c>
      <c r="D365">
        <v>17.8</v>
      </c>
      <c r="E365">
        <v>0</v>
      </c>
      <c r="F365">
        <v>0</v>
      </c>
      <c r="G365">
        <v>0</v>
      </c>
      <c r="H365">
        <f t="shared" si="10"/>
        <v>17.8</v>
      </c>
      <c r="I365" t="s">
        <v>356</v>
      </c>
      <c r="J365" t="s">
        <v>356</v>
      </c>
      <c r="K365" t="str">
        <f>_xlfn.XLOOKUP($J365,'Leveranser per nät'!$A$4:$A$524,'Leveranser per nät'!$A$4:$A$524)</f>
        <v>Norberg</v>
      </c>
      <c r="L365">
        <f t="shared" si="11"/>
        <v>17.8</v>
      </c>
    </row>
    <row r="366" spans="1:12" x14ac:dyDescent="0.25">
      <c r="A366" t="s">
        <v>550</v>
      </c>
      <c r="B366" t="s">
        <v>360</v>
      </c>
      <c r="C366">
        <v>2022</v>
      </c>
      <c r="D366">
        <v>6.28</v>
      </c>
      <c r="E366">
        <v>0</v>
      </c>
      <c r="F366">
        <v>0</v>
      </c>
      <c r="G366">
        <v>0</v>
      </c>
      <c r="H366">
        <f t="shared" si="10"/>
        <v>6.28</v>
      </c>
      <c r="I366" t="s">
        <v>360</v>
      </c>
      <c r="J366" t="s">
        <v>360</v>
      </c>
      <c r="K366" t="str">
        <f>_xlfn.XLOOKUP($J366,'Leveranser per nät'!$A$4:$A$524,'Leveranser per nät'!$A$4:$A$524)</f>
        <v>Ankarsrum</v>
      </c>
      <c r="L366">
        <f t="shared" si="11"/>
        <v>6.28</v>
      </c>
    </row>
    <row r="367" spans="1:12" x14ac:dyDescent="0.25">
      <c r="A367" t="s">
        <v>550</v>
      </c>
      <c r="B367" t="s">
        <v>361</v>
      </c>
      <c r="C367">
        <v>2022</v>
      </c>
      <c r="D367">
        <v>24</v>
      </c>
      <c r="E367">
        <v>0</v>
      </c>
      <c r="F367">
        <v>0</v>
      </c>
      <c r="G367">
        <v>0</v>
      </c>
      <c r="H367">
        <f t="shared" si="10"/>
        <v>24</v>
      </c>
      <c r="I367" t="s">
        <v>361</v>
      </c>
      <c r="J367" t="s">
        <v>361</v>
      </c>
      <c r="K367" t="str">
        <f>_xlfn.XLOOKUP($J367,'Leveranser per nät'!$A$4:$A$524,'Leveranser per nät'!$A$4:$A$524)</f>
        <v>Gamleby</v>
      </c>
      <c r="L367">
        <f t="shared" si="11"/>
        <v>24</v>
      </c>
    </row>
    <row r="368" spans="1:12" x14ac:dyDescent="0.25">
      <c r="A368" t="s">
        <v>550</v>
      </c>
      <c r="B368" t="s">
        <v>362</v>
      </c>
      <c r="C368">
        <v>2022</v>
      </c>
      <c r="D368">
        <v>167.4</v>
      </c>
      <c r="E368">
        <v>0</v>
      </c>
      <c r="F368">
        <v>0</v>
      </c>
      <c r="G368">
        <v>0</v>
      </c>
      <c r="H368">
        <f t="shared" si="10"/>
        <v>167.4</v>
      </c>
      <c r="I368" t="s">
        <v>362</v>
      </c>
      <c r="J368" t="s">
        <v>362</v>
      </c>
      <c r="K368" t="str">
        <f>_xlfn.XLOOKUP($J368,'Leveranser per nät'!$A$4:$A$524,'Leveranser per nät'!$A$4:$A$524)</f>
        <v>Västervik</v>
      </c>
      <c r="L368">
        <f t="shared" si="11"/>
        <v>167.4</v>
      </c>
    </row>
    <row r="369" spans="1:12" x14ac:dyDescent="0.25">
      <c r="A369" t="s">
        <v>1009</v>
      </c>
      <c r="B369" t="s">
        <v>938</v>
      </c>
      <c r="C369">
        <v>2022</v>
      </c>
      <c r="D369">
        <v>296</v>
      </c>
      <c r="E369">
        <v>0</v>
      </c>
      <c r="F369">
        <v>0</v>
      </c>
      <c r="G369">
        <v>0</v>
      </c>
      <c r="H369">
        <f t="shared" si="10"/>
        <v>296</v>
      </c>
      <c r="I369" t="s">
        <v>938</v>
      </c>
      <c r="J369" t="s">
        <v>938</v>
      </c>
      <c r="K369" t="str">
        <f>_xlfn.XLOOKUP($J369,'Leveranser per nät'!$A$4:$A$524,'Leveranser per nät'!$A$4:$A$524)</f>
        <v>Arboga - Köping</v>
      </c>
      <c r="L369">
        <f t="shared" si="11"/>
        <v>296</v>
      </c>
    </row>
    <row r="370" spans="1:12" x14ac:dyDescent="0.25">
      <c r="A370" t="s">
        <v>1009</v>
      </c>
      <c r="B370" t="s">
        <v>939</v>
      </c>
      <c r="C370">
        <v>2022</v>
      </c>
      <c r="D370" t="s">
        <v>805</v>
      </c>
      <c r="E370" t="s">
        <v>805</v>
      </c>
      <c r="F370" t="s">
        <v>805</v>
      </c>
      <c r="G370" t="s">
        <v>805</v>
      </c>
      <c r="H370"/>
      <c r="I370" t="s">
        <v>939</v>
      </c>
      <c r="J370" t="s">
        <v>939</v>
      </c>
      <c r="K370" t="e">
        <f>_xlfn.XLOOKUP($J370,'Leveranser per nät'!$A$4:$A$524,'Leveranser per nät'!$A$4:$A$524)</f>
        <v>#N/A</v>
      </c>
      <c r="L370">
        <f t="shared" si="11"/>
        <v>0</v>
      </c>
    </row>
    <row r="371" spans="1:12" x14ac:dyDescent="0.25">
      <c r="A371" t="s">
        <v>1009</v>
      </c>
      <c r="B371" t="s">
        <v>940</v>
      </c>
      <c r="C371">
        <v>2022</v>
      </c>
      <c r="D371" t="s">
        <v>805</v>
      </c>
      <c r="E371" t="s">
        <v>805</v>
      </c>
      <c r="F371" t="s">
        <v>805</v>
      </c>
      <c r="G371" t="s">
        <v>805</v>
      </c>
      <c r="H371"/>
      <c r="I371" t="s">
        <v>940</v>
      </c>
      <c r="J371" t="s">
        <v>940</v>
      </c>
      <c r="K371" t="e">
        <f>_xlfn.XLOOKUP($J371,'Leveranser per nät'!$A$4:$A$524,'Leveranser per nät'!$A$4:$A$524)</f>
        <v>#N/A</v>
      </c>
      <c r="L371">
        <f t="shared" si="11"/>
        <v>0</v>
      </c>
    </row>
    <row r="372" spans="1:12" x14ac:dyDescent="0.25">
      <c r="A372" t="s">
        <v>577</v>
      </c>
      <c r="B372" t="s">
        <v>364</v>
      </c>
      <c r="C372">
        <v>2022</v>
      </c>
      <c r="D372">
        <v>13.305</v>
      </c>
      <c r="E372">
        <v>0</v>
      </c>
      <c r="F372">
        <v>0</v>
      </c>
      <c r="G372">
        <v>0</v>
      </c>
      <c r="H372">
        <f t="shared" si="10"/>
        <v>13.305</v>
      </c>
      <c r="I372" t="s">
        <v>364</v>
      </c>
      <c r="J372" t="s">
        <v>364</v>
      </c>
      <c r="K372" t="str">
        <f>_xlfn.XLOOKUP($J372,'Leveranser per nät'!$A$4:$A$524,'Leveranser per nät'!$A$4:$A$524)</f>
        <v>Braås</v>
      </c>
      <c r="L372">
        <f t="shared" si="11"/>
        <v>13.305</v>
      </c>
    </row>
    <row r="373" spans="1:12" x14ac:dyDescent="0.25">
      <c r="A373" t="s">
        <v>577</v>
      </c>
      <c r="B373" t="s">
        <v>365</v>
      </c>
      <c r="C373">
        <v>2022</v>
      </c>
      <c r="D373">
        <v>7.71</v>
      </c>
      <c r="E373">
        <v>0</v>
      </c>
      <c r="F373">
        <v>0</v>
      </c>
      <c r="G373">
        <v>0</v>
      </c>
      <c r="H373">
        <f t="shared" si="10"/>
        <v>7.71</v>
      </c>
      <c r="I373" t="s">
        <v>365</v>
      </c>
      <c r="J373" t="s">
        <v>365</v>
      </c>
      <c r="K373" t="str">
        <f>_xlfn.XLOOKUP($J373,'Leveranser per nät'!$A$4:$A$524,'Leveranser per nät'!$A$4:$A$524)</f>
        <v>Ingelstad</v>
      </c>
      <c r="L373">
        <f t="shared" si="11"/>
        <v>7.71</v>
      </c>
    </row>
    <row r="374" spans="1:12" x14ac:dyDescent="0.25">
      <c r="A374" t="s">
        <v>577</v>
      </c>
      <c r="B374" t="s">
        <v>366</v>
      </c>
      <c r="C374">
        <v>2022</v>
      </c>
      <c r="D374">
        <v>9.7159999999999993</v>
      </c>
      <c r="E374">
        <v>0</v>
      </c>
      <c r="F374">
        <v>0</v>
      </c>
      <c r="G374">
        <v>0</v>
      </c>
      <c r="H374">
        <f t="shared" si="10"/>
        <v>9.7159999999999993</v>
      </c>
      <c r="I374" t="s">
        <v>366</v>
      </c>
      <c r="J374" t="s">
        <v>366</v>
      </c>
      <c r="K374" t="str">
        <f>_xlfn.XLOOKUP($J374,'Leveranser per nät'!$A$4:$A$524,'Leveranser per nät'!$A$4:$A$524)</f>
        <v>Rottne</v>
      </c>
      <c r="L374">
        <f t="shared" si="11"/>
        <v>9.7159999999999993</v>
      </c>
    </row>
    <row r="375" spans="1:12" x14ac:dyDescent="0.25">
      <c r="A375" t="s">
        <v>577</v>
      </c>
      <c r="B375" t="s">
        <v>906</v>
      </c>
      <c r="C375">
        <v>2022</v>
      </c>
      <c r="D375">
        <v>16.047999999999998</v>
      </c>
      <c r="E375">
        <v>0</v>
      </c>
      <c r="F375">
        <v>0</v>
      </c>
      <c r="G375">
        <v>0</v>
      </c>
      <c r="H375">
        <f t="shared" si="10"/>
        <v>16.047999999999998</v>
      </c>
      <c r="I375" t="s">
        <v>906</v>
      </c>
      <c r="J375" t="s">
        <v>363</v>
      </c>
      <c r="K375" t="str">
        <f>_xlfn.XLOOKUP($J375,'Leveranser per nät'!$A$4:$A$524,'Leveranser per nät'!$A$4:$A$524)</f>
        <v>Växjö</v>
      </c>
      <c r="L375">
        <f t="shared" si="11"/>
        <v>534.40599999999995</v>
      </c>
    </row>
    <row r="376" spans="1:12" x14ac:dyDescent="0.25">
      <c r="A376" t="s">
        <v>577</v>
      </c>
      <c r="B376" t="s">
        <v>907</v>
      </c>
      <c r="C376">
        <v>2022</v>
      </c>
      <c r="D376">
        <v>518.35799999999995</v>
      </c>
      <c r="E376">
        <v>0</v>
      </c>
      <c r="F376">
        <v>0</v>
      </c>
      <c r="G376">
        <v>0</v>
      </c>
      <c r="H376">
        <f t="shared" si="10"/>
        <v>518.35799999999995</v>
      </c>
      <c r="I376" t="s">
        <v>907</v>
      </c>
      <c r="J376" t="s">
        <v>363</v>
      </c>
      <c r="K376" t="str">
        <f>_xlfn.XLOOKUP($J376,'Leveranser per nät'!$A$4:$A$524,'Leveranser per nät'!$A$4:$A$524)</f>
        <v>Växjö</v>
      </c>
      <c r="L376">
        <f t="shared" si="11"/>
        <v>534.40599999999995</v>
      </c>
    </row>
    <row r="377" spans="1:12" x14ac:dyDescent="0.25">
      <c r="A377" t="s">
        <v>734</v>
      </c>
      <c r="B377" t="s">
        <v>367</v>
      </c>
      <c r="C377">
        <v>2022</v>
      </c>
      <c r="D377">
        <v>131.62799999999999</v>
      </c>
      <c r="E377">
        <v>0</v>
      </c>
      <c r="F377">
        <v>0</v>
      </c>
      <c r="G377">
        <v>0</v>
      </c>
      <c r="H377">
        <f t="shared" si="10"/>
        <v>131.62799999999999</v>
      </c>
      <c r="I377" t="s">
        <v>367</v>
      </c>
      <c r="J377" t="s">
        <v>367</v>
      </c>
      <c r="K377" t="str">
        <f>_xlfn.XLOOKUP($J377,'Leveranser per nät'!$A$4:$A$524,'Leveranser per nät'!$A$4:$A$524)</f>
        <v>Ystad</v>
      </c>
      <c r="L377">
        <f t="shared" si="11"/>
        <v>131.62799999999999</v>
      </c>
    </row>
    <row r="378" spans="1:12" x14ac:dyDescent="0.25">
      <c r="A378" t="s">
        <v>604</v>
      </c>
      <c r="B378" t="s">
        <v>368</v>
      </c>
      <c r="C378">
        <v>2022</v>
      </c>
      <c r="D378">
        <v>7.8140000000000001</v>
      </c>
      <c r="E378">
        <v>0</v>
      </c>
      <c r="F378">
        <v>0</v>
      </c>
      <c r="G378">
        <v>0</v>
      </c>
      <c r="H378">
        <f t="shared" si="10"/>
        <v>7.8140000000000001</v>
      </c>
      <c r="I378" t="s">
        <v>368</v>
      </c>
      <c r="J378" t="s">
        <v>368</v>
      </c>
      <c r="K378" t="str">
        <f>_xlfn.XLOOKUP($J378,'Leveranser per nät'!$A$4:$A$524,'Leveranser per nät'!$A$4:$A$524)</f>
        <v>Fränsta</v>
      </c>
      <c r="L378">
        <f t="shared" si="11"/>
        <v>7.8140000000000001</v>
      </c>
    </row>
    <row r="379" spans="1:12" x14ac:dyDescent="0.25">
      <c r="A379" t="s">
        <v>604</v>
      </c>
      <c r="B379" t="s">
        <v>369</v>
      </c>
      <c r="C379">
        <v>2022</v>
      </c>
      <c r="D379">
        <v>0.42799999999999999</v>
      </c>
      <c r="E379">
        <v>0</v>
      </c>
      <c r="F379">
        <v>0</v>
      </c>
      <c r="G379">
        <v>0</v>
      </c>
      <c r="H379">
        <f t="shared" si="10"/>
        <v>0.42799999999999999</v>
      </c>
      <c r="I379" t="s">
        <v>369</v>
      </c>
      <c r="J379" t="s">
        <v>369</v>
      </c>
      <c r="K379" t="str">
        <f>_xlfn.XLOOKUP($J379,'Leveranser per nät'!$A$4:$A$524,'Leveranser per nät'!$A$4:$A$524)</f>
        <v>Ljungaverk</v>
      </c>
      <c r="L379">
        <f t="shared" si="11"/>
        <v>0.42799999999999999</v>
      </c>
    </row>
    <row r="380" spans="1:12" x14ac:dyDescent="0.25">
      <c r="A380" t="s">
        <v>604</v>
      </c>
      <c r="B380" t="s">
        <v>370</v>
      </c>
      <c r="C380">
        <v>2022</v>
      </c>
      <c r="D380">
        <v>21.763000000000002</v>
      </c>
      <c r="E380">
        <v>0</v>
      </c>
      <c r="F380">
        <v>0</v>
      </c>
      <c r="G380">
        <v>0</v>
      </c>
      <c r="H380">
        <f t="shared" si="10"/>
        <v>21.763000000000002</v>
      </c>
      <c r="I380" t="s">
        <v>370</v>
      </c>
      <c r="J380" t="s">
        <v>370</v>
      </c>
      <c r="K380" t="str">
        <f>_xlfn.XLOOKUP($J380,'Leveranser per nät'!$A$4:$A$524,'Leveranser per nät'!$A$4:$A$524)</f>
        <v>Ånge</v>
      </c>
      <c r="L380">
        <f t="shared" si="11"/>
        <v>21.763000000000002</v>
      </c>
    </row>
    <row r="381" spans="1:12" x14ac:dyDescent="0.25">
      <c r="A381" t="s">
        <v>1011</v>
      </c>
      <c r="B381" t="s">
        <v>912</v>
      </c>
      <c r="C381">
        <v>2022</v>
      </c>
      <c r="D381">
        <v>24</v>
      </c>
      <c r="E381">
        <v>0</v>
      </c>
      <c r="F381">
        <v>0</v>
      </c>
      <c r="G381">
        <v>0</v>
      </c>
      <c r="H381">
        <f t="shared" si="10"/>
        <v>24</v>
      </c>
      <c r="I381" s="43" t="s">
        <v>912</v>
      </c>
      <c r="K381" t="e">
        <f>_xlfn.XLOOKUP($J381,'Leveranser per nät'!$A$4:$A$524,'Leveranser per nät'!$A$4:$A$524)</f>
        <v>#N/A</v>
      </c>
      <c r="L381">
        <f t="shared" si="11"/>
        <v>0</v>
      </c>
    </row>
    <row r="382" spans="1:12" x14ac:dyDescent="0.25">
      <c r="A382" t="s">
        <v>626</v>
      </c>
      <c r="B382" s="1" t="s">
        <v>373</v>
      </c>
      <c r="C382">
        <v>2022</v>
      </c>
      <c r="D382">
        <v>1032.5409999999999</v>
      </c>
      <c r="E382">
        <v>173.1</v>
      </c>
      <c r="F382">
        <v>0</v>
      </c>
      <c r="G382">
        <v>0</v>
      </c>
      <c r="H382">
        <f t="shared" si="10"/>
        <v>859.44099999999992</v>
      </c>
      <c r="I382" t="s">
        <v>373</v>
      </c>
      <c r="J382" t="s">
        <v>373</v>
      </c>
      <c r="K382" t="str">
        <f>_xlfn.XLOOKUP($J382,'Leveranser per nät'!$A$4:$A$524,'Leveranser per nät'!$A$4:$A$524)</f>
        <v>Helsingborg</v>
      </c>
      <c r="L382">
        <f t="shared" si="11"/>
        <v>916.3599999999999</v>
      </c>
    </row>
    <row r="383" spans="1:12" x14ac:dyDescent="0.25">
      <c r="A383" t="s">
        <v>626</v>
      </c>
      <c r="B383" s="1" t="s">
        <v>1150</v>
      </c>
      <c r="C383">
        <v>2022</v>
      </c>
      <c r="D383">
        <v>56.918999999999997</v>
      </c>
      <c r="E383">
        <v>0</v>
      </c>
      <c r="F383">
        <v>0</v>
      </c>
      <c r="G383">
        <v>0</v>
      </c>
      <c r="H383">
        <f t="shared" si="10"/>
        <v>56.918999999999997</v>
      </c>
      <c r="I383" t="s">
        <v>1150</v>
      </c>
      <c r="J383" t="s">
        <v>373</v>
      </c>
      <c r="K383" t="str">
        <f>_xlfn.XLOOKUP($J383,'Leveranser per nät'!$A$4:$A$524,'Leveranser per nät'!$A$4:$A$524)</f>
        <v>Helsingborg</v>
      </c>
      <c r="L383">
        <f t="shared" si="11"/>
        <v>916.3599999999999</v>
      </c>
    </row>
    <row r="384" spans="1:12" x14ac:dyDescent="0.25">
      <c r="A384" t="s">
        <v>626</v>
      </c>
      <c r="B384" t="s">
        <v>372</v>
      </c>
      <c r="C384">
        <v>2022</v>
      </c>
      <c r="D384">
        <v>163.755</v>
      </c>
      <c r="E384">
        <v>0</v>
      </c>
      <c r="F384">
        <v>0</v>
      </c>
      <c r="G384">
        <v>0</v>
      </c>
      <c r="H384">
        <f t="shared" si="10"/>
        <v>163.755</v>
      </c>
      <c r="I384" t="s">
        <v>372</v>
      </c>
      <c r="J384" t="s">
        <v>372</v>
      </c>
      <c r="K384" t="str">
        <f>_xlfn.XLOOKUP($J384,'Leveranser per nät'!$A$4:$A$524,'Leveranser per nät'!$A$4:$A$524)</f>
        <v>Ängelholm</v>
      </c>
      <c r="L384">
        <f t="shared" si="11"/>
        <v>163.755</v>
      </c>
    </row>
    <row r="385" spans="1:12" x14ac:dyDescent="0.25">
      <c r="A385" t="s">
        <v>740</v>
      </c>
      <c r="B385" t="s">
        <v>374</v>
      </c>
      <c r="C385">
        <v>2022</v>
      </c>
      <c r="D385">
        <v>26.2</v>
      </c>
      <c r="E385">
        <v>0</v>
      </c>
      <c r="F385">
        <v>0</v>
      </c>
      <c r="G385">
        <v>0</v>
      </c>
      <c r="H385">
        <f t="shared" si="10"/>
        <v>26.2</v>
      </c>
      <c r="I385" t="s">
        <v>374</v>
      </c>
      <c r="J385" t="s">
        <v>374</v>
      </c>
      <c r="K385" t="str">
        <f>_xlfn.XLOOKUP($J385,'Leveranser per nät'!$A$4:$A$524,'Leveranser per nät'!$A$4:$A$524)</f>
        <v>Örkelljunga</v>
      </c>
      <c r="L385">
        <f t="shared" si="11"/>
        <v>26.2</v>
      </c>
    </row>
    <row r="386" spans="1:12" x14ac:dyDescent="0.25">
      <c r="A386" t="s">
        <v>695</v>
      </c>
      <c r="B386" t="s">
        <v>375</v>
      </c>
      <c r="C386">
        <v>2022</v>
      </c>
      <c r="D386">
        <v>44.6</v>
      </c>
      <c r="E386">
        <v>0</v>
      </c>
      <c r="F386">
        <v>0</v>
      </c>
      <c r="G386">
        <v>0</v>
      </c>
      <c r="H386">
        <f t="shared" ref="H386:H449" si="12">D386-SUM(E386:G386)</f>
        <v>44.6</v>
      </c>
      <c r="I386" t="s">
        <v>375</v>
      </c>
      <c r="J386" t="s">
        <v>375</v>
      </c>
      <c r="K386" t="str">
        <f>_xlfn.XLOOKUP($J386,'Leveranser per nät'!$A$4:$A$524,'Leveranser per nät'!$A$4:$A$524)</f>
        <v>Simrishamn</v>
      </c>
      <c r="L386">
        <f t="shared" ref="L386:L449" si="13">SUMIF($J$2:$J$474,K386,$H$2:$H$474)</f>
        <v>44.6</v>
      </c>
    </row>
    <row r="387" spans="1:12" x14ac:dyDescent="0.25">
      <c r="A387" t="s">
        <v>916</v>
      </c>
      <c r="B387" t="s">
        <v>347</v>
      </c>
      <c r="C387">
        <v>2022</v>
      </c>
      <c r="D387" t="s">
        <v>805</v>
      </c>
      <c r="E387" t="s">
        <v>805</v>
      </c>
      <c r="F387" t="s">
        <v>805</v>
      </c>
      <c r="G387" t="s">
        <v>805</v>
      </c>
      <c r="H387"/>
      <c r="I387" t="s">
        <v>347</v>
      </c>
      <c r="J387" t="s">
        <v>347</v>
      </c>
      <c r="K387" t="str">
        <f>_xlfn.XLOOKUP($J387,'Leveranser per nät'!$A$4:$A$524,'Leveranser per nät'!$A$4:$A$524)</f>
        <v>Övertorneå</v>
      </c>
      <c r="L387">
        <f t="shared" si="13"/>
        <v>0</v>
      </c>
    </row>
    <row r="388" spans="1:12" x14ac:dyDescent="0.25">
      <c r="A388" t="s">
        <v>569</v>
      </c>
      <c r="B388" t="s">
        <v>377</v>
      </c>
      <c r="C388">
        <v>2022</v>
      </c>
      <c r="D388">
        <v>6.59</v>
      </c>
      <c r="E388">
        <v>0</v>
      </c>
      <c r="F388">
        <v>0</v>
      </c>
      <c r="G388">
        <v>0</v>
      </c>
      <c r="H388">
        <f t="shared" si="12"/>
        <v>6.59</v>
      </c>
      <c r="I388" t="s">
        <v>377</v>
      </c>
      <c r="J388" t="s">
        <v>377</v>
      </c>
      <c r="K388" t="str">
        <f>_xlfn.XLOOKUP($J388,'Leveranser per nät'!$A$4:$A$524,'Leveranser per nät'!$A$4:$A$524)</f>
        <v>Bjästa</v>
      </c>
      <c r="L388">
        <f t="shared" si="13"/>
        <v>6.59</v>
      </c>
    </row>
    <row r="389" spans="1:12" x14ac:dyDescent="0.25">
      <c r="A389" t="s">
        <v>569</v>
      </c>
      <c r="B389" t="s">
        <v>378</v>
      </c>
      <c r="C389">
        <v>2022</v>
      </c>
      <c r="D389">
        <v>4.92</v>
      </c>
      <c r="E389">
        <v>0</v>
      </c>
      <c r="F389">
        <v>0</v>
      </c>
      <c r="G389">
        <v>0</v>
      </c>
      <c r="H389">
        <f t="shared" si="12"/>
        <v>4.92</v>
      </c>
      <c r="I389" t="s">
        <v>378</v>
      </c>
      <c r="J389" t="s">
        <v>378</v>
      </c>
      <c r="K389" t="str">
        <f>_xlfn.XLOOKUP($J389,'Leveranser per nät'!$A$4:$A$524,'Leveranser per nät'!$A$4:$A$524)</f>
        <v>Bredbyn</v>
      </c>
      <c r="L389">
        <f t="shared" si="13"/>
        <v>4.92</v>
      </c>
    </row>
    <row r="390" spans="1:12" x14ac:dyDescent="0.25">
      <c r="A390" t="s">
        <v>569</v>
      </c>
      <c r="B390" t="s">
        <v>379</v>
      </c>
      <c r="C390">
        <v>2022</v>
      </c>
      <c r="D390">
        <v>6.97</v>
      </c>
      <c r="E390">
        <v>0</v>
      </c>
      <c r="F390">
        <v>0</v>
      </c>
      <c r="G390">
        <v>0</v>
      </c>
      <c r="H390">
        <f t="shared" si="12"/>
        <v>6.97</v>
      </c>
      <c r="I390" t="s">
        <v>379</v>
      </c>
      <c r="J390" t="s">
        <v>379</v>
      </c>
      <c r="K390" t="str">
        <f>_xlfn.XLOOKUP($J390,'Leveranser per nät'!$A$4:$A$524,'Leveranser per nät'!$A$4:$A$524)</f>
        <v>Husum</v>
      </c>
      <c r="L390">
        <f t="shared" si="13"/>
        <v>6.97</v>
      </c>
    </row>
    <row r="391" spans="1:12" x14ac:dyDescent="0.25">
      <c r="A391" t="s">
        <v>569</v>
      </c>
      <c r="B391" t="s">
        <v>491</v>
      </c>
      <c r="C391">
        <v>2022</v>
      </c>
      <c r="D391">
        <v>0.52</v>
      </c>
      <c r="E391">
        <v>0</v>
      </c>
      <c r="F391">
        <v>0</v>
      </c>
      <c r="G391">
        <v>0</v>
      </c>
      <c r="H391">
        <f t="shared" si="12"/>
        <v>0.52</v>
      </c>
      <c r="I391" t="s">
        <v>491</v>
      </c>
      <c r="J391" t="s">
        <v>491</v>
      </c>
      <c r="K391" t="str">
        <f>_xlfn.XLOOKUP($J391,'Leveranser per nät'!$A$4:$A$524,'Leveranser per nät'!$A$4:$A$524)</f>
        <v>Moliden</v>
      </c>
      <c r="L391">
        <f t="shared" si="13"/>
        <v>0.52</v>
      </c>
    </row>
    <row r="392" spans="1:12" x14ac:dyDescent="0.25">
      <c r="A392" t="s">
        <v>569</v>
      </c>
      <c r="B392" t="s">
        <v>802</v>
      </c>
      <c r="C392">
        <v>2022</v>
      </c>
      <c r="D392">
        <v>374.62900000000002</v>
      </c>
      <c r="E392">
        <v>0</v>
      </c>
      <c r="F392">
        <v>0</v>
      </c>
      <c r="G392">
        <v>0</v>
      </c>
      <c r="H392">
        <f t="shared" si="12"/>
        <v>374.62900000000002</v>
      </c>
      <c r="I392" s="43" t="s">
        <v>802</v>
      </c>
      <c r="K392" t="e">
        <f>_xlfn.XLOOKUP($J392,'Leveranser per nät'!$A$4:$A$524,'Leveranser per nät'!$A$4:$A$524)</f>
        <v>#N/A</v>
      </c>
      <c r="L392">
        <f t="shared" si="13"/>
        <v>0</v>
      </c>
    </row>
    <row r="393" spans="1:12" x14ac:dyDescent="0.25">
      <c r="A393" t="s">
        <v>569</v>
      </c>
      <c r="B393" t="s">
        <v>376</v>
      </c>
      <c r="C393">
        <v>2022</v>
      </c>
      <c r="D393">
        <v>223.7</v>
      </c>
      <c r="E393">
        <v>0</v>
      </c>
      <c r="F393">
        <v>0</v>
      </c>
      <c r="G393">
        <v>0</v>
      </c>
      <c r="H393">
        <f t="shared" si="12"/>
        <v>223.7</v>
      </c>
      <c r="I393" t="s">
        <v>376</v>
      </c>
      <c r="J393" t="s">
        <v>376</v>
      </c>
      <c r="K393" t="str">
        <f>_xlfn.XLOOKUP($J393,'Leveranser per nät'!$A$4:$A$524,'Leveranser per nät'!$A$4:$A$524)</f>
        <v>Örnsköldsvik</v>
      </c>
      <c r="L393">
        <f t="shared" si="13"/>
        <v>223.7</v>
      </c>
    </row>
    <row r="394" spans="1:12" x14ac:dyDescent="0.25">
      <c r="A394" t="s">
        <v>956</v>
      </c>
      <c r="B394" t="s">
        <v>85</v>
      </c>
      <c r="C394">
        <v>2022</v>
      </c>
      <c r="D394">
        <v>7.78</v>
      </c>
      <c r="E394">
        <v>0</v>
      </c>
      <c r="F394">
        <v>0</v>
      </c>
      <c r="G394">
        <v>0</v>
      </c>
      <c r="H394">
        <f t="shared" si="12"/>
        <v>7.78</v>
      </c>
      <c r="I394" t="s">
        <v>85</v>
      </c>
      <c r="J394" t="s">
        <v>85</v>
      </c>
      <c r="K394" t="str">
        <f>_xlfn.XLOOKUP($J394,'Leveranser per nät'!$A$4:$A$524,'Leveranser per nät'!$A$4:$A$524)</f>
        <v>Bara</v>
      </c>
      <c r="L394">
        <f t="shared" si="13"/>
        <v>7.78</v>
      </c>
    </row>
    <row r="395" spans="1:12" x14ac:dyDescent="0.25">
      <c r="A395" t="s">
        <v>956</v>
      </c>
      <c r="B395" t="s">
        <v>41</v>
      </c>
      <c r="C395">
        <v>2022</v>
      </c>
      <c r="D395">
        <v>15.539</v>
      </c>
      <c r="E395">
        <v>0</v>
      </c>
      <c r="F395">
        <v>0</v>
      </c>
      <c r="G395">
        <v>0</v>
      </c>
      <c r="H395">
        <f t="shared" si="12"/>
        <v>15.539</v>
      </c>
      <c r="I395" t="s">
        <v>41</v>
      </c>
      <c r="J395" t="s">
        <v>41</v>
      </c>
      <c r="K395" t="str">
        <f>_xlfn.XLOOKUP($J395,'Leveranser per nät'!$A$4:$A$524,'Leveranser per nät'!$A$4:$A$524)</f>
        <v>Boxholm</v>
      </c>
      <c r="L395">
        <f t="shared" si="13"/>
        <v>15.539</v>
      </c>
    </row>
    <row r="396" spans="1:12" x14ac:dyDescent="0.25">
      <c r="A396" t="s">
        <v>956</v>
      </c>
      <c r="B396" t="s">
        <v>52</v>
      </c>
      <c r="C396">
        <v>2022</v>
      </c>
      <c r="D396">
        <v>102.71599999999999</v>
      </c>
      <c r="E396">
        <v>0</v>
      </c>
      <c r="F396">
        <v>0</v>
      </c>
      <c r="G396">
        <v>0</v>
      </c>
      <c r="H396">
        <f t="shared" si="12"/>
        <v>102.71599999999999</v>
      </c>
      <c r="I396" t="s">
        <v>52</v>
      </c>
      <c r="J396" t="s">
        <v>52</v>
      </c>
      <c r="K396" t="str">
        <f>_xlfn.XLOOKUP($J396,'Leveranser per nät'!$A$4:$A$524,'Leveranser per nät'!$A$4:$A$524)</f>
        <v>Mora</v>
      </c>
      <c r="L396">
        <f t="shared" si="13"/>
        <v>102.71599999999999</v>
      </c>
    </row>
    <row r="397" spans="1:12" x14ac:dyDescent="0.25">
      <c r="A397" t="s">
        <v>956</v>
      </c>
      <c r="B397" t="s">
        <v>53</v>
      </c>
      <c r="C397">
        <v>2022</v>
      </c>
      <c r="D397">
        <v>22.411999999999999</v>
      </c>
      <c r="E397">
        <v>0</v>
      </c>
      <c r="F397">
        <v>0</v>
      </c>
      <c r="G397">
        <v>0</v>
      </c>
      <c r="H397">
        <f t="shared" si="12"/>
        <v>22.411999999999999</v>
      </c>
      <c r="I397" t="s">
        <v>53</v>
      </c>
      <c r="J397" t="s">
        <v>53</v>
      </c>
      <c r="K397" t="str">
        <f>_xlfn.XLOOKUP($J397,'Leveranser per nät'!$A$4:$A$524,'Leveranser per nät'!$A$4:$A$524)</f>
        <v>Orsa</v>
      </c>
      <c r="L397">
        <f t="shared" si="13"/>
        <v>22.411999999999999</v>
      </c>
    </row>
    <row r="398" spans="1:12" x14ac:dyDescent="0.25">
      <c r="A398" t="s">
        <v>956</v>
      </c>
      <c r="B398" t="s">
        <v>49</v>
      </c>
      <c r="C398">
        <v>2022</v>
      </c>
      <c r="D398">
        <v>62.655999999999999</v>
      </c>
      <c r="E398">
        <v>0</v>
      </c>
      <c r="F398">
        <v>0</v>
      </c>
      <c r="G398">
        <v>0</v>
      </c>
      <c r="H398">
        <f t="shared" si="12"/>
        <v>62.655999999999999</v>
      </c>
      <c r="I398" t="s">
        <v>49</v>
      </c>
      <c r="J398" t="s">
        <v>49</v>
      </c>
      <c r="K398" t="str">
        <f>_xlfn.XLOOKUP($J398,'Leveranser per nät'!$A$4:$A$524,'Leveranser per nät'!$A$4:$A$524)</f>
        <v>Sollefteå</v>
      </c>
      <c r="L398">
        <f t="shared" si="13"/>
        <v>62.655999999999999</v>
      </c>
    </row>
    <row r="399" spans="1:12" x14ac:dyDescent="0.25">
      <c r="A399" t="s">
        <v>956</v>
      </c>
      <c r="B399" t="s">
        <v>44</v>
      </c>
      <c r="C399">
        <v>2022</v>
      </c>
      <c r="D399">
        <v>27.524000000000001</v>
      </c>
      <c r="E399">
        <v>0</v>
      </c>
      <c r="F399">
        <v>0</v>
      </c>
      <c r="G399">
        <v>0</v>
      </c>
      <c r="H399">
        <f t="shared" si="12"/>
        <v>27.524000000000001</v>
      </c>
      <c r="I399" t="s">
        <v>44</v>
      </c>
      <c r="J399" t="s">
        <v>44</v>
      </c>
      <c r="K399" t="str">
        <f>_xlfn.XLOOKUP($J399,'Leveranser per nät'!$A$4:$A$524,'Leveranser per nät'!$A$4:$A$524)</f>
        <v>Staffanstorp</v>
      </c>
      <c r="L399">
        <f t="shared" si="13"/>
        <v>27.524000000000001</v>
      </c>
    </row>
    <row r="400" spans="1:12" x14ac:dyDescent="0.25">
      <c r="A400" t="s">
        <v>956</v>
      </c>
      <c r="B400" t="s">
        <v>54</v>
      </c>
      <c r="C400">
        <v>2022</v>
      </c>
      <c r="D400">
        <v>63.627000000000002</v>
      </c>
      <c r="E400">
        <v>0</v>
      </c>
      <c r="F400">
        <v>0</v>
      </c>
      <c r="G400">
        <v>0</v>
      </c>
      <c r="H400">
        <f t="shared" si="12"/>
        <v>63.627000000000002</v>
      </c>
      <c r="I400" t="s">
        <v>54</v>
      </c>
      <c r="J400" t="s">
        <v>54</v>
      </c>
      <c r="K400" t="str">
        <f>_xlfn.XLOOKUP($J400,'Leveranser per nät'!$A$4:$A$524,'Leveranser per nät'!$A$4:$A$524)</f>
        <v>Timrå</v>
      </c>
      <c r="L400">
        <f t="shared" si="13"/>
        <v>63.627000000000002</v>
      </c>
    </row>
    <row r="401" spans="1:12" x14ac:dyDescent="0.25">
      <c r="A401" t="s">
        <v>956</v>
      </c>
      <c r="B401" t="s">
        <v>317</v>
      </c>
      <c r="C401">
        <v>2022</v>
      </c>
      <c r="D401" t="s">
        <v>805</v>
      </c>
      <c r="E401" t="s">
        <v>805</v>
      </c>
      <c r="F401" t="s">
        <v>805</v>
      </c>
      <c r="G401" t="s">
        <v>805</v>
      </c>
      <c r="H401"/>
      <c r="I401" t="s">
        <v>317</v>
      </c>
      <c r="J401" t="s">
        <v>317</v>
      </c>
      <c r="K401" t="str">
        <f>_xlfn.XLOOKUP($J401,'Leveranser per nät'!$A$4:$A$524,'Leveranser per nät'!$A$4:$A$524)</f>
        <v>Trelleborg</v>
      </c>
      <c r="L401">
        <f t="shared" si="13"/>
        <v>88.5</v>
      </c>
    </row>
    <row r="402" spans="1:12" x14ac:dyDescent="0.25">
      <c r="A402" t="s">
        <v>956</v>
      </c>
      <c r="B402" t="s">
        <v>58</v>
      </c>
      <c r="C402">
        <v>2022</v>
      </c>
      <c r="D402">
        <v>22.521999999999998</v>
      </c>
      <c r="E402">
        <v>0</v>
      </c>
      <c r="F402">
        <v>0</v>
      </c>
      <c r="G402">
        <v>0</v>
      </c>
      <c r="H402">
        <f t="shared" si="12"/>
        <v>22.521999999999998</v>
      </c>
      <c r="I402" t="s">
        <v>58</v>
      </c>
      <c r="J402" t="s">
        <v>58</v>
      </c>
      <c r="K402" t="str">
        <f>_xlfn.XLOOKUP($J402,'Leveranser per nät'!$A$4:$A$524,'Leveranser per nät'!$A$4:$A$524)</f>
        <v>Vaxholm</v>
      </c>
      <c r="L402">
        <f t="shared" si="13"/>
        <v>22.521999999999998</v>
      </c>
    </row>
    <row r="403" spans="1:12" x14ac:dyDescent="0.25">
      <c r="A403" t="s">
        <v>956</v>
      </c>
      <c r="B403" t="s">
        <v>79</v>
      </c>
      <c r="C403">
        <v>2022</v>
      </c>
      <c r="D403">
        <v>86.072999999999993</v>
      </c>
      <c r="E403">
        <v>0</v>
      </c>
      <c r="F403">
        <v>0</v>
      </c>
      <c r="G403">
        <v>0</v>
      </c>
      <c r="H403">
        <f t="shared" si="12"/>
        <v>86.072999999999993</v>
      </c>
      <c r="I403" t="s">
        <v>79</v>
      </c>
      <c r="J403" t="s">
        <v>79</v>
      </c>
      <c r="K403" t="str">
        <f>_xlfn.XLOOKUP($J403,'Leveranser per nät'!$A$4:$A$524,'Leveranser per nät'!$A$4:$A$524)</f>
        <v>Älmhult</v>
      </c>
      <c r="L403">
        <f t="shared" si="13"/>
        <v>86.072999999999993</v>
      </c>
    </row>
    <row r="404" spans="1:12" x14ac:dyDescent="0.25">
      <c r="A404" t="s">
        <v>809</v>
      </c>
      <c r="B404" t="s">
        <v>60</v>
      </c>
      <c r="C404">
        <v>2022</v>
      </c>
      <c r="D404">
        <v>5.51</v>
      </c>
      <c r="E404">
        <v>0</v>
      </c>
      <c r="F404">
        <v>0</v>
      </c>
      <c r="G404">
        <v>0</v>
      </c>
      <c r="H404">
        <f t="shared" si="12"/>
        <v>5.51</v>
      </c>
      <c r="I404" t="s">
        <v>60</v>
      </c>
      <c r="J404" t="s">
        <v>60</v>
      </c>
      <c r="K404" t="str">
        <f>_xlfn.XLOOKUP($J404,'Leveranser per nät'!$A$4:$A$524,'Leveranser per nät'!$A$4:$A$524)</f>
        <v>Bollstabruk</v>
      </c>
      <c r="L404">
        <f t="shared" si="13"/>
        <v>5.51</v>
      </c>
    </row>
    <row r="405" spans="1:12" x14ac:dyDescent="0.25">
      <c r="A405" t="s">
        <v>809</v>
      </c>
      <c r="B405" t="s">
        <v>925</v>
      </c>
      <c r="C405">
        <v>2022</v>
      </c>
      <c r="D405">
        <v>14.423</v>
      </c>
      <c r="E405">
        <v>0</v>
      </c>
      <c r="F405">
        <v>0</v>
      </c>
      <c r="G405">
        <v>0</v>
      </c>
      <c r="H405">
        <f t="shared" si="12"/>
        <v>14.423</v>
      </c>
      <c r="I405" t="s">
        <v>925</v>
      </c>
      <c r="J405" t="s">
        <v>31</v>
      </c>
      <c r="K405" t="str">
        <f>_xlfn.XLOOKUP($J405,'Leveranser per nät'!$A$4:$A$524,'Leveranser per nät'!$A$4:$A$524)</f>
        <v>Bräcke</v>
      </c>
      <c r="L405">
        <f t="shared" si="13"/>
        <v>14.423</v>
      </c>
    </row>
    <row r="406" spans="1:12" x14ac:dyDescent="0.25">
      <c r="A406" t="s">
        <v>809</v>
      </c>
      <c r="B406" t="s">
        <v>603</v>
      </c>
      <c r="C406">
        <v>2022</v>
      </c>
      <c r="D406">
        <v>4.5949999999999998</v>
      </c>
      <c r="E406">
        <v>0</v>
      </c>
      <c r="F406">
        <v>0</v>
      </c>
      <c r="G406">
        <v>0</v>
      </c>
      <c r="H406">
        <f t="shared" si="12"/>
        <v>4.5949999999999998</v>
      </c>
      <c r="I406" t="s">
        <v>603</v>
      </c>
      <c r="J406" t="s">
        <v>603</v>
      </c>
      <c r="K406" t="str">
        <f>_xlfn.XLOOKUP($J406,'Leveranser per nät'!$A$4:$A$524,'Leveranser per nät'!$A$4:$A$524)</f>
        <v>Friggesund</v>
      </c>
      <c r="L406">
        <f t="shared" si="13"/>
        <v>4.5949999999999998</v>
      </c>
    </row>
    <row r="407" spans="1:12" x14ac:dyDescent="0.25">
      <c r="A407" t="s">
        <v>809</v>
      </c>
      <c r="B407" t="s">
        <v>607</v>
      </c>
      <c r="C407">
        <v>2022</v>
      </c>
      <c r="D407">
        <v>5.0819999999999999</v>
      </c>
      <c r="E407">
        <v>0</v>
      </c>
      <c r="F407">
        <v>0</v>
      </c>
      <c r="G407">
        <v>0</v>
      </c>
      <c r="H407">
        <f t="shared" si="12"/>
        <v>5.0819999999999999</v>
      </c>
      <c r="I407" t="s">
        <v>607</v>
      </c>
      <c r="J407" t="s">
        <v>607</v>
      </c>
      <c r="K407" t="str">
        <f>_xlfn.XLOOKUP($J407,'Leveranser per nät'!$A$4:$A$524,'Leveranser per nät'!$A$4:$A$524)</f>
        <v>Funäsdalen</v>
      </c>
      <c r="L407">
        <f t="shared" si="13"/>
        <v>5.0819999999999999</v>
      </c>
    </row>
    <row r="408" spans="1:12" x14ac:dyDescent="0.25">
      <c r="A408" t="s">
        <v>809</v>
      </c>
      <c r="B408" t="s">
        <v>64</v>
      </c>
      <c r="C408">
        <v>2022</v>
      </c>
      <c r="D408">
        <v>7.109</v>
      </c>
      <c r="E408">
        <v>0</v>
      </c>
      <c r="F408">
        <v>0</v>
      </c>
      <c r="G408">
        <v>0</v>
      </c>
      <c r="H408">
        <f t="shared" si="12"/>
        <v>7.109</v>
      </c>
      <c r="I408" t="s">
        <v>64</v>
      </c>
      <c r="J408" t="s">
        <v>64</v>
      </c>
      <c r="K408" t="str">
        <f>_xlfn.XLOOKUP($J408,'Leveranser per nät'!$A$4:$A$524,'Leveranser per nät'!$A$4:$A$524)</f>
        <v>Hede</v>
      </c>
      <c r="L408">
        <f t="shared" si="13"/>
        <v>7.109</v>
      </c>
    </row>
    <row r="409" spans="1:12" x14ac:dyDescent="0.25">
      <c r="A409" t="s">
        <v>809</v>
      </c>
      <c r="B409" t="s">
        <v>957</v>
      </c>
      <c r="C409">
        <v>2022</v>
      </c>
      <c r="D409">
        <v>15.143000000000001</v>
      </c>
      <c r="E409">
        <v>0</v>
      </c>
      <c r="F409">
        <v>0</v>
      </c>
      <c r="G409">
        <v>0</v>
      </c>
      <c r="H409">
        <f t="shared" si="12"/>
        <v>15.143000000000001</v>
      </c>
      <c r="I409" t="s">
        <v>957</v>
      </c>
      <c r="J409" t="s">
        <v>957</v>
      </c>
      <c r="K409" t="str">
        <f>_xlfn.XLOOKUP($J409,'Leveranser per nät'!$A$4:$A$524,'Leveranser per nät'!$A$4:$A$524)</f>
        <v>Lenhovda</v>
      </c>
      <c r="L409">
        <f t="shared" si="13"/>
        <v>15.143000000000001</v>
      </c>
    </row>
    <row r="410" spans="1:12" x14ac:dyDescent="0.25">
      <c r="A410" t="s">
        <v>809</v>
      </c>
      <c r="B410" t="s">
        <v>69</v>
      </c>
      <c r="C410">
        <v>2022</v>
      </c>
      <c r="D410">
        <v>3.6869999999999998</v>
      </c>
      <c r="E410">
        <v>0</v>
      </c>
      <c r="F410">
        <v>0</v>
      </c>
      <c r="G410">
        <v>0</v>
      </c>
      <c r="H410">
        <f t="shared" si="12"/>
        <v>3.6869999999999998</v>
      </c>
      <c r="I410" t="s">
        <v>69</v>
      </c>
      <c r="J410" t="s">
        <v>69</v>
      </c>
      <c r="K410" t="str">
        <f>_xlfn.XLOOKUP($J410,'Leveranser per nät'!$A$4:$A$524,'Leveranser per nät'!$A$4:$A$524)</f>
        <v>Långsele</v>
      </c>
      <c r="L410">
        <f t="shared" si="13"/>
        <v>3.6869999999999998</v>
      </c>
    </row>
    <row r="411" spans="1:12" x14ac:dyDescent="0.25">
      <c r="A411" t="s">
        <v>809</v>
      </c>
      <c r="B411" t="s">
        <v>71</v>
      </c>
      <c r="C411">
        <v>2022</v>
      </c>
      <c r="D411">
        <v>1.8979999999999999</v>
      </c>
      <c r="E411">
        <v>0</v>
      </c>
      <c r="F411">
        <v>0</v>
      </c>
      <c r="G411">
        <v>0</v>
      </c>
      <c r="H411">
        <f t="shared" si="12"/>
        <v>1.8979999999999999</v>
      </c>
      <c r="I411" t="s">
        <v>71</v>
      </c>
      <c r="J411" t="s">
        <v>71</v>
      </c>
      <c r="K411" t="str">
        <f>_xlfn.XLOOKUP($J411,'Leveranser per nät'!$A$4:$A$524,'Leveranser per nät'!$A$4:$A$524)</f>
        <v>Näsåker</v>
      </c>
      <c r="L411">
        <f t="shared" si="13"/>
        <v>1.8979999999999999</v>
      </c>
    </row>
    <row r="412" spans="1:12" x14ac:dyDescent="0.25">
      <c r="A412" t="s">
        <v>809</v>
      </c>
      <c r="B412" t="s">
        <v>72</v>
      </c>
      <c r="C412">
        <v>2022</v>
      </c>
      <c r="D412">
        <v>4.984</v>
      </c>
      <c r="E412">
        <v>0</v>
      </c>
      <c r="F412">
        <v>0</v>
      </c>
      <c r="G412">
        <v>0</v>
      </c>
      <c r="H412">
        <f t="shared" si="12"/>
        <v>4.984</v>
      </c>
      <c r="I412" t="s">
        <v>72</v>
      </c>
      <c r="J412" t="s">
        <v>72</v>
      </c>
      <c r="K412" t="str">
        <f>_xlfn.XLOOKUP($J412,'Leveranser per nät'!$A$4:$A$524,'Leveranser per nät'!$A$4:$A$524)</f>
        <v>Ramsele</v>
      </c>
      <c r="L412">
        <f t="shared" si="13"/>
        <v>4.984</v>
      </c>
    </row>
    <row r="413" spans="1:12" x14ac:dyDescent="0.25">
      <c r="A413" t="s">
        <v>809</v>
      </c>
      <c r="B413" t="s">
        <v>958</v>
      </c>
      <c r="C413">
        <v>2022</v>
      </c>
      <c r="D413">
        <v>4.0460000000000003</v>
      </c>
      <c r="E413">
        <v>0</v>
      </c>
      <c r="F413">
        <v>0</v>
      </c>
      <c r="G413">
        <v>0</v>
      </c>
      <c r="H413">
        <f t="shared" si="12"/>
        <v>4.0460000000000003</v>
      </c>
      <c r="I413" t="s">
        <v>958</v>
      </c>
      <c r="J413" t="s">
        <v>958</v>
      </c>
      <c r="K413" t="str">
        <f>_xlfn.XLOOKUP($J413,'Leveranser per nät'!$A$4:$A$524,'Leveranser per nät'!$A$4:$A$524)</f>
        <v>Sösdala</v>
      </c>
      <c r="L413">
        <f t="shared" si="13"/>
        <v>4.0460000000000003</v>
      </c>
    </row>
    <row r="414" spans="1:12" x14ac:dyDescent="0.25">
      <c r="A414" t="s">
        <v>639</v>
      </c>
      <c r="B414" t="s">
        <v>838</v>
      </c>
      <c r="C414">
        <v>2022</v>
      </c>
      <c r="D414">
        <v>0.372</v>
      </c>
      <c r="E414">
        <v>0</v>
      </c>
      <c r="F414">
        <v>0</v>
      </c>
      <c r="G414">
        <v>0</v>
      </c>
      <c r="H414">
        <f t="shared" si="12"/>
        <v>0.372</v>
      </c>
      <c r="I414" t="s">
        <v>838</v>
      </c>
      <c r="J414" t="s">
        <v>838</v>
      </c>
      <c r="K414" t="str">
        <f>_xlfn.XLOOKUP($J414,'Leveranser per nät'!$A$4:$A$524,'Leveranser per nät'!$A$4:$A$524)</f>
        <v>Fridlevstad</v>
      </c>
      <c r="L414">
        <f t="shared" si="13"/>
        <v>0.372</v>
      </c>
    </row>
    <row r="415" spans="1:12" x14ac:dyDescent="0.25">
      <c r="A415" t="s">
        <v>639</v>
      </c>
      <c r="B415" t="s">
        <v>640</v>
      </c>
      <c r="C415">
        <v>2022</v>
      </c>
      <c r="D415">
        <v>5.2750000000000004</v>
      </c>
      <c r="E415">
        <v>0</v>
      </c>
      <c r="F415">
        <v>0</v>
      </c>
      <c r="G415">
        <v>0</v>
      </c>
      <c r="H415">
        <f t="shared" si="12"/>
        <v>5.2750000000000004</v>
      </c>
      <c r="I415" t="s">
        <v>640</v>
      </c>
      <c r="J415" t="s">
        <v>640</v>
      </c>
      <c r="K415" t="str">
        <f>_xlfn.XLOOKUP($J415,'Leveranser per nät'!$A$4:$A$524,'Leveranser per nät'!$A$4:$A$524)</f>
        <v>Jämjö</v>
      </c>
      <c r="L415">
        <f t="shared" si="13"/>
        <v>5.2750000000000004</v>
      </c>
    </row>
    <row r="416" spans="1:12" x14ac:dyDescent="0.25">
      <c r="A416" t="s">
        <v>639</v>
      </c>
      <c r="B416" t="s">
        <v>0</v>
      </c>
      <c r="C416">
        <v>2022</v>
      </c>
      <c r="D416">
        <v>240.09800000000001</v>
      </c>
      <c r="E416">
        <v>0</v>
      </c>
      <c r="F416">
        <v>0</v>
      </c>
      <c r="G416">
        <v>0</v>
      </c>
      <c r="H416">
        <f t="shared" si="12"/>
        <v>240.09800000000001</v>
      </c>
      <c r="I416" t="s">
        <v>0</v>
      </c>
      <c r="J416" t="s">
        <v>0</v>
      </c>
      <c r="K416" t="str">
        <f>_xlfn.XLOOKUP($J416,'Leveranser per nät'!$A$4:$A$524,'Leveranser per nät'!$A$4:$A$524)</f>
        <v>Karlskrona</v>
      </c>
      <c r="L416">
        <f t="shared" si="13"/>
        <v>240.09800000000001</v>
      </c>
    </row>
    <row r="417" spans="1:12" x14ac:dyDescent="0.25">
      <c r="A417" t="s">
        <v>639</v>
      </c>
      <c r="B417" t="s">
        <v>682</v>
      </c>
      <c r="C417">
        <v>2022</v>
      </c>
      <c r="D417">
        <v>4.0449999999999999</v>
      </c>
      <c r="E417">
        <v>0</v>
      </c>
      <c r="F417">
        <v>0</v>
      </c>
      <c r="G417">
        <v>0</v>
      </c>
      <c r="H417">
        <f t="shared" si="12"/>
        <v>4.0449999999999999</v>
      </c>
      <c r="I417" t="s">
        <v>682</v>
      </c>
      <c r="J417" t="s">
        <v>682</v>
      </c>
      <c r="K417" t="str">
        <f>_xlfn.XLOOKUP($J417,'Leveranser per nät'!$A$4:$A$524,'Leveranser per nät'!$A$4:$A$524)</f>
        <v>Nättraby</v>
      </c>
      <c r="L417">
        <f t="shared" si="13"/>
        <v>4.0449999999999999</v>
      </c>
    </row>
    <row r="418" spans="1:12" x14ac:dyDescent="0.25">
      <c r="A418" t="s">
        <v>639</v>
      </c>
      <c r="B418" t="s">
        <v>710</v>
      </c>
      <c r="C418">
        <v>2022</v>
      </c>
      <c r="D418">
        <v>0.61599999999999999</v>
      </c>
      <c r="E418">
        <v>0</v>
      </c>
      <c r="F418">
        <v>0</v>
      </c>
      <c r="G418">
        <v>0</v>
      </c>
      <c r="H418">
        <f t="shared" si="12"/>
        <v>0.61599999999999999</v>
      </c>
      <c r="I418" t="s">
        <v>710</v>
      </c>
      <c r="J418" t="s">
        <v>710</v>
      </c>
      <c r="K418" t="str">
        <f>_xlfn.XLOOKUP($J418,'Leveranser per nät'!$A$4:$A$524,'Leveranser per nät'!$A$4:$A$524)</f>
        <v>Sturkö</v>
      </c>
      <c r="L418">
        <f t="shared" si="13"/>
        <v>0.61599999999999999</v>
      </c>
    </row>
    <row r="419" spans="1:12" x14ac:dyDescent="0.25">
      <c r="A419" t="s">
        <v>548</v>
      </c>
      <c r="B419" t="s">
        <v>1</v>
      </c>
      <c r="C419">
        <v>2022</v>
      </c>
      <c r="D419">
        <v>118.5</v>
      </c>
      <c r="E419">
        <v>0</v>
      </c>
      <c r="F419">
        <v>0</v>
      </c>
      <c r="G419">
        <v>0</v>
      </c>
      <c r="H419">
        <f t="shared" si="12"/>
        <v>118.5</v>
      </c>
      <c r="I419" t="s">
        <v>1</v>
      </c>
      <c r="J419" t="s">
        <v>1</v>
      </c>
      <c r="K419" t="str">
        <f>_xlfn.XLOOKUP($J419,'Leveranser per nät'!$A$4:$A$524,'Leveranser per nät'!$A$4:$A$524)</f>
        <v>Alingsås</v>
      </c>
      <c r="L419">
        <f t="shared" si="13"/>
        <v>118.5</v>
      </c>
    </row>
    <row r="420" spans="1:12" x14ac:dyDescent="0.25">
      <c r="A420" t="s">
        <v>549</v>
      </c>
      <c r="B420" t="s">
        <v>2</v>
      </c>
      <c r="C420">
        <v>2022</v>
      </c>
      <c r="D420">
        <v>53.42</v>
      </c>
      <c r="E420">
        <v>0</v>
      </c>
      <c r="F420">
        <v>0</v>
      </c>
      <c r="G420">
        <v>0</v>
      </c>
      <c r="H420">
        <f t="shared" si="12"/>
        <v>53.42</v>
      </c>
      <c r="I420" t="s">
        <v>2</v>
      </c>
      <c r="J420" t="s">
        <v>2</v>
      </c>
      <c r="K420" t="str">
        <f>_xlfn.XLOOKUP($J420,'Leveranser per nät'!$A$4:$A$524,'Leveranser per nät'!$A$4:$A$524)</f>
        <v>Alvesta</v>
      </c>
      <c r="L420">
        <f t="shared" si="13"/>
        <v>53.42</v>
      </c>
    </row>
    <row r="421" spans="1:12" x14ac:dyDescent="0.25">
      <c r="A421" t="s">
        <v>549</v>
      </c>
      <c r="B421" t="s">
        <v>3</v>
      </c>
      <c r="C421">
        <v>2022</v>
      </c>
      <c r="D421">
        <v>10.57</v>
      </c>
      <c r="E421">
        <v>0</v>
      </c>
      <c r="F421">
        <v>0</v>
      </c>
      <c r="G421">
        <v>0</v>
      </c>
      <c r="H421">
        <f t="shared" si="12"/>
        <v>10.57</v>
      </c>
      <c r="I421" t="s">
        <v>3</v>
      </c>
      <c r="J421" t="s">
        <v>3</v>
      </c>
      <c r="K421" t="str">
        <f>_xlfn.XLOOKUP($J421,'Leveranser per nät'!$A$4:$A$524,'Leveranser per nät'!$A$4:$A$524)</f>
        <v>Moheda</v>
      </c>
      <c r="L421">
        <f t="shared" si="13"/>
        <v>10.57</v>
      </c>
    </row>
    <row r="422" spans="1:12" x14ac:dyDescent="0.25">
      <c r="A422" t="s">
        <v>549</v>
      </c>
      <c r="B422" t="s">
        <v>4</v>
      </c>
      <c r="C422">
        <v>2022</v>
      </c>
      <c r="D422">
        <v>18.87</v>
      </c>
      <c r="E422">
        <v>0</v>
      </c>
      <c r="F422">
        <v>0</v>
      </c>
      <c r="G422">
        <v>0</v>
      </c>
      <c r="H422">
        <f t="shared" si="12"/>
        <v>18.87</v>
      </c>
      <c r="I422" t="s">
        <v>4</v>
      </c>
      <c r="J422" t="s">
        <v>4</v>
      </c>
      <c r="K422" t="str">
        <f>_xlfn.XLOOKUP($J422,'Leveranser per nät'!$A$4:$A$524,'Leveranser per nät'!$A$4:$A$524)</f>
        <v>Vislanda</v>
      </c>
      <c r="L422">
        <f t="shared" si="13"/>
        <v>18.87</v>
      </c>
    </row>
    <row r="423" spans="1:12" x14ac:dyDescent="0.25">
      <c r="A423" t="s">
        <v>959</v>
      </c>
      <c r="B423" t="s">
        <v>926</v>
      </c>
      <c r="C423">
        <v>2022</v>
      </c>
      <c r="D423">
        <v>23.853000000000002</v>
      </c>
      <c r="E423">
        <v>0</v>
      </c>
      <c r="F423">
        <v>0</v>
      </c>
      <c r="G423">
        <v>0</v>
      </c>
      <c r="H423">
        <f t="shared" si="12"/>
        <v>23.853000000000002</v>
      </c>
      <c r="I423" t="s">
        <v>926</v>
      </c>
      <c r="J423" t="s">
        <v>792</v>
      </c>
      <c r="K423" t="str">
        <f>_xlfn.XLOOKUP($J423,'Leveranser per nät'!$A$4:$A$524,'Leveranser per nät'!$A$4:$A$524)</f>
        <v>Aneby</v>
      </c>
      <c r="L423">
        <f t="shared" si="13"/>
        <v>23.853000000000002</v>
      </c>
    </row>
    <row r="424" spans="1:12" x14ac:dyDescent="0.25">
      <c r="A424" t="s">
        <v>554</v>
      </c>
      <c r="B424" t="s">
        <v>6</v>
      </c>
      <c r="C424">
        <v>2022</v>
      </c>
      <c r="D424">
        <v>39.5</v>
      </c>
      <c r="E424">
        <v>0</v>
      </c>
      <c r="F424">
        <v>0</v>
      </c>
      <c r="G424">
        <v>0</v>
      </c>
      <c r="H424">
        <f t="shared" si="12"/>
        <v>39.5</v>
      </c>
      <c r="I424" t="s">
        <v>6</v>
      </c>
      <c r="J424" t="s">
        <v>6</v>
      </c>
      <c r="K424" t="str">
        <f>_xlfn.XLOOKUP($J424,'Leveranser per nät'!$A$4:$A$524,'Leveranser per nät'!$A$4:$A$524)</f>
        <v>Arvidsjaur</v>
      </c>
      <c r="L424">
        <f t="shared" si="13"/>
        <v>39.5</v>
      </c>
    </row>
    <row r="425" spans="1:12" x14ac:dyDescent="0.25">
      <c r="A425" t="s">
        <v>555</v>
      </c>
      <c r="B425" t="s">
        <v>119</v>
      </c>
      <c r="C425">
        <v>2022</v>
      </c>
      <c r="D425">
        <v>103.6</v>
      </c>
      <c r="E425">
        <v>0</v>
      </c>
      <c r="F425">
        <v>0</v>
      </c>
      <c r="G425">
        <v>0</v>
      </c>
      <c r="H425">
        <f t="shared" si="12"/>
        <v>103.6</v>
      </c>
      <c r="I425" t="s">
        <v>119</v>
      </c>
      <c r="J425" t="s">
        <v>119</v>
      </c>
      <c r="K425" t="str">
        <f>_xlfn.XLOOKUP($J425,'Leveranser per nät'!$A$4:$A$524,'Leveranser per nät'!$A$4:$A$524)</f>
        <v>Arvika</v>
      </c>
      <c r="L425">
        <f t="shared" si="13"/>
        <v>103.6</v>
      </c>
    </row>
    <row r="426" spans="1:12" x14ac:dyDescent="0.25">
      <c r="A426" t="s">
        <v>562</v>
      </c>
      <c r="B426" t="s">
        <v>7</v>
      </c>
      <c r="C426">
        <v>2022</v>
      </c>
      <c r="D426">
        <v>9.4</v>
      </c>
      <c r="E426">
        <v>0</v>
      </c>
      <c r="F426">
        <v>0</v>
      </c>
      <c r="G426">
        <v>0</v>
      </c>
      <c r="H426">
        <f t="shared" si="12"/>
        <v>9.4</v>
      </c>
      <c r="I426" t="s">
        <v>7</v>
      </c>
      <c r="J426" t="s">
        <v>7</v>
      </c>
      <c r="K426" t="str">
        <f>_xlfn.XLOOKUP($J426,'Leveranser per nät'!$A$4:$A$524,'Leveranser per nät'!$A$4:$A$524)</f>
        <v>Bengtsfors</v>
      </c>
      <c r="L426">
        <f t="shared" si="13"/>
        <v>9.4</v>
      </c>
    </row>
    <row r="427" spans="1:12" x14ac:dyDescent="0.25">
      <c r="A427" t="s">
        <v>841</v>
      </c>
      <c r="B427" t="s">
        <v>19</v>
      </c>
      <c r="C427">
        <v>2022</v>
      </c>
      <c r="D427">
        <v>261.39999999999998</v>
      </c>
      <c r="E427">
        <v>0</v>
      </c>
      <c r="F427">
        <v>0</v>
      </c>
      <c r="G427">
        <v>0</v>
      </c>
      <c r="H427">
        <f t="shared" si="12"/>
        <v>261.39999999999998</v>
      </c>
      <c r="I427" t="s">
        <v>19</v>
      </c>
      <c r="J427" t="s">
        <v>19</v>
      </c>
      <c r="K427" t="str">
        <f>_xlfn.XLOOKUP($J427,'Leveranser per nät'!$A$4:$A$524,'Leveranser per nät'!$A$4:$A$524)</f>
        <v>Boden</v>
      </c>
      <c r="L427">
        <f t="shared" si="13"/>
        <v>261.39999999999998</v>
      </c>
    </row>
    <row r="428" spans="1:12" x14ac:dyDescent="0.25">
      <c r="A428" t="s">
        <v>553</v>
      </c>
      <c r="B428" t="s">
        <v>20</v>
      </c>
      <c r="C428">
        <v>2022</v>
      </c>
      <c r="D428">
        <v>16.849</v>
      </c>
      <c r="E428">
        <v>0</v>
      </c>
      <c r="F428">
        <v>0</v>
      </c>
      <c r="G428">
        <v>0</v>
      </c>
      <c r="H428">
        <f t="shared" si="12"/>
        <v>16.849</v>
      </c>
      <c r="I428" t="s">
        <v>20</v>
      </c>
      <c r="J428" t="s">
        <v>20</v>
      </c>
      <c r="K428" t="str">
        <f>_xlfn.XLOOKUP($J428,'Leveranser per nät'!$A$4:$A$524,'Leveranser per nät'!$A$4:$A$524)</f>
        <v>Arbrå</v>
      </c>
      <c r="L428">
        <f t="shared" si="13"/>
        <v>16.849</v>
      </c>
    </row>
    <row r="429" spans="1:12" x14ac:dyDescent="0.25">
      <c r="A429" t="s">
        <v>553</v>
      </c>
      <c r="B429" t="s">
        <v>21</v>
      </c>
      <c r="C429">
        <v>2022</v>
      </c>
      <c r="D429">
        <v>122.995</v>
      </c>
      <c r="E429">
        <v>0</v>
      </c>
      <c r="F429">
        <v>0</v>
      </c>
      <c r="G429">
        <v>0</v>
      </c>
      <c r="H429">
        <f t="shared" si="12"/>
        <v>122.995</v>
      </c>
      <c r="I429" t="s">
        <v>21</v>
      </c>
      <c r="J429" t="s">
        <v>21</v>
      </c>
      <c r="K429" t="str">
        <f>_xlfn.XLOOKUP($J429,'Leveranser per nät'!$A$4:$A$524,'Leveranser per nät'!$A$4:$A$524)</f>
        <v>Bollnäs</v>
      </c>
      <c r="L429">
        <f t="shared" si="13"/>
        <v>124.684</v>
      </c>
    </row>
    <row r="430" spans="1:12" x14ac:dyDescent="0.25">
      <c r="A430" t="s">
        <v>553</v>
      </c>
      <c r="B430" t="s">
        <v>22</v>
      </c>
      <c r="C430">
        <v>2022</v>
      </c>
      <c r="D430">
        <v>23.251000000000001</v>
      </c>
      <c r="E430">
        <v>0</v>
      </c>
      <c r="F430">
        <v>0</v>
      </c>
      <c r="G430">
        <v>0</v>
      </c>
      <c r="H430">
        <f t="shared" si="12"/>
        <v>23.251000000000001</v>
      </c>
      <c r="I430" t="s">
        <v>22</v>
      </c>
      <c r="J430" t="s">
        <v>22</v>
      </c>
      <c r="K430" t="str">
        <f>_xlfn.XLOOKUP($J430,'Leveranser per nät'!$A$4:$A$524,'Leveranser per nät'!$A$4:$A$524)</f>
        <v>Kilafors</v>
      </c>
      <c r="L430">
        <f t="shared" si="13"/>
        <v>23.251000000000001</v>
      </c>
    </row>
    <row r="431" spans="1:12" x14ac:dyDescent="0.25">
      <c r="A431" t="s">
        <v>553</v>
      </c>
      <c r="B431" t="s">
        <v>1102</v>
      </c>
      <c r="C431">
        <v>2022</v>
      </c>
      <c r="D431">
        <v>1.6890000000000001</v>
      </c>
      <c r="E431">
        <v>0</v>
      </c>
      <c r="F431">
        <v>0</v>
      </c>
      <c r="G431">
        <v>0</v>
      </c>
      <c r="H431">
        <f t="shared" si="12"/>
        <v>1.6890000000000001</v>
      </c>
      <c r="I431" s="43" t="s">
        <v>1102</v>
      </c>
      <c r="J431" t="s">
        <v>21</v>
      </c>
      <c r="K431" t="str">
        <f>_xlfn.XLOOKUP($J431,'Leveranser per nät'!$A$4:$A$524,'Leveranser per nät'!$A$4:$A$524)</f>
        <v>Bollnäs</v>
      </c>
      <c r="L431">
        <f t="shared" si="13"/>
        <v>124.684</v>
      </c>
    </row>
    <row r="432" spans="1:12" x14ac:dyDescent="0.25">
      <c r="A432" t="s">
        <v>574</v>
      </c>
      <c r="B432" t="s">
        <v>23</v>
      </c>
      <c r="C432">
        <v>2022</v>
      </c>
      <c r="D432">
        <v>24.7</v>
      </c>
      <c r="E432">
        <v>0</v>
      </c>
      <c r="F432">
        <v>0</v>
      </c>
      <c r="G432">
        <v>0</v>
      </c>
      <c r="H432">
        <f t="shared" si="12"/>
        <v>24.7</v>
      </c>
      <c r="I432" t="s">
        <v>23</v>
      </c>
      <c r="J432" t="s">
        <v>23</v>
      </c>
      <c r="K432" t="str">
        <f>_xlfn.XLOOKUP($J432,'Leveranser per nät'!$A$4:$A$524,'Leveranser per nät'!$A$4:$A$524)</f>
        <v>Borgholm</v>
      </c>
      <c r="L432">
        <f t="shared" si="13"/>
        <v>24.7</v>
      </c>
    </row>
    <row r="433" spans="1:19" x14ac:dyDescent="0.25">
      <c r="A433" t="s">
        <v>574</v>
      </c>
      <c r="B433" t="s">
        <v>24</v>
      </c>
      <c r="C433">
        <v>2022</v>
      </c>
      <c r="D433">
        <v>1.8</v>
      </c>
      <c r="E433">
        <v>0</v>
      </c>
      <c r="F433">
        <v>0</v>
      </c>
      <c r="G433">
        <v>0</v>
      </c>
      <c r="H433">
        <f t="shared" si="12"/>
        <v>1.8</v>
      </c>
      <c r="I433" t="s">
        <v>24</v>
      </c>
      <c r="J433" t="s">
        <v>24</v>
      </c>
      <c r="K433" t="str">
        <f>_xlfn.XLOOKUP($J433,'Leveranser per nät'!$A$4:$A$524,'Leveranser per nät'!$A$4:$A$524)</f>
        <v>Löttorp</v>
      </c>
      <c r="L433">
        <f t="shared" si="13"/>
        <v>1.8</v>
      </c>
    </row>
    <row r="434" spans="1:19" x14ac:dyDescent="0.25">
      <c r="A434" t="s">
        <v>575</v>
      </c>
      <c r="B434" t="s">
        <v>25</v>
      </c>
      <c r="C434">
        <v>2022</v>
      </c>
      <c r="D434">
        <v>393.77699999999999</v>
      </c>
      <c r="E434">
        <v>26.978000000000002</v>
      </c>
      <c r="F434">
        <v>0</v>
      </c>
      <c r="G434">
        <v>0</v>
      </c>
      <c r="H434">
        <f t="shared" si="12"/>
        <v>366.79899999999998</v>
      </c>
      <c r="I434" t="s">
        <v>25</v>
      </c>
      <c r="J434" t="s">
        <v>25</v>
      </c>
      <c r="K434" t="str">
        <f>_xlfn.XLOOKUP($J434,'Leveranser per nät'!$A$4:$A$524,'Leveranser per nät'!$A$4:$A$524)</f>
        <v>Borlänge</v>
      </c>
      <c r="L434">
        <f t="shared" si="13"/>
        <v>366.79899999999998</v>
      </c>
    </row>
    <row r="435" spans="1:19" x14ac:dyDescent="0.25">
      <c r="A435" t="s">
        <v>575</v>
      </c>
      <c r="B435" t="s">
        <v>26</v>
      </c>
      <c r="C435">
        <v>2022</v>
      </c>
      <c r="D435">
        <v>1.89</v>
      </c>
      <c r="E435">
        <v>0</v>
      </c>
      <c r="F435">
        <v>0</v>
      </c>
      <c r="G435">
        <v>0</v>
      </c>
      <c r="H435">
        <f t="shared" si="12"/>
        <v>1.89</v>
      </c>
      <c r="I435" t="s">
        <v>26</v>
      </c>
      <c r="J435" t="s">
        <v>26</v>
      </c>
      <c r="K435" t="str">
        <f>_xlfn.XLOOKUP($J435,'Leveranser per nät'!$A$4:$A$524,'Leveranser per nät'!$A$4:$A$524)</f>
        <v>Ornäs</v>
      </c>
      <c r="L435">
        <f t="shared" si="13"/>
        <v>1.89</v>
      </c>
    </row>
    <row r="436" spans="1:19" x14ac:dyDescent="0.25">
      <c r="A436" t="s">
        <v>575</v>
      </c>
      <c r="B436" t="s">
        <v>27</v>
      </c>
      <c r="C436">
        <v>2022</v>
      </c>
      <c r="D436">
        <v>3.149</v>
      </c>
      <c r="E436">
        <v>0</v>
      </c>
      <c r="F436">
        <v>0</v>
      </c>
      <c r="G436">
        <v>0</v>
      </c>
      <c r="H436">
        <f t="shared" si="12"/>
        <v>3.149</v>
      </c>
      <c r="I436" t="s">
        <v>27</v>
      </c>
      <c r="J436" t="s">
        <v>27</v>
      </c>
      <c r="K436" t="str">
        <f>_xlfn.XLOOKUP($J436,'Leveranser per nät'!$A$4:$A$524,'Leveranser per nät'!$A$4:$A$524)</f>
        <v>Torsång</v>
      </c>
      <c r="L436">
        <f t="shared" si="13"/>
        <v>3.149</v>
      </c>
    </row>
    <row r="437" spans="1:19" x14ac:dyDescent="0.25">
      <c r="A437" t="s">
        <v>961</v>
      </c>
      <c r="B437" s="1" t="s">
        <v>29</v>
      </c>
      <c r="C437">
        <v>2022</v>
      </c>
      <c r="D437">
        <v>578.77</v>
      </c>
      <c r="E437">
        <v>0</v>
      </c>
      <c r="F437">
        <v>0</v>
      </c>
      <c r="G437">
        <v>0</v>
      </c>
      <c r="H437">
        <f t="shared" si="12"/>
        <v>578.77</v>
      </c>
      <c r="I437" t="s">
        <v>29</v>
      </c>
      <c r="J437" t="s">
        <v>29</v>
      </c>
      <c r="K437" t="str">
        <f>_xlfn.XLOOKUP($J437,'Leveranser per nät'!$A$4:$A$524,'Leveranser per nät'!$A$4:$A$524)</f>
        <v>Borås</v>
      </c>
      <c r="L437">
        <f t="shared" si="13"/>
        <v>591.96799999999996</v>
      </c>
    </row>
    <row r="438" spans="1:19" x14ac:dyDescent="0.25">
      <c r="A438" t="s">
        <v>961</v>
      </c>
      <c r="B438" s="1" t="s">
        <v>1103</v>
      </c>
      <c r="C438">
        <v>2022</v>
      </c>
      <c r="D438">
        <v>13.198</v>
      </c>
      <c r="E438">
        <v>0</v>
      </c>
      <c r="F438">
        <v>0</v>
      </c>
      <c r="G438">
        <v>0</v>
      </c>
      <c r="H438">
        <f t="shared" si="12"/>
        <v>13.198</v>
      </c>
      <c r="I438" t="s">
        <v>1103</v>
      </c>
      <c r="J438" t="s">
        <v>29</v>
      </c>
      <c r="K438" t="str">
        <f>_xlfn.XLOOKUP($J438,'Leveranser per nät'!$A$4:$A$524,'Leveranser per nät'!$A$4:$A$524)</f>
        <v>Borås</v>
      </c>
      <c r="L438">
        <f t="shared" si="13"/>
        <v>591.96799999999996</v>
      </c>
    </row>
    <row r="439" spans="1:19" x14ac:dyDescent="0.25">
      <c r="A439" t="s">
        <v>578</v>
      </c>
      <c r="B439" t="s">
        <v>30</v>
      </c>
      <c r="C439">
        <v>2022</v>
      </c>
      <c r="D439" t="s">
        <v>805</v>
      </c>
      <c r="E439" t="s">
        <v>805</v>
      </c>
      <c r="F439" t="s">
        <v>805</v>
      </c>
      <c r="G439" t="s">
        <v>805</v>
      </c>
      <c r="H439"/>
      <c r="I439" t="s">
        <v>30</v>
      </c>
      <c r="J439" t="s">
        <v>30</v>
      </c>
      <c r="K439" t="str">
        <f>_xlfn.XLOOKUP($J439,'Leveranser per nät'!$A$4:$A$524,'Leveranser per nät'!$A$4:$A$524)</f>
        <v>Bromölla</v>
      </c>
      <c r="L439">
        <f t="shared" si="13"/>
        <v>0</v>
      </c>
    </row>
    <row r="440" spans="1:19" x14ac:dyDescent="0.25">
      <c r="A440" t="s">
        <v>963</v>
      </c>
      <c r="B440" t="s">
        <v>845</v>
      </c>
      <c r="C440">
        <v>2022</v>
      </c>
      <c r="D440">
        <v>10.8</v>
      </c>
      <c r="E440">
        <v>0</v>
      </c>
      <c r="F440">
        <v>0</v>
      </c>
      <c r="G440">
        <v>0</v>
      </c>
      <c r="H440">
        <f t="shared" si="12"/>
        <v>10.8</v>
      </c>
      <c r="I440" t="s">
        <v>845</v>
      </c>
      <c r="J440" t="s">
        <v>845</v>
      </c>
      <c r="K440" t="str">
        <f>_xlfn.XLOOKUP($J440,'Leveranser per nät'!$A$4:$A$524,'Leveranser per nät'!$A$4:$A$524)</f>
        <v>Berg</v>
      </c>
      <c r="L440">
        <f t="shared" si="13"/>
        <v>10.8</v>
      </c>
    </row>
    <row r="441" spans="1:19" x14ac:dyDescent="0.25">
      <c r="A441" t="s">
        <v>600</v>
      </c>
      <c r="B441" t="s">
        <v>33</v>
      </c>
      <c r="C441">
        <v>2022</v>
      </c>
      <c r="D441">
        <v>4.4669999999999996</v>
      </c>
      <c r="E441">
        <v>0</v>
      </c>
      <c r="F441">
        <v>0</v>
      </c>
      <c r="G441">
        <v>0</v>
      </c>
      <c r="H441">
        <f t="shared" si="12"/>
        <v>4.4669999999999996</v>
      </c>
      <c r="I441" t="s">
        <v>33</v>
      </c>
      <c r="J441" t="s">
        <v>33</v>
      </c>
      <c r="K441" t="str">
        <f>_xlfn.XLOOKUP($J441,'Leveranser per nät'!$A$4:$A$524,'Leveranser per nät'!$A$4:$A$524)</f>
        <v>Fjälkinge</v>
      </c>
      <c r="L441">
        <f t="shared" si="13"/>
        <v>4.4669999999999996</v>
      </c>
    </row>
    <row r="442" spans="1:19" x14ac:dyDescent="0.25">
      <c r="A442" t="s">
        <v>600</v>
      </c>
      <c r="B442" t="s">
        <v>34</v>
      </c>
      <c r="C442">
        <v>2022</v>
      </c>
      <c r="D442">
        <v>333.59699999999998</v>
      </c>
      <c r="E442">
        <v>0</v>
      </c>
      <c r="F442">
        <v>0</v>
      </c>
      <c r="G442">
        <v>0</v>
      </c>
      <c r="H442">
        <f t="shared" si="12"/>
        <v>333.59699999999998</v>
      </c>
      <c r="I442" t="s">
        <v>34</v>
      </c>
      <c r="J442" t="s">
        <v>34</v>
      </c>
      <c r="K442" t="str">
        <f>_xlfn.XLOOKUP($J442,'Leveranser per nät'!$A$4:$A$524,'Leveranser per nät'!$A$4:$A$524)</f>
        <v>Kristianstad</v>
      </c>
      <c r="L442">
        <f t="shared" si="13"/>
        <v>333.59699999999998</v>
      </c>
    </row>
    <row r="443" spans="1:19" x14ac:dyDescent="0.25">
      <c r="A443" t="s">
        <v>630</v>
      </c>
      <c r="B443" t="s">
        <v>631</v>
      </c>
      <c r="C443">
        <v>2022</v>
      </c>
      <c r="D443">
        <v>34.51</v>
      </c>
      <c r="E443">
        <v>0</v>
      </c>
      <c r="F443">
        <v>0</v>
      </c>
      <c r="G443">
        <v>0</v>
      </c>
      <c r="H443">
        <f t="shared" si="12"/>
        <v>34.51</v>
      </c>
      <c r="I443" t="s">
        <v>631</v>
      </c>
      <c r="J443" t="s">
        <v>631</v>
      </c>
      <c r="K443" t="str">
        <f>_xlfn.XLOOKUP($J443,'Leveranser per nät'!$A$4:$A$524,'Leveranser per nät'!$A$4:$A$524)</f>
        <v>HVC Degerfors</v>
      </c>
      <c r="L443">
        <f t="shared" si="13"/>
        <v>34.51</v>
      </c>
    </row>
    <row r="444" spans="1:19" x14ac:dyDescent="0.25">
      <c r="A444" t="s">
        <v>630</v>
      </c>
      <c r="B444" t="s">
        <v>39</v>
      </c>
      <c r="C444">
        <v>2022</v>
      </c>
      <c r="D444">
        <v>1.37</v>
      </c>
      <c r="E444">
        <v>0</v>
      </c>
      <c r="F444">
        <v>0</v>
      </c>
      <c r="G444">
        <v>0</v>
      </c>
      <c r="H444">
        <f t="shared" si="12"/>
        <v>1.37</v>
      </c>
      <c r="I444" t="s">
        <v>39</v>
      </c>
      <c r="J444" t="s">
        <v>39</v>
      </c>
      <c r="K444" t="str">
        <f>_xlfn.XLOOKUP($J444,'Leveranser per nät'!$A$4:$A$524,'Leveranser per nät'!$A$4:$A$524)</f>
        <v>Svartå</v>
      </c>
      <c r="L444">
        <f t="shared" si="13"/>
        <v>1.37</v>
      </c>
    </row>
    <row r="445" spans="1:19" x14ac:dyDescent="0.25">
      <c r="A445" t="s">
        <v>630</v>
      </c>
      <c r="B445" t="s">
        <v>40</v>
      </c>
      <c r="C445">
        <v>2022</v>
      </c>
      <c r="D445">
        <v>0.49299999999999999</v>
      </c>
      <c r="E445">
        <v>0</v>
      </c>
      <c r="F445">
        <v>0</v>
      </c>
      <c r="G445">
        <v>0</v>
      </c>
      <c r="H445">
        <f t="shared" si="12"/>
        <v>0.49299999999999999</v>
      </c>
      <c r="I445" t="s">
        <v>40</v>
      </c>
      <c r="J445" t="s">
        <v>40</v>
      </c>
      <c r="K445" t="str">
        <f>_xlfn.XLOOKUP($J445,'Leveranser per nät'!$A$4:$A$524,'Leveranser per nät'!$A$4:$A$524)</f>
        <v>Åtorp</v>
      </c>
      <c r="L445">
        <f t="shared" si="13"/>
        <v>0.49299999999999999</v>
      </c>
    </row>
    <row r="446" spans="1:19" x14ac:dyDescent="0.25">
      <c r="A446" t="s">
        <v>1126</v>
      </c>
      <c r="B446" t="s">
        <v>62</v>
      </c>
      <c r="C446">
        <v>2022</v>
      </c>
      <c r="D446">
        <v>33.6</v>
      </c>
      <c r="E446">
        <v>0</v>
      </c>
      <c r="F446">
        <v>0</v>
      </c>
      <c r="G446">
        <v>0</v>
      </c>
      <c r="H446">
        <f t="shared" si="12"/>
        <v>33.6</v>
      </c>
      <c r="I446" t="s">
        <v>62</v>
      </c>
      <c r="J446" t="s">
        <v>62</v>
      </c>
      <c r="K446" t="str">
        <f>_xlfn.XLOOKUP($J446,'Leveranser per nät'!$A$4:$A$524,'Leveranser per nät'!$A$4:$A$524)</f>
        <v>Bålsta</v>
      </c>
      <c r="L446">
        <f t="shared" si="13"/>
        <v>33.6</v>
      </c>
    </row>
    <row r="447" spans="1:19" x14ac:dyDescent="0.25">
      <c r="A447" t="s">
        <v>1126</v>
      </c>
      <c r="B447" s="1" t="s">
        <v>1195</v>
      </c>
      <c r="C447">
        <v>2022</v>
      </c>
      <c r="D447">
        <v>645.55999999999995</v>
      </c>
      <c r="E447">
        <v>278</v>
      </c>
      <c r="F447">
        <v>0</v>
      </c>
      <c r="G447">
        <v>0</v>
      </c>
      <c r="H447">
        <f t="shared" si="12"/>
        <v>367.55999999999995</v>
      </c>
      <c r="I447" t="s">
        <v>1195</v>
      </c>
      <c r="J447" t="s">
        <v>1104</v>
      </c>
      <c r="K447" t="str">
        <f>_xlfn.XLOOKUP($J447,'Leveranser per nät'!$A$4:$A$524,'Leveranser per nät'!$A$4:$A$524)</f>
        <v>Järfälla - Kungsängen - Bro</v>
      </c>
      <c r="L447">
        <f t="shared" si="13"/>
        <v>374.75999999999993</v>
      </c>
      <c r="S447" s="23"/>
    </row>
    <row r="448" spans="1:19" x14ac:dyDescent="0.25">
      <c r="A448" t="s">
        <v>1126</v>
      </c>
      <c r="B448" s="1" t="s">
        <v>1196</v>
      </c>
      <c r="C448">
        <v>2022</v>
      </c>
      <c r="D448" t="s">
        <v>806</v>
      </c>
      <c r="E448">
        <v>0</v>
      </c>
      <c r="F448">
        <v>0</v>
      </c>
      <c r="G448">
        <v>0</v>
      </c>
      <c r="H448"/>
      <c r="I448" t="s">
        <v>1196</v>
      </c>
      <c r="J448" t="s">
        <v>1104</v>
      </c>
      <c r="K448" t="str">
        <f>_xlfn.XLOOKUP($J448,'Leveranser per nät'!$A$4:$A$524,'Leveranser per nät'!$A$4:$A$524)</f>
        <v>Järfälla - Kungsängen - Bro</v>
      </c>
      <c r="L448">
        <f t="shared" si="13"/>
        <v>374.75999999999993</v>
      </c>
    </row>
    <row r="449" spans="1:19" x14ac:dyDescent="0.25">
      <c r="A449" t="s">
        <v>1126</v>
      </c>
      <c r="B449" s="1" t="s">
        <v>1197</v>
      </c>
      <c r="C449">
        <v>2022</v>
      </c>
      <c r="D449">
        <v>7.2</v>
      </c>
      <c r="E449">
        <v>0</v>
      </c>
      <c r="F449">
        <v>0</v>
      </c>
      <c r="G449">
        <v>0</v>
      </c>
      <c r="H449">
        <f t="shared" si="12"/>
        <v>7.2</v>
      </c>
      <c r="I449" t="s">
        <v>1197</v>
      </c>
      <c r="J449" t="s">
        <v>1104</v>
      </c>
      <c r="K449" t="str">
        <f>_xlfn.XLOOKUP($J449,'Leveranser per nät'!$A$4:$A$524,'Leveranser per nät'!$A$4:$A$524)</f>
        <v>Järfälla - Kungsängen - Bro</v>
      </c>
      <c r="L449">
        <f t="shared" si="13"/>
        <v>374.75999999999993</v>
      </c>
    </row>
    <row r="450" spans="1:19" x14ac:dyDescent="0.25">
      <c r="A450" t="s">
        <v>1126</v>
      </c>
      <c r="B450" s="1" t="s">
        <v>1198</v>
      </c>
      <c r="C450">
        <v>2022</v>
      </c>
      <c r="D450">
        <v>38.4</v>
      </c>
      <c r="E450">
        <v>0</v>
      </c>
      <c r="F450">
        <v>0</v>
      </c>
      <c r="G450">
        <v>0</v>
      </c>
      <c r="H450">
        <f t="shared" ref="H450:H473" si="14">D450-SUM(E450:G450)</f>
        <v>38.4</v>
      </c>
      <c r="I450" t="s">
        <v>1198</v>
      </c>
      <c r="J450" t="s">
        <v>43</v>
      </c>
      <c r="K450" t="str">
        <f>_xlfn.XLOOKUP($J450,'Leveranser per nät'!$A$4:$A$524,'Leveranser per nät'!$A$4:$A$524)</f>
        <v>Malmö</v>
      </c>
      <c r="L450">
        <f t="shared" ref="L450:L473" si="15">SUMIF($J$2:$J$474,K450,$H$2:$H$474)</f>
        <v>1965.9</v>
      </c>
      <c r="S450" s="23"/>
    </row>
    <row r="451" spans="1:19" x14ac:dyDescent="0.25">
      <c r="A451" t="s">
        <v>1126</v>
      </c>
      <c r="B451" s="1" t="s">
        <v>1199</v>
      </c>
      <c r="C451">
        <v>2022</v>
      </c>
      <c r="D451">
        <v>1377.5</v>
      </c>
      <c r="E451">
        <v>0</v>
      </c>
      <c r="F451">
        <v>0</v>
      </c>
      <c r="G451">
        <v>0</v>
      </c>
      <c r="H451">
        <f t="shared" si="14"/>
        <v>1377.5</v>
      </c>
      <c r="I451" t="s">
        <v>1199</v>
      </c>
      <c r="J451" t="s">
        <v>43</v>
      </c>
      <c r="K451" t="str">
        <f>_xlfn.XLOOKUP($J451,'Leveranser per nät'!$A$4:$A$524,'Leveranser per nät'!$A$4:$A$524)</f>
        <v>Malmö</v>
      </c>
      <c r="L451">
        <f t="shared" si="15"/>
        <v>1965.9</v>
      </c>
    </row>
    <row r="452" spans="1:19" x14ac:dyDescent="0.25">
      <c r="A452" t="s">
        <v>1126</v>
      </c>
      <c r="B452" s="1" t="s">
        <v>1200</v>
      </c>
      <c r="C452">
        <v>2022</v>
      </c>
      <c r="D452">
        <v>0</v>
      </c>
      <c r="E452">
        <v>0</v>
      </c>
      <c r="F452">
        <v>0</v>
      </c>
      <c r="G452">
        <v>0</v>
      </c>
      <c r="H452">
        <f t="shared" si="14"/>
        <v>0</v>
      </c>
      <c r="I452" t="s">
        <v>1200</v>
      </c>
      <c r="J452" t="s">
        <v>43</v>
      </c>
      <c r="K452" t="str">
        <f>_xlfn.XLOOKUP($J452,'Leveranser per nät'!$A$4:$A$524,'Leveranser per nät'!$A$4:$A$524)</f>
        <v>Malmö</v>
      </c>
      <c r="L452">
        <f t="shared" si="15"/>
        <v>1965.9</v>
      </c>
    </row>
    <row r="453" spans="1:19" x14ac:dyDescent="0.25">
      <c r="A453" t="s">
        <v>1126</v>
      </c>
      <c r="B453" s="1" t="s">
        <v>1201</v>
      </c>
      <c r="C453">
        <v>2022</v>
      </c>
      <c r="D453">
        <v>550</v>
      </c>
      <c r="E453">
        <v>0</v>
      </c>
      <c r="F453">
        <v>0</v>
      </c>
      <c r="G453">
        <v>0</v>
      </c>
      <c r="H453">
        <f t="shared" si="14"/>
        <v>550</v>
      </c>
      <c r="I453" t="s">
        <v>1201</v>
      </c>
      <c r="J453" t="s">
        <v>43</v>
      </c>
      <c r="K453" t="str">
        <f>_xlfn.XLOOKUP($J453,'Leveranser per nät'!$A$4:$A$524,'Leveranser per nät'!$A$4:$A$524)</f>
        <v>Malmö</v>
      </c>
      <c r="L453">
        <f t="shared" si="15"/>
        <v>1965.9</v>
      </c>
    </row>
    <row r="454" spans="1:19" x14ac:dyDescent="0.25">
      <c r="A454" t="s">
        <v>1126</v>
      </c>
      <c r="B454" s="1" t="s">
        <v>1202</v>
      </c>
      <c r="C454">
        <v>2022</v>
      </c>
      <c r="D454" t="s">
        <v>805</v>
      </c>
      <c r="E454" t="s">
        <v>805</v>
      </c>
      <c r="F454" t="s">
        <v>805</v>
      </c>
      <c r="G454" t="s">
        <v>805</v>
      </c>
      <c r="H454"/>
      <c r="I454" t="s">
        <v>1202</v>
      </c>
      <c r="K454" t="e">
        <f>_xlfn.XLOOKUP($J454,'Leveranser per nät'!$A$4:$A$524,'Leveranser per nät'!$A$4:$A$524)</f>
        <v>#N/A</v>
      </c>
      <c r="L454">
        <f t="shared" si="15"/>
        <v>0</v>
      </c>
      <c r="S454" s="23"/>
    </row>
    <row r="455" spans="1:19" x14ac:dyDescent="0.25">
      <c r="A455" t="s">
        <v>1126</v>
      </c>
      <c r="B455" s="1" t="s">
        <v>1203</v>
      </c>
      <c r="C455">
        <v>2022</v>
      </c>
      <c r="D455">
        <v>787.2</v>
      </c>
      <c r="E455">
        <v>35.1</v>
      </c>
      <c r="F455">
        <v>0</v>
      </c>
      <c r="G455">
        <v>0</v>
      </c>
      <c r="H455">
        <f t="shared" si="14"/>
        <v>752.1</v>
      </c>
      <c r="I455" t="s">
        <v>1203</v>
      </c>
      <c r="J455" t="s">
        <v>927</v>
      </c>
      <c r="K455" t="str">
        <f>_xlfn.XLOOKUP($J455,'Leveranser per nät'!$A$4:$A$524,'Leveranser per nät'!$A$4:$A$524)</f>
        <v>Norrköping - Söderköping</v>
      </c>
      <c r="L455">
        <f t="shared" si="15"/>
        <v>799.5</v>
      </c>
    </row>
    <row r="456" spans="1:19" x14ac:dyDescent="0.25">
      <c r="A456" t="s">
        <v>1126</v>
      </c>
      <c r="B456" s="1" t="s">
        <v>1204</v>
      </c>
      <c r="C456">
        <v>2022</v>
      </c>
      <c r="D456">
        <v>47.4</v>
      </c>
      <c r="E456">
        <v>0</v>
      </c>
      <c r="F456">
        <v>0</v>
      </c>
      <c r="G456">
        <v>0</v>
      </c>
      <c r="H456">
        <f t="shared" si="14"/>
        <v>47.4</v>
      </c>
      <c r="I456" t="s">
        <v>1204</v>
      </c>
      <c r="J456" t="s">
        <v>927</v>
      </c>
      <c r="K456" t="str">
        <f>_xlfn.XLOOKUP($J456,'Leveranser per nät'!$A$4:$A$524,'Leveranser per nät'!$A$4:$A$524)</f>
        <v>Norrköping - Söderköping</v>
      </c>
      <c r="L456">
        <f t="shared" si="15"/>
        <v>799.5</v>
      </c>
    </row>
    <row r="457" spans="1:19" x14ac:dyDescent="0.25">
      <c r="A457" t="s">
        <v>1126</v>
      </c>
      <c r="B457" t="s">
        <v>1205</v>
      </c>
      <c r="C457">
        <v>2022</v>
      </c>
      <c r="D457">
        <v>3.4</v>
      </c>
      <c r="E457">
        <v>0</v>
      </c>
      <c r="F457">
        <v>0</v>
      </c>
      <c r="G457">
        <v>0</v>
      </c>
      <c r="H457">
        <f t="shared" si="14"/>
        <v>3.4</v>
      </c>
      <c r="I457" t="s">
        <v>1205</v>
      </c>
      <c r="J457" t="s">
        <v>420</v>
      </c>
      <c r="K457" t="str">
        <f>_xlfn.XLOOKUP($J457,'Leveranser per nät'!$A$4:$A$524,'Leveranser per nät'!$A$4:$A$524)</f>
        <v>Stockholm</v>
      </c>
      <c r="L457">
        <f t="shared" si="15"/>
        <v>7727.2889999999998</v>
      </c>
    </row>
    <row r="458" spans="1:19" x14ac:dyDescent="0.25">
      <c r="A458" t="s">
        <v>1126</v>
      </c>
      <c r="B458" t="s">
        <v>442</v>
      </c>
      <c r="C458">
        <v>2022</v>
      </c>
      <c r="D458">
        <v>86.5</v>
      </c>
      <c r="E458">
        <v>0</v>
      </c>
      <c r="F458">
        <v>0</v>
      </c>
      <c r="G458">
        <v>0</v>
      </c>
      <c r="H458">
        <f t="shared" si="14"/>
        <v>86.5</v>
      </c>
      <c r="I458" t="s">
        <v>442</v>
      </c>
      <c r="J458" t="s">
        <v>442</v>
      </c>
      <c r="K458" t="str">
        <f>_xlfn.XLOOKUP($J458,'Leveranser per nät'!$A$4:$A$524,'Leveranser per nät'!$A$4:$A$524)</f>
        <v>Täby</v>
      </c>
      <c r="L458">
        <f t="shared" si="15"/>
        <v>144.715</v>
      </c>
    </row>
    <row r="459" spans="1:19" x14ac:dyDescent="0.25">
      <c r="A459" t="s">
        <v>1126</v>
      </c>
      <c r="B459" s="1" t="s">
        <v>1134</v>
      </c>
      <c r="C459">
        <v>2022</v>
      </c>
      <c r="D459">
        <v>62.2</v>
      </c>
      <c r="E459">
        <v>0</v>
      </c>
      <c r="F459">
        <v>0</v>
      </c>
      <c r="G459">
        <v>0</v>
      </c>
      <c r="H459">
        <f t="shared" si="14"/>
        <v>62.2</v>
      </c>
      <c r="I459" t="s">
        <v>1134</v>
      </c>
      <c r="J459" t="s">
        <v>59</v>
      </c>
      <c r="K459" t="str">
        <f>_xlfn.XLOOKUP($J459,'Leveranser per nät'!$A$4:$A$524,'Leveranser per nät'!$A$4:$A$524)</f>
        <v>Vallentuna</v>
      </c>
      <c r="L459">
        <f t="shared" si="15"/>
        <v>64</v>
      </c>
      <c r="S459" s="23"/>
    </row>
    <row r="460" spans="1:19" x14ac:dyDescent="0.25">
      <c r="A460" t="s">
        <v>1126</v>
      </c>
      <c r="B460" s="1" t="s">
        <v>1135</v>
      </c>
      <c r="C460">
        <v>2022</v>
      </c>
      <c r="D460">
        <v>1.8</v>
      </c>
      <c r="E460">
        <v>0</v>
      </c>
      <c r="F460">
        <v>0</v>
      </c>
      <c r="G460">
        <v>0</v>
      </c>
      <c r="H460">
        <f t="shared" si="14"/>
        <v>1.8</v>
      </c>
      <c r="I460" t="s">
        <v>1135</v>
      </c>
      <c r="J460" t="s">
        <v>59</v>
      </c>
      <c r="K460" t="str">
        <f>_xlfn.XLOOKUP($J460,'Leveranser per nät'!$A$4:$A$524,'Leveranser per nät'!$A$4:$A$524)</f>
        <v>Vallentuna</v>
      </c>
      <c r="L460">
        <f t="shared" si="15"/>
        <v>64</v>
      </c>
    </row>
    <row r="461" spans="1:19" x14ac:dyDescent="0.25">
      <c r="A461" t="s">
        <v>1126</v>
      </c>
      <c r="B461" s="1" t="s">
        <v>1206</v>
      </c>
      <c r="C461">
        <v>2022</v>
      </c>
      <c r="D461" t="s">
        <v>805</v>
      </c>
      <c r="E461" t="s">
        <v>805</v>
      </c>
      <c r="F461" t="s">
        <v>805</v>
      </c>
      <c r="G461" t="s">
        <v>805</v>
      </c>
      <c r="H461"/>
      <c r="I461" t="s">
        <v>1206</v>
      </c>
      <c r="J461" t="s">
        <v>1064</v>
      </c>
      <c r="K461" t="str">
        <f>_xlfn.XLOOKUP($J461,'Leveranser per nät'!$A$4:$A$524,'Leveranser per nät'!$A$4:$A$524)</f>
        <v>Hallsberg- Örebro- Kumla</v>
      </c>
      <c r="L461">
        <f t="shared" si="15"/>
        <v>937.60299999999995</v>
      </c>
      <c r="S461" s="23"/>
    </row>
    <row r="462" spans="1:19" x14ac:dyDescent="0.25">
      <c r="A462" t="s">
        <v>1126</v>
      </c>
      <c r="B462" s="1" t="s">
        <v>1207</v>
      </c>
      <c r="C462">
        <v>2022</v>
      </c>
      <c r="D462">
        <v>841</v>
      </c>
      <c r="E462">
        <v>45.1</v>
      </c>
      <c r="F462">
        <v>0</v>
      </c>
      <c r="G462">
        <v>0</v>
      </c>
      <c r="H462">
        <f t="shared" si="14"/>
        <v>795.9</v>
      </c>
      <c r="I462" t="s">
        <v>1207</v>
      </c>
      <c r="J462" t="s">
        <v>1064</v>
      </c>
      <c r="K462" t="str">
        <f>_xlfn.XLOOKUP($J462,'Leveranser per nät'!$A$4:$A$524,'Leveranser per nät'!$A$4:$A$524)</f>
        <v>Hallsberg- Örebro- Kumla</v>
      </c>
      <c r="L462">
        <f t="shared" si="15"/>
        <v>937.60299999999995</v>
      </c>
    </row>
    <row r="463" spans="1:19" x14ac:dyDescent="0.25">
      <c r="A463" t="s">
        <v>1126</v>
      </c>
      <c r="B463" s="1" t="s">
        <v>1208</v>
      </c>
      <c r="C463">
        <v>2022</v>
      </c>
      <c r="D463">
        <v>139</v>
      </c>
      <c r="E463">
        <v>0</v>
      </c>
      <c r="F463">
        <v>0</v>
      </c>
      <c r="G463">
        <v>0</v>
      </c>
      <c r="H463">
        <f t="shared" si="14"/>
        <v>139</v>
      </c>
      <c r="I463" t="s">
        <v>1208</v>
      </c>
      <c r="J463" t="s">
        <v>1064</v>
      </c>
      <c r="K463" t="str">
        <f>_xlfn.XLOOKUP($J463,'Leveranser per nät'!$A$4:$A$524,'Leveranser per nät'!$A$4:$A$524)</f>
        <v>Hallsberg- Örebro- Kumla</v>
      </c>
      <c r="L463">
        <f t="shared" si="15"/>
        <v>937.60299999999995</v>
      </c>
    </row>
    <row r="464" spans="1:19" x14ac:dyDescent="0.25">
      <c r="A464" t="s">
        <v>1126</v>
      </c>
      <c r="B464" t="s">
        <v>57</v>
      </c>
      <c r="C464">
        <v>2022</v>
      </c>
      <c r="D464">
        <v>66.5</v>
      </c>
      <c r="E464">
        <v>0</v>
      </c>
      <c r="F464">
        <v>0</v>
      </c>
      <c r="G464">
        <v>0</v>
      </c>
      <c r="H464">
        <f t="shared" si="14"/>
        <v>66.5</v>
      </c>
      <c r="I464" t="s">
        <v>57</v>
      </c>
      <c r="J464" t="s">
        <v>57</v>
      </c>
      <c r="K464" t="str">
        <f>_xlfn.XLOOKUP($J464,'Leveranser per nät'!$A$4:$A$524,'Leveranser per nät'!$A$4:$A$524)</f>
        <v>Österåker</v>
      </c>
      <c r="L464">
        <f t="shared" si="15"/>
        <v>66.5</v>
      </c>
    </row>
    <row r="465" spans="1:12" x14ac:dyDescent="0.25">
      <c r="A465" t="s">
        <v>584</v>
      </c>
      <c r="B465" t="s">
        <v>584</v>
      </c>
      <c r="C465">
        <v>2022</v>
      </c>
      <c r="D465">
        <v>8.24</v>
      </c>
      <c r="E465">
        <v>0</v>
      </c>
      <c r="F465">
        <v>0</v>
      </c>
      <c r="G465">
        <v>0</v>
      </c>
      <c r="H465">
        <f t="shared" si="14"/>
        <v>8.24</v>
      </c>
      <c r="I465" s="43" t="s">
        <v>584</v>
      </c>
      <c r="K465" t="e">
        <f>_xlfn.XLOOKUP($J465,'Leveranser per nät'!$A$4:$A$524,'Leveranser per nät'!$A$4:$A$524)</f>
        <v>#N/A</v>
      </c>
      <c r="L465">
        <f>SUMIF($J$2:$J$474,K465,$H$2:$H$474)</f>
        <v>0</v>
      </c>
    </row>
    <row r="466" spans="1:12" x14ac:dyDescent="0.25">
      <c r="A466" t="s">
        <v>589</v>
      </c>
      <c r="B466" t="s">
        <v>91</v>
      </c>
      <c r="C466">
        <v>2022</v>
      </c>
      <c r="D466">
        <v>116.223</v>
      </c>
      <c r="E466">
        <v>0</v>
      </c>
      <c r="F466">
        <v>0</v>
      </c>
      <c r="G466">
        <v>0</v>
      </c>
      <c r="H466">
        <f t="shared" si="14"/>
        <v>116.223</v>
      </c>
      <c r="I466" t="s">
        <v>91</v>
      </c>
      <c r="J466" t="s">
        <v>91</v>
      </c>
      <c r="K466" t="str">
        <f>_xlfn.XLOOKUP($J466,'Leveranser per nät'!$A$4:$A$524,'Leveranser per nät'!$A$4:$A$524)</f>
        <v>Eksjö</v>
      </c>
      <c r="L466">
        <f t="shared" si="15"/>
        <v>116.223</v>
      </c>
    </row>
    <row r="467" spans="1:12" x14ac:dyDescent="0.25">
      <c r="A467" t="s">
        <v>589</v>
      </c>
      <c r="B467" t="s">
        <v>92</v>
      </c>
      <c r="C467">
        <v>2022</v>
      </c>
      <c r="D467">
        <v>3.008</v>
      </c>
      <c r="E467">
        <v>0</v>
      </c>
      <c r="F467">
        <v>0</v>
      </c>
      <c r="G467">
        <v>0</v>
      </c>
      <c r="H467">
        <f t="shared" si="14"/>
        <v>3.008</v>
      </c>
      <c r="I467" t="s">
        <v>92</v>
      </c>
      <c r="J467" t="s">
        <v>92</v>
      </c>
      <c r="K467" t="str">
        <f>_xlfn.XLOOKUP($J467,'Leveranser per nät'!$A$4:$A$524,'Leveranser per nät'!$A$4:$A$524)</f>
        <v>Ingatorp</v>
      </c>
      <c r="L467">
        <f t="shared" si="15"/>
        <v>3.008</v>
      </c>
    </row>
    <row r="468" spans="1:12" x14ac:dyDescent="0.25">
      <c r="A468" t="s">
        <v>589</v>
      </c>
      <c r="B468" t="s">
        <v>93</v>
      </c>
      <c r="C468">
        <v>2022</v>
      </c>
      <c r="D468">
        <v>12.244999999999999</v>
      </c>
      <c r="E468">
        <v>0</v>
      </c>
      <c r="F468">
        <v>0</v>
      </c>
      <c r="G468">
        <v>0</v>
      </c>
      <c r="H468">
        <f t="shared" si="14"/>
        <v>12.244999999999999</v>
      </c>
      <c r="I468" t="s">
        <v>93</v>
      </c>
      <c r="J468" t="s">
        <v>93</v>
      </c>
      <c r="K468" t="str">
        <f>_xlfn.XLOOKUP($J468,'Leveranser per nät'!$A$4:$A$524,'Leveranser per nät'!$A$4:$A$524)</f>
        <v>Mariannelund</v>
      </c>
      <c r="L468">
        <f t="shared" si="15"/>
        <v>12.244999999999999</v>
      </c>
    </row>
    <row r="469" spans="1:12" x14ac:dyDescent="0.25">
      <c r="A469" t="s">
        <v>964</v>
      </c>
      <c r="B469" t="s">
        <v>98</v>
      </c>
      <c r="C469">
        <v>2022</v>
      </c>
      <c r="D469">
        <v>50.6</v>
      </c>
      <c r="E469">
        <v>0</v>
      </c>
      <c r="F469">
        <v>0</v>
      </c>
      <c r="G469">
        <v>0</v>
      </c>
      <c r="H469">
        <f t="shared" si="14"/>
        <v>50.6</v>
      </c>
      <c r="I469" t="s">
        <v>98</v>
      </c>
      <c r="J469" t="s">
        <v>98</v>
      </c>
      <c r="K469" t="str">
        <f>_xlfn.XLOOKUP($J469,'Leveranser per nät'!$A$4:$A$524,'Leveranser per nät'!$A$4:$A$524)</f>
        <v>Emmaboda</v>
      </c>
      <c r="L469">
        <f t="shared" si="15"/>
        <v>50.6</v>
      </c>
    </row>
    <row r="470" spans="1:12" x14ac:dyDescent="0.25">
      <c r="A470" t="s">
        <v>591</v>
      </c>
      <c r="B470" t="s">
        <v>101</v>
      </c>
      <c r="C470">
        <v>2022</v>
      </c>
      <c r="D470">
        <v>213</v>
      </c>
      <c r="E470">
        <v>0</v>
      </c>
      <c r="F470">
        <v>0</v>
      </c>
      <c r="G470">
        <v>0</v>
      </c>
      <c r="H470">
        <f t="shared" si="14"/>
        <v>213</v>
      </c>
      <c r="I470" t="s">
        <v>101</v>
      </c>
      <c r="J470" t="s">
        <v>101</v>
      </c>
      <c r="K470" t="str">
        <f>_xlfn.XLOOKUP($J470,'Leveranser per nät'!$A$4:$A$524,'Leveranser per nät'!$A$4:$A$524)</f>
        <v>Enköping</v>
      </c>
      <c r="L470">
        <f t="shared" si="15"/>
        <v>213</v>
      </c>
    </row>
    <row r="471" spans="1:12" x14ac:dyDescent="0.25">
      <c r="A471" t="s">
        <v>592</v>
      </c>
      <c r="B471" t="s">
        <v>102</v>
      </c>
      <c r="C471">
        <v>2022</v>
      </c>
      <c r="D471">
        <v>639.95299999999997</v>
      </c>
      <c r="E471">
        <v>0</v>
      </c>
      <c r="F471">
        <v>0</v>
      </c>
      <c r="G471">
        <v>0</v>
      </c>
      <c r="H471">
        <f t="shared" si="14"/>
        <v>639.95299999999997</v>
      </c>
      <c r="I471" t="s">
        <v>102</v>
      </c>
      <c r="J471" t="s">
        <v>102</v>
      </c>
      <c r="K471" t="str">
        <f>_xlfn.XLOOKUP($J471,'Leveranser per nät'!$A$4:$A$524,'Leveranser per nät'!$A$4:$A$524)</f>
        <v>Eskilstuna-Torshälla</v>
      </c>
      <c r="L471">
        <f t="shared" si="15"/>
        <v>639.95299999999997</v>
      </c>
    </row>
    <row r="472" spans="1:12" x14ac:dyDescent="0.25">
      <c r="A472" t="s">
        <v>592</v>
      </c>
      <c r="B472" t="s">
        <v>104</v>
      </c>
      <c r="C472">
        <v>2022</v>
      </c>
      <c r="D472">
        <v>0.70699999999999996</v>
      </c>
      <c r="E472">
        <v>0</v>
      </c>
      <c r="F472">
        <v>0</v>
      </c>
      <c r="G472">
        <v>0</v>
      </c>
      <c r="H472">
        <f t="shared" si="14"/>
        <v>0.70699999999999996</v>
      </c>
      <c r="I472" t="s">
        <v>104</v>
      </c>
      <c r="J472" t="s">
        <v>104</v>
      </c>
      <c r="K472" t="str">
        <f>_xlfn.XLOOKUP($J472,'Leveranser per nät'!$A$4:$A$524,'Leveranser per nät'!$A$4:$A$524)</f>
        <v>Kvicksund</v>
      </c>
      <c r="L472">
        <f t="shared" si="15"/>
        <v>0.70699999999999996</v>
      </c>
    </row>
    <row r="473" spans="1:12" x14ac:dyDescent="0.25">
      <c r="A473" t="s">
        <v>592</v>
      </c>
      <c r="B473" t="s">
        <v>105</v>
      </c>
      <c r="C473">
        <v>2022</v>
      </c>
      <c r="D473">
        <v>5.6289999999999996</v>
      </c>
      <c r="E473">
        <v>0</v>
      </c>
      <c r="F473">
        <v>0</v>
      </c>
      <c r="G473">
        <v>0</v>
      </c>
      <c r="H473">
        <f t="shared" si="14"/>
        <v>5.6289999999999996</v>
      </c>
      <c r="I473" t="s">
        <v>105</v>
      </c>
      <c r="J473" t="s">
        <v>105</v>
      </c>
      <c r="K473" t="str">
        <f>_xlfn.XLOOKUP($J473,'Leveranser per nät'!$A$4:$A$524,'Leveranser per nät'!$A$4:$A$524)</f>
        <v>Ärla</v>
      </c>
      <c r="L473">
        <f t="shared" si="15"/>
        <v>5.6289999999999996</v>
      </c>
    </row>
    <row r="474" spans="1:12" x14ac:dyDescent="0.25">
      <c r="A474" t="s">
        <v>596</v>
      </c>
      <c r="B474" t="s">
        <v>108</v>
      </c>
      <c r="C474">
        <v>2022</v>
      </c>
      <c r="D474">
        <v>69.885000000000005</v>
      </c>
      <c r="E474">
        <v>0</v>
      </c>
      <c r="F474">
        <v>0</v>
      </c>
      <c r="G474">
        <v>0</v>
      </c>
      <c r="H474">
        <f>D474-SUM(E474:G474)</f>
        <v>69.885000000000005</v>
      </c>
      <c r="I474" t="s">
        <v>108</v>
      </c>
      <c r="J474" t="str">
        <f>_xlfn.XLOOKUP(B474,'Leveranser per nät'!$A$4:$A$524,'Leveranser per nät'!$A$4:$A$524)</f>
        <v>Falkenberg</v>
      </c>
      <c r="K474" t="str">
        <f>_xlfn.XLOOKUP($J474,'Leveranser per nät'!$A$4:$A$524,'Leveranser per nät'!$A$4:$A$524)</f>
        <v>Falkenberg</v>
      </c>
      <c r="L474">
        <f>SUMIF($J$2:$J$474,K474,$H$2:$H$474)</f>
        <v>69.885000000000005</v>
      </c>
    </row>
    <row r="475" spans="1:12" x14ac:dyDescent="0.25">
      <c r="H475" s="118"/>
      <c r="J475" s="65"/>
    </row>
    <row r="476" spans="1:12" x14ac:dyDescent="0.25">
      <c r="H476" s="7">
        <f>SUM(H2:H474)</f>
        <v>49160.206605999971</v>
      </c>
      <c r="I476" s="118"/>
    </row>
    <row r="478" spans="1:12" x14ac:dyDescent="0.25">
      <c r="H478" s="116"/>
    </row>
    <row r="479" spans="1:12" x14ac:dyDescent="0.25">
      <c r="I479" s="116"/>
    </row>
    <row r="480" spans="1:12" x14ac:dyDescent="0.25">
      <c r="H480" s="122"/>
      <c r="J480" s="5"/>
    </row>
    <row r="481" spans="8:10" x14ac:dyDescent="0.25">
      <c r="H481" s="117"/>
      <c r="I481" s="122"/>
      <c r="J481" s="5"/>
    </row>
    <row r="482" spans="8:10" x14ac:dyDescent="0.25">
      <c r="H482" s="118"/>
      <c r="I482" s="117"/>
      <c r="J482" s="65"/>
    </row>
    <row r="483" spans="8:10" x14ac:dyDescent="0.25">
      <c r="I483" s="118"/>
    </row>
    <row r="484" spans="8:10" x14ac:dyDescent="0.25">
      <c r="H484" s="119"/>
      <c r="J484" s="77"/>
    </row>
    <row r="485" spans="8:10" x14ac:dyDescent="0.25">
      <c r="H485" s="117"/>
      <c r="I485" s="119"/>
      <c r="J485" s="5"/>
    </row>
    <row r="486" spans="8:10" x14ac:dyDescent="0.25">
      <c r="H486" s="118"/>
      <c r="I486" s="117"/>
      <c r="J486" s="65"/>
    </row>
    <row r="487" spans="8:10" x14ac:dyDescent="0.25">
      <c r="H487" s="123"/>
      <c r="I487" s="118"/>
    </row>
    <row r="488" spans="8:10" x14ac:dyDescent="0.25">
      <c r="H488" s="118"/>
      <c r="I488" s="123"/>
      <c r="J488" s="65"/>
    </row>
    <row r="489" spans="8:10" x14ac:dyDescent="0.25">
      <c r="I489" s="118"/>
    </row>
    <row r="490" spans="8:10" x14ac:dyDescent="0.25">
      <c r="H490" s="118"/>
      <c r="J490" s="65"/>
    </row>
    <row r="491" spans="8:10" x14ac:dyDescent="0.25">
      <c r="I491" s="118"/>
    </row>
    <row r="492" spans="8:10" x14ac:dyDescent="0.25">
      <c r="H492" s="121"/>
    </row>
    <row r="493" spans="8:10" x14ac:dyDescent="0.25">
      <c r="I493" s="121"/>
    </row>
    <row r="495" spans="8:10" x14ac:dyDescent="0.25">
      <c r="H495" s="118"/>
      <c r="J495" s="65"/>
    </row>
    <row r="496" spans="8:10" x14ac:dyDescent="0.25">
      <c r="H496" s="118"/>
      <c r="I496" s="118"/>
      <c r="J496" s="65"/>
    </row>
    <row r="497" spans="8:10" x14ac:dyDescent="0.25">
      <c r="H497" s="118"/>
      <c r="I497" s="118"/>
      <c r="J497" s="65"/>
    </row>
    <row r="498" spans="8:10" x14ac:dyDescent="0.25">
      <c r="I498" s="118"/>
    </row>
    <row r="503" spans="8:10" x14ac:dyDescent="0.25">
      <c r="H503" s="117"/>
      <c r="J503" s="5"/>
    </row>
    <row r="504" spans="8:10" x14ac:dyDescent="0.25">
      <c r="H504" s="117"/>
      <c r="I504" s="117"/>
      <c r="J504" s="5"/>
    </row>
    <row r="505" spans="8:10" x14ac:dyDescent="0.25">
      <c r="I505" s="117"/>
    </row>
    <row r="507" spans="8:10" x14ac:dyDescent="0.25">
      <c r="H507" s="117"/>
      <c r="J507" s="5"/>
    </row>
    <row r="508" spans="8:10" x14ac:dyDescent="0.25">
      <c r="H508" s="124"/>
      <c r="I508" s="117"/>
      <c r="J508" s="5"/>
    </row>
    <row r="509" spans="8:10" x14ac:dyDescent="0.25">
      <c r="H509" s="120"/>
      <c r="I509" s="124"/>
      <c r="J509" s="77"/>
    </row>
    <row r="510" spans="8:10" x14ac:dyDescent="0.25">
      <c r="H510" s="119"/>
      <c r="I510" s="120"/>
      <c r="J510" s="77"/>
    </row>
    <row r="511" spans="8:10" x14ac:dyDescent="0.25">
      <c r="I511" s="119"/>
    </row>
    <row r="517" spans="8:10" x14ac:dyDescent="0.25">
      <c r="H517" s="125"/>
      <c r="J517" s="46"/>
    </row>
    <row r="518" spans="8:10" x14ac:dyDescent="0.25">
      <c r="I518" s="125"/>
      <c r="J518" s="46"/>
    </row>
    <row r="519" spans="8:10" x14ac:dyDescent="0.25">
      <c r="J519" s="46"/>
    </row>
    <row r="520" spans="8:10" x14ac:dyDescent="0.25">
      <c r="J520" s="46"/>
    </row>
    <row r="521" spans="8:10" x14ac:dyDescent="0.25">
      <c r="J521" s="46"/>
    </row>
    <row r="522" spans="8:10" x14ac:dyDescent="0.25">
      <c r="H522" s="126"/>
      <c r="J522" s="82"/>
    </row>
    <row r="523" spans="8:10" x14ac:dyDescent="0.25">
      <c r="H523" s="119"/>
      <c r="I523" s="126"/>
      <c r="J523" s="82"/>
    </row>
    <row r="524" spans="8:10" x14ac:dyDescent="0.25">
      <c r="I524" s="119"/>
      <c r="J524" s="1"/>
    </row>
    <row r="529" spans="10:10" x14ac:dyDescent="0.25">
      <c r="J529" s="16"/>
    </row>
    <row r="530" spans="10:10" x14ac:dyDescent="0.25">
      <c r="J530" s="42"/>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B0A44-031B-4923-B011-A5CFFFE66B4C}">
  <sheetPr codeName="Blad22"/>
  <dimension ref="A1:U518"/>
  <sheetViews>
    <sheetView topLeftCell="A105" workbookViewId="0">
      <selection activeCell="B153" sqref="B153"/>
    </sheetView>
  </sheetViews>
  <sheetFormatPr defaultRowHeight="15" x14ac:dyDescent="0.25"/>
  <cols>
    <col min="1" max="1" width="19.5703125" customWidth="1"/>
    <col min="2" max="2" width="32.5703125" customWidth="1"/>
    <col min="4" max="4" width="19.28515625" customWidth="1"/>
    <col min="5" max="5" width="18.5703125" hidden="1" customWidth="1"/>
    <col min="6" max="6" width="12.28515625" hidden="1" customWidth="1"/>
    <col min="7" max="7" width="18.5703125" hidden="1" customWidth="1"/>
    <col min="8" max="8" width="13.28515625" hidden="1" customWidth="1"/>
    <col min="9" max="9" width="18.5703125" hidden="1" customWidth="1"/>
    <col min="10" max="10" width="6.140625" hidden="1" customWidth="1"/>
    <col min="12" max="12" width="11.42578125" bestFit="1" customWidth="1"/>
    <col min="13" max="13" width="11" bestFit="1" customWidth="1"/>
    <col min="15" max="15" width="8.7109375" customWidth="1"/>
    <col min="17" max="17" width="18.28515625" customWidth="1"/>
    <col min="18" max="18" width="26" bestFit="1" customWidth="1"/>
    <col min="19" max="19" width="22.7109375" bestFit="1" customWidth="1"/>
    <col min="20" max="20" width="18.42578125" customWidth="1"/>
    <col min="21" max="21" width="17.7109375" customWidth="1"/>
  </cols>
  <sheetData>
    <row r="1" spans="1:21" ht="15.75" thickBot="1" x14ac:dyDescent="0.3">
      <c r="A1" s="39" t="s">
        <v>783</v>
      </c>
      <c r="B1" s="39" t="s">
        <v>544</v>
      </c>
      <c r="C1" s="39" t="s">
        <v>947</v>
      </c>
      <c r="D1" s="39" t="s">
        <v>803</v>
      </c>
      <c r="E1" s="39" t="s">
        <v>1151</v>
      </c>
      <c r="F1" s="39" t="s">
        <v>919</v>
      </c>
      <c r="G1" s="39" t="s">
        <v>1152</v>
      </c>
      <c r="H1" s="39" t="s">
        <v>920</v>
      </c>
      <c r="I1" s="39" t="s">
        <v>1153</v>
      </c>
      <c r="J1" s="39" t="s">
        <v>921</v>
      </c>
      <c r="K1" s="39" t="s">
        <v>1159</v>
      </c>
      <c r="L1" s="39" t="s">
        <v>822</v>
      </c>
      <c r="M1" s="39" t="s">
        <v>1160</v>
      </c>
      <c r="N1" s="39" t="s">
        <v>1013</v>
      </c>
      <c r="O1" s="39" t="s">
        <v>1056</v>
      </c>
    </row>
    <row r="2" spans="1:21" x14ac:dyDescent="0.25">
      <c r="A2" t="s">
        <v>956</v>
      </c>
      <c r="B2" t="s">
        <v>85</v>
      </c>
      <c r="C2">
        <v>2021</v>
      </c>
      <c r="D2">
        <v>8.5</v>
      </c>
      <c r="E2" t="s">
        <v>805</v>
      </c>
      <c r="K2">
        <f>Tabell9[[#This Row],[Såld värme (GWh)]]-Tabell9[[#This Row],[Levererad värme, andra fjärrvärmeföretag, företag 1 (GWh)]]-Tabell9[[#This Row],[Levererad värme, andra fjärrvärmeföretag, företag 2 (GWh)]]-Tabell9[[#This Row],[Levererad värme, andra fjärrvärmeföretag, företag 3 (GWh)]]</f>
        <v>8.5</v>
      </c>
      <c r="L2" t="str">
        <f>VLOOKUP(Tabell9[[#This Row],[Nät]],Tabell5[],2,FALSE)</f>
        <v>Bara</v>
      </c>
      <c r="N2">
        <f>IF(Tabell9[[#This Row],[Korr ]]&gt;0,Tabell9[[#This Row],[Korr ]],Tabell9[[#This Row],[Såld minus ftg]])</f>
        <v>8.5</v>
      </c>
      <c r="Q2" s="8"/>
      <c r="R2" s="1"/>
      <c r="S2" s="1"/>
      <c r="T2" s="1"/>
      <c r="U2" s="1"/>
    </row>
    <row r="3" spans="1:21" x14ac:dyDescent="0.25">
      <c r="A3" t="s">
        <v>956</v>
      </c>
      <c r="B3" t="s">
        <v>41</v>
      </c>
      <c r="C3">
        <v>2021</v>
      </c>
      <c r="D3">
        <v>15.894</v>
      </c>
      <c r="E3" t="s">
        <v>962</v>
      </c>
      <c r="K3">
        <f>Tabell9[[#This Row],[Såld värme (GWh)]]-Tabell9[[#This Row],[Levererad värme, andra fjärrvärmeföretag, företag 1 (GWh)]]-Tabell9[[#This Row],[Levererad värme, andra fjärrvärmeföretag, företag 2 (GWh)]]-Tabell9[[#This Row],[Levererad värme, andra fjärrvärmeföretag, företag 3 (GWh)]]</f>
        <v>15.894</v>
      </c>
      <c r="L3" t="str">
        <f>VLOOKUP(Tabell9[[#This Row],[Nät]],Tabell5[],2,FALSE)</f>
        <v>Boxholm</v>
      </c>
      <c r="N3">
        <f>IF(Tabell9[[#This Row],[Korr ]]&gt;0,Tabell9[[#This Row],[Korr ]],Tabell9[[#This Row],[Såld minus ftg]])</f>
        <v>15.894</v>
      </c>
      <c r="Q3" s="8"/>
    </row>
    <row r="4" spans="1:21" x14ac:dyDescent="0.25">
      <c r="A4" t="s">
        <v>956</v>
      </c>
      <c r="B4" t="s">
        <v>52</v>
      </c>
      <c r="C4">
        <v>2021</v>
      </c>
      <c r="D4">
        <v>109.202</v>
      </c>
      <c r="E4" t="s">
        <v>805</v>
      </c>
      <c r="K4">
        <f>Tabell9[[#This Row],[Såld värme (GWh)]]-Tabell9[[#This Row],[Levererad värme, andra fjärrvärmeföretag, företag 1 (GWh)]]-Tabell9[[#This Row],[Levererad värme, andra fjärrvärmeföretag, företag 2 (GWh)]]-Tabell9[[#This Row],[Levererad värme, andra fjärrvärmeföretag, företag 3 (GWh)]]</f>
        <v>109.202</v>
      </c>
      <c r="L4" t="str">
        <f>VLOOKUP(Tabell9[[#This Row],[Nät]],Tabell5[],2,FALSE)</f>
        <v>Mora</v>
      </c>
      <c r="N4">
        <f>IF(Tabell9[[#This Row],[Korr ]]&gt;0,Tabell9[[#This Row],[Korr ]],Tabell9[[#This Row],[Såld minus ftg]])</f>
        <v>109.202</v>
      </c>
      <c r="Q4" s="8"/>
    </row>
    <row r="5" spans="1:21" x14ac:dyDescent="0.25">
      <c r="A5" t="s">
        <v>956</v>
      </c>
      <c r="B5" t="s">
        <v>53</v>
      </c>
      <c r="C5">
        <v>2021</v>
      </c>
      <c r="D5">
        <v>23.594999999999999</v>
      </c>
      <c r="E5" t="s">
        <v>805</v>
      </c>
      <c r="K5">
        <f>Tabell9[[#This Row],[Såld värme (GWh)]]-Tabell9[[#This Row],[Levererad värme, andra fjärrvärmeföretag, företag 1 (GWh)]]-Tabell9[[#This Row],[Levererad värme, andra fjärrvärmeföretag, företag 2 (GWh)]]-Tabell9[[#This Row],[Levererad värme, andra fjärrvärmeföretag, företag 3 (GWh)]]</f>
        <v>23.594999999999999</v>
      </c>
      <c r="L5" t="str">
        <f>VLOOKUP(Tabell9[[#This Row],[Nät]],Tabell5[],2,FALSE)</f>
        <v>Orsa</v>
      </c>
      <c r="N5">
        <f>IF(Tabell9[[#This Row],[Korr ]]&gt;0,Tabell9[[#This Row],[Korr ]],Tabell9[[#This Row],[Såld minus ftg]])</f>
        <v>23.594999999999999</v>
      </c>
      <c r="Q5" s="8"/>
      <c r="T5" s="3"/>
    </row>
    <row r="6" spans="1:21" x14ac:dyDescent="0.25">
      <c r="A6" t="s">
        <v>956</v>
      </c>
      <c r="B6" t="s">
        <v>49</v>
      </c>
      <c r="C6">
        <v>2021</v>
      </c>
      <c r="D6">
        <v>65.616</v>
      </c>
      <c r="E6" t="s">
        <v>805</v>
      </c>
      <c r="K6">
        <f>Tabell9[[#This Row],[Såld värme (GWh)]]-Tabell9[[#This Row],[Levererad värme, andra fjärrvärmeföretag, företag 1 (GWh)]]-Tabell9[[#This Row],[Levererad värme, andra fjärrvärmeföretag, företag 2 (GWh)]]-Tabell9[[#This Row],[Levererad värme, andra fjärrvärmeföretag, företag 3 (GWh)]]</f>
        <v>65.616</v>
      </c>
      <c r="L6" t="str">
        <f>VLOOKUP(Tabell9[[#This Row],[Nät]],Tabell5[],2,FALSE)</f>
        <v>Sollefteå</v>
      </c>
      <c r="N6">
        <f>IF(Tabell9[[#This Row],[Korr ]]&gt;0,Tabell9[[#This Row],[Korr ]],Tabell9[[#This Row],[Såld minus ftg]])</f>
        <v>65.616</v>
      </c>
      <c r="Q6" s="8"/>
    </row>
    <row r="7" spans="1:21" x14ac:dyDescent="0.25">
      <c r="A7" t="s">
        <v>956</v>
      </c>
      <c r="B7" t="s">
        <v>44</v>
      </c>
      <c r="C7">
        <v>2021</v>
      </c>
      <c r="D7">
        <v>29.609000000000002</v>
      </c>
      <c r="E7" t="s">
        <v>805</v>
      </c>
      <c r="K7">
        <f>Tabell9[[#This Row],[Såld värme (GWh)]]-Tabell9[[#This Row],[Levererad värme, andra fjärrvärmeföretag, företag 1 (GWh)]]-Tabell9[[#This Row],[Levererad värme, andra fjärrvärmeföretag, företag 2 (GWh)]]-Tabell9[[#This Row],[Levererad värme, andra fjärrvärmeföretag, företag 3 (GWh)]]</f>
        <v>29.609000000000002</v>
      </c>
      <c r="L7" t="str">
        <f>VLOOKUP(Tabell9[[#This Row],[Nät]],Tabell5[],2,FALSE)</f>
        <v>Staffanstorp</v>
      </c>
      <c r="N7">
        <f>IF(Tabell9[[#This Row],[Korr ]]&gt;0,Tabell9[[#This Row],[Korr ]],Tabell9[[#This Row],[Såld minus ftg]])</f>
        <v>29.609000000000002</v>
      </c>
      <c r="Q7" s="8"/>
    </row>
    <row r="8" spans="1:21" x14ac:dyDescent="0.25">
      <c r="A8" t="s">
        <v>956</v>
      </c>
      <c r="B8" t="s">
        <v>54</v>
      </c>
      <c r="C8">
        <v>2021</v>
      </c>
      <c r="D8">
        <v>75.566999999999993</v>
      </c>
      <c r="E8" t="s">
        <v>805</v>
      </c>
      <c r="K8">
        <f>Tabell9[[#This Row],[Såld värme (GWh)]]-Tabell9[[#This Row],[Levererad värme, andra fjärrvärmeföretag, företag 1 (GWh)]]-Tabell9[[#This Row],[Levererad värme, andra fjärrvärmeföretag, företag 2 (GWh)]]-Tabell9[[#This Row],[Levererad värme, andra fjärrvärmeföretag, företag 3 (GWh)]]</f>
        <v>75.566999999999993</v>
      </c>
      <c r="L8" t="str">
        <f>VLOOKUP(Tabell9[[#This Row],[Nät]],Tabell5[],2,FALSE)</f>
        <v>Timrå</v>
      </c>
      <c r="N8">
        <f>IF(Tabell9[[#This Row],[Korr ]]&gt;0,Tabell9[[#This Row],[Korr ]],Tabell9[[#This Row],[Såld minus ftg]])</f>
        <v>75.566999999999993</v>
      </c>
      <c r="Q8" s="8"/>
    </row>
    <row r="9" spans="1:21" x14ac:dyDescent="0.25">
      <c r="A9" t="s">
        <v>956</v>
      </c>
      <c r="B9" t="s">
        <v>58</v>
      </c>
      <c r="C9">
        <v>2021</v>
      </c>
      <c r="D9">
        <v>24.061</v>
      </c>
      <c r="E9" t="s">
        <v>805</v>
      </c>
      <c r="K9">
        <f>Tabell9[[#This Row],[Såld värme (GWh)]]-Tabell9[[#This Row],[Levererad värme, andra fjärrvärmeföretag, företag 1 (GWh)]]-Tabell9[[#This Row],[Levererad värme, andra fjärrvärmeföretag, företag 2 (GWh)]]-Tabell9[[#This Row],[Levererad värme, andra fjärrvärmeföretag, företag 3 (GWh)]]</f>
        <v>24.061</v>
      </c>
      <c r="L9" t="str">
        <f>VLOOKUP(Tabell9[[#This Row],[Nät]],Tabell5[],2,FALSE)</f>
        <v>Vaxholm</v>
      </c>
      <c r="N9">
        <f>IF(Tabell9[[#This Row],[Korr ]]&gt;0,Tabell9[[#This Row],[Korr ]],Tabell9[[#This Row],[Såld minus ftg]])</f>
        <v>24.061</v>
      </c>
      <c r="Q9" s="8"/>
    </row>
    <row r="10" spans="1:21" x14ac:dyDescent="0.25">
      <c r="A10" t="s">
        <v>956</v>
      </c>
      <c r="B10" t="s">
        <v>79</v>
      </c>
      <c r="C10">
        <v>2021</v>
      </c>
      <c r="D10">
        <v>91.614000000000004</v>
      </c>
      <c r="E10" t="s">
        <v>805</v>
      </c>
      <c r="K10">
        <f>Tabell9[[#This Row],[Såld värme (GWh)]]-Tabell9[[#This Row],[Levererad värme, andra fjärrvärmeföretag, företag 1 (GWh)]]-Tabell9[[#This Row],[Levererad värme, andra fjärrvärmeföretag, företag 2 (GWh)]]-Tabell9[[#This Row],[Levererad värme, andra fjärrvärmeföretag, företag 3 (GWh)]]</f>
        <v>91.614000000000004</v>
      </c>
      <c r="L10" t="str">
        <f>VLOOKUP(Tabell9[[#This Row],[Nät]],Tabell5[],2,FALSE)</f>
        <v>Älmhult</v>
      </c>
      <c r="N10">
        <f>IF(Tabell9[[#This Row],[Korr ]]&gt;0,Tabell9[[#This Row],[Korr ]],Tabell9[[#This Row],[Såld minus ftg]])</f>
        <v>91.614000000000004</v>
      </c>
      <c r="Q10" s="8"/>
    </row>
    <row r="11" spans="1:21" x14ac:dyDescent="0.25">
      <c r="A11" t="s">
        <v>809</v>
      </c>
      <c r="B11" t="s">
        <v>60</v>
      </c>
      <c r="C11">
        <v>2021</v>
      </c>
      <c r="D11">
        <v>5.4359999999999999</v>
      </c>
      <c r="E11" t="s">
        <v>805</v>
      </c>
      <c r="K11">
        <f>Tabell9[[#This Row],[Såld värme (GWh)]]-Tabell9[[#This Row],[Levererad värme, andra fjärrvärmeföretag, företag 1 (GWh)]]-Tabell9[[#This Row],[Levererad värme, andra fjärrvärmeföretag, företag 2 (GWh)]]-Tabell9[[#This Row],[Levererad värme, andra fjärrvärmeföretag, företag 3 (GWh)]]</f>
        <v>5.4359999999999999</v>
      </c>
      <c r="L11" t="str">
        <f>VLOOKUP(Tabell9[[#This Row],[Nät]],Tabell5[],2,FALSE)</f>
        <v>Bollstabruk</v>
      </c>
      <c r="N11">
        <f>IF(Tabell9[[#This Row],[Korr ]]&gt;0,Tabell9[[#This Row],[Korr ]],Tabell9[[#This Row],[Såld minus ftg]])</f>
        <v>5.4359999999999999</v>
      </c>
      <c r="Q11" s="8"/>
    </row>
    <row r="12" spans="1:21" x14ac:dyDescent="0.25">
      <c r="A12" t="s">
        <v>809</v>
      </c>
      <c r="B12" t="s">
        <v>925</v>
      </c>
      <c r="C12">
        <v>2021</v>
      </c>
      <c r="D12">
        <v>15.693</v>
      </c>
      <c r="E12" t="s">
        <v>805</v>
      </c>
      <c r="K12">
        <f>Tabell9[[#This Row],[Såld värme (GWh)]]-Tabell9[[#This Row],[Levererad värme, andra fjärrvärmeföretag, företag 1 (GWh)]]-Tabell9[[#This Row],[Levererad värme, andra fjärrvärmeföretag, företag 2 (GWh)]]-Tabell9[[#This Row],[Levererad värme, andra fjärrvärmeföretag, företag 3 (GWh)]]</f>
        <v>15.693</v>
      </c>
      <c r="L12" t="str">
        <f>VLOOKUP(Tabell9[[#This Row],[Nät]],Tabell5[],2,FALSE)</f>
        <v>Bräcke</v>
      </c>
      <c r="N12">
        <f>IF(Tabell9[[#This Row],[Korr ]]&gt;0,Tabell9[[#This Row],[Korr ]],Tabell9[[#This Row],[Såld minus ftg]])</f>
        <v>15.693</v>
      </c>
      <c r="Q12" s="8"/>
    </row>
    <row r="13" spans="1:21" x14ac:dyDescent="0.25">
      <c r="A13" t="s">
        <v>809</v>
      </c>
      <c r="B13" t="s">
        <v>603</v>
      </c>
      <c r="C13">
        <v>2021</v>
      </c>
      <c r="D13">
        <v>5.37</v>
      </c>
      <c r="E13" t="s">
        <v>805</v>
      </c>
      <c r="K13">
        <f>Tabell9[[#This Row],[Såld värme (GWh)]]-Tabell9[[#This Row],[Levererad värme, andra fjärrvärmeföretag, företag 1 (GWh)]]-Tabell9[[#This Row],[Levererad värme, andra fjärrvärmeföretag, företag 2 (GWh)]]-Tabell9[[#This Row],[Levererad värme, andra fjärrvärmeföretag, företag 3 (GWh)]]</f>
        <v>5.37</v>
      </c>
      <c r="L13" t="str">
        <f>VLOOKUP(Tabell9[[#This Row],[Nät]],Tabell5[],2,FALSE)</f>
        <v>Friggesund</v>
      </c>
      <c r="N13">
        <f>IF(Tabell9[[#This Row],[Korr ]]&gt;0,Tabell9[[#This Row],[Korr ]],Tabell9[[#This Row],[Såld minus ftg]])</f>
        <v>5.37</v>
      </c>
      <c r="Q13" s="8"/>
    </row>
    <row r="14" spans="1:21" x14ac:dyDescent="0.25">
      <c r="A14" t="s">
        <v>809</v>
      </c>
      <c r="B14" t="s">
        <v>607</v>
      </c>
      <c r="C14">
        <v>2021</v>
      </c>
      <c r="D14">
        <v>5.5759999999999996</v>
      </c>
      <c r="E14" t="s">
        <v>805</v>
      </c>
      <c r="K14">
        <f>Tabell9[[#This Row],[Såld värme (GWh)]]-Tabell9[[#This Row],[Levererad värme, andra fjärrvärmeföretag, företag 1 (GWh)]]-Tabell9[[#This Row],[Levererad värme, andra fjärrvärmeföretag, företag 2 (GWh)]]-Tabell9[[#This Row],[Levererad värme, andra fjärrvärmeföretag, företag 3 (GWh)]]</f>
        <v>5.5759999999999996</v>
      </c>
      <c r="L14" t="str">
        <f>VLOOKUP(Tabell9[[#This Row],[Nät]],Tabell5[],2,FALSE)</f>
        <v>Funäsdalen</v>
      </c>
      <c r="N14">
        <f>IF(Tabell9[[#This Row],[Korr ]]&gt;0,Tabell9[[#This Row],[Korr ]],Tabell9[[#This Row],[Såld minus ftg]])</f>
        <v>5.5759999999999996</v>
      </c>
      <c r="Q14" s="8"/>
    </row>
    <row r="15" spans="1:21" x14ac:dyDescent="0.25">
      <c r="A15" t="s">
        <v>809</v>
      </c>
      <c r="B15" t="s">
        <v>64</v>
      </c>
      <c r="C15">
        <v>2021</v>
      </c>
      <c r="D15">
        <v>7.6870000000000003</v>
      </c>
      <c r="E15" t="s">
        <v>805</v>
      </c>
      <c r="K15">
        <f>Tabell9[[#This Row],[Såld värme (GWh)]]-Tabell9[[#This Row],[Levererad värme, andra fjärrvärmeföretag, företag 1 (GWh)]]-Tabell9[[#This Row],[Levererad värme, andra fjärrvärmeföretag, företag 2 (GWh)]]-Tabell9[[#This Row],[Levererad värme, andra fjärrvärmeföretag, företag 3 (GWh)]]</f>
        <v>7.6870000000000003</v>
      </c>
      <c r="L15" t="str">
        <f>VLOOKUP(Tabell9[[#This Row],[Nät]],Tabell5[],2,FALSE)</f>
        <v>Hede</v>
      </c>
      <c r="N15">
        <f>IF(Tabell9[[#This Row],[Korr ]]&gt;0,Tabell9[[#This Row],[Korr ]],Tabell9[[#This Row],[Såld minus ftg]])</f>
        <v>7.6870000000000003</v>
      </c>
      <c r="Q15" s="8"/>
    </row>
    <row r="16" spans="1:21" x14ac:dyDescent="0.25">
      <c r="A16" t="s">
        <v>809</v>
      </c>
      <c r="B16" t="s">
        <v>957</v>
      </c>
      <c r="C16">
        <v>2021</v>
      </c>
      <c r="D16">
        <v>16.314</v>
      </c>
      <c r="E16" t="s">
        <v>805</v>
      </c>
      <c r="K16">
        <f>Tabell9[[#This Row],[Såld värme (GWh)]]-Tabell9[[#This Row],[Levererad värme, andra fjärrvärmeföretag, företag 1 (GWh)]]-Tabell9[[#This Row],[Levererad värme, andra fjärrvärmeföretag, företag 2 (GWh)]]-Tabell9[[#This Row],[Levererad värme, andra fjärrvärmeföretag, företag 3 (GWh)]]</f>
        <v>16.314</v>
      </c>
      <c r="L16" t="str">
        <f>VLOOKUP(Tabell9[[#This Row],[Nät]],Tabell5[],2,FALSE)</f>
        <v>Lenhovda</v>
      </c>
      <c r="N16">
        <f>IF(Tabell9[[#This Row],[Korr ]]&gt;0,Tabell9[[#This Row],[Korr ]],Tabell9[[#This Row],[Såld minus ftg]])</f>
        <v>16.314</v>
      </c>
      <c r="Q16" s="8"/>
    </row>
    <row r="17" spans="1:20" x14ac:dyDescent="0.25">
      <c r="A17" t="s">
        <v>809</v>
      </c>
      <c r="B17" t="s">
        <v>69</v>
      </c>
      <c r="C17">
        <v>2021</v>
      </c>
      <c r="D17">
        <v>3.9590000000000001</v>
      </c>
      <c r="E17" t="s">
        <v>805</v>
      </c>
      <c r="K17">
        <f>Tabell9[[#This Row],[Såld värme (GWh)]]-Tabell9[[#This Row],[Levererad värme, andra fjärrvärmeföretag, företag 1 (GWh)]]-Tabell9[[#This Row],[Levererad värme, andra fjärrvärmeföretag, företag 2 (GWh)]]-Tabell9[[#This Row],[Levererad värme, andra fjärrvärmeföretag, företag 3 (GWh)]]</f>
        <v>3.9590000000000001</v>
      </c>
      <c r="L17" t="str">
        <f>VLOOKUP(Tabell9[[#This Row],[Nät]],Tabell5[],2,FALSE)</f>
        <v>Långsele</v>
      </c>
      <c r="N17">
        <f>IF(Tabell9[[#This Row],[Korr ]]&gt;0,Tabell9[[#This Row],[Korr ]],Tabell9[[#This Row],[Såld minus ftg]])</f>
        <v>3.9590000000000001</v>
      </c>
      <c r="Q17" s="8"/>
    </row>
    <row r="18" spans="1:20" x14ac:dyDescent="0.25">
      <c r="A18" t="s">
        <v>809</v>
      </c>
      <c r="B18" t="s">
        <v>71</v>
      </c>
      <c r="C18">
        <v>2021</v>
      </c>
      <c r="D18">
        <v>1.978</v>
      </c>
      <c r="E18" t="s">
        <v>805</v>
      </c>
      <c r="K18">
        <f>Tabell9[[#This Row],[Såld värme (GWh)]]-Tabell9[[#This Row],[Levererad värme, andra fjärrvärmeföretag, företag 1 (GWh)]]-Tabell9[[#This Row],[Levererad värme, andra fjärrvärmeföretag, företag 2 (GWh)]]-Tabell9[[#This Row],[Levererad värme, andra fjärrvärmeföretag, företag 3 (GWh)]]</f>
        <v>1.978</v>
      </c>
      <c r="L18" t="str">
        <f>VLOOKUP(Tabell9[[#This Row],[Nät]],Tabell5[],2,FALSE)</f>
        <v>Näsåker</v>
      </c>
      <c r="N18">
        <f>IF(Tabell9[[#This Row],[Korr ]]&gt;0,Tabell9[[#This Row],[Korr ]],Tabell9[[#This Row],[Såld minus ftg]])</f>
        <v>1.978</v>
      </c>
      <c r="Q18" s="8"/>
      <c r="R18" s="4"/>
    </row>
    <row r="19" spans="1:20" x14ac:dyDescent="0.25">
      <c r="A19" t="s">
        <v>809</v>
      </c>
      <c r="B19" t="s">
        <v>72</v>
      </c>
      <c r="C19">
        <v>2021</v>
      </c>
      <c r="D19">
        <v>5.3710000000000004</v>
      </c>
      <c r="E19" t="s">
        <v>805</v>
      </c>
      <c r="K19">
        <f>Tabell9[[#This Row],[Såld värme (GWh)]]-Tabell9[[#This Row],[Levererad värme, andra fjärrvärmeföretag, företag 1 (GWh)]]-Tabell9[[#This Row],[Levererad värme, andra fjärrvärmeföretag, företag 2 (GWh)]]-Tabell9[[#This Row],[Levererad värme, andra fjärrvärmeföretag, företag 3 (GWh)]]</f>
        <v>5.3710000000000004</v>
      </c>
      <c r="L19" t="str">
        <f>VLOOKUP(Tabell9[[#This Row],[Nät]],Tabell5[],2,FALSE)</f>
        <v>Ramsele</v>
      </c>
      <c r="N19">
        <f>IF(Tabell9[[#This Row],[Korr ]]&gt;0,Tabell9[[#This Row],[Korr ]],Tabell9[[#This Row],[Såld minus ftg]])</f>
        <v>5.3710000000000004</v>
      </c>
      <c r="Q19" s="8"/>
      <c r="T19" s="4"/>
    </row>
    <row r="20" spans="1:20" x14ac:dyDescent="0.25">
      <c r="A20" t="s">
        <v>809</v>
      </c>
      <c r="B20" t="s">
        <v>958</v>
      </c>
      <c r="C20">
        <v>2021</v>
      </c>
      <c r="D20">
        <v>4.452</v>
      </c>
      <c r="E20" t="s">
        <v>805</v>
      </c>
      <c r="K20">
        <f>Tabell9[[#This Row],[Såld värme (GWh)]]-Tabell9[[#This Row],[Levererad värme, andra fjärrvärmeföretag, företag 1 (GWh)]]-Tabell9[[#This Row],[Levererad värme, andra fjärrvärmeföretag, företag 2 (GWh)]]-Tabell9[[#This Row],[Levererad värme, andra fjärrvärmeföretag, företag 3 (GWh)]]</f>
        <v>4.452</v>
      </c>
      <c r="L20" t="str">
        <f>VLOOKUP(Tabell9[[#This Row],[Nät]],Tabell5[],2,FALSE)</f>
        <v>Sösdala</v>
      </c>
      <c r="N20">
        <f>IF(Tabell9[[#This Row],[Korr ]]&gt;0,Tabell9[[#This Row],[Korr ]],Tabell9[[#This Row],[Såld minus ftg]])</f>
        <v>4.452</v>
      </c>
      <c r="Q20" s="8"/>
    </row>
    <row r="21" spans="1:20" x14ac:dyDescent="0.25">
      <c r="A21" t="s">
        <v>639</v>
      </c>
      <c r="B21" t="s">
        <v>838</v>
      </c>
      <c r="C21">
        <v>2021</v>
      </c>
      <c r="D21">
        <v>0.432</v>
      </c>
      <c r="E21" t="s">
        <v>805</v>
      </c>
      <c r="K21">
        <f>Tabell9[[#This Row],[Såld värme (GWh)]]-Tabell9[[#This Row],[Levererad värme, andra fjärrvärmeföretag, företag 1 (GWh)]]-Tabell9[[#This Row],[Levererad värme, andra fjärrvärmeföretag, företag 2 (GWh)]]-Tabell9[[#This Row],[Levererad värme, andra fjärrvärmeföretag, företag 3 (GWh)]]</f>
        <v>0.432</v>
      </c>
      <c r="L21" t="str">
        <f>VLOOKUP(Tabell9[[#This Row],[Nät]],Tabell5[],2,FALSE)</f>
        <v>Fridlevstad</v>
      </c>
      <c r="N21">
        <f>IF(Tabell9[[#This Row],[Korr ]]&gt;0,Tabell9[[#This Row],[Korr ]],Tabell9[[#This Row],[Såld minus ftg]])</f>
        <v>0.432</v>
      </c>
      <c r="Q21" s="8"/>
    </row>
    <row r="22" spans="1:20" x14ac:dyDescent="0.25">
      <c r="A22" t="s">
        <v>639</v>
      </c>
      <c r="B22" t="s">
        <v>640</v>
      </c>
      <c r="C22">
        <v>2021</v>
      </c>
      <c r="D22">
        <v>5.7830000000000004</v>
      </c>
      <c r="E22" t="s">
        <v>805</v>
      </c>
      <c r="K22">
        <f>Tabell9[[#This Row],[Såld värme (GWh)]]-Tabell9[[#This Row],[Levererad värme, andra fjärrvärmeföretag, företag 1 (GWh)]]-Tabell9[[#This Row],[Levererad värme, andra fjärrvärmeföretag, företag 2 (GWh)]]-Tabell9[[#This Row],[Levererad värme, andra fjärrvärmeföretag, företag 3 (GWh)]]</f>
        <v>5.7830000000000004</v>
      </c>
      <c r="L22" t="str">
        <f>VLOOKUP(Tabell9[[#This Row],[Nät]],Tabell5[],2,FALSE)</f>
        <v>Jämjö</v>
      </c>
      <c r="N22">
        <f>IF(Tabell9[[#This Row],[Korr ]]&gt;0,Tabell9[[#This Row],[Korr ]],Tabell9[[#This Row],[Såld minus ftg]])</f>
        <v>5.7830000000000004</v>
      </c>
      <c r="Q22" s="8"/>
    </row>
    <row r="23" spans="1:20" x14ac:dyDescent="0.25">
      <c r="A23" t="s">
        <v>639</v>
      </c>
      <c r="B23" t="s">
        <v>0</v>
      </c>
      <c r="C23">
        <v>2021</v>
      </c>
      <c r="D23">
        <v>262.16000000000003</v>
      </c>
      <c r="E23" t="s">
        <v>805</v>
      </c>
      <c r="K23">
        <f>Tabell9[[#This Row],[Såld värme (GWh)]]-Tabell9[[#This Row],[Levererad värme, andra fjärrvärmeföretag, företag 1 (GWh)]]-Tabell9[[#This Row],[Levererad värme, andra fjärrvärmeföretag, företag 2 (GWh)]]-Tabell9[[#This Row],[Levererad värme, andra fjärrvärmeföretag, företag 3 (GWh)]]</f>
        <v>262.16000000000003</v>
      </c>
      <c r="L23" t="str">
        <f>VLOOKUP(Tabell9[[#This Row],[Nät]],Tabell5[],2,FALSE)</f>
        <v>Karlskrona</v>
      </c>
      <c r="N23">
        <f>IF(Tabell9[[#This Row],[Korr ]]&gt;0,Tabell9[[#This Row],[Korr ]],Tabell9[[#This Row],[Såld minus ftg]])</f>
        <v>262.16000000000003</v>
      </c>
      <c r="Q23" s="8"/>
    </row>
    <row r="24" spans="1:20" x14ac:dyDescent="0.25">
      <c r="A24" t="s">
        <v>639</v>
      </c>
      <c r="B24" t="s">
        <v>682</v>
      </c>
      <c r="C24">
        <v>2021</v>
      </c>
      <c r="D24">
        <v>4.2850000000000001</v>
      </c>
      <c r="E24" t="s">
        <v>805</v>
      </c>
      <c r="K24">
        <f>Tabell9[[#This Row],[Såld värme (GWh)]]-Tabell9[[#This Row],[Levererad värme, andra fjärrvärmeföretag, företag 1 (GWh)]]-Tabell9[[#This Row],[Levererad värme, andra fjärrvärmeföretag, företag 2 (GWh)]]-Tabell9[[#This Row],[Levererad värme, andra fjärrvärmeföretag, företag 3 (GWh)]]</f>
        <v>4.2850000000000001</v>
      </c>
      <c r="L24" t="str">
        <f>VLOOKUP(Tabell9[[#This Row],[Nät]],Tabell5[],2,FALSE)</f>
        <v>Nättraby</v>
      </c>
      <c r="N24">
        <f>IF(Tabell9[[#This Row],[Korr ]]&gt;0,Tabell9[[#This Row],[Korr ]],Tabell9[[#This Row],[Såld minus ftg]])</f>
        <v>4.2850000000000001</v>
      </c>
      <c r="Q24" s="8"/>
      <c r="R24" s="4"/>
      <c r="T24" s="4"/>
    </row>
    <row r="25" spans="1:20" x14ac:dyDescent="0.25">
      <c r="A25" t="s">
        <v>639</v>
      </c>
      <c r="B25" t="s">
        <v>710</v>
      </c>
      <c r="C25">
        <v>2021</v>
      </c>
      <c r="D25">
        <v>0.69099999999999995</v>
      </c>
      <c r="E25" t="s">
        <v>805</v>
      </c>
      <c r="K25">
        <f>Tabell9[[#This Row],[Såld värme (GWh)]]-Tabell9[[#This Row],[Levererad värme, andra fjärrvärmeföretag, företag 1 (GWh)]]-Tabell9[[#This Row],[Levererad värme, andra fjärrvärmeföretag, företag 2 (GWh)]]-Tabell9[[#This Row],[Levererad värme, andra fjärrvärmeföretag, företag 3 (GWh)]]</f>
        <v>0.69099999999999995</v>
      </c>
      <c r="L25" t="str">
        <f>VLOOKUP(Tabell9[[#This Row],[Nät]],Tabell5[],2,FALSE)</f>
        <v>Sturkö</v>
      </c>
      <c r="N25">
        <f>IF(Tabell9[[#This Row],[Korr ]]&gt;0,Tabell9[[#This Row],[Korr ]],Tabell9[[#This Row],[Såld minus ftg]])</f>
        <v>0.69099999999999995</v>
      </c>
      <c r="Q25" s="8"/>
    </row>
    <row r="26" spans="1:20" x14ac:dyDescent="0.25">
      <c r="A26" t="s">
        <v>548</v>
      </c>
      <c r="B26" t="s">
        <v>1</v>
      </c>
      <c r="C26">
        <v>2021</v>
      </c>
      <c r="D26">
        <v>130.69999999999999</v>
      </c>
      <c r="E26" t="s">
        <v>805</v>
      </c>
      <c r="K26">
        <f>Tabell9[[#This Row],[Såld värme (GWh)]]-Tabell9[[#This Row],[Levererad värme, andra fjärrvärmeföretag, företag 1 (GWh)]]-Tabell9[[#This Row],[Levererad värme, andra fjärrvärmeföretag, företag 2 (GWh)]]-Tabell9[[#This Row],[Levererad värme, andra fjärrvärmeföretag, företag 3 (GWh)]]</f>
        <v>130.69999999999999</v>
      </c>
      <c r="L26" t="str">
        <f>VLOOKUP(Tabell9[[#This Row],[Nät]],Tabell5[],2,FALSE)</f>
        <v>Alingsås</v>
      </c>
      <c r="N26">
        <f>IF(Tabell9[[#This Row],[Korr ]]&gt;0,Tabell9[[#This Row],[Korr ]],Tabell9[[#This Row],[Såld minus ftg]])</f>
        <v>130.69999999999999</v>
      </c>
      <c r="Q26" s="8"/>
    </row>
    <row r="27" spans="1:20" x14ac:dyDescent="0.25">
      <c r="A27" t="s">
        <v>549</v>
      </c>
      <c r="B27" t="s">
        <v>2</v>
      </c>
      <c r="C27">
        <v>2021</v>
      </c>
      <c r="D27">
        <v>58.35</v>
      </c>
      <c r="E27" t="s">
        <v>962</v>
      </c>
      <c r="K27">
        <f>Tabell9[[#This Row],[Såld värme (GWh)]]-Tabell9[[#This Row],[Levererad värme, andra fjärrvärmeföretag, företag 1 (GWh)]]-Tabell9[[#This Row],[Levererad värme, andra fjärrvärmeföretag, företag 2 (GWh)]]-Tabell9[[#This Row],[Levererad värme, andra fjärrvärmeföretag, företag 3 (GWh)]]</f>
        <v>58.35</v>
      </c>
      <c r="L27" t="str">
        <f>VLOOKUP(Tabell9[[#This Row],[Nät]],Tabell5[],2,FALSE)</f>
        <v>Alvesta</v>
      </c>
      <c r="N27">
        <f>IF(Tabell9[[#This Row],[Korr ]]&gt;0,Tabell9[[#This Row],[Korr ]],Tabell9[[#This Row],[Såld minus ftg]])</f>
        <v>58.35</v>
      </c>
      <c r="Q27" s="8"/>
    </row>
    <row r="28" spans="1:20" x14ac:dyDescent="0.25">
      <c r="A28" t="s">
        <v>549</v>
      </c>
      <c r="B28" t="s">
        <v>3</v>
      </c>
      <c r="C28">
        <v>2021</v>
      </c>
      <c r="D28">
        <v>11.62</v>
      </c>
      <c r="E28" t="s">
        <v>962</v>
      </c>
      <c r="K28">
        <f>Tabell9[[#This Row],[Såld värme (GWh)]]-Tabell9[[#This Row],[Levererad värme, andra fjärrvärmeföretag, företag 1 (GWh)]]-Tabell9[[#This Row],[Levererad värme, andra fjärrvärmeföretag, företag 2 (GWh)]]-Tabell9[[#This Row],[Levererad värme, andra fjärrvärmeföretag, företag 3 (GWh)]]</f>
        <v>11.62</v>
      </c>
      <c r="L28" t="str">
        <f>VLOOKUP(Tabell9[[#This Row],[Nät]],Tabell5[],2,FALSE)</f>
        <v>Moheda</v>
      </c>
      <c r="N28">
        <f>IF(Tabell9[[#This Row],[Korr ]]&gt;0,Tabell9[[#This Row],[Korr ]],Tabell9[[#This Row],[Såld minus ftg]])</f>
        <v>11.62</v>
      </c>
      <c r="Q28" s="8"/>
    </row>
    <row r="29" spans="1:20" x14ac:dyDescent="0.25">
      <c r="A29" t="s">
        <v>549</v>
      </c>
      <c r="B29" t="s">
        <v>4</v>
      </c>
      <c r="C29">
        <v>2021</v>
      </c>
      <c r="D29">
        <v>18.84</v>
      </c>
      <c r="E29" t="s">
        <v>962</v>
      </c>
      <c r="K29">
        <f>Tabell9[[#This Row],[Såld värme (GWh)]]-Tabell9[[#This Row],[Levererad värme, andra fjärrvärmeföretag, företag 1 (GWh)]]-Tabell9[[#This Row],[Levererad värme, andra fjärrvärmeföretag, företag 2 (GWh)]]-Tabell9[[#This Row],[Levererad värme, andra fjärrvärmeföretag, företag 3 (GWh)]]</f>
        <v>18.84</v>
      </c>
      <c r="L29" t="str">
        <f>VLOOKUP(Tabell9[[#This Row],[Nät]],Tabell5[],2,FALSE)</f>
        <v>Vislanda</v>
      </c>
      <c r="N29">
        <f>IF(Tabell9[[#This Row],[Korr ]]&gt;0,Tabell9[[#This Row],[Korr ]],Tabell9[[#This Row],[Såld minus ftg]])</f>
        <v>18.84</v>
      </c>
      <c r="Q29" s="8"/>
    </row>
    <row r="30" spans="1:20" x14ac:dyDescent="0.25">
      <c r="A30" t="s">
        <v>959</v>
      </c>
      <c r="B30" t="s">
        <v>926</v>
      </c>
      <c r="C30">
        <v>2021</v>
      </c>
      <c r="D30">
        <v>26.138999999999999</v>
      </c>
      <c r="E30" t="s">
        <v>805</v>
      </c>
      <c r="K30">
        <f>Tabell9[[#This Row],[Såld värme (GWh)]]-Tabell9[[#This Row],[Levererad värme, andra fjärrvärmeföretag, företag 1 (GWh)]]-Tabell9[[#This Row],[Levererad värme, andra fjärrvärmeföretag, företag 2 (GWh)]]-Tabell9[[#This Row],[Levererad värme, andra fjärrvärmeföretag, företag 3 (GWh)]]</f>
        <v>26.138999999999999</v>
      </c>
      <c r="L30" t="str">
        <f>VLOOKUP(Tabell9[[#This Row],[Nät]],Tabell5[],2,FALSE)</f>
        <v>Aneby</v>
      </c>
      <c r="N30">
        <f>IF(Tabell9[[#This Row],[Korr ]]&gt;0,Tabell9[[#This Row],[Korr ]],Tabell9[[#This Row],[Såld minus ftg]])</f>
        <v>26.138999999999999</v>
      </c>
      <c r="Q30" s="8"/>
    </row>
    <row r="31" spans="1:20" x14ac:dyDescent="0.25">
      <c r="A31" t="s">
        <v>554</v>
      </c>
      <c r="B31" t="s">
        <v>6</v>
      </c>
      <c r="C31">
        <v>2021</v>
      </c>
      <c r="D31">
        <v>41.5</v>
      </c>
      <c r="E31" t="s">
        <v>805</v>
      </c>
      <c r="K31">
        <f>Tabell9[[#This Row],[Såld värme (GWh)]]-Tabell9[[#This Row],[Levererad värme, andra fjärrvärmeföretag, företag 1 (GWh)]]-Tabell9[[#This Row],[Levererad värme, andra fjärrvärmeföretag, företag 2 (GWh)]]-Tabell9[[#This Row],[Levererad värme, andra fjärrvärmeföretag, företag 3 (GWh)]]</f>
        <v>41.5</v>
      </c>
      <c r="L31" t="str">
        <f>VLOOKUP(Tabell9[[#This Row],[Nät]],Tabell5[],2,FALSE)</f>
        <v>Arvidsjaur</v>
      </c>
      <c r="N31">
        <f>IF(Tabell9[[#This Row],[Korr ]]&gt;0,Tabell9[[#This Row],[Korr ]],Tabell9[[#This Row],[Såld minus ftg]])</f>
        <v>41.5</v>
      </c>
      <c r="Q31" s="8"/>
    </row>
    <row r="32" spans="1:20" x14ac:dyDescent="0.25">
      <c r="A32" t="s">
        <v>555</v>
      </c>
      <c r="B32" t="s">
        <v>119</v>
      </c>
      <c r="C32">
        <v>2021</v>
      </c>
      <c r="D32">
        <v>111.9</v>
      </c>
      <c r="E32" t="s">
        <v>805</v>
      </c>
      <c r="K32">
        <f>Tabell9[[#This Row],[Såld värme (GWh)]]-Tabell9[[#This Row],[Levererad värme, andra fjärrvärmeföretag, företag 1 (GWh)]]-Tabell9[[#This Row],[Levererad värme, andra fjärrvärmeföretag, företag 2 (GWh)]]-Tabell9[[#This Row],[Levererad värme, andra fjärrvärmeföretag, företag 3 (GWh)]]</f>
        <v>111.9</v>
      </c>
      <c r="L32" t="str">
        <f>VLOOKUP(Tabell9[[#This Row],[Nät]],Tabell5[],2,FALSE)</f>
        <v>Arvika</v>
      </c>
      <c r="N32">
        <f>IF(Tabell9[[#This Row],[Korr ]]&gt;0,Tabell9[[#This Row],[Korr ]],Tabell9[[#This Row],[Såld minus ftg]])</f>
        <v>111.9</v>
      </c>
      <c r="Q32" s="8"/>
    </row>
    <row r="33" spans="1:21" x14ac:dyDescent="0.25">
      <c r="A33" t="s">
        <v>562</v>
      </c>
      <c r="B33" t="s">
        <v>7</v>
      </c>
      <c r="C33">
        <v>2021</v>
      </c>
      <c r="D33">
        <v>9.8000000000000007</v>
      </c>
      <c r="E33" t="s">
        <v>805</v>
      </c>
      <c r="K33">
        <f>Tabell9[[#This Row],[Såld värme (GWh)]]-Tabell9[[#This Row],[Levererad värme, andra fjärrvärmeföretag, företag 1 (GWh)]]-Tabell9[[#This Row],[Levererad värme, andra fjärrvärmeföretag, företag 2 (GWh)]]-Tabell9[[#This Row],[Levererad värme, andra fjärrvärmeföretag, företag 3 (GWh)]]</f>
        <v>9.8000000000000007</v>
      </c>
      <c r="L33" t="str">
        <f>VLOOKUP(Tabell9[[#This Row],[Nät]],Tabell5[],2,FALSE)</f>
        <v>Bengtsfors</v>
      </c>
      <c r="N33">
        <f>IF(Tabell9[[#This Row],[Korr ]]&gt;0,Tabell9[[#This Row],[Korr ]],Tabell9[[#This Row],[Såld minus ftg]])</f>
        <v>9.8000000000000007</v>
      </c>
      <c r="Q33" s="8"/>
    </row>
    <row r="34" spans="1:21" x14ac:dyDescent="0.25">
      <c r="A34" t="s">
        <v>841</v>
      </c>
      <c r="B34" t="s">
        <v>19</v>
      </c>
      <c r="C34">
        <v>2021</v>
      </c>
      <c r="D34">
        <v>267.7</v>
      </c>
      <c r="E34" t="s">
        <v>805</v>
      </c>
      <c r="K34">
        <f>Tabell9[[#This Row],[Såld värme (GWh)]]-Tabell9[[#This Row],[Levererad värme, andra fjärrvärmeföretag, företag 1 (GWh)]]-Tabell9[[#This Row],[Levererad värme, andra fjärrvärmeföretag, företag 2 (GWh)]]-Tabell9[[#This Row],[Levererad värme, andra fjärrvärmeföretag, företag 3 (GWh)]]</f>
        <v>267.7</v>
      </c>
      <c r="L34" t="str">
        <f>VLOOKUP(Tabell9[[#This Row],[Nät]],Tabell5[],2,FALSE)</f>
        <v>Boden</v>
      </c>
      <c r="N34">
        <f>IF(Tabell9[[#This Row],[Korr ]]&gt;0,Tabell9[[#This Row],[Korr ]],Tabell9[[#This Row],[Såld minus ftg]])</f>
        <v>267.7</v>
      </c>
      <c r="Q34" s="8"/>
    </row>
    <row r="35" spans="1:21" x14ac:dyDescent="0.25">
      <c r="A35" t="s">
        <v>553</v>
      </c>
      <c r="B35" t="s">
        <v>20</v>
      </c>
      <c r="C35">
        <v>2021</v>
      </c>
      <c r="D35">
        <v>17.748000000000001</v>
      </c>
      <c r="E35" t="s">
        <v>805</v>
      </c>
      <c r="K35">
        <f>Tabell9[[#This Row],[Såld värme (GWh)]]-Tabell9[[#This Row],[Levererad värme, andra fjärrvärmeföretag, företag 1 (GWh)]]-Tabell9[[#This Row],[Levererad värme, andra fjärrvärmeföretag, företag 2 (GWh)]]-Tabell9[[#This Row],[Levererad värme, andra fjärrvärmeföretag, företag 3 (GWh)]]</f>
        <v>17.748000000000001</v>
      </c>
      <c r="L35" t="str">
        <f>VLOOKUP(Tabell9[[#This Row],[Nät]],Tabell5[],2,FALSE)</f>
        <v>Arbrå</v>
      </c>
      <c r="N35">
        <f>IF(Tabell9[[#This Row],[Korr ]]&gt;0,Tabell9[[#This Row],[Korr ]],Tabell9[[#This Row],[Såld minus ftg]])</f>
        <v>17.748000000000001</v>
      </c>
      <c r="Q35" s="8"/>
    </row>
    <row r="36" spans="1:21" x14ac:dyDescent="0.25">
      <c r="A36" t="s">
        <v>553</v>
      </c>
      <c r="B36" t="s">
        <v>21</v>
      </c>
      <c r="C36">
        <v>2021</v>
      </c>
      <c r="D36">
        <v>129.869</v>
      </c>
      <c r="E36" t="s">
        <v>805</v>
      </c>
      <c r="K36">
        <f>Tabell9[[#This Row],[Såld värme (GWh)]]-Tabell9[[#This Row],[Levererad värme, andra fjärrvärmeföretag, företag 1 (GWh)]]-Tabell9[[#This Row],[Levererad värme, andra fjärrvärmeföretag, företag 2 (GWh)]]-Tabell9[[#This Row],[Levererad värme, andra fjärrvärmeföretag, företag 3 (GWh)]]</f>
        <v>129.869</v>
      </c>
      <c r="L36" t="str">
        <f>VLOOKUP(Tabell9[[#This Row],[Nät]],Tabell5[],2,FALSE)</f>
        <v>Bollnäs</v>
      </c>
      <c r="N36">
        <f>IF(Tabell9[[#This Row],[Korr ]]&gt;0,Tabell9[[#This Row],[Korr ]],Tabell9[[#This Row],[Såld minus ftg]])</f>
        <v>129.869</v>
      </c>
      <c r="Q36" s="8"/>
    </row>
    <row r="37" spans="1:21" x14ac:dyDescent="0.25">
      <c r="A37" t="s">
        <v>553</v>
      </c>
      <c r="B37" t="s">
        <v>22</v>
      </c>
      <c r="C37">
        <v>2021</v>
      </c>
      <c r="D37">
        <v>24.370999999999999</v>
      </c>
      <c r="E37" t="s">
        <v>805</v>
      </c>
      <c r="K37">
        <f>Tabell9[[#This Row],[Såld värme (GWh)]]-Tabell9[[#This Row],[Levererad värme, andra fjärrvärmeföretag, företag 1 (GWh)]]-Tabell9[[#This Row],[Levererad värme, andra fjärrvärmeföretag, företag 2 (GWh)]]-Tabell9[[#This Row],[Levererad värme, andra fjärrvärmeföretag, företag 3 (GWh)]]</f>
        <v>24.370999999999999</v>
      </c>
      <c r="L37" t="str">
        <f>VLOOKUP(Tabell9[[#This Row],[Nät]],Tabell5[],2,FALSE)</f>
        <v>Kilafors</v>
      </c>
      <c r="N37">
        <f>IF(Tabell9[[#This Row],[Korr ]]&gt;0,Tabell9[[#This Row],[Korr ]],Tabell9[[#This Row],[Såld minus ftg]])</f>
        <v>24.370999999999999</v>
      </c>
      <c r="Q37" s="8"/>
      <c r="T37" s="3"/>
      <c r="U37" s="3"/>
    </row>
    <row r="38" spans="1:21" x14ac:dyDescent="0.25">
      <c r="A38" t="s">
        <v>553</v>
      </c>
      <c r="B38" t="s">
        <v>1102</v>
      </c>
      <c r="C38">
        <v>2021</v>
      </c>
      <c r="D38">
        <v>1.825</v>
      </c>
      <c r="E38" t="s">
        <v>805</v>
      </c>
      <c r="K38">
        <f>Tabell9[[#This Row],[Såld värme (GWh)]]-Tabell9[[#This Row],[Levererad värme, andra fjärrvärmeföretag, företag 1 (GWh)]]-Tabell9[[#This Row],[Levererad värme, andra fjärrvärmeföretag, företag 2 (GWh)]]-Tabell9[[#This Row],[Levererad värme, andra fjärrvärmeföretag, företag 3 (GWh)]]</f>
        <v>1.825</v>
      </c>
      <c r="L38" t="str">
        <f>VLOOKUP(Tabell9[[#This Row],[Nät]],Tabell5[],2,FALSE)</f>
        <v>Rengsjö</v>
      </c>
      <c r="N38">
        <f>IF(Tabell9[[#This Row],[Korr ]]&gt;0,Tabell9[[#This Row],[Korr ]],Tabell9[[#This Row],[Såld minus ftg]])</f>
        <v>1.825</v>
      </c>
      <c r="Q38" s="8"/>
      <c r="R38" s="3"/>
      <c r="S38" s="3"/>
    </row>
    <row r="39" spans="1:21" x14ac:dyDescent="0.25">
      <c r="A39" t="s">
        <v>574</v>
      </c>
      <c r="B39" t="s">
        <v>23</v>
      </c>
      <c r="C39">
        <v>2021</v>
      </c>
      <c r="D39">
        <v>25</v>
      </c>
      <c r="E39" t="s">
        <v>805</v>
      </c>
      <c r="K39">
        <f>Tabell9[[#This Row],[Såld värme (GWh)]]-Tabell9[[#This Row],[Levererad värme, andra fjärrvärmeföretag, företag 1 (GWh)]]-Tabell9[[#This Row],[Levererad värme, andra fjärrvärmeföretag, företag 2 (GWh)]]-Tabell9[[#This Row],[Levererad värme, andra fjärrvärmeföretag, företag 3 (GWh)]]</f>
        <v>25</v>
      </c>
      <c r="L39" t="str">
        <f>VLOOKUP(Tabell9[[#This Row],[Nät]],Tabell5[],2,FALSE)</f>
        <v>Borgholm</v>
      </c>
      <c r="N39">
        <f>IF(Tabell9[[#This Row],[Korr ]]&gt;0,Tabell9[[#This Row],[Korr ]],Tabell9[[#This Row],[Såld minus ftg]])</f>
        <v>25</v>
      </c>
      <c r="Q39" s="8"/>
    </row>
    <row r="40" spans="1:21" x14ac:dyDescent="0.25">
      <c r="A40" t="s">
        <v>574</v>
      </c>
      <c r="B40" t="s">
        <v>24</v>
      </c>
      <c r="C40">
        <v>2021</v>
      </c>
      <c r="D40">
        <v>1.7</v>
      </c>
      <c r="E40" t="s">
        <v>805</v>
      </c>
      <c r="K40">
        <f>Tabell9[[#This Row],[Såld värme (GWh)]]-Tabell9[[#This Row],[Levererad värme, andra fjärrvärmeföretag, företag 1 (GWh)]]-Tabell9[[#This Row],[Levererad värme, andra fjärrvärmeföretag, företag 2 (GWh)]]-Tabell9[[#This Row],[Levererad värme, andra fjärrvärmeföretag, företag 3 (GWh)]]</f>
        <v>1.7</v>
      </c>
      <c r="L40" t="str">
        <f>VLOOKUP(Tabell9[[#This Row],[Nät]],Tabell5[],2,FALSE)</f>
        <v>Löttorp</v>
      </c>
      <c r="N40">
        <f>IF(Tabell9[[#This Row],[Korr ]]&gt;0,Tabell9[[#This Row],[Korr ]],Tabell9[[#This Row],[Såld minus ftg]])</f>
        <v>1.7</v>
      </c>
      <c r="Q40" s="8"/>
    </row>
    <row r="41" spans="1:21" x14ac:dyDescent="0.25">
      <c r="A41" t="s">
        <v>575</v>
      </c>
      <c r="B41" t="s">
        <v>25</v>
      </c>
      <c r="C41">
        <v>2021</v>
      </c>
      <c r="D41">
        <v>426.83</v>
      </c>
      <c r="E41" t="s">
        <v>960</v>
      </c>
      <c r="F41">
        <v>35.56</v>
      </c>
      <c r="K41">
        <f>Tabell9[[#This Row],[Såld värme (GWh)]]-Tabell9[[#This Row],[Levererad värme, andra fjärrvärmeföretag, företag 1 (GWh)]]-Tabell9[[#This Row],[Levererad värme, andra fjärrvärmeföretag, företag 2 (GWh)]]-Tabell9[[#This Row],[Levererad värme, andra fjärrvärmeföretag, företag 3 (GWh)]]</f>
        <v>391.27</v>
      </c>
      <c r="L41" t="str">
        <f>VLOOKUP(Tabell9[[#This Row],[Nät]],Tabell5[],2,FALSE)</f>
        <v>Borlänge</v>
      </c>
      <c r="N41">
        <f>IF(Tabell9[[#This Row],[Korr ]]&gt;0,Tabell9[[#This Row],[Korr ]],Tabell9[[#This Row],[Såld minus ftg]])</f>
        <v>391.27</v>
      </c>
      <c r="Q41" s="8"/>
    </row>
    <row r="42" spans="1:21" x14ac:dyDescent="0.25">
      <c r="A42" t="s">
        <v>575</v>
      </c>
      <c r="B42" t="s">
        <v>26</v>
      </c>
      <c r="C42">
        <v>2021</v>
      </c>
      <c r="D42">
        <v>1.851</v>
      </c>
      <c r="K42">
        <f>Tabell9[[#This Row],[Såld värme (GWh)]]-Tabell9[[#This Row],[Levererad värme, andra fjärrvärmeföretag, företag 1 (GWh)]]-Tabell9[[#This Row],[Levererad värme, andra fjärrvärmeföretag, företag 2 (GWh)]]-Tabell9[[#This Row],[Levererad värme, andra fjärrvärmeföretag, företag 3 (GWh)]]</f>
        <v>1.851</v>
      </c>
      <c r="L42" t="str">
        <f>VLOOKUP(Tabell9[[#This Row],[Nät]],Tabell5[],2,FALSE)</f>
        <v>Ornäs</v>
      </c>
      <c r="N42">
        <f>IF(Tabell9[[#This Row],[Korr ]]&gt;0,Tabell9[[#This Row],[Korr ]],Tabell9[[#This Row],[Såld minus ftg]])</f>
        <v>1.851</v>
      </c>
      <c r="Q42" s="8"/>
    </row>
    <row r="43" spans="1:21" x14ac:dyDescent="0.25">
      <c r="A43" t="s">
        <v>575</v>
      </c>
      <c r="B43" t="s">
        <v>27</v>
      </c>
      <c r="C43">
        <v>2021</v>
      </c>
      <c r="D43">
        <v>2.9630000000000001</v>
      </c>
      <c r="K43">
        <f>Tabell9[[#This Row],[Såld värme (GWh)]]-Tabell9[[#This Row],[Levererad värme, andra fjärrvärmeföretag, företag 1 (GWh)]]-Tabell9[[#This Row],[Levererad värme, andra fjärrvärmeföretag, företag 2 (GWh)]]-Tabell9[[#This Row],[Levererad värme, andra fjärrvärmeföretag, företag 3 (GWh)]]</f>
        <v>2.9630000000000001</v>
      </c>
      <c r="L43" t="str">
        <f>VLOOKUP(Tabell9[[#This Row],[Nät]],Tabell5[],2,FALSE)</f>
        <v>Torsång</v>
      </c>
      <c r="N43">
        <f>IF(Tabell9[[#This Row],[Korr ]]&gt;0,Tabell9[[#This Row],[Korr ]],Tabell9[[#This Row],[Såld minus ftg]])</f>
        <v>2.9630000000000001</v>
      </c>
      <c r="Q43" s="8"/>
    </row>
    <row r="44" spans="1:21" x14ac:dyDescent="0.25">
      <c r="A44" t="s">
        <v>961</v>
      </c>
      <c r="B44" t="s">
        <v>29</v>
      </c>
      <c r="C44">
        <v>2021</v>
      </c>
      <c r="D44">
        <v>640.53599999999994</v>
      </c>
      <c r="K44">
        <f>Tabell9[[#This Row],[Såld värme (GWh)]]-Tabell9[[#This Row],[Levererad värme, andra fjärrvärmeföretag, företag 1 (GWh)]]-Tabell9[[#This Row],[Levererad värme, andra fjärrvärmeföretag, företag 2 (GWh)]]-Tabell9[[#This Row],[Levererad värme, andra fjärrvärmeföretag, företag 3 (GWh)]]</f>
        <v>640.53599999999994</v>
      </c>
      <c r="L44" t="str">
        <f>VLOOKUP(Tabell9[[#This Row],[Nät]],Tabell5[],2,FALSE)</f>
        <v>Borås</v>
      </c>
      <c r="M44">
        <f>Tabell9[[#This Row],[Såld minus ftg]]+K45</f>
        <v>651.46899999999994</v>
      </c>
      <c r="N44">
        <f>IF(Tabell9[[#This Row],[Korr ]]&gt;0,Tabell9[[#This Row],[Korr ]],Tabell9[[#This Row],[Såld minus ftg]])</f>
        <v>651.46899999999994</v>
      </c>
      <c r="Q44" s="8"/>
      <c r="T44" s="3"/>
    </row>
    <row r="45" spans="1:21" x14ac:dyDescent="0.25">
      <c r="A45" t="s">
        <v>961</v>
      </c>
      <c r="B45" t="s">
        <v>1103</v>
      </c>
      <c r="C45">
        <v>2021</v>
      </c>
      <c r="D45">
        <v>10.933</v>
      </c>
      <c r="K45">
        <f>Tabell9[[#This Row],[Såld värme (GWh)]]-Tabell9[[#This Row],[Levererad värme, andra fjärrvärmeföretag, företag 1 (GWh)]]-Tabell9[[#This Row],[Levererad värme, andra fjärrvärmeföretag, företag 2 (GWh)]]-Tabell9[[#This Row],[Levererad värme, andra fjärrvärmeföretag, företag 3 (GWh)]]</f>
        <v>10.933</v>
      </c>
      <c r="M45">
        <v>0</v>
      </c>
      <c r="N45">
        <f>IF(Tabell9[[#This Row],[Korr ]]&gt;0,Tabell9[[#This Row],[Korr ]],Tabell9[[#This Row],[Såld minus ftg]])</f>
        <v>10.933</v>
      </c>
      <c r="Q45" s="8"/>
    </row>
    <row r="46" spans="1:21" x14ac:dyDescent="0.25">
      <c r="A46" t="s">
        <v>963</v>
      </c>
      <c r="B46" t="s">
        <v>845</v>
      </c>
      <c r="C46">
        <v>2021</v>
      </c>
      <c r="D46">
        <v>11.198</v>
      </c>
      <c r="K46">
        <f>Tabell9[[#This Row],[Såld värme (GWh)]]-Tabell9[[#This Row],[Levererad värme, andra fjärrvärmeföretag, företag 1 (GWh)]]-Tabell9[[#This Row],[Levererad värme, andra fjärrvärmeföretag, företag 2 (GWh)]]-Tabell9[[#This Row],[Levererad värme, andra fjärrvärmeföretag, företag 3 (GWh)]]</f>
        <v>11.198</v>
      </c>
      <c r="L46" t="str">
        <f>VLOOKUP(Tabell9[[#This Row],[Nät]],Tabell5[],2,FALSE)</f>
        <v>Berg</v>
      </c>
      <c r="N46">
        <f>IF(Tabell9[[#This Row],[Korr ]]&gt;0,Tabell9[[#This Row],[Korr ]],Tabell9[[#This Row],[Såld minus ftg]])</f>
        <v>11.198</v>
      </c>
      <c r="Q46" s="8"/>
    </row>
    <row r="47" spans="1:21" x14ac:dyDescent="0.25">
      <c r="A47" t="s">
        <v>600</v>
      </c>
      <c r="B47" t="s">
        <v>33</v>
      </c>
      <c r="C47">
        <v>2021</v>
      </c>
      <c r="D47">
        <v>4.8449999999999998</v>
      </c>
      <c r="K47">
        <f>Tabell9[[#This Row],[Såld värme (GWh)]]-Tabell9[[#This Row],[Levererad värme, andra fjärrvärmeföretag, företag 1 (GWh)]]-Tabell9[[#This Row],[Levererad värme, andra fjärrvärmeföretag, företag 2 (GWh)]]-Tabell9[[#This Row],[Levererad värme, andra fjärrvärmeföretag, företag 3 (GWh)]]</f>
        <v>4.8449999999999998</v>
      </c>
      <c r="L47" t="str">
        <f>VLOOKUP(Tabell9[[#This Row],[Nät]],Tabell5[],2,FALSE)</f>
        <v>Fjälkinge</v>
      </c>
      <c r="N47">
        <f>IF(Tabell9[[#This Row],[Korr ]]&gt;0,Tabell9[[#This Row],[Korr ]],Tabell9[[#This Row],[Såld minus ftg]])</f>
        <v>4.8449999999999998</v>
      </c>
      <c r="Q47" s="8"/>
      <c r="S47" s="41"/>
    </row>
    <row r="48" spans="1:21" x14ac:dyDescent="0.25">
      <c r="A48" t="s">
        <v>600</v>
      </c>
      <c r="B48" t="s">
        <v>34</v>
      </c>
      <c r="C48">
        <v>2021</v>
      </c>
      <c r="D48">
        <v>363.97899999999998</v>
      </c>
      <c r="K48">
        <f>Tabell9[[#This Row],[Såld värme (GWh)]]-Tabell9[[#This Row],[Levererad värme, andra fjärrvärmeföretag, företag 1 (GWh)]]-Tabell9[[#This Row],[Levererad värme, andra fjärrvärmeföretag, företag 2 (GWh)]]-Tabell9[[#This Row],[Levererad värme, andra fjärrvärmeföretag, företag 3 (GWh)]]</f>
        <v>363.97899999999998</v>
      </c>
      <c r="L48" t="str">
        <f>VLOOKUP(Tabell9[[#This Row],[Nät]],Tabell5[],2,FALSE)</f>
        <v>Kristianstad</v>
      </c>
      <c r="N48">
        <f>IF(Tabell9[[#This Row],[Korr ]]&gt;0,Tabell9[[#This Row],[Korr ]],Tabell9[[#This Row],[Såld minus ftg]])</f>
        <v>363.97899999999998</v>
      </c>
      <c r="Q48" s="8"/>
      <c r="U48" s="41"/>
    </row>
    <row r="49" spans="1:20" x14ac:dyDescent="0.25">
      <c r="A49" t="s">
        <v>630</v>
      </c>
      <c r="B49" t="s">
        <v>631</v>
      </c>
      <c r="C49">
        <v>2021</v>
      </c>
      <c r="D49">
        <v>38.43</v>
      </c>
      <c r="K49">
        <f>Tabell9[[#This Row],[Såld värme (GWh)]]-Tabell9[[#This Row],[Levererad värme, andra fjärrvärmeföretag, företag 1 (GWh)]]-Tabell9[[#This Row],[Levererad värme, andra fjärrvärmeföretag, företag 2 (GWh)]]-Tabell9[[#This Row],[Levererad värme, andra fjärrvärmeföretag, företag 3 (GWh)]]</f>
        <v>38.43</v>
      </c>
      <c r="L49" t="str">
        <f>VLOOKUP(Tabell9[[#This Row],[Nät]],Tabell5[],2,FALSE)</f>
        <v>HVC Degerfors</v>
      </c>
      <c r="N49">
        <f>IF(Tabell9[[#This Row],[Korr ]]&gt;0,Tabell9[[#This Row],[Korr ]],Tabell9[[#This Row],[Såld minus ftg]])</f>
        <v>38.43</v>
      </c>
      <c r="Q49" s="8"/>
    </row>
    <row r="50" spans="1:20" x14ac:dyDescent="0.25">
      <c r="A50" t="s">
        <v>630</v>
      </c>
      <c r="B50" t="s">
        <v>39</v>
      </c>
      <c r="C50">
        <v>2021</v>
      </c>
      <c r="D50">
        <v>1.5</v>
      </c>
      <c r="K50">
        <f>Tabell9[[#This Row],[Såld värme (GWh)]]-Tabell9[[#This Row],[Levererad värme, andra fjärrvärmeföretag, företag 1 (GWh)]]-Tabell9[[#This Row],[Levererad värme, andra fjärrvärmeföretag, företag 2 (GWh)]]-Tabell9[[#This Row],[Levererad värme, andra fjärrvärmeföretag, företag 3 (GWh)]]</f>
        <v>1.5</v>
      </c>
      <c r="L50" t="str">
        <f>VLOOKUP(Tabell9[[#This Row],[Nät]],Tabell5[],2,FALSE)</f>
        <v>Svartå</v>
      </c>
      <c r="N50">
        <f>IF(Tabell9[[#This Row],[Korr ]]&gt;0,Tabell9[[#This Row],[Korr ]],Tabell9[[#This Row],[Såld minus ftg]])</f>
        <v>1.5</v>
      </c>
      <c r="Q50" s="8"/>
    </row>
    <row r="51" spans="1:20" x14ac:dyDescent="0.25">
      <c r="A51" t="s">
        <v>630</v>
      </c>
      <c r="B51" t="s">
        <v>40</v>
      </c>
      <c r="C51">
        <v>2021</v>
      </c>
      <c r="D51">
        <v>0.50900000000000001</v>
      </c>
      <c r="K51">
        <f>Tabell9[[#This Row],[Såld värme (GWh)]]-Tabell9[[#This Row],[Levererad värme, andra fjärrvärmeföretag, företag 1 (GWh)]]-Tabell9[[#This Row],[Levererad värme, andra fjärrvärmeföretag, företag 2 (GWh)]]-Tabell9[[#This Row],[Levererad värme, andra fjärrvärmeföretag, företag 3 (GWh)]]</f>
        <v>0.50900000000000001</v>
      </c>
      <c r="L51" t="str">
        <f>VLOOKUP(Tabell9[[#This Row],[Nät]],Tabell5[],2,FALSE)</f>
        <v>Åtorp</v>
      </c>
      <c r="N51">
        <f>IF(Tabell9[[#This Row],[Korr ]]&gt;0,Tabell9[[#This Row],[Korr ]],Tabell9[[#This Row],[Såld minus ftg]])</f>
        <v>0.50900000000000001</v>
      </c>
      <c r="Q51" s="8"/>
    </row>
    <row r="52" spans="1:20" x14ac:dyDescent="0.25">
      <c r="A52" t="s">
        <v>1126</v>
      </c>
      <c r="B52" t="s">
        <v>1127</v>
      </c>
      <c r="C52">
        <v>2021</v>
      </c>
      <c r="D52">
        <v>35.533999999999999</v>
      </c>
      <c r="K52">
        <f>Tabell9[[#This Row],[Såld värme (GWh)]]-Tabell9[[#This Row],[Levererad värme, andra fjärrvärmeföretag, företag 1 (GWh)]]-Tabell9[[#This Row],[Levererad värme, andra fjärrvärmeföretag, företag 2 (GWh)]]-Tabell9[[#This Row],[Levererad värme, andra fjärrvärmeföretag, företag 3 (GWh)]]</f>
        <v>35.533999999999999</v>
      </c>
      <c r="L52" t="str">
        <f>VLOOKUP(Tabell9[[#This Row],[Nät]],Tabell5[],2,FALSE)</f>
        <v>Bålsta</v>
      </c>
      <c r="N52">
        <f>IF(Tabell9[[#This Row],[Korr ]]&gt;0,Tabell9[[#This Row],[Korr ]],Tabell9[[#This Row],[Såld minus ftg]])</f>
        <v>35.533999999999999</v>
      </c>
      <c r="Q52" s="8"/>
    </row>
    <row r="53" spans="1:20" x14ac:dyDescent="0.25">
      <c r="A53" t="s">
        <v>1126</v>
      </c>
      <c r="B53" t="s">
        <v>1128</v>
      </c>
      <c r="C53">
        <v>2021</v>
      </c>
      <c r="D53">
        <v>635.4</v>
      </c>
      <c r="E53" t="s">
        <v>989</v>
      </c>
      <c r="F53">
        <v>218.2</v>
      </c>
      <c r="K53">
        <f>Tabell9[[#This Row],[Såld värme (GWh)]]-Tabell9[[#This Row],[Levererad värme, andra fjärrvärmeföretag, företag 1 (GWh)]]-Tabell9[[#This Row],[Levererad värme, andra fjärrvärmeföretag, företag 2 (GWh)]]-Tabell9[[#This Row],[Levererad värme, andra fjärrvärmeföretag, företag 3 (GWh)]]</f>
        <v>417.2</v>
      </c>
      <c r="L53" t="str">
        <f>VLOOKUP(Tabell9[[#This Row],[Nät]],Tabell5[],2,FALSE)</f>
        <v>Järfälla - Kungsängen - Bro</v>
      </c>
      <c r="M53">
        <f>Tabell9[[#This Row],[Såld minus ftg]]+K54</f>
        <v>417.26499999999999</v>
      </c>
      <c r="N53">
        <f>IF(Tabell9[[#This Row],[Korr ]]&gt;0,Tabell9[[#This Row],[Korr ]],Tabell9[[#This Row],[Såld minus ftg]])</f>
        <v>417.26499999999999</v>
      </c>
      <c r="Q53" s="8"/>
    </row>
    <row r="54" spans="1:20" x14ac:dyDescent="0.25">
      <c r="A54" t="s">
        <v>1126</v>
      </c>
      <c r="B54" t="s">
        <v>1129</v>
      </c>
      <c r="C54">
        <v>2021</v>
      </c>
      <c r="D54">
        <v>6.5000000000000002E-2</v>
      </c>
      <c r="K54">
        <f>Tabell9[[#This Row],[Såld värme (GWh)]]-Tabell9[[#This Row],[Levererad värme, andra fjärrvärmeföretag, företag 1 (GWh)]]-Tabell9[[#This Row],[Levererad värme, andra fjärrvärmeföretag, företag 2 (GWh)]]-Tabell9[[#This Row],[Levererad värme, andra fjärrvärmeföretag, företag 3 (GWh)]]</f>
        <v>6.5000000000000002E-2</v>
      </c>
      <c r="M54">
        <v>0</v>
      </c>
      <c r="N54">
        <f>IF(Tabell9[[#This Row],[Korr ]]&gt;0,Tabell9[[#This Row],[Korr ]],Tabell9[[#This Row],[Såld minus ftg]])</f>
        <v>6.5000000000000002E-2</v>
      </c>
      <c r="Q54" s="8"/>
    </row>
    <row r="55" spans="1:20" x14ac:dyDescent="0.25">
      <c r="A55" t="s">
        <v>1126</v>
      </c>
      <c r="B55" t="s">
        <v>1130</v>
      </c>
      <c r="C55">
        <v>2021</v>
      </c>
      <c r="D55">
        <v>1500.6210000000001</v>
      </c>
      <c r="K55">
        <f>Tabell9[[#This Row],[Såld värme (GWh)]]-Tabell9[[#This Row],[Levererad värme, andra fjärrvärmeföretag, företag 1 (GWh)]]-Tabell9[[#This Row],[Levererad värme, andra fjärrvärmeföretag, företag 2 (GWh)]]-Tabell9[[#This Row],[Levererad värme, andra fjärrvärmeföretag, företag 3 (GWh)]]</f>
        <v>1500.6210000000001</v>
      </c>
      <c r="L55" t="str">
        <f>VLOOKUP(Tabell9[[#This Row],[Nät]],Tabell5[],2,FALSE)</f>
        <v>Malmö</v>
      </c>
      <c r="M55">
        <f>Tabell9[[#This Row],[Såld minus ftg]]+K56</f>
        <v>2129.6210000000001</v>
      </c>
      <c r="N55">
        <f>IF(Tabell9[[#This Row],[Korr ]]&gt;0,Tabell9[[#This Row],[Korr ]],Tabell9[[#This Row],[Såld minus ftg]])</f>
        <v>2129.6210000000001</v>
      </c>
      <c r="Q55" s="8"/>
    </row>
    <row r="56" spans="1:20" x14ac:dyDescent="0.25">
      <c r="A56" t="s">
        <v>1126</v>
      </c>
      <c r="B56" t="s">
        <v>1131</v>
      </c>
      <c r="C56">
        <v>2021</v>
      </c>
      <c r="D56">
        <v>629</v>
      </c>
      <c r="K56">
        <f>Tabell9[[#This Row],[Såld värme (GWh)]]-Tabell9[[#This Row],[Levererad värme, andra fjärrvärmeföretag, företag 1 (GWh)]]-Tabell9[[#This Row],[Levererad värme, andra fjärrvärmeföretag, företag 2 (GWh)]]-Tabell9[[#This Row],[Levererad värme, andra fjärrvärmeföretag, företag 3 (GWh)]]</f>
        <v>629</v>
      </c>
      <c r="M56">
        <v>0</v>
      </c>
      <c r="N56">
        <f>IF(Tabell9[[#This Row],[Korr ]]&gt;0,Tabell9[[#This Row],[Korr ]],Tabell9[[#This Row],[Såld minus ftg]])</f>
        <v>629</v>
      </c>
      <c r="Q56" s="8"/>
    </row>
    <row r="57" spans="1:20" x14ac:dyDescent="0.25">
      <c r="A57" t="s">
        <v>1126</v>
      </c>
      <c r="B57" t="s">
        <v>1132</v>
      </c>
      <c r="C57">
        <v>2021</v>
      </c>
      <c r="D57">
        <v>920.8</v>
      </c>
      <c r="K57">
        <f>Tabell9[[#This Row],[Såld värme (GWh)]]-Tabell9[[#This Row],[Levererad värme, andra fjärrvärmeföretag, företag 1 (GWh)]]-Tabell9[[#This Row],[Levererad värme, andra fjärrvärmeföretag, företag 2 (GWh)]]-Tabell9[[#This Row],[Levererad värme, andra fjärrvärmeföretag, företag 3 (GWh)]]</f>
        <v>920.8</v>
      </c>
      <c r="L57" t="str">
        <f>VLOOKUP(Tabell9[[#This Row],[Nät]],Tabell5[],2,FALSE)</f>
        <v>Norrköping - Söderköping</v>
      </c>
      <c r="N57">
        <f>IF(Tabell9[[#This Row],[Korr ]]&gt;0,Tabell9[[#This Row],[Korr ]],Tabell9[[#This Row],[Såld minus ftg]])</f>
        <v>920.8</v>
      </c>
      <c r="Q57" s="8"/>
    </row>
    <row r="58" spans="1:20" x14ac:dyDescent="0.25">
      <c r="A58" t="s">
        <v>1126</v>
      </c>
      <c r="B58" t="s">
        <v>1133</v>
      </c>
      <c r="C58">
        <v>2021</v>
      </c>
      <c r="D58">
        <v>88.4</v>
      </c>
      <c r="K58">
        <f>Tabell9[[#This Row],[Såld värme (GWh)]]-Tabell9[[#This Row],[Levererad värme, andra fjärrvärmeföretag, företag 1 (GWh)]]-Tabell9[[#This Row],[Levererad värme, andra fjärrvärmeföretag, företag 2 (GWh)]]-Tabell9[[#This Row],[Levererad värme, andra fjärrvärmeföretag, företag 3 (GWh)]]</f>
        <v>88.4</v>
      </c>
      <c r="M58">
        <v>0</v>
      </c>
      <c r="N58">
        <f>IF(Tabell9[[#This Row],[Korr ]]&gt;0,Tabell9[[#This Row],[Korr ]],Tabell9[[#This Row],[Såld minus ftg]])</f>
        <v>88.4</v>
      </c>
      <c r="Q58" s="8"/>
    </row>
    <row r="59" spans="1:20" x14ac:dyDescent="0.25">
      <c r="A59" t="s">
        <v>1126</v>
      </c>
      <c r="B59" t="s">
        <v>1134</v>
      </c>
      <c r="C59">
        <v>2021</v>
      </c>
      <c r="D59">
        <v>64</v>
      </c>
      <c r="K59">
        <f>Tabell9[[#This Row],[Såld värme (GWh)]]-Tabell9[[#This Row],[Levererad värme, andra fjärrvärmeföretag, företag 1 (GWh)]]-Tabell9[[#This Row],[Levererad värme, andra fjärrvärmeföretag, företag 2 (GWh)]]-Tabell9[[#This Row],[Levererad värme, andra fjärrvärmeföretag, företag 3 (GWh)]]</f>
        <v>64</v>
      </c>
      <c r="L59" t="str">
        <f>VLOOKUP(Tabell9[[#This Row],[Nät]],Tabell5[],2,FALSE)</f>
        <v>Vallentuna</v>
      </c>
      <c r="M59">
        <f>Tabell9[[#This Row],[Såld minus ftg]]+K60</f>
        <v>65.14</v>
      </c>
      <c r="N59">
        <f>IF(Tabell9[[#This Row],[Korr ]]&gt;0,Tabell9[[#This Row],[Korr ]],Tabell9[[#This Row],[Såld minus ftg]])</f>
        <v>65.14</v>
      </c>
      <c r="Q59" s="8"/>
    </row>
    <row r="60" spans="1:20" x14ac:dyDescent="0.25">
      <c r="A60" t="s">
        <v>1126</v>
      </c>
      <c r="B60" t="s">
        <v>1135</v>
      </c>
      <c r="C60">
        <v>2021</v>
      </c>
      <c r="D60">
        <v>1.1399999999999999</v>
      </c>
      <c r="K60">
        <f>Tabell9[[#This Row],[Såld värme (GWh)]]-Tabell9[[#This Row],[Levererad värme, andra fjärrvärmeföretag, företag 1 (GWh)]]-Tabell9[[#This Row],[Levererad värme, andra fjärrvärmeföretag, företag 2 (GWh)]]-Tabell9[[#This Row],[Levererad värme, andra fjärrvärmeföretag, företag 3 (GWh)]]</f>
        <v>1.1399999999999999</v>
      </c>
      <c r="M60">
        <v>0</v>
      </c>
      <c r="N60">
        <f>IF(Tabell9[[#This Row],[Korr ]]&gt;0,Tabell9[[#This Row],[Korr ]],Tabell9[[#This Row],[Såld minus ftg]])</f>
        <v>1.1399999999999999</v>
      </c>
      <c r="Q60" s="8"/>
    </row>
    <row r="61" spans="1:20" x14ac:dyDescent="0.25">
      <c r="A61" t="s">
        <v>1126</v>
      </c>
      <c r="B61" t="s">
        <v>1136</v>
      </c>
      <c r="C61">
        <v>2021</v>
      </c>
      <c r="D61">
        <v>1070.83</v>
      </c>
      <c r="K61">
        <f>Tabell9[[#This Row],[Såld värme (GWh)]]-Tabell9[[#This Row],[Levererad värme, andra fjärrvärmeföretag, företag 1 (GWh)]]-Tabell9[[#This Row],[Levererad värme, andra fjärrvärmeföretag, företag 2 (GWh)]]-Tabell9[[#This Row],[Levererad värme, andra fjärrvärmeföretag, företag 3 (GWh)]]</f>
        <v>1070.83</v>
      </c>
      <c r="L61" t="str">
        <f>VLOOKUP(Tabell9[[#This Row],[Nät]],Tabell5[],2,FALSE)</f>
        <v>Hallsberg- Örebro- Kumla</v>
      </c>
      <c r="N61">
        <f>IF(Tabell9[[#This Row],[Korr ]]&gt;0,Tabell9[[#This Row],[Korr ]],Tabell9[[#This Row],[Såld minus ftg]])</f>
        <v>1070.83</v>
      </c>
      <c r="Q61" s="8"/>
    </row>
    <row r="62" spans="1:20" x14ac:dyDescent="0.25">
      <c r="A62" t="s">
        <v>1126</v>
      </c>
      <c r="B62" t="s">
        <v>1137</v>
      </c>
      <c r="C62">
        <v>2021</v>
      </c>
      <c r="D62">
        <v>69</v>
      </c>
      <c r="K62">
        <f>Tabell9[[#This Row],[Såld värme (GWh)]]-Tabell9[[#This Row],[Levererad värme, andra fjärrvärmeföretag, företag 1 (GWh)]]-Tabell9[[#This Row],[Levererad värme, andra fjärrvärmeföretag, företag 2 (GWh)]]-Tabell9[[#This Row],[Levererad värme, andra fjärrvärmeföretag, företag 3 (GWh)]]</f>
        <v>69</v>
      </c>
      <c r="L62" t="str">
        <f>VLOOKUP(Tabell9[[#This Row],[Nät]],Tabell5[],2,FALSE)</f>
        <v>Österåker</v>
      </c>
      <c r="N62">
        <f>IF(Tabell9[[#This Row],[Korr ]]&gt;0,Tabell9[[#This Row],[Korr ]],Tabell9[[#This Row],[Såld minus ftg]])</f>
        <v>69</v>
      </c>
      <c r="Q62" s="8"/>
    </row>
    <row r="63" spans="1:20" x14ac:dyDescent="0.25">
      <c r="A63" t="s">
        <v>589</v>
      </c>
      <c r="B63" t="s">
        <v>91</v>
      </c>
      <c r="C63">
        <v>2021</v>
      </c>
      <c r="D63">
        <v>121.777</v>
      </c>
      <c r="K63">
        <f>Tabell9[[#This Row],[Såld värme (GWh)]]-Tabell9[[#This Row],[Levererad värme, andra fjärrvärmeföretag, företag 1 (GWh)]]-Tabell9[[#This Row],[Levererad värme, andra fjärrvärmeföretag, företag 2 (GWh)]]-Tabell9[[#This Row],[Levererad värme, andra fjärrvärmeföretag, företag 3 (GWh)]]</f>
        <v>121.777</v>
      </c>
      <c r="L63" t="str">
        <f>VLOOKUP(Tabell9[[#This Row],[Nät]],Tabell5[],2,FALSE)</f>
        <v>Eksjö</v>
      </c>
      <c r="N63">
        <f>IF(Tabell9[[#This Row],[Korr ]]&gt;0,Tabell9[[#This Row],[Korr ]],Tabell9[[#This Row],[Såld minus ftg]])</f>
        <v>121.777</v>
      </c>
      <c r="Q63" s="8"/>
      <c r="R63" s="3"/>
    </row>
    <row r="64" spans="1:20" x14ac:dyDescent="0.25">
      <c r="A64" t="s">
        <v>589</v>
      </c>
      <c r="B64" t="s">
        <v>92</v>
      </c>
      <c r="C64">
        <v>2021</v>
      </c>
      <c r="D64">
        <v>3.0459999999999998</v>
      </c>
      <c r="K64">
        <f>Tabell9[[#This Row],[Såld värme (GWh)]]-Tabell9[[#This Row],[Levererad värme, andra fjärrvärmeföretag, företag 1 (GWh)]]-Tabell9[[#This Row],[Levererad värme, andra fjärrvärmeföretag, företag 2 (GWh)]]-Tabell9[[#This Row],[Levererad värme, andra fjärrvärmeföretag, företag 3 (GWh)]]</f>
        <v>3.0459999999999998</v>
      </c>
      <c r="L64" t="str">
        <f>VLOOKUP(Tabell9[[#This Row],[Nät]],Tabell5[],2,FALSE)</f>
        <v>Ingatorp</v>
      </c>
      <c r="N64">
        <f>IF(Tabell9[[#This Row],[Korr ]]&gt;0,Tabell9[[#This Row],[Korr ]],Tabell9[[#This Row],[Såld minus ftg]])</f>
        <v>3.0459999999999998</v>
      </c>
      <c r="Q64" s="8"/>
    </row>
    <row r="65" spans="1:20" x14ac:dyDescent="0.25">
      <c r="A65" t="s">
        <v>589</v>
      </c>
      <c r="B65" t="s">
        <v>93</v>
      </c>
      <c r="C65">
        <v>2021</v>
      </c>
      <c r="D65">
        <v>13.411</v>
      </c>
      <c r="K65">
        <f>Tabell9[[#This Row],[Såld värme (GWh)]]-Tabell9[[#This Row],[Levererad värme, andra fjärrvärmeföretag, företag 1 (GWh)]]-Tabell9[[#This Row],[Levererad värme, andra fjärrvärmeföretag, företag 2 (GWh)]]-Tabell9[[#This Row],[Levererad värme, andra fjärrvärmeföretag, företag 3 (GWh)]]</f>
        <v>13.411</v>
      </c>
      <c r="L65" t="str">
        <f>VLOOKUP(Tabell9[[#This Row],[Nät]],Tabell5[],2,FALSE)</f>
        <v>Mariannelund</v>
      </c>
      <c r="N65">
        <f>IF(Tabell9[[#This Row],[Korr ]]&gt;0,Tabell9[[#This Row],[Korr ]],Tabell9[[#This Row],[Såld minus ftg]])</f>
        <v>13.411</v>
      </c>
      <c r="Q65" s="8"/>
      <c r="T65" s="3"/>
    </row>
    <row r="66" spans="1:20" x14ac:dyDescent="0.25">
      <c r="A66" t="s">
        <v>964</v>
      </c>
      <c r="B66" t="s">
        <v>98</v>
      </c>
      <c r="C66">
        <v>2021</v>
      </c>
      <c r="D66">
        <v>48</v>
      </c>
      <c r="K66">
        <f>Tabell9[[#This Row],[Såld värme (GWh)]]-Tabell9[[#This Row],[Levererad värme, andra fjärrvärmeföretag, företag 1 (GWh)]]-Tabell9[[#This Row],[Levererad värme, andra fjärrvärmeföretag, företag 2 (GWh)]]-Tabell9[[#This Row],[Levererad värme, andra fjärrvärmeföretag, företag 3 (GWh)]]</f>
        <v>48</v>
      </c>
      <c r="L66" t="str">
        <f>VLOOKUP(Tabell9[[#This Row],[Nät]],Tabell5[],2,FALSE)</f>
        <v>Emmaboda</v>
      </c>
      <c r="N66">
        <f>IF(Tabell9[[#This Row],[Korr ]]&gt;0,Tabell9[[#This Row],[Korr ]],Tabell9[[#This Row],[Såld minus ftg]])</f>
        <v>48</v>
      </c>
      <c r="Q66" s="8"/>
    </row>
    <row r="67" spans="1:20" x14ac:dyDescent="0.25">
      <c r="A67" t="s">
        <v>591</v>
      </c>
      <c r="B67" t="s">
        <v>101</v>
      </c>
      <c r="C67">
        <v>2021</v>
      </c>
      <c r="D67">
        <v>226</v>
      </c>
      <c r="K67">
        <f>Tabell9[[#This Row],[Såld värme (GWh)]]-Tabell9[[#This Row],[Levererad värme, andra fjärrvärmeföretag, företag 1 (GWh)]]-Tabell9[[#This Row],[Levererad värme, andra fjärrvärmeföretag, företag 2 (GWh)]]-Tabell9[[#This Row],[Levererad värme, andra fjärrvärmeföretag, företag 3 (GWh)]]</f>
        <v>226</v>
      </c>
      <c r="L67" t="str">
        <f>VLOOKUP(Tabell9[[#This Row],[Nät]],Tabell5[],2,FALSE)</f>
        <v>Enköping</v>
      </c>
      <c r="N67">
        <f>IF(Tabell9[[#This Row],[Korr ]]&gt;0,Tabell9[[#This Row],[Korr ]],Tabell9[[#This Row],[Såld minus ftg]])</f>
        <v>226</v>
      </c>
      <c r="Q67" s="8"/>
    </row>
    <row r="68" spans="1:20" x14ac:dyDescent="0.25">
      <c r="A68" t="s">
        <v>592</v>
      </c>
      <c r="B68" t="s">
        <v>102</v>
      </c>
      <c r="C68">
        <v>2021</v>
      </c>
      <c r="D68">
        <v>683.78899999999999</v>
      </c>
      <c r="K68">
        <f>Tabell9[[#This Row],[Såld värme (GWh)]]-Tabell9[[#This Row],[Levererad värme, andra fjärrvärmeföretag, företag 1 (GWh)]]-Tabell9[[#This Row],[Levererad värme, andra fjärrvärmeföretag, företag 2 (GWh)]]-Tabell9[[#This Row],[Levererad värme, andra fjärrvärmeföretag, företag 3 (GWh)]]</f>
        <v>683.78899999999999</v>
      </c>
      <c r="L68" t="str">
        <f>VLOOKUP(Tabell9[[#This Row],[Nät]],Tabell5[],2,FALSE)</f>
        <v>Eskilstuna-Torshälla</v>
      </c>
      <c r="N68">
        <f>IF(Tabell9[[#This Row],[Korr ]]&gt;0,Tabell9[[#This Row],[Korr ]],Tabell9[[#This Row],[Såld minus ftg]])</f>
        <v>683.78899999999999</v>
      </c>
      <c r="Q68" s="8"/>
    </row>
    <row r="69" spans="1:20" x14ac:dyDescent="0.25">
      <c r="A69" t="s">
        <v>592</v>
      </c>
      <c r="B69" t="s">
        <v>104</v>
      </c>
      <c r="C69">
        <v>2021</v>
      </c>
      <c r="D69">
        <v>0.8</v>
      </c>
      <c r="K69">
        <f>Tabell9[[#This Row],[Såld värme (GWh)]]-Tabell9[[#This Row],[Levererad värme, andra fjärrvärmeföretag, företag 1 (GWh)]]-Tabell9[[#This Row],[Levererad värme, andra fjärrvärmeföretag, företag 2 (GWh)]]-Tabell9[[#This Row],[Levererad värme, andra fjärrvärmeföretag, företag 3 (GWh)]]</f>
        <v>0.8</v>
      </c>
      <c r="L69" t="str">
        <f>VLOOKUP(Tabell9[[#This Row],[Nät]],Tabell5[],2,FALSE)</f>
        <v>Kvicksund</v>
      </c>
      <c r="N69">
        <f>IF(Tabell9[[#This Row],[Korr ]]&gt;0,Tabell9[[#This Row],[Korr ]],Tabell9[[#This Row],[Såld minus ftg]])</f>
        <v>0.8</v>
      </c>
      <c r="Q69" s="8"/>
    </row>
    <row r="70" spans="1:20" x14ac:dyDescent="0.25">
      <c r="A70" t="s">
        <v>592</v>
      </c>
      <c r="B70" t="s">
        <v>105</v>
      </c>
      <c r="C70">
        <v>2021</v>
      </c>
      <c r="D70">
        <v>6</v>
      </c>
      <c r="K70">
        <f>Tabell9[[#This Row],[Såld värme (GWh)]]-Tabell9[[#This Row],[Levererad värme, andra fjärrvärmeföretag, företag 1 (GWh)]]-Tabell9[[#This Row],[Levererad värme, andra fjärrvärmeföretag, företag 2 (GWh)]]-Tabell9[[#This Row],[Levererad värme, andra fjärrvärmeföretag, företag 3 (GWh)]]</f>
        <v>6</v>
      </c>
      <c r="L70" t="str">
        <f>VLOOKUP(Tabell9[[#This Row],[Nät]],Tabell5[],2,FALSE)</f>
        <v>Ärla</v>
      </c>
      <c r="N70">
        <f>IF(Tabell9[[#This Row],[Korr ]]&gt;0,Tabell9[[#This Row],[Korr ]],Tabell9[[#This Row],[Såld minus ftg]])</f>
        <v>6</v>
      </c>
      <c r="Q70" s="8"/>
    </row>
    <row r="71" spans="1:20" x14ac:dyDescent="0.25">
      <c r="A71" t="s">
        <v>596</v>
      </c>
      <c r="B71" t="s">
        <v>108</v>
      </c>
      <c r="C71">
        <v>2021</v>
      </c>
      <c r="D71">
        <v>73.772999999999996</v>
      </c>
      <c r="K71">
        <f>Tabell9[[#This Row],[Såld värme (GWh)]]-Tabell9[[#This Row],[Levererad värme, andra fjärrvärmeföretag, företag 1 (GWh)]]-Tabell9[[#This Row],[Levererad värme, andra fjärrvärmeföretag, företag 2 (GWh)]]-Tabell9[[#This Row],[Levererad värme, andra fjärrvärmeföretag, företag 3 (GWh)]]</f>
        <v>73.772999999999996</v>
      </c>
      <c r="L71" t="str">
        <f>VLOOKUP(Tabell9[[#This Row],[Nät]],Tabell5[],2,FALSE)</f>
        <v>Falkenberg</v>
      </c>
      <c r="N71">
        <f>IF(Tabell9[[#This Row],[Korr ]]&gt;0,Tabell9[[#This Row],[Korr ]],Tabell9[[#This Row],[Såld minus ftg]])</f>
        <v>73.772999999999996</v>
      </c>
      <c r="Q71" s="8"/>
      <c r="R71" s="3"/>
      <c r="S71" s="3"/>
    </row>
    <row r="72" spans="1:20" x14ac:dyDescent="0.25">
      <c r="A72" t="s">
        <v>596</v>
      </c>
      <c r="B72" t="s">
        <v>383</v>
      </c>
      <c r="C72">
        <v>2021</v>
      </c>
      <c r="D72">
        <v>2.6760000000000002</v>
      </c>
      <c r="K72">
        <f>Tabell9[[#This Row],[Såld värme (GWh)]]-Tabell9[[#This Row],[Levererad värme, andra fjärrvärmeföretag, företag 1 (GWh)]]-Tabell9[[#This Row],[Levererad värme, andra fjärrvärmeföretag, företag 2 (GWh)]]-Tabell9[[#This Row],[Levererad värme, andra fjärrvärmeföretag, företag 3 (GWh)]]</f>
        <v>2.6760000000000002</v>
      </c>
      <c r="L72" t="str">
        <f>VLOOKUP(Tabell9[[#This Row],[Nät]],Tabell5[],2,FALSE)</f>
        <v>Ullared-närvärme</v>
      </c>
      <c r="N72">
        <f>IF(Tabell9[[#This Row],[Korr ]]&gt;0,Tabell9[[#This Row],[Korr ]],Tabell9[[#This Row],[Såld minus ftg]])</f>
        <v>2.6760000000000002</v>
      </c>
      <c r="Q72" s="8"/>
    </row>
    <row r="73" spans="1:20" x14ac:dyDescent="0.25">
      <c r="A73" t="s">
        <v>596</v>
      </c>
      <c r="B73" t="s">
        <v>729</v>
      </c>
      <c r="C73">
        <v>2021</v>
      </c>
      <c r="D73">
        <v>2.9489999999999998</v>
      </c>
      <c r="K73">
        <f>Tabell9[[#This Row],[Såld värme (GWh)]]-Tabell9[[#This Row],[Levererad värme, andra fjärrvärmeföretag, företag 1 (GWh)]]-Tabell9[[#This Row],[Levererad värme, andra fjärrvärmeföretag, företag 2 (GWh)]]-Tabell9[[#This Row],[Levererad värme, andra fjärrvärmeföretag, företag 3 (GWh)]]</f>
        <v>2.9489999999999998</v>
      </c>
      <c r="L73" t="str">
        <f>VLOOKUP(Tabell9[[#This Row],[Nät]],Tabell5[],2,FALSE)</f>
        <v>Vessigebro-närvärme</v>
      </c>
      <c r="N73">
        <f>IF(Tabell9[[#This Row],[Korr ]]&gt;0,Tabell9[[#This Row],[Korr ]],Tabell9[[#This Row],[Såld minus ftg]])</f>
        <v>2.9489999999999998</v>
      </c>
      <c r="Q73" s="8"/>
    </row>
    <row r="74" spans="1:20" x14ac:dyDescent="0.25">
      <c r="A74" t="s">
        <v>567</v>
      </c>
      <c r="B74" t="s">
        <v>109</v>
      </c>
      <c r="C74">
        <v>2021</v>
      </c>
      <c r="D74">
        <v>3.94</v>
      </c>
      <c r="K74">
        <f>Tabell9[[#This Row],[Såld värme (GWh)]]-Tabell9[[#This Row],[Levererad värme, andra fjärrvärmeföretag, företag 1 (GWh)]]-Tabell9[[#This Row],[Levererad värme, andra fjärrvärmeföretag, företag 2 (GWh)]]-Tabell9[[#This Row],[Levererad värme, andra fjärrvärmeföretag, företag 3 (GWh)]]</f>
        <v>3.94</v>
      </c>
      <c r="L74" t="str">
        <f>VLOOKUP(Tabell9[[#This Row],[Nät]],Tabell5[],2,FALSE)</f>
        <v>Bjursås</v>
      </c>
      <c r="N74">
        <f>IF(Tabell9[[#This Row],[Korr ]]&gt;0,Tabell9[[#This Row],[Korr ]],Tabell9[[#This Row],[Såld minus ftg]])</f>
        <v>3.94</v>
      </c>
      <c r="Q74" s="8"/>
    </row>
    <row r="75" spans="1:20" x14ac:dyDescent="0.25">
      <c r="A75" t="s">
        <v>567</v>
      </c>
      <c r="B75" t="s">
        <v>110</v>
      </c>
      <c r="C75">
        <v>2021</v>
      </c>
      <c r="D75">
        <v>375.98</v>
      </c>
      <c r="E75" t="s">
        <v>1154</v>
      </c>
      <c r="F75">
        <v>11.34</v>
      </c>
      <c r="K75">
        <f>Tabell9[[#This Row],[Såld värme (GWh)]]-Tabell9[[#This Row],[Levererad värme, andra fjärrvärmeföretag, företag 1 (GWh)]]-Tabell9[[#This Row],[Levererad värme, andra fjärrvärmeföretag, företag 2 (GWh)]]-Tabell9[[#This Row],[Levererad värme, andra fjärrvärmeföretag, företag 3 (GWh)]]</f>
        <v>364.64000000000004</v>
      </c>
      <c r="L75" t="str">
        <f>VLOOKUP(Tabell9[[#This Row],[Nät]],Tabell5[],2,FALSE)</f>
        <v>Falun</v>
      </c>
      <c r="N75">
        <f>IF(Tabell9[[#This Row],[Korr ]]&gt;0,Tabell9[[#This Row],[Korr ]],Tabell9[[#This Row],[Såld minus ftg]])</f>
        <v>364.64000000000004</v>
      </c>
      <c r="Q75" s="8"/>
    </row>
    <row r="76" spans="1:20" x14ac:dyDescent="0.25">
      <c r="A76" t="s">
        <v>567</v>
      </c>
      <c r="B76" t="s">
        <v>111</v>
      </c>
      <c r="C76">
        <v>2021</v>
      </c>
      <c r="D76">
        <v>4.1900000000000004</v>
      </c>
      <c r="K76">
        <f>Tabell9[[#This Row],[Såld värme (GWh)]]-Tabell9[[#This Row],[Levererad värme, andra fjärrvärmeföretag, företag 1 (GWh)]]-Tabell9[[#This Row],[Levererad värme, andra fjärrvärmeföretag, företag 2 (GWh)]]-Tabell9[[#This Row],[Levererad värme, andra fjärrvärmeföretag, företag 3 (GWh)]]</f>
        <v>4.1900000000000004</v>
      </c>
      <c r="L76" t="str">
        <f>VLOOKUP(Tabell9[[#This Row],[Nät]],Tabell5[],2,FALSE)</f>
        <v>Grycksbo</v>
      </c>
      <c r="N76">
        <f>IF(Tabell9[[#This Row],[Korr ]]&gt;0,Tabell9[[#This Row],[Korr ]],Tabell9[[#This Row],[Såld minus ftg]])</f>
        <v>4.1900000000000004</v>
      </c>
      <c r="Q76" s="8"/>
    </row>
    <row r="77" spans="1:20" x14ac:dyDescent="0.25">
      <c r="A77" t="s">
        <v>567</v>
      </c>
      <c r="B77" t="s">
        <v>112</v>
      </c>
      <c r="C77">
        <v>2021</v>
      </c>
      <c r="D77">
        <v>4.7300000000000004</v>
      </c>
      <c r="K77">
        <f>Tabell9[[#This Row],[Såld värme (GWh)]]-Tabell9[[#This Row],[Levererad värme, andra fjärrvärmeföretag, företag 1 (GWh)]]-Tabell9[[#This Row],[Levererad värme, andra fjärrvärmeföretag, företag 2 (GWh)]]-Tabell9[[#This Row],[Levererad värme, andra fjärrvärmeföretag, företag 3 (GWh)]]</f>
        <v>4.7300000000000004</v>
      </c>
      <c r="L77" t="str">
        <f>VLOOKUP(Tabell9[[#This Row],[Nät]],Tabell5[],2,FALSE)</f>
        <v>Svärdsjö</v>
      </c>
      <c r="N77">
        <f>IF(Tabell9[[#This Row],[Korr ]]&gt;0,Tabell9[[#This Row],[Korr ]],Tabell9[[#This Row],[Såld minus ftg]])</f>
        <v>4.7300000000000004</v>
      </c>
      <c r="Q77" s="8"/>
    </row>
    <row r="78" spans="1:20" x14ac:dyDescent="0.25">
      <c r="A78" t="s">
        <v>599</v>
      </c>
      <c r="B78" t="s">
        <v>113</v>
      </c>
      <c r="C78">
        <v>2021</v>
      </c>
      <c r="D78">
        <v>117</v>
      </c>
      <c r="K78">
        <f>Tabell9[[#This Row],[Såld värme (GWh)]]-Tabell9[[#This Row],[Levererad värme, andra fjärrvärmeföretag, företag 1 (GWh)]]-Tabell9[[#This Row],[Levererad värme, andra fjärrvärmeföretag, företag 2 (GWh)]]-Tabell9[[#This Row],[Levererad värme, andra fjärrvärmeföretag, företag 3 (GWh)]]</f>
        <v>117</v>
      </c>
      <c r="L78" t="str">
        <f>VLOOKUP(Tabell9[[#This Row],[Nät]],Tabell5[],2,FALSE)</f>
        <v>Finspång</v>
      </c>
      <c r="N78">
        <f>IF(Tabell9[[#This Row],[Korr ]]&gt;0,Tabell9[[#This Row],[Korr ]],Tabell9[[#This Row],[Såld minus ftg]])</f>
        <v>117</v>
      </c>
      <c r="Q78" s="8"/>
    </row>
    <row r="79" spans="1:20" x14ac:dyDescent="0.25">
      <c r="A79" t="s">
        <v>610</v>
      </c>
      <c r="B79" t="s">
        <v>443</v>
      </c>
      <c r="C79">
        <v>2021</v>
      </c>
      <c r="D79">
        <v>47.941000000000003</v>
      </c>
      <c r="K79">
        <f>Tabell9[[#This Row],[Såld värme (GWh)]]-Tabell9[[#This Row],[Levererad värme, andra fjärrvärmeföretag, företag 1 (GWh)]]-Tabell9[[#This Row],[Levererad värme, andra fjärrvärmeföretag, företag 2 (GWh)]]-Tabell9[[#This Row],[Levererad värme, andra fjärrvärmeföretag, företag 3 (GWh)]]</f>
        <v>47.941000000000003</v>
      </c>
      <c r="L79" t="str">
        <f>VLOOKUP(Tabell9[[#This Row],[Nät]],Tabell5[],2,FALSE)</f>
        <v>Gislaved</v>
      </c>
      <c r="N79">
        <f>IF(Tabell9[[#This Row],[Korr ]]&gt;0,Tabell9[[#This Row],[Korr ]],Tabell9[[#This Row],[Såld minus ftg]])</f>
        <v>47.941000000000003</v>
      </c>
      <c r="Q79" s="8"/>
    </row>
    <row r="80" spans="1:20" x14ac:dyDescent="0.25">
      <c r="A80" t="s">
        <v>610</v>
      </c>
      <c r="B80" t="s">
        <v>132</v>
      </c>
      <c r="C80">
        <v>2021</v>
      </c>
      <c r="D80">
        <v>4.5289999999999999</v>
      </c>
      <c r="K80">
        <f>Tabell9[[#This Row],[Såld värme (GWh)]]-Tabell9[[#This Row],[Levererad värme, andra fjärrvärmeföretag, företag 1 (GWh)]]-Tabell9[[#This Row],[Levererad värme, andra fjärrvärmeföretag, företag 2 (GWh)]]-Tabell9[[#This Row],[Levererad värme, andra fjärrvärmeföretag, företag 3 (GWh)]]</f>
        <v>4.5289999999999999</v>
      </c>
      <c r="L80" t="str">
        <f>VLOOKUP(Tabell9[[#This Row],[Nät]],Tabell5[],2,FALSE)</f>
        <v>Hestra</v>
      </c>
      <c r="N80">
        <f>IF(Tabell9[[#This Row],[Korr ]]&gt;0,Tabell9[[#This Row],[Korr ]],Tabell9[[#This Row],[Såld minus ftg]])</f>
        <v>4.5289999999999999</v>
      </c>
      <c r="Q80" s="8"/>
    </row>
    <row r="81" spans="1:20" x14ac:dyDescent="0.25">
      <c r="A81" t="s">
        <v>610</v>
      </c>
      <c r="B81" t="s">
        <v>413</v>
      </c>
      <c r="C81">
        <v>2021</v>
      </c>
      <c r="D81">
        <v>2.2669999999999999</v>
      </c>
      <c r="K81">
        <f>Tabell9[[#This Row],[Såld värme (GWh)]]-Tabell9[[#This Row],[Levererad värme, andra fjärrvärmeföretag, företag 1 (GWh)]]-Tabell9[[#This Row],[Levererad värme, andra fjärrvärmeföretag, företag 2 (GWh)]]-Tabell9[[#This Row],[Levererad värme, andra fjärrvärmeföretag, företag 3 (GWh)]]</f>
        <v>2.2669999999999999</v>
      </c>
      <c r="L81" t="str">
        <f>VLOOKUP(Tabell9[[#This Row],[Nät]],Tabell5[],2,FALSE)</f>
        <v>Reftele</v>
      </c>
      <c r="N81">
        <f>IF(Tabell9[[#This Row],[Korr ]]&gt;0,Tabell9[[#This Row],[Korr ]],Tabell9[[#This Row],[Såld minus ftg]])</f>
        <v>2.2669999999999999</v>
      </c>
      <c r="Q81" s="8"/>
    </row>
    <row r="82" spans="1:20" x14ac:dyDescent="0.25">
      <c r="A82" t="s">
        <v>627</v>
      </c>
      <c r="B82" t="s">
        <v>134</v>
      </c>
      <c r="C82">
        <v>2021</v>
      </c>
      <c r="D82">
        <v>12.217000000000001</v>
      </c>
      <c r="K82">
        <f>Tabell9[[#This Row],[Såld värme (GWh)]]-Tabell9[[#This Row],[Levererad värme, andra fjärrvärmeföretag, företag 1 (GWh)]]-Tabell9[[#This Row],[Levererad värme, andra fjärrvärmeföretag, företag 2 (GWh)]]-Tabell9[[#This Row],[Levererad värme, andra fjärrvärmeföretag, företag 3 (GWh)]]</f>
        <v>12.217000000000001</v>
      </c>
      <c r="L82" t="str">
        <f>VLOOKUP(Tabell9[[#This Row],[Nät]],Tabell5[],2,FALSE)</f>
        <v>Hemse</v>
      </c>
      <c r="N82">
        <f>IF(Tabell9[[#This Row],[Korr ]]&gt;0,Tabell9[[#This Row],[Korr ]],Tabell9[[#This Row],[Såld minus ftg]])</f>
        <v>12.217000000000001</v>
      </c>
      <c r="Q82" s="8"/>
    </row>
    <row r="83" spans="1:20" x14ac:dyDescent="0.25">
      <c r="A83" t="s">
        <v>627</v>
      </c>
      <c r="B83" t="s">
        <v>135</v>
      </c>
      <c r="C83">
        <v>2021</v>
      </c>
      <c r="D83">
        <v>7.2095500000000001</v>
      </c>
      <c r="K83">
        <f>Tabell9[[#This Row],[Såld värme (GWh)]]-Tabell9[[#This Row],[Levererad värme, andra fjärrvärmeföretag, företag 1 (GWh)]]-Tabell9[[#This Row],[Levererad värme, andra fjärrvärmeföretag, företag 2 (GWh)]]-Tabell9[[#This Row],[Levererad värme, andra fjärrvärmeföretag, företag 3 (GWh)]]</f>
        <v>7.2095500000000001</v>
      </c>
      <c r="L83" t="str">
        <f>VLOOKUP(Tabell9[[#This Row],[Nät]],Tabell5[],2,FALSE)</f>
        <v>Klintehamn</v>
      </c>
      <c r="N83">
        <f>IF(Tabell9[[#This Row],[Korr ]]&gt;0,Tabell9[[#This Row],[Korr ]],Tabell9[[#This Row],[Såld minus ftg]])</f>
        <v>7.2095500000000001</v>
      </c>
      <c r="Q83" s="8"/>
    </row>
    <row r="84" spans="1:20" x14ac:dyDescent="0.25">
      <c r="A84" t="s">
        <v>627</v>
      </c>
      <c r="B84" t="s">
        <v>136</v>
      </c>
      <c r="C84">
        <v>2021</v>
      </c>
      <c r="D84">
        <v>15.423</v>
      </c>
      <c r="K84">
        <f>Tabell9[[#This Row],[Såld värme (GWh)]]-Tabell9[[#This Row],[Levererad värme, andra fjärrvärmeföretag, företag 1 (GWh)]]-Tabell9[[#This Row],[Levererad värme, andra fjärrvärmeföretag, företag 2 (GWh)]]-Tabell9[[#This Row],[Levererad värme, andra fjärrvärmeföretag, företag 3 (GWh)]]</f>
        <v>15.423</v>
      </c>
      <c r="L84" t="str">
        <f>VLOOKUP(Tabell9[[#This Row],[Nät]],Tabell5[],2,FALSE)</f>
        <v>Slite</v>
      </c>
      <c r="N84">
        <f>IF(Tabell9[[#This Row],[Korr ]]&gt;0,Tabell9[[#This Row],[Korr ]],Tabell9[[#This Row],[Såld minus ftg]])</f>
        <v>15.423</v>
      </c>
      <c r="Q84" s="8"/>
    </row>
    <row r="85" spans="1:20" x14ac:dyDescent="0.25">
      <c r="A85" t="s">
        <v>627</v>
      </c>
      <c r="B85" t="s">
        <v>133</v>
      </c>
      <c r="C85">
        <v>2021</v>
      </c>
      <c r="D85">
        <v>179.83199999999999</v>
      </c>
      <c r="K85">
        <f>Tabell9[[#This Row],[Såld värme (GWh)]]-Tabell9[[#This Row],[Levererad värme, andra fjärrvärmeföretag, företag 1 (GWh)]]-Tabell9[[#This Row],[Levererad värme, andra fjärrvärmeföretag, företag 2 (GWh)]]-Tabell9[[#This Row],[Levererad värme, andra fjärrvärmeföretag, företag 3 (GWh)]]</f>
        <v>179.83199999999999</v>
      </c>
      <c r="L85" t="str">
        <f>VLOOKUP(Tabell9[[#This Row],[Nät]],Tabell5[],2,FALSE)</f>
        <v>Visby</v>
      </c>
      <c r="N85">
        <f>IF(Tabell9[[#This Row],[Korr ]]&gt;0,Tabell9[[#This Row],[Korr ]],Tabell9[[#This Row],[Såld minus ftg]])</f>
        <v>179.83199999999999</v>
      </c>
      <c r="Q85" s="8"/>
    </row>
    <row r="86" spans="1:20" x14ac:dyDescent="0.25">
      <c r="A86" t="s">
        <v>613</v>
      </c>
      <c r="B86" t="s">
        <v>504</v>
      </c>
      <c r="C86">
        <v>2021</v>
      </c>
      <c r="D86">
        <v>149.30000000000001</v>
      </c>
      <c r="K86">
        <f>Tabell9[[#This Row],[Såld värme (GWh)]]-Tabell9[[#This Row],[Levererad värme, andra fjärrvärmeföretag, företag 1 (GWh)]]-Tabell9[[#This Row],[Levererad värme, andra fjärrvärmeföretag, företag 2 (GWh)]]-Tabell9[[#This Row],[Levererad värme, andra fjärrvärmeföretag, företag 3 (GWh)]]</f>
        <v>149.30000000000001</v>
      </c>
      <c r="L86" t="str">
        <f>VLOOKUP(Tabell9[[#This Row],[Nät]],Tabell5[],2,FALSE)</f>
        <v>Gällivare</v>
      </c>
      <c r="M86">
        <f>Tabell9[[#This Row],[Såld minus ftg]]+K87</f>
        <v>152.52000000000001</v>
      </c>
      <c r="N86">
        <f>IF(Tabell9[[#This Row],[Korr ]]&gt;0,Tabell9[[#This Row],[Korr ]],Tabell9[[#This Row],[Såld minus ftg]])</f>
        <v>152.52000000000001</v>
      </c>
      <c r="O86" s="8"/>
      <c r="Q86" s="8"/>
    </row>
    <row r="87" spans="1:20" x14ac:dyDescent="0.25">
      <c r="A87" t="s">
        <v>613</v>
      </c>
      <c r="B87" t="s">
        <v>1138</v>
      </c>
      <c r="C87">
        <v>2021</v>
      </c>
      <c r="D87">
        <v>3.22</v>
      </c>
      <c r="K87">
        <f>Tabell9[[#This Row],[Såld värme (GWh)]]-Tabell9[[#This Row],[Levererad värme, andra fjärrvärmeföretag, företag 1 (GWh)]]-Tabell9[[#This Row],[Levererad värme, andra fjärrvärmeföretag, företag 2 (GWh)]]-Tabell9[[#This Row],[Levererad värme, andra fjärrvärmeföretag, företag 3 (GWh)]]</f>
        <v>3.22</v>
      </c>
      <c r="M87">
        <v>0</v>
      </c>
      <c r="N87">
        <f>IF(Tabell9[[#This Row],[Korr ]]&gt;0,Tabell9[[#This Row],[Korr ]],Tabell9[[#This Row],[Såld minus ftg]])</f>
        <v>3.22</v>
      </c>
      <c r="Q87" s="8"/>
      <c r="T87" s="4"/>
    </row>
    <row r="88" spans="1:20" x14ac:dyDescent="0.25">
      <c r="A88" t="s">
        <v>615</v>
      </c>
      <c r="B88" t="s">
        <v>138</v>
      </c>
      <c r="C88">
        <v>2021</v>
      </c>
      <c r="D88">
        <v>712.3</v>
      </c>
      <c r="K88">
        <f>Tabell9[[#This Row],[Såld värme (GWh)]]-Tabell9[[#This Row],[Levererad värme, andra fjärrvärmeföretag, företag 1 (GWh)]]-Tabell9[[#This Row],[Levererad värme, andra fjärrvärmeföretag, företag 2 (GWh)]]-Tabell9[[#This Row],[Levererad värme, andra fjärrvärmeföretag, företag 3 (GWh)]]</f>
        <v>712.3</v>
      </c>
      <c r="L88" t="str">
        <f>VLOOKUP(Tabell9[[#This Row],[Nät]],Tabell5[],2,FALSE)</f>
        <v>Gävle</v>
      </c>
      <c r="N88">
        <f>IF(Tabell9[[#This Row],[Korr ]]&gt;0,Tabell9[[#This Row],[Korr ]],Tabell9[[#This Row],[Såld minus ftg]])</f>
        <v>712.3</v>
      </c>
      <c r="Q88" s="8"/>
    </row>
    <row r="89" spans="1:20" x14ac:dyDescent="0.25">
      <c r="A89" t="s">
        <v>616</v>
      </c>
      <c r="B89" t="s">
        <v>966</v>
      </c>
      <c r="C89">
        <v>2021</v>
      </c>
      <c r="D89">
        <v>3479.48</v>
      </c>
      <c r="E89" t="s">
        <v>967</v>
      </c>
      <c r="F89">
        <v>34.218000000000004</v>
      </c>
      <c r="G89" t="s">
        <v>968</v>
      </c>
      <c r="H89">
        <v>25.992000000000001</v>
      </c>
      <c r="I89" t="s">
        <v>969</v>
      </c>
      <c r="J89">
        <v>189.756</v>
      </c>
      <c r="K89">
        <f>Tabell9[[#This Row],[Såld värme (GWh)]]-Tabell9[[#This Row],[Levererad värme, andra fjärrvärmeföretag, företag 1 (GWh)]]-Tabell9[[#This Row],[Levererad värme, andra fjärrvärmeföretag, företag 2 (GWh)]]-Tabell9[[#This Row],[Levererad värme, andra fjärrvärmeföretag, företag 3 (GWh)]]</f>
        <v>3229.5140000000001</v>
      </c>
      <c r="L89" t="str">
        <f>VLOOKUP(Tabell9[[#This Row],[Nät]],Tabell5[],2,FALSE)</f>
        <v>Göteborg Ale</v>
      </c>
      <c r="M89">
        <f>Tabell9[[#This Row],[Såld minus ftg]]+K90</f>
        <v>3436.5840000000003</v>
      </c>
      <c r="N89">
        <f>IF(Tabell9[[#This Row],[Korr ]]&gt;0,Tabell9[[#This Row],[Korr ]],Tabell9[[#This Row],[Såld minus ftg]])</f>
        <v>3436.5840000000003</v>
      </c>
      <c r="Q89" s="8"/>
      <c r="R89" s="5"/>
    </row>
    <row r="90" spans="1:20" x14ac:dyDescent="0.25">
      <c r="A90" t="s">
        <v>616</v>
      </c>
      <c r="B90" t="s">
        <v>970</v>
      </c>
      <c r="C90">
        <v>2021</v>
      </c>
      <c r="D90">
        <v>207.07</v>
      </c>
      <c r="K90">
        <f>Tabell9[[#This Row],[Såld värme (GWh)]]-Tabell9[[#This Row],[Levererad värme, andra fjärrvärmeföretag, företag 1 (GWh)]]-Tabell9[[#This Row],[Levererad värme, andra fjärrvärmeföretag, företag 2 (GWh)]]-Tabell9[[#This Row],[Levererad värme, andra fjärrvärmeföretag, företag 3 (GWh)]]</f>
        <v>207.07</v>
      </c>
      <c r="M90">
        <v>0</v>
      </c>
      <c r="N90">
        <f>IF(Tabell9[[#This Row],[Korr ]]&gt;0,Tabell9[[#This Row],[Korr ]],Tabell9[[#This Row],[Såld minus ftg]])</f>
        <v>207.07</v>
      </c>
      <c r="Q90" s="8"/>
      <c r="R90" s="5"/>
    </row>
    <row r="91" spans="1:20" x14ac:dyDescent="0.25">
      <c r="A91" t="s">
        <v>618</v>
      </c>
      <c r="B91" t="s">
        <v>139</v>
      </c>
      <c r="C91">
        <v>2021</v>
      </c>
      <c r="D91">
        <v>112.97</v>
      </c>
      <c r="K91">
        <f>Tabell9[[#This Row],[Såld värme (GWh)]]-Tabell9[[#This Row],[Levererad värme, andra fjärrvärmeföretag, företag 1 (GWh)]]-Tabell9[[#This Row],[Levererad värme, andra fjärrvärmeföretag, företag 2 (GWh)]]-Tabell9[[#This Row],[Levererad värme, andra fjärrvärmeföretag, företag 3 (GWh)]]</f>
        <v>112.97</v>
      </c>
      <c r="L91" t="str">
        <f>VLOOKUP(Tabell9[[#This Row],[Nät]],Tabell5[],2,FALSE)</f>
        <v>Götene</v>
      </c>
      <c r="N91">
        <f>IF(Tabell9[[#This Row],[Korr ]]&gt;0,Tabell9[[#This Row],[Korr ]],Tabell9[[#This Row],[Såld minus ftg]])</f>
        <v>112.97</v>
      </c>
      <c r="Q91" s="8"/>
    </row>
    <row r="92" spans="1:20" x14ac:dyDescent="0.25">
      <c r="A92" t="s">
        <v>618</v>
      </c>
      <c r="B92" t="s">
        <v>140</v>
      </c>
      <c r="C92">
        <v>2021</v>
      </c>
      <c r="D92">
        <v>2.58</v>
      </c>
      <c r="K92">
        <f>Tabell9[[#This Row],[Såld värme (GWh)]]-Tabell9[[#This Row],[Levererad värme, andra fjärrvärmeföretag, företag 1 (GWh)]]-Tabell9[[#This Row],[Levererad värme, andra fjärrvärmeföretag, företag 2 (GWh)]]-Tabell9[[#This Row],[Levererad värme, andra fjärrvärmeföretag, företag 3 (GWh)]]</f>
        <v>2.58</v>
      </c>
      <c r="L92" t="str">
        <f>VLOOKUP(Tabell9[[#This Row],[Nät]],Tabell5[],2,FALSE)</f>
        <v>Hällekis</v>
      </c>
      <c r="N92">
        <f>IF(Tabell9[[#This Row],[Korr ]]&gt;0,Tabell9[[#This Row],[Korr ]],Tabell9[[#This Row],[Såld minus ftg]])</f>
        <v>2.58</v>
      </c>
      <c r="Q92" s="8"/>
      <c r="R92" s="5"/>
      <c r="T92" s="5"/>
    </row>
    <row r="93" spans="1:20" x14ac:dyDescent="0.25">
      <c r="A93" t="s">
        <v>619</v>
      </c>
      <c r="B93" t="s">
        <v>1107</v>
      </c>
      <c r="C93">
        <v>2021</v>
      </c>
      <c r="D93">
        <v>3.5</v>
      </c>
      <c r="K93">
        <f>Tabell9[[#This Row],[Såld värme (GWh)]]-Tabell9[[#This Row],[Levererad värme, andra fjärrvärmeföretag, företag 1 (GWh)]]-Tabell9[[#This Row],[Levererad värme, andra fjärrvärmeföretag, företag 2 (GWh)]]-Tabell9[[#This Row],[Levererad värme, andra fjärrvärmeföretag, företag 3 (GWh)]]</f>
        <v>3.5</v>
      </c>
      <c r="L93" t="str">
        <f>VLOOKUP(Tabell9[[#This Row],[Nät]],Tabell5[],2,FALSE)</f>
        <v>Fagerhult</v>
      </c>
      <c r="N93">
        <f>IF(Tabell9[[#This Row],[Korr ]]&gt;0,Tabell9[[#This Row],[Korr ]],Tabell9[[#This Row],[Såld minus ftg]])</f>
        <v>3.5</v>
      </c>
      <c r="Q93" s="8"/>
      <c r="R93" s="4"/>
    </row>
    <row r="94" spans="1:20" x14ac:dyDescent="0.25">
      <c r="A94" t="s">
        <v>619</v>
      </c>
      <c r="B94" t="s">
        <v>141</v>
      </c>
      <c r="C94">
        <v>2021</v>
      </c>
      <c r="D94">
        <v>21</v>
      </c>
      <c r="K94">
        <f>Tabell9[[#This Row],[Såld värme (GWh)]]-Tabell9[[#This Row],[Levererad värme, andra fjärrvärmeföretag, företag 1 (GWh)]]-Tabell9[[#This Row],[Levererad värme, andra fjärrvärmeföretag, företag 2 (GWh)]]-Tabell9[[#This Row],[Levererad värme, andra fjärrvärmeföretag, företag 3 (GWh)]]</f>
        <v>21</v>
      </c>
      <c r="L94" t="str">
        <f>VLOOKUP(Tabell9[[#This Row],[Nät]],Tabell5[],2,FALSE)</f>
        <v>Habo</v>
      </c>
      <c r="N94" s="133">
        <f>IF(Tabell9[[#This Row],[Korr ]]&gt;0,Tabell9[[#This Row],[Korr ]],Tabell9[[#This Row],[Såld minus ftg]])</f>
        <v>21</v>
      </c>
      <c r="Q94" s="8"/>
      <c r="T94" s="5"/>
    </row>
    <row r="95" spans="1:20" x14ac:dyDescent="0.25">
      <c r="A95" t="s">
        <v>972</v>
      </c>
      <c r="B95" t="s">
        <v>588</v>
      </c>
      <c r="C95">
        <v>2021</v>
      </c>
      <c r="D95">
        <v>11.18</v>
      </c>
      <c r="K95">
        <f>Tabell9[[#This Row],[Såld värme (GWh)]]-Tabell9[[#This Row],[Levererad värme, andra fjärrvärmeföretag, företag 1 (GWh)]]-Tabell9[[#This Row],[Levererad värme, andra fjärrvärmeföretag, företag 2 (GWh)]]-Tabell9[[#This Row],[Levererad värme, andra fjärrvärmeföretag, företag 3 (GWh)]]</f>
        <v>11.18</v>
      </c>
      <c r="L95" t="str">
        <f>VLOOKUP(Tabell9[[#This Row],[Nät]],Tabell5[],2,FALSE)</f>
        <v>Ekshärad</v>
      </c>
      <c r="N95">
        <f>IF(Tabell9[[#This Row],[Korr ]]&gt;0,Tabell9[[#This Row],[Korr ]],Tabell9[[#This Row],[Såld minus ftg]])</f>
        <v>11.18</v>
      </c>
      <c r="Q95" s="8"/>
      <c r="T95" s="4"/>
    </row>
    <row r="96" spans="1:20" x14ac:dyDescent="0.25">
      <c r="A96" t="s">
        <v>972</v>
      </c>
      <c r="B96" t="s">
        <v>520</v>
      </c>
      <c r="C96">
        <v>2021</v>
      </c>
      <c r="D96">
        <v>52.62</v>
      </c>
      <c r="K96">
        <f>Tabell9[[#This Row],[Såld värme (GWh)]]-Tabell9[[#This Row],[Levererad värme, andra fjärrvärmeföretag, företag 1 (GWh)]]-Tabell9[[#This Row],[Levererad värme, andra fjärrvärmeföretag, företag 2 (GWh)]]-Tabell9[[#This Row],[Levererad värme, andra fjärrvärmeföretag, företag 3 (GWh)]]</f>
        <v>52.62</v>
      </c>
      <c r="L96" t="str">
        <f>VLOOKUP(Tabell9[[#This Row],[Nät]],Tabell5[],2,FALSE)</f>
        <v>Hagfors</v>
      </c>
      <c r="N96">
        <f>IF(Tabell9[[#This Row],[Korr ]]&gt;0,Tabell9[[#This Row],[Korr ]],Tabell9[[#This Row],[Såld minus ftg]])</f>
        <v>52.62</v>
      </c>
      <c r="Q96" s="8"/>
    </row>
    <row r="97" spans="1:17" x14ac:dyDescent="0.25">
      <c r="A97" t="s">
        <v>972</v>
      </c>
      <c r="B97" t="s">
        <v>712</v>
      </c>
      <c r="C97">
        <v>2021</v>
      </c>
      <c r="D97">
        <v>0.30499999999999999</v>
      </c>
      <c r="K97">
        <f>Tabell9[[#This Row],[Såld värme (GWh)]]-Tabell9[[#This Row],[Levererad värme, andra fjärrvärmeföretag, företag 1 (GWh)]]-Tabell9[[#This Row],[Levererad värme, andra fjärrvärmeföretag, företag 2 (GWh)]]-Tabell9[[#This Row],[Levererad värme, andra fjärrvärmeföretag, företag 3 (GWh)]]</f>
        <v>0.30499999999999999</v>
      </c>
      <c r="L97" t="str">
        <f>VLOOKUP(Tabell9[[#This Row],[Nät]],Tabell5[],2,FALSE)</f>
        <v>Sunnemo</v>
      </c>
      <c r="N97">
        <f>IF(Tabell9[[#This Row],[Korr ]]&gt;0,Tabell9[[#This Row],[Korr ]],Tabell9[[#This Row],[Såld minus ftg]])</f>
        <v>0.30499999999999999</v>
      </c>
      <c r="Q97" s="8"/>
    </row>
    <row r="98" spans="1:17" x14ac:dyDescent="0.25">
      <c r="A98" t="s">
        <v>622</v>
      </c>
      <c r="B98" t="s">
        <v>142</v>
      </c>
      <c r="C98">
        <v>2021</v>
      </c>
      <c r="D98">
        <v>571.20000000000005</v>
      </c>
      <c r="K98">
        <f>Tabell9[[#This Row],[Såld värme (GWh)]]-Tabell9[[#This Row],[Levererad värme, andra fjärrvärmeföretag, företag 1 (GWh)]]-Tabell9[[#This Row],[Levererad värme, andra fjärrvärmeföretag, företag 2 (GWh)]]-Tabell9[[#This Row],[Levererad värme, andra fjärrvärmeföretag, företag 3 (GWh)]]</f>
        <v>571.20000000000005</v>
      </c>
      <c r="L98" t="str">
        <f>VLOOKUP(Tabell9[[#This Row],[Nät]],Tabell5[],2,FALSE)</f>
        <v>Halmstad</v>
      </c>
      <c r="N98">
        <f>IF(Tabell9[[#This Row],[Korr ]]&gt;0,Tabell9[[#This Row],[Korr ]],Tabell9[[#This Row],[Såld minus ftg]])</f>
        <v>571.20000000000005</v>
      </c>
      <c r="Q98" s="8"/>
    </row>
    <row r="99" spans="1:17" x14ac:dyDescent="0.25">
      <c r="A99" t="s">
        <v>928</v>
      </c>
      <c r="B99" t="s">
        <v>1084</v>
      </c>
      <c r="C99">
        <v>2021</v>
      </c>
      <c r="D99">
        <v>30.1</v>
      </c>
      <c r="K99">
        <f>Tabell9[[#This Row],[Såld värme (GWh)]]-Tabell9[[#This Row],[Levererad värme, andra fjärrvärmeföretag, företag 1 (GWh)]]-Tabell9[[#This Row],[Levererad värme, andra fjärrvärmeföretag, företag 2 (GWh)]]-Tabell9[[#This Row],[Levererad värme, andra fjärrvärmeföretag, företag 3 (GWh)]]</f>
        <v>30.1</v>
      </c>
      <c r="M99">
        <v>0</v>
      </c>
      <c r="N99">
        <f>IF(Tabell9[[#This Row],[Korr ]]&gt;0,Tabell9[[#This Row],[Korr ]],Tabell9[[#This Row],[Såld minus ftg]])</f>
        <v>30.1</v>
      </c>
      <c r="Q99" s="8"/>
    </row>
    <row r="100" spans="1:17" x14ac:dyDescent="0.25">
      <c r="A100" t="s">
        <v>928</v>
      </c>
      <c r="B100" t="s">
        <v>1085</v>
      </c>
      <c r="C100">
        <v>2021</v>
      </c>
      <c r="D100">
        <v>30.1</v>
      </c>
      <c r="K100">
        <f>Tabell9[[#This Row],[Såld värme (GWh)]]-Tabell9[[#This Row],[Levererad värme, andra fjärrvärmeföretag, företag 1 (GWh)]]-Tabell9[[#This Row],[Levererad värme, andra fjärrvärmeföretag, företag 2 (GWh)]]-Tabell9[[#This Row],[Levererad värme, andra fjärrvärmeföretag, företag 3 (GWh)]]</f>
        <v>30.1</v>
      </c>
      <c r="L100" t="str">
        <f>VLOOKUP(Tabell9[[#This Row],[Nät]],Tabell5[],2,FALSE)</f>
        <v>Haparanda</v>
      </c>
      <c r="M100">
        <f>Tabell9[[#This Row],[Såld minus ftg]]+K100</f>
        <v>60.2</v>
      </c>
      <c r="N100">
        <f>IF(Tabell9[[#This Row],[Korr ]]&gt;0,Tabell9[[#This Row],[Korr ]],Tabell9[[#This Row],[Såld minus ftg]])</f>
        <v>60.2</v>
      </c>
      <c r="Q100" s="8"/>
    </row>
    <row r="101" spans="1:17" x14ac:dyDescent="0.25">
      <c r="A101" t="s">
        <v>611</v>
      </c>
      <c r="B101" t="s">
        <v>145</v>
      </c>
      <c r="C101">
        <v>2021</v>
      </c>
      <c r="D101">
        <v>58.4</v>
      </c>
      <c r="K101">
        <f>Tabell9[[#This Row],[Såld värme (GWh)]]-Tabell9[[#This Row],[Levererad värme, andra fjärrvärmeföretag, företag 1 (GWh)]]-Tabell9[[#This Row],[Levererad värme, andra fjärrvärmeföretag, företag 2 (GWh)]]-Tabell9[[#This Row],[Levererad värme, andra fjärrvärmeföretag, företag 3 (GWh)]]</f>
        <v>58.4</v>
      </c>
      <c r="L101" t="str">
        <f>VLOOKUP(Tabell9[[#This Row],[Nät]],Tabell5[],2,FALSE)</f>
        <v>Hedemora</v>
      </c>
      <c r="N101">
        <f>IF(Tabell9[[#This Row],[Korr ]]&gt;0,Tabell9[[#This Row],[Korr ]],Tabell9[[#This Row],[Såld minus ftg]])</f>
        <v>58.4</v>
      </c>
      <c r="Q101" s="8"/>
    </row>
    <row r="102" spans="1:17" x14ac:dyDescent="0.25">
      <c r="A102" t="s">
        <v>611</v>
      </c>
      <c r="B102" t="s">
        <v>147</v>
      </c>
      <c r="C102">
        <v>2021</v>
      </c>
      <c r="D102">
        <v>6.7</v>
      </c>
      <c r="K102">
        <f>Tabell9[[#This Row],[Såld värme (GWh)]]-Tabell9[[#This Row],[Levererad värme, andra fjärrvärmeföretag, företag 1 (GWh)]]-Tabell9[[#This Row],[Levererad värme, andra fjärrvärmeföretag, företag 2 (GWh)]]-Tabell9[[#This Row],[Levererad värme, andra fjärrvärmeföretag, företag 3 (GWh)]]</f>
        <v>6.7</v>
      </c>
      <c r="L102" t="str">
        <f>VLOOKUP(Tabell9[[#This Row],[Nät]],Tabell5[],2,FALSE)</f>
        <v>Långshyttan</v>
      </c>
      <c r="N102">
        <f>IF(Tabell9[[#This Row],[Korr ]]&gt;0,Tabell9[[#This Row],[Korr ]],Tabell9[[#This Row],[Såld minus ftg]])</f>
        <v>6.7</v>
      </c>
      <c r="Q102" s="8"/>
    </row>
    <row r="103" spans="1:17" x14ac:dyDescent="0.25">
      <c r="A103" t="s">
        <v>611</v>
      </c>
      <c r="B103" t="s">
        <v>144</v>
      </c>
      <c r="C103">
        <v>2021</v>
      </c>
      <c r="D103">
        <v>50.45</v>
      </c>
      <c r="K103">
        <f>Tabell9[[#This Row],[Såld värme (GWh)]]-Tabell9[[#This Row],[Levererad värme, andra fjärrvärmeföretag, företag 1 (GWh)]]-Tabell9[[#This Row],[Levererad värme, andra fjärrvärmeföretag, företag 2 (GWh)]]-Tabell9[[#This Row],[Levererad värme, andra fjärrvärmeföretag, företag 3 (GWh)]]</f>
        <v>50.45</v>
      </c>
      <c r="L103" t="str">
        <f>VLOOKUP(Tabell9[[#This Row],[Nät]],Tabell5[],2,FALSE)</f>
        <v>Säter</v>
      </c>
      <c r="N103">
        <f>IF(Tabell9[[#This Row],[Korr ]]&gt;0,Tabell9[[#This Row],[Korr ]],Tabell9[[#This Row],[Såld minus ftg]])</f>
        <v>50.45</v>
      </c>
      <c r="Q103" s="8"/>
    </row>
    <row r="104" spans="1:17" x14ac:dyDescent="0.25">
      <c r="A104" t="s">
        <v>628</v>
      </c>
      <c r="B104" t="s">
        <v>148</v>
      </c>
      <c r="C104">
        <v>2021</v>
      </c>
      <c r="D104">
        <v>35.962000000000003</v>
      </c>
      <c r="K104">
        <f>Tabell9[[#This Row],[Såld värme (GWh)]]-Tabell9[[#This Row],[Levererad värme, andra fjärrvärmeföretag, företag 1 (GWh)]]-Tabell9[[#This Row],[Levererad värme, andra fjärrvärmeföretag, företag 2 (GWh)]]-Tabell9[[#This Row],[Levererad värme, andra fjärrvärmeföretag, företag 3 (GWh)]]</f>
        <v>35.962000000000003</v>
      </c>
      <c r="L104" t="str">
        <f>VLOOKUP(Tabell9[[#This Row],[Nät]],Tabell5[],2,FALSE)</f>
        <v>Hjo</v>
      </c>
      <c r="N104">
        <f>IF(Tabell9[[#This Row],[Korr ]]&gt;0,Tabell9[[#This Row],[Korr ]],Tabell9[[#This Row],[Såld minus ftg]])</f>
        <v>35.962000000000003</v>
      </c>
      <c r="Q104" s="8"/>
    </row>
    <row r="105" spans="1:17" x14ac:dyDescent="0.25">
      <c r="A105" t="s">
        <v>633</v>
      </c>
      <c r="B105" t="s">
        <v>150</v>
      </c>
      <c r="C105">
        <v>2021</v>
      </c>
      <c r="D105">
        <v>185.38499999999999</v>
      </c>
      <c r="K105">
        <f>Tabell9[[#This Row],[Såld värme (GWh)]]-Tabell9[[#This Row],[Levererad värme, andra fjärrvärmeföretag, företag 1 (GWh)]]-Tabell9[[#This Row],[Levererad värme, andra fjärrvärmeföretag, företag 2 (GWh)]]-Tabell9[[#This Row],[Levererad värme, andra fjärrvärmeföretag, företag 3 (GWh)]]</f>
        <v>185.38499999999999</v>
      </c>
      <c r="L105" t="str">
        <f>VLOOKUP(Tabell9[[#This Row],[Nät]],Tabell5[],2,FALSE)</f>
        <v>Härnösand</v>
      </c>
      <c r="N105">
        <f>IF(Tabell9[[#This Row],[Korr ]]&gt;0,Tabell9[[#This Row],[Korr ]],Tabell9[[#This Row],[Såld minus ftg]])</f>
        <v>185.38499999999999</v>
      </c>
      <c r="Q105" s="8"/>
    </row>
    <row r="106" spans="1:17" x14ac:dyDescent="0.25">
      <c r="A106" t="s">
        <v>634</v>
      </c>
      <c r="B106" t="s">
        <v>151</v>
      </c>
      <c r="C106">
        <v>2021</v>
      </c>
      <c r="D106">
        <v>192.411</v>
      </c>
      <c r="K106">
        <f>Tabell9[[#This Row],[Såld värme (GWh)]]-Tabell9[[#This Row],[Levererad värme, andra fjärrvärmeföretag, företag 1 (GWh)]]-Tabell9[[#This Row],[Levererad värme, andra fjärrvärmeföretag, företag 2 (GWh)]]-Tabell9[[#This Row],[Levererad värme, andra fjärrvärmeföretag, företag 3 (GWh)]]</f>
        <v>192.411</v>
      </c>
      <c r="L106" t="str">
        <f>VLOOKUP(Tabell9[[#This Row],[Nät]],Tabell5[],2,FALSE)</f>
        <v>Hässleholm</v>
      </c>
      <c r="N106">
        <f>IF(Tabell9[[#This Row],[Korr ]]&gt;0,Tabell9[[#This Row],[Korr ]],Tabell9[[#This Row],[Såld minus ftg]])</f>
        <v>192.411</v>
      </c>
      <c r="Q106" s="8"/>
    </row>
    <row r="107" spans="1:17" x14ac:dyDescent="0.25">
      <c r="A107" t="s">
        <v>634</v>
      </c>
      <c r="B107" t="s">
        <v>152</v>
      </c>
      <c r="C107">
        <v>2021</v>
      </c>
      <c r="D107">
        <v>18.97</v>
      </c>
      <c r="K107">
        <f>Tabell9[[#This Row],[Såld värme (GWh)]]-Tabell9[[#This Row],[Levererad värme, andra fjärrvärmeföretag, företag 1 (GWh)]]-Tabell9[[#This Row],[Levererad värme, andra fjärrvärmeföretag, företag 2 (GWh)]]-Tabell9[[#This Row],[Levererad värme, andra fjärrvärmeföretag, företag 3 (GWh)]]</f>
        <v>18.97</v>
      </c>
      <c r="L107" t="str">
        <f>VLOOKUP(Tabell9[[#This Row],[Nät]],Tabell5[],2,FALSE)</f>
        <v>Tyringe</v>
      </c>
      <c r="N107">
        <f>IF(Tabell9[[#This Row],[Korr ]]&gt;0,Tabell9[[#This Row],[Korr ]],Tabell9[[#This Row],[Såld minus ftg]])</f>
        <v>18.97</v>
      </c>
      <c r="Q107" s="8"/>
    </row>
    <row r="108" spans="1:17" x14ac:dyDescent="0.25">
      <c r="A108" t="s">
        <v>635</v>
      </c>
      <c r="B108" t="s">
        <v>153</v>
      </c>
      <c r="C108">
        <v>2021</v>
      </c>
      <c r="D108">
        <v>44.658999999999999</v>
      </c>
      <c r="K108">
        <f>Tabell9[[#This Row],[Såld värme (GWh)]]-Tabell9[[#This Row],[Levererad värme, andra fjärrvärmeföretag, företag 1 (GWh)]]-Tabell9[[#This Row],[Levererad värme, andra fjärrvärmeföretag, företag 2 (GWh)]]-Tabell9[[#This Row],[Levererad värme, andra fjärrvärmeföretag, företag 3 (GWh)]]</f>
        <v>44.658999999999999</v>
      </c>
      <c r="L108" t="str">
        <f>VLOOKUP(Tabell9[[#This Row],[Nät]],Tabell5[],2,FALSE)</f>
        <v>Höganäs</v>
      </c>
      <c r="N108">
        <f>IF(Tabell9[[#This Row],[Korr ]]&gt;0,Tabell9[[#This Row],[Korr ]],Tabell9[[#This Row],[Såld minus ftg]])</f>
        <v>44.658999999999999</v>
      </c>
      <c r="Q108" s="8"/>
    </row>
    <row r="109" spans="1:17" x14ac:dyDescent="0.25">
      <c r="A109" t="s">
        <v>637</v>
      </c>
      <c r="B109" t="s">
        <v>154</v>
      </c>
      <c r="C109">
        <v>2021</v>
      </c>
      <c r="D109">
        <v>34.5</v>
      </c>
      <c r="K109">
        <f>Tabell9[[#This Row],[Såld värme (GWh)]]-Tabell9[[#This Row],[Levererad värme, andra fjärrvärmeföretag, företag 1 (GWh)]]-Tabell9[[#This Row],[Levererad värme, andra fjärrvärmeföretag, företag 2 (GWh)]]-Tabell9[[#This Row],[Levererad värme, andra fjärrvärmeföretag, företag 3 (GWh)]]</f>
        <v>34.5</v>
      </c>
      <c r="L109" t="str">
        <f>VLOOKUP(Tabell9[[#This Row],[Nät]],Tabell5[],2,FALSE)</f>
        <v>Jokkmokk</v>
      </c>
      <c r="N109">
        <f>IF(Tabell9[[#This Row],[Korr ]]&gt;0,Tabell9[[#This Row],[Korr ]],Tabell9[[#This Row],[Såld minus ftg]])</f>
        <v>34.5</v>
      </c>
      <c r="Q109" s="8"/>
    </row>
    <row r="110" spans="1:17" x14ac:dyDescent="0.25">
      <c r="A110" t="s">
        <v>579</v>
      </c>
      <c r="B110" t="s">
        <v>155</v>
      </c>
      <c r="C110">
        <v>2021</v>
      </c>
      <c r="D110">
        <v>18.975000000000001</v>
      </c>
      <c r="K110">
        <f>Tabell9[[#This Row],[Såld värme (GWh)]]-Tabell9[[#This Row],[Levererad värme, andra fjärrvärmeföretag, företag 1 (GWh)]]-Tabell9[[#This Row],[Levererad värme, andra fjärrvärmeföretag, företag 2 (GWh)]]-Tabell9[[#This Row],[Levererad värme, andra fjärrvärmeföretag, företag 3 (GWh)]]</f>
        <v>18.975000000000001</v>
      </c>
      <c r="L110" t="str">
        <f>VLOOKUP(Tabell9[[#This Row],[Nät]],Tabell5[],2,FALSE)</f>
        <v>Krokom</v>
      </c>
      <c r="N110">
        <f>IF(Tabell9[[#This Row],[Korr ]]&gt;0,Tabell9[[#This Row],[Korr ]],Tabell9[[#This Row],[Såld minus ftg]])</f>
        <v>18.975000000000001</v>
      </c>
      <c r="Q110" s="8"/>
    </row>
    <row r="111" spans="1:17" x14ac:dyDescent="0.25">
      <c r="A111" t="s">
        <v>579</v>
      </c>
      <c r="B111" t="s">
        <v>156</v>
      </c>
      <c r="C111">
        <v>2021</v>
      </c>
      <c r="D111">
        <v>57.572000000000003</v>
      </c>
      <c r="K111">
        <f>Tabell9[[#This Row],[Såld värme (GWh)]]-Tabell9[[#This Row],[Levererad värme, andra fjärrvärmeföretag, företag 1 (GWh)]]-Tabell9[[#This Row],[Levererad värme, andra fjärrvärmeföretag, företag 2 (GWh)]]-Tabell9[[#This Row],[Levererad värme, andra fjärrvärmeföretag, företag 3 (GWh)]]</f>
        <v>57.572000000000003</v>
      </c>
      <c r="L111" t="str">
        <f>VLOOKUP(Tabell9[[#This Row],[Nät]],Tabell5[],2,FALSE)</f>
        <v>Åre</v>
      </c>
      <c r="N111">
        <f>IF(Tabell9[[#This Row],[Korr ]]&gt;0,Tabell9[[#This Row],[Korr ]],Tabell9[[#This Row],[Såld minus ftg]])</f>
        <v>57.572000000000003</v>
      </c>
      <c r="Q111" s="8"/>
    </row>
    <row r="112" spans="1:17" x14ac:dyDescent="0.25">
      <c r="A112" t="s">
        <v>579</v>
      </c>
      <c r="B112" t="s">
        <v>157</v>
      </c>
      <c r="C112">
        <v>2021</v>
      </c>
      <c r="D112">
        <v>554.28399999999999</v>
      </c>
      <c r="K112">
        <f>Tabell9[[#This Row],[Såld värme (GWh)]]-Tabell9[[#This Row],[Levererad värme, andra fjärrvärmeföretag, företag 1 (GWh)]]-Tabell9[[#This Row],[Levererad värme, andra fjärrvärmeföretag, företag 2 (GWh)]]-Tabell9[[#This Row],[Levererad värme, andra fjärrvärmeföretag, företag 3 (GWh)]]</f>
        <v>554.28399999999999</v>
      </c>
      <c r="L112" t="str">
        <f>VLOOKUP(Tabell9[[#This Row],[Nät]],Tabell5[],2,FALSE)</f>
        <v>Östersund</v>
      </c>
      <c r="M112">
        <f>Tabell9[[#This Row],[Såld minus ftg]]+K113</f>
        <v>555.798</v>
      </c>
      <c r="N112">
        <f>IF(Tabell9[[#This Row],[Korr ]]&gt;0,Tabell9[[#This Row],[Korr ]],Tabell9[[#This Row],[Såld minus ftg]])</f>
        <v>555.798</v>
      </c>
      <c r="Q112" s="8"/>
    </row>
    <row r="113" spans="1:20" x14ac:dyDescent="0.25">
      <c r="A113" t="s">
        <v>579</v>
      </c>
      <c r="B113" t="s">
        <v>1087</v>
      </c>
      <c r="C113">
        <v>2021</v>
      </c>
      <c r="D113">
        <v>1.514</v>
      </c>
      <c r="K113">
        <f>Tabell9[[#This Row],[Såld värme (GWh)]]-Tabell9[[#This Row],[Levererad värme, andra fjärrvärmeföretag, företag 1 (GWh)]]-Tabell9[[#This Row],[Levererad värme, andra fjärrvärmeföretag, företag 2 (GWh)]]-Tabell9[[#This Row],[Levererad värme, andra fjärrvärmeföretag, företag 3 (GWh)]]</f>
        <v>1.514</v>
      </c>
      <c r="M113">
        <v>0</v>
      </c>
      <c r="N113">
        <f>IF(Tabell9[[#This Row],[Korr ]]&gt;0,Tabell9[[#This Row],[Korr ]],Tabell9[[#This Row],[Såld minus ftg]])</f>
        <v>1.514</v>
      </c>
      <c r="Q113" s="8"/>
    </row>
    <row r="114" spans="1:20" x14ac:dyDescent="0.25">
      <c r="A114" t="s">
        <v>975</v>
      </c>
      <c r="B114" t="s">
        <v>466</v>
      </c>
      <c r="C114">
        <v>2021</v>
      </c>
      <c r="D114">
        <v>55.5</v>
      </c>
      <c r="K114">
        <f>Tabell9[[#This Row],[Såld värme (GWh)]]-Tabell9[[#This Row],[Levererad värme, andra fjärrvärmeföretag, företag 1 (GWh)]]-Tabell9[[#This Row],[Levererad värme, andra fjärrvärmeföretag, företag 2 (GWh)]]-Tabell9[[#This Row],[Levererad värme, andra fjärrvärmeföretag, företag 3 (GWh)]]</f>
        <v>55.5</v>
      </c>
      <c r="L114" t="str">
        <f>VLOOKUP(Tabell9[[#This Row],[Nät]],Tabell5[],2,FALSE)</f>
        <v>Strömsund</v>
      </c>
      <c r="N114">
        <f>IF(Tabell9[[#This Row],[Korr ]]&gt;0,Tabell9[[#This Row],[Korr ]],Tabell9[[#This Row],[Såld minus ftg]])</f>
        <v>55.5</v>
      </c>
      <c r="Q114" s="8"/>
    </row>
    <row r="115" spans="1:20" x14ac:dyDescent="0.25">
      <c r="A115" t="s">
        <v>559</v>
      </c>
      <c r="B115" t="s">
        <v>159</v>
      </c>
      <c r="C115">
        <v>2021</v>
      </c>
      <c r="D115">
        <v>12.368</v>
      </c>
      <c r="K115">
        <f>Tabell9[[#This Row],[Såld värme (GWh)]]-Tabell9[[#This Row],[Levererad värme, andra fjärrvärmeföretag, företag 1 (GWh)]]-Tabell9[[#This Row],[Levererad värme, andra fjärrvärmeföretag, företag 2 (GWh)]]-Tabell9[[#This Row],[Levererad värme, andra fjärrvärmeföretag, företag 3 (GWh)]]</f>
        <v>12.368</v>
      </c>
      <c r="L115" t="str">
        <f>VLOOKUP(Tabell9[[#This Row],[Nät]],Tabell5[],2,FALSE)</f>
        <v>Gränna</v>
      </c>
      <c r="N115">
        <f>IF(Tabell9[[#This Row],[Korr ]]&gt;0,Tabell9[[#This Row],[Korr ]],Tabell9[[#This Row],[Såld minus ftg]])</f>
        <v>12.368</v>
      </c>
      <c r="Q115" s="8"/>
    </row>
    <row r="116" spans="1:20" x14ac:dyDescent="0.25">
      <c r="A116" t="s">
        <v>559</v>
      </c>
      <c r="B116" t="s">
        <v>160</v>
      </c>
      <c r="C116">
        <v>2021</v>
      </c>
      <c r="D116">
        <v>756.09400000000005</v>
      </c>
      <c r="K116">
        <f>Tabell9[[#This Row],[Såld värme (GWh)]]-Tabell9[[#This Row],[Levererad värme, andra fjärrvärmeföretag, företag 1 (GWh)]]-Tabell9[[#This Row],[Levererad värme, andra fjärrvärmeföretag, företag 2 (GWh)]]-Tabell9[[#This Row],[Levererad värme, andra fjärrvärmeföretag, företag 3 (GWh)]]</f>
        <v>756.09400000000005</v>
      </c>
      <c r="L116" t="str">
        <f>VLOOKUP(Tabell9[[#This Row],[Nät]],Tabell5[],2,FALSE)</f>
        <v>Jönköping</v>
      </c>
      <c r="N116">
        <f>IF(Tabell9[[#This Row],[Korr ]]&gt;0,Tabell9[[#This Row],[Korr ]],Tabell9[[#This Row],[Såld minus ftg]])</f>
        <v>756.09400000000005</v>
      </c>
      <c r="Q116" s="8"/>
    </row>
    <row r="117" spans="1:20" x14ac:dyDescent="0.25">
      <c r="A117" t="s">
        <v>643</v>
      </c>
      <c r="B117" t="s">
        <v>162</v>
      </c>
      <c r="C117">
        <v>2021</v>
      </c>
      <c r="D117">
        <v>383</v>
      </c>
      <c r="K117">
        <f>Tabell9[[#This Row],[Såld värme (GWh)]]-Tabell9[[#This Row],[Levererad värme, andra fjärrvärmeföretag, företag 1 (GWh)]]-Tabell9[[#This Row],[Levererad värme, andra fjärrvärmeföretag, företag 2 (GWh)]]-Tabell9[[#This Row],[Levererad värme, andra fjärrvärmeföretag, företag 3 (GWh)]]</f>
        <v>383</v>
      </c>
      <c r="L117" t="str">
        <f>VLOOKUP(Tabell9[[#This Row],[Nät]],Tabell5[],2,FALSE)</f>
        <v>Kalmar</v>
      </c>
      <c r="N117">
        <f>IF(Tabell9[[#This Row],[Korr ]]&gt;0,Tabell9[[#This Row],[Korr ]],Tabell9[[#This Row],[Såld minus ftg]])</f>
        <v>383</v>
      </c>
      <c r="Q117" s="8"/>
    </row>
    <row r="118" spans="1:20" x14ac:dyDescent="0.25">
      <c r="A118" t="s">
        <v>976</v>
      </c>
      <c r="B118" t="s">
        <v>237</v>
      </c>
      <c r="C118">
        <v>2021</v>
      </c>
      <c r="D118">
        <v>16.16</v>
      </c>
      <c r="K118">
        <f>Tabell9[[#This Row],[Såld värme (GWh)]]-Tabell9[[#This Row],[Levererad värme, andra fjärrvärmeföretag, företag 1 (GWh)]]-Tabell9[[#This Row],[Levererad värme, andra fjärrvärmeföretag, företag 2 (GWh)]]-Tabell9[[#This Row],[Levererad värme, andra fjärrvärmeföretag, företag 3 (GWh)]]</f>
        <v>16.16</v>
      </c>
      <c r="L118" t="str">
        <f>VLOOKUP(Tabell9[[#This Row],[Nät]],Tabell5[],2,FALSE)</f>
        <v>Karlsborg</v>
      </c>
      <c r="N118">
        <f>IF(Tabell9[[#This Row],[Korr ]]&gt;0,Tabell9[[#This Row],[Korr ]],Tabell9[[#This Row],[Såld minus ftg]])</f>
        <v>16.16</v>
      </c>
      <c r="Q118" s="8"/>
    </row>
    <row r="119" spans="1:20" x14ac:dyDescent="0.25">
      <c r="A119" t="s">
        <v>645</v>
      </c>
      <c r="B119" t="s">
        <v>164</v>
      </c>
      <c r="C119">
        <v>2021</v>
      </c>
      <c r="D119">
        <v>175.6</v>
      </c>
      <c r="K119">
        <f>Tabell9[[#This Row],[Såld värme (GWh)]]-Tabell9[[#This Row],[Levererad värme, andra fjärrvärmeföretag, företag 1 (GWh)]]-Tabell9[[#This Row],[Levererad värme, andra fjärrvärmeföretag, företag 2 (GWh)]]-Tabell9[[#This Row],[Levererad värme, andra fjärrvärmeföretag, företag 3 (GWh)]]</f>
        <v>175.6</v>
      </c>
      <c r="L119" t="str">
        <f>VLOOKUP(Tabell9[[#This Row],[Nät]],Tabell5[],2,FALSE)</f>
        <v>Karlshamn</v>
      </c>
      <c r="N119">
        <f>IF(Tabell9[[#This Row],[Korr ]]&gt;0,Tabell9[[#This Row],[Korr ]],Tabell9[[#This Row],[Såld minus ftg]])</f>
        <v>175.6</v>
      </c>
      <c r="Q119" s="8"/>
    </row>
    <row r="120" spans="1:20" x14ac:dyDescent="0.25">
      <c r="A120" t="s">
        <v>977</v>
      </c>
      <c r="B120" t="s">
        <v>165</v>
      </c>
      <c r="C120">
        <v>2021</v>
      </c>
      <c r="D120">
        <v>321.7</v>
      </c>
      <c r="K120">
        <f>Tabell9[[#This Row],[Såld värme (GWh)]]-Tabell9[[#This Row],[Levererad värme, andra fjärrvärmeföretag, företag 1 (GWh)]]-Tabell9[[#This Row],[Levererad värme, andra fjärrvärmeföretag, företag 2 (GWh)]]-Tabell9[[#This Row],[Levererad värme, andra fjärrvärmeföretag, företag 3 (GWh)]]</f>
        <v>321.7</v>
      </c>
      <c r="L120" t="str">
        <f>VLOOKUP(Tabell9[[#This Row],[Nät]],Tabell5[],2,FALSE)</f>
        <v>Karlskoga</v>
      </c>
      <c r="N120">
        <f>IF(Tabell9[[#This Row],[Korr ]]&gt;0,Tabell9[[#This Row],[Korr ]],Tabell9[[#This Row],[Såld minus ftg]])</f>
        <v>321.7</v>
      </c>
      <c r="Q120" s="8"/>
    </row>
    <row r="121" spans="1:20" x14ac:dyDescent="0.25">
      <c r="A121" t="s">
        <v>646</v>
      </c>
      <c r="B121" t="s">
        <v>166</v>
      </c>
      <c r="C121">
        <v>2021</v>
      </c>
      <c r="D121">
        <v>604.9</v>
      </c>
      <c r="E121" t="s">
        <v>978</v>
      </c>
      <c r="F121">
        <v>63.1</v>
      </c>
      <c r="K121">
        <f>Tabell9[[#This Row],[Såld värme (GWh)]]-Tabell9[[#This Row],[Levererad värme, andra fjärrvärmeföretag, företag 1 (GWh)]]-Tabell9[[#This Row],[Levererad värme, andra fjärrvärmeföretag, företag 2 (GWh)]]-Tabell9[[#This Row],[Levererad värme, andra fjärrvärmeföretag, företag 3 (GWh)]]</f>
        <v>541.79999999999995</v>
      </c>
      <c r="L121" t="str">
        <f>VLOOKUP(Tabell9[[#This Row],[Nät]],Tabell5[],2,FALSE)</f>
        <v>Karlstad</v>
      </c>
      <c r="N121">
        <f>IF(Tabell9[[#This Row],[Korr ]]&gt;0,Tabell9[[#This Row],[Korr ]],Tabell9[[#This Row],[Såld minus ftg]])</f>
        <v>541.79999999999995</v>
      </c>
      <c r="Q121" s="8"/>
    </row>
    <row r="122" spans="1:20" x14ac:dyDescent="0.25">
      <c r="A122" t="s">
        <v>649</v>
      </c>
      <c r="B122" t="s">
        <v>170</v>
      </c>
      <c r="C122">
        <v>2021</v>
      </c>
      <c r="D122">
        <v>38.67</v>
      </c>
      <c r="K122">
        <f>Tabell9[[#This Row],[Såld värme (GWh)]]-Tabell9[[#This Row],[Levererad värme, andra fjärrvärmeföretag, företag 1 (GWh)]]-Tabell9[[#This Row],[Levererad värme, andra fjärrvärmeföretag, företag 2 (GWh)]]-Tabell9[[#This Row],[Levererad värme, andra fjärrvärmeföretag, företag 3 (GWh)]]</f>
        <v>38.67</v>
      </c>
      <c r="L122" t="str">
        <f>VLOOKUP(Tabell9[[#This Row],[Nät]],Tabell5[],2,FALSE)</f>
        <v>Kil</v>
      </c>
      <c r="N122">
        <f>IF(Tabell9[[#This Row],[Korr ]]&gt;0,Tabell9[[#This Row],[Korr ]],Tabell9[[#This Row],[Såld minus ftg]])</f>
        <v>38.67</v>
      </c>
      <c r="Q122" s="8"/>
    </row>
    <row r="123" spans="1:20" x14ac:dyDescent="0.25">
      <c r="A123" t="s">
        <v>817</v>
      </c>
      <c r="B123" t="s">
        <v>390</v>
      </c>
      <c r="C123">
        <v>2021</v>
      </c>
      <c r="D123">
        <v>226</v>
      </c>
      <c r="K123">
        <f>Tabell9[[#This Row],[Såld värme (GWh)]]-Tabell9[[#This Row],[Levererad värme, andra fjärrvärmeföretag, företag 1 (GWh)]]-Tabell9[[#This Row],[Levererad värme, andra fjärrvärmeföretag, företag 2 (GWh)]]-Tabell9[[#This Row],[Levererad värme, andra fjärrvärmeföretag, företag 3 (GWh)]]</f>
        <v>226</v>
      </c>
      <c r="L123" t="str">
        <f>VLOOKUP(Tabell9[[#This Row],[Nät]],Tabell5[],2,FALSE)</f>
        <v>Kiruna C</v>
      </c>
      <c r="N123">
        <f>IF(Tabell9[[#This Row],[Korr ]]&gt;0,Tabell9[[#This Row],[Korr ]],Tabell9[[#This Row],[Såld minus ftg]])</f>
        <v>226</v>
      </c>
      <c r="Q123" s="8"/>
    </row>
    <row r="124" spans="1:20" x14ac:dyDescent="0.25">
      <c r="A124" t="s">
        <v>817</v>
      </c>
      <c r="B124" t="s">
        <v>305</v>
      </c>
      <c r="C124">
        <v>2021</v>
      </c>
      <c r="D124">
        <v>5.8070000000000004</v>
      </c>
      <c r="K124">
        <f>Tabell9[[#This Row],[Såld värme (GWh)]]-Tabell9[[#This Row],[Levererad värme, andra fjärrvärmeföretag, företag 1 (GWh)]]-Tabell9[[#This Row],[Levererad värme, andra fjärrvärmeföretag, företag 2 (GWh)]]-Tabell9[[#This Row],[Levererad värme, andra fjärrvärmeföretag, företag 3 (GWh)]]</f>
        <v>5.8070000000000004</v>
      </c>
      <c r="L124" t="str">
        <f>VLOOKUP(Tabell9[[#This Row],[Nät]],Tabell5[],2,FALSE)</f>
        <v>Vittangi</v>
      </c>
      <c r="N124">
        <f>IF(Tabell9[[#This Row],[Korr ]]&gt;0,Tabell9[[#This Row],[Korr ]],Tabell9[[#This Row],[Såld minus ftg]])</f>
        <v>5.8070000000000004</v>
      </c>
      <c r="Q124" s="8"/>
    </row>
    <row r="125" spans="1:20" x14ac:dyDescent="0.25">
      <c r="A125" t="s">
        <v>786</v>
      </c>
      <c r="B125" t="s">
        <v>787</v>
      </c>
      <c r="C125">
        <v>2021</v>
      </c>
      <c r="D125">
        <v>879</v>
      </c>
      <c r="E125" t="s">
        <v>1155</v>
      </c>
      <c r="F125">
        <v>5.8019999999999996</v>
      </c>
      <c r="G125" t="s">
        <v>980</v>
      </c>
      <c r="H125">
        <v>0.80200000000000005</v>
      </c>
      <c r="I125" t="s">
        <v>805</v>
      </c>
      <c r="K125">
        <f>Tabell9[[#This Row],[Såld värme (GWh)]]-Tabell9[[#This Row],[Levererad värme, andra fjärrvärmeföretag, företag 1 (GWh)]]-Tabell9[[#This Row],[Levererad värme, andra fjärrvärmeföretag, företag 2 (GWh)]]-Tabell9[[#This Row],[Levererad värme, andra fjärrvärmeföretag, företag 3 (GWh)]]</f>
        <v>872.39599999999996</v>
      </c>
      <c r="L125" t="str">
        <f>VLOOKUP(Tabell9[[#This Row],[Nät]],Tabell5[],2,FALSE)</f>
        <v>Eslöv-Lund-Lomma m fl</v>
      </c>
      <c r="N125">
        <f>IF(Tabell9[[#This Row],[Korr ]]&gt;0,Tabell9[[#This Row],[Korr ]],Tabell9[[#This Row],[Såld minus ftg]])</f>
        <v>872.39599999999996</v>
      </c>
      <c r="Q125" s="8"/>
    </row>
    <row r="126" spans="1:20" x14ac:dyDescent="0.25">
      <c r="A126" t="s">
        <v>786</v>
      </c>
      <c r="B126" t="s">
        <v>788</v>
      </c>
      <c r="C126">
        <v>2021</v>
      </c>
      <c r="D126">
        <v>55.957000000000001</v>
      </c>
      <c r="K126">
        <f>Tabell9[[#This Row],[Såld värme (GWh)]]-Tabell9[[#This Row],[Levererad värme, andra fjärrvärmeföretag, företag 1 (GWh)]]-Tabell9[[#This Row],[Levererad värme, andra fjärrvärmeföretag, företag 2 (GWh)]]-Tabell9[[#This Row],[Levererad värme, andra fjärrvärmeföretag, företag 3 (GWh)]]</f>
        <v>55.957000000000001</v>
      </c>
      <c r="L126" t="str">
        <f>VLOOKUP(Tabell9[[#This Row],[Nät]],Tabell5[],2,FALSE)</f>
        <v>Klippan-Ljungbyhed-Östra Ljungby</v>
      </c>
      <c r="N126">
        <f>IF(Tabell9[[#This Row],[Korr ]]&gt;0,Tabell9[[#This Row],[Korr ]],Tabell9[[#This Row],[Såld minus ftg]])</f>
        <v>55.957000000000001</v>
      </c>
      <c r="Q126" s="8"/>
    </row>
    <row r="127" spans="1:20" x14ac:dyDescent="0.25">
      <c r="A127" t="s">
        <v>632</v>
      </c>
      <c r="B127" t="s">
        <v>385</v>
      </c>
      <c r="C127">
        <v>2021</v>
      </c>
      <c r="D127">
        <v>1.1339999999999999</v>
      </c>
      <c r="K127">
        <f>Tabell9[[#This Row],[Såld värme (GWh)]]-Tabell9[[#This Row],[Levererad värme, andra fjärrvärmeföretag, företag 1 (GWh)]]-Tabell9[[#This Row],[Levererad värme, andra fjärrvärmeföretag, företag 2 (GWh)]]-Tabell9[[#This Row],[Levererad värme, andra fjärrvärmeföretag, företag 3 (GWh)]]</f>
        <v>1.1339999999999999</v>
      </c>
      <c r="L127" t="str">
        <f>VLOOKUP(Tabell9[[#This Row],[Nät]],Tabell5[],2,FALSE)</f>
        <v>HVC Kode</v>
      </c>
      <c r="N127">
        <f>IF(Tabell9[[#This Row],[Korr ]]&gt;0,Tabell9[[#This Row],[Korr ]],Tabell9[[#This Row],[Såld minus ftg]])</f>
        <v>1.1339999999999999</v>
      </c>
      <c r="Q127" s="8"/>
    </row>
    <row r="128" spans="1:20" x14ac:dyDescent="0.25">
      <c r="A128" t="s">
        <v>632</v>
      </c>
      <c r="B128" t="s">
        <v>386</v>
      </c>
      <c r="C128">
        <v>2021</v>
      </c>
      <c r="D128">
        <v>1.157</v>
      </c>
      <c r="K128">
        <f>Tabell9[[#This Row],[Såld värme (GWh)]]-Tabell9[[#This Row],[Levererad värme, andra fjärrvärmeföretag, företag 1 (GWh)]]-Tabell9[[#This Row],[Levererad värme, andra fjärrvärmeföretag, företag 2 (GWh)]]-Tabell9[[#This Row],[Levererad värme, andra fjärrvärmeföretag, företag 3 (GWh)]]</f>
        <v>1.157</v>
      </c>
      <c r="L128" t="str">
        <f>VLOOKUP(Tabell9[[#This Row],[Nät]],Tabell5[],2,FALSE)</f>
        <v>HVC Kärna</v>
      </c>
      <c r="N128">
        <f>IF(Tabell9[[#This Row],[Korr ]]&gt;0,Tabell9[[#This Row],[Korr ]],Tabell9[[#This Row],[Såld minus ftg]])</f>
        <v>1.157</v>
      </c>
      <c r="Q128" s="8"/>
    </row>
    <row r="129" spans="1:20" x14ac:dyDescent="0.25">
      <c r="A129" t="s">
        <v>632</v>
      </c>
      <c r="B129" t="s">
        <v>1139</v>
      </c>
      <c r="C129">
        <v>2021</v>
      </c>
      <c r="D129">
        <v>130</v>
      </c>
      <c r="K129">
        <f>Tabell9[[#This Row],[Såld värme (GWh)]]-Tabell9[[#This Row],[Levererad värme, andra fjärrvärmeföretag, företag 1 (GWh)]]-Tabell9[[#This Row],[Levererad värme, andra fjärrvärmeföretag, företag 2 (GWh)]]-Tabell9[[#This Row],[Levererad värme, andra fjärrvärmeföretag, företag 3 (GWh)]]</f>
        <v>130</v>
      </c>
      <c r="L129" t="str">
        <f>VLOOKUP(Tabell9[[#This Row],[Nät]],Tabell5[],2,FALSE)</f>
        <v>Kungälv-Ytterby</v>
      </c>
      <c r="N129">
        <f>IF(Tabell9[[#This Row],[Korr ]]&gt;0,Tabell9[[#This Row],[Korr ]],Tabell9[[#This Row],[Såld minus ftg]])</f>
        <v>130</v>
      </c>
      <c r="Q129" s="8"/>
    </row>
    <row r="130" spans="1:20" x14ac:dyDescent="0.25">
      <c r="A130" t="s">
        <v>658</v>
      </c>
      <c r="B130" t="s">
        <v>176</v>
      </c>
      <c r="C130">
        <v>2021</v>
      </c>
      <c r="D130">
        <v>311</v>
      </c>
      <c r="E130" t="s">
        <v>981</v>
      </c>
      <c r="F130">
        <v>1.82</v>
      </c>
      <c r="G130" t="s">
        <v>982</v>
      </c>
      <c r="H130">
        <v>30.59</v>
      </c>
      <c r="I130" t="s">
        <v>962</v>
      </c>
      <c r="K130">
        <f>Tabell9[[#This Row],[Såld värme (GWh)]]-Tabell9[[#This Row],[Levererad värme, andra fjärrvärmeföretag, företag 1 (GWh)]]-Tabell9[[#This Row],[Levererad värme, andra fjärrvärmeföretag, företag 2 (GWh)]]-Tabell9[[#This Row],[Levererad värme, andra fjärrvärmeföretag, företag 3 (GWh)]]</f>
        <v>278.59000000000003</v>
      </c>
      <c r="L130" t="str">
        <f>VLOOKUP(Tabell9[[#This Row],[Nät]],Tabell5[],2,FALSE)</f>
        <v>Landskrona</v>
      </c>
      <c r="N130">
        <f>IF(Tabell9[[#This Row],[Korr ]]&gt;0,Tabell9[[#This Row],[Korr ]],Tabell9[[#This Row],[Såld minus ftg]])</f>
        <v>278.59000000000003</v>
      </c>
      <c r="Q130" s="8"/>
    </row>
    <row r="131" spans="1:20" x14ac:dyDescent="0.25">
      <c r="A131" t="s">
        <v>568</v>
      </c>
      <c r="B131" t="s">
        <v>178</v>
      </c>
      <c r="C131">
        <v>2021</v>
      </c>
      <c r="D131">
        <v>9.09</v>
      </c>
      <c r="K131">
        <f>Tabell9[[#This Row],[Såld värme (GWh)]]-Tabell9[[#This Row],[Levererad värme, andra fjärrvärmeföretag, företag 1 (GWh)]]-Tabell9[[#This Row],[Levererad värme, andra fjärrvärmeföretag, företag 2 (GWh)]]-Tabell9[[#This Row],[Levererad värme, andra fjärrvärmeföretag, företag 3 (GWh)]]</f>
        <v>9.09</v>
      </c>
      <c r="L131" t="str">
        <f>VLOOKUP(Tabell9[[#This Row],[Nät]],Tabell5[],2,FALSE)</f>
        <v>Bjärnum</v>
      </c>
      <c r="N131">
        <f>IF(Tabell9[[#This Row],[Korr ]]&gt;0,Tabell9[[#This Row],[Korr ]],Tabell9[[#This Row],[Såld minus ftg]])</f>
        <v>9.09</v>
      </c>
      <c r="Q131" s="8"/>
    </row>
    <row r="132" spans="1:20" x14ac:dyDescent="0.25">
      <c r="A132" t="s">
        <v>568</v>
      </c>
      <c r="B132" t="s">
        <v>179</v>
      </c>
      <c r="C132">
        <v>2021</v>
      </c>
      <c r="D132">
        <v>7.54</v>
      </c>
      <c r="K132">
        <f>Tabell9[[#This Row],[Såld värme (GWh)]]-Tabell9[[#This Row],[Levererad värme, andra fjärrvärmeföretag, företag 1 (GWh)]]-Tabell9[[#This Row],[Levererad värme, andra fjärrvärmeföretag, företag 2 (GWh)]]-Tabell9[[#This Row],[Levererad värme, andra fjärrvärmeföretag, företag 3 (GWh)]]</f>
        <v>7.54</v>
      </c>
      <c r="L132" t="str">
        <f>VLOOKUP(Tabell9[[#This Row],[Nät]],Tabell5[],2,FALSE)</f>
        <v>Ed</v>
      </c>
      <c r="N132">
        <f>IF(Tabell9[[#This Row],[Korr ]]&gt;0,Tabell9[[#This Row],[Korr ]],Tabell9[[#This Row],[Såld minus ftg]])</f>
        <v>7.54</v>
      </c>
      <c r="Q132" s="8"/>
    </row>
    <row r="133" spans="1:20" x14ac:dyDescent="0.25">
      <c r="A133" t="s">
        <v>568</v>
      </c>
      <c r="B133" t="s">
        <v>497</v>
      </c>
      <c r="C133">
        <v>2021</v>
      </c>
      <c r="D133">
        <v>2.1459999999999999</v>
      </c>
      <c r="K133">
        <f>Tabell9[[#This Row],[Såld värme (GWh)]]-Tabell9[[#This Row],[Levererad värme, andra fjärrvärmeföretag, företag 1 (GWh)]]-Tabell9[[#This Row],[Levererad värme, andra fjärrvärmeföretag, företag 2 (GWh)]]-Tabell9[[#This Row],[Levererad värme, andra fjärrvärmeföretag, företag 3 (GWh)]]</f>
        <v>2.1459999999999999</v>
      </c>
      <c r="L133" t="str">
        <f>VLOOKUP(Tabell9[[#This Row],[Nät]],Tabell5[],2,FALSE)</f>
        <v>Fjärdhundra</v>
      </c>
      <c r="N133">
        <f>IF(Tabell9[[#This Row],[Korr ]]&gt;0,Tabell9[[#This Row],[Korr ]],Tabell9[[#This Row],[Såld minus ftg]])</f>
        <v>2.1459999999999999</v>
      </c>
      <c r="Q133" s="8"/>
      <c r="R133" s="3"/>
    </row>
    <row r="134" spans="1:20" x14ac:dyDescent="0.25">
      <c r="A134" t="s">
        <v>568</v>
      </c>
      <c r="B134" t="s">
        <v>1108</v>
      </c>
      <c r="C134">
        <v>2021</v>
      </c>
      <c r="D134">
        <v>24.24</v>
      </c>
      <c r="K134">
        <f>Tabell9[[#This Row],[Såld värme (GWh)]]-Tabell9[[#This Row],[Levererad värme, andra fjärrvärmeföretag, företag 1 (GWh)]]-Tabell9[[#This Row],[Levererad värme, andra fjärrvärmeföretag, företag 2 (GWh)]]-Tabell9[[#This Row],[Levererad värme, andra fjärrvärmeföretag, företag 3 (GWh)]]</f>
        <v>24.24</v>
      </c>
      <c r="L134" t="str">
        <f>VLOOKUP(Tabell9[[#This Row],[Nät]],Tabell5[],2,FALSE)</f>
        <v>Gimmersta</v>
      </c>
      <c r="N134">
        <f>IF(Tabell9[[#This Row],[Korr ]]&gt;0,Tabell9[[#This Row],[Korr ]],Tabell9[[#This Row],[Såld minus ftg]])</f>
        <v>24.24</v>
      </c>
      <c r="Q134" s="8"/>
    </row>
    <row r="135" spans="1:20" x14ac:dyDescent="0.25">
      <c r="A135" t="s">
        <v>568</v>
      </c>
      <c r="B135" t="s">
        <v>180</v>
      </c>
      <c r="C135">
        <v>2021</v>
      </c>
      <c r="D135">
        <v>11.12</v>
      </c>
      <c r="K135">
        <f>Tabell9[[#This Row],[Såld värme (GWh)]]-Tabell9[[#This Row],[Levererad värme, andra fjärrvärmeföretag, företag 1 (GWh)]]-Tabell9[[#This Row],[Levererad värme, andra fjärrvärmeföretag, företag 2 (GWh)]]-Tabell9[[#This Row],[Levererad värme, andra fjärrvärmeföretag, företag 3 (GWh)]]</f>
        <v>11.12</v>
      </c>
      <c r="L135" t="str">
        <f>VLOOKUP(Tabell9[[#This Row],[Nät]],Tabell5[],2,FALSE)</f>
        <v>Grästorp</v>
      </c>
      <c r="N135">
        <f>IF(Tabell9[[#This Row],[Korr ]]&gt;0,Tabell9[[#This Row],[Korr ]],Tabell9[[#This Row],[Såld minus ftg]])</f>
        <v>11.12</v>
      </c>
      <c r="Q135" s="8"/>
    </row>
    <row r="136" spans="1:20" x14ac:dyDescent="0.25">
      <c r="A136" t="s">
        <v>568</v>
      </c>
      <c r="B136" t="s">
        <v>181</v>
      </c>
      <c r="C136">
        <v>2021</v>
      </c>
      <c r="D136">
        <v>6.21</v>
      </c>
      <c r="K136">
        <f>Tabell9[[#This Row],[Såld värme (GWh)]]-Tabell9[[#This Row],[Levererad värme, andra fjärrvärmeföretag, företag 1 (GWh)]]-Tabell9[[#This Row],[Levererad värme, andra fjärrvärmeföretag, företag 2 (GWh)]]-Tabell9[[#This Row],[Levererad värme, andra fjärrvärmeföretag, företag 3 (GWh)]]</f>
        <v>6.21</v>
      </c>
      <c r="L136" t="str">
        <f>VLOOKUP(Tabell9[[#This Row],[Nät]],Tabell5[],2,FALSE)</f>
        <v>Horred</v>
      </c>
      <c r="N136">
        <f>IF(Tabell9[[#This Row],[Korr ]]&gt;0,Tabell9[[#This Row],[Korr ]],Tabell9[[#This Row],[Såld minus ftg]])</f>
        <v>6.21</v>
      </c>
      <c r="Q136" s="8"/>
      <c r="T136" s="3"/>
    </row>
    <row r="137" spans="1:20" x14ac:dyDescent="0.25">
      <c r="A137" t="s">
        <v>568</v>
      </c>
      <c r="B137" t="s">
        <v>182</v>
      </c>
      <c r="C137">
        <v>2021</v>
      </c>
      <c r="D137">
        <v>13.37</v>
      </c>
      <c r="K137">
        <f>Tabell9[[#This Row],[Såld värme (GWh)]]-Tabell9[[#This Row],[Levererad värme, andra fjärrvärmeföretag, företag 1 (GWh)]]-Tabell9[[#This Row],[Levererad värme, andra fjärrvärmeföretag, företag 2 (GWh)]]-Tabell9[[#This Row],[Levererad värme, andra fjärrvärmeföretag, företag 3 (GWh)]]</f>
        <v>13.37</v>
      </c>
      <c r="L137" t="str">
        <f>VLOOKUP(Tabell9[[#This Row],[Nät]],Tabell5[],2,FALSE)</f>
        <v>Kvänum</v>
      </c>
      <c r="N137">
        <f>IF(Tabell9[[#This Row],[Korr ]]&gt;0,Tabell9[[#This Row],[Korr ]],Tabell9[[#This Row],[Såld minus ftg]])</f>
        <v>13.37</v>
      </c>
      <c r="Q137" s="8"/>
    </row>
    <row r="138" spans="1:20" x14ac:dyDescent="0.25">
      <c r="A138" t="s">
        <v>568</v>
      </c>
      <c r="B138" t="s">
        <v>183</v>
      </c>
      <c r="C138">
        <v>2021</v>
      </c>
      <c r="D138">
        <v>28.6</v>
      </c>
      <c r="K138">
        <f>Tabell9[[#This Row],[Såld värme (GWh)]]-Tabell9[[#This Row],[Levererad värme, andra fjärrvärmeföretag, företag 1 (GWh)]]-Tabell9[[#This Row],[Levererad värme, andra fjärrvärmeföretag, företag 2 (GWh)]]-Tabell9[[#This Row],[Levererad värme, andra fjärrvärmeföretag, företag 3 (GWh)]]</f>
        <v>28.6</v>
      </c>
      <c r="L138" t="str">
        <f>VLOOKUP(Tabell9[[#This Row],[Nät]],Tabell5[],2,FALSE)</f>
        <v>Skurup</v>
      </c>
      <c r="N138">
        <f>IF(Tabell9[[#This Row],[Korr ]]&gt;0,Tabell9[[#This Row],[Korr ]],Tabell9[[#This Row],[Såld minus ftg]])</f>
        <v>28.6</v>
      </c>
      <c r="Q138" s="8"/>
    </row>
    <row r="139" spans="1:20" x14ac:dyDescent="0.25">
      <c r="A139" t="s">
        <v>568</v>
      </c>
      <c r="B139" t="s">
        <v>855</v>
      </c>
      <c r="C139">
        <v>2021</v>
      </c>
      <c r="D139">
        <v>8.3190000000000008</v>
      </c>
      <c r="K139">
        <f>Tabell9[[#This Row],[Såld värme (GWh)]]-Tabell9[[#This Row],[Levererad värme, andra fjärrvärmeföretag, företag 1 (GWh)]]-Tabell9[[#This Row],[Levererad värme, andra fjärrvärmeföretag, företag 2 (GWh)]]-Tabell9[[#This Row],[Levererad värme, andra fjärrvärmeföretag, företag 3 (GWh)]]</f>
        <v>8.3190000000000008</v>
      </c>
      <c r="L139" t="str">
        <f>VLOOKUP(Tabell9[[#This Row],[Nät]],Tabell5[],2,FALSE)</f>
        <v>Vinslöv</v>
      </c>
      <c r="N139">
        <f>IF(Tabell9[[#This Row],[Korr ]]&gt;0,Tabell9[[#This Row],[Korr ]],Tabell9[[#This Row],[Såld minus ftg]])</f>
        <v>8.3190000000000008</v>
      </c>
      <c r="Q139" s="8"/>
    </row>
    <row r="140" spans="1:20" x14ac:dyDescent="0.25">
      <c r="A140" t="s">
        <v>568</v>
      </c>
      <c r="B140" t="s">
        <v>177</v>
      </c>
      <c r="C140">
        <v>2021</v>
      </c>
      <c r="D140">
        <v>11.94</v>
      </c>
      <c r="K140">
        <f>Tabell9[[#This Row],[Såld värme (GWh)]]-Tabell9[[#This Row],[Levererad värme, andra fjärrvärmeföretag, företag 1 (GWh)]]-Tabell9[[#This Row],[Levererad värme, andra fjärrvärmeföretag, företag 2 (GWh)]]-Tabell9[[#This Row],[Levererad värme, andra fjärrvärmeföretag, företag 3 (GWh)]]</f>
        <v>11.94</v>
      </c>
      <c r="L140" t="str">
        <f>VLOOKUP(Tabell9[[#This Row],[Nät]],Tabell5[],2,FALSE)</f>
        <v>Ödeshög</v>
      </c>
      <c r="N140">
        <f>IF(Tabell9[[#This Row],[Korr ]]&gt;0,Tabell9[[#This Row],[Korr ]],Tabell9[[#This Row],[Såld minus ftg]])</f>
        <v>11.94</v>
      </c>
      <c r="Q140" s="8"/>
      <c r="R140" s="4"/>
    </row>
    <row r="141" spans="1:20" x14ac:dyDescent="0.25">
      <c r="A141" t="s">
        <v>568</v>
      </c>
      <c r="B141" t="s">
        <v>440</v>
      </c>
      <c r="C141">
        <v>2021</v>
      </c>
      <c r="D141">
        <v>3.5649999999999999</v>
      </c>
      <c r="K141">
        <f>Tabell9[[#This Row],[Såld värme (GWh)]]-Tabell9[[#This Row],[Levererad värme, andra fjärrvärmeföretag, företag 1 (GWh)]]-Tabell9[[#This Row],[Levererad värme, andra fjärrvärmeföretag, företag 2 (GWh)]]-Tabell9[[#This Row],[Levererad värme, andra fjärrvärmeföretag, företag 3 (GWh)]]</f>
        <v>3.5649999999999999</v>
      </c>
      <c r="L141" t="str">
        <f>VLOOKUP(Tabell9[[#This Row],[Nät]],Tabell5[],2,FALSE)</f>
        <v>Örsundsbro</v>
      </c>
      <c r="N141">
        <f>IF(Tabell9[[#This Row],[Korr ]]&gt;0,Tabell9[[#This Row],[Korr ]],Tabell9[[#This Row],[Såld minus ftg]])</f>
        <v>3.5649999999999999</v>
      </c>
      <c r="Q141" s="8"/>
    </row>
    <row r="142" spans="1:20" x14ac:dyDescent="0.25">
      <c r="A142" t="s">
        <v>659</v>
      </c>
      <c r="B142" t="s">
        <v>184</v>
      </c>
      <c r="C142">
        <v>2021</v>
      </c>
      <c r="D142">
        <v>29.792000000000002</v>
      </c>
      <c r="K142">
        <f>Tabell9[[#This Row],[Såld värme (GWh)]]-Tabell9[[#This Row],[Levererad värme, andra fjärrvärmeföretag, företag 1 (GWh)]]-Tabell9[[#This Row],[Levererad värme, andra fjärrvärmeföretag, företag 2 (GWh)]]-Tabell9[[#This Row],[Levererad värme, andra fjärrvärmeföretag, företag 3 (GWh)]]</f>
        <v>29.792000000000002</v>
      </c>
      <c r="L142" t="str">
        <f>VLOOKUP(Tabell9[[#This Row],[Nät]],Tabell5[],2,FALSE)</f>
        <v>Laxå</v>
      </c>
      <c r="N142">
        <f>IF(Tabell9[[#This Row],[Korr ]]&gt;0,Tabell9[[#This Row],[Korr ]],Tabell9[[#This Row],[Såld minus ftg]])</f>
        <v>29.792000000000002</v>
      </c>
      <c r="Q142" s="8"/>
    </row>
    <row r="143" spans="1:20" x14ac:dyDescent="0.25">
      <c r="A143" t="s">
        <v>601</v>
      </c>
      <c r="B143" t="s">
        <v>397</v>
      </c>
      <c r="C143">
        <v>2021</v>
      </c>
      <c r="D143">
        <v>7.89</v>
      </c>
      <c r="K143">
        <f>Tabell9[[#This Row],[Såld värme (GWh)]]-Tabell9[[#This Row],[Levererad värme, andra fjärrvärmeföretag, företag 1 (GWh)]]-Tabell9[[#This Row],[Levererad värme, andra fjärrvärmeföretag, företag 2 (GWh)]]-Tabell9[[#This Row],[Levererad värme, andra fjärrvärmeföretag, företag 3 (GWh)]]</f>
        <v>7.89</v>
      </c>
      <c r="L143" t="str">
        <f>VLOOKUP(Tabell9[[#This Row],[Nät]],Tabell5[],2,FALSE)</f>
        <v>Floda</v>
      </c>
      <c r="N143">
        <f>IF(Tabell9[[#This Row],[Korr ]]&gt;0,Tabell9[[#This Row],[Korr ]],Tabell9[[#This Row],[Såld minus ftg]])</f>
        <v>7.89</v>
      </c>
      <c r="Q143" s="8"/>
      <c r="T143" s="4"/>
    </row>
    <row r="144" spans="1:20" x14ac:dyDescent="0.25">
      <c r="A144" t="s">
        <v>601</v>
      </c>
      <c r="B144" t="s">
        <v>185</v>
      </c>
      <c r="C144">
        <v>2021</v>
      </c>
      <c r="D144">
        <v>10.39</v>
      </c>
      <c r="K144">
        <f>Tabell9[[#This Row],[Såld värme (GWh)]]-Tabell9[[#This Row],[Levererad värme, andra fjärrvärmeföretag, företag 1 (GWh)]]-Tabell9[[#This Row],[Levererad värme, andra fjärrvärmeföretag, företag 2 (GWh)]]-Tabell9[[#This Row],[Levererad värme, andra fjärrvärmeföretag, företag 3 (GWh)]]</f>
        <v>10.39</v>
      </c>
      <c r="L144" t="str">
        <f>VLOOKUP(Tabell9[[#This Row],[Nät]],Tabell5[],2,FALSE)</f>
        <v>Gråbo</v>
      </c>
      <c r="N144">
        <f>IF(Tabell9[[#This Row],[Korr ]]&gt;0,Tabell9[[#This Row],[Korr ]],Tabell9[[#This Row],[Såld minus ftg]])</f>
        <v>10.39</v>
      </c>
      <c r="Q144" s="8"/>
    </row>
    <row r="145" spans="1:20" x14ac:dyDescent="0.25">
      <c r="A145" t="s">
        <v>601</v>
      </c>
      <c r="B145" t="s">
        <v>186</v>
      </c>
      <c r="C145">
        <v>2021</v>
      </c>
      <c r="D145">
        <v>30.91</v>
      </c>
      <c r="K145">
        <f>Tabell9[[#This Row],[Såld värme (GWh)]]-Tabell9[[#This Row],[Levererad värme, andra fjärrvärmeföretag, företag 1 (GWh)]]-Tabell9[[#This Row],[Levererad värme, andra fjärrvärmeföretag, företag 2 (GWh)]]-Tabell9[[#This Row],[Levererad värme, andra fjärrvärmeföretag, företag 3 (GWh)]]</f>
        <v>30.91</v>
      </c>
      <c r="L145" t="str">
        <f>VLOOKUP(Tabell9[[#This Row],[Nät]],Tabell5[],2,FALSE)</f>
        <v>Lerum</v>
      </c>
      <c r="N145">
        <f>IF(Tabell9[[#This Row],[Korr ]]&gt;0,Tabell9[[#This Row],[Korr ]],Tabell9[[#This Row],[Såld minus ftg]])</f>
        <v>30.91</v>
      </c>
      <c r="Q145" s="8"/>
    </row>
    <row r="146" spans="1:20" x14ac:dyDescent="0.25">
      <c r="A146" t="s">
        <v>601</v>
      </c>
      <c r="B146" t="s">
        <v>417</v>
      </c>
      <c r="C146">
        <v>2021</v>
      </c>
      <c r="D146">
        <v>4.51</v>
      </c>
      <c r="K146">
        <f>Tabell9[[#This Row],[Såld värme (GWh)]]-Tabell9[[#This Row],[Levererad värme, andra fjärrvärmeföretag, företag 1 (GWh)]]-Tabell9[[#This Row],[Levererad värme, andra fjärrvärmeföretag, företag 2 (GWh)]]-Tabell9[[#This Row],[Levererad värme, andra fjärrvärmeföretag, företag 3 (GWh)]]</f>
        <v>4.51</v>
      </c>
      <c r="L146" t="str">
        <f>VLOOKUP(Tabell9[[#This Row],[Nät]],Tabell5[],2,FALSE)</f>
        <v>Stenkullen</v>
      </c>
      <c r="N146">
        <f>IF(Tabell9[[#This Row],[Korr ]]&gt;0,Tabell9[[#This Row],[Korr ]],Tabell9[[#This Row],[Såld minus ftg]])</f>
        <v>4.51</v>
      </c>
      <c r="Q146" s="8"/>
    </row>
    <row r="147" spans="1:20" x14ac:dyDescent="0.25">
      <c r="A147" t="s">
        <v>669</v>
      </c>
      <c r="B147" t="s">
        <v>187</v>
      </c>
      <c r="C147">
        <v>2021</v>
      </c>
      <c r="D147">
        <v>44.85</v>
      </c>
      <c r="K147">
        <f>Tabell9[[#This Row],[Såld värme (GWh)]]-Tabell9[[#This Row],[Levererad värme, andra fjärrvärmeföretag, företag 1 (GWh)]]-Tabell9[[#This Row],[Levererad värme, andra fjärrvärmeföretag, företag 2 (GWh)]]-Tabell9[[#This Row],[Levererad värme, andra fjärrvärmeföretag, företag 3 (GWh)]]</f>
        <v>44.85</v>
      </c>
      <c r="L147" t="str">
        <f>VLOOKUP(Tabell9[[#This Row],[Nät]],Tabell5[],2,FALSE)</f>
        <v>Lysekil</v>
      </c>
      <c r="N147">
        <f>IF(Tabell9[[#This Row],[Korr ]]&gt;0,Tabell9[[#This Row],[Korr ]],Tabell9[[#This Row],[Såld minus ftg]])</f>
        <v>44.85</v>
      </c>
      <c r="Q147" s="8"/>
    </row>
    <row r="148" spans="1:20" x14ac:dyDescent="0.25">
      <c r="A148" t="s">
        <v>983</v>
      </c>
      <c r="B148" t="s">
        <v>859</v>
      </c>
      <c r="C148">
        <v>2021</v>
      </c>
      <c r="D148">
        <v>66.58</v>
      </c>
      <c r="K148">
        <f>Tabell9[[#This Row],[Såld värme (GWh)]]-Tabell9[[#This Row],[Levererad värme, andra fjärrvärmeföretag, företag 1 (GWh)]]-Tabell9[[#This Row],[Levererad värme, andra fjärrvärmeföretag, företag 2 (GWh)]]-Tabell9[[#This Row],[Levererad värme, andra fjärrvärmeföretag, företag 3 (GWh)]]</f>
        <v>66.58</v>
      </c>
      <c r="M148">
        <v>0</v>
      </c>
      <c r="N148">
        <f>IF(Tabell9[[#This Row],[Korr ]]&gt;0,Tabell9[[#This Row],[Korr ]],Tabell9[[#This Row],[Såld minus ftg]])</f>
        <v>66.58</v>
      </c>
      <c r="Q148" s="8"/>
    </row>
    <row r="149" spans="1:20" x14ac:dyDescent="0.25">
      <c r="A149" t="s">
        <v>983</v>
      </c>
      <c r="B149" t="s">
        <v>188</v>
      </c>
      <c r="C149">
        <v>2021</v>
      </c>
      <c r="D149">
        <v>219.2</v>
      </c>
      <c r="K149">
        <f>Tabell9[[#This Row],[Såld värme (GWh)]]-Tabell9[[#This Row],[Levererad värme, andra fjärrvärmeföretag, företag 1 (GWh)]]-Tabell9[[#This Row],[Levererad värme, andra fjärrvärmeföretag, företag 2 (GWh)]]-Tabell9[[#This Row],[Levererad värme, andra fjärrvärmeföretag, företag 3 (GWh)]]</f>
        <v>219.2</v>
      </c>
      <c r="L149" t="str">
        <f>VLOOKUP(Tabell9[[#This Row],[Nät]],Tabell5[],2,FALSE)</f>
        <v>Lidköping</v>
      </c>
      <c r="M149">
        <f>Tabell9[[#This Row],[Såld minus ftg]]+K148</f>
        <v>285.77999999999997</v>
      </c>
      <c r="N149">
        <f>IF(Tabell9[[#This Row],[Korr ]]&gt;0,Tabell9[[#This Row],[Korr ]],Tabell9[[#This Row],[Såld minus ftg]])</f>
        <v>285.77999999999997</v>
      </c>
      <c r="Q149" s="8"/>
    </row>
    <row r="150" spans="1:20" x14ac:dyDescent="0.25">
      <c r="A150" t="s">
        <v>662</v>
      </c>
      <c r="B150" t="s">
        <v>189</v>
      </c>
      <c r="C150">
        <v>2021</v>
      </c>
      <c r="D150">
        <v>12.9</v>
      </c>
      <c r="K150">
        <f>Tabell9[[#This Row],[Såld värme (GWh)]]-Tabell9[[#This Row],[Levererad värme, andra fjärrvärmeföretag, företag 1 (GWh)]]-Tabell9[[#This Row],[Levererad värme, andra fjärrvärmeföretag, företag 2 (GWh)]]-Tabell9[[#This Row],[Levererad värme, andra fjärrvärmeföretag, företag 3 (GWh)]]</f>
        <v>12.9</v>
      </c>
      <c r="L150" t="str">
        <f>VLOOKUP(Tabell9[[#This Row],[Nät]],Tabell5[],2,FALSE)</f>
        <v>Lilla Edet</v>
      </c>
      <c r="N150">
        <f>IF(Tabell9[[#This Row],[Korr ]]&gt;0,Tabell9[[#This Row],[Korr ]],Tabell9[[#This Row],[Såld minus ftg]])</f>
        <v>12.9</v>
      </c>
      <c r="Q150" s="8"/>
    </row>
    <row r="151" spans="1:20" x14ac:dyDescent="0.25">
      <c r="A151" t="s">
        <v>606</v>
      </c>
      <c r="B151" t="s">
        <v>191</v>
      </c>
      <c r="C151">
        <v>2021</v>
      </c>
      <c r="D151">
        <v>14.8</v>
      </c>
      <c r="K151">
        <f>Tabell9[[#This Row],[Såld värme (GWh)]]-Tabell9[[#This Row],[Levererad värme, andra fjärrvärmeföretag, företag 1 (GWh)]]-Tabell9[[#This Row],[Levererad värme, andra fjärrvärmeföretag, företag 2 (GWh)]]-Tabell9[[#This Row],[Levererad värme, andra fjärrvärmeföretag, företag 3 (GWh)]]</f>
        <v>14.8</v>
      </c>
      <c r="L151" t="str">
        <f>VLOOKUP(Tabell9[[#This Row],[Nät]],Tabell5[],2,FALSE)</f>
        <v>Frövi</v>
      </c>
      <c r="N151">
        <f>IF(Tabell9[[#This Row],[Korr ]]&gt;0,Tabell9[[#This Row],[Korr ]],Tabell9[[#This Row],[Såld minus ftg]])</f>
        <v>14.8</v>
      </c>
      <c r="Q151" s="8"/>
    </row>
    <row r="152" spans="1:20" x14ac:dyDescent="0.25">
      <c r="A152" t="s">
        <v>606</v>
      </c>
      <c r="B152" t="s">
        <v>930</v>
      </c>
      <c r="C152">
        <v>2021</v>
      </c>
      <c r="D152">
        <v>5.2</v>
      </c>
      <c r="K152">
        <f>Tabell9[[#This Row],[Såld värme (GWh)]]-Tabell9[[#This Row],[Levererad värme, andra fjärrvärmeföretag, företag 1 (GWh)]]-Tabell9[[#This Row],[Levererad värme, andra fjärrvärmeföretag, företag 2 (GWh)]]-Tabell9[[#This Row],[Levererad värme, andra fjärrvärmeföretag, företag 3 (GWh)]]</f>
        <v>5.2</v>
      </c>
      <c r="L152" t="str">
        <f>VLOOKUP(Tabell9[[#This Row],[Nät]],Tabell5[],2,FALSE)</f>
        <v>Guldsmedhyttan</v>
      </c>
      <c r="N152">
        <f>IF(Tabell9[[#This Row],[Korr ]]&gt;0,Tabell9[[#This Row],[Korr ]],Tabell9[[#This Row],[Såld minus ftg]])</f>
        <v>5.2</v>
      </c>
      <c r="Q152" s="8"/>
    </row>
    <row r="153" spans="1:20" x14ac:dyDescent="0.25">
      <c r="A153" t="s">
        <v>606</v>
      </c>
      <c r="B153" t="s">
        <v>190</v>
      </c>
      <c r="C153">
        <v>2021</v>
      </c>
      <c r="D153">
        <v>89.1</v>
      </c>
      <c r="K153">
        <f>Tabell9[[#This Row],[Såld värme (GWh)]]-Tabell9[[#This Row],[Levererad värme, andra fjärrvärmeföretag, företag 1 (GWh)]]-Tabell9[[#This Row],[Levererad värme, andra fjärrvärmeföretag, företag 2 (GWh)]]-Tabell9[[#This Row],[Levererad värme, andra fjärrvärmeföretag, företag 3 (GWh)]]</f>
        <v>89.1</v>
      </c>
      <c r="L153" t="str">
        <f>VLOOKUP(Tabell9[[#This Row],[Nät]],Tabell5[],2,FALSE)</f>
        <v>Lindesberg</v>
      </c>
      <c r="N153">
        <f>IF(Tabell9[[#This Row],[Korr ]]&gt;0,Tabell9[[#This Row],[Korr ]],Tabell9[[#This Row],[Såld minus ftg]])</f>
        <v>89.1</v>
      </c>
      <c r="Q153" s="8"/>
      <c r="R153" s="4"/>
    </row>
    <row r="154" spans="1:20" x14ac:dyDescent="0.25">
      <c r="A154" t="s">
        <v>606</v>
      </c>
      <c r="B154" t="s">
        <v>192</v>
      </c>
      <c r="C154">
        <v>2021</v>
      </c>
      <c r="D154">
        <v>4.3</v>
      </c>
      <c r="K154">
        <f>Tabell9[[#This Row],[Såld värme (GWh)]]-Tabell9[[#This Row],[Levererad värme, andra fjärrvärmeföretag, företag 1 (GWh)]]-Tabell9[[#This Row],[Levererad värme, andra fjärrvärmeföretag, företag 2 (GWh)]]-Tabell9[[#This Row],[Levererad värme, andra fjärrvärmeföretag, företag 3 (GWh)]]</f>
        <v>4.3</v>
      </c>
      <c r="L154" t="str">
        <f>VLOOKUP(Tabell9[[#This Row],[Nät]],Tabell5[],2,FALSE)</f>
        <v>Vedevåg</v>
      </c>
      <c r="N154">
        <f>IF(Tabell9[[#This Row],[Korr ]]&gt;0,Tabell9[[#This Row],[Korr ]],Tabell9[[#This Row],[Såld minus ftg]])</f>
        <v>4.3</v>
      </c>
      <c r="Q154" s="8"/>
      <c r="R154" s="4"/>
    </row>
    <row r="155" spans="1:20" x14ac:dyDescent="0.25">
      <c r="A155" t="s">
        <v>663</v>
      </c>
      <c r="B155" t="s">
        <v>78</v>
      </c>
      <c r="C155">
        <v>2021</v>
      </c>
      <c r="D155">
        <v>148.5</v>
      </c>
      <c r="E155" t="s">
        <v>984</v>
      </c>
      <c r="F155">
        <v>12.89</v>
      </c>
      <c r="K155">
        <f>Tabell9[[#This Row],[Såld värme (GWh)]]-Tabell9[[#This Row],[Levererad värme, andra fjärrvärmeföretag, företag 1 (GWh)]]-Tabell9[[#This Row],[Levererad värme, andra fjärrvärmeföretag, företag 2 (GWh)]]-Tabell9[[#This Row],[Levererad värme, andra fjärrvärmeföretag, företag 3 (GWh)]]</f>
        <v>135.61000000000001</v>
      </c>
      <c r="L155" t="str">
        <f>VLOOKUP(Tabell9[[#This Row],[Nät]],Tabell5[],2,FALSE)</f>
        <v>Ljungby</v>
      </c>
      <c r="N155">
        <f>IF(Tabell9[[#This Row],[Korr ]]&gt;0,Tabell9[[#This Row],[Korr ]],Tabell9[[#This Row],[Såld minus ftg]])</f>
        <v>135.61000000000001</v>
      </c>
      <c r="Q155" s="8"/>
      <c r="R155" s="4"/>
    </row>
    <row r="156" spans="1:20" x14ac:dyDescent="0.25">
      <c r="A156" t="s">
        <v>608</v>
      </c>
      <c r="B156" t="s">
        <v>194</v>
      </c>
      <c r="C156">
        <v>2021</v>
      </c>
      <c r="D156">
        <v>8.1300000000000008</v>
      </c>
      <c r="K156">
        <f>Tabell9[[#This Row],[Såld värme (GWh)]]-Tabell9[[#This Row],[Levererad värme, andra fjärrvärmeföretag, företag 1 (GWh)]]-Tabell9[[#This Row],[Levererad värme, andra fjärrvärmeföretag, företag 2 (GWh)]]-Tabell9[[#This Row],[Levererad värme, andra fjärrvärmeföretag, företag 3 (GWh)]]</f>
        <v>8.1300000000000008</v>
      </c>
      <c r="L156" t="str">
        <f>VLOOKUP(Tabell9[[#This Row],[Nät]],Tabell5[],2,FALSE)</f>
        <v>Färila</v>
      </c>
      <c r="N156">
        <f>IF(Tabell9[[#This Row],[Korr ]]&gt;0,Tabell9[[#This Row],[Korr ]],Tabell9[[#This Row],[Såld minus ftg]])</f>
        <v>8.1300000000000008</v>
      </c>
      <c r="Q156" s="8"/>
      <c r="R156" s="4"/>
      <c r="T156" s="4"/>
    </row>
    <row r="157" spans="1:20" x14ac:dyDescent="0.25">
      <c r="A157" t="s">
        <v>608</v>
      </c>
      <c r="B157" t="s">
        <v>195</v>
      </c>
      <c r="C157">
        <v>2021</v>
      </c>
      <c r="D157">
        <v>11.05</v>
      </c>
      <c r="K157">
        <f>Tabell9[[#This Row],[Såld värme (GWh)]]-Tabell9[[#This Row],[Levererad värme, andra fjärrvärmeföretag, företag 1 (GWh)]]-Tabell9[[#This Row],[Levererad värme, andra fjärrvärmeföretag, företag 2 (GWh)]]-Tabell9[[#This Row],[Levererad värme, andra fjärrvärmeföretag, företag 3 (GWh)]]</f>
        <v>11.05</v>
      </c>
      <c r="L157" t="str">
        <f>VLOOKUP(Tabell9[[#This Row],[Nät]],Tabell5[],2,FALSE)</f>
        <v>Järvsö</v>
      </c>
      <c r="N157">
        <f>IF(Tabell9[[#This Row],[Korr ]]&gt;0,Tabell9[[#This Row],[Korr ]],Tabell9[[#This Row],[Såld minus ftg]])</f>
        <v>11.05</v>
      </c>
      <c r="Q157" s="8"/>
      <c r="T157" s="4"/>
    </row>
    <row r="158" spans="1:20" x14ac:dyDescent="0.25">
      <c r="A158" t="s">
        <v>608</v>
      </c>
      <c r="B158" t="s">
        <v>193</v>
      </c>
      <c r="C158">
        <v>2021</v>
      </c>
      <c r="D158">
        <v>63.99</v>
      </c>
      <c r="K158">
        <f>Tabell9[[#This Row],[Såld värme (GWh)]]-Tabell9[[#This Row],[Levererad värme, andra fjärrvärmeföretag, företag 1 (GWh)]]-Tabell9[[#This Row],[Levererad värme, andra fjärrvärmeföretag, företag 2 (GWh)]]-Tabell9[[#This Row],[Levererad värme, andra fjärrvärmeföretag, företag 3 (GWh)]]</f>
        <v>63.99</v>
      </c>
      <c r="L158" t="str">
        <f>VLOOKUP(Tabell9[[#This Row],[Nät]],Tabell5[],2,FALSE)</f>
        <v>Ljusdal</v>
      </c>
      <c r="N158">
        <f>IF(Tabell9[[#This Row],[Korr ]]&gt;0,Tabell9[[#This Row],[Korr ]],Tabell9[[#This Row],[Såld minus ftg]])</f>
        <v>63.99</v>
      </c>
      <c r="Q158" s="8"/>
      <c r="T158" s="4"/>
    </row>
    <row r="159" spans="1:20" x14ac:dyDescent="0.25">
      <c r="A159" t="s">
        <v>667</v>
      </c>
      <c r="B159" t="s">
        <v>196</v>
      </c>
      <c r="C159">
        <v>2021</v>
      </c>
      <c r="D159">
        <v>824.3</v>
      </c>
      <c r="K159">
        <f>Tabell9[[#This Row],[Såld värme (GWh)]]-Tabell9[[#This Row],[Levererad värme, andra fjärrvärmeföretag, företag 1 (GWh)]]-Tabell9[[#This Row],[Levererad värme, andra fjärrvärmeföretag, företag 2 (GWh)]]-Tabell9[[#This Row],[Levererad värme, andra fjärrvärmeföretag, företag 3 (GWh)]]</f>
        <v>824.3</v>
      </c>
      <c r="L159" t="str">
        <f>VLOOKUP(Tabell9[[#This Row],[Nät]],Tabell5[],2,FALSE)</f>
        <v>Luleå</v>
      </c>
      <c r="M159">
        <f>Tabell9[[#This Row],[Såld minus ftg]]+K160</f>
        <v>833.43999999999994</v>
      </c>
      <c r="N159">
        <f>IF(Tabell9[[#This Row],[Korr ]]&gt;0,Tabell9[[#This Row],[Korr ]],Tabell9[[#This Row],[Såld minus ftg]])</f>
        <v>833.43999999999994</v>
      </c>
      <c r="Q159" s="8"/>
      <c r="T159" s="4"/>
    </row>
    <row r="160" spans="1:20" x14ac:dyDescent="0.25">
      <c r="A160" t="s">
        <v>667</v>
      </c>
      <c r="B160" t="s">
        <v>860</v>
      </c>
      <c r="C160">
        <v>2021</v>
      </c>
      <c r="D160">
        <v>9.14</v>
      </c>
      <c r="K160">
        <f>Tabell9[[#This Row],[Såld värme (GWh)]]-Tabell9[[#This Row],[Levererad värme, andra fjärrvärmeföretag, företag 1 (GWh)]]-Tabell9[[#This Row],[Levererad värme, andra fjärrvärmeföretag, företag 2 (GWh)]]-Tabell9[[#This Row],[Levererad värme, andra fjärrvärmeföretag, företag 3 (GWh)]]</f>
        <v>9.14</v>
      </c>
      <c r="M160">
        <v>0</v>
      </c>
      <c r="N160">
        <f>IF(Tabell9[[#This Row],[Korr ]]&gt;0,Tabell9[[#This Row],[Korr ]],Tabell9[[#This Row],[Såld minus ftg]])</f>
        <v>9.14</v>
      </c>
      <c r="Q160" s="8"/>
    </row>
    <row r="161" spans="1:20" x14ac:dyDescent="0.25">
      <c r="A161" t="s">
        <v>667</v>
      </c>
      <c r="B161" t="s">
        <v>197</v>
      </c>
      <c r="C161">
        <v>2021</v>
      </c>
      <c r="D161">
        <v>22.4</v>
      </c>
      <c r="K161">
        <f>Tabell9[[#This Row],[Såld värme (GWh)]]-Tabell9[[#This Row],[Levererad värme, andra fjärrvärmeföretag, företag 1 (GWh)]]-Tabell9[[#This Row],[Levererad värme, andra fjärrvärmeföretag, företag 2 (GWh)]]-Tabell9[[#This Row],[Levererad värme, andra fjärrvärmeföretag, företag 3 (GWh)]]</f>
        <v>22.4</v>
      </c>
      <c r="L161" t="str">
        <f>VLOOKUP(Tabell9[[#This Row],[Nät]],Tabell5[],2,FALSE)</f>
        <v>Råneå</v>
      </c>
      <c r="N161">
        <f>IF(Tabell9[[#This Row],[Korr ]]&gt;0,Tabell9[[#This Row],[Korr ]],Tabell9[[#This Row],[Såld minus ftg]])</f>
        <v>22.4</v>
      </c>
      <c r="Q161" s="8"/>
      <c r="T161" s="4"/>
    </row>
    <row r="162" spans="1:20" x14ac:dyDescent="0.25">
      <c r="A162" t="s">
        <v>671</v>
      </c>
      <c r="B162" t="s">
        <v>201</v>
      </c>
      <c r="C162">
        <v>2021</v>
      </c>
      <c r="D162">
        <v>27.2</v>
      </c>
      <c r="K162">
        <f>Tabell9[[#This Row],[Såld värme (GWh)]]-Tabell9[[#This Row],[Levererad värme, andra fjärrvärmeföretag, företag 1 (GWh)]]-Tabell9[[#This Row],[Levererad värme, andra fjärrvärmeföretag, företag 2 (GWh)]]-Tabell9[[#This Row],[Levererad värme, andra fjärrvärmeföretag, företag 3 (GWh)]]</f>
        <v>27.2</v>
      </c>
      <c r="L162" t="str">
        <f>VLOOKUP(Tabell9[[#This Row],[Nät]],Tabell5[],2,FALSE)</f>
        <v>Malung</v>
      </c>
      <c r="N162">
        <f>IF(Tabell9[[#This Row],[Korr ]]&gt;0,Tabell9[[#This Row],[Korr ]],Tabell9[[#This Row],[Såld minus ftg]])</f>
        <v>27.2</v>
      </c>
      <c r="Q162" s="8"/>
    </row>
    <row r="163" spans="1:20" x14ac:dyDescent="0.25">
      <c r="A163" t="s">
        <v>1140</v>
      </c>
      <c r="B163" t="s">
        <v>861</v>
      </c>
      <c r="C163">
        <v>2021</v>
      </c>
      <c r="D163">
        <v>99.05</v>
      </c>
      <c r="K163">
        <f>Tabell9[[#This Row],[Såld värme (GWh)]]-Tabell9[[#This Row],[Levererad värme, andra fjärrvärmeföretag, företag 1 (GWh)]]-Tabell9[[#This Row],[Levererad värme, andra fjärrvärmeföretag, företag 2 (GWh)]]-Tabell9[[#This Row],[Levererad värme, andra fjärrvärmeföretag, företag 3 (GWh)]]</f>
        <v>99.05</v>
      </c>
      <c r="L163" t="str">
        <f>VLOOKUP(Tabell9[[#This Row],[Nät]],Tabell5[],2,FALSE)</f>
        <v>Assberg - Fritslanäten</v>
      </c>
      <c r="N163">
        <f>IF(Tabell9[[#This Row],[Korr ]]&gt;0,Tabell9[[#This Row],[Korr ]],Tabell9[[#This Row],[Såld minus ftg]])</f>
        <v>99.05</v>
      </c>
      <c r="Q163" s="8"/>
    </row>
    <row r="164" spans="1:20" x14ac:dyDescent="0.25">
      <c r="A164" t="s">
        <v>1140</v>
      </c>
      <c r="B164" t="s">
        <v>772</v>
      </c>
      <c r="C164">
        <v>2021</v>
      </c>
      <c r="D164">
        <v>1.325</v>
      </c>
      <c r="K164">
        <f>Tabell9[[#This Row],[Såld värme (GWh)]]-Tabell9[[#This Row],[Levererad värme, andra fjärrvärmeföretag, företag 1 (GWh)]]-Tabell9[[#This Row],[Levererad värme, andra fjärrvärmeföretag, företag 2 (GWh)]]-Tabell9[[#This Row],[Levererad värme, andra fjärrvärmeföretag, företag 3 (GWh)]]</f>
        <v>1.325</v>
      </c>
      <c r="L164" t="str">
        <f>VLOOKUP(Tabell9[[#This Row],[Nät]],Tabell5[],2,FALSE)</f>
        <v>Hyssna</v>
      </c>
      <c r="N164">
        <f>IF(Tabell9[[#This Row],[Korr ]]&gt;0,Tabell9[[#This Row],[Korr ]],Tabell9[[#This Row],[Såld minus ftg]])</f>
        <v>1.325</v>
      </c>
      <c r="Q164" s="8"/>
    </row>
    <row r="165" spans="1:20" x14ac:dyDescent="0.25">
      <c r="A165" t="s">
        <v>673</v>
      </c>
      <c r="B165" t="s">
        <v>205</v>
      </c>
      <c r="C165">
        <v>2021</v>
      </c>
      <c r="D165">
        <v>187.3</v>
      </c>
      <c r="K165">
        <f>Tabell9[[#This Row],[Såld värme (GWh)]]-Tabell9[[#This Row],[Levererad värme, andra fjärrvärmeföretag, företag 1 (GWh)]]-Tabell9[[#This Row],[Levererad värme, andra fjärrvärmeföretag, företag 2 (GWh)]]-Tabell9[[#This Row],[Levererad värme, andra fjärrvärmeföretag, företag 3 (GWh)]]</f>
        <v>187.3</v>
      </c>
      <c r="L165" t="str">
        <f>VLOOKUP(Tabell9[[#This Row],[Nät]],Tabell5[],2,FALSE)</f>
        <v>Mjölby</v>
      </c>
      <c r="N165">
        <f>IF(Tabell9[[#This Row],[Korr ]]&gt;0,Tabell9[[#This Row],[Korr ]],Tabell9[[#This Row],[Såld minus ftg]])</f>
        <v>187.3</v>
      </c>
      <c r="Q165" s="8"/>
    </row>
    <row r="166" spans="1:20" x14ac:dyDescent="0.25">
      <c r="A166" t="s">
        <v>620</v>
      </c>
      <c r="B166" t="s">
        <v>209</v>
      </c>
      <c r="C166">
        <v>2021</v>
      </c>
      <c r="D166">
        <v>38.700000000000003</v>
      </c>
      <c r="K166">
        <f>Tabell9[[#This Row],[Såld värme (GWh)]]-Tabell9[[#This Row],[Levererad värme, andra fjärrvärmeföretag, företag 1 (GWh)]]-Tabell9[[#This Row],[Levererad värme, andra fjärrvärmeföretag, företag 2 (GWh)]]-Tabell9[[#This Row],[Levererad värme, andra fjärrvärmeföretag, företag 3 (GWh)]]</f>
        <v>38.700000000000003</v>
      </c>
      <c r="L166" t="str">
        <f>VLOOKUP(Tabell9[[#This Row],[Nät]],Tabell5[],2,FALSE)</f>
        <v>Kungsör</v>
      </c>
      <c r="N166">
        <f>IF(Tabell9[[#This Row],[Korr ]]&gt;0,Tabell9[[#This Row],[Korr ]],Tabell9[[#This Row],[Såld minus ftg]])</f>
        <v>38.700000000000003</v>
      </c>
      <c r="Q166" s="8"/>
    </row>
    <row r="167" spans="1:20" x14ac:dyDescent="0.25">
      <c r="A167" t="s">
        <v>620</v>
      </c>
      <c r="B167" t="s">
        <v>207</v>
      </c>
      <c r="C167">
        <v>2021</v>
      </c>
      <c r="D167">
        <v>1469.032972</v>
      </c>
      <c r="K167">
        <f>Tabell9[[#This Row],[Såld värme (GWh)]]-Tabell9[[#This Row],[Levererad värme, andra fjärrvärmeföretag, företag 1 (GWh)]]-Tabell9[[#This Row],[Levererad värme, andra fjärrvärmeföretag, företag 2 (GWh)]]-Tabell9[[#This Row],[Levererad värme, andra fjärrvärmeföretag, företag 3 (GWh)]]</f>
        <v>1469.032972</v>
      </c>
      <c r="L167" t="str">
        <f>VLOOKUP(Tabell9[[#This Row],[Nät]],Tabell5[],2,FALSE)</f>
        <v>Västerås</v>
      </c>
      <c r="M167">
        <f>Tabell9[[#This Row],[Såld minus ftg]]+K168</f>
        <v>1519.5268149999999</v>
      </c>
      <c r="N167">
        <f>IF(Tabell9[[#This Row],[Korr ]]&gt;0,Tabell9[[#This Row],[Korr ]],Tabell9[[#This Row],[Såld minus ftg]])</f>
        <v>1519.5268149999999</v>
      </c>
      <c r="Q167" s="8"/>
    </row>
    <row r="168" spans="1:20" x14ac:dyDescent="0.25">
      <c r="A168" t="s">
        <v>620</v>
      </c>
      <c r="B168" t="s">
        <v>790</v>
      </c>
      <c r="C168">
        <v>2021</v>
      </c>
      <c r="D168">
        <v>50.493842999999998</v>
      </c>
      <c r="K168">
        <f>Tabell9[[#This Row],[Såld värme (GWh)]]-Tabell9[[#This Row],[Levererad värme, andra fjärrvärmeföretag, företag 1 (GWh)]]-Tabell9[[#This Row],[Levererad värme, andra fjärrvärmeföretag, företag 2 (GWh)]]-Tabell9[[#This Row],[Levererad värme, andra fjärrvärmeföretag, företag 3 (GWh)]]</f>
        <v>50.493842999999998</v>
      </c>
      <c r="M168">
        <v>0</v>
      </c>
      <c r="N168">
        <f>IF(Tabell9[[#This Row],[Korr ]]&gt;0,Tabell9[[#This Row],[Korr ]],Tabell9[[#This Row],[Såld minus ftg]])</f>
        <v>50.493842999999998</v>
      </c>
      <c r="Q168" s="8"/>
    </row>
    <row r="169" spans="1:20" x14ac:dyDescent="0.25">
      <c r="A169" t="s">
        <v>676</v>
      </c>
      <c r="B169" t="s">
        <v>210</v>
      </c>
      <c r="C169">
        <v>2021</v>
      </c>
      <c r="D169">
        <v>384.88400000000001</v>
      </c>
      <c r="E169" t="s">
        <v>986</v>
      </c>
      <c r="F169">
        <v>153.44399999999999</v>
      </c>
      <c r="K169">
        <f>Tabell9[[#This Row],[Såld värme (GWh)]]-Tabell9[[#This Row],[Levererad värme, andra fjärrvärmeföretag, företag 1 (GWh)]]-Tabell9[[#This Row],[Levererad värme, andra fjärrvärmeföretag, företag 2 (GWh)]]-Tabell9[[#This Row],[Levererad värme, andra fjärrvärmeföretag, företag 3 (GWh)]]</f>
        <v>231.44000000000003</v>
      </c>
      <c r="L169" t="str">
        <f>VLOOKUP(Tabell9[[#This Row],[Nät]],Tabell5[],2,FALSE)</f>
        <v>Mölndal</v>
      </c>
      <c r="M169">
        <f>Tabell9[[#This Row],[Såld minus ftg]]+K170</f>
        <v>298.72800000000001</v>
      </c>
      <c r="N169">
        <f>IF(Tabell9[[#This Row],[Korr ]]&gt;0,Tabell9[[#This Row],[Korr ]],Tabell9[[#This Row],[Såld minus ftg]])</f>
        <v>298.72800000000001</v>
      </c>
      <c r="Q169" s="8"/>
    </row>
    <row r="170" spans="1:20" x14ac:dyDescent="0.25">
      <c r="A170" t="s">
        <v>676</v>
      </c>
      <c r="B170" t="s">
        <v>819</v>
      </c>
      <c r="C170">
        <v>2021</v>
      </c>
      <c r="D170">
        <v>67.287999999999997</v>
      </c>
      <c r="K170">
        <f>Tabell9[[#This Row],[Såld värme (GWh)]]-Tabell9[[#This Row],[Levererad värme, andra fjärrvärmeföretag, företag 1 (GWh)]]-Tabell9[[#This Row],[Levererad värme, andra fjärrvärmeföretag, företag 2 (GWh)]]-Tabell9[[#This Row],[Levererad värme, andra fjärrvärmeföretag, företag 3 (GWh)]]</f>
        <v>67.287999999999997</v>
      </c>
      <c r="M170">
        <v>0</v>
      </c>
      <c r="N170">
        <f>IF(Tabell9[[#This Row],[Korr ]]&gt;0,Tabell9[[#This Row],[Korr ]],Tabell9[[#This Row],[Såld minus ftg]])</f>
        <v>67.287999999999997</v>
      </c>
      <c r="Q170" s="8"/>
    </row>
    <row r="171" spans="1:20" x14ac:dyDescent="0.25">
      <c r="A171" t="s">
        <v>1091</v>
      </c>
      <c r="B171" t="s">
        <v>987</v>
      </c>
      <c r="C171">
        <v>2021</v>
      </c>
      <c r="D171">
        <v>3.5070000000000001</v>
      </c>
      <c r="K171">
        <f>Tabell9[[#This Row],[Såld värme (GWh)]]-Tabell9[[#This Row],[Levererad värme, andra fjärrvärmeföretag, företag 1 (GWh)]]-Tabell9[[#This Row],[Levererad värme, andra fjärrvärmeföretag, företag 2 (GWh)]]-Tabell9[[#This Row],[Levererad värme, andra fjärrvärmeföretag, företag 3 (GWh)]]</f>
        <v>3.5070000000000001</v>
      </c>
      <c r="L171" t="str">
        <f>VLOOKUP(Tabell9[[#This Row],[Nät]],Tabell5[],2,FALSE)</f>
        <v>Billesholm</v>
      </c>
      <c r="N171">
        <f>IF(Tabell9[[#This Row],[Korr ]]&gt;0,Tabell9[[#This Row],[Korr ]],Tabell9[[#This Row],[Såld minus ftg]])</f>
        <v>3.5070000000000001</v>
      </c>
      <c r="Q171" s="8"/>
    </row>
    <row r="172" spans="1:20" x14ac:dyDescent="0.25">
      <c r="A172" t="s">
        <v>1091</v>
      </c>
      <c r="B172" t="s">
        <v>213</v>
      </c>
      <c r="C172">
        <v>2021</v>
      </c>
      <c r="D172">
        <v>26.222999999999999</v>
      </c>
      <c r="K172">
        <f>Tabell9[[#This Row],[Såld värme (GWh)]]-Tabell9[[#This Row],[Levererad värme, andra fjärrvärmeföretag, företag 1 (GWh)]]-Tabell9[[#This Row],[Levererad värme, andra fjärrvärmeföretag, företag 2 (GWh)]]-Tabell9[[#This Row],[Levererad värme, andra fjärrvärmeföretag, företag 3 (GWh)]]</f>
        <v>26.222999999999999</v>
      </c>
      <c r="L172" t="str">
        <f>VLOOKUP(Tabell9[[#This Row],[Nät]],Tabell5[],2,FALSE)</f>
        <v>Bjuv</v>
      </c>
      <c r="N172">
        <f>IF(Tabell9[[#This Row],[Korr ]]&gt;0,Tabell9[[#This Row],[Korr ]],Tabell9[[#This Row],[Såld minus ftg]])</f>
        <v>26.222999999999999</v>
      </c>
      <c r="Q172" s="8"/>
    </row>
    <row r="173" spans="1:20" x14ac:dyDescent="0.25">
      <c r="A173" t="s">
        <v>1091</v>
      </c>
      <c r="B173" t="s">
        <v>1141</v>
      </c>
      <c r="C173">
        <v>2021</v>
      </c>
      <c r="D173">
        <v>5.3650000000000002</v>
      </c>
      <c r="K173">
        <f>Tabell9[[#This Row],[Såld värme (GWh)]]-Tabell9[[#This Row],[Levererad värme, andra fjärrvärmeföretag, företag 1 (GWh)]]-Tabell9[[#This Row],[Levererad värme, andra fjärrvärmeföretag, företag 2 (GWh)]]-Tabell9[[#This Row],[Levererad värme, andra fjärrvärmeföretag, företag 3 (GWh)]]</f>
        <v>5.3650000000000002</v>
      </c>
      <c r="L173" t="str">
        <f>VLOOKUP(Tabell9[[#This Row],[Nät]],Tabell5[],2,FALSE)</f>
        <v>Ellös</v>
      </c>
      <c r="N173">
        <f>IF(Tabell9[[#This Row],[Korr ]]&gt;0,Tabell9[[#This Row],[Korr ]],Tabell9[[#This Row],[Såld minus ftg]])</f>
        <v>5.3650000000000002</v>
      </c>
      <c r="Q173" s="8"/>
    </row>
    <row r="174" spans="1:20" x14ac:dyDescent="0.25">
      <c r="A174" t="s">
        <v>1091</v>
      </c>
      <c r="B174" t="s">
        <v>214</v>
      </c>
      <c r="C174">
        <v>2021</v>
      </c>
      <c r="D174">
        <v>17.186</v>
      </c>
      <c r="K174">
        <f>Tabell9[[#This Row],[Såld värme (GWh)]]-Tabell9[[#This Row],[Levererad värme, andra fjärrvärmeföretag, företag 1 (GWh)]]-Tabell9[[#This Row],[Levererad värme, andra fjärrvärmeföretag, företag 2 (GWh)]]-Tabell9[[#This Row],[Levererad värme, andra fjärrvärmeföretag, företag 3 (GWh)]]</f>
        <v>17.186</v>
      </c>
      <c r="L174" t="str">
        <f>VLOOKUP(Tabell9[[#This Row],[Nät]],Tabell5[],2,FALSE)</f>
        <v>Gimo</v>
      </c>
      <c r="N174">
        <f>IF(Tabell9[[#This Row],[Korr ]]&gt;0,Tabell9[[#This Row],[Korr ]],Tabell9[[#This Row],[Såld minus ftg]])</f>
        <v>17.186</v>
      </c>
      <c r="Q174" s="8"/>
    </row>
    <row r="175" spans="1:20" x14ac:dyDescent="0.25">
      <c r="A175" t="s">
        <v>1091</v>
      </c>
      <c r="B175" t="s">
        <v>1038</v>
      </c>
      <c r="C175">
        <v>2021</v>
      </c>
      <c r="D175">
        <v>4.8979999999999997</v>
      </c>
      <c r="K175">
        <f>Tabell9[[#This Row],[Såld värme (GWh)]]-Tabell9[[#This Row],[Levererad värme, andra fjärrvärmeföretag, företag 1 (GWh)]]-Tabell9[[#This Row],[Levererad värme, andra fjärrvärmeföretag, företag 2 (GWh)]]-Tabell9[[#This Row],[Levererad värme, andra fjärrvärmeföretag, företag 3 (GWh)]]</f>
        <v>4.8979999999999997</v>
      </c>
      <c r="L175" s="43" t="str">
        <f>VLOOKUP(Tabell9[[#This Row],[Nät]],Tabell5[],2,FALSE)</f>
        <v>Gnosjö</v>
      </c>
      <c r="N175">
        <f>IF(Tabell9[[#This Row],[Korr ]]&gt;0,Tabell9[[#This Row],[Korr ]],Tabell9[[#This Row],[Såld minus ftg]])</f>
        <v>4.8979999999999997</v>
      </c>
      <c r="Q175" s="8"/>
    </row>
    <row r="176" spans="1:20" x14ac:dyDescent="0.25">
      <c r="A176" t="s">
        <v>1091</v>
      </c>
      <c r="B176" t="s">
        <v>1142</v>
      </c>
      <c r="C176">
        <v>2021</v>
      </c>
      <c r="D176">
        <v>3.7440000000000002</v>
      </c>
      <c r="K176">
        <f>Tabell9[[#This Row],[Såld värme (GWh)]]-Tabell9[[#This Row],[Levererad värme, andra fjärrvärmeföretag, företag 1 (GWh)]]-Tabell9[[#This Row],[Levererad värme, andra fjärrvärmeföretag, företag 2 (GWh)]]-Tabell9[[#This Row],[Levererad värme, andra fjärrvärmeföretag, företag 3 (GWh)]]</f>
        <v>3.7440000000000002</v>
      </c>
      <c r="L176" t="str">
        <f>VLOOKUP(Tabell9[[#This Row],[Nät]],Tabell5[],2,FALSE)</f>
        <v>Henån</v>
      </c>
      <c r="N176">
        <f>IF(Tabell9[[#This Row],[Korr ]]&gt;0,Tabell9[[#This Row],[Korr ]],Tabell9[[#This Row],[Såld minus ftg]])</f>
        <v>3.7440000000000002</v>
      </c>
      <c r="Q176" s="8"/>
    </row>
    <row r="177" spans="1:21" x14ac:dyDescent="0.25">
      <c r="A177" t="s">
        <v>1091</v>
      </c>
      <c r="B177" t="s">
        <v>400</v>
      </c>
      <c r="C177">
        <v>2021</v>
      </c>
      <c r="D177">
        <v>1.9850000000000001</v>
      </c>
      <c r="K177">
        <f>Tabell9[[#This Row],[Såld värme (GWh)]]-Tabell9[[#This Row],[Levererad värme, andra fjärrvärmeföretag, företag 1 (GWh)]]-Tabell9[[#This Row],[Levererad värme, andra fjärrvärmeföretag, företag 2 (GWh)]]-Tabell9[[#This Row],[Levererad värme, andra fjärrvärmeföretag, företag 3 (GWh)]]</f>
        <v>1.9850000000000001</v>
      </c>
      <c r="L177" t="str">
        <f>VLOOKUP(Tabell9[[#This Row],[Nät]],Tabell5[],2,FALSE)</f>
        <v>Hjärnarp</v>
      </c>
      <c r="N177">
        <f>IF(Tabell9[[#This Row],[Korr ]]&gt;0,Tabell9[[#This Row],[Korr ]],Tabell9[[#This Row],[Såld minus ftg]])</f>
        <v>1.9850000000000001</v>
      </c>
      <c r="Q177" s="8"/>
    </row>
    <row r="178" spans="1:21" x14ac:dyDescent="0.25">
      <c r="A178" t="s">
        <v>1091</v>
      </c>
      <c r="B178" t="s">
        <v>215</v>
      </c>
      <c r="C178">
        <v>2021</v>
      </c>
      <c r="D178">
        <v>33.323</v>
      </c>
      <c r="K178">
        <f>Tabell9[[#This Row],[Såld värme (GWh)]]-Tabell9[[#This Row],[Levererad värme, andra fjärrvärmeföretag, företag 1 (GWh)]]-Tabell9[[#This Row],[Levererad värme, andra fjärrvärmeföretag, företag 2 (GWh)]]-Tabell9[[#This Row],[Levererad värme, andra fjärrvärmeföretag, företag 3 (GWh)]]</f>
        <v>33.323</v>
      </c>
      <c r="L178" t="str">
        <f>VLOOKUP(Tabell9[[#This Row],[Nät]],Tabell5[],2,FALSE)</f>
        <v>Hultsfred</v>
      </c>
      <c r="N178">
        <f>IF(Tabell9[[#This Row],[Korr ]]&gt;0,Tabell9[[#This Row],[Korr ]],Tabell9[[#This Row],[Såld minus ftg]])</f>
        <v>33.323</v>
      </c>
      <c r="Q178" s="8"/>
    </row>
    <row r="179" spans="1:21" x14ac:dyDescent="0.25">
      <c r="A179" t="s">
        <v>1091</v>
      </c>
      <c r="B179" t="s">
        <v>211</v>
      </c>
      <c r="C179">
        <v>2021</v>
      </c>
      <c r="D179">
        <v>45.765000000000001</v>
      </c>
      <c r="K179">
        <f>Tabell9[[#This Row],[Såld värme (GWh)]]-Tabell9[[#This Row],[Levererad värme, andra fjärrvärmeföretag, företag 1 (GWh)]]-Tabell9[[#This Row],[Levererad värme, andra fjärrvärmeföretag, företag 2 (GWh)]]-Tabell9[[#This Row],[Levererad värme, andra fjärrvärmeföretag, företag 3 (GWh)]]</f>
        <v>45.765000000000001</v>
      </c>
      <c r="L179" t="str">
        <f>VLOOKUP(Tabell9[[#This Row],[Nät]],Tabell5[],2,FALSE)</f>
        <v>Kramfors</v>
      </c>
      <c r="N179">
        <f>IF(Tabell9[[#This Row],[Korr ]]&gt;0,Tabell9[[#This Row],[Korr ]],Tabell9[[#This Row],[Såld minus ftg]])</f>
        <v>45.765000000000001</v>
      </c>
      <c r="Q179" s="8"/>
    </row>
    <row r="180" spans="1:21" x14ac:dyDescent="0.25">
      <c r="A180" t="s">
        <v>1091</v>
      </c>
      <c r="B180" t="s">
        <v>931</v>
      </c>
      <c r="C180">
        <v>2021</v>
      </c>
      <c r="D180">
        <v>7.3029999999999999</v>
      </c>
      <c r="K180">
        <f>Tabell9[[#This Row],[Såld värme (GWh)]]-Tabell9[[#This Row],[Levererad värme, andra fjärrvärmeföretag, företag 1 (GWh)]]-Tabell9[[#This Row],[Levererad värme, andra fjärrvärmeföretag, företag 2 (GWh)]]-Tabell9[[#This Row],[Levererad värme, andra fjärrvärmeföretag, företag 3 (GWh)]]</f>
        <v>7.3029999999999999</v>
      </c>
      <c r="L180" t="str">
        <f>VLOOKUP(Tabell9[[#This Row],[Nät]],Tabell5[],2,FALSE)</f>
        <v>Smålandsstenar</v>
      </c>
      <c r="N180">
        <f>IF(Tabell9[[#This Row],[Korr ]]&gt;0,Tabell9[[#This Row],[Korr ]],Tabell9[[#This Row],[Såld minus ftg]])</f>
        <v>7.3029999999999999</v>
      </c>
      <c r="Q180" s="8"/>
    </row>
    <row r="181" spans="1:21" x14ac:dyDescent="0.25">
      <c r="A181" t="s">
        <v>1091</v>
      </c>
      <c r="B181" t="s">
        <v>865</v>
      </c>
      <c r="C181">
        <v>2021</v>
      </c>
      <c r="D181">
        <v>10.118</v>
      </c>
      <c r="K181">
        <f>Tabell9[[#This Row],[Såld värme (GWh)]]-Tabell9[[#This Row],[Levererad värme, andra fjärrvärmeföretag, företag 1 (GWh)]]-Tabell9[[#This Row],[Levererad värme, andra fjärrvärmeföretag, företag 2 (GWh)]]-Tabell9[[#This Row],[Levererad värme, andra fjärrvärmeföretag, företag 3 (GWh)]]</f>
        <v>10.118</v>
      </c>
      <c r="L181" t="str">
        <f>VLOOKUP(Tabell9[[#This Row],[Nät]],Tabell5[],2,FALSE)</f>
        <v>Tanumshede</v>
      </c>
      <c r="N181">
        <f>IF(Tabell9[[#This Row],[Korr ]]&gt;0,Tabell9[[#This Row],[Korr ]],Tabell9[[#This Row],[Såld minus ftg]])</f>
        <v>10.118</v>
      </c>
      <c r="Q181" s="8"/>
    </row>
    <row r="182" spans="1:21" x14ac:dyDescent="0.25">
      <c r="A182" t="s">
        <v>1091</v>
      </c>
      <c r="B182" t="s">
        <v>216</v>
      </c>
      <c r="C182">
        <v>2021</v>
      </c>
      <c r="D182">
        <v>63.819000000000003</v>
      </c>
      <c r="E182" t="s">
        <v>1156</v>
      </c>
      <c r="F182">
        <v>40.707999999999998</v>
      </c>
      <c r="K182">
        <f>Tabell9[[#This Row],[Såld värme (GWh)]]-Tabell9[[#This Row],[Levererad värme, andra fjärrvärmeföretag, företag 1 (GWh)]]-Tabell9[[#This Row],[Levererad värme, andra fjärrvärmeföretag, företag 2 (GWh)]]-Tabell9[[#This Row],[Levererad värme, andra fjärrvärmeföretag, företag 3 (GWh)]]</f>
        <v>23.111000000000004</v>
      </c>
      <c r="L182" t="str">
        <f>VLOOKUP(Tabell9[[#This Row],[Nät]],Tabell5[],2,FALSE)</f>
        <v>Tibro</v>
      </c>
      <c r="N182">
        <f>IF(Tabell9[[#This Row],[Korr ]]&gt;0,Tabell9[[#This Row],[Korr ]],Tabell9[[#This Row],[Såld minus ftg]])</f>
        <v>23.111000000000004</v>
      </c>
      <c r="Q182" s="8"/>
    </row>
    <row r="183" spans="1:21" x14ac:dyDescent="0.25">
      <c r="A183" t="s">
        <v>1091</v>
      </c>
      <c r="B183" t="s">
        <v>212</v>
      </c>
      <c r="C183">
        <v>2021</v>
      </c>
      <c r="D183">
        <v>13.478999999999999</v>
      </c>
      <c r="K183">
        <f>Tabell9[[#This Row],[Såld värme (GWh)]]-Tabell9[[#This Row],[Levererad värme, andra fjärrvärmeföretag, företag 1 (GWh)]]-Tabell9[[#This Row],[Levererad värme, andra fjärrvärmeföretag, företag 2 (GWh)]]-Tabell9[[#This Row],[Levererad värme, andra fjärrvärmeföretag, företag 3 (GWh)]]</f>
        <v>13.478999999999999</v>
      </c>
      <c r="L183" t="str">
        <f>VLOOKUP(Tabell9[[#This Row],[Nät]],Tabell5[],2,FALSE)</f>
        <v>Valdemarsvik</v>
      </c>
      <c r="N183">
        <f>IF(Tabell9[[#This Row],[Korr ]]&gt;0,Tabell9[[#This Row],[Korr ]],Tabell9[[#This Row],[Såld minus ftg]])</f>
        <v>13.478999999999999</v>
      </c>
      <c r="Q183" s="8"/>
    </row>
    <row r="184" spans="1:21" x14ac:dyDescent="0.25">
      <c r="A184" t="s">
        <v>1091</v>
      </c>
      <c r="B184" t="s">
        <v>431</v>
      </c>
      <c r="C184">
        <v>2021</v>
      </c>
      <c r="D184">
        <v>8.7129999999999992</v>
      </c>
      <c r="K184">
        <f>Tabell9[[#This Row],[Såld värme (GWh)]]-Tabell9[[#This Row],[Levererad värme, andra fjärrvärmeföretag, företag 1 (GWh)]]-Tabell9[[#This Row],[Levererad värme, andra fjärrvärmeföretag, företag 2 (GWh)]]-Tabell9[[#This Row],[Levererad värme, andra fjärrvärmeföretag, företag 3 (GWh)]]</f>
        <v>8.7129999999999992</v>
      </c>
      <c r="L184" t="str">
        <f>VLOOKUP(Tabell9[[#This Row],[Nät]],Tabell5[],2,FALSE)</f>
        <v>Vejbystrand</v>
      </c>
      <c r="N184">
        <f>IF(Tabell9[[#This Row],[Korr ]]&gt;0,Tabell9[[#This Row],[Korr ]],Tabell9[[#This Row],[Såld minus ftg]])</f>
        <v>8.7129999999999992</v>
      </c>
      <c r="Q184" s="8"/>
    </row>
    <row r="185" spans="1:21" x14ac:dyDescent="0.25">
      <c r="A185" t="s">
        <v>1091</v>
      </c>
      <c r="B185" t="s">
        <v>217</v>
      </c>
      <c r="C185">
        <v>2021</v>
      </c>
      <c r="D185">
        <v>16.457000000000001</v>
      </c>
      <c r="K185">
        <f>Tabell9[[#This Row],[Såld värme (GWh)]]-Tabell9[[#This Row],[Levererad värme, andra fjärrvärmeföretag, företag 1 (GWh)]]-Tabell9[[#This Row],[Levererad värme, andra fjärrvärmeföretag, företag 2 (GWh)]]-Tabell9[[#This Row],[Levererad värme, andra fjärrvärmeföretag, företag 3 (GWh)]]</f>
        <v>16.457000000000001</v>
      </c>
      <c r="L185" t="str">
        <f>VLOOKUP(Tabell9[[#This Row],[Nät]],Tabell5[],2,FALSE)</f>
        <v>Årjäng</v>
      </c>
      <c r="N185">
        <f>IF(Tabell9[[#This Row],[Korr ]]&gt;0,Tabell9[[#This Row],[Korr ]],Tabell9[[#This Row],[Såld minus ftg]])</f>
        <v>16.457000000000001</v>
      </c>
      <c r="Q185" s="8"/>
    </row>
    <row r="186" spans="1:21" x14ac:dyDescent="0.25">
      <c r="A186" t="s">
        <v>1091</v>
      </c>
      <c r="B186" t="s">
        <v>482</v>
      </c>
      <c r="C186">
        <v>2021</v>
      </c>
      <c r="D186">
        <v>38.594999999999999</v>
      </c>
      <c r="K186">
        <f>Tabell9[[#This Row],[Såld värme (GWh)]]-Tabell9[[#This Row],[Levererad värme, andra fjärrvärmeföretag, företag 1 (GWh)]]-Tabell9[[#This Row],[Levererad värme, andra fjärrvärmeföretag, företag 2 (GWh)]]-Tabell9[[#This Row],[Levererad värme, andra fjärrvärmeföretag, företag 3 (GWh)]]</f>
        <v>38.594999999999999</v>
      </c>
      <c r="L186" t="str">
        <f>VLOOKUP(Tabell9[[#This Row],[Nät]],Tabell5[],2,FALSE)</f>
        <v>Åstorp</v>
      </c>
      <c r="N186">
        <f>IF(Tabell9[[#This Row],[Korr ]]&gt;0,Tabell9[[#This Row],[Korr ]],Tabell9[[#This Row],[Såld minus ftg]])</f>
        <v>38.594999999999999</v>
      </c>
      <c r="Q186" s="8"/>
    </row>
    <row r="187" spans="1:21" x14ac:dyDescent="0.25">
      <c r="A187" t="s">
        <v>1091</v>
      </c>
      <c r="B187" t="s">
        <v>218</v>
      </c>
      <c r="C187">
        <v>2021</v>
      </c>
      <c r="D187">
        <v>7.569</v>
      </c>
      <c r="K187">
        <f>Tabell9[[#This Row],[Såld värme (GWh)]]-Tabell9[[#This Row],[Levererad värme, andra fjärrvärmeföretag, företag 1 (GWh)]]-Tabell9[[#This Row],[Levererad värme, andra fjärrvärmeföretag, företag 2 (GWh)]]-Tabell9[[#This Row],[Levererad värme, andra fjärrvärmeföretag, företag 3 (GWh)]]</f>
        <v>7.569</v>
      </c>
      <c r="L187" t="str">
        <f>VLOOKUP(Tabell9[[#This Row],[Nät]],Tabell5[],2,FALSE)</f>
        <v>Österbybruk</v>
      </c>
      <c r="N187">
        <f>IF(Tabell9[[#This Row],[Korr ]]&gt;0,Tabell9[[#This Row],[Korr ]],Tabell9[[#This Row],[Såld minus ftg]])</f>
        <v>7.569</v>
      </c>
      <c r="Q187" s="8"/>
    </row>
    <row r="188" spans="1:21" x14ac:dyDescent="0.25">
      <c r="A188" t="s">
        <v>1091</v>
      </c>
      <c r="B188" t="s">
        <v>528</v>
      </c>
      <c r="C188">
        <v>2021</v>
      </c>
      <c r="D188">
        <v>7.9820000000000002</v>
      </c>
      <c r="K188">
        <f>Tabell9[[#This Row],[Såld värme (GWh)]]-Tabell9[[#This Row],[Levererad värme, andra fjärrvärmeföretag, företag 1 (GWh)]]-Tabell9[[#This Row],[Levererad värme, andra fjärrvärmeföretag, företag 2 (GWh)]]-Tabell9[[#This Row],[Levererad värme, andra fjärrvärmeföretag, företag 3 (GWh)]]</f>
        <v>7.9820000000000002</v>
      </c>
      <c r="L188" t="str">
        <f>VLOOKUP(Tabell9[[#This Row],[Nät]],Tabell5[],2,FALSE)</f>
        <v>Östhammar</v>
      </c>
      <c r="N188">
        <f>IF(Tabell9[[#This Row],[Korr ]]&gt;0,Tabell9[[#This Row],[Korr ]],Tabell9[[#This Row],[Såld minus ftg]])</f>
        <v>7.9820000000000002</v>
      </c>
      <c r="Q188" s="8"/>
    </row>
    <row r="189" spans="1:21" x14ac:dyDescent="0.25">
      <c r="A189" t="s">
        <v>866</v>
      </c>
      <c r="B189" t="s">
        <v>300</v>
      </c>
      <c r="C189">
        <v>2021</v>
      </c>
      <c r="D189">
        <v>4.3369999999999997</v>
      </c>
      <c r="K189">
        <f>Tabell9[[#This Row],[Såld värme (GWh)]]-Tabell9[[#This Row],[Levererad värme, andra fjärrvärmeföretag, företag 1 (GWh)]]-Tabell9[[#This Row],[Levererad värme, andra fjärrvärmeföretag, företag 2 (GWh)]]-Tabell9[[#This Row],[Levererad värme, andra fjärrvärmeföretag, företag 3 (GWh)]]</f>
        <v>4.3369999999999997</v>
      </c>
      <c r="L189" t="str">
        <f>VLOOKUP(Tabell9[[#This Row],[Nät]],Tabell5[],2,FALSE)</f>
        <v>Rörvik</v>
      </c>
      <c r="N189">
        <f>IF(Tabell9[[#This Row],[Korr ]]&gt;0,Tabell9[[#This Row],[Korr ]],Tabell9[[#This Row],[Såld minus ftg]])</f>
        <v>4.3369999999999997</v>
      </c>
      <c r="Q189" s="8"/>
    </row>
    <row r="190" spans="1:21" x14ac:dyDescent="0.25">
      <c r="A190" t="s">
        <v>866</v>
      </c>
      <c r="B190" t="s">
        <v>299</v>
      </c>
      <c r="C190">
        <v>2021</v>
      </c>
      <c r="D190">
        <v>50.347000000000001</v>
      </c>
      <c r="K190">
        <f>Tabell9[[#This Row],[Såld värme (GWh)]]-Tabell9[[#This Row],[Levererad värme, andra fjärrvärmeföretag, företag 1 (GWh)]]-Tabell9[[#This Row],[Levererad värme, andra fjärrvärmeföretag, företag 2 (GWh)]]-Tabell9[[#This Row],[Levererad värme, andra fjärrvärmeföretag, företag 3 (GWh)]]</f>
        <v>50.347000000000001</v>
      </c>
      <c r="L190" t="str">
        <f>VLOOKUP(Tabell9[[#This Row],[Nät]],Tabell5[],2,FALSE)</f>
        <v>Sävsjö</v>
      </c>
      <c r="N190">
        <f>IF(Tabell9[[#This Row],[Korr ]]&gt;0,Tabell9[[#This Row],[Korr ]],Tabell9[[#This Row],[Såld minus ftg]])</f>
        <v>50.347000000000001</v>
      </c>
      <c r="Q190" s="8"/>
    </row>
    <row r="191" spans="1:21" x14ac:dyDescent="0.25">
      <c r="A191" t="s">
        <v>867</v>
      </c>
      <c r="B191" t="s">
        <v>349</v>
      </c>
      <c r="C191">
        <v>2021</v>
      </c>
      <c r="D191">
        <v>4.4009999999999998</v>
      </c>
      <c r="K191">
        <f>Tabell9[[#This Row],[Såld värme (GWh)]]-Tabell9[[#This Row],[Levererad värme, andra fjärrvärmeföretag, företag 1 (GWh)]]-Tabell9[[#This Row],[Levererad värme, andra fjärrvärmeföretag, företag 2 (GWh)]]-Tabell9[[#This Row],[Levererad värme, andra fjärrvärmeföretag, företag 3 (GWh)]]</f>
        <v>4.4009999999999998</v>
      </c>
      <c r="L191" t="str">
        <f>VLOOKUP(Tabell9[[#This Row],[Nät]],Tabell5[],2,FALSE)</f>
        <v>Holsby</v>
      </c>
      <c r="N191">
        <f>IF(Tabell9[[#This Row],[Korr ]]&gt;0,Tabell9[[#This Row],[Korr ]],Tabell9[[#This Row],[Såld minus ftg]])</f>
        <v>4.4009999999999998</v>
      </c>
      <c r="Q191" s="8"/>
    </row>
    <row r="192" spans="1:21" x14ac:dyDescent="0.25">
      <c r="A192" t="s">
        <v>867</v>
      </c>
      <c r="B192" t="s">
        <v>348</v>
      </c>
      <c r="C192">
        <v>2021</v>
      </c>
      <c r="D192">
        <v>131.58699999999999</v>
      </c>
      <c r="K192">
        <f>Tabell9[[#This Row],[Såld värme (GWh)]]-Tabell9[[#This Row],[Levererad värme, andra fjärrvärmeföretag, företag 1 (GWh)]]-Tabell9[[#This Row],[Levererad värme, andra fjärrvärmeföretag, företag 2 (GWh)]]-Tabell9[[#This Row],[Levererad värme, andra fjärrvärmeföretag, företag 3 (GWh)]]</f>
        <v>131.58699999999999</v>
      </c>
      <c r="L192" t="str">
        <f>VLOOKUP(Tabell9[[#This Row],[Nät]],Tabell5[],2,FALSE)</f>
        <v>Vetlanda</v>
      </c>
      <c r="N192">
        <f>IF(Tabell9[[#This Row],[Korr ]]&gt;0,Tabell9[[#This Row],[Korr ]],Tabell9[[#This Row],[Såld minus ftg]])</f>
        <v>131.58699999999999</v>
      </c>
      <c r="Q192" s="8"/>
    </row>
    <row r="193" spans="1:18" x14ac:dyDescent="0.25">
      <c r="A193" t="s">
        <v>711</v>
      </c>
      <c r="B193" t="s">
        <v>219</v>
      </c>
      <c r="C193">
        <v>2021</v>
      </c>
      <c r="D193">
        <v>1038</v>
      </c>
      <c r="E193" t="s">
        <v>989</v>
      </c>
      <c r="F193">
        <v>2.149</v>
      </c>
      <c r="K193">
        <f>Tabell9[[#This Row],[Såld värme (GWh)]]-Tabell9[[#This Row],[Levererad värme, andra fjärrvärmeföretag, företag 1 (GWh)]]-Tabell9[[#This Row],[Levererad värme, andra fjärrvärmeföretag, företag 2 (GWh)]]-Tabell9[[#This Row],[Levererad värme, andra fjärrvärmeföretag, företag 3 (GWh)]]</f>
        <v>1035.8510000000001</v>
      </c>
      <c r="L193" t="str">
        <f>VLOOKUP(Tabell9[[#This Row],[Nät]],Tabell5[],2,FALSE)</f>
        <v>Sundbyberg-Solna</v>
      </c>
      <c r="N193">
        <f>IF(Tabell9[[#This Row],[Korr ]]&gt;0,Tabell9[[#This Row],[Korr ]],Tabell9[[#This Row],[Såld minus ftg]])</f>
        <v>1035.8510000000001</v>
      </c>
      <c r="Q193" s="8"/>
    </row>
    <row r="194" spans="1:18" x14ac:dyDescent="0.25">
      <c r="A194" t="s">
        <v>621</v>
      </c>
      <c r="B194" t="s">
        <v>220</v>
      </c>
      <c r="C194">
        <v>2021</v>
      </c>
      <c r="D194">
        <v>16.436</v>
      </c>
      <c r="K194">
        <f>Tabell9[[#This Row],[Såld värme (GWh)]]-Tabell9[[#This Row],[Levererad värme, andra fjärrvärmeföretag, företag 1 (GWh)]]-Tabell9[[#This Row],[Levererad värme, andra fjärrvärmeföretag, företag 2 (GWh)]]-Tabell9[[#This Row],[Levererad värme, andra fjärrvärmeföretag, företag 3 (GWh)]]</f>
        <v>16.436</v>
      </c>
      <c r="L194" t="str">
        <f>VLOOKUP(Tabell9[[#This Row],[Nät]],Tabell5[],2,FALSE)</f>
        <v>Hallstavik</v>
      </c>
      <c r="N194">
        <f>IF(Tabell9[[#This Row],[Korr ]]&gt;0,Tabell9[[#This Row],[Korr ]],Tabell9[[#This Row],[Såld minus ftg]])</f>
        <v>16.436</v>
      </c>
      <c r="Q194" s="8"/>
    </row>
    <row r="195" spans="1:18" x14ac:dyDescent="0.25">
      <c r="A195" t="s">
        <v>621</v>
      </c>
      <c r="B195" t="s">
        <v>221</v>
      </c>
      <c r="C195">
        <v>2021</v>
      </c>
      <c r="D195">
        <v>132.74199999999999</v>
      </c>
      <c r="K195">
        <f>Tabell9[[#This Row],[Såld värme (GWh)]]-Tabell9[[#This Row],[Levererad värme, andra fjärrvärmeföretag, företag 1 (GWh)]]-Tabell9[[#This Row],[Levererad värme, andra fjärrvärmeföretag, företag 2 (GWh)]]-Tabell9[[#This Row],[Levererad värme, andra fjärrvärmeföretag, företag 3 (GWh)]]</f>
        <v>132.74199999999999</v>
      </c>
      <c r="L195" t="str">
        <f>VLOOKUP(Tabell9[[#This Row],[Nät]],Tabell5[],2,FALSE)</f>
        <v>Norrtälje</v>
      </c>
      <c r="N195">
        <f>IF(Tabell9[[#This Row],[Korr ]]&gt;0,Tabell9[[#This Row],[Korr ]],Tabell9[[#This Row],[Såld minus ftg]])</f>
        <v>132.74199999999999</v>
      </c>
      <c r="Q195" s="8"/>
    </row>
    <row r="196" spans="1:18" x14ac:dyDescent="0.25">
      <c r="A196" t="s">
        <v>621</v>
      </c>
      <c r="B196" t="s">
        <v>222</v>
      </c>
      <c r="C196">
        <v>2021</v>
      </c>
      <c r="D196">
        <v>17.600999999999999</v>
      </c>
      <c r="K196">
        <f>Tabell9[[#This Row],[Såld värme (GWh)]]-Tabell9[[#This Row],[Levererad värme, andra fjärrvärmeföretag, företag 1 (GWh)]]-Tabell9[[#This Row],[Levererad värme, andra fjärrvärmeföretag, företag 2 (GWh)]]-Tabell9[[#This Row],[Levererad värme, andra fjärrvärmeföretag, företag 3 (GWh)]]</f>
        <v>17.600999999999999</v>
      </c>
      <c r="L196" t="str">
        <f>VLOOKUP(Tabell9[[#This Row],[Nät]],Tabell5[],2,FALSE)</f>
        <v>Rimbo</v>
      </c>
      <c r="N196">
        <f>IF(Tabell9[[#This Row],[Korr ]]&gt;0,Tabell9[[#This Row],[Korr ]],Tabell9[[#This Row],[Såld minus ftg]])</f>
        <v>17.600999999999999</v>
      </c>
      <c r="Q196" s="8"/>
    </row>
    <row r="197" spans="1:18" x14ac:dyDescent="0.25">
      <c r="A197" t="s">
        <v>679</v>
      </c>
      <c r="B197" t="s">
        <v>820</v>
      </c>
      <c r="C197">
        <v>2021</v>
      </c>
      <c r="D197">
        <v>136.69999999999999</v>
      </c>
      <c r="K197">
        <f>Tabell9[[#This Row],[Såld värme (GWh)]]-Tabell9[[#This Row],[Levererad värme, andra fjärrvärmeföretag, företag 1 (GWh)]]-Tabell9[[#This Row],[Levererad värme, andra fjärrvärmeföretag, företag 2 (GWh)]]-Tabell9[[#This Row],[Levererad värme, andra fjärrvärmeföretag, företag 3 (GWh)]]</f>
        <v>136.69999999999999</v>
      </c>
      <c r="L197" t="str">
        <f>VLOOKUP(Tabell9[[#This Row],[Nät]],Tabell5[],2,FALSE)</f>
        <v>Nybro</v>
      </c>
      <c r="N197">
        <f>IF(Tabell9[[#This Row],[Korr ]]&gt;0,Tabell9[[#This Row],[Korr ]],Tabell9[[#This Row],[Såld minus ftg]])</f>
        <v>136.69999999999999</v>
      </c>
      <c r="Q197" s="8"/>
    </row>
    <row r="198" spans="1:18" x14ac:dyDescent="0.25">
      <c r="A198" t="s">
        <v>551</v>
      </c>
      <c r="B198" t="s">
        <v>224</v>
      </c>
      <c r="C198">
        <v>2021</v>
      </c>
      <c r="D198">
        <v>1.59</v>
      </c>
      <c r="K198">
        <f>Tabell9[[#This Row],[Såld värme (GWh)]]-Tabell9[[#This Row],[Levererad värme, andra fjärrvärmeföretag, företag 1 (GWh)]]-Tabell9[[#This Row],[Levererad värme, andra fjärrvärmeföretag, företag 2 (GWh)]]-Tabell9[[#This Row],[Levererad värme, andra fjärrvärmeföretag, företag 3 (GWh)]]</f>
        <v>1.59</v>
      </c>
      <c r="L198" t="str">
        <f>VLOOKUP(Tabell9[[#This Row],[Nät]],Tabell5[],2,FALSE)</f>
        <v>Anneberg</v>
      </c>
      <c r="N198">
        <f>IF(Tabell9[[#This Row],[Korr ]]&gt;0,Tabell9[[#This Row],[Korr ]],Tabell9[[#This Row],[Såld minus ftg]])</f>
        <v>1.59</v>
      </c>
      <c r="Q198" s="8"/>
    </row>
    <row r="199" spans="1:18" x14ac:dyDescent="0.25">
      <c r="A199" t="s">
        <v>551</v>
      </c>
      <c r="B199" t="s">
        <v>225</v>
      </c>
      <c r="C199">
        <v>2021</v>
      </c>
      <c r="D199">
        <v>9.26</v>
      </c>
      <c r="K199">
        <f>Tabell9[[#This Row],[Såld värme (GWh)]]-Tabell9[[#This Row],[Levererad värme, andra fjärrvärmeföretag, företag 1 (GWh)]]-Tabell9[[#This Row],[Levererad värme, andra fjärrvärmeföretag, företag 2 (GWh)]]-Tabell9[[#This Row],[Levererad värme, andra fjärrvärmeföretag, företag 3 (GWh)]]</f>
        <v>9.26</v>
      </c>
      <c r="L199" t="str">
        <f>VLOOKUP(Tabell9[[#This Row],[Nät]],Tabell5[],2,FALSE)</f>
        <v>Bodafors</v>
      </c>
      <c r="N199">
        <f>IF(Tabell9[[#This Row],[Korr ]]&gt;0,Tabell9[[#This Row],[Korr ]],Tabell9[[#This Row],[Såld minus ftg]])</f>
        <v>9.26</v>
      </c>
      <c r="Q199" s="8"/>
    </row>
    <row r="200" spans="1:18" x14ac:dyDescent="0.25">
      <c r="A200" t="s">
        <v>551</v>
      </c>
      <c r="B200" t="s">
        <v>223</v>
      </c>
      <c r="C200">
        <v>2021</v>
      </c>
      <c r="D200">
        <v>157.5</v>
      </c>
      <c r="K200">
        <f>Tabell9[[#This Row],[Såld värme (GWh)]]-Tabell9[[#This Row],[Levererad värme, andra fjärrvärmeföretag, företag 1 (GWh)]]-Tabell9[[#This Row],[Levererad värme, andra fjärrvärmeföretag, företag 2 (GWh)]]-Tabell9[[#This Row],[Levererad värme, andra fjärrvärmeföretag, företag 3 (GWh)]]</f>
        <v>157.5</v>
      </c>
      <c r="L200" t="str">
        <f>VLOOKUP(Tabell9[[#This Row],[Nät]],Tabell5[],2,FALSE)</f>
        <v>Nässjö</v>
      </c>
      <c r="N200">
        <f>IF(Tabell9[[#This Row],[Korr ]]&gt;0,Tabell9[[#This Row],[Korr ]],Tabell9[[#This Row],[Såld minus ftg]])</f>
        <v>157.5</v>
      </c>
      <c r="Q200" s="8"/>
    </row>
    <row r="201" spans="1:18" x14ac:dyDescent="0.25">
      <c r="A201" t="s">
        <v>683</v>
      </c>
      <c r="B201" t="s">
        <v>226</v>
      </c>
      <c r="C201">
        <v>2021</v>
      </c>
      <c r="D201">
        <v>50.13</v>
      </c>
      <c r="K201">
        <f>Tabell9[[#This Row],[Såld värme (GWh)]]-Tabell9[[#This Row],[Levererad värme, andra fjärrvärmeföretag, företag 1 (GWh)]]-Tabell9[[#This Row],[Levererad värme, andra fjärrvärmeföretag, företag 2 (GWh)]]-Tabell9[[#This Row],[Levererad värme, andra fjärrvärmeföretag, företag 3 (GWh)]]</f>
        <v>50.13</v>
      </c>
      <c r="L201" t="str">
        <f>VLOOKUP(Tabell9[[#This Row],[Nät]],Tabell5[],2,FALSE)</f>
        <v>Olofström</v>
      </c>
      <c r="N201">
        <f>IF(Tabell9[[#This Row],[Korr ]]&gt;0,Tabell9[[#This Row],[Korr ]],Tabell9[[#This Row],[Såld minus ftg]])</f>
        <v>50.13</v>
      </c>
      <c r="Q201" s="8"/>
    </row>
    <row r="202" spans="1:18" x14ac:dyDescent="0.25">
      <c r="A202" t="s">
        <v>685</v>
      </c>
      <c r="B202" t="s">
        <v>227</v>
      </c>
      <c r="C202">
        <v>2021</v>
      </c>
      <c r="D202">
        <v>149.5</v>
      </c>
      <c r="K202">
        <f>Tabell9[[#This Row],[Såld värme (GWh)]]-Tabell9[[#This Row],[Levererad värme, andra fjärrvärmeföretag, företag 1 (GWh)]]-Tabell9[[#This Row],[Levererad värme, andra fjärrvärmeföretag, företag 2 (GWh)]]-Tabell9[[#This Row],[Levererad värme, andra fjärrvärmeföretag, företag 3 (GWh)]]</f>
        <v>149.5</v>
      </c>
      <c r="L202" t="str">
        <f>VLOOKUP(Tabell9[[#This Row],[Nät]],Tabell5[],2,FALSE)</f>
        <v>Oskarshamn</v>
      </c>
      <c r="N202">
        <f>IF(Tabell9[[#This Row],[Korr ]]&gt;0,Tabell9[[#This Row],[Korr ]],Tabell9[[#This Row],[Såld minus ftg]])</f>
        <v>149.5</v>
      </c>
      <c r="Q202" s="8"/>
    </row>
    <row r="203" spans="1:18" x14ac:dyDescent="0.25">
      <c r="A203" t="s">
        <v>686</v>
      </c>
      <c r="B203" t="s">
        <v>228</v>
      </c>
      <c r="C203">
        <v>2021</v>
      </c>
      <c r="D203">
        <v>88.8</v>
      </c>
      <c r="K203">
        <f>Tabell9[[#This Row],[Såld värme (GWh)]]-Tabell9[[#This Row],[Levererad värme, andra fjärrvärmeföretag, företag 1 (GWh)]]-Tabell9[[#This Row],[Levererad värme, andra fjärrvärmeföretag, företag 2 (GWh)]]-Tabell9[[#This Row],[Levererad värme, andra fjärrvärmeföretag, företag 3 (GWh)]]</f>
        <v>88.8</v>
      </c>
      <c r="L203" t="str">
        <f>VLOOKUP(Tabell9[[#This Row],[Nät]],Tabell5[],2,FALSE)</f>
        <v>Oxelösund</v>
      </c>
      <c r="N203">
        <f>IF(Tabell9[[#This Row],[Korr ]]&gt;0,Tabell9[[#This Row],[Korr ]],Tabell9[[#This Row],[Såld minus ftg]])</f>
        <v>88.8</v>
      </c>
      <c r="Q203" s="8"/>
    </row>
    <row r="204" spans="1:18" x14ac:dyDescent="0.25">
      <c r="A204" t="s">
        <v>813</v>
      </c>
      <c r="B204" t="s">
        <v>932</v>
      </c>
      <c r="C204">
        <v>2021</v>
      </c>
      <c r="D204">
        <v>164</v>
      </c>
      <c r="K204">
        <f>Tabell9[[#This Row],[Såld värme (GWh)]]-Tabell9[[#This Row],[Levererad värme, andra fjärrvärmeföretag, företag 1 (GWh)]]-Tabell9[[#This Row],[Levererad värme, andra fjärrvärmeföretag, företag 2 (GWh)]]-Tabell9[[#This Row],[Levererad värme, andra fjärrvärmeföretag, företag 3 (GWh)]]</f>
        <v>164</v>
      </c>
      <c r="L204" t="str">
        <f>VLOOKUP(Tabell9[[#This Row],[Nät]],Tabell5[],2,FALSE)</f>
        <v>Partille</v>
      </c>
      <c r="N204">
        <f>IF(Tabell9[[#This Row],[Korr ]]&gt;0,Tabell9[[#This Row],[Korr ]],Tabell9[[#This Row],[Såld minus ftg]])</f>
        <v>164</v>
      </c>
      <c r="Q204" s="8"/>
    </row>
    <row r="205" spans="1:18" x14ac:dyDescent="0.25">
      <c r="A205" t="s">
        <v>687</v>
      </c>
      <c r="B205" t="s">
        <v>229</v>
      </c>
      <c r="C205">
        <v>2021</v>
      </c>
      <c r="D205">
        <v>48.9</v>
      </c>
      <c r="K205">
        <f>Tabell9[[#This Row],[Såld värme (GWh)]]-Tabell9[[#This Row],[Levererad värme, andra fjärrvärmeföretag, företag 1 (GWh)]]-Tabell9[[#This Row],[Levererad värme, andra fjärrvärmeföretag, företag 2 (GWh)]]-Tabell9[[#This Row],[Levererad värme, andra fjärrvärmeföretag, företag 3 (GWh)]]</f>
        <v>48.9</v>
      </c>
      <c r="L205" t="str">
        <f>VLOOKUP(Tabell9[[#This Row],[Nät]],Tabell5[],2,FALSE)</f>
        <v>Perstorp</v>
      </c>
      <c r="N205">
        <f>IF(Tabell9[[#This Row],[Korr ]]&gt;0,Tabell9[[#This Row],[Korr ]],Tabell9[[#This Row],[Såld minus ftg]])</f>
        <v>48.9</v>
      </c>
      <c r="Q205" s="8"/>
    </row>
    <row r="206" spans="1:18" x14ac:dyDescent="0.25">
      <c r="A206" t="s">
        <v>678</v>
      </c>
      <c r="B206" t="s">
        <v>232</v>
      </c>
      <c r="C206">
        <v>2021</v>
      </c>
      <c r="D206">
        <v>6.2</v>
      </c>
      <c r="K206">
        <f>Tabell9[[#This Row],[Såld värme (GWh)]]-Tabell9[[#This Row],[Levererad värme, andra fjärrvärmeföretag, företag 1 (GWh)]]-Tabell9[[#This Row],[Levererad värme, andra fjärrvärmeföretag, företag 2 (GWh)]]-Tabell9[[#This Row],[Levererad värme, andra fjärrvärmeföretag, företag 3 (GWh)]]</f>
        <v>6.2</v>
      </c>
      <c r="L206" t="str">
        <f>VLOOKUP(Tabell9[[#This Row],[Nät]],Tabell5[],2,FALSE)</f>
        <v>Norrfjärden</v>
      </c>
      <c r="N206">
        <f>IF(Tabell9[[#This Row],[Korr ]]&gt;0,Tabell9[[#This Row],[Korr ]],Tabell9[[#This Row],[Såld minus ftg]])</f>
        <v>6.2</v>
      </c>
      <c r="Q206" s="8"/>
    </row>
    <row r="207" spans="1:18" x14ac:dyDescent="0.25">
      <c r="A207" t="s">
        <v>678</v>
      </c>
      <c r="B207" t="s">
        <v>230</v>
      </c>
      <c r="C207">
        <v>2021</v>
      </c>
      <c r="D207">
        <v>259.60000000000002</v>
      </c>
      <c r="K207">
        <f>Tabell9[[#This Row],[Såld värme (GWh)]]-Tabell9[[#This Row],[Levererad värme, andra fjärrvärmeföretag, företag 1 (GWh)]]-Tabell9[[#This Row],[Levererad värme, andra fjärrvärmeföretag, företag 2 (GWh)]]-Tabell9[[#This Row],[Levererad värme, andra fjärrvärmeföretag, företag 3 (GWh)]]</f>
        <v>259.60000000000002</v>
      </c>
      <c r="L207" t="str">
        <f>VLOOKUP(Tabell9[[#This Row],[Nät]],Tabell5[],2,FALSE)</f>
        <v>Piteå</v>
      </c>
      <c r="N207">
        <f>IF(Tabell9[[#This Row],[Korr ]]&gt;0,Tabell9[[#This Row],[Korr ]],Tabell9[[#This Row],[Såld minus ftg]])</f>
        <v>259.60000000000002</v>
      </c>
      <c r="Q207" s="8"/>
    </row>
    <row r="208" spans="1:18" x14ac:dyDescent="0.25">
      <c r="A208" t="s">
        <v>678</v>
      </c>
      <c r="B208" t="s">
        <v>233</v>
      </c>
      <c r="C208">
        <v>2021</v>
      </c>
      <c r="D208">
        <v>1.65</v>
      </c>
      <c r="K208">
        <f>Tabell9[[#This Row],[Såld värme (GWh)]]-Tabell9[[#This Row],[Levererad värme, andra fjärrvärmeföretag, företag 1 (GWh)]]-Tabell9[[#This Row],[Levererad värme, andra fjärrvärmeföretag, företag 2 (GWh)]]-Tabell9[[#This Row],[Levererad värme, andra fjärrvärmeföretag, företag 3 (GWh)]]</f>
        <v>1.65</v>
      </c>
      <c r="L208" t="str">
        <f>VLOOKUP(Tabell9[[#This Row],[Nät]],Tabell5[],2,FALSE)</f>
        <v>Rosvik</v>
      </c>
      <c r="N208">
        <f>IF(Tabell9[[#This Row],[Korr ]]&gt;0,Tabell9[[#This Row],[Korr ]],Tabell9[[#This Row],[Såld minus ftg]])</f>
        <v>1.65</v>
      </c>
      <c r="Q208" s="8"/>
    </row>
    <row r="209" spans="1:20" x14ac:dyDescent="0.25">
      <c r="A209" t="s">
        <v>678</v>
      </c>
      <c r="B209" t="s">
        <v>234</v>
      </c>
      <c r="C209">
        <v>2021</v>
      </c>
      <c r="D209">
        <v>2.0699999999999998</v>
      </c>
      <c r="K209">
        <f>Tabell9[[#This Row],[Såld värme (GWh)]]-Tabell9[[#This Row],[Levererad värme, andra fjärrvärmeföretag, företag 1 (GWh)]]-Tabell9[[#This Row],[Levererad värme, andra fjärrvärmeföretag, företag 2 (GWh)]]-Tabell9[[#This Row],[Levererad värme, andra fjärrvärmeföretag, företag 3 (GWh)]]</f>
        <v>2.0699999999999998</v>
      </c>
      <c r="L209" t="str">
        <f>VLOOKUP(Tabell9[[#This Row],[Nät]],Tabell5[],2,FALSE)</f>
        <v>Sjulnäs</v>
      </c>
      <c r="N209">
        <f>IF(Tabell9[[#This Row],[Korr ]]&gt;0,Tabell9[[#This Row],[Korr ]],Tabell9[[#This Row],[Såld minus ftg]])</f>
        <v>2.0699999999999998</v>
      </c>
      <c r="Q209" s="8"/>
    </row>
    <row r="210" spans="1:20" x14ac:dyDescent="0.25">
      <c r="A210" t="s">
        <v>581</v>
      </c>
      <c r="B210" t="s">
        <v>250</v>
      </c>
      <c r="C210">
        <v>2021</v>
      </c>
      <c r="D210">
        <v>14.8</v>
      </c>
      <c r="K210">
        <f>Tabell9[[#This Row],[Såld värme (GWh)]]-Tabell9[[#This Row],[Levererad värme, andra fjärrvärmeföretag, företag 1 (GWh)]]-Tabell9[[#This Row],[Levererad värme, andra fjärrvärmeföretag, företag 2 (GWh)]]-Tabell9[[#This Row],[Levererad värme, andra fjärrvärmeföretag, företag 3 (GWh)]]</f>
        <v>14.8</v>
      </c>
      <c r="L210" t="str">
        <f>VLOOKUP(Tabell9[[#This Row],[Nät]],Tabell5[],2,FALSE)</f>
        <v>Bräkne-Hoby</v>
      </c>
      <c r="N210">
        <f>IF(Tabell9[[#This Row],[Korr ]]&gt;0,Tabell9[[#This Row],[Korr ]],Tabell9[[#This Row],[Såld minus ftg]])</f>
        <v>14.8</v>
      </c>
      <c r="Q210" s="8"/>
    </row>
    <row r="211" spans="1:20" x14ac:dyDescent="0.25">
      <c r="A211" t="s">
        <v>581</v>
      </c>
      <c r="B211" t="s">
        <v>414</v>
      </c>
      <c r="C211">
        <v>2021</v>
      </c>
      <c r="D211">
        <v>112.7</v>
      </c>
      <c r="K211">
        <f>Tabell9[[#This Row],[Såld värme (GWh)]]-Tabell9[[#This Row],[Levererad värme, andra fjärrvärmeföretag, företag 1 (GWh)]]-Tabell9[[#This Row],[Levererad värme, andra fjärrvärmeföretag, företag 2 (GWh)]]-Tabell9[[#This Row],[Levererad värme, andra fjärrvärmeföretag, företag 3 (GWh)]]</f>
        <v>112.7</v>
      </c>
      <c r="L211" t="str">
        <f>VLOOKUP(Tabell9[[#This Row],[Nät]],Tabell5[],2,FALSE)</f>
        <v>Ronneby-Kallinge</v>
      </c>
      <c r="N211">
        <f>IF(Tabell9[[#This Row],[Korr ]]&gt;0,Tabell9[[#This Row],[Korr ]],Tabell9[[#This Row],[Såld minus ftg]])</f>
        <v>112.7</v>
      </c>
      <c r="Q211" s="8"/>
    </row>
    <row r="212" spans="1:20" x14ac:dyDescent="0.25">
      <c r="A212" t="s">
        <v>625</v>
      </c>
      <c r="B212" t="s">
        <v>693</v>
      </c>
      <c r="C212">
        <v>2021</v>
      </c>
      <c r="D212">
        <v>151.525215</v>
      </c>
      <c r="K212">
        <f>Tabell9[[#This Row],[Såld värme (GWh)]]-Tabell9[[#This Row],[Levererad värme, andra fjärrvärmeföretag, företag 1 (GWh)]]-Tabell9[[#This Row],[Levererad värme, andra fjärrvärmeföretag, företag 2 (GWh)]]-Tabell9[[#This Row],[Levererad värme, andra fjärrvärmeföretag, företag 3 (GWh)]]</f>
        <v>151.525215</v>
      </c>
      <c r="L212" t="str">
        <f>VLOOKUP(Tabell9[[#This Row],[Nät]],Tabell5[],2,FALSE)</f>
        <v>Sala-Heby</v>
      </c>
      <c r="N212">
        <f>IF(Tabell9[[#This Row],[Korr ]]&gt;0,Tabell9[[#This Row],[Korr ]],Tabell9[[#This Row],[Såld minus ftg]])</f>
        <v>151.525215</v>
      </c>
      <c r="Q212" s="8"/>
    </row>
    <row r="213" spans="1:20" x14ac:dyDescent="0.25">
      <c r="A213" t="s">
        <v>694</v>
      </c>
      <c r="B213" t="s">
        <v>255</v>
      </c>
      <c r="C213">
        <v>2021</v>
      </c>
      <c r="D213">
        <v>227.2</v>
      </c>
      <c r="K213">
        <f>Tabell9[[#This Row],[Såld värme (GWh)]]-Tabell9[[#This Row],[Levererad värme, andra fjärrvärmeföretag, företag 1 (GWh)]]-Tabell9[[#This Row],[Levererad värme, andra fjärrvärmeföretag, företag 2 (GWh)]]-Tabell9[[#This Row],[Levererad värme, andra fjärrvärmeföretag, företag 3 (GWh)]]</f>
        <v>227.2</v>
      </c>
      <c r="L213" t="str">
        <f>VLOOKUP(Tabell9[[#This Row],[Nät]],Tabell5[],2,FALSE)</f>
        <v>Sandviken</v>
      </c>
      <c r="N213">
        <f>IF(Tabell9[[#This Row],[Korr ]]&gt;0,Tabell9[[#This Row],[Korr ]],Tabell9[[#This Row],[Såld minus ftg]])</f>
        <v>227.2</v>
      </c>
      <c r="Q213" s="8"/>
    </row>
    <row r="214" spans="1:20" x14ac:dyDescent="0.25">
      <c r="A214" t="s">
        <v>993</v>
      </c>
      <c r="B214" t="s">
        <v>285</v>
      </c>
      <c r="C214">
        <v>2021</v>
      </c>
      <c r="D214">
        <v>163.31100000000001</v>
      </c>
      <c r="K214">
        <f>Tabell9[[#This Row],[Såld värme (GWh)]]-Tabell9[[#This Row],[Levererad värme, andra fjärrvärmeföretag, företag 1 (GWh)]]-Tabell9[[#This Row],[Levererad värme, andra fjärrvärmeföretag, företag 2 (GWh)]]-Tabell9[[#This Row],[Levererad värme, andra fjärrvärmeföretag, företag 3 (GWh)]]</f>
        <v>163.31100000000001</v>
      </c>
      <c r="L214" t="str">
        <f>VLOOKUP(Tabell9[[#This Row],[Nät]],Tabell5[],2,FALSE)</f>
        <v>Strängnäs</v>
      </c>
      <c r="N214">
        <f>IF(Tabell9[[#This Row],[Korr ]]&gt;0,Tabell9[[#This Row],[Korr ]],Tabell9[[#This Row],[Såld minus ftg]])</f>
        <v>163.31100000000001</v>
      </c>
      <c r="Q214" s="8"/>
    </row>
    <row r="215" spans="1:20" x14ac:dyDescent="0.25">
      <c r="A215" t="s">
        <v>696</v>
      </c>
      <c r="B215" t="s">
        <v>256</v>
      </c>
      <c r="C215">
        <v>2021</v>
      </c>
      <c r="D215">
        <v>92.7</v>
      </c>
      <c r="K215">
        <f>Tabell9[[#This Row],[Såld värme (GWh)]]-Tabell9[[#This Row],[Levererad värme, andra fjärrvärmeföretag, företag 1 (GWh)]]-Tabell9[[#This Row],[Levererad värme, andra fjärrvärmeföretag, företag 2 (GWh)]]-Tabell9[[#This Row],[Levererad värme, andra fjärrvärmeföretag, företag 3 (GWh)]]</f>
        <v>92.7</v>
      </c>
      <c r="L215" t="str">
        <f>VLOOKUP(Tabell9[[#This Row],[Nät]],Tabell5[],2,FALSE)</f>
        <v>Skara</v>
      </c>
      <c r="N215">
        <f>IF(Tabell9[[#This Row],[Korr ]]&gt;0,Tabell9[[#This Row],[Korr ]],Tabell9[[#This Row],[Såld minus ftg]])</f>
        <v>92.7</v>
      </c>
      <c r="Q215" s="8"/>
    </row>
    <row r="216" spans="1:20" x14ac:dyDescent="0.25">
      <c r="A216" t="s">
        <v>571</v>
      </c>
      <c r="B216" t="s">
        <v>263</v>
      </c>
      <c r="C216">
        <v>2021</v>
      </c>
      <c r="D216">
        <v>7.7615999999999996</v>
      </c>
      <c r="K216">
        <f>Tabell9[[#This Row],[Såld värme (GWh)]]-Tabell9[[#This Row],[Levererad värme, andra fjärrvärmeföretag, företag 1 (GWh)]]-Tabell9[[#This Row],[Levererad värme, andra fjärrvärmeföretag, företag 2 (GWh)]]-Tabell9[[#This Row],[Levererad värme, andra fjärrvärmeföretag, företag 3 (GWh)]]</f>
        <v>7.7615999999999996</v>
      </c>
      <c r="L216" t="str">
        <f>VLOOKUP(Tabell9[[#This Row],[Nät]],Tabell5[],2,FALSE)</f>
        <v>Boliden</v>
      </c>
      <c r="N216">
        <f>IF(Tabell9[[#This Row],[Korr ]]&gt;0,Tabell9[[#This Row],[Korr ]],Tabell9[[#This Row],[Såld minus ftg]])</f>
        <v>7.7615999999999996</v>
      </c>
      <c r="Q216" s="8"/>
    </row>
    <row r="217" spans="1:20" x14ac:dyDescent="0.25">
      <c r="A217" t="s">
        <v>571</v>
      </c>
      <c r="B217" t="s">
        <v>264</v>
      </c>
      <c r="C217">
        <v>2021</v>
      </c>
      <c r="D217">
        <v>7.7927</v>
      </c>
      <c r="K217">
        <f>Tabell9[[#This Row],[Såld värme (GWh)]]-Tabell9[[#This Row],[Levererad värme, andra fjärrvärmeföretag, företag 1 (GWh)]]-Tabell9[[#This Row],[Levererad värme, andra fjärrvärmeföretag, företag 2 (GWh)]]-Tabell9[[#This Row],[Levererad värme, andra fjärrvärmeföretag, företag 3 (GWh)]]</f>
        <v>7.7927</v>
      </c>
      <c r="L217" t="str">
        <f>VLOOKUP(Tabell9[[#This Row],[Nät]],Tabell5[],2,FALSE)</f>
        <v>Bureå</v>
      </c>
      <c r="N217">
        <f>IF(Tabell9[[#This Row],[Korr ]]&gt;0,Tabell9[[#This Row],[Korr ]],Tabell9[[#This Row],[Såld minus ftg]])</f>
        <v>7.7927</v>
      </c>
      <c r="Q217" s="8"/>
    </row>
    <row r="218" spans="1:20" x14ac:dyDescent="0.25">
      <c r="A218" t="s">
        <v>571</v>
      </c>
      <c r="B218" t="s">
        <v>265</v>
      </c>
      <c r="C218">
        <v>2021</v>
      </c>
      <c r="D218">
        <v>15.158300000000001</v>
      </c>
      <c r="K218">
        <f>Tabell9[[#This Row],[Såld värme (GWh)]]-Tabell9[[#This Row],[Levererad värme, andra fjärrvärmeföretag, företag 1 (GWh)]]-Tabell9[[#This Row],[Levererad värme, andra fjärrvärmeföretag, företag 2 (GWh)]]-Tabell9[[#This Row],[Levererad värme, andra fjärrvärmeföretag, företag 3 (GWh)]]</f>
        <v>15.158300000000001</v>
      </c>
      <c r="L218" t="str">
        <f>VLOOKUP(Tabell9[[#This Row],[Nät]],Tabell5[],2,FALSE)</f>
        <v>Burträsk</v>
      </c>
      <c r="N218">
        <f>IF(Tabell9[[#This Row],[Korr ]]&gt;0,Tabell9[[#This Row],[Korr ]],Tabell9[[#This Row],[Såld minus ftg]])</f>
        <v>15.158300000000001</v>
      </c>
      <c r="Q218" s="8"/>
    </row>
    <row r="219" spans="1:20" x14ac:dyDescent="0.25">
      <c r="A219" t="s">
        <v>571</v>
      </c>
      <c r="B219" t="s">
        <v>266</v>
      </c>
      <c r="C219">
        <v>2021</v>
      </c>
      <c r="D219">
        <v>10.2918</v>
      </c>
      <c r="K219">
        <f>Tabell9[[#This Row],[Såld värme (GWh)]]-Tabell9[[#This Row],[Levererad värme, andra fjärrvärmeföretag, företag 1 (GWh)]]-Tabell9[[#This Row],[Levererad värme, andra fjärrvärmeföretag, företag 2 (GWh)]]-Tabell9[[#This Row],[Levererad värme, andra fjärrvärmeföretag, företag 3 (GWh)]]</f>
        <v>10.2918</v>
      </c>
      <c r="L219" t="str">
        <f>VLOOKUP(Tabell9[[#This Row],[Nät]],Tabell5[],2,FALSE)</f>
        <v>Byske</v>
      </c>
      <c r="N219">
        <f>IF(Tabell9[[#This Row],[Korr ]]&gt;0,Tabell9[[#This Row],[Korr ]],Tabell9[[#This Row],[Såld minus ftg]])</f>
        <v>10.2918</v>
      </c>
      <c r="Q219" s="8"/>
    </row>
    <row r="220" spans="1:20" x14ac:dyDescent="0.25">
      <c r="A220" t="s">
        <v>571</v>
      </c>
      <c r="B220" t="s">
        <v>267</v>
      </c>
      <c r="C220">
        <v>2021</v>
      </c>
      <c r="D220">
        <v>5.8677000000000001</v>
      </c>
      <c r="K220">
        <f>Tabell9[[#This Row],[Såld värme (GWh)]]-Tabell9[[#This Row],[Levererad värme, andra fjärrvärmeföretag, företag 1 (GWh)]]-Tabell9[[#This Row],[Levererad värme, andra fjärrvärmeföretag, företag 2 (GWh)]]-Tabell9[[#This Row],[Levererad värme, andra fjärrvärmeföretag, företag 3 (GWh)]]</f>
        <v>5.8677000000000001</v>
      </c>
      <c r="L220" t="str">
        <f>VLOOKUP(Tabell9[[#This Row],[Nät]],Tabell5[],2,FALSE)</f>
        <v>Jörn</v>
      </c>
      <c r="N220">
        <f>IF(Tabell9[[#This Row],[Korr ]]&gt;0,Tabell9[[#This Row],[Korr ]],Tabell9[[#This Row],[Såld minus ftg]])</f>
        <v>5.8677000000000001</v>
      </c>
      <c r="Q220" s="8"/>
    </row>
    <row r="221" spans="1:20" x14ac:dyDescent="0.25">
      <c r="A221" t="s">
        <v>571</v>
      </c>
      <c r="B221" t="s">
        <v>269</v>
      </c>
      <c r="C221">
        <v>2021</v>
      </c>
      <c r="D221">
        <v>5.3026999999999997</v>
      </c>
      <c r="K221">
        <f>Tabell9[[#This Row],[Såld värme (GWh)]]-Tabell9[[#This Row],[Levererad värme, andra fjärrvärmeföretag, företag 1 (GWh)]]-Tabell9[[#This Row],[Levererad värme, andra fjärrvärmeföretag, företag 2 (GWh)]]-Tabell9[[#This Row],[Levererad värme, andra fjärrvärmeföretag, företag 3 (GWh)]]</f>
        <v>5.3026999999999997</v>
      </c>
      <c r="L221" t="str">
        <f>VLOOKUP(Tabell9[[#This Row],[Nät]],Tabell5[],2,FALSE)</f>
        <v>Kåge</v>
      </c>
      <c r="N221">
        <f>IF(Tabell9[[#This Row],[Korr ]]&gt;0,Tabell9[[#This Row],[Korr ]],Tabell9[[#This Row],[Såld minus ftg]])</f>
        <v>5.3026999999999997</v>
      </c>
      <c r="Q221" s="8"/>
    </row>
    <row r="222" spans="1:20" x14ac:dyDescent="0.25">
      <c r="A222" t="s">
        <v>571</v>
      </c>
      <c r="B222" t="s">
        <v>270</v>
      </c>
      <c r="C222">
        <v>2021</v>
      </c>
      <c r="D222">
        <v>3.0392000000000001</v>
      </c>
      <c r="K222">
        <f>Tabell9[[#This Row],[Såld värme (GWh)]]-Tabell9[[#This Row],[Levererad värme, andra fjärrvärmeföretag, företag 1 (GWh)]]-Tabell9[[#This Row],[Levererad värme, andra fjärrvärmeföretag, företag 2 (GWh)]]-Tabell9[[#This Row],[Levererad värme, andra fjärrvärmeföretag, företag 3 (GWh)]]</f>
        <v>3.0392000000000001</v>
      </c>
      <c r="L222" t="str">
        <f>VLOOKUP(Tabell9[[#This Row],[Nät]],Tabell5[],2,FALSE)</f>
        <v>Lidbacken</v>
      </c>
      <c r="N222">
        <f>IF(Tabell9[[#This Row],[Korr ]]&gt;0,Tabell9[[#This Row],[Korr ]],Tabell9[[#This Row],[Såld minus ftg]])</f>
        <v>3.0392000000000001</v>
      </c>
      <c r="Q222" s="8"/>
    </row>
    <row r="223" spans="1:20" x14ac:dyDescent="0.25">
      <c r="A223" t="s">
        <v>571</v>
      </c>
      <c r="B223" t="s">
        <v>259</v>
      </c>
      <c r="C223">
        <v>2021</v>
      </c>
      <c r="D223">
        <v>105.1253</v>
      </c>
      <c r="K223">
        <f>Tabell9[[#This Row],[Såld värme (GWh)]]-Tabell9[[#This Row],[Levererad värme, andra fjärrvärmeföretag, företag 1 (GWh)]]-Tabell9[[#This Row],[Levererad värme, andra fjärrvärmeföretag, företag 2 (GWh)]]-Tabell9[[#This Row],[Levererad värme, andra fjärrvärmeföretag, företag 3 (GWh)]]</f>
        <v>105.1253</v>
      </c>
      <c r="L223" t="str">
        <f>VLOOKUP(Tabell9[[#This Row],[Nät]],Tabell5[],2,FALSE)</f>
        <v>Lycksele</v>
      </c>
      <c r="N223">
        <f>IF(Tabell9[[#This Row],[Korr ]]&gt;0,Tabell9[[#This Row],[Korr ]],Tabell9[[#This Row],[Såld minus ftg]])</f>
        <v>105.1253</v>
      </c>
      <c r="Q223" s="8"/>
    </row>
    <row r="224" spans="1:20" x14ac:dyDescent="0.25">
      <c r="A224" t="s">
        <v>571</v>
      </c>
      <c r="B224" t="s">
        <v>271</v>
      </c>
      <c r="C224">
        <v>2021</v>
      </c>
      <c r="D224">
        <v>3.319</v>
      </c>
      <c r="K224">
        <f>Tabell9[[#This Row],[Såld värme (GWh)]]-Tabell9[[#This Row],[Levererad värme, andra fjärrvärmeföretag, företag 1 (GWh)]]-Tabell9[[#This Row],[Levererad värme, andra fjärrvärmeföretag, företag 2 (GWh)]]-Tabell9[[#This Row],[Levererad värme, andra fjärrvärmeföretag, företag 3 (GWh)]]</f>
        <v>3.319</v>
      </c>
      <c r="L224" t="str">
        <f>VLOOKUP(Tabell9[[#This Row],[Nät]],Tabell5[],2,FALSE)</f>
        <v>Lövånger</v>
      </c>
      <c r="N224">
        <f>IF(Tabell9[[#This Row],[Korr ]]&gt;0,Tabell9[[#This Row],[Korr ]],Tabell9[[#This Row],[Såld minus ftg]])</f>
        <v>3.319</v>
      </c>
      <c r="Q224" s="8"/>
    </row>
    <row r="225" spans="1:20" x14ac:dyDescent="0.25">
      <c r="A225" t="s">
        <v>571</v>
      </c>
      <c r="B225" t="s">
        <v>257</v>
      </c>
      <c r="C225">
        <v>2021</v>
      </c>
      <c r="D225">
        <v>71.776499999999999</v>
      </c>
      <c r="K225">
        <f>Tabell9[[#This Row],[Såld värme (GWh)]]-Tabell9[[#This Row],[Levererad värme, andra fjärrvärmeföretag, företag 1 (GWh)]]-Tabell9[[#This Row],[Levererad värme, andra fjärrvärmeföretag, företag 2 (GWh)]]-Tabell9[[#This Row],[Levererad värme, andra fjärrvärmeföretag, företag 3 (GWh)]]</f>
        <v>71.776499999999999</v>
      </c>
      <c r="L225" t="str">
        <f>VLOOKUP(Tabell9[[#This Row],[Nät]],Tabell5[],2,FALSE)</f>
        <v>Malå</v>
      </c>
      <c r="N225">
        <f>IF(Tabell9[[#This Row],[Korr ]]&gt;0,Tabell9[[#This Row],[Korr ]],Tabell9[[#This Row],[Såld minus ftg]])</f>
        <v>71.776499999999999</v>
      </c>
      <c r="Q225" s="8"/>
    </row>
    <row r="226" spans="1:20" x14ac:dyDescent="0.25">
      <c r="A226" t="s">
        <v>571</v>
      </c>
      <c r="B226" t="s">
        <v>258</v>
      </c>
      <c r="C226">
        <v>2021</v>
      </c>
      <c r="D226">
        <v>14.2773</v>
      </c>
      <c r="K226">
        <f>Tabell9[[#This Row],[Såld värme (GWh)]]-Tabell9[[#This Row],[Levererad värme, andra fjärrvärmeföretag, företag 1 (GWh)]]-Tabell9[[#This Row],[Levererad värme, andra fjärrvärmeföretag, företag 2 (GWh)]]-Tabell9[[#This Row],[Levererad värme, andra fjärrvärmeföretag, företag 3 (GWh)]]</f>
        <v>14.2773</v>
      </c>
      <c r="L226" t="str">
        <f>VLOOKUP(Tabell9[[#This Row],[Nät]],Tabell5[],2,FALSE)</f>
        <v>Norsjö</v>
      </c>
      <c r="N226">
        <f>IF(Tabell9[[#This Row],[Korr ]]&gt;0,Tabell9[[#This Row],[Korr ]],Tabell9[[#This Row],[Såld minus ftg]])</f>
        <v>14.2773</v>
      </c>
      <c r="Q226" s="8"/>
    </row>
    <row r="227" spans="1:20" x14ac:dyDescent="0.25">
      <c r="A227" t="s">
        <v>571</v>
      </c>
      <c r="B227" t="s">
        <v>262</v>
      </c>
      <c r="C227">
        <v>2021</v>
      </c>
      <c r="D227">
        <v>10.007999999999999</v>
      </c>
      <c r="K227">
        <f>Tabell9[[#This Row],[Såld värme (GWh)]]-Tabell9[[#This Row],[Levererad värme, andra fjärrvärmeföretag, företag 1 (GWh)]]-Tabell9[[#This Row],[Levererad värme, andra fjärrvärmeföretag, företag 2 (GWh)]]-Tabell9[[#This Row],[Levererad värme, andra fjärrvärmeföretag, företag 3 (GWh)]]</f>
        <v>10.007999999999999</v>
      </c>
      <c r="L227" t="str">
        <f>VLOOKUP(Tabell9[[#This Row],[Nät]],Tabell5[],2,FALSE)</f>
        <v>Robertsfors</v>
      </c>
      <c r="N227">
        <f>IF(Tabell9[[#This Row],[Korr ]]&gt;0,Tabell9[[#This Row],[Korr ]],Tabell9[[#This Row],[Såld minus ftg]])</f>
        <v>10.007999999999999</v>
      </c>
      <c r="Q227" s="8"/>
    </row>
    <row r="228" spans="1:20" x14ac:dyDescent="0.25">
      <c r="A228" t="s">
        <v>571</v>
      </c>
      <c r="B228" t="s">
        <v>261</v>
      </c>
      <c r="C228">
        <v>2021</v>
      </c>
      <c r="D228">
        <v>358.8981</v>
      </c>
      <c r="K228">
        <f>Tabell9[[#This Row],[Såld värme (GWh)]]-Tabell9[[#This Row],[Levererad värme, andra fjärrvärmeföretag, företag 1 (GWh)]]-Tabell9[[#This Row],[Levererad värme, andra fjärrvärmeföretag, företag 2 (GWh)]]-Tabell9[[#This Row],[Levererad värme, andra fjärrvärmeföretag, företag 3 (GWh)]]</f>
        <v>358.8981</v>
      </c>
      <c r="L228" t="str">
        <f>VLOOKUP(Tabell9[[#This Row],[Nät]],Tabell5[],2,FALSE)</f>
        <v>Skellefteå</v>
      </c>
      <c r="N228">
        <f>IF(Tabell9[[#This Row],[Korr ]]&gt;0,Tabell9[[#This Row],[Korr ]],Tabell9[[#This Row],[Såld minus ftg]])</f>
        <v>358.8981</v>
      </c>
      <c r="Q228" s="8"/>
    </row>
    <row r="229" spans="1:20" x14ac:dyDescent="0.25">
      <c r="A229" t="s">
        <v>571</v>
      </c>
      <c r="B229" t="s">
        <v>272</v>
      </c>
      <c r="C229">
        <v>2021</v>
      </c>
      <c r="D229">
        <v>31.450700000000001</v>
      </c>
      <c r="K229">
        <f>Tabell9[[#This Row],[Såld värme (GWh)]]-Tabell9[[#This Row],[Levererad värme, andra fjärrvärmeföretag, företag 1 (GWh)]]-Tabell9[[#This Row],[Levererad värme, andra fjärrvärmeföretag, företag 2 (GWh)]]-Tabell9[[#This Row],[Levererad värme, andra fjärrvärmeföretag, företag 3 (GWh)]]</f>
        <v>31.450700000000001</v>
      </c>
      <c r="L229" t="str">
        <f>VLOOKUP(Tabell9[[#This Row],[Nät]],Tabell5[],2,FALSE)</f>
        <v>Storuman</v>
      </c>
      <c r="N229">
        <f>IF(Tabell9[[#This Row],[Korr ]]&gt;0,Tabell9[[#This Row],[Korr ]],Tabell9[[#This Row],[Såld minus ftg]])</f>
        <v>31.450700000000001</v>
      </c>
      <c r="Q229" s="8"/>
    </row>
    <row r="230" spans="1:20" x14ac:dyDescent="0.25">
      <c r="A230" t="s">
        <v>571</v>
      </c>
      <c r="B230" t="s">
        <v>273</v>
      </c>
      <c r="C230">
        <v>2021</v>
      </c>
      <c r="D230">
        <v>33.114699999999999</v>
      </c>
      <c r="K230">
        <f>Tabell9[[#This Row],[Såld värme (GWh)]]-Tabell9[[#This Row],[Levererad värme, andra fjärrvärmeföretag, företag 1 (GWh)]]-Tabell9[[#This Row],[Levererad värme, andra fjärrvärmeföretag, företag 2 (GWh)]]-Tabell9[[#This Row],[Levererad värme, andra fjärrvärmeföretag, företag 3 (GWh)]]</f>
        <v>33.114699999999999</v>
      </c>
      <c r="L230" t="str">
        <f>VLOOKUP(Tabell9[[#This Row],[Nät]],Tabell5[],2,FALSE)</f>
        <v>Ursviken-Skelleftehamn</v>
      </c>
      <c r="N230">
        <f>IF(Tabell9[[#This Row],[Korr ]]&gt;0,Tabell9[[#This Row],[Korr ]],Tabell9[[#This Row],[Såld minus ftg]])</f>
        <v>33.114699999999999</v>
      </c>
      <c r="Q230" s="8"/>
    </row>
    <row r="231" spans="1:20" x14ac:dyDescent="0.25">
      <c r="A231" t="s">
        <v>571</v>
      </c>
      <c r="B231" t="s">
        <v>260</v>
      </c>
      <c r="C231">
        <v>2021</v>
      </c>
      <c r="D231">
        <v>14.0585</v>
      </c>
      <c r="K231">
        <f>Tabell9[[#This Row],[Såld värme (GWh)]]-Tabell9[[#This Row],[Levererad värme, andra fjärrvärmeföretag, företag 1 (GWh)]]-Tabell9[[#This Row],[Levererad värme, andra fjärrvärmeföretag, företag 2 (GWh)]]-Tabell9[[#This Row],[Levererad värme, andra fjärrvärmeföretag, företag 3 (GWh)]]</f>
        <v>14.0585</v>
      </c>
      <c r="L231" t="str">
        <f>VLOOKUP(Tabell9[[#This Row],[Nät]],Tabell5[],2,FALSE)</f>
        <v>Vindeln</v>
      </c>
      <c r="N231">
        <f>IF(Tabell9[[#This Row],[Korr ]]&gt;0,Tabell9[[#This Row],[Korr ]],Tabell9[[#This Row],[Såld minus ftg]])</f>
        <v>14.0585</v>
      </c>
      <c r="Q231" s="8"/>
    </row>
    <row r="232" spans="1:20" x14ac:dyDescent="0.25">
      <c r="A232" t="s">
        <v>571</v>
      </c>
      <c r="B232" t="s">
        <v>274</v>
      </c>
      <c r="C232">
        <v>2021</v>
      </c>
      <c r="D232">
        <v>2.6810999999999998</v>
      </c>
      <c r="K232">
        <f>Tabell9[[#This Row],[Såld värme (GWh)]]-Tabell9[[#This Row],[Levererad värme, andra fjärrvärmeföretag, företag 1 (GWh)]]-Tabell9[[#This Row],[Levererad värme, andra fjärrvärmeföretag, företag 2 (GWh)]]-Tabell9[[#This Row],[Levererad värme, andra fjärrvärmeföretag, företag 3 (GWh)]]</f>
        <v>2.6810999999999998</v>
      </c>
      <c r="L232" t="str">
        <f>VLOOKUP(Tabell9[[#This Row],[Nät]],Tabell5[],2,FALSE)</f>
        <v>Ånäset</v>
      </c>
      <c r="N232">
        <f>IF(Tabell9[[#This Row],[Korr ]]&gt;0,Tabell9[[#This Row],[Korr ]],Tabell9[[#This Row],[Såld minus ftg]])</f>
        <v>2.6810999999999998</v>
      </c>
      <c r="Q232" s="8"/>
    </row>
    <row r="233" spans="1:20" x14ac:dyDescent="0.25">
      <c r="A233" t="s">
        <v>994</v>
      </c>
      <c r="B233" t="s">
        <v>276</v>
      </c>
      <c r="C233">
        <v>2021</v>
      </c>
      <c r="D233">
        <v>10.762233999999999</v>
      </c>
      <c r="K233">
        <f>Tabell9[[#This Row],[Såld värme (GWh)]]-Tabell9[[#This Row],[Levererad värme, andra fjärrvärmeföretag, företag 1 (GWh)]]-Tabell9[[#This Row],[Levererad värme, andra fjärrvärmeföretag, företag 2 (GWh)]]-Tabell9[[#This Row],[Levererad värme, andra fjärrvärmeföretag, företag 3 (GWh)]]</f>
        <v>10.762233999999999</v>
      </c>
      <c r="L233" t="str">
        <f>VLOOKUP(Tabell9[[#This Row],[Nät]],Tabell5[],2,FALSE)</f>
        <v>Skultorp</v>
      </c>
      <c r="N233">
        <f>IF(Tabell9[[#This Row],[Korr ]]&gt;0,Tabell9[[#This Row],[Korr ]],Tabell9[[#This Row],[Såld minus ftg]])</f>
        <v>10.762233999999999</v>
      </c>
      <c r="Q233" s="8"/>
    </row>
    <row r="234" spans="1:20" x14ac:dyDescent="0.25">
      <c r="A234" t="s">
        <v>994</v>
      </c>
      <c r="B234" t="s">
        <v>275</v>
      </c>
      <c r="C234">
        <v>2021</v>
      </c>
      <c r="D234">
        <v>383.14869700000003</v>
      </c>
      <c r="K234">
        <f>Tabell9[[#This Row],[Såld värme (GWh)]]-Tabell9[[#This Row],[Levererad värme, andra fjärrvärmeföretag, företag 1 (GWh)]]-Tabell9[[#This Row],[Levererad värme, andra fjärrvärmeföretag, företag 2 (GWh)]]-Tabell9[[#This Row],[Levererad värme, andra fjärrvärmeföretag, företag 3 (GWh)]]</f>
        <v>383.14869700000003</v>
      </c>
      <c r="L234" t="str">
        <f>VLOOKUP(Tabell9[[#This Row],[Nät]],Tabell5[],2,FALSE)</f>
        <v>Skövde</v>
      </c>
      <c r="N234">
        <f>IF(Tabell9[[#This Row],[Korr ]]&gt;0,Tabell9[[#This Row],[Korr ]],Tabell9[[#This Row],[Såld minus ftg]])</f>
        <v>383.14869700000003</v>
      </c>
      <c r="Q234" s="8"/>
    </row>
    <row r="235" spans="1:20" x14ac:dyDescent="0.25">
      <c r="A235" t="s">
        <v>994</v>
      </c>
      <c r="B235" t="s">
        <v>277</v>
      </c>
      <c r="C235">
        <v>2021</v>
      </c>
      <c r="D235">
        <v>4.7092510000000001</v>
      </c>
      <c r="K235">
        <f>Tabell9[[#This Row],[Såld värme (GWh)]]-Tabell9[[#This Row],[Levererad värme, andra fjärrvärmeföretag, företag 1 (GWh)]]-Tabell9[[#This Row],[Levererad värme, andra fjärrvärmeföretag, företag 2 (GWh)]]-Tabell9[[#This Row],[Levererad värme, andra fjärrvärmeföretag, företag 3 (GWh)]]</f>
        <v>4.7092510000000001</v>
      </c>
      <c r="L235" t="str">
        <f>VLOOKUP(Tabell9[[#This Row],[Nät]],Tabell5[],2,FALSE)</f>
        <v>Stöpen</v>
      </c>
      <c r="N235">
        <f>IF(Tabell9[[#This Row],[Korr ]]&gt;0,Tabell9[[#This Row],[Korr ]],Tabell9[[#This Row],[Såld minus ftg]])</f>
        <v>4.7092510000000001</v>
      </c>
      <c r="Q235" s="8"/>
    </row>
    <row r="236" spans="1:20" x14ac:dyDescent="0.25">
      <c r="A236" t="s">
        <v>994</v>
      </c>
      <c r="B236" t="s">
        <v>719</v>
      </c>
      <c r="C236">
        <v>2021</v>
      </c>
      <c r="D236">
        <v>2.1054490000000001</v>
      </c>
      <c r="K236">
        <f>Tabell9[[#This Row],[Såld värme (GWh)]]-Tabell9[[#This Row],[Levererad värme, andra fjärrvärmeföretag, företag 1 (GWh)]]-Tabell9[[#This Row],[Levererad värme, andra fjärrvärmeföretag, företag 2 (GWh)]]-Tabell9[[#This Row],[Levererad värme, andra fjärrvärmeföretag, företag 3 (GWh)]]</f>
        <v>2.1054490000000001</v>
      </c>
      <c r="L236" t="str">
        <f>VLOOKUP(Tabell9[[#This Row],[Nät]],Tabell5[],2,FALSE)</f>
        <v>Tidan</v>
      </c>
      <c r="N236">
        <f>IF(Tabell9[[#This Row],[Korr ]]&gt;0,Tabell9[[#This Row],[Korr ]],Tabell9[[#This Row],[Såld minus ftg]])</f>
        <v>2.1054490000000001</v>
      </c>
      <c r="Q236" s="8"/>
    </row>
    <row r="237" spans="1:20" x14ac:dyDescent="0.25">
      <c r="A237" t="s">
        <v>994</v>
      </c>
      <c r="B237" t="s">
        <v>428</v>
      </c>
      <c r="C237">
        <v>2021</v>
      </c>
      <c r="D237">
        <v>3.265619</v>
      </c>
      <c r="K237">
        <f>Tabell9[[#This Row],[Såld värme (GWh)]]-Tabell9[[#This Row],[Levererad värme, andra fjärrvärmeföretag, företag 1 (GWh)]]-Tabell9[[#This Row],[Levererad värme, andra fjärrvärmeföretag, företag 2 (GWh)]]-Tabell9[[#This Row],[Levererad värme, andra fjärrvärmeföretag, företag 3 (GWh)]]</f>
        <v>3.265619</v>
      </c>
      <c r="L237" t="str">
        <f>VLOOKUP(Tabell9[[#This Row],[Nät]],Tabell5[],2,FALSE)</f>
        <v>Timmersdala</v>
      </c>
      <c r="N237">
        <f>IF(Tabell9[[#This Row],[Korr ]]&gt;0,Tabell9[[#This Row],[Korr ]],Tabell9[[#This Row],[Såld minus ftg]])</f>
        <v>3.265619</v>
      </c>
      <c r="Q237" s="8"/>
    </row>
    <row r="238" spans="1:20" x14ac:dyDescent="0.25">
      <c r="A238" t="s">
        <v>701</v>
      </c>
      <c r="B238" t="s">
        <v>278</v>
      </c>
      <c r="C238">
        <v>2021</v>
      </c>
      <c r="D238">
        <v>44.484000000000002</v>
      </c>
      <c r="K238">
        <f>Tabell9[[#This Row],[Såld värme (GWh)]]-Tabell9[[#This Row],[Levererad värme, andra fjärrvärmeföretag, företag 1 (GWh)]]-Tabell9[[#This Row],[Levererad värme, andra fjärrvärmeföretag, företag 2 (GWh)]]-Tabell9[[#This Row],[Levererad värme, andra fjärrvärmeföretag, företag 3 (GWh)]]</f>
        <v>44.484000000000002</v>
      </c>
      <c r="L238" t="str">
        <f>VLOOKUP(Tabell9[[#This Row],[Nät]],Tabell5[],2,FALSE)</f>
        <v>Smedjebacken</v>
      </c>
      <c r="N238">
        <f>IF(Tabell9[[#This Row],[Korr ]]&gt;0,Tabell9[[#This Row],[Korr ]],Tabell9[[#This Row],[Såld minus ftg]])</f>
        <v>44.484000000000002</v>
      </c>
      <c r="Q238" s="8"/>
      <c r="R238" s="4"/>
    </row>
    <row r="239" spans="1:20" x14ac:dyDescent="0.25">
      <c r="A239" t="s">
        <v>701</v>
      </c>
      <c r="B239" t="s">
        <v>279</v>
      </c>
      <c r="C239">
        <v>2021</v>
      </c>
      <c r="D239">
        <v>4.0110000000000001</v>
      </c>
      <c r="K239">
        <f>Tabell9[[#This Row],[Såld värme (GWh)]]-Tabell9[[#This Row],[Levererad värme, andra fjärrvärmeföretag, företag 1 (GWh)]]-Tabell9[[#This Row],[Levererad värme, andra fjärrvärmeföretag, företag 2 (GWh)]]-Tabell9[[#This Row],[Levererad värme, andra fjärrvärmeföretag, företag 3 (GWh)]]</f>
        <v>4.0110000000000001</v>
      </c>
      <c r="L239" t="str">
        <f>VLOOKUP(Tabell9[[#This Row],[Nät]],Tabell5[],2,FALSE)</f>
        <v>Söderbärke</v>
      </c>
      <c r="N239">
        <f>IF(Tabell9[[#This Row],[Korr ]]&gt;0,Tabell9[[#This Row],[Korr ]],Tabell9[[#This Row],[Såld minus ftg]])</f>
        <v>4.0110000000000001</v>
      </c>
      <c r="Q239" s="8"/>
    </row>
    <row r="240" spans="1:20" x14ac:dyDescent="0.25">
      <c r="A240" t="s">
        <v>995</v>
      </c>
      <c r="B240" t="s">
        <v>280</v>
      </c>
      <c r="C240">
        <v>2021</v>
      </c>
      <c r="D240">
        <v>319.54399999999998</v>
      </c>
      <c r="K240">
        <f>Tabell9[[#This Row],[Såld värme (GWh)]]-Tabell9[[#This Row],[Levererad värme, andra fjärrvärmeföretag, företag 1 (GWh)]]-Tabell9[[#This Row],[Levererad värme, andra fjärrvärmeföretag, företag 2 (GWh)]]-Tabell9[[#This Row],[Levererad värme, andra fjärrvärmeföretag, företag 3 (GWh)]]</f>
        <v>319.54399999999998</v>
      </c>
      <c r="L240" t="str">
        <f>VLOOKUP(Tabell9[[#This Row],[Nät]],Tabell5[],2,FALSE)</f>
        <v>Sollentuna</v>
      </c>
      <c r="N240">
        <f>IF(Tabell9[[#This Row],[Korr ]]&gt;0,Tabell9[[#This Row],[Korr ]],Tabell9[[#This Row],[Såld minus ftg]])</f>
        <v>319.54399999999998</v>
      </c>
      <c r="Q240" s="8"/>
    </row>
    <row r="241" spans="1:20" x14ac:dyDescent="0.25">
      <c r="A241" t="s">
        <v>1143</v>
      </c>
      <c r="B241" t="s">
        <v>106</v>
      </c>
      <c r="C241">
        <v>2021</v>
      </c>
      <c r="D241">
        <v>107.4</v>
      </c>
      <c r="K241">
        <f>Tabell9[[#This Row],[Såld värme (GWh)]]-Tabell9[[#This Row],[Levererad värme, andra fjärrvärmeföretag, företag 1 (GWh)]]-Tabell9[[#This Row],[Levererad värme, andra fjärrvärmeföretag, företag 2 (GWh)]]-Tabell9[[#This Row],[Levererad värme, andra fjärrvärmeföretag, företag 3 (GWh)]]</f>
        <v>107.4</v>
      </c>
      <c r="L241" t="str">
        <f>VLOOKUP(Tabell9[[#This Row],[Nät]],Tabell5[],2,FALSE)</f>
        <v>Falköping</v>
      </c>
      <c r="N241">
        <f>IF(Tabell9[[#This Row],[Korr ]]&gt;0,Tabell9[[#This Row],[Korr ]],Tabell9[[#This Row],[Såld minus ftg]])</f>
        <v>107.4</v>
      </c>
      <c r="Q241" s="8"/>
    </row>
    <row r="242" spans="1:20" x14ac:dyDescent="0.25">
      <c r="A242" t="s">
        <v>1143</v>
      </c>
      <c r="B242" t="s">
        <v>107</v>
      </c>
      <c r="C242">
        <v>2021</v>
      </c>
      <c r="D242">
        <v>9.8000000000000007</v>
      </c>
      <c r="K242">
        <f>Tabell9[[#This Row],[Såld värme (GWh)]]-Tabell9[[#This Row],[Levererad värme, andra fjärrvärmeföretag, företag 1 (GWh)]]-Tabell9[[#This Row],[Levererad värme, andra fjärrvärmeföretag, företag 2 (GWh)]]-Tabell9[[#This Row],[Levererad värme, andra fjärrvärmeföretag, företag 3 (GWh)]]</f>
        <v>9.8000000000000007</v>
      </c>
      <c r="L242" t="str">
        <f>VLOOKUP(Tabell9[[#This Row],[Nät]],Tabell5[],2,FALSE)</f>
        <v>Floby</v>
      </c>
      <c r="N242">
        <f>IF(Tabell9[[#This Row],[Korr ]]&gt;0,Tabell9[[#This Row],[Korr ]],Tabell9[[#This Row],[Såld minus ftg]])</f>
        <v>9.8000000000000007</v>
      </c>
      <c r="Q242" s="8"/>
    </row>
    <row r="243" spans="1:20" x14ac:dyDescent="0.25">
      <c r="A243" t="s">
        <v>1143</v>
      </c>
      <c r="B243" t="s">
        <v>705</v>
      </c>
      <c r="C243">
        <v>2021</v>
      </c>
      <c r="D243">
        <v>3.8</v>
      </c>
      <c r="K243">
        <f>Tabell9[[#This Row],[Såld värme (GWh)]]-Tabell9[[#This Row],[Levererad värme, andra fjärrvärmeföretag, företag 1 (GWh)]]-Tabell9[[#This Row],[Levererad värme, andra fjärrvärmeföretag, företag 2 (GWh)]]-Tabell9[[#This Row],[Levererad värme, andra fjärrvärmeföretag, företag 3 (GWh)]]</f>
        <v>3.8</v>
      </c>
      <c r="L243" t="str">
        <f>VLOOKUP(Tabell9[[#This Row],[Nät]],Tabell5[],2,FALSE)</f>
        <v>Stenstorp</v>
      </c>
      <c r="N243">
        <f>IF(Tabell9[[#This Row],[Korr ]]&gt;0,Tabell9[[#This Row],[Korr ]],Tabell9[[#This Row],[Såld minus ftg]])</f>
        <v>3.8</v>
      </c>
      <c r="Q243" s="8"/>
    </row>
    <row r="244" spans="1:20" x14ac:dyDescent="0.25">
      <c r="A244" t="s">
        <v>1100</v>
      </c>
      <c r="B244" t="s">
        <v>95</v>
      </c>
      <c r="C244">
        <v>2021</v>
      </c>
      <c r="D244">
        <v>17.725000000000001</v>
      </c>
      <c r="K244">
        <f>Tabell9[[#This Row],[Såld värme (GWh)]]-Tabell9[[#This Row],[Levererad värme, andra fjärrvärmeföretag, företag 1 (GWh)]]-Tabell9[[#This Row],[Levererad värme, andra fjärrvärmeföretag, företag 2 (GWh)]]-Tabell9[[#This Row],[Levererad värme, andra fjärrvärmeföretag, företag 3 (GWh)]]</f>
        <v>17.725000000000001</v>
      </c>
      <c r="L244" t="str">
        <f>VLOOKUP(Tabell9[[#This Row],[Nät]],Tabell5[],2,FALSE)</f>
        <v>Alfta</v>
      </c>
      <c r="N244">
        <f>IF(Tabell9[[#This Row],[Korr ]]&gt;0,Tabell9[[#This Row],[Korr ]],Tabell9[[#This Row],[Såld minus ftg]])</f>
        <v>17.725000000000001</v>
      </c>
      <c r="Q244" s="8"/>
    </row>
    <row r="245" spans="1:20" x14ac:dyDescent="0.25">
      <c r="A245" t="s">
        <v>1100</v>
      </c>
      <c r="B245" t="s">
        <v>1110</v>
      </c>
      <c r="C245">
        <v>2021</v>
      </c>
      <c r="D245">
        <v>4.7</v>
      </c>
      <c r="K245">
        <f>Tabell9[[#This Row],[Såld värme (GWh)]]-Tabell9[[#This Row],[Levererad värme, andra fjärrvärmeföretag, företag 1 (GWh)]]-Tabell9[[#This Row],[Levererad värme, andra fjärrvärmeföretag, företag 2 (GWh)]]-Tabell9[[#This Row],[Levererad värme, andra fjärrvärmeföretag, företag 3 (GWh)]]</f>
        <v>4.7</v>
      </c>
      <c r="L245" t="str">
        <f>VLOOKUP(Tabell9[[#This Row],[Nät]],Tabell5[],2,FALSE)</f>
        <v>Alsike</v>
      </c>
      <c r="N245">
        <f>IF(Tabell9[[#This Row],[Korr ]]&gt;0,Tabell9[[#This Row],[Korr ]],Tabell9[[#This Row],[Såld minus ftg]])</f>
        <v>4.7</v>
      </c>
      <c r="Q245" s="8"/>
    </row>
    <row r="246" spans="1:20" x14ac:dyDescent="0.25">
      <c r="A246" t="s">
        <v>1100</v>
      </c>
      <c r="B246" s="77" t="s">
        <v>1033</v>
      </c>
      <c r="C246">
        <v>2021</v>
      </c>
      <c r="D246">
        <v>7.3630000000000004</v>
      </c>
      <c r="K246">
        <f>Tabell9[[#This Row],[Såld värme (GWh)]]-Tabell9[[#This Row],[Levererad värme, andra fjärrvärmeföretag, företag 1 (GWh)]]-Tabell9[[#This Row],[Levererad värme, andra fjärrvärmeföretag, företag 2 (GWh)]]-Tabell9[[#This Row],[Levererad värme, andra fjärrvärmeföretag, företag 3 (GWh)]]</f>
        <v>7.3630000000000004</v>
      </c>
      <c r="L246" t="e">
        <f>VLOOKUP(Tabell9[[#This Row],[Nät]],Tabell5[],2,FALSE)</f>
        <v>#N/A</v>
      </c>
      <c r="N246">
        <f>IF(Tabell9[[#This Row],[Korr ]]&gt;0,Tabell9[[#This Row],[Korr ]],Tabell9[[#This Row],[Såld minus ftg]])</f>
        <v>7.3630000000000004</v>
      </c>
      <c r="Q246" s="8"/>
    </row>
    <row r="247" spans="1:20" x14ac:dyDescent="0.25">
      <c r="A247" t="s">
        <v>1100</v>
      </c>
      <c r="B247" t="s">
        <v>81</v>
      </c>
      <c r="C247">
        <v>2021</v>
      </c>
      <c r="D247">
        <v>13.7</v>
      </c>
      <c r="K247">
        <f>Tabell9[[#This Row],[Såld värme (GWh)]]-Tabell9[[#This Row],[Levererad värme, andra fjärrvärmeföretag, företag 1 (GWh)]]-Tabell9[[#This Row],[Levererad värme, andra fjärrvärmeföretag, företag 2 (GWh)]]-Tabell9[[#This Row],[Levererad värme, andra fjärrvärmeföretag, företag 3 (GWh)]]</f>
        <v>13.7</v>
      </c>
      <c r="L247" t="str">
        <f>VLOOKUP(Tabell9[[#This Row],[Nät]],Tabell5[],2,FALSE)</f>
        <v>Broby</v>
      </c>
      <c r="N247">
        <f>IF(Tabell9[[#This Row],[Korr ]]&gt;0,Tabell9[[#This Row],[Korr ]],Tabell9[[#This Row],[Såld minus ftg]])</f>
        <v>13.7</v>
      </c>
      <c r="Q247" s="8"/>
      <c r="R247" s="4"/>
    </row>
    <row r="248" spans="1:20" x14ac:dyDescent="0.25">
      <c r="A248" t="s">
        <v>1100</v>
      </c>
      <c r="B248" t="s">
        <v>450</v>
      </c>
      <c r="C248">
        <v>2021</v>
      </c>
      <c r="D248">
        <v>18.439</v>
      </c>
      <c r="K248">
        <f>Tabell9[[#This Row],[Såld värme (GWh)]]-Tabell9[[#This Row],[Levererad värme, andra fjärrvärmeföretag, företag 1 (GWh)]]-Tabell9[[#This Row],[Levererad värme, andra fjärrvärmeföretag, företag 2 (GWh)]]-Tabell9[[#This Row],[Levererad värme, andra fjärrvärmeföretag, företag 3 (GWh)]]</f>
        <v>18.439</v>
      </c>
      <c r="L248" t="e">
        <f>VLOOKUP(Tabell9[[#This Row],[Nät]],Tabell5[],2,FALSE)</f>
        <v>#N/A</v>
      </c>
      <c r="N248">
        <f>IF(Tabell9[[#This Row],[Korr ]]&gt;0,Tabell9[[#This Row],[Korr ]],Tabell9[[#This Row],[Såld minus ftg]])</f>
        <v>18.439</v>
      </c>
      <c r="Q248" s="8"/>
    </row>
    <row r="249" spans="1:20" x14ac:dyDescent="0.25">
      <c r="A249" t="s">
        <v>1100</v>
      </c>
      <c r="B249" t="s">
        <v>46</v>
      </c>
      <c r="C249">
        <v>2021</v>
      </c>
      <c r="D249">
        <v>16.571999999999999</v>
      </c>
      <c r="K249">
        <f>Tabell9[[#This Row],[Såld värme (GWh)]]-Tabell9[[#This Row],[Levererad värme, andra fjärrvärmeföretag, företag 1 (GWh)]]-Tabell9[[#This Row],[Levererad värme, andra fjärrvärmeföretag, företag 2 (GWh)]]-Tabell9[[#This Row],[Levererad värme, andra fjärrvärmeföretag, företag 3 (GWh)]]</f>
        <v>16.571999999999999</v>
      </c>
      <c r="L249" t="str">
        <f>VLOOKUP(Tabell9[[#This Row],[Nät]],Tabell5[],2,FALSE)</f>
        <v>Dorotea</v>
      </c>
      <c r="N249">
        <f>IF(Tabell9[[#This Row],[Korr ]]&gt;0,Tabell9[[#This Row],[Korr ]],Tabell9[[#This Row],[Såld minus ftg]])</f>
        <v>16.571999999999999</v>
      </c>
      <c r="Q249" s="8"/>
      <c r="T249" s="4"/>
    </row>
    <row r="250" spans="1:20" x14ac:dyDescent="0.25">
      <c r="A250" t="s">
        <v>1100</v>
      </c>
      <c r="B250" t="s">
        <v>96</v>
      </c>
      <c r="C250">
        <v>2021</v>
      </c>
      <c r="D250">
        <v>33.405999999999999</v>
      </c>
      <c r="K250">
        <f>Tabell9[[#This Row],[Såld värme (GWh)]]-Tabell9[[#This Row],[Levererad värme, andra fjärrvärmeföretag, företag 1 (GWh)]]-Tabell9[[#This Row],[Levererad värme, andra fjärrvärmeföretag, företag 2 (GWh)]]-Tabell9[[#This Row],[Levererad värme, andra fjärrvärmeföretag, företag 3 (GWh)]]</f>
        <v>33.405999999999999</v>
      </c>
      <c r="L250" t="str">
        <f>VLOOKUP(Tabell9[[#This Row],[Nät]],Tabell5[],2,FALSE)</f>
        <v>Edsbyn</v>
      </c>
      <c r="N250">
        <f>IF(Tabell9[[#This Row],[Korr ]]&gt;0,Tabell9[[#This Row],[Korr ]],Tabell9[[#This Row],[Såld minus ftg]])</f>
        <v>33.405999999999999</v>
      </c>
      <c r="Q250" s="8"/>
    </row>
    <row r="251" spans="1:20" x14ac:dyDescent="0.25">
      <c r="A251" t="s">
        <v>1100</v>
      </c>
      <c r="B251" t="s">
        <v>239</v>
      </c>
      <c r="C251">
        <v>2021</v>
      </c>
      <c r="D251">
        <v>47.4</v>
      </c>
      <c r="K251">
        <f>Tabell9[[#This Row],[Såld värme (GWh)]]-Tabell9[[#This Row],[Levererad värme, andra fjärrvärmeföretag, företag 1 (GWh)]]-Tabell9[[#This Row],[Levererad värme, andra fjärrvärmeföretag, företag 2 (GWh)]]-Tabell9[[#This Row],[Levererad värme, andra fjärrvärmeföretag, företag 3 (GWh)]]</f>
        <v>47.4</v>
      </c>
      <c r="L251" t="e">
        <f>VLOOKUP(Tabell9[[#This Row],[Nät]],Tabell5[],2,FALSE)</f>
        <v>#N/A</v>
      </c>
      <c r="N251">
        <f>IF(Tabell9[[#This Row],[Korr ]]&gt;0,Tabell9[[#This Row],[Korr ]],Tabell9[[#This Row],[Såld minus ftg]])</f>
        <v>47.4</v>
      </c>
      <c r="Q251" s="8"/>
      <c r="R251" s="3"/>
    </row>
    <row r="252" spans="1:20" x14ac:dyDescent="0.25">
      <c r="A252" t="s">
        <v>1100</v>
      </c>
      <c r="B252" t="s">
        <v>486</v>
      </c>
      <c r="C252">
        <v>2021</v>
      </c>
      <c r="D252">
        <v>1.5</v>
      </c>
      <c r="K252">
        <f>Tabell9[[#This Row],[Såld värme (GWh)]]-Tabell9[[#This Row],[Levererad värme, andra fjärrvärmeföretag, företag 1 (GWh)]]-Tabell9[[#This Row],[Levererad värme, andra fjärrvärmeföretag, företag 2 (GWh)]]-Tabell9[[#This Row],[Levererad värme, andra fjärrvärmeföretag, företag 3 (GWh)]]</f>
        <v>1.5</v>
      </c>
      <c r="L252" t="e">
        <f>VLOOKUP(Tabell9[[#This Row],[Nät]],Tabell5[],2,FALSE)</f>
        <v>#N/A</v>
      </c>
      <c r="N252">
        <f>IF(Tabell9[[#This Row],[Korr ]]&gt;0,Tabell9[[#This Row],[Korr ]],Tabell9[[#This Row],[Såld minus ftg]])</f>
        <v>1.5</v>
      </c>
      <c r="Q252" s="8"/>
    </row>
    <row r="253" spans="1:20" x14ac:dyDescent="0.25">
      <c r="A253" t="s">
        <v>1100</v>
      </c>
      <c r="B253" t="s">
        <v>1111</v>
      </c>
      <c r="C253">
        <v>2021</v>
      </c>
      <c r="D253">
        <v>1.994</v>
      </c>
      <c r="K253">
        <f>Tabell9[[#This Row],[Såld värme (GWh)]]-Tabell9[[#This Row],[Levererad värme, andra fjärrvärmeföretag, företag 1 (GWh)]]-Tabell9[[#This Row],[Levererad värme, andra fjärrvärmeföretag, företag 2 (GWh)]]-Tabell9[[#This Row],[Levererad värme, andra fjärrvärmeföretag, företag 3 (GWh)]]</f>
        <v>1.994</v>
      </c>
      <c r="L253" t="e">
        <f>VLOOKUP(Tabell9[[#This Row],[Nät]],Tabell5[],2,FALSE)</f>
        <v>#N/A</v>
      </c>
      <c r="N253">
        <f>IF(Tabell9[[#This Row],[Korr ]]&gt;0,Tabell9[[#This Row],[Korr ]],Tabell9[[#This Row],[Såld minus ftg]])</f>
        <v>1.994</v>
      </c>
      <c r="Q253" s="8"/>
      <c r="R253" s="3"/>
    </row>
    <row r="254" spans="1:20" x14ac:dyDescent="0.25">
      <c r="A254" t="s">
        <v>1100</v>
      </c>
      <c r="B254" t="s">
        <v>241</v>
      </c>
      <c r="C254">
        <v>2021</v>
      </c>
      <c r="D254">
        <v>20.7</v>
      </c>
      <c r="K254">
        <f>Tabell9[[#This Row],[Såld värme (GWh)]]-Tabell9[[#This Row],[Levererad värme, andra fjärrvärmeföretag, företag 1 (GWh)]]-Tabell9[[#This Row],[Levererad värme, andra fjärrvärmeföretag, företag 2 (GWh)]]-Tabell9[[#This Row],[Levererad värme, andra fjärrvärmeföretag, företag 3 (GWh)]]</f>
        <v>20.7</v>
      </c>
      <c r="L254" t="str">
        <f>VLOOKUP(Tabell9[[#This Row],[Nät]],Tabell5[],2,FALSE)</f>
        <v>Gnesta</v>
      </c>
      <c r="N254">
        <f>IF(Tabell9[[#This Row],[Korr ]]&gt;0,Tabell9[[#This Row],[Korr ]],Tabell9[[#This Row],[Såld minus ftg]])</f>
        <v>20.7</v>
      </c>
      <c r="Q254" s="8"/>
    </row>
    <row r="255" spans="1:20" x14ac:dyDescent="0.25">
      <c r="A255" t="s">
        <v>1100</v>
      </c>
      <c r="B255" t="s">
        <v>18</v>
      </c>
      <c r="C255">
        <v>2021</v>
      </c>
      <c r="D255">
        <v>8.3450000000000006</v>
      </c>
      <c r="K255">
        <f>Tabell9[[#This Row],[Såld värme (GWh)]]-Tabell9[[#This Row],[Levererad värme, andra fjärrvärmeföretag, företag 1 (GWh)]]-Tabell9[[#This Row],[Levererad värme, andra fjärrvärmeföretag, företag 2 (GWh)]]-Tabell9[[#This Row],[Levererad värme, andra fjärrvärmeföretag, företag 3 (GWh)]]</f>
        <v>8.3450000000000006</v>
      </c>
      <c r="L255" t="str">
        <f>VLOOKUP(Tabell9[[#This Row],[Nät]],Tabell5[],2,FALSE)</f>
        <v>Horndal</v>
      </c>
      <c r="N255">
        <f>IF(Tabell9[[#This Row],[Korr ]]&gt;0,Tabell9[[#This Row],[Korr ]],Tabell9[[#This Row],[Såld minus ftg]])</f>
        <v>8.3450000000000006</v>
      </c>
      <c r="Q255" s="8"/>
    </row>
    <row r="256" spans="1:20" x14ac:dyDescent="0.25">
      <c r="A256" t="s">
        <v>1100</v>
      </c>
      <c r="B256" t="s">
        <v>242</v>
      </c>
      <c r="C256">
        <v>2021</v>
      </c>
      <c r="D256">
        <v>26.1</v>
      </c>
      <c r="K256">
        <f>Tabell9[[#This Row],[Såld värme (GWh)]]-Tabell9[[#This Row],[Levererad värme, andra fjärrvärmeföretag, företag 1 (GWh)]]-Tabell9[[#This Row],[Levererad värme, andra fjärrvärmeföretag, företag 2 (GWh)]]-Tabell9[[#This Row],[Levererad värme, andra fjärrvärmeföretag, företag 3 (GWh)]]</f>
        <v>26.1</v>
      </c>
      <c r="L256" t="str">
        <f>VLOOKUP(Tabell9[[#This Row],[Nät]],Tabell5[],2,FALSE)</f>
        <v>Hörby</v>
      </c>
      <c r="N256">
        <f>IF(Tabell9[[#This Row],[Korr ]]&gt;0,Tabell9[[#This Row],[Korr ]],Tabell9[[#This Row],[Såld minus ftg]])</f>
        <v>26.1</v>
      </c>
      <c r="Q256" s="8"/>
    </row>
    <row r="257" spans="1:20" x14ac:dyDescent="0.25">
      <c r="A257" t="s">
        <v>1100</v>
      </c>
      <c r="B257" t="s">
        <v>243</v>
      </c>
      <c r="C257">
        <v>2021</v>
      </c>
      <c r="D257">
        <v>22.9</v>
      </c>
      <c r="K257">
        <f>Tabell9[[#This Row],[Såld värme (GWh)]]-Tabell9[[#This Row],[Levererad värme, andra fjärrvärmeföretag, företag 1 (GWh)]]-Tabell9[[#This Row],[Levererad värme, andra fjärrvärmeföretag, företag 2 (GWh)]]-Tabell9[[#This Row],[Levererad värme, andra fjärrvärmeföretag, företag 3 (GWh)]]</f>
        <v>22.9</v>
      </c>
      <c r="L257" t="str">
        <f>VLOOKUP(Tabell9[[#This Row],[Nät]],Tabell5[],2,FALSE)</f>
        <v>Höör</v>
      </c>
      <c r="N257">
        <f>IF(Tabell9[[#This Row],[Korr ]]&gt;0,Tabell9[[#This Row],[Korr ]],Tabell9[[#This Row],[Såld minus ftg]])</f>
        <v>22.9</v>
      </c>
      <c r="Q257" s="8"/>
    </row>
    <row r="258" spans="1:20" x14ac:dyDescent="0.25">
      <c r="A258" t="s">
        <v>1100</v>
      </c>
      <c r="B258" t="s">
        <v>346</v>
      </c>
      <c r="C258">
        <v>2021</v>
      </c>
      <c r="D258">
        <v>94.8</v>
      </c>
      <c r="K258">
        <f>Tabell9[[#This Row],[Såld värme (GWh)]]-Tabell9[[#This Row],[Levererad värme, andra fjärrvärmeföretag, företag 1 (GWh)]]-Tabell9[[#This Row],[Levererad värme, andra fjärrvärmeföretag, företag 2 (GWh)]]-Tabell9[[#This Row],[Levererad värme, andra fjärrvärmeföretag, företag 3 (GWh)]]</f>
        <v>94.8</v>
      </c>
      <c r="L258" t="str">
        <f>VLOOKUP(Tabell9[[#This Row],[Nät]],Tabell5[],2,FALSE)</f>
        <v>Kalix</v>
      </c>
      <c r="N258">
        <f>IF(Tabell9[[#This Row],[Korr ]]&gt;0,Tabell9[[#This Row],[Korr ]],Tabell9[[#This Row],[Såld minus ftg]])</f>
        <v>94.8</v>
      </c>
      <c r="Q258" s="8"/>
      <c r="T258" s="4"/>
    </row>
    <row r="259" spans="1:20" x14ac:dyDescent="0.25">
      <c r="A259" t="s">
        <v>1100</v>
      </c>
      <c r="B259" t="s">
        <v>1115</v>
      </c>
      <c r="C259">
        <v>2021</v>
      </c>
      <c r="D259">
        <v>6.4210000000000003</v>
      </c>
      <c r="K259">
        <f>Tabell9[[#This Row],[Såld värme (GWh)]]-Tabell9[[#This Row],[Levererad värme, andra fjärrvärmeföretag, företag 1 (GWh)]]-Tabell9[[#This Row],[Levererad värme, andra fjärrvärmeföretag, företag 2 (GWh)]]-Tabell9[[#This Row],[Levererad värme, andra fjärrvärmeföretag, företag 3 (GWh)]]</f>
        <v>6.4210000000000003</v>
      </c>
      <c r="L259" t="e">
        <f>VLOOKUP(Tabell9[[#This Row],[Nät]],Tabell5[],2,FALSE)</f>
        <v>#N/A</v>
      </c>
      <c r="N259">
        <f>IF(Tabell9[[#This Row],[Korr ]]&gt;0,Tabell9[[#This Row],[Korr ]],Tabell9[[#This Row],[Såld minus ftg]])</f>
        <v>6.4210000000000003</v>
      </c>
      <c r="Q259" s="8"/>
    </row>
    <row r="260" spans="1:20" x14ac:dyDescent="0.25">
      <c r="A260" t="s">
        <v>1100</v>
      </c>
      <c r="B260" t="s">
        <v>86</v>
      </c>
      <c r="C260">
        <v>2021</v>
      </c>
      <c r="D260">
        <v>10.9</v>
      </c>
      <c r="K260">
        <f>Tabell9[[#This Row],[Såld värme (GWh)]]-Tabell9[[#This Row],[Levererad värme, andra fjärrvärmeföretag, företag 1 (GWh)]]-Tabell9[[#This Row],[Levererad värme, andra fjärrvärmeföretag, företag 2 (GWh)]]-Tabell9[[#This Row],[Levererad värme, andra fjärrvärmeföretag, företag 3 (GWh)]]</f>
        <v>10.9</v>
      </c>
      <c r="L260" t="str">
        <f>VLOOKUP(Tabell9[[#This Row],[Nät]],Tabell5[],2,FALSE)</f>
        <v>Lagan</v>
      </c>
      <c r="N260">
        <f>IF(Tabell9[[#This Row],[Korr ]]&gt;0,Tabell9[[#This Row],[Korr ]],Tabell9[[#This Row],[Såld minus ftg]])</f>
        <v>10.9</v>
      </c>
      <c r="Q260" s="8"/>
      <c r="T260" s="3"/>
    </row>
    <row r="261" spans="1:20" x14ac:dyDescent="0.25">
      <c r="A261" t="s">
        <v>1100</v>
      </c>
      <c r="B261" t="s">
        <v>76</v>
      </c>
      <c r="C261">
        <v>2021</v>
      </c>
      <c r="D261">
        <v>13.9</v>
      </c>
      <c r="K261">
        <f>Tabell9[[#This Row],[Såld värme (GWh)]]-Tabell9[[#This Row],[Levererad värme, andra fjärrvärmeföretag, företag 1 (GWh)]]-Tabell9[[#This Row],[Levererad värme, andra fjärrvärmeföretag, företag 2 (GWh)]]-Tabell9[[#This Row],[Levererad värme, andra fjärrvärmeföretag, företag 3 (GWh)]]</f>
        <v>13.9</v>
      </c>
      <c r="L261" t="str">
        <f>VLOOKUP(Tabell9[[#This Row],[Nät]],Tabell5[],2,FALSE)</f>
        <v>Lammhult</v>
      </c>
      <c r="N261">
        <f>IF(Tabell9[[#This Row],[Korr ]]&gt;0,Tabell9[[#This Row],[Korr ]],Tabell9[[#This Row],[Såld minus ftg]])</f>
        <v>13.9</v>
      </c>
      <c r="Q261" s="8"/>
      <c r="R261" s="4"/>
    </row>
    <row r="262" spans="1:20" x14ac:dyDescent="0.25">
      <c r="A262" t="s">
        <v>1100</v>
      </c>
      <c r="B262" t="s">
        <v>83</v>
      </c>
      <c r="C262">
        <v>2021</v>
      </c>
      <c r="D262">
        <v>16.591000000000001</v>
      </c>
      <c r="K262">
        <f>Tabell9[[#This Row],[Såld värme (GWh)]]-Tabell9[[#This Row],[Levererad värme, andra fjärrvärmeföretag, företag 1 (GWh)]]-Tabell9[[#This Row],[Levererad värme, andra fjärrvärmeföretag, företag 2 (GWh)]]-Tabell9[[#This Row],[Levererad värme, andra fjärrvärmeföretag, företag 3 (GWh)]]</f>
        <v>16.591000000000001</v>
      </c>
      <c r="L262" t="str">
        <f>VLOOKUP(Tabell9[[#This Row],[Nät]],Tabell5[],2,FALSE)</f>
        <v>Landvetter</v>
      </c>
      <c r="N262">
        <f>IF(Tabell9[[#This Row],[Korr ]]&gt;0,Tabell9[[#This Row],[Korr ]],Tabell9[[#This Row],[Såld minus ftg]])</f>
        <v>16.591000000000001</v>
      </c>
      <c r="Q262" s="8"/>
      <c r="R262" s="4"/>
    </row>
    <row r="263" spans="1:20" x14ac:dyDescent="0.25">
      <c r="A263" t="s">
        <v>1100</v>
      </c>
      <c r="B263" t="s">
        <v>490</v>
      </c>
      <c r="C263">
        <v>2021</v>
      </c>
      <c r="D263">
        <v>6.8</v>
      </c>
      <c r="K263">
        <f>Tabell9[[#This Row],[Såld värme (GWh)]]-Tabell9[[#This Row],[Levererad värme, andra fjärrvärmeföretag, företag 1 (GWh)]]-Tabell9[[#This Row],[Levererad värme, andra fjärrvärmeföretag, företag 2 (GWh)]]-Tabell9[[#This Row],[Levererad värme, andra fjärrvärmeföretag, företag 3 (GWh)]]</f>
        <v>6.8</v>
      </c>
      <c r="L263" t="str">
        <f>VLOOKUP(Tabell9[[#This Row],[Nät]],Tabell5[],2,FALSE)</f>
        <v>Lidhult</v>
      </c>
      <c r="N263">
        <f>IF(Tabell9[[#This Row],[Korr ]]&gt;0,Tabell9[[#This Row],[Korr ]],Tabell9[[#This Row],[Såld minus ftg]])</f>
        <v>6.8</v>
      </c>
      <c r="Q263" s="8"/>
      <c r="T263" s="3"/>
    </row>
    <row r="264" spans="1:20" x14ac:dyDescent="0.25">
      <c r="A264" t="s">
        <v>1100</v>
      </c>
      <c r="B264" t="s">
        <v>200</v>
      </c>
      <c r="C264">
        <v>2021</v>
      </c>
      <c r="D264">
        <v>14.9</v>
      </c>
      <c r="K264">
        <f>Tabell9[[#This Row],[Såld värme (GWh)]]-Tabell9[[#This Row],[Levererad värme, andra fjärrvärmeföretag, företag 1 (GWh)]]-Tabell9[[#This Row],[Levererad värme, andra fjärrvärmeföretag, företag 2 (GWh)]]-Tabell9[[#This Row],[Levererad värme, andra fjärrvärmeföretag, företag 3 (GWh)]]</f>
        <v>14.9</v>
      </c>
      <c r="L264" t="str">
        <f>VLOOKUP(Tabell9[[#This Row],[Nät]],Tabell5[],2,FALSE)</f>
        <v>Malmköping</v>
      </c>
      <c r="N264">
        <f>IF(Tabell9[[#This Row],[Korr ]]&gt;0,Tabell9[[#This Row],[Korr ]],Tabell9[[#This Row],[Såld minus ftg]])</f>
        <v>14.9</v>
      </c>
      <c r="Q264" s="8"/>
    </row>
    <row r="265" spans="1:20" x14ac:dyDescent="0.25">
      <c r="A265" t="s">
        <v>1100</v>
      </c>
      <c r="B265" t="s">
        <v>82</v>
      </c>
      <c r="C265">
        <v>2021</v>
      </c>
      <c r="D265">
        <v>20.8</v>
      </c>
      <c r="K265">
        <f>Tabell9[[#This Row],[Såld värme (GWh)]]-Tabell9[[#This Row],[Levererad värme, andra fjärrvärmeföretag, företag 1 (GWh)]]-Tabell9[[#This Row],[Levererad värme, andra fjärrvärmeföretag, företag 2 (GWh)]]-Tabell9[[#This Row],[Levererad värme, andra fjärrvärmeföretag, företag 3 (GWh)]]</f>
        <v>20.8</v>
      </c>
      <c r="L265" t="str">
        <f>VLOOKUP(Tabell9[[#This Row],[Nät]],Tabell5[],2,FALSE)</f>
        <v>Markaryd</v>
      </c>
      <c r="N265">
        <f>IF(Tabell9[[#This Row],[Korr ]]&gt;0,Tabell9[[#This Row],[Korr ]],Tabell9[[#This Row],[Såld minus ftg]])</f>
        <v>20.8</v>
      </c>
      <c r="Q265" s="8"/>
      <c r="T265" s="3"/>
    </row>
    <row r="266" spans="1:20" x14ac:dyDescent="0.25">
      <c r="A266" t="s">
        <v>1100</v>
      </c>
      <c r="B266" t="s">
        <v>84</v>
      </c>
      <c r="C266">
        <v>2021</v>
      </c>
      <c r="D266">
        <v>50.497999999999998</v>
      </c>
      <c r="K266">
        <f>Tabell9[[#This Row],[Såld värme (GWh)]]-Tabell9[[#This Row],[Levererad värme, andra fjärrvärmeföretag, företag 1 (GWh)]]-Tabell9[[#This Row],[Levererad värme, andra fjärrvärmeföretag, företag 2 (GWh)]]-Tabell9[[#This Row],[Levererad värme, andra fjärrvärmeföretag, företag 3 (GWh)]]</f>
        <v>50.497999999999998</v>
      </c>
      <c r="L266" t="str">
        <f>VLOOKUP(Tabell9[[#This Row],[Nät]],Tabell5[],2,FALSE)</f>
        <v>Mölnlycke</v>
      </c>
      <c r="N266">
        <f>IF(Tabell9[[#This Row],[Korr ]]&gt;0,Tabell9[[#This Row],[Korr ]],Tabell9[[#This Row],[Såld minus ftg]])</f>
        <v>50.497999999999998</v>
      </c>
      <c r="Q266" s="8"/>
    </row>
    <row r="267" spans="1:20" x14ac:dyDescent="0.25">
      <c r="A267" t="s">
        <v>1100</v>
      </c>
      <c r="B267" t="s">
        <v>80</v>
      </c>
      <c r="C267">
        <v>2021</v>
      </c>
      <c r="D267">
        <v>52</v>
      </c>
      <c r="K267">
        <f>Tabell9[[#This Row],[Såld värme (GWh)]]-Tabell9[[#This Row],[Levererad värme, andra fjärrvärmeföretag, företag 1 (GWh)]]-Tabell9[[#This Row],[Levererad värme, andra fjärrvärmeföretag, företag 2 (GWh)]]-Tabell9[[#This Row],[Levererad värme, andra fjärrvärmeföretag, företag 3 (GWh)]]</f>
        <v>52</v>
      </c>
      <c r="L267" t="str">
        <f>VLOOKUP(Tabell9[[#This Row],[Nät]],Tabell5[],2,FALSE)</f>
        <v>Mönsterås</v>
      </c>
      <c r="N267">
        <f>IF(Tabell9[[#This Row],[Korr ]]&gt;0,Tabell9[[#This Row],[Korr ]],Tabell9[[#This Row],[Såld minus ftg]])</f>
        <v>52</v>
      </c>
      <c r="Q267" s="8"/>
    </row>
    <row r="268" spans="1:20" x14ac:dyDescent="0.25">
      <c r="A268" t="s">
        <v>1100</v>
      </c>
      <c r="B268" t="s">
        <v>70</v>
      </c>
      <c r="C268">
        <v>2021</v>
      </c>
      <c r="D268">
        <v>31.934999999999999</v>
      </c>
      <c r="K268">
        <f>Tabell9[[#This Row],[Såld värme (GWh)]]-Tabell9[[#This Row],[Levererad värme, andra fjärrvärmeföretag, företag 1 (GWh)]]-Tabell9[[#This Row],[Levererad värme, andra fjärrvärmeföretag, företag 2 (GWh)]]-Tabell9[[#This Row],[Levererad värme, andra fjärrvärmeföretag, företag 3 (GWh)]]</f>
        <v>31.934999999999999</v>
      </c>
      <c r="L268" t="str">
        <f>VLOOKUP(Tabell9[[#This Row],[Nät]],Tabell5[],2,FALSE)</f>
        <v>Nora</v>
      </c>
      <c r="N268">
        <f>IF(Tabell9[[#This Row],[Korr ]]&gt;0,Tabell9[[#This Row],[Korr ]],Tabell9[[#This Row],[Såld minus ftg]])</f>
        <v>31.934999999999999</v>
      </c>
      <c r="Q268" s="8"/>
    </row>
    <row r="269" spans="1:20" x14ac:dyDescent="0.25">
      <c r="A269" t="s">
        <v>1100</v>
      </c>
      <c r="B269" t="s">
        <v>51</v>
      </c>
      <c r="C269">
        <v>2021</v>
      </c>
      <c r="D269">
        <v>11.388999999999999</v>
      </c>
      <c r="K269">
        <f>Tabell9[[#This Row],[Såld värme (GWh)]]-Tabell9[[#This Row],[Levererad värme, andra fjärrvärmeföretag, företag 1 (GWh)]]-Tabell9[[#This Row],[Levererad värme, andra fjärrvärmeföretag, företag 2 (GWh)]]-Tabell9[[#This Row],[Levererad värme, andra fjärrvärmeföretag, företag 3 (GWh)]]</f>
        <v>11.388999999999999</v>
      </c>
      <c r="L269" t="str">
        <f>VLOOKUP(Tabell9[[#This Row],[Nät]],Tabell5[],2,FALSE)</f>
        <v>Nordmaling</v>
      </c>
      <c r="N269">
        <f>IF(Tabell9[[#This Row],[Korr ]]&gt;0,Tabell9[[#This Row],[Korr ]],Tabell9[[#This Row],[Såld minus ftg]])</f>
        <v>11.388999999999999</v>
      </c>
      <c r="Q269" s="8"/>
    </row>
    <row r="270" spans="1:20" x14ac:dyDescent="0.25">
      <c r="A270" t="s">
        <v>1100</v>
      </c>
      <c r="B270" t="s">
        <v>56</v>
      </c>
      <c r="C270">
        <v>2021</v>
      </c>
      <c r="D270">
        <v>5.44</v>
      </c>
      <c r="K270">
        <f>Tabell9[[#This Row],[Såld värme (GWh)]]-Tabell9[[#This Row],[Levererad värme, andra fjärrvärmeföretag, företag 1 (GWh)]]-Tabell9[[#This Row],[Levererad värme, andra fjärrvärmeföretag, företag 2 (GWh)]]-Tabell9[[#This Row],[Levererad värme, andra fjärrvärmeföretag, företag 3 (GWh)]]</f>
        <v>5.44</v>
      </c>
      <c r="L270" t="str">
        <f>VLOOKUP(Tabell9[[#This Row],[Nät]],Tabell5[],2,FALSE)</f>
        <v>Odensbacken</v>
      </c>
      <c r="N270">
        <f>IF(Tabell9[[#This Row],[Korr ]]&gt;0,Tabell9[[#This Row],[Korr ]],Tabell9[[#This Row],[Såld minus ftg]])</f>
        <v>5.44</v>
      </c>
      <c r="Q270" s="8"/>
    </row>
    <row r="271" spans="1:20" x14ac:dyDescent="0.25">
      <c r="A271" t="s">
        <v>1100</v>
      </c>
      <c r="B271" t="s">
        <v>1119</v>
      </c>
      <c r="C271">
        <v>2021</v>
      </c>
      <c r="D271">
        <v>0.83599999999999997</v>
      </c>
      <c r="K271">
        <f>Tabell9[[#This Row],[Såld värme (GWh)]]-Tabell9[[#This Row],[Levererad värme, andra fjärrvärmeföretag, företag 1 (GWh)]]-Tabell9[[#This Row],[Levererad värme, andra fjärrvärmeföretag, företag 2 (GWh)]]-Tabell9[[#This Row],[Levererad värme, andra fjärrvärmeföretag, företag 3 (GWh)]]</f>
        <v>0.83599999999999997</v>
      </c>
      <c r="L271" t="e">
        <f>VLOOKUP(Tabell9[[#This Row],[Nät]],Tabell5[],2,FALSE)</f>
        <v>#N/A</v>
      </c>
      <c r="N271">
        <f>IF(Tabell9[[#This Row],[Korr ]]&gt;0,Tabell9[[#This Row],[Korr ]],Tabell9[[#This Row],[Såld minus ftg]])</f>
        <v>0.83599999999999997</v>
      </c>
      <c r="Q271" s="8"/>
    </row>
    <row r="272" spans="1:20" x14ac:dyDescent="0.25">
      <c r="A272" t="s">
        <v>1100</v>
      </c>
      <c r="B272" t="s">
        <v>73</v>
      </c>
      <c r="C272">
        <v>2021</v>
      </c>
      <c r="D272">
        <v>7.6970000000000001</v>
      </c>
      <c r="K272">
        <f>Tabell9[[#This Row],[Såld värme (GWh)]]-Tabell9[[#This Row],[Levererad värme, andra fjärrvärmeföretag, företag 1 (GWh)]]-Tabell9[[#This Row],[Levererad värme, andra fjärrvärmeföretag, företag 2 (GWh)]]-Tabell9[[#This Row],[Levererad värme, andra fjärrvärmeföretag, företag 3 (GWh)]]</f>
        <v>7.6970000000000001</v>
      </c>
      <c r="L272" t="str">
        <f>VLOOKUP(Tabell9[[#This Row],[Nät]],Tabell5[],2,FALSE)</f>
        <v>Rundvik</v>
      </c>
      <c r="N272">
        <f>IF(Tabell9[[#This Row],[Korr ]]&gt;0,Tabell9[[#This Row],[Korr ]],Tabell9[[#This Row],[Såld minus ftg]])</f>
        <v>7.6970000000000001</v>
      </c>
      <c r="Q272" s="8"/>
    </row>
    <row r="273" spans="1:20" x14ac:dyDescent="0.25">
      <c r="A273" t="s">
        <v>1100</v>
      </c>
      <c r="B273" t="s">
        <v>87</v>
      </c>
      <c r="C273">
        <v>2021</v>
      </c>
      <c r="D273">
        <v>12.4</v>
      </c>
      <c r="K273">
        <f>Tabell9[[#This Row],[Såld värme (GWh)]]-Tabell9[[#This Row],[Levererad värme, andra fjärrvärmeföretag, företag 1 (GWh)]]-Tabell9[[#This Row],[Levererad värme, andra fjärrvärmeföretag, företag 2 (GWh)]]-Tabell9[[#This Row],[Levererad värme, andra fjärrvärmeföretag, företag 3 (GWh)]]</f>
        <v>12.4</v>
      </c>
      <c r="L273" t="str">
        <f>VLOOKUP(Tabell9[[#This Row],[Nät]],Tabell5[],2,FALSE)</f>
        <v>Ryd</v>
      </c>
      <c r="N273">
        <f>IF(Tabell9[[#This Row],[Korr ]]&gt;0,Tabell9[[#This Row],[Korr ]],Tabell9[[#This Row],[Såld minus ftg]])</f>
        <v>12.4</v>
      </c>
      <c r="Q273" s="8"/>
    </row>
    <row r="274" spans="1:20" x14ac:dyDescent="0.25">
      <c r="A274" t="s">
        <v>1100</v>
      </c>
      <c r="B274" t="s">
        <v>1120</v>
      </c>
      <c r="C274">
        <v>2021</v>
      </c>
      <c r="D274">
        <v>5.8</v>
      </c>
      <c r="K274">
        <f>Tabell9[[#This Row],[Såld värme (GWh)]]-Tabell9[[#This Row],[Levererad värme, andra fjärrvärmeföretag, företag 1 (GWh)]]-Tabell9[[#This Row],[Levererad värme, andra fjärrvärmeföretag, företag 2 (GWh)]]-Tabell9[[#This Row],[Levererad värme, andra fjärrvärmeföretag, företag 3 (GWh)]]</f>
        <v>5.8</v>
      </c>
      <c r="L274" t="e">
        <f>VLOOKUP(Tabell9[[#This Row],[Nät]],Tabell5[],2,FALSE)</f>
        <v>#N/A</v>
      </c>
      <c r="N274">
        <f>IF(Tabell9[[#This Row],[Korr ]]&gt;0,Tabell9[[#This Row],[Korr ]],Tabell9[[#This Row],[Såld minus ftg]])</f>
        <v>5.8</v>
      </c>
      <c r="Q274" s="8"/>
    </row>
    <row r="275" spans="1:20" x14ac:dyDescent="0.25">
      <c r="A275" t="s">
        <v>1100</v>
      </c>
      <c r="B275" t="s">
        <v>244</v>
      </c>
      <c r="C275">
        <v>2021</v>
      </c>
      <c r="D275">
        <v>27.2</v>
      </c>
      <c r="K275">
        <f>Tabell9[[#This Row],[Såld värme (GWh)]]-Tabell9[[#This Row],[Levererad värme, andra fjärrvärmeföretag, företag 1 (GWh)]]-Tabell9[[#This Row],[Levererad värme, andra fjärrvärmeföretag, företag 2 (GWh)]]-Tabell9[[#This Row],[Levererad värme, andra fjärrvärmeföretag, företag 3 (GWh)]]</f>
        <v>27.2</v>
      </c>
      <c r="L275" t="str">
        <f>VLOOKUP(Tabell9[[#This Row],[Nät]],Tabell5[],2,FALSE)</f>
        <v>Sjöbo</v>
      </c>
      <c r="N275">
        <f>IF(Tabell9[[#This Row],[Korr ]]&gt;0,Tabell9[[#This Row],[Korr ]],Tabell9[[#This Row],[Såld minus ftg]])</f>
        <v>27.2</v>
      </c>
      <c r="Q275" s="8"/>
      <c r="T275" s="4"/>
    </row>
    <row r="276" spans="1:20" x14ac:dyDescent="0.25">
      <c r="A276" t="s">
        <v>1100</v>
      </c>
      <c r="B276" t="s">
        <v>55</v>
      </c>
      <c r="C276">
        <v>2021</v>
      </c>
      <c r="D276">
        <v>14.648</v>
      </c>
      <c r="K276">
        <f>Tabell9[[#This Row],[Såld värme (GWh)]]-Tabell9[[#This Row],[Levererad värme, andra fjärrvärmeföretag, företag 1 (GWh)]]-Tabell9[[#This Row],[Levererad värme, andra fjärrvärmeföretag, företag 2 (GWh)]]-Tabell9[[#This Row],[Levererad värme, andra fjärrvärmeföretag, företag 3 (GWh)]]</f>
        <v>14.648</v>
      </c>
      <c r="L276" t="str">
        <f>VLOOKUP(Tabell9[[#This Row],[Nät]],Tabell5[],2,FALSE)</f>
        <v>Skinnskatteberg</v>
      </c>
      <c r="N276">
        <f>IF(Tabell9[[#This Row],[Korr ]]&gt;0,Tabell9[[#This Row],[Korr ]],Tabell9[[#This Row],[Såld minus ftg]])</f>
        <v>14.648</v>
      </c>
      <c r="Q276" s="8"/>
    </row>
    <row r="277" spans="1:20" x14ac:dyDescent="0.25">
      <c r="A277" t="s">
        <v>1100</v>
      </c>
      <c r="B277" t="s">
        <v>495</v>
      </c>
      <c r="C277">
        <v>2021</v>
      </c>
      <c r="D277">
        <v>10.7</v>
      </c>
      <c r="K277">
        <f>Tabell9[[#This Row],[Såld värme (GWh)]]-Tabell9[[#This Row],[Levererad värme, andra fjärrvärmeföretag, företag 1 (GWh)]]-Tabell9[[#This Row],[Levererad värme, andra fjärrvärmeföretag, företag 2 (GWh)]]-Tabell9[[#This Row],[Levererad värme, andra fjärrvärmeföretag, företag 3 (GWh)]]</f>
        <v>10.7</v>
      </c>
      <c r="L277" t="str">
        <f>VLOOKUP(Tabell9[[#This Row],[Nät]],Tabell5[],2,FALSE)</f>
        <v>Strömsnäsbruk</v>
      </c>
      <c r="N277">
        <f>IF(Tabell9[[#This Row],[Korr ]]&gt;0,Tabell9[[#This Row],[Korr ]],Tabell9[[#This Row],[Såld minus ftg]])</f>
        <v>10.7</v>
      </c>
      <c r="Q277" s="8"/>
    </row>
    <row r="278" spans="1:20" x14ac:dyDescent="0.25">
      <c r="A278" t="s">
        <v>1100</v>
      </c>
      <c r="B278" t="s">
        <v>236</v>
      </c>
      <c r="C278">
        <v>2021</v>
      </c>
      <c r="D278">
        <v>36.026000000000003</v>
      </c>
      <c r="K278">
        <f>Tabell9[[#This Row],[Såld värme (GWh)]]-Tabell9[[#This Row],[Levererad värme, andra fjärrvärmeföretag, företag 1 (GWh)]]-Tabell9[[#This Row],[Levererad värme, andra fjärrvärmeföretag, företag 2 (GWh)]]-Tabell9[[#This Row],[Levererad värme, andra fjärrvärmeföretag, företag 3 (GWh)]]</f>
        <v>36.026000000000003</v>
      </c>
      <c r="L278" t="str">
        <f>VLOOKUP(Tabell9[[#This Row],[Nät]],Tabell5[],2,FALSE)</f>
        <v>Sunne</v>
      </c>
      <c r="N278">
        <f>IF(Tabell9[[#This Row],[Korr ]]&gt;0,Tabell9[[#This Row],[Korr ]],Tabell9[[#This Row],[Såld minus ftg]])</f>
        <v>36.026000000000003</v>
      </c>
      <c r="Q278" s="8"/>
    </row>
    <row r="279" spans="1:20" x14ac:dyDescent="0.25">
      <c r="A279" t="s">
        <v>1100</v>
      </c>
      <c r="B279" t="s">
        <v>42</v>
      </c>
      <c r="C279">
        <v>2021</v>
      </c>
      <c r="D279">
        <v>17.100000000000001</v>
      </c>
      <c r="K279">
        <f>Tabell9[[#This Row],[Såld värme (GWh)]]-Tabell9[[#This Row],[Levererad värme, andra fjärrvärmeföretag, företag 1 (GWh)]]-Tabell9[[#This Row],[Levererad värme, andra fjärrvärmeföretag, företag 2 (GWh)]]-Tabell9[[#This Row],[Levererad värme, andra fjärrvärmeföretag, företag 3 (GWh)]]</f>
        <v>17.100000000000001</v>
      </c>
      <c r="L279" t="str">
        <f>VLOOKUP(Tabell9[[#This Row],[Nät]],Tabell5[],2,FALSE)</f>
        <v>Svalöv</v>
      </c>
      <c r="N279">
        <f>IF(Tabell9[[#This Row],[Korr ]]&gt;0,Tabell9[[#This Row],[Korr ]],Tabell9[[#This Row],[Såld minus ftg]])</f>
        <v>17.100000000000001</v>
      </c>
      <c r="Q279" s="8"/>
    </row>
    <row r="280" spans="1:20" x14ac:dyDescent="0.25">
      <c r="A280" t="s">
        <v>1100</v>
      </c>
      <c r="B280" t="s">
        <v>48</v>
      </c>
      <c r="C280">
        <v>2021</v>
      </c>
      <c r="D280">
        <v>27.853000000000002</v>
      </c>
      <c r="K280">
        <f>Tabell9[[#This Row],[Såld värme (GWh)]]-Tabell9[[#This Row],[Levererad värme, andra fjärrvärmeföretag, företag 1 (GWh)]]-Tabell9[[#This Row],[Levererad värme, andra fjärrvärmeföretag, företag 2 (GWh)]]-Tabell9[[#This Row],[Levererad värme, andra fjärrvärmeföretag, företag 3 (GWh)]]</f>
        <v>27.853000000000002</v>
      </c>
      <c r="L280" t="str">
        <f>VLOOKUP(Tabell9[[#This Row],[Nät]],Tabell5[],2,FALSE)</f>
        <v>Sveg</v>
      </c>
      <c r="N280">
        <f>IF(Tabell9[[#This Row],[Korr ]]&gt;0,Tabell9[[#This Row],[Korr ]],Tabell9[[#This Row],[Såld minus ftg]])</f>
        <v>27.853000000000002</v>
      </c>
      <c r="Q280" s="8"/>
    </row>
    <row r="281" spans="1:20" x14ac:dyDescent="0.25">
      <c r="A281" t="s">
        <v>1100</v>
      </c>
      <c r="B281" t="s">
        <v>298</v>
      </c>
      <c r="C281">
        <v>2021</v>
      </c>
      <c r="D281">
        <v>37.655000000000001</v>
      </c>
      <c r="K281">
        <f>Tabell9[[#This Row],[Såld värme (GWh)]]-Tabell9[[#This Row],[Levererad värme, andra fjärrvärmeföretag, företag 1 (GWh)]]-Tabell9[[#This Row],[Levererad värme, andra fjärrvärmeföretag, företag 2 (GWh)]]-Tabell9[[#This Row],[Levererad värme, andra fjärrvärmeföretag, företag 3 (GWh)]]</f>
        <v>37.655000000000001</v>
      </c>
      <c r="L281" t="str">
        <f>VLOOKUP(Tabell9[[#This Row],[Nät]],Tabell5[],2,FALSE)</f>
        <v>Svenljunga</v>
      </c>
      <c r="N281">
        <f>IF(Tabell9[[#This Row],[Korr ]]&gt;0,Tabell9[[#This Row],[Korr ]],Tabell9[[#This Row],[Såld minus ftg]])</f>
        <v>37.655000000000001</v>
      </c>
      <c r="Q281" s="8"/>
    </row>
    <row r="282" spans="1:20" x14ac:dyDescent="0.25">
      <c r="A282" t="s">
        <v>1100</v>
      </c>
      <c r="B282" t="s">
        <v>245</v>
      </c>
      <c r="C282">
        <v>2021</v>
      </c>
      <c r="D282">
        <v>31.8</v>
      </c>
      <c r="K282">
        <f>Tabell9[[#This Row],[Såld värme (GWh)]]-Tabell9[[#This Row],[Levererad värme, andra fjärrvärmeföretag, företag 1 (GWh)]]-Tabell9[[#This Row],[Levererad värme, andra fjärrvärmeföretag, företag 2 (GWh)]]-Tabell9[[#This Row],[Levererad värme, andra fjärrvärmeföretag, företag 3 (GWh)]]</f>
        <v>31.8</v>
      </c>
      <c r="L282" t="str">
        <f>VLOOKUP(Tabell9[[#This Row],[Nät]],Tabell5[],2,FALSE)</f>
        <v>Tomelilla</v>
      </c>
      <c r="N282">
        <f>IF(Tabell9[[#This Row],[Korr ]]&gt;0,Tabell9[[#This Row],[Korr ]],Tabell9[[#This Row],[Såld minus ftg]])</f>
        <v>31.8</v>
      </c>
      <c r="Q282" s="8"/>
    </row>
    <row r="283" spans="1:20" x14ac:dyDescent="0.25">
      <c r="A283" t="s">
        <v>1100</v>
      </c>
      <c r="B283" t="s">
        <v>1144</v>
      </c>
      <c r="C283">
        <v>2021</v>
      </c>
      <c r="D283">
        <v>6.5229999999999997</v>
      </c>
      <c r="K283">
        <f>Tabell9[[#This Row],[Såld värme (GWh)]]-Tabell9[[#This Row],[Levererad värme, andra fjärrvärmeföretag, företag 1 (GWh)]]-Tabell9[[#This Row],[Levererad värme, andra fjärrvärmeföretag, företag 2 (GWh)]]-Tabell9[[#This Row],[Levererad värme, andra fjärrvärmeföretag, företag 3 (GWh)]]</f>
        <v>6.5229999999999997</v>
      </c>
      <c r="L283" t="e">
        <f>VLOOKUP(Tabell9[[#This Row],[Nät]],Tabell5[],2,FALSE)</f>
        <v>#N/A</v>
      </c>
      <c r="N283">
        <f>IF(Tabell9[[#This Row],[Korr ]]&gt;0,Tabell9[[#This Row],[Korr ]],Tabell9[[#This Row],[Såld minus ftg]])</f>
        <v>6.5229999999999997</v>
      </c>
      <c r="Q283" s="8"/>
    </row>
    <row r="284" spans="1:20" x14ac:dyDescent="0.25">
      <c r="A284" t="s">
        <v>1100</v>
      </c>
      <c r="B284" t="s">
        <v>238</v>
      </c>
      <c r="C284">
        <v>2021</v>
      </c>
      <c r="D284">
        <v>38</v>
      </c>
      <c r="K284">
        <f>Tabell9[[#This Row],[Såld värme (GWh)]]-Tabell9[[#This Row],[Levererad värme, andra fjärrvärmeföretag, företag 1 (GWh)]]-Tabell9[[#This Row],[Levererad värme, andra fjärrvärmeföretag, företag 2 (GWh)]]-Tabell9[[#This Row],[Levererad värme, andra fjärrvärmeföretag, företag 3 (GWh)]]</f>
        <v>38</v>
      </c>
      <c r="L284" t="str">
        <f>VLOOKUP(Tabell9[[#This Row],[Nät]],Tabell5[],2,FALSE)</f>
        <v>Vadstena</v>
      </c>
      <c r="N284">
        <f>IF(Tabell9[[#This Row],[Korr ]]&gt;0,Tabell9[[#This Row],[Korr ]],Tabell9[[#This Row],[Såld minus ftg]])</f>
        <v>38</v>
      </c>
      <c r="Q284" s="8"/>
    </row>
    <row r="285" spans="1:20" x14ac:dyDescent="0.25">
      <c r="A285" t="s">
        <v>1100</v>
      </c>
      <c r="B285" t="s">
        <v>45</v>
      </c>
      <c r="C285">
        <v>2021</v>
      </c>
      <c r="D285">
        <v>37.860999999999997</v>
      </c>
      <c r="K285">
        <f>Tabell9[[#This Row],[Såld värme (GWh)]]-Tabell9[[#This Row],[Levererad värme, andra fjärrvärmeföretag, företag 1 (GWh)]]-Tabell9[[#This Row],[Levererad värme, andra fjärrvärmeföretag, företag 2 (GWh)]]-Tabell9[[#This Row],[Levererad värme, andra fjärrvärmeföretag, företag 3 (GWh)]]</f>
        <v>37.860999999999997</v>
      </c>
      <c r="L285" t="str">
        <f>VLOOKUP(Tabell9[[#This Row],[Nät]],Tabell5[],2,FALSE)</f>
        <v>Vilhelmina</v>
      </c>
      <c r="N285">
        <f>IF(Tabell9[[#This Row],[Korr ]]&gt;0,Tabell9[[#This Row],[Korr ]],Tabell9[[#This Row],[Såld minus ftg]])</f>
        <v>37.860999999999997</v>
      </c>
      <c r="Q285" s="8"/>
    </row>
    <row r="286" spans="1:20" x14ac:dyDescent="0.25">
      <c r="A286" t="s">
        <v>1100</v>
      </c>
      <c r="B286" t="s">
        <v>240</v>
      </c>
      <c r="C286">
        <v>2021</v>
      </c>
      <c r="D286">
        <v>21.2</v>
      </c>
      <c r="K286">
        <f>Tabell9[[#This Row],[Såld värme (GWh)]]-Tabell9[[#This Row],[Levererad värme, andra fjärrvärmeföretag, företag 1 (GWh)]]-Tabell9[[#This Row],[Levererad värme, andra fjärrvärmeföretag, företag 2 (GWh)]]-Tabell9[[#This Row],[Levererad värme, andra fjärrvärmeföretag, företag 3 (GWh)]]</f>
        <v>21.2</v>
      </c>
      <c r="L286" t="str">
        <f>VLOOKUP(Tabell9[[#This Row],[Nät]],Tabell5[],2,FALSE)</f>
        <v>Vingåker</v>
      </c>
      <c r="N286">
        <f>IF(Tabell9[[#This Row],[Korr ]]&gt;0,Tabell9[[#This Row],[Korr ]],Tabell9[[#This Row],[Såld minus ftg]])</f>
        <v>21.2</v>
      </c>
      <c r="Q286" s="8"/>
    </row>
    <row r="287" spans="1:20" x14ac:dyDescent="0.25">
      <c r="A287" t="s">
        <v>1100</v>
      </c>
      <c r="B287" t="s">
        <v>248</v>
      </c>
      <c r="C287">
        <v>2021</v>
      </c>
      <c r="D287">
        <v>38.700000000000003</v>
      </c>
      <c r="K287">
        <f>Tabell9[[#This Row],[Såld värme (GWh)]]-Tabell9[[#This Row],[Levererad värme, andra fjärrvärmeföretag, företag 1 (GWh)]]-Tabell9[[#This Row],[Levererad värme, andra fjärrvärmeföretag, företag 2 (GWh)]]-Tabell9[[#This Row],[Levererad värme, andra fjärrvärmeföretag, företag 3 (GWh)]]</f>
        <v>38.700000000000003</v>
      </c>
      <c r="L287" t="str">
        <f>VLOOKUP(Tabell9[[#This Row],[Nät]],Tabell5[],2,FALSE)</f>
        <v>Vårgårda</v>
      </c>
      <c r="N287">
        <f>IF(Tabell9[[#This Row],[Korr ]]&gt;0,Tabell9[[#This Row],[Korr ]],Tabell9[[#This Row],[Såld minus ftg]])</f>
        <v>38.700000000000003</v>
      </c>
      <c r="Q287" s="8"/>
    </row>
    <row r="288" spans="1:20" x14ac:dyDescent="0.25">
      <c r="A288" t="s">
        <v>1100</v>
      </c>
      <c r="B288" t="s">
        <v>50</v>
      </c>
      <c r="C288">
        <v>2021</v>
      </c>
      <c r="D288">
        <v>38.186999999999998</v>
      </c>
      <c r="K288">
        <f>Tabell9[[#This Row],[Såld värme (GWh)]]-Tabell9[[#This Row],[Levererad värme, andra fjärrvärmeföretag, företag 1 (GWh)]]-Tabell9[[#This Row],[Levererad värme, andra fjärrvärmeföretag, företag 2 (GWh)]]-Tabell9[[#This Row],[Levererad värme, andra fjärrvärmeföretag, företag 3 (GWh)]]</f>
        <v>38.186999999999998</v>
      </c>
      <c r="L288" t="str">
        <f>VLOOKUP(Tabell9[[#This Row],[Nät]],Tabell5[],2,FALSE)</f>
        <v>Vännäs</v>
      </c>
      <c r="N288">
        <f>IF(Tabell9[[#This Row],[Korr ]]&gt;0,Tabell9[[#This Row],[Korr ]],Tabell9[[#This Row],[Såld minus ftg]])</f>
        <v>38.186999999999998</v>
      </c>
      <c r="Q288" s="8"/>
    </row>
    <row r="289" spans="1:20" x14ac:dyDescent="0.25">
      <c r="A289" t="s">
        <v>1100</v>
      </c>
      <c r="B289" t="s">
        <v>730</v>
      </c>
      <c r="C289">
        <v>2021</v>
      </c>
      <c r="D289">
        <v>4.4980000000000002</v>
      </c>
      <c r="K289">
        <f>Tabell9[[#This Row],[Såld värme (GWh)]]-Tabell9[[#This Row],[Levererad värme, andra fjärrvärmeföretag, företag 1 (GWh)]]-Tabell9[[#This Row],[Levererad värme, andra fjärrvärmeföretag, företag 2 (GWh)]]-Tabell9[[#This Row],[Levererad värme, andra fjärrvärmeföretag, företag 3 (GWh)]]</f>
        <v>4.4980000000000002</v>
      </c>
      <c r="L289" t="e">
        <f>VLOOKUP(Tabell9[[#This Row],[Nät]],Tabell5[],2,FALSE)</f>
        <v>#N/A</v>
      </c>
      <c r="N289">
        <f>IF(Tabell9[[#This Row],[Korr ]]&gt;0,Tabell9[[#This Row],[Korr ]],Tabell9[[#This Row],[Såld minus ftg]])</f>
        <v>4.4980000000000002</v>
      </c>
      <c r="Q289" s="8"/>
    </row>
    <row r="290" spans="1:20" x14ac:dyDescent="0.25">
      <c r="A290" t="s">
        <v>1100</v>
      </c>
      <c r="B290" t="s">
        <v>249</v>
      </c>
      <c r="C290">
        <v>2021</v>
      </c>
      <c r="D290">
        <v>20.359000000000002</v>
      </c>
      <c r="K290">
        <f>Tabell9[[#This Row],[Såld värme (GWh)]]-Tabell9[[#This Row],[Levererad värme, andra fjärrvärmeföretag, företag 1 (GWh)]]-Tabell9[[#This Row],[Levererad värme, andra fjärrvärmeföretag, företag 2 (GWh)]]-Tabell9[[#This Row],[Levererad värme, andra fjärrvärmeföretag, företag 3 (GWh)]]</f>
        <v>20.359000000000002</v>
      </c>
      <c r="L290" t="str">
        <f>VLOOKUP(Tabell9[[#This Row],[Nät]],Tabell5[],2,FALSE)</f>
        <v>Västerdala</v>
      </c>
      <c r="N290">
        <f>IF(Tabell9[[#This Row],[Korr ]]&gt;0,Tabell9[[#This Row],[Korr ]],Tabell9[[#This Row],[Såld minus ftg]])</f>
        <v>20.359000000000002</v>
      </c>
      <c r="Q290" s="8"/>
    </row>
    <row r="291" spans="1:20" x14ac:dyDescent="0.25">
      <c r="A291" t="s">
        <v>1100</v>
      </c>
      <c r="B291" t="s">
        <v>77</v>
      </c>
      <c r="C291">
        <v>2021</v>
      </c>
      <c r="D291">
        <v>17.5</v>
      </c>
      <c r="K291">
        <f>Tabell9[[#This Row],[Såld värme (GWh)]]-Tabell9[[#This Row],[Levererad värme, andra fjärrvärmeföretag, företag 1 (GWh)]]-Tabell9[[#This Row],[Levererad värme, andra fjärrvärmeföretag, företag 2 (GWh)]]-Tabell9[[#This Row],[Levererad värme, andra fjärrvärmeföretag, företag 3 (GWh)]]</f>
        <v>17.5</v>
      </c>
      <c r="L291" t="str">
        <f>VLOOKUP(Tabell9[[#This Row],[Nät]],Tabell5[],2,FALSE)</f>
        <v>Åseda</v>
      </c>
      <c r="N291">
        <f>IF(Tabell9[[#This Row],[Korr ]]&gt;0,Tabell9[[#This Row],[Korr ]],Tabell9[[#This Row],[Såld minus ftg]])</f>
        <v>17.5</v>
      </c>
      <c r="Q291" s="8"/>
    </row>
    <row r="292" spans="1:20" x14ac:dyDescent="0.25">
      <c r="A292" t="s">
        <v>1100</v>
      </c>
      <c r="B292" t="s">
        <v>438</v>
      </c>
      <c r="C292">
        <v>2021</v>
      </c>
      <c r="D292">
        <v>9.9</v>
      </c>
      <c r="K292">
        <f>Tabell9[[#This Row],[Såld värme (GWh)]]-Tabell9[[#This Row],[Levererad värme, andra fjärrvärmeföretag, företag 1 (GWh)]]-Tabell9[[#This Row],[Levererad värme, andra fjärrvärmeföretag, företag 2 (GWh)]]-Tabell9[[#This Row],[Levererad värme, andra fjärrvärmeföretag, företag 3 (GWh)]]</f>
        <v>9.9</v>
      </c>
      <c r="L292" t="str">
        <f>VLOOKUP(Tabell9[[#This Row],[Nät]],Tabell5[],2,FALSE)</f>
        <v>Älvdalen</v>
      </c>
      <c r="N292">
        <f>IF(Tabell9[[#This Row],[Korr ]]&gt;0,Tabell9[[#This Row],[Korr ]],Tabell9[[#This Row],[Såld minus ftg]])</f>
        <v>9.9</v>
      </c>
      <c r="Q292" s="8"/>
    </row>
    <row r="293" spans="1:20" x14ac:dyDescent="0.25">
      <c r="A293" t="s">
        <v>655</v>
      </c>
      <c r="B293" t="s">
        <v>283</v>
      </c>
      <c r="C293">
        <v>2021</v>
      </c>
      <c r="D293">
        <v>128.16999999999999</v>
      </c>
      <c r="K293">
        <f>Tabell9[[#This Row],[Såld värme (GWh)]]-Tabell9[[#This Row],[Levererad värme, andra fjärrvärmeföretag, företag 1 (GWh)]]-Tabell9[[#This Row],[Levererad värme, andra fjärrvärmeföretag, företag 2 (GWh)]]-Tabell9[[#This Row],[Levererad värme, andra fjärrvärmeföretag, företag 3 (GWh)]]</f>
        <v>128.16999999999999</v>
      </c>
      <c r="L293" t="str">
        <f>VLOOKUP(Tabell9[[#This Row],[Nät]],Tabell5[],2,FALSE)</f>
        <v>Kungsbacka</v>
      </c>
      <c r="N293">
        <f>IF(Tabell9[[#This Row],[Korr ]]&gt;0,Tabell9[[#This Row],[Korr ]],Tabell9[[#This Row],[Såld minus ftg]])</f>
        <v>128.16999999999999</v>
      </c>
      <c r="Q293" s="8"/>
    </row>
    <row r="294" spans="1:20" x14ac:dyDescent="0.25">
      <c r="A294" t="s">
        <v>655</v>
      </c>
      <c r="B294" t="s">
        <v>282</v>
      </c>
      <c r="C294">
        <v>2021</v>
      </c>
      <c r="D294">
        <v>23.38</v>
      </c>
      <c r="K294">
        <f>Tabell9[[#This Row],[Såld värme (GWh)]]-Tabell9[[#This Row],[Levererad värme, andra fjärrvärmeföretag, företag 1 (GWh)]]-Tabell9[[#This Row],[Levererad värme, andra fjärrvärmeföretag, företag 2 (GWh)]]-Tabell9[[#This Row],[Levererad värme, andra fjärrvärmeföretag, företag 3 (GWh)]]</f>
        <v>23.38</v>
      </c>
      <c r="L294" t="str">
        <f>VLOOKUP(Tabell9[[#This Row],[Nät]],Tabell5[],2,FALSE)</f>
        <v>Trosa</v>
      </c>
      <c r="N294">
        <f>IF(Tabell9[[#This Row],[Korr ]]&gt;0,Tabell9[[#This Row],[Korr ]],Tabell9[[#This Row],[Såld minus ftg]])</f>
        <v>23.38</v>
      </c>
      <c r="Q294" s="8"/>
      <c r="R294" s="3"/>
    </row>
    <row r="295" spans="1:20" x14ac:dyDescent="0.25">
      <c r="A295" t="s">
        <v>655</v>
      </c>
      <c r="B295" t="s">
        <v>284</v>
      </c>
      <c r="C295">
        <v>2021</v>
      </c>
      <c r="D295">
        <v>10.54</v>
      </c>
      <c r="K295">
        <f>Tabell9[[#This Row],[Såld värme (GWh)]]-Tabell9[[#This Row],[Levererad värme, andra fjärrvärmeföretag, företag 1 (GWh)]]-Tabell9[[#This Row],[Levererad värme, andra fjärrvärmeföretag, företag 2 (GWh)]]-Tabell9[[#This Row],[Levererad värme, andra fjärrvärmeföretag, företag 3 (GWh)]]</f>
        <v>10.54</v>
      </c>
      <c r="L295" t="str">
        <f>VLOOKUP(Tabell9[[#This Row],[Nät]],Tabell5[],2,FALSE)</f>
        <v>Vagnhärad</v>
      </c>
      <c r="N295">
        <f>IF(Tabell9[[#This Row],[Korr ]]&gt;0,Tabell9[[#This Row],[Korr ]],Tabell9[[#This Row],[Såld minus ftg]])</f>
        <v>10.54</v>
      </c>
      <c r="Q295" s="8"/>
    </row>
    <row r="296" spans="1:20" x14ac:dyDescent="0.25">
      <c r="A296" t="s">
        <v>655</v>
      </c>
      <c r="B296" t="s">
        <v>281</v>
      </c>
      <c r="C296">
        <v>2021</v>
      </c>
      <c r="D296">
        <v>44.08</v>
      </c>
      <c r="K296">
        <f>Tabell9[[#This Row],[Såld värme (GWh)]]-Tabell9[[#This Row],[Levererad värme, andra fjärrvärmeföretag, företag 1 (GWh)]]-Tabell9[[#This Row],[Levererad värme, andra fjärrvärmeföretag, företag 2 (GWh)]]-Tabell9[[#This Row],[Levererad värme, andra fjärrvärmeföretag, företag 3 (GWh)]]</f>
        <v>44.08</v>
      </c>
      <c r="L296" t="str">
        <f>VLOOKUP(Tabell9[[#This Row],[Nät]],Tabell5[],2,FALSE)</f>
        <v>Åmål</v>
      </c>
      <c r="N296">
        <f>IF(Tabell9[[#This Row],[Korr ]]&gt;0,Tabell9[[#This Row],[Korr ]],Tabell9[[#This Row],[Såld minus ftg]])</f>
        <v>44.08</v>
      </c>
      <c r="Q296" s="8"/>
    </row>
    <row r="297" spans="1:20" x14ac:dyDescent="0.25">
      <c r="A297" t="s">
        <v>996</v>
      </c>
      <c r="B297" t="s">
        <v>418</v>
      </c>
      <c r="C297">
        <v>2021</v>
      </c>
      <c r="D297">
        <v>85.75</v>
      </c>
      <c r="K297">
        <f>Tabell9[[#This Row],[Såld värme (GWh)]]-Tabell9[[#This Row],[Levererad värme, andra fjärrvärmeföretag, företag 1 (GWh)]]-Tabell9[[#This Row],[Levererad värme, andra fjärrvärmeföretag, företag 2 (GWh)]]-Tabell9[[#This Row],[Levererad värme, andra fjärrvärmeföretag, företag 3 (GWh)]]</f>
        <v>85.75</v>
      </c>
      <c r="L297" t="str">
        <f>VLOOKUP(Tabell9[[#This Row],[Nät]],Tabell5[],2,FALSE)</f>
        <v>Stenungsund</v>
      </c>
      <c r="N297">
        <f>IF(Tabell9[[#This Row],[Korr ]]&gt;0,Tabell9[[#This Row],[Korr ]],Tabell9[[#This Row],[Såld minus ftg]])</f>
        <v>85.75</v>
      </c>
      <c r="Q297" s="8"/>
    </row>
    <row r="298" spans="1:20" x14ac:dyDescent="0.25">
      <c r="A298" t="s">
        <v>996</v>
      </c>
      <c r="B298" t="s">
        <v>421</v>
      </c>
      <c r="C298">
        <v>2021</v>
      </c>
      <c r="D298">
        <v>1.1539999999999999</v>
      </c>
      <c r="K298">
        <f>Tabell9[[#This Row],[Såld värme (GWh)]]-Tabell9[[#This Row],[Levererad värme, andra fjärrvärmeföretag, företag 1 (GWh)]]-Tabell9[[#This Row],[Levererad värme, andra fjärrvärmeföretag, företag 2 (GWh)]]-Tabell9[[#This Row],[Levererad värme, andra fjärrvärmeföretag, företag 3 (GWh)]]</f>
        <v>1.1539999999999999</v>
      </c>
      <c r="L298" t="str">
        <f>VLOOKUP(Tabell9[[#This Row],[Nät]],Tabell5[],2,FALSE)</f>
        <v>Stora Höga</v>
      </c>
      <c r="N298">
        <f>IF(Tabell9[[#This Row],[Korr ]]&gt;0,Tabell9[[#This Row],[Korr ]],Tabell9[[#This Row],[Såld minus ftg]])</f>
        <v>1.1539999999999999</v>
      </c>
      <c r="Q298" s="8"/>
    </row>
    <row r="299" spans="1:20" x14ac:dyDescent="0.25">
      <c r="A299" t="s">
        <v>884</v>
      </c>
      <c r="B299" t="s">
        <v>420</v>
      </c>
      <c r="C299">
        <v>2021</v>
      </c>
      <c r="D299">
        <v>8244.34</v>
      </c>
      <c r="K299">
        <f>Tabell9[[#This Row],[Såld värme (GWh)]]-Tabell9[[#This Row],[Levererad värme, andra fjärrvärmeföretag, företag 1 (GWh)]]-Tabell9[[#This Row],[Levererad värme, andra fjärrvärmeföretag, företag 2 (GWh)]]-Tabell9[[#This Row],[Levererad värme, andra fjärrvärmeföretag, företag 3 (GWh)]]</f>
        <v>8244.34</v>
      </c>
      <c r="L299" t="str">
        <f>VLOOKUP(Tabell9[[#This Row],[Nät]],Tabell5[],2,FALSE)</f>
        <v>Stockholm</v>
      </c>
      <c r="N299">
        <f>IF(Tabell9[[#This Row],[Korr ]]&gt;0,Tabell9[[#This Row],[Korr ]],Tabell9[[#This Row],[Såld minus ftg]])</f>
        <v>8244.34</v>
      </c>
      <c r="Q299" s="8"/>
    </row>
    <row r="300" spans="1:20" x14ac:dyDescent="0.25">
      <c r="A300" t="s">
        <v>884</v>
      </c>
      <c r="B300" t="s">
        <v>442</v>
      </c>
      <c r="C300">
        <v>2021</v>
      </c>
      <c r="D300">
        <v>64.182000000000002</v>
      </c>
      <c r="K300">
        <f>Tabell9[[#This Row],[Såld värme (GWh)]]-Tabell9[[#This Row],[Levererad värme, andra fjärrvärmeföretag, företag 1 (GWh)]]-Tabell9[[#This Row],[Levererad värme, andra fjärrvärmeföretag, företag 2 (GWh)]]-Tabell9[[#This Row],[Levererad värme, andra fjärrvärmeföretag, företag 3 (GWh)]]</f>
        <v>64.182000000000002</v>
      </c>
      <c r="L300" t="s">
        <v>442</v>
      </c>
      <c r="M300">
        <f>Tabell9[[#This Row],[Såld värme (GWh)]]+K58</f>
        <v>152.58199999999999</v>
      </c>
      <c r="N300">
        <f>IF(Tabell9[[#This Row],[Korr ]]&gt;0,Tabell9[[#This Row],[Korr ]],Tabell9[[#This Row],[Såld minus ftg]])</f>
        <v>152.58199999999999</v>
      </c>
      <c r="Q300" s="8"/>
    </row>
    <row r="301" spans="1:20" x14ac:dyDescent="0.25">
      <c r="A301" t="s">
        <v>657</v>
      </c>
      <c r="B301" t="s">
        <v>291</v>
      </c>
      <c r="C301">
        <v>2021</v>
      </c>
      <c r="D301">
        <v>20.446999999999999</v>
      </c>
      <c r="K301">
        <f>Tabell9[[#This Row],[Såld värme (GWh)]]-Tabell9[[#This Row],[Levererad värme, andra fjärrvärmeföretag, företag 1 (GWh)]]-Tabell9[[#This Row],[Levererad värme, andra fjärrvärmeföretag, företag 2 (GWh)]]-Tabell9[[#This Row],[Levererad värme, andra fjärrvärmeföretag, företag 3 (GWh)]]</f>
        <v>20.446999999999999</v>
      </c>
      <c r="L301" t="str">
        <f>VLOOKUP(Tabell9[[#This Row],[Nät]],Tabell5[],2,FALSE)</f>
        <v>Kvissleby</v>
      </c>
      <c r="N301">
        <f>IF(Tabell9[[#This Row],[Korr ]]&gt;0,Tabell9[[#This Row],[Korr ]],Tabell9[[#This Row],[Såld minus ftg]])</f>
        <v>20.446999999999999</v>
      </c>
      <c r="Q301" s="8"/>
    </row>
    <row r="302" spans="1:20" x14ac:dyDescent="0.25">
      <c r="A302" t="s">
        <v>657</v>
      </c>
      <c r="B302" t="s">
        <v>294</v>
      </c>
      <c r="C302">
        <v>2021</v>
      </c>
      <c r="D302">
        <v>15.247</v>
      </c>
      <c r="K302">
        <f>Tabell9[[#This Row],[Såld värme (GWh)]]-Tabell9[[#This Row],[Levererad värme, andra fjärrvärmeföretag, företag 1 (GWh)]]-Tabell9[[#This Row],[Levererad värme, andra fjärrvärmeföretag, företag 2 (GWh)]]-Tabell9[[#This Row],[Levererad värme, andra fjärrvärmeföretag, företag 3 (GWh)]]</f>
        <v>15.247</v>
      </c>
      <c r="L302" t="str">
        <f>VLOOKUP(Tabell9[[#This Row],[Nät]],Tabell5[],2,FALSE)</f>
        <v>Matfors</v>
      </c>
      <c r="N302">
        <f>IF(Tabell9[[#This Row],[Korr ]]&gt;0,Tabell9[[#This Row],[Korr ]],Tabell9[[#This Row],[Såld minus ftg]])</f>
        <v>15.247</v>
      </c>
      <c r="Q302" s="8"/>
    </row>
    <row r="303" spans="1:20" x14ac:dyDescent="0.25">
      <c r="A303" t="s">
        <v>657</v>
      </c>
      <c r="B303" t="s">
        <v>288</v>
      </c>
      <c r="C303">
        <v>2021</v>
      </c>
      <c r="D303">
        <v>567.00099999999998</v>
      </c>
      <c r="K303">
        <f>Tabell9[[#This Row],[Såld värme (GWh)]]-Tabell9[[#This Row],[Levererad värme, andra fjärrvärmeföretag, företag 1 (GWh)]]-Tabell9[[#This Row],[Levererad värme, andra fjärrvärmeföretag, företag 2 (GWh)]]-Tabell9[[#This Row],[Levererad värme, andra fjärrvärmeföretag, företag 3 (GWh)]]</f>
        <v>567.00099999999998</v>
      </c>
      <c r="L303" t="str">
        <f>VLOOKUP(Tabell9[[#This Row],[Nät]],Tabell5[],2,FALSE)</f>
        <v>Sundsvall</v>
      </c>
      <c r="N303">
        <f>IF(Tabell9[[#This Row],[Korr ]]&gt;0,Tabell9[[#This Row],[Korr ]],Tabell9[[#This Row],[Såld minus ftg]])</f>
        <v>567.00099999999998</v>
      </c>
      <c r="Q303" s="8"/>
    </row>
    <row r="304" spans="1:20" x14ac:dyDescent="0.25">
      <c r="A304" t="s">
        <v>657</v>
      </c>
      <c r="B304" t="s">
        <v>727</v>
      </c>
      <c r="C304">
        <v>2021</v>
      </c>
      <c r="D304">
        <v>130.9</v>
      </c>
      <c r="K304">
        <f>Tabell9[[#This Row],[Såld värme (GWh)]]-Tabell9[[#This Row],[Levererad värme, andra fjärrvärmeföretag, företag 1 (GWh)]]-Tabell9[[#This Row],[Levererad värme, andra fjärrvärmeföretag, företag 2 (GWh)]]-Tabell9[[#This Row],[Levererad värme, andra fjärrvärmeföretag, företag 3 (GWh)]]</f>
        <v>130.9</v>
      </c>
      <c r="L304" t="str">
        <f>VLOOKUP(Tabell9[[#This Row],[Nät]],Tabell5[],2,FALSE)</f>
        <v>Tunadal</v>
      </c>
      <c r="N304">
        <f>IF(Tabell9[[#This Row],[Korr ]]&gt;0,Tabell9[[#This Row],[Korr ]],Tabell9[[#This Row],[Såld minus ftg]])</f>
        <v>130.9</v>
      </c>
      <c r="Q304" s="8"/>
    </row>
    <row r="305" spans="1:21" x14ac:dyDescent="0.25">
      <c r="A305" t="s">
        <v>657</v>
      </c>
      <c r="B305" t="s">
        <v>742</v>
      </c>
      <c r="C305">
        <v>2021</v>
      </c>
      <c r="D305">
        <v>6.6139999999999999</v>
      </c>
      <c r="K305">
        <f>Tabell9[[#This Row],[Såld värme (GWh)]]-Tabell9[[#This Row],[Levererad värme, andra fjärrvärmeföretag, företag 1 (GWh)]]-Tabell9[[#This Row],[Levererad värme, andra fjärrvärmeföretag, företag 2 (GWh)]]-Tabell9[[#This Row],[Levererad värme, andra fjärrvärmeföretag, företag 3 (GWh)]]</f>
        <v>6.6139999999999999</v>
      </c>
      <c r="L305" t="e">
        <f>VLOOKUP(Tabell9[[#This Row],[Nät]],Tabell5[],2,FALSE)</f>
        <v>#N/A</v>
      </c>
      <c r="N305">
        <f>IF(Tabell9[[#This Row],[Korr ]]&gt;0,Tabell9[[#This Row],[Korr ]],Tabell9[[#This Row],[Såld minus ftg]])</f>
        <v>6.6139999999999999</v>
      </c>
      <c r="Q305" s="8"/>
    </row>
    <row r="306" spans="1:21" x14ac:dyDescent="0.25">
      <c r="A306" t="s">
        <v>666</v>
      </c>
      <c r="B306" t="s">
        <v>302</v>
      </c>
      <c r="C306">
        <v>2021</v>
      </c>
      <c r="D306">
        <v>9.1</v>
      </c>
      <c r="K306">
        <f>Tabell9[[#This Row],[Såld värme (GWh)]]-Tabell9[[#This Row],[Levererad värme, andra fjärrvärmeföretag, företag 1 (GWh)]]-Tabell9[[#This Row],[Levererad värme, andra fjärrvärmeföretag, företag 2 (GWh)]]-Tabell9[[#This Row],[Levererad värme, andra fjärrvärmeföretag, företag 3 (GWh)]]</f>
        <v>9.1</v>
      </c>
      <c r="L306" t="str">
        <f>VLOOKUP(Tabell9[[#This Row],[Nät]],Tabell5[],2,FALSE)</f>
        <v>Ljusne</v>
      </c>
      <c r="N306">
        <f>IF(Tabell9[[#This Row],[Korr ]]&gt;0,Tabell9[[#This Row],[Korr ]],Tabell9[[#This Row],[Såld minus ftg]])</f>
        <v>9.1</v>
      </c>
      <c r="Q306" s="8"/>
    </row>
    <row r="307" spans="1:21" x14ac:dyDescent="0.25">
      <c r="A307" t="s">
        <v>666</v>
      </c>
      <c r="B307" t="s">
        <v>796</v>
      </c>
      <c r="C307">
        <v>2021</v>
      </c>
      <c r="D307">
        <v>2.9140000000000001</v>
      </c>
      <c r="K307">
        <f>Tabell9[[#This Row],[Såld värme (GWh)]]-Tabell9[[#This Row],[Levererad värme, andra fjärrvärmeföretag, företag 1 (GWh)]]-Tabell9[[#This Row],[Levererad värme, andra fjärrvärmeföretag, företag 2 (GWh)]]-Tabell9[[#This Row],[Levererad värme, andra fjärrvärmeföretag, företag 3 (GWh)]]</f>
        <v>2.9140000000000001</v>
      </c>
      <c r="L307" t="str">
        <f>VLOOKUP(Tabell9[[#This Row],[Nät]],Tabell5[],2,FALSE)</f>
        <v>Sandarne</v>
      </c>
      <c r="N307">
        <f>IF(Tabell9[[#This Row],[Korr ]]&gt;0,Tabell9[[#This Row],[Korr ]],Tabell9[[#This Row],[Såld minus ftg]])</f>
        <v>2.9140000000000001</v>
      </c>
      <c r="Q307" s="8"/>
    </row>
    <row r="308" spans="1:21" x14ac:dyDescent="0.25">
      <c r="A308" t="s">
        <v>666</v>
      </c>
      <c r="B308" t="s">
        <v>301</v>
      </c>
      <c r="C308">
        <v>2021</v>
      </c>
      <c r="D308">
        <v>123.702</v>
      </c>
      <c r="K308">
        <f>Tabell9[[#This Row],[Såld värme (GWh)]]-Tabell9[[#This Row],[Levererad värme, andra fjärrvärmeföretag, företag 1 (GWh)]]-Tabell9[[#This Row],[Levererad värme, andra fjärrvärmeföretag, företag 2 (GWh)]]-Tabell9[[#This Row],[Levererad värme, andra fjärrvärmeföretag, företag 3 (GWh)]]</f>
        <v>123.702</v>
      </c>
      <c r="L308" t="str">
        <f>VLOOKUP(Tabell9[[#This Row],[Nät]],Tabell5[],2,FALSE)</f>
        <v>Söderhamn</v>
      </c>
      <c r="N308">
        <f>IF(Tabell9[[#This Row],[Korr ]]&gt;0,Tabell9[[#This Row],[Korr ]],Tabell9[[#This Row],[Såld minus ftg]])</f>
        <v>123.702</v>
      </c>
      <c r="Q308" s="8"/>
      <c r="R308" s="4"/>
    </row>
    <row r="309" spans="1:21" x14ac:dyDescent="0.25">
      <c r="A309" t="s">
        <v>717</v>
      </c>
      <c r="B309" t="s">
        <v>304</v>
      </c>
      <c r="C309">
        <v>2021</v>
      </c>
      <c r="D309">
        <v>1004.41313</v>
      </c>
      <c r="K309">
        <f>Tabell9[[#This Row],[Såld värme (GWh)]]-Tabell9[[#This Row],[Levererad värme, andra fjärrvärmeföretag, företag 1 (GWh)]]-Tabell9[[#This Row],[Levererad värme, andra fjärrvärmeföretag, företag 2 (GWh)]]-Tabell9[[#This Row],[Levererad värme, andra fjärrvärmeföretag, företag 3 (GWh)]]</f>
        <v>1004.41313</v>
      </c>
      <c r="L309" t="str">
        <f>VLOOKUP(Tabell9[[#This Row],[Nät]],Tabell5[],2,FALSE)</f>
        <v>Södertörn Fjärrvärme Totalt</v>
      </c>
      <c r="N309">
        <f>IF(Tabell9[[#This Row],[Korr ]]&gt;0,Tabell9[[#This Row],[Korr ]],Tabell9[[#This Row],[Såld minus ftg]])</f>
        <v>1004.41313</v>
      </c>
      <c r="Q309" s="8"/>
    </row>
    <row r="310" spans="1:21" x14ac:dyDescent="0.25">
      <c r="A310" t="s">
        <v>897</v>
      </c>
      <c r="B310" t="s">
        <v>463</v>
      </c>
      <c r="C310">
        <v>2021</v>
      </c>
      <c r="D310">
        <v>52.408000000000001</v>
      </c>
      <c r="K310">
        <f>Tabell9[[#This Row],[Såld värme (GWh)]]-Tabell9[[#This Row],[Levererad värme, andra fjärrvärmeföretag, företag 1 (GWh)]]-Tabell9[[#This Row],[Levererad värme, andra fjärrvärmeföretag, företag 2 (GWh)]]-Tabell9[[#This Row],[Levererad värme, andra fjärrvärmeföretag, företag 3 (GWh)]]</f>
        <v>52.408000000000001</v>
      </c>
      <c r="L310" t="str">
        <f>VLOOKUP(Tabell9[[#This Row],[Nät]],Tabell5[],2,FALSE)</f>
        <v>Sölvesborg</v>
      </c>
      <c r="N310">
        <f>IF(Tabell9[[#This Row],[Korr ]]&gt;0,Tabell9[[#This Row],[Korr ]],Tabell9[[#This Row],[Såld minus ftg]])</f>
        <v>52.408000000000001</v>
      </c>
      <c r="Q310" s="8"/>
    </row>
    <row r="311" spans="1:21" x14ac:dyDescent="0.25">
      <c r="A311" t="s">
        <v>573</v>
      </c>
      <c r="B311" t="s">
        <v>306</v>
      </c>
      <c r="C311">
        <v>2021</v>
      </c>
      <c r="D311">
        <v>11.695</v>
      </c>
      <c r="K311">
        <f>Tabell9[[#This Row],[Såld värme (GWh)]]-Tabell9[[#This Row],[Levererad värme, andra fjärrvärmeföretag, företag 1 (GWh)]]-Tabell9[[#This Row],[Levererad värme, andra fjärrvärmeföretag, företag 2 (GWh)]]-Tabell9[[#This Row],[Levererad värme, andra fjärrvärmeföretag, företag 3 (GWh)]]</f>
        <v>11.695</v>
      </c>
      <c r="L311" t="str">
        <f>VLOOKUP(Tabell9[[#This Row],[Nät]],Tabell5[],2,FALSE)</f>
        <v>Borensberg</v>
      </c>
      <c r="N311">
        <f>IF(Tabell9[[#This Row],[Korr ]]&gt;0,Tabell9[[#This Row],[Korr ]],Tabell9[[#This Row],[Såld minus ftg]])</f>
        <v>11.695</v>
      </c>
      <c r="Q311" s="8"/>
    </row>
    <row r="312" spans="1:21" x14ac:dyDescent="0.25">
      <c r="A312" t="s">
        <v>573</v>
      </c>
      <c r="B312" t="s">
        <v>168</v>
      </c>
      <c r="C312">
        <v>2021</v>
      </c>
      <c r="D312">
        <v>178.16</v>
      </c>
      <c r="K312">
        <f>Tabell9[[#This Row],[Såld värme (GWh)]]-Tabell9[[#This Row],[Levererad värme, andra fjärrvärmeföretag, företag 1 (GWh)]]-Tabell9[[#This Row],[Levererad värme, andra fjärrvärmeföretag, företag 2 (GWh)]]-Tabell9[[#This Row],[Levererad värme, andra fjärrvärmeföretag, företag 3 (GWh)]]</f>
        <v>178.16</v>
      </c>
      <c r="L312" t="str">
        <f>VLOOKUP(Tabell9[[#This Row],[Nät]],Tabell5[],2,FALSE)</f>
        <v>Katrineholm</v>
      </c>
      <c r="N312">
        <f>IF(Tabell9[[#This Row],[Korr ]]&gt;0,Tabell9[[#This Row],[Korr ]],Tabell9[[#This Row],[Såld minus ftg]])</f>
        <v>178.16</v>
      </c>
      <c r="Q312" s="8"/>
      <c r="T312" s="3"/>
    </row>
    <row r="313" spans="1:21" x14ac:dyDescent="0.25">
      <c r="A313" t="s">
        <v>573</v>
      </c>
      <c r="B313" t="s">
        <v>307</v>
      </c>
      <c r="C313">
        <v>2021</v>
      </c>
      <c r="D313">
        <v>19.466000000000001</v>
      </c>
      <c r="K313">
        <f>Tabell9[[#This Row],[Såld värme (GWh)]]-Tabell9[[#This Row],[Levererad värme, andra fjärrvärmeföretag, företag 1 (GWh)]]-Tabell9[[#This Row],[Levererad värme, andra fjärrvärmeföretag, företag 2 (GWh)]]-Tabell9[[#This Row],[Levererad värme, andra fjärrvärmeföretag, företag 3 (GWh)]]</f>
        <v>19.466000000000001</v>
      </c>
      <c r="L313" t="str">
        <f>VLOOKUP(Tabell9[[#This Row],[Nät]],Tabell5[],2,FALSE)</f>
        <v>Kisa</v>
      </c>
      <c r="N313">
        <f>IF(Tabell9[[#This Row],[Korr ]]&gt;0,Tabell9[[#This Row],[Korr ]],Tabell9[[#This Row],[Såld minus ftg]])</f>
        <v>19.466000000000001</v>
      </c>
      <c r="Q313" s="8"/>
    </row>
    <row r="314" spans="1:21" x14ac:dyDescent="0.25">
      <c r="A314" t="s">
        <v>573</v>
      </c>
      <c r="B314" t="s">
        <v>308</v>
      </c>
      <c r="C314">
        <v>2021</v>
      </c>
      <c r="D314">
        <v>1457.308</v>
      </c>
      <c r="E314" t="s">
        <v>1000</v>
      </c>
      <c r="F314">
        <v>79.608000000000004</v>
      </c>
      <c r="K314">
        <f>Tabell9[[#This Row],[Såld värme (GWh)]]-Tabell9[[#This Row],[Levererad värme, andra fjärrvärmeföretag, företag 1 (GWh)]]-Tabell9[[#This Row],[Levererad värme, andra fjärrvärmeföretag, företag 2 (GWh)]]-Tabell9[[#This Row],[Levererad värme, andra fjärrvärmeföretag, företag 3 (GWh)]]</f>
        <v>1377.7</v>
      </c>
      <c r="L314" t="str">
        <f>VLOOKUP(Tabell9[[#This Row],[Nät]],Tabell5[],2,FALSE)</f>
        <v>Linköping</v>
      </c>
      <c r="N314">
        <f>IF(Tabell9[[#This Row],[Korr ]]&gt;0,Tabell9[[#This Row],[Korr ]],Tabell9[[#This Row],[Såld minus ftg]])</f>
        <v>1377.7</v>
      </c>
      <c r="Q314" s="8"/>
    </row>
    <row r="315" spans="1:21" x14ac:dyDescent="0.25">
      <c r="A315" t="s">
        <v>573</v>
      </c>
      <c r="B315" t="s">
        <v>309</v>
      </c>
      <c r="C315">
        <v>2021</v>
      </c>
      <c r="D315">
        <v>18.574999999999999</v>
      </c>
      <c r="K315">
        <f>Tabell9[[#This Row],[Såld värme (GWh)]]-Tabell9[[#This Row],[Levererad värme, andra fjärrvärmeföretag, företag 1 (GWh)]]-Tabell9[[#This Row],[Levererad värme, andra fjärrvärmeföretag, företag 2 (GWh)]]-Tabell9[[#This Row],[Levererad värme, andra fjärrvärmeföretag, företag 3 (GWh)]]</f>
        <v>18.574999999999999</v>
      </c>
      <c r="L315" t="str">
        <f>VLOOKUP(Tabell9[[#This Row],[Nät]],Tabell5[],2,FALSE)</f>
        <v>Skärblacka</v>
      </c>
      <c r="N315">
        <f>IF(Tabell9[[#This Row],[Korr ]]&gt;0,Tabell9[[#This Row],[Korr ]],Tabell9[[#This Row],[Såld minus ftg]])</f>
        <v>18.574999999999999</v>
      </c>
      <c r="Q315" s="8"/>
    </row>
    <row r="316" spans="1:21" x14ac:dyDescent="0.25">
      <c r="A316" t="s">
        <v>573</v>
      </c>
      <c r="B316" t="s">
        <v>310</v>
      </c>
      <c r="C316">
        <v>2021</v>
      </c>
      <c r="D316">
        <v>32.017000000000003</v>
      </c>
      <c r="K316">
        <f>Tabell9[[#This Row],[Såld värme (GWh)]]-Tabell9[[#This Row],[Levererad värme, andra fjärrvärmeföretag, företag 1 (GWh)]]-Tabell9[[#This Row],[Levererad värme, andra fjärrvärmeföretag, företag 2 (GWh)]]-Tabell9[[#This Row],[Levererad värme, andra fjärrvärmeföretag, företag 3 (GWh)]]</f>
        <v>32.017000000000003</v>
      </c>
      <c r="L316" t="str">
        <f>VLOOKUP(Tabell9[[#This Row],[Nät]],Tabell5[],2,FALSE)</f>
        <v>Åtvidaberg</v>
      </c>
      <c r="N316">
        <f>IF(Tabell9[[#This Row],[Korr ]]&gt;0,Tabell9[[#This Row],[Korr ]],Tabell9[[#This Row],[Såld minus ftg]])</f>
        <v>32.017000000000003</v>
      </c>
      <c r="Q316" s="8"/>
    </row>
    <row r="317" spans="1:21" x14ac:dyDescent="0.25">
      <c r="A317" t="s">
        <v>641</v>
      </c>
      <c r="B317" t="s">
        <v>312</v>
      </c>
      <c r="C317">
        <v>2021</v>
      </c>
      <c r="D317">
        <v>43.872999999999998</v>
      </c>
      <c r="K317">
        <f>Tabell9[[#This Row],[Såld värme (GWh)]]-Tabell9[[#This Row],[Levererad värme, andra fjärrvärmeföretag, företag 1 (GWh)]]-Tabell9[[#This Row],[Levererad värme, andra fjärrvärmeföretag, företag 2 (GWh)]]-Tabell9[[#This Row],[Levererad värme, andra fjärrvärmeföretag, företag 3 (GWh)]]</f>
        <v>43.872999999999998</v>
      </c>
      <c r="L317" t="str">
        <f>VLOOKUP(Tabell9[[#This Row],[Nät]],Tabell5[],2,FALSE)</f>
        <v>Järna</v>
      </c>
      <c r="N317">
        <f>IF(Tabell9[[#This Row],[Korr ]]&gt;0,Tabell9[[#This Row],[Korr ]],Tabell9[[#This Row],[Såld minus ftg]])</f>
        <v>43.872999999999998</v>
      </c>
      <c r="Q317" s="8"/>
    </row>
    <row r="318" spans="1:21" x14ac:dyDescent="0.25">
      <c r="A318" t="s">
        <v>641</v>
      </c>
      <c r="B318" t="s">
        <v>311</v>
      </c>
      <c r="C318">
        <v>2021</v>
      </c>
      <c r="D318">
        <v>723.62</v>
      </c>
      <c r="K318">
        <f>Tabell9[[#This Row],[Såld värme (GWh)]]-Tabell9[[#This Row],[Levererad värme, andra fjärrvärmeföretag, företag 1 (GWh)]]-Tabell9[[#This Row],[Levererad värme, andra fjärrvärmeföretag, företag 2 (GWh)]]-Tabell9[[#This Row],[Levererad värme, andra fjärrvärmeföretag, företag 3 (GWh)]]</f>
        <v>723.62</v>
      </c>
      <c r="L318" t="str">
        <f>VLOOKUP(Tabell9[[#This Row],[Nät]],Tabell5[],2,FALSE)</f>
        <v>Södertälje</v>
      </c>
      <c r="N318">
        <f>IF(Tabell9[[#This Row],[Korr ]]&gt;0,Tabell9[[#This Row],[Korr ]],Tabell9[[#This Row],[Såld minus ftg]])</f>
        <v>723.62</v>
      </c>
      <c r="Q318" s="8"/>
    </row>
    <row r="319" spans="1:21" x14ac:dyDescent="0.25">
      <c r="A319" t="s">
        <v>718</v>
      </c>
      <c r="B319" t="s">
        <v>314</v>
      </c>
      <c r="C319">
        <v>2021</v>
      </c>
      <c r="D319">
        <v>57.646999999999998</v>
      </c>
      <c r="K319">
        <f>Tabell9[[#This Row],[Såld värme (GWh)]]-Tabell9[[#This Row],[Levererad värme, andra fjärrvärmeföretag, företag 1 (GWh)]]-Tabell9[[#This Row],[Levererad värme, andra fjärrvärmeföretag, företag 2 (GWh)]]-Tabell9[[#This Row],[Levererad värme, andra fjärrvärmeföretag, företag 3 (GWh)]]</f>
        <v>57.646999999999998</v>
      </c>
      <c r="L319" t="str">
        <f>VLOOKUP(Tabell9[[#This Row],[Nät]],Tabell5[],2,FALSE)</f>
        <v>Tidaholm</v>
      </c>
      <c r="N319">
        <f>IF(Tabell9[[#This Row],[Korr ]]&gt;0,Tabell9[[#This Row],[Korr ]],Tabell9[[#This Row],[Såld minus ftg]])</f>
        <v>57.646999999999998</v>
      </c>
      <c r="Q319" s="8"/>
      <c r="R319" s="3"/>
    </row>
    <row r="320" spans="1:21" s="43" customFormat="1" x14ac:dyDescent="0.25">
      <c r="A320" s="43" t="s">
        <v>720</v>
      </c>
      <c r="B320" s="43" t="s">
        <v>1097</v>
      </c>
      <c r="C320" s="43">
        <v>2021</v>
      </c>
      <c r="D320" s="43">
        <v>4.24</v>
      </c>
      <c r="K320" s="43">
        <f>Tabell9[[#This Row],[Såld värme (GWh)]]-Tabell9[[#This Row],[Levererad värme, andra fjärrvärmeföretag, företag 1 (GWh)]]-Tabell9[[#This Row],[Levererad värme, andra fjärrvärmeföretag, företag 2 (GWh)]]-Tabell9[[#This Row],[Levererad värme, andra fjärrvärmeföretag, företag 3 (GWh)]]</f>
        <v>4.24</v>
      </c>
      <c r="L320" s="43" t="e">
        <f>VLOOKUP(Tabell9[[#This Row],[Nät]],Tabell5[],2,FALSE)</f>
        <v>#N/A</v>
      </c>
      <c r="N320" s="43">
        <f>IF(Tabell9[[#This Row],[Korr ]]&gt;0,Tabell9[[#This Row],[Korr ]],Tabell9[[#This Row],[Såld minus ftg]])</f>
        <v>4.24</v>
      </c>
      <c r="O320" s="43" t="s">
        <v>1163</v>
      </c>
      <c r="Q320" s="135"/>
      <c r="R320"/>
      <c r="S320"/>
      <c r="T320"/>
      <c r="U320"/>
    </row>
    <row r="321" spans="1:20" x14ac:dyDescent="0.25">
      <c r="A321" t="s">
        <v>720</v>
      </c>
      <c r="B321" t="s">
        <v>315</v>
      </c>
      <c r="C321">
        <v>2021</v>
      </c>
      <c r="D321">
        <v>49.73</v>
      </c>
      <c r="K321">
        <f>Tabell9[[#This Row],[Såld värme (GWh)]]-Tabell9[[#This Row],[Levererad värme, andra fjärrvärmeföretag, företag 1 (GWh)]]-Tabell9[[#This Row],[Levererad värme, andra fjärrvärmeföretag, företag 2 (GWh)]]-Tabell9[[#This Row],[Levererad värme, andra fjärrvärmeföretag, företag 3 (GWh)]]</f>
        <v>49.73</v>
      </c>
      <c r="L321" t="str">
        <f>VLOOKUP(Tabell9[[#This Row],[Nät]],Tabell5[],2,FALSE)</f>
        <v>Tierp</v>
      </c>
      <c r="N321">
        <f>IF(Tabell9[[#This Row],[Korr ]]&gt;0,Tabell9[[#This Row],[Korr ]],Tabell9[[#This Row],[Såld minus ftg]])</f>
        <v>49.73</v>
      </c>
      <c r="Q321" s="8"/>
    </row>
    <row r="322" spans="1:20" x14ac:dyDescent="0.25">
      <c r="A322" t="s">
        <v>720</v>
      </c>
      <c r="B322" t="s">
        <v>439</v>
      </c>
      <c r="C322">
        <v>2021</v>
      </c>
      <c r="D322">
        <v>7.52</v>
      </c>
      <c r="K322">
        <f>Tabell9[[#This Row],[Såld värme (GWh)]]-Tabell9[[#This Row],[Levererad värme, andra fjärrvärmeföretag, företag 1 (GWh)]]-Tabell9[[#This Row],[Levererad värme, andra fjärrvärmeföretag, företag 2 (GWh)]]-Tabell9[[#This Row],[Levererad värme, andra fjärrvärmeföretag, företag 3 (GWh)]]</f>
        <v>7.52</v>
      </c>
      <c r="L322" t="str">
        <f>VLOOKUP(Tabell9[[#This Row],[Nät]],Tabell5[],2,FALSE)</f>
        <v>Örbyhus</v>
      </c>
      <c r="N322">
        <f>IF(Tabell9[[#This Row],[Korr ]]&gt;0,Tabell9[[#This Row],[Korr ]],Tabell9[[#This Row],[Såld minus ftg]])</f>
        <v>7.52</v>
      </c>
      <c r="Q322" s="8"/>
    </row>
    <row r="323" spans="1:20" x14ac:dyDescent="0.25">
      <c r="A323" t="s">
        <v>1101</v>
      </c>
      <c r="B323" t="s">
        <v>514</v>
      </c>
      <c r="C323">
        <v>2021</v>
      </c>
      <c r="D323" t="s">
        <v>805</v>
      </c>
      <c r="K323" t="e">
        <f>Tabell9[[#This Row],[Såld värme (GWh)]]-Tabell9[[#This Row],[Levererad värme, andra fjärrvärmeföretag, företag 1 (GWh)]]-Tabell9[[#This Row],[Levererad värme, andra fjärrvärmeföretag, företag 2 (GWh)]]-Tabell9[[#This Row],[Levererad värme, andra fjärrvärmeföretag, företag 3 (GWh)]]</f>
        <v>#VALUE!</v>
      </c>
      <c r="L323" t="str">
        <f>VLOOKUP(Tabell9[[#This Row],[Nät]],Tabell5[],2,FALSE)</f>
        <v>Torsås</v>
      </c>
      <c r="N323" t="e">
        <f>IF(Tabell9[[#This Row],[Korr ]]&gt;0,Tabell9[[#This Row],[Korr ]],Tabell9[[#This Row],[Såld minus ftg]])</f>
        <v>#VALUE!</v>
      </c>
      <c r="Q323" s="8"/>
    </row>
    <row r="324" spans="1:20" x14ac:dyDescent="0.25">
      <c r="A324" t="s">
        <v>722</v>
      </c>
      <c r="B324" t="s">
        <v>316</v>
      </c>
      <c r="C324">
        <v>2021</v>
      </c>
      <c r="D324">
        <v>131.12200000000001</v>
      </c>
      <c r="K324">
        <f>Tabell9[[#This Row],[Såld värme (GWh)]]-Tabell9[[#This Row],[Levererad värme, andra fjärrvärmeföretag, företag 1 (GWh)]]-Tabell9[[#This Row],[Levererad värme, andra fjärrvärmeföretag, företag 2 (GWh)]]-Tabell9[[#This Row],[Levererad värme, andra fjärrvärmeföretag, företag 3 (GWh)]]</f>
        <v>131.12200000000001</v>
      </c>
      <c r="L324" t="str">
        <f>VLOOKUP(Tabell9[[#This Row],[Nät]],Tabell5[],2,FALSE)</f>
        <v>Tranås</v>
      </c>
      <c r="N324">
        <f>IF(Tabell9[[#This Row],[Korr ]]&gt;0,Tabell9[[#This Row],[Korr ]],Tabell9[[#This Row],[Såld minus ftg]])</f>
        <v>131.12200000000001</v>
      </c>
      <c r="Q324" s="8"/>
    </row>
    <row r="325" spans="1:20" x14ac:dyDescent="0.25">
      <c r="A325" t="s">
        <v>723</v>
      </c>
      <c r="B325" t="s">
        <v>317</v>
      </c>
      <c r="C325">
        <v>2021</v>
      </c>
      <c r="D325">
        <v>95.6</v>
      </c>
      <c r="K325">
        <f>Tabell9[[#This Row],[Såld värme (GWh)]]-Tabell9[[#This Row],[Levererad värme, andra fjärrvärmeföretag, företag 1 (GWh)]]-Tabell9[[#This Row],[Levererad värme, andra fjärrvärmeföretag, företag 2 (GWh)]]-Tabell9[[#This Row],[Levererad värme, andra fjärrvärmeföretag, företag 3 (GWh)]]</f>
        <v>95.6</v>
      </c>
      <c r="L325" t="str">
        <f>VLOOKUP(Tabell9[[#This Row],[Nät]],Tabell5[],2,FALSE)</f>
        <v>Trelleborg</v>
      </c>
      <c r="N325">
        <f>IF(Tabell9[[#This Row],[Korr ]]&gt;0,Tabell9[[#This Row],[Korr ]],Tabell9[[#This Row],[Såld minus ftg]])</f>
        <v>95.6</v>
      </c>
      <c r="Q325" s="8"/>
    </row>
    <row r="326" spans="1:20" x14ac:dyDescent="0.25">
      <c r="A326" t="s">
        <v>725</v>
      </c>
      <c r="B326" t="s">
        <v>318</v>
      </c>
      <c r="C326">
        <v>2021</v>
      </c>
      <c r="D326">
        <v>348</v>
      </c>
      <c r="E326" t="s">
        <v>1001</v>
      </c>
      <c r="F326">
        <v>8.5</v>
      </c>
      <c r="K326">
        <f>Tabell9[[#This Row],[Såld värme (GWh)]]-Tabell9[[#This Row],[Levererad värme, andra fjärrvärmeföretag, företag 1 (GWh)]]-Tabell9[[#This Row],[Levererad värme, andra fjärrvärmeföretag, företag 2 (GWh)]]-Tabell9[[#This Row],[Levererad värme, andra fjärrvärmeföretag, företag 3 (GWh)]]</f>
        <v>339.5</v>
      </c>
      <c r="L326" t="str">
        <f>VLOOKUP(Tabell9[[#This Row],[Nät]],Tabell5[],2,FALSE)</f>
        <v>Trollhättan</v>
      </c>
      <c r="N326">
        <f>IF(Tabell9[[#This Row],[Korr ]]&gt;0,Tabell9[[#This Row],[Korr ]],Tabell9[[#This Row],[Såld minus ftg]])</f>
        <v>339.5</v>
      </c>
      <c r="Q326" s="8"/>
    </row>
    <row r="327" spans="1:20" x14ac:dyDescent="0.25">
      <c r="A327" t="s">
        <v>665</v>
      </c>
      <c r="B327" t="s">
        <v>404</v>
      </c>
      <c r="C327">
        <v>2021</v>
      </c>
      <c r="D327">
        <v>4.78</v>
      </c>
      <c r="K327">
        <f>Tabell9[[#This Row],[Såld värme (GWh)]]-Tabell9[[#This Row],[Levererad värme, andra fjärrvärmeföretag, företag 1 (GWh)]]-Tabell9[[#This Row],[Levererad värme, andra fjärrvärmeföretag, företag 2 (GWh)]]-Tabell9[[#This Row],[Levererad värme, andra fjärrvärmeföretag, företag 3 (GWh)]]</f>
        <v>4.78</v>
      </c>
      <c r="L327" t="str">
        <f>VLOOKUP(Tabell9[[#This Row],[Nät]],Tabell5[],2,FALSE)</f>
        <v>Ljungskile</v>
      </c>
      <c r="N327">
        <f>IF(Tabell9[[#This Row],[Korr ]]&gt;0,Tabell9[[#This Row],[Korr ]],Tabell9[[#This Row],[Såld minus ftg]])</f>
        <v>4.78</v>
      </c>
      <c r="Q327" s="8"/>
      <c r="T327" s="4"/>
    </row>
    <row r="328" spans="1:20" x14ac:dyDescent="0.25">
      <c r="A328" t="s">
        <v>665</v>
      </c>
      <c r="B328" t="s">
        <v>319</v>
      </c>
      <c r="C328">
        <v>2021</v>
      </c>
      <c r="D328">
        <v>7.46</v>
      </c>
      <c r="K328">
        <f>Tabell9[[#This Row],[Såld värme (GWh)]]-Tabell9[[#This Row],[Levererad värme, andra fjärrvärmeföretag, företag 1 (GWh)]]-Tabell9[[#This Row],[Levererad värme, andra fjärrvärmeföretag, företag 2 (GWh)]]-Tabell9[[#This Row],[Levererad värme, andra fjärrvärmeföretag, företag 3 (GWh)]]</f>
        <v>7.46</v>
      </c>
      <c r="L328" t="str">
        <f>VLOOKUP(Tabell9[[#This Row],[Nät]],Tabell5[],2,FALSE)</f>
        <v>Munkedal</v>
      </c>
      <c r="N328">
        <f>IF(Tabell9[[#This Row],[Korr ]]&gt;0,Tabell9[[#This Row],[Korr ]],Tabell9[[#This Row],[Såld minus ftg]])</f>
        <v>7.46</v>
      </c>
      <c r="Q328" s="8"/>
    </row>
    <row r="329" spans="1:20" x14ac:dyDescent="0.25">
      <c r="A329" t="s">
        <v>665</v>
      </c>
      <c r="B329" t="s">
        <v>320</v>
      </c>
      <c r="C329">
        <v>2021</v>
      </c>
      <c r="D329">
        <v>333.14</v>
      </c>
      <c r="K329">
        <f>Tabell9[[#This Row],[Såld värme (GWh)]]-Tabell9[[#This Row],[Levererad värme, andra fjärrvärmeföretag, företag 1 (GWh)]]-Tabell9[[#This Row],[Levererad värme, andra fjärrvärmeföretag, företag 2 (GWh)]]-Tabell9[[#This Row],[Levererad värme, andra fjärrvärmeföretag, företag 3 (GWh)]]</f>
        <v>333.14</v>
      </c>
      <c r="L329" t="str">
        <f>VLOOKUP(Tabell9[[#This Row],[Nät]],Tabell5[],2,FALSE)</f>
        <v>Uddevalla</v>
      </c>
      <c r="N329">
        <f>IF(Tabell9[[#This Row],[Korr ]]&gt;0,Tabell9[[#This Row],[Korr ]],Tabell9[[#This Row],[Såld minus ftg]])</f>
        <v>333.14</v>
      </c>
      <c r="Q329" s="8"/>
    </row>
    <row r="330" spans="1:20" x14ac:dyDescent="0.25">
      <c r="A330" t="s">
        <v>614</v>
      </c>
      <c r="B330" t="s">
        <v>322</v>
      </c>
      <c r="C330">
        <v>2021</v>
      </c>
      <c r="D330">
        <v>2.375</v>
      </c>
      <c r="K330">
        <f>Tabell9[[#This Row],[Såld värme (GWh)]]-Tabell9[[#This Row],[Levererad värme, andra fjärrvärmeföretag, företag 1 (GWh)]]-Tabell9[[#This Row],[Levererad värme, andra fjärrvärmeföretag, företag 2 (GWh)]]-Tabell9[[#This Row],[Levererad värme, andra fjärrvärmeföretag, företag 3 (GWh)]]</f>
        <v>2.375</v>
      </c>
      <c r="L330" t="str">
        <f>VLOOKUP(Tabell9[[#This Row],[Nät]],Tabell5[],2,FALSE)</f>
        <v>Gällstad</v>
      </c>
      <c r="N330">
        <f>IF(Tabell9[[#This Row],[Korr ]]&gt;0,Tabell9[[#This Row],[Korr ]],Tabell9[[#This Row],[Såld minus ftg]])</f>
        <v>2.375</v>
      </c>
      <c r="Q330" s="8"/>
    </row>
    <row r="331" spans="1:20" x14ac:dyDescent="0.25">
      <c r="A331" t="s">
        <v>614</v>
      </c>
      <c r="B331" t="s">
        <v>798</v>
      </c>
      <c r="C331">
        <v>2021</v>
      </c>
      <c r="D331">
        <v>0.91</v>
      </c>
      <c r="K331">
        <f>Tabell9[[#This Row],[Såld värme (GWh)]]-Tabell9[[#This Row],[Levererad värme, andra fjärrvärmeföretag, företag 1 (GWh)]]-Tabell9[[#This Row],[Levererad värme, andra fjärrvärmeföretag, företag 2 (GWh)]]-Tabell9[[#This Row],[Levererad värme, andra fjärrvärmeföretag, företag 3 (GWh)]]</f>
        <v>0.91</v>
      </c>
      <c r="L331" t="str">
        <f>VLOOKUP(Tabell9[[#This Row],[Nät]],Tabell5[],2,FALSE)</f>
        <v>Timmele</v>
      </c>
      <c r="N331">
        <f>IF(Tabell9[[#This Row],[Korr ]]&gt;0,Tabell9[[#This Row],[Korr ]],Tabell9[[#This Row],[Såld minus ftg]])</f>
        <v>0.91</v>
      </c>
      <c r="Q331" s="8"/>
    </row>
    <row r="332" spans="1:20" x14ac:dyDescent="0.25">
      <c r="A332" t="s">
        <v>614</v>
      </c>
      <c r="B332" t="s">
        <v>321</v>
      </c>
      <c r="C332">
        <v>2021</v>
      </c>
      <c r="D332">
        <v>52.116</v>
      </c>
      <c r="K332">
        <f>Tabell9[[#This Row],[Såld värme (GWh)]]-Tabell9[[#This Row],[Levererad värme, andra fjärrvärmeföretag, företag 1 (GWh)]]-Tabell9[[#This Row],[Levererad värme, andra fjärrvärmeföretag, företag 2 (GWh)]]-Tabell9[[#This Row],[Levererad värme, andra fjärrvärmeföretag, företag 3 (GWh)]]</f>
        <v>52.116</v>
      </c>
      <c r="L332" t="str">
        <f>VLOOKUP(Tabell9[[#This Row],[Nät]],Tabell5[],2,FALSE)</f>
        <v>Ulricehamn</v>
      </c>
      <c r="N332">
        <f>IF(Tabell9[[#This Row],[Korr ]]&gt;0,Tabell9[[#This Row],[Korr ]],Tabell9[[#This Row],[Såld minus ftg]])</f>
        <v>52.116</v>
      </c>
      <c r="Q332" s="8"/>
    </row>
    <row r="333" spans="1:20" x14ac:dyDescent="0.25">
      <c r="A333" t="s">
        <v>566</v>
      </c>
      <c r="B333" t="s">
        <v>323</v>
      </c>
      <c r="C333">
        <v>2021</v>
      </c>
      <c r="D333">
        <v>7.53</v>
      </c>
      <c r="K333">
        <f>Tabell9[[#This Row],[Såld värme (GWh)]]-Tabell9[[#This Row],[Levererad värme, andra fjärrvärmeföretag, företag 1 (GWh)]]-Tabell9[[#This Row],[Levererad värme, andra fjärrvärmeföretag, företag 2 (GWh)]]-Tabell9[[#This Row],[Levererad värme, andra fjärrvärmeföretag, företag 3 (GWh)]]</f>
        <v>7.53</v>
      </c>
      <c r="L333" t="str">
        <f>VLOOKUP(Tabell9[[#This Row],[Nät]],Tabell5[],2,FALSE)</f>
        <v>Bjurholm</v>
      </c>
      <c r="N333">
        <f>IF(Tabell9[[#This Row],[Korr ]]&gt;0,Tabell9[[#This Row],[Korr ]],Tabell9[[#This Row],[Såld minus ftg]])</f>
        <v>7.53</v>
      </c>
      <c r="Q333" s="8"/>
      <c r="R333" s="3"/>
    </row>
    <row r="334" spans="1:20" x14ac:dyDescent="0.25">
      <c r="A334" t="s">
        <v>566</v>
      </c>
      <c r="B334" t="s">
        <v>326</v>
      </c>
      <c r="C334">
        <v>2021</v>
      </c>
      <c r="D334">
        <v>7.75</v>
      </c>
      <c r="K334">
        <f>Tabell9[[#This Row],[Såld värme (GWh)]]-Tabell9[[#This Row],[Levererad värme, andra fjärrvärmeföretag, företag 1 (GWh)]]-Tabell9[[#This Row],[Levererad värme, andra fjärrvärmeföretag, företag 2 (GWh)]]-Tabell9[[#This Row],[Levererad värme, andra fjärrvärmeföretag, företag 3 (GWh)]]</f>
        <v>7.75</v>
      </c>
      <c r="L334" t="str">
        <f>VLOOKUP(Tabell9[[#This Row],[Nät]],Tabell5[],2,FALSE)</f>
        <v>Hörnefors</v>
      </c>
      <c r="N334">
        <f>IF(Tabell9[[#This Row],[Korr ]]&gt;0,Tabell9[[#This Row],[Korr ]],Tabell9[[#This Row],[Såld minus ftg]])</f>
        <v>7.75</v>
      </c>
      <c r="Q334" s="8"/>
    </row>
    <row r="335" spans="1:20" x14ac:dyDescent="0.25">
      <c r="A335" t="s">
        <v>566</v>
      </c>
      <c r="B335" t="s">
        <v>327</v>
      </c>
      <c r="C335">
        <v>2021</v>
      </c>
      <c r="D335">
        <v>11.05</v>
      </c>
      <c r="K335">
        <f>Tabell9[[#This Row],[Såld värme (GWh)]]-Tabell9[[#This Row],[Levererad värme, andra fjärrvärmeföretag, företag 1 (GWh)]]-Tabell9[[#This Row],[Levererad värme, andra fjärrvärmeföretag, företag 2 (GWh)]]-Tabell9[[#This Row],[Levererad värme, andra fjärrvärmeföretag, företag 3 (GWh)]]</f>
        <v>11.05</v>
      </c>
      <c r="L335" t="str">
        <f>VLOOKUP(Tabell9[[#This Row],[Nät]],Tabell5[],2,FALSE)</f>
        <v>Sävar</v>
      </c>
      <c r="N335">
        <f>IF(Tabell9[[#This Row],[Korr ]]&gt;0,Tabell9[[#This Row],[Korr ]],Tabell9[[#This Row],[Såld minus ftg]])</f>
        <v>11.05</v>
      </c>
      <c r="Q335" s="8"/>
    </row>
    <row r="336" spans="1:20" x14ac:dyDescent="0.25">
      <c r="A336" t="s">
        <v>566</v>
      </c>
      <c r="B336" t="s">
        <v>324</v>
      </c>
      <c r="C336">
        <v>2021</v>
      </c>
      <c r="D336">
        <v>886.45</v>
      </c>
      <c r="K336">
        <f>Tabell9[[#This Row],[Såld värme (GWh)]]-Tabell9[[#This Row],[Levererad värme, andra fjärrvärmeföretag, företag 1 (GWh)]]-Tabell9[[#This Row],[Levererad värme, andra fjärrvärmeföretag, företag 2 (GWh)]]-Tabell9[[#This Row],[Levererad värme, andra fjärrvärmeföretag, företag 3 (GWh)]]</f>
        <v>886.45</v>
      </c>
      <c r="L336" t="str">
        <f>VLOOKUP(Tabell9[[#This Row],[Nät]],Tabell5[],2,FALSE)</f>
        <v>Umeå</v>
      </c>
      <c r="N336">
        <f>IF(Tabell9[[#This Row],[Korr ]]&gt;0,Tabell9[[#This Row],[Korr ]],Tabell9[[#This Row],[Såld minus ftg]])</f>
        <v>886.45</v>
      </c>
      <c r="Q336" s="8"/>
    </row>
    <row r="337" spans="1:21" x14ac:dyDescent="0.25">
      <c r="A337" t="s">
        <v>697</v>
      </c>
      <c r="B337" t="s">
        <v>329</v>
      </c>
      <c r="C337">
        <v>2021</v>
      </c>
      <c r="D337">
        <v>29.06</v>
      </c>
      <c r="K337">
        <f>Tabell9[[#This Row],[Såld värme (GWh)]]-Tabell9[[#This Row],[Levererad värme, andra fjärrvärmeföretag, företag 1 (GWh)]]-Tabell9[[#This Row],[Levererad värme, andra fjärrvärmeföretag, företag 2 (GWh)]]-Tabell9[[#This Row],[Levererad värme, andra fjärrvärmeföretag, företag 3 (GWh)]]</f>
        <v>29.06</v>
      </c>
      <c r="L337" t="str">
        <f>VLOOKUP(Tabell9[[#This Row],[Nät]],Tabell5[],2,FALSE)</f>
        <v>Skillingaryd</v>
      </c>
      <c r="N337">
        <f>IF(Tabell9[[#This Row],[Korr ]]&gt;0,Tabell9[[#This Row],[Korr ]],Tabell9[[#This Row],[Såld minus ftg]])</f>
        <v>29.06</v>
      </c>
      <c r="Q337" s="8"/>
    </row>
    <row r="338" spans="1:21" s="43" customFormat="1" x14ac:dyDescent="0.25">
      <c r="A338" s="43" t="s">
        <v>697</v>
      </c>
      <c r="B338" s="43" t="s">
        <v>1145</v>
      </c>
      <c r="C338" s="43">
        <v>2021</v>
      </c>
      <c r="D338" s="43">
        <v>0.30199999999999999</v>
      </c>
      <c r="K338" s="43">
        <f>Tabell9[[#This Row],[Såld värme (GWh)]]-Tabell9[[#This Row],[Levererad värme, andra fjärrvärmeföretag, företag 1 (GWh)]]-Tabell9[[#This Row],[Levererad värme, andra fjärrvärmeföretag, företag 2 (GWh)]]-Tabell9[[#This Row],[Levererad värme, andra fjärrvärmeföretag, företag 3 (GWh)]]</f>
        <v>0.30199999999999999</v>
      </c>
      <c r="L338" s="43" t="e">
        <f>VLOOKUP(Tabell9[[#This Row],[Nät]],Tabell5[],2,FALSE)</f>
        <v>#N/A</v>
      </c>
      <c r="N338" s="43">
        <f>IF(Tabell9[[#This Row],[Korr ]]&gt;0,Tabell9[[#This Row],[Korr ]],Tabell9[[#This Row],[Såld minus ftg]])</f>
        <v>0.30199999999999999</v>
      </c>
      <c r="O338" s="43" t="s">
        <v>1163</v>
      </c>
      <c r="Q338" s="135"/>
      <c r="R338"/>
      <c r="S338"/>
      <c r="T338" s="3"/>
      <c r="U338"/>
    </row>
    <row r="339" spans="1:21" x14ac:dyDescent="0.25">
      <c r="A339" t="s">
        <v>697</v>
      </c>
      <c r="B339" t="s">
        <v>328</v>
      </c>
      <c r="C339">
        <v>2021</v>
      </c>
      <c r="D339">
        <v>33.408000000000001</v>
      </c>
      <c r="K339">
        <f>Tabell9[[#This Row],[Såld värme (GWh)]]-Tabell9[[#This Row],[Levererad värme, andra fjärrvärmeföretag, företag 1 (GWh)]]-Tabell9[[#This Row],[Levererad värme, andra fjärrvärmeföretag, företag 2 (GWh)]]-Tabell9[[#This Row],[Levererad värme, andra fjärrvärmeföretag, företag 3 (GWh)]]</f>
        <v>33.408000000000001</v>
      </c>
      <c r="L339" t="str">
        <f>VLOOKUP(Tabell9[[#This Row],[Nät]],Tabell5[],2,FALSE)</f>
        <v>Vaggeryd</v>
      </c>
      <c r="N339">
        <f>IF(Tabell9[[#This Row],[Korr ]]&gt;0,Tabell9[[#This Row],[Korr ]],Tabell9[[#This Row],[Såld minus ftg]])</f>
        <v>33.408000000000001</v>
      </c>
      <c r="Q339" s="8"/>
    </row>
    <row r="340" spans="1:21" x14ac:dyDescent="0.25">
      <c r="A340" t="s">
        <v>799</v>
      </c>
      <c r="B340" t="s">
        <v>330</v>
      </c>
      <c r="C340">
        <v>2021</v>
      </c>
      <c r="D340">
        <v>35.85</v>
      </c>
      <c r="K340">
        <f>Tabell9[[#This Row],[Såld värme (GWh)]]-Tabell9[[#This Row],[Levererad värme, andra fjärrvärmeföretag, företag 1 (GWh)]]-Tabell9[[#This Row],[Levererad värme, andra fjärrvärmeföretag, företag 2 (GWh)]]-Tabell9[[#This Row],[Levererad värme, andra fjärrvärmeföretag, företag 3 (GWh)]]</f>
        <v>35.85</v>
      </c>
      <c r="L340" t="str">
        <f>VLOOKUP(Tabell9[[#This Row],[Nät]],Tabell5[],2,FALSE)</f>
        <v>Vara</v>
      </c>
      <c r="N340">
        <f>IF(Tabell9[[#This Row],[Korr ]]&gt;0,Tabell9[[#This Row],[Korr ]],Tabell9[[#This Row],[Såld minus ftg]])</f>
        <v>35.85</v>
      </c>
      <c r="Q340" s="8"/>
    </row>
    <row r="341" spans="1:21" s="43" customFormat="1" x14ac:dyDescent="0.25">
      <c r="A341" s="43" t="s">
        <v>726</v>
      </c>
      <c r="B341" s="43" t="s">
        <v>1123</v>
      </c>
      <c r="C341" s="43">
        <v>2021</v>
      </c>
      <c r="D341" s="43">
        <v>3.54</v>
      </c>
      <c r="K341" s="43">
        <f>Tabell9[[#This Row],[Såld värme (GWh)]]-Tabell9[[#This Row],[Levererad värme, andra fjärrvärmeföretag, företag 1 (GWh)]]-Tabell9[[#This Row],[Levererad värme, andra fjärrvärmeföretag, företag 2 (GWh)]]-Tabell9[[#This Row],[Levererad värme, andra fjärrvärmeföretag, företag 3 (GWh)]]</f>
        <v>3.54</v>
      </c>
      <c r="L341" s="43" t="e">
        <f>VLOOKUP(Tabell9[[#This Row],[Nät]],Tabell5[],2,FALSE)</f>
        <v>#N/A</v>
      </c>
      <c r="N341" s="43">
        <f>IF(Tabell9[[#This Row],[Korr ]]&gt;0,Tabell9[[#This Row],[Korr ]],Tabell9[[#This Row],[Såld minus ftg]])</f>
        <v>3.54</v>
      </c>
      <c r="O341" s="43" t="s">
        <v>1163</v>
      </c>
      <c r="Q341" s="135"/>
      <c r="R341"/>
      <c r="S341"/>
      <c r="T341"/>
      <c r="U341"/>
    </row>
    <row r="342" spans="1:21" x14ac:dyDescent="0.25">
      <c r="A342" t="s">
        <v>726</v>
      </c>
      <c r="B342" t="s">
        <v>429</v>
      </c>
      <c r="C342">
        <v>2021</v>
      </c>
      <c r="D342">
        <v>6.66</v>
      </c>
      <c r="K342">
        <f>Tabell9[[#This Row],[Såld värme (GWh)]]-Tabell9[[#This Row],[Levererad värme, andra fjärrvärmeföretag, företag 1 (GWh)]]-Tabell9[[#This Row],[Levererad värme, andra fjärrvärmeföretag, företag 2 (GWh)]]-Tabell9[[#This Row],[Levererad värme, andra fjärrvärmeföretag, företag 3 (GWh)]]</f>
        <v>6.66</v>
      </c>
      <c r="L342" t="str">
        <f>VLOOKUP(Tabell9[[#This Row],[Nät]],Tabell5[],2,FALSE)</f>
        <v>Tvååker (Närv)</v>
      </c>
      <c r="N342">
        <f>IF(Tabell9[[#This Row],[Korr ]]&gt;0,Tabell9[[#This Row],[Korr ]],Tabell9[[#This Row],[Såld minus ftg]])</f>
        <v>6.66</v>
      </c>
      <c r="Q342" s="8"/>
    </row>
    <row r="343" spans="1:21" x14ac:dyDescent="0.25">
      <c r="A343" t="s">
        <v>726</v>
      </c>
      <c r="B343" t="s">
        <v>332</v>
      </c>
      <c r="C343">
        <v>2021</v>
      </c>
      <c r="D343">
        <v>168.05</v>
      </c>
      <c r="K343">
        <f>Tabell9[[#This Row],[Såld värme (GWh)]]-Tabell9[[#This Row],[Levererad värme, andra fjärrvärmeföretag, företag 1 (GWh)]]-Tabell9[[#This Row],[Levererad värme, andra fjärrvärmeföretag, företag 2 (GWh)]]-Tabell9[[#This Row],[Levererad värme, andra fjärrvärmeföretag, företag 3 (GWh)]]</f>
        <v>168.05</v>
      </c>
      <c r="L343" t="str">
        <f>VLOOKUP(Tabell9[[#This Row],[Nät]],Tabell5[],2,FALSE)</f>
        <v>Varberg (Fjv)</v>
      </c>
      <c r="N343">
        <f>IF(Tabell9[[#This Row],[Korr ]]&gt;0,Tabell9[[#This Row],[Korr ]],Tabell9[[#This Row],[Såld minus ftg]])</f>
        <v>168.05</v>
      </c>
      <c r="Q343" s="8"/>
    </row>
    <row r="344" spans="1:21" x14ac:dyDescent="0.25">
      <c r="A344" t="s">
        <v>726</v>
      </c>
      <c r="B344" t="s">
        <v>333</v>
      </c>
      <c r="C344">
        <v>2021</v>
      </c>
      <c r="D344">
        <v>3.86</v>
      </c>
      <c r="K344">
        <f>Tabell9[[#This Row],[Såld värme (GWh)]]-Tabell9[[#This Row],[Levererad värme, andra fjärrvärmeföretag, företag 1 (GWh)]]-Tabell9[[#This Row],[Levererad värme, andra fjärrvärmeföretag, företag 2 (GWh)]]-Tabell9[[#This Row],[Levererad värme, andra fjärrvärmeföretag, företag 3 (GWh)]]</f>
        <v>3.86</v>
      </c>
      <c r="L344" t="str">
        <f>VLOOKUP(Tabell9[[#This Row],[Nät]],Tabell5[],2,FALSE)</f>
        <v>Veddige</v>
      </c>
      <c r="N344">
        <f>IF(Tabell9[[#This Row],[Korr ]]&gt;0,Tabell9[[#This Row],[Korr ]],Tabell9[[#This Row],[Såld minus ftg]])</f>
        <v>3.86</v>
      </c>
      <c r="Q344" s="8"/>
    </row>
    <row r="345" spans="1:21" x14ac:dyDescent="0.25">
      <c r="A345" t="s">
        <v>1002</v>
      </c>
      <c r="B345" t="s">
        <v>334</v>
      </c>
      <c r="C345">
        <v>2021</v>
      </c>
      <c r="D345">
        <v>19.244</v>
      </c>
      <c r="K345">
        <f>Tabell9[[#This Row],[Såld värme (GWh)]]-Tabell9[[#This Row],[Levererad värme, andra fjärrvärmeföretag, företag 1 (GWh)]]-Tabell9[[#This Row],[Levererad värme, andra fjärrvärmeföretag, företag 2 (GWh)]]-Tabell9[[#This Row],[Levererad värme, andra fjärrvärmeföretag, företag 3 (GWh)]]</f>
        <v>19.244</v>
      </c>
      <c r="L345" t="str">
        <f>VLOOKUP(Tabell9[[#This Row],[Nät]],Tabell5[],2,FALSE)</f>
        <v>Askersund</v>
      </c>
      <c r="N345">
        <f>IF(Tabell9[[#This Row],[Korr ]]&gt;0,Tabell9[[#This Row],[Korr ]],Tabell9[[#This Row],[Såld minus ftg]])</f>
        <v>19.244</v>
      </c>
      <c r="Q345" s="8"/>
    </row>
    <row r="346" spans="1:21" x14ac:dyDescent="0.25">
      <c r="A346" t="s">
        <v>1002</v>
      </c>
      <c r="B346" t="s">
        <v>339</v>
      </c>
      <c r="C346">
        <v>2021</v>
      </c>
      <c r="D346">
        <v>463.02499999999998</v>
      </c>
      <c r="K346">
        <f>Tabell9[[#This Row],[Såld värme (GWh)]]-Tabell9[[#This Row],[Levererad värme, andra fjärrvärmeföretag, företag 1 (GWh)]]-Tabell9[[#This Row],[Levererad värme, andra fjärrvärmeföretag, företag 2 (GWh)]]-Tabell9[[#This Row],[Levererad värme, andra fjärrvärmeföretag, företag 3 (GWh)]]</f>
        <v>463.02499999999998</v>
      </c>
      <c r="L346" t="str">
        <f>VLOOKUP(Tabell9[[#This Row],[Nät]],Tabell5[],2,FALSE)</f>
        <v>Drefviken</v>
      </c>
      <c r="M346">
        <f>Tabell9[[#This Row],[Såld minus ftg]]+K347</f>
        <v>473.38996999999995</v>
      </c>
      <c r="N346">
        <f>IF(Tabell9[[#This Row],[Korr ]]&gt;0,Tabell9[[#This Row],[Korr ]],Tabell9[[#This Row],[Såld minus ftg]])</f>
        <v>473.38996999999995</v>
      </c>
      <c r="Q346" s="8"/>
    </row>
    <row r="347" spans="1:21" x14ac:dyDescent="0.25">
      <c r="A347" t="s">
        <v>1002</v>
      </c>
      <c r="B347" t="s">
        <v>1146</v>
      </c>
      <c r="C347">
        <v>2021</v>
      </c>
      <c r="D347">
        <v>10.36497</v>
      </c>
      <c r="K347">
        <f>Tabell9[[#This Row],[Såld värme (GWh)]]-Tabell9[[#This Row],[Levererad värme, andra fjärrvärmeföretag, företag 1 (GWh)]]-Tabell9[[#This Row],[Levererad värme, andra fjärrvärmeföretag, företag 2 (GWh)]]-Tabell9[[#This Row],[Levererad värme, andra fjärrvärmeföretag, företag 3 (GWh)]]</f>
        <v>10.36497</v>
      </c>
      <c r="M347">
        <v>0</v>
      </c>
      <c r="N347">
        <f>IF(Tabell9[[#This Row],[Korr ]]&gt;0,Tabell9[[#This Row],[Korr ]],Tabell9[[#This Row],[Såld minus ftg]])</f>
        <v>10.36497</v>
      </c>
      <c r="Q347" s="8"/>
      <c r="R347" s="4"/>
    </row>
    <row r="348" spans="1:21" x14ac:dyDescent="0.25">
      <c r="A348" t="s">
        <v>1002</v>
      </c>
      <c r="B348" t="s">
        <v>340</v>
      </c>
      <c r="C348">
        <v>2021</v>
      </c>
      <c r="D348">
        <v>73.052999999999997</v>
      </c>
      <c r="K348">
        <f>Tabell9[[#This Row],[Såld värme (GWh)]]-Tabell9[[#This Row],[Levererad värme, andra fjärrvärmeföretag, företag 1 (GWh)]]-Tabell9[[#This Row],[Levererad värme, andra fjärrvärmeföretag, företag 2 (GWh)]]-Tabell9[[#This Row],[Levererad värme, andra fjärrvärmeföretag, företag 3 (GWh)]]</f>
        <v>73.052999999999997</v>
      </c>
      <c r="L348" t="str">
        <f>VLOOKUP(Tabell9[[#This Row],[Nät]],Tabell5[],2,FALSE)</f>
        <v>Gustavsberg</v>
      </c>
      <c r="N348">
        <f>IF(Tabell9[[#This Row],[Korr ]]&gt;0,Tabell9[[#This Row],[Korr ]],Tabell9[[#This Row],[Såld minus ftg]])</f>
        <v>73.052999999999997</v>
      </c>
      <c r="Q348" s="8"/>
    </row>
    <row r="349" spans="1:21" x14ac:dyDescent="0.25">
      <c r="A349" t="s">
        <v>1002</v>
      </c>
      <c r="B349" t="s">
        <v>1147</v>
      </c>
      <c r="C349">
        <v>2021</v>
      </c>
      <c r="D349">
        <v>0.60275999999999996</v>
      </c>
      <c r="K349">
        <f>Tabell9[[#This Row],[Såld värme (GWh)]]-Tabell9[[#This Row],[Levererad värme, andra fjärrvärmeföretag, företag 1 (GWh)]]-Tabell9[[#This Row],[Levererad värme, andra fjärrvärmeföretag, företag 2 (GWh)]]-Tabell9[[#This Row],[Levererad värme, andra fjärrvärmeföretag, företag 3 (GWh)]]</f>
        <v>0.60275999999999996</v>
      </c>
      <c r="M349">
        <v>0</v>
      </c>
      <c r="N349">
        <f>IF(Tabell9[[#This Row],[Korr ]]&gt;0,Tabell9[[#This Row],[Korr ]],Tabell9[[#This Row],[Såld minus ftg]])</f>
        <v>0.60275999999999996</v>
      </c>
      <c r="Q349" s="8"/>
      <c r="R349" s="4"/>
    </row>
    <row r="350" spans="1:21" x14ac:dyDescent="0.25">
      <c r="A350" t="s">
        <v>1002</v>
      </c>
      <c r="B350" t="s">
        <v>1098</v>
      </c>
      <c r="C350">
        <v>2021</v>
      </c>
      <c r="D350">
        <v>57.006999999999998</v>
      </c>
      <c r="E350" t="s">
        <v>1157</v>
      </c>
      <c r="F350">
        <v>6.17</v>
      </c>
      <c r="K350">
        <f>Tabell9[[#This Row],[Såld värme (GWh)]]-Tabell9[[#This Row],[Levererad värme, andra fjärrvärmeföretag, företag 1 (GWh)]]-Tabell9[[#This Row],[Levererad värme, andra fjärrvärmeföretag, företag 2 (GWh)]]-Tabell9[[#This Row],[Levererad värme, andra fjärrvärmeföretag, företag 3 (GWh)]]</f>
        <v>50.836999999999996</v>
      </c>
      <c r="L350" t="str">
        <f>VLOOKUP(Tabell9[[#This Row],[Nät]],Tabell5[],2,FALSE)</f>
        <v>Knivsta</v>
      </c>
      <c r="M350">
        <f>Tabell9[[#This Row],[Såld minus ftg]]+K349</f>
        <v>51.439759999999993</v>
      </c>
      <c r="N350">
        <f>IF(Tabell9[[#This Row],[Korr ]]&gt;0,Tabell9[[#This Row],[Korr ]],Tabell9[[#This Row],[Såld minus ftg]])</f>
        <v>51.439759999999993</v>
      </c>
      <c r="Q350" s="8"/>
      <c r="R350" s="4"/>
    </row>
    <row r="351" spans="1:21" x14ac:dyDescent="0.25">
      <c r="A351" t="s">
        <v>1002</v>
      </c>
      <c r="B351" t="s">
        <v>336</v>
      </c>
      <c r="C351">
        <v>2021</v>
      </c>
      <c r="D351">
        <v>151.02000000000001</v>
      </c>
      <c r="K351">
        <f>Tabell9[[#This Row],[Såld värme (GWh)]]-Tabell9[[#This Row],[Levererad värme, andra fjärrvärmeföretag, företag 1 (GWh)]]-Tabell9[[#This Row],[Levererad värme, andra fjärrvärmeföretag, företag 2 (GWh)]]-Tabell9[[#This Row],[Levererad värme, andra fjärrvärmeföretag, företag 3 (GWh)]]</f>
        <v>151.02000000000001</v>
      </c>
      <c r="L351" t="str">
        <f>VLOOKUP(Tabell9[[#This Row],[Nät]],Tabell5[],2,FALSE)</f>
        <v>Motala</v>
      </c>
      <c r="N351">
        <f>IF(Tabell9[[#This Row],[Korr ]]&gt;0,Tabell9[[#This Row],[Korr ]],Tabell9[[#This Row],[Såld minus ftg]])</f>
        <v>151.02000000000001</v>
      </c>
      <c r="Q351" s="8"/>
      <c r="R351" s="4"/>
    </row>
    <row r="352" spans="1:21" x14ac:dyDescent="0.25">
      <c r="A352" t="s">
        <v>1002</v>
      </c>
      <c r="B352" t="s">
        <v>337</v>
      </c>
      <c r="C352">
        <v>2021</v>
      </c>
      <c r="D352">
        <v>280.375</v>
      </c>
      <c r="K352">
        <f>Tabell9[[#This Row],[Såld värme (GWh)]]-Tabell9[[#This Row],[Levererad värme, andra fjärrvärmeföretag, företag 1 (GWh)]]-Tabell9[[#This Row],[Levererad värme, andra fjärrvärmeföretag, företag 2 (GWh)]]-Tabell9[[#This Row],[Levererad värme, andra fjärrvärmeföretag, företag 3 (GWh)]]</f>
        <v>280.375</v>
      </c>
      <c r="L352" t="str">
        <f>VLOOKUP(Tabell9[[#This Row],[Nät]],Tabell5[],2,FALSE)</f>
        <v>Nyköping</v>
      </c>
      <c r="N352">
        <f>IF(Tabell9[[#This Row],[Korr ]]&gt;0,Tabell9[[#This Row],[Korr ]],Tabell9[[#This Row],[Såld minus ftg]])</f>
        <v>280.375</v>
      </c>
      <c r="Q352" s="8"/>
      <c r="R352" s="4"/>
    </row>
    <row r="353" spans="1:21" x14ac:dyDescent="0.25">
      <c r="A353" t="s">
        <v>1002</v>
      </c>
      <c r="B353" t="s">
        <v>342</v>
      </c>
      <c r="C353">
        <v>2021</v>
      </c>
      <c r="D353">
        <v>28.356999999999999</v>
      </c>
      <c r="K353">
        <f>Tabell9[[#This Row],[Såld värme (GWh)]]-Tabell9[[#This Row],[Levererad värme, andra fjärrvärmeföretag, företag 1 (GWh)]]-Tabell9[[#This Row],[Levererad värme, andra fjärrvärmeföretag, företag 2 (GWh)]]-Tabell9[[#This Row],[Levererad värme, andra fjärrvärmeföretag, företag 3 (GWh)]]</f>
        <v>28.356999999999999</v>
      </c>
      <c r="L353" t="str">
        <f>VLOOKUP(Tabell9[[#This Row],[Nät]],Tabell5[],2,FALSE)</f>
        <v>Saltsjöbaden</v>
      </c>
      <c r="N353">
        <f>IF(Tabell9[[#This Row],[Korr ]]&gt;0,Tabell9[[#This Row],[Korr ]],Tabell9[[#This Row],[Såld minus ftg]])</f>
        <v>28.356999999999999</v>
      </c>
      <c r="Q353" s="8"/>
      <c r="R353" s="4"/>
      <c r="T353" s="3"/>
    </row>
    <row r="354" spans="1:21" x14ac:dyDescent="0.25">
      <c r="A354" t="s">
        <v>1002</v>
      </c>
      <c r="B354" t="s">
        <v>343</v>
      </c>
      <c r="C354">
        <v>2021</v>
      </c>
      <c r="D354">
        <v>9.49</v>
      </c>
      <c r="K354">
        <f>Tabell9[[#This Row],[Såld värme (GWh)]]-Tabell9[[#This Row],[Levererad värme, andra fjärrvärmeföretag, företag 1 (GWh)]]-Tabell9[[#This Row],[Levererad värme, andra fjärrvärmeföretag, företag 2 (GWh)]]-Tabell9[[#This Row],[Levererad värme, andra fjärrvärmeföretag, företag 3 (GWh)]]</f>
        <v>9.49</v>
      </c>
      <c r="L354" t="str">
        <f>VLOOKUP(Tabell9[[#This Row],[Nät]],Tabell5[],2,FALSE)</f>
        <v>Storvreta</v>
      </c>
      <c r="M354">
        <f>Tabell9[[#This Row],[Såld minus ftg]]+K355</f>
        <v>14.73</v>
      </c>
      <c r="N354">
        <f>IF(Tabell9[[#This Row],[Korr ]]&gt;0,Tabell9[[#This Row],[Korr ]],Tabell9[[#This Row],[Såld minus ftg]])</f>
        <v>14.73</v>
      </c>
      <c r="Q354" s="8"/>
    </row>
    <row r="355" spans="1:21" x14ac:dyDescent="0.25">
      <c r="A355" t="s">
        <v>1002</v>
      </c>
      <c r="B355" t="s">
        <v>1148</v>
      </c>
      <c r="C355">
        <v>2021</v>
      </c>
      <c r="D355">
        <v>5.24</v>
      </c>
      <c r="K355">
        <f>Tabell9[[#This Row],[Såld värme (GWh)]]-Tabell9[[#This Row],[Levererad värme, andra fjärrvärmeföretag, företag 1 (GWh)]]-Tabell9[[#This Row],[Levererad värme, andra fjärrvärmeföretag, företag 2 (GWh)]]-Tabell9[[#This Row],[Levererad värme, andra fjärrvärmeföretag, företag 3 (GWh)]]</f>
        <v>5.24</v>
      </c>
      <c r="M355">
        <v>0</v>
      </c>
      <c r="N355">
        <f>IF(Tabell9[[#This Row],[Korr ]]&gt;0,Tabell9[[#This Row],[Korr ]],Tabell9[[#This Row],[Såld minus ftg]])</f>
        <v>5.24</v>
      </c>
      <c r="Q355" s="8"/>
    </row>
    <row r="356" spans="1:21" x14ac:dyDescent="0.25">
      <c r="A356" t="s">
        <v>1002</v>
      </c>
      <c r="B356" t="s">
        <v>335</v>
      </c>
      <c r="C356">
        <v>2021</v>
      </c>
      <c r="D356">
        <v>1100.28</v>
      </c>
      <c r="K356">
        <f>Tabell9[[#This Row],[Såld värme (GWh)]]-Tabell9[[#This Row],[Levererad värme, andra fjärrvärmeföretag, företag 1 (GWh)]]-Tabell9[[#This Row],[Levererad värme, andra fjärrvärmeföretag, företag 2 (GWh)]]-Tabell9[[#This Row],[Levererad värme, andra fjärrvärmeföretag, företag 3 (GWh)]]</f>
        <v>1100.28</v>
      </c>
      <c r="L356" t="str">
        <f>VLOOKUP(Tabell9[[#This Row],[Nät]],Tabell5[],2,FALSE)</f>
        <v>Uppsala</v>
      </c>
      <c r="M356">
        <f>Tabell9[[#This Row],[Såld minus ftg]]+K357</f>
        <v>1348.25</v>
      </c>
      <c r="N356">
        <f>IF(Tabell9[[#This Row],[Korr ]]&gt;0,Tabell9[[#This Row],[Korr ]],Tabell9[[#This Row],[Såld minus ftg]])</f>
        <v>1348.25</v>
      </c>
      <c r="Q356" s="8"/>
      <c r="R356" s="4"/>
    </row>
    <row r="357" spans="1:21" x14ac:dyDescent="0.25">
      <c r="A357" t="s">
        <v>1002</v>
      </c>
      <c r="B357" t="s">
        <v>1149</v>
      </c>
      <c r="C357">
        <v>2021</v>
      </c>
      <c r="D357">
        <v>247.97</v>
      </c>
      <c r="K357">
        <f>Tabell9[[#This Row],[Såld värme (GWh)]]-Tabell9[[#This Row],[Levererad värme, andra fjärrvärmeföretag, företag 1 (GWh)]]-Tabell9[[#This Row],[Levererad värme, andra fjärrvärmeföretag, företag 2 (GWh)]]-Tabell9[[#This Row],[Levererad värme, andra fjärrvärmeföretag, företag 3 (GWh)]]</f>
        <v>247.97</v>
      </c>
      <c r="M357">
        <v>0</v>
      </c>
      <c r="N357">
        <f>IF(Tabell9[[#This Row],[Korr ]]&gt;0,Tabell9[[#This Row],[Korr ]],Tabell9[[#This Row],[Såld minus ftg]])</f>
        <v>247.97</v>
      </c>
      <c r="Q357" s="8"/>
    </row>
    <row r="358" spans="1:21" x14ac:dyDescent="0.25">
      <c r="A358" t="s">
        <v>1002</v>
      </c>
      <c r="B358" t="s">
        <v>338</v>
      </c>
      <c r="C358">
        <v>2021</v>
      </c>
      <c r="D358">
        <v>136.30000000000001</v>
      </c>
      <c r="E358" t="s">
        <v>1158</v>
      </c>
      <c r="F358">
        <v>48.82</v>
      </c>
      <c r="K358">
        <f>Tabell9[[#This Row],[Såld värme (GWh)]]-Tabell9[[#This Row],[Levererad värme, andra fjärrvärmeföretag, företag 1 (GWh)]]-Tabell9[[#This Row],[Levererad värme, andra fjärrvärmeföretag, företag 2 (GWh)]]-Tabell9[[#This Row],[Levererad värme, andra fjärrvärmeföretag, företag 3 (GWh)]]</f>
        <v>87.480000000000018</v>
      </c>
      <c r="L358" t="str">
        <f>VLOOKUP(Tabell9[[#This Row],[Nät]],Tabell5[],2,FALSE)</f>
        <v>Vänersborg</v>
      </c>
      <c r="N358">
        <f>IF(Tabell9[[#This Row],[Korr ]]&gt;0,Tabell9[[#This Row],[Korr ]],Tabell9[[#This Row],[Såld minus ftg]])</f>
        <v>87.480000000000018</v>
      </c>
      <c r="Q358" s="8"/>
    </row>
    <row r="359" spans="1:21" x14ac:dyDescent="0.25">
      <c r="A359" t="s">
        <v>605</v>
      </c>
      <c r="B359" t="s">
        <v>351</v>
      </c>
      <c r="C359">
        <v>2021</v>
      </c>
      <c r="D359">
        <v>3.4569999999999999</v>
      </c>
      <c r="K359">
        <f>Tabell9[[#This Row],[Såld värme (GWh)]]-Tabell9[[#This Row],[Levererad värme, andra fjärrvärmeföretag, företag 1 (GWh)]]-Tabell9[[#This Row],[Levererad värme, andra fjärrvärmeföretag, företag 2 (GWh)]]-Tabell9[[#This Row],[Levererad värme, andra fjärrvärmeföretag, företag 3 (GWh)]]</f>
        <v>3.4569999999999999</v>
      </c>
      <c r="L359" t="str">
        <f>VLOOKUP(Tabell9[[#This Row],[Nät]],Tabell5[],2,FALSE)</f>
        <v>Frödinge</v>
      </c>
      <c r="N359">
        <f>IF(Tabell9[[#This Row],[Korr ]]&gt;0,Tabell9[[#This Row],[Korr ]],Tabell9[[#This Row],[Såld minus ftg]])</f>
        <v>3.4569999999999999</v>
      </c>
      <c r="Q359" s="8"/>
    </row>
    <row r="360" spans="1:21" x14ac:dyDescent="0.25">
      <c r="A360" t="s">
        <v>605</v>
      </c>
      <c r="B360" t="s">
        <v>352</v>
      </c>
      <c r="C360">
        <v>2021</v>
      </c>
      <c r="D360">
        <v>4.5419999999999998</v>
      </c>
      <c r="K360">
        <f>Tabell9[[#This Row],[Såld värme (GWh)]]-Tabell9[[#This Row],[Levererad värme, andra fjärrvärmeföretag, företag 1 (GWh)]]-Tabell9[[#This Row],[Levererad värme, andra fjärrvärmeföretag, företag 2 (GWh)]]-Tabell9[[#This Row],[Levererad värme, andra fjärrvärmeföretag, företag 3 (GWh)]]</f>
        <v>4.5419999999999998</v>
      </c>
      <c r="L360" t="str">
        <f>VLOOKUP(Tabell9[[#This Row],[Nät]],Tabell5[],2,FALSE)</f>
        <v>Gullringen</v>
      </c>
      <c r="N360">
        <f>IF(Tabell9[[#This Row],[Korr ]]&gt;0,Tabell9[[#This Row],[Korr ]],Tabell9[[#This Row],[Såld minus ftg]])</f>
        <v>4.5419999999999998</v>
      </c>
      <c r="Q360" s="8"/>
    </row>
    <row r="361" spans="1:21" x14ac:dyDescent="0.25">
      <c r="A361" t="s">
        <v>605</v>
      </c>
      <c r="B361" t="s">
        <v>353</v>
      </c>
      <c r="C361">
        <v>2021</v>
      </c>
      <c r="D361">
        <v>5.4930000000000003</v>
      </c>
      <c r="K361">
        <f>Tabell9[[#This Row],[Såld värme (GWh)]]-Tabell9[[#This Row],[Levererad värme, andra fjärrvärmeföretag, företag 1 (GWh)]]-Tabell9[[#This Row],[Levererad värme, andra fjärrvärmeföretag, företag 2 (GWh)]]-Tabell9[[#This Row],[Levererad värme, andra fjärrvärmeföretag, företag 3 (GWh)]]</f>
        <v>5.4930000000000003</v>
      </c>
      <c r="L361" t="str">
        <f>VLOOKUP(Tabell9[[#This Row],[Nät]],Tabell5[],2,FALSE)</f>
        <v>Storebro</v>
      </c>
      <c r="N361">
        <f>IF(Tabell9[[#This Row],[Korr ]]&gt;0,Tabell9[[#This Row],[Korr ]],Tabell9[[#This Row],[Såld minus ftg]])</f>
        <v>5.4930000000000003</v>
      </c>
      <c r="Q361" s="8"/>
    </row>
    <row r="362" spans="1:21" x14ac:dyDescent="0.25">
      <c r="A362" t="s">
        <v>605</v>
      </c>
      <c r="B362" t="s">
        <v>391</v>
      </c>
      <c r="C362">
        <v>2021</v>
      </c>
      <c r="D362">
        <v>16.238</v>
      </c>
      <c r="K362">
        <f>Tabell9[[#This Row],[Såld värme (GWh)]]-Tabell9[[#This Row],[Levererad värme, andra fjärrvärmeföretag, företag 1 (GWh)]]-Tabell9[[#This Row],[Levererad värme, andra fjärrvärmeföretag, företag 2 (GWh)]]-Tabell9[[#This Row],[Levererad värme, andra fjärrvärmeföretag, företag 3 (GWh)]]</f>
        <v>16.238</v>
      </c>
      <c r="L362" t="str">
        <f>VLOOKUP(Tabell9[[#This Row],[Nät]],Tabell5[],2,FALSE)</f>
        <v>Södra Vi</v>
      </c>
      <c r="N362">
        <f>IF(Tabell9[[#This Row],[Korr ]]&gt;0,Tabell9[[#This Row],[Korr ]],Tabell9[[#This Row],[Såld minus ftg]])</f>
        <v>16.238</v>
      </c>
      <c r="Q362" s="8"/>
    </row>
    <row r="363" spans="1:21" x14ac:dyDescent="0.25">
      <c r="A363" t="s">
        <v>605</v>
      </c>
      <c r="B363" t="s">
        <v>350</v>
      </c>
      <c r="C363">
        <v>2021</v>
      </c>
      <c r="D363">
        <v>104.572</v>
      </c>
      <c r="K363">
        <f>Tabell9[[#This Row],[Såld värme (GWh)]]-Tabell9[[#This Row],[Levererad värme, andra fjärrvärmeföretag, företag 1 (GWh)]]-Tabell9[[#This Row],[Levererad värme, andra fjärrvärmeföretag, företag 2 (GWh)]]-Tabell9[[#This Row],[Levererad värme, andra fjärrvärmeföretag, företag 3 (GWh)]]</f>
        <v>104.572</v>
      </c>
      <c r="L363" t="str">
        <f>VLOOKUP(Tabell9[[#This Row],[Nät]],Tabell5[],2,FALSE)</f>
        <v>Vimmerby</v>
      </c>
      <c r="N363">
        <f>IF(Tabell9[[#This Row],[Korr ]]&gt;0,Tabell9[[#This Row],[Korr ]],Tabell9[[#This Row],[Såld minus ftg]])</f>
        <v>104.572</v>
      </c>
      <c r="Q363" s="8"/>
      <c r="R363" s="3"/>
    </row>
    <row r="364" spans="1:21" x14ac:dyDescent="0.25">
      <c r="A364" t="s">
        <v>1004</v>
      </c>
      <c r="B364" t="s">
        <v>405</v>
      </c>
      <c r="C364">
        <v>2021</v>
      </c>
      <c r="D364">
        <v>2.323</v>
      </c>
      <c r="K364">
        <f>Tabell9[[#This Row],[Såld värme (GWh)]]-Tabell9[[#This Row],[Levererad värme, andra fjärrvärmeföretag, företag 1 (GWh)]]-Tabell9[[#This Row],[Levererad värme, andra fjärrvärmeföretag, företag 2 (GWh)]]-Tabell9[[#This Row],[Levererad värme, andra fjärrvärmeföretag, företag 3 (GWh)]]</f>
        <v>2.323</v>
      </c>
      <c r="L364" t="str">
        <f>VLOOKUP(Tabell9[[#This Row],[Nät]],Tabell5[],2,FALSE)</f>
        <v>Lyrestad</v>
      </c>
      <c r="N364">
        <f>IF(Tabell9[[#This Row],[Korr ]]&gt;0,Tabell9[[#This Row],[Korr ]],Tabell9[[#This Row],[Såld minus ftg]])</f>
        <v>2.323</v>
      </c>
      <c r="Q364" s="8"/>
    </row>
    <row r="365" spans="1:21" x14ac:dyDescent="0.25">
      <c r="A365" t="s">
        <v>1004</v>
      </c>
      <c r="B365" t="s">
        <v>202</v>
      </c>
      <c r="C365">
        <v>2021</v>
      </c>
      <c r="D365">
        <v>141.16</v>
      </c>
      <c r="K365">
        <f>Tabell9[[#This Row],[Såld värme (GWh)]]-Tabell9[[#This Row],[Levererad värme, andra fjärrvärmeföretag, företag 1 (GWh)]]-Tabell9[[#This Row],[Levererad värme, andra fjärrvärmeföretag, företag 2 (GWh)]]-Tabell9[[#This Row],[Levererad värme, andra fjärrvärmeföretag, företag 3 (GWh)]]</f>
        <v>141.16</v>
      </c>
      <c r="L365" t="str">
        <f>VLOOKUP(Tabell9[[#This Row],[Nät]],Tabell5[],2,FALSE)</f>
        <v>Mariestad</v>
      </c>
      <c r="N365">
        <f>IF(Tabell9[[#This Row],[Korr ]]&gt;0,Tabell9[[#This Row],[Korr ]],Tabell9[[#This Row],[Såld minus ftg]])</f>
        <v>141.16</v>
      </c>
      <c r="Q365" s="8"/>
    </row>
    <row r="366" spans="1:21" x14ac:dyDescent="0.25">
      <c r="A366" t="s">
        <v>1004</v>
      </c>
      <c r="B366" t="s">
        <v>430</v>
      </c>
      <c r="C366">
        <v>2021</v>
      </c>
      <c r="D366">
        <v>27.12</v>
      </c>
      <c r="K366">
        <f>Tabell9[[#This Row],[Såld värme (GWh)]]-Tabell9[[#This Row],[Levererad värme, andra fjärrvärmeföretag, företag 1 (GWh)]]-Tabell9[[#This Row],[Levererad värme, andra fjärrvärmeföretag, företag 2 (GWh)]]-Tabell9[[#This Row],[Levererad värme, andra fjärrvärmeföretag, företag 3 (GWh)]]</f>
        <v>27.12</v>
      </c>
      <c r="L366" t="str">
        <f>VLOOKUP(Tabell9[[#This Row],[Nät]],Tabell5[],2,FALSE)</f>
        <v>Töreboda</v>
      </c>
      <c r="N366">
        <f>IF(Tabell9[[#This Row],[Korr ]]&gt;0,Tabell9[[#This Row],[Korr ]],Tabell9[[#This Row],[Såld minus ftg]])</f>
        <v>27.12</v>
      </c>
      <c r="Q366" s="8"/>
      <c r="T366" s="4"/>
    </row>
    <row r="367" spans="1:21" x14ac:dyDescent="0.25">
      <c r="A367" t="s">
        <v>558</v>
      </c>
      <c r="B367" t="s">
        <v>118</v>
      </c>
      <c r="C367">
        <v>2021</v>
      </c>
      <c r="D367">
        <v>127.357</v>
      </c>
      <c r="K367">
        <f>Tabell9[[#This Row],[Såld värme (GWh)]]-Tabell9[[#This Row],[Levererad värme, andra fjärrvärmeföretag, företag 1 (GWh)]]-Tabell9[[#This Row],[Levererad värme, andra fjärrvärmeföretag, företag 2 (GWh)]]-Tabell9[[#This Row],[Levererad värme, andra fjärrvärmeföretag, företag 3 (GWh)]]</f>
        <v>127.357</v>
      </c>
      <c r="L367" t="str">
        <f>VLOOKUP(Tabell9[[#This Row],[Nät]],Tabell5[],2,FALSE)</f>
        <v>Avesta</v>
      </c>
      <c r="N367">
        <f>IF(Tabell9[[#This Row],[Korr ]]&gt;0,Tabell9[[#This Row],[Korr ]],Tabell9[[#This Row],[Såld minus ftg]])</f>
        <v>127.357</v>
      </c>
      <c r="Q367" s="8"/>
    </row>
    <row r="368" spans="1:21" s="43" customFormat="1" x14ac:dyDescent="0.25">
      <c r="A368" s="43" t="s">
        <v>558</v>
      </c>
      <c r="B368" s="43" t="s">
        <v>1124</v>
      </c>
      <c r="C368" s="43">
        <v>2021</v>
      </c>
      <c r="D368" s="43">
        <v>0.77</v>
      </c>
      <c r="K368" s="43">
        <f>Tabell9[[#This Row],[Såld värme (GWh)]]-Tabell9[[#This Row],[Levererad värme, andra fjärrvärmeföretag, företag 1 (GWh)]]-Tabell9[[#This Row],[Levererad värme, andra fjärrvärmeföretag, företag 2 (GWh)]]-Tabell9[[#This Row],[Levererad värme, andra fjärrvärmeföretag, företag 3 (GWh)]]</f>
        <v>0.77</v>
      </c>
      <c r="L368" s="43" t="e">
        <f>VLOOKUP(Tabell9[[#This Row],[Nät]],Tabell5[],2,FALSE)</f>
        <v>#N/A</v>
      </c>
      <c r="N368" s="43">
        <f>IF(Tabell9[[#This Row],[Korr ]]&gt;0,Tabell9[[#This Row],[Korr ]],Tabell9[[#This Row],[Såld minus ftg]])</f>
        <v>0.77</v>
      </c>
      <c r="O368" s="43" t="s">
        <v>1163</v>
      </c>
      <c r="Q368" s="135"/>
      <c r="R368"/>
      <c r="S368"/>
      <c r="T368" s="4"/>
      <c r="U368"/>
    </row>
    <row r="369" spans="1:20" x14ac:dyDescent="0.25">
      <c r="A369" t="s">
        <v>558</v>
      </c>
      <c r="B369" t="s">
        <v>115</v>
      </c>
      <c r="C369">
        <v>2021</v>
      </c>
      <c r="D369">
        <v>15.191000000000001</v>
      </c>
      <c r="K369">
        <f>Tabell9[[#This Row],[Såld värme (GWh)]]-Tabell9[[#This Row],[Levererad värme, andra fjärrvärmeföretag, företag 1 (GWh)]]-Tabell9[[#This Row],[Levererad värme, andra fjärrvärmeföretag, företag 2 (GWh)]]-Tabell9[[#This Row],[Levererad värme, andra fjärrvärmeföretag, företag 3 (GWh)]]</f>
        <v>15.191000000000001</v>
      </c>
      <c r="L369" t="str">
        <f>VLOOKUP(Tabell9[[#This Row],[Nät]],Tabell5[],2,FALSE)</f>
        <v>Delsbo</v>
      </c>
      <c r="N369">
        <f>IF(Tabell9[[#This Row],[Korr ]]&gt;0,Tabell9[[#This Row],[Korr ]],Tabell9[[#This Row],[Såld minus ftg]])</f>
        <v>15.191000000000001</v>
      </c>
      <c r="Q369" s="8"/>
      <c r="T369" s="4"/>
    </row>
    <row r="370" spans="1:20" x14ac:dyDescent="0.25">
      <c r="A370" t="s">
        <v>558</v>
      </c>
      <c r="B370" t="s">
        <v>123</v>
      </c>
      <c r="C370">
        <v>2021</v>
      </c>
      <c r="D370">
        <v>22.864999999999998</v>
      </c>
      <c r="K370">
        <f>Tabell9[[#This Row],[Såld värme (GWh)]]-Tabell9[[#This Row],[Levererad värme, andra fjärrvärmeföretag, företag 1 (GWh)]]-Tabell9[[#This Row],[Levererad värme, andra fjärrvärmeföretag, företag 2 (GWh)]]-Tabell9[[#This Row],[Levererad värme, andra fjärrvärmeföretag, företag 3 (GWh)]]</f>
        <v>22.864999999999998</v>
      </c>
      <c r="L370" t="str">
        <f>VLOOKUP(Tabell9[[#This Row],[Nät]],Tabell5[],2,FALSE)</f>
        <v>Grums</v>
      </c>
      <c r="N370">
        <f>IF(Tabell9[[#This Row],[Korr ]]&gt;0,Tabell9[[#This Row],[Korr ]],Tabell9[[#This Row],[Såld minus ftg]])</f>
        <v>22.864999999999998</v>
      </c>
      <c r="Q370" s="8"/>
      <c r="T370" s="4"/>
    </row>
    <row r="371" spans="1:20" x14ac:dyDescent="0.25">
      <c r="A371" t="s">
        <v>558</v>
      </c>
      <c r="B371" t="s">
        <v>124</v>
      </c>
      <c r="C371">
        <v>2021</v>
      </c>
      <c r="D371">
        <v>5.5910000000000002</v>
      </c>
      <c r="K371">
        <f>Tabell9[[#This Row],[Såld värme (GWh)]]-Tabell9[[#This Row],[Levererad värme, andra fjärrvärmeföretag, företag 1 (GWh)]]-Tabell9[[#This Row],[Levererad värme, andra fjärrvärmeföretag, företag 2 (GWh)]]-Tabell9[[#This Row],[Levererad värme, andra fjärrvärmeföretag, företag 3 (GWh)]]</f>
        <v>5.5910000000000002</v>
      </c>
      <c r="L371" t="str">
        <f>VLOOKUP(Tabell9[[#This Row],[Nät]],Tabell5[],2,FALSE)</f>
        <v>Grythyttan</v>
      </c>
      <c r="N371">
        <f>IF(Tabell9[[#This Row],[Korr ]]&gt;0,Tabell9[[#This Row],[Korr ]],Tabell9[[#This Row],[Såld minus ftg]])</f>
        <v>5.5910000000000002</v>
      </c>
      <c r="Q371" s="8"/>
      <c r="T371" s="4"/>
    </row>
    <row r="372" spans="1:20" x14ac:dyDescent="0.25">
      <c r="A372" t="s">
        <v>558</v>
      </c>
      <c r="B372" t="s">
        <v>629</v>
      </c>
      <c r="C372">
        <v>2021</v>
      </c>
      <c r="D372">
        <v>42.076999999999998</v>
      </c>
      <c r="K372">
        <f>Tabell9[[#This Row],[Såld värme (GWh)]]-Tabell9[[#This Row],[Levererad värme, andra fjärrvärmeföretag, företag 1 (GWh)]]-Tabell9[[#This Row],[Levererad värme, andra fjärrvärmeföretag, företag 2 (GWh)]]-Tabell9[[#This Row],[Levererad värme, andra fjärrvärmeföretag, företag 3 (GWh)]]</f>
        <v>42.076999999999998</v>
      </c>
      <c r="L372" t="str">
        <f>VLOOKUP(Tabell9[[#This Row],[Nät]],Tabell5[],2,FALSE)</f>
        <v>Hofors</v>
      </c>
      <c r="N372">
        <f>IF(Tabell9[[#This Row],[Korr ]]&gt;0,Tabell9[[#This Row],[Korr ]],Tabell9[[#This Row],[Såld minus ftg]])</f>
        <v>42.076999999999998</v>
      </c>
      <c r="Q372" s="8"/>
      <c r="T372" s="4"/>
    </row>
    <row r="373" spans="1:20" x14ac:dyDescent="0.25">
      <c r="A373" t="s">
        <v>558</v>
      </c>
      <c r="B373" t="s">
        <v>117</v>
      </c>
      <c r="C373">
        <v>2021</v>
      </c>
      <c r="D373">
        <v>119.17400000000001</v>
      </c>
      <c r="K373">
        <f>Tabell9[[#This Row],[Såld värme (GWh)]]-Tabell9[[#This Row],[Levererad värme, andra fjärrvärmeföretag, företag 1 (GWh)]]-Tabell9[[#This Row],[Levererad värme, andra fjärrvärmeföretag, företag 2 (GWh)]]-Tabell9[[#This Row],[Levererad värme, andra fjärrvärmeföretag, företag 3 (GWh)]]</f>
        <v>119.17400000000001</v>
      </c>
      <c r="L373" t="str">
        <f>VLOOKUP(Tabell9[[#This Row],[Nät]],Tabell5[],2,FALSE)</f>
        <v>Hudiksvall</v>
      </c>
      <c r="N373">
        <f>IF(Tabell9[[#This Row],[Korr ]]&gt;0,Tabell9[[#This Row],[Korr ]],Tabell9[[#This Row],[Såld minus ftg]])</f>
        <v>119.17400000000001</v>
      </c>
      <c r="Q373" s="8"/>
    </row>
    <row r="374" spans="1:20" x14ac:dyDescent="0.25">
      <c r="A374" t="s">
        <v>558</v>
      </c>
      <c r="B374" t="s">
        <v>125</v>
      </c>
      <c r="C374">
        <v>2021</v>
      </c>
      <c r="D374">
        <v>27.347999999999999</v>
      </c>
      <c r="K374">
        <f>Tabell9[[#This Row],[Såld värme (GWh)]]-Tabell9[[#This Row],[Levererad värme, andra fjärrvärmeföretag, företag 1 (GWh)]]-Tabell9[[#This Row],[Levererad värme, andra fjärrvärmeföretag, företag 2 (GWh)]]-Tabell9[[#This Row],[Levererad värme, andra fjärrvärmeföretag, företag 3 (GWh)]]</f>
        <v>27.347999999999999</v>
      </c>
      <c r="L374" t="str">
        <f>VLOOKUP(Tabell9[[#This Row],[Nät]],Tabell5[],2,FALSE)</f>
        <v>Hällefors</v>
      </c>
      <c r="N374">
        <f>IF(Tabell9[[#This Row],[Korr ]]&gt;0,Tabell9[[#This Row],[Korr ]],Tabell9[[#This Row],[Såld minus ftg]])</f>
        <v>27.347999999999999</v>
      </c>
      <c r="Q374" s="8"/>
    </row>
    <row r="375" spans="1:20" x14ac:dyDescent="0.25">
      <c r="A375" t="s">
        <v>558</v>
      </c>
      <c r="B375" t="s">
        <v>489</v>
      </c>
      <c r="C375">
        <v>2021</v>
      </c>
      <c r="D375">
        <v>12.874000000000001</v>
      </c>
      <c r="K375">
        <f>Tabell9[[#This Row],[Såld värme (GWh)]]-Tabell9[[#This Row],[Levererad värme, andra fjärrvärmeföretag, företag 1 (GWh)]]-Tabell9[[#This Row],[Levererad värme, andra fjärrvärmeföretag, företag 2 (GWh)]]-Tabell9[[#This Row],[Levererad värme, andra fjärrvärmeföretag, företag 3 (GWh)]]</f>
        <v>12.874000000000001</v>
      </c>
      <c r="L375" t="str">
        <f>VLOOKUP(Tabell9[[#This Row],[Nät]],Tabell5[],2,FALSE)</f>
        <v>Iggesund</v>
      </c>
      <c r="N375">
        <f>IF(Tabell9[[#This Row],[Korr ]]&gt;0,Tabell9[[#This Row],[Korr ]],Tabell9[[#This Row],[Såld minus ftg]])</f>
        <v>12.874000000000001</v>
      </c>
      <c r="Q375" s="8"/>
      <c r="T375" s="4"/>
    </row>
    <row r="376" spans="1:20" x14ac:dyDescent="0.25">
      <c r="A376" t="s">
        <v>558</v>
      </c>
      <c r="B376" t="s">
        <v>37</v>
      </c>
      <c r="C376">
        <v>2021</v>
      </c>
      <c r="D376">
        <v>10.563000000000001</v>
      </c>
      <c r="K376">
        <f>Tabell9[[#This Row],[Såld värme (GWh)]]-Tabell9[[#This Row],[Levererad värme, andra fjärrvärmeföretag, företag 1 (GWh)]]-Tabell9[[#This Row],[Levererad värme, andra fjärrvärmeföretag, företag 2 (GWh)]]-Tabell9[[#This Row],[Levererad värme, andra fjärrvärmeföretag, företag 3 (GWh)]]</f>
        <v>10.563000000000001</v>
      </c>
      <c r="L376" t="str">
        <f>VLOOKUP(Tabell9[[#This Row],[Nät]],Tabell5[],2,FALSE)</f>
        <v>Insjön</v>
      </c>
      <c r="N376">
        <f>IF(Tabell9[[#This Row],[Korr ]]&gt;0,Tabell9[[#This Row],[Korr ]],Tabell9[[#This Row],[Såld minus ftg]])</f>
        <v>10.563000000000001</v>
      </c>
      <c r="Q376" s="8"/>
    </row>
    <row r="377" spans="1:20" x14ac:dyDescent="0.25">
      <c r="A377" t="s">
        <v>558</v>
      </c>
      <c r="B377" t="s">
        <v>126</v>
      </c>
      <c r="C377">
        <v>2021</v>
      </c>
      <c r="D377">
        <v>11.525</v>
      </c>
      <c r="K377">
        <f>Tabell9[[#This Row],[Såld värme (GWh)]]-Tabell9[[#This Row],[Levererad värme, andra fjärrvärmeföretag, företag 1 (GWh)]]-Tabell9[[#This Row],[Levererad värme, andra fjärrvärmeföretag, företag 2 (GWh)]]-Tabell9[[#This Row],[Levererad värme, andra fjärrvärmeföretag, företag 3 (GWh)]]</f>
        <v>11.525</v>
      </c>
      <c r="L377" t="str">
        <f>VLOOKUP(Tabell9[[#This Row],[Nät]],Tabell5[],2,FALSE)</f>
        <v>Kopparberg</v>
      </c>
      <c r="N377">
        <f>IF(Tabell9[[#This Row],[Korr ]]&gt;0,Tabell9[[#This Row],[Korr ]],Tabell9[[#This Row],[Såld minus ftg]])</f>
        <v>11.525</v>
      </c>
      <c r="Q377" s="8"/>
    </row>
    <row r="378" spans="1:20" x14ac:dyDescent="0.25">
      <c r="A378" t="s">
        <v>558</v>
      </c>
      <c r="B378" t="s">
        <v>654</v>
      </c>
      <c r="C378">
        <v>2021</v>
      </c>
      <c r="D378">
        <v>98.527000000000001</v>
      </c>
      <c r="K378">
        <f>Tabell9[[#This Row],[Såld värme (GWh)]]-Tabell9[[#This Row],[Levererad värme, andra fjärrvärmeföretag, företag 1 (GWh)]]-Tabell9[[#This Row],[Levererad värme, andra fjärrvärmeföretag, företag 2 (GWh)]]-Tabell9[[#This Row],[Levererad värme, andra fjärrvärmeföretag, företag 3 (GWh)]]</f>
        <v>98.527000000000001</v>
      </c>
      <c r="L378" t="str">
        <f>VLOOKUP(Tabell9[[#This Row],[Nät]],Tabell5[],2,FALSE)</f>
        <v>Kristinehamn</v>
      </c>
      <c r="N378">
        <f>IF(Tabell9[[#This Row],[Korr ]]&gt;0,Tabell9[[#This Row],[Korr ]],Tabell9[[#This Row],[Såld minus ftg]])</f>
        <v>98.527000000000001</v>
      </c>
      <c r="Q378" s="8"/>
    </row>
    <row r="379" spans="1:20" x14ac:dyDescent="0.25">
      <c r="A379" t="s">
        <v>558</v>
      </c>
      <c r="B379" t="s">
        <v>38</v>
      </c>
      <c r="C379">
        <v>2021</v>
      </c>
      <c r="D379">
        <v>34.159999999999997</v>
      </c>
      <c r="K379">
        <f>Tabell9[[#This Row],[Såld värme (GWh)]]-Tabell9[[#This Row],[Levererad värme, andra fjärrvärmeföretag, företag 1 (GWh)]]-Tabell9[[#This Row],[Levererad värme, andra fjärrvärmeföretag, företag 2 (GWh)]]-Tabell9[[#This Row],[Levererad värme, andra fjärrvärmeföretag, företag 3 (GWh)]]</f>
        <v>34.159999999999997</v>
      </c>
      <c r="L379" t="str">
        <f>VLOOKUP(Tabell9[[#This Row],[Nät]],Tabell5[],2,FALSE)</f>
        <v>Leksand</v>
      </c>
      <c r="N379">
        <f>IF(Tabell9[[#This Row],[Korr ]]&gt;0,Tabell9[[#This Row],[Korr ]],Tabell9[[#This Row],[Såld minus ftg]])</f>
        <v>34.159999999999997</v>
      </c>
      <c r="Q379" s="8"/>
    </row>
    <row r="380" spans="1:20" x14ac:dyDescent="0.25">
      <c r="A380" t="s">
        <v>558</v>
      </c>
      <c r="B380" t="s">
        <v>121</v>
      </c>
      <c r="C380">
        <v>2021</v>
      </c>
      <c r="D380">
        <v>71.67</v>
      </c>
      <c r="K380">
        <f>Tabell9[[#This Row],[Såld värme (GWh)]]-Tabell9[[#This Row],[Levererad värme, andra fjärrvärmeföretag, företag 1 (GWh)]]-Tabell9[[#This Row],[Levererad värme, andra fjärrvärmeföretag, företag 2 (GWh)]]-Tabell9[[#This Row],[Levererad värme, andra fjärrvärmeföretag, företag 3 (GWh)]]</f>
        <v>71.67</v>
      </c>
      <c r="L380" t="str">
        <f>VLOOKUP(Tabell9[[#This Row],[Nät]],Tabell5[],2,FALSE)</f>
        <v>Nynäshamn</v>
      </c>
      <c r="N380">
        <f>IF(Tabell9[[#This Row],[Korr ]]&gt;0,Tabell9[[#This Row],[Korr ]],Tabell9[[#This Row],[Såld minus ftg]])</f>
        <v>71.67</v>
      </c>
      <c r="Q380" s="8"/>
    </row>
    <row r="381" spans="1:20" x14ac:dyDescent="0.25">
      <c r="A381" t="s">
        <v>558</v>
      </c>
      <c r="B381" t="s">
        <v>252</v>
      </c>
      <c r="C381">
        <v>2021</v>
      </c>
      <c r="D381">
        <v>44.311</v>
      </c>
      <c r="K381">
        <f>Tabell9[[#This Row],[Såld värme (GWh)]]-Tabell9[[#This Row],[Levererad värme, andra fjärrvärmeföretag, företag 1 (GWh)]]-Tabell9[[#This Row],[Levererad värme, andra fjärrvärmeföretag, företag 2 (GWh)]]-Tabell9[[#This Row],[Levererad värme, andra fjärrvärmeföretag, företag 3 (GWh)]]</f>
        <v>44.311</v>
      </c>
      <c r="L381" t="str">
        <f>VLOOKUP(Tabell9[[#This Row],[Nät]],Tabell5[],2,FALSE)</f>
        <v>Rättvik</v>
      </c>
      <c r="N381">
        <f>IF(Tabell9[[#This Row],[Korr ]]&gt;0,Tabell9[[#This Row],[Korr ]],Tabell9[[#This Row],[Såld minus ftg]])</f>
        <v>44.311</v>
      </c>
      <c r="Q381" s="8"/>
    </row>
    <row r="382" spans="1:20" x14ac:dyDescent="0.25">
      <c r="A382" t="s">
        <v>558</v>
      </c>
      <c r="B382" t="s">
        <v>128</v>
      </c>
      <c r="C382">
        <v>2021</v>
      </c>
      <c r="D382">
        <v>1.6879999999999999</v>
      </c>
      <c r="K382">
        <f>Tabell9[[#This Row],[Såld värme (GWh)]]-Tabell9[[#This Row],[Levererad värme, andra fjärrvärmeföretag, företag 1 (GWh)]]-Tabell9[[#This Row],[Levererad värme, andra fjärrvärmeföretag, företag 2 (GWh)]]-Tabell9[[#This Row],[Levererad värme, andra fjärrvärmeföretag, företag 3 (GWh)]]</f>
        <v>1.6879999999999999</v>
      </c>
      <c r="L382" t="str">
        <f>VLOOKUP(Tabell9[[#This Row],[Nät]],Tabell5[],2,FALSE)</f>
        <v>Stöllet</v>
      </c>
      <c r="N382">
        <f>IF(Tabell9[[#This Row],[Korr ]]&gt;0,Tabell9[[#This Row],[Korr ]],Tabell9[[#This Row],[Såld minus ftg]])</f>
        <v>1.6879999999999999</v>
      </c>
      <c r="Q382" s="8"/>
    </row>
    <row r="383" spans="1:20" x14ac:dyDescent="0.25">
      <c r="A383" t="s">
        <v>558</v>
      </c>
      <c r="B383" t="s">
        <v>714</v>
      </c>
      <c r="C383">
        <v>2021</v>
      </c>
      <c r="D383">
        <v>51.575000000000003</v>
      </c>
      <c r="K383">
        <f>Tabell9[[#This Row],[Såld värme (GWh)]]-Tabell9[[#This Row],[Levererad värme, andra fjärrvärmeföretag, företag 1 (GWh)]]-Tabell9[[#This Row],[Levererad värme, andra fjärrvärmeföretag, företag 2 (GWh)]]-Tabell9[[#This Row],[Levererad värme, andra fjärrvärmeföretag, företag 3 (GWh)]]</f>
        <v>51.575000000000003</v>
      </c>
      <c r="L383" t="str">
        <f>VLOOKUP(Tabell9[[#This Row],[Nät]],Tabell5[],2,FALSE)</f>
        <v>Säffle</v>
      </c>
      <c r="N383">
        <f>IF(Tabell9[[#This Row],[Korr ]]&gt;0,Tabell9[[#This Row],[Korr ]],Tabell9[[#This Row],[Såld minus ftg]])</f>
        <v>51.575000000000003</v>
      </c>
      <c r="Q383" s="8"/>
      <c r="T383" s="3"/>
    </row>
    <row r="384" spans="1:20" x14ac:dyDescent="0.25">
      <c r="A384" t="s">
        <v>558</v>
      </c>
      <c r="B384" t="s">
        <v>129</v>
      </c>
      <c r="C384">
        <v>2021</v>
      </c>
      <c r="D384">
        <v>6.8029999999999999</v>
      </c>
      <c r="K384">
        <f>Tabell9[[#This Row],[Såld värme (GWh)]]-Tabell9[[#This Row],[Levererad värme, andra fjärrvärmeföretag, företag 1 (GWh)]]-Tabell9[[#This Row],[Levererad värme, andra fjärrvärmeföretag, företag 2 (GWh)]]-Tabell9[[#This Row],[Levererad värme, andra fjärrvärmeföretag, företag 3 (GWh)]]</f>
        <v>6.8029999999999999</v>
      </c>
      <c r="L384" t="str">
        <f>VLOOKUP(Tabell9[[#This Row],[Nät]],Tabell5[],2,FALSE)</f>
        <v>Sörforsa</v>
      </c>
      <c r="N384">
        <f>IF(Tabell9[[#This Row],[Korr ]]&gt;0,Tabell9[[#This Row],[Korr ]],Tabell9[[#This Row],[Såld minus ftg]])</f>
        <v>6.8029999999999999</v>
      </c>
      <c r="Q384" s="8"/>
      <c r="T384" s="3"/>
    </row>
    <row r="385" spans="1:21" x14ac:dyDescent="0.25">
      <c r="A385" t="s">
        <v>558</v>
      </c>
      <c r="B385" t="s">
        <v>130</v>
      </c>
      <c r="C385">
        <v>2021</v>
      </c>
      <c r="D385">
        <v>32.542000000000002</v>
      </c>
      <c r="K385">
        <f>Tabell9[[#This Row],[Såld värme (GWh)]]-Tabell9[[#This Row],[Levererad värme, andra fjärrvärmeföretag, företag 1 (GWh)]]-Tabell9[[#This Row],[Levererad värme, andra fjärrvärmeföretag, företag 2 (GWh)]]-Tabell9[[#This Row],[Levererad värme, andra fjärrvärmeföretag, företag 3 (GWh)]]</f>
        <v>32.542000000000002</v>
      </c>
      <c r="L385" t="str">
        <f>VLOOKUP(Tabell9[[#This Row],[Nät]],Tabell5[],2,FALSE)</f>
        <v>Torsby</v>
      </c>
      <c r="N385">
        <f>IF(Tabell9[[#This Row],[Korr ]]&gt;0,Tabell9[[#This Row],[Korr ]],Tabell9[[#This Row],[Såld minus ftg]])</f>
        <v>32.542000000000002</v>
      </c>
      <c r="Q385" s="8"/>
      <c r="R385" s="3"/>
    </row>
    <row r="386" spans="1:21" s="43" customFormat="1" x14ac:dyDescent="0.25">
      <c r="A386" s="43" t="s">
        <v>558</v>
      </c>
      <c r="B386" s="43" t="s">
        <v>1125</v>
      </c>
      <c r="C386" s="43">
        <v>2021</v>
      </c>
      <c r="D386" s="43">
        <v>2.0699999999999998</v>
      </c>
      <c r="K386" s="43">
        <f>Tabell9[[#This Row],[Såld värme (GWh)]]-Tabell9[[#This Row],[Levererad värme, andra fjärrvärmeföretag, företag 1 (GWh)]]-Tabell9[[#This Row],[Levererad värme, andra fjärrvärmeföretag, företag 2 (GWh)]]-Tabell9[[#This Row],[Levererad värme, andra fjärrvärmeföretag, företag 3 (GWh)]]</f>
        <v>2.0699999999999998</v>
      </c>
      <c r="L386" s="43" t="e">
        <f>VLOOKUP(Tabell9[[#This Row],[Nät]],Tabell5[],2,FALSE)</f>
        <v>#N/A</v>
      </c>
      <c r="N386" s="43">
        <f>IF(Tabell9[[#This Row],[Korr ]]&gt;0,Tabell9[[#This Row],[Korr ]],Tabell9[[#This Row],[Såld minus ftg]])</f>
        <v>2.0699999999999998</v>
      </c>
      <c r="O386" s="43" t="s">
        <v>1163</v>
      </c>
      <c r="Q386" s="135"/>
      <c r="R386"/>
      <c r="S386"/>
      <c r="T386"/>
      <c r="U386"/>
    </row>
    <row r="387" spans="1:21" s="43" customFormat="1" x14ac:dyDescent="0.25">
      <c r="A387" s="43" t="s">
        <v>689</v>
      </c>
      <c r="B387" s="43" t="s">
        <v>1005</v>
      </c>
      <c r="C387" s="43">
        <v>2021</v>
      </c>
      <c r="D387" s="43">
        <v>1.978</v>
      </c>
      <c r="K387" s="43">
        <f>Tabell9[[#This Row],[Såld värme (GWh)]]-Tabell9[[#This Row],[Levererad värme, andra fjärrvärmeföretag, företag 1 (GWh)]]-Tabell9[[#This Row],[Levererad värme, andra fjärrvärmeföretag, företag 2 (GWh)]]-Tabell9[[#This Row],[Levererad värme, andra fjärrvärmeföretag, företag 3 (GWh)]]</f>
        <v>1.978</v>
      </c>
      <c r="L387" s="43" t="e">
        <f>VLOOKUP(Tabell9[[#This Row],[Nät]],Tabell5[],2,FALSE)</f>
        <v>#N/A</v>
      </c>
      <c r="N387" s="43">
        <f>IF(Tabell9[[#This Row],[Korr ]]&gt;0,Tabell9[[#This Row],[Korr ]],Tabell9[[#This Row],[Såld minus ftg]])</f>
        <v>1.978</v>
      </c>
      <c r="O387" s="43" t="s">
        <v>1163</v>
      </c>
      <c r="Q387" s="135"/>
      <c r="R387"/>
      <c r="S387"/>
      <c r="T387"/>
      <c r="U387"/>
    </row>
    <row r="388" spans="1:21" s="43" customFormat="1" x14ac:dyDescent="0.25">
      <c r="A388" s="5" t="s">
        <v>689</v>
      </c>
      <c r="B388" s="5" t="s">
        <v>1006</v>
      </c>
      <c r="C388" s="5">
        <v>2021</v>
      </c>
      <c r="D388" s="5">
        <v>3.7149999999999999</v>
      </c>
      <c r="E388" s="5"/>
      <c r="F388" s="5"/>
      <c r="G388" s="5"/>
      <c r="H388" s="5"/>
      <c r="I388" s="5"/>
      <c r="J388" s="5"/>
      <c r="K388" s="5">
        <f>Tabell9[[#This Row],[Såld värme (GWh)]]-Tabell9[[#This Row],[Levererad värme, andra fjärrvärmeföretag, företag 1 (GWh)]]-Tabell9[[#This Row],[Levererad värme, andra fjärrvärmeföretag, företag 2 (GWh)]]-Tabell9[[#This Row],[Levererad värme, andra fjärrvärmeföretag, företag 3 (GWh)]]</f>
        <v>3.7149999999999999</v>
      </c>
      <c r="L388" s="5" t="e">
        <f>VLOOKUP(Tabell9[[#This Row],[Nät]],Tabell5[],2,FALSE)</f>
        <v>#N/A</v>
      </c>
      <c r="M388" s="5"/>
      <c r="N388" s="5">
        <f>IF(Tabell9[[#This Row],[Korr ]]&gt;0,Tabell9[[#This Row],[Korr ]],Tabell9[[#This Row],[Såld minus ftg]])</f>
        <v>3.7149999999999999</v>
      </c>
      <c r="O388" s="5" t="s">
        <v>1163</v>
      </c>
      <c r="Q388" s="135"/>
      <c r="R388"/>
      <c r="S388"/>
      <c r="T388"/>
      <c r="U388"/>
    </row>
    <row r="389" spans="1:21" s="43" customFormat="1" x14ac:dyDescent="0.25">
      <c r="A389" s="5" t="s">
        <v>689</v>
      </c>
      <c r="B389" s="5" t="s">
        <v>1007</v>
      </c>
      <c r="C389" s="5">
        <v>2021</v>
      </c>
      <c r="D389" s="5">
        <v>3.8330000000000002</v>
      </c>
      <c r="E389" s="5"/>
      <c r="F389" s="5"/>
      <c r="G389" s="5"/>
      <c r="H389" s="5"/>
      <c r="I389" s="5"/>
      <c r="J389" s="5"/>
      <c r="K389" s="5">
        <f>Tabell9[[#This Row],[Såld värme (GWh)]]-Tabell9[[#This Row],[Levererad värme, andra fjärrvärmeföretag, företag 1 (GWh)]]-Tabell9[[#This Row],[Levererad värme, andra fjärrvärmeföretag, företag 2 (GWh)]]-Tabell9[[#This Row],[Levererad värme, andra fjärrvärmeföretag, företag 3 (GWh)]]</f>
        <v>3.8330000000000002</v>
      </c>
      <c r="L389" s="5" t="e">
        <f>VLOOKUP(Tabell9[[#This Row],[Nät]],Tabell5[],2,FALSE)</f>
        <v>#N/A</v>
      </c>
      <c r="M389" s="5"/>
      <c r="N389" s="5">
        <f>IF(Tabell9[[#This Row],[Korr ]]&gt;0,Tabell9[[#This Row],[Korr ]],Tabell9[[#This Row],[Såld minus ftg]])</f>
        <v>3.8330000000000002</v>
      </c>
      <c r="O389" s="5" t="s">
        <v>1163</v>
      </c>
      <c r="Q389" s="135"/>
      <c r="R389"/>
      <c r="S389"/>
      <c r="T389"/>
      <c r="U389"/>
    </row>
    <row r="390" spans="1:21" s="43" customFormat="1" x14ac:dyDescent="0.25">
      <c r="A390" s="5" t="s">
        <v>689</v>
      </c>
      <c r="B390" s="5" t="s">
        <v>1008</v>
      </c>
      <c r="C390" s="5">
        <v>2021</v>
      </c>
      <c r="D390" s="5">
        <v>0.73199999999999998</v>
      </c>
      <c r="E390" s="5"/>
      <c r="F390" s="5"/>
      <c r="G390" s="5"/>
      <c r="H390" s="5"/>
      <c r="I390" s="5"/>
      <c r="J390" s="5"/>
      <c r="K390" s="5">
        <f>Tabell9[[#This Row],[Såld värme (GWh)]]-Tabell9[[#This Row],[Levererad värme, andra fjärrvärmeföretag, företag 1 (GWh)]]-Tabell9[[#This Row],[Levererad värme, andra fjärrvärmeföretag, företag 2 (GWh)]]-Tabell9[[#This Row],[Levererad värme, andra fjärrvärmeföretag, företag 3 (GWh)]]</f>
        <v>0.73199999999999998</v>
      </c>
      <c r="L390" s="5" t="e">
        <f>VLOOKUP(Tabell9[[#This Row],[Nät]],Tabell5[],2,FALSE)</f>
        <v>#N/A</v>
      </c>
      <c r="M390" s="5"/>
      <c r="N390" s="5">
        <f>IF(Tabell9[[#This Row],[Korr ]]&gt;0,Tabell9[[#This Row],[Korr ]],Tabell9[[#This Row],[Såld minus ftg]])</f>
        <v>0.73199999999999998</v>
      </c>
      <c r="O390" s="5" t="s">
        <v>1163</v>
      </c>
      <c r="Q390" s="135"/>
      <c r="R390"/>
      <c r="S390"/>
      <c r="T390"/>
      <c r="U390"/>
    </row>
    <row r="391" spans="1:21" x14ac:dyDescent="0.25">
      <c r="A391" t="s">
        <v>689</v>
      </c>
      <c r="B391" t="s">
        <v>354</v>
      </c>
      <c r="C391">
        <v>2021</v>
      </c>
      <c r="D391">
        <v>10.167</v>
      </c>
      <c r="K391">
        <f>Tabell9[[#This Row],[Såld värme (GWh)]]-Tabell9[[#This Row],[Levererad värme, andra fjärrvärmeföretag, företag 1 (GWh)]]-Tabell9[[#This Row],[Levererad värme, andra fjärrvärmeföretag, företag 2 (GWh)]]-Tabell9[[#This Row],[Levererad värme, andra fjärrvärmeföretag, företag 3 (GWh)]]</f>
        <v>10.167</v>
      </c>
      <c r="L391" t="str">
        <f>VLOOKUP(Tabell9[[#This Row],[Nät]],Tabell5[],2,FALSE)</f>
        <v>Rydaholm</v>
      </c>
      <c r="N391">
        <f>IF(Tabell9[[#This Row],[Korr ]]&gt;0,Tabell9[[#This Row],[Korr ]],Tabell9[[#This Row],[Såld minus ftg]])</f>
        <v>10.167</v>
      </c>
      <c r="Q391" s="8"/>
    </row>
    <row r="392" spans="1:21" x14ac:dyDescent="0.25">
      <c r="A392" t="s">
        <v>689</v>
      </c>
      <c r="B392" t="s">
        <v>355</v>
      </c>
      <c r="C392">
        <v>2021</v>
      </c>
      <c r="D392">
        <v>156.166</v>
      </c>
      <c r="K392">
        <f>Tabell9[[#This Row],[Såld värme (GWh)]]-Tabell9[[#This Row],[Levererad värme, andra fjärrvärmeföretag, företag 1 (GWh)]]-Tabell9[[#This Row],[Levererad värme, andra fjärrvärmeföretag, företag 2 (GWh)]]-Tabell9[[#This Row],[Levererad värme, andra fjärrvärmeföretag, företag 3 (GWh)]]</f>
        <v>156.166</v>
      </c>
      <c r="L392" t="str">
        <f>VLOOKUP(Tabell9[[#This Row],[Nät]],Tabell5[],2,FALSE)</f>
        <v>Värnamo</v>
      </c>
      <c r="N392">
        <f>IF(Tabell9[[#This Row],[Korr ]]&gt;0,Tabell9[[#This Row],[Korr ]],Tabell9[[#This Row],[Såld minus ftg]])</f>
        <v>156.166</v>
      </c>
      <c r="Q392" s="8"/>
    </row>
    <row r="393" spans="1:21" x14ac:dyDescent="0.25">
      <c r="A393" t="s">
        <v>595</v>
      </c>
      <c r="B393" t="s">
        <v>357</v>
      </c>
      <c r="C393">
        <v>2021</v>
      </c>
      <c r="D393">
        <v>95.129000000000005</v>
      </c>
      <c r="K393">
        <f>Tabell9[[#This Row],[Såld värme (GWh)]]-Tabell9[[#This Row],[Levererad värme, andra fjärrvärmeföretag, företag 1 (GWh)]]-Tabell9[[#This Row],[Levererad värme, andra fjärrvärmeföretag, företag 2 (GWh)]]-Tabell9[[#This Row],[Levererad värme, andra fjärrvärmeföretag, företag 3 (GWh)]]</f>
        <v>95.129000000000005</v>
      </c>
      <c r="L393" t="str">
        <f>VLOOKUP(Tabell9[[#This Row],[Nät]],Tabell5[],2,FALSE)</f>
        <v>Fagersta</v>
      </c>
      <c r="N393">
        <f>IF(Tabell9[[#This Row],[Korr ]]&gt;0,Tabell9[[#This Row],[Korr ]],Tabell9[[#This Row],[Såld minus ftg]])</f>
        <v>95.129000000000005</v>
      </c>
      <c r="Q393" s="8"/>
    </row>
    <row r="394" spans="1:21" x14ac:dyDescent="0.25">
      <c r="A394" t="s">
        <v>595</v>
      </c>
      <c r="B394" t="s">
        <v>358</v>
      </c>
      <c r="C394">
        <v>2021</v>
      </c>
      <c r="D394">
        <v>13.363</v>
      </c>
      <c r="K394">
        <f>Tabell9[[#This Row],[Såld värme (GWh)]]-Tabell9[[#This Row],[Levererad värme, andra fjärrvärmeföretag, företag 1 (GWh)]]-Tabell9[[#This Row],[Levererad värme, andra fjärrvärmeföretag, företag 2 (GWh)]]-Tabell9[[#This Row],[Levererad värme, andra fjärrvärmeföretag, företag 3 (GWh)]]</f>
        <v>13.363</v>
      </c>
      <c r="L394" t="str">
        <f>VLOOKUP(Tabell9[[#This Row],[Nät]],Tabell5[],2,FALSE)</f>
        <v>Grängesberg</v>
      </c>
      <c r="N394">
        <f>IF(Tabell9[[#This Row],[Korr ]]&gt;0,Tabell9[[#This Row],[Korr ]],Tabell9[[#This Row],[Såld minus ftg]])</f>
        <v>13.363</v>
      </c>
      <c r="Q394" s="8"/>
    </row>
    <row r="395" spans="1:21" x14ac:dyDescent="0.25">
      <c r="A395" t="s">
        <v>595</v>
      </c>
      <c r="B395" t="s">
        <v>359</v>
      </c>
      <c r="C395">
        <v>2021</v>
      </c>
      <c r="D395">
        <v>106.05</v>
      </c>
      <c r="K395">
        <f>Tabell9[[#This Row],[Såld värme (GWh)]]-Tabell9[[#This Row],[Levererad värme, andra fjärrvärmeföretag, företag 1 (GWh)]]-Tabell9[[#This Row],[Levererad värme, andra fjärrvärmeföretag, företag 2 (GWh)]]-Tabell9[[#This Row],[Levererad värme, andra fjärrvärmeföretag, företag 3 (GWh)]]</f>
        <v>106.05</v>
      </c>
      <c r="L395" t="str">
        <f>VLOOKUP(Tabell9[[#This Row],[Nät]],Tabell5[],2,FALSE)</f>
        <v>Ludvika</v>
      </c>
      <c r="N395">
        <f>IF(Tabell9[[#This Row],[Korr ]]&gt;0,Tabell9[[#This Row],[Korr ]],Tabell9[[#This Row],[Såld minus ftg]])</f>
        <v>106.05</v>
      </c>
      <c r="Q395" s="8"/>
    </row>
    <row r="396" spans="1:21" x14ac:dyDescent="0.25">
      <c r="A396" t="s">
        <v>595</v>
      </c>
      <c r="B396" t="s">
        <v>356</v>
      </c>
      <c r="C396">
        <v>2021</v>
      </c>
      <c r="D396">
        <v>18.78</v>
      </c>
      <c r="K396">
        <f>Tabell9[[#This Row],[Såld värme (GWh)]]-Tabell9[[#This Row],[Levererad värme, andra fjärrvärmeföretag, företag 1 (GWh)]]-Tabell9[[#This Row],[Levererad värme, andra fjärrvärmeföretag, företag 2 (GWh)]]-Tabell9[[#This Row],[Levererad värme, andra fjärrvärmeföretag, företag 3 (GWh)]]</f>
        <v>18.78</v>
      </c>
      <c r="L396" t="str">
        <f>VLOOKUP(Tabell9[[#This Row],[Nät]],Tabell5[],2,FALSE)</f>
        <v>Norberg</v>
      </c>
      <c r="N396">
        <f>IF(Tabell9[[#This Row],[Korr ]]&gt;0,Tabell9[[#This Row],[Korr ]],Tabell9[[#This Row],[Såld minus ftg]])</f>
        <v>18.78</v>
      </c>
      <c r="Q396" s="8"/>
    </row>
    <row r="397" spans="1:21" x14ac:dyDescent="0.25">
      <c r="A397" t="s">
        <v>550</v>
      </c>
      <c r="B397" t="s">
        <v>360</v>
      </c>
      <c r="C397">
        <v>2021</v>
      </c>
      <c r="D397">
        <v>6.73</v>
      </c>
      <c r="K397">
        <f>Tabell9[[#This Row],[Såld värme (GWh)]]-Tabell9[[#This Row],[Levererad värme, andra fjärrvärmeföretag, företag 1 (GWh)]]-Tabell9[[#This Row],[Levererad värme, andra fjärrvärmeföretag, företag 2 (GWh)]]-Tabell9[[#This Row],[Levererad värme, andra fjärrvärmeföretag, företag 3 (GWh)]]</f>
        <v>6.73</v>
      </c>
      <c r="L397" t="str">
        <f>VLOOKUP(Tabell9[[#This Row],[Nät]],Tabell5[],2,FALSE)</f>
        <v>Ankarsrum</v>
      </c>
      <c r="N397">
        <f>IF(Tabell9[[#This Row],[Korr ]]&gt;0,Tabell9[[#This Row],[Korr ]],Tabell9[[#This Row],[Såld minus ftg]])</f>
        <v>6.73</v>
      </c>
      <c r="Q397" s="8"/>
    </row>
    <row r="398" spans="1:21" x14ac:dyDescent="0.25">
      <c r="A398" t="s">
        <v>550</v>
      </c>
      <c r="B398" t="s">
        <v>361</v>
      </c>
      <c r="C398">
        <v>2021</v>
      </c>
      <c r="D398">
        <v>24.97</v>
      </c>
      <c r="K398">
        <f>Tabell9[[#This Row],[Såld värme (GWh)]]-Tabell9[[#This Row],[Levererad värme, andra fjärrvärmeföretag, företag 1 (GWh)]]-Tabell9[[#This Row],[Levererad värme, andra fjärrvärmeföretag, företag 2 (GWh)]]-Tabell9[[#This Row],[Levererad värme, andra fjärrvärmeföretag, företag 3 (GWh)]]</f>
        <v>24.97</v>
      </c>
      <c r="L398" t="str">
        <f>VLOOKUP(Tabell9[[#This Row],[Nät]],Tabell5[],2,FALSE)</f>
        <v>Gamleby</v>
      </c>
      <c r="N398">
        <f>IF(Tabell9[[#This Row],[Korr ]]&gt;0,Tabell9[[#This Row],[Korr ]],Tabell9[[#This Row],[Såld minus ftg]])</f>
        <v>24.97</v>
      </c>
      <c r="Q398" s="8"/>
    </row>
    <row r="399" spans="1:21" x14ac:dyDescent="0.25">
      <c r="A399" t="s">
        <v>550</v>
      </c>
      <c r="B399" t="s">
        <v>362</v>
      </c>
      <c r="C399">
        <v>2021</v>
      </c>
      <c r="D399">
        <v>180.6</v>
      </c>
      <c r="K399">
        <f>Tabell9[[#This Row],[Såld värme (GWh)]]-Tabell9[[#This Row],[Levererad värme, andra fjärrvärmeföretag, företag 1 (GWh)]]-Tabell9[[#This Row],[Levererad värme, andra fjärrvärmeföretag, företag 2 (GWh)]]-Tabell9[[#This Row],[Levererad värme, andra fjärrvärmeföretag, företag 3 (GWh)]]</f>
        <v>180.6</v>
      </c>
      <c r="L399" t="str">
        <f>VLOOKUP(Tabell9[[#This Row],[Nät]],Tabell5[],2,FALSE)</f>
        <v>Västervik</v>
      </c>
      <c r="N399">
        <f>IF(Tabell9[[#This Row],[Korr ]]&gt;0,Tabell9[[#This Row],[Korr ]],Tabell9[[#This Row],[Såld minus ftg]])</f>
        <v>180.6</v>
      </c>
      <c r="Q399" s="8"/>
    </row>
    <row r="400" spans="1:21" x14ac:dyDescent="0.25">
      <c r="A400" t="s">
        <v>1009</v>
      </c>
      <c r="B400" t="s">
        <v>938</v>
      </c>
      <c r="C400">
        <v>2021</v>
      </c>
      <c r="D400">
        <v>316</v>
      </c>
      <c r="K400">
        <f>Tabell9[[#This Row],[Såld värme (GWh)]]-Tabell9[[#This Row],[Levererad värme, andra fjärrvärmeföretag, företag 1 (GWh)]]-Tabell9[[#This Row],[Levererad värme, andra fjärrvärmeföretag, företag 2 (GWh)]]-Tabell9[[#This Row],[Levererad värme, andra fjärrvärmeföretag, företag 3 (GWh)]]</f>
        <v>316</v>
      </c>
      <c r="L400" t="str">
        <f>VLOOKUP(Tabell9[[#This Row],[Nät]],Tabell5[],2,FALSE)</f>
        <v>Arboga - Köping</v>
      </c>
      <c r="N400">
        <f>IF(Tabell9[[#This Row],[Korr ]]&gt;0,Tabell9[[#This Row],[Korr ]],Tabell9[[#This Row],[Såld minus ftg]])</f>
        <v>316</v>
      </c>
      <c r="Q400" s="8"/>
      <c r="R400" s="4"/>
    </row>
    <row r="401" spans="1:20" x14ac:dyDescent="0.25">
      <c r="A401" t="s">
        <v>577</v>
      </c>
      <c r="B401" t="s">
        <v>364</v>
      </c>
      <c r="C401">
        <v>2021</v>
      </c>
      <c r="D401">
        <v>14.407</v>
      </c>
      <c r="K401">
        <f>Tabell9[[#This Row],[Såld värme (GWh)]]-Tabell9[[#This Row],[Levererad värme, andra fjärrvärmeföretag, företag 1 (GWh)]]-Tabell9[[#This Row],[Levererad värme, andra fjärrvärmeföretag, företag 2 (GWh)]]-Tabell9[[#This Row],[Levererad värme, andra fjärrvärmeföretag, företag 3 (GWh)]]</f>
        <v>14.407</v>
      </c>
      <c r="L401" t="str">
        <f>VLOOKUP(Tabell9[[#This Row],[Nät]],Tabell5[],2,FALSE)</f>
        <v>Braås</v>
      </c>
      <c r="N401">
        <f>IF(Tabell9[[#This Row],[Korr ]]&gt;0,Tabell9[[#This Row],[Korr ]],Tabell9[[#This Row],[Såld minus ftg]])</f>
        <v>14.407</v>
      </c>
      <c r="Q401" s="8"/>
    </row>
    <row r="402" spans="1:20" x14ac:dyDescent="0.25">
      <c r="A402" t="s">
        <v>577</v>
      </c>
      <c r="B402" t="s">
        <v>365</v>
      </c>
      <c r="C402">
        <v>2021</v>
      </c>
      <c r="D402">
        <v>8.2669999999999995</v>
      </c>
      <c r="K402">
        <f>Tabell9[[#This Row],[Såld värme (GWh)]]-Tabell9[[#This Row],[Levererad värme, andra fjärrvärmeföretag, företag 1 (GWh)]]-Tabell9[[#This Row],[Levererad värme, andra fjärrvärmeföretag, företag 2 (GWh)]]-Tabell9[[#This Row],[Levererad värme, andra fjärrvärmeföretag, företag 3 (GWh)]]</f>
        <v>8.2669999999999995</v>
      </c>
      <c r="L402" t="str">
        <f>VLOOKUP(Tabell9[[#This Row],[Nät]],Tabell5[],2,FALSE)</f>
        <v>Ingelstad</v>
      </c>
      <c r="N402">
        <f>IF(Tabell9[[#This Row],[Korr ]]&gt;0,Tabell9[[#This Row],[Korr ]],Tabell9[[#This Row],[Såld minus ftg]])</f>
        <v>8.2669999999999995</v>
      </c>
      <c r="Q402" s="8"/>
    </row>
    <row r="403" spans="1:20" x14ac:dyDescent="0.25">
      <c r="A403" t="s">
        <v>577</v>
      </c>
      <c r="B403" t="s">
        <v>366</v>
      </c>
      <c r="C403">
        <v>2021</v>
      </c>
      <c r="D403">
        <v>9.7880000000000003</v>
      </c>
      <c r="K403">
        <f>Tabell9[[#This Row],[Såld värme (GWh)]]-Tabell9[[#This Row],[Levererad värme, andra fjärrvärmeföretag, företag 1 (GWh)]]-Tabell9[[#This Row],[Levererad värme, andra fjärrvärmeföretag, företag 2 (GWh)]]-Tabell9[[#This Row],[Levererad värme, andra fjärrvärmeföretag, företag 3 (GWh)]]</f>
        <v>9.7880000000000003</v>
      </c>
      <c r="L403" t="str">
        <f>VLOOKUP(Tabell9[[#This Row],[Nät]],Tabell5[],2,FALSE)</f>
        <v>Rottne</v>
      </c>
      <c r="N403">
        <f>IF(Tabell9[[#This Row],[Korr ]]&gt;0,Tabell9[[#This Row],[Korr ]],Tabell9[[#This Row],[Såld minus ftg]])</f>
        <v>9.7880000000000003</v>
      </c>
      <c r="Q403" s="8"/>
    </row>
    <row r="404" spans="1:20" x14ac:dyDescent="0.25">
      <c r="A404" t="s">
        <v>577</v>
      </c>
      <c r="B404" t="s">
        <v>907</v>
      </c>
      <c r="C404">
        <v>2021</v>
      </c>
      <c r="D404">
        <v>570.11199999999997</v>
      </c>
      <c r="K404">
        <f>Tabell9[[#This Row],[Såld värme (GWh)]]-Tabell9[[#This Row],[Levererad värme, andra fjärrvärmeföretag, företag 1 (GWh)]]-Tabell9[[#This Row],[Levererad värme, andra fjärrvärmeföretag, företag 2 (GWh)]]-Tabell9[[#This Row],[Levererad värme, andra fjärrvärmeföretag, företag 3 (GWh)]]</f>
        <v>570.11199999999997</v>
      </c>
      <c r="L404" t="str">
        <f>VLOOKUP(Tabell9[[#This Row],[Nät]],Tabell5[],2,FALSE)</f>
        <v>Växjö</v>
      </c>
      <c r="N404">
        <f>IF(Tabell9[[#This Row],[Korr ]]&gt;0,Tabell9[[#This Row],[Korr ]],Tabell9[[#This Row],[Såld minus ftg]])</f>
        <v>570.11199999999997</v>
      </c>
      <c r="Q404" s="8"/>
    </row>
    <row r="405" spans="1:20" x14ac:dyDescent="0.25">
      <c r="A405" t="s">
        <v>734</v>
      </c>
      <c r="B405" t="s">
        <v>367</v>
      </c>
      <c r="C405">
        <v>2021</v>
      </c>
      <c r="D405">
        <v>143.68600000000001</v>
      </c>
      <c r="K405">
        <f>Tabell9[[#This Row],[Såld värme (GWh)]]-Tabell9[[#This Row],[Levererad värme, andra fjärrvärmeföretag, företag 1 (GWh)]]-Tabell9[[#This Row],[Levererad värme, andra fjärrvärmeföretag, företag 2 (GWh)]]-Tabell9[[#This Row],[Levererad värme, andra fjärrvärmeföretag, företag 3 (GWh)]]</f>
        <v>143.68600000000001</v>
      </c>
      <c r="L405" t="str">
        <f>VLOOKUP(Tabell9[[#This Row],[Nät]],Tabell5[],2,FALSE)</f>
        <v>Ystad</v>
      </c>
      <c r="N405">
        <f>IF(Tabell9[[#This Row],[Korr ]]&gt;0,Tabell9[[#This Row],[Korr ]],Tabell9[[#This Row],[Såld minus ftg]])</f>
        <v>143.68600000000001</v>
      </c>
      <c r="Q405" s="8"/>
    </row>
    <row r="406" spans="1:20" x14ac:dyDescent="0.25">
      <c r="A406" t="s">
        <v>604</v>
      </c>
      <c r="B406" t="s">
        <v>368</v>
      </c>
      <c r="C406">
        <v>2021</v>
      </c>
      <c r="D406">
        <v>7.5229999999999997</v>
      </c>
      <c r="K406">
        <f>Tabell9[[#This Row],[Såld värme (GWh)]]-Tabell9[[#This Row],[Levererad värme, andra fjärrvärmeföretag, företag 1 (GWh)]]-Tabell9[[#This Row],[Levererad värme, andra fjärrvärmeföretag, företag 2 (GWh)]]-Tabell9[[#This Row],[Levererad värme, andra fjärrvärmeföretag, företag 3 (GWh)]]</f>
        <v>7.5229999999999997</v>
      </c>
      <c r="L406" t="str">
        <f>VLOOKUP(Tabell9[[#This Row],[Nät]],Tabell5[],2,FALSE)</f>
        <v>Fränsta</v>
      </c>
      <c r="N406">
        <f>IF(Tabell9[[#This Row],[Korr ]]&gt;0,Tabell9[[#This Row],[Korr ]],Tabell9[[#This Row],[Såld minus ftg]])</f>
        <v>7.5229999999999997</v>
      </c>
      <c r="Q406" s="8"/>
    </row>
    <row r="407" spans="1:20" x14ac:dyDescent="0.25">
      <c r="A407" t="s">
        <v>604</v>
      </c>
      <c r="B407" t="s">
        <v>370</v>
      </c>
      <c r="C407">
        <v>2021</v>
      </c>
      <c r="D407">
        <v>23.084</v>
      </c>
      <c r="K407">
        <f>Tabell9[[#This Row],[Såld värme (GWh)]]-Tabell9[[#This Row],[Levererad värme, andra fjärrvärmeföretag, företag 1 (GWh)]]-Tabell9[[#This Row],[Levererad värme, andra fjärrvärmeföretag, företag 2 (GWh)]]-Tabell9[[#This Row],[Levererad värme, andra fjärrvärmeföretag, företag 3 (GWh)]]</f>
        <v>23.084</v>
      </c>
      <c r="L407" t="str">
        <f>VLOOKUP(Tabell9[[#This Row],[Nät]],Tabell5[],2,FALSE)</f>
        <v>Ånge</v>
      </c>
      <c r="N407">
        <f>IF(Tabell9[[#This Row],[Korr ]]&gt;0,Tabell9[[#This Row],[Korr ]],Tabell9[[#This Row],[Såld minus ftg]])</f>
        <v>23.084</v>
      </c>
      <c r="Q407" s="8"/>
    </row>
    <row r="408" spans="1:20" x14ac:dyDescent="0.25">
      <c r="A408" t="s">
        <v>626</v>
      </c>
      <c r="B408" t="s">
        <v>373</v>
      </c>
      <c r="C408">
        <v>2021</v>
      </c>
      <c r="D408">
        <v>1029.328</v>
      </c>
      <c r="E408" t="s">
        <v>1012</v>
      </c>
      <c r="F408">
        <v>162.15799999999999</v>
      </c>
      <c r="K408">
        <f>Tabell9[[#This Row],[Såld värme (GWh)]]-Tabell9[[#This Row],[Levererad värme, andra fjärrvärmeföretag, företag 1 (GWh)]]-Tabell9[[#This Row],[Levererad värme, andra fjärrvärmeföretag, företag 2 (GWh)]]-Tabell9[[#This Row],[Levererad värme, andra fjärrvärmeföretag, företag 3 (GWh)]]</f>
        <v>867.17</v>
      </c>
      <c r="L408" t="str">
        <f>VLOOKUP(Tabell9[[#This Row],[Nät]],Tabell5[],2,FALSE)</f>
        <v>Helsingborg</v>
      </c>
      <c r="M408">
        <f>Tabell9[[#This Row],[Såld minus ftg]]+K409</f>
        <v>906.88547299999993</v>
      </c>
      <c r="N408">
        <f>IF(Tabell9[[#This Row],[Korr ]]&gt;0,Tabell9[[#This Row],[Korr ]],Tabell9[[#This Row],[Såld minus ftg]])</f>
        <v>906.88547299999993</v>
      </c>
      <c r="Q408" s="8"/>
      <c r="T408" s="3"/>
    </row>
    <row r="409" spans="1:20" x14ac:dyDescent="0.25">
      <c r="A409" t="s">
        <v>626</v>
      </c>
      <c r="B409" t="s">
        <v>1150</v>
      </c>
      <c r="C409">
        <v>2021</v>
      </c>
      <c r="D409">
        <v>39.715473000000003</v>
      </c>
      <c r="K409">
        <f>Tabell9[[#This Row],[Såld värme (GWh)]]-Tabell9[[#This Row],[Levererad värme, andra fjärrvärmeföretag, företag 1 (GWh)]]-Tabell9[[#This Row],[Levererad värme, andra fjärrvärmeföretag, företag 2 (GWh)]]-Tabell9[[#This Row],[Levererad värme, andra fjärrvärmeföretag, företag 3 (GWh)]]</f>
        <v>39.715473000000003</v>
      </c>
      <c r="N409">
        <f>IF(Tabell9[[#This Row],[Korr ]]&gt;0,Tabell9[[#This Row],[Korr ]],Tabell9[[#This Row],[Såld minus ftg]])</f>
        <v>39.715473000000003</v>
      </c>
      <c r="Q409" s="8"/>
    </row>
    <row r="410" spans="1:20" x14ac:dyDescent="0.25">
      <c r="A410" t="s">
        <v>626</v>
      </c>
      <c r="B410" t="s">
        <v>372</v>
      </c>
      <c r="C410">
        <v>2021</v>
      </c>
      <c r="D410">
        <v>177.65299999999999</v>
      </c>
      <c r="K410">
        <f>Tabell9[[#This Row],[Såld värme (GWh)]]-Tabell9[[#This Row],[Levererad värme, andra fjärrvärmeföretag, företag 1 (GWh)]]-Tabell9[[#This Row],[Levererad värme, andra fjärrvärmeföretag, företag 2 (GWh)]]-Tabell9[[#This Row],[Levererad värme, andra fjärrvärmeföretag, företag 3 (GWh)]]</f>
        <v>177.65299999999999</v>
      </c>
      <c r="L410" t="str">
        <f>VLOOKUP(Tabell9[[#This Row],[Nät]],Tabell5[],2,FALSE)</f>
        <v>Ängelholm</v>
      </c>
      <c r="N410">
        <f>IF(Tabell9[[#This Row],[Korr ]]&gt;0,Tabell9[[#This Row],[Korr ]],Tabell9[[#This Row],[Såld minus ftg]])</f>
        <v>177.65299999999999</v>
      </c>
      <c r="Q410" s="8"/>
    </row>
    <row r="411" spans="1:20" x14ac:dyDescent="0.25">
      <c r="A411" t="s">
        <v>740</v>
      </c>
      <c r="B411" t="s">
        <v>374</v>
      </c>
      <c r="C411">
        <v>2021</v>
      </c>
      <c r="D411">
        <v>28.8</v>
      </c>
      <c r="K411">
        <f>Tabell9[[#This Row],[Såld värme (GWh)]]-Tabell9[[#This Row],[Levererad värme, andra fjärrvärmeföretag, företag 1 (GWh)]]-Tabell9[[#This Row],[Levererad värme, andra fjärrvärmeföretag, företag 2 (GWh)]]-Tabell9[[#This Row],[Levererad värme, andra fjärrvärmeföretag, företag 3 (GWh)]]</f>
        <v>28.8</v>
      </c>
      <c r="L411" t="str">
        <f>VLOOKUP(Tabell9[[#This Row],[Nät]],Tabell5[],2,FALSE)</f>
        <v>Örkelljunga</v>
      </c>
      <c r="N411">
        <f>IF(Tabell9[[#This Row],[Korr ]]&gt;0,Tabell9[[#This Row],[Korr ]],Tabell9[[#This Row],[Såld minus ftg]])</f>
        <v>28.8</v>
      </c>
      <c r="Q411" s="8"/>
    </row>
    <row r="412" spans="1:20" x14ac:dyDescent="0.25">
      <c r="A412" t="s">
        <v>695</v>
      </c>
      <c r="B412" t="s">
        <v>375</v>
      </c>
      <c r="C412">
        <v>2021</v>
      </c>
      <c r="D412">
        <v>49.1</v>
      </c>
      <c r="K412">
        <f>Tabell9[[#This Row],[Såld värme (GWh)]]-Tabell9[[#This Row],[Levererad värme, andra fjärrvärmeföretag, företag 1 (GWh)]]-Tabell9[[#This Row],[Levererad värme, andra fjärrvärmeföretag, företag 2 (GWh)]]-Tabell9[[#This Row],[Levererad värme, andra fjärrvärmeföretag, företag 3 (GWh)]]</f>
        <v>49.1</v>
      </c>
      <c r="L412" t="str">
        <f>VLOOKUP(Tabell9[[#This Row],[Nät]],Tabell5[],2,FALSE)</f>
        <v>Simrishamn</v>
      </c>
      <c r="N412">
        <f>IF(Tabell9[[#This Row],[Korr ]]&gt;0,Tabell9[[#This Row],[Korr ]],Tabell9[[#This Row],[Såld minus ftg]])</f>
        <v>49.1</v>
      </c>
      <c r="Q412" s="8"/>
    </row>
    <row r="413" spans="1:20" x14ac:dyDescent="0.25">
      <c r="A413" t="s">
        <v>569</v>
      </c>
      <c r="B413" t="s">
        <v>377</v>
      </c>
      <c r="C413">
        <v>2021</v>
      </c>
      <c r="D413">
        <v>7</v>
      </c>
      <c r="K413">
        <f>Tabell9[[#This Row],[Såld värme (GWh)]]-Tabell9[[#This Row],[Levererad värme, andra fjärrvärmeföretag, företag 1 (GWh)]]-Tabell9[[#This Row],[Levererad värme, andra fjärrvärmeföretag, företag 2 (GWh)]]-Tabell9[[#This Row],[Levererad värme, andra fjärrvärmeföretag, företag 3 (GWh)]]</f>
        <v>7</v>
      </c>
      <c r="L413" t="str">
        <f>VLOOKUP(Tabell9[[#This Row],[Nät]],Tabell5[],2,FALSE)</f>
        <v>Bjästa</v>
      </c>
      <c r="N413">
        <f>IF(Tabell9[[#This Row],[Korr ]]&gt;0,Tabell9[[#This Row],[Korr ]],Tabell9[[#This Row],[Såld minus ftg]])</f>
        <v>7</v>
      </c>
      <c r="Q413" s="8"/>
    </row>
    <row r="414" spans="1:20" x14ac:dyDescent="0.25">
      <c r="A414" t="s">
        <v>569</v>
      </c>
      <c r="B414" t="s">
        <v>378</v>
      </c>
      <c r="C414">
        <v>2021</v>
      </c>
      <c r="D414">
        <v>5.36</v>
      </c>
      <c r="K414">
        <f>Tabell9[[#This Row],[Såld värme (GWh)]]-Tabell9[[#This Row],[Levererad värme, andra fjärrvärmeföretag, företag 1 (GWh)]]-Tabell9[[#This Row],[Levererad värme, andra fjärrvärmeföretag, företag 2 (GWh)]]-Tabell9[[#This Row],[Levererad värme, andra fjärrvärmeföretag, företag 3 (GWh)]]</f>
        <v>5.36</v>
      </c>
      <c r="L414" t="str">
        <f>VLOOKUP(Tabell9[[#This Row],[Nät]],Tabell5[],2,FALSE)</f>
        <v>Bredbyn</v>
      </c>
      <c r="N414">
        <f>IF(Tabell9[[#This Row],[Korr ]]&gt;0,Tabell9[[#This Row],[Korr ]],Tabell9[[#This Row],[Såld minus ftg]])</f>
        <v>5.36</v>
      </c>
      <c r="Q414" s="8"/>
      <c r="R414" s="4"/>
    </row>
    <row r="415" spans="1:20" x14ac:dyDescent="0.25">
      <c r="A415" t="s">
        <v>569</v>
      </c>
      <c r="B415" t="s">
        <v>379</v>
      </c>
      <c r="C415">
        <v>2021</v>
      </c>
      <c r="D415">
        <v>4.5199999999999996</v>
      </c>
      <c r="K415">
        <f>Tabell9[[#This Row],[Såld värme (GWh)]]-Tabell9[[#This Row],[Levererad värme, andra fjärrvärmeföretag, företag 1 (GWh)]]-Tabell9[[#This Row],[Levererad värme, andra fjärrvärmeföretag, företag 2 (GWh)]]-Tabell9[[#This Row],[Levererad värme, andra fjärrvärmeföretag, företag 3 (GWh)]]</f>
        <v>4.5199999999999996</v>
      </c>
      <c r="L415" t="str">
        <f>VLOOKUP(Tabell9[[#This Row],[Nät]],Tabell5[],2,FALSE)</f>
        <v>Husum</v>
      </c>
      <c r="N415">
        <f>IF(Tabell9[[#This Row],[Korr ]]&gt;0,Tabell9[[#This Row],[Korr ]],Tabell9[[#This Row],[Såld minus ftg]])</f>
        <v>4.5199999999999996</v>
      </c>
      <c r="Q415" s="8"/>
    </row>
    <row r="416" spans="1:20" x14ac:dyDescent="0.25">
      <c r="A416" t="s">
        <v>569</v>
      </c>
      <c r="B416" t="s">
        <v>491</v>
      </c>
      <c r="C416">
        <v>2021</v>
      </c>
      <c r="D416">
        <v>0.36</v>
      </c>
      <c r="K416">
        <f>Tabell9[[#This Row],[Såld värme (GWh)]]-Tabell9[[#This Row],[Levererad värme, andra fjärrvärmeföretag, företag 1 (GWh)]]-Tabell9[[#This Row],[Levererad värme, andra fjärrvärmeföretag, företag 2 (GWh)]]-Tabell9[[#This Row],[Levererad värme, andra fjärrvärmeföretag, företag 3 (GWh)]]</f>
        <v>0.36</v>
      </c>
      <c r="L416" t="str">
        <f>VLOOKUP(Tabell9[[#This Row],[Nät]],Tabell5[],2,FALSE)</f>
        <v>Moliden</v>
      </c>
      <c r="N416">
        <f>IF(Tabell9[[#This Row],[Korr ]]&gt;0,Tabell9[[#This Row],[Korr ]],Tabell9[[#This Row],[Såld minus ftg]])</f>
        <v>0.36</v>
      </c>
      <c r="Q416" s="8"/>
    </row>
    <row r="417" spans="1:21" x14ac:dyDescent="0.25">
      <c r="A417" s="43" t="s">
        <v>569</v>
      </c>
      <c r="B417" s="43" t="s">
        <v>802</v>
      </c>
      <c r="C417" s="43">
        <v>2021</v>
      </c>
      <c r="D417" s="43">
        <v>272.11200000000002</v>
      </c>
      <c r="E417" s="43"/>
      <c r="F417" s="43"/>
      <c r="G417" s="43"/>
      <c r="H417" s="43"/>
      <c r="I417" s="43"/>
      <c r="J417" s="43"/>
      <c r="K417" s="43">
        <f>Tabell9[[#This Row],[Såld värme (GWh)]]-Tabell9[[#This Row],[Levererad värme, andra fjärrvärmeföretag, företag 1 (GWh)]]-Tabell9[[#This Row],[Levererad värme, andra fjärrvärmeföretag, företag 2 (GWh)]]-Tabell9[[#This Row],[Levererad värme, andra fjärrvärmeföretag, företag 3 (GWh)]]</f>
        <v>272.11200000000002</v>
      </c>
      <c r="L417" s="43" t="e">
        <f>VLOOKUP(Tabell9[[#This Row],[Nät]],Tabell5[],2,FALSE)</f>
        <v>#N/A</v>
      </c>
      <c r="M417" s="43"/>
      <c r="N417" s="43">
        <f>IF(Tabell9[[#This Row],[Korr ]]&gt;0,Tabell9[[#This Row],[Korr ]],Tabell9[[#This Row],[Såld minus ftg]])</f>
        <v>272.11200000000002</v>
      </c>
      <c r="O417" s="43" t="s">
        <v>1164</v>
      </c>
      <c r="Q417" s="8"/>
    </row>
    <row r="418" spans="1:21" s="43" customFormat="1" x14ac:dyDescent="0.25">
      <c r="A418" t="s">
        <v>569</v>
      </c>
      <c r="B418" t="s">
        <v>376</v>
      </c>
      <c r="C418">
        <v>2021</v>
      </c>
      <c r="D418">
        <v>229.76</v>
      </c>
      <c r="E418"/>
      <c r="F418"/>
      <c r="G418"/>
      <c r="H418"/>
      <c r="I418"/>
      <c r="J418"/>
      <c r="K418">
        <f>Tabell9[[#This Row],[Såld värme (GWh)]]-Tabell9[[#This Row],[Levererad värme, andra fjärrvärmeföretag, företag 1 (GWh)]]-Tabell9[[#This Row],[Levererad värme, andra fjärrvärmeföretag, företag 2 (GWh)]]-Tabell9[[#This Row],[Levererad värme, andra fjärrvärmeföretag, företag 3 (GWh)]]</f>
        <v>229.76</v>
      </c>
      <c r="L418" t="str">
        <f>VLOOKUP(Tabell9[[#This Row],[Nät]],Tabell5[],2,FALSE)</f>
        <v>Örnsköldsvik</v>
      </c>
      <c r="M418"/>
      <c r="N418">
        <f>IF(Tabell9[[#This Row],[Korr ]]&gt;0,Tabell9[[#This Row],[Korr ]],Tabell9[[#This Row],[Såld minus ftg]])</f>
        <v>229.76</v>
      </c>
      <c r="O418"/>
      <c r="Q418" s="135"/>
      <c r="R418"/>
      <c r="S418"/>
      <c r="T418"/>
      <c r="U418"/>
    </row>
    <row r="420" spans="1:21" x14ac:dyDescent="0.25">
      <c r="Q420" s="8"/>
    </row>
    <row r="423" spans="1:21" x14ac:dyDescent="0.25">
      <c r="T423" s="4"/>
    </row>
    <row r="424" spans="1:21" x14ac:dyDescent="0.25"/>
    <row r="437" spans="18:20" x14ac:dyDescent="0.25">
      <c r="R437" s="4"/>
      <c r="T437" s="4"/>
    </row>
    <row r="440" spans="18:20" x14ac:dyDescent="0.25"/>
    <row r="450" spans="20:20" x14ac:dyDescent="0.25">
      <c r="T450" s="3"/>
    </row>
    <row r="461" spans="20:20" x14ac:dyDescent="0.25">
      <c r="T461" s="4"/>
    </row>
    <row r="462" spans="20:20" x14ac:dyDescent="0.25">
      <c r="T462" s="4"/>
    </row>
    <row r="472" spans="18:20" x14ac:dyDescent="0.25">
      <c r="T472" s="3"/>
    </row>
    <row r="474" spans="18:20" x14ac:dyDescent="0.25">
      <c r="R474" s="4"/>
    </row>
    <row r="475" spans="18:20" x14ac:dyDescent="0.25">
      <c r="R475" s="4"/>
    </row>
    <row r="483" spans="18:18" x14ac:dyDescent="0.25">
      <c r="R483" s="4"/>
    </row>
    <row r="490" spans="18:18" x14ac:dyDescent="0.25">
      <c r="R490" s="1"/>
    </row>
    <row r="502" spans="20:20" x14ac:dyDescent="0.25">
      <c r="T502" s="4"/>
    </row>
    <row r="503" spans="20:20" x14ac:dyDescent="0.25">
      <c r="T503" s="4"/>
    </row>
    <row r="511" spans="20:20" x14ac:dyDescent="0.25">
      <c r="T511" s="4"/>
    </row>
    <row r="518" spans="20:20" x14ac:dyDescent="0.25">
      <c r="T518" s="1"/>
    </row>
  </sheetData>
  <phoneticPr fontId="32" type="noConversion"/>
  <pageMargins left="0.7" right="0.7" top="0.75" bottom="0.75" header="0.3" footer="0.3"/>
  <pageSetup paperSize="9" orientation="portrait" r:id="rId1"/>
  <legacyDrawing r:id="rId2"/>
  <tableParts count="1">
    <tablePart r:id="rId3"/>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62257-ECE3-4352-9F04-3F57AC99AE28}">
  <sheetPr codeName="Blad23"/>
  <dimension ref="A1:W451"/>
  <sheetViews>
    <sheetView workbookViewId="0">
      <selection activeCell="B153" sqref="B153"/>
    </sheetView>
  </sheetViews>
  <sheetFormatPr defaultRowHeight="15" x14ac:dyDescent="0.25"/>
  <cols>
    <col min="1" max="1" width="43.7109375" bestFit="1" customWidth="1"/>
    <col min="2" max="2" width="21.140625" customWidth="1"/>
    <col min="3" max="3" width="19.28515625" customWidth="1"/>
    <col min="4" max="4" width="6.5703125" customWidth="1"/>
    <col min="5" max="5" width="6.140625" customWidth="1"/>
    <col min="6" max="6" width="5.28515625" customWidth="1"/>
    <col min="7" max="7" width="11.5703125" bestFit="1" customWidth="1"/>
    <col min="8" max="8" width="18.42578125" customWidth="1"/>
    <col min="9" max="9" width="32.140625" bestFit="1" customWidth="1"/>
  </cols>
  <sheetData>
    <row r="1" spans="1:23" ht="15.75" thickBot="1" x14ac:dyDescent="0.3">
      <c r="A1" s="39" t="s">
        <v>783</v>
      </c>
      <c r="B1" s="39" t="s">
        <v>544</v>
      </c>
      <c r="C1" s="39" t="s">
        <v>803</v>
      </c>
      <c r="D1" s="39" t="s">
        <v>919</v>
      </c>
      <c r="E1" s="39" t="s">
        <v>920</v>
      </c>
      <c r="F1" s="39" t="s">
        <v>921</v>
      </c>
      <c r="G1" s="39" t="s">
        <v>1013</v>
      </c>
      <c r="H1" s="39" t="s">
        <v>1029</v>
      </c>
      <c r="I1" s="39" t="s">
        <v>1056</v>
      </c>
      <c r="J1" s="39" t="s">
        <v>1170</v>
      </c>
      <c r="O1" s="39" t="s">
        <v>919</v>
      </c>
      <c r="P1" s="39" t="s">
        <v>920</v>
      </c>
    </row>
    <row r="2" spans="1:23" x14ac:dyDescent="0.25">
      <c r="A2" t="s">
        <v>956</v>
      </c>
      <c r="B2" t="s">
        <v>85</v>
      </c>
      <c r="C2">
        <v>7.2229999999999999</v>
      </c>
      <c r="D2">
        <v>0</v>
      </c>
      <c r="E2">
        <v>0</v>
      </c>
      <c r="F2">
        <v>0</v>
      </c>
      <c r="G2" s="105">
        <f>Tabell38[[#This Row],[Såld värme (GWh)]]-Tabell38[[#This Row],[Levererad värme, andra fjärrvärmeföretag, företag 1 (GWh)]]-Tabell38[[#This Row],[Levererad värme, andra fjärrvärmeföretag, företag 2 (GWh)]]-Tabell38[[#This Row],[Levererad värme, andra fjärrvärmeföretag, företag 3 (GWh)]]</f>
        <v>7.2229999999999999</v>
      </c>
      <c r="H2" s="102" t="str">
        <f>VLOOKUP(Tabell38[[#This Row],[Nät]],Tabell5[],2,FALSE)</f>
        <v>Bara</v>
      </c>
      <c r="I2" t="str">
        <f>VLOOKUP(Tabell38[[#This Row],[Nät]],'Leveranser per nät'!A:A,1,FALSE)</f>
        <v>Bara</v>
      </c>
      <c r="O2" t="s">
        <v>806</v>
      </c>
      <c r="P2" t="s">
        <v>806</v>
      </c>
      <c r="Q2" s="44" t="s">
        <v>806</v>
      </c>
      <c r="R2">
        <f>IF(O2="ET",0,O2)</f>
        <v>0</v>
      </c>
      <c r="S2">
        <f>IF(P2="ET",0,P2)</f>
        <v>0</v>
      </c>
      <c r="T2">
        <f>IF(Q2="ET",0,Q2)</f>
        <v>0</v>
      </c>
      <c r="U2">
        <f>IF(R2="-",0,R2)</f>
        <v>0</v>
      </c>
      <c r="V2">
        <f t="shared" ref="V2:W2" si="0">IF(S2="-",0,S2)</f>
        <v>0</v>
      </c>
      <c r="W2">
        <f t="shared" si="0"/>
        <v>0</v>
      </c>
    </row>
    <row r="3" spans="1:23" x14ac:dyDescent="0.25">
      <c r="A3" t="s">
        <v>956</v>
      </c>
      <c r="B3" t="s">
        <v>41</v>
      </c>
      <c r="C3">
        <v>13.282999999999999</v>
      </c>
      <c r="D3">
        <v>0</v>
      </c>
      <c r="E3">
        <v>0</v>
      </c>
      <c r="F3">
        <v>0</v>
      </c>
      <c r="G3" s="105">
        <f>Tabell38[[#This Row],[Såld värme (GWh)]]-Tabell38[[#This Row],[Levererad värme, andra fjärrvärmeföretag, företag 1 (GWh)]]-Tabell38[[#This Row],[Levererad värme, andra fjärrvärmeföretag, företag 2 (GWh)]]-Tabell38[[#This Row],[Levererad värme, andra fjärrvärmeföretag, företag 3 (GWh)]]</f>
        <v>13.282999999999999</v>
      </c>
      <c r="H3" s="102" t="str">
        <f>VLOOKUP(Tabell38[[#This Row],[Nät]],Tabell5[],2,FALSE)</f>
        <v>Boxholm</v>
      </c>
      <c r="I3" t="str">
        <f>VLOOKUP(Tabell38[[#This Row],[Nät]],'Leveranser per nät'!A:A,1,FALSE)</f>
        <v>Boxholm</v>
      </c>
      <c r="O3" t="s">
        <v>806</v>
      </c>
      <c r="P3" t="s">
        <v>806</v>
      </c>
      <c r="Q3" s="84" t="s">
        <v>806</v>
      </c>
      <c r="R3">
        <f t="shared" ref="R3:R66" si="1">IF(O3="ET",0,O3)</f>
        <v>0</v>
      </c>
      <c r="S3">
        <f t="shared" ref="S3:S66" si="2">IF(P3="ET",0,P3)</f>
        <v>0</v>
      </c>
      <c r="T3">
        <f t="shared" ref="T3:T66" si="3">IF(Q3="ET",0,Q3)</f>
        <v>0</v>
      </c>
      <c r="U3">
        <f t="shared" ref="U3:U66" si="4">IF(R3="-",0,R3)</f>
        <v>0</v>
      </c>
      <c r="V3">
        <f t="shared" ref="V3:V66" si="5">IF(S3="-",0,S3)</f>
        <v>0</v>
      </c>
      <c r="W3">
        <f t="shared" ref="W3:W66" si="6">IF(T3="-",0,T3)</f>
        <v>0</v>
      </c>
    </row>
    <row r="4" spans="1:23" x14ac:dyDescent="0.25">
      <c r="A4" t="s">
        <v>956</v>
      </c>
      <c r="B4" t="s">
        <v>52</v>
      </c>
      <c r="C4">
        <v>91.834000000000003</v>
      </c>
      <c r="D4">
        <v>0</v>
      </c>
      <c r="E4">
        <v>0</v>
      </c>
      <c r="F4">
        <v>0</v>
      </c>
      <c r="G4" s="105">
        <f>Tabell38[[#This Row],[Såld värme (GWh)]]-Tabell38[[#This Row],[Levererad värme, andra fjärrvärmeföretag, företag 1 (GWh)]]-Tabell38[[#This Row],[Levererad värme, andra fjärrvärmeföretag, företag 2 (GWh)]]-Tabell38[[#This Row],[Levererad värme, andra fjärrvärmeföretag, företag 3 (GWh)]]</f>
        <v>91.834000000000003</v>
      </c>
      <c r="H4" s="102" t="str">
        <f>VLOOKUP(Tabell38[[#This Row],[Nät]],Tabell5[],2,FALSE)</f>
        <v>Mora</v>
      </c>
      <c r="I4" t="str">
        <f>VLOOKUP(Tabell38[[#This Row],[Nät]],'Leveranser per nät'!A:A,1,FALSE)</f>
        <v>Mora</v>
      </c>
      <c r="O4" t="s">
        <v>806</v>
      </c>
      <c r="P4" t="s">
        <v>806</v>
      </c>
      <c r="Q4" s="44" t="s">
        <v>806</v>
      </c>
      <c r="R4">
        <f t="shared" si="1"/>
        <v>0</v>
      </c>
      <c r="S4">
        <f t="shared" si="2"/>
        <v>0</v>
      </c>
      <c r="T4">
        <f t="shared" si="3"/>
        <v>0</v>
      </c>
      <c r="U4">
        <f t="shared" si="4"/>
        <v>0</v>
      </c>
      <c r="V4">
        <f t="shared" si="5"/>
        <v>0</v>
      </c>
      <c r="W4">
        <f t="shared" si="6"/>
        <v>0</v>
      </c>
    </row>
    <row r="5" spans="1:23" x14ac:dyDescent="0.25">
      <c r="A5" t="s">
        <v>956</v>
      </c>
      <c r="B5" t="s">
        <v>53</v>
      </c>
      <c r="C5">
        <v>20.123999999999999</v>
      </c>
      <c r="D5">
        <v>0</v>
      </c>
      <c r="E5">
        <v>0</v>
      </c>
      <c r="F5">
        <v>0</v>
      </c>
      <c r="G5" s="105">
        <f>Tabell38[[#This Row],[Såld värme (GWh)]]-Tabell38[[#This Row],[Levererad värme, andra fjärrvärmeföretag, företag 1 (GWh)]]-Tabell38[[#This Row],[Levererad värme, andra fjärrvärmeföretag, företag 2 (GWh)]]-Tabell38[[#This Row],[Levererad värme, andra fjärrvärmeföretag, företag 3 (GWh)]]</f>
        <v>20.123999999999999</v>
      </c>
      <c r="H5" s="102" t="str">
        <f>VLOOKUP(Tabell38[[#This Row],[Nät]],Tabell5[],2,FALSE)</f>
        <v>Orsa</v>
      </c>
      <c r="I5" t="str">
        <f>VLOOKUP(Tabell38[[#This Row],[Nät]],'Leveranser per nät'!A:A,1,FALSE)</f>
        <v>Orsa</v>
      </c>
      <c r="O5" t="s">
        <v>806</v>
      </c>
      <c r="P5" t="s">
        <v>806</v>
      </c>
      <c r="Q5" s="84" t="s">
        <v>806</v>
      </c>
      <c r="R5">
        <f t="shared" si="1"/>
        <v>0</v>
      </c>
      <c r="S5">
        <f t="shared" si="2"/>
        <v>0</v>
      </c>
      <c r="T5">
        <f t="shared" si="3"/>
        <v>0</v>
      </c>
      <c r="U5">
        <f t="shared" si="4"/>
        <v>0</v>
      </c>
      <c r="V5">
        <f t="shared" si="5"/>
        <v>0</v>
      </c>
      <c r="W5">
        <f t="shared" si="6"/>
        <v>0</v>
      </c>
    </row>
    <row r="6" spans="1:23" x14ac:dyDescent="0.25">
      <c r="A6" t="s">
        <v>956</v>
      </c>
      <c r="B6" t="s">
        <v>49</v>
      </c>
      <c r="C6">
        <v>53.863999999999997</v>
      </c>
      <c r="D6">
        <v>0</v>
      </c>
      <c r="E6">
        <v>0</v>
      </c>
      <c r="F6">
        <v>0</v>
      </c>
      <c r="G6" s="105">
        <f>Tabell38[[#This Row],[Såld värme (GWh)]]-Tabell38[[#This Row],[Levererad värme, andra fjärrvärmeföretag, företag 1 (GWh)]]-Tabell38[[#This Row],[Levererad värme, andra fjärrvärmeföretag, företag 2 (GWh)]]-Tabell38[[#This Row],[Levererad värme, andra fjärrvärmeföretag, företag 3 (GWh)]]</f>
        <v>53.863999999999997</v>
      </c>
      <c r="H6" s="102" t="str">
        <f>VLOOKUP(Tabell38[[#This Row],[Nät]],Tabell5[],2,FALSE)</f>
        <v>Sollefteå</v>
      </c>
      <c r="I6" t="str">
        <f>VLOOKUP(Tabell38[[#This Row],[Nät]],'Leveranser per nät'!A:A,1,FALSE)</f>
        <v>Sollefteå</v>
      </c>
      <c r="O6" t="s">
        <v>806</v>
      </c>
      <c r="P6" t="s">
        <v>806</v>
      </c>
      <c r="Q6" s="44" t="s">
        <v>806</v>
      </c>
      <c r="R6">
        <f t="shared" si="1"/>
        <v>0</v>
      </c>
      <c r="S6">
        <f t="shared" si="2"/>
        <v>0</v>
      </c>
      <c r="T6">
        <f t="shared" si="3"/>
        <v>0</v>
      </c>
      <c r="U6">
        <f t="shared" si="4"/>
        <v>0</v>
      </c>
      <c r="V6">
        <f t="shared" si="5"/>
        <v>0</v>
      </c>
      <c r="W6">
        <f t="shared" si="6"/>
        <v>0</v>
      </c>
    </row>
    <row r="7" spans="1:23" x14ac:dyDescent="0.25">
      <c r="A7" t="s">
        <v>956</v>
      </c>
      <c r="B7" t="s">
        <v>44</v>
      </c>
      <c r="C7">
        <v>25.922999999999998</v>
      </c>
      <c r="D7">
        <v>0</v>
      </c>
      <c r="E7">
        <v>0</v>
      </c>
      <c r="F7">
        <v>0</v>
      </c>
      <c r="G7" s="105">
        <f>Tabell38[[#This Row],[Såld värme (GWh)]]-Tabell38[[#This Row],[Levererad värme, andra fjärrvärmeföretag, företag 1 (GWh)]]-Tabell38[[#This Row],[Levererad värme, andra fjärrvärmeföretag, företag 2 (GWh)]]-Tabell38[[#This Row],[Levererad värme, andra fjärrvärmeföretag, företag 3 (GWh)]]</f>
        <v>25.922999999999998</v>
      </c>
      <c r="H7" s="102" t="str">
        <f>VLOOKUP(Tabell38[[#This Row],[Nät]],Tabell5[],2,FALSE)</f>
        <v>Staffanstorp</v>
      </c>
      <c r="I7" t="str">
        <f>VLOOKUP(Tabell38[[#This Row],[Nät]],'Leveranser per nät'!A:A,1,FALSE)</f>
        <v>Staffanstorp</v>
      </c>
      <c r="O7" t="s">
        <v>806</v>
      </c>
      <c r="P7" t="s">
        <v>806</v>
      </c>
      <c r="Q7" s="84" t="s">
        <v>806</v>
      </c>
      <c r="R7">
        <f t="shared" si="1"/>
        <v>0</v>
      </c>
      <c r="S7">
        <f t="shared" si="2"/>
        <v>0</v>
      </c>
      <c r="T7">
        <f t="shared" si="3"/>
        <v>0</v>
      </c>
      <c r="U7">
        <f t="shared" si="4"/>
        <v>0</v>
      </c>
      <c r="V7">
        <f t="shared" si="5"/>
        <v>0</v>
      </c>
      <c r="W7">
        <f t="shared" si="6"/>
        <v>0</v>
      </c>
    </row>
    <row r="8" spans="1:23" x14ac:dyDescent="0.25">
      <c r="A8" t="s">
        <v>956</v>
      </c>
      <c r="B8" t="s">
        <v>54</v>
      </c>
      <c r="C8">
        <v>56.174999999999997</v>
      </c>
      <c r="D8">
        <v>0</v>
      </c>
      <c r="E8">
        <v>0</v>
      </c>
      <c r="F8">
        <v>0</v>
      </c>
      <c r="G8" s="105">
        <f>Tabell38[[#This Row],[Såld värme (GWh)]]-Tabell38[[#This Row],[Levererad värme, andra fjärrvärmeföretag, företag 1 (GWh)]]-Tabell38[[#This Row],[Levererad värme, andra fjärrvärmeföretag, företag 2 (GWh)]]-Tabell38[[#This Row],[Levererad värme, andra fjärrvärmeföretag, företag 3 (GWh)]]</f>
        <v>56.174999999999997</v>
      </c>
      <c r="H8" s="102" t="str">
        <f>VLOOKUP(Tabell38[[#This Row],[Nät]],Tabell5[],2,FALSE)</f>
        <v>Timrå</v>
      </c>
      <c r="I8" t="str">
        <f>VLOOKUP(Tabell38[[#This Row],[Nät]],'Leveranser per nät'!A:A,1,FALSE)</f>
        <v>Timrå</v>
      </c>
      <c r="O8" t="s">
        <v>806</v>
      </c>
      <c r="P8" t="s">
        <v>806</v>
      </c>
      <c r="Q8" s="44" t="s">
        <v>806</v>
      </c>
      <c r="R8">
        <f t="shared" si="1"/>
        <v>0</v>
      </c>
      <c r="S8">
        <f t="shared" si="2"/>
        <v>0</v>
      </c>
      <c r="T8">
        <f t="shared" si="3"/>
        <v>0</v>
      </c>
      <c r="U8">
        <f t="shared" si="4"/>
        <v>0</v>
      </c>
      <c r="V8">
        <f t="shared" si="5"/>
        <v>0</v>
      </c>
      <c r="W8">
        <f t="shared" si="6"/>
        <v>0</v>
      </c>
    </row>
    <row r="9" spans="1:23" x14ac:dyDescent="0.25">
      <c r="A9" t="s">
        <v>956</v>
      </c>
      <c r="B9" t="s">
        <v>58</v>
      </c>
      <c r="C9">
        <v>21.326000000000001</v>
      </c>
      <c r="D9">
        <v>0</v>
      </c>
      <c r="E9">
        <v>0</v>
      </c>
      <c r="F9">
        <v>0</v>
      </c>
      <c r="G9" s="105">
        <f>Tabell38[[#This Row],[Såld värme (GWh)]]-Tabell38[[#This Row],[Levererad värme, andra fjärrvärmeföretag, företag 1 (GWh)]]-Tabell38[[#This Row],[Levererad värme, andra fjärrvärmeföretag, företag 2 (GWh)]]-Tabell38[[#This Row],[Levererad värme, andra fjärrvärmeföretag, företag 3 (GWh)]]</f>
        <v>21.326000000000001</v>
      </c>
      <c r="H9" s="102" t="str">
        <f>VLOOKUP(Tabell38[[#This Row],[Nät]],Tabell5[],2,FALSE)</f>
        <v>Vaxholm</v>
      </c>
      <c r="I9" t="str">
        <f>VLOOKUP(Tabell38[[#This Row],[Nät]],'Leveranser per nät'!A:A,1,FALSE)</f>
        <v>Vaxholm</v>
      </c>
      <c r="O9" t="s">
        <v>806</v>
      </c>
      <c r="P9" t="s">
        <v>806</v>
      </c>
      <c r="Q9" s="84" t="s">
        <v>806</v>
      </c>
      <c r="R9">
        <f t="shared" si="1"/>
        <v>0</v>
      </c>
      <c r="S9">
        <f t="shared" si="2"/>
        <v>0</v>
      </c>
      <c r="T9">
        <f t="shared" si="3"/>
        <v>0</v>
      </c>
      <c r="U9">
        <f t="shared" si="4"/>
        <v>0</v>
      </c>
      <c r="V9">
        <f t="shared" si="5"/>
        <v>0</v>
      </c>
      <c r="W9">
        <f t="shared" si="6"/>
        <v>0</v>
      </c>
    </row>
    <row r="10" spans="1:23" x14ac:dyDescent="0.25">
      <c r="A10" t="s">
        <v>956</v>
      </c>
      <c r="B10" t="s">
        <v>79</v>
      </c>
      <c r="C10">
        <v>81.325000000000003</v>
      </c>
      <c r="D10">
        <v>0</v>
      </c>
      <c r="E10">
        <v>0</v>
      </c>
      <c r="F10">
        <v>0</v>
      </c>
      <c r="G10" s="105">
        <f>Tabell38[[#This Row],[Såld värme (GWh)]]-Tabell38[[#This Row],[Levererad värme, andra fjärrvärmeföretag, företag 1 (GWh)]]-Tabell38[[#This Row],[Levererad värme, andra fjärrvärmeföretag, företag 2 (GWh)]]-Tabell38[[#This Row],[Levererad värme, andra fjärrvärmeföretag, företag 3 (GWh)]]</f>
        <v>81.325000000000003</v>
      </c>
      <c r="H10" s="102" t="str">
        <f>VLOOKUP(Tabell38[[#This Row],[Nät]],Tabell5[],2,FALSE)</f>
        <v>Älmhult</v>
      </c>
      <c r="I10" t="str">
        <f>VLOOKUP(Tabell38[[#This Row],[Nät]],'Leveranser per nät'!A:A,1,FALSE)</f>
        <v>Älmhult</v>
      </c>
      <c r="O10" t="s">
        <v>806</v>
      </c>
      <c r="P10" t="s">
        <v>806</v>
      </c>
      <c r="Q10" s="44" t="s">
        <v>806</v>
      </c>
      <c r="R10">
        <f t="shared" si="1"/>
        <v>0</v>
      </c>
      <c r="S10">
        <f t="shared" si="2"/>
        <v>0</v>
      </c>
      <c r="T10">
        <f t="shared" si="3"/>
        <v>0</v>
      </c>
      <c r="U10">
        <f t="shared" si="4"/>
        <v>0</v>
      </c>
      <c r="V10">
        <f t="shared" si="5"/>
        <v>0</v>
      </c>
      <c r="W10">
        <f t="shared" si="6"/>
        <v>0</v>
      </c>
    </row>
    <row r="11" spans="1:23" x14ac:dyDescent="0.25">
      <c r="A11" t="s">
        <v>809</v>
      </c>
      <c r="B11" t="s">
        <v>60</v>
      </c>
      <c r="C11">
        <v>4.88</v>
      </c>
      <c r="D11">
        <v>0</v>
      </c>
      <c r="E11">
        <v>0</v>
      </c>
      <c r="F11">
        <v>0</v>
      </c>
      <c r="G11" s="105">
        <f>Tabell38[[#This Row],[Såld värme (GWh)]]-Tabell38[[#This Row],[Levererad värme, andra fjärrvärmeföretag, företag 1 (GWh)]]-Tabell38[[#This Row],[Levererad värme, andra fjärrvärmeföretag, företag 2 (GWh)]]-Tabell38[[#This Row],[Levererad värme, andra fjärrvärmeföretag, företag 3 (GWh)]]</f>
        <v>4.88</v>
      </c>
      <c r="H11" s="102" t="str">
        <f>VLOOKUP(Tabell38[[#This Row],[Nät]],Tabell5[],2,FALSE)</f>
        <v>Bollstabruk</v>
      </c>
      <c r="I11" t="str">
        <f>VLOOKUP(Tabell38[[#This Row],[Nät]],'Leveranser per nät'!A:A,1,FALSE)</f>
        <v>Bollstabruk</v>
      </c>
      <c r="O11" t="s">
        <v>806</v>
      </c>
      <c r="P11" t="s">
        <v>806</v>
      </c>
      <c r="Q11" s="84" t="s">
        <v>806</v>
      </c>
      <c r="R11">
        <f t="shared" si="1"/>
        <v>0</v>
      </c>
      <c r="S11">
        <f t="shared" si="2"/>
        <v>0</v>
      </c>
      <c r="T11">
        <f t="shared" si="3"/>
        <v>0</v>
      </c>
      <c r="U11">
        <f t="shared" si="4"/>
        <v>0</v>
      </c>
      <c r="V11">
        <f t="shared" si="5"/>
        <v>0</v>
      </c>
      <c r="W11">
        <f t="shared" si="6"/>
        <v>0</v>
      </c>
    </row>
    <row r="12" spans="1:23" x14ac:dyDescent="0.25">
      <c r="A12" t="s">
        <v>809</v>
      </c>
      <c r="B12" t="s">
        <v>925</v>
      </c>
      <c r="C12">
        <v>16.600000000000001</v>
      </c>
      <c r="D12">
        <v>0</v>
      </c>
      <c r="E12">
        <v>0</v>
      </c>
      <c r="F12">
        <v>0</v>
      </c>
      <c r="G12" s="105">
        <f>Tabell38[[#This Row],[Såld värme (GWh)]]-Tabell38[[#This Row],[Levererad värme, andra fjärrvärmeföretag, företag 1 (GWh)]]-Tabell38[[#This Row],[Levererad värme, andra fjärrvärmeföretag, företag 2 (GWh)]]-Tabell38[[#This Row],[Levererad värme, andra fjärrvärmeföretag, företag 3 (GWh)]]</f>
        <v>16.600000000000001</v>
      </c>
      <c r="H12" s="102" t="str">
        <f>VLOOKUP(Tabell38[[#This Row],[Nät]],Tabell5[],2,FALSE)</f>
        <v>Bräcke</v>
      </c>
      <c r="I12" t="e">
        <f>VLOOKUP(Tabell38[[#This Row],[Nät]],'Leveranser per nät'!A:A,1,FALSE)</f>
        <v>#N/A</v>
      </c>
      <c r="O12" t="s">
        <v>806</v>
      </c>
      <c r="P12" t="s">
        <v>806</v>
      </c>
      <c r="Q12" s="44" t="s">
        <v>806</v>
      </c>
      <c r="R12">
        <f t="shared" si="1"/>
        <v>0</v>
      </c>
      <c r="S12">
        <f t="shared" si="2"/>
        <v>0</v>
      </c>
      <c r="T12">
        <f t="shared" si="3"/>
        <v>0</v>
      </c>
      <c r="U12">
        <f t="shared" si="4"/>
        <v>0</v>
      </c>
      <c r="V12">
        <f t="shared" si="5"/>
        <v>0</v>
      </c>
      <c r="W12">
        <f t="shared" si="6"/>
        <v>0</v>
      </c>
    </row>
    <row r="13" spans="1:23" x14ac:dyDescent="0.25">
      <c r="A13" t="s">
        <v>809</v>
      </c>
      <c r="B13" t="s">
        <v>603</v>
      </c>
      <c r="C13">
        <v>4.0659999999999998</v>
      </c>
      <c r="D13">
        <v>0</v>
      </c>
      <c r="E13">
        <v>0</v>
      </c>
      <c r="F13">
        <v>0</v>
      </c>
      <c r="G13" s="105">
        <f>Tabell38[[#This Row],[Såld värme (GWh)]]-Tabell38[[#This Row],[Levererad värme, andra fjärrvärmeföretag, företag 1 (GWh)]]-Tabell38[[#This Row],[Levererad värme, andra fjärrvärmeföretag, företag 2 (GWh)]]-Tabell38[[#This Row],[Levererad värme, andra fjärrvärmeföretag, företag 3 (GWh)]]</f>
        <v>4.0659999999999998</v>
      </c>
      <c r="H13" s="102" t="str">
        <f>VLOOKUP(Tabell38[[#This Row],[Nät]],Tabell5[],2,FALSE)</f>
        <v>Friggesund</v>
      </c>
      <c r="I13" t="str">
        <f>VLOOKUP(Tabell38[[#This Row],[Nät]],'Leveranser per nät'!A:A,1,FALSE)</f>
        <v>Friggesund</v>
      </c>
      <c r="O13" t="s">
        <v>806</v>
      </c>
      <c r="P13" t="s">
        <v>806</v>
      </c>
      <c r="Q13" s="84" t="s">
        <v>806</v>
      </c>
      <c r="R13">
        <f t="shared" si="1"/>
        <v>0</v>
      </c>
      <c r="S13">
        <f t="shared" si="2"/>
        <v>0</v>
      </c>
      <c r="T13">
        <f t="shared" si="3"/>
        <v>0</v>
      </c>
      <c r="U13">
        <f t="shared" si="4"/>
        <v>0</v>
      </c>
      <c r="V13">
        <f t="shared" si="5"/>
        <v>0</v>
      </c>
      <c r="W13">
        <f t="shared" si="6"/>
        <v>0</v>
      </c>
    </row>
    <row r="14" spans="1:23" x14ac:dyDescent="0.25">
      <c r="A14" t="s">
        <v>809</v>
      </c>
      <c r="B14" t="s">
        <v>607</v>
      </c>
      <c r="C14">
        <v>5.2</v>
      </c>
      <c r="D14">
        <v>0</v>
      </c>
      <c r="E14">
        <v>0</v>
      </c>
      <c r="F14">
        <v>0</v>
      </c>
      <c r="G14" s="105">
        <f>Tabell38[[#This Row],[Såld värme (GWh)]]-Tabell38[[#This Row],[Levererad värme, andra fjärrvärmeföretag, företag 1 (GWh)]]-Tabell38[[#This Row],[Levererad värme, andra fjärrvärmeföretag, företag 2 (GWh)]]-Tabell38[[#This Row],[Levererad värme, andra fjärrvärmeföretag, företag 3 (GWh)]]</f>
        <v>5.2</v>
      </c>
      <c r="H14" s="102" t="str">
        <f>VLOOKUP(Tabell38[[#This Row],[Nät]],Tabell5[],2,FALSE)</f>
        <v>Funäsdalen</v>
      </c>
      <c r="I14" t="str">
        <f>VLOOKUP(Tabell38[[#This Row],[Nät]],'Leveranser per nät'!A:A,1,FALSE)</f>
        <v>Funäsdalen</v>
      </c>
      <c r="O14" t="s">
        <v>806</v>
      </c>
      <c r="P14" t="s">
        <v>806</v>
      </c>
      <c r="Q14" s="44" t="s">
        <v>806</v>
      </c>
      <c r="R14">
        <f t="shared" si="1"/>
        <v>0</v>
      </c>
      <c r="S14">
        <f t="shared" si="2"/>
        <v>0</v>
      </c>
      <c r="T14">
        <f t="shared" si="3"/>
        <v>0</v>
      </c>
      <c r="U14">
        <f t="shared" si="4"/>
        <v>0</v>
      </c>
      <c r="V14">
        <f t="shared" si="5"/>
        <v>0</v>
      </c>
      <c r="W14">
        <f t="shared" si="6"/>
        <v>0</v>
      </c>
    </row>
    <row r="15" spans="1:23" x14ac:dyDescent="0.25">
      <c r="A15" t="s">
        <v>809</v>
      </c>
      <c r="B15" t="s">
        <v>64</v>
      </c>
      <c r="C15">
        <v>6.7</v>
      </c>
      <c r="D15">
        <v>0</v>
      </c>
      <c r="E15">
        <v>0</v>
      </c>
      <c r="F15">
        <v>0</v>
      </c>
      <c r="G15" s="105">
        <f>Tabell38[[#This Row],[Såld värme (GWh)]]-Tabell38[[#This Row],[Levererad värme, andra fjärrvärmeföretag, företag 1 (GWh)]]-Tabell38[[#This Row],[Levererad värme, andra fjärrvärmeföretag, företag 2 (GWh)]]-Tabell38[[#This Row],[Levererad värme, andra fjärrvärmeföretag, företag 3 (GWh)]]</f>
        <v>6.7</v>
      </c>
      <c r="H15" s="102" t="str">
        <f>VLOOKUP(Tabell38[[#This Row],[Nät]],Tabell5[],2,FALSE)</f>
        <v>Hede</v>
      </c>
      <c r="I15" t="str">
        <f>VLOOKUP(Tabell38[[#This Row],[Nät]],'Leveranser per nät'!A:A,1,FALSE)</f>
        <v>Hede</v>
      </c>
      <c r="O15" t="s">
        <v>806</v>
      </c>
      <c r="P15" t="s">
        <v>806</v>
      </c>
      <c r="Q15" s="84" t="s">
        <v>806</v>
      </c>
      <c r="R15">
        <f t="shared" si="1"/>
        <v>0</v>
      </c>
      <c r="S15">
        <f t="shared" si="2"/>
        <v>0</v>
      </c>
      <c r="T15">
        <f t="shared" si="3"/>
        <v>0</v>
      </c>
      <c r="U15">
        <f t="shared" si="4"/>
        <v>0</v>
      </c>
      <c r="V15">
        <f t="shared" si="5"/>
        <v>0</v>
      </c>
      <c r="W15">
        <f t="shared" si="6"/>
        <v>0</v>
      </c>
    </row>
    <row r="16" spans="1:23" x14ac:dyDescent="0.25">
      <c r="A16" t="s">
        <v>809</v>
      </c>
      <c r="B16" t="s">
        <v>957</v>
      </c>
      <c r="C16">
        <v>14.6</v>
      </c>
      <c r="D16">
        <v>0</v>
      </c>
      <c r="E16">
        <v>0</v>
      </c>
      <c r="F16">
        <v>0</v>
      </c>
      <c r="G16" s="105">
        <f>Tabell38[[#This Row],[Såld värme (GWh)]]-Tabell38[[#This Row],[Levererad värme, andra fjärrvärmeföretag, företag 1 (GWh)]]-Tabell38[[#This Row],[Levererad värme, andra fjärrvärmeföretag, företag 2 (GWh)]]-Tabell38[[#This Row],[Levererad värme, andra fjärrvärmeföretag, företag 3 (GWh)]]</f>
        <v>14.6</v>
      </c>
      <c r="H16" s="102" t="str">
        <f>VLOOKUP(Tabell38[[#This Row],[Nät]],Tabell5[],2,FALSE)</f>
        <v>Lenhovda</v>
      </c>
      <c r="I16" t="str">
        <f>VLOOKUP(Tabell38[[#This Row],[Nät]],'Leveranser per nät'!A:A,1,FALSE)</f>
        <v>Lenhovda</v>
      </c>
      <c r="O16" t="s">
        <v>806</v>
      </c>
      <c r="P16" t="s">
        <v>806</v>
      </c>
      <c r="Q16" s="44" t="s">
        <v>806</v>
      </c>
      <c r="R16">
        <f t="shared" si="1"/>
        <v>0</v>
      </c>
      <c r="S16">
        <f t="shared" si="2"/>
        <v>0</v>
      </c>
      <c r="T16">
        <f t="shared" si="3"/>
        <v>0</v>
      </c>
      <c r="U16">
        <f t="shared" si="4"/>
        <v>0</v>
      </c>
      <c r="V16">
        <f t="shared" si="5"/>
        <v>0</v>
      </c>
      <c r="W16">
        <f t="shared" si="6"/>
        <v>0</v>
      </c>
    </row>
    <row r="17" spans="1:23" x14ac:dyDescent="0.25">
      <c r="A17" t="s">
        <v>809</v>
      </c>
      <c r="B17" t="s">
        <v>69</v>
      </c>
      <c r="C17">
        <v>3.5</v>
      </c>
      <c r="D17">
        <v>0</v>
      </c>
      <c r="E17">
        <v>0</v>
      </c>
      <c r="F17">
        <v>0</v>
      </c>
      <c r="G17" s="105">
        <f>Tabell38[[#This Row],[Såld värme (GWh)]]-Tabell38[[#This Row],[Levererad värme, andra fjärrvärmeföretag, företag 1 (GWh)]]-Tabell38[[#This Row],[Levererad värme, andra fjärrvärmeföretag, företag 2 (GWh)]]-Tabell38[[#This Row],[Levererad värme, andra fjärrvärmeföretag, företag 3 (GWh)]]</f>
        <v>3.5</v>
      </c>
      <c r="H17" s="102" t="str">
        <f>VLOOKUP(Tabell38[[#This Row],[Nät]],Tabell5[],2,FALSE)</f>
        <v>Långsele</v>
      </c>
      <c r="I17" t="str">
        <f>VLOOKUP(Tabell38[[#This Row],[Nät]],'Leveranser per nät'!A:A,1,FALSE)</f>
        <v>Långsele</v>
      </c>
      <c r="O17" t="s">
        <v>806</v>
      </c>
      <c r="P17" t="s">
        <v>806</v>
      </c>
      <c r="Q17" s="84" t="s">
        <v>806</v>
      </c>
      <c r="R17">
        <f t="shared" si="1"/>
        <v>0</v>
      </c>
      <c r="S17">
        <f t="shared" si="2"/>
        <v>0</v>
      </c>
      <c r="T17">
        <f t="shared" si="3"/>
        <v>0</v>
      </c>
      <c r="U17">
        <f t="shared" si="4"/>
        <v>0</v>
      </c>
      <c r="V17">
        <f t="shared" si="5"/>
        <v>0</v>
      </c>
      <c r="W17">
        <f t="shared" si="6"/>
        <v>0</v>
      </c>
    </row>
    <row r="18" spans="1:23" x14ac:dyDescent="0.25">
      <c r="A18" t="s">
        <v>809</v>
      </c>
      <c r="B18" t="s">
        <v>71</v>
      </c>
      <c r="C18">
        <v>1.764</v>
      </c>
      <c r="D18">
        <v>0</v>
      </c>
      <c r="E18">
        <v>0</v>
      </c>
      <c r="F18">
        <v>0</v>
      </c>
      <c r="G18" s="105">
        <f>Tabell38[[#This Row],[Såld värme (GWh)]]-Tabell38[[#This Row],[Levererad värme, andra fjärrvärmeföretag, företag 1 (GWh)]]-Tabell38[[#This Row],[Levererad värme, andra fjärrvärmeföretag, företag 2 (GWh)]]-Tabell38[[#This Row],[Levererad värme, andra fjärrvärmeföretag, företag 3 (GWh)]]</f>
        <v>1.764</v>
      </c>
      <c r="H18" s="102" t="str">
        <f>VLOOKUP(Tabell38[[#This Row],[Nät]],Tabell5[],2,FALSE)</f>
        <v>Näsåker</v>
      </c>
      <c r="I18" t="str">
        <f>VLOOKUP(Tabell38[[#This Row],[Nät]],'Leveranser per nät'!A:A,1,FALSE)</f>
        <v>Näsåker</v>
      </c>
      <c r="O18" t="s">
        <v>806</v>
      </c>
      <c r="P18" t="s">
        <v>806</v>
      </c>
      <c r="Q18" s="44" t="s">
        <v>806</v>
      </c>
      <c r="R18">
        <f t="shared" si="1"/>
        <v>0</v>
      </c>
      <c r="S18">
        <f t="shared" si="2"/>
        <v>0</v>
      </c>
      <c r="T18">
        <f t="shared" si="3"/>
        <v>0</v>
      </c>
      <c r="U18">
        <f t="shared" si="4"/>
        <v>0</v>
      </c>
      <c r="V18">
        <f t="shared" si="5"/>
        <v>0</v>
      </c>
      <c r="W18">
        <f t="shared" si="6"/>
        <v>0</v>
      </c>
    </row>
    <row r="19" spans="1:23" x14ac:dyDescent="0.25">
      <c r="A19" t="s">
        <v>809</v>
      </c>
      <c r="B19" t="s">
        <v>72</v>
      </c>
      <c r="C19">
        <v>4.5970000000000004</v>
      </c>
      <c r="D19">
        <v>0</v>
      </c>
      <c r="E19">
        <v>0</v>
      </c>
      <c r="F19">
        <v>0</v>
      </c>
      <c r="G19" s="105">
        <f>Tabell38[[#This Row],[Såld värme (GWh)]]-Tabell38[[#This Row],[Levererad värme, andra fjärrvärmeföretag, företag 1 (GWh)]]-Tabell38[[#This Row],[Levererad värme, andra fjärrvärmeföretag, företag 2 (GWh)]]-Tabell38[[#This Row],[Levererad värme, andra fjärrvärmeföretag, företag 3 (GWh)]]</f>
        <v>4.5970000000000004</v>
      </c>
      <c r="H19" s="102" t="str">
        <f>VLOOKUP(Tabell38[[#This Row],[Nät]],Tabell5[],2,FALSE)</f>
        <v>Ramsele</v>
      </c>
      <c r="I19" t="str">
        <f>VLOOKUP(Tabell38[[#This Row],[Nät]],'Leveranser per nät'!A:A,1,FALSE)</f>
        <v>Ramsele</v>
      </c>
      <c r="O19" t="s">
        <v>806</v>
      </c>
      <c r="P19" t="s">
        <v>806</v>
      </c>
      <c r="Q19" s="84" t="s">
        <v>806</v>
      </c>
      <c r="R19">
        <f t="shared" si="1"/>
        <v>0</v>
      </c>
      <c r="S19">
        <f t="shared" si="2"/>
        <v>0</v>
      </c>
      <c r="T19">
        <f t="shared" si="3"/>
        <v>0</v>
      </c>
      <c r="U19">
        <f t="shared" si="4"/>
        <v>0</v>
      </c>
      <c r="V19">
        <f t="shared" si="5"/>
        <v>0</v>
      </c>
      <c r="W19">
        <f t="shared" si="6"/>
        <v>0</v>
      </c>
    </row>
    <row r="20" spans="1:23" x14ac:dyDescent="0.25">
      <c r="A20" t="s">
        <v>809</v>
      </c>
      <c r="B20" t="s">
        <v>958</v>
      </c>
      <c r="C20">
        <v>3.6</v>
      </c>
      <c r="D20">
        <v>0</v>
      </c>
      <c r="E20">
        <v>0</v>
      </c>
      <c r="F20">
        <v>0</v>
      </c>
      <c r="G20" s="105">
        <f>Tabell38[[#This Row],[Såld värme (GWh)]]-Tabell38[[#This Row],[Levererad värme, andra fjärrvärmeföretag, företag 1 (GWh)]]-Tabell38[[#This Row],[Levererad värme, andra fjärrvärmeföretag, företag 2 (GWh)]]-Tabell38[[#This Row],[Levererad värme, andra fjärrvärmeföretag, företag 3 (GWh)]]</f>
        <v>3.6</v>
      </c>
      <c r="H20" s="102" t="str">
        <f>VLOOKUP(Tabell38[[#This Row],[Nät]],Tabell5[],2,FALSE)</f>
        <v>Sösdala</v>
      </c>
      <c r="I20" t="str">
        <f>VLOOKUP(Tabell38[[#This Row],[Nät]],'Leveranser per nät'!A:A,1,FALSE)</f>
        <v>Sösdala</v>
      </c>
      <c r="O20" t="s">
        <v>806</v>
      </c>
      <c r="P20" t="s">
        <v>806</v>
      </c>
      <c r="Q20" s="44" t="s">
        <v>806</v>
      </c>
      <c r="R20">
        <f t="shared" si="1"/>
        <v>0</v>
      </c>
      <c r="S20">
        <f t="shared" si="2"/>
        <v>0</v>
      </c>
      <c r="T20">
        <f t="shared" si="3"/>
        <v>0</v>
      </c>
      <c r="U20">
        <f t="shared" si="4"/>
        <v>0</v>
      </c>
      <c r="V20">
        <f t="shared" si="5"/>
        <v>0</v>
      </c>
      <c r="W20">
        <f t="shared" si="6"/>
        <v>0</v>
      </c>
    </row>
    <row r="21" spans="1:23" x14ac:dyDescent="0.25">
      <c r="A21" t="s">
        <v>639</v>
      </c>
      <c r="B21" t="s">
        <v>838</v>
      </c>
      <c r="C21">
        <v>0.38700000000000001</v>
      </c>
      <c r="D21">
        <v>0</v>
      </c>
      <c r="E21">
        <v>0</v>
      </c>
      <c r="F21">
        <v>0</v>
      </c>
      <c r="G21" s="105">
        <f>Tabell38[[#This Row],[Såld värme (GWh)]]-Tabell38[[#This Row],[Levererad värme, andra fjärrvärmeföretag, företag 1 (GWh)]]-Tabell38[[#This Row],[Levererad värme, andra fjärrvärmeföretag, företag 2 (GWh)]]-Tabell38[[#This Row],[Levererad värme, andra fjärrvärmeföretag, företag 3 (GWh)]]</f>
        <v>0.38700000000000001</v>
      </c>
      <c r="H21" s="102" t="str">
        <f>VLOOKUP(Tabell38[[#This Row],[Nät]],Tabell5[],2,FALSE)</f>
        <v>Fridlevstad</v>
      </c>
      <c r="I21" t="str">
        <f>VLOOKUP(Tabell38[[#This Row],[Nät]],'Leveranser per nät'!A:A,1,FALSE)</f>
        <v>Fridlevstad</v>
      </c>
      <c r="O21" t="s">
        <v>806</v>
      </c>
      <c r="P21" t="s">
        <v>806</v>
      </c>
      <c r="Q21" s="84" t="s">
        <v>806</v>
      </c>
      <c r="R21">
        <f t="shared" si="1"/>
        <v>0</v>
      </c>
      <c r="S21">
        <f t="shared" si="2"/>
        <v>0</v>
      </c>
      <c r="T21">
        <f t="shared" si="3"/>
        <v>0</v>
      </c>
      <c r="U21">
        <f t="shared" si="4"/>
        <v>0</v>
      </c>
      <c r="V21">
        <f t="shared" si="5"/>
        <v>0</v>
      </c>
      <c r="W21">
        <f t="shared" si="6"/>
        <v>0</v>
      </c>
    </row>
    <row r="22" spans="1:23" x14ac:dyDescent="0.25">
      <c r="A22" t="s">
        <v>639</v>
      </c>
      <c r="B22" t="s">
        <v>640</v>
      </c>
      <c r="C22">
        <v>4.7919999999999998</v>
      </c>
      <c r="D22">
        <v>0</v>
      </c>
      <c r="E22">
        <v>0</v>
      </c>
      <c r="F22">
        <v>0</v>
      </c>
      <c r="G22" s="105">
        <f>Tabell38[[#This Row],[Såld värme (GWh)]]-Tabell38[[#This Row],[Levererad värme, andra fjärrvärmeföretag, företag 1 (GWh)]]-Tabell38[[#This Row],[Levererad värme, andra fjärrvärmeföretag, företag 2 (GWh)]]-Tabell38[[#This Row],[Levererad värme, andra fjärrvärmeföretag, företag 3 (GWh)]]</f>
        <v>4.7919999999999998</v>
      </c>
      <c r="H22" s="102" t="str">
        <f>VLOOKUP(Tabell38[[#This Row],[Nät]],Tabell5[],2,FALSE)</f>
        <v>Jämjö</v>
      </c>
      <c r="I22" t="str">
        <f>VLOOKUP(Tabell38[[#This Row],[Nät]],'Leveranser per nät'!A:A,1,FALSE)</f>
        <v>Jämjö</v>
      </c>
      <c r="O22" t="s">
        <v>806</v>
      </c>
      <c r="P22" t="s">
        <v>806</v>
      </c>
      <c r="Q22" s="44" t="s">
        <v>806</v>
      </c>
      <c r="R22">
        <f t="shared" si="1"/>
        <v>0</v>
      </c>
      <c r="S22">
        <f t="shared" si="2"/>
        <v>0</v>
      </c>
      <c r="T22">
        <f t="shared" si="3"/>
        <v>0</v>
      </c>
      <c r="U22">
        <f t="shared" si="4"/>
        <v>0</v>
      </c>
      <c r="V22">
        <f t="shared" si="5"/>
        <v>0</v>
      </c>
      <c r="W22">
        <f t="shared" si="6"/>
        <v>0</v>
      </c>
    </row>
    <row r="23" spans="1:23" x14ac:dyDescent="0.25">
      <c r="A23" t="s">
        <v>639</v>
      </c>
      <c r="B23" t="s">
        <v>0</v>
      </c>
      <c r="C23">
        <v>219.435</v>
      </c>
      <c r="D23">
        <v>0</v>
      </c>
      <c r="E23">
        <v>0</v>
      </c>
      <c r="F23">
        <v>0</v>
      </c>
      <c r="G23" s="105">
        <f>Tabell38[[#This Row],[Såld värme (GWh)]]-Tabell38[[#This Row],[Levererad värme, andra fjärrvärmeföretag, företag 1 (GWh)]]-Tabell38[[#This Row],[Levererad värme, andra fjärrvärmeföretag, företag 2 (GWh)]]-Tabell38[[#This Row],[Levererad värme, andra fjärrvärmeföretag, företag 3 (GWh)]]</f>
        <v>219.435</v>
      </c>
      <c r="H23" s="102" t="str">
        <f>VLOOKUP(Tabell38[[#This Row],[Nät]],Tabell5[],2,FALSE)</f>
        <v>Karlskrona</v>
      </c>
      <c r="I23" t="str">
        <f>VLOOKUP(Tabell38[[#This Row],[Nät]],'Leveranser per nät'!A:A,1,FALSE)</f>
        <v>Karlskrona</v>
      </c>
      <c r="O23" t="s">
        <v>806</v>
      </c>
      <c r="P23" t="s">
        <v>806</v>
      </c>
      <c r="Q23" s="84" t="s">
        <v>806</v>
      </c>
      <c r="R23">
        <f t="shared" si="1"/>
        <v>0</v>
      </c>
      <c r="S23">
        <f t="shared" si="2"/>
        <v>0</v>
      </c>
      <c r="T23">
        <f t="shared" si="3"/>
        <v>0</v>
      </c>
      <c r="U23">
        <f t="shared" si="4"/>
        <v>0</v>
      </c>
      <c r="V23">
        <f t="shared" si="5"/>
        <v>0</v>
      </c>
      <c r="W23">
        <f t="shared" si="6"/>
        <v>0</v>
      </c>
    </row>
    <row r="24" spans="1:23" x14ac:dyDescent="0.25">
      <c r="A24" t="s">
        <v>639</v>
      </c>
      <c r="B24" t="s">
        <v>682</v>
      </c>
      <c r="C24">
        <v>3.3490000000000002</v>
      </c>
      <c r="D24">
        <v>0</v>
      </c>
      <c r="E24">
        <v>0</v>
      </c>
      <c r="F24">
        <v>0</v>
      </c>
      <c r="G24" s="105">
        <f>Tabell38[[#This Row],[Såld värme (GWh)]]-Tabell38[[#This Row],[Levererad värme, andra fjärrvärmeföretag, företag 1 (GWh)]]-Tabell38[[#This Row],[Levererad värme, andra fjärrvärmeföretag, företag 2 (GWh)]]-Tabell38[[#This Row],[Levererad värme, andra fjärrvärmeföretag, företag 3 (GWh)]]</f>
        <v>3.3490000000000002</v>
      </c>
      <c r="H24" s="102" t="str">
        <f>VLOOKUP(Tabell38[[#This Row],[Nät]],Tabell5[],2,FALSE)</f>
        <v>Nättraby</v>
      </c>
      <c r="I24" t="str">
        <f>VLOOKUP(Tabell38[[#This Row],[Nät]],'Leveranser per nät'!A:A,1,FALSE)</f>
        <v>Nättraby</v>
      </c>
      <c r="O24" t="s">
        <v>806</v>
      </c>
      <c r="P24" t="s">
        <v>806</v>
      </c>
      <c r="Q24" s="44" t="s">
        <v>806</v>
      </c>
      <c r="R24">
        <f t="shared" si="1"/>
        <v>0</v>
      </c>
      <c r="S24">
        <f t="shared" si="2"/>
        <v>0</v>
      </c>
      <c r="T24">
        <f t="shared" si="3"/>
        <v>0</v>
      </c>
      <c r="U24">
        <f t="shared" si="4"/>
        <v>0</v>
      </c>
      <c r="V24">
        <f t="shared" si="5"/>
        <v>0</v>
      </c>
      <c r="W24">
        <f t="shared" si="6"/>
        <v>0</v>
      </c>
    </row>
    <row r="25" spans="1:23" x14ac:dyDescent="0.25">
      <c r="A25" t="s">
        <v>639</v>
      </c>
      <c r="B25" t="s">
        <v>710</v>
      </c>
      <c r="C25">
        <v>0.57899999999999996</v>
      </c>
      <c r="D25">
        <v>0</v>
      </c>
      <c r="E25">
        <v>0</v>
      </c>
      <c r="F25">
        <v>0</v>
      </c>
      <c r="G25" s="105">
        <f>Tabell38[[#This Row],[Såld värme (GWh)]]-Tabell38[[#This Row],[Levererad värme, andra fjärrvärmeföretag, företag 1 (GWh)]]-Tabell38[[#This Row],[Levererad värme, andra fjärrvärmeföretag, företag 2 (GWh)]]-Tabell38[[#This Row],[Levererad värme, andra fjärrvärmeföretag, företag 3 (GWh)]]</f>
        <v>0.57899999999999996</v>
      </c>
      <c r="H25" s="102" t="str">
        <f>VLOOKUP(Tabell38[[#This Row],[Nät]],Tabell5[],2,FALSE)</f>
        <v>Sturkö</v>
      </c>
      <c r="I25" t="str">
        <f>VLOOKUP(Tabell38[[#This Row],[Nät]],'Leveranser per nät'!A:A,1,FALSE)</f>
        <v>Sturkö</v>
      </c>
      <c r="O25" t="s">
        <v>806</v>
      </c>
      <c r="P25" t="s">
        <v>806</v>
      </c>
      <c r="Q25" s="84" t="s">
        <v>806</v>
      </c>
      <c r="R25">
        <f t="shared" si="1"/>
        <v>0</v>
      </c>
      <c r="S25">
        <f t="shared" si="2"/>
        <v>0</v>
      </c>
      <c r="T25">
        <f t="shared" si="3"/>
        <v>0</v>
      </c>
      <c r="U25">
        <f t="shared" si="4"/>
        <v>0</v>
      </c>
      <c r="V25">
        <f t="shared" si="5"/>
        <v>0</v>
      </c>
      <c r="W25">
        <f t="shared" si="6"/>
        <v>0</v>
      </c>
    </row>
    <row r="26" spans="1:23" x14ac:dyDescent="0.25">
      <c r="A26" t="s">
        <v>548</v>
      </c>
      <c r="B26" t="s">
        <v>1</v>
      </c>
      <c r="C26">
        <v>110.9</v>
      </c>
      <c r="D26">
        <v>0</v>
      </c>
      <c r="E26">
        <v>0</v>
      </c>
      <c r="F26">
        <v>0</v>
      </c>
      <c r="G26" s="105">
        <f>Tabell38[[#This Row],[Såld värme (GWh)]]-Tabell38[[#This Row],[Levererad värme, andra fjärrvärmeföretag, företag 1 (GWh)]]-Tabell38[[#This Row],[Levererad värme, andra fjärrvärmeföretag, företag 2 (GWh)]]-Tabell38[[#This Row],[Levererad värme, andra fjärrvärmeföretag, företag 3 (GWh)]]</f>
        <v>110.9</v>
      </c>
      <c r="H26" s="102" t="str">
        <f>VLOOKUP(Tabell38[[#This Row],[Nät]],Tabell5[],2,FALSE)</f>
        <v>Alingsås</v>
      </c>
      <c r="I26" t="str">
        <f>VLOOKUP(Tabell38[[#This Row],[Nät]],'Leveranser per nät'!A:A,1,FALSE)</f>
        <v>Alingsås</v>
      </c>
      <c r="O26" t="s">
        <v>806</v>
      </c>
      <c r="P26" t="s">
        <v>806</v>
      </c>
      <c r="Q26" s="44" t="s">
        <v>806</v>
      </c>
      <c r="R26">
        <f t="shared" si="1"/>
        <v>0</v>
      </c>
      <c r="S26">
        <f t="shared" si="2"/>
        <v>0</v>
      </c>
      <c r="T26">
        <f t="shared" si="3"/>
        <v>0</v>
      </c>
      <c r="U26">
        <f t="shared" si="4"/>
        <v>0</v>
      </c>
      <c r="V26">
        <f t="shared" si="5"/>
        <v>0</v>
      </c>
      <c r="W26">
        <f t="shared" si="6"/>
        <v>0</v>
      </c>
    </row>
    <row r="27" spans="1:23" x14ac:dyDescent="0.25">
      <c r="A27" t="s">
        <v>549</v>
      </c>
      <c r="B27" t="s">
        <v>2</v>
      </c>
      <c r="C27">
        <v>50.5</v>
      </c>
      <c r="D27">
        <v>0</v>
      </c>
      <c r="E27">
        <v>0</v>
      </c>
      <c r="F27">
        <v>0</v>
      </c>
      <c r="G27" s="105">
        <f>Tabell38[[#This Row],[Såld värme (GWh)]]-Tabell38[[#This Row],[Levererad värme, andra fjärrvärmeföretag, företag 1 (GWh)]]-Tabell38[[#This Row],[Levererad värme, andra fjärrvärmeföretag, företag 2 (GWh)]]-Tabell38[[#This Row],[Levererad värme, andra fjärrvärmeföretag, företag 3 (GWh)]]</f>
        <v>50.5</v>
      </c>
      <c r="H27" s="102" t="str">
        <f>VLOOKUP(Tabell38[[#This Row],[Nät]],Tabell5[],2,FALSE)</f>
        <v>Alvesta</v>
      </c>
      <c r="I27" t="str">
        <f>VLOOKUP(Tabell38[[#This Row],[Nät]],'Leveranser per nät'!A:A,1,FALSE)</f>
        <v>Alvesta</v>
      </c>
      <c r="O27" t="s">
        <v>806</v>
      </c>
      <c r="P27" t="s">
        <v>806</v>
      </c>
      <c r="Q27" s="84" t="s">
        <v>806</v>
      </c>
      <c r="R27">
        <f t="shared" si="1"/>
        <v>0</v>
      </c>
      <c r="S27">
        <f t="shared" si="2"/>
        <v>0</v>
      </c>
      <c r="T27">
        <f t="shared" si="3"/>
        <v>0</v>
      </c>
      <c r="U27">
        <f t="shared" si="4"/>
        <v>0</v>
      </c>
      <c r="V27">
        <f t="shared" si="5"/>
        <v>0</v>
      </c>
      <c r="W27">
        <f t="shared" si="6"/>
        <v>0</v>
      </c>
    </row>
    <row r="28" spans="1:23" x14ac:dyDescent="0.25">
      <c r="A28" t="s">
        <v>549</v>
      </c>
      <c r="B28" t="s">
        <v>3</v>
      </c>
      <c r="C28">
        <v>10.130000000000001</v>
      </c>
      <c r="D28">
        <v>0</v>
      </c>
      <c r="E28">
        <v>0</v>
      </c>
      <c r="F28">
        <v>0</v>
      </c>
      <c r="G28" s="105">
        <f>Tabell38[[#This Row],[Såld värme (GWh)]]-Tabell38[[#This Row],[Levererad värme, andra fjärrvärmeföretag, företag 1 (GWh)]]-Tabell38[[#This Row],[Levererad värme, andra fjärrvärmeföretag, företag 2 (GWh)]]-Tabell38[[#This Row],[Levererad värme, andra fjärrvärmeföretag, företag 3 (GWh)]]</f>
        <v>10.130000000000001</v>
      </c>
      <c r="H28" s="102" t="str">
        <f>VLOOKUP(Tabell38[[#This Row],[Nät]],Tabell5[],2,FALSE)</f>
        <v>Moheda</v>
      </c>
      <c r="I28" t="str">
        <f>VLOOKUP(Tabell38[[#This Row],[Nät]],'Leveranser per nät'!A:A,1,FALSE)</f>
        <v>Moheda</v>
      </c>
      <c r="O28" t="s">
        <v>806</v>
      </c>
      <c r="P28" t="s">
        <v>806</v>
      </c>
      <c r="Q28" s="44" t="s">
        <v>806</v>
      </c>
      <c r="R28">
        <f t="shared" si="1"/>
        <v>0</v>
      </c>
      <c r="S28">
        <f t="shared" si="2"/>
        <v>0</v>
      </c>
      <c r="T28">
        <f t="shared" si="3"/>
        <v>0</v>
      </c>
      <c r="U28">
        <f t="shared" si="4"/>
        <v>0</v>
      </c>
      <c r="V28">
        <f t="shared" si="5"/>
        <v>0</v>
      </c>
      <c r="W28">
        <f t="shared" si="6"/>
        <v>0</v>
      </c>
    </row>
    <row r="29" spans="1:23" x14ac:dyDescent="0.25">
      <c r="A29" t="s">
        <v>549</v>
      </c>
      <c r="B29" t="s">
        <v>4</v>
      </c>
      <c r="C29">
        <v>15.22</v>
      </c>
      <c r="D29">
        <v>0</v>
      </c>
      <c r="E29">
        <v>0</v>
      </c>
      <c r="F29">
        <v>0</v>
      </c>
      <c r="G29" s="105">
        <f>Tabell38[[#This Row],[Såld värme (GWh)]]-Tabell38[[#This Row],[Levererad värme, andra fjärrvärmeföretag, företag 1 (GWh)]]-Tabell38[[#This Row],[Levererad värme, andra fjärrvärmeföretag, företag 2 (GWh)]]-Tabell38[[#This Row],[Levererad värme, andra fjärrvärmeföretag, företag 3 (GWh)]]</f>
        <v>15.22</v>
      </c>
      <c r="H29" s="102" t="str">
        <f>VLOOKUP(Tabell38[[#This Row],[Nät]],Tabell5[],2,FALSE)</f>
        <v>Vislanda</v>
      </c>
      <c r="I29" t="str">
        <f>VLOOKUP(Tabell38[[#This Row],[Nät]],'Leveranser per nät'!A:A,1,FALSE)</f>
        <v>Vislanda</v>
      </c>
      <c r="O29" t="s">
        <v>806</v>
      </c>
      <c r="P29" t="s">
        <v>806</v>
      </c>
      <c r="Q29" s="84" t="s">
        <v>806</v>
      </c>
      <c r="R29">
        <f t="shared" si="1"/>
        <v>0</v>
      </c>
      <c r="S29">
        <f t="shared" si="2"/>
        <v>0</v>
      </c>
      <c r="T29">
        <f t="shared" si="3"/>
        <v>0</v>
      </c>
      <c r="U29">
        <f t="shared" si="4"/>
        <v>0</v>
      </c>
      <c r="V29">
        <f t="shared" si="5"/>
        <v>0</v>
      </c>
      <c r="W29">
        <f t="shared" si="6"/>
        <v>0</v>
      </c>
    </row>
    <row r="30" spans="1:23" x14ac:dyDescent="0.25">
      <c r="A30" t="s">
        <v>959</v>
      </c>
      <c r="B30" t="s">
        <v>926</v>
      </c>
      <c r="C30">
        <v>21.722999999999999</v>
      </c>
      <c r="D30">
        <v>0</v>
      </c>
      <c r="E30">
        <v>0</v>
      </c>
      <c r="F30">
        <v>0</v>
      </c>
      <c r="G30" s="105">
        <f>Tabell38[[#This Row],[Såld värme (GWh)]]-Tabell38[[#This Row],[Levererad värme, andra fjärrvärmeföretag, företag 1 (GWh)]]-Tabell38[[#This Row],[Levererad värme, andra fjärrvärmeföretag, företag 2 (GWh)]]-Tabell38[[#This Row],[Levererad värme, andra fjärrvärmeföretag, företag 3 (GWh)]]</f>
        <v>21.722999999999999</v>
      </c>
      <c r="H30" s="102" t="str">
        <f>VLOOKUP(Tabell38[[#This Row],[Nät]],Tabell5[],2,FALSE)</f>
        <v>Aneby</v>
      </c>
      <c r="I30" t="e">
        <f>VLOOKUP(Tabell38[[#This Row],[Nät]],'Leveranser per nät'!A:A,1,FALSE)</f>
        <v>#N/A</v>
      </c>
      <c r="O30" t="s">
        <v>806</v>
      </c>
      <c r="P30" t="s">
        <v>806</v>
      </c>
      <c r="Q30" s="44" t="s">
        <v>806</v>
      </c>
      <c r="R30">
        <f t="shared" si="1"/>
        <v>0</v>
      </c>
      <c r="S30">
        <f t="shared" si="2"/>
        <v>0</v>
      </c>
      <c r="T30">
        <f t="shared" si="3"/>
        <v>0</v>
      </c>
      <c r="U30">
        <f t="shared" si="4"/>
        <v>0</v>
      </c>
      <c r="V30">
        <f t="shared" si="5"/>
        <v>0</v>
      </c>
      <c r="W30">
        <f t="shared" si="6"/>
        <v>0</v>
      </c>
    </row>
    <row r="31" spans="1:23" x14ac:dyDescent="0.25">
      <c r="A31" t="s">
        <v>554</v>
      </c>
      <c r="B31" t="s">
        <v>6</v>
      </c>
      <c r="C31">
        <v>37.1</v>
      </c>
      <c r="D31">
        <v>0</v>
      </c>
      <c r="E31">
        <v>0</v>
      </c>
      <c r="F31">
        <v>0</v>
      </c>
      <c r="G31" s="105">
        <f>Tabell38[[#This Row],[Såld värme (GWh)]]-Tabell38[[#This Row],[Levererad värme, andra fjärrvärmeföretag, företag 1 (GWh)]]-Tabell38[[#This Row],[Levererad värme, andra fjärrvärmeföretag, företag 2 (GWh)]]-Tabell38[[#This Row],[Levererad värme, andra fjärrvärmeföretag, företag 3 (GWh)]]</f>
        <v>37.1</v>
      </c>
      <c r="H31" s="102" t="str">
        <f>VLOOKUP(Tabell38[[#This Row],[Nät]],Tabell5[],2,FALSE)</f>
        <v>Arvidsjaur</v>
      </c>
      <c r="I31" t="str">
        <f>VLOOKUP(Tabell38[[#This Row],[Nät]],'Leveranser per nät'!A:A,1,FALSE)</f>
        <v>Arvidsjaur</v>
      </c>
      <c r="O31" t="s">
        <v>806</v>
      </c>
      <c r="P31" t="s">
        <v>806</v>
      </c>
      <c r="Q31" s="84" t="s">
        <v>806</v>
      </c>
      <c r="R31">
        <f t="shared" si="1"/>
        <v>0</v>
      </c>
      <c r="S31">
        <f t="shared" si="2"/>
        <v>0</v>
      </c>
      <c r="T31">
        <f t="shared" si="3"/>
        <v>0</v>
      </c>
      <c r="U31">
        <f t="shared" si="4"/>
        <v>0</v>
      </c>
      <c r="V31">
        <f t="shared" si="5"/>
        <v>0</v>
      </c>
      <c r="W31">
        <f t="shared" si="6"/>
        <v>0</v>
      </c>
    </row>
    <row r="32" spans="1:23" x14ac:dyDescent="0.25">
      <c r="A32" t="s">
        <v>555</v>
      </c>
      <c r="B32" t="s">
        <v>119</v>
      </c>
      <c r="C32">
        <v>86.5</v>
      </c>
      <c r="D32">
        <v>0</v>
      </c>
      <c r="E32">
        <v>0</v>
      </c>
      <c r="F32">
        <v>0</v>
      </c>
      <c r="G32" s="105">
        <f>Tabell38[[#This Row],[Såld värme (GWh)]]-Tabell38[[#This Row],[Levererad värme, andra fjärrvärmeföretag, företag 1 (GWh)]]-Tabell38[[#This Row],[Levererad värme, andra fjärrvärmeföretag, företag 2 (GWh)]]-Tabell38[[#This Row],[Levererad värme, andra fjärrvärmeföretag, företag 3 (GWh)]]</f>
        <v>86.5</v>
      </c>
      <c r="H32" s="102" t="str">
        <f>VLOOKUP(Tabell38[[#This Row],[Nät]],Tabell5[],2,FALSE)</f>
        <v>Arvika</v>
      </c>
      <c r="I32" t="str">
        <f>VLOOKUP(Tabell38[[#This Row],[Nät]],'Leveranser per nät'!A:A,1,FALSE)</f>
        <v>Arvika</v>
      </c>
      <c r="O32" t="s">
        <v>806</v>
      </c>
      <c r="P32" t="s">
        <v>806</v>
      </c>
      <c r="Q32" s="44" t="s">
        <v>806</v>
      </c>
      <c r="R32">
        <f t="shared" si="1"/>
        <v>0</v>
      </c>
      <c r="S32">
        <f t="shared" si="2"/>
        <v>0</v>
      </c>
      <c r="T32">
        <f t="shared" si="3"/>
        <v>0</v>
      </c>
      <c r="U32">
        <f t="shared" si="4"/>
        <v>0</v>
      </c>
      <c r="V32">
        <f t="shared" si="5"/>
        <v>0</v>
      </c>
      <c r="W32">
        <f t="shared" si="6"/>
        <v>0</v>
      </c>
    </row>
    <row r="33" spans="1:23" x14ac:dyDescent="0.25">
      <c r="A33" t="s">
        <v>562</v>
      </c>
      <c r="B33" t="s">
        <v>7</v>
      </c>
      <c r="C33">
        <v>8.8000000000000007</v>
      </c>
      <c r="D33">
        <v>0</v>
      </c>
      <c r="E33">
        <v>0</v>
      </c>
      <c r="F33">
        <v>0</v>
      </c>
      <c r="G33" s="105">
        <f>Tabell38[[#This Row],[Såld värme (GWh)]]-Tabell38[[#This Row],[Levererad värme, andra fjärrvärmeföretag, företag 1 (GWh)]]-Tabell38[[#This Row],[Levererad värme, andra fjärrvärmeföretag, företag 2 (GWh)]]-Tabell38[[#This Row],[Levererad värme, andra fjärrvärmeföretag, företag 3 (GWh)]]</f>
        <v>8.8000000000000007</v>
      </c>
      <c r="H33" s="102" t="str">
        <f>VLOOKUP(Tabell38[[#This Row],[Nät]],Tabell5[],2,FALSE)</f>
        <v>Bengtsfors</v>
      </c>
      <c r="I33" t="str">
        <f>VLOOKUP(Tabell38[[#This Row],[Nät]],'Leveranser per nät'!A:A,1,FALSE)</f>
        <v>Bengtsfors</v>
      </c>
      <c r="O33" t="s">
        <v>806</v>
      </c>
      <c r="P33" t="s">
        <v>806</v>
      </c>
      <c r="Q33" s="84" t="s">
        <v>806</v>
      </c>
      <c r="R33">
        <f t="shared" si="1"/>
        <v>0</v>
      </c>
      <c r="S33">
        <f t="shared" si="2"/>
        <v>0</v>
      </c>
      <c r="T33">
        <f t="shared" si="3"/>
        <v>0</v>
      </c>
      <c r="U33">
        <f t="shared" si="4"/>
        <v>0</v>
      </c>
      <c r="V33">
        <f t="shared" si="5"/>
        <v>0</v>
      </c>
      <c r="W33">
        <f t="shared" si="6"/>
        <v>0</v>
      </c>
    </row>
    <row r="34" spans="1:23" x14ac:dyDescent="0.25">
      <c r="A34" t="s">
        <v>841</v>
      </c>
      <c r="B34" t="s">
        <v>19</v>
      </c>
      <c r="C34">
        <v>242</v>
      </c>
      <c r="D34">
        <v>0</v>
      </c>
      <c r="E34">
        <v>0</v>
      </c>
      <c r="F34">
        <v>0</v>
      </c>
      <c r="G34" s="105">
        <f>Tabell38[[#This Row],[Såld värme (GWh)]]-Tabell38[[#This Row],[Levererad värme, andra fjärrvärmeföretag, företag 1 (GWh)]]-Tabell38[[#This Row],[Levererad värme, andra fjärrvärmeföretag, företag 2 (GWh)]]-Tabell38[[#This Row],[Levererad värme, andra fjärrvärmeföretag, företag 3 (GWh)]]</f>
        <v>242</v>
      </c>
      <c r="H34" s="102" t="str">
        <f>VLOOKUP(Tabell38[[#This Row],[Nät]],Tabell5[],2,FALSE)</f>
        <v>Boden</v>
      </c>
      <c r="I34" t="str">
        <f>VLOOKUP(Tabell38[[#This Row],[Nät]],'Leveranser per nät'!A:A,1,FALSE)</f>
        <v>Boden</v>
      </c>
      <c r="O34" t="s">
        <v>806</v>
      </c>
      <c r="P34" t="s">
        <v>806</v>
      </c>
      <c r="Q34" s="44" t="s">
        <v>806</v>
      </c>
      <c r="R34">
        <f t="shared" si="1"/>
        <v>0</v>
      </c>
      <c r="S34">
        <f t="shared" si="2"/>
        <v>0</v>
      </c>
      <c r="T34">
        <f t="shared" si="3"/>
        <v>0</v>
      </c>
      <c r="U34">
        <f t="shared" si="4"/>
        <v>0</v>
      </c>
      <c r="V34">
        <f t="shared" si="5"/>
        <v>0</v>
      </c>
      <c r="W34">
        <f t="shared" si="6"/>
        <v>0</v>
      </c>
    </row>
    <row r="35" spans="1:23" x14ac:dyDescent="0.25">
      <c r="A35" t="s">
        <v>553</v>
      </c>
      <c r="B35" t="s">
        <v>20</v>
      </c>
      <c r="C35">
        <v>15.297000000000001</v>
      </c>
      <c r="D35">
        <v>0</v>
      </c>
      <c r="E35">
        <v>0</v>
      </c>
      <c r="F35">
        <v>0</v>
      </c>
      <c r="G35" s="105">
        <f>Tabell38[[#This Row],[Såld värme (GWh)]]-Tabell38[[#This Row],[Levererad värme, andra fjärrvärmeföretag, företag 1 (GWh)]]-Tabell38[[#This Row],[Levererad värme, andra fjärrvärmeföretag, företag 2 (GWh)]]-Tabell38[[#This Row],[Levererad värme, andra fjärrvärmeföretag, företag 3 (GWh)]]</f>
        <v>15.297000000000001</v>
      </c>
      <c r="H35" s="102" t="str">
        <f>VLOOKUP(Tabell38[[#This Row],[Nät]],Tabell5[],2,FALSE)</f>
        <v>Arbrå</v>
      </c>
      <c r="I35" t="str">
        <f>VLOOKUP(Tabell38[[#This Row],[Nät]],'Leveranser per nät'!A:A,1,FALSE)</f>
        <v>Arbrå</v>
      </c>
      <c r="O35" t="s">
        <v>806</v>
      </c>
      <c r="P35" t="s">
        <v>806</v>
      </c>
      <c r="Q35" s="84" t="s">
        <v>806</v>
      </c>
      <c r="R35">
        <f t="shared" si="1"/>
        <v>0</v>
      </c>
      <c r="S35">
        <f t="shared" si="2"/>
        <v>0</v>
      </c>
      <c r="T35">
        <f t="shared" si="3"/>
        <v>0</v>
      </c>
      <c r="U35">
        <f t="shared" si="4"/>
        <v>0</v>
      </c>
      <c r="V35">
        <f t="shared" si="5"/>
        <v>0</v>
      </c>
      <c r="W35">
        <f t="shared" si="6"/>
        <v>0</v>
      </c>
    </row>
    <row r="36" spans="1:23" x14ac:dyDescent="0.25">
      <c r="A36" t="s">
        <v>553</v>
      </c>
      <c r="B36" t="s">
        <v>21</v>
      </c>
      <c r="C36">
        <v>108.492</v>
      </c>
      <c r="D36">
        <v>0</v>
      </c>
      <c r="E36">
        <v>0</v>
      </c>
      <c r="F36">
        <v>0</v>
      </c>
      <c r="G36" s="105">
        <f>Tabell38[[#This Row],[Såld värme (GWh)]]-Tabell38[[#This Row],[Levererad värme, andra fjärrvärmeföretag, företag 1 (GWh)]]-Tabell38[[#This Row],[Levererad värme, andra fjärrvärmeföretag, företag 2 (GWh)]]-Tabell38[[#This Row],[Levererad värme, andra fjärrvärmeföretag, företag 3 (GWh)]]</f>
        <v>108.492</v>
      </c>
      <c r="H36" s="102" t="str">
        <f>VLOOKUP(Tabell38[[#This Row],[Nät]],Tabell5[],2,FALSE)</f>
        <v>Bollnäs</v>
      </c>
      <c r="I36" t="str">
        <f>VLOOKUP(Tabell38[[#This Row],[Nät]],'Leveranser per nät'!A:A,1,FALSE)</f>
        <v>Bollnäs</v>
      </c>
      <c r="O36" t="s">
        <v>806</v>
      </c>
      <c r="P36" t="s">
        <v>806</v>
      </c>
      <c r="Q36" s="44" t="s">
        <v>806</v>
      </c>
      <c r="R36">
        <f t="shared" si="1"/>
        <v>0</v>
      </c>
      <c r="S36">
        <f t="shared" si="2"/>
        <v>0</v>
      </c>
      <c r="T36">
        <f t="shared" si="3"/>
        <v>0</v>
      </c>
      <c r="U36">
        <f t="shared" si="4"/>
        <v>0</v>
      </c>
      <c r="V36">
        <f t="shared" si="5"/>
        <v>0</v>
      </c>
      <c r="W36">
        <f t="shared" si="6"/>
        <v>0</v>
      </c>
    </row>
    <row r="37" spans="1:23" x14ac:dyDescent="0.25">
      <c r="A37" t="s">
        <v>553</v>
      </c>
      <c r="B37" t="s">
        <v>22</v>
      </c>
      <c r="C37">
        <v>21.991</v>
      </c>
      <c r="D37">
        <v>0</v>
      </c>
      <c r="E37">
        <v>0</v>
      </c>
      <c r="F37">
        <v>0</v>
      </c>
      <c r="G37" s="105">
        <f>Tabell38[[#This Row],[Såld värme (GWh)]]-Tabell38[[#This Row],[Levererad värme, andra fjärrvärmeföretag, företag 1 (GWh)]]-Tabell38[[#This Row],[Levererad värme, andra fjärrvärmeföretag, företag 2 (GWh)]]-Tabell38[[#This Row],[Levererad värme, andra fjärrvärmeföretag, företag 3 (GWh)]]</f>
        <v>21.991</v>
      </c>
      <c r="H37" s="102" t="str">
        <f>VLOOKUP(Tabell38[[#This Row],[Nät]],Tabell5[],2,FALSE)</f>
        <v>Kilafors</v>
      </c>
      <c r="I37" t="str">
        <f>VLOOKUP(Tabell38[[#This Row],[Nät]],'Leveranser per nät'!A:A,1,FALSE)</f>
        <v>Kilafors</v>
      </c>
      <c r="O37" t="s">
        <v>806</v>
      </c>
      <c r="P37" t="s">
        <v>806</v>
      </c>
      <c r="Q37" s="84" t="s">
        <v>806</v>
      </c>
      <c r="R37">
        <f t="shared" si="1"/>
        <v>0</v>
      </c>
      <c r="S37">
        <f t="shared" si="2"/>
        <v>0</v>
      </c>
      <c r="T37">
        <f t="shared" si="3"/>
        <v>0</v>
      </c>
      <c r="U37">
        <f t="shared" si="4"/>
        <v>0</v>
      </c>
      <c r="V37">
        <f t="shared" si="5"/>
        <v>0</v>
      </c>
      <c r="W37">
        <f t="shared" si="6"/>
        <v>0</v>
      </c>
    </row>
    <row r="38" spans="1:23" x14ac:dyDescent="0.25">
      <c r="A38" t="s">
        <v>553</v>
      </c>
      <c r="B38" t="s">
        <v>1102</v>
      </c>
      <c r="C38">
        <v>1.45</v>
      </c>
      <c r="D38">
        <v>0</v>
      </c>
      <c r="E38">
        <v>0</v>
      </c>
      <c r="F38">
        <v>0</v>
      </c>
      <c r="G38" s="105">
        <f>Tabell38[[#This Row],[Såld värme (GWh)]]-Tabell38[[#This Row],[Levererad värme, andra fjärrvärmeföretag, företag 1 (GWh)]]-Tabell38[[#This Row],[Levererad värme, andra fjärrvärmeföretag, företag 2 (GWh)]]-Tabell38[[#This Row],[Levererad värme, andra fjärrvärmeföretag, företag 3 (GWh)]]</f>
        <v>1.45</v>
      </c>
      <c r="H38" s="102" t="str">
        <f>VLOOKUP(Tabell38[[#This Row],[Nät]],Tabell5[],2,FALSE)</f>
        <v>Rengsjö</v>
      </c>
      <c r="I38" t="e">
        <f>VLOOKUP(Tabell38[[#This Row],[Nät]],'Leveranser per nät'!A:A,1,FALSE)</f>
        <v>#N/A</v>
      </c>
      <c r="O38" t="s">
        <v>806</v>
      </c>
      <c r="P38" t="s">
        <v>806</v>
      </c>
      <c r="Q38" s="44" t="s">
        <v>806</v>
      </c>
      <c r="R38">
        <f t="shared" si="1"/>
        <v>0</v>
      </c>
      <c r="S38">
        <f t="shared" si="2"/>
        <v>0</v>
      </c>
      <c r="T38">
        <f t="shared" si="3"/>
        <v>0</v>
      </c>
      <c r="U38">
        <f t="shared" si="4"/>
        <v>0</v>
      </c>
      <c r="V38">
        <f t="shared" si="5"/>
        <v>0</v>
      </c>
      <c r="W38">
        <f t="shared" si="6"/>
        <v>0</v>
      </c>
    </row>
    <row r="39" spans="1:23" x14ac:dyDescent="0.25">
      <c r="A39" t="s">
        <v>574</v>
      </c>
      <c r="B39" t="s">
        <v>23</v>
      </c>
      <c r="C39">
        <v>22.2</v>
      </c>
      <c r="D39">
        <v>0</v>
      </c>
      <c r="E39">
        <v>0</v>
      </c>
      <c r="F39">
        <v>0</v>
      </c>
      <c r="G39" s="105">
        <f>Tabell38[[#This Row],[Såld värme (GWh)]]-Tabell38[[#This Row],[Levererad värme, andra fjärrvärmeföretag, företag 1 (GWh)]]-Tabell38[[#This Row],[Levererad värme, andra fjärrvärmeföretag, företag 2 (GWh)]]-Tabell38[[#This Row],[Levererad värme, andra fjärrvärmeföretag, företag 3 (GWh)]]</f>
        <v>22.2</v>
      </c>
      <c r="H39" s="102" t="str">
        <f>VLOOKUP(Tabell38[[#This Row],[Nät]],Tabell5[],2,FALSE)</f>
        <v>Borgholm</v>
      </c>
      <c r="I39" t="str">
        <f>VLOOKUP(Tabell38[[#This Row],[Nät]],'Leveranser per nät'!A:A,1,FALSE)</f>
        <v>Borgholm</v>
      </c>
      <c r="O39" t="s">
        <v>806</v>
      </c>
      <c r="P39" t="s">
        <v>806</v>
      </c>
      <c r="Q39" s="84" t="s">
        <v>806</v>
      </c>
      <c r="R39">
        <f t="shared" si="1"/>
        <v>0</v>
      </c>
      <c r="S39">
        <f t="shared" si="2"/>
        <v>0</v>
      </c>
      <c r="T39">
        <f t="shared" si="3"/>
        <v>0</v>
      </c>
      <c r="U39">
        <f t="shared" si="4"/>
        <v>0</v>
      </c>
      <c r="V39">
        <f t="shared" si="5"/>
        <v>0</v>
      </c>
      <c r="W39">
        <f t="shared" si="6"/>
        <v>0</v>
      </c>
    </row>
    <row r="40" spans="1:23" x14ac:dyDescent="0.25">
      <c r="A40" t="s">
        <v>574</v>
      </c>
      <c r="B40" t="s">
        <v>24</v>
      </c>
      <c r="C40">
        <v>1.7769999999999999</v>
      </c>
      <c r="D40">
        <v>0</v>
      </c>
      <c r="E40">
        <v>0</v>
      </c>
      <c r="F40">
        <v>0</v>
      </c>
      <c r="G40" s="105">
        <f>Tabell38[[#This Row],[Såld värme (GWh)]]-Tabell38[[#This Row],[Levererad värme, andra fjärrvärmeföretag, företag 1 (GWh)]]-Tabell38[[#This Row],[Levererad värme, andra fjärrvärmeföretag, företag 2 (GWh)]]-Tabell38[[#This Row],[Levererad värme, andra fjärrvärmeföretag, företag 3 (GWh)]]</f>
        <v>1.7769999999999999</v>
      </c>
      <c r="H40" s="102" t="str">
        <f>VLOOKUP(Tabell38[[#This Row],[Nät]],Tabell5[],2,FALSE)</f>
        <v>Löttorp</v>
      </c>
      <c r="I40" t="str">
        <f>VLOOKUP(Tabell38[[#This Row],[Nät]],'Leveranser per nät'!A:A,1,FALSE)</f>
        <v>Löttorp</v>
      </c>
      <c r="O40" t="s">
        <v>806</v>
      </c>
      <c r="P40" t="s">
        <v>806</v>
      </c>
      <c r="Q40" s="44" t="s">
        <v>806</v>
      </c>
      <c r="R40">
        <f t="shared" si="1"/>
        <v>0</v>
      </c>
      <c r="S40">
        <f t="shared" si="2"/>
        <v>0</v>
      </c>
      <c r="T40">
        <f t="shared" si="3"/>
        <v>0</v>
      </c>
      <c r="U40">
        <f t="shared" si="4"/>
        <v>0</v>
      </c>
      <c r="V40">
        <f t="shared" si="5"/>
        <v>0</v>
      </c>
      <c r="W40">
        <f t="shared" si="6"/>
        <v>0</v>
      </c>
    </row>
    <row r="41" spans="1:23" x14ac:dyDescent="0.25">
      <c r="A41" t="s">
        <v>575</v>
      </c>
      <c r="B41" t="s">
        <v>25</v>
      </c>
      <c r="C41">
        <v>378.29</v>
      </c>
      <c r="D41">
        <v>31.34</v>
      </c>
      <c r="E41">
        <v>0</v>
      </c>
      <c r="F41">
        <v>0</v>
      </c>
      <c r="G41" s="105">
        <f>Tabell38[[#This Row],[Såld värme (GWh)]]-Tabell38[[#This Row],[Levererad värme, andra fjärrvärmeföretag, företag 1 (GWh)]]-Tabell38[[#This Row],[Levererad värme, andra fjärrvärmeföretag, företag 2 (GWh)]]-Tabell38[[#This Row],[Levererad värme, andra fjärrvärmeföretag, företag 3 (GWh)]]</f>
        <v>346.95000000000005</v>
      </c>
      <c r="H41" s="102" t="str">
        <f>VLOOKUP(Tabell38[[#This Row],[Nät]],Tabell5[],2,FALSE)</f>
        <v>Borlänge</v>
      </c>
      <c r="I41" t="str">
        <f>VLOOKUP(Tabell38[[#This Row],[Nät]],'Leveranser per nät'!A:A,1,FALSE)</f>
        <v>Borlänge</v>
      </c>
      <c r="O41">
        <v>31.34</v>
      </c>
      <c r="P41" t="s">
        <v>806</v>
      </c>
      <c r="Q41" s="84" t="s">
        <v>806</v>
      </c>
      <c r="R41">
        <f t="shared" si="1"/>
        <v>31.34</v>
      </c>
      <c r="S41">
        <f t="shared" si="2"/>
        <v>0</v>
      </c>
      <c r="T41">
        <f t="shared" si="3"/>
        <v>0</v>
      </c>
      <c r="U41">
        <f t="shared" si="4"/>
        <v>31.34</v>
      </c>
      <c r="V41">
        <f t="shared" si="5"/>
        <v>0</v>
      </c>
      <c r="W41">
        <f t="shared" si="6"/>
        <v>0</v>
      </c>
    </row>
    <row r="42" spans="1:23" x14ac:dyDescent="0.25">
      <c r="A42" t="s">
        <v>575</v>
      </c>
      <c r="B42" t="s">
        <v>26</v>
      </c>
      <c r="C42">
        <v>1.64</v>
      </c>
      <c r="D42">
        <v>0</v>
      </c>
      <c r="E42">
        <v>0</v>
      </c>
      <c r="F42">
        <v>0</v>
      </c>
      <c r="G42" s="105">
        <f>Tabell38[[#This Row],[Såld värme (GWh)]]-Tabell38[[#This Row],[Levererad värme, andra fjärrvärmeföretag, företag 1 (GWh)]]-Tabell38[[#This Row],[Levererad värme, andra fjärrvärmeföretag, företag 2 (GWh)]]-Tabell38[[#This Row],[Levererad värme, andra fjärrvärmeföretag, företag 3 (GWh)]]</f>
        <v>1.64</v>
      </c>
      <c r="H42" s="102" t="str">
        <f>VLOOKUP(Tabell38[[#This Row],[Nät]],Tabell5[],2,FALSE)</f>
        <v>Ornäs</v>
      </c>
      <c r="I42" t="str">
        <f>VLOOKUP(Tabell38[[#This Row],[Nät]],'Leveranser per nät'!A:A,1,FALSE)</f>
        <v>Ornäs</v>
      </c>
      <c r="O42" t="s">
        <v>806</v>
      </c>
      <c r="P42" t="s">
        <v>806</v>
      </c>
      <c r="Q42" s="44" t="s">
        <v>806</v>
      </c>
      <c r="R42">
        <f t="shared" si="1"/>
        <v>0</v>
      </c>
      <c r="S42">
        <f t="shared" si="2"/>
        <v>0</v>
      </c>
      <c r="T42">
        <f t="shared" si="3"/>
        <v>0</v>
      </c>
      <c r="U42">
        <f t="shared" si="4"/>
        <v>0</v>
      </c>
      <c r="V42">
        <f t="shared" si="5"/>
        <v>0</v>
      </c>
      <c r="W42">
        <f t="shared" si="6"/>
        <v>0</v>
      </c>
    </row>
    <row r="43" spans="1:23" x14ac:dyDescent="0.25">
      <c r="A43" t="s">
        <v>575</v>
      </c>
      <c r="B43" t="s">
        <v>27</v>
      </c>
      <c r="C43">
        <v>2.9740000000000002</v>
      </c>
      <c r="D43">
        <v>0</v>
      </c>
      <c r="E43">
        <v>0</v>
      </c>
      <c r="F43">
        <v>0</v>
      </c>
      <c r="G43" s="105">
        <f>Tabell38[[#This Row],[Såld värme (GWh)]]-Tabell38[[#This Row],[Levererad värme, andra fjärrvärmeföretag, företag 1 (GWh)]]-Tabell38[[#This Row],[Levererad värme, andra fjärrvärmeföretag, företag 2 (GWh)]]-Tabell38[[#This Row],[Levererad värme, andra fjärrvärmeföretag, företag 3 (GWh)]]</f>
        <v>2.9740000000000002</v>
      </c>
      <c r="H43" s="102" t="str">
        <f>VLOOKUP(Tabell38[[#This Row],[Nät]],Tabell5[],2,FALSE)</f>
        <v>Torsång</v>
      </c>
      <c r="I43" t="str">
        <f>VLOOKUP(Tabell38[[#This Row],[Nät]],'Leveranser per nät'!A:A,1,FALSE)</f>
        <v>Torsång</v>
      </c>
      <c r="O43" t="s">
        <v>806</v>
      </c>
      <c r="P43" t="s">
        <v>806</v>
      </c>
      <c r="Q43" s="84" t="s">
        <v>806</v>
      </c>
      <c r="R43">
        <f t="shared" si="1"/>
        <v>0</v>
      </c>
      <c r="S43">
        <f t="shared" si="2"/>
        <v>0</v>
      </c>
      <c r="T43">
        <f t="shared" si="3"/>
        <v>0</v>
      </c>
      <c r="U43">
        <f t="shared" si="4"/>
        <v>0</v>
      </c>
      <c r="V43">
        <f t="shared" si="5"/>
        <v>0</v>
      </c>
      <c r="W43">
        <f t="shared" si="6"/>
        <v>0</v>
      </c>
    </row>
    <row r="44" spans="1:23" x14ac:dyDescent="0.25">
      <c r="A44" t="s">
        <v>961</v>
      </c>
      <c r="B44" t="s">
        <v>29</v>
      </c>
      <c r="C44">
        <v>558.84500000000003</v>
      </c>
      <c r="D44">
        <v>0</v>
      </c>
      <c r="E44">
        <v>0</v>
      </c>
      <c r="F44">
        <v>0</v>
      </c>
      <c r="G44" s="105">
        <f>Tabell38[[#This Row],[Såld värme (GWh)]]-Tabell38[[#This Row],[Levererad värme, andra fjärrvärmeföretag, företag 1 (GWh)]]-Tabell38[[#This Row],[Levererad värme, andra fjärrvärmeföretag, företag 2 (GWh)]]-Tabell38[[#This Row],[Levererad värme, andra fjärrvärmeföretag, företag 3 (GWh)]]</f>
        <v>558.84500000000003</v>
      </c>
      <c r="H44" s="102" t="str">
        <f>VLOOKUP(Tabell38[[#This Row],[Nät]],Tabell5[],2,FALSE)</f>
        <v>Borås</v>
      </c>
      <c r="I44" t="str">
        <f>VLOOKUP(Tabell38[[#This Row],[Nät]],'Leveranser per nät'!A:A,1,FALSE)</f>
        <v>Borås</v>
      </c>
      <c r="O44" t="s">
        <v>806</v>
      </c>
      <c r="P44" t="s">
        <v>806</v>
      </c>
      <c r="Q44" s="44" t="s">
        <v>806</v>
      </c>
      <c r="R44">
        <f t="shared" si="1"/>
        <v>0</v>
      </c>
      <c r="S44">
        <f t="shared" si="2"/>
        <v>0</v>
      </c>
      <c r="T44">
        <f t="shared" si="3"/>
        <v>0</v>
      </c>
      <c r="U44">
        <f t="shared" si="4"/>
        <v>0</v>
      </c>
      <c r="V44">
        <f t="shared" si="5"/>
        <v>0</v>
      </c>
      <c r="W44">
        <f t="shared" si="6"/>
        <v>0</v>
      </c>
    </row>
    <row r="45" spans="1:23" x14ac:dyDescent="0.25">
      <c r="A45" t="s">
        <v>961</v>
      </c>
      <c r="B45" t="s">
        <v>1103</v>
      </c>
      <c r="C45">
        <v>6.7060000000000004</v>
      </c>
      <c r="D45">
        <v>0</v>
      </c>
      <c r="E45">
        <v>0</v>
      </c>
      <c r="F45">
        <v>0</v>
      </c>
      <c r="G45" s="105">
        <f>Tabell38[[#This Row],[Såld värme (GWh)]]-Tabell38[[#This Row],[Levererad värme, andra fjärrvärmeföretag, företag 1 (GWh)]]-Tabell38[[#This Row],[Levererad värme, andra fjärrvärmeföretag, företag 2 (GWh)]]-Tabell38[[#This Row],[Levererad värme, andra fjärrvärmeföretag, företag 3 (GWh)]]</f>
        <v>6.7060000000000004</v>
      </c>
      <c r="H45" s="102" t="e">
        <f>VLOOKUP(Tabell38[[#This Row],[Nät]],Tabell5[],2,FALSE)</f>
        <v>#N/A</v>
      </c>
      <c r="I45" t="e">
        <f>VLOOKUP(Tabell38[[#This Row],[Nät]],'Leveranser per nät'!A:A,1,FALSE)</f>
        <v>#N/A</v>
      </c>
      <c r="O45" t="s">
        <v>806</v>
      </c>
      <c r="P45" t="s">
        <v>806</v>
      </c>
      <c r="Q45" s="84" t="s">
        <v>806</v>
      </c>
      <c r="R45">
        <f t="shared" si="1"/>
        <v>0</v>
      </c>
      <c r="S45">
        <f t="shared" si="2"/>
        <v>0</v>
      </c>
      <c r="T45">
        <f t="shared" si="3"/>
        <v>0</v>
      </c>
      <c r="U45">
        <f t="shared" si="4"/>
        <v>0</v>
      </c>
      <c r="V45">
        <f t="shared" si="5"/>
        <v>0</v>
      </c>
      <c r="W45">
        <f t="shared" si="6"/>
        <v>0</v>
      </c>
    </row>
    <row r="46" spans="1:23" x14ac:dyDescent="0.25">
      <c r="A46" t="s">
        <v>961</v>
      </c>
      <c r="B46" t="s">
        <v>28</v>
      </c>
      <c r="C46" t="s">
        <v>806</v>
      </c>
      <c r="D46">
        <v>0</v>
      </c>
      <c r="E46">
        <v>0</v>
      </c>
      <c r="F46">
        <v>0</v>
      </c>
      <c r="G46"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46" s="102" t="str">
        <f>VLOOKUP(Tabell38[[#This Row],[Nät]],Tabell5[],2,FALSE)</f>
        <v>Fristad</v>
      </c>
      <c r="I46" t="str">
        <f>VLOOKUP(Tabell38[[#This Row],[Nät]],'Leveranser per nät'!A:A,1,FALSE)</f>
        <v>Fristad</v>
      </c>
      <c r="O46" t="s">
        <v>806</v>
      </c>
      <c r="P46" t="s">
        <v>806</v>
      </c>
      <c r="Q46" s="44" t="s">
        <v>806</v>
      </c>
      <c r="R46">
        <f t="shared" si="1"/>
        <v>0</v>
      </c>
      <c r="S46">
        <f t="shared" si="2"/>
        <v>0</v>
      </c>
      <c r="T46">
        <f t="shared" si="3"/>
        <v>0</v>
      </c>
      <c r="U46">
        <f t="shared" si="4"/>
        <v>0</v>
      </c>
      <c r="V46">
        <f t="shared" si="5"/>
        <v>0</v>
      </c>
      <c r="W46">
        <f t="shared" si="6"/>
        <v>0</v>
      </c>
    </row>
    <row r="47" spans="1:23" x14ac:dyDescent="0.25">
      <c r="A47" t="s">
        <v>578</v>
      </c>
      <c r="B47" t="s">
        <v>30</v>
      </c>
      <c r="C47" t="s">
        <v>805</v>
      </c>
      <c r="D47">
        <v>0</v>
      </c>
      <c r="E47">
        <v>0</v>
      </c>
      <c r="F47">
        <v>0</v>
      </c>
      <c r="G47"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47" s="102" t="str">
        <f>VLOOKUP(Tabell38[[#This Row],[Nät]],Tabell5[],2,FALSE)</f>
        <v>Bromölla</v>
      </c>
      <c r="I47" t="str">
        <f>VLOOKUP(Tabell38[[#This Row],[Nät]],'Leveranser per nät'!A:A,1,FALSE)</f>
        <v>Bromölla</v>
      </c>
      <c r="O47" t="s">
        <v>805</v>
      </c>
      <c r="P47" t="s">
        <v>805</v>
      </c>
      <c r="Q47" s="84" t="s">
        <v>805</v>
      </c>
      <c r="R47" t="str">
        <f t="shared" si="1"/>
        <v>-</v>
      </c>
      <c r="S47" t="str">
        <f t="shared" si="2"/>
        <v>-</v>
      </c>
      <c r="T47" t="str">
        <f t="shared" si="3"/>
        <v>-</v>
      </c>
      <c r="U47">
        <f t="shared" si="4"/>
        <v>0</v>
      </c>
      <c r="V47">
        <f t="shared" si="5"/>
        <v>0</v>
      </c>
      <c r="W47">
        <f t="shared" si="6"/>
        <v>0</v>
      </c>
    </row>
    <row r="48" spans="1:23" x14ac:dyDescent="0.25">
      <c r="A48" t="s">
        <v>963</v>
      </c>
      <c r="B48" t="s">
        <v>845</v>
      </c>
      <c r="C48">
        <v>10.295</v>
      </c>
      <c r="D48">
        <v>0</v>
      </c>
      <c r="E48">
        <v>0</v>
      </c>
      <c r="F48">
        <v>0</v>
      </c>
      <c r="G48" s="105">
        <f>Tabell38[[#This Row],[Såld värme (GWh)]]-Tabell38[[#This Row],[Levererad värme, andra fjärrvärmeföretag, företag 1 (GWh)]]-Tabell38[[#This Row],[Levererad värme, andra fjärrvärmeföretag, företag 2 (GWh)]]-Tabell38[[#This Row],[Levererad värme, andra fjärrvärmeföretag, företag 3 (GWh)]]</f>
        <v>10.295</v>
      </c>
      <c r="H48" s="102" t="str">
        <f>VLOOKUP(Tabell38[[#This Row],[Nät]],Tabell5[],2,FALSE)</f>
        <v>Berg</v>
      </c>
      <c r="I48" t="str">
        <f>VLOOKUP(Tabell38[[#This Row],[Nät]],'Leveranser per nät'!A:A,1,FALSE)</f>
        <v>Berg</v>
      </c>
      <c r="O48" t="s">
        <v>806</v>
      </c>
      <c r="P48" t="s">
        <v>806</v>
      </c>
      <c r="Q48" s="44" t="s">
        <v>806</v>
      </c>
      <c r="R48">
        <f t="shared" si="1"/>
        <v>0</v>
      </c>
      <c r="S48">
        <f t="shared" si="2"/>
        <v>0</v>
      </c>
      <c r="T48">
        <f t="shared" si="3"/>
        <v>0</v>
      </c>
      <c r="U48">
        <f t="shared" si="4"/>
        <v>0</v>
      </c>
      <c r="V48">
        <f t="shared" si="5"/>
        <v>0</v>
      </c>
      <c r="W48">
        <f t="shared" si="6"/>
        <v>0</v>
      </c>
    </row>
    <row r="49" spans="1:23" x14ac:dyDescent="0.25">
      <c r="A49" t="s">
        <v>600</v>
      </c>
      <c r="B49" t="s">
        <v>33</v>
      </c>
      <c r="C49">
        <v>4.2590000000000003</v>
      </c>
      <c r="D49">
        <v>0</v>
      </c>
      <c r="E49">
        <v>0</v>
      </c>
      <c r="F49">
        <v>0</v>
      </c>
      <c r="G49" s="105">
        <f>Tabell38[[#This Row],[Såld värme (GWh)]]-Tabell38[[#This Row],[Levererad värme, andra fjärrvärmeföretag, företag 1 (GWh)]]-Tabell38[[#This Row],[Levererad värme, andra fjärrvärmeföretag, företag 2 (GWh)]]-Tabell38[[#This Row],[Levererad värme, andra fjärrvärmeföretag, företag 3 (GWh)]]</f>
        <v>4.2590000000000003</v>
      </c>
      <c r="H49" s="102" t="str">
        <f>VLOOKUP(Tabell38[[#This Row],[Nät]],Tabell5[],2,FALSE)</f>
        <v>Fjälkinge</v>
      </c>
      <c r="I49" t="str">
        <f>VLOOKUP(Tabell38[[#This Row],[Nät]],'Leveranser per nät'!A:A,1,FALSE)</f>
        <v>Fjälkinge</v>
      </c>
      <c r="O49" t="s">
        <v>806</v>
      </c>
      <c r="P49" t="s">
        <v>806</v>
      </c>
      <c r="Q49" s="84" t="s">
        <v>806</v>
      </c>
      <c r="R49">
        <f t="shared" si="1"/>
        <v>0</v>
      </c>
      <c r="S49">
        <f t="shared" si="2"/>
        <v>0</v>
      </c>
      <c r="T49">
        <f t="shared" si="3"/>
        <v>0</v>
      </c>
      <c r="U49">
        <f t="shared" si="4"/>
        <v>0</v>
      </c>
      <c r="V49">
        <f t="shared" si="5"/>
        <v>0</v>
      </c>
      <c r="W49">
        <f t="shared" si="6"/>
        <v>0</v>
      </c>
    </row>
    <row r="50" spans="1:23" x14ac:dyDescent="0.25">
      <c r="A50" t="s">
        <v>600</v>
      </c>
      <c r="B50" t="s">
        <v>34</v>
      </c>
      <c r="C50">
        <v>316.29399999999998</v>
      </c>
      <c r="D50">
        <v>0</v>
      </c>
      <c r="E50">
        <v>0</v>
      </c>
      <c r="F50">
        <v>0</v>
      </c>
      <c r="G50" s="105">
        <f>Tabell38[[#This Row],[Såld värme (GWh)]]-Tabell38[[#This Row],[Levererad värme, andra fjärrvärmeföretag, företag 1 (GWh)]]-Tabell38[[#This Row],[Levererad värme, andra fjärrvärmeföretag, företag 2 (GWh)]]-Tabell38[[#This Row],[Levererad värme, andra fjärrvärmeföretag, företag 3 (GWh)]]</f>
        <v>316.29399999999998</v>
      </c>
      <c r="H50" s="102" t="str">
        <f>VLOOKUP(Tabell38[[#This Row],[Nät]],Tabell5[],2,FALSE)</f>
        <v>Kristianstad</v>
      </c>
      <c r="I50" t="str">
        <f>VLOOKUP(Tabell38[[#This Row],[Nät]],'Leveranser per nät'!A:A,1,FALSE)</f>
        <v>Kristianstad</v>
      </c>
      <c r="O50" t="s">
        <v>806</v>
      </c>
      <c r="P50" t="s">
        <v>806</v>
      </c>
      <c r="Q50" s="44" t="s">
        <v>806</v>
      </c>
      <c r="R50">
        <f t="shared" si="1"/>
        <v>0</v>
      </c>
      <c r="S50">
        <f t="shared" si="2"/>
        <v>0</v>
      </c>
      <c r="T50">
        <f t="shared" si="3"/>
        <v>0</v>
      </c>
      <c r="U50">
        <f t="shared" si="4"/>
        <v>0</v>
      </c>
      <c r="V50">
        <f t="shared" si="5"/>
        <v>0</v>
      </c>
      <c r="W50">
        <f t="shared" si="6"/>
        <v>0</v>
      </c>
    </row>
    <row r="51" spans="1:23" x14ac:dyDescent="0.25">
      <c r="A51" t="s">
        <v>630</v>
      </c>
      <c r="B51" t="s">
        <v>631</v>
      </c>
      <c r="C51">
        <v>31.303000000000001</v>
      </c>
      <c r="D51">
        <v>0</v>
      </c>
      <c r="E51">
        <v>0</v>
      </c>
      <c r="F51">
        <v>0</v>
      </c>
      <c r="G51" s="105">
        <f>Tabell38[[#This Row],[Såld värme (GWh)]]-Tabell38[[#This Row],[Levererad värme, andra fjärrvärmeföretag, företag 1 (GWh)]]-Tabell38[[#This Row],[Levererad värme, andra fjärrvärmeföretag, företag 2 (GWh)]]-Tabell38[[#This Row],[Levererad värme, andra fjärrvärmeföretag, företag 3 (GWh)]]</f>
        <v>31.303000000000001</v>
      </c>
      <c r="H51" s="102" t="str">
        <f>VLOOKUP(Tabell38[[#This Row],[Nät]],Tabell5[],2,FALSE)</f>
        <v>HVC Degerfors</v>
      </c>
      <c r="I51" t="str">
        <f>VLOOKUP(Tabell38[[#This Row],[Nät]],'Leveranser per nät'!A:A,1,FALSE)</f>
        <v>HVC Degerfors</v>
      </c>
      <c r="O51" t="s">
        <v>806</v>
      </c>
      <c r="P51" t="s">
        <v>806</v>
      </c>
      <c r="Q51" s="84" t="s">
        <v>806</v>
      </c>
      <c r="R51">
        <f t="shared" si="1"/>
        <v>0</v>
      </c>
      <c r="S51">
        <f t="shared" si="2"/>
        <v>0</v>
      </c>
      <c r="T51">
        <f t="shared" si="3"/>
        <v>0</v>
      </c>
      <c r="U51">
        <f t="shared" si="4"/>
        <v>0</v>
      </c>
      <c r="V51">
        <f t="shared" si="5"/>
        <v>0</v>
      </c>
      <c r="W51">
        <f t="shared" si="6"/>
        <v>0</v>
      </c>
    </row>
    <row r="52" spans="1:23" x14ac:dyDescent="0.25">
      <c r="A52" t="s">
        <v>630</v>
      </c>
      <c r="B52" t="s">
        <v>39</v>
      </c>
      <c r="C52">
        <v>1.27</v>
      </c>
      <c r="D52">
        <v>0</v>
      </c>
      <c r="E52">
        <v>0</v>
      </c>
      <c r="F52">
        <v>0</v>
      </c>
      <c r="G52" s="105"/>
      <c r="H52" s="102"/>
      <c r="O52" t="s">
        <v>806</v>
      </c>
      <c r="P52" t="s">
        <v>806</v>
      </c>
      <c r="Q52" s="44" t="s">
        <v>806</v>
      </c>
      <c r="R52">
        <f t="shared" si="1"/>
        <v>0</v>
      </c>
      <c r="S52">
        <f t="shared" si="2"/>
        <v>0</v>
      </c>
      <c r="T52">
        <f t="shared" si="3"/>
        <v>0</v>
      </c>
      <c r="U52">
        <f t="shared" si="4"/>
        <v>0</v>
      </c>
      <c r="V52">
        <f t="shared" si="5"/>
        <v>0</v>
      </c>
      <c r="W52">
        <f t="shared" si="6"/>
        <v>0</v>
      </c>
    </row>
    <row r="53" spans="1:23" x14ac:dyDescent="0.25">
      <c r="A53" t="s">
        <v>630</v>
      </c>
      <c r="B53" t="s">
        <v>40</v>
      </c>
      <c r="C53">
        <v>0.442</v>
      </c>
      <c r="D53">
        <v>0</v>
      </c>
      <c r="E53">
        <v>0</v>
      </c>
      <c r="F53">
        <v>0</v>
      </c>
      <c r="G53" s="105">
        <f>Tabell38[[#This Row],[Såld värme (GWh)]]-Tabell38[[#This Row],[Levererad värme, andra fjärrvärmeföretag, företag 1 (GWh)]]-Tabell38[[#This Row],[Levererad värme, andra fjärrvärmeföretag, företag 2 (GWh)]]-Tabell38[[#This Row],[Levererad värme, andra fjärrvärmeföretag, företag 3 (GWh)]]</f>
        <v>0.442</v>
      </c>
      <c r="H53" s="102" t="str">
        <f>VLOOKUP(Tabell38[[#This Row],[Nät]],Tabell5[],2,FALSE)</f>
        <v>Åtorp</v>
      </c>
      <c r="I53" t="str">
        <f>VLOOKUP(Tabell38[[#This Row],[Nät]],'Leveranser per nät'!A:A,1,FALSE)</f>
        <v>Åtorp</v>
      </c>
      <c r="O53" t="s">
        <v>806</v>
      </c>
      <c r="P53" t="s">
        <v>806</v>
      </c>
      <c r="Q53" s="84" t="s">
        <v>806</v>
      </c>
      <c r="R53">
        <f t="shared" si="1"/>
        <v>0</v>
      </c>
      <c r="S53">
        <f t="shared" si="2"/>
        <v>0</v>
      </c>
      <c r="T53">
        <f t="shared" si="3"/>
        <v>0</v>
      </c>
      <c r="U53">
        <f t="shared" si="4"/>
        <v>0</v>
      </c>
      <c r="V53">
        <f t="shared" si="5"/>
        <v>0</v>
      </c>
      <c r="W53">
        <f t="shared" si="6"/>
        <v>0</v>
      </c>
    </row>
    <row r="54" spans="1:23" x14ac:dyDescent="0.25">
      <c r="A54" t="s">
        <v>1080</v>
      </c>
      <c r="B54" t="s">
        <v>62</v>
      </c>
      <c r="C54">
        <v>30</v>
      </c>
      <c r="D54">
        <v>0</v>
      </c>
      <c r="E54">
        <v>0</v>
      </c>
      <c r="F54">
        <v>0</v>
      </c>
      <c r="G54" s="105">
        <f>Tabell38[[#This Row],[Såld värme (GWh)]]-Tabell38[[#This Row],[Levererad värme, andra fjärrvärmeföretag, företag 1 (GWh)]]-Tabell38[[#This Row],[Levererad värme, andra fjärrvärmeföretag, företag 2 (GWh)]]-Tabell38[[#This Row],[Levererad värme, andra fjärrvärmeföretag, företag 3 (GWh)]]</f>
        <v>30</v>
      </c>
      <c r="H54" s="102" t="e">
        <f>VLOOKUP(Tabell38[[#This Row],[Nät]],Tabell5[],2,FALSE)</f>
        <v>#N/A</v>
      </c>
      <c r="I54" t="str">
        <f>VLOOKUP(Tabell38[[#This Row],[Nät]],'Leveranser per nät'!A:A,1,FALSE)</f>
        <v>Bålsta</v>
      </c>
      <c r="O54" t="s">
        <v>806</v>
      </c>
      <c r="P54" t="s">
        <v>806</v>
      </c>
      <c r="Q54" s="44" t="s">
        <v>806</v>
      </c>
      <c r="R54">
        <f t="shared" si="1"/>
        <v>0</v>
      </c>
      <c r="S54">
        <f t="shared" si="2"/>
        <v>0</v>
      </c>
      <c r="T54">
        <f t="shared" si="3"/>
        <v>0</v>
      </c>
      <c r="U54">
        <f t="shared" si="4"/>
        <v>0</v>
      </c>
      <c r="V54">
        <f t="shared" si="5"/>
        <v>0</v>
      </c>
      <c r="W54">
        <f t="shared" si="6"/>
        <v>0</v>
      </c>
    </row>
    <row r="55" spans="1:23" x14ac:dyDescent="0.25">
      <c r="A55" t="s">
        <v>1080</v>
      </c>
      <c r="B55" t="s">
        <v>66</v>
      </c>
      <c r="C55" t="s">
        <v>805</v>
      </c>
      <c r="D55">
        <v>275.7</v>
      </c>
      <c r="E55">
        <v>0</v>
      </c>
      <c r="F55">
        <v>0</v>
      </c>
      <c r="G55" s="105"/>
      <c r="H55" s="102"/>
      <c r="O55">
        <v>275.7</v>
      </c>
      <c r="P55" t="s">
        <v>805</v>
      </c>
      <c r="Q55" s="84" t="s">
        <v>805</v>
      </c>
      <c r="R55">
        <f t="shared" si="1"/>
        <v>275.7</v>
      </c>
      <c r="S55" t="str">
        <f t="shared" si="2"/>
        <v>-</v>
      </c>
      <c r="T55" t="str">
        <f t="shared" si="3"/>
        <v>-</v>
      </c>
      <c r="U55">
        <f t="shared" si="4"/>
        <v>275.7</v>
      </c>
      <c r="V55">
        <f t="shared" si="5"/>
        <v>0</v>
      </c>
      <c r="W55">
        <f t="shared" si="6"/>
        <v>0</v>
      </c>
    </row>
    <row r="56" spans="1:23" x14ac:dyDescent="0.25">
      <c r="A56" t="s">
        <v>1080</v>
      </c>
      <c r="B56" t="s">
        <v>1104</v>
      </c>
      <c r="C56">
        <v>673.13</v>
      </c>
      <c r="D56">
        <v>275.7</v>
      </c>
      <c r="E56">
        <v>60.628</v>
      </c>
      <c r="F56">
        <v>0</v>
      </c>
      <c r="G56" s="105">
        <f>Tabell38[[#This Row],[Såld värme (GWh)]]-Tabell38[[#This Row],[Levererad värme, andra fjärrvärmeföretag, företag 1 (GWh)]]-Tabell38[[#This Row],[Levererad värme, andra fjärrvärmeföretag, företag 2 (GWh)]]-Tabell38[[#This Row],[Levererad värme, andra fjärrvärmeföretag, företag 3 (GWh)]]</f>
        <v>336.80200000000002</v>
      </c>
      <c r="H56" s="102" t="e">
        <f>VLOOKUP(Tabell38[[#This Row],[Nät]],Tabell5[],2,FALSE)</f>
        <v>#N/A</v>
      </c>
      <c r="I56" t="str">
        <f>VLOOKUP(Tabell38[[#This Row],[Nät]],'Leveranser per nät'!A:A,1,FALSE)</f>
        <v>Järfälla - Kungsängen - Bro</v>
      </c>
      <c r="O56">
        <v>275.7</v>
      </c>
      <c r="P56">
        <v>60.628</v>
      </c>
      <c r="Q56" s="44" t="s">
        <v>806</v>
      </c>
      <c r="R56">
        <f t="shared" si="1"/>
        <v>275.7</v>
      </c>
      <c r="S56">
        <f t="shared" si="2"/>
        <v>60.628</v>
      </c>
      <c r="T56">
        <f t="shared" si="3"/>
        <v>0</v>
      </c>
      <c r="U56">
        <f t="shared" si="4"/>
        <v>275.7</v>
      </c>
      <c r="V56">
        <f t="shared" si="5"/>
        <v>60.628</v>
      </c>
      <c r="W56">
        <f t="shared" si="6"/>
        <v>0</v>
      </c>
    </row>
    <row r="57" spans="1:23" x14ac:dyDescent="0.25">
      <c r="A57" t="s">
        <v>1080</v>
      </c>
      <c r="B57" t="s">
        <v>43</v>
      </c>
      <c r="C57">
        <v>1893.3579999999999</v>
      </c>
      <c r="D57">
        <v>0</v>
      </c>
      <c r="E57">
        <v>0</v>
      </c>
      <c r="F57">
        <v>0</v>
      </c>
      <c r="G57" s="105"/>
      <c r="H57" s="102"/>
      <c r="O57" t="s">
        <v>806</v>
      </c>
      <c r="P57" t="s">
        <v>806</v>
      </c>
      <c r="Q57" s="84" t="s">
        <v>806</v>
      </c>
      <c r="R57">
        <f t="shared" si="1"/>
        <v>0</v>
      </c>
      <c r="S57">
        <f t="shared" si="2"/>
        <v>0</v>
      </c>
      <c r="T57">
        <f t="shared" si="3"/>
        <v>0</v>
      </c>
      <c r="U57">
        <f t="shared" si="4"/>
        <v>0</v>
      </c>
      <c r="V57">
        <f t="shared" si="5"/>
        <v>0</v>
      </c>
      <c r="W57">
        <f t="shared" si="6"/>
        <v>0</v>
      </c>
    </row>
    <row r="58" spans="1:23" x14ac:dyDescent="0.25">
      <c r="A58" t="s">
        <v>1080</v>
      </c>
      <c r="B58" t="s">
        <v>927</v>
      </c>
      <c r="C58">
        <v>774.8</v>
      </c>
      <c r="D58">
        <v>0</v>
      </c>
      <c r="E58">
        <v>0</v>
      </c>
      <c r="F58">
        <v>0</v>
      </c>
      <c r="G58" s="105">
        <f>Tabell38[[#This Row],[Såld värme (GWh)]]-Tabell38[[#This Row],[Levererad värme, andra fjärrvärmeföretag, företag 1 (GWh)]]-Tabell38[[#This Row],[Levererad värme, andra fjärrvärmeföretag, företag 2 (GWh)]]-Tabell38[[#This Row],[Levererad värme, andra fjärrvärmeföretag, företag 3 (GWh)]]</f>
        <v>774.8</v>
      </c>
      <c r="H58" s="102" t="e">
        <f>VLOOKUP(Tabell38[[#This Row],[Nät]],Tabell5[],2,FALSE)</f>
        <v>#N/A</v>
      </c>
      <c r="I58" t="str">
        <f>VLOOKUP(Tabell38[[#This Row],[Nät]],'Leveranser per nät'!A:A,1,FALSE)</f>
        <v>Norrköping - Söderköping</v>
      </c>
      <c r="O58" t="s">
        <v>806</v>
      </c>
      <c r="P58" t="s">
        <v>806</v>
      </c>
      <c r="Q58" s="44" t="s">
        <v>806</v>
      </c>
      <c r="R58">
        <f t="shared" si="1"/>
        <v>0</v>
      </c>
      <c r="S58">
        <f t="shared" si="2"/>
        <v>0</v>
      </c>
      <c r="T58">
        <f t="shared" si="3"/>
        <v>0</v>
      </c>
      <c r="U58">
        <f t="shared" si="4"/>
        <v>0</v>
      </c>
      <c r="V58">
        <f t="shared" si="5"/>
        <v>0</v>
      </c>
      <c r="W58">
        <f t="shared" si="6"/>
        <v>0</v>
      </c>
    </row>
    <row r="59" spans="1:23" x14ac:dyDescent="0.25">
      <c r="A59" t="s">
        <v>1080</v>
      </c>
      <c r="B59" t="s">
        <v>1105</v>
      </c>
      <c r="C59">
        <v>72.3</v>
      </c>
      <c r="D59">
        <v>0</v>
      </c>
      <c r="E59">
        <v>0</v>
      </c>
      <c r="F59">
        <v>0</v>
      </c>
      <c r="G59" s="105">
        <f>Tabell38[[#This Row],[Såld värme (GWh)]]-Tabell38[[#This Row],[Levererad värme, andra fjärrvärmeföretag, företag 1 (GWh)]]-Tabell38[[#This Row],[Levererad värme, andra fjärrvärmeföretag, företag 2 (GWh)]]-Tabell38[[#This Row],[Levererad värme, andra fjärrvärmeföretag, företag 3 (GWh)]]</f>
        <v>72.3</v>
      </c>
      <c r="H59" s="102" t="e">
        <f>VLOOKUP(Tabell38[[#This Row],[Nät]],Tabell5[],2,FALSE)</f>
        <v>#N/A</v>
      </c>
      <c r="I59" t="e">
        <f>VLOOKUP(Tabell38[[#This Row],[Nät]],'Leveranser per nät'!A:A,1,FALSE)</f>
        <v>#N/A</v>
      </c>
      <c r="O59" t="s">
        <v>806</v>
      </c>
      <c r="P59" t="s">
        <v>806</v>
      </c>
      <c r="Q59" s="84" t="s">
        <v>806</v>
      </c>
      <c r="R59">
        <f t="shared" si="1"/>
        <v>0</v>
      </c>
      <c r="S59">
        <f t="shared" si="2"/>
        <v>0</v>
      </c>
      <c r="T59">
        <f t="shared" si="3"/>
        <v>0</v>
      </c>
      <c r="U59">
        <f t="shared" si="4"/>
        <v>0</v>
      </c>
      <c r="V59">
        <f t="shared" si="5"/>
        <v>0</v>
      </c>
      <c r="W59">
        <f t="shared" si="6"/>
        <v>0</v>
      </c>
    </row>
    <row r="60" spans="1:23" x14ac:dyDescent="0.25">
      <c r="A60" t="s">
        <v>1080</v>
      </c>
      <c r="B60" t="s">
        <v>59</v>
      </c>
      <c r="C60">
        <v>54.7</v>
      </c>
      <c r="D60">
        <v>0</v>
      </c>
      <c r="E60">
        <v>0</v>
      </c>
      <c r="F60">
        <v>0</v>
      </c>
      <c r="G60" s="105">
        <f>Tabell38[[#This Row],[Såld värme (GWh)]]-Tabell38[[#This Row],[Levererad värme, andra fjärrvärmeföretag, företag 1 (GWh)]]-Tabell38[[#This Row],[Levererad värme, andra fjärrvärmeföretag, företag 2 (GWh)]]-Tabell38[[#This Row],[Levererad värme, andra fjärrvärmeföretag, företag 3 (GWh)]]</f>
        <v>54.7</v>
      </c>
      <c r="H60" s="102" t="e">
        <f>VLOOKUP(Tabell38[[#This Row],[Nät]],Tabell5[],2,FALSE)</f>
        <v>#N/A</v>
      </c>
      <c r="I60" t="str">
        <f>VLOOKUP(Tabell38[[#This Row],[Nät]],'Leveranser per nät'!A:A,1,FALSE)</f>
        <v>Vallentuna</v>
      </c>
      <c r="O60" t="s">
        <v>806</v>
      </c>
      <c r="P60" t="s">
        <v>806</v>
      </c>
      <c r="Q60" s="44" t="s">
        <v>806</v>
      </c>
      <c r="R60">
        <f t="shared" si="1"/>
        <v>0</v>
      </c>
      <c r="S60">
        <f t="shared" si="2"/>
        <v>0</v>
      </c>
      <c r="T60">
        <f t="shared" si="3"/>
        <v>0</v>
      </c>
      <c r="U60">
        <f t="shared" si="4"/>
        <v>0</v>
      </c>
      <c r="V60">
        <f t="shared" si="5"/>
        <v>0</v>
      </c>
      <c r="W60">
        <f t="shared" si="6"/>
        <v>0</v>
      </c>
    </row>
    <row r="61" spans="1:23" x14ac:dyDescent="0.25">
      <c r="A61" t="s">
        <v>1080</v>
      </c>
      <c r="B61" t="s">
        <v>1106</v>
      </c>
      <c r="C61">
        <v>901.5</v>
      </c>
      <c r="D61">
        <v>0</v>
      </c>
      <c r="E61">
        <v>0</v>
      </c>
      <c r="F61">
        <v>0</v>
      </c>
      <c r="G61" s="105">
        <f>Tabell38[[#This Row],[Såld värme (GWh)]]-Tabell38[[#This Row],[Levererad värme, andra fjärrvärmeföretag, företag 1 (GWh)]]-Tabell38[[#This Row],[Levererad värme, andra fjärrvärmeföretag, företag 2 (GWh)]]-Tabell38[[#This Row],[Levererad värme, andra fjärrvärmeföretag, företag 3 (GWh)]]</f>
        <v>901.5</v>
      </c>
      <c r="H61" s="102" t="e">
        <f>VLOOKUP(Tabell38[[#This Row],[Nät]],Tabell5[],2,FALSE)</f>
        <v>#N/A</v>
      </c>
      <c r="I61" t="e">
        <f>VLOOKUP(Tabell38[[#This Row],[Nät]],'Leveranser per nät'!A:A,1,FALSE)</f>
        <v>#N/A</v>
      </c>
      <c r="O61" t="s">
        <v>806</v>
      </c>
      <c r="P61" t="s">
        <v>806</v>
      </c>
      <c r="Q61" s="84" t="s">
        <v>806</v>
      </c>
      <c r="R61">
        <f t="shared" si="1"/>
        <v>0</v>
      </c>
      <c r="S61">
        <f t="shared" si="2"/>
        <v>0</v>
      </c>
      <c r="T61">
        <f t="shared" si="3"/>
        <v>0</v>
      </c>
      <c r="U61">
        <f t="shared" si="4"/>
        <v>0</v>
      </c>
      <c r="V61">
        <f t="shared" si="5"/>
        <v>0</v>
      </c>
      <c r="W61">
        <f t="shared" si="6"/>
        <v>0</v>
      </c>
    </row>
    <row r="62" spans="1:23" x14ac:dyDescent="0.25">
      <c r="A62" t="s">
        <v>1080</v>
      </c>
      <c r="B62" t="s">
        <v>57</v>
      </c>
      <c r="C62">
        <v>55.9</v>
      </c>
      <c r="D62">
        <v>0</v>
      </c>
      <c r="E62">
        <v>0</v>
      </c>
      <c r="F62">
        <v>0</v>
      </c>
      <c r="G62" s="105">
        <f>Tabell38[[#This Row],[Såld värme (GWh)]]-Tabell38[[#This Row],[Levererad värme, andra fjärrvärmeföretag, företag 1 (GWh)]]-Tabell38[[#This Row],[Levererad värme, andra fjärrvärmeföretag, företag 2 (GWh)]]-Tabell38[[#This Row],[Levererad värme, andra fjärrvärmeföretag, företag 3 (GWh)]]</f>
        <v>55.9</v>
      </c>
      <c r="H62" s="102" t="e">
        <f>VLOOKUP(Tabell38[[#This Row],[Nät]],Tabell5[],2,FALSE)</f>
        <v>#N/A</v>
      </c>
      <c r="I62" t="str">
        <f>VLOOKUP(Tabell38[[#This Row],[Nät]],'Leveranser per nät'!A:A,1,FALSE)</f>
        <v>Österåker</v>
      </c>
      <c r="O62" t="s">
        <v>806</v>
      </c>
      <c r="P62" t="s">
        <v>806</v>
      </c>
      <c r="Q62" s="44" t="s">
        <v>806</v>
      </c>
      <c r="R62">
        <f t="shared" si="1"/>
        <v>0</v>
      </c>
      <c r="S62">
        <f t="shared" si="2"/>
        <v>0</v>
      </c>
      <c r="T62">
        <f t="shared" si="3"/>
        <v>0</v>
      </c>
      <c r="U62">
        <f t="shared" si="4"/>
        <v>0</v>
      </c>
      <c r="V62">
        <f t="shared" si="5"/>
        <v>0</v>
      </c>
      <c r="W62">
        <f t="shared" si="6"/>
        <v>0</v>
      </c>
    </row>
    <row r="63" spans="1:23" x14ac:dyDescent="0.25">
      <c r="A63" t="s">
        <v>584</v>
      </c>
      <c r="B63" t="s">
        <v>584</v>
      </c>
      <c r="C63" t="s">
        <v>805</v>
      </c>
      <c r="D63">
        <v>0</v>
      </c>
      <c r="E63">
        <v>0</v>
      </c>
      <c r="F63">
        <v>0</v>
      </c>
      <c r="G63"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63" s="102" t="str">
        <f>VLOOKUP(Tabell38[[#This Row],[Nät]],Tabell5[],2,FALSE)</f>
        <v>Eda</v>
      </c>
      <c r="I63" t="e">
        <f>VLOOKUP(Tabell38[[#This Row],[Nät]],'Leveranser per nät'!A:A,1,FALSE)</f>
        <v>#N/A</v>
      </c>
      <c r="O63" t="s">
        <v>805</v>
      </c>
      <c r="P63" t="s">
        <v>805</v>
      </c>
      <c r="Q63" s="84" t="s">
        <v>805</v>
      </c>
      <c r="R63" t="str">
        <f t="shared" si="1"/>
        <v>-</v>
      </c>
      <c r="S63" t="str">
        <f t="shared" si="2"/>
        <v>-</v>
      </c>
      <c r="T63" t="str">
        <f t="shared" si="3"/>
        <v>-</v>
      </c>
      <c r="U63">
        <f t="shared" si="4"/>
        <v>0</v>
      </c>
      <c r="V63">
        <f t="shared" si="5"/>
        <v>0</v>
      </c>
      <c r="W63">
        <f t="shared" si="6"/>
        <v>0</v>
      </c>
    </row>
    <row r="64" spans="1:23" x14ac:dyDescent="0.25">
      <c r="A64" t="s">
        <v>589</v>
      </c>
      <c r="B64" t="s">
        <v>91</v>
      </c>
      <c r="C64">
        <v>102.794</v>
      </c>
      <c r="D64">
        <v>0</v>
      </c>
      <c r="E64">
        <v>0</v>
      </c>
      <c r="F64">
        <v>0</v>
      </c>
      <c r="G64" s="105">
        <f>Tabell38[[#This Row],[Såld värme (GWh)]]-Tabell38[[#This Row],[Levererad värme, andra fjärrvärmeföretag, företag 1 (GWh)]]-Tabell38[[#This Row],[Levererad värme, andra fjärrvärmeföretag, företag 2 (GWh)]]-Tabell38[[#This Row],[Levererad värme, andra fjärrvärmeföretag, företag 3 (GWh)]]</f>
        <v>102.794</v>
      </c>
      <c r="H64" s="102" t="str">
        <f>VLOOKUP(Tabell38[[#This Row],[Nät]],Tabell5[],2,FALSE)</f>
        <v>Eksjö</v>
      </c>
      <c r="I64" t="str">
        <f>VLOOKUP(Tabell38[[#This Row],[Nät]],'Leveranser per nät'!A:A,1,FALSE)</f>
        <v>Eksjö</v>
      </c>
      <c r="O64" t="s">
        <v>806</v>
      </c>
      <c r="P64" t="s">
        <v>806</v>
      </c>
      <c r="Q64" s="44" t="s">
        <v>806</v>
      </c>
      <c r="R64">
        <f t="shared" si="1"/>
        <v>0</v>
      </c>
      <c r="S64">
        <f t="shared" si="2"/>
        <v>0</v>
      </c>
      <c r="T64">
        <f t="shared" si="3"/>
        <v>0</v>
      </c>
      <c r="U64">
        <f t="shared" si="4"/>
        <v>0</v>
      </c>
      <c r="V64">
        <f t="shared" si="5"/>
        <v>0</v>
      </c>
      <c r="W64">
        <f t="shared" si="6"/>
        <v>0</v>
      </c>
    </row>
    <row r="65" spans="1:23" x14ac:dyDescent="0.25">
      <c r="A65" t="s">
        <v>589</v>
      </c>
      <c r="B65" t="s">
        <v>92</v>
      </c>
      <c r="C65">
        <v>2.673</v>
      </c>
      <c r="D65">
        <v>0</v>
      </c>
      <c r="E65">
        <v>0</v>
      </c>
      <c r="F65">
        <v>0</v>
      </c>
      <c r="G65" s="105">
        <f>Tabell38[[#This Row],[Såld värme (GWh)]]-Tabell38[[#This Row],[Levererad värme, andra fjärrvärmeföretag, företag 1 (GWh)]]-Tabell38[[#This Row],[Levererad värme, andra fjärrvärmeföretag, företag 2 (GWh)]]-Tabell38[[#This Row],[Levererad värme, andra fjärrvärmeföretag, företag 3 (GWh)]]</f>
        <v>2.673</v>
      </c>
      <c r="H65" s="102" t="str">
        <f>VLOOKUP(Tabell38[[#This Row],[Nät]],Tabell5[],2,FALSE)</f>
        <v>Ingatorp</v>
      </c>
      <c r="I65" t="str">
        <f>VLOOKUP(Tabell38[[#This Row],[Nät]],'Leveranser per nät'!A:A,1,FALSE)</f>
        <v>Ingatorp</v>
      </c>
      <c r="O65" t="s">
        <v>806</v>
      </c>
      <c r="P65" t="s">
        <v>806</v>
      </c>
      <c r="Q65" s="84" t="s">
        <v>806</v>
      </c>
      <c r="R65">
        <f t="shared" si="1"/>
        <v>0</v>
      </c>
      <c r="S65">
        <f t="shared" si="2"/>
        <v>0</v>
      </c>
      <c r="T65">
        <f t="shared" si="3"/>
        <v>0</v>
      </c>
      <c r="U65">
        <f t="shared" si="4"/>
        <v>0</v>
      </c>
      <c r="V65">
        <f t="shared" si="5"/>
        <v>0</v>
      </c>
      <c r="W65">
        <f t="shared" si="6"/>
        <v>0</v>
      </c>
    </row>
    <row r="66" spans="1:23" x14ac:dyDescent="0.25">
      <c r="A66" t="s">
        <v>589</v>
      </c>
      <c r="B66" t="s">
        <v>93</v>
      </c>
      <c r="C66">
        <v>11.625</v>
      </c>
      <c r="D66">
        <v>0</v>
      </c>
      <c r="E66">
        <v>0</v>
      </c>
      <c r="F66">
        <v>0</v>
      </c>
      <c r="G66" s="105">
        <f>Tabell38[[#This Row],[Såld värme (GWh)]]-Tabell38[[#This Row],[Levererad värme, andra fjärrvärmeföretag, företag 1 (GWh)]]-Tabell38[[#This Row],[Levererad värme, andra fjärrvärmeföretag, företag 2 (GWh)]]-Tabell38[[#This Row],[Levererad värme, andra fjärrvärmeföretag, företag 3 (GWh)]]</f>
        <v>11.625</v>
      </c>
      <c r="H66" s="102" t="str">
        <f>VLOOKUP(Tabell38[[#This Row],[Nät]],Tabell5[],2,FALSE)</f>
        <v>Mariannelund</v>
      </c>
      <c r="I66" t="str">
        <f>VLOOKUP(Tabell38[[#This Row],[Nät]],'Leveranser per nät'!A:A,1,FALSE)</f>
        <v>Mariannelund</v>
      </c>
      <c r="O66" t="s">
        <v>806</v>
      </c>
      <c r="P66" t="s">
        <v>806</v>
      </c>
      <c r="Q66" s="44" t="s">
        <v>806</v>
      </c>
      <c r="R66">
        <f t="shared" si="1"/>
        <v>0</v>
      </c>
      <c r="S66">
        <f t="shared" si="2"/>
        <v>0</v>
      </c>
      <c r="T66">
        <f t="shared" si="3"/>
        <v>0</v>
      </c>
      <c r="U66">
        <f t="shared" si="4"/>
        <v>0</v>
      </c>
      <c r="V66">
        <f t="shared" si="5"/>
        <v>0</v>
      </c>
      <c r="W66">
        <f t="shared" si="6"/>
        <v>0</v>
      </c>
    </row>
    <row r="67" spans="1:23" x14ac:dyDescent="0.25">
      <c r="A67" t="s">
        <v>964</v>
      </c>
      <c r="B67" t="s">
        <v>98</v>
      </c>
      <c r="C67">
        <v>40.9</v>
      </c>
      <c r="D67">
        <v>0</v>
      </c>
      <c r="E67">
        <v>0</v>
      </c>
      <c r="F67">
        <v>0</v>
      </c>
      <c r="G67" s="105">
        <f>Tabell38[[#This Row],[Såld värme (GWh)]]-Tabell38[[#This Row],[Levererad värme, andra fjärrvärmeföretag, företag 1 (GWh)]]-Tabell38[[#This Row],[Levererad värme, andra fjärrvärmeföretag, företag 2 (GWh)]]-Tabell38[[#This Row],[Levererad värme, andra fjärrvärmeföretag, företag 3 (GWh)]]</f>
        <v>40.9</v>
      </c>
      <c r="H67" s="102" t="str">
        <f>VLOOKUP(Tabell38[[#This Row],[Nät]],Tabell5[],2,FALSE)</f>
        <v>Emmaboda</v>
      </c>
      <c r="I67" t="str">
        <f>VLOOKUP(Tabell38[[#This Row],[Nät]],'Leveranser per nät'!A:A,1,FALSE)</f>
        <v>Emmaboda</v>
      </c>
      <c r="O67" t="s">
        <v>806</v>
      </c>
      <c r="P67" t="s">
        <v>806</v>
      </c>
      <c r="Q67" s="84" t="s">
        <v>806</v>
      </c>
      <c r="R67">
        <f t="shared" ref="R67:R130" si="7">IF(O67="ET",0,O67)</f>
        <v>0</v>
      </c>
      <c r="S67">
        <f t="shared" ref="S67:S130" si="8">IF(P67="ET",0,P67)</f>
        <v>0</v>
      </c>
      <c r="T67">
        <f t="shared" ref="T67:T130" si="9">IF(Q67="ET",0,Q67)</f>
        <v>0</v>
      </c>
      <c r="U67">
        <f t="shared" ref="U67:U130" si="10">IF(R67="-",0,R67)</f>
        <v>0</v>
      </c>
      <c r="V67">
        <f t="shared" ref="V67:V130" si="11">IF(S67="-",0,S67)</f>
        <v>0</v>
      </c>
      <c r="W67">
        <f t="shared" ref="W67:W130" si="12">IF(T67="-",0,T67)</f>
        <v>0</v>
      </c>
    </row>
    <row r="68" spans="1:23" x14ac:dyDescent="0.25">
      <c r="A68" t="s">
        <v>591</v>
      </c>
      <c r="B68" t="s">
        <v>101</v>
      </c>
      <c r="C68">
        <v>194</v>
      </c>
      <c r="D68">
        <v>0</v>
      </c>
      <c r="E68">
        <v>0</v>
      </c>
      <c r="F68">
        <v>0</v>
      </c>
      <c r="G68" s="105">
        <f>Tabell38[[#This Row],[Såld värme (GWh)]]-Tabell38[[#This Row],[Levererad värme, andra fjärrvärmeföretag, företag 1 (GWh)]]-Tabell38[[#This Row],[Levererad värme, andra fjärrvärmeföretag, företag 2 (GWh)]]-Tabell38[[#This Row],[Levererad värme, andra fjärrvärmeföretag, företag 3 (GWh)]]</f>
        <v>194</v>
      </c>
      <c r="H68" s="102" t="str">
        <f>VLOOKUP(Tabell38[[#This Row],[Nät]],Tabell5[],2,FALSE)</f>
        <v>Enköping</v>
      </c>
      <c r="I68" t="str">
        <f>VLOOKUP(Tabell38[[#This Row],[Nät]],'Leveranser per nät'!A:A,1,FALSE)</f>
        <v>Enköping</v>
      </c>
      <c r="O68" t="s">
        <v>806</v>
      </c>
      <c r="P68" t="s">
        <v>806</v>
      </c>
      <c r="Q68" s="44" t="s">
        <v>806</v>
      </c>
      <c r="R68">
        <f t="shared" si="7"/>
        <v>0</v>
      </c>
      <c r="S68">
        <f t="shared" si="8"/>
        <v>0</v>
      </c>
      <c r="T68">
        <f t="shared" si="9"/>
        <v>0</v>
      </c>
      <c r="U68">
        <f t="shared" si="10"/>
        <v>0</v>
      </c>
      <c r="V68">
        <f t="shared" si="11"/>
        <v>0</v>
      </c>
      <c r="W68">
        <f t="shared" si="12"/>
        <v>0</v>
      </c>
    </row>
    <row r="69" spans="1:23" x14ac:dyDescent="0.25">
      <c r="A69" t="s">
        <v>592</v>
      </c>
      <c r="B69" t="s">
        <v>102</v>
      </c>
      <c r="C69">
        <v>569.14400000000001</v>
      </c>
      <c r="D69">
        <v>0</v>
      </c>
      <c r="E69">
        <v>0</v>
      </c>
      <c r="F69">
        <v>0</v>
      </c>
      <c r="G69" s="105">
        <f>Tabell38[[#This Row],[Såld värme (GWh)]]-Tabell38[[#This Row],[Levererad värme, andra fjärrvärmeföretag, företag 1 (GWh)]]-Tabell38[[#This Row],[Levererad värme, andra fjärrvärmeföretag, företag 2 (GWh)]]-Tabell38[[#This Row],[Levererad värme, andra fjärrvärmeföretag, företag 3 (GWh)]]</f>
        <v>569.14400000000001</v>
      </c>
      <c r="H69" s="102" t="str">
        <f>VLOOKUP(Tabell38[[#This Row],[Nät]],Tabell5[],2,FALSE)</f>
        <v>Eskilstuna-Torshälla</v>
      </c>
      <c r="I69" t="str">
        <f>VLOOKUP(Tabell38[[#This Row],[Nät]],'Leveranser per nät'!A:A,1,FALSE)</f>
        <v>Eskilstuna-Torshälla</v>
      </c>
      <c r="O69" t="s">
        <v>806</v>
      </c>
      <c r="P69" t="s">
        <v>806</v>
      </c>
      <c r="Q69" s="84" t="s">
        <v>806</v>
      </c>
      <c r="R69">
        <f t="shared" si="7"/>
        <v>0</v>
      </c>
      <c r="S69">
        <f t="shared" si="8"/>
        <v>0</v>
      </c>
      <c r="T69">
        <f t="shared" si="9"/>
        <v>0</v>
      </c>
      <c r="U69">
        <f t="shared" si="10"/>
        <v>0</v>
      </c>
      <c r="V69">
        <f t="shared" si="11"/>
        <v>0</v>
      </c>
      <c r="W69">
        <f t="shared" si="12"/>
        <v>0</v>
      </c>
    </row>
    <row r="70" spans="1:23" x14ac:dyDescent="0.25">
      <c r="A70" t="s">
        <v>592</v>
      </c>
      <c r="B70" t="s">
        <v>104</v>
      </c>
      <c r="C70">
        <v>0.69499999999999995</v>
      </c>
      <c r="D70">
        <v>0</v>
      </c>
      <c r="E70">
        <v>0</v>
      </c>
      <c r="F70">
        <v>0</v>
      </c>
      <c r="G70" s="105">
        <f>Tabell38[[#This Row],[Såld värme (GWh)]]-Tabell38[[#This Row],[Levererad värme, andra fjärrvärmeföretag, företag 1 (GWh)]]-Tabell38[[#This Row],[Levererad värme, andra fjärrvärmeföretag, företag 2 (GWh)]]-Tabell38[[#This Row],[Levererad värme, andra fjärrvärmeföretag, företag 3 (GWh)]]</f>
        <v>0.69499999999999995</v>
      </c>
      <c r="H70" s="102" t="str">
        <f>VLOOKUP(Tabell38[[#This Row],[Nät]],Tabell5[],2,FALSE)</f>
        <v>Kvicksund</v>
      </c>
      <c r="I70" t="str">
        <f>VLOOKUP(Tabell38[[#This Row],[Nät]],'Leveranser per nät'!A:A,1,FALSE)</f>
        <v>Kvicksund</v>
      </c>
      <c r="O70" t="s">
        <v>806</v>
      </c>
      <c r="P70" t="s">
        <v>806</v>
      </c>
      <c r="Q70" s="44" t="s">
        <v>806</v>
      </c>
      <c r="R70">
        <f t="shared" si="7"/>
        <v>0</v>
      </c>
      <c r="S70">
        <f t="shared" si="8"/>
        <v>0</v>
      </c>
      <c r="T70">
        <f t="shared" si="9"/>
        <v>0</v>
      </c>
      <c r="U70">
        <f t="shared" si="10"/>
        <v>0</v>
      </c>
      <c r="V70">
        <f t="shared" si="11"/>
        <v>0</v>
      </c>
      <c r="W70">
        <f t="shared" si="12"/>
        <v>0</v>
      </c>
    </row>
    <row r="71" spans="1:23" x14ac:dyDescent="0.25">
      <c r="A71" t="s">
        <v>592</v>
      </c>
      <c r="B71" t="s">
        <v>105</v>
      </c>
      <c r="C71">
        <v>5.2069999999999999</v>
      </c>
      <c r="D71">
        <v>0</v>
      </c>
      <c r="E71">
        <v>0</v>
      </c>
      <c r="F71">
        <v>0</v>
      </c>
      <c r="G71" s="105">
        <f>Tabell38[[#This Row],[Såld värme (GWh)]]-Tabell38[[#This Row],[Levererad värme, andra fjärrvärmeföretag, företag 1 (GWh)]]-Tabell38[[#This Row],[Levererad värme, andra fjärrvärmeföretag, företag 2 (GWh)]]-Tabell38[[#This Row],[Levererad värme, andra fjärrvärmeföretag, företag 3 (GWh)]]</f>
        <v>5.2069999999999999</v>
      </c>
      <c r="H71" s="102" t="str">
        <f>VLOOKUP(Tabell38[[#This Row],[Nät]],Tabell5[],2,FALSE)</f>
        <v>Ärla</v>
      </c>
      <c r="I71" t="str">
        <f>VLOOKUP(Tabell38[[#This Row],[Nät]],'Leveranser per nät'!A:A,1,FALSE)</f>
        <v>Ärla</v>
      </c>
      <c r="O71" t="s">
        <v>806</v>
      </c>
      <c r="P71" t="s">
        <v>806</v>
      </c>
      <c r="Q71" s="84" t="s">
        <v>806</v>
      </c>
      <c r="R71">
        <f t="shared" si="7"/>
        <v>0</v>
      </c>
      <c r="S71">
        <f t="shared" si="8"/>
        <v>0</v>
      </c>
      <c r="T71">
        <f t="shared" si="9"/>
        <v>0</v>
      </c>
      <c r="U71">
        <f t="shared" si="10"/>
        <v>0</v>
      </c>
      <c r="V71">
        <f t="shared" si="11"/>
        <v>0</v>
      </c>
      <c r="W71">
        <f t="shared" si="12"/>
        <v>0</v>
      </c>
    </row>
    <row r="72" spans="1:23" x14ac:dyDescent="0.25">
      <c r="A72" t="s">
        <v>597</v>
      </c>
      <c r="B72" t="s">
        <v>106</v>
      </c>
      <c r="C72">
        <v>95.9</v>
      </c>
      <c r="D72">
        <v>0</v>
      </c>
      <c r="E72">
        <v>0</v>
      </c>
      <c r="F72">
        <v>0</v>
      </c>
      <c r="G72" s="105">
        <f>Tabell38[[#This Row],[Såld värme (GWh)]]-Tabell38[[#This Row],[Levererad värme, andra fjärrvärmeföretag, företag 1 (GWh)]]-Tabell38[[#This Row],[Levererad värme, andra fjärrvärmeföretag, företag 2 (GWh)]]-Tabell38[[#This Row],[Levererad värme, andra fjärrvärmeföretag, företag 3 (GWh)]]</f>
        <v>95.9</v>
      </c>
      <c r="H72" s="102" t="str">
        <f>VLOOKUP(Tabell38[[#This Row],[Nät]],Tabell5[],2,FALSE)</f>
        <v>Falköping</v>
      </c>
      <c r="I72" t="str">
        <f>VLOOKUP(Tabell38[[#This Row],[Nät]],'Leveranser per nät'!A:A,1,FALSE)</f>
        <v>Falköping</v>
      </c>
      <c r="O72" t="s">
        <v>806</v>
      </c>
      <c r="P72" t="s">
        <v>806</v>
      </c>
      <c r="Q72" s="44" t="s">
        <v>806</v>
      </c>
      <c r="R72">
        <f t="shared" si="7"/>
        <v>0</v>
      </c>
      <c r="S72">
        <f t="shared" si="8"/>
        <v>0</v>
      </c>
      <c r="T72">
        <f t="shared" si="9"/>
        <v>0</v>
      </c>
      <c r="U72">
        <f t="shared" si="10"/>
        <v>0</v>
      </c>
      <c r="V72">
        <f t="shared" si="11"/>
        <v>0</v>
      </c>
      <c r="W72">
        <f t="shared" si="12"/>
        <v>0</v>
      </c>
    </row>
    <row r="73" spans="1:23" x14ac:dyDescent="0.25">
      <c r="A73" t="s">
        <v>597</v>
      </c>
      <c r="B73" t="s">
        <v>107</v>
      </c>
      <c r="C73">
        <v>7.9</v>
      </c>
      <c r="D73">
        <v>0</v>
      </c>
      <c r="E73">
        <v>0</v>
      </c>
      <c r="F73">
        <v>0</v>
      </c>
      <c r="G73" s="105">
        <f>Tabell38[[#This Row],[Såld värme (GWh)]]-Tabell38[[#This Row],[Levererad värme, andra fjärrvärmeföretag, företag 1 (GWh)]]-Tabell38[[#This Row],[Levererad värme, andra fjärrvärmeföretag, företag 2 (GWh)]]-Tabell38[[#This Row],[Levererad värme, andra fjärrvärmeföretag, företag 3 (GWh)]]</f>
        <v>7.9</v>
      </c>
      <c r="H73" s="102" t="str">
        <f>VLOOKUP(Tabell38[[#This Row],[Nät]],Tabell5[],2,FALSE)</f>
        <v>Floby</v>
      </c>
      <c r="I73" t="str">
        <f>VLOOKUP(Tabell38[[#This Row],[Nät]],'Leveranser per nät'!A:A,1,FALSE)</f>
        <v>Floby</v>
      </c>
      <c r="O73" t="s">
        <v>806</v>
      </c>
      <c r="P73" t="s">
        <v>806</v>
      </c>
      <c r="Q73" s="84" t="s">
        <v>806</v>
      </c>
      <c r="R73">
        <f t="shared" si="7"/>
        <v>0</v>
      </c>
      <c r="S73">
        <f t="shared" si="8"/>
        <v>0</v>
      </c>
      <c r="T73">
        <f t="shared" si="9"/>
        <v>0</v>
      </c>
      <c r="U73">
        <f t="shared" si="10"/>
        <v>0</v>
      </c>
      <c r="V73">
        <f t="shared" si="11"/>
        <v>0</v>
      </c>
      <c r="W73">
        <f t="shared" si="12"/>
        <v>0</v>
      </c>
    </row>
    <row r="74" spans="1:23" x14ac:dyDescent="0.25">
      <c r="A74" t="s">
        <v>597</v>
      </c>
      <c r="B74" t="s">
        <v>705</v>
      </c>
      <c r="C74">
        <v>3.5</v>
      </c>
      <c r="D74">
        <v>0</v>
      </c>
      <c r="E74">
        <v>0</v>
      </c>
      <c r="F74">
        <v>0</v>
      </c>
      <c r="G74" s="105">
        <f>Tabell38[[#This Row],[Såld värme (GWh)]]-Tabell38[[#This Row],[Levererad värme, andra fjärrvärmeföretag, företag 1 (GWh)]]-Tabell38[[#This Row],[Levererad värme, andra fjärrvärmeföretag, företag 2 (GWh)]]-Tabell38[[#This Row],[Levererad värme, andra fjärrvärmeföretag, företag 3 (GWh)]]</f>
        <v>3.5</v>
      </c>
      <c r="H74" s="102" t="str">
        <f>VLOOKUP(Tabell38[[#This Row],[Nät]],Tabell5[],2,FALSE)</f>
        <v>Stenstorp</v>
      </c>
      <c r="I74" t="str">
        <f>VLOOKUP(Tabell38[[#This Row],[Nät]],'Leveranser per nät'!A:A,1,FALSE)</f>
        <v>Stenstorp</v>
      </c>
      <c r="O74" t="s">
        <v>806</v>
      </c>
      <c r="P74" t="s">
        <v>806</v>
      </c>
      <c r="Q74" s="44" t="s">
        <v>806</v>
      </c>
      <c r="R74">
        <f t="shared" si="7"/>
        <v>0</v>
      </c>
      <c r="S74">
        <f t="shared" si="8"/>
        <v>0</v>
      </c>
      <c r="T74">
        <f t="shared" si="9"/>
        <v>0</v>
      </c>
      <c r="U74">
        <f t="shared" si="10"/>
        <v>0</v>
      </c>
      <c r="V74">
        <f t="shared" si="11"/>
        <v>0</v>
      </c>
      <c r="W74">
        <f t="shared" si="12"/>
        <v>0</v>
      </c>
    </row>
    <row r="75" spans="1:23" x14ac:dyDescent="0.25">
      <c r="A75" t="s">
        <v>596</v>
      </c>
      <c r="B75" t="s">
        <v>108</v>
      </c>
      <c r="C75">
        <v>61.665999999999997</v>
      </c>
      <c r="D75">
        <v>0</v>
      </c>
      <c r="E75">
        <v>0</v>
      </c>
      <c r="F75">
        <v>0</v>
      </c>
      <c r="G75" s="105">
        <f>Tabell38[[#This Row],[Såld värme (GWh)]]-Tabell38[[#This Row],[Levererad värme, andra fjärrvärmeföretag, företag 1 (GWh)]]-Tabell38[[#This Row],[Levererad värme, andra fjärrvärmeföretag, företag 2 (GWh)]]-Tabell38[[#This Row],[Levererad värme, andra fjärrvärmeföretag, företag 3 (GWh)]]</f>
        <v>61.665999999999997</v>
      </c>
      <c r="H75" s="102" t="str">
        <f>VLOOKUP(Tabell38[[#This Row],[Nät]],Tabell5[],2,FALSE)</f>
        <v>Falkenberg</v>
      </c>
      <c r="I75" t="str">
        <f>VLOOKUP(Tabell38[[#This Row],[Nät]],'Leveranser per nät'!A:A,1,FALSE)</f>
        <v>Falkenberg</v>
      </c>
      <c r="O75" t="s">
        <v>806</v>
      </c>
      <c r="P75" t="s">
        <v>806</v>
      </c>
      <c r="Q75" s="84" t="s">
        <v>806</v>
      </c>
      <c r="R75">
        <f t="shared" si="7"/>
        <v>0</v>
      </c>
      <c r="S75">
        <f t="shared" si="8"/>
        <v>0</v>
      </c>
      <c r="T75">
        <f t="shared" si="9"/>
        <v>0</v>
      </c>
      <c r="U75">
        <f t="shared" si="10"/>
        <v>0</v>
      </c>
      <c r="V75">
        <f t="shared" si="11"/>
        <v>0</v>
      </c>
      <c r="W75">
        <f t="shared" si="12"/>
        <v>0</v>
      </c>
    </row>
    <row r="76" spans="1:23" x14ac:dyDescent="0.25">
      <c r="A76" t="s">
        <v>596</v>
      </c>
      <c r="B76" t="s">
        <v>383</v>
      </c>
      <c r="C76">
        <v>2.2879999999999998</v>
      </c>
      <c r="D76">
        <v>0</v>
      </c>
      <c r="E76">
        <v>0</v>
      </c>
      <c r="F76">
        <v>0</v>
      </c>
      <c r="G76" s="105">
        <f>Tabell38[[#This Row],[Såld värme (GWh)]]-Tabell38[[#This Row],[Levererad värme, andra fjärrvärmeföretag, företag 1 (GWh)]]-Tabell38[[#This Row],[Levererad värme, andra fjärrvärmeföretag, företag 2 (GWh)]]-Tabell38[[#This Row],[Levererad värme, andra fjärrvärmeföretag, företag 3 (GWh)]]</f>
        <v>2.2879999999999998</v>
      </c>
      <c r="H76" s="102" t="str">
        <f>VLOOKUP(Tabell38[[#This Row],[Nät]],Tabell5[],2,FALSE)</f>
        <v>Ullared-närvärme</v>
      </c>
      <c r="I76" t="str">
        <f>VLOOKUP(Tabell38[[#This Row],[Nät]],'Leveranser per nät'!A:A,1,FALSE)</f>
        <v>Ullared-närvärme</v>
      </c>
      <c r="O76" t="s">
        <v>806</v>
      </c>
      <c r="P76" t="s">
        <v>806</v>
      </c>
      <c r="Q76" s="44" t="s">
        <v>806</v>
      </c>
      <c r="R76">
        <f t="shared" si="7"/>
        <v>0</v>
      </c>
      <c r="S76">
        <f t="shared" si="8"/>
        <v>0</v>
      </c>
      <c r="T76">
        <f t="shared" si="9"/>
        <v>0</v>
      </c>
      <c r="U76">
        <f t="shared" si="10"/>
        <v>0</v>
      </c>
      <c r="V76">
        <f t="shared" si="11"/>
        <v>0</v>
      </c>
      <c r="W76">
        <f t="shared" si="12"/>
        <v>0</v>
      </c>
    </row>
    <row r="77" spans="1:23" x14ac:dyDescent="0.25">
      <c r="A77" t="s">
        <v>596</v>
      </c>
      <c r="B77" t="s">
        <v>729</v>
      </c>
      <c r="C77">
        <v>2.78</v>
      </c>
      <c r="D77">
        <v>0</v>
      </c>
      <c r="E77">
        <v>0</v>
      </c>
      <c r="F77">
        <v>0</v>
      </c>
      <c r="G77" s="105">
        <f>Tabell38[[#This Row],[Såld värme (GWh)]]-Tabell38[[#This Row],[Levererad värme, andra fjärrvärmeföretag, företag 1 (GWh)]]-Tabell38[[#This Row],[Levererad värme, andra fjärrvärmeföretag, företag 2 (GWh)]]-Tabell38[[#This Row],[Levererad värme, andra fjärrvärmeföretag, företag 3 (GWh)]]</f>
        <v>2.78</v>
      </c>
      <c r="H77" s="102" t="str">
        <f>VLOOKUP(Tabell38[[#This Row],[Nät]],Tabell5[],2,FALSE)</f>
        <v>Vessigebro-närvärme</v>
      </c>
      <c r="I77" t="str">
        <f>VLOOKUP(Tabell38[[#This Row],[Nät]],'Leveranser per nät'!A:A,1,FALSE)</f>
        <v>Vessigebro-närvärme</v>
      </c>
      <c r="O77" t="s">
        <v>806</v>
      </c>
      <c r="P77" t="s">
        <v>806</v>
      </c>
      <c r="Q77" s="84" t="s">
        <v>806</v>
      </c>
      <c r="R77">
        <f t="shared" si="7"/>
        <v>0</v>
      </c>
      <c r="S77">
        <f t="shared" si="8"/>
        <v>0</v>
      </c>
      <c r="T77">
        <f t="shared" si="9"/>
        <v>0</v>
      </c>
      <c r="U77">
        <f t="shared" si="10"/>
        <v>0</v>
      </c>
      <c r="V77">
        <f t="shared" si="11"/>
        <v>0</v>
      </c>
      <c r="W77">
        <f t="shared" si="12"/>
        <v>0</v>
      </c>
    </row>
    <row r="78" spans="1:23" x14ac:dyDescent="0.25">
      <c r="A78" t="s">
        <v>567</v>
      </c>
      <c r="B78" t="s">
        <v>109</v>
      </c>
      <c r="C78">
        <v>3.45</v>
      </c>
      <c r="D78">
        <v>0</v>
      </c>
      <c r="E78">
        <v>0</v>
      </c>
      <c r="F78">
        <v>0</v>
      </c>
      <c r="G78" s="105">
        <f>Tabell38[[#This Row],[Såld värme (GWh)]]-Tabell38[[#This Row],[Levererad värme, andra fjärrvärmeföretag, företag 1 (GWh)]]-Tabell38[[#This Row],[Levererad värme, andra fjärrvärmeföretag, företag 2 (GWh)]]-Tabell38[[#This Row],[Levererad värme, andra fjärrvärmeföretag, företag 3 (GWh)]]</f>
        <v>3.45</v>
      </c>
      <c r="H78" s="102" t="str">
        <f>VLOOKUP(Tabell38[[#This Row],[Nät]],Tabell5[],2,FALSE)</f>
        <v>Bjursås</v>
      </c>
      <c r="I78" t="str">
        <f>VLOOKUP(Tabell38[[#This Row],[Nät]],'Leveranser per nät'!A:A,1,FALSE)</f>
        <v>Bjursås</v>
      </c>
      <c r="O78" t="s">
        <v>806</v>
      </c>
      <c r="P78" t="s">
        <v>806</v>
      </c>
      <c r="Q78" s="44" t="s">
        <v>806</v>
      </c>
      <c r="R78">
        <f t="shared" si="7"/>
        <v>0</v>
      </c>
      <c r="S78">
        <f t="shared" si="8"/>
        <v>0</v>
      </c>
      <c r="T78">
        <f t="shared" si="9"/>
        <v>0</v>
      </c>
      <c r="U78">
        <f t="shared" si="10"/>
        <v>0</v>
      </c>
      <c r="V78">
        <f t="shared" si="11"/>
        <v>0</v>
      </c>
      <c r="W78">
        <f t="shared" si="12"/>
        <v>0</v>
      </c>
    </row>
    <row r="79" spans="1:23" x14ac:dyDescent="0.25">
      <c r="A79" t="s">
        <v>567</v>
      </c>
      <c r="B79" t="s">
        <v>110</v>
      </c>
      <c r="C79">
        <v>307.51</v>
      </c>
      <c r="D79">
        <v>14</v>
      </c>
      <c r="E79">
        <v>0</v>
      </c>
      <c r="F79">
        <v>0</v>
      </c>
      <c r="G79" s="105">
        <f>Tabell38[[#This Row],[Såld värme (GWh)]]-Tabell38[[#This Row],[Levererad värme, andra fjärrvärmeföretag, företag 1 (GWh)]]-Tabell38[[#This Row],[Levererad värme, andra fjärrvärmeföretag, företag 2 (GWh)]]-Tabell38[[#This Row],[Levererad värme, andra fjärrvärmeföretag, företag 3 (GWh)]]</f>
        <v>293.51</v>
      </c>
      <c r="H79" s="102" t="str">
        <f>VLOOKUP(Tabell38[[#This Row],[Nät]],Tabell5[],2,FALSE)</f>
        <v>Falun</v>
      </c>
      <c r="I79" t="str">
        <f>VLOOKUP(Tabell38[[#This Row],[Nät]],'Leveranser per nät'!A:A,1,FALSE)</f>
        <v>Falun</v>
      </c>
      <c r="O79">
        <v>14</v>
      </c>
      <c r="P79" t="s">
        <v>806</v>
      </c>
      <c r="Q79" s="84" t="s">
        <v>806</v>
      </c>
      <c r="R79">
        <f t="shared" si="7"/>
        <v>14</v>
      </c>
      <c r="S79">
        <f t="shared" si="8"/>
        <v>0</v>
      </c>
      <c r="T79">
        <f t="shared" si="9"/>
        <v>0</v>
      </c>
      <c r="U79">
        <f t="shared" si="10"/>
        <v>14</v>
      </c>
      <c r="V79">
        <f t="shared" si="11"/>
        <v>0</v>
      </c>
      <c r="W79">
        <f t="shared" si="12"/>
        <v>0</v>
      </c>
    </row>
    <row r="80" spans="1:23" x14ac:dyDescent="0.25">
      <c r="A80" t="s">
        <v>567</v>
      </c>
      <c r="B80" t="s">
        <v>111</v>
      </c>
      <c r="C80">
        <v>3.63</v>
      </c>
      <c r="D80">
        <v>0</v>
      </c>
      <c r="E80">
        <v>0</v>
      </c>
      <c r="F80">
        <v>0</v>
      </c>
      <c r="G80" s="105">
        <f>Tabell38[[#This Row],[Såld värme (GWh)]]-Tabell38[[#This Row],[Levererad värme, andra fjärrvärmeföretag, företag 1 (GWh)]]-Tabell38[[#This Row],[Levererad värme, andra fjärrvärmeföretag, företag 2 (GWh)]]-Tabell38[[#This Row],[Levererad värme, andra fjärrvärmeföretag, företag 3 (GWh)]]</f>
        <v>3.63</v>
      </c>
      <c r="H80" s="102" t="str">
        <f>VLOOKUP(Tabell38[[#This Row],[Nät]],Tabell5[],2,FALSE)</f>
        <v>Grycksbo</v>
      </c>
      <c r="I80" t="str">
        <f>VLOOKUP(Tabell38[[#This Row],[Nät]],'Leveranser per nät'!A:A,1,FALSE)</f>
        <v>Grycksbo</v>
      </c>
      <c r="O80" t="s">
        <v>806</v>
      </c>
      <c r="P80" t="s">
        <v>806</v>
      </c>
      <c r="Q80" s="44" t="s">
        <v>806</v>
      </c>
      <c r="R80">
        <f t="shared" si="7"/>
        <v>0</v>
      </c>
      <c r="S80">
        <f t="shared" si="8"/>
        <v>0</v>
      </c>
      <c r="T80">
        <f t="shared" si="9"/>
        <v>0</v>
      </c>
      <c r="U80">
        <f t="shared" si="10"/>
        <v>0</v>
      </c>
      <c r="V80">
        <f t="shared" si="11"/>
        <v>0</v>
      </c>
      <c r="W80">
        <f t="shared" si="12"/>
        <v>0</v>
      </c>
    </row>
    <row r="81" spans="1:23" x14ac:dyDescent="0.25">
      <c r="A81" t="s">
        <v>567</v>
      </c>
      <c r="B81" t="s">
        <v>112</v>
      </c>
      <c r="C81">
        <v>4.0199999999999996</v>
      </c>
      <c r="D81">
        <v>0</v>
      </c>
      <c r="E81">
        <v>0</v>
      </c>
      <c r="F81">
        <v>0</v>
      </c>
      <c r="G81" s="105">
        <f>Tabell38[[#This Row],[Såld värme (GWh)]]-Tabell38[[#This Row],[Levererad värme, andra fjärrvärmeföretag, företag 1 (GWh)]]-Tabell38[[#This Row],[Levererad värme, andra fjärrvärmeföretag, företag 2 (GWh)]]-Tabell38[[#This Row],[Levererad värme, andra fjärrvärmeföretag, företag 3 (GWh)]]</f>
        <v>4.0199999999999996</v>
      </c>
      <c r="H81" s="102" t="str">
        <f>VLOOKUP(Tabell38[[#This Row],[Nät]],Tabell5[],2,FALSE)</f>
        <v>Svärdsjö</v>
      </c>
      <c r="I81" t="str">
        <f>VLOOKUP(Tabell38[[#This Row],[Nät]],'Leveranser per nät'!A:A,1,FALSE)</f>
        <v>Svärdsjö</v>
      </c>
      <c r="O81" t="s">
        <v>806</v>
      </c>
      <c r="P81" t="s">
        <v>806</v>
      </c>
      <c r="Q81" s="84" t="s">
        <v>806</v>
      </c>
      <c r="R81">
        <f t="shared" si="7"/>
        <v>0</v>
      </c>
      <c r="S81">
        <f t="shared" si="8"/>
        <v>0</v>
      </c>
      <c r="T81">
        <f t="shared" si="9"/>
        <v>0</v>
      </c>
      <c r="U81">
        <f t="shared" si="10"/>
        <v>0</v>
      </c>
      <c r="V81">
        <f t="shared" si="11"/>
        <v>0</v>
      </c>
      <c r="W81">
        <f t="shared" si="12"/>
        <v>0</v>
      </c>
    </row>
    <row r="82" spans="1:23" x14ac:dyDescent="0.25">
      <c r="A82" t="s">
        <v>599</v>
      </c>
      <c r="B82" t="s">
        <v>113</v>
      </c>
      <c r="C82">
        <v>100</v>
      </c>
      <c r="D82">
        <v>0</v>
      </c>
      <c r="E82">
        <v>0</v>
      </c>
      <c r="F82">
        <v>0</v>
      </c>
      <c r="G82" s="105">
        <f>Tabell38[[#This Row],[Såld värme (GWh)]]-Tabell38[[#This Row],[Levererad värme, andra fjärrvärmeföretag, företag 1 (GWh)]]-Tabell38[[#This Row],[Levererad värme, andra fjärrvärmeföretag, företag 2 (GWh)]]-Tabell38[[#This Row],[Levererad värme, andra fjärrvärmeföretag, företag 3 (GWh)]]</f>
        <v>100</v>
      </c>
      <c r="H82" s="102" t="str">
        <f>VLOOKUP(Tabell38[[#This Row],[Nät]],Tabell5[],2,FALSE)</f>
        <v>Finspång</v>
      </c>
      <c r="I82" t="str">
        <f>VLOOKUP(Tabell38[[#This Row],[Nät]],'Leveranser per nät'!A:A,1,FALSE)</f>
        <v>Finspång</v>
      </c>
      <c r="O82" t="s">
        <v>806</v>
      </c>
      <c r="P82" t="s">
        <v>806</v>
      </c>
      <c r="Q82" s="44" t="s">
        <v>806</v>
      </c>
      <c r="R82">
        <f t="shared" si="7"/>
        <v>0</v>
      </c>
      <c r="S82">
        <f t="shared" si="8"/>
        <v>0</v>
      </c>
      <c r="T82">
        <f t="shared" si="9"/>
        <v>0</v>
      </c>
      <c r="U82">
        <f t="shared" si="10"/>
        <v>0</v>
      </c>
      <c r="V82">
        <f t="shared" si="11"/>
        <v>0</v>
      </c>
      <c r="W82">
        <f t="shared" si="12"/>
        <v>0</v>
      </c>
    </row>
    <row r="83" spans="1:23" x14ac:dyDescent="0.25">
      <c r="A83" t="s">
        <v>610</v>
      </c>
      <c r="B83" t="s">
        <v>443</v>
      </c>
      <c r="C83">
        <v>38.799999999999997</v>
      </c>
      <c r="D83">
        <v>0</v>
      </c>
      <c r="E83">
        <v>0</v>
      </c>
      <c r="F83">
        <v>0</v>
      </c>
      <c r="G83" s="105">
        <f>Tabell38[[#This Row],[Såld värme (GWh)]]-Tabell38[[#This Row],[Levererad värme, andra fjärrvärmeföretag, företag 1 (GWh)]]-Tabell38[[#This Row],[Levererad värme, andra fjärrvärmeföretag, företag 2 (GWh)]]-Tabell38[[#This Row],[Levererad värme, andra fjärrvärmeföretag, företag 3 (GWh)]]</f>
        <v>38.799999999999997</v>
      </c>
      <c r="H83" s="102" t="str">
        <f>VLOOKUP(Tabell38[[#This Row],[Nät]],Tabell5[],2,FALSE)</f>
        <v>Gislaved</v>
      </c>
      <c r="I83" t="str">
        <f>VLOOKUP(Tabell38[[#This Row],[Nät]],'Leveranser per nät'!A:A,1,FALSE)</f>
        <v>Gislaved</v>
      </c>
      <c r="O83" t="s">
        <v>806</v>
      </c>
      <c r="P83" t="s">
        <v>806</v>
      </c>
      <c r="Q83" s="84" t="s">
        <v>806</v>
      </c>
      <c r="R83">
        <f t="shared" si="7"/>
        <v>0</v>
      </c>
      <c r="S83">
        <f t="shared" si="8"/>
        <v>0</v>
      </c>
      <c r="T83">
        <f t="shared" si="9"/>
        <v>0</v>
      </c>
      <c r="U83">
        <f t="shared" si="10"/>
        <v>0</v>
      </c>
      <c r="V83">
        <f t="shared" si="11"/>
        <v>0</v>
      </c>
      <c r="W83">
        <f t="shared" si="12"/>
        <v>0</v>
      </c>
    </row>
    <row r="84" spans="1:23" x14ac:dyDescent="0.25">
      <c r="A84" t="s">
        <v>610</v>
      </c>
      <c r="B84" t="s">
        <v>132</v>
      </c>
      <c r="C84">
        <v>3.8929999999999998</v>
      </c>
      <c r="D84">
        <v>0</v>
      </c>
      <c r="E84">
        <v>0</v>
      </c>
      <c r="F84">
        <v>0</v>
      </c>
      <c r="G84" s="105">
        <f>Tabell38[[#This Row],[Såld värme (GWh)]]-Tabell38[[#This Row],[Levererad värme, andra fjärrvärmeföretag, företag 1 (GWh)]]-Tabell38[[#This Row],[Levererad värme, andra fjärrvärmeföretag, företag 2 (GWh)]]-Tabell38[[#This Row],[Levererad värme, andra fjärrvärmeföretag, företag 3 (GWh)]]</f>
        <v>3.8929999999999998</v>
      </c>
      <c r="H84" s="102" t="str">
        <f>VLOOKUP(Tabell38[[#This Row],[Nät]],Tabell5[],2,FALSE)</f>
        <v>Hestra</v>
      </c>
      <c r="I84" t="str">
        <f>VLOOKUP(Tabell38[[#This Row],[Nät]],'Leveranser per nät'!A:A,1,FALSE)</f>
        <v>Hestra</v>
      </c>
      <c r="O84" t="s">
        <v>806</v>
      </c>
      <c r="P84" t="s">
        <v>806</v>
      </c>
      <c r="Q84" s="44" t="s">
        <v>806</v>
      </c>
      <c r="R84">
        <f t="shared" si="7"/>
        <v>0</v>
      </c>
      <c r="S84">
        <f t="shared" si="8"/>
        <v>0</v>
      </c>
      <c r="T84">
        <f t="shared" si="9"/>
        <v>0</v>
      </c>
      <c r="U84">
        <f t="shared" si="10"/>
        <v>0</v>
      </c>
      <c r="V84">
        <f t="shared" si="11"/>
        <v>0</v>
      </c>
      <c r="W84">
        <f t="shared" si="12"/>
        <v>0</v>
      </c>
    </row>
    <row r="85" spans="1:23" x14ac:dyDescent="0.25">
      <c r="A85" t="s">
        <v>610</v>
      </c>
      <c r="B85" t="s">
        <v>413</v>
      </c>
      <c r="C85">
        <v>2.02</v>
      </c>
      <c r="D85">
        <v>0</v>
      </c>
      <c r="E85">
        <v>0</v>
      </c>
      <c r="F85">
        <v>0</v>
      </c>
      <c r="G85" s="105">
        <f>Tabell38[[#This Row],[Såld värme (GWh)]]-Tabell38[[#This Row],[Levererad värme, andra fjärrvärmeföretag, företag 1 (GWh)]]-Tabell38[[#This Row],[Levererad värme, andra fjärrvärmeföretag, företag 2 (GWh)]]-Tabell38[[#This Row],[Levererad värme, andra fjärrvärmeföretag, företag 3 (GWh)]]</f>
        <v>2.02</v>
      </c>
      <c r="H85" s="102" t="str">
        <f>VLOOKUP(Tabell38[[#This Row],[Nät]],Tabell5[],2,FALSE)</f>
        <v>Reftele</v>
      </c>
      <c r="I85" t="str">
        <f>VLOOKUP(Tabell38[[#This Row],[Nät]],'Leveranser per nät'!A:A,1,FALSE)</f>
        <v>Reftele</v>
      </c>
      <c r="O85" t="s">
        <v>806</v>
      </c>
      <c r="P85" t="s">
        <v>806</v>
      </c>
      <c r="Q85" s="84" t="s">
        <v>806</v>
      </c>
      <c r="R85">
        <f t="shared" si="7"/>
        <v>0</v>
      </c>
      <c r="S85">
        <f t="shared" si="8"/>
        <v>0</v>
      </c>
      <c r="T85">
        <f t="shared" si="9"/>
        <v>0</v>
      </c>
      <c r="U85">
        <f t="shared" si="10"/>
        <v>0</v>
      </c>
      <c r="V85">
        <f t="shared" si="11"/>
        <v>0</v>
      </c>
      <c r="W85">
        <f t="shared" si="12"/>
        <v>0</v>
      </c>
    </row>
    <row r="86" spans="1:23" x14ac:dyDescent="0.25">
      <c r="A86" t="s">
        <v>627</v>
      </c>
      <c r="B86" t="s">
        <v>134</v>
      </c>
      <c r="C86">
        <v>10.696999999999999</v>
      </c>
      <c r="D86">
        <v>0</v>
      </c>
      <c r="E86">
        <v>0</v>
      </c>
      <c r="F86">
        <v>0</v>
      </c>
      <c r="G86" s="105">
        <f>Tabell38[[#This Row],[Såld värme (GWh)]]-Tabell38[[#This Row],[Levererad värme, andra fjärrvärmeföretag, företag 1 (GWh)]]-Tabell38[[#This Row],[Levererad värme, andra fjärrvärmeföretag, företag 2 (GWh)]]-Tabell38[[#This Row],[Levererad värme, andra fjärrvärmeföretag, företag 3 (GWh)]]</f>
        <v>10.696999999999999</v>
      </c>
      <c r="H86" s="102" t="str">
        <f>VLOOKUP(Tabell38[[#This Row],[Nät]],Tabell5[],2,FALSE)</f>
        <v>Hemse</v>
      </c>
      <c r="I86" t="str">
        <f>VLOOKUP(Tabell38[[#This Row],[Nät]],'Leveranser per nät'!A:A,1,FALSE)</f>
        <v>Hemse</v>
      </c>
      <c r="O86" t="s">
        <v>806</v>
      </c>
      <c r="P86" t="s">
        <v>806</v>
      </c>
      <c r="Q86" s="44" t="s">
        <v>806</v>
      </c>
      <c r="R86">
        <f t="shared" si="7"/>
        <v>0</v>
      </c>
      <c r="S86">
        <f t="shared" si="8"/>
        <v>0</v>
      </c>
      <c r="T86">
        <f t="shared" si="9"/>
        <v>0</v>
      </c>
      <c r="U86">
        <f t="shared" si="10"/>
        <v>0</v>
      </c>
      <c r="V86">
        <f t="shared" si="11"/>
        <v>0</v>
      </c>
      <c r="W86">
        <f t="shared" si="12"/>
        <v>0</v>
      </c>
    </row>
    <row r="87" spans="1:23" x14ac:dyDescent="0.25">
      <c r="A87" t="s">
        <v>627</v>
      </c>
      <c r="B87" t="s">
        <v>135</v>
      </c>
      <c r="C87">
        <v>6.4139999999999997</v>
      </c>
      <c r="D87">
        <v>0</v>
      </c>
      <c r="E87">
        <v>0</v>
      </c>
      <c r="F87">
        <v>0</v>
      </c>
      <c r="G87" s="105">
        <f>Tabell38[[#This Row],[Såld värme (GWh)]]-Tabell38[[#This Row],[Levererad värme, andra fjärrvärmeföretag, företag 1 (GWh)]]-Tabell38[[#This Row],[Levererad värme, andra fjärrvärmeföretag, företag 2 (GWh)]]-Tabell38[[#This Row],[Levererad värme, andra fjärrvärmeföretag, företag 3 (GWh)]]</f>
        <v>6.4139999999999997</v>
      </c>
      <c r="H87" s="102" t="str">
        <f>VLOOKUP(Tabell38[[#This Row],[Nät]],Tabell5[],2,FALSE)</f>
        <v>Klintehamn</v>
      </c>
      <c r="I87" t="str">
        <f>VLOOKUP(Tabell38[[#This Row],[Nät]],'Leveranser per nät'!A:A,1,FALSE)</f>
        <v>Klintehamn</v>
      </c>
      <c r="O87" t="s">
        <v>806</v>
      </c>
      <c r="P87" t="s">
        <v>806</v>
      </c>
      <c r="Q87" s="84" t="s">
        <v>806</v>
      </c>
      <c r="R87">
        <f t="shared" si="7"/>
        <v>0</v>
      </c>
      <c r="S87">
        <f t="shared" si="8"/>
        <v>0</v>
      </c>
      <c r="T87">
        <f t="shared" si="9"/>
        <v>0</v>
      </c>
      <c r="U87">
        <f t="shared" si="10"/>
        <v>0</v>
      </c>
      <c r="V87">
        <f t="shared" si="11"/>
        <v>0</v>
      </c>
      <c r="W87">
        <f t="shared" si="12"/>
        <v>0</v>
      </c>
    </row>
    <row r="88" spans="1:23" x14ac:dyDescent="0.25">
      <c r="A88" t="s">
        <v>627</v>
      </c>
      <c r="B88" t="s">
        <v>136</v>
      </c>
      <c r="C88">
        <v>14.098000000000001</v>
      </c>
      <c r="D88">
        <v>0</v>
      </c>
      <c r="E88">
        <v>0</v>
      </c>
      <c r="F88">
        <v>0</v>
      </c>
      <c r="G88" s="105">
        <f>Tabell38[[#This Row],[Såld värme (GWh)]]-Tabell38[[#This Row],[Levererad värme, andra fjärrvärmeföretag, företag 1 (GWh)]]-Tabell38[[#This Row],[Levererad värme, andra fjärrvärmeföretag, företag 2 (GWh)]]-Tabell38[[#This Row],[Levererad värme, andra fjärrvärmeföretag, företag 3 (GWh)]]</f>
        <v>14.098000000000001</v>
      </c>
      <c r="H88" s="102" t="str">
        <f>VLOOKUP(Tabell38[[#This Row],[Nät]],Tabell5[],2,FALSE)</f>
        <v>Slite</v>
      </c>
      <c r="I88" t="str">
        <f>VLOOKUP(Tabell38[[#This Row],[Nät]],'Leveranser per nät'!A:A,1,FALSE)</f>
        <v>Slite</v>
      </c>
      <c r="O88" t="s">
        <v>806</v>
      </c>
      <c r="P88" t="s">
        <v>806</v>
      </c>
      <c r="Q88" s="44" t="s">
        <v>806</v>
      </c>
      <c r="R88">
        <f t="shared" si="7"/>
        <v>0</v>
      </c>
      <c r="S88">
        <f t="shared" si="8"/>
        <v>0</v>
      </c>
      <c r="T88">
        <f t="shared" si="9"/>
        <v>0</v>
      </c>
      <c r="U88">
        <f t="shared" si="10"/>
        <v>0</v>
      </c>
      <c r="V88">
        <f t="shared" si="11"/>
        <v>0</v>
      </c>
      <c r="W88">
        <f t="shared" si="12"/>
        <v>0</v>
      </c>
    </row>
    <row r="89" spans="1:23" x14ac:dyDescent="0.25">
      <c r="A89" t="s">
        <v>627</v>
      </c>
      <c r="B89" t="s">
        <v>133</v>
      </c>
      <c r="C89">
        <v>155.68700000000001</v>
      </c>
      <c r="D89">
        <v>0</v>
      </c>
      <c r="E89">
        <v>0</v>
      </c>
      <c r="F89">
        <v>0</v>
      </c>
      <c r="G89" s="105">
        <f>Tabell38[[#This Row],[Såld värme (GWh)]]-Tabell38[[#This Row],[Levererad värme, andra fjärrvärmeföretag, företag 1 (GWh)]]-Tabell38[[#This Row],[Levererad värme, andra fjärrvärmeföretag, företag 2 (GWh)]]-Tabell38[[#This Row],[Levererad värme, andra fjärrvärmeföretag, företag 3 (GWh)]]</f>
        <v>155.68700000000001</v>
      </c>
      <c r="H89" s="102" t="str">
        <f>VLOOKUP(Tabell38[[#This Row],[Nät]],Tabell5[],2,FALSE)</f>
        <v>Visby</v>
      </c>
      <c r="I89" t="str">
        <f>VLOOKUP(Tabell38[[#This Row],[Nät]],'Leveranser per nät'!A:A,1,FALSE)</f>
        <v>Visby</v>
      </c>
      <c r="O89" t="s">
        <v>806</v>
      </c>
      <c r="P89" t="s">
        <v>806</v>
      </c>
      <c r="Q89" s="84" t="s">
        <v>806</v>
      </c>
      <c r="R89">
        <f t="shared" si="7"/>
        <v>0</v>
      </c>
      <c r="S89">
        <f t="shared" si="8"/>
        <v>0</v>
      </c>
      <c r="T89">
        <f t="shared" si="9"/>
        <v>0</v>
      </c>
      <c r="U89">
        <f t="shared" si="10"/>
        <v>0</v>
      </c>
      <c r="V89">
        <f t="shared" si="11"/>
        <v>0</v>
      </c>
      <c r="W89">
        <f t="shared" si="12"/>
        <v>0</v>
      </c>
    </row>
    <row r="90" spans="1:23" x14ac:dyDescent="0.25">
      <c r="A90" t="s">
        <v>613</v>
      </c>
      <c r="B90" t="s">
        <v>137</v>
      </c>
      <c r="C90">
        <v>145</v>
      </c>
      <c r="D90">
        <v>0</v>
      </c>
      <c r="E90">
        <v>0</v>
      </c>
      <c r="F90">
        <v>0</v>
      </c>
      <c r="G90" s="105">
        <f>Tabell38[[#This Row],[Såld värme (GWh)]]-Tabell38[[#This Row],[Levererad värme, andra fjärrvärmeföretag, företag 1 (GWh)]]-Tabell38[[#This Row],[Levererad värme, andra fjärrvärmeföretag, företag 2 (GWh)]]-Tabell38[[#This Row],[Levererad värme, andra fjärrvärmeföretag, företag 3 (GWh)]]</f>
        <v>145</v>
      </c>
      <c r="H90" s="102" t="e">
        <f>VLOOKUP(Tabell38[[#This Row],[Nät]],Tabell5[],2,FALSE)</f>
        <v>#N/A</v>
      </c>
      <c r="I90" t="str">
        <f>VLOOKUP(Tabell38[[#This Row],[Nät]],'Leveranser per nät'!A:A,1,FALSE)</f>
        <v>Gällivare-Malmberget</v>
      </c>
      <c r="O90" t="s">
        <v>806</v>
      </c>
      <c r="P90" t="s">
        <v>806</v>
      </c>
      <c r="Q90" s="44" t="s">
        <v>806</v>
      </c>
      <c r="R90">
        <f t="shared" si="7"/>
        <v>0</v>
      </c>
      <c r="S90">
        <f t="shared" si="8"/>
        <v>0</v>
      </c>
      <c r="T90">
        <f t="shared" si="9"/>
        <v>0</v>
      </c>
      <c r="U90">
        <f t="shared" si="10"/>
        <v>0</v>
      </c>
      <c r="V90">
        <f t="shared" si="11"/>
        <v>0</v>
      </c>
      <c r="W90">
        <f t="shared" si="12"/>
        <v>0</v>
      </c>
    </row>
    <row r="91" spans="1:23" x14ac:dyDescent="0.25">
      <c r="A91" t="s">
        <v>615</v>
      </c>
      <c r="B91" t="s">
        <v>138</v>
      </c>
      <c r="C91">
        <v>606.29999999999995</v>
      </c>
      <c r="D91">
        <v>0</v>
      </c>
      <c r="E91">
        <v>0</v>
      </c>
      <c r="F91">
        <v>0</v>
      </c>
      <c r="G91" s="105">
        <f>Tabell38[[#This Row],[Såld värme (GWh)]]-Tabell38[[#This Row],[Levererad värme, andra fjärrvärmeföretag, företag 1 (GWh)]]-Tabell38[[#This Row],[Levererad värme, andra fjärrvärmeföretag, företag 2 (GWh)]]-Tabell38[[#This Row],[Levererad värme, andra fjärrvärmeföretag, företag 3 (GWh)]]</f>
        <v>606.29999999999995</v>
      </c>
      <c r="H91" s="102" t="str">
        <f>VLOOKUP(Tabell38[[#This Row],[Nät]],Tabell5[],2,FALSE)</f>
        <v>Gävle</v>
      </c>
      <c r="I91" t="str">
        <f>VLOOKUP(Tabell38[[#This Row],[Nät]],'Leveranser per nät'!A:A,1,FALSE)</f>
        <v>Gävle</v>
      </c>
      <c r="O91" t="s">
        <v>806</v>
      </c>
      <c r="P91" t="s">
        <v>806</v>
      </c>
      <c r="Q91" s="84" t="s">
        <v>806</v>
      </c>
      <c r="R91">
        <f t="shared" si="7"/>
        <v>0</v>
      </c>
      <c r="S91">
        <f t="shared" si="8"/>
        <v>0</v>
      </c>
      <c r="T91">
        <f t="shared" si="9"/>
        <v>0</v>
      </c>
      <c r="U91">
        <f t="shared" si="10"/>
        <v>0</v>
      </c>
      <c r="V91">
        <f t="shared" si="11"/>
        <v>0</v>
      </c>
      <c r="W91">
        <f t="shared" si="12"/>
        <v>0</v>
      </c>
    </row>
    <row r="92" spans="1:23" x14ac:dyDescent="0.25">
      <c r="A92" t="s">
        <v>616</v>
      </c>
      <c r="B92" t="s">
        <v>810</v>
      </c>
      <c r="C92" t="s">
        <v>806</v>
      </c>
      <c r="D92">
        <v>0</v>
      </c>
      <c r="E92">
        <v>0</v>
      </c>
      <c r="F92">
        <v>0</v>
      </c>
      <c r="G92"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92" s="102" t="e">
        <f>VLOOKUP(Tabell38[[#This Row],[Nät]],Tabell5[],2,FALSE)</f>
        <v>#N/A</v>
      </c>
      <c r="I92" t="e">
        <f>VLOOKUP(Tabell38[[#This Row],[Nät]],'Leveranser per nät'!A:A,1,FALSE)</f>
        <v>#N/A</v>
      </c>
      <c r="O92" t="s">
        <v>806</v>
      </c>
      <c r="P92" t="s">
        <v>806</v>
      </c>
      <c r="Q92" s="44" t="s">
        <v>806</v>
      </c>
      <c r="R92">
        <f t="shared" si="7"/>
        <v>0</v>
      </c>
      <c r="S92">
        <f t="shared" si="8"/>
        <v>0</v>
      </c>
      <c r="T92">
        <f t="shared" si="9"/>
        <v>0</v>
      </c>
      <c r="U92">
        <f t="shared" si="10"/>
        <v>0</v>
      </c>
      <c r="V92">
        <f t="shared" si="11"/>
        <v>0</v>
      </c>
      <c r="W92">
        <f t="shared" si="12"/>
        <v>0</v>
      </c>
    </row>
    <row r="93" spans="1:23" x14ac:dyDescent="0.25">
      <c r="A93" t="s">
        <v>616</v>
      </c>
      <c r="B93" t="s">
        <v>966</v>
      </c>
      <c r="C93">
        <v>2928.6093700000001</v>
      </c>
      <c r="D93">
        <v>36.4848</v>
      </c>
      <c r="E93">
        <v>26.888000000000002</v>
      </c>
      <c r="F93">
        <v>170.9</v>
      </c>
      <c r="G93" s="105">
        <f>Tabell38[[#This Row],[Såld värme (GWh)]]-Tabell38[[#This Row],[Levererad värme, andra fjärrvärmeföretag, företag 1 (GWh)]]-Tabell38[[#This Row],[Levererad värme, andra fjärrvärmeföretag, företag 2 (GWh)]]-Tabell38[[#This Row],[Levererad värme, andra fjärrvärmeföretag, företag 3 (GWh)]]</f>
        <v>2694.3365699999999</v>
      </c>
      <c r="H93" s="102" t="str">
        <f>VLOOKUP(Tabell38[[#This Row],[Nät]],Tabell5[],2,FALSE)</f>
        <v>Göteborg Ale</v>
      </c>
      <c r="I93" t="str">
        <f>VLOOKUP(Tabell38[[#This Row],[Nät]],'Leveranser per nät'!A:A,1,FALSE)</f>
        <v>Göteborg Ale</v>
      </c>
      <c r="O93">
        <v>36.4848</v>
      </c>
      <c r="P93">
        <v>26.888000000000002</v>
      </c>
      <c r="Q93" s="84">
        <v>170.9</v>
      </c>
      <c r="R93">
        <f t="shared" si="7"/>
        <v>36.4848</v>
      </c>
      <c r="S93">
        <f t="shared" si="8"/>
        <v>26.888000000000002</v>
      </c>
      <c r="T93">
        <f t="shared" si="9"/>
        <v>170.9</v>
      </c>
      <c r="U93">
        <f t="shared" si="10"/>
        <v>36.4848</v>
      </c>
      <c r="V93">
        <f t="shared" si="11"/>
        <v>26.888000000000002</v>
      </c>
      <c r="W93">
        <f t="shared" si="12"/>
        <v>170.9</v>
      </c>
    </row>
    <row r="94" spans="1:23" x14ac:dyDescent="0.25">
      <c r="A94" t="s">
        <v>616</v>
      </c>
      <c r="B94" t="s">
        <v>970</v>
      </c>
      <c r="C94">
        <v>155.94999999999999</v>
      </c>
      <c r="D94">
        <v>0</v>
      </c>
      <c r="E94">
        <v>0</v>
      </c>
      <c r="F94">
        <v>0</v>
      </c>
      <c r="G94" s="105">
        <f>Tabell38[[#This Row],[Såld värme (GWh)]]-Tabell38[[#This Row],[Levererad värme, andra fjärrvärmeföretag, företag 1 (GWh)]]-Tabell38[[#This Row],[Levererad värme, andra fjärrvärmeföretag, företag 2 (GWh)]]-Tabell38[[#This Row],[Levererad värme, andra fjärrvärmeföretag, företag 3 (GWh)]]</f>
        <v>155.94999999999999</v>
      </c>
      <c r="H94" s="102" t="e">
        <f>VLOOKUP(Tabell38[[#This Row],[Nät]],Tabell5[],2,FALSE)</f>
        <v>#N/A</v>
      </c>
      <c r="I94" t="e">
        <f>VLOOKUP(Tabell38[[#This Row],[Nät]],'Leveranser per nät'!A:A,1,FALSE)</f>
        <v>#N/A</v>
      </c>
      <c r="O94" t="s">
        <v>806</v>
      </c>
      <c r="P94" t="s">
        <v>806</v>
      </c>
      <c r="Q94" s="44" t="s">
        <v>806</v>
      </c>
      <c r="R94">
        <f t="shared" si="7"/>
        <v>0</v>
      </c>
      <c r="S94">
        <f t="shared" si="8"/>
        <v>0</v>
      </c>
      <c r="T94">
        <f t="shared" si="9"/>
        <v>0</v>
      </c>
      <c r="U94">
        <f t="shared" si="10"/>
        <v>0</v>
      </c>
      <c r="V94">
        <f t="shared" si="11"/>
        <v>0</v>
      </c>
      <c r="W94">
        <f t="shared" si="12"/>
        <v>0</v>
      </c>
    </row>
    <row r="95" spans="1:23" x14ac:dyDescent="0.25">
      <c r="A95" t="s">
        <v>616</v>
      </c>
      <c r="B95" t="s">
        <v>616</v>
      </c>
      <c r="C95" t="s">
        <v>806</v>
      </c>
      <c r="D95">
        <v>0</v>
      </c>
      <c r="E95">
        <v>0</v>
      </c>
      <c r="F95">
        <v>0</v>
      </c>
      <c r="G95"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95" s="102" t="e">
        <f>VLOOKUP(Tabell38[[#This Row],[Nät]],Tabell5[],2,FALSE)</f>
        <v>#N/A</v>
      </c>
      <c r="I95" t="e">
        <f>VLOOKUP(Tabell38[[#This Row],[Nät]],'Leveranser per nät'!A:A,1,FALSE)</f>
        <v>#N/A</v>
      </c>
      <c r="O95" t="s">
        <v>806</v>
      </c>
      <c r="P95" t="s">
        <v>806</v>
      </c>
      <c r="Q95" s="84" t="s">
        <v>806</v>
      </c>
      <c r="R95">
        <f t="shared" si="7"/>
        <v>0</v>
      </c>
      <c r="S95">
        <f t="shared" si="8"/>
        <v>0</v>
      </c>
      <c r="T95">
        <f t="shared" si="9"/>
        <v>0</v>
      </c>
      <c r="U95">
        <f t="shared" si="10"/>
        <v>0</v>
      </c>
      <c r="V95">
        <f t="shared" si="11"/>
        <v>0</v>
      </c>
      <c r="W95">
        <f t="shared" si="12"/>
        <v>0</v>
      </c>
    </row>
    <row r="96" spans="1:23" x14ac:dyDescent="0.25">
      <c r="A96" t="s">
        <v>616</v>
      </c>
      <c r="B96" t="s">
        <v>814</v>
      </c>
      <c r="C96" t="s">
        <v>806</v>
      </c>
      <c r="D96">
        <v>0</v>
      </c>
      <c r="E96">
        <v>0</v>
      </c>
      <c r="F96">
        <v>0</v>
      </c>
      <c r="G96"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96" s="102" t="e">
        <f>VLOOKUP(Tabell38[[#This Row],[Nät]],Tabell5[],2,FALSE)</f>
        <v>#N/A</v>
      </c>
      <c r="I96" t="e">
        <f>VLOOKUP(Tabell38[[#This Row],[Nät]],'Leveranser per nät'!A:A,1,FALSE)</f>
        <v>#N/A</v>
      </c>
      <c r="O96" t="s">
        <v>806</v>
      </c>
      <c r="P96" t="s">
        <v>806</v>
      </c>
      <c r="Q96" s="44" t="s">
        <v>806</v>
      </c>
      <c r="R96">
        <f t="shared" si="7"/>
        <v>0</v>
      </c>
      <c r="S96">
        <f t="shared" si="8"/>
        <v>0</v>
      </c>
      <c r="T96">
        <f t="shared" si="9"/>
        <v>0</v>
      </c>
      <c r="U96">
        <f t="shared" si="10"/>
        <v>0</v>
      </c>
      <c r="V96">
        <f t="shared" si="11"/>
        <v>0</v>
      </c>
      <c r="W96">
        <f t="shared" si="12"/>
        <v>0</v>
      </c>
    </row>
    <row r="97" spans="1:23" x14ac:dyDescent="0.25">
      <c r="A97" t="s">
        <v>616</v>
      </c>
      <c r="B97" t="s">
        <v>815</v>
      </c>
      <c r="C97" t="s">
        <v>806</v>
      </c>
      <c r="D97">
        <v>0</v>
      </c>
      <c r="E97">
        <v>0</v>
      </c>
      <c r="F97">
        <v>0</v>
      </c>
      <c r="G97"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97" s="102" t="e">
        <f>VLOOKUP(Tabell38[[#This Row],[Nät]],Tabell5[],2,FALSE)</f>
        <v>#N/A</v>
      </c>
      <c r="I97" t="e">
        <f>VLOOKUP(Tabell38[[#This Row],[Nät]],'Leveranser per nät'!A:A,1,FALSE)</f>
        <v>#N/A</v>
      </c>
      <c r="O97" t="s">
        <v>806</v>
      </c>
      <c r="P97" t="s">
        <v>806</v>
      </c>
      <c r="Q97" s="84" t="s">
        <v>806</v>
      </c>
      <c r="R97">
        <f t="shared" si="7"/>
        <v>0</v>
      </c>
      <c r="S97">
        <f t="shared" si="8"/>
        <v>0</v>
      </c>
      <c r="T97">
        <f t="shared" si="9"/>
        <v>0</v>
      </c>
      <c r="U97">
        <f t="shared" si="10"/>
        <v>0</v>
      </c>
      <c r="V97">
        <f t="shared" si="11"/>
        <v>0</v>
      </c>
      <c r="W97">
        <f t="shared" si="12"/>
        <v>0</v>
      </c>
    </row>
    <row r="98" spans="1:23" x14ac:dyDescent="0.25">
      <c r="A98" t="s">
        <v>618</v>
      </c>
      <c r="B98" t="s">
        <v>139</v>
      </c>
      <c r="C98">
        <v>107.44799999999999</v>
      </c>
      <c r="D98">
        <v>0</v>
      </c>
      <c r="E98">
        <v>0</v>
      </c>
      <c r="F98">
        <v>0</v>
      </c>
      <c r="G98" s="105">
        <f>Tabell38[[#This Row],[Såld värme (GWh)]]-Tabell38[[#This Row],[Levererad värme, andra fjärrvärmeföretag, företag 1 (GWh)]]-Tabell38[[#This Row],[Levererad värme, andra fjärrvärmeföretag, företag 2 (GWh)]]-Tabell38[[#This Row],[Levererad värme, andra fjärrvärmeföretag, företag 3 (GWh)]]</f>
        <v>107.44799999999999</v>
      </c>
      <c r="H98" s="102" t="str">
        <f>VLOOKUP(Tabell38[[#This Row],[Nät]],Tabell5[],2,FALSE)</f>
        <v>Götene</v>
      </c>
      <c r="I98" t="str">
        <f>VLOOKUP(Tabell38[[#This Row],[Nät]],'Leveranser per nät'!A:A,1,FALSE)</f>
        <v>Götene</v>
      </c>
      <c r="O98" t="s">
        <v>806</v>
      </c>
      <c r="P98" t="s">
        <v>806</v>
      </c>
      <c r="Q98" s="44" t="s">
        <v>806</v>
      </c>
      <c r="R98">
        <f t="shared" si="7"/>
        <v>0</v>
      </c>
      <c r="S98">
        <f t="shared" si="8"/>
        <v>0</v>
      </c>
      <c r="T98">
        <f t="shared" si="9"/>
        <v>0</v>
      </c>
      <c r="U98">
        <f t="shared" si="10"/>
        <v>0</v>
      </c>
      <c r="V98">
        <f t="shared" si="11"/>
        <v>0</v>
      </c>
      <c r="W98">
        <f t="shared" si="12"/>
        <v>0</v>
      </c>
    </row>
    <row r="99" spans="1:23" x14ac:dyDescent="0.25">
      <c r="A99" t="s">
        <v>618</v>
      </c>
      <c r="B99" t="s">
        <v>140</v>
      </c>
      <c r="C99">
        <v>2.2829999999999999</v>
      </c>
      <c r="D99">
        <v>0</v>
      </c>
      <c r="E99">
        <v>0</v>
      </c>
      <c r="F99">
        <v>0</v>
      </c>
      <c r="G99" s="105">
        <f>Tabell38[[#This Row],[Såld värme (GWh)]]-Tabell38[[#This Row],[Levererad värme, andra fjärrvärmeföretag, företag 1 (GWh)]]-Tabell38[[#This Row],[Levererad värme, andra fjärrvärmeföretag, företag 2 (GWh)]]-Tabell38[[#This Row],[Levererad värme, andra fjärrvärmeföretag, företag 3 (GWh)]]</f>
        <v>2.2829999999999999</v>
      </c>
      <c r="H99" s="102" t="str">
        <f>VLOOKUP(Tabell38[[#This Row],[Nät]],Tabell5[],2,FALSE)</f>
        <v>Hällekis</v>
      </c>
      <c r="I99" t="str">
        <f>VLOOKUP(Tabell38[[#This Row],[Nät]],'Leveranser per nät'!A:A,1,FALSE)</f>
        <v>Hällekis</v>
      </c>
      <c r="O99" t="s">
        <v>806</v>
      </c>
      <c r="P99" t="s">
        <v>806</v>
      </c>
      <c r="Q99" s="84" t="s">
        <v>806</v>
      </c>
      <c r="R99">
        <f t="shared" si="7"/>
        <v>0</v>
      </c>
      <c r="S99">
        <f t="shared" si="8"/>
        <v>0</v>
      </c>
      <c r="T99">
        <f t="shared" si="9"/>
        <v>0</v>
      </c>
      <c r="U99">
        <f t="shared" si="10"/>
        <v>0</v>
      </c>
      <c r="V99">
        <f t="shared" si="11"/>
        <v>0</v>
      </c>
      <c r="W99">
        <f t="shared" si="12"/>
        <v>0</v>
      </c>
    </row>
    <row r="100" spans="1:23" x14ac:dyDescent="0.25">
      <c r="A100" t="s">
        <v>619</v>
      </c>
      <c r="B100" t="s">
        <v>1107</v>
      </c>
      <c r="C100" t="s">
        <v>805</v>
      </c>
      <c r="D100">
        <v>0</v>
      </c>
      <c r="E100">
        <v>0</v>
      </c>
      <c r="F100">
        <v>0</v>
      </c>
      <c r="G100"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100" s="102" t="str">
        <f>VLOOKUP(Tabell38[[#This Row],[Nät]],Tabell5[],2,FALSE)</f>
        <v>Fagerhult</v>
      </c>
      <c r="I100" t="e">
        <f>VLOOKUP(Tabell38[[#This Row],[Nät]],'Leveranser per nät'!A:A,1,FALSE)</f>
        <v>#N/A</v>
      </c>
      <c r="O100" t="s">
        <v>805</v>
      </c>
      <c r="P100" t="s">
        <v>805</v>
      </c>
      <c r="Q100" s="44" t="s">
        <v>805</v>
      </c>
      <c r="R100" t="str">
        <f t="shared" si="7"/>
        <v>-</v>
      </c>
      <c r="S100" t="str">
        <f t="shared" si="8"/>
        <v>-</v>
      </c>
      <c r="T100" t="str">
        <f t="shared" si="9"/>
        <v>-</v>
      </c>
      <c r="U100">
        <f t="shared" si="10"/>
        <v>0</v>
      </c>
      <c r="V100">
        <f t="shared" si="11"/>
        <v>0</v>
      </c>
      <c r="W100">
        <f t="shared" si="12"/>
        <v>0</v>
      </c>
    </row>
    <row r="101" spans="1:23" x14ac:dyDescent="0.25">
      <c r="A101" t="s">
        <v>619</v>
      </c>
      <c r="B101" t="s">
        <v>141</v>
      </c>
      <c r="C101" t="s">
        <v>805</v>
      </c>
      <c r="D101">
        <v>0</v>
      </c>
      <c r="E101">
        <v>0</v>
      </c>
      <c r="F101">
        <v>0</v>
      </c>
      <c r="G101"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101" s="102" t="str">
        <f>VLOOKUP(Tabell38[[#This Row],[Nät]],Tabell5[],2,FALSE)</f>
        <v>Habo</v>
      </c>
      <c r="I101" t="str">
        <f>VLOOKUP(Tabell38[[#This Row],[Nät]],'Leveranser per nät'!A:A,1,FALSE)</f>
        <v>Habo</v>
      </c>
      <c r="O101" t="s">
        <v>805</v>
      </c>
      <c r="P101" t="s">
        <v>805</v>
      </c>
      <c r="Q101" s="84" t="s">
        <v>805</v>
      </c>
      <c r="R101" t="str">
        <f t="shared" si="7"/>
        <v>-</v>
      </c>
      <c r="S101" t="str">
        <f t="shared" si="8"/>
        <v>-</v>
      </c>
      <c r="T101" t="str">
        <f t="shared" si="9"/>
        <v>-</v>
      </c>
      <c r="U101">
        <f t="shared" si="10"/>
        <v>0</v>
      </c>
      <c r="V101">
        <f t="shared" si="11"/>
        <v>0</v>
      </c>
      <c r="W101">
        <f t="shared" si="12"/>
        <v>0</v>
      </c>
    </row>
    <row r="102" spans="1:23" x14ac:dyDescent="0.25">
      <c r="A102" t="s">
        <v>972</v>
      </c>
      <c r="B102" t="s">
        <v>588</v>
      </c>
      <c r="C102">
        <v>9.8989999999999991</v>
      </c>
      <c r="D102">
        <v>0</v>
      </c>
      <c r="E102">
        <v>0</v>
      </c>
      <c r="F102">
        <v>0</v>
      </c>
      <c r="G102" s="105">
        <f>Tabell38[[#This Row],[Såld värme (GWh)]]-Tabell38[[#This Row],[Levererad värme, andra fjärrvärmeföretag, företag 1 (GWh)]]-Tabell38[[#This Row],[Levererad värme, andra fjärrvärmeföretag, företag 2 (GWh)]]-Tabell38[[#This Row],[Levererad värme, andra fjärrvärmeföretag, företag 3 (GWh)]]</f>
        <v>9.8989999999999991</v>
      </c>
      <c r="H102" s="102" t="str">
        <f>VLOOKUP(Tabell38[[#This Row],[Nät]],Tabell5[],2,FALSE)</f>
        <v>Ekshärad</v>
      </c>
      <c r="I102" t="str">
        <f>VLOOKUP(Tabell38[[#This Row],[Nät]],'Leveranser per nät'!A:A,1,FALSE)</f>
        <v>Ekshärad</v>
      </c>
      <c r="O102" t="s">
        <v>806</v>
      </c>
      <c r="P102" t="s">
        <v>806</v>
      </c>
      <c r="Q102" s="44" t="s">
        <v>806</v>
      </c>
      <c r="R102">
        <f t="shared" si="7"/>
        <v>0</v>
      </c>
      <c r="S102">
        <f t="shared" si="8"/>
        <v>0</v>
      </c>
      <c r="T102">
        <f t="shared" si="9"/>
        <v>0</v>
      </c>
      <c r="U102">
        <f t="shared" si="10"/>
        <v>0</v>
      </c>
      <c r="V102">
        <f t="shared" si="11"/>
        <v>0</v>
      </c>
      <c r="W102">
        <f t="shared" si="12"/>
        <v>0</v>
      </c>
    </row>
    <row r="103" spans="1:23" x14ac:dyDescent="0.25">
      <c r="A103" t="s">
        <v>972</v>
      </c>
      <c r="B103" t="s">
        <v>520</v>
      </c>
      <c r="C103">
        <v>44.856999999999999</v>
      </c>
      <c r="D103">
        <v>0</v>
      </c>
      <c r="E103">
        <v>0</v>
      </c>
      <c r="F103">
        <v>0</v>
      </c>
      <c r="G103" s="105">
        <f>Tabell38[[#This Row],[Såld värme (GWh)]]-Tabell38[[#This Row],[Levererad värme, andra fjärrvärmeföretag, företag 1 (GWh)]]-Tabell38[[#This Row],[Levererad värme, andra fjärrvärmeföretag, företag 2 (GWh)]]-Tabell38[[#This Row],[Levererad värme, andra fjärrvärmeföretag, företag 3 (GWh)]]</f>
        <v>44.856999999999999</v>
      </c>
      <c r="H103" s="102" t="str">
        <f>VLOOKUP(Tabell38[[#This Row],[Nät]],Tabell5[],2,FALSE)</f>
        <v>Hagfors</v>
      </c>
      <c r="I103" t="str">
        <f>VLOOKUP(Tabell38[[#This Row],[Nät]],'Leveranser per nät'!A:A,1,FALSE)</f>
        <v>Hagfors</v>
      </c>
      <c r="O103" t="s">
        <v>806</v>
      </c>
      <c r="P103" t="s">
        <v>806</v>
      </c>
      <c r="Q103" s="84" t="s">
        <v>806</v>
      </c>
      <c r="R103">
        <f t="shared" si="7"/>
        <v>0</v>
      </c>
      <c r="S103">
        <f t="shared" si="8"/>
        <v>0</v>
      </c>
      <c r="T103">
        <f t="shared" si="9"/>
        <v>0</v>
      </c>
      <c r="U103">
        <f t="shared" si="10"/>
        <v>0</v>
      </c>
      <c r="V103">
        <f t="shared" si="11"/>
        <v>0</v>
      </c>
      <c r="W103">
        <f t="shared" si="12"/>
        <v>0</v>
      </c>
    </row>
    <row r="104" spans="1:23" x14ac:dyDescent="0.25">
      <c r="A104" t="s">
        <v>972</v>
      </c>
      <c r="B104" t="s">
        <v>712</v>
      </c>
      <c r="C104">
        <v>0.248</v>
      </c>
      <c r="D104">
        <v>0</v>
      </c>
      <c r="E104">
        <v>0</v>
      </c>
      <c r="F104">
        <v>0</v>
      </c>
      <c r="G104" s="105">
        <f>Tabell38[[#This Row],[Såld värme (GWh)]]-Tabell38[[#This Row],[Levererad värme, andra fjärrvärmeföretag, företag 1 (GWh)]]-Tabell38[[#This Row],[Levererad värme, andra fjärrvärmeföretag, företag 2 (GWh)]]-Tabell38[[#This Row],[Levererad värme, andra fjärrvärmeföretag, företag 3 (GWh)]]</f>
        <v>0.248</v>
      </c>
      <c r="H104" s="102" t="str">
        <f>VLOOKUP(Tabell38[[#This Row],[Nät]],Tabell5[],2,FALSE)</f>
        <v>Sunnemo</v>
      </c>
      <c r="I104" t="str">
        <f>VLOOKUP(Tabell38[[#This Row],[Nät]],'Leveranser per nät'!A:A,1,FALSE)</f>
        <v>Sunnemo</v>
      </c>
      <c r="O104" t="s">
        <v>806</v>
      </c>
      <c r="P104" t="s">
        <v>806</v>
      </c>
      <c r="Q104" s="44" t="s">
        <v>806</v>
      </c>
      <c r="R104">
        <f t="shared" si="7"/>
        <v>0</v>
      </c>
      <c r="S104">
        <f t="shared" si="8"/>
        <v>0</v>
      </c>
      <c r="T104">
        <f t="shared" si="9"/>
        <v>0</v>
      </c>
      <c r="U104">
        <f t="shared" si="10"/>
        <v>0</v>
      </c>
      <c r="V104">
        <f t="shared" si="11"/>
        <v>0</v>
      </c>
      <c r="W104">
        <f t="shared" si="12"/>
        <v>0</v>
      </c>
    </row>
    <row r="105" spans="1:23" x14ac:dyDescent="0.25">
      <c r="A105" t="s">
        <v>622</v>
      </c>
      <c r="B105" t="s">
        <v>142</v>
      </c>
      <c r="C105">
        <v>507.7</v>
      </c>
      <c r="D105">
        <v>0</v>
      </c>
      <c r="E105">
        <v>0</v>
      </c>
      <c r="F105">
        <v>0</v>
      </c>
      <c r="G105" s="105">
        <f>Tabell38[[#This Row],[Såld värme (GWh)]]-Tabell38[[#This Row],[Levererad värme, andra fjärrvärmeföretag, företag 1 (GWh)]]-Tabell38[[#This Row],[Levererad värme, andra fjärrvärmeföretag, företag 2 (GWh)]]-Tabell38[[#This Row],[Levererad värme, andra fjärrvärmeföretag, företag 3 (GWh)]]</f>
        <v>507.7</v>
      </c>
      <c r="H105" s="102" t="str">
        <f>VLOOKUP(Tabell38[[#This Row],[Nät]],Tabell5[],2,FALSE)</f>
        <v>Halmstad</v>
      </c>
      <c r="I105" t="str">
        <f>VLOOKUP(Tabell38[[#This Row],[Nät]],'Leveranser per nät'!A:A,1,FALSE)</f>
        <v>Halmstad</v>
      </c>
      <c r="O105" t="s">
        <v>806</v>
      </c>
      <c r="P105" t="s">
        <v>806</v>
      </c>
      <c r="Q105" s="84" t="s">
        <v>806</v>
      </c>
      <c r="R105">
        <f t="shared" si="7"/>
        <v>0</v>
      </c>
      <c r="S105">
        <f t="shared" si="8"/>
        <v>0</v>
      </c>
      <c r="T105">
        <f t="shared" si="9"/>
        <v>0</v>
      </c>
      <c r="U105">
        <f t="shared" si="10"/>
        <v>0</v>
      </c>
      <c r="V105">
        <f t="shared" si="11"/>
        <v>0</v>
      </c>
      <c r="W105">
        <f t="shared" si="12"/>
        <v>0</v>
      </c>
    </row>
    <row r="106" spans="1:23" x14ac:dyDescent="0.25">
      <c r="A106" t="s">
        <v>698</v>
      </c>
      <c r="B106" t="s">
        <v>143</v>
      </c>
      <c r="C106">
        <v>40.5</v>
      </c>
      <c r="D106">
        <v>0</v>
      </c>
      <c r="E106">
        <v>0</v>
      </c>
      <c r="F106">
        <v>0</v>
      </c>
      <c r="G106" s="105">
        <f>Tabell38[[#This Row],[Såld värme (GWh)]]-Tabell38[[#This Row],[Levererad värme, andra fjärrvärmeföretag, företag 1 (GWh)]]-Tabell38[[#This Row],[Levererad värme, andra fjärrvärmeföretag, företag 2 (GWh)]]-Tabell38[[#This Row],[Levererad värme, andra fjärrvärmeföretag, företag 3 (GWh)]]</f>
        <v>40.5</v>
      </c>
      <c r="H106" s="102" t="str">
        <f>VLOOKUP(Tabell38[[#This Row],[Nät]],Tabell5[],2,FALSE)</f>
        <v>Skoghall</v>
      </c>
      <c r="I106" t="str">
        <f>VLOOKUP(Tabell38[[#This Row],[Nät]],'Leveranser per nät'!A:A,1,FALSE)</f>
        <v>Skoghall</v>
      </c>
      <c r="O106" t="s">
        <v>806</v>
      </c>
      <c r="P106" t="s">
        <v>806</v>
      </c>
      <c r="Q106" s="44" t="s">
        <v>806</v>
      </c>
      <c r="R106">
        <f t="shared" si="7"/>
        <v>0</v>
      </c>
      <c r="S106">
        <f t="shared" si="8"/>
        <v>0</v>
      </c>
      <c r="T106">
        <f t="shared" si="9"/>
        <v>0</v>
      </c>
      <c r="U106">
        <f t="shared" si="10"/>
        <v>0</v>
      </c>
      <c r="V106">
        <f t="shared" si="11"/>
        <v>0</v>
      </c>
      <c r="W106">
        <f t="shared" si="12"/>
        <v>0</v>
      </c>
    </row>
    <row r="107" spans="1:23" x14ac:dyDescent="0.25">
      <c r="A107" t="s">
        <v>928</v>
      </c>
      <c r="B107" t="s">
        <v>1084</v>
      </c>
      <c r="C107">
        <v>10.5</v>
      </c>
      <c r="D107">
        <v>0</v>
      </c>
      <c r="E107">
        <v>0</v>
      </c>
      <c r="F107">
        <v>0</v>
      </c>
      <c r="G107" s="105">
        <f>Tabell38[[#This Row],[Såld värme (GWh)]]-Tabell38[[#This Row],[Levererad värme, andra fjärrvärmeföretag, företag 1 (GWh)]]-Tabell38[[#This Row],[Levererad värme, andra fjärrvärmeföretag, företag 2 (GWh)]]-Tabell38[[#This Row],[Levererad värme, andra fjärrvärmeföretag, företag 3 (GWh)]]</f>
        <v>10.5</v>
      </c>
      <c r="H107" s="102" t="e">
        <f>VLOOKUP(Tabell38[[#This Row],[Nät]],Tabell5[],2,FALSE)</f>
        <v>#N/A</v>
      </c>
      <c r="I107" t="e">
        <f>VLOOKUP(Tabell38[[#This Row],[Nät]],'Leveranser per nät'!A:A,1,FALSE)</f>
        <v>#N/A</v>
      </c>
      <c r="O107" t="s">
        <v>806</v>
      </c>
      <c r="P107" t="s">
        <v>806</v>
      </c>
      <c r="Q107" s="84" t="s">
        <v>806</v>
      </c>
      <c r="R107">
        <f t="shared" si="7"/>
        <v>0</v>
      </c>
      <c r="S107">
        <f t="shared" si="8"/>
        <v>0</v>
      </c>
      <c r="T107">
        <f t="shared" si="9"/>
        <v>0</v>
      </c>
      <c r="U107">
        <f t="shared" si="10"/>
        <v>0</v>
      </c>
      <c r="V107">
        <f t="shared" si="11"/>
        <v>0</v>
      </c>
      <c r="W107">
        <f t="shared" si="12"/>
        <v>0</v>
      </c>
    </row>
    <row r="108" spans="1:23" x14ac:dyDescent="0.25">
      <c r="A108" t="s">
        <v>928</v>
      </c>
      <c r="B108" t="s">
        <v>1085</v>
      </c>
      <c r="C108">
        <v>41.389000000000003</v>
      </c>
      <c r="D108">
        <v>0</v>
      </c>
      <c r="E108">
        <v>0</v>
      </c>
      <c r="F108">
        <v>0</v>
      </c>
      <c r="G108" s="105">
        <f>Tabell38[[#This Row],[Såld värme (GWh)]]-Tabell38[[#This Row],[Levererad värme, andra fjärrvärmeföretag, företag 1 (GWh)]]-Tabell38[[#This Row],[Levererad värme, andra fjärrvärmeföretag, företag 2 (GWh)]]-Tabell38[[#This Row],[Levererad värme, andra fjärrvärmeföretag, företag 3 (GWh)]]</f>
        <v>41.389000000000003</v>
      </c>
      <c r="H108" s="102" t="str">
        <f>VLOOKUP(Tabell38[[#This Row],[Nät]],Tabell5[],2,FALSE)</f>
        <v>Haparanda</v>
      </c>
      <c r="I108" t="e">
        <f>VLOOKUP(Tabell38[[#This Row],[Nät]],'Leveranser per nät'!A:A,1,FALSE)</f>
        <v>#N/A</v>
      </c>
      <c r="O108" t="s">
        <v>806</v>
      </c>
      <c r="P108" t="s">
        <v>806</v>
      </c>
      <c r="Q108" s="44" t="s">
        <v>806</v>
      </c>
      <c r="R108">
        <f t="shared" si="7"/>
        <v>0</v>
      </c>
      <c r="S108">
        <f t="shared" si="8"/>
        <v>0</v>
      </c>
      <c r="T108">
        <f t="shared" si="9"/>
        <v>0</v>
      </c>
      <c r="U108">
        <f t="shared" si="10"/>
        <v>0</v>
      </c>
      <c r="V108">
        <f t="shared" si="11"/>
        <v>0</v>
      </c>
      <c r="W108">
        <f t="shared" si="12"/>
        <v>0</v>
      </c>
    </row>
    <row r="109" spans="1:23" x14ac:dyDescent="0.25">
      <c r="A109" t="s">
        <v>611</v>
      </c>
      <c r="B109" t="s">
        <v>145</v>
      </c>
      <c r="C109">
        <v>50.1</v>
      </c>
      <c r="D109">
        <v>0</v>
      </c>
      <c r="E109">
        <v>0</v>
      </c>
      <c r="F109">
        <v>0</v>
      </c>
      <c r="G109" s="105">
        <f>Tabell38[[#This Row],[Såld värme (GWh)]]-Tabell38[[#This Row],[Levererad värme, andra fjärrvärmeföretag, företag 1 (GWh)]]-Tabell38[[#This Row],[Levererad värme, andra fjärrvärmeföretag, företag 2 (GWh)]]-Tabell38[[#This Row],[Levererad värme, andra fjärrvärmeföretag, företag 3 (GWh)]]</f>
        <v>50.1</v>
      </c>
      <c r="H109" s="102" t="str">
        <f>VLOOKUP(Tabell38[[#This Row],[Nät]],Tabell5[],2,FALSE)</f>
        <v>Hedemora</v>
      </c>
      <c r="I109" t="str">
        <f>VLOOKUP(Tabell38[[#This Row],[Nät]],'Leveranser per nät'!A:A,1,FALSE)</f>
        <v>Hedemora</v>
      </c>
      <c r="O109" t="s">
        <v>806</v>
      </c>
      <c r="P109" t="s">
        <v>806</v>
      </c>
      <c r="Q109" s="84" t="s">
        <v>806</v>
      </c>
      <c r="R109">
        <f t="shared" si="7"/>
        <v>0</v>
      </c>
      <c r="S109">
        <f t="shared" si="8"/>
        <v>0</v>
      </c>
      <c r="T109">
        <f t="shared" si="9"/>
        <v>0</v>
      </c>
      <c r="U109">
        <f t="shared" si="10"/>
        <v>0</v>
      </c>
      <c r="V109">
        <f t="shared" si="11"/>
        <v>0</v>
      </c>
      <c r="W109">
        <f t="shared" si="12"/>
        <v>0</v>
      </c>
    </row>
    <row r="110" spans="1:23" x14ac:dyDescent="0.25">
      <c r="A110" t="s">
        <v>611</v>
      </c>
      <c r="B110" t="s">
        <v>147</v>
      </c>
      <c r="C110">
        <v>5.9</v>
      </c>
      <c r="D110">
        <v>0</v>
      </c>
      <c r="E110">
        <v>0</v>
      </c>
      <c r="F110">
        <v>0</v>
      </c>
      <c r="G110" s="105">
        <f>Tabell38[[#This Row],[Såld värme (GWh)]]-Tabell38[[#This Row],[Levererad värme, andra fjärrvärmeföretag, företag 1 (GWh)]]-Tabell38[[#This Row],[Levererad värme, andra fjärrvärmeföretag, företag 2 (GWh)]]-Tabell38[[#This Row],[Levererad värme, andra fjärrvärmeföretag, företag 3 (GWh)]]</f>
        <v>5.9</v>
      </c>
      <c r="H110" s="102" t="str">
        <f>VLOOKUP(Tabell38[[#This Row],[Nät]],Tabell5[],2,FALSE)</f>
        <v>Långshyttan</v>
      </c>
      <c r="I110" t="str">
        <f>VLOOKUP(Tabell38[[#This Row],[Nät]],'Leveranser per nät'!A:A,1,FALSE)</f>
        <v>Långshyttan</v>
      </c>
      <c r="O110" t="s">
        <v>806</v>
      </c>
      <c r="P110" t="s">
        <v>806</v>
      </c>
      <c r="Q110" s="44" t="s">
        <v>806</v>
      </c>
      <c r="R110">
        <f t="shared" si="7"/>
        <v>0</v>
      </c>
      <c r="S110">
        <f t="shared" si="8"/>
        <v>0</v>
      </c>
      <c r="T110">
        <f t="shared" si="9"/>
        <v>0</v>
      </c>
      <c r="U110">
        <f t="shared" si="10"/>
        <v>0</v>
      </c>
      <c r="V110">
        <f t="shared" si="11"/>
        <v>0</v>
      </c>
      <c r="W110">
        <f t="shared" si="12"/>
        <v>0</v>
      </c>
    </row>
    <row r="111" spans="1:23" x14ac:dyDescent="0.25">
      <c r="A111" t="s">
        <v>611</v>
      </c>
      <c r="B111" t="s">
        <v>416</v>
      </c>
      <c r="C111">
        <v>1.96</v>
      </c>
      <c r="D111">
        <v>0</v>
      </c>
      <c r="E111">
        <v>0</v>
      </c>
      <c r="F111">
        <v>0</v>
      </c>
      <c r="G111" s="105">
        <f>Tabell38[[#This Row],[Såld värme (GWh)]]-Tabell38[[#This Row],[Levererad värme, andra fjärrvärmeföretag, företag 1 (GWh)]]-Tabell38[[#This Row],[Levererad värme, andra fjärrvärmeföretag, företag 2 (GWh)]]-Tabell38[[#This Row],[Levererad värme, andra fjärrvärmeföretag, företag 3 (GWh)]]</f>
        <v>1.96</v>
      </c>
      <c r="H111" s="102" t="str">
        <f>VLOOKUP(Tabell38[[#This Row],[Nät]],Tabell5[],2,FALSE)</f>
        <v>St Skedvi</v>
      </c>
      <c r="I111" t="str">
        <f>VLOOKUP(Tabell38[[#This Row],[Nät]],'Leveranser per nät'!A:A,1,FALSE)</f>
        <v>St Skedvi</v>
      </c>
      <c r="O111" t="s">
        <v>806</v>
      </c>
      <c r="P111" t="s">
        <v>806</v>
      </c>
      <c r="Q111" s="84" t="s">
        <v>806</v>
      </c>
      <c r="R111">
        <f t="shared" si="7"/>
        <v>0</v>
      </c>
      <c r="S111">
        <f t="shared" si="8"/>
        <v>0</v>
      </c>
      <c r="T111">
        <f t="shared" si="9"/>
        <v>0</v>
      </c>
      <c r="U111">
        <f t="shared" si="10"/>
        <v>0</v>
      </c>
      <c r="V111">
        <f t="shared" si="11"/>
        <v>0</v>
      </c>
      <c r="W111">
        <f t="shared" si="12"/>
        <v>0</v>
      </c>
    </row>
    <row r="112" spans="1:23" x14ac:dyDescent="0.25">
      <c r="A112" t="s">
        <v>611</v>
      </c>
      <c r="B112" t="s">
        <v>144</v>
      </c>
      <c r="C112">
        <v>45.5</v>
      </c>
      <c r="D112">
        <v>0</v>
      </c>
      <c r="E112">
        <v>0</v>
      </c>
      <c r="F112">
        <v>0</v>
      </c>
      <c r="G112" s="105">
        <f>Tabell38[[#This Row],[Såld värme (GWh)]]-Tabell38[[#This Row],[Levererad värme, andra fjärrvärmeföretag, företag 1 (GWh)]]-Tabell38[[#This Row],[Levererad värme, andra fjärrvärmeföretag, företag 2 (GWh)]]-Tabell38[[#This Row],[Levererad värme, andra fjärrvärmeföretag, företag 3 (GWh)]]</f>
        <v>45.5</v>
      </c>
      <c r="H112" s="102" t="str">
        <f>VLOOKUP(Tabell38[[#This Row],[Nät]],Tabell5[],2,FALSE)</f>
        <v>Säter</v>
      </c>
      <c r="I112" t="str">
        <f>VLOOKUP(Tabell38[[#This Row],[Nät]],'Leveranser per nät'!A:A,1,FALSE)</f>
        <v>Säter</v>
      </c>
      <c r="O112" t="s">
        <v>806</v>
      </c>
      <c r="P112" t="s">
        <v>806</v>
      </c>
      <c r="Q112" s="44" t="s">
        <v>806</v>
      </c>
      <c r="R112">
        <f t="shared" si="7"/>
        <v>0</v>
      </c>
      <c r="S112">
        <f t="shared" si="8"/>
        <v>0</v>
      </c>
      <c r="T112">
        <f t="shared" si="9"/>
        <v>0</v>
      </c>
      <c r="U112">
        <f t="shared" si="10"/>
        <v>0</v>
      </c>
      <c r="V112">
        <f t="shared" si="11"/>
        <v>0</v>
      </c>
      <c r="W112">
        <f t="shared" si="12"/>
        <v>0</v>
      </c>
    </row>
    <row r="113" spans="1:23" x14ac:dyDescent="0.25">
      <c r="A113" t="s">
        <v>628</v>
      </c>
      <c r="B113" t="s">
        <v>148</v>
      </c>
      <c r="C113">
        <v>30.108000000000001</v>
      </c>
      <c r="D113">
        <v>0</v>
      </c>
      <c r="E113">
        <v>0</v>
      </c>
      <c r="F113">
        <v>0</v>
      </c>
      <c r="G113" s="105">
        <f>Tabell38[[#This Row],[Såld värme (GWh)]]-Tabell38[[#This Row],[Levererad värme, andra fjärrvärmeföretag, företag 1 (GWh)]]-Tabell38[[#This Row],[Levererad värme, andra fjärrvärmeföretag, företag 2 (GWh)]]-Tabell38[[#This Row],[Levererad värme, andra fjärrvärmeföretag, företag 3 (GWh)]]</f>
        <v>30.108000000000001</v>
      </c>
      <c r="H113" s="102" t="str">
        <f>VLOOKUP(Tabell38[[#This Row],[Nät]],Tabell5[],2,FALSE)</f>
        <v>Hjo</v>
      </c>
      <c r="I113" t="str">
        <f>VLOOKUP(Tabell38[[#This Row],[Nät]],'Leveranser per nät'!A:A,1,FALSE)</f>
        <v>Hjo</v>
      </c>
      <c r="O113" t="s">
        <v>806</v>
      </c>
      <c r="P113" t="s">
        <v>806</v>
      </c>
      <c r="Q113" s="84" t="s">
        <v>806</v>
      </c>
      <c r="R113">
        <f t="shared" si="7"/>
        <v>0</v>
      </c>
      <c r="S113">
        <f t="shared" si="8"/>
        <v>0</v>
      </c>
      <c r="T113">
        <f t="shared" si="9"/>
        <v>0</v>
      </c>
      <c r="U113">
        <f t="shared" si="10"/>
        <v>0</v>
      </c>
      <c r="V113">
        <f t="shared" si="11"/>
        <v>0</v>
      </c>
      <c r="W113">
        <f t="shared" si="12"/>
        <v>0</v>
      </c>
    </row>
    <row r="114" spans="1:23" x14ac:dyDescent="0.25">
      <c r="A114" t="s">
        <v>633</v>
      </c>
      <c r="B114" t="s">
        <v>150</v>
      </c>
      <c r="C114">
        <v>159.77099999999999</v>
      </c>
      <c r="D114">
        <v>0</v>
      </c>
      <c r="E114">
        <v>0</v>
      </c>
      <c r="F114">
        <v>0</v>
      </c>
      <c r="G114" s="105">
        <f>Tabell38[[#This Row],[Såld värme (GWh)]]-Tabell38[[#This Row],[Levererad värme, andra fjärrvärmeföretag, företag 1 (GWh)]]-Tabell38[[#This Row],[Levererad värme, andra fjärrvärmeföretag, företag 2 (GWh)]]-Tabell38[[#This Row],[Levererad värme, andra fjärrvärmeföretag, företag 3 (GWh)]]</f>
        <v>159.77099999999999</v>
      </c>
      <c r="H114" s="102" t="str">
        <f>VLOOKUP(Tabell38[[#This Row],[Nät]],Tabell5[],2,FALSE)</f>
        <v>Härnösand</v>
      </c>
      <c r="I114" t="str">
        <f>VLOOKUP(Tabell38[[#This Row],[Nät]],'Leveranser per nät'!A:A,1,FALSE)</f>
        <v>Härnösand</v>
      </c>
      <c r="O114" t="s">
        <v>806</v>
      </c>
      <c r="P114" t="s">
        <v>806</v>
      </c>
      <c r="Q114" s="44" t="s">
        <v>806</v>
      </c>
      <c r="R114">
        <f t="shared" si="7"/>
        <v>0</v>
      </c>
      <c r="S114">
        <f t="shared" si="8"/>
        <v>0</v>
      </c>
      <c r="T114">
        <f t="shared" si="9"/>
        <v>0</v>
      </c>
      <c r="U114">
        <f t="shared" si="10"/>
        <v>0</v>
      </c>
      <c r="V114">
        <f t="shared" si="11"/>
        <v>0</v>
      </c>
      <c r="W114">
        <f t="shared" si="12"/>
        <v>0</v>
      </c>
    </row>
    <row r="115" spans="1:23" x14ac:dyDescent="0.25">
      <c r="A115" t="s">
        <v>634</v>
      </c>
      <c r="B115" t="s">
        <v>151</v>
      </c>
      <c r="C115">
        <v>163.97</v>
      </c>
      <c r="D115">
        <v>0</v>
      </c>
      <c r="E115">
        <v>0</v>
      </c>
      <c r="F115">
        <v>0</v>
      </c>
      <c r="G115" s="105">
        <f>Tabell38[[#This Row],[Såld värme (GWh)]]-Tabell38[[#This Row],[Levererad värme, andra fjärrvärmeföretag, företag 1 (GWh)]]-Tabell38[[#This Row],[Levererad värme, andra fjärrvärmeföretag, företag 2 (GWh)]]-Tabell38[[#This Row],[Levererad värme, andra fjärrvärmeföretag, företag 3 (GWh)]]</f>
        <v>163.97</v>
      </c>
      <c r="H115" s="102" t="str">
        <f>VLOOKUP(Tabell38[[#This Row],[Nät]],Tabell5[],2,FALSE)</f>
        <v>Hässleholm</v>
      </c>
      <c r="I115" t="str">
        <f>VLOOKUP(Tabell38[[#This Row],[Nät]],'Leveranser per nät'!A:A,1,FALSE)</f>
        <v>Hässleholm</v>
      </c>
      <c r="O115" t="s">
        <v>806</v>
      </c>
      <c r="P115" t="s">
        <v>806</v>
      </c>
      <c r="Q115" s="84" t="s">
        <v>806</v>
      </c>
      <c r="R115">
        <f t="shared" si="7"/>
        <v>0</v>
      </c>
      <c r="S115">
        <f t="shared" si="8"/>
        <v>0</v>
      </c>
      <c r="T115">
        <f t="shared" si="9"/>
        <v>0</v>
      </c>
      <c r="U115">
        <f t="shared" si="10"/>
        <v>0</v>
      </c>
      <c r="V115">
        <f t="shared" si="11"/>
        <v>0</v>
      </c>
      <c r="W115">
        <f t="shared" si="12"/>
        <v>0</v>
      </c>
    </row>
    <row r="116" spans="1:23" x14ac:dyDescent="0.25">
      <c r="A116" t="s">
        <v>634</v>
      </c>
      <c r="B116" t="s">
        <v>152</v>
      </c>
      <c r="C116">
        <v>17.03</v>
      </c>
      <c r="D116">
        <v>0</v>
      </c>
      <c r="E116">
        <v>0</v>
      </c>
      <c r="F116">
        <v>0</v>
      </c>
      <c r="G116" s="105">
        <f>Tabell38[[#This Row],[Såld värme (GWh)]]-Tabell38[[#This Row],[Levererad värme, andra fjärrvärmeföretag, företag 1 (GWh)]]-Tabell38[[#This Row],[Levererad värme, andra fjärrvärmeföretag, företag 2 (GWh)]]-Tabell38[[#This Row],[Levererad värme, andra fjärrvärmeföretag, företag 3 (GWh)]]</f>
        <v>17.03</v>
      </c>
      <c r="H116" s="102" t="str">
        <f>VLOOKUP(Tabell38[[#This Row],[Nät]],Tabell5[],2,FALSE)</f>
        <v>Tyringe</v>
      </c>
      <c r="I116" t="str">
        <f>VLOOKUP(Tabell38[[#This Row],[Nät]],'Leveranser per nät'!A:A,1,FALSE)</f>
        <v>Tyringe</v>
      </c>
      <c r="O116" t="s">
        <v>806</v>
      </c>
      <c r="P116" t="s">
        <v>806</v>
      </c>
      <c r="Q116" s="44" t="s">
        <v>806</v>
      </c>
      <c r="R116">
        <f t="shared" si="7"/>
        <v>0</v>
      </c>
      <c r="S116">
        <f t="shared" si="8"/>
        <v>0</v>
      </c>
      <c r="T116">
        <f t="shared" si="9"/>
        <v>0</v>
      </c>
      <c r="U116">
        <f t="shared" si="10"/>
        <v>0</v>
      </c>
      <c r="V116">
        <f t="shared" si="11"/>
        <v>0</v>
      </c>
      <c r="W116">
        <f t="shared" si="12"/>
        <v>0</v>
      </c>
    </row>
    <row r="117" spans="1:23" x14ac:dyDescent="0.25">
      <c r="A117" t="s">
        <v>635</v>
      </c>
      <c r="B117" t="s">
        <v>153</v>
      </c>
      <c r="C117">
        <v>39.877000000000002</v>
      </c>
      <c r="D117">
        <v>0</v>
      </c>
      <c r="E117">
        <v>0</v>
      </c>
      <c r="F117">
        <v>0</v>
      </c>
      <c r="G117" s="105">
        <f>Tabell38[[#This Row],[Såld värme (GWh)]]-Tabell38[[#This Row],[Levererad värme, andra fjärrvärmeföretag, företag 1 (GWh)]]-Tabell38[[#This Row],[Levererad värme, andra fjärrvärmeföretag, företag 2 (GWh)]]-Tabell38[[#This Row],[Levererad värme, andra fjärrvärmeföretag, företag 3 (GWh)]]</f>
        <v>39.877000000000002</v>
      </c>
      <c r="H117" s="102" t="str">
        <f>VLOOKUP(Tabell38[[#This Row],[Nät]],Tabell5[],2,FALSE)</f>
        <v>Höganäs</v>
      </c>
      <c r="I117" t="str">
        <f>VLOOKUP(Tabell38[[#This Row],[Nät]],'Leveranser per nät'!A:A,1,FALSE)</f>
        <v>Höganäs</v>
      </c>
      <c r="O117" t="s">
        <v>806</v>
      </c>
      <c r="P117" t="s">
        <v>806</v>
      </c>
      <c r="Q117" s="84" t="s">
        <v>806</v>
      </c>
      <c r="R117">
        <f t="shared" si="7"/>
        <v>0</v>
      </c>
      <c r="S117">
        <f t="shared" si="8"/>
        <v>0</v>
      </c>
      <c r="T117">
        <f t="shared" si="9"/>
        <v>0</v>
      </c>
      <c r="U117">
        <f t="shared" si="10"/>
        <v>0</v>
      </c>
      <c r="V117">
        <f t="shared" si="11"/>
        <v>0</v>
      </c>
      <c r="W117">
        <f t="shared" si="12"/>
        <v>0</v>
      </c>
    </row>
    <row r="118" spans="1:23" x14ac:dyDescent="0.25">
      <c r="A118" t="s">
        <v>637</v>
      </c>
      <c r="B118" t="s">
        <v>154</v>
      </c>
      <c r="C118">
        <v>30.628</v>
      </c>
      <c r="D118">
        <v>0</v>
      </c>
      <c r="E118">
        <v>0</v>
      </c>
      <c r="F118">
        <v>0</v>
      </c>
      <c r="G118" s="105">
        <f>Tabell38[[#This Row],[Såld värme (GWh)]]-Tabell38[[#This Row],[Levererad värme, andra fjärrvärmeföretag, företag 1 (GWh)]]-Tabell38[[#This Row],[Levererad värme, andra fjärrvärmeföretag, företag 2 (GWh)]]-Tabell38[[#This Row],[Levererad värme, andra fjärrvärmeföretag, företag 3 (GWh)]]</f>
        <v>30.628</v>
      </c>
      <c r="H118" s="102" t="str">
        <f>VLOOKUP(Tabell38[[#This Row],[Nät]],Tabell5[],2,FALSE)</f>
        <v>Jokkmokk</v>
      </c>
      <c r="I118" t="str">
        <f>VLOOKUP(Tabell38[[#This Row],[Nät]],'Leveranser per nät'!A:A,1,FALSE)</f>
        <v>Jokkmokk</v>
      </c>
      <c r="O118" t="s">
        <v>806</v>
      </c>
      <c r="P118" t="s">
        <v>805</v>
      </c>
      <c r="Q118" s="44" t="s">
        <v>805</v>
      </c>
      <c r="R118">
        <f t="shared" si="7"/>
        <v>0</v>
      </c>
      <c r="S118" t="str">
        <f t="shared" si="8"/>
        <v>-</v>
      </c>
      <c r="T118" t="str">
        <f t="shared" si="9"/>
        <v>-</v>
      </c>
      <c r="U118">
        <f t="shared" si="10"/>
        <v>0</v>
      </c>
      <c r="V118">
        <f t="shared" si="11"/>
        <v>0</v>
      </c>
      <c r="W118">
        <f t="shared" si="12"/>
        <v>0</v>
      </c>
    </row>
    <row r="119" spans="1:23" x14ac:dyDescent="0.25">
      <c r="A119" t="s">
        <v>579</v>
      </c>
      <c r="B119" t="s">
        <v>1086</v>
      </c>
      <c r="C119" t="s">
        <v>806</v>
      </c>
      <c r="D119">
        <v>0</v>
      </c>
      <c r="E119">
        <v>0</v>
      </c>
      <c r="F119">
        <v>0</v>
      </c>
      <c r="G119"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119" s="102" t="e">
        <f>VLOOKUP(Tabell38[[#This Row],[Nät]],Tabell5[],2,FALSE)</f>
        <v>#N/A</v>
      </c>
      <c r="I119" t="e">
        <f>VLOOKUP(Tabell38[[#This Row],[Nät]],'Leveranser per nät'!A:A,1,FALSE)</f>
        <v>#N/A</v>
      </c>
      <c r="O119" t="s">
        <v>806</v>
      </c>
      <c r="P119" t="s">
        <v>806</v>
      </c>
      <c r="Q119" s="84" t="s">
        <v>806</v>
      </c>
      <c r="R119">
        <f t="shared" si="7"/>
        <v>0</v>
      </c>
      <c r="S119">
        <f t="shared" si="8"/>
        <v>0</v>
      </c>
      <c r="T119">
        <f t="shared" si="9"/>
        <v>0</v>
      </c>
      <c r="U119">
        <f t="shared" si="10"/>
        <v>0</v>
      </c>
      <c r="V119">
        <f t="shared" si="11"/>
        <v>0</v>
      </c>
      <c r="W119">
        <f t="shared" si="12"/>
        <v>0</v>
      </c>
    </row>
    <row r="120" spans="1:23" x14ac:dyDescent="0.25">
      <c r="A120" t="s">
        <v>579</v>
      </c>
      <c r="B120" t="s">
        <v>155</v>
      </c>
      <c r="C120">
        <v>17.925999999999998</v>
      </c>
      <c r="D120">
        <v>0</v>
      </c>
      <c r="E120">
        <v>0</v>
      </c>
      <c r="F120">
        <v>0</v>
      </c>
      <c r="G120" s="105">
        <f>Tabell38[[#This Row],[Såld värme (GWh)]]-Tabell38[[#This Row],[Levererad värme, andra fjärrvärmeföretag, företag 1 (GWh)]]-Tabell38[[#This Row],[Levererad värme, andra fjärrvärmeföretag, företag 2 (GWh)]]-Tabell38[[#This Row],[Levererad värme, andra fjärrvärmeföretag, företag 3 (GWh)]]</f>
        <v>17.925999999999998</v>
      </c>
      <c r="H120" s="102" t="str">
        <f>VLOOKUP(Tabell38[[#This Row],[Nät]],Tabell5[],2,FALSE)</f>
        <v>Krokom</v>
      </c>
      <c r="I120" t="str">
        <f>VLOOKUP(Tabell38[[#This Row],[Nät]],'Leveranser per nät'!A:A,1,FALSE)</f>
        <v>Krokom</v>
      </c>
      <c r="O120" t="s">
        <v>806</v>
      </c>
      <c r="P120" t="s">
        <v>806</v>
      </c>
      <c r="Q120" s="44" t="s">
        <v>806</v>
      </c>
      <c r="R120">
        <f t="shared" si="7"/>
        <v>0</v>
      </c>
      <c r="S120">
        <f t="shared" si="8"/>
        <v>0</v>
      </c>
      <c r="T120">
        <f t="shared" si="9"/>
        <v>0</v>
      </c>
      <c r="U120">
        <f t="shared" si="10"/>
        <v>0</v>
      </c>
      <c r="V120">
        <f t="shared" si="11"/>
        <v>0</v>
      </c>
      <c r="W120">
        <f t="shared" si="12"/>
        <v>0</v>
      </c>
    </row>
    <row r="121" spans="1:23" x14ac:dyDescent="0.25">
      <c r="A121" t="s">
        <v>579</v>
      </c>
      <c r="B121" t="s">
        <v>156</v>
      </c>
      <c r="C121">
        <v>52.835999999999999</v>
      </c>
      <c r="D121">
        <v>0</v>
      </c>
      <c r="E121">
        <v>0</v>
      </c>
      <c r="F121">
        <v>0</v>
      </c>
      <c r="G121" s="105">
        <f>Tabell38[[#This Row],[Såld värme (GWh)]]-Tabell38[[#This Row],[Levererad värme, andra fjärrvärmeföretag, företag 1 (GWh)]]-Tabell38[[#This Row],[Levererad värme, andra fjärrvärmeföretag, företag 2 (GWh)]]-Tabell38[[#This Row],[Levererad värme, andra fjärrvärmeföretag, företag 3 (GWh)]]</f>
        <v>52.835999999999999</v>
      </c>
      <c r="H121" s="102" t="str">
        <f>VLOOKUP(Tabell38[[#This Row],[Nät]],Tabell5[],2,FALSE)</f>
        <v>Åre</v>
      </c>
      <c r="I121" t="str">
        <f>VLOOKUP(Tabell38[[#This Row],[Nät]],'Leveranser per nät'!A:A,1,FALSE)</f>
        <v>Åre</v>
      </c>
      <c r="O121" t="s">
        <v>806</v>
      </c>
      <c r="P121" t="s">
        <v>806</v>
      </c>
      <c r="Q121" s="84" t="s">
        <v>806</v>
      </c>
      <c r="R121">
        <f t="shared" si="7"/>
        <v>0</v>
      </c>
      <c r="S121">
        <f t="shared" si="8"/>
        <v>0</v>
      </c>
      <c r="T121">
        <f t="shared" si="9"/>
        <v>0</v>
      </c>
      <c r="U121">
        <f t="shared" si="10"/>
        <v>0</v>
      </c>
      <c r="V121">
        <f t="shared" si="11"/>
        <v>0</v>
      </c>
      <c r="W121">
        <f t="shared" si="12"/>
        <v>0</v>
      </c>
    </row>
    <row r="122" spans="1:23" x14ac:dyDescent="0.25">
      <c r="A122" t="s">
        <v>579</v>
      </c>
      <c r="B122" t="s">
        <v>157</v>
      </c>
      <c r="C122">
        <v>547.97900000000004</v>
      </c>
      <c r="D122">
        <v>0</v>
      </c>
      <c r="E122">
        <v>0</v>
      </c>
      <c r="F122">
        <v>0</v>
      </c>
      <c r="G122" s="105">
        <f>Tabell38[[#This Row],[Såld värme (GWh)]]-Tabell38[[#This Row],[Levererad värme, andra fjärrvärmeföretag, företag 1 (GWh)]]-Tabell38[[#This Row],[Levererad värme, andra fjärrvärmeföretag, företag 2 (GWh)]]-Tabell38[[#This Row],[Levererad värme, andra fjärrvärmeföretag, företag 3 (GWh)]]</f>
        <v>547.97900000000004</v>
      </c>
      <c r="H122" s="102" t="str">
        <f>VLOOKUP(Tabell38[[#This Row],[Nät]],Tabell5[],2,FALSE)</f>
        <v>Östersund</v>
      </c>
      <c r="I122" t="str">
        <f>VLOOKUP(Tabell38[[#This Row],[Nät]],'Leveranser per nät'!A:A,1,FALSE)</f>
        <v>Östersund</v>
      </c>
      <c r="O122" t="s">
        <v>806</v>
      </c>
      <c r="P122" t="s">
        <v>806</v>
      </c>
      <c r="Q122" s="44" t="s">
        <v>806</v>
      </c>
      <c r="R122">
        <f t="shared" si="7"/>
        <v>0</v>
      </c>
      <c r="S122">
        <f t="shared" si="8"/>
        <v>0</v>
      </c>
      <c r="T122">
        <f t="shared" si="9"/>
        <v>0</v>
      </c>
      <c r="U122">
        <f t="shared" si="10"/>
        <v>0</v>
      </c>
      <c r="V122">
        <f t="shared" si="11"/>
        <v>0</v>
      </c>
      <c r="W122">
        <f t="shared" si="12"/>
        <v>0</v>
      </c>
    </row>
    <row r="123" spans="1:23" x14ac:dyDescent="0.25">
      <c r="A123" t="s">
        <v>579</v>
      </c>
      <c r="B123" t="s">
        <v>1087</v>
      </c>
      <c r="C123">
        <v>1.702</v>
      </c>
      <c r="D123">
        <v>0</v>
      </c>
      <c r="E123">
        <v>0</v>
      </c>
      <c r="F123">
        <v>0</v>
      </c>
      <c r="G123" s="105">
        <f>Tabell38[[#This Row],[Såld värme (GWh)]]-Tabell38[[#This Row],[Levererad värme, andra fjärrvärmeföretag, företag 1 (GWh)]]-Tabell38[[#This Row],[Levererad värme, andra fjärrvärmeföretag, företag 2 (GWh)]]-Tabell38[[#This Row],[Levererad värme, andra fjärrvärmeföretag, företag 3 (GWh)]]</f>
        <v>1.702</v>
      </c>
      <c r="H123" s="102" t="e">
        <f>VLOOKUP(Tabell38[[#This Row],[Nät]],Tabell5[],2,FALSE)</f>
        <v>#N/A</v>
      </c>
      <c r="I123" t="e">
        <f>VLOOKUP(Tabell38[[#This Row],[Nät]],'Leveranser per nät'!A:A,1,FALSE)</f>
        <v>#N/A</v>
      </c>
      <c r="O123" t="s">
        <v>806</v>
      </c>
      <c r="P123" t="s">
        <v>806</v>
      </c>
      <c r="Q123" s="84" t="s">
        <v>806</v>
      </c>
      <c r="R123">
        <f t="shared" si="7"/>
        <v>0</v>
      </c>
      <c r="S123">
        <f t="shared" si="8"/>
        <v>0</v>
      </c>
      <c r="T123">
        <f t="shared" si="9"/>
        <v>0</v>
      </c>
      <c r="U123">
        <f t="shared" si="10"/>
        <v>0</v>
      </c>
      <c r="V123">
        <f t="shared" si="11"/>
        <v>0</v>
      </c>
      <c r="W123">
        <f t="shared" si="12"/>
        <v>0</v>
      </c>
    </row>
    <row r="124" spans="1:23" x14ac:dyDescent="0.25">
      <c r="A124" t="s">
        <v>975</v>
      </c>
      <c r="B124" t="s">
        <v>466</v>
      </c>
      <c r="C124">
        <v>50.5</v>
      </c>
      <c r="D124">
        <v>0</v>
      </c>
      <c r="E124">
        <v>0</v>
      </c>
      <c r="F124">
        <v>0</v>
      </c>
      <c r="G124" s="105">
        <f>Tabell38[[#This Row],[Såld värme (GWh)]]-Tabell38[[#This Row],[Levererad värme, andra fjärrvärmeföretag, företag 1 (GWh)]]-Tabell38[[#This Row],[Levererad värme, andra fjärrvärmeföretag, företag 2 (GWh)]]-Tabell38[[#This Row],[Levererad värme, andra fjärrvärmeföretag, företag 3 (GWh)]]</f>
        <v>50.5</v>
      </c>
      <c r="H124" s="102" t="str">
        <f>VLOOKUP(Tabell38[[#This Row],[Nät]],Tabell5[],2,FALSE)</f>
        <v>Strömsund</v>
      </c>
      <c r="I124" t="str">
        <f>VLOOKUP(Tabell38[[#This Row],[Nät]],'Leveranser per nät'!A:A,1,FALSE)</f>
        <v>Strömsund</v>
      </c>
      <c r="O124" t="s">
        <v>806</v>
      </c>
      <c r="P124" t="s">
        <v>806</v>
      </c>
      <c r="Q124" s="44" t="s">
        <v>806</v>
      </c>
      <c r="R124">
        <f t="shared" si="7"/>
        <v>0</v>
      </c>
      <c r="S124">
        <f t="shared" si="8"/>
        <v>0</v>
      </c>
      <c r="T124">
        <f t="shared" si="9"/>
        <v>0</v>
      </c>
      <c r="U124">
        <f t="shared" si="10"/>
        <v>0</v>
      </c>
      <c r="V124">
        <f t="shared" si="11"/>
        <v>0</v>
      </c>
      <c r="W124">
        <f t="shared" si="12"/>
        <v>0</v>
      </c>
    </row>
    <row r="125" spans="1:23" x14ac:dyDescent="0.25">
      <c r="A125" t="s">
        <v>559</v>
      </c>
      <c r="B125" t="s">
        <v>159</v>
      </c>
      <c r="C125">
        <v>11.36</v>
      </c>
      <c r="D125">
        <v>0</v>
      </c>
      <c r="E125">
        <v>0</v>
      </c>
      <c r="F125">
        <v>0</v>
      </c>
      <c r="G125" s="105">
        <f>Tabell38[[#This Row],[Såld värme (GWh)]]-Tabell38[[#This Row],[Levererad värme, andra fjärrvärmeföretag, företag 1 (GWh)]]-Tabell38[[#This Row],[Levererad värme, andra fjärrvärmeföretag, företag 2 (GWh)]]-Tabell38[[#This Row],[Levererad värme, andra fjärrvärmeföretag, företag 3 (GWh)]]</f>
        <v>11.36</v>
      </c>
      <c r="H125" s="102" t="str">
        <f>VLOOKUP(Tabell38[[#This Row],[Nät]],Tabell5[],2,FALSE)</f>
        <v>Gränna</v>
      </c>
      <c r="I125" t="str">
        <f>VLOOKUP(Tabell38[[#This Row],[Nät]],'Leveranser per nät'!A:A,1,FALSE)</f>
        <v>Gränna</v>
      </c>
      <c r="O125" t="s">
        <v>806</v>
      </c>
      <c r="P125" t="s">
        <v>806</v>
      </c>
      <c r="Q125" s="84" t="s">
        <v>806</v>
      </c>
      <c r="R125">
        <f t="shared" si="7"/>
        <v>0</v>
      </c>
      <c r="S125">
        <f t="shared" si="8"/>
        <v>0</v>
      </c>
      <c r="T125">
        <f t="shared" si="9"/>
        <v>0</v>
      </c>
      <c r="U125">
        <f t="shared" si="10"/>
        <v>0</v>
      </c>
      <c r="V125">
        <f t="shared" si="11"/>
        <v>0</v>
      </c>
      <c r="W125">
        <f t="shared" si="12"/>
        <v>0</v>
      </c>
    </row>
    <row r="126" spans="1:23" x14ac:dyDescent="0.25">
      <c r="A126" t="s">
        <v>559</v>
      </c>
      <c r="B126" t="s">
        <v>160</v>
      </c>
      <c r="C126">
        <v>631.13499999999999</v>
      </c>
      <c r="D126">
        <v>0</v>
      </c>
      <c r="E126">
        <v>0</v>
      </c>
      <c r="F126">
        <v>0</v>
      </c>
      <c r="G126" s="105">
        <f>Tabell38[[#This Row],[Såld värme (GWh)]]-Tabell38[[#This Row],[Levererad värme, andra fjärrvärmeföretag, företag 1 (GWh)]]-Tabell38[[#This Row],[Levererad värme, andra fjärrvärmeföretag, företag 2 (GWh)]]-Tabell38[[#This Row],[Levererad värme, andra fjärrvärmeföretag, företag 3 (GWh)]]</f>
        <v>631.13499999999999</v>
      </c>
      <c r="H126" s="102" t="str">
        <f>VLOOKUP(Tabell38[[#This Row],[Nät]],Tabell5[],2,FALSE)</f>
        <v>Jönköping</v>
      </c>
      <c r="I126" t="str">
        <f>VLOOKUP(Tabell38[[#This Row],[Nät]],'Leveranser per nät'!A:A,1,FALSE)</f>
        <v>Jönköping</v>
      </c>
      <c r="O126" t="s">
        <v>806</v>
      </c>
      <c r="P126" t="s">
        <v>806</v>
      </c>
      <c r="Q126" s="44" t="s">
        <v>806</v>
      </c>
      <c r="R126">
        <f t="shared" si="7"/>
        <v>0</v>
      </c>
      <c r="S126">
        <f t="shared" si="8"/>
        <v>0</v>
      </c>
      <c r="T126">
        <f t="shared" si="9"/>
        <v>0</v>
      </c>
      <c r="U126">
        <f t="shared" si="10"/>
        <v>0</v>
      </c>
      <c r="V126">
        <f t="shared" si="11"/>
        <v>0</v>
      </c>
      <c r="W126">
        <f t="shared" si="12"/>
        <v>0</v>
      </c>
    </row>
    <row r="127" spans="1:23" x14ac:dyDescent="0.25">
      <c r="A127" t="s">
        <v>559</v>
      </c>
      <c r="B127" t="s">
        <v>816</v>
      </c>
      <c r="C127">
        <v>5.2770000000000001</v>
      </c>
      <c r="D127">
        <v>0</v>
      </c>
      <c r="E127">
        <v>0</v>
      </c>
      <c r="F127">
        <v>0</v>
      </c>
      <c r="G127" s="105">
        <f>Tabell38[[#This Row],[Såld värme (GWh)]]-Tabell38[[#This Row],[Levererad värme, andra fjärrvärmeföretag, företag 1 (GWh)]]-Tabell38[[#This Row],[Levererad värme, andra fjärrvärmeföretag, företag 2 (GWh)]]-Tabell38[[#This Row],[Levererad värme, andra fjärrvärmeföretag, företag 3 (GWh)]]</f>
        <v>5.2770000000000001</v>
      </c>
      <c r="H127" s="102" t="str">
        <f>VLOOKUP(Tabell38[[#This Row],[Nät]],Tabell5[],2,FALSE)</f>
        <v>Stigamo</v>
      </c>
      <c r="I127" t="str">
        <f>VLOOKUP(Tabell38[[#This Row],[Nät]],'Leveranser per nät'!A:A,1,FALSE)</f>
        <v>Stigamo</v>
      </c>
      <c r="O127" t="s">
        <v>806</v>
      </c>
      <c r="P127" t="s">
        <v>806</v>
      </c>
      <c r="Q127" s="84" t="s">
        <v>806</v>
      </c>
      <c r="R127">
        <f t="shared" si="7"/>
        <v>0</v>
      </c>
      <c r="S127">
        <f t="shared" si="8"/>
        <v>0</v>
      </c>
      <c r="T127">
        <f t="shared" si="9"/>
        <v>0</v>
      </c>
      <c r="U127">
        <f t="shared" si="10"/>
        <v>0</v>
      </c>
      <c r="V127">
        <f t="shared" si="11"/>
        <v>0</v>
      </c>
      <c r="W127">
        <f t="shared" si="12"/>
        <v>0</v>
      </c>
    </row>
    <row r="128" spans="1:23" x14ac:dyDescent="0.25">
      <c r="A128" t="s">
        <v>643</v>
      </c>
      <c r="B128" t="s">
        <v>162</v>
      </c>
      <c r="C128">
        <v>330.8</v>
      </c>
      <c r="D128">
        <v>0</v>
      </c>
      <c r="E128">
        <v>0</v>
      </c>
      <c r="F128">
        <v>0</v>
      </c>
      <c r="G128" s="105">
        <f>Tabell38[[#This Row],[Såld värme (GWh)]]-Tabell38[[#This Row],[Levererad värme, andra fjärrvärmeföretag, företag 1 (GWh)]]-Tabell38[[#This Row],[Levererad värme, andra fjärrvärmeföretag, företag 2 (GWh)]]-Tabell38[[#This Row],[Levererad värme, andra fjärrvärmeföretag, företag 3 (GWh)]]</f>
        <v>330.8</v>
      </c>
      <c r="H128" s="102" t="str">
        <f>VLOOKUP(Tabell38[[#This Row],[Nät]],Tabell5[],2,FALSE)</f>
        <v>Kalmar</v>
      </c>
      <c r="I128" t="str">
        <f>VLOOKUP(Tabell38[[#This Row],[Nät]],'Leveranser per nät'!A:A,1,FALSE)</f>
        <v>Kalmar</v>
      </c>
      <c r="O128" t="s">
        <v>806</v>
      </c>
      <c r="P128" t="s">
        <v>806</v>
      </c>
      <c r="Q128" s="44" t="s">
        <v>806</v>
      </c>
      <c r="R128">
        <f t="shared" si="7"/>
        <v>0</v>
      </c>
      <c r="S128">
        <f t="shared" si="8"/>
        <v>0</v>
      </c>
      <c r="T128">
        <f t="shared" si="9"/>
        <v>0</v>
      </c>
      <c r="U128">
        <f t="shared" si="10"/>
        <v>0</v>
      </c>
      <c r="V128">
        <f t="shared" si="11"/>
        <v>0</v>
      </c>
      <c r="W128">
        <f t="shared" si="12"/>
        <v>0</v>
      </c>
    </row>
    <row r="129" spans="1:23" x14ac:dyDescent="0.25">
      <c r="A129" t="s">
        <v>976</v>
      </c>
      <c r="B129" t="s">
        <v>237</v>
      </c>
      <c r="C129">
        <v>13.6</v>
      </c>
      <c r="D129">
        <v>0</v>
      </c>
      <c r="E129">
        <v>0</v>
      </c>
      <c r="F129">
        <v>0</v>
      </c>
      <c r="G129" s="105">
        <f>Tabell38[[#This Row],[Såld värme (GWh)]]-Tabell38[[#This Row],[Levererad värme, andra fjärrvärmeföretag, företag 1 (GWh)]]-Tabell38[[#This Row],[Levererad värme, andra fjärrvärmeföretag, företag 2 (GWh)]]-Tabell38[[#This Row],[Levererad värme, andra fjärrvärmeföretag, företag 3 (GWh)]]</f>
        <v>13.6</v>
      </c>
      <c r="H129" s="102" t="str">
        <f>VLOOKUP(Tabell38[[#This Row],[Nät]],Tabell5[],2,FALSE)</f>
        <v>Karlsborg</v>
      </c>
      <c r="I129" t="str">
        <f>VLOOKUP(Tabell38[[#This Row],[Nät]],'Leveranser per nät'!A:A,1,FALSE)</f>
        <v>Karlsborg</v>
      </c>
      <c r="O129" t="s">
        <v>806</v>
      </c>
      <c r="P129" t="s">
        <v>806</v>
      </c>
      <c r="Q129" s="84" t="s">
        <v>806</v>
      </c>
      <c r="R129">
        <f t="shared" si="7"/>
        <v>0</v>
      </c>
      <c r="S129">
        <f t="shared" si="8"/>
        <v>0</v>
      </c>
      <c r="T129">
        <f t="shared" si="9"/>
        <v>0</v>
      </c>
      <c r="U129">
        <f t="shared" si="10"/>
        <v>0</v>
      </c>
      <c r="V129">
        <f t="shared" si="11"/>
        <v>0</v>
      </c>
      <c r="W129">
        <f t="shared" si="12"/>
        <v>0</v>
      </c>
    </row>
    <row r="130" spans="1:23" x14ac:dyDescent="0.25">
      <c r="A130" t="s">
        <v>645</v>
      </c>
      <c r="B130" t="s">
        <v>164</v>
      </c>
      <c r="C130">
        <v>154.28800000000001</v>
      </c>
      <c r="D130">
        <v>0</v>
      </c>
      <c r="E130">
        <v>0</v>
      </c>
      <c r="F130">
        <v>0</v>
      </c>
      <c r="G130" s="105">
        <f>Tabell38[[#This Row],[Såld värme (GWh)]]-Tabell38[[#This Row],[Levererad värme, andra fjärrvärmeföretag, företag 1 (GWh)]]-Tabell38[[#This Row],[Levererad värme, andra fjärrvärmeföretag, företag 2 (GWh)]]-Tabell38[[#This Row],[Levererad värme, andra fjärrvärmeföretag, företag 3 (GWh)]]</f>
        <v>154.28800000000001</v>
      </c>
      <c r="H130" s="102" t="str">
        <f>VLOOKUP(Tabell38[[#This Row],[Nät]],Tabell5[],2,FALSE)</f>
        <v>Karlshamn</v>
      </c>
      <c r="I130" t="str">
        <f>VLOOKUP(Tabell38[[#This Row],[Nät]],'Leveranser per nät'!A:A,1,FALSE)</f>
        <v>Karlshamn</v>
      </c>
      <c r="O130" t="s">
        <v>806</v>
      </c>
      <c r="P130" t="s">
        <v>806</v>
      </c>
      <c r="Q130" s="44" t="s">
        <v>806</v>
      </c>
      <c r="R130">
        <f t="shared" si="7"/>
        <v>0</v>
      </c>
      <c r="S130">
        <f t="shared" si="8"/>
        <v>0</v>
      </c>
      <c r="T130">
        <f t="shared" si="9"/>
        <v>0</v>
      </c>
      <c r="U130">
        <f t="shared" si="10"/>
        <v>0</v>
      </c>
      <c r="V130">
        <f t="shared" si="11"/>
        <v>0</v>
      </c>
      <c r="W130">
        <f t="shared" si="12"/>
        <v>0</v>
      </c>
    </row>
    <row r="131" spans="1:23" x14ac:dyDescent="0.25">
      <c r="A131" t="s">
        <v>977</v>
      </c>
      <c r="B131" t="s">
        <v>165</v>
      </c>
      <c r="C131">
        <v>279.8</v>
      </c>
      <c r="D131">
        <v>0</v>
      </c>
      <c r="E131">
        <v>0</v>
      </c>
      <c r="F131">
        <v>0</v>
      </c>
      <c r="G131" s="105">
        <f>Tabell38[[#This Row],[Såld värme (GWh)]]-Tabell38[[#This Row],[Levererad värme, andra fjärrvärmeföretag, företag 1 (GWh)]]-Tabell38[[#This Row],[Levererad värme, andra fjärrvärmeföretag, företag 2 (GWh)]]-Tabell38[[#This Row],[Levererad värme, andra fjärrvärmeföretag, företag 3 (GWh)]]</f>
        <v>279.8</v>
      </c>
      <c r="H131" s="102" t="str">
        <f>VLOOKUP(Tabell38[[#This Row],[Nät]],Tabell5[],2,FALSE)</f>
        <v>Karlskoga</v>
      </c>
      <c r="I131" t="str">
        <f>VLOOKUP(Tabell38[[#This Row],[Nät]],'Leveranser per nät'!A:A,1,FALSE)</f>
        <v>Karlskoga</v>
      </c>
      <c r="O131" t="s">
        <v>806</v>
      </c>
      <c r="P131" t="s">
        <v>806</v>
      </c>
      <c r="Q131" s="84" t="s">
        <v>806</v>
      </c>
      <c r="R131">
        <f t="shared" ref="R131:R194" si="13">IF(O131="ET",0,O131)</f>
        <v>0</v>
      </c>
      <c r="S131">
        <f t="shared" ref="S131:S194" si="14">IF(P131="ET",0,P131)</f>
        <v>0</v>
      </c>
      <c r="T131">
        <f t="shared" ref="T131:T194" si="15">IF(Q131="ET",0,Q131)</f>
        <v>0</v>
      </c>
      <c r="U131">
        <f t="shared" ref="U131:U194" si="16">IF(R131="-",0,R131)</f>
        <v>0</v>
      </c>
      <c r="V131">
        <f t="shared" ref="V131:V194" si="17">IF(S131="-",0,S131)</f>
        <v>0</v>
      </c>
      <c r="W131">
        <f t="shared" ref="W131:W194" si="18">IF(T131="-",0,T131)</f>
        <v>0</v>
      </c>
    </row>
    <row r="132" spans="1:23" x14ac:dyDescent="0.25">
      <c r="A132" t="s">
        <v>646</v>
      </c>
      <c r="B132" t="s">
        <v>166</v>
      </c>
      <c r="C132">
        <v>500.1</v>
      </c>
      <c r="D132">
        <v>53.7</v>
      </c>
      <c r="E132">
        <v>0</v>
      </c>
      <c r="F132">
        <v>0</v>
      </c>
      <c r="G132" s="105">
        <f>Tabell38[[#This Row],[Såld värme (GWh)]]-Tabell38[[#This Row],[Levererad värme, andra fjärrvärmeföretag, företag 1 (GWh)]]-Tabell38[[#This Row],[Levererad värme, andra fjärrvärmeföretag, företag 2 (GWh)]]-Tabell38[[#This Row],[Levererad värme, andra fjärrvärmeföretag, företag 3 (GWh)]]</f>
        <v>446.40000000000003</v>
      </c>
      <c r="H132" s="102" t="str">
        <f>VLOOKUP(Tabell38[[#This Row],[Nät]],Tabell5[],2,FALSE)</f>
        <v>Karlstad</v>
      </c>
      <c r="I132" t="str">
        <f>VLOOKUP(Tabell38[[#This Row],[Nät]],'Leveranser per nät'!A:A,1,FALSE)</f>
        <v>Karlstad</v>
      </c>
      <c r="O132">
        <v>53.7</v>
      </c>
      <c r="P132" t="s">
        <v>806</v>
      </c>
      <c r="Q132" s="44" t="s">
        <v>806</v>
      </c>
      <c r="R132">
        <f t="shared" si="13"/>
        <v>53.7</v>
      </c>
      <c r="S132">
        <f t="shared" si="14"/>
        <v>0</v>
      </c>
      <c r="T132">
        <f t="shared" si="15"/>
        <v>0</v>
      </c>
      <c r="U132">
        <f t="shared" si="16"/>
        <v>53.7</v>
      </c>
      <c r="V132">
        <f t="shared" si="17"/>
        <v>0</v>
      </c>
      <c r="W132">
        <f t="shared" si="18"/>
        <v>0</v>
      </c>
    </row>
    <row r="133" spans="1:23" x14ac:dyDescent="0.25">
      <c r="A133" t="s">
        <v>649</v>
      </c>
      <c r="B133" t="s">
        <v>170</v>
      </c>
      <c r="C133">
        <v>32.713999999999999</v>
      </c>
      <c r="D133">
        <v>0</v>
      </c>
      <c r="E133">
        <v>0</v>
      </c>
      <c r="F133">
        <v>0</v>
      </c>
      <c r="G133" s="105">
        <f>Tabell38[[#This Row],[Såld värme (GWh)]]-Tabell38[[#This Row],[Levererad värme, andra fjärrvärmeföretag, företag 1 (GWh)]]-Tabell38[[#This Row],[Levererad värme, andra fjärrvärmeföretag, företag 2 (GWh)]]-Tabell38[[#This Row],[Levererad värme, andra fjärrvärmeföretag, företag 3 (GWh)]]</f>
        <v>32.713999999999999</v>
      </c>
      <c r="H133" s="102" t="str">
        <f>VLOOKUP(Tabell38[[#This Row],[Nät]],Tabell5[],2,FALSE)</f>
        <v>Kil</v>
      </c>
      <c r="I133" t="str">
        <f>VLOOKUP(Tabell38[[#This Row],[Nät]],'Leveranser per nät'!A:A,1,FALSE)</f>
        <v>Kil</v>
      </c>
      <c r="O133" t="s">
        <v>806</v>
      </c>
      <c r="P133" t="s">
        <v>806</v>
      </c>
      <c r="Q133" s="84" t="s">
        <v>806</v>
      </c>
      <c r="R133">
        <f t="shared" si="13"/>
        <v>0</v>
      </c>
      <c r="S133">
        <f t="shared" si="14"/>
        <v>0</v>
      </c>
      <c r="T133">
        <f t="shared" si="15"/>
        <v>0</v>
      </c>
      <c r="U133">
        <f t="shared" si="16"/>
        <v>0</v>
      </c>
      <c r="V133">
        <f t="shared" si="17"/>
        <v>0</v>
      </c>
      <c r="W133">
        <f t="shared" si="18"/>
        <v>0</v>
      </c>
    </row>
    <row r="134" spans="1:23" x14ac:dyDescent="0.25">
      <c r="A134" t="s">
        <v>817</v>
      </c>
      <c r="B134" t="s">
        <v>390</v>
      </c>
      <c r="C134">
        <v>201.87100000000001</v>
      </c>
      <c r="D134">
        <v>0</v>
      </c>
      <c r="E134">
        <v>0</v>
      </c>
      <c r="F134">
        <v>0</v>
      </c>
      <c r="G134" s="105">
        <f>Tabell38[[#This Row],[Såld värme (GWh)]]-Tabell38[[#This Row],[Levererad värme, andra fjärrvärmeföretag, företag 1 (GWh)]]-Tabell38[[#This Row],[Levererad värme, andra fjärrvärmeföretag, företag 2 (GWh)]]-Tabell38[[#This Row],[Levererad värme, andra fjärrvärmeföretag, företag 3 (GWh)]]</f>
        <v>201.87100000000001</v>
      </c>
      <c r="H134" s="102" t="str">
        <f>VLOOKUP(Tabell38[[#This Row],[Nät]],Tabell5[],2,FALSE)</f>
        <v>Kiruna C</v>
      </c>
      <c r="I134" t="str">
        <f>VLOOKUP(Tabell38[[#This Row],[Nät]],'Leveranser per nät'!A:A,1,FALSE)</f>
        <v>Kiruna C</v>
      </c>
      <c r="O134" t="s">
        <v>806</v>
      </c>
      <c r="P134" t="s">
        <v>806</v>
      </c>
      <c r="Q134" s="44" t="s">
        <v>806</v>
      </c>
      <c r="R134">
        <f t="shared" si="13"/>
        <v>0</v>
      </c>
      <c r="S134">
        <f t="shared" si="14"/>
        <v>0</v>
      </c>
      <c r="T134">
        <f t="shared" si="15"/>
        <v>0</v>
      </c>
      <c r="U134">
        <f t="shared" si="16"/>
        <v>0</v>
      </c>
      <c r="V134">
        <f t="shared" si="17"/>
        <v>0</v>
      </c>
      <c r="W134">
        <f t="shared" si="18"/>
        <v>0</v>
      </c>
    </row>
    <row r="135" spans="1:23" x14ac:dyDescent="0.25">
      <c r="A135" t="s">
        <v>817</v>
      </c>
      <c r="B135" t="s">
        <v>305</v>
      </c>
      <c r="C135">
        <v>4.4660000000000002</v>
      </c>
      <c r="D135">
        <v>0</v>
      </c>
      <c r="E135">
        <v>0</v>
      </c>
      <c r="F135">
        <v>0</v>
      </c>
      <c r="G135" s="105">
        <f>Tabell38[[#This Row],[Såld värme (GWh)]]-Tabell38[[#This Row],[Levererad värme, andra fjärrvärmeföretag, företag 1 (GWh)]]-Tabell38[[#This Row],[Levererad värme, andra fjärrvärmeföretag, företag 2 (GWh)]]-Tabell38[[#This Row],[Levererad värme, andra fjärrvärmeföretag, företag 3 (GWh)]]</f>
        <v>4.4660000000000002</v>
      </c>
      <c r="H135" s="102" t="str">
        <f>VLOOKUP(Tabell38[[#This Row],[Nät]],Tabell5[],2,FALSE)</f>
        <v>Vittangi</v>
      </c>
      <c r="I135" t="str">
        <f>VLOOKUP(Tabell38[[#This Row],[Nät]],'Leveranser per nät'!A:A,1,FALSE)</f>
        <v>Vittangi</v>
      </c>
      <c r="O135" t="s">
        <v>806</v>
      </c>
      <c r="P135" t="s">
        <v>806</v>
      </c>
      <c r="Q135" s="84" t="s">
        <v>806</v>
      </c>
      <c r="R135">
        <f t="shared" si="13"/>
        <v>0</v>
      </c>
      <c r="S135">
        <f t="shared" si="14"/>
        <v>0</v>
      </c>
      <c r="T135">
        <f t="shared" si="15"/>
        <v>0</v>
      </c>
      <c r="U135">
        <f t="shared" si="16"/>
        <v>0</v>
      </c>
      <c r="V135">
        <f t="shared" si="17"/>
        <v>0</v>
      </c>
      <c r="W135">
        <f t="shared" si="18"/>
        <v>0</v>
      </c>
    </row>
    <row r="136" spans="1:23" x14ac:dyDescent="0.25">
      <c r="A136" t="s">
        <v>786</v>
      </c>
      <c r="B136" t="s">
        <v>787</v>
      </c>
      <c r="C136">
        <v>783.84100000000001</v>
      </c>
      <c r="D136">
        <v>9.4610000000000003</v>
      </c>
      <c r="E136">
        <v>18.216999999999999</v>
      </c>
      <c r="F136">
        <v>0</v>
      </c>
      <c r="G136" s="105">
        <f>Tabell38[[#This Row],[Såld värme (GWh)]]-Tabell38[[#This Row],[Levererad värme, andra fjärrvärmeföretag, företag 1 (GWh)]]-Tabell38[[#This Row],[Levererad värme, andra fjärrvärmeföretag, företag 2 (GWh)]]-Tabell38[[#This Row],[Levererad värme, andra fjärrvärmeföretag, företag 3 (GWh)]]</f>
        <v>756.16300000000001</v>
      </c>
      <c r="H136" s="102" t="str">
        <f>VLOOKUP(Tabell38[[#This Row],[Nät]],Tabell5[],2,FALSE)</f>
        <v>Eslöv-Lund-Lomma m fl</v>
      </c>
      <c r="I136" t="str">
        <f>VLOOKUP(Tabell38[[#This Row],[Nät]],'Leveranser per nät'!A:A,1,FALSE)</f>
        <v>Eslöv-Lund-Lomma m fl</v>
      </c>
      <c r="O136">
        <v>9.4610000000000003</v>
      </c>
      <c r="P136">
        <v>18.216999999999999</v>
      </c>
      <c r="Q136" s="44" t="s">
        <v>806</v>
      </c>
      <c r="R136">
        <f t="shared" si="13"/>
        <v>9.4610000000000003</v>
      </c>
      <c r="S136">
        <f t="shared" si="14"/>
        <v>18.216999999999999</v>
      </c>
      <c r="T136">
        <f t="shared" si="15"/>
        <v>0</v>
      </c>
      <c r="U136">
        <f t="shared" si="16"/>
        <v>9.4610000000000003</v>
      </c>
      <c r="V136">
        <f t="shared" si="17"/>
        <v>18.216999999999999</v>
      </c>
      <c r="W136">
        <f t="shared" si="18"/>
        <v>0</v>
      </c>
    </row>
    <row r="137" spans="1:23" x14ac:dyDescent="0.25">
      <c r="A137" t="s">
        <v>786</v>
      </c>
      <c r="B137" t="s">
        <v>788</v>
      </c>
      <c r="C137">
        <v>49.536999999999999</v>
      </c>
      <c r="D137">
        <v>0</v>
      </c>
      <c r="E137">
        <v>0</v>
      </c>
      <c r="F137">
        <v>0</v>
      </c>
      <c r="G137" s="105">
        <f>Tabell38[[#This Row],[Såld värme (GWh)]]-Tabell38[[#This Row],[Levererad värme, andra fjärrvärmeföretag, företag 1 (GWh)]]-Tabell38[[#This Row],[Levererad värme, andra fjärrvärmeföretag, företag 2 (GWh)]]-Tabell38[[#This Row],[Levererad värme, andra fjärrvärmeföretag, företag 3 (GWh)]]</f>
        <v>49.536999999999999</v>
      </c>
      <c r="H137" s="102" t="str">
        <f>VLOOKUP(Tabell38[[#This Row],[Nät]],Tabell5[],2,FALSE)</f>
        <v>Klippan-Ljungbyhed-Östra Ljungby</v>
      </c>
      <c r="I137" t="str">
        <f>VLOOKUP(Tabell38[[#This Row],[Nät]],'Leveranser per nät'!A:A,1,FALSE)</f>
        <v>Klippan-Ljungbyhed-Östra Ljungby</v>
      </c>
      <c r="O137" t="s">
        <v>806</v>
      </c>
      <c r="P137" t="s">
        <v>806</v>
      </c>
      <c r="Q137" s="84" t="s">
        <v>806</v>
      </c>
      <c r="R137">
        <f t="shared" si="13"/>
        <v>0</v>
      </c>
      <c r="S137">
        <f t="shared" si="14"/>
        <v>0</v>
      </c>
      <c r="T137">
        <f t="shared" si="15"/>
        <v>0</v>
      </c>
      <c r="U137">
        <f t="shared" si="16"/>
        <v>0</v>
      </c>
      <c r="V137">
        <f t="shared" si="17"/>
        <v>0</v>
      </c>
      <c r="W137">
        <f t="shared" si="18"/>
        <v>0</v>
      </c>
    </row>
    <row r="138" spans="1:23" x14ac:dyDescent="0.25">
      <c r="A138" t="s">
        <v>632</v>
      </c>
      <c r="B138" t="s">
        <v>385</v>
      </c>
      <c r="C138">
        <v>1.0489999999999999</v>
      </c>
      <c r="D138">
        <v>0</v>
      </c>
      <c r="E138">
        <v>0</v>
      </c>
      <c r="F138">
        <v>0</v>
      </c>
      <c r="G138" s="105">
        <f>Tabell38[[#This Row],[Såld värme (GWh)]]-Tabell38[[#This Row],[Levererad värme, andra fjärrvärmeföretag, företag 1 (GWh)]]-Tabell38[[#This Row],[Levererad värme, andra fjärrvärmeföretag, företag 2 (GWh)]]-Tabell38[[#This Row],[Levererad värme, andra fjärrvärmeföretag, företag 3 (GWh)]]</f>
        <v>1.0489999999999999</v>
      </c>
      <c r="H138" s="102" t="str">
        <f>VLOOKUP(Tabell38[[#This Row],[Nät]],Tabell5[],2,FALSE)</f>
        <v>HVC Kode</v>
      </c>
      <c r="I138" t="str">
        <f>VLOOKUP(Tabell38[[#This Row],[Nät]],'Leveranser per nät'!A:A,1,FALSE)</f>
        <v>HVC Kode</v>
      </c>
      <c r="O138" t="s">
        <v>806</v>
      </c>
      <c r="P138" t="s">
        <v>806</v>
      </c>
      <c r="Q138" s="44" t="s">
        <v>806</v>
      </c>
      <c r="R138">
        <f t="shared" si="13"/>
        <v>0</v>
      </c>
      <c r="S138">
        <f t="shared" si="14"/>
        <v>0</v>
      </c>
      <c r="T138">
        <f t="shared" si="15"/>
        <v>0</v>
      </c>
      <c r="U138">
        <f t="shared" si="16"/>
        <v>0</v>
      </c>
      <c r="V138">
        <f t="shared" si="17"/>
        <v>0</v>
      </c>
      <c r="W138">
        <f t="shared" si="18"/>
        <v>0</v>
      </c>
    </row>
    <row r="139" spans="1:23" x14ac:dyDescent="0.25">
      <c r="A139" t="s">
        <v>632</v>
      </c>
      <c r="B139" t="s">
        <v>386</v>
      </c>
      <c r="C139">
        <v>1.012</v>
      </c>
      <c r="D139">
        <v>0</v>
      </c>
      <c r="E139">
        <v>0</v>
      </c>
      <c r="F139">
        <v>0</v>
      </c>
      <c r="G139" s="105">
        <f>Tabell38[[#This Row],[Såld värme (GWh)]]-Tabell38[[#This Row],[Levererad värme, andra fjärrvärmeföretag, företag 1 (GWh)]]-Tabell38[[#This Row],[Levererad värme, andra fjärrvärmeföretag, företag 2 (GWh)]]-Tabell38[[#This Row],[Levererad värme, andra fjärrvärmeföretag, företag 3 (GWh)]]</f>
        <v>1.012</v>
      </c>
      <c r="H139" s="102" t="str">
        <f>VLOOKUP(Tabell38[[#This Row],[Nät]],Tabell5[],2,FALSE)</f>
        <v>HVC Kärna</v>
      </c>
      <c r="I139" t="str">
        <f>VLOOKUP(Tabell38[[#This Row],[Nät]],'Leveranser per nät'!A:A,1,FALSE)</f>
        <v>HVC Kärna</v>
      </c>
      <c r="O139" t="s">
        <v>806</v>
      </c>
      <c r="P139" t="s">
        <v>806</v>
      </c>
      <c r="Q139" s="84" t="s">
        <v>806</v>
      </c>
      <c r="R139">
        <f t="shared" si="13"/>
        <v>0</v>
      </c>
      <c r="S139">
        <f t="shared" si="14"/>
        <v>0</v>
      </c>
      <c r="T139">
        <f t="shared" si="15"/>
        <v>0</v>
      </c>
      <c r="U139">
        <f t="shared" si="16"/>
        <v>0</v>
      </c>
      <c r="V139">
        <f t="shared" si="17"/>
        <v>0</v>
      </c>
      <c r="W139">
        <f t="shared" si="18"/>
        <v>0</v>
      </c>
    </row>
    <row r="140" spans="1:23" x14ac:dyDescent="0.25">
      <c r="A140" t="s">
        <v>632</v>
      </c>
      <c r="B140" t="s">
        <v>387</v>
      </c>
      <c r="C140">
        <v>2.38</v>
      </c>
      <c r="D140">
        <v>0</v>
      </c>
      <c r="E140">
        <v>0</v>
      </c>
      <c r="F140">
        <v>0</v>
      </c>
      <c r="G140" s="105">
        <f>Tabell38[[#This Row],[Såld värme (GWh)]]-Tabell38[[#This Row],[Levererad värme, andra fjärrvärmeföretag, företag 1 (GWh)]]-Tabell38[[#This Row],[Levererad värme, andra fjärrvärmeföretag, företag 2 (GWh)]]-Tabell38[[#This Row],[Levererad värme, andra fjärrvärmeföretag, företag 3 (GWh)]]</f>
        <v>2.38</v>
      </c>
      <c r="H140" s="102" t="str">
        <f>VLOOKUP(Tabell38[[#This Row],[Nät]],Tabell5[],2,FALSE)</f>
        <v>HVC Stålkullen</v>
      </c>
      <c r="I140" t="str">
        <f>VLOOKUP(Tabell38[[#This Row],[Nät]],'Leveranser per nät'!A:A,1,FALSE)</f>
        <v>HVC Stålkullen</v>
      </c>
      <c r="O140" t="s">
        <v>806</v>
      </c>
      <c r="P140" t="s">
        <v>806</v>
      </c>
      <c r="Q140" s="44" t="s">
        <v>806</v>
      </c>
      <c r="R140">
        <f t="shared" si="13"/>
        <v>0</v>
      </c>
      <c r="S140">
        <f t="shared" si="14"/>
        <v>0</v>
      </c>
      <c r="T140">
        <f t="shared" si="15"/>
        <v>0</v>
      </c>
      <c r="U140">
        <f t="shared" si="16"/>
        <v>0</v>
      </c>
      <c r="V140">
        <f t="shared" si="17"/>
        <v>0</v>
      </c>
      <c r="W140">
        <f t="shared" si="18"/>
        <v>0</v>
      </c>
    </row>
    <row r="141" spans="1:23" x14ac:dyDescent="0.25">
      <c r="A141" t="s">
        <v>632</v>
      </c>
      <c r="B141" t="s">
        <v>173</v>
      </c>
      <c r="C141">
        <v>107.5</v>
      </c>
      <c r="D141">
        <v>0</v>
      </c>
      <c r="E141">
        <v>0</v>
      </c>
      <c r="F141">
        <v>0</v>
      </c>
      <c r="G141" s="105">
        <f>Tabell38[[#This Row],[Såld värme (GWh)]]-Tabell38[[#This Row],[Levererad värme, andra fjärrvärmeföretag, företag 1 (GWh)]]-Tabell38[[#This Row],[Levererad värme, andra fjärrvärmeföretag, företag 2 (GWh)]]-Tabell38[[#This Row],[Levererad värme, andra fjärrvärmeföretag, företag 3 (GWh)]]</f>
        <v>107.5</v>
      </c>
      <c r="H141" s="102" t="str">
        <f>VLOOKUP(Tabell38[[#This Row],[Nät]],Tabell5[],2,FALSE)</f>
        <v>Kungälv</v>
      </c>
      <c r="I141" t="str">
        <f>VLOOKUP(Tabell38[[#This Row],[Nät]],'Leveranser per nät'!A:A,1,FALSE)</f>
        <v>Kungälv</v>
      </c>
      <c r="O141" t="s">
        <v>806</v>
      </c>
      <c r="P141" t="s">
        <v>806</v>
      </c>
      <c r="Q141" s="84" t="s">
        <v>806</v>
      </c>
      <c r="R141">
        <f t="shared" si="13"/>
        <v>0</v>
      </c>
      <c r="S141">
        <f t="shared" si="14"/>
        <v>0</v>
      </c>
      <c r="T141">
        <f t="shared" si="15"/>
        <v>0</v>
      </c>
      <c r="U141">
        <f t="shared" si="16"/>
        <v>0</v>
      </c>
      <c r="V141">
        <f t="shared" si="17"/>
        <v>0</v>
      </c>
      <c r="W141">
        <f t="shared" si="18"/>
        <v>0</v>
      </c>
    </row>
    <row r="142" spans="1:23" x14ac:dyDescent="0.25">
      <c r="A142" t="s">
        <v>658</v>
      </c>
      <c r="B142" t="s">
        <v>176</v>
      </c>
      <c r="C142">
        <v>296.7</v>
      </c>
      <c r="D142">
        <v>13.7</v>
      </c>
      <c r="E142">
        <v>39.4</v>
      </c>
      <c r="F142">
        <v>0</v>
      </c>
      <c r="G142" s="105">
        <f>Tabell38[[#This Row],[Såld värme (GWh)]]-Tabell38[[#This Row],[Levererad värme, andra fjärrvärmeföretag, företag 1 (GWh)]]-Tabell38[[#This Row],[Levererad värme, andra fjärrvärmeföretag, företag 2 (GWh)]]-Tabell38[[#This Row],[Levererad värme, andra fjärrvärmeföretag, företag 3 (GWh)]]</f>
        <v>243.6</v>
      </c>
      <c r="H142" s="102" t="str">
        <f>VLOOKUP(Tabell38[[#This Row],[Nät]],Tabell5[],2,FALSE)</f>
        <v>Landskrona</v>
      </c>
      <c r="I142" t="str">
        <f>VLOOKUP(Tabell38[[#This Row],[Nät]],'Leveranser per nät'!A:A,1,FALSE)</f>
        <v>Landskrona</v>
      </c>
      <c r="O142">
        <v>13.7</v>
      </c>
      <c r="P142">
        <v>39.4</v>
      </c>
      <c r="Q142" s="44" t="s">
        <v>806</v>
      </c>
      <c r="R142">
        <f t="shared" si="13"/>
        <v>13.7</v>
      </c>
      <c r="S142">
        <f t="shared" si="14"/>
        <v>39.4</v>
      </c>
      <c r="T142">
        <f t="shared" si="15"/>
        <v>0</v>
      </c>
      <c r="U142">
        <f t="shared" si="16"/>
        <v>13.7</v>
      </c>
      <c r="V142">
        <f t="shared" si="17"/>
        <v>39.4</v>
      </c>
      <c r="W142">
        <f t="shared" si="18"/>
        <v>0</v>
      </c>
    </row>
    <row r="143" spans="1:23" x14ac:dyDescent="0.25">
      <c r="A143" t="s">
        <v>568</v>
      </c>
      <c r="B143" t="s">
        <v>178</v>
      </c>
      <c r="C143">
        <v>7.2880000000000003</v>
      </c>
      <c r="D143">
        <v>0</v>
      </c>
      <c r="E143">
        <v>0</v>
      </c>
      <c r="F143">
        <v>0</v>
      </c>
      <c r="G143" s="105">
        <f>Tabell38[[#This Row],[Såld värme (GWh)]]-Tabell38[[#This Row],[Levererad värme, andra fjärrvärmeföretag, företag 1 (GWh)]]-Tabell38[[#This Row],[Levererad värme, andra fjärrvärmeföretag, företag 2 (GWh)]]-Tabell38[[#This Row],[Levererad värme, andra fjärrvärmeföretag, företag 3 (GWh)]]</f>
        <v>7.2880000000000003</v>
      </c>
      <c r="H143" s="102" t="str">
        <f>VLOOKUP(Tabell38[[#This Row],[Nät]],Tabell5[],2,FALSE)</f>
        <v>Bjärnum</v>
      </c>
      <c r="I143" t="str">
        <f>VLOOKUP(Tabell38[[#This Row],[Nät]],'Leveranser per nät'!A:A,1,FALSE)</f>
        <v>Bjärnum</v>
      </c>
      <c r="O143" t="s">
        <v>806</v>
      </c>
      <c r="P143" t="s">
        <v>806</v>
      </c>
      <c r="Q143" s="84" t="s">
        <v>806</v>
      </c>
      <c r="R143">
        <f t="shared" si="13"/>
        <v>0</v>
      </c>
      <c r="S143">
        <f t="shared" si="14"/>
        <v>0</v>
      </c>
      <c r="T143">
        <f t="shared" si="15"/>
        <v>0</v>
      </c>
      <c r="U143">
        <f t="shared" si="16"/>
        <v>0</v>
      </c>
      <c r="V143">
        <f t="shared" si="17"/>
        <v>0</v>
      </c>
      <c r="W143">
        <f t="shared" si="18"/>
        <v>0</v>
      </c>
    </row>
    <row r="144" spans="1:23" x14ac:dyDescent="0.25">
      <c r="A144" t="s">
        <v>568</v>
      </c>
      <c r="B144" t="s">
        <v>179</v>
      </c>
      <c r="C144">
        <v>6.5</v>
      </c>
      <c r="D144">
        <v>0</v>
      </c>
      <c r="E144">
        <v>0</v>
      </c>
      <c r="F144">
        <v>0</v>
      </c>
      <c r="G144" s="105">
        <f>Tabell38[[#This Row],[Såld värme (GWh)]]-Tabell38[[#This Row],[Levererad värme, andra fjärrvärmeföretag, företag 1 (GWh)]]-Tabell38[[#This Row],[Levererad värme, andra fjärrvärmeföretag, företag 2 (GWh)]]-Tabell38[[#This Row],[Levererad värme, andra fjärrvärmeföretag, företag 3 (GWh)]]</f>
        <v>6.5</v>
      </c>
      <c r="H144" s="102" t="str">
        <f>VLOOKUP(Tabell38[[#This Row],[Nät]],Tabell5[],2,FALSE)</f>
        <v>Ed</v>
      </c>
      <c r="I144" t="str">
        <f>VLOOKUP(Tabell38[[#This Row],[Nät]],'Leveranser per nät'!A:A,1,FALSE)</f>
        <v>Ed</v>
      </c>
      <c r="O144" t="s">
        <v>806</v>
      </c>
      <c r="P144" t="s">
        <v>806</v>
      </c>
      <c r="Q144" s="44" t="s">
        <v>806</v>
      </c>
      <c r="R144">
        <f t="shared" si="13"/>
        <v>0</v>
      </c>
      <c r="S144">
        <f t="shared" si="14"/>
        <v>0</v>
      </c>
      <c r="T144">
        <f t="shared" si="15"/>
        <v>0</v>
      </c>
      <c r="U144">
        <f t="shared" si="16"/>
        <v>0</v>
      </c>
      <c r="V144">
        <f t="shared" si="17"/>
        <v>0</v>
      </c>
      <c r="W144">
        <f t="shared" si="18"/>
        <v>0</v>
      </c>
    </row>
    <row r="145" spans="1:23" x14ac:dyDescent="0.25">
      <c r="A145" t="s">
        <v>568</v>
      </c>
      <c r="B145" t="s">
        <v>1108</v>
      </c>
      <c r="C145">
        <v>17.920000000000002</v>
      </c>
      <c r="D145">
        <v>0</v>
      </c>
      <c r="E145">
        <v>0</v>
      </c>
      <c r="F145">
        <v>0</v>
      </c>
      <c r="G145" s="105">
        <f>Tabell38[[#This Row],[Såld värme (GWh)]]-Tabell38[[#This Row],[Levererad värme, andra fjärrvärmeföretag, företag 1 (GWh)]]-Tabell38[[#This Row],[Levererad värme, andra fjärrvärmeföretag, företag 2 (GWh)]]-Tabell38[[#This Row],[Levererad värme, andra fjärrvärmeföretag, företag 3 (GWh)]]</f>
        <v>17.920000000000002</v>
      </c>
      <c r="H145" s="102" t="str">
        <f>VLOOKUP(Tabell38[[#This Row],[Nät]],Tabell5[],2,FALSE)</f>
        <v>Gimmersta</v>
      </c>
      <c r="I145" t="str">
        <f>VLOOKUP(Tabell38[[#This Row],[Nät]],'Leveranser per nät'!A:A,1,FALSE)</f>
        <v>Gimmersta</v>
      </c>
      <c r="O145" t="s">
        <v>806</v>
      </c>
      <c r="P145" t="s">
        <v>806</v>
      </c>
      <c r="Q145" s="84" t="s">
        <v>806</v>
      </c>
      <c r="R145">
        <f t="shared" si="13"/>
        <v>0</v>
      </c>
      <c r="S145">
        <f t="shared" si="14"/>
        <v>0</v>
      </c>
      <c r="T145">
        <f t="shared" si="15"/>
        <v>0</v>
      </c>
      <c r="U145">
        <f t="shared" si="16"/>
        <v>0</v>
      </c>
      <c r="V145">
        <f t="shared" si="17"/>
        <v>0</v>
      </c>
      <c r="W145">
        <f t="shared" si="18"/>
        <v>0</v>
      </c>
    </row>
    <row r="146" spans="1:23" x14ac:dyDescent="0.25">
      <c r="A146" t="s">
        <v>568</v>
      </c>
      <c r="B146" t="s">
        <v>180</v>
      </c>
      <c r="C146">
        <v>9.9499999999999993</v>
      </c>
      <c r="D146">
        <v>0</v>
      </c>
      <c r="E146">
        <v>0</v>
      </c>
      <c r="F146">
        <v>0</v>
      </c>
      <c r="G146" s="105">
        <f>Tabell38[[#This Row],[Såld värme (GWh)]]-Tabell38[[#This Row],[Levererad värme, andra fjärrvärmeföretag, företag 1 (GWh)]]-Tabell38[[#This Row],[Levererad värme, andra fjärrvärmeföretag, företag 2 (GWh)]]-Tabell38[[#This Row],[Levererad värme, andra fjärrvärmeföretag, företag 3 (GWh)]]</f>
        <v>9.9499999999999993</v>
      </c>
      <c r="H146" s="102" t="str">
        <f>VLOOKUP(Tabell38[[#This Row],[Nät]],Tabell5[],2,FALSE)</f>
        <v>Grästorp</v>
      </c>
      <c r="I146" t="str">
        <f>VLOOKUP(Tabell38[[#This Row],[Nät]],'Leveranser per nät'!A:A,1,FALSE)</f>
        <v>Grästorp</v>
      </c>
      <c r="O146" t="s">
        <v>806</v>
      </c>
      <c r="P146" t="s">
        <v>806</v>
      </c>
      <c r="Q146" s="44" t="s">
        <v>806</v>
      </c>
      <c r="R146">
        <f t="shared" si="13"/>
        <v>0</v>
      </c>
      <c r="S146">
        <f t="shared" si="14"/>
        <v>0</v>
      </c>
      <c r="T146">
        <f t="shared" si="15"/>
        <v>0</v>
      </c>
      <c r="U146">
        <f t="shared" si="16"/>
        <v>0</v>
      </c>
      <c r="V146">
        <f t="shared" si="17"/>
        <v>0</v>
      </c>
      <c r="W146">
        <f t="shared" si="18"/>
        <v>0</v>
      </c>
    </row>
    <row r="147" spans="1:23" x14ac:dyDescent="0.25">
      <c r="A147" t="s">
        <v>568</v>
      </c>
      <c r="B147" t="s">
        <v>181</v>
      </c>
      <c r="C147">
        <v>5.05</v>
      </c>
      <c r="D147">
        <v>0</v>
      </c>
      <c r="E147">
        <v>0</v>
      </c>
      <c r="F147">
        <v>0</v>
      </c>
      <c r="G147" s="105">
        <f>Tabell38[[#This Row],[Såld värme (GWh)]]-Tabell38[[#This Row],[Levererad värme, andra fjärrvärmeföretag, företag 1 (GWh)]]-Tabell38[[#This Row],[Levererad värme, andra fjärrvärmeföretag, företag 2 (GWh)]]-Tabell38[[#This Row],[Levererad värme, andra fjärrvärmeföretag, företag 3 (GWh)]]</f>
        <v>5.05</v>
      </c>
      <c r="H147" s="102" t="str">
        <f>VLOOKUP(Tabell38[[#This Row],[Nät]],Tabell5[],2,FALSE)</f>
        <v>Horred</v>
      </c>
      <c r="I147" t="str">
        <f>VLOOKUP(Tabell38[[#This Row],[Nät]],'Leveranser per nät'!A:A,1,FALSE)</f>
        <v>Horred</v>
      </c>
      <c r="O147" t="s">
        <v>806</v>
      </c>
      <c r="P147" t="s">
        <v>806</v>
      </c>
      <c r="Q147" s="84" t="s">
        <v>806</v>
      </c>
      <c r="R147">
        <f t="shared" si="13"/>
        <v>0</v>
      </c>
      <c r="S147">
        <f t="shared" si="14"/>
        <v>0</v>
      </c>
      <c r="T147">
        <f t="shared" si="15"/>
        <v>0</v>
      </c>
      <c r="U147">
        <f t="shared" si="16"/>
        <v>0</v>
      </c>
      <c r="V147">
        <f t="shared" si="17"/>
        <v>0</v>
      </c>
      <c r="W147">
        <f t="shared" si="18"/>
        <v>0</v>
      </c>
    </row>
    <row r="148" spans="1:23" x14ac:dyDescent="0.25">
      <c r="A148" t="s">
        <v>568</v>
      </c>
      <c r="B148" t="s">
        <v>182</v>
      </c>
      <c r="C148">
        <v>10.44</v>
      </c>
      <c r="D148">
        <v>0</v>
      </c>
      <c r="E148">
        <v>0</v>
      </c>
      <c r="F148">
        <v>0</v>
      </c>
      <c r="G148" s="105">
        <f>Tabell38[[#This Row],[Såld värme (GWh)]]-Tabell38[[#This Row],[Levererad värme, andra fjärrvärmeföretag, företag 1 (GWh)]]-Tabell38[[#This Row],[Levererad värme, andra fjärrvärmeföretag, företag 2 (GWh)]]-Tabell38[[#This Row],[Levererad värme, andra fjärrvärmeföretag, företag 3 (GWh)]]</f>
        <v>10.44</v>
      </c>
      <c r="H148" s="102" t="str">
        <f>VLOOKUP(Tabell38[[#This Row],[Nät]],Tabell5[],2,FALSE)</f>
        <v>Kvänum</v>
      </c>
      <c r="I148" t="str">
        <f>VLOOKUP(Tabell38[[#This Row],[Nät]],'Leveranser per nät'!A:A,1,FALSE)</f>
        <v>Kvänum</v>
      </c>
      <c r="O148" t="s">
        <v>806</v>
      </c>
      <c r="P148" t="s">
        <v>806</v>
      </c>
      <c r="Q148" s="44" t="s">
        <v>806</v>
      </c>
      <c r="R148">
        <f t="shared" si="13"/>
        <v>0</v>
      </c>
      <c r="S148">
        <f t="shared" si="14"/>
        <v>0</v>
      </c>
      <c r="T148">
        <f t="shared" si="15"/>
        <v>0</v>
      </c>
      <c r="U148">
        <f t="shared" si="16"/>
        <v>0</v>
      </c>
      <c r="V148">
        <f t="shared" si="17"/>
        <v>0</v>
      </c>
      <c r="W148">
        <f t="shared" si="18"/>
        <v>0</v>
      </c>
    </row>
    <row r="149" spans="1:23" x14ac:dyDescent="0.25">
      <c r="A149" t="s">
        <v>568</v>
      </c>
      <c r="B149" t="s">
        <v>183</v>
      </c>
      <c r="C149">
        <v>26.34</v>
      </c>
      <c r="D149">
        <v>0</v>
      </c>
      <c r="E149">
        <v>0</v>
      </c>
      <c r="F149">
        <v>0</v>
      </c>
      <c r="G149" s="105">
        <f>Tabell38[[#This Row],[Såld värme (GWh)]]-Tabell38[[#This Row],[Levererad värme, andra fjärrvärmeföretag, företag 1 (GWh)]]-Tabell38[[#This Row],[Levererad värme, andra fjärrvärmeföretag, företag 2 (GWh)]]-Tabell38[[#This Row],[Levererad värme, andra fjärrvärmeföretag, företag 3 (GWh)]]</f>
        <v>26.34</v>
      </c>
      <c r="H149" s="102" t="str">
        <f>VLOOKUP(Tabell38[[#This Row],[Nät]],Tabell5[],2,FALSE)</f>
        <v>Skurup</v>
      </c>
      <c r="I149" t="str">
        <f>VLOOKUP(Tabell38[[#This Row],[Nät]],'Leveranser per nät'!A:A,1,FALSE)</f>
        <v>Skurup</v>
      </c>
      <c r="O149" t="s">
        <v>806</v>
      </c>
      <c r="P149" t="s">
        <v>806</v>
      </c>
      <c r="Q149" s="84" t="s">
        <v>806</v>
      </c>
      <c r="R149">
        <f t="shared" si="13"/>
        <v>0</v>
      </c>
      <c r="S149">
        <f t="shared" si="14"/>
        <v>0</v>
      </c>
      <c r="T149">
        <f t="shared" si="15"/>
        <v>0</v>
      </c>
      <c r="U149">
        <f t="shared" si="16"/>
        <v>0</v>
      </c>
      <c r="V149">
        <f t="shared" si="17"/>
        <v>0</v>
      </c>
      <c r="W149">
        <f t="shared" si="18"/>
        <v>0</v>
      </c>
    </row>
    <row r="150" spans="1:23" x14ac:dyDescent="0.25">
      <c r="A150" t="s">
        <v>568</v>
      </c>
      <c r="B150" t="s">
        <v>855</v>
      </c>
      <c r="C150">
        <v>6.8</v>
      </c>
      <c r="D150">
        <v>0</v>
      </c>
      <c r="E150">
        <v>0</v>
      </c>
      <c r="F150">
        <v>0</v>
      </c>
      <c r="G150" s="105">
        <f>Tabell38[[#This Row],[Såld värme (GWh)]]-Tabell38[[#This Row],[Levererad värme, andra fjärrvärmeföretag, företag 1 (GWh)]]-Tabell38[[#This Row],[Levererad värme, andra fjärrvärmeföretag, företag 2 (GWh)]]-Tabell38[[#This Row],[Levererad värme, andra fjärrvärmeföretag, företag 3 (GWh)]]</f>
        <v>6.8</v>
      </c>
      <c r="H150" s="102" t="str">
        <f>VLOOKUP(Tabell38[[#This Row],[Nät]],Tabell5[],2,FALSE)</f>
        <v>Vinslöv</v>
      </c>
      <c r="I150" t="str">
        <f>VLOOKUP(Tabell38[[#This Row],[Nät]],'Leveranser per nät'!A:A,1,FALSE)</f>
        <v>Vinslöv</v>
      </c>
      <c r="O150" t="s">
        <v>806</v>
      </c>
      <c r="P150" t="s">
        <v>806</v>
      </c>
      <c r="Q150" s="44" t="s">
        <v>806</v>
      </c>
      <c r="R150">
        <f t="shared" si="13"/>
        <v>0</v>
      </c>
      <c r="S150">
        <f t="shared" si="14"/>
        <v>0</v>
      </c>
      <c r="T150">
        <f t="shared" si="15"/>
        <v>0</v>
      </c>
      <c r="U150">
        <f t="shared" si="16"/>
        <v>0</v>
      </c>
      <c r="V150">
        <f t="shared" si="17"/>
        <v>0</v>
      </c>
      <c r="W150">
        <f t="shared" si="18"/>
        <v>0</v>
      </c>
    </row>
    <row r="151" spans="1:23" x14ac:dyDescent="0.25">
      <c r="A151" t="s">
        <v>568</v>
      </c>
      <c r="B151" t="s">
        <v>177</v>
      </c>
      <c r="C151">
        <v>10.52</v>
      </c>
      <c r="D151">
        <v>0</v>
      </c>
      <c r="E151">
        <v>0</v>
      </c>
      <c r="F151">
        <v>0</v>
      </c>
      <c r="G151" s="105">
        <f>Tabell38[[#This Row],[Såld värme (GWh)]]-Tabell38[[#This Row],[Levererad värme, andra fjärrvärmeföretag, företag 1 (GWh)]]-Tabell38[[#This Row],[Levererad värme, andra fjärrvärmeföretag, företag 2 (GWh)]]-Tabell38[[#This Row],[Levererad värme, andra fjärrvärmeföretag, företag 3 (GWh)]]</f>
        <v>10.52</v>
      </c>
      <c r="H151" s="102" t="str">
        <f>VLOOKUP(Tabell38[[#This Row],[Nät]],Tabell5[],2,FALSE)</f>
        <v>Ödeshög</v>
      </c>
      <c r="I151" t="str">
        <f>VLOOKUP(Tabell38[[#This Row],[Nät]],'Leveranser per nät'!A:A,1,FALSE)</f>
        <v>Ödeshög</v>
      </c>
      <c r="O151" t="s">
        <v>806</v>
      </c>
      <c r="P151" t="s">
        <v>806</v>
      </c>
      <c r="Q151" s="84" t="s">
        <v>806</v>
      </c>
      <c r="R151">
        <f t="shared" si="13"/>
        <v>0</v>
      </c>
      <c r="S151">
        <f t="shared" si="14"/>
        <v>0</v>
      </c>
      <c r="T151">
        <f t="shared" si="15"/>
        <v>0</v>
      </c>
      <c r="U151">
        <f t="shared" si="16"/>
        <v>0</v>
      </c>
      <c r="V151">
        <f t="shared" si="17"/>
        <v>0</v>
      </c>
      <c r="W151">
        <f t="shared" si="18"/>
        <v>0</v>
      </c>
    </row>
    <row r="152" spans="1:23" x14ac:dyDescent="0.25">
      <c r="A152" t="s">
        <v>568</v>
      </c>
      <c r="B152" t="s">
        <v>440</v>
      </c>
      <c r="C152">
        <v>4.7619999999999996</v>
      </c>
      <c r="D152">
        <v>0</v>
      </c>
      <c r="E152">
        <v>0</v>
      </c>
      <c r="F152">
        <v>0</v>
      </c>
      <c r="G152" s="105">
        <f>Tabell38[[#This Row],[Såld värme (GWh)]]-Tabell38[[#This Row],[Levererad värme, andra fjärrvärmeföretag, företag 1 (GWh)]]-Tabell38[[#This Row],[Levererad värme, andra fjärrvärmeföretag, företag 2 (GWh)]]-Tabell38[[#This Row],[Levererad värme, andra fjärrvärmeföretag, företag 3 (GWh)]]</f>
        <v>4.7619999999999996</v>
      </c>
      <c r="H152" s="102" t="str">
        <f>VLOOKUP(Tabell38[[#This Row],[Nät]],Tabell5[],2,FALSE)</f>
        <v>Örsundsbro</v>
      </c>
      <c r="I152" t="str">
        <f>VLOOKUP(Tabell38[[#This Row],[Nät]],'Leveranser per nät'!A:A,1,FALSE)</f>
        <v>Örsundsbro</v>
      </c>
      <c r="O152" t="s">
        <v>806</v>
      </c>
      <c r="P152" t="s">
        <v>806</v>
      </c>
      <c r="Q152" s="44" t="s">
        <v>806</v>
      </c>
      <c r="R152">
        <f t="shared" si="13"/>
        <v>0</v>
      </c>
      <c r="S152">
        <f t="shared" si="14"/>
        <v>0</v>
      </c>
      <c r="T152">
        <f t="shared" si="15"/>
        <v>0</v>
      </c>
      <c r="U152">
        <f t="shared" si="16"/>
        <v>0</v>
      </c>
      <c r="V152">
        <f t="shared" si="17"/>
        <v>0</v>
      </c>
      <c r="W152">
        <f t="shared" si="18"/>
        <v>0</v>
      </c>
    </row>
    <row r="153" spans="1:23" x14ac:dyDescent="0.25">
      <c r="A153" t="s">
        <v>659</v>
      </c>
      <c r="B153" t="s">
        <v>184</v>
      </c>
      <c r="C153">
        <v>25.045999999999999</v>
      </c>
      <c r="D153">
        <v>0</v>
      </c>
      <c r="E153">
        <v>0</v>
      </c>
      <c r="F153">
        <v>0</v>
      </c>
      <c r="G153" s="105">
        <f>Tabell38[[#This Row],[Såld värme (GWh)]]-Tabell38[[#This Row],[Levererad värme, andra fjärrvärmeföretag, företag 1 (GWh)]]-Tabell38[[#This Row],[Levererad värme, andra fjärrvärmeföretag, företag 2 (GWh)]]-Tabell38[[#This Row],[Levererad värme, andra fjärrvärmeföretag, företag 3 (GWh)]]</f>
        <v>25.045999999999999</v>
      </c>
      <c r="H153" s="102" t="str">
        <f>VLOOKUP(Tabell38[[#This Row],[Nät]],Tabell5[],2,FALSE)</f>
        <v>Laxå</v>
      </c>
      <c r="I153" t="str">
        <f>VLOOKUP(Tabell38[[#This Row],[Nät]],'Leveranser per nät'!A:A,1,FALSE)</f>
        <v>Laxå</v>
      </c>
      <c r="O153" t="s">
        <v>806</v>
      </c>
      <c r="P153" t="s">
        <v>806</v>
      </c>
      <c r="Q153" s="84" t="s">
        <v>806</v>
      </c>
      <c r="R153">
        <f t="shared" si="13"/>
        <v>0</v>
      </c>
      <c r="S153">
        <f t="shared" si="14"/>
        <v>0</v>
      </c>
      <c r="T153">
        <f t="shared" si="15"/>
        <v>0</v>
      </c>
      <c r="U153">
        <f t="shared" si="16"/>
        <v>0</v>
      </c>
      <c r="V153">
        <f t="shared" si="17"/>
        <v>0</v>
      </c>
      <c r="W153">
        <f t="shared" si="18"/>
        <v>0</v>
      </c>
    </row>
    <row r="154" spans="1:23" x14ac:dyDescent="0.25">
      <c r="A154" t="s">
        <v>1088</v>
      </c>
      <c r="B154" t="s">
        <v>857</v>
      </c>
      <c r="C154" t="s">
        <v>805</v>
      </c>
      <c r="D154">
        <v>0</v>
      </c>
      <c r="E154">
        <v>0</v>
      </c>
      <c r="F154">
        <v>0</v>
      </c>
      <c r="G154"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154" s="102" t="e">
        <f>VLOOKUP(Tabell38[[#This Row],[Nät]],Tabell5[],2,FALSE)</f>
        <v>#N/A</v>
      </c>
      <c r="I154" t="e">
        <f>VLOOKUP(Tabell38[[#This Row],[Nät]],'Leveranser per nät'!A:A,1,FALSE)</f>
        <v>#N/A</v>
      </c>
      <c r="O154" t="s">
        <v>805</v>
      </c>
      <c r="P154" t="s">
        <v>805</v>
      </c>
      <c r="Q154" s="44" t="s">
        <v>805</v>
      </c>
      <c r="R154" t="str">
        <f t="shared" si="13"/>
        <v>-</v>
      </c>
      <c r="S154" t="str">
        <f t="shared" si="14"/>
        <v>-</v>
      </c>
      <c r="T154" t="str">
        <f t="shared" si="15"/>
        <v>-</v>
      </c>
      <c r="U154">
        <f t="shared" si="16"/>
        <v>0</v>
      </c>
      <c r="V154">
        <f t="shared" si="17"/>
        <v>0</v>
      </c>
      <c r="W154">
        <f t="shared" si="18"/>
        <v>0</v>
      </c>
    </row>
    <row r="155" spans="1:23" x14ac:dyDescent="0.25">
      <c r="A155" t="s">
        <v>601</v>
      </c>
      <c r="B155" t="s">
        <v>397</v>
      </c>
      <c r="C155">
        <v>6.9489999999999998</v>
      </c>
      <c r="D155">
        <v>0</v>
      </c>
      <c r="E155">
        <v>0</v>
      </c>
      <c r="F155">
        <v>0</v>
      </c>
      <c r="G155" s="105">
        <f>Tabell38[[#This Row],[Såld värme (GWh)]]-Tabell38[[#This Row],[Levererad värme, andra fjärrvärmeföretag, företag 1 (GWh)]]-Tabell38[[#This Row],[Levererad värme, andra fjärrvärmeföretag, företag 2 (GWh)]]-Tabell38[[#This Row],[Levererad värme, andra fjärrvärmeföretag, företag 3 (GWh)]]</f>
        <v>6.9489999999999998</v>
      </c>
      <c r="H155" s="102" t="str">
        <f>VLOOKUP(Tabell38[[#This Row],[Nät]],Tabell5[],2,FALSE)</f>
        <v>Floda</v>
      </c>
      <c r="I155" t="str">
        <f>VLOOKUP(Tabell38[[#This Row],[Nät]],'Leveranser per nät'!A:A,1,FALSE)</f>
        <v>Floda</v>
      </c>
      <c r="O155" t="s">
        <v>806</v>
      </c>
      <c r="P155" t="s">
        <v>806</v>
      </c>
      <c r="Q155" s="84" t="s">
        <v>806</v>
      </c>
      <c r="R155">
        <f t="shared" si="13"/>
        <v>0</v>
      </c>
      <c r="S155">
        <f t="shared" si="14"/>
        <v>0</v>
      </c>
      <c r="T155">
        <f t="shared" si="15"/>
        <v>0</v>
      </c>
      <c r="U155">
        <f t="shared" si="16"/>
        <v>0</v>
      </c>
      <c r="V155">
        <f t="shared" si="17"/>
        <v>0</v>
      </c>
      <c r="W155">
        <f t="shared" si="18"/>
        <v>0</v>
      </c>
    </row>
    <row r="156" spans="1:23" x14ac:dyDescent="0.25">
      <c r="A156" t="s">
        <v>601</v>
      </c>
      <c r="B156" t="s">
        <v>185</v>
      </c>
      <c r="C156">
        <v>8.52</v>
      </c>
      <c r="D156">
        <v>0</v>
      </c>
      <c r="E156">
        <v>0</v>
      </c>
      <c r="F156">
        <v>0</v>
      </c>
      <c r="G156" s="105">
        <f>Tabell38[[#This Row],[Såld värme (GWh)]]-Tabell38[[#This Row],[Levererad värme, andra fjärrvärmeföretag, företag 1 (GWh)]]-Tabell38[[#This Row],[Levererad värme, andra fjärrvärmeföretag, företag 2 (GWh)]]-Tabell38[[#This Row],[Levererad värme, andra fjärrvärmeföretag, företag 3 (GWh)]]</f>
        <v>8.52</v>
      </c>
      <c r="H156" s="102" t="str">
        <f>VLOOKUP(Tabell38[[#This Row],[Nät]],Tabell5[],2,FALSE)</f>
        <v>Gråbo</v>
      </c>
      <c r="I156" t="str">
        <f>VLOOKUP(Tabell38[[#This Row],[Nät]],'Leveranser per nät'!A:A,1,FALSE)</f>
        <v>Gråbo</v>
      </c>
      <c r="O156" t="s">
        <v>806</v>
      </c>
      <c r="P156" t="s">
        <v>806</v>
      </c>
      <c r="Q156" s="44" t="s">
        <v>806</v>
      </c>
      <c r="R156">
        <f t="shared" si="13"/>
        <v>0</v>
      </c>
      <c r="S156">
        <f t="shared" si="14"/>
        <v>0</v>
      </c>
      <c r="T156">
        <f t="shared" si="15"/>
        <v>0</v>
      </c>
      <c r="U156">
        <f t="shared" si="16"/>
        <v>0</v>
      </c>
      <c r="V156">
        <f t="shared" si="17"/>
        <v>0</v>
      </c>
      <c r="W156">
        <f t="shared" si="18"/>
        <v>0</v>
      </c>
    </row>
    <row r="157" spans="1:23" x14ac:dyDescent="0.25">
      <c r="A157" t="s">
        <v>601</v>
      </c>
      <c r="B157" t="s">
        <v>186</v>
      </c>
      <c r="C157">
        <v>26.1</v>
      </c>
      <c r="D157">
        <v>0</v>
      </c>
      <c r="E157">
        <v>0</v>
      </c>
      <c r="F157">
        <v>0</v>
      </c>
      <c r="G157" s="105">
        <f>Tabell38[[#This Row],[Såld värme (GWh)]]-Tabell38[[#This Row],[Levererad värme, andra fjärrvärmeföretag, företag 1 (GWh)]]-Tabell38[[#This Row],[Levererad värme, andra fjärrvärmeföretag, företag 2 (GWh)]]-Tabell38[[#This Row],[Levererad värme, andra fjärrvärmeföretag, företag 3 (GWh)]]</f>
        <v>26.1</v>
      </c>
      <c r="H157" s="102" t="str">
        <f>VLOOKUP(Tabell38[[#This Row],[Nät]],Tabell5[],2,FALSE)</f>
        <v>Lerum</v>
      </c>
      <c r="I157" t="str">
        <f>VLOOKUP(Tabell38[[#This Row],[Nät]],'Leveranser per nät'!A:A,1,FALSE)</f>
        <v>Lerum</v>
      </c>
      <c r="O157" t="s">
        <v>806</v>
      </c>
      <c r="P157" t="s">
        <v>806</v>
      </c>
      <c r="Q157" s="84" t="s">
        <v>806</v>
      </c>
      <c r="R157">
        <f t="shared" si="13"/>
        <v>0</v>
      </c>
      <c r="S157">
        <f t="shared" si="14"/>
        <v>0</v>
      </c>
      <c r="T157">
        <f t="shared" si="15"/>
        <v>0</v>
      </c>
      <c r="U157">
        <f t="shared" si="16"/>
        <v>0</v>
      </c>
      <c r="V157">
        <f t="shared" si="17"/>
        <v>0</v>
      </c>
      <c r="W157">
        <f t="shared" si="18"/>
        <v>0</v>
      </c>
    </row>
    <row r="158" spans="1:23" x14ac:dyDescent="0.25">
      <c r="A158" t="s">
        <v>601</v>
      </c>
      <c r="B158" t="s">
        <v>417</v>
      </c>
      <c r="C158">
        <v>3.05</v>
      </c>
      <c r="D158">
        <v>0</v>
      </c>
      <c r="E158">
        <v>0</v>
      </c>
      <c r="F158">
        <v>0</v>
      </c>
      <c r="G158" s="105">
        <f>Tabell38[[#This Row],[Såld värme (GWh)]]-Tabell38[[#This Row],[Levererad värme, andra fjärrvärmeföretag, företag 1 (GWh)]]-Tabell38[[#This Row],[Levererad värme, andra fjärrvärmeföretag, företag 2 (GWh)]]-Tabell38[[#This Row],[Levererad värme, andra fjärrvärmeföretag, företag 3 (GWh)]]</f>
        <v>3.05</v>
      </c>
      <c r="H158" s="102" t="str">
        <f>VLOOKUP(Tabell38[[#This Row],[Nät]],Tabell5[],2,FALSE)</f>
        <v>Stenkullen</v>
      </c>
      <c r="I158" t="str">
        <f>VLOOKUP(Tabell38[[#This Row],[Nät]],'Leveranser per nät'!A:A,1,FALSE)</f>
        <v>Stenkullen</v>
      </c>
      <c r="O158" t="s">
        <v>806</v>
      </c>
      <c r="P158" t="s">
        <v>806</v>
      </c>
      <c r="Q158" s="44" t="s">
        <v>806</v>
      </c>
      <c r="R158">
        <f t="shared" si="13"/>
        <v>0</v>
      </c>
      <c r="S158">
        <f t="shared" si="14"/>
        <v>0</v>
      </c>
      <c r="T158">
        <f t="shared" si="15"/>
        <v>0</v>
      </c>
      <c r="U158">
        <f t="shared" si="16"/>
        <v>0</v>
      </c>
      <c r="V158">
        <f t="shared" si="17"/>
        <v>0</v>
      </c>
      <c r="W158">
        <f t="shared" si="18"/>
        <v>0</v>
      </c>
    </row>
    <row r="159" spans="1:23" x14ac:dyDescent="0.25">
      <c r="A159" t="s">
        <v>669</v>
      </c>
      <c r="B159" t="s">
        <v>187</v>
      </c>
      <c r="C159">
        <v>39.037999999999997</v>
      </c>
      <c r="D159">
        <v>0</v>
      </c>
      <c r="E159">
        <v>0</v>
      </c>
      <c r="F159">
        <v>0</v>
      </c>
      <c r="G159" s="105">
        <f>Tabell38[[#This Row],[Såld värme (GWh)]]-Tabell38[[#This Row],[Levererad värme, andra fjärrvärmeföretag, företag 1 (GWh)]]-Tabell38[[#This Row],[Levererad värme, andra fjärrvärmeföretag, företag 2 (GWh)]]-Tabell38[[#This Row],[Levererad värme, andra fjärrvärmeföretag, företag 3 (GWh)]]</f>
        <v>39.037999999999997</v>
      </c>
      <c r="H159" s="102" t="str">
        <f>VLOOKUP(Tabell38[[#This Row],[Nät]],Tabell5[],2,FALSE)</f>
        <v>Lysekil</v>
      </c>
      <c r="I159" t="str">
        <f>VLOOKUP(Tabell38[[#This Row],[Nät]],'Leveranser per nät'!A:A,1,FALSE)</f>
        <v>Lysekil</v>
      </c>
      <c r="O159" t="s">
        <v>806</v>
      </c>
      <c r="P159" t="s">
        <v>806</v>
      </c>
      <c r="Q159" s="84" t="s">
        <v>806</v>
      </c>
      <c r="R159">
        <f t="shared" si="13"/>
        <v>0</v>
      </c>
      <c r="S159">
        <f t="shared" si="14"/>
        <v>0</v>
      </c>
      <c r="T159">
        <f t="shared" si="15"/>
        <v>0</v>
      </c>
      <c r="U159">
        <f t="shared" si="16"/>
        <v>0</v>
      </c>
      <c r="V159">
        <f t="shared" si="17"/>
        <v>0</v>
      </c>
      <c r="W159">
        <f t="shared" si="18"/>
        <v>0</v>
      </c>
    </row>
    <row r="160" spans="1:23" x14ac:dyDescent="0.25">
      <c r="A160" t="s">
        <v>983</v>
      </c>
      <c r="B160" t="s">
        <v>859</v>
      </c>
      <c r="C160">
        <v>76.319999999999993</v>
      </c>
      <c r="D160">
        <v>0</v>
      </c>
      <c r="E160">
        <v>0</v>
      </c>
      <c r="F160">
        <v>0</v>
      </c>
      <c r="G160" s="105">
        <f>Tabell38[[#This Row],[Såld värme (GWh)]]-Tabell38[[#This Row],[Levererad värme, andra fjärrvärmeföretag, företag 1 (GWh)]]-Tabell38[[#This Row],[Levererad värme, andra fjärrvärmeföretag, företag 2 (GWh)]]-Tabell38[[#This Row],[Levererad värme, andra fjärrvärmeföretag, företag 3 (GWh)]]</f>
        <v>76.319999999999993</v>
      </c>
      <c r="H160" s="102" t="e">
        <f>VLOOKUP(Tabell38[[#This Row],[Nät]],Tabell5[],2,FALSE)</f>
        <v>#N/A</v>
      </c>
      <c r="I160" t="e">
        <f>VLOOKUP(Tabell38[[#This Row],[Nät]],'Leveranser per nät'!A:A,1,FALSE)</f>
        <v>#N/A</v>
      </c>
      <c r="O160" t="s">
        <v>806</v>
      </c>
      <c r="P160" t="s">
        <v>806</v>
      </c>
      <c r="Q160" s="44" t="s">
        <v>806</v>
      </c>
      <c r="R160">
        <f t="shared" si="13"/>
        <v>0</v>
      </c>
      <c r="S160">
        <f t="shared" si="14"/>
        <v>0</v>
      </c>
      <c r="T160">
        <f t="shared" si="15"/>
        <v>0</v>
      </c>
      <c r="U160">
        <f t="shared" si="16"/>
        <v>0</v>
      </c>
      <c r="V160">
        <f t="shared" si="17"/>
        <v>0</v>
      </c>
      <c r="W160">
        <f t="shared" si="18"/>
        <v>0</v>
      </c>
    </row>
    <row r="161" spans="1:23" x14ac:dyDescent="0.25">
      <c r="A161" t="s">
        <v>983</v>
      </c>
      <c r="B161" t="s">
        <v>188</v>
      </c>
      <c r="C161">
        <v>190.77</v>
      </c>
      <c r="D161">
        <v>0</v>
      </c>
      <c r="E161">
        <v>0</v>
      </c>
      <c r="F161">
        <v>0</v>
      </c>
      <c r="G161" s="105">
        <f>Tabell38[[#This Row],[Såld värme (GWh)]]-Tabell38[[#This Row],[Levererad värme, andra fjärrvärmeföretag, företag 1 (GWh)]]-Tabell38[[#This Row],[Levererad värme, andra fjärrvärmeföretag, företag 2 (GWh)]]-Tabell38[[#This Row],[Levererad värme, andra fjärrvärmeföretag, företag 3 (GWh)]]</f>
        <v>190.77</v>
      </c>
      <c r="H161" s="102" t="str">
        <f>VLOOKUP(Tabell38[[#This Row],[Nät]],Tabell5[],2,FALSE)</f>
        <v>Lidköping</v>
      </c>
      <c r="I161" t="str">
        <f>VLOOKUP(Tabell38[[#This Row],[Nät]],'Leveranser per nät'!A:A,1,FALSE)</f>
        <v>Lidköping</v>
      </c>
      <c r="O161" t="s">
        <v>806</v>
      </c>
      <c r="P161" t="s">
        <v>806</v>
      </c>
      <c r="Q161" s="84" t="s">
        <v>806</v>
      </c>
      <c r="R161">
        <f t="shared" si="13"/>
        <v>0</v>
      </c>
      <c r="S161">
        <f t="shared" si="14"/>
        <v>0</v>
      </c>
      <c r="T161">
        <f t="shared" si="15"/>
        <v>0</v>
      </c>
      <c r="U161">
        <f t="shared" si="16"/>
        <v>0</v>
      </c>
      <c r="V161">
        <f t="shared" si="17"/>
        <v>0</v>
      </c>
      <c r="W161">
        <f t="shared" si="18"/>
        <v>0</v>
      </c>
    </row>
    <row r="162" spans="1:23" x14ac:dyDescent="0.25">
      <c r="A162" t="s">
        <v>662</v>
      </c>
      <c r="B162" t="s">
        <v>189</v>
      </c>
      <c r="C162">
        <v>11.034000000000001</v>
      </c>
      <c r="D162">
        <v>0</v>
      </c>
      <c r="E162">
        <v>0</v>
      </c>
      <c r="F162">
        <v>0</v>
      </c>
      <c r="G162" s="105">
        <f>Tabell38[[#This Row],[Såld värme (GWh)]]-Tabell38[[#This Row],[Levererad värme, andra fjärrvärmeföretag, företag 1 (GWh)]]-Tabell38[[#This Row],[Levererad värme, andra fjärrvärmeföretag, företag 2 (GWh)]]-Tabell38[[#This Row],[Levererad värme, andra fjärrvärmeföretag, företag 3 (GWh)]]</f>
        <v>11.034000000000001</v>
      </c>
      <c r="H162" s="102" t="str">
        <f>VLOOKUP(Tabell38[[#This Row],[Nät]],Tabell5[],2,FALSE)</f>
        <v>Lilla Edet</v>
      </c>
      <c r="I162" t="str">
        <f>VLOOKUP(Tabell38[[#This Row],[Nät]],'Leveranser per nät'!A:A,1,FALSE)</f>
        <v>Lilla Edet</v>
      </c>
      <c r="O162" t="s">
        <v>806</v>
      </c>
      <c r="P162" t="s">
        <v>806</v>
      </c>
      <c r="Q162" s="44" t="s">
        <v>806</v>
      </c>
      <c r="R162">
        <f t="shared" si="13"/>
        <v>0</v>
      </c>
      <c r="S162">
        <f t="shared" si="14"/>
        <v>0</v>
      </c>
      <c r="T162">
        <f t="shared" si="15"/>
        <v>0</v>
      </c>
      <c r="U162">
        <f t="shared" si="16"/>
        <v>0</v>
      </c>
      <c r="V162">
        <f t="shared" si="17"/>
        <v>0</v>
      </c>
      <c r="W162">
        <f t="shared" si="18"/>
        <v>0</v>
      </c>
    </row>
    <row r="163" spans="1:23" x14ac:dyDescent="0.25">
      <c r="A163" t="s">
        <v>606</v>
      </c>
      <c r="B163" t="s">
        <v>191</v>
      </c>
      <c r="C163">
        <v>12.8</v>
      </c>
      <c r="D163">
        <v>0</v>
      </c>
      <c r="E163">
        <v>0</v>
      </c>
      <c r="F163">
        <v>0</v>
      </c>
      <c r="G163" s="105">
        <f>Tabell38[[#This Row],[Såld värme (GWh)]]-Tabell38[[#This Row],[Levererad värme, andra fjärrvärmeföretag, företag 1 (GWh)]]-Tabell38[[#This Row],[Levererad värme, andra fjärrvärmeföretag, företag 2 (GWh)]]-Tabell38[[#This Row],[Levererad värme, andra fjärrvärmeföretag, företag 3 (GWh)]]</f>
        <v>12.8</v>
      </c>
      <c r="H163" s="102" t="str">
        <f>VLOOKUP(Tabell38[[#This Row],[Nät]],Tabell5[],2,FALSE)</f>
        <v>Frövi</v>
      </c>
      <c r="I163" t="str">
        <f>VLOOKUP(Tabell38[[#This Row],[Nät]],'Leveranser per nät'!A:A,1,FALSE)</f>
        <v>Frövi</v>
      </c>
      <c r="O163" t="s">
        <v>806</v>
      </c>
      <c r="P163" t="s">
        <v>806</v>
      </c>
      <c r="Q163" s="84" t="s">
        <v>806</v>
      </c>
      <c r="R163">
        <f t="shared" si="13"/>
        <v>0</v>
      </c>
      <c r="S163">
        <f t="shared" si="14"/>
        <v>0</v>
      </c>
      <c r="T163">
        <f t="shared" si="15"/>
        <v>0</v>
      </c>
      <c r="U163">
        <f t="shared" si="16"/>
        <v>0</v>
      </c>
      <c r="V163">
        <f t="shared" si="17"/>
        <v>0</v>
      </c>
      <c r="W163">
        <f t="shared" si="18"/>
        <v>0</v>
      </c>
    </row>
    <row r="164" spans="1:23" x14ac:dyDescent="0.25">
      <c r="A164" t="s">
        <v>606</v>
      </c>
      <c r="B164" t="s">
        <v>930</v>
      </c>
      <c r="C164">
        <v>4.3</v>
      </c>
      <c r="D164">
        <v>0</v>
      </c>
      <c r="E164">
        <v>0</v>
      </c>
      <c r="F164">
        <v>0</v>
      </c>
      <c r="G164" s="105">
        <f>Tabell38[[#This Row],[Såld värme (GWh)]]-Tabell38[[#This Row],[Levererad värme, andra fjärrvärmeföretag, företag 1 (GWh)]]-Tabell38[[#This Row],[Levererad värme, andra fjärrvärmeföretag, företag 2 (GWh)]]-Tabell38[[#This Row],[Levererad värme, andra fjärrvärmeföretag, företag 3 (GWh)]]</f>
        <v>4.3</v>
      </c>
      <c r="H164" s="102" t="str">
        <f>VLOOKUP(Tabell38[[#This Row],[Nät]],Tabell5[],2,FALSE)</f>
        <v>Guldsmedhyttan</v>
      </c>
      <c r="I164" t="str">
        <f>VLOOKUP(Tabell38[[#This Row],[Nät]],'Leveranser per nät'!A:A,1,FALSE)</f>
        <v>Guldsmedhyttan</v>
      </c>
      <c r="O164" t="s">
        <v>806</v>
      </c>
      <c r="P164" t="s">
        <v>806</v>
      </c>
      <c r="Q164" s="44" t="s">
        <v>806</v>
      </c>
      <c r="R164">
        <f t="shared" si="13"/>
        <v>0</v>
      </c>
      <c r="S164">
        <f t="shared" si="14"/>
        <v>0</v>
      </c>
      <c r="T164">
        <f t="shared" si="15"/>
        <v>0</v>
      </c>
      <c r="U164">
        <f t="shared" si="16"/>
        <v>0</v>
      </c>
      <c r="V164">
        <f t="shared" si="17"/>
        <v>0</v>
      </c>
      <c r="W164">
        <f t="shared" si="18"/>
        <v>0</v>
      </c>
    </row>
    <row r="165" spans="1:23" x14ac:dyDescent="0.25">
      <c r="A165" t="s">
        <v>606</v>
      </c>
      <c r="B165" t="s">
        <v>190</v>
      </c>
      <c r="C165">
        <v>75.900000000000006</v>
      </c>
      <c r="D165">
        <v>0</v>
      </c>
      <c r="E165">
        <v>0</v>
      </c>
      <c r="F165">
        <v>0</v>
      </c>
      <c r="G165" s="105">
        <f>Tabell38[[#This Row],[Såld värme (GWh)]]-Tabell38[[#This Row],[Levererad värme, andra fjärrvärmeföretag, företag 1 (GWh)]]-Tabell38[[#This Row],[Levererad värme, andra fjärrvärmeföretag, företag 2 (GWh)]]-Tabell38[[#This Row],[Levererad värme, andra fjärrvärmeföretag, företag 3 (GWh)]]</f>
        <v>75.900000000000006</v>
      </c>
      <c r="H165" s="102" t="str">
        <f>VLOOKUP(Tabell38[[#This Row],[Nät]],Tabell5[],2,FALSE)</f>
        <v>Lindesberg</v>
      </c>
      <c r="I165" t="str">
        <f>VLOOKUP(Tabell38[[#This Row],[Nät]],'Leveranser per nät'!A:A,1,FALSE)</f>
        <v>Lindesberg</v>
      </c>
      <c r="O165" t="s">
        <v>806</v>
      </c>
      <c r="P165" t="s">
        <v>806</v>
      </c>
      <c r="Q165" s="84" t="s">
        <v>806</v>
      </c>
      <c r="R165">
        <f t="shared" si="13"/>
        <v>0</v>
      </c>
      <c r="S165">
        <f t="shared" si="14"/>
        <v>0</v>
      </c>
      <c r="T165">
        <f t="shared" si="15"/>
        <v>0</v>
      </c>
      <c r="U165">
        <f t="shared" si="16"/>
        <v>0</v>
      </c>
      <c r="V165">
        <f t="shared" si="17"/>
        <v>0</v>
      </c>
      <c r="W165">
        <f t="shared" si="18"/>
        <v>0</v>
      </c>
    </row>
    <row r="166" spans="1:23" x14ac:dyDescent="0.25">
      <c r="A166" t="s">
        <v>606</v>
      </c>
      <c r="B166" t="s">
        <v>192</v>
      </c>
      <c r="C166">
        <v>3.5</v>
      </c>
      <c r="D166">
        <v>0</v>
      </c>
      <c r="E166">
        <v>0</v>
      </c>
      <c r="F166">
        <v>0</v>
      </c>
      <c r="G166" s="105">
        <f>Tabell38[[#This Row],[Såld värme (GWh)]]-Tabell38[[#This Row],[Levererad värme, andra fjärrvärmeföretag, företag 1 (GWh)]]-Tabell38[[#This Row],[Levererad värme, andra fjärrvärmeföretag, företag 2 (GWh)]]-Tabell38[[#This Row],[Levererad värme, andra fjärrvärmeföretag, företag 3 (GWh)]]</f>
        <v>3.5</v>
      </c>
      <c r="H166" s="102" t="str">
        <f>VLOOKUP(Tabell38[[#This Row],[Nät]],Tabell5[],2,FALSE)</f>
        <v>Vedevåg</v>
      </c>
      <c r="I166" t="str">
        <f>VLOOKUP(Tabell38[[#This Row],[Nät]],'Leveranser per nät'!A:A,1,FALSE)</f>
        <v>Vedevåg</v>
      </c>
      <c r="O166" t="s">
        <v>806</v>
      </c>
      <c r="P166" t="s">
        <v>806</v>
      </c>
      <c r="Q166" s="44" t="s">
        <v>806</v>
      </c>
      <c r="R166">
        <f t="shared" si="13"/>
        <v>0</v>
      </c>
      <c r="S166">
        <f t="shared" si="14"/>
        <v>0</v>
      </c>
      <c r="T166">
        <f t="shared" si="15"/>
        <v>0</v>
      </c>
      <c r="U166">
        <f t="shared" si="16"/>
        <v>0</v>
      </c>
      <c r="V166">
        <f t="shared" si="17"/>
        <v>0</v>
      </c>
      <c r="W166">
        <f t="shared" si="18"/>
        <v>0</v>
      </c>
    </row>
    <row r="167" spans="1:23" x14ac:dyDescent="0.25">
      <c r="A167" t="s">
        <v>663</v>
      </c>
      <c r="B167" t="s">
        <v>78</v>
      </c>
      <c r="C167">
        <v>141.5</v>
      </c>
      <c r="D167">
        <v>12.3</v>
      </c>
      <c r="E167">
        <v>0</v>
      </c>
      <c r="F167">
        <v>0</v>
      </c>
      <c r="G167" s="105">
        <f>Tabell38[[#This Row],[Såld värme (GWh)]]-Tabell38[[#This Row],[Levererad värme, andra fjärrvärmeföretag, företag 1 (GWh)]]-Tabell38[[#This Row],[Levererad värme, andra fjärrvärmeföretag, företag 2 (GWh)]]-Tabell38[[#This Row],[Levererad värme, andra fjärrvärmeföretag, företag 3 (GWh)]]</f>
        <v>129.19999999999999</v>
      </c>
      <c r="H167" s="102" t="str">
        <f>VLOOKUP(Tabell38[[#This Row],[Nät]],Tabell5[],2,FALSE)</f>
        <v>Ljungby</v>
      </c>
      <c r="I167" t="str">
        <f>VLOOKUP(Tabell38[[#This Row],[Nät]],'Leveranser per nät'!A:A,1,FALSE)</f>
        <v>Ljungby</v>
      </c>
      <c r="O167">
        <v>12.3</v>
      </c>
      <c r="P167" t="s">
        <v>806</v>
      </c>
      <c r="Q167" s="84" t="s">
        <v>806</v>
      </c>
      <c r="R167">
        <f t="shared" si="13"/>
        <v>12.3</v>
      </c>
      <c r="S167">
        <f t="shared" si="14"/>
        <v>0</v>
      </c>
      <c r="T167">
        <f t="shared" si="15"/>
        <v>0</v>
      </c>
      <c r="U167">
        <f t="shared" si="16"/>
        <v>12.3</v>
      </c>
      <c r="V167">
        <f t="shared" si="17"/>
        <v>0</v>
      </c>
      <c r="W167">
        <f t="shared" si="18"/>
        <v>0</v>
      </c>
    </row>
    <row r="168" spans="1:23" x14ac:dyDescent="0.25">
      <c r="A168" t="s">
        <v>608</v>
      </c>
      <c r="B168" t="s">
        <v>194</v>
      </c>
      <c r="C168">
        <v>7.29</v>
      </c>
      <c r="D168">
        <v>0</v>
      </c>
      <c r="E168">
        <v>0</v>
      </c>
      <c r="F168">
        <v>0</v>
      </c>
      <c r="G168" s="105">
        <f>Tabell38[[#This Row],[Såld värme (GWh)]]-Tabell38[[#This Row],[Levererad värme, andra fjärrvärmeföretag, företag 1 (GWh)]]-Tabell38[[#This Row],[Levererad värme, andra fjärrvärmeföretag, företag 2 (GWh)]]-Tabell38[[#This Row],[Levererad värme, andra fjärrvärmeföretag, företag 3 (GWh)]]</f>
        <v>7.29</v>
      </c>
      <c r="H168" s="102" t="str">
        <f>VLOOKUP(Tabell38[[#This Row],[Nät]],Tabell5[],2,FALSE)</f>
        <v>Färila</v>
      </c>
      <c r="I168" t="str">
        <f>VLOOKUP(Tabell38[[#This Row],[Nät]],'Leveranser per nät'!A:A,1,FALSE)</f>
        <v>Färila</v>
      </c>
      <c r="O168" t="s">
        <v>806</v>
      </c>
      <c r="P168" t="s">
        <v>806</v>
      </c>
      <c r="Q168" s="44" t="s">
        <v>806</v>
      </c>
      <c r="R168">
        <f t="shared" si="13"/>
        <v>0</v>
      </c>
      <c r="S168">
        <f t="shared" si="14"/>
        <v>0</v>
      </c>
      <c r="T168">
        <f t="shared" si="15"/>
        <v>0</v>
      </c>
      <c r="U168">
        <f t="shared" si="16"/>
        <v>0</v>
      </c>
      <c r="V168">
        <f t="shared" si="17"/>
        <v>0</v>
      </c>
      <c r="W168">
        <f t="shared" si="18"/>
        <v>0</v>
      </c>
    </row>
    <row r="169" spans="1:23" x14ac:dyDescent="0.25">
      <c r="A169" t="s">
        <v>608</v>
      </c>
      <c r="B169" t="s">
        <v>195</v>
      </c>
      <c r="C169">
        <v>9.6</v>
      </c>
      <c r="D169">
        <v>0</v>
      </c>
      <c r="E169">
        <v>0</v>
      </c>
      <c r="F169">
        <v>0</v>
      </c>
      <c r="G169" s="105">
        <f>Tabell38[[#This Row],[Såld värme (GWh)]]-Tabell38[[#This Row],[Levererad värme, andra fjärrvärmeföretag, företag 1 (GWh)]]-Tabell38[[#This Row],[Levererad värme, andra fjärrvärmeföretag, företag 2 (GWh)]]-Tabell38[[#This Row],[Levererad värme, andra fjärrvärmeföretag, företag 3 (GWh)]]</f>
        <v>9.6</v>
      </c>
      <c r="H169" s="102" t="str">
        <f>VLOOKUP(Tabell38[[#This Row],[Nät]],Tabell5[],2,FALSE)</f>
        <v>Järvsö</v>
      </c>
      <c r="I169" t="str">
        <f>VLOOKUP(Tabell38[[#This Row],[Nät]],'Leveranser per nät'!A:A,1,FALSE)</f>
        <v>Järvsö</v>
      </c>
      <c r="O169" t="s">
        <v>806</v>
      </c>
      <c r="P169" t="s">
        <v>806</v>
      </c>
      <c r="Q169" s="84" t="s">
        <v>806</v>
      </c>
      <c r="R169">
        <f t="shared" si="13"/>
        <v>0</v>
      </c>
      <c r="S169">
        <f t="shared" si="14"/>
        <v>0</v>
      </c>
      <c r="T169">
        <f t="shared" si="15"/>
        <v>0</v>
      </c>
      <c r="U169">
        <f t="shared" si="16"/>
        <v>0</v>
      </c>
      <c r="V169">
        <f t="shared" si="17"/>
        <v>0</v>
      </c>
      <c r="W169">
        <f t="shared" si="18"/>
        <v>0</v>
      </c>
    </row>
    <row r="170" spans="1:23" x14ac:dyDescent="0.25">
      <c r="A170" t="s">
        <v>608</v>
      </c>
      <c r="B170" t="s">
        <v>193</v>
      </c>
      <c r="C170">
        <v>55.5</v>
      </c>
      <c r="D170">
        <v>0</v>
      </c>
      <c r="E170">
        <v>0</v>
      </c>
      <c r="F170">
        <v>0</v>
      </c>
      <c r="G170" s="105">
        <f>Tabell38[[#This Row],[Såld värme (GWh)]]-Tabell38[[#This Row],[Levererad värme, andra fjärrvärmeföretag, företag 1 (GWh)]]-Tabell38[[#This Row],[Levererad värme, andra fjärrvärmeföretag, företag 2 (GWh)]]-Tabell38[[#This Row],[Levererad värme, andra fjärrvärmeföretag, företag 3 (GWh)]]</f>
        <v>55.5</v>
      </c>
      <c r="H170" s="102" t="str">
        <f>VLOOKUP(Tabell38[[#This Row],[Nät]],Tabell5[],2,FALSE)</f>
        <v>Ljusdal</v>
      </c>
      <c r="I170" t="str">
        <f>VLOOKUP(Tabell38[[#This Row],[Nät]],'Leveranser per nät'!A:A,1,FALSE)</f>
        <v>Ljusdal</v>
      </c>
      <c r="O170" t="s">
        <v>806</v>
      </c>
      <c r="P170" t="s">
        <v>806</v>
      </c>
      <c r="Q170" s="44" t="s">
        <v>806</v>
      </c>
      <c r="R170">
        <f t="shared" si="13"/>
        <v>0</v>
      </c>
      <c r="S170">
        <f t="shared" si="14"/>
        <v>0</v>
      </c>
      <c r="T170">
        <f t="shared" si="15"/>
        <v>0</v>
      </c>
      <c r="U170">
        <f t="shared" si="16"/>
        <v>0</v>
      </c>
      <c r="V170">
        <f t="shared" si="17"/>
        <v>0</v>
      </c>
      <c r="W170">
        <f t="shared" si="18"/>
        <v>0</v>
      </c>
    </row>
    <row r="171" spans="1:23" x14ac:dyDescent="0.25">
      <c r="A171" t="s">
        <v>667</v>
      </c>
      <c r="B171" t="s">
        <v>196</v>
      </c>
      <c r="C171">
        <v>708.4</v>
      </c>
      <c r="D171">
        <v>0</v>
      </c>
      <c r="E171">
        <v>0</v>
      </c>
      <c r="F171">
        <v>0</v>
      </c>
      <c r="G171" s="105">
        <f>Tabell38[[#This Row],[Såld värme (GWh)]]-Tabell38[[#This Row],[Levererad värme, andra fjärrvärmeföretag, företag 1 (GWh)]]-Tabell38[[#This Row],[Levererad värme, andra fjärrvärmeföretag, företag 2 (GWh)]]-Tabell38[[#This Row],[Levererad värme, andra fjärrvärmeföretag, företag 3 (GWh)]]</f>
        <v>708.4</v>
      </c>
      <c r="H171" s="102" t="str">
        <f>VLOOKUP(Tabell38[[#This Row],[Nät]],Tabell5[],2,FALSE)</f>
        <v>Luleå</v>
      </c>
      <c r="I171" t="str">
        <f>VLOOKUP(Tabell38[[#This Row],[Nät]],'Leveranser per nät'!A:A,1,FALSE)</f>
        <v>Luleå</v>
      </c>
      <c r="O171" t="s">
        <v>806</v>
      </c>
      <c r="P171" t="s">
        <v>806</v>
      </c>
      <c r="Q171" s="84" t="s">
        <v>806</v>
      </c>
      <c r="R171">
        <f t="shared" si="13"/>
        <v>0</v>
      </c>
      <c r="S171">
        <f t="shared" si="14"/>
        <v>0</v>
      </c>
      <c r="T171">
        <f t="shared" si="15"/>
        <v>0</v>
      </c>
      <c r="U171">
        <f t="shared" si="16"/>
        <v>0</v>
      </c>
      <c r="V171">
        <f t="shared" si="17"/>
        <v>0</v>
      </c>
      <c r="W171">
        <f t="shared" si="18"/>
        <v>0</v>
      </c>
    </row>
    <row r="172" spans="1:23" x14ac:dyDescent="0.25">
      <c r="A172" t="s">
        <v>667</v>
      </c>
      <c r="B172" t="s">
        <v>860</v>
      </c>
      <c r="C172">
        <v>8.07</v>
      </c>
      <c r="D172">
        <v>0</v>
      </c>
      <c r="E172">
        <v>0</v>
      </c>
      <c r="F172">
        <v>0</v>
      </c>
      <c r="G172" s="105">
        <f>Tabell38[[#This Row],[Såld värme (GWh)]]-Tabell38[[#This Row],[Levererad värme, andra fjärrvärmeföretag, företag 1 (GWh)]]-Tabell38[[#This Row],[Levererad värme, andra fjärrvärmeföretag, företag 2 (GWh)]]-Tabell38[[#This Row],[Levererad värme, andra fjärrvärmeföretag, företag 3 (GWh)]]</f>
        <v>8.07</v>
      </c>
      <c r="H172" s="102" t="e">
        <f>VLOOKUP(Tabell38[[#This Row],[Nät]],Tabell5[],2,FALSE)</f>
        <v>#N/A</v>
      </c>
      <c r="I172" t="e">
        <f>VLOOKUP(Tabell38[[#This Row],[Nät]],'Leveranser per nät'!A:A,1,FALSE)</f>
        <v>#N/A</v>
      </c>
      <c r="O172" t="s">
        <v>806</v>
      </c>
      <c r="P172" t="s">
        <v>806</v>
      </c>
      <c r="Q172" s="44" t="s">
        <v>806</v>
      </c>
      <c r="R172">
        <f t="shared" si="13"/>
        <v>0</v>
      </c>
      <c r="S172">
        <f t="shared" si="14"/>
        <v>0</v>
      </c>
      <c r="T172">
        <f t="shared" si="15"/>
        <v>0</v>
      </c>
      <c r="U172">
        <f t="shared" si="16"/>
        <v>0</v>
      </c>
      <c r="V172">
        <f t="shared" si="17"/>
        <v>0</v>
      </c>
      <c r="W172">
        <f t="shared" si="18"/>
        <v>0</v>
      </c>
    </row>
    <row r="173" spans="1:23" x14ac:dyDescent="0.25">
      <c r="A173" t="s">
        <v>667</v>
      </c>
      <c r="B173" t="s">
        <v>197</v>
      </c>
      <c r="C173">
        <v>19.5</v>
      </c>
      <c r="D173">
        <v>0</v>
      </c>
      <c r="E173">
        <v>0</v>
      </c>
      <c r="F173">
        <v>0</v>
      </c>
      <c r="G173" s="105">
        <f>Tabell38[[#This Row],[Såld värme (GWh)]]-Tabell38[[#This Row],[Levererad värme, andra fjärrvärmeföretag, företag 1 (GWh)]]-Tabell38[[#This Row],[Levererad värme, andra fjärrvärmeföretag, företag 2 (GWh)]]-Tabell38[[#This Row],[Levererad värme, andra fjärrvärmeföretag, företag 3 (GWh)]]</f>
        <v>19.5</v>
      </c>
      <c r="H173" s="102" t="str">
        <f>VLOOKUP(Tabell38[[#This Row],[Nät]],Tabell5[],2,FALSE)</f>
        <v>Råneå</v>
      </c>
      <c r="I173" t="str">
        <f>VLOOKUP(Tabell38[[#This Row],[Nät]],'Leveranser per nät'!A:A,1,FALSE)</f>
        <v>Råneå</v>
      </c>
      <c r="O173" t="s">
        <v>806</v>
      </c>
      <c r="P173" t="s">
        <v>806</v>
      </c>
      <c r="Q173" s="84" t="s">
        <v>806</v>
      </c>
      <c r="R173">
        <f t="shared" si="13"/>
        <v>0</v>
      </c>
      <c r="S173">
        <f t="shared" si="14"/>
        <v>0</v>
      </c>
      <c r="T173">
        <f t="shared" si="15"/>
        <v>0</v>
      </c>
      <c r="U173">
        <f t="shared" si="16"/>
        <v>0</v>
      </c>
      <c r="V173">
        <f t="shared" si="17"/>
        <v>0</v>
      </c>
      <c r="W173">
        <f t="shared" si="18"/>
        <v>0</v>
      </c>
    </row>
    <row r="174" spans="1:23" x14ac:dyDescent="0.25">
      <c r="A174" t="s">
        <v>671</v>
      </c>
      <c r="B174" t="s">
        <v>201</v>
      </c>
      <c r="C174">
        <v>23.7</v>
      </c>
      <c r="D174">
        <v>0</v>
      </c>
      <c r="E174">
        <v>0</v>
      </c>
      <c r="F174">
        <v>0</v>
      </c>
      <c r="G174" s="105">
        <f>Tabell38[[#This Row],[Såld värme (GWh)]]-Tabell38[[#This Row],[Levererad värme, andra fjärrvärmeföretag, företag 1 (GWh)]]-Tabell38[[#This Row],[Levererad värme, andra fjärrvärmeföretag, företag 2 (GWh)]]-Tabell38[[#This Row],[Levererad värme, andra fjärrvärmeföretag, företag 3 (GWh)]]</f>
        <v>23.7</v>
      </c>
      <c r="H174" s="102" t="str">
        <f>VLOOKUP(Tabell38[[#This Row],[Nät]],Tabell5[],2,FALSE)</f>
        <v>Malung</v>
      </c>
      <c r="I174" t="str">
        <f>VLOOKUP(Tabell38[[#This Row],[Nät]],'Leveranser per nät'!A:A,1,FALSE)</f>
        <v>Malung</v>
      </c>
      <c r="O174" t="s">
        <v>806</v>
      </c>
      <c r="P174" t="s">
        <v>806</v>
      </c>
      <c r="Q174" s="44" t="s">
        <v>806</v>
      </c>
      <c r="R174">
        <f t="shared" si="13"/>
        <v>0</v>
      </c>
      <c r="S174">
        <f t="shared" si="14"/>
        <v>0</v>
      </c>
      <c r="T174">
        <f t="shared" si="15"/>
        <v>0</v>
      </c>
      <c r="U174">
        <f t="shared" si="16"/>
        <v>0</v>
      </c>
      <c r="V174">
        <f t="shared" si="17"/>
        <v>0</v>
      </c>
      <c r="W174">
        <f t="shared" si="18"/>
        <v>0</v>
      </c>
    </row>
    <row r="175" spans="1:23" x14ac:dyDescent="0.25">
      <c r="A175" t="s">
        <v>557</v>
      </c>
      <c r="B175" t="s">
        <v>861</v>
      </c>
      <c r="C175">
        <v>85.46</v>
      </c>
      <c r="D175">
        <v>0</v>
      </c>
      <c r="E175">
        <v>0</v>
      </c>
      <c r="F175">
        <v>0</v>
      </c>
      <c r="G175" s="105">
        <f>Tabell38[[#This Row],[Såld värme (GWh)]]-Tabell38[[#This Row],[Levererad värme, andra fjärrvärmeföretag, företag 1 (GWh)]]-Tabell38[[#This Row],[Levererad värme, andra fjärrvärmeföretag, företag 2 (GWh)]]-Tabell38[[#This Row],[Levererad värme, andra fjärrvärmeföretag, företag 3 (GWh)]]</f>
        <v>85.46</v>
      </c>
      <c r="H175" s="102" t="str">
        <f>VLOOKUP(Tabell38[[#This Row],[Nät]],Tabell5[],2,FALSE)</f>
        <v>Assberg - Fritslanäten</v>
      </c>
      <c r="I175" t="str">
        <f>VLOOKUP(Tabell38[[#This Row],[Nät]],'Leveranser per nät'!A:A,1,FALSE)</f>
        <v>Assberg - Fritslanäten</v>
      </c>
      <c r="O175" t="s">
        <v>806</v>
      </c>
      <c r="P175" t="s">
        <v>806</v>
      </c>
      <c r="Q175" s="84" t="s">
        <v>806</v>
      </c>
      <c r="R175">
        <f t="shared" si="13"/>
        <v>0</v>
      </c>
      <c r="S175">
        <f t="shared" si="14"/>
        <v>0</v>
      </c>
      <c r="T175">
        <f t="shared" si="15"/>
        <v>0</v>
      </c>
      <c r="U175">
        <f t="shared" si="16"/>
        <v>0</v>
      </c>
      <c r="V175">
        <f t="shared" si="17"/>
        <v>0</v>
      </c>
      <c r="W175">
        <f t="shared" si="18"/>
        <v>0</v>
      </c>
    </row>
    <row r="176" spans="1:23" x14ac:dyDescent="0.25">
      <c r="A176" t="s">
        <v>557</v>
      </c>
      <c r="B176" t="s">
        <v>772</v>
      </c>
      <c r="C176">
        <v>1.163</v>
      </c>
      <c r="D176">
        <v>0</v>
      </c>
      <c r="E176">
        <v>0</v>
      </c>
      <c r="F176">
        <v>0</v>
      </c>
      <c r="G176" s="105">
        <f>Tabell38[[#This Row],[Såld värme (GWh)]]-Tabell38[[#This Row],[Levererad värme, andra fjärrvärmeföretag, företag 1 (GWh)]]-Tabell38[[#This Row],[Levererad värme, andra fjärrvärmeföretag, företag 2 (GWh)]]-Tabell38[[#This Row],[Levererad värme, andra fjärrvärmeföretag, företag 3 (GWh)]]</f>
        <v>1.163</v>
      </c>
      <c r="H176" s="102" t="str">
        <f>VLOOKUP(Tabell38[[#This Row],[Nät]],Tabell5[],2,FALSE)</f>
        <v>Hyssna</v>
      </c>
      <c r="I176" t="str">
        <f>VLOOKUP(Tabell38[[#This Row],[Nät]],'Leveranser per nät'!A:A,1,FALSE)</f>
        <v>Hyssna</v>
      </c>
      <c r="O176" t="s">
        <v>806</v>
      </c>
      <c r="P176" t="s">
        <v>806</v>
      </c>
      <c r="Q176" s="44" t="s">
        <v>806</v>
      </c>
      <c r="R176">
        <f t="shared" si="13"/>
        <v>0</v>
      </c>
      <c r="S176">
        <f t="shared" si="14"/>
        <v>0</v>
      </c>
      <c r="T176">
        <f t="shared" si="15"/>
        <v>0</v>
      </c>
      <c r="U176">
        <f t="shared" si="16"/>
        <v>0</v>
      </c>
      <c r="V176">
        <f t="shared" si="17"/>
        <v>0</v>
      </c>
      <c r="W176">
        <f t="shared" si="18"/>
        <v>0</v>
      </c>
    </row>
    <row r="177" spans="1:23" x14ac:dyDescent="0.25">
      <c r="A177" t="s">
        <v>673</v>
      </c>
      <c r="B177" t="s">
        <v>205</v>
      </c>
      <c r="C177">
        <v>159.30000000000001</v>
      </c>
      <c r="D177">
        <v>0.11</v>
      </c>
      <c r="E177">
        <v>0</v>
      </c>
      <c r="F177">
        <v>0</v>
      </c>
      <c r="G177" s="105">
        <f>Tabell38[[#This Row],[Såld värme (GWh)]]-Tabell38[[#This Row],[Levererad värme, andra fjärrvärmeföretag, företag 1 (GWh)]]-Tabell38[[#This Row],[Levererad värme, andra fjärrvärmeföretag, företag 2 (GWh)]]-Tabell38[[#This Row],[Levererad värme, andra fjärrvärmeföretag, företag 3 (GWh)]]</f>
        <v>159.19</v>
      </c>
      <c r="H177" s="102" t="str">
        <f>VLOOKUP(Tabell38[[#This Row],[Nät]],Tabell5[],2,FALSE)</f>
        <v>Mjölby</v>
      </c>
      <c r="I177" t="str">
        <f>VLOOKUP(Tabell38[[#This Row],[Nät]],'Leveranser per nät'!A:A,1,FALSE)</f>
        <v>Mjölby</v>
      </c>
      <c r="O177">
        <v>0.11</v>
      </c>
      <c r="P177" t="s">
        <v>806</v>
      </c>
      <c r="Q177" s="84" t="s">
        <v>806</v>
      </c>
      <c r="R177">
        <f t="shared" si="13"/>
        <v>0.11</v>
      </c>
      <c r="S177">
        <f t="shared" si="14"/>
        <v>0</v>
      </c>
      <c r="T177">
        <f t="shared" si="15"/>
        <v>0</v>
      </c>
      <c r="U177">
        <f t="shared" si="16"/>
        <v>0.11</v>
      </c>
      <c r="V177">
        <f t="shared" si="17"/>
        <v>0</v>
      </c>
      <c r="W177">
        <f t="shared" si="18"/>
        <v>0</v>
      </c>
    </row>
    <row r="178" spans="1:23" x14ac:dyDescent="0.25">
      <c r="A178" t="s">
        <v>674</v>
      </c>
      <c r="B178" t="s">
        <v>493</v>
      </c>
      <c r="C178" t="s">
        <v>805</v>
      </c>
      <c r="D178">
        <v>0</v>
      </c>
      <c r="E178">
        <v>0</v>
      </c>
      <c r="F178">
        <v>0</v>
      </c>
      <c r="G178"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178" s="102" t="str">
        <f>VLOOKUP(Tabell38[[#This Row],[Nät]],Tabell5[],2,FALSE)</f>
        <v>Mullsjö</v>
      </c>
      <c r="I178" t="str">
        <f>VLOOKUP(Tabell38[[#This Row],[Nät]],'Leveranser per nät'!A:A,1,FALSE)</f>
        <v>Mullsjö</v>
      </c>
      <c r="O178" t="s">
        <v>805</v>
      </c>
      <c r="P178" t="s">
        <v>805</v>
      </c>
      <c r="Q178" s="44" t="s">
        <v>805</v>
      </c>
      <c r="R178" t="str">
        <f t="shared" si="13"/>
        <v>-</v>
      </c>
      <c r="S178" t="str">
        <f t="shared" si="14"/>
        <v>-</v>
      </c>
      <c r="T178" t="str">
        <f t="shared" si="15"/>
        <v>-</v>
      </c>
      <c r="U178">
        <f t="shared" si="16"/>
        <v>0</v>
      </c>
      <c r="V178">
        <f t="shared" si="17"/>
        <v>0</v>
      </c>
      <c r="W178">
        <f t="shared" si="18"/>
        <v>0</v>
      </c>
    </row>
    <row r="179" spans="1:23" x14ac:dyDescent="0.25">
      <c r="A179" t="s">
        <v>620</v>
      </c>
      <c r="B179" t="s">
        <v>209</v>
      </c>
      <c r="C179">
        <v>33.799999999999997</v>
      </c>
      <c r="D179">
        <v>0</v>
      </c>
      <c r="E179">
        <v>0</v>
      </c>
      <c r="F179">
        <v>0</v>
      </c>
      <c r="G179" s="105">
        <f>Tabell38[[#This Row],[Såld värme (GWh)]]-Tabell38[[#This Row],[Levererad värme, andra fjärrvärmeföretag, företag 1 (GWh)]]-Tabell38[[#This Row],[Levererad värme, andra fjärrvärmeföretag, företag 2 (GWh)]]-Tabell38[[#This Row],[Levererad värme, andra fjärrvärmeföretag, företag 3 (GWh)]]</f>
        <v>33.799999999999997</v>
      </c>
      <c r="H179" s="102" t="str">
        <f>VLOOKUP(Tabell38[[#This Row],[Nät]],Tabell5[],2,FALSE)</f>
        <v>Kungsör</v>
      </c>
      <c r="I179" t="str">
        <f>VLOOKUP(Tabell38[[#This Row],[Nät]],'Leveranser per nät'!A:A,1,FALSE)</f>
        <v>Kungsör</v>
      </c>
      <c r="O179" t="s">
        <v>806</v>
      </c>
      <c r="P179" t="s">
        <v>806</v>
      </c>
      <c r="Q179" s="84" t="s">
        <v>806</v>
      </c>
      <c r="R179">
        <f t="shared" si="13"/>
        <v>0</v>
      </c>
      <c r="S179">
        <f t="shared" si="14"/>
        <v>0</v>
      </c>
      <c r="T179">
        <f t="shared" si="15"/>
        <v>0</v>
      </c>
      <c r="U179">
        <f t="shared" si="16"/>
        <v>0</v>
      </c>
      <c r="V179">
        <f t="shared" si="17"/>
        <v>0</v>
      </c>
      <c r="W179">
        <f t="shared" si="18"/>
        <v>0</v>
      </c>
    </row>
    <row r="180" spans="1:23" x14ac:dyDescent="0.25">
      <c r="A180" t="s">
        <v>620</v>
      </c>
      <c r="B180" t="s">
        <v>296</v>
      </c>
      <c r="C180" t="s">
        <v>806</v>
      </c>
      <c r="D180">
        <v>0</v>
      </c>
      <c r="E180">
        <v>0</v>
      </c>
      <c r="F180">
        <v>0</v>
      </c>
      <c r="G180"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180" s="102" t="str">
        <f>VLOOKUP(Tabell38[[#This Row],[Nät]],Tabell5[],2,FALSE)</f>
        <v>Surahammar</v>
      </c>
      <c r="I180" t="str">
        <f>VLOOKUP(Tabell38[[#This Row],[Nät]],'Leveranser per nät'!A:A,1,FALSE)</f>
        <v>Surahammar</v>
      </c>
      <c r="O180" t="s">
        <v>806</v>
      </c>
      <c r="P180" t="s">
        <v>806</v>
      </c>
      <c r="Q180" s="44" t="s">
        <v>806</v>
      </c>
      <c r="R180">
        <f t="shared" si="13"/>
        <v>0</v>
      </c>
      <c r="S180">
        <f t="shared" si="14"/>
        <v>0</v>
      </c>
      <c r="T180">
        <f t="shared" si="15"/>
        <v>0</v>
      </c>
      <c r="U180">
        <f t="shared" si="16"/>
        <v>0</v>
      </c>
      <c r="V180">
        <f t="shared" si="17"/>
        <v>0</v>
      </c>
      <c r="W180">
        <f t="shared" si="18"/>
        <v>0</v>
      </c>
    </row>
    <row r="181" spans="1:23" x14ac:dyDescent="0.25">
      <c r="A181" t="s">
        <v>620</v>
      </c>
      <c r="B181" t="s">
        <v>207</v>
      </c>
      <c r="C181">
        <v>1242.3105399999999</v>
      </c>
      <c r="D181">
        <v>0</v>
      </c>
      <c r="E181">
        <v>0</v>
      </c>
      <c r="F181">
        <v>0</v>
      </c>
      <c r="G181" s="105">
        <f>Tabell38[[#This Row],[Såld värme (GWh)]]-Tabell38[[#This Row],[Levererad värme, andra fjärrvärmeföretag, företag 1 (GWh)]]-Tabell38[[#This Row],[Levererad värme, andra fjärrvärmeföretag, företag 2 (GWh)]]-Tabell38[[#This Row],[Levererad värme, andra fjärrvärmeföretag, företag 3 (GWh)]]</f>
        <v>1242.3105399999999</v>
      </c>
      <c r="H181" s="102" t="str">
        <f>VLOOKUP(Tabell38[[#This Row],[Nät]],Tabell5[],2,FALSE)</f>
        <v>Västerås</v>
      </c>
      <c r="I181" t="str">
        <f>VLOOKUP(Tabell38[[#This Row],[Nät]],'Leveranser per nät'!A:A,1,FALSE)</f>
        <v>Västerås</v>
      </c>
      <c r="O181" t="s">
        <v>806</v>
      </c>
      <c r="P181" t="s">
        <v>806</v>
      </c>
      <c r="Q181" s="84" t="s">
        <v>806</v>
      </c>
      <c r="R181">
        <f t="shared" si="13"/>
        <v>0</v>
      </c>
      <c r="S181">
        <f t="shared" si="14"/>
        <v>0</v>
      </c>
      <c r="T181">
        <f t="shared" si="15"/>
        <v>0</v>
      </c>
      <c r="U181">
        <f t="shared" si="16"/>
        <v>0</v>
      </c>
      <c r="V181">
        <f t="shared" si="17"/>
        <v>0</v>
      </c>
      <c r="W181">
        <f t="shared" si="18"/>
        <v>0</v>
      </c>
    </row>
    <row r="182" spans="1:23" x14ac:dyDescent="0.25">
      <c r="A182" t="s">
        <v>620</v>
      </c>
      <c r="B182" t="s">
        <v>790</v>
      </c>
      <c r="C182">
        <v>53.761200000000002</v>
      </c>
      <c r="D182">
        <v>0</v>
      </c>
      <c r="E182">
        <v>0</v>
      </c>
      <c r="F182">
        <v>0</v>
      </c>
      <c r="G182" s="105">
        <f>Tabell38[[#This Row],[Såld värme (GWh)]]-Tabell38[[#This Row],[Levererad värme, andra fjärrvärmeföretag, företag 1 (GWh)]]-Tabell38[[#This Row],[Levererad värme, andra fjärrvärmeföretag, företag 2 (GWh)]]-Tabell38[[#This Row],[Levererad värme, andra fjärrvärmeföretag, företag 3 (GWh)]]</f>
        <v>53.761200000000002</v>
      </c>
      <c r="H182" s="102" t="e">
        <f>VLOOKUP(Tabell38[[#This Row],[Nät]],Tabell5[],2,FALSE)</f>
        <v>#N/A</v>
      </c>
      <c r="I182" t="e">
        <f>VLOOKUP(Tabell38[[#This Row],[Nät]],'Leveranser per nät'!A:A,1,FALSE)</f>
        <v>#N/A</v>
      </c>
      <c r="O182" t="s">
        <v>806</v>
      </c>
      <c r="P182" t="s">
        <v>806</v>
      </c>
      <c r="Q182" s="44" t="s">
        <v>806</v>
      </c>
      <c r="R182">
        <f t="shared" si="13"/>
        <v>0</v>
      </c>
      <c r="S182">
        <f t="shared" si="14"/>
        <v>0</v>
      </c>
      <c r="T182">
        <f t="shared" si="15"/>
        <v>0</v>
      </c>
      <c r="U182">
        <f t="shared" si="16"/>
        <v>0</v>
      </c>
      <c r="V182">
        <f t="shared" si="17"/>
        <v>0</v>
      </c>
      <c r="W182">
        <f t="shared" si="18"/>
        <v>0</v>
      </c>
    </row>
    <row r="183" spans="1:23" x14ac:dyDescent="0.25">
      <c r="A183" t="s">
        <v>676</v>
      </c>
      <c r="B183" t="s">
        <v>210</v>
      </c>
      <c r="C183">
        <v>285.86500000000001</v>
      </c>
      <c r="D183">
        <v>88.692999999999998</v>
      </c>
      <c r="E183">
        <v>0</v>
      </c>
      <c r="F183">
        <v>0</v>
      </c>
      <c r="G183" s="105">
        <f>Tabell38[[#This Row],[Såld värme (GWh)]]-Tabell38[[#This Row],[Levererad värme, andra fjärrvärmeföretag, företag 1 (GWh)]]-Tabell38[[#This Row],[Levererad värme, andra fjärrvärmeföretag, företag 2 (GWh)]]-Tabell38[[#This Row],[Levererad värme, andra fjärrvärmeföretag, företag 3 (GWh)]]</f>
        <v>197.17200000000003</v>
      </c>
      <c r="H183" s="102" t="str">
        <f>VLOOKUP(Tabell38[[#This Row],[Nät]],Tabell5[],2,FALSE)</f>
        <v>Mölndal</v>
      </c>
      <c r="I183" t="str">
        <f>VLOOKUP(Tabell38[[#This Row],[Nät]],'Leveranser per nät'!A:A,1,FALSE)</f>
        <v>Mölndal</v>
      </c>
      <c r="O183">
        <v>88.692999999999998</v>
      </c>
      <c r="P183" t="s">
        <v>806</v>
      </c>
      <c r="Q183" s="84" t="s">
        <v>806</v>
      </c>
      <c r="R183">
        <f t="shared" si="13"/>
        <v>88.692999999999998</v>
      </c>
      <c r="S183">
        <f t="shared" si="14"/>
        <v>0</v>
      </c>
      <c r="T183">
        <f t="shared" si="15"/>
        <v>0</v>
      </c>
      <c r="U183">
        <f t="shared" si="16"/>
        <v>88.692999999999998</v>
      </c>
      <c r="V183">
        <f t="shared" si="17"/>
        <v>0</v>
      </c>
      <c r="W183">
        <f t="shared" si="18"/>
        <v>0</v>
      </c>
    </row>
    <row r="184" spans="1:23" x14ac:dyDescent="0.25">
      <c r="A184" t="s">
        <v>676</v>
      </c>
      <c r="B184" t="s">
        <v>819</v>
      </c>
      <c r="C184">
        <v>55.606000000000002</v>
      </c>
      <c r="D184">
        <v>0</v>
      </c>
      <c r="E184">
        <v>0</v>
      </c>
      <c r="F184">
        <v>0</v>
      </c>
      <c r="G184" s="105">
        <f>Tabell38[[#This Row],[Såld värme (GWh)]]-Tabell38[[#This Row],[Levererad värme, andra fjärrvärmeföretag, företag 1 (GWh)]]-Tabell38[[#This Row],[Levererad värme, andra fjärrvärmeföretag, företag 2 (GWh)]]-Tabell38[[#This Row],[Levererad värme, andra fjärrvärmeföretag, företag 3 (GWh)]]</f>
        <v>55.606000000000002</v>
      </c>
      <c r="H184" s="102" t="e">
        <f>VLOOKUP(Tabell38[[#This Row],[Nät]],Tabell5[],2,FALSE)</f>
        <v>#N/A</v>
      </c>
      <c r="I184" t="e">
        <f>VLOOKUP(Tabell38[[#This Row],[Nät]],'Leveranser per nät'!A:A,1,FALSE)</f>
        <v>#N/A</v>
      </c>
      <c r="O184" t="s">
        <v>806</v>
      </c>
      <c r="P184" t="s">
        <v>806</v>
      </c>
      <c r="Q184" s="44" t="s">
        <v>806</v>
      </c>
      <c r="R184">
        <f t="shared" si="13"/>
        <v>0</v>
      </c>
      <c r="S184">
        <f t="shared" si="14"/>
        <v>0</v>
      </c>
      <c r="T184">
        <f t="shared" si="15"/>
        <v>0</v>
      </c>
      <c r="U184">
        <f t="shared" si="16"/>
        <v>0</v>
      </c>
      <c r="V184">
        <f t="shared" si="17"/>
        <v>0</v>
      </c>
      <c r="W184">
        <f t="shared" si="18"/>
        <v>0</v>
      </c>
    </row>
    <row r="185" spans="1:23" x14ac:dyDescent="0.25">
      <c r="A185" t="s">
        <v>676</v>
      </c>
      <c r="B185" t="s">
        <v>1109</v>
      </c>
      <c r="C185" t="s">
        <v>805</v>
      </c>
      <c r="D185">
        <v>0</v>
      </c>
      <c r="E185">
        <v>0</v>
      </c>
      <c r="F185">
        <v>0</v>
      </c>
      <c r="G185"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185" s="102" t="e">
        <f>VLOOKUP(Tabell38[[#This Row],[Nät]],Tabell5[],2,FALSE)</f>
        <v>#N/A</v>
      </c>
      <c r="I185" t="e">
        <f>VLOOKUP(Tabell38[[#This Row],[Nät]],'Leveranser per nät'!A:A,1,FALSE)</f>
        <v>#N/A</v>
      </c>
      <c r="O185" t="s">
        <v>805</v>
      </c>
      <c r="P185" t="s">
        <v>805</v>
      </c>
      <c r="Q185" s="84" t="s">
        <v>805</v>
      </c>
      <c r="R185" t="str">
        <f t="shared" si="13"/>
        <v>-</v>
      </c>
      <c r="S185" t="str">
        <f t="shared" si="14"/>
        <v>-</v>
      </c>
      <c r="T185" t="str">
        <f t="shared" si="15"/>
        <v>-</v>
      </c>
      <c r="U185">
        <f t="shared" si="16"/>
        <v>0</v>
      </c>
      <c r="V185">
        <f t="shared" si="17"/>
        <v>0</v>
      </c>
      <c r="W185">
        <f t="shared" si="18"/>
        <v>0</v>
      </c>
    </row>
    <row r="186" spans="1:23" x14ac:dyDescent="0.25">
      <c r="A186" t="s">
        <v>1091</v>
      </c>
      <c r="B186" t="s">
        <v>987</v>
      </c>
      <c r="C186">
        <v>2.7309999999999999</v>
      </c>
      <c r="D186">
        <v>0</v>
      </c>
      <c r="E186">
        <v>0</v>
      </c>
      <c r="F186">
        <v>0</v>
      </c>
      <c r="G186" s="105">
        <f>Tabell38[[#This Row],[Såld värme (GWh)]]-Tabell38[[#This Row],[Levererad värme, andra fjärrvärmeföretag, företag 1 (GWh)]]-Tabell38[[#This Row],[Levererad värme, andra fjärrvärmeföretag, företag 2 (GWh)]]-Tabell38[[#This Row],[Levererad värme, andra fjärrvärmeföretag, företag 3 (GWh)]]</f>
        <v>2.7309999999999999</v>
      </c>
      <c r="H186" s="102" t="str">
        <f>VLOOKUP(Tabell38[[#This Row],[Nät]],Tabell5[],2,FALSE)</f>
        <v>Billesholm</v>
      </c>
      <c r="I186" t="e">
        <f>VLOOKUP(Tabell38[[#This Row],[Nät]],'Leveranser per nät'!A:A,1,FALSE)</f>
        <v>#N/A</v>
      </c>
      <c r="O186" t="s">
        <v>806</v>
      </c>
      <c r="P186" t="s">
        <v>806</v>
      </c>
      <c r="Q186" s="44" t="s">
        <v>806</v>
      </c>
      <c r="R186">
        <f t="shared" si="13"/>
        <v>0</v>
      </c>
      <c r="S186">
        <f t="shared" si="14"/>
        <v>0</v>
      </c>
      <c r="T186">
        <f t="shared" si="15"/>
        <v>0</v>
      </c>
      <c r="U186">
        <f t="shared" si="16"/>
        <v>0</v>
      </c>
      <c r="V186">
        <f t="shared" si="17"/>
        <v>0</v>
      </c>
      <c r="W186">
        <f t="shared" si="18"/>
        <v>0</v>
      </c>
    </row>
    <row r="187" spans="1:23" x14ac:dyDescent="0.25">
      <c r="A187" t="s">
        <v>1091</v>
      </c>
      <c r="B187" t="s">
        <v>213</v>
      </c>
      <c r="C187">
        <v>21.134</v>
      </c>
      <c r="D187">
        <v>0</v>
      </c>
      <c r="E187">
        <v>0</v>
      </c>
      <c r="F187">
        <v>0</v>
      </c>
      <c r="G187" s="105">
        <f>Tabell38[[#This Row],[Såld värme (GWh)]]-Tabell38[[#This Row],[Levererad värme, andra fjärrvärmeföretag, företag 1 (GWh)]]-Tabell38[[#This Row],[Levererad värme, andra fjärrvärmeföretag, företag 2 (GWh)]]-Tabell38[[#This Row],[Levererad värme, andra fjärrvärmeföretag, företag 3 (GWh)]]</f>
        <v>21.134</v>
      </c>
      <c r="H187" s="102" t="str">
        <f>VLOOKUP(Tabell38[[#This Row],[Nät]],Tabell5[],2,FALSE)</f>
        <v>Bjuv</v>
      </c>
      <c r="I187" t="str">
        <f>VLOOKUP(Tabell38[[#This Row],[Nät]],'Leveranser per nät'!A:A,1,FALSE)</f>
        <v>Bjuv</v>
      </c>
      <c r="O187" t="s">
        <v>806</v>
      </c>
      <c r="P187" t="s">
        <v>806</v>
      </c>
      <c r="Q187" s="84" t="s">
        <v>806</v>
      </c>
      <c r="R187">
        <f t="shared" si="13"/>
        <v>0</v>
      </c>
      <c r="S187">
        <f t="shared" si="14"/>
        <v>0</v>
      </c>
      <c r="T187">
        <f t="shared" si="15"/>
        <v>0</v>
      </c>
      <c r="U187">
        <f t="shared" si="16"/>
        <v>0</v>
      </c>
      <c r="V187">
        <f t="shared" si="17"/>
        <v>0</v>
      </c>
      <c r="W187">
        <f t="shared" si="18"/>
        <v>0</v>
      </c>
    </row>
    <row r="188" spans="1:23" x14ac:dyDescent="0.25">
      <c r="A188" t="s">
        <v>1091</v>
      </c>
      <c r="B188" t="s">
        <v>214</v>
      </c>
      <c r="C188">
        <v>13.991</v>
      </c>
      <c r="D188">
        <v>0</v>
      </c>
      <c r="E188">
        <v>0</v>
      </c>
      <c r="F188">
        <v>0</v>
      </c>
      <c r="G188" s="105">
        <f>Tabell38[[#This Row],[Såld värme (GWh)]]-Tabell38[[#This Row],[Levererad värme, andra fjärrvärmeföretag, företag 1 (GWh)]]-Tabell38[[#This Row],[Levererad värme, andra fjärrvärmeföretag, företag 2 (GWh)]]-Tabell38[[#This Row],[Levererad värme, andra fjärrvärmeföretag, företag 3 (GWh)]]</f>
        <v>13.991</v>
      </c>
      <c r="H188" s="102" t="str">
        <f>VLOOKUP(Tabell38[[#This Row],[Nät]],Tabell5[],2,FALSE)</f>
        <v>Gimo</v>
      </c>
      <c r="I188" t="str">
        <f>VLOOKUP(Tabell38[[#This Row],[Nät]],'Leveranser per nät'!A:A,1,FALSE)</f>
        <v>Gimo</v>
      </c>
      <c r="O188" t="s">
        <v>806</v>
      </c>
      <c r="P188" t="s">
        <v>806</v>
      </c>
      <c r="Q188" s="44" t="s">
        <v>806</v>
      </c>
      <c r="R188">
        <f t="shared" si="13"/>
        <v>0</v>
      </c>
      <c r="S188">
        <f t="shared" si="14"/>
        <v>0</v>
      </c>
      <c r="T188">
        <f t="shared" si="15"/>
        <v>0</v>
      </c>
      <c r="U188">
        <f t="shared" si="16"/>
        <v>0</v>
      </c>
      <c r="V188">
        <f t="shared" si="17"/>
        <v>0</v>
      </c>
      <c r="W188">
        <f t="shared" si="18"/>
        <v>0</v>
      </c>
    </row>
    <row r="189" spans="1:23" x14ac:dyDescent="0.25">
      <c r="A189" t="s">
        <v>1091</v>
      </c>
      <c r="B189" t="s">
        <v>1038</v>
      </c>
      <c r="C189">
        <v>3.1179999999999999</v>
      </c>
      <c r="D189">
        <v>0</v>
      </c>
      <c r="E189">
        <v>0</v>
      </c>
      <c r="F189">
        <v>0</v>
      </c>
      <c r="G189" s="105">
        <f>Tabell38[[#This Row],[Såld värme (GWh)]]-Tabell38[[#This Row],[Levererad värme, andra fjärrvärmeföretag, företag 1 (GWh)]]-Tabell38[[#This Row],[Levererad värme, andra fjärrvärmeföretag, företag 2 (GWh)]]-Tabell38[[#This Row],[Levererad värme, andra fjärrvärmeföretag, företag 3 (GWh)]]</f>
        <v>3.1179999999999999</v>
      </c>
      <c r="H189" s="102" t="str">
        <f>VLOOKUP(Tabell38[[#This Row],[Nät]],Tabell5[],2,FALSE)</f>
        <v>Gnosjö</v>
      </c>
      <c r="I189" t="e">
        <f>VLOOKUP(Tabell38[[#This Row],[Nät]],'Leveranser per nät'!A:A,1,FALSE)</f>
        <v>#N/A</v>
      </c>
      <c r="O189" t="s">
        <v>806</v>
      </c>
      <c r="P189" t="s">
        <v>806</v>
      </c>
      <c r="Q189" s="84" t="s">
        <v>806</v>
      </c>
      <c r="R189">
        <f t="shared" si="13"/>
        <v>0</v>
      </c>
      <c r="S189">
        <f t="shared" si="14"/>
        <v>0</v>
      </c>
      <c r="T189">
        <f t="shared" si="15"/>
        <v>0</v>
      </c>
      <c r="U189">
        <f t="shared" si="16"/>
        <v>0</v>
      </c>
      <c r="V189">
        <f t="shared" si="17"/>
        <v>0</v>
      </c>
      <c r="W189">
        <f t="shared" si="18"/>
        <v>0</v>
      </c>
    </row>
    <row r="190" spans="1:23" x14ac:dyDescent="0.25">
      <c r="A190" t="s">
        <v>1091</v>
      </c>
      <c r="B190" t="s">
        <v>400</v>
      </c>
      <c r="C190">
        <v>1.6619999999999999</v>
      </c>
      <c r="D190">
        <v>0</v>
      </c>
      <c r="E190">
        <v>0</v>
      </c>
      <c r="F190">
        <v>0</v>
      </c>
      <c r="G190" s="105">
        <f>Tabell38[[#This Row],[Såld värme (GWh)]]-Tabell38[[#This Row],[Levererad värme, andra fjärrvärmeföretag, företag 1 (GWh)]]-Tabell38[[#This Row],[Levererad värme, andra fjärrvärmeföretag, företag 2 (GWh)]]-Tabell38[[#This Row],[Levererad värme, andra fjärrvärmeföretag, företag 3 (GWh)]]</f>
        <v>1.6619999999999999</v>
      </c>
      <c r="H190" s="102" t="str">
        <f>VLOOKUP(Tabell38[[#This Row],[Nät]],Tabell5[],2,FALSE)</f>
        <v>Hjärnarp</v>
      </c>
      <c r="I190" t="str">
        <f>VLOOKUP(Tabell38[[#This Row],[Nät]],'Leveranser per nät'!A:A,1,FALSE)</f>
        <v>Hjärnarp</v>
      </c>
      <c r="O190" t="s">
        <v>806</v>
      </c>
      <c r="P190" t="s">
        <v>806</v>
      </c>
      <c r="Q190" s="44" t="s">
        <v>806</v>
      </c>
      <c r="R190">
        <f t="shared" si="13"/>
        <v>0</v>
      </c>
      <c r="S190">
        <f t="shared" si="14"/>
        <v>0</v>
      </c>
      <c r="T190">
        <f t="shared" si="15"/>
        <v>0</v>
      </c>
      <c r="U190">
        <f t="shared" si="16"/>
        <v>0</v>
      </c>
      <c r="V190">
        <f t="shared" si="17"/>
        <v>0</v>
      </c>
      <c r="W190">
        <f t="shared" si="18"/>
        <v>0</v>
      </c>
    </row>
    <row r="191" spans="1:23" x14ac:dyDescent="0.25">
      <c r="A191" t="s">
        <v>1091</v>
      </c>
      <c r="B191" t="s">
        <v>215</v>
      </c>
      <c r="C191">
        <v>28.928999999999998</v>
      </c>
      <c r="D191">
        <v>0</v>
      </c>
      <c r="E191">
        <v>0</v>
      </c>
      <c r="F191">
        <v>0</v>
      </c>
      <c r="G191" s="105">
        <f>Tabell38[[#This Row],[Såld värme (GWh)]]-Tabell38[[#This Row],[Levererad värme, andra fjärrvärmeföretag, företag 1 (GWh)]]-Tabell38[[#This Row],[Levererad värme, andra fjärrvärmeföretag, företag 2 (GWh)]]-Tabell38[[#This Row],[Levererad värme, andra fjärrvärmeföretag, företag 3 (GWh)]]</f>
        <v>28.928999999999998</v>
      </c>
      <c r="H191" s="102" t="str">
        <f>VLOOKUP(Tabell38[[#This Row],[Nät]],Tabell5[],2,FALSE)</f>
        <v>Hultsfred</v>
      </c>
      <c r="I191" t="str">
        <f>VLOOKUP(Tabell38[[#This Row],[Nät]],'Leveranser per nät'!A:A,1,FALSE)</f>
        <v>Hultsfred</v>
      </c>
      <c r="O191" t="s">
        <v>806</v>
      </c>
      <c r="P191" t="s">
        <v>806</v>
      </c>
      <c r="Q191" s="84" t="s">
        <v>806</v>
      </c>
      <c r="R191">
        <f t="shared" si="13"/>
        <v>0</v>
      </c>
      <c r="S191">
        <f t="shared" si="14"/>
        <v>0</v>
      </c>
      <c r="T191">
        <f t="shared" si="15"/>
        <v>0</v>
      </c>
      <c r="U191">
        <f t="shared" si="16"/>
        <v>0</v>
      </c>
      <c r="V191">
        <f t="shared" si="17"/>
        <v>0</v>
      </c>
      <c r="W191">
        <f t="shared" si="18"/>
        <v>0</v>
      </c>
    </row>
    <row r="192" spans="1:23" x14ac:dyDescent="0.25">
      <c r="A192" t="s">
        <v>1091</v>
      </c>
      <c r="B192" t="s">
        <v>211</v>
      </c>
      <c r="C192">
        <v>38.654000000000003</v>
      </c>
      <c r="D192">
        <v>0</v>
      </c>
      <c r="E192">
        <v>0</v>
      </c>
      <c r="F192">
        <v>0</v>
      </c>
      <c r="G192" s="105">
        <f>Tabell38[[#This Row],[Såld värme (GWh)]]-Tabell38[[#This Row],[Levererad värme, andra fjärrvärmeföretag, företag 1 (GWh)]]-Tabell38[[#This Row],[Levererad värme, andra fjärrvärmeföretag, företag 2 (GWh)]]-Tabell38[[#This Row],[Levererad värme, andra fjärrvärmeföretag, företag 3 (GWh)]]</f>
        <v>38.654000000000003</v>
      </c>
      <c r="H192" s="102" t="str">
        <f>VLOOKUP(Tabell38[[#This Row],[Nät]],Tabell5[],2,FALSE)</f>
        <v>Kramfors</v>
      </c>
      <c r="I192" t="str">
        <f>VLOOKUP(Tabell38[[#This Row],[Nät]],'Leveranser per nät'!A:A,1,FALSE)</f>
        <v>Kramfors</v>
      </c>
      <c r="O192" t="s">
        <v>806</v>
      </c>
      <c r="P192" t="s">
        <v>806</v>
      </c>
      <c r="Q192" s="44" t="s">
        <v>806</v>
      </c>
      <c r="R192">
        <f t="shared" si="13"/>
        <v>0</v>
      </c>
      <c r="S192">
        <f t="shared" si="14"/>
        <v>0</v>
      </c>
      <c r="T192">
        <f t="shared" si="15"/>
        <v>0</v>
      </c>
      <c r="U192">
        <f t="shared" si="16"/>
        <v>0</v>
      </c>
      <c r="V192">
        <f t="shared" si="17"/>
        <v>0</v>
      </c>
      <c r="W192">
        <f t="shared" si="18"/>
        <v>0</v>
      </c>
    </row>
    <row r="193" spans="1:23" x14ac:dyDescent="0.25">
      <c r="A193" t="s">
        <v>1091</v>
      </c>
      <c r="B193" t="s">
        <v>931</v>
      </c>
      <c r="C193">
        <v>6.5590000000000002</v>
      </c>
      <c r="D193">
        <v>0</v>
      </c>
      <c r="E193">
        <v>0</v>
      </c>
      <c r="F193">
        <v>0</v>
      </c>
      <c r="G193" s="107">
        <f>Tabell38[[#This Row],[Såld värme (GWh)]]-Tabell38[[#This Row],[Levererad värme, andra fjärrvärmeföretag, företag 1 (GWh)]]-Tabell38[[#This Row],[Levererad värme, andra fjärrvärmeföretag, företag 2 (GWh)]]-Tabell38[[#This Row],[Levererad värme, andra fjärrvärmeföretag, företag 3 (GWh)]]</f>
        <v>6.5590000000000002</v>
      </c>
      <c r="H193" s="108" t="str">
        <f>VLOOKUP(Tabell38[[#This Row],[Nät]],Tabell5[],2,FALSE)</f>
        <v>Smålandsstenar</v>
      </c>
      <c r="I193" s="43" t="str">
        <f>VLOOKUP(Tabell38[[#This Row],[Nät]],'Leveranser per nät'!A:A,1,FALSE)</f>
        <v>Smålandsstenar</v>
      </c>
      <c r="O193" t="s">
        <v>806</v>
      </c>
      <c r="P193" t="s">
        <v>806</v>
      </c>
      <c r="Q193" s="84" t="s">
        <v>806</v>
      </c>
      <c r="R193">
        <f t="shared" si="13"/>
        <v>0</v>
      </c>
      <c r="S193">
        <f t="shared" si="14"/>
        <v>0</v>
      </c>
      <c r="T193">
        <f t="shared" si="15"/>
        <v>0</v>
      </c>
      <c r="U193">
        <f t="shared" si="16"/>
        <v>0</v>
      </c>
      <c r="V193">
        <f t="shared" si="17"/>
        <v>0</v>
      </c>
      <c r="W193">
        <f t="shared" si="18"/>
        <v>0</v>
      </c>
    </row>
    <row r="194" spans="1:23" x14ac:dyDescent="0.25">
      <c r="A194" t="s">
        <v>1091</v>
      </c>
      <c r="B194" t="s">
        <v>865</v>
      </c>
      <c r="C194">
        <v>8.6189999999999998</v>
      </c>
      <c r="D194">
        <v>0</v>
      </c>
      <c r="E194">
        <v>0</v>
      </c>
      <c r="F194">
        <v>0</v>
      </c>
      <c r="G194" s="105">
        <f>Tabell38[[#This Row],[Såld värme (GWh)]]-Tabell38[[#This Row],[Levererad värme, andra fjärrvärmeföretag, företag 1 (GWh)]]-Tabell38[[#This Row],[Levererad värme, andra fjärrvärmeföretag, företag 2 (GWh)]]-Tabell38[[#This Row],[Levererad värme, andra fjärrvärmeföretag, företag 3 (GWh)]]</f>
        <v>8.6189999999999998</v>
      </c>
      <c r="H194" s="102" t="str">
        <f>VLOOKUP(Tabell38[[#This Row],[Nät]],Tabell5[],2,FALSE)</f>
        <v>Tanumshede</v>
      </c>
      <c r="I194" t="e">
        <f>VLOOKUP(Tabell38[[#This Row],[Nät]],'Leveranser per nät'!A:A,1,FALSE)</f>
        <v>#N/A</v>
      </c>
      <c r="O194" t="s">
        <v>806</v>
      </c>
      <c r="P194" t="s">
        <v>806</v>
      </c>
      <c r="Q194" s="44" t="s">
        <v>806</v>
      </c>
      <c r="R194">
        <f t="shared" si="13"/>
        <v>0</v>
      </c>
      <c r="S194">
        <f t="shared" si="14"/>
        <v>0</v>
      </c>
      <c r="T194">
        <f t="shared" si="15"/>
        <v>0</v>
      </c>
      <c r="U194">
        <f t="shared" si="16"/>
        <v>0</v>
      </c>
      <c r="V194">
        <f t="shared" si="17"/>
        <v>0</v>
      </c>
      <c r="W194">
        <f t="shared" si="18"/>
        <v>0</v>
      </c>
    </row>
    <row r="195" spans="1:23" x14ac:dyDescent="0.25">
      <c r="A195" t="s">
        <v>1091</v>
      </c>
      <c r="B195" t="s">
        <v>216</v>
      </c>
      <c r="C195">
        <v>54.695</v>
      </c>
      <c r="D195">
        <v>36.795999999999999</v>
      </c>
      <c r="E195">
        <v>0</v>
      </c>
      <c r="F195">
        <v>0</v>
      </c>
      <c r="G195" s="105">
        <f>Tabell38[[#This Row],[Såld värme (GWh)]]-Tabell38[[#This Row],[Levererad värme, andra fjärrvärmeföretag, företag 1 (GWh)]]-Tabell38[[#This Row],[Levererad värme, andra fjärrvärmeföretag, företag 2 (GWh)]]-Tabell38[[#This Row],[Levererad värme, andra fjärrvärmeföretag, företag 3 (GWh)]]</f>
        <v>17.899000000000001</v>
      </c>
      <c r="H195" s="102" t="str">
        <f>VLOOKUP(Tabell38[[#This Row],[Nät]],Tabell5[],2,FALSE)</f>
        <v>Tibro</v>
      </c>
      <c r="I195" t="str">
        <f>VLOOKUP(Tabell38[[#This Row],[Nät]],'Leveranser per nät'!A:A,1,FALSE)</f>
        <v>Tibro</v>
      </c>
      <c r="O195">
        <v>36.795999999999999</v>
      </c>
      <c r="P195" t="s">
        <v>806</v>
      </c>
      <c r="Q195" s="84" t="s">
        <v>806</v>
      </c>
      <c r="R195">
        <f t="shared" ref="R195:R258" si="19">IF(O195="ET",0,O195)</f>
        <v>36.795999999999999</v>
      </c>
      <c r="S195">
        <f t="shared" ref="S195:S258" si="20">IF(P195="ET",0,P195)</f>
        <v>0</v>
      </c>
      <c r="T195">
        <f t="shared" ref="T195:T258" si="21">IF(Q195="ET",0,Q195)</f>
        <v>0</v>
      </c>
      <c r="U195">
        <f t="shared" ref="U195:U258" si="22">IF(R195="-",0,R195)</f>
        <v>36.795999999999999</v>
      </c>
      <c r="V195">
        <f t="shared" ref="V195:V258" si="23">IF(S195="-",0,S195)</f>
        <v>0</v>
      </c>
      <c r="W195">
        <f t="shared" ref="W195:W258" si="24">IF(T195="-",0,T195)</f>
        <v>0</v>
      </c>
    </row>
    <row r="196" spans="1:23" x14ac:dyDescent="0.25">
      <c r="A196" t="s">
        <v>1091</v>
      </c>
      <c r="B196" t="s">
        <v>212</v>
      </c>
      <c r="C196">
        <v>11.576000000000001</v>
      </c>
      <c r="D196">
        <v>0</v>
      </c>
      <c r="E196">
        <v>0</v>
      </c>
      <c r="F196">
        <v>0</v>
      </c>
      <c r="G196" s="105">
        <f>Tabell38[[#This Row],[Såld värme (GWh)]]-Tabell38[[#This Row],[Levererad värme, andra fjärrvärmeföretag, företag 1 (GWh)]]-Tabell38[[#This Row],[Levererad värme, andra fjärrvärmeföretag, företag 2 (GWh)]]-Tabell38[[#This Row],[Levererad värme, andra fjärrvärmeföretag, företag 3 (GWh)]]</f>
        <v>11.576000000000001</v>
      </c>
      <c r="H196" s="102" t="str">
        <f>VLOOKUP(Tabell38[[#This Row],[Nät]],Tabell5[],2,FALSE)</f>
        <v>Valdemarsvik</v>
      </c>
      <c r="I196" t="str">
        <f>VLOOKUP(Tabell38[[#This Row],[Nät]],'Leveranser per nät'!A:A,1,FALSE)</f>
        <v>Valdemarsvik</v>
      </c>
      <c r="O196" t="s">
        <v>806</v>
      </c>
      <c r="P196" t="s">
        <v>806</v>
      </c>
      <c r="Q196" s="44" t="s">
        <v>806</v>
      </c>
      <c r="R196">
        <f t="shared" si="19"/>
        <v>0</v>
      </c>
      <c r="S196">
        <f t="shared" si="20"/>
        <v>0</v>
      </c>
      <c r="T196">
        <f t="shared" si="21"/>
        <v>0</v>
      </c>
      <c r="U196">
        <f t="shared" si="22"/>
        <v>0</v>
      </c>
      <c r="V196">
        <f t="shared" si="23"/>
        <v>0</v>
      </c>
      <c r="W196">
        <f t="shared" si="24"/>
        <v>0</v>
      </c>
    </row>
    <row r="197" spans="1:23" x14ac:dyDescent="0.25">
      <c r="A197" t="s">
        <v>1091</v>
      </c>
      <c r="B197" t="s">
        <v>431</v>
      </c>
      <c r="C197">
        <v>7.3079999999999998</v>
      </c>
      <c r="D197">
        <v>0</v>
      </c>
      <c r="E197">
        <v>0</v>
      </c>
      <c r="F197">
        <v>0</v>
      </c>
      <c r="G197" s="105">
        <f>Tabell38[[#This Row],[Såld värme (GWh)]]-Tabell38[[#This Row],[Levererad värme, andra fjärrvärmeföretag, företag 1 (GWh)]]-Tabell38[[#This Row],[Levererad värme, andra fjärrvärmeföretag, företag 2 (GWh)]]-Tabell38[[#This Row],[Levererad värme, andra fjärrvärmeföretag, företag 3 (GWh)]]</f>
        <v>7.3079999999999998</v>
      </c>
      <c r="H197" s="102" t="str">
        <f>VLOOKUP(Tabell38[[#This Row],[Nät]],Tabell5[],2,FALSE)</f>
        <v>Vejbystrand</v>
      </c>
      <c r="I197" t="str">
        <f>VLOOKUP(Tabell38[[#This Row],[Nät]],'Leveranser per nät'!A:A,1,FALSE)</f>
        <v>Vejbystrand</v>
      </c>
      <c r="O197" t="s">
        <v>806</v>
      </c>
      <c r="P197" t="s">
        <v>806</v>
      </c>
      <c r="Q197" s="84" t="s">
        <v>806</v>
      </c>
      <c r="R197">
        <f t="shared" si="19"/>
        <v>0</v>
      </c>
      <c r="S197">
        <f t="shared" si="20"/>
        <v>0</v>
      </c>
      <c r="T197">
        <f t="shared" si="21"/>
        <v>0</v>
      </c>
      <c r="U197">
        <f t="shared" si="22"/>
        <v>0</v>
      </c>
      <c r="V197">
        <f t="shared" si="23"/>
        <v>0</v>
      </c>
      <c r="W197">
        <f t="shared" si="24"/>
        <v>0</v>
      </c>
    </row>
    <row r="198" spans="1:23" x14ac:dyDescent="0.25">
      <c r="A198" t="s">
        <v>1091</v>
      </c>
      <c r="B198" t="s">
        <v>217</v>
      </c>
      <c r="C198">
        <v>14.196999999999999</v>
      </c>
      <c r="D198">
        <v>0</v>
      </c>
      <c r="E198">
        <v>0</v>
      </c>
      <c r="F198">
        <v>0</v>
      </c>
      <c r="G198" s="105">
        <f>Tabell38[[#This Row],[Såld värme (GWh)]]-Tabell38[[#This Row],[Levererad värme, andra fjärrvärmeföretag, företag 1 (GWh)]]-Tabell38[[#This Row],[Levererad värme, andra fjärrvärmeföretag, företag 2 (GWh)]]-Tabell38[[#This Row],[Levererad värme, andra fjärrvärmeföretag, företag 3 (GWh)]]</f>
        <v>14.196999999999999</v>
      </c>
      <c r="H198" s="102" t="str">
        <f>VLOOKUP(Tabell38[[#This Row],[Nät]],Tabell5[],2,FALSE)</f>
        <v>Årjäng</v>
      </c>
      <c r="I198" t="str">
        <f>VLOOKUP(Tabell38[[#This Row],[Nät]],'Leveranser per nät'!A:A,1,FALSE)</f>
        <v>Årjäng</v>
      </c>
      <c r="O198" t="s">
        <v>806</v>
      </c>
      <c r="P198" t="s">
        <v>806</v>
      </c>
      <c r="Q198" s="44" t="s">
        <v>806</v>
      </c>
      <c r="R198">
        <f t="shared" si="19"/>
        <v>0</v>
      </c>
      <c r="S198">
        <f t="shared" si="20"/>
        <v>0</v>
      </c>
      <c r="T198">
        <f t="shared" si="21"/>
        <v>0</v>
      </c>
      <c r="U198">
        <f t="shared" si="22"/>
        <v>0</v>
      </c>
      <c r="V198">
        <f t="shared" si="23"/>
        <v>0</v>
      </c>
      <c r="W198">
        <f t="shared" si="24"/>
        <v>0</v>
      </c>
    </row>
    <row r="199" spans="1:23" x14ac:dyDescent="0.25">
      <c r="A199" t="s">
        <v>1091</v>
      </c>
      <c r="B199" t="s">
        <v>482</v>
      </c>
      <c r="C199">
        <v>34.781999999999996</v>
      </c>
      <c r="D199">
        <v>0</v>
      </c>
      <c r="E199">
        <v>0</v>
      </c>
      <c r="F199">
        <v>0</v>
      </c>
      <c r="G199" s="105">
        <f>Tabell38[[#This Row],[Såld värme (GWh)]]-Tabell38[[#This Row],[Levererad värme, andra fjärrvärmeföretag, företag 1 (GWh)]]-Tabell38[[#This Row],[Levererad värme, andra fjärrvärmeföretag, företag 2 (GWh)]]-Tabell38[[#This Row],[Levererad värme, andra fjärrvärmeföretag, företag 3 (GWh)]]</f>
        <v>34.781999999999996</v>
      </c>
      <c r="H199" s="102" t="str">
        <f>VLOOKUP(Tabell38[[#This Row],[Nät]],Tabell5[],2,FALSE)</f>
        <v>Åstorp</v>
      </c>
      <c r="I199" t="str">
        <f>VLOOKUP(Tabell38[[#This Row],[Nät]],'Leveranser per nät'!A:A,1,FALSE)</f>
        <v>Åstorp</v>
      </c>
      <c r="O199" t="s">
        <v>806</v>
      </c>
      <c r="P199" t="s">
        <v>806</v>
      </c>
      <c r="Q199" s="84" t="s">
        <v>806</v>
      </c>
      <c r="R199">
        <f t="shared" si="19"/>
        <v>0</v>
      </c>
      <c r="S199">
        <f t="shared" si="20"/>
        <v>0</v>
      </c>
      <c r="T199">
        <f t="shared" si="21"/>
        <v>0</v>
      </c>
      <c r="U199">
        <f t="shared" si="22"/>
        <v>0</v>
      </c>
      <c r="V199">
        <f t="shared" si="23"/>
        <v>0</v>
      </c>
      <c r="W199">
        <f t="shared" si="24"/>
        <v>0</v>
      </c>
    </row>
    <row r="200" spans="1:23" x14ac:dyDescent="0.25">
      <c r="A200" t="s">
        <v>1091</v>
      </c>
      <c r="B200" t="s">
        <v>218</v>
      </c>
      <c r="C200">
        <v>6.7709999999999999</v>
      </c>
      <c r="D200">
        <v>0</v>
      </c>
      <c r="E200">
        <v>0</v>
      </c>
      <c r="F200">
        <v>0</v>
      </c>
      <c r="G200" s="105">
        <f>Tabell38[[#This Row],[Såld värme (GWh)]]-Tabell38[[#This Row],[Levererad värme, andra fjärrvärmeföretag, företag 1 (GWh)]]-Tabell38[[#This Row],[Levererad värme, andra fjärrvärmeföretag, företag 2 (GWh)]]-Tabell38[[#This Row],[Levererad värme, andra fjärrvärmeföretag, företag 3 (GWh)]]</f>
        <v>6.7709999999999999</v>
      </c>
      <c r="H200" s="102" t="str">
        <f>VLOOKUP(Tabell38[[#This Row],[Nät]],Tabell5[],2,FALSE)</f>
        <v>Österbybruk</v>
      </c>
      <c r="I200" t="str">
        <f>VLOOKUP(Tabell38[[#This Row],[Nät]],'Leveranser per nät'!A:A,1,FALSE)</f>
        <v>Österbybruk</v>
      </c>
      <c r="O200" t="s">
        <v>806</v>
      </c>
      <c r="P200" t="s">
        <v>806</v>
      </c>
      <c r="Q200" s="44" t="s">
        <v>806</v>
      </c>
      <c r="R200">
        <f t="shared" si="19"/>
        <v>0</v>
      </c>
      <c r="S200">
        <f t="shared" si="20"/>
        <v>0</v>
      </c>
      <c r="T200">
        <f t="shared" si="21"/>
        <v>0</v>
      </c>
      <c r="U200">
        <f t="shared" si="22"/>
        <v>0</v>
      </c>
      <c r="V200">
        <f t="shared" si="23"/>
        <v>0</v>
      </c>
      <c r="W200">
        <f t="shared" si="24"/>
        <v>0</v>
      </c>
    </row>
    <row r="201" spans="1:23" x14ac:dyDescent="0.25">
      <c r="A201" t="s">
        <v>1091</v>
      </c>
      <c r="B201" t="s">
        <v>528</v>
      </c>
      <c r="C201">
        <v>7.1070000000000002</v>
      </c>
      <c r="D201">
        <v>0</v>
      </c>
      <c r="E201">
        <v>0</v>
      </c>
      <c r="F201">
        <v>0</v>
      </c>
      <c r="G201" s="105">
        <f>Tabell38[[#This Row],[Såld värme (GWh)]]-Tabell38[[#This Row],[Levererad värme, andra fjärrvärmeföretag, företag 1 (GWh)]]-Tabell38[[#This Row],[Levererad värme, andra fjärrvärmeföretag, företag 2 (GWh)]]-Tabell38[[#This Row],[Levererad värme, andra fjärrvärmeföretag, företag 3 (GWh)]]</f>
        <v>7.1070000000000002</v>
      </c>
      <c r="H201" s="102" t="str">
        <f>VLOOKUP(Tabell38[[#This Row],[Nät]],Tabell5[],2,FALSE)</f>
        <v>Östhammar</v>
      </c>
      <c r="I201" t="str">
        <f>VLOOKUP(Tabell38[[#This Row],[Nät]],'Leveranser per nät'!A:A,1,FALSE)</f>
        <v>Östhammar</v>
      </c>
      <c r="O201" t="s">
        <v>806</v>
      </c>
      <c r="P201" t="s">
        <v>806</v>
      </c>
      <c r="Q201" s="84" t="s">
        <v>806</v>
      </c>
      <c r="R201">
        <f t="shared" si="19"/>
        <v>0</v>
      </c>
      <c r="S201">
        <f t="shared" si="20"/>
        <v>0</v>
      </c>
      <c r="T201">
        <f t="shared" si="21"/>
        <v>0</v>
      </c>
      <c r="U201">
        <f t="shared" si="22"/>
        <v>0</v>
      </c>
      <c r="V201">
        <f t="shared" si="23"/>
        <v>0</v>
      </c>
      <c r="W201">
        <f t="shared" si="24"/>
        <v>0</v>
      </c>
    </row>
    <row r="202" spans="1:23" x14ac:dyDescent="0.25">
      <c r="A202" t="s">
        <v>866</v>
      </c>
      <c r="B202" t="s">
        <v>300</v>
      </c>
      <c r="C202">
        <v>3.7320000000000002</v>
      </c>
      <c r="D202">
        <v>0</v>
      </c>
      <c r="E202">
        <v>0</v>
      </c>
      <c r="F202">
        <v>0</v>
      </c>
      <c r="G202" s="105">
        <f>Tabell38[[#This Row],[Såld värme (GWh)]]-Tabell38[[#This Row],[Levererad värme, andra fjärrvärmeföretag, företag 1 (GWh)]]-Tabell38[[#This Row],[Levererad värme, andra fjärrvärmeföretag, företag 2 (GWh)]]-Tabell38[[#This Row],[Levererad värme, andra fjärrvärmeföretag, företag 3 (GWh)]]</f>
        <v>3.7320000000000002</v>
      </c>
      <c r="H202" s="102" t="str">
        <f>VLOOKUP(Tabell38[[#This Row],[Nät]],Tabell5[],2,FALSE)</f>
        <v>Rörvik</v>
      </c>
      <c r="I202" t="str">
        <f>VLOOKUP(Tabell38[[#This Row],[Nät]],'Leveranser per nät'!A:A,1,FALSE)</f>
        <v>Rörvik</v>
      </c>
      <c r="O202" t="s">
        <v>806</v>
      </c>
      <c r="P202" t="s">
        <v>806</v>
      </c>
      <c r="Q202" s="44" t="s">
        <v>806</v>
      </c>
      <c r="R202">
        <f t="shared" si="19"/>
        <v>0</v>
      </c>
      <c r="S202">
        <f t="shared" si="20"/>
        <v>0</v>
      </c>
      <c r="T202">
        <f t="shared" si="21"/>
        <v>0</v>
      </c>
      <c r="U202">
        <f t="shared" si="22"/>
        <v>0</v>
      </c>
      <c r="V202">
        <f t="shared" si="23"/>
        <v>0</v>
      </c>
      <c r="W202">
        <f t="shared" si="24"/>
        <v>0</v>
      </c>
    </row>
    <row r="203" spans="1:23" x14ac:dyDescent="0.25">
      <c r="A203" t="s">
        <v>866</v>
      </c>
      <c r="B203" t="s">
        <v>299</v>
      </c>
      <c r="C203">
        <v>43.215000000000003</v>
      </c>
      <c r="D203">
        <v>0</v>
      </c>
      <c r="E203">
        <v>0</v>
      </c>
      <c r="F203">
        <v>0</v>
      </c>
      <c r="G203" s="105">
        <f>Tabell38[[#This Row],[Såld värme (GWh)]]-Tabell38[[#This Row],[Levererad värme, andra fjärrvärmeföretag, företag 1 (GWh)]]-Tabell38[[#This Row],[Levererad värme, andra fjärrvärmeföretag, företag 2 (GWh)]]-Tabell38[[#This Row],[Levererad värme, andra fjärrvärmeföretag, företag 3 (GWh)]]</f>
        <v>43.215000000000003</v>
      </c>
      <c r="H203" s="102" t="str">
        <f>VLOOKUP(Tabell38[[#This Row],[Nät]],Tabell5[],2,FALSE)</f>
        <v>Sävsjö</v>
      </c>
      <c r="I203" t="str">
        <f>VLOOKUP(Tabell38[[#This Row],[Nät]],'Leveranser per nät'!A:A,1,FALSE)</f>
        <v>Sävsjö</v>
      </c>
      <c r="O203" t="s">
        <v>806</v>
      </c>
      <c r="P203" t="s">
        <v>806</v>
      </c>
      <c r="Q203" s="84" t="s">
        <v>806</v>
      </c>
      <c r="R203">
        <f t="shared" si="19"/>
        <v>0</v>
      </c>
      <c r="S203">
        <f t="shared" si="20"/>
        <v>0</v>
      </c>
      <c r="T203">
        <f t="shared" si="21"/>
        <v>0</v>
      </c>
      <c r="U203">
        <f t="shared" si="22"/>
        <v>0</v>
      </c>
      <c r="V203">
        <f t="shared" si="23"/>
        <v>0</v>
      </c>
      <c r="W203">
        <f t="shared" si="24"/>
        <v>0</v>
      </c>
    </row>
    <row r="204" spans="1:23" x14ac:dyDescent="0.25">
      <c r="A204" t="s">
        <v>867</v>
      </c>
      <c r="B204" t="s">
        <v>349</v>
      </c>
      <c r="C204">
        <v>3.7589999999999999</v>
      </c>
      <c r="D204">
        <v>0</v>
      </c>
      <c r="E204">
        <v>0</v>
      </c>
      <c r="F204">
        <v>0</v>
      </c>
      <c r="G204" s="105">
        <f>Tabell38[[#This Row],[Såld värme (GWh)]]-Tabell38[[#This Row],[Levererad värme, andra fjärrvärmeföretag, företag 1 (GWh)]]-Tabell38[[#This Row],[Levererad värme, andra fjärrvärmeföretag, företag 2 (GWh)]]-Tabell38[[#This Row],[Levererad värme, andra fjärrvärmeföretag, företag 3 (GWh)]]</f>
        <v>3.7589999999999999</v>
      </c>
      <c r="H204" s="102" t="str">
        <f>VLOOKUP(Tabell38[[#This Row],[Nät]],Tabell5[],2,FALSE)</f>
        <v>Holsby</v>
      </c>
      <c r="I204" t="str">
        <f>VLOOKUP(Tabell38[[#This Row],[Nät]],'Leveranser per nät'!A:A,1,FALSE)</f>
        <v>Holsby</v>
      </c>
      <c r="O204" t="s">
        <v>806</v>
      </c>
      <c r="P204" t="s">
        <v>806</v>
      </c>
      <c r="Q204" s="44" t="s">
        <v>806</v>
      </c>
      <c r="R204">
        <f t="shared" si="19"/>
        <v>0</v>
      </c>
      <c r="S204">
        <f t="shared" si="20"/>
        <v>0</v>
      </c>
      <c r="T204">
        <f t="shared" si="21"/>
        <v>0</v>
      </c>
      <c r="U204">
        <f t="shared" si="22"/>
        <v>0</v>
      </c>
      <c r="V204">
        <f t="shared" si="23"/>
        <v>0</v>
      </c>
      <c r="W204">
        <f t="shared" si="24"/>
        <v>0</v>
      </c>
    </row>
    <row r="205" spans="1:23" x14ac:dyDescent="0.25">
      <c r="A205" t="s">
        <v>867</v>
      </c>
      <c r="B205" t="s">
        <v>348</v>
      </c>
      <c r="C205">
        <v>114.941</v>
      </c>
      <c r="D205">
        <v>0</v>
      </c>
      <c r="E205">
        <v>0</v>
      </c>
      <c r="F205">
        <v>0</v>
      </c>
      <c r="G205" s="105">
        <f>Tabell38[[#This Row],[Såld värme (GWh)]]-Tabell38[[#This Row],[Levererad värme, andra fjärrvärmeföretag, företag 1 (GWh)]]-Tabell38[[#This Row],[Levererad värme, andra fjärrvärmeföretag, företag 2 (GWh)]]-Tabell38[[#This Row],[Levererad värme, andra fjärrvärmeföretag, företag 3 (GWh)]]</f>
        <v>114.941</v>
      </c>
      <c r="H205" s="102" t="str">
        <f>VLOOKUP(Tabell38[[#This Row],[Nät]],Tabell5[],2,FALSE)</f>
        <v>Vetlanda</v>
      </c>
      <c r="I205" t="str">
        <f>VLOOKUP(Tabell38[[#This Row],[Nät]],'Leveranser per nät'!A:A,1,FALSE)</f>
        <v>Vetlanda</v>
      </c>
      <c r="O205" t="s">
        <v>806</v>
      </c>
      <c r="P205" t="s">
        <v>806</v>
      </c>
      <c r="Q205" s="84" t="s">
        <v>806</v>
      </c>
      <c r="R205">
        <f t="shared" si="19"/>
        <v>0</v>
      </c>
      <c r="S205">
        <f t="shared" si="20"/>
        <v>0</v>
      </c>
      <c r="T205">
        <f t="shared" si="21"/>
        <v>0</v>
      </c>
      <c r="U205">
        <f t="shared" si="22"/>
        <v>0</v>
      </c>
      <c r="V205">
        <f t="shared" si="23"/>
        <v>0</v>
      </c>
      <c r="W205">
        <f t="shared" si="24"/>
        <v>0</v>
      </c>
    </row>
    <row r="206" spans="1:23" x14ac:dyDescent="0.25">
      <c r="A206" t="s">
        <v>869</v>
      </c>
      <c r="B206" t="s">
        <v>870</v>
      </c>
      <c r="C206" t="s">
        <v>805</v>
      </c>
      <c r="D206">
        <v>0</v>
      </c>
      <c r="E206">
        <v>0</v>
      </c>
      <c r="F206">
        <v>0</v>
      </c>
      <c r="G206"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206" s="102" t="str">
        <f>VLOOKUP(Tabell38[[#This Row],[Nät]],Tabell5[],2,FALSE)</f>
        <v>Nordanstig</v>
      </c>
      <c r="I206" t="str">
        <f>VLOOKUP(Tabell38[[#This Row],[Nät]],'Leveranser per nät'!A:A,1,FALSE)</f>
        <v>Nordanstig</v>
      </c>
      <c r="O206" t="s">
        <v>805</v>
      </c>
      <c r="P206" t="s">
        <v>805</v>
      </c>
      <c r="Q206" s="44" t="s">
        <v>805</v>
      </c>
      <c r="R206" t="str">
        <f t="shared" si="19"/>
        <v>-</v>
      </c>
      <c r="S206" t="str">
        <f t="shared" si="20"/>
        <v>-</v>
      </c>
      <c r="T206" t="str">
        <f t="shared" si="21"/>
        <v>-</v>
      </c>
      <c r="U206">
        <f t="shared" si="22"/>
        <v>0</v>
      </c>
      <c r="V206">
        <f t="shared" si="23"/>
        <v>0</v>
      </c>
      <c r="W206">
        <f t="shared" si="24"/>
        <v>0</v>
      </c>
    </row>
    <row r="207" spans="1:23" x14ac:dyDescent="0.25">
      <c r="A207" t="s">
        <v>711</v>
      </c>
      <c r="B207" t="s">
        <v>219</v>
      </c>
      <c r="C207">
        <v>874</v>
      </c>
      <c r="D207">
        <v>1.2</v>
      </c>
      <c r="E207">
        <v>0</v>
      </c>
      <c r="F207">
        <v>0</v>
      </c>
      <c r="G207" s="105">
        <f>Tabell38[[#This Row],[Såld värme (GWh)]]-Tabell38[[#This Row],[Levererad värme, andra fjärrvärmeföretag, företag 1 (GWh)]]-Tabell38[[#This Row],[Levererad värme, andra fjärrvärmeföretag, företag 2 (GWh)]]-Tabell38[[#This Row],[Levererad värme, andra fjärrvärmeföretag, företag 3 (GWh)]]</f>
        <v>872.8</v>
      </c>
      <c r="H207" s="102" t="str">
        <f>VLOOKUP(Tabell38[[#This Row],[Nät]],Tabell5[],2,FALSE)</f>
        <v>Sundbyberg-Solna</v>
      </c>
      <c r="I207" t="str">
        <f>VLOOKUP(Tabell38[[#This Row],[Nät]],'Leveranser per nät'!A:A,1,FALSE)</f>
        <v>Sundbyberg-Solna</v>
      </c>
      <c r="O207">
        <v>1.2</v>
      </c>
      <c r="P207" t="s">
        <v>806</v>
      </c>
      <c r="Q207" s="84" t="s">
        <v>806</v>
      </c>
      <c r="R207">
        <f t="shared" si="19"/>
        <v>1.2</v>
      </c>
      <c r="S207">
        <f t="shared" si="20"/>
        <v>0</v>
      </c>
      <c r="T207">
        <f t="shared" si="21"/>
        <v>0</v>
      </c>
      <c r="U207">
        <f t="shared" si="22"/>
        <v>1.2</v>
      </c>
      <c r="V207">
        <f t="shared" si="23"/>
        <v>0</v>
      </c>
      <c r="W207">
        <f t="shared" si="24"/>
        <v>0</v>
      </c>
    </row>
    <row r="208" spans="1:23" x14ac:dyDescent="0.25">
      <c r="A208" t="s">
        <v>621</v>
      </c>
      <c r="B208" t="s">
        <v>220</v>
      </c>
      <c r="C208">
        <v>14.923999999999999</v>
      </c>
      <c r="D208">
        <v>0</v>
      </c>
      <c r="E208">
        <v>0</v>
      </c>
      <c r="F208">
        <v>0</v>
      </c>
      <c r="G208" s="105">
        <f>Tabell38[[#This Row],[Såld värme (GWh)]]-Tabell38[[#This Row],[Levererad värme, andra fjärrvärmeföretag, företag 1 (GWh)]]-Tabell38[[#This Row],[Levererad värme, andra fjärrvärmeföretag, företag 2 (GWh)]]-Tabell38[[#This Row],[Levererad värme, andra fjärrvärmeföretag, företag 3 (GWh)]]</f>
        <v>14.923999999999999</v>
      </c>
      <c r="H208" s="102" t="str">
        <f>VLOOKUP(Tabell38[[#This Row],[Nät]],Tabell5[],2,FALSE)</f>
        <v>Hallstavik</v>
      </c>
      <c r="I208" t="str">
        <f>VLOOKUP(Tabell38[[#This Row],[Nät]],'Leveranser per nät'!A:A,1,FALSE)</f>
        <v>Hallstavik</v>
      </c>
      <c r="O208" t="s">
        <v>806</v>
      </c>
      <c r="P208" t="s">
        <v>806</v>
      </c>
      <c r="Q208" s="44" t="s">
        <v>806</v>
      </c>
      <c r="R208">
        <f t="shared" si="19"/>
        <v>0</v>
      </c>
      <c r="S208">
        <f t="shared" si="20"/>
        <v>0</v>
      </c>
      <c r="T208">
        <f t="shared" si="21"/>
        <v>0</v>
      </c>
      <c r="U208">
        <f t="shared" si="22"/>
        <v>0</v>
      </c>
      <c r="V208">
        <f t="shared" si="23"/>
        <v>0</v>
      </c>
      <c r="W208">
        <f t="shared" si="24"/>
        <v>0</v>
      </c>
    </row>
    <row r="209" spans="1:23" x14ac:dyDescent="0.25">
      <c r="A209" t="s">
        <v>621</v>
      </c>
      <c r="B209" t="s">
        <v>221</v>
      </c>
      <c r="C209">
        <v>108.73</v>
      </c>
      <c r="D209">
        <v>0</v>
      </c>
      <c r="E209">
        <v>0</v>
      </c>
      <c r="F209">
        <v>0</v>
      </c>
      <c r="G209" s="105">
        <f>Tabell38[[#This Row],[Såld värme (GWh)]]-Tabell38[[#This Row],[Levererad värme, andra fjärrvärmeföretag, företag 1 (GWh)]]-Tabell38[[#This Row],[Levererad värme, andra fjärrvärmeföretag, företag 2 (GWh)]]-Tabell38[[#This Row],[Levererad värme, andra fjärrvärmeföretag, företag 3 (GWh)]]</f>
        <v>108.73</v>
      </c>
      <c r="H209" s="102" t="str">
        <f>VLOOKUP(Tabell38[[#This Row],[Nät]],Tabell5[],2,FALSE)</f>
        <v>Norrtälje</v>
      </c>
      <c r="I209" t="str">
        <f>VLOOKUP(Tabell38[[#This Row],[Nät]],'Leveranser per nät'!A:A,1,FALSE)</f>
        <v>Norrtälje</v>
      </c>
      <c r="O209" t="s">
        <v>806</v>
      </c>
      <c r="P209" t="s">
        <v>806</v>
      </c>
      <c r="Q209" s="84" t="s">
        <v>806</v>
      </c>
      <c r="R209">
        <f t="shared" si="19"/>
        <v>0</v>
      </c>
      <c r="S209">
        <f t="shared" si="20"/>
        <v>0</v>
      </c>
      <c r="T209">
        <f t="shared" si="21"/>
        <v>0</v>
      </c>
      <c r="U209">
        <f t="shared" si="22"/>
        <v>0</v>
      </c>
      <c r="V209">
        <f t="shared" si="23"/>
        <v>0</v>
      </c>
      <c r="W209">
        <f t="shared" si="24"/>
        <v>0</v>
      </c>
    </row>
    <row r="210" spans="1:23" x14ac:dyDescent="0.25">
      <c r="A210" t="s">
        <v>621</v>
      </c>
      <c r="B210" t="s">
        <v>222</v>
      </c>
      <c r="C210">
        <v>15.132</v>
      </c>
      <c r="D210">
        <v>0</v>
      </c>
      <c r="E210">
        <v>0</v>
      </c>
      <c r="F210">
        <v>0</v>
      </c>
      <c r="G210" s="105">
        <f>Tabell38[[#This Row],[Såld värme (GWh)]]-Tabell38[[#This Row],[Levererad värme, andra fjärrvärmeföretag, företag 1 (GWh)]]-Tabell38[[#This Row],[Levererad värme, andra fjärrvärmeföretag, företag 2 (GWh)]]-Tabell38[[#This Row],[Levererad värme, andra fjärrvärmeföretag, företag 3 (GWh)]]</f>
        <v>15.132</v>
      </c>
      <c r="H210" s="102" t="str">
        <f>VLOOKUP(Tabell38[[#This Row],[Nät]],Tabell5[],2,FALSE)</f>
        <v>Rimbo</v>
      </c>
      <c r="I210" t="str">
        <f>VLOOKUP(Tabell38[[#This Row],[Nät]],'Leveranser per nät'!A:A,1,FALSE)</f>
        <v>Rimbo</v>
      </c>
      <c r="O210" t="s">
        <v>806</v>
      </c>
      <c r="P210" t="s">
        <v>806</v>
      </c>
      <c r="Q210" s="44" t="s">
        <v>806</v>
      </c>
      <c r="R210">
        <f t="shared" si="19"/>
        <v>0</v>
      </c>
      <c r="S210">
        <f t="shared" si="20"/>
        <v>0</v>
      </c>
      <c r="T210">
        <f t="shared" si="21"/>
        <v>0</v>
      </c>
      <c r="U210">
        <f t="shared" si="22"/>
        <v>0</v>
      </c>
      <c r="V210">
        <f t="shared" si="23"/>
        <v>0</v>
      </c>
      <c r="W210">
        <f t="shared" si="24"/>
        <v>0</v>
      </c>
    </row>
    <row r="211" spans="1:23" x14ac:dyDescent="0.25">
      <c r="A211" t="s">
        <v>679</v>
      </c>
      <c r="B211" t="s">
        <v>820</v>
      </c>
      <c r="C211">
        <v>135.6</v>
      </c>
      <c r="D211">
        <v>0</v>
      </c>
      <c r="E211">
        <v>0</v>
      </c>
      <c r="F211">
        <v>0</v>
      </c>
      <c r="G211" s="105">
        <f>Tabell38[[#This Row],[Såld värme (GWh)]]-Tabell38[[#This Row],[Levererad värme, andra fjärrvärmeföretag, företag 1 (GWh)]]-Tabell38[[#This Row],[Levererad värme, andra fjärrvärmeföretag, företag 2 (GWh)]]-Tabell38[[#This Row],[Levererad värme, andra fjärrvärmeföretag, företag 3 (GWh)]]</f>
        <v>135.6</v>
      </c>
      <c r="H211" s="102" t="str">
        <f>VLOOKUP(Tabell38[[#This Row],[Nät]],Tabell5[],2,FALSE)</f>
        <v>Nybro</v>
      </c>
      <c r="I211" t="e">
        <f>VLOOKUP(Tabell38[[#This Row],[Nät]],'Leveranser per nät'!A:A,1,FALSE)</f>
        <v>#N/A</v>
      </c>
      <c r="O211" t="s">
        <v>806</v>
      </c>
      <c r="P211" t="s">
        <v>806</v>
      </c>
      <c r="Q211" s="84" t="s">
        <v>806</v>
      </c>
      <c r="R211">
        <f t="shared" si="19"/>
        <v>0</v>
      </c>
      <c r="S211">
        <f t="shared" si="20"/>
        <v>0</v>
      </c>
      <c r="T211">
        <f t="shared" si="21"/>
        <v>0</v>
      </c>
      <c r="U211">
        <f t="shared" si="22"/>
        <v>0</v>
      </c>
      <c r="V211">
        <f t="shared" si="23"/>
        <v>0</v>
      </c>
      <c r="W211">
        <f t="shared" si="24"/>
        <v>0</v>
      </c>
    </row>
    <row r="212" spans="1:23" x14ac:dyDescent="0.25">
      <c r="A212" t="s">
        <v>551</v>
      </c>
      <c r="B212" t="s">
        <v>224</v>
      </c>
      <c r="C212">
        <v>1.43</v>
      </c>
      <c r="D212">
        <v>0</v>
      </c>
      <c r="E212">
        <v>0</v>
      </c>
      <c r="F212">
        <v>0</v>
      </c>
      <c r="G212" s="105">
        <f>Tabell38[[#This Row],[Såld värme (GWh)]]-Tabell38[[#This Row],[Levererad värme, andra fjärrvärmeföretag, företag 1 (GWh)]]-Tabell38[[#This Row],[Levererad värme, andra fjärrvärmeföretag, företag 2 (GWh)]]-Tabell38[[#This Row],[Levererad värme, andra fjärrvärmeföretag, företag 3 (GWh)]]</f>
        <v>1.43</v>
      </c>
      <c r="H212" s="102" t="str">
        <f>VLOOKUP(Tabell38[[#This Row],[Nät]],Tabell5[],2,FALSE)</f>
        <v>Anneberg</v>
      </c>
      <c r="I212" t="str">
        <f>VLOOKUP(Tabell38[[#This Row],[Nät]],'Leveranser per nät'!A:A,1,FALSE)</f>
        <v>Anneberg</v>
      </c>
      <c r="O212" t="s">
        <v>806</v>
      </c>
      <c r="P212" t="s">
        <v>806</v>
      </c>
      <c r="Q212" s="44" t="s">
        <v>806</v>
      </c>
      <c r="R212">
        <f t="shared" si="19"/>
        <v>0</v>
      </c>
      <c r="S212">
        <f t="shared" si="20"/>
        <v>0</v>
      </c>
      <c r="T212">
        <f t="shared" si="21"/>
        <v>0</v>
      </c>
      <c r="U212">
        <f t="shared" si="22"/>
        <v>0</v>
      </c>
      <c r="V212">
        <f t="shared" si="23"/>
        <v>0</v>
      </c>
      <c r="W212">
        <f t="shared" si="24"/>
        <v>0</v>
      </c>
    </row>
    <row r="213" spans="1:23" x14ac:dyDescent="0.25">
      <c r="A213" t="s">
        <v>551</v>
      </c>
      <c r="B213" t="s">
        <v>225</v>
      </c>
      <c r="C213">
        <v>9</v>
      </c>
      <c r="D213">
        <v>0</v>
      </c>
      <c r="E213">
        <v>0</v>
      </c>
      <c r="F213">
        <v>0</v>
      </c>
      <c r="G213" s="105">
        <f>Tabell38[[#This Row],[Såld värme (GWh)]]-Tabell38[[#This Row],[Levererad värme, andra fjärrvärmeföretag, företag 1 (GWh)]]-Tabell38[[#This Row],[Levererad värme, andra fjärrvärmeföretag, företag 2 (GWh)]]-Tabell38[[#This Row],[Levererad värme, andra fjärrvärmeföretag, företag 3 (GWh)]]</f>
        <v>9</v>
      </c>
      <c r="H213" s="102" t="str">
        <f>VLOOKUP(Tabell38[[#This Row],[Nät]],Tabell5[],2,FALSE)</f>
        <v>Bodafors</v>
      </c>
      <c r="I213" t="str">
        <f>VLOOKUP(Tabell38[[#This Row],[Nät]],'Leveranser per nät'!A:A,1,FALSE)</f>
        <v>Bodafors</v>
      </c>
      <c r="O213" t="s">
        <v>806</v>
      </c>
      <c r="P213" t="s">
        <v>806</v>
      </c>
      <c r="Q213" s="84" t="s">
        <v>806</v>
      </c>
      <c r="R213">
        <f t="shared" si="19"/>
        <v>0</v>
      </c>
      <c r="S213">
        <f t="shared" si="20"/>
        <v>0</v>
      </c>
      <c r="T213">
        <f t="shared" si="21"/>
        <v>0</v>
      </c>
      <c r="U213">
        <f t="shared" si="22"/>
        <v>0</v>
      </c>
      <c r="V213">
        <f t="shared" si="23"/>
        <v>0</v>
      </c>
      <c r="W213">
        <f t="shared" si="24"/>
        <v>0</v>
      </c>
    </row>
    <row r="214" spans="1:23" x14ac:dyDescent="0.25">
      <c r="A214" t="s">
        <v>551</v>
      </c>
      <c r="B214" t="s">
        <v>223</v>
      </c>
      <c r="C214">
        <v>137.19999999999999</v>
      </c>
      <c r="D214">
        <v>0</v>
      </c>
      <c r="E214">
        <v>0</v>
      </c>
      <c r="F214">
        <v>0</v>
      </c>
      <c r="G214" s="105">
        <f>Tabell38[[#This Row],[Såld värme (GWh)]]-Tabell38[[#This Row],[Levererad värme, andra fjärrvärmeföretag, företag 1 (GWh)]]-Tabell38[[#This Row],[Levererad värme, andra fjärrvärmeföretag, företag 2 (GWh)]]-Tabell38[[#This Row],[Levererad värme, andra fjärrvärmeföretag, företag 3 (GWh)]]</f>
        <v>137.19999999999999</v>
      </c>
      <c r="H214" s="102" t="str">
        <f>VLOOKUP(Tabell38[[#This Row],[Nät]],Tabell5[],2,FALSE)</f>
        <v>Nässjö</v>
      </c>
      <c r="I214" t="str">
        <f>VLOOKUP(Tabell38[[#This Row],[Nät]],'Leveranser per nät'!A:A,1,FALSE)</f>
        <v>Nässjö</v>
      </c>
      <c r="O214" t="s">
        <v>806</v>
      </c>
      <c r="P214" t="s">
        <v>806</v>
      </c>
      <c r="Q214" s="44" t="s">
        <v>806</v>
      </c>
      <c r="R214">
        <f t="shared" si="19"/>
        <v>0</v>
      </c>
      <c r="S214">
        <f t="shared" si="20"/>
        <v>0</v>
      </c>
      <c r="T214">
        <f t="shared" si="21"/>
        <v>0</v>
      </c>
      <c r="U214">
        <f t="shared" si="22"/>
        <v>0</v>
      </c>
      <c r="V214">
        <f t="shared" si="23"/>
        <v>0</v>
      </c>
      <c r="W214">
        <f t="shared" si="24"/>
        <v>0</v>
      </c>
    </row>
    <row r="215" spans="1:23" x14ac:dyDescent="0.25">
      <c r="A215" t="s">
        <v>683</v>
      </c>
      <c r="B215" t="s">
        <v>226</v>
      </c>
      <c r="C215">
        <v>43.5</v>
      </c>
      <c r="D215">
        <v>0</v>
      </c>
      <c r="E215">
        <v>0</v>
      </c>
      <c r="F215">
        <v>0</v>
      </c>
      <c r="G215" s="105">
        <f>Tabell38[[#This Row],[Såld värme (GWh)]]-Tabell38[[#This Row],[Levererad värme, andra fjärrvärmeföretag, företag 1 (GWh)]]-Tabell38[[#This Row],[Levererad värme, andra fjärrvärmeföretag, företag 2 (GWh)]]-Tabell38[[#This Row],[Levererad värme, andra fjärrvärmeföretag, företag 3 (GWh)]]</f>
        <v>43.5</v>
      </c>
      <c r="H215" s="102" t="str">
        <f>VLOOKUP(Tabell38[[#This Row],[Nät]],Tabell5[],2,FALSE)</f>
        <v>Olofström</v>
      </c>
      <c r="I215" t="str">
        <f>VLOOKUP(Tabell38[[#This Row],[Nät]],'Leveranser per nät'!A:A,1,FALSE)</f>
        <v>Olofström</v>
      </c>
      <c r="O215" t="s">
        <v>806</v>
      </c>
      <c r="P215" t="s">
        <v>806</v>
      </c>
      <c r="Q215" s="84" t="s">
        <v>806</v>
      </c>
      <c r="R215">
        <f t="shared" si="19"/>
        <v>0</v>
      </c>
      <c r="S215">
        <f t="shared" si="20"/>
        <v>0</v>
      </c>
      <c r="T215">
        <f t="shared" si="21"/>
        <v>0</v>
      </c>
      <c r="U215">
        <f t="shared" si="22"/>
        <v>0</v>
      </c>
      <c r="V215">
        <f t="shared" si="23"/>
        <v>0</v>
      </c>
      <c r="W215">
        <f t="shared" si="24"/>
        <v>0</v>
      </c>
    </row>
    <row r="216" spans="1:23" x14ac:dyDescent="0.25">
      <c r="A216" t="s">
        <v>685</v>
      </c>
      <c r="B216" t="s">
        <v>227</v>
      </c>
      <c r="C216">
        <v>128.9</v>
      </c>
      <c r="D216">
        <v>0</v>
      </c>
      <c r="E216">
        <v>0</v>
      </c>
      <c r="F216">
        <v>0</v>
      </c>
      <c r="G216" s="105">
        <f>Tabell38[[#This Row],[Såld värme (GWh)]]-Tabell38[[#This Row],[Levererad värme, andra fjärrvärmeföretag, företag 1 (GWh)]]-Tabell38[[#This Row],[Levererad värme, andra fjärrvärmeföretag, företag 2 (GWh)]]-Tabell38[[#This Row],[Levererad värme, andra fjärrvärmeföretag, företag 3 (GWh)]]</f>
        <v>128.9</v>
      </c>
      <c r="H216" s="102" t="str">
        <f>VLOOKUP(Tabell38[[#This Row],[Nät]],Tabell5[],2,FALSE)</f>
        <v>Oskarshamn</v>
      </c>
      <c r="I216" t="str">
        <f>VLOOKUP(Tabell38[[#This Row],[Nät]],'Leveranser per nät'!A:A,1,FALSE)</f>
        <v>Oskarshamn</v>
      </c>
      <c r="O216" t="s">
        <v>806</v>
      </c>
      <c r="P216" t="s">
        <v>806</v>
      </c>
      <c r="Q216" s="44" t="s">
        <v>806</v>
      </c>
      <c r="R216">
        <f t="shared" si="19"/>
        <v>0</v>
      </c>
      <c r="S216">
        <f t="shared" si="20"/>
        <v>0</v>
      </c>
      <c r="T216">
        <f t="shared" si="21"/>
        <v>0</v>
      </c>
      <c r="U216">
        <f t="shared" si="22"/>
        <v>0</v>
      </c>
      <c r="V216">
        <f t="shared" si="23"/>
        <v>0</v>
      </c>
      <c r="W216">
        <f t="shared" si="24"/>
        <v>0</v>
      </c>
    </row>
    <row r="217" spans="1:23" x14ac:dyDescent="0.25">
      <c r="A217" t="s">
        <v>686</v>
      </c>
      <c r="B217" t="s">
        <v>228</v>
      </c>
      <c r="C217">
        <v>78.900000000000006</v>
      </c>
      <c r="D217">
        <v>0</v>
      </c>
      <c r="E217">
        <v>0</v>
      </c>
      <c r="F217">
        <v>0</v>
      </c>
      <c r="G217" s="105">
        <f>Tabell38[[#This Row],[Såld värme (GWh)]]-Tabell38[[#This Row],[Levererad värme, andra fjärrvärmeföretag, företag 1 (GWh)]]-Tabell38[[#This Row],[Levererad värme, andra fjärrvärmeföretag, företag 2 (GWh)]]-Tabell38[[#This Row],[Levererad värme, andra fjärrvärmeföretag, företag 3 (GWh)]]</f>
        <v>78.900000000000006</v>
      </c>
      <c r="H217" s="102" t="str">
        <f>VLOOKUP(Tabell38[[#This Row],[Nät]],Tabell5[],2,FALSE)</f>
        <v>Oxelösund</v>
      </c>
      <c r="I217" t="str">
        <f>VLOOKUP(Tabell38[[#This Row],[Nät]],'Leveranser per nät'!A:A,1,FALSE)</f>
        <v>Oxelösund</v>
      </c>
      <c r="O217" t="s">
        <v>806</v>
      </c>
      <c r="P217" t="s">
        <v>806</v>
      </c>
      <c r="Q217" s="84" t="s">
        <v>806</v>
      </c>
      <c r="R217">
        <f t="shared" si="19"/>
        <v>0</v>
      </c>
      <c r="S217">
        <f t="shared" si="20"/>
        <v>0</v>
      </c>
      <c r="T217">
        <f t="shared" si="21"/>
        <v>0</v>
      </c>
      <c r="U217">
        <f t="shared" si="22"/>
        <v>0</v>
      </c>
      <c r="V217">
        <f t="shared" si="23"/>
        <v>0</v>
      </c>
      <c r="W217">
        <f t="shared" si="24"/>
        <v>0</v>
      </c>
    </row>
    <row r="218" spans="1:23" x14ac:dyDescent="0.25">
      <c r="A218" t="s">
        <v>876</v>
      </c>
      <c r="B218" t="s">
        <v>412</v>
      </c>
      <c r="C218" t="s">
        <v>805</v>
      </c>
      <c r="D218">
        <v>0</v>
      </c>
      <c r="E218">
        <v>0</v>
      </c>
      <c r="F218">
        <v>0</v>
      </c>
      <c r="G218"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218" s="102" t="str">
        <f>VLOOKUP(Tabell38[[#This Row],[Nät]],Tabell5[],2,FALSE)</f>
        <v>Pajala</v>
      </c>
      <c r="I218" t="str">
        <f>VLOOKUP(Tabell38[[#This Row],[Nät]],'Leveranser per nät'!A:A,1,FALSE)</f>
        <v>Pajala</v>
      </c>
      <c r="O218" t="s">
        <v>805</v>
      </c>
      <c r="P218" t="s">
        <v>805</v>
      </c>
      <c r="Q218" s="44" t="s">
        <v>805</v>
      </c>
      <c r="R218" t="str">
        <f t="shared" si="19"/>
        <v>-</v>
      </c>
      <c r="S218" t="str">
        <f t="shared" si="20"/>
        <v>-</v>
      </c>
      <c r="T218" t="str">
        <f t="shared" si="21"/>
        <v>-</v>
      </c>
      <c r="U218">
        <f t="shared" si="22"/>
        <v>0</v>
      </c>
      <c r="V218">
        <f t="shared" si="23"/>
        <v>0</v>
      </c>
      <c r="W218">
        <f t="shared" si="24"/>
        <v>0</v>
      </c>
    </row>
    <row r="219" spans="1:23" x14ac:dyDescent="0.25">
      <c r="A219" t="s">
        <v>813</v>
      </c>
      <c r="B219" t="s">
        <v>932</v>
      </c>
      <c r="C219">
        <v>142</v>
      </c>
      <c r="D219">
        <v>0</v>
      </c>
      <c r="E219">
        <v>0</v>
      </c>
      <c r="F219">
        <v>0</v>
      </c>
      <c r="G219" s="105">
        <f>Tabell38[[#This Row],[Såld värme (GWh)]]-Tabell38[[#This Row],[Levererad värme, andra fjärrvärmeföretag, företag 1 (GWh)]]-Tabell38[[#This Row],[Levererad värme, andra fjärrvärmeföretag, företag 2 (GWh)]]-Tabell38[[#This Row],[Levererad värme, andra fjärrvärmeföretag, företag 3 (GWh)]]</f>
        <v>142</v>
      </c>
      <c r="H219" s="102" t="str">
        <f>VLOOKUP(Tabell38[[#This Row],[Nät]],Tabell5[],2,FALSE)</f>
        <v>Partille</v>
      </c>
      <c r="I219" t="str">
        <f>VLOOKUP(Tabell38[[#This Row],[Nät]],'Leveranser per nät'!A:A,1,FALSE)</f>
        <v>Partille</v>
      </c>
      <c r="O219" t="s">
        <v>806</v>
      </c>
      <c r="P219" t="s">
        <v>806</v>
      </c>
      <c r="Q219" s="84" t="s">
        <v>806</v>
      </c>
      <c r="R219">
        <f t="shared" si="19"/>
        <v>0</v>
      </c>
      <c r="S219">
        <f t="shared" si="20"/>
        <v>0</v>
      </c>
      <c r="T219">
        <f t="shared" si="21"/>
        <v>0</v>
      </c>
      <c r="U219">
        <f t="shared" si="22"/>
        <v>0</v>
      </c>
      <c r="V219">
        <f t="shared" si="23"/>
        <v>0</v>
      </c>
      <c r="W219">
        <f t="shared" si="24"/>
        <v>0</v>
      </c>
    </row>
    <row r="220" spans="1:23" x14ac:dyDescent="0.25">
      <c r="A220" t="s">
        <v>687</v>
      </c>
      <c r="B220" t="s">
        <v>229</v>
      </c>
      <c r="C220">
        <v>44.2</v>
      </c>
      <c r="D220">
        <v>0</v>
      </c>
      <c r="E220">
        <v>0</v>
      </c>
      <c r="F220">
        <v>0</v>
      </c>
      <c r="G220" s="105">
        <f>Tabell38[[#This Row],[Såld värme (GWh)]]-Tabell38[[#This Row],[Levererad värme, andra fjärrvärmeföretag, företag 1 (GWh)]]-Tabell38[[#This Row],[Levererad värme, andra fjärrvärmeföretag, företag 2 (GWh)]]-Tabell38[[#This Row],[Levererad värme, andra fjärrvärmeföretag, företag 3 (GWh)]]</f>
        <v>44.2</v>
      </c>
      <c r="H220" s="102" t="str">
        <f>VLOOKUP(Tabell38[[#This Row],[Nät]],Tabell5[],2,FALSE)</f>
        <v>Perstorp</v>
      </c>
      <c r="I220" t="str">
        <f>VLOOKUP(Tabell38[[#This Row],[Nät]],'Leveranser per nät'!A:A,1,FALSE)</f>
        <v>Perstorp</v>
      </c>
      <c r="O220" t="s">
        <v>806</v>
      </c>
      <c r="P220" t="s">
        <v>806</v>
      </c>
      <c r="Q220" s="44" t="s">
        <v>806</v>
      </c>
      <c r="R220">
        <f t="shared" si="19"/>
        <v>0</v>
      </c>
      <c r="S220">
        <f t="shared" si="20"/>
        <v>0</v>
      </c>
      <c r="T220">
        <f t="shared" si="21"/>
        <v>0</v>
      </c>
      <c r="U220">
        <f t="shared" si="22"/>
        <v>0</v>
      </c>
      <c r="V220">
        <f t="shared" si="23"/>
        <v>0</v>
      </c>
      <c r="W220">
        <f t="shared" si="24"/>
        <v>0</v>
      </c>
    </row>
    <row r="221" spans="1:23" x14ac:dyDescent="0.25">
      <c r="A221" t="s">
        <v>678</v>
      </c>
      <c r="B221" t="s">
        <v>232</v>
      </c>
      <c r="C221">
        <v>5.43</v>
      </c>
      <c r="D221">
        <v>0</v>
      </c>
      <c r="E221">
        <v>0</v>
      </c>
      <c r="F221">
        <v>0</v>
      </c>
      <c r="G221" s="105">
        <f>Tabell38[[#This Row],[Såld värme (GWh)]]-Tabell38[[#This Row],[Levererad värme, andra fjärrvärmeföretag, företag 1 (GWh)]]-Tabell38[[#This Row],[Levererad värme, andra fjärrvärmeföretag, företag 2 (GWh)]]-Tabell38[[#This Row],[Levererad värme, andra fjärrvärmeföretag, företag 3 (GWh)]]</f>
        <v>5.43</v>
      </c>
      <c r="H221" s="102" t="str">
        <f>VLOOKUP(Tabell38[[#This Row],[Nät]],Tabell5[],2,FALSE)</f>
        <v>Norrfjärden</v>
      </c>
      <c r="I221" t="str">
        <f>VLOOKUP(Tabell38[[#This Row],[Nät]],'Leveranser per nät'!A:A,1,FALSE)</f>
        <v>Norrfjärden</v>
      </c>
      <c r="O221" t="s">
        <v>806</v>
      </c>
      <c r="P221" t="s">
        <v>806</v>
      </c>
      <c r="Q221" s="84" t="s">
        <v>806</v>
      </c>
      <c r="R221">
        <f t="shared" si="19"/>
        <v>0</v>
      </c>
      <c r="S221">
        <f t="shared" si="20"/>
        <v>0</v>
      </c>
      <c r="T221">
        <f t="shared" si="21"/>
        <v>0</v>
      </c>
      <c r="U221">
        <f t="shared" si="22"/>
        <v>0</v>
      </c>
      <c r="V221">
        <f t="shared" si="23"/>
        <v>0</v>
      </c>
      <c r="W221">
        <f t="shared" si="24"/>
        <v>0</v>
      </c>
    </row>
    <row r="222" spans="1:23" x14ac:dyDescent="0.25">
      <c r="A222" t="s">
        <v>678</v>
      </c>
      <c r="B222" t="s">
        <v>230</v>
      </c>
      <c r="C222">
        <v>222.98</v>
      </c>
      <c r="D222">
        <v>0</v>
      </c>
      <c r="E222">
        <v>0</v>
      </c>
      <c r="F222">
        <v>0</v>
      </c>
      <c r="G222" s="105">
        <f>Tabell38[[#This Row],[Såld värme (GWh)]]-Tabell38[[#This Row],[Levererad värme, andra fjärrvärmeföretag, företag 1 (GWh)]]-Tabell38[[#This Row],[Levererad värme, andra fjärrvärmeföretag, företag 2 (GWh)]]-Tabell38[[#This Row],[Levererad värme, andra fjärrvärmeföretag, företag 3 (GWh)]]</f>
        <v>222.98</v>
      </c>
      <c r="H222" s="102" t="str">
        <f>VLOOKUP(Tabell38[[#This Row],[Nät]],Tabell5[],2,FALSE)</f>
        <v>Piteå</v>
      </c>
      <c r="I222" t="str">
        <f>VLOOKUP(Tabell38[[#This Row],[Nät]],'Leveranser per nät'!A:A,1,FALSE)</f>
        <v>Piteå</v>
      </c>
      <c r="O222" t="s">
        <v>806</v>
      </c>
      <c r="P222" t="s">
        <v>806</v>
      </c>
      <c r="Q222" s="44" t="s">
        <v>806</v>
      </c>
      <c r="R222">
        <f t="shared" si="19"/>
        <v>0</v>
      </c>
      <c r="S222">
        <f t="shared" si="20"/>
        <v>0</v>
      </c>
      <c r="T222">
        <f t="shared" si="21"/>
        <v>0</v>
      </c>
      <c r="U222">
        <f t="shared" si="22"/>
        <v>0</v>
      </c>
      <c r="V222">
        <f t="shared" si="23"/>
        <v>0</v>
      </c>
      <c r="W222">
        <f t="shared" si="24"/>
        <v>0</v>
      </c>
    </row>
    <row r="223" spans="1:23" x14ac:dyDescent="0.25">
      <c r="A223" t="s">
        <v>678</v>
      </c>
      <c r="B223" t="s">
        <v>233</v>
      </c>
      <c r="C223">
        <v>1.2</v>
      </c>
      <c r="D223">
        <v>0</v>
      </c>
      <c r="E223">
        <v>0</v>
      </c>
      <c r="F223">
        <v>0</v>
      </c>
      <c r="G223" s="105">
        <f>Tabell38[[#This Row],[Såld värme (GWh)]]-Tabell38[[#This Row],[Levererad värme, andra fjärrvärmeföretag, företag 1 (GWh)]]-Tabell38[[#This Row],[Levererad värme, andra fjärrvärmeföretag, företag 2 (GWh)]]-Tabell38[[#This Row],[Levererad värme, andra fjärrvärmeföretag, företag 3 (GWh)]]</f>
        <v>1.2</v>
      </c>
      <c r="H223" s="102" t="str">
        <f>VLOOKUP(Tabell38[[#This Row],[Nät]],Tabell5[],2,FALSE)</f>
        <v>Rosvik</v>
      </c>
      <c r="I223" t="str">
        <f>VLOOKUP(Tabell38[[#This Row],[Nät]],'Leveranser per nät'!A:A,1,FALSE)</f>
        <v>Rosvik</v>
      </c>
      <c r="O223" t="s">
        <v>806</v>
      </c>
      <c r="P223" t="s">
        <v>806</v>
      </c>
      <c r="Q223" s="84" t="s">
        <v>806</v>
      </c>
      <c r="R223">
        <f t="shared" si="19"/>
        <v>0</v>
      </c>
      <c r="S223">
        <f t="shared" si="20"/>
        <v>0</v>
      </c>
      <c r="T223">
        <f t="shared" si="21"/>
        <v>0</v>
      </c>
      <c r="U223">
        <f t="shared" si="22"/>
        <v>0</v>
      </c>
      <c r="V223">
        <f t="shared" si="23"/>
        <v>0</v>
      </c>
      <c r="W223">
        <f t="shared" si="24"/>
        <v>0</v>
      </c>
    </row>
    <row r="224" spans="1:23" x14ac:dyDescent="0.25">
      <c r="A224" t="s">
        <v>678</v>
      </c>
      <c r="B224" t="s">
        <v>234</v>
      </c>
      <c r="C224">
        <v>1.77</v>
      </c>
      <c r="D224">
        <v>0</v>
      </c>
      <c r="E224">
        <v>0</v>
      </c>
      <c r="F224">
        <v>0</v>
      </c>
      <c r="G224" s="105">
        <f>Tabell38[[#This Row],[Såld värme (GWh)]]-Tabell38[[#This Row],[Levererad värme, andra fjärrvärmeföretag, företag 1 (GWh)]]-Tabell38[[#This Row],[Levererad värme, andra fjärrvärmeföretag, företag 2 (GWh)]]-Tabell38[[#This Row],[Levererad värme, andra fjärrvärmeföretag, företag 3 (GWh)]]</f>
        <v>1.77</v>
      </c>
      <c r="H224" s="102" t="str">
        <f>VLOOKUP(Tabell38[[#This Row],[Nät]],Tabell5[],2,FALSE)</f>
        <v>Sjulnäs</v>
      </c>
      <c r="I224" t="str">
        <f>VLOOKUP(Tabell38[[#This Row],[Nät]],'Leveranser per nät'!A:A,1,FALSE)</f>
        <v>Sjulnäs</v>
      </c>
      <c r="O224" t="s">
        <v>806</v>
      </c>
      <c r="P224" t="s">
        <v>806</v>
      </c>
      <c r="Q224" s="44" t="s">
        <v>806</v>
      </c>
      <c r="R224">
        <f t="shared" si="19"/>
        <v>0</v>
      </c>
      <c r="S224">
        <f t="shared" si="20"/>
        <v>0</v>
      </c>
      <c r="T224">
        <f t="shared" si="21"/>
        <v>0</v>
      </c>
      <c r="U224">
        <f t="shared" si="22"/>
        <v>0</v>
      </c>
      <c r="V224">
        <f t="shared" si="23"/>
        <v>0</v>
      </c>
      <c r="W224">
        <f t="shared" si="24"/>
        <v>0</v>
      </c>
    </row>
    <row r="225" spans="1:23" x14ac:dyDescent="0.25">
      <c r="A225" t="s">
        <v>1093</v>
      </c>
      <c r="B225" t="s">
        <v>533</v>
      </c>
      <c r="C225" t="s">
        <v>805</v>
      </c>
      <c r="D225">
        <v>0</v>
      </c>
      <c r="E225">
        <v>0</v>
      </c>
      <c r="F225">
        <v>0</v>
      </c>
      <c r="G225"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225" s="102" t="str">
        <f>VLOOKUP(Tabell38[[#This Row],[Nät]],Tabell5[],2,FALSE)</f>
        <v>Hammarstrand</v>
      </c>
      <c r="I225" t="str">
        <f>VLOOKUP(Tabell38[[#This Row],[Nät]],'Leveranser per nät'!A:A,1,FALSE)</f>
        <v>Hammarstrand</v>
      </c>
      <c r="O225" t="s">
        <v>805</v>
      </c>
      <c r="P225" t="s">
        <v>805</v>
      </c>
      <c r="Q225" s="84" t="s">
        <v>805</v>
      </c>
      <c r="R225" t="str">
        <f t="shared" si="19"/>
        <v>-</v>
      </c>
      <c r="S225" t="str">
        <f t="shared" si="20"/>
        <v>-</v>
      </c>
      <c r="T225" t="str">
        <f t="shared" si="21"/>
        <v>-</v>
      </c>
      <c r="U225">
        <f t="shared" si="22"/>
        <v>0</v>
      </c>
      <c r="V225">
        <f t="shared" si="23"/>
        <v>0</v>
      </c>
      <c r="W225">
        <f t="shared" si="24"/>
        <v>0</v>
      </c>
    </row>
    <row r="226" spans="1:23" x14ac:dyDescent="0.25">
      <c r="A226" t="s">
        <v>581</v>
      </c>
      <c r="B226" t="s">
        <v>250</v>
      </c>
      <c r="C226">
        <v>12.8</v>
      </c>
      <c r="D226">
        <v>0</v>
      </c>
      <c r="E226">
        <v>0</v>
      </c>
      <c r="F226">
        <v>0</v>
      </c>
      <c r="G226" s="105">
        <f>Tabell38[[#This Row],[Såld värme (GWh)]]-Tabell38[[#This Row],[Levererad värme, andra fjärrvärmeföretag, företag 1 (GWh)]]-Tabell38[[#This Row],[Levererad värme, andra fjärrvärmeföretag, företag 2 (GWh)]]-Tabell38[[#This Row],[Levererad värme, andra fjärrvärmeföretag, företag 3 (GWh)]]</f>
        <v>12.8</v>
      </c>
      <c r="H226" s="102" t="str">
        <f>VLOOKUP(Tabell38[[#This Row],[Nät]],Tabell5[],2,FALSE)</f>
        <v>Bräkne-Hoby</v>
      </c>
      <c r="I226" t="str">
        <f>VLOOKUP(Tabell38[[#This Row],[Nät]],'Leveranser per nät'!A:A,1,FALSE)</f>
        <v>Bräkne-Hoby</v>
      </c>
      <c r="O226" t="s">
        <v>806</v>
      </c>
      <c r="P226" t="s">
        <v>806</v>
      </c>
      <c r="Q226" s="44" t="s">
        <v>806</v>
      </c>
      <c r="R226">
        <f t="shared" si="19"/>
        <v>0</v>
      </c>
      <c r="S226">
        <f t="shared" si="20"/>
        <v>0</v>
      </c>
      <c r="T226">
        <f t="shared" si="21"/>
        <v>0</v>
      </c>
      <c r="U226">
        <f t="shared" si="22"/>
        <v>0</v>
      </c>
      <c r="V226">
        <f t="shared" si="23"/>
        <v>0</v>
      </c>
      <c r="W226">
        <f t="shared" si="24"/>
        <v>0</v>
      </c>
    </row>
    <row r="227" spans="1:23" x14ac:dyDescent="0.25">
      <c r="A227" t="s">
        <v>581</v>
      </c>
      <c r="B227" t="s">
        <v>414</v>
      </c>
      <c r="C227">
        <v>97.3</v>
      </c>
      <c r="D227">
        <v>0</v>
      </c>
      <c r="E227">
        <v>0</v>
      </c>
      <c r="F227">
        <v>0</v>
      </c>
      <c r="G227" s="105">
        <f>Tabell38[[#This Row],[Såld värme (GWh)]]-Tabell38[[#This Row],[Levererad värme, andra fjärrvärmeföretag, företag 1 (GWh)]]-Tabell38[[#This Row],[Levererad värme, andra fjärrvärmeföretag, företag 2 (GWh)]]-Tabell38[[#This Row],[Levererad värme, andra fjärrvärmeföretag, företag 3 (GWh)]]</f>
        <v>97.3</v>
      </c>
      <c r="H227" s="102" t="str">
        <f>VLOOKUP(Tabell38[[#This Row],[Nät]],Tabell5[],2,FALSE)</f>
        <v>Ronneby-Kallinge</v>
      </c>
      <c r="I227" t="str">
        <f>VLOOKUP(Tabell38[[#This Row],[Nät]],'Leveranser per nät'!A:A,1,FALSE)</f>
        <v>Ronneby-Kallinge</v>
      </c>
      <c r="O227" t="s">
        <v>806</v>
      </c>
      <c r="P227" t="s">
        <v>806</v>
      </c>
      <c r="Q227" s="84" t="s">
        <v>806</v>
      </c>
      <c r="R227">
        <f t="shared" si="19"/>
        <v>0</v>
      </c>
      <c r="S227">
        <f t="shared" si="20"/>
        <v>0</v>
      </c>
      <c r="T227">
        <f t="shared" si="21"/>
        <v>0</v>
      </c>
      <c r="U227">
        <f t="shared" si="22"/>
        <v>0</v>
      </c>
      <c r="V227">
        <f t="shared" si="23"/>
        <v>0</v>
      </c>
      <c r="W227">
        <f t="shared" si="24"/>
        <v>0</v>
      </c>
    </row>
    <row r="228" spans="1:23" x14ac:dyDescent="0.25">
      <c r="A228" t="s">
        <v>625</v>
      </c>
      <c r="B228" t="s">
        <v>693</v>
      </c>
      <c r="C228">
        <v>128.893415</v>
      </c>
      <c r="D228">
        <v>0</v>
      </c>
      <c r="E228">
        <v>0</v>
      </c>
      <c r="F228">
        <v>0</v>
      </c>
      <c r="G228" s="105">
        <f>Tabell38[[#This Row],[Såld värme (GWh)]]-Tabell38[[#This Row],[Levererad värme, andra fjärrvärmeföretag, företag 1 (GWh)]]-Tabell38[[#This Row],[Levererad värme, andra fjärrvärmeföretag, företag 2 (GWh)]]-Tabell38[[#This Row],[Levererad värme, andra fjärrvärmeföretag, företag 3 (GWh)]]</f>
        <v>128.893415</v>
      </c>
      <c r="H228" s="102" t="str">
        <f>VLOOKUP(Tabell38[[#This Row],[Nät]],Tabell5[],2,FALSE)</f>
        <v>Sala-Heby</v>
      </c>
      <c r="I228" t="str">
        <f>VLOOKUP(Tabell38[[#This Row],[Nät]],'Leveranser per nät'!A:A,1,FALSE)</f>
        <v>Sala-Heby</v>
      </c>
      <c r="O228" t="s">
        <v>806</v>
      </c>
      <c r="P228" t="s">
        <v>806</v>
      </c>
      <c r="Q228" s="44" t="s">
        <v>806</v>
      </c>
      <c r="R228">
        <f t="shared" si="19"/>
        <v>0</v>
      </c>
      <c r="S228">
        <f t="shared" si="20"/>
        <v>0</v>
      </c>
      <c r="T228">
        <f t="shared" si="21"/>
        <v>0</v>
      </c>
      <c r="U228">
        <f t="shared" si="22"/>
        <v>0</v>
      </c>
      <c r="V228">
        <f t="shared" si="23"/>
        <v>0</v>
      </c>
      <c r="W228">
        <f t="shared" si="24"/>
        <v>0</v>
      </c>
    </row>
    <row r="229" spans="1:23" x14ac:dyDescent="0.25">
      <c r="A229" t="s">
        <v>694</v>
      </c>
      <c r="B229" t="s">
        <v>255</v>
      </c>
      <c r="C229">
        <v>198.3</v>
      </c>
      <c r="D229">
        <v>0</v>
      </c>
      <c r="E229">
        <v>0</v>
      </c>
      <c r="F229">
        <v>0</v>
      </c>
      <c r="G229" s="105">
        <f>Tabell38[[#This Row],[Såld värme (GWh)]]-Tabell38[[#This Row],[Levererad värme, andra fjärrvärmeföretag, företag 1 (GWh)]]-Tabell38[[#This Row],[Levererad värme, andra fjärrvärmeföretag, företag 2 (GWh)]]-Tabell38[[#This Row],[Levererad värme, andra fjärrvärmeföretag, företag 3 (GWh)]]</f>
        <v>198.3</v>
      </c>
      <c r="H229" s="102" t="str">
        <f>VLOOKUP(Tabell38[[#This Row],[Nät]],Tabell5[],2,FALSE)</f>
        <v>Sandviken</v>
      </c>
      <c r="I229" t="str">
        <f>VLOOKUP(Tabell38[[#This Row],[Nät]],'Leveranser per nät'!A:A,1,FALSE)</f>
        <v>Sandviken</v>
      </c>
      <c r="O229" t="s">
        <v>806</v>
      </c>
      <c r="P229" t="s">
        <v>806</v>
      </c>
      <c r="Q229" s="84" t="s">
        <v>806</v>
      </c>
      <c r="R229">
        <f t="shared" si="19"/>
        <v>0</v>
      </c>
      <c r="S229">
        <f t="shared" si="20"/>
        <v>0</v>
      </c>
      <c r="T229">
        <f t="shared" si="21"/>
        <v>0</v>
      </c>
      <c r="U229">
        <f t="shared" si="22"/>
        <v>0</v>
      </c>
      <c r="V229">
        <f t="shared" si="23"/>
        <v>0</v>
      </c>
      <c r="W229">
        <f t="shared" si="24"/>
        <v>0</v>
      </c>
    </row>
    <row r="230" spans="1:23" x14ac:dyDescent="0.25">
      <c r="A230" t="s">
        <v>993</v>
      </c>
      <c r="B230" t="s">
        <v>285</v>
      </c>
      <c r="C230">
        <v>138.24</v>
      </c>
      <c r="D230">
        <v>0</v>
      </c>
      <c r="E230">
        <v>0</v>
      </c>
      <c r="F230">
        <v>0</v>
      </c>
      <c r="G230" s="105">
        <f>Tabell38[[#This Row],[Såld värme (GWh)]]-Tabell38[[#This Row],[Levererad värme, andra fjärrvärmeföretag, företag 1 (GWh)]]-Tabell38[[#This Row],[Levererad värme, andra fjärrvärmeföretag, företag 2 (GWh)]]-Tabell38[[#This Row],[Levererad värme, andra fjärrvärmeföretag, företag 3 (GWh)]]</f>
        <v>138.24</v>
      </c>
      <c r="H230" s="102" t="str">
        <f>VLOOKUP(Tabell38[[#This Row],[Nät]],Tabell5[],2,FALSE)</f>
        <v>Strängnäs</v>
      </c>
      <c r="I230" t="str">
        <f>VLOOKUP(Tabell38[[#This Row],[Nät]],'Leveranser per nät'!A:A,1,FALSE)</f>
        <v>Strängnäs</v>
      </c>
      <c r="O230" t="s">
        <v>806</v>
      </c>
      <c r="P230" t="s">
        <v>806</v>
      </c>
      <c r="Q230" s="44" t="s">
        <v>806</v>
      </c>
      <c r="R230">
        <f t="shared" si="19"/>
        <v>0</v>
      </c>
      <c r="S230">
        <f t="shared" si="20"/>
        <v>0</v>
      </c>
      <c r="T230">
        <f t="shared" si="21"/>
        <v>0</v>
      </c>
      <c r="U230">
        <f t="shared" si="22"/>
        <v>0</v>
      </c>
      <c r="V230">
        <f t="shared" si="23"/>
        <v>0</v>
      </c>
      <c r="W230">
        <f t="shared" si="24"/>
        <v>0</v>
      </c>
    </row>
    <row r="231" spans="1:23" x14ac:dyDescent="0.25">
      <c r="A231" t="s">
        <v>696</v>
      </c>
      <c r="B231" t="s">
        <v>256</v>
      </c>
      <c r="C231">
        <v>84.9</v>
      </c>
      <c r="D231">
        <v>0</v>
      </c>
      <c r="E231">
        <v>0</v>
      </c>
      <c r="F231">
        <v>0</v>
      </c>
      <c r="G231" s="105">
        <f>Tabell38[[#This Row],[Såld värme (GWh)]]-Tabell38[[#This Row],[Levererad värme, andra fjärrvärmeföretag, företag 1 (GWh)]]-Tabell38[[#This Row],[Levererad värme, andra fjärrvärmeföretag, företag 2 (GWh)]]-Tabell38[[#This Row],[Levererad värme, andra fjärrvärmeföretag, företag 3 (GWh)]]</f>
        <v>84.9</v>
      </c>
      <c r="H231" s="102" t="str">
        <f>VLOOKUP(Tabell38[[#This Row],[Nät]],Tabell5[],2,FALSE)</f>
        <v>Skara</v>
      </c>
      <c r="I231" t="str">
        <f>VLOOKUP(Tabell38[[#This Row],[Nät]],'Leveranser per nät'!A:A,1,FALSE)</f>
        <v>Skara</v>
      </c>
      <c r="O231" t="s">
        <v>806</v>
      </c>
      <c r="P231" t="s">
        <v>806</v>
      </c>
      <c r="Q231" s="84" t="s">
        <v>806</v>
      </c>
      <c r="R231">
        <f t="shared" si="19"/>
        <v>0</v>
      </c>
      <c r="S231">
        <f t="shared" si="20"/>
        <v>0</v>
      </c>
      <c r="T231">
        <f t="shared" si="21"/>
        <v>0</v>
      </c>
      <c r="U231">
        <f t="shared" si="22"/>
        <v>0</v>
      </c>
      <c r="V231">
        <f t="shared" si="23"/>
        <v>0</v>
      </c>
      <c r="W231">
        <f t="shared" si="24"/>
        <v>0</v>
      </c>
    </row>
    <row r="232" spans="1:23" x14ac:dyDescent="0.25">
      <c r="A232" t="s">
        <v>571</v>
      </c>
      <c r="B232" t="s">
        <v>263</v>
      </c>
      <c r="C232">
        <v>6.9827000000000004</v>
      </c>
      <c r="D232">
        <v>0</v>
      </c>
      <c r="E232">
        <v>0</v>
      </c>
      <c r="F232">
        <v>0</v>
      </c>
      <c r="G232" s="105">
        <f>Tabell38[[#This Row],[Såld värme (GWh)]]-Tabell38[[#This Row],[Levererad värme, andra fjärrvärmeföretag, företag 1 (GWh)]]-Tabell38[[#This Row],[Levererad värme, andra fjärrvärmeföretag, företag 2 (GWh)]]-Tabell38[[#This Row],[Levererad värme, andra fjärrvärmeföretag, företag 3 (GWh)]]</f>
        <v>6.9827000000000004</v>
      </c>
      <c r="H232" s="102" t="str">
        <f>VLOOKUP(Tabell38[[#This Row],[Nät]],Tabell5[],2,FALSE)</f>
        <v>Boliden</v>
      </c>
      <c r="I232" t="str">
        <f>VLOOKUP(Tabell38[[#This Row],[Nät]],'Leveranser per nät'!A:A,1,FALSE)</f>
        <v>Boliden</v>
      </c>
      <c r="O232" t="s">
        <v>806</v>
      </c>
      <c r="P232" t="s">
        <v>806</v>
      </c>
      <c r="Q232" s="44" t="s">
        <v>806</v>
      </c>
      <c r="R232">
        <f t="shared" si="19"/>
        <v>0</v>
      </c>
      <c r="S232">
        <f t="shared" si="20"/>
        <v>0</v>
      </c>
      <c r="T232">
        <f t="shared" si="21"/>
        <v>0</v>
      </c>
      <c r="U232">
        <f t="shared" si="22"/>
        <v>0</v>
      </c>
      <c r="V232">
        <f t="shared" si="23"/>
        <v>0</v>
      </c>
      <c r="W232">
        <f t="shared" si="24"/>
        <v>0</v>
      </c>
    </row>
    <row r="233" spans="1:23" x14ac:dyDescent="0.25">
      <c r="A233" t="s">
        <v>571</v>
      </c>
      <c r="B233" t="s">
        <v>264</v>
      </c>
      <c r="C233">
        <v>6.8208000000000002</v>
      </c>
      <c r="D233">
        <v>0</v>
      </c>
      <c r="E233">
        <v>0</v>
      </c>
      <c r="F233">
        <v>0</v>
      </c>
      <c r="G233" s="105">
        <f>Tabell38[[#This Row],[Såld värme (GWh)]]-Tabell38[[#This Row],[Levererad värme, andra fjärrvärmeföretag, företag 1 (GWh)]]-Tabell38[[#This Row],[Levererad värme, andra fjärrvärmeföretag, företag 2 (GWh)]]-Tabell38[[#This Row],[Levererad värme, andra fjärrvärmeföretag, företag 3 (GWh)]]</f>
        <v>6.8208000000000002</v>
      </c>
      <c r="H233" s="102" t="str">
        <f>VLOOKUP(Tabell38[[#This Row],[Nät]],Tabell5[],2,FALSE)</f>
        <v>Bureå</v>
      </c>
      <c r="I233" t="str">
        <f>VLOOKUP(Tabell38[[#This Row],[Nät]],'Leveranser per nät'!A:A,1,FALSE)</f>
        <v>Bureå</v>
      </c>
      <c r="O233" t="s">
        <v>806</v>
      </c>
      <c r="P233" t="s">
        <v>806</v>
      </c>
      <c r="Q233" s="84" t="s">
        <v>806</v>
      </c>
      <c r="R233">
        <f t="shared" si="19"/>
        <v>0</v>
      </c>
      <c r="S233">
        <f t="shared" si="20"/>
        <v>0</v>
      </c>
      <c r="T233">
        <f t="shared" si="21"/>
        <v>0</v>
      </c>
      <c r="U233">
        <f t="shared" si="22"/>
        <v>0</v>
      </c>
      <c r="V233">
        <f t="shared" si="23"/>
        <v>0</v>
      </c>
      <c r="W233">
        <f t="shared" si="24"/>
        <v>0</v>
      </c>
    </row>
    <row r="234" spans="1:23" x14ac:dyDescent="0.25">
      <c r="A234" t="s">
        <v>571</v>
      </c>
      <c r="B234" t="s">
        <v>265</v>
      </c>
      <c r="C234">
        <v>13.162000000000001</v>
      </c>
      <c r="D234">
        <v>0</v>
      </c>
      <c r="E234">
        <v>0</v>
      </c>
      <c r="F234">
        <v>0</v>
      </c>
      <c r="G234" s="105">
        <f>Tabell38[[#This Row],[Såld värme (GWh)]]-Tabell38[[#This Row],[Levererad värme, andra fjärrvärmeföretag, företag 1 (GWh)]]-Tabell38[[#This Row],[Levererad värme, andra fjärrvärmeföretag, företag 2 (GWh)]]-Tabell38[[#This Row],[Levererad värme, andra fjärrvärmeföretag, företag 3 (GWh)]]</f>
        <v>13.162000000000001</v>
      </c>
      <c r="H234" s="102" t="str">
        <f>VLOOKUP(Tabell38[[#This Row],[Nät]],Tabell5[],2,FALSE)</f>
        <v>Burträsk</v>
      </c>
      <c r="I234" t="str">
        <f>VLOOKUP(Tabell38[[#This Row],[Nät]],'Leveranser per nät'!A:A,1,FALSE)</f>
        <v>Burträsk</v>
      </c>
      <c r="O234" t="s">
        <v>806</v>
      </c>
      <c r="P234" t="s">
        <v>806</v>
      </c>
      <c r="Q234" s="44" t="s">
        <v>806</v>
      </c>
      <c r="R234">
        <f t="shared" si="19"/>
        <v>0</v>
      </c>
      <c r="S234">
        <f t="shared" si="20"/>
        <v>0</v>
      </c>
      <c r="T234">
        <f t="shared" si="21"/>
        <v>0</v>
      </c>
      <c r="U234">
        <f t="shared" si="22"/>
        <v>0</v>
      </c>
      <c r="V234">
        <f t="shared" si="23"/>
        <v>0</v>
      </c>
      <c r="W234">
        <f t="shared" si="24"/>
        <v>0</v>
      </c>
    </row>
    <row r="235" spans="1:23" x14ac:dyDescent="0.25">
      <c r="A235" t="s">
        <v>571</v>
      </c>
      <c r="B235" t="s">
        <v>266</v>
      </c>
      <c r="C235">
        <v>8.6649999999999991</v>
      </c>
      <c r="D235">
        <v>0</v>
      </c>
      <c r="E235">
        <v>0</v>
      </c>
      <c r="F235">
        <v>0</v>
      </c>
      <c r="G235" s="105">
        <f>Tabell38[[#This Row],[Såld värme (GWh)]]-Tabell38[[#This Row],[Levererad värme, andra fjärrvärmeföretag, företag 1 (GWh)]]-Tabell38[[#This Row],[Levererad värme, andra fjärrvärmeföretag, företag 2 (GWh)]]-Tabell38[[#This Row],[Levererad värme, andra fjärrvärmeföretag, företag 3 (GWh)]]</f>
        <v>8.6649999999999991</v>
      </c>
      <c r="H235" s="102" t="str">
        <f>VLOOKUP(Tabell38[[#This Row],[Nät]],Tabell5[],2,FALSE)</f>
        <v>Byske</v>
      </c>
      <c r="I235" t="str">
        <f>VLOOKUP(Tabell38[[#This Row],[Nät]],'Leveranser per nät'!A:A,1,FALSE)</f>
        <v>Byske</v>
      </c>
      <c r="O235" t="s">
        <v>806</v>
      </c>
      <c r="P235" t="s">
        <v>806</v>
      </c>
      <c r="Q235" s="84" t="s">
        <v>806</v>
      </c>
      <c r="R235">
        <f t="shared" si="19"/>
        <v>0</v>
      </c>
      <c r="S235">
        <f t="shared" si="20"/>
        <v>0</v>
      </c>
      <c r="T235">
        <f t="shared" si="21"/>
        <v>0</v>
      </c>
      <c r="U235">
        <f t="shared" si="22"/>
        <v>0</v>
      </c>
      <c r="V235">
        <f t="shared" si="23"/>
        <v>0</v>
      </c>
      <c r="W235">
        <f t="shared" si="24"/>
        <v>0</v>
      </c>
    </row>
    <row r="236" spans="1:23" x14ac:dyDescent="0.25">
      <c r="A236" t="s">
        <v>571</v>
      </c>
      <c r="B236" t="s">
        <v>267</v>
      </c>
      <c r="C236">
        <v>5.7530000000000001</v>
      </c>
      <c r="D236">
        <v>0</v>
      </c>
      <c r="E236">
        <v>0</v>
      </c>
      <c r="F236">
        <v>0</v>
      </c>
      <c r="G236" s="105">
        <f>Tabell38[[#This Row],[Såld värme (GWh)]]-Tabell38[[#This Row],[Levererad värme, andra fjärrvärmeföretag, företag 1 (GWh)]]-Tabell38[[#This Row],[Levererad värme, andra fjärrvärmeföretag, företag 2 (GWh)]]-Tabell38[[#This Row],[Levererad värme, andra fjärrvärmeföretag, företag 3 (GWh)]]</f>
        <v>5.7530000000000001</v>
      </c>
      <c r="H236" s="102" t="str">
        <f>VLOOKUP(Tabell38[[#This Row],[Nät]],Tabell5[],2,FALSE)</f>
        <v>Jörn</v>
      </c>
      <c r="I236" t="str">
        <f>VLOOKUP(Tabell38[[#This Row],[Nät]],'Leveranser per nät'!A:A,1,FALSE)</f>
        <v>Jörn</v>
      </c>
      <c r="O236" t="s">
        <v>806</v>
      </c>
      <c r="P236" t="s">
        <v>806</v>
      </c>
      <c r="Q236" s="44" t="s">
        <v>806</v>
      </c>
      <c r="R236">
        <f t="shared" si="19"/>
        <v>0</v>
      </c>
      <c r="S236">
        <f t="shared" si="20"/>
        <v>0</v>
      </c>
      <c r="T236">
        <f t="shared" si="21"/>
        <v>0</v>
      </c>
      <c r="U236">
        <f t="shared" si="22"/>
        <v>0</v>
      </c>
      <c r="V236">
        <f t="shared" si="23"/>
        <v>0</v>
      </c>
      <c r="W236">
        <f t="shared" si="24"/>
        <v>0</v>
      </c>
    </row>
    <row r="237" spans="1:23" x14ac:dyDescent="0.25">
      <c r="A237" t="s">
        <v>571</v>
      </c>
      <c r="B237" t="s">
        <v>269</v>
      </c>
      <c r="C237">
        <v>4.8719999999999999</v>
      </c>
      <c r="D237">
        <v>0</v>
      </c>
      <c r="E237">
        <v>0</v>
      </c>
      <c r="F237">
        <v>0</v>
      </c>
      <c r="G237" s="105">
        <f>Tabell38[[#This Row],[Såld värme (GWh)]]-Tabell38[[#This Row],[Levererad värme, andra fjärrvärmeföretag, företag 1 (GWh)]]-Tabell38[[#This Row],[Levererad värme, andra fjärrvärmeföretag, företag 2 (GWh)]]-Tabell38[[#This Row],[Levererad värme, andra fjärrvärmeföretag, företag 3 (GWh)]]</f>
        <v>4.8719999999999999</v>
      </c>
      <c r="H237" s="102" t="str">
        <f>VLOOKUP(Tabell38[[#This Row],[Nät]],Tabell5[],2,FALSE)</f>
        <v>Kåge</v>
      </c>
      <c r="I237" t="str">
        <f>VLOOKUP(Tabell38[[#This Row],[Nät]],'Leveranser per nät'!A:A,1,FALSE)</f>
        <v>Kåge</v>
      </c>
      <c r="O237" t="s">
        <v>806</v>
      </c>
      <c r="P237" t="s">
        <v>806</v>
      </c>
      <c r="Q237" s="84" t="s">
        <v>806</v>
      </c>
      <c r="R237">
        <f t="shared" si="19"/>
        <v>0</v>
      </c>
      <c r="S237">
        <f t="shared" si="20"/>
        <v>0</v>
      </c>
      <c r="T237">
        <f t="shared" si="21"/>
        <v>0</v>
      </c>
      <c r="U237">
        <f t="shared" si="22"/>
        <v>0</v>
      </c>
      <c r="V237">
        <f t="shared" si="23"/>
        <v>0</v>
      </c>
      <c r="W237">
        <f t="shared" si="24"/>
        <v>0</v>
      </c>
    </row>
    <row r="238" spans="1:23" x14ac:dyDescent="0.25">
      <c r="A238" t="s">
        <v>571</v>
      </c>
      <c r="B238" t="s">
        <v>270</v>
      </c>
      <c r="C238">
        <v>2.4340000000000002</v>
      </c>
      <c r="D238">
        <v>0</v>
      </c>
      <c r="E238">
        <v>0</v>
      </c>
      <c r="F238">
        <v>0</v>
      </c>
      <c r="G238" s="105">
        <f>Tabell38[[#This Row],[Såld värme (GWh)]]-Tabell38[[#This Row],[Levererad värme, andra fjärrvärmeföretag, företag 1 (GWh)]]-Tabell38[[#This Row],[Levererad värme, andra fjärrvärmeföretag, företag 2 (GWh)]]-Tabell38[[#This Row],[Levererad värme, andra fjärrvärmeföretag, företag 3 (GWh)]]</f>
        <v>2.4340000000000002</v>
      </c>
      <c r="H238" s="102" t="str">
        <f>VLOOKUP(Tabell38[[#This Row],[Nät]],Tabell5[],2,FALSE)</f>
        <v>Lidbacken</v>
      </c>
      <c r="I238" t="str">
        <f>VLOOKUP(Tabell38[[#This Row],[Nät]],'Leveranser per nät'!A:A,1,FALSE)</f>
        <v>Lidbacken</v>
      </c>
      <c r="O238" t="s">
        <v>806</v>
      </c>
      <c r="P238" t="s">
        <v>806</v>
      </c>
      <c r="Q238" s="44" t="s">
        <v>806</v>
      </c>
      <c r="R238">
        <f t="shared" si="19"/>
        <v>0</v>
      </c>
      <c r="S238">
        <f t="shared" si="20"/>
        <v>0</v>
      </c>
      <c r="T238">
        <f t="shared" si="21"/>
        <v>0</v>
      </c>
      <c r="U238">
        <f t="shared" si="22"/>
        <v>0</v>
      </c>
      <c r="V238">
        <f t="shared" si="23"/>
        <v>0</v>
      </c>
      <c r="W238">
        <f t="shared" si="24"/>
        <v>0</v>
      </c>
    </row>
    <row r="239" spans="1:23" x14ac:dyDescent="0.25">
      <c r="A239" t="s">
        <v>571</v>
      </c>
      <c r="B239" t="s">
        <v>259</v>
      </c>
      <c r="C239">
        <v>91.427999999999997</v>
      </c>
      <c r="D239">
        <v>0</v>
      </c>
      <c r="E239">
        <v>0</v>
      </c>
      <c r="F239">
        <v>0</v>
      </c>
      <c r="G239" s="105">
        <f>Tabell38[[#This Row],[Såld värme (GWh)]]-Tabell38[[#This Row],[Levererad värme, andra fjärrvärmeföretag, företag 1 (GWh)]]-Tabell38[[#This Row],[Levererad värme, andra fjärrvärmeföretag, företag 2 (GWh)]]-Tabell38[[#This Row],[Levererad värme, andra fjärrvärmeföretag, företag 3 (GWh)]]</f>
        <v>91.427999999999997</v>
      </c>
      <c r="H239" s="102" t="str">
        <f>VLOOKUP(Tabell38[[#This Row],[Nät]],Tabell5[],2,FALSE)</f>
        <v>Lycksele</v>
      </c>
      <c r="I239" t="str">
        <f>VLOOKUP(Tabell38[[#This Row],[Nät]],'Leveranser per nät'!A:A,1,FALSE)</f>
        <v>Lycksele</v>
      </c>
      <c r="O239" t="s">
        <v>806</v>
      </c>
      <c r="P239" t="s">
        <v>806</v>
      </c>
      <c r="Q239" s="84" t="s">
        <v>806</v>
      </c>
      <c r="R239">
        <f t="shared" si="19"/>
        <v>0</v>
      </c>
      <c r="S239">
        <f t="shared" si="20"/>
        <v>0</v>
      </c>
      <c r="T239">
        <f t="shared" si="21"/>
        <v>0</v>
      </c>
      <c r="U239">
        <f t="shared" si="22"/>
        <v>0</v>
      </c>
      <c r="V239">
        <f t="shared" si="23"/>
        <v>0</v>
      </c>
      <c r="W239">
        <f t="shared" si="24"/>
        <v>0</v>
      </c>
    </row>
    <row r="240" spans="1:23" x14ac:dyDescent="0.25">
      <c r="A240" t="s">
        <v>571</v>
      </c>
      <c r="B240" t="s">
        <v>271</v>
      </c>
      <c r="C240">
        <v>2.9929999999999999</v>
      </c>
      <c r="D240">
        <v>0</v>
      </c>
      <c r="E240">
        <v>0</v>
      </c>
      <c r="F240">
        <v>0</v>
      </c>
      <c r="G240" s="105">
        <f>Tabell38[[#This Row],[Såld värme (GWh)]]-Tabell38[[#This Row],[Levererad värme, andra fjärrvärmeföretag, företag 1 (GWh)]]-Tabell38[[#This Row],[Levererad värme, andra fjärrvärmeföretag, företag 2 (GWh)]]-Tabell38[[#This Row],[Levererad värme, andra fjärrvärmeföretag, företag 3 (GWh)]]</f>
        <v>2.9929999999999999</v>
      </c>
      <c r="H240" s="102" t="str">
        <f>VLOOKUP(Tabell38[[#This Row],[Nät]],Tabell5[],2,FALSE)</f>
        <v>Lövånger</v>
      </c>
      <c r="I240" t="str">
        <f>VLOOKUP(Tabell38[[#This Row],[Nät]],'Leveranser per nät'!A:A,1,FALSE)</f>
        <v>Lövånger</v>
      </c>
      <c r="O240" t="s">
        <v>806</v>
      </c>
      <c r="P240" t="s">
        <v>806</v>
      </c>
      <c r="Q240" s="44" t="s">
        <v>806</v>
      </c>
      <c r="R240">
        <f t="shared" si="19"/>
        <v>0</v>
      </c>
      <c r="S240">
        <f t="shared" si="20"/>
        <v>0</v>
      </c>
      <c r="T240">
        <f t="shared" si="21"/>
        <v>0</v>
      </c>
      <c r="U240">
        <f t="shared" si="22"/>
        <v>0</v>
      </c>
      <c r="V240">
        <f t="shared" si="23"/>
        <v>0</v>
      </c>
      <c r="W240">
        <f t="shared" si="24"/>
        <v>0</v>
      </c>
    </row>
    <row r="241" spans="1:23" x14ac:dyDescent="0.25">
      <c r="A241" t="s">
        <v>571</v>
      </c>
      <c r="B241" t="s">
        <v>257</v>
      </c>
      <c r="C241">
        <v>74.311999999999998</v>
      </c>
      <c r="D241">
        <v>0</v>
      </c>
      <c r="E241">
        <v>0</v>
      </c>
      <c r="F241">
        <v>0</v>
      </c>
      <c r="G241" s="105">
        <f>Tabell38[[#This Row],[Såld värme (GWh)]]-Tabell38[[#This Row],[Levererad värme, andra fjärrvärmeföretag, företag 1 (GWh)]]-Tabell38[[#This Row],[Levererad värme, andra fjärrvärmeföretag, företag 2 (GWh)]]-Tabell38[[#This Row],[Levererad värme, andra fjärrvärmeföretag, företag 3 (GWh)]]</f>
        <v>74.311999999999998</v>
      </c>
      <c r="H241" s="102" t="str">
        <f>VLOOKUP(Tabell38[[#This Row],[Nät]],Tabell5[],2,FALSE)</f>
        <v>Malå</v>
      </c>
      <c r="I241" t="str">
        <f>VLOOKUP(Tabell38[[#This Row],[Nät]],'Leveranser per nät'!A:A,1,FALSE)</f>
        <v>Malå</v>
      </c>
      <c r="O241" t="s">
        <v>806</v>
      </c>
      <c r="P241" t="s">
        <v>806</v>
      </c>
      <c r="Q241" s="84" t="s">
        <v>806</v>
      </c>
      <c r="R241">
        <f t="shared" si="19"/>
        <v>0</v>
      </c>
      <c r="S241">
        <f t="shared" si="20"/>
        <v>0</v>
      </c>
      <c r="T241">
        <f t="shared" si="21"/>
        <v>0</v>
      </c>
      <c r="U241">
        <f t="shared" si="22"/>
        <v>0</v>
      </c>
      <c r="V241">
        <f t="shared" si="23"/>
        <v>0</v>
      </c>
      <c r="W241">
        <f t="shared" si="24"/>
        <v>0</v>
      </c>
    </row>
    <row r="242" spans="1:23" x14ac:dyDescent="0.25">
      <c r="A242" t="s">
        <v>571</v>
      </c>
      <c r="B242" t="s">
        <v>258</v>
      </c>
      <c r="C242">
        <v>12.637</v>
      </c>
      <c r="D242">
        <v>0</v>
      </c>
      <c r="E242">
        <v>0</v>
      </c>
      <c r="F242">
        <v>0</v>
      </c>
      <c r="G242" s="105">
        <f>Tabell38[[#This Row],[Såld värme (GWh)]]-Tabell38[[#This Row],[Levererad värme, andra fjärrvärmeföretag, företag 1 (GWh)]]-Tabell38[[#This Row],[Levererad värme, andra fjärrvärmeföretag, företag 2 (GWh)]]-Tabell38[[#This Row],[Levererad värme, andra fjärrvärmeföretag, företag 3 (GWh)]]</f>
        <v>12.637</v>
      </c>
      <c r="H242" s="102" t="str">
        <f>VLOOKUP(Tabell38[[#This Row],[Nät]],Tabell5[],2,FALSE)</f>
        <v>Norsjö</v>
      </c>
      <c r="I242" t="str">
        <f>VLOOKUP(Tabell38[[#This Row],[Nät]],'Leveranser per nät'!A:A,1,FALSE)</f>
        <v>Norsjö</v>
      </c>
      <c r="O242" t="s">
        <v>806</v>
      </c>
      <c r="P242" t="s">
        <v>806</v>
      </c>
      <c r="Q242" s="44" t="s">
        <v>806</v>
      </c>
      <c r="R242">
        <f t="shared" si="19"/>
        <v>0</v>
      </c>
      <c r="S242">
        <f t="shared" si="20"/>
        <v>0</v>
      </c>
      <c r="T242">
        <f t="shared" si="21"/>
        <v>0</v>
      </c>
      <c r="U242">
        <f t="shared" si="22"/>
        <v>0</v>
      </c>
      <c r="V242">
        <f t="shared" si="23"/>
        <v>0</v>
      </c>
      <c r="W242">
        <f t="shared" si="24"/>
        <v>0</v>
      </c>
    </row>
    <row r="243" spans="1:23" x14ac:dyDescent="0.25">
      <c r="A243" t="s">
        <v>571</v>
      </c>
      <c r="B243" t="s">
        <v>262</v>
      </c>
      <c r="C243">
        <v>7.8410000000000002</v>
      </c>
      <c r="D243">
        <v>0</v>
      </c>
      <c r="E243">
        <v>0</v>
      </c>
      <c r="F243">
        <v>0</v>
      </c>
      <c r="G243" s="105">
        <f>Tabell38[[#This Row],[Såld värme (GWh)]]-Tabell38[[#This Row],[Levererad värme, andra fjärrvärmeföretag, företag 1 (GWh)]]-Tabell38[[#This Row],[Levererad värme, andra fjärrvärmeföretag, företag 2 (GWh)]]-Tabell38[[#This Row],[Levererad värme, andra fjärrvärmeföretag, företag 3 (GWh)]]</f>
        <v>7.8410000000000002</v>
      </c>
      <c r="H243" s="102" t="str">
        <f>VLOOKUP(Tabell38[[#This Row],[Nät]],Tabell5[],2,FALSE)</f>
        <v>Robertsfors</v>
      </c>
      <c r="I243" t="str">
        <f>VLOOKUP(Tabell38[[#This Row],[Nät]],'Leveranser per nät'!A:A,1,FALSE)</f>
        <v>Robertsfors</v>
      </c>
      <c r="O243" t="s">
        <v>806</v>
      </c>
      <c r="P243" t="s">
        <v>806</v>
      </c>
      <c r="Q243" s="84" t="s">
        <v>806</v>
      </c>
      <c r="R243">
        <f t="shared" si="19"/>
        <v>0</v>
      </c>
      <c r="S243">
        <f t="shared" si="20"/>
        <v>0</v>
      </c>
      <c r="T243">
        <f t="shared" si="21"/>
        <v>0</v>
      </c>
      <c r="U243">
        <f t="shared" si="22"/>
        <v>0</v>
      </c>
      <c r="V243">
        <f t="shared" si="23"/>
        <v>0</v>
      </c>
      <c r="W243">
        <f t="shared" si="24"/>
        <v>0</v>
      </c>
    </row>
    <row r="244" spans="1:23" x14ac:dyDescent="0.25">
      <c r="A244" t="s">
        <v>571</v>
      </c>
      <c r="B244" t="s">
        <v>261</v>
      </c>
      <c r="C244">
        <v>312.03300000000002</v>
      </c>
      <c r="D244">
        <v>0</v>
      </c>
      <c r="E244">
        <v>0</v>
      </c>
      <c r="F244">
        <v>0</v>
      </c>
      <c r="G244" s="105">
        <f>Tabell38[[#This Row],[Såld värme (GWh)]]-Tabell38[[#This Row],[Levererad värme, andra fjärrvärmeföretag, företag 1 (GWh)]]-Tabell38[[#This Row],[Levererad värme, andra fjärrvärmeföretag, företag 2 (GWh)]]-Tabell38[[#This Row],[Levererad värme, andra fjärrvärmeföretag, företag 3 (GWh)]]</f>
        <v>312.03300000000002</v>
      </c>
      <c r="H244" s="102" t="str">
        <f>VLOOKUP(Tabell38[[#This Row],[Nät]],Tabell5[],2,FALSE)</f>
        <v>Skellefteå</v>
      </c>
      <c r="I244" t="str">
        <f>VLOOKUP(Tabell38[[#This Row],[Nät]],'Leveranser per nät'!A:A,1,FALSE)</f>
        <v>Skellefteå</v>
      </c>
      <c r="O244" t="s">
        <v>806</v>
      </c>
      <c r="P244" t="s">
        <v>806</v>
      </c>
      <c r="Q244" s="44" t="s">
        <v>806</v>
      </c>
      <c r="R244">
        <f t="shared" si="19"/>
        <v>0</v>
      </c>
      <c r="S244">
        <f t="shared" si="20"/>
        <v>0</v>
      </c>
      <c r="T244">
        <f t="shared" si="21"/>
        <v>0</v>
      </c>
      <c r="U244">
        <f t="shared" si="22"/>
        <v>0</v>
      </c>
      <c r="V244">
        <f t="shared" si="23"/>
        <v>0</v>
      </c>
      <c r="W244">
        <f t="shared" si="24"/>
        <v>0</v>
      </c>
    </row>
    <row r="245" spans="1:23" x14ac:dyDescent="0.25">
      <c r="A245" t="s">
        <v>571</v>
      </c>
      <c r="B245" t="s">
        <v>272</v>
      </c>
      <c r="C245">
        <v>27.164000000000001</v>
      </c>
      <c r="D245">
        <v>0</v>
      </c>
      <c r="E245">
        <v>0</v>
      </c>
      <c r="F245">
        <v>0</v>
      </c>
      <c r="G245" s="105">
        <f>Tabell38[[#This Row],[Såld värme (GWh)]]-Tabell38[[#This Row],[Levererad värme, andra fjärrvärmeföretag, företag 1 (GWh)]]-Tabell38[[#This Row],[Levererad värme, andra fjärrvärmeföretag, företag 2 (GWh)]]-Tabell38[[#This Row],[Levererad värme, andra fjärrvärmeföretag, företag 3 (GWh)]]</f>
        <v>27.164000000000001</v>
      </c>
      <c r="H245" s="102" t="str">
        <f>VLOOKUP(Tabell38[[#This Row],[Nät]],Tabell5[],2,FALSE)</f>
        <v>Storuman</v>
      </c>
      <c r="I245" t="str">
        <f>VLOOKUP(Tabell38[[#This Row],[Nät]],'Leveranser per nät'!A:A,1,FALSE)</f>
        <v>Storuman</v>
      </c>
      <c r="O245" t="s">
        <v>806</v>
      </c>
      <c r="P245" t="s">
        <v>806</v>
      </c>
      <c r="Q245" s="84" t="s">
        <v>806</v>
      </c>
      <c r="R245">
        <f t="shared" si="19"/>
        <v>0</v>
      </c>
      <c r="S245">
        <f t="shared" si="20"/>
        <v>0</v>
      </c>
      <c r="T245">
        <f t="shared" si="21"/>
        <v>0</v>
      </c>
      <c r="U245">
        <f t="shared" si="22"/>
        <v>0</v>
      </c>
      <c r="V245">
        <f t="shared" si="23"/>
        <v>0</v>
      </c>
      <c r="W245">
        <f t="shared" si="24"/>
        <v>0</v>
      </c>
    </row>
    <row r="246" spans="1:23" x14ac:dyDescent="0.25">
      <c r="A246" t="s">
        <v>571</v>
      </c>
      <c r="B246" t="s">
        <v>273</v>
      </c>
      <c r="C246">
        <v>28.146000000000001</v>
      </c>
      <c r="D246">
        <v>0</v>
      </c>
      <c r="E246">
        <v>0</v>
      </c>
      <c r="F246">
        <v>0</v>
      </c>
      <c r="G246" s="105">
        <f>Tabell38[[#This Row],[Såld värme (GWh)]]-Tabell38[[#This Row],[Levererad värme, andra fjärrvärmeföretag, företag 1 (GWh)]]-Tabell38[[#This Row],[Levererad värme, andra fjärrvärmeföretag, företag 2 (GWh)]]-Tabell38[[#This Row],[Levererad värme, andra fjärrvärmeföretag, företag 3 (GWh)]]</f>
        <v>28.146000000000001</v>
      </c>
      <c r="H246" s="102" t="str">
        <f>VLOOKUP(Tabell38[[#This Row],[Nät]],Tabell5[],2,FALSE)</f>
        <v>Ursviken-Skelleftehamn</v>
      </c>
      <c r="I246" t="str">
        <f>VLOOKUP(Tabell38[[#This Row],[Nät]],'Leveranser per nät'!A:A,1,FALSE)</f>
        <v>Ursviken-Skelleftehamn</v>
      </c>
      <c r="O246" t="s">
        <v>806</v>
      </c>
      <c r="P246" t="s">
        <v>806</v>
      </c>
      <c r="Q246" s="44" t="s">
        <v>806</v>
      </c>
      <c r="R246">
        <f t="shared" si="19"/>
        <v>0</v>
      </c>
      <c r="S246">
        <f t="shared" si="20"/>
        <v>0</v>
      </c>
      <c r="T246">
        <f t="shared" si="21"/>
        <v>0</v>
      </c>
      <c r="U246">
        <f t="shared" si="22"/>
        <v>0</v>
      </c>
      <c r="V246">
        <f t="shared" si="23"/>
        <v>0</v>
      </c>
      <c r="W246">
        <f t="shared" si="24"/>
        <v>0</v>
      </c>
    </row>
    <row r="247" spans="1:23" x14ac:dyDescent="0.25">
      <c r="A247" t="s">
        <v>571</v>
      </c>
      <c r="B247" t="s">
        <v>260</v>
      </c>
      <c r="C247">
        <v>12.211</v>
      </c>
      <c r="D247">
        <v>0</v>
      </c>
      <c r="E247">
        <v>0</v>
      </c>
      <c r="F247">
        <v>0</v>
      </c>
      <c r="G247" s="105">
        <f>Tabell38[[#This Row],[Såld värme (GWh)]]-Tabell38[[#This Row],[Levererad värme, andra fjärrvärmeföretag, företag 1 (GWh)]]-Tabell38[[#This Row],[Levererad värme, andra fjärrvärmeföretag, företag 2 (GWh)]]-Tabell38[[#This Row],[Levererad värme, andra fjärrvärmeföretag, företag 3 (GWh)]]</f>
        <v>12.211</v>
      </c>
      <c r="H247" s="102" t="str">
        <f>VLOOKUP(Tabell38[[#This Row],[Nät]],Tabell5[],2,FALSE)</f>
        <v>Vindeln</v>
      </c>
      <c r="I247" t="str">
        <f>VLOOKUP(Tabell38[[#This Row],[Nät]],'Leveranser per nät'!A:A,1,FALSE)</f>
        <v>Vindeln</v>
      </c>
      <c r="O247" t="s">
        <v>806</v>
      </c>
      <c r="P247" t="s">
        <v>806</v>
      </c>
      <c r="Q247" s="84" t="s">
        <v>806</v>
      </c>
      <c r="R247">
        <f t="shared" si="19"/>
        <v>0</v>
      </c>
      <c r="S247">
        <f t="shared" si="20"/>
        <v>0</v>
      </c>
      <c r="T247">
        <f t="shared" si="21"/>
        <v>0</v>
      </c>
      <c r="U247">
        <f t="shared" si="22"/>
        <v>0</v>
      </c>
      <c r="V247">
        <f t="shared" si="23"/>
        <v>0</v>
      </c>
      <c r="W247">
        <f t="shared" si="24"/>
        <v>0</v>
      </c>
    </row>
    <row r="248" spans="1:23" x14ac:dyDescent="0.25">
      <c r="A248" t="s">
        <v>571</v>
      </c>
      <c r="B248" t="s">
        <v>274</v>
      </c>
      <c r="C248">
        <v>2.2197</v>
      </c>
      <c r="D248">
        <v>0</v>
      </c>
      <c r="E248">
        <v>0</v>
      </c>
      <c r="F248">
        <v>0</v>
      </c>
      <c r="G248" s="105">
        <f>Tabell38[[#This Row],[Såld värme (GWh)]]-Tabell38[[#This Row],[Levererad värme, andra fjärrvärmeföretag, företag 1 (GWh)]]-Tabell38[[#This Row],[Levererad värme, andra fjärrvärmeföretag, företag 2 (GWh)]]-Tabell38[[#This Row],[Levererad värme, andra fjärrvärmeföretag, företag 3 (GWh)]]</f>
        <v>2.2197</v>
      </c>
      <c r="H248" s="102" t="str">
        <f>VLOOKUP(Tabell38[[#This Row],[Nät]],Tabell5[],2,FALSE)</f>
        <v>Ånäset</v>
      </c>
      <c r="I248" t="str">
        <f>VLOOKUP(Tabell38[[#This Row],[Nät]],'Leveranser per nät'!A:A,1,FALSE)</f>
        <v>Ånäset</v>
      </c>
      <c r="O248" t="s">
        <v>806</v>
      </c>
      <c r="P248" t="s">
        <v>806</v>
      </c>
      <c r="Q248" s="44" t="s">
        <v>806</v>
      </c>
      <c r="R248">
        <f t="shared" si="19"/>
        <v>0</v>
      </c>
      <c r="S248">
        <f t="shared" si="20"/>
        <v>0</v>
      </c>
      <c r="T248">
        <f t="shared" si="21"/>
        <v>0</v>
      </c>
      <c r="U248">
        <f t="shared" si="22"/>
        <v>0</v>
      </c>
      <c r="V248">
        <f t="shared" si="23"/>
        <v>0</v>
      </c>
      <c r="W248">
        <f t="shared" si="24"/>
        <v>0</v>
      </c>
    </row>
    <row r="249" spans="1:23" x14ac:dyDescent="0.25">
      <c r="A249" t="s">
        <v>994</v>
      </c>
      <c r="B249" t="s">
        <v>276</v>
      </c>
      <c r="C249">
        <v>9.2460000000000004</v>
      </c>
      <c r="D249">
        <v>0</v>
      </c>
      <c r="E249">
        <v>0</v>
      </c>
      <c r="F249">
        <v>0</v>
      </c>
      <c r="G249" s="105">
        <f>Tabell38[[#This Row],[Såld värme (GWh)]]-Tabell38[[#This Row],[Levererad värme, andra fjärrvärmeföretag, företag 1 (GWh)]]-Tabell38[[#This Row],[Levererad värme, andra fjärrvärmeföretag, företag 2 (GWh)]]-Tabell38[[#This Row],[Levererad värme, andra fjärrvärmeföretag, företag 3 (GWh)]]</f>
        <v>9.2460000000000004</v>
      </c>
      <c r="H249" s="102" t="str">
        <f>VLOOKUP(Tabell38[[#This Row],[Nät]],Tabell5[],2,FALSE)</f>
        <v>Skultorp</v>
      </c>
      <c r="I249" t="str">
        <f>VLOOKUP(Tabell38[[#This Row],[Nät]],'Leveranser per nät'!A:A,1,FALSE)</f>
        <v>Skultorp</v>
      </c>
      <c r="O249" t="s">
        <v>806</v>
      </c>
      <c r="P249" t="s">
        <v>806</v>
      </c>
      <c r="Q249" s="84" t="s">
        <v>806</v>
      </c>
      <c r="R249">
        <f t="shared" si="19"/>
        <v>0</v>
      </c>
      <c r="S249">
        <f t="shared" si="20"/>
        <v>0</v>
      </c>
      <c r="T249">
        <f t="shared" si="21"/>
        <v>0</v>
      </c>
      <c r="U249">
        <f t="shared" si="22"/>
        <v>0</v>
      </c>
      <c r="V249">
        <f t="shared" si="23"/>
        <v>0</v>
      </c>
      <c r="W249">
        <f t="shared" si="24"/>
        <v>0</v>
      </c>
    </row>
    <row r="250" spans="1:23" x14ac:dyDescent="0.25">
      <c r="A250" t="s">
        <v>994</v>
      </c>
      <c r="B250" t="s">
        <v>275</v>
      </c>
      <c r="C250">
        <v>314.625</v>
      </c>
      <c r="D250">
        <v>0</v>
      </c>
      <c r="E250">
        <v>0</v>
      </c>
      <c r="F250">
        <v>0</v>
      </c>
      <c r="G250" s="105">
        <f>Tabell38[[#This Row],[Såld värme (GWh)]]-Tabell38[[#This Row],[Levererad värme, andra fjärrvärmeföretag, företag 1 (GWh)]]-Tabell38[[#This Row],[Levererad värme, andra fjärrvärmeföretag, företag 2 (GWh)]]-Tabell38[[#This Row],[Levererad värme, andra fjärrvärmeföretag, företag 3 (GWh)]]</f>
        <v>314.625</v>
      </c>
      <c r="H250" s="102" t="str">
        <f>VLOOKUP(Tabell38[[#This Row],[Nät]],Tabell5[],2,FALSE)</f>
        <v>Skövde</v>
      </c>
      <c r="I250" t="str">
        <f>VLOOKUP(Tabell38[[#This Row],[Nät]],'Leveranser per nät'!A:A,1,FALSE)</f>
        <v>Skövde</v>
      </c>
      <c r="O250" t="s">
        <v>806</v>
      </c>
      <c r="P250" t="s">
        <v>806</v>
      </c>
      <c r="Q250" s="44" t="s">
        <v>806</v>
      </c>
      <c r="R250">
        <f t="shared" si="19"/>
        <v>0</v>
      </c>
      <c r="S250">
        <f t="shared" si="20"/>
        <v>0</v>
      </c>
      <c r="T250">
        <f t="shared" si="21"/>
        <v>0</v>
      </c>
      <c r="U250">
        <f t="shared" si="22"/>
        <v>0</v>
      </c>
      <c r="V250">
        <f t="shared" si="23"/>
        <v>0</v>
      </c>
      <c r="W250">
        <f t="shared" si="24"/>
        <v>0</v>
      </c>
    </row>
    <row r="251" spans="1:23" x14ac:dyDescent="0.25">
      <c r="A251" t="s">
        <v>994</v>
      </c>
      <c r="B251" t="s">
        <v>277</v>
      </c>
      <c r="C251">
        <v>4.1470000000000002</v>
      </c>
      <c r="D251">
        <v>0</v>
      </c>
      <c r="E251">
        <v>0</v>
      </c>
      <c r="F251">
        <v>0</v>
      </c>
      <c r="G251" s="105">
        <f>Tabell38[[#This Row],[Såld värme (GWh)]]-Tabell38[[#This Row],[Levererad värme, andra fjärrvärmeföretag, företag 1 (GWh)]]-Tabell38[[#This Row],[Levererad värme, andra fjärrvärmeföretag, företag 2 (GWh)]]-Tabell38[[#This Row],[Levererad värme, andra fjärrvärmeföretag, företag 3 (GWh)]]</f>
        <v>4.1470000000000002</v>
      </c>
      <c r="H251" s="102" t="str">
        <f>VLOOKUP(Tabell38[[#This Row],[Nät]],Tabell5[],2,FALSE)</f>
        <v>Stöpen</v>
      </c>
      <c r="I251" t="str">
        <f>VLOOKUP(Tabell38[[#This Row],[Nät]],'Leveranser per nät'!A:A,1,FALSE)</f>
        <v>Stöpen</v>
      </c>
      <c r="O251" t="s">
        <v>806</v>
      </c>
      <c r="P251" t="s">
        <v>806</v>
      </c>
      <c r="Q251" s="84" t="s">
        <v>806</v>
      </c>
      <c r="R251">
        <f t="shared" si="19"/>
        <v>0</v>
      </c>
      <c r="S251">
        <f t="shared" si="20"/>
        <v>0</v>
      </c>
      <c r="T251">
        <f t="shared" si="21"/>
        <v>0</v>
      </c>
      <c r="U251">
        <f t="shared" si="22"/>
        <v>0</v>
      </c>
      <c r="V251">
        <f t="shared" si="23"/>
        <v>0</v>
      </c>
      <c r="W251">
        <f t="shared" si="24"/>
        <v>0</v>
      </c>
    </row>
    <row r="252" spans="1:23" x14ac:dyDescent="0.25">
      <c r="A252" t="s">
        <v>994</v>
      </c>
      <c r="B252" t="s">
        <v>719</v>
      </c>
      <c r="C252">
        <v>1.8080000000000001</v>
      </c>
      <c r="D252">
        <v>0</v>
      </c>
      <c r="E252">
        <v>0</v>
      </c>
      <c r="F252">
        <v>0</v>
      </c>
      <c r="G252" s="105">
        <f>Tabell38[[#This Row],[Såld värme (GWh)]]-Tabell38[[#This Row],[Levererad värme, andra fjärrvärmeföretag, företag 1 (GWh)]]-Tabell38[[#This Row],[Levererad värme, andra fjärrvärmeföretag, företag 2 (GWh)]]-Tabell38[[#This Row],[Levererad värme, andra fjärrvärmeföretag, företag 3 (GWh)]]</f>
        <v>1.8080000000000001</v>
      </c>
      <c r="H252" s="102" t="str">
        <f>VLOOKUP(Tabell38[[#This Row],[Nät]],Tabell5[],2,FALSE)</f>
        <v>Tidan</v>
      </c>
      <c r="I252" t="str">
        <f>VLOOKUP(Tabell38[[#This Row],[Nät]],'Leveranser per nät'!A:A,1,FALSE)</f>
        <v>Tidan</v>
      </c>
      <c r="O252" t="s">
        <v>806</v>
      </c>
      <c r="P252" t="s">
        <v>806</v>
      </c>
      <c r="Q252" s="44" t="s">
        <v>806</v>
      </c>
      <c r="R252">
        <f t="shared" si="19"/>
        <v>0</v>
      </c>
      <c r="S252">
        <f t="shared" si="20"/>
        <v>0</v>
      </c>
      <c r="T252">
        <f t="shared" si="21"/>
        <v>0</v>
      </c>
      <c r="U252">
        <f t="shared" si="22"/>
        <v>0</v>
      </c>
      <c r="V252">
        <f t="shared" si="23"/>
        <v>0</v>
      </c>
      <c r="W252">
        <f t="shared" si="24"/>
        <v>0</v>
      </c>
    </row>
    <row r="253" spans="1:23" x14ac:dyDescent="0.25">
      <c r="A253" t="s">
        <v>994</v>
      </c>
      <c r="B253" t="s">
        <v>428</v>
      </c>
      <c r="C253">
        <v>2.8380000000000001</v>
      </c>
      <c r="D253">
        <v>0</v>
      </c>
      <c r="E253">
        <v>0</v>
      </c>
      <c r="F253">
        <v>0</v>
      </c>
      <c r="G253" s="105">
        <f>Tabell38[[#This Row],[Såld värme (GWh)]]-Tabell38[[#This Row],[Levererad värme, andra fjärrvärmeföretag, företag 1 (GWh)]]-Tabell38[[#This Row],[Levererad värme, andra fjärrvärmeföretag, företag 2 (GWh)]]-Tabell38[[#This Row],[Levererad värme, andra fjärrvärmeföretag, företag 3 (GWh)]]</f>
        <v>2.8380000000000001</v>
      </c>
      <c r="H253" s="102" t="str">
        <f>VLOOKUP(Tabell38[[#This Row],[Nät]],Tabell5[],2,FALSE)</f>
        <v>Timmersdala</v>
      </c>
      <c r="I253" t="str">
        <f>VLOOKUP(Tabell38[[#This Row],[Nät]],'Leveranser per nät'!A:A,1,FALSE)</f>
        <v>Timmersdala</v>
      </c>
      <c r="O253" t="s">
        <v>806</v>
      </c>
      <c r="P253" t="s">
        <v>806</v>
      </c>
      <c r="Q253" s="84" t="s">
        <v>806</v>
      </c>
      <c r="R253">
        <f t="shared" si="19"/>
        <v>0</v>
      </c>
      <c r="S253">
        <f t="shared" si="20"/>
        <v>0</v>
      </c>
      <c r="T253">
        <f t="shared" si="21"/>
        <v>0</v>
      </c>
      <c r="U253">
        <f t="shared" si="22"/>
        <v>0</v>
      </c>
      <c r="V253">
        <f t="shared" si="23"/>
        <v>0</v>
      </c>
      <c r="W253">
        <f t="shared" si="24"/>
        <v>0</v>
      </c>
    </row>
    <row r="254" spans="1:23" x14ac:dyDescent="0.25">
      <c r="A254" t="s">
        <v>701</v>
      </c>
      <c r="B254" t="s">
        <v>278</v>
      </c>
      <c r="C254">
        <v>37.94</v>
      </c>
      <c r="D254">
        <v>0</v>
      </c>
      <c r="E254">
        <v>0</v>
      </c>
      <c r="F254">
        <v>0</v>
      </c>
      <c r="G254" s="105">
        <f>Tabell38[[#This Row],[Såld värme (GWh)]]-Tabell38[[#This Row],[Levererad värme, andra fjärrvärmeföretag, företag 1 (GWh)]]-Tabell38[[#This Row],[Levererad värme, andra fjärrvärmeföretag, företag 2 (GWh)]]-Tabell38[[#This Row],[Levererad värme, andra fjärrvärmeföretag, företag 3 (GWh)]]</f>
        <v>37.94</v>
      </c>
      <c r="H254" s="102" t="str">
        <f>VLOOKUP(Tabell38[[#This Row],[Nät]],Tabell5[],2,FALSE)</f>
        <v>Smedjebacken</v>
      </c>
      <c r="I254" t="str">
        <f>VLOOKUP(Tabell38[[#This Row],[Nät]],'Leveranser per nät'!A:A,1,FALSE)</f>
        <v>Smedjebacken</v>
      </c>
      <c r="O254" t="s">
        <v>805</v>
      </c>
      <c r="P254" t="s">
        <v>805</v>
      </c>
      <c r="Q254" s="44" t="s">
        <v>805</v>
      </c>
      <c r="R254" t="str">
        <f t="shared" si="19"/>
        <v>-</v>
      </c>
      <c r="S254" t="str">
        <f t="shared" si="20"/>
        <v>-</v>
      </c>
      <c r="T254" t="str">
        <f t="shared" si="21"/>
        <v>-</v>
      </c>
      <c r="U254">
        <f t="shared" si="22"/>
        <v>0</v>
      </c>
      <c r="V254">
        <f t="shared" si="23"/>
        <v>0</v>
      </c>
      <c r="W254">
        <f t="shared" si="24"/>
        <v>0</v>
      </c>
    </row>
    <row r="255" spans="1:23" x14ac:dyDescent="0.25">
      <c r="A255" t="s">
        <v>701</v>
      </c>
      <c r="B255" t="s">
        <v>279</v>
      </c>
      <c r="C255">
        <v>3.5819999999999999</v>
      </c>
      <c r="D255">
        <v>0</v>
      </c>
      <c r="E255">
        <v>0</v>
      </c>
      <c r="F255">
        <v>0</v>
      </c>
      <c r="G255" s="105">
        <f>Tabell38[[#This Row],[Såld värme (GWh)]]-Tabell38[[#This Row],[Levererad värme, andra fjärrvärmeföretag, företag 1 (GWh)]]-Tabell38[[#This Row],[Levererad värme, andra fjärrvärmeföretag, företag 2 (GWh)]]-Tabell38[[#This Row],[Levererad värme, andra fjärrvärmeföretag, företag 3 (GWh)]]</f>
        <v>3.5819999999999999</v>
      </c>
      <c r="H255" s="102" t="str">
        <f>VLOOKUP(Tabell38[[#This Row],[Nät]],Tabell5[],2,FALSE)</f>
        <v>Söderbärke</v>
      </c>
      <c r="I255" t="str">
        <f>VLOOKUP(Tabell38[[#This Row],[Nät]],'Leveranser per nät'!A:A,1,FALSE)</f>
        <v>Söderbärke</v>
      </c>
      <c r="O255" t="s">
        <v>806</v>
      </c>
      <c r="P255" t="s">
        <v>806</v>
      </c>
      <c r="Q255" s="84" t="s">
        <v>806</v>
      </c>
      <c r="R255">
        <f t="shared" si="19"/>
        <v>0</v>
      </c>
      <c r="S255">
        <f t="shared" si="20"/>
        <v>0</v>
      </c>
      <c r="T255">
        <f t="shared" si="21"/>
        <v>0</v>
      </c>
      <c r="U255">
        <f t="shared" si="22"/>
        <v>0</v>
      </c>
      <c r="V255">
        <f t="shared" si="23"/>
        <v>0</v>
      </c>
      <c r="W255">
        <f t="shared" si="24"/>
        <v>0</v>
      </c>
    </row>
    <row r="256" spans="1:23" x14ac:dyDescent="0.25">
      <c r="A256" t="s">
        <v>995</v>
      </c>
      <c r="B256" t="s">
        <v>280</v>
      </c>
      <c r="C256">
        <v>265.60000000000002</v>
      </c>
      <c r="D256">
        <v>0</v>
      </c>
      <c r="E256">
        <v>0</v>
      </c>
      <c r="F256">
        <v>0</v>
      </c>
      <c r="G256" s="105">
        <f>Tabell38[[#This Row],[Såld värme (GWh)]]-Tabell38[[#This Row],[Levererad värme, andra fjärrvärmeföretag, företag 1 (GWh)]]-Tabell38[[#This Row],[Levererad värme, andra fjärrvärmeföretag, företag 2 (GWh)]]-Tabell38[[#This Row],[Levererad värme, andra fjärrvärmeföretag, företag 3 (GWh)]]</f>
        <v>265.60000000000002</v>
      </c>
      <c r="H256" s="102" t="str">
        <f>VLOOKUP(Tabell38[[#This Row],[Nät]],Tabell5[],2,FALSE)</f>
        <v>Sollentuna</v>
      </c>
      <c r="I256" t="str">
        <f>VLOOKUP(Tabell38[[#This Row],[Nät]],'Leveranser per nät'!A:A,1,FALSE)</f>
        <v>Sollentuna</v>
      </c>
      <c r="O256" t="s">
        <v>806</v>
      </c>
      <c r="P256" t="s">
        <v>806</v>
      </c>
      <c r="Q256" s="44" t="s">
        <v>806</v>
      </c>
      <c r="R256">
        <f t="shared" si="19"/>
        <v>0</v>
      </c>
      <c r="S256">
        <f t="shared" si="20"/>
        <v>0</v>
      </c>
      <c r="T256">
        <f t="shared" si="21"/>
        <v>0</v>
      </c>
      <c r="U256">
        <f t="shared" si="22"/>
        <v>0</v>
      </c>
      <c r="V256">
        <f t="shared" si="23"/>
        <v>0</v>
      </c>
      <c r="W256">
        <f t="shared" si="24"/>
        <v>0</v>
      </c>
    </row>
    <row r="257" spans="1:23" x14ac:dyDescent="0.25">
      <c r="A257" t="s">
        <v>1100</v>
      </c>
      <c r="B257" t="s">
        <v>1110</v>
      </c>
      <c r="C257">
        <v>4.2</v>
      </c>
      <c r="D257">
        <v>0</v>
      </c>
      <c r="E257">
        <v>0</v>
      </c>
      <c r="F257">
        <v>0</v>
      </c>
      <c r="G257" s="105">
        <f>Tabell38[[#This Row],[Såld värme (GWh)]]-Tabell38[[#This Row],[Levererad värme, andra fjärrvärmeföretag, företag 1 (GWh)]]-Tabell38[[#This Row],[Levererad värme, andra fjärrvärmeföretag, företag 2 (GWh)]]-Tabell38[[#This Row],[Levererad värme, andra fjärrvärmeföretag, företag 3 (GWh)]]</f>
        <v>4.2</v>
      </c>
      <c r="H257" s="102" t="str">
        <f>VLOOKUP(Tabell38[[#This Row],[Nät]],Tabell5[],2,FALSE)</f>
        <v>Alsike</v>
      </c>
      <c r="I257" t="e">
        <f>VLOOKUP(Tabell38[[#This Row],[Nät]],'Leveranser per nät'!A:A,1,FALSE)</f>
        <v>#N/A</v>
      </c>
      <c r="O257" t="s">
        <v>806</v>
      </c>
      <c r="P257" t="s">
        <v>806</v>
      </c>
      <c r="Q257" s="84" t="s">
        <v>806</v>
      </c>
      <c r="R257">
        <f t="shared" si="19"/>
        <v>0</v>
      </c>
      <c r="S257">
        <f t="shared" si="20"/>
        <v>0</v>
      </c>
      <c r="T257">
        <f t="shared" si="21"/>
        <v>0</v>
      </c>
      <c r="U257">
        <f t="shared" si="22"/>
        <v>0</v>
      </c>
      <c r="V257">
        <f t="shared" si="23"/>
        <v>0</v>
      </c>
      <c r="W257">
        <f t="shared" si="24"/>
        <v>0</v>
      </c>
    </row>
    <row r="258" spans="1:23" x14ac:dyDescent="0.25">
      <c r="A258" t="s">
        <v>1100</v>
      </c>
      <c r="B258" t="s">
        <v>1033</v>
      </c>
      <c r="C258">
        <v>6.5030000000000001</v>
      </c>
      <c r="D258">
        <v>0</v>
      </c>
      <c r="E258">
        <v>0</v>
      </c>
      <c r="F258">
        <v>0</v>
      </c>
      <c r="G258" s="105">
        <f>Tabell38[[#This Row],[Såld värme (GWh)]]-Tabell38[[#This Row],[Levererad värme, andra fjärrvärmeföretag, företag 1 (GWh)]]-Tabell38[[#This Row],[Levererad värme, andra fjärrvärmeföretag, företag 2 (GWh)]]-Tabell38[[#This Row],[Levererad värme, andra fjärrvärmeföretag, företag 3 (GWh)]]</f>
        <v>6.5030000000000001</v>
      </c>
      <c r="H258" s="102" t="e">
        <f>VLOOKUP(Tabell38[[#This Row],[Nät]],Tabell5[],2,FALSE)</f>
        <v>#N/A</v>
      </c>
      <c r="I258" t="e">
        <f>VLOOKUP(Tabell38[[#This Row],[Nät]],'Leveranser per nät'!A:A,1,FALSE)</f>
        <v>#N/A</v>
      </c>
      <c r="O258" t="s">
        <v>806</v>
      </c>
      <c r="P258" t="s">
        <v>806</v>
      </c>
      <c r="Q258" s="44" t="s">
        <v>806</v>
      </c>
      <c r="R258">
        <f t="shared" si="19"/>
        <v>0</v>
      </c>
      <c r="S258">
        <f t="shared" si="20"/>
        <v>0</v>
      </c>
      <c r="T258">
        <f t="shared" si="21"/>
        <v>0</v>
      </c>
      <c r="U258">
        <f t="shared" si="22"/>
        <v>0</v>
      </c>
      <c r="V258">
        <f t="shared" si="23"/>
        <v>0</v>
      </c>
      <c r="W258">
        <f t="shared" si="24"/>
        <v>0</v>
      </c>
    </row>
    <row r="259" spans="1:23" x14ac:dyDescent="0.25">
      <c r="A259" t="s">
        <v>1100</v>
      </c>
      <c r="B259" t="s">
        <v>81</v>
      </c>
      <c r="C259">
        <v>11.976000000000001</v>
      </c>
      <c r="D259">
        <v>0</v>
      </c>
      <c r="E259">
        <v>0</v>
      </c>
      <c r="F259">
        <v>0</v>
      </c>
      <c r="G259" s="105">
        <f>Tabell38[[#This Row],[Såld värme (GWh)]]-Tabell38[[#This Row],[Levererad värme, andra fjärrvärmeföretag, företag 1 (GWh)]]-Tabell38[[#This Row],[Levererad värme, andra fjärrvärmeföretag, företag 2 (GWh)]]-Tabell38[[#This Row],[Levererad värme, andra fjärrvärmeföretag, företag 3 (GWh)]]</f>
        <v>11.976000000000001</v>
      </c>
      <c r="H259" s="102" t="str">
        <f>VLOOKUP(Tabell38[[#This Row],[Nät]],Tabell5[],2,FALSE)</f>
        <v>Broby</v>
      </c>
      <c r="I259" t="str">
        <f>VLOOKUP(Tabell38[[#This Row],[Nät]],'Leveranser per nät'!A:A,1,FALSE)</f>
        <v>Broby</v>
      </c>
      <c r="O259" t="s">
        <v>806</v>
      </c>
      <c r="P259" t="s">
        <v>806</v>
      </c>
      <c r="Q259" s="84" t="s">
        <v>806</v>
      </c>
      <c r="R259">
        <f t="shared" ref="R259:R322" si="25">IF(O259="ET",0,O259)</f>
        <v>0</v>
      </c>
      <c r="S259">
        <f t="shared" ref="S259:S322" si="26">IF(P259="ET",0,P259)</f>
        <v>0</v>
      </c>
      <c r="T259">
        <f t="shared" ref="T259:T322" si="27">IF(Q259="ET",0,Q259)</f>
        <v>0</v>
      </c>
      <c r="U259">
        <f t="shared" ref="U259:U322" si="28">IF(R259="-",0,R259)</f>
        <v>0</v>
      </c>
      <c r="V259">
        <f t="shared" ref="V259:V322" si="29">IF(S259="-",0,S259)</f>
        <v>0</v>
      </c>
      <c r="W259">
        <f t="shared" ref="W259:W322" si="30">IF(T259="-",0,T259)</f>
        <v>0</v>
      </c>
    </row>
    <row r="260" spans="1:23" x14ac:dyDescent="0.25">
      <c r="A260" t="s">
        <v>1100</v>
      </c>
      <c r="B260" t="s">
        <v>450</v>
      </c>
      <c r="C260">
        <v>15.484</v>
      </c>
      <c r="D260">
        <v>0</v>
      </c>
      <c r="E260">
        <v>0</v>
      </c>
      <c r="F260">
        <v>0</v>
      </c>
      <c r="G260" s="105">
        <f>Tabell38[[#This Row],[Såld värme (GWh)]]-Tabell38[[#This Row],[Levererad värme, andra fjärrvärmeföretag, företag 1 (GWh)]]-Tabell38[[#This Row],[Levererad värme, andra fjärrvärmeföretag, företag 2 (GWh)]]-Tabell38[[#This Row],[Levererad värme, andra fjärrvärmeföretag, företag 3 (GWh)]]</f>
        <v>15.484</v>
      </c>
      <c r="H260" s="102" t="e">
        <f>VLOOKUP(Tabell38[[#This Row],[Nät]],Tabell5[],2,FALSE)</f>
        <v>#N/A</v>
      </c>
      <c r="I260" t="e">
        <f>VLOOKUP(Tabell38[[#This Row],[Nät]],'Leveranser per nät'!A:A,1,FALSE)</f>
        <v>#N/A</v>
      </c>
      <c r="O260" t="s">
        <v>806</v>
      </c>
      <c r="P260" t="s">
        <v>806</v>
      </c>
      <c r="Q260" s="44" t="s">
        <v>806</v>
      </c>
      <c r="R260">
        <f t="shared" si="25"/>
        <v>0</v>
      </c>
      <c r="S260">
        <f t="shared" si="26"/>
        <v>0</v>
      </c>
      <c r="T260">
        <f t="shared" si="27"/>
        <v>0</v>
      </c>
      <c r="U260">
        <f t="shared" si="28"/>
        <v>0</v>
      </c>
      <c r="V260">
        <f t="shared" si="29"/>
        <v>0</v>
      </c>
      <c r="W260">
        <f t="shared" si="30"/>
        <v>0</v>
      </c>
    </row>
    <row r="261" spans="1:23" x14ac:dyDescent="0.25">
      <c r="A261" t="s">
        <v>1100</v>
      </c>
      <c r="B261" t="s">
        <v>46</v>
      </c>
      <c r="C261">
        <v>14.516</v>
      </c>
      <c r="D261">
        <v>0</v>
      </c>
      <c r="E261">
        <v>0</v>
      </c>
      <c r="F261">
        <v>0</v>
      </c>
      <c r="G261" s="105">
        <f>Tabell38[[#This Row],[Såld värme (GWh)]]-Tabell38[[#This Row],[Levererad värme, andra fjärrvärmeföretag, företag 1 (GWh)]]-Tabell38[[#This Row],[Levererad värme, andra fjärrvärmeföretag, företag 2 (GWh)]]-Tabell38[[#This Row],[Levererad värme, andra fjärrvärmeföretag, företag 3 (GWh)]]</f>
        <v>14.516</v>
      </c>
      <c r="H261" s="102" t="str">
        <f>VLOOKUP(Tabell38[[#This Row],[Nät]],Tabell5[],2,FALSE)</f>
        <v>Dorotea</v>
      </c>
      <c r="I261" t="str">
        <f>VLOOKUP(Tabell38[[#This Row],[Nät]],'Leveranser per nät'!A:A,1,FALSE)</f>
        <v>Dorotea</v>
      </c>
      <c r="O261" t="s">
        <v>806</v>
      </c>
      <c r="P261" t="s">
        <v>806</v>
      </c>
      <c r="Q261" s="84" t="s">
        <v>806</v>
      </c>
      <c r="R261">
        <f t="shared" si="25"/>
        <v>0</v>
      </c>
      <c r="S261">
        <f t="shared" si="26"/>
        <v>0</v>
      </c>
      <c r="T261">
        <f t="shared" si="27"/>
        <v>0</v>
      </c>
      <c r="U261">
        <f t="shared" si="28"/>
        <v>0</v>
      </c>
      <c r="V261">
        <f t="shared" si="29"/>
        <v>0</v>
      </c>
      <c r="W261">
        <f t="shared" si="30"/>
        <v>0</v>
      </c>
    </row>
    <row r="262" spans="1:23" x14ac:dyDescent="0.25">
      <c r="A262" t="s">
        <v>1100</v>
      </c>
      <c r="B262" t="s">
        <v>239</v>
      </c>
      <c r="C262">
        <v>39.700000000000003</v>
      </c>
      <c r="D262">
        <v>0</v>
      </c>
      <c r="E262">
        <v>0</v>
      </c>
      <c r="F262">
        <v>0</v>
      </c>
      <c r="G262" s="105">
        <f>Tabell38[[#This Row],[Såld värme (GWh)]]-Tabell38[[#This Row],[Levererad värme, andra fjärrvärmeföretag, företag 1 (GWh)]]-Tabell38[[#This Row],[Levererad värme, andra fjärrvärmeföretag, företag 2 (GWh)]]-Tabell38[[#This Row],[Levererad värme, andra fjärrvärmeföretag, företag 3 (GWh)]]</f>
        <v>39.700000000000003</v>
      </c>
      <c r="H262" s="102" t="e">
        <f>VLOOKUP(Tabell38[[#This Row],[Nät]],Tabell5[],2,FALSE)</f>
        <v>#N/A</v>
      </c>
      <c r="I262" t="str">
        <f>VLOOKUP(Tabell38[[#This Row],[Nät]],'Leveranser per nät'!A:A,1,FALSE)</f>
        <v>Flen</v>
      </c>
      <c r="O262" t="s">
        <v>806</v>
      </c>
      <c r="P262" t="s">
        <v>806</v>
      </c>
      <c r="Q262" s="44" t="s">
        <v>806</v>
      </c>
      <c r="R262">
        <f t="shared" si="25"/>
        <v>0</v>
      </c>
      <c r="S262">
        <f t="shared" si="26"/>
        <v>0</v>
      </c>
      <c r="T262">
        <f t="shared" si="27"/>
        <v>0</v>
      </c>
      <c r="U262">
        <f t="shared" si="28"/>
        <v>0</v>
      </c>
      <c r="V262">
        <f t="shared" si="29"/>
        <v>0</v>
      </c>
      <c r="W262">
        <f t="shared" si="30"/>
        <v>0</v>
      </c>
    </row>
    <row r="263" spans="1:23" x14ac:dyDescent="0.25">
      <c r="A263" t="s">
        <v>1100</v>
      </c>
      <c r="B263" t="s">
        <v>486</v>
      </c>
      <c r="C263">
        <v>1.2</v>
      </c>
      <c r="D263">
        <v>0</v>
      </c>
      <c r="E263">
        <v>0</v>
      </c>
      <c r="F263">
        <v>0</v>
      </c>
      <c r="G263" s="105">
        <f>Tabell38[[#This Row],[Såld värme (GWh)]]-Tabell38[[#This Row],[Levererad värme, andra fjärrvärmeföretag, företag 1 (GWh)]]-Tabell38[[#This Row],[Levererad värme, andra fjärrvärmeföretag, företag 2 (GWh)]]-Tabell38[[#This Row],[Levererad värme, andra fjärrvärmeföretag, företag 3 (GWh)]]</f>
        <v>1.2</v>
      </c>
      <c r="H263" s="102" t="e">
        <f>VLOOKUP(Tabell38[[#This Row],[Nät]],Tabell5[],2,FALSE)</f>
        <v>#N/A</v>
      </c>
      <c r="I263" t="str">
        <f>VLOOKUP(Tabell38[[#This Row],[Nät]],'Leveranser per nät'!A:A,1,FALSE)</f>
        <v>Fliseryd</v>
      </c>
      <c r="O263" t="s">
        <v>806</v>
      </c>
      <c r="P263" t="s">
        <v>806</v>
      </c>
      <c r="Q263" s="84" t="s">
        <v>806</v>
      </c>
      <c r="R263">
        <f t="shared" si="25"/>
        <v>0</v>
      </c>
      <c r="S263">
        <f t="shared" si="26"/>
        <v>0</v>
      </c>
      <c r="T263">
        <f t="shared" si="27"/>
        <v>0</v>
      </c>
      <c r="U263">
        <f t="shared" si="28"/>
        <v>0</v>
      </c>
      <c r="V263">
        <f t="shared" si="29"/>
        <v>0</v>
      </c>
      <c r="W263">
        <f t="shared" si="30"/>
        <v>0</v>
      </c>
    </row>
    <row r="264" spans="1:23" x14ac:dyDescent="0.25">
      <c r="A264" t="s">
        <v>1100</v>
      </c>
      <c r="B264" t="s">
        <v>1111</v>
      </c>
      <c r="C264">
        <v>1.7809999999999999</v>
      </c>
      <c r="D264">
        <v>0</v>
      </c>
      <c r="E264">
        <v>0</v>
      </c>
      <c r="F264">
        <v>0</v>
      </c>
      <c r="G264" s="105">
        <f>Tabell38[[#This Row],[Såld värme (GWh)]]-Tabell38[[#This Row],[Levererad värme, andra fjärrvärmeföretag, företag 1 (GWh)]]-Tabell38[[#This Row],[Levererad värme, andra fjärrvärmeföretag, företag 2 (GWh)]]-Tabell38[[#This Row],[Levererad värme, andra fjärrvärmeföretag, företag 3 (GWh)]]</f>
        <v>1.7809999999999999</v>
      </c>
      <c r="H264" s="102" t="e">
        <f>VLOOKUP(Tabell38[[#This Row],[Nät]],Tabell5[],2,FALSE)</f>
        <v>#N/A</v>
      </c>
      <c r="I264" t="e">
        <f>VLOOKUP(Tabell38[[#This Row],[Nät]],'Leveranser per nät'!A:A,1,FALSE)</f>
        <v>#N/A</v>
      </c>
      <c r="O264" t="s">
        <v>806</v>
      </c>
      <c r="P264" t="s">
        <v>806</v>
      </c>
      <c r="Q264" s="44" t="s">
        <v>806</v>
      </c>
      <c r="R264">
        <f t="shared" si="25"/>
        <v>0</v>
      </c>
      <c r="S264">
        <f t="shared" si="26"/>
        <v>0</v>
      </c>
      <c r="T264">
        <f t="shared" si="27"/>
        <v>0</v>
      </c>
      <c r="U264">
        <f t="shared" si="28"/>
        <v>0</v>
      </c>
      <c r="V264">
        <f t="shared" si="29"/>
        <v>0</v>
      </c>
      <c r="W264">
        <f t="shared" si="30"/>
        <v>0</v>
      </c>
    </row>
    <row r="265" spans="1:23" x14ac:dyDescent="0.25">
      <c r="A265" t="s">
        <v>1100</v>
      </c>
      <c r="B265" t="s">
        <v>241</v>
      </c>
      <c r="C265">
        <v>17.8</v>
      </c>
      <c r="D265">
        <v>0</v>
      </c>
      <c r="E265">
        <v>0</v>
      </c>
      <c r="F265">
        <v>0</v>
      </c>
      <c r="G265" s="105">
        <f>Tabell38[[#This Row],[Såld värme (GWh)]]-Tabell38[[#This Row],[Levererad värme, andra fjärrvärmeföretag, företag 1 (GWh)]]-Tabell38[[#This Row],[Levererad värme, andra fjärrvärmeföretag, företag 2 (GWh)]]-Tabell38[[#This Row],[Levererad värme, andra fjärrvärmeföretag, företag 3 (GWh)]]</f>
        <v>17.8</v>
      </c>
      <c r="H265" s="102" t="str">
        <f>VLOOKUP(Tabell38[[#This Row],[Nät]],Tabell5[],2,FALSE)</f>
        <v>Gnesta</v>
      </c>
      <c r="I265" t="str">
        <f>VLOOKUP(Tabell38[[#This Row],[Nät]],'Leveranser per nät'!A:A,1,FALSE)</f>
        <v>Gnesta</v>
      </c>
      <c r="O265" t="s">
        <v>806</v>
      </c>
      <c r="P265" t="s">
        <v>806</v>
      </c>
      <c r="Q265" s="84" t="s">
        <v>806</v>
      </c>
      <c r="R265">
        <f t="shared" si="25"/>
        <v>0</v>
      </c>
      <c r="S265">
        <f t="shared" si="26"/>
        <v>0</v>
      </c>
      <c r="T265">
        <f t="shared" si="27"/>
        <v>0</v>
      </c>
      <c r="U265">
        <f t="shared" si="28"/>
        <v>0</v>
      </c>
      <c r="V265">
        <f t="shared" si="29"/>
        <v>0</v>
      </c>
      <c r="W265">
        <f t="shared" si="30"/>
        <v>0</v>
      </c>
    </row>
    <row r="266" spans="1:23" x14ac:dyDescent="0.25">
      <c r="A266" t="s">
        <v>1100</v>
      </c>
      <c r="B266" t="s">
        <v>1112</v>
      </c>
      <c r="C266" t="s">
        <v>805</v>
      </c>
      <c r="D266">
        <v>0</v>
      </c>
      <c r="E266">
        <v>0</v>
      </c>
      <c r="F266">
        <v>0</v>
      </c>
      <c r="G266"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266" s="102" t="e">
        <f>VLOOKUP(Tabell38[[#This Row],[Nät]],Tabell5[],2,FALSE)</f>
        <v>#N/A</v>
      </c>
      <c r="I266" t="e">
        <f>VLOOKUP(Tabell38[[#This Row],[Nät]],'Leveranser per nät'!A:A,1,FALSE)</f>
        <v>#N/A</v>
      </c>
      <c r="O266" t="s">
        <v>805</v>
      </c>
      <c r="P266" t="s">
        <v>805</v>
      </c>
      <c r="Q266" s="44" t="s">
        <v>805</v>
      </c>
      <c r="R266" t="str">
        <f t="shared" si="25"/>
        <v>-</v>
      </c>
      <c r="S266" t="str">
        <f t="shared" si="26"/>
        <v>-</v>
      </c>
      <c r="T266" t="str">
        <f t="shared" si="27"/>
        <v>-</v>
      </c>
      <c r="U266">
        <f t="shared" si="28"/>
        <v>0</v>
      </c>
      <c r="V266">
        <f t="shared" si="29"/>
        <v>0</v>
      </c>
      <c r="W266">
        <f t="shared" si="30"/>
        <v>0</v>
      </c>
    </row>
    <row r="267" spans="1:23" x14ac:dyDescent="0.25">
      <c r="A267" t="s">
        <v>1100</v>
      </c>
      <c r="B267" t="s">
        <v>18</v>
      </c>
      <c r="C267">
        <v>7.5990000000000002</v>
      </c>
      <c r="D267">
        <v>0</v>
      </c>
      <c r="E267">
        <v>0</v>
      </c>
      <c r="F267">
        <v>0</v>
      </c>
      <c r="G267" s="105">
        <f>Tabell38[[#This Row],[Såld värme (GWh)]]-Tabell38[[#This Row],[Levererad värme, andra fjärrvärmeföretag, företag 1 (GWh)]]-Tabell38[[#This Row],[Levererad värme, andra fjärrvärmeföretag, företag 2 (GWh)]]-Tabell38[[#This Row],[Levererad värme, andra fjärrvärmeföretag, företag 3 (GWh)]]</f>
        <v>7.5990000000000002</v>
      </c>
      <c r="H267" s="102" t="str">
        <f>VLOOKUP(Tabell38[[#This Row],[Nät]],Tabell5[],2,FALSE)</f>
        <v>Horndal</v>
      </c>
      <c r="I267" t="str">
        <f>VLOOKUP(Tabell38[[#This Row],[Nät]],'Leveranser per nät'!A:A,1,FALSE)</f>
        <v>Horndal</v>
      </c>
      <c r="O267" t="s">
        <v>806</v>
      </c>
      <c r="P267" t="s">
        <v>806</v>
      </c>
      <c r="Q267" s="84" t="s">
        <v>806</v>
      </c>
      <c r="R267">
        <f t="shared" si="25"/>
        <v>0</v>
      </c>
      <c r="S267">
        <f t="shared" si="26"/>
        <v>0</v>
      </c>
      <c r="T267">
        <f t="shared" si="27"/>
        <v>0</v>
      </c>
      <c r="U267">
        <f t="shared" si="28"/>
        <v>0</v>
      </c>
      <c r="V267">
        <f t="shared" si="29"/>
        <v>0</v>
      </c>
      <c r="W267">
        <f t="shared" si="30"/>
        <v>0</v>
      </c>
    </row>
    <row r="268" spans="1:23" x14ac:dyDescent="0.25">
      <c r="A268" t="s">
        <v>1100</v>
      </c>
      <c r="B268" t="s">
        <v>1113</v>
      </c>
      <c r="C268" t="s">
        <v>805</v>
      </c>
      <c r="D268">
        <v>0</v>
      </c>
      <c r="E268">
        <v>0</v>
      </c>
      <c r="F268">
        <v>0</v>
      </c>
      <c r="G268"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268" s="102" t="e">
        <f>VLOOKUP(Tabell38[[#This Row],[Nät]],Tabell5[],2,FALSE)</f>
        <v>#N/A</v>
      </c>
      <c r="I268" t="e">
        <f>VLOOKUP(Tabell38[[#This Row],[Nät]],'Leveranser per nät'!A:A,1,FALSE)</f>
        <v>#N/A</v>
      </c>
      <c r="O268" t="s">
        <v>805</v>
      </c>
      <c r="P268" t="s">
        <v>805</v>
      </c>
      <c r="Q268" s="44" t="s">
        <v>805</v>
      </c>
      <c r="R268" t="str">
        <f t="shared" si="25"/>
        <v>-</v>
      </c>
      <c r="S268" t="str">
        <f t="shared" si="26"/>
        <v>-</v>
      </c>
      <c r="T268" t="str">
        <f t="shared" si="27"/>
        <v>-</v>
      </c>
      <c r="U268">
        <f t="shared" si="28"/>
        <v>0</v>
      </c>
      <c r="V268">
        <f t="shared" si="29"/>
        <v>0</v>
      </c>
      <c r="W268">
        <f t="shared" si="30"/>
        <v>0</v>
      </c>
    </row>
    <row r="269" spans="1:23" x14ac:dyDescent="0.25">
      <c r="A269" t="s">
        <v>1100</v>
      </c>
      <c r="B269" t="s">
        <v>1114</v>
      </c>
      <c r="C269" t="s">
        <v>805</v>
      </c>
      <c r="D269">
        <v>0</v>
      </c>
      <c r="E269">
        <v>0</v>
      </c>
      <c r="F269">
        <v>0</v>
      </c>
      <c r="G269"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269" s="102" t="e">
        <f>VLOOKUP(Tabell38[[#This Row],[Nät]],Tabell5[],2,FALSE)</f>
        <v>#N/A</v>
      </c>
      <c r="I269" t="e">
        <f>VLOOKUP(Tabell38[[#This Row],[Nät]],'Leveranser per nät'!A:A,1,FALSE)</f>
        <v>#N/A</v>
      </c>
      <c r="O269" t="s">
        <v>805</v>
      </c>
      <c r="P269" t="s">
        <v>805</v>
      </c>
      <c r="Q269" s="84" t="s">
        <v>805</v>
      </c>
      <c r="R269" t="str">
        <f t="shared" si="25"/>
        <v>-</v>
      </c>
      <c r="S269" t="str">
        <f t="shared" si="26"/>
        <v>-</v>
      </c>
      <c r="T269" t="str">
        <f t="shared" si="27"/>
        <v>-</v>
      </c>
      <c r="U269">
        <f t="shared" si="28"/>
        <v>0</v>
      </c>
      <c r="V269">
        <f t="shared" si="29"/>
        <v>0</v>
      </c>
      <c r="W269">
        <f t="shared" si="30"/>
        <v>0</v>
      </c>
    </row>
    <row r="270" spans="1:23" x14ac:dyDescent="0.25">
      <c r="A270" t="s">
        <v>1100</v>
      </c>
      <c r="B270" t="s">
        <v>242</v>
      </c>
      <c r="C270">
        <v>23.422999999999998</v>
      </c>
      <c r="D270">
        <v>0</v>
      </c>
      <c r="E270">
        <v>0</v>
      </c>
      <c r="F270">
        <v>0</v>
      </c>
      <c r="G270" s="105">
        <f>Tabell38[[#This Row],[Såld värme (GWh)]]-Tabell38[[#This Row],[Levererad värme, andra fjärrvärmeföretag, företag 1 (GWh)]]-Tabell38[[#This Row],[Levererad värme, andra fjärrvärmeföretag, företag 2 (GWh)]]-Tabell38[[#This Row],[Levererad värme, andra fjärrvärmeföretag, företag 3 (GWh)]]</f>
        <v>23.422999999999998</v>
      </c>
      <c r="H270" s="102" t="str">
        <f>VLOOKUP(Tabell38[[#This Row],[Nät]],Tabell5[],2,FALSE)</f>
        <v>Hörby</v>
      </c>
      <c r="I270" t="str">
        <f>VLOOKUP(Tabell38[[#This Row],[Nät]],'Leveranser per nät'!A:A,1,FALSE)</f>
        <v>Hörby</v>
      </c>
      <c r="O270" t="s">
        <v>806</v>
      </c>
      <c r="P270" t="s">
        <v>806</v>
      </c>
      <c r="Q270" s="44" t="s">
        <v>806</v>
      </c>
      <c r="R270">
        <f t="shared" si="25"/>
        <v>0</v>
      </c>
      <c r="S270">
        <f t="shared" si="26"/>
        <v>0</v>
      </c>
      <c r="T270">
        <f t="shared" si="27"/>
        <v>0</v>
      </c>
      <c r="U270">
        <f t="shared" si="28"/>
        <v>0</v>
      </c>
      <c r="V270">
        <f t="shared" si="29"/>
        <v>0</v>
      </c>
      <c r="W270">
        <f t="shared" si="30"/>
        <v>0</v>
      </c>
    </row>
    <row r="271" spans="1:23" x14ac:dyDescent="0.25">
      <c r="A271" t="s">
        <v>1100</v>
      </c>
      <c r="B271" t="s">
        <v>243</v>
      </c>
      <c r="C271">
        <v>20.343</v>
      </c>
      <c r="D271">
        <v>0</v>
      </c>
      <c r="E271">
        <v>0</v>
      </c>
      <c r="F271">
        <v>0</v>
      </c>
      <c r="G271" s="105">
        <f>Tabell38[[#This Row],[Såld värme (GWh)]]-Tabell38[[#This Row],[Levererad värme, andra fjärrvärmeföretag, företag 1 (GWh)]]-Tabell38[[#This Row],[Levererad värme, andra fjärrvärmeföretag, företag 2 (GWh)]]-Tabell38[[#This Row],[Levererad värme, andra fjärrvärmeföretag, företag 3 (GWh)]]</f>
        <v>20.343</v>
      </c>
      <c r="H271" s="102" t="str">
        <f>VLOOKUP(Tabell38[[#This Row],[Nät]],Tabell5[],2,FALSE)</f>
        <v>Höör</v>
      </c>
      <c r="I271" t="str">
        <f>VLOOKUP(Tabell38[[#This Row],[Nät]],'Leveranser per nät'!A:A,1,FALSE)</f>
        <v>Höör</v>
      </c>
      <c r="O271" t="s">
        <v>806</v>
      </c>
      <c r="P271" t="s">
        <v>806</v>
      </c>
      <c r="Q271" s="84" t="s">
        <v>806</v>
      </c>
      <c r="R271">
        <f t="shared" si="25"/>
        <v>0</v>
      </c>
      <c r="S271">
        <f t="shared" si="26"/>
        <v>0</v>
      </c>
      <c r="T271">
        <f t="shared" si="27"/>
        <v>0</v>
      </c>
      <c r="U271">
        <f t="shared" si="28"/>
        <v>0</v>
      </c>
      <c r="V271">
        <f t="shared" si="29"/>
        <v>0</v>
      </c>
      <c r="W271">
        <f t="shared" si="30"/>
        <v>0</v>
      </c>
    </row>
    <row r="272" spans="1:23" x14ac:dyDescent="0.25">
      <c r="A272" t="s">
        <v>1100</v>
      </c>
      <c r="B272" t="s">
        <v>1115</v>
      </c>
      <c r="C272">
        <v>5.7839999999999998</v>
      </c>
      <c r="D272">
        <v>0</v>
      </c>
      <c r="E272">
        <v>0</v>
      </c>
      <c r="F272">
        <v>0</v>
      </c>
      <c r="G272" s="105">
        <f>Tabell38[[#This Row],[Såld värme (GWh)]]-Tabell38[[#This Row],[Levererad värme, andra fjärrvärmeföretag, företag 1 (GWh)]]-Tabell38[[#This Row],[Levererad värme, andra fjärrvärmeföretag, företag 2 (GWh)]]-Tabell38[[#This Row],[Levererad värme, andra fjärrvärmeföretag, företag 3 (GWh)]]</f>
        <v>5.7839999999999998</v>
      </c>
      <c r="H272" s="102" t="e">
        <f>VLOOKUP(Tabell38[[#This Row],[Nät]],Tabell5[],2,FALSE)</f>
        <v>#N/A</v>
      </c>
      <c r="I272" t="e">
        <f>VLOOKUP(Tabell38[[#This Row],[Nät]],'Leveranser per nät'!A:A,1,FALSE)</f>
        <v>#N/A</v>
      </c>
      <c r="O272" t="s">
        <v>806</v>
      </c>
      <c r="P272" t="s">
        <v>806</v>
      </c>
      <c r="Q272" s="44" t="s">
        <v>806</v>
      </c>
      <c r="R272">
        <f t="shared" si="25"/>
        <v>0</v>
      </c>
      <c r="S272">
        <f t="shared" si="26"/>
        <v>0</v>
      </c>
      <c r="T272">
        <f t="shared" si="27"/>
        <v>0</v>
      </c>
      <c r="U272">
        <f t="shared" si="28"/>
        <v>0</v>
      </c>
      <c r="V272">
        <f t="shared" si="29"/>
        <v>0</v>
      </c>
      <c r="W272">
        <f t="shared" si="30"/>
        <v>0</v>
      </c>
    </row>
    <row r="273" spans="1:23" x14ac:dyDescent="0.25">
      <c r="A273" t="s">
        <v>1100</v>
      </c>
      <c r="B273" t="s">
        <v>86</v>
      </c>
      <c r="C273">
        <v>9.6999999999999993</v>
      </c>
      <c r="D273">
        <v>0</v>
      </c>
      <c r="E273">
        <v>0</v>
      </c>
      <c r="F273">
        <v>0</v>
      </c>
      <c r="G273" s="105">
        <f>Tabell38[[#This Row],[Såld värme (GWh)]]-Tabell38[[#This Row],[Levererad värme, andra fjärrvärmeföretag, företag 1 (GWh)]]-Tabell38[[#This Row],[Levererad värme, andra fjärrvärmeföretag, företag 2 (GWh)]]-Tabell38[[#This Row],[Levererad värme, andra fjärrvärmeföretag, företag 3 (GWh)]]</f>
        <v>9.6999999999999993</v>
      </c>
      <c r="H273" s="102" t="str">
        <f>VLOOKUP(Tabell38[[#This Row],[Nät]],Tabell5[],2,FALSE)</f>
        <v>Lagan</v>
      </c>
      <c r="I273" t="str">
        <f>VLOOKUP(Tabell38[[#This Row],[Nät]],'Leveranser per nät'!A:A,1,FALSE)</f>
        <v>Lagan</v>
      </c>
      <c r="O273" t="s">
        <v>806</v>
      </c>
      <c r="P273" t="s">
        <v>806</v>
      </c>
      <c r="Q273" s="84" t="s">
        <v>806</v>
      </c>
      <c r="R273">
        <f t="shared" si="25"/>
        <v>0</v>
      </c>
      <c r="S273">
        <f t="shared" si="26"/>
        <v>0</v>
      </c>
      <c r="T273">
        <f t="shared" si="27"/>
        <v>0</v>
      </c>
      <c r="U273">
        <f t="shared" si="28"/>
        <v>0</v>
      </c>
      <c r="V273">
        <f t="shared" si="29"/>
        <v>0</v>
      </c>
      <c r="W273">
        <f t="shared" si="30"/>
        <v>0</v>
      </c>
    </row>
    <row r="274" spans="1:23" x14ac:dyDescent="0.25">
      <c r="A274" t="s">
        <v>1100</v>
      </c>
      <c r="B274" t="s">
        <v>76</v>
      </c>
      <c r="C274">
        <v>12.2</v>
      </c>
      <c r="D274">
        <v>0</v>
      </c>
      <c r="E274">
        <v>0</v>
      </c>
      <c r="F274">
        <v>0</v>
      </c>
      <c r="G274" s="105">
        <f>Tabell38[[#This Row],[Såld värme (GWh)]]-Tabell38[[#This Row],[Levererad värme, andra fjärrvärmeföretag, företag 1 (GWh)]]-Tabell38[[#This Row],[Levererad värme, andra fjärrvärmeföretag, företag 2 (GWh)]]-Tabell38[[#This Row],[Levererad värme, andra fjärrvärmeföretag, företag 3 (GWh)]]</f>
        <v>12.2</v>
      </c>
      <c r="H274" s="102" t="str">
        <f>VLOOKUP(Tabell38[[#This Row],[Nät]],Tabell5[],2,FALSE)</f>
        <v>Lammhult</v>
      </c>
      <c r="I274" t="str">
        <f>VLOOKUP(Tabell38[[#This Row],[Nät]],'Leveranser per nät'!A:A,1,FALSE)</f>
        <v>Lammhult</v>
      </c>
      <c r="O274" t="s">
        <v>806</v>
      </c>
      <c r="P274" t="s">
        <v>806</v>
      </c>
      <c r="Q274" s="44" t="s">
        <v>806</v>
      </c>
      <c r="R274">
        <f t="shared" si="25"/>
        <v>0</v>
      </c>
      <c r="S274">
        <f t="shared" si="26"/>
        <v>0</v>
      </c>
      <c r="T274">
        <f t="shared" si="27"/>
        <v>0</v>
      </c>
      <c r="U274">
        <f t="shared" si="28"/>
        <v>0</v>
      </c>
      <c r="V274">
        <f t="shared" si="29"/>
        <v>0</v>
      </c>
      <c r="W274">
        <f t="shared" si="30"/>
        <v>0</v>
      </c>
    </row>
    <row r="275" spans="1:23" x14ac:dyDescent="0.25">
      <c r="A275" t="s">
        <v>1100</v>
      </c>
      <c r="B275" t="s">
        <v>83</v>
      </c>
      <c r="C275">
        <v>14.48</v>
      </c>
      <c r="D275">
        <v>0</v>
      </c>
      <c r="E275">
        <v>0</v>
      </c>
      <c r="F275">
        <v>0</v>
      </c>
      <c r="G275" s="105">
        <f>Tabell38[[#This Row],[Såld värme (GWh)]]-Tabell38[[#This Row],[Levererad värme, andra fjärrvärmeföretag, företag 1 (GWh)]]-Tabell38[[#This Row],[Levererad värme, andra fjärrvärmeföretag, företag 2 (GWh)]]-Tabell38[[#This Row],[Levererad värme, andra fjärrvärmeföretag, företag 3 (GWh)]]</f>
        <v>14.48</v>
      </c>
      <c r="H275" s="102" t="str">
        <f>VLOOKUP(Tabell38[[#This Row],[Nät]],Tabell5[],2,FALSE)</f>
        <v>Landvetter</v>
      </c>
      <c r="I275" t="str">
        <f>VLOOKUP(Tabell38[[#This Row],[Nät]],'Leveranser per nät'!A:A,1,FALSE)</f>
        <v>Landvetter</v>
      </c>
      <c r="O275" t="s">
        <v>806</v>
      </c>
      <c r="P275" t="s">
        <v>806</v>
      </c>
      <c r="Q275" s="84" t="s">
        <v>806</v>
      </c>
      <c r="R275">
        <f t="shared" si="25"/>
        <v>0</v>
      </c>
      <c r="S275">
        <f t="shared" si="26"/>
        <v>0</v>
      </c>
      <c r="T275">
        <f t="shared" si="27"/>
        <v>0</v>
      </c>
      <c r="U275">
        <f t="shared" si="28"/>
        <v>0</v>
      </c>
      <c r="V275">
        <f t="shared" si="29"/>
        <v>0</v>
      </c>
      <c r="W275">
        <f t="shared" si="30"/>
        <v>0</v>
      </c>
    </row>
    <row r="276" spans="1:23" x14ac:dyDescent="0.25">
      <c r="A276" t="s">
        <v>1100</v>
      </c>
      <c r="B276" t="s">
        <v>490</v>
      </c>
      <c r="C276">
        <v>5.7</v>
      </c>
      <c r="D276">
        <v>0</v>
      </c>
      <c r="E276">
        <v>0</v>
      </c>
      <c r="F276">
        <v>0</v>
      </c>
      <c r="G276" s="105">
        <f>Tabell38[[#This Row],[Såld värme (GWh)]]-Tabell38[[#This Row],[Levererad värme, andra fjärrvärmeföretag, företag 1 (GWh)]]-Tabell38[[#This Row],[Levererad värme, andra fjärrvärmeföretag, företag 2 (GWh)]]-Tabell38[[#This Row],[Levererad värme, andra fjärrvärmeföretag, företag 3 (GWh)]]</f>
        <v>5.7</v>
      </c>
      <c r="H276" s="102" t="str">
        <f>VLOOKUP(Tabell38[[#This Row],[Nät]],Tabell5[],2,FALSE)</f>
        <v>Lidhult</v>
      </c>
      <c r="I276" t="str">
        <f>VLOOKUP(Tabell38[[#This Row],[Nät]],'Leveranser per nät'!A:A,1,FALSE)</f>
        <v>Lidhult</v>
      </c>
      <c r="O276" t="s">
        <v>806</v>
      </c>
      <c r="P276" t="s">
        <v>806</v>
      </c>
      <c r="Q276" s="44" t="s">
        <v>806</v>
      </c>
      <c r="R276">
        <f t="shared" si="25"/>
        <v>0</v>
      </c>
      <c r="S276">
        <f t="shared" si="26"/>
        <v>0</v>
      </c>
      <c r="T276">
        <f t="shared" si="27"/>
        <v>0</v>
      </c>
      <c r="U276">
        <f t="shared" si="28"/>
        <v>0</v>
      </c>
      <c r="V276">
        <f t="shared" si="29"/>
        <v>0</v>
      </c>
      <c r="W276">
        <f t="shared" si="30"/>
        <v>0</v>
      </c>
    </row>
    <row r="277" spans="1:23" x14ac:dyDescent="0.25">
      <c r="A277" t="s">
        <v>1100</v>
      </c>
      <c r="B277" t="s">
        <v>82</v>
      </c>
      <c r="C277">
        <v>18.279</v>
      </c>
      <c r="D277">
        <v>0</v>
      </c>
      <c r="E277">
        <v>0</v>
      </c>
      <c r="F277">
        <v>0</v>
      </c>
      <c r="G277" s="105">
        <f>Tabell38[[#This Row],[Såld värme (GWh)]]-Tabell38[[#This Row],[Levererad värme, andra fjärrvärmeföretag, företag 1 (GWh)]]-Tabell38[[#This Row],[Levererad värme, andra fjärrvärmeföretag, företag 2 (GWh)]]-Tabell38[[#This Row],[Levererad värme, andra fjärrvärmeföretag, företag 3 (GWh)]]</f>
        <v>18.279</v>
      </c>
      <c r="H277" s="102" t="str">
        <f>VLOOKUP(Tabell38[[#This Row],[Nät]],Tabell5[],2,FALSE)</f>
        <v>Markaryd</v>
      </c>
      <c r="I277" t="str">
        <f>VLOOKUP(Tabell38[[#This Row],[Nät]],'Leveranser per nät'!A:A,1,FALSE)</f>
        <v>Markaryd</v>
      </c>
      <c r="O277" t="s">
        <v>806</v>
      </c>
      <c r="P277" t="s">
        <v>806</v>
      </c>
      <c r="Q277" s="84" t="s">
        <v>806</v>
      </c>
      <c r="R277">
        <f t="shared" si="25"/>
        <v>0</v>
      </c>
      <c r="S277">
        <f t="shared" si="26"/>
        <v>0</v>
      </c>
      <c r="T277">
        <f t="shared" si="27"/>
        <v>0</v>
      </c>
      <c r="U277">
        <f t="shared" si="28"/>
        <v>0</v>
      </c>
      <c r="V277">
        <f t="shared" si="29"/>
        <v>0</v>
      </c>
      <c r="W277">
        <f t="shared" si="30"/>
        <v>0</v>
      </c>
    </row>
    <row r="278" spans="1:23" x14ac:dyDescent="0.25">
      <c r="A278" t="s">
        <v>1100</v>
      </c>
      <c r="B278" t="s">
        <v>1116</v>
      </c>
      <c r="C278" t="s">
        <v>805</v>
      </c>
      <c r="D278">
        <v>0</v>
      </c>
      <c r="E278">
        <v>0</v>
      </c>
      <c r="F278">
        <v>0</v>
      </c>
      <c r="G278"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278" s="102" t="e">
        <f>VLOOKUP(Tabell38[[#This Row],[Nät]],Tabell5[],2,FALSE)</f>
        <v>#N/A</v>
      </c>
      <c r="I278" t="e">
        <f>VLOOKUP(Tabell38[[#This Row],[Nät]],'Leveranser per nät'!A:A,1,FALSE)</f>
        <v>#N/A</v>
      </c>
      <c r="O278" t="s">
        <v>806</v>
      </c>
      <c r="P278" t="s">
        <v>806</v>
      </c>
      <c r="Q278" s="44" t="s">
        <v>806</v>
      </c>
      <c r="R278">
        <f t="shared" si="25"/>
        <v>0</v>
      </c>
      <c r="S278">
        <f t="shared" si="26"/>
        <v>0</v>
      </c>
      <c r="T278">
        <f t="shared" si="27"/>
        <v>0</v>
      </c>
      <c r="U278">
        <f t="shared" si="28"/>
        <v>0</v>
      </c>
      <c r="V278">
        <f t="shared" si="29"/>
        <v>0</v>
      </c>
      <c r="W278">
        <f t="shared" si="30"/>
        <v>0</v>
      </c>
    </row>
    <row r="279" spans="1:23" x14ac:dyDescent="0.25">
      <c r="A279" t="s">
        <v>1100</v>
      </c>
      <c r="B279" t="s">
        <v>84</v>
      </c>
      <c r="C279">
        <v>42.067999999999998</v>
      </c>
      <c r="D279">
        <v>0</v>
      </c>
      <c r="E279">
        <v>0</v>
      </c>
      <c r="F279">
        <v>0</v>
      </c>
      <c r="G279" s="105">
        <f>Tabell38[[#This Row],[Såld värme (GWh)]]-Tabell38[[#This Row],[Levererad värme, andra fjärrvärmeföretag, företag 1 (GWh)]]-Tabell38[[#This Row],[Levererad värme, andra fjärrvärmeföretag, företag 2 (GWh)]]-Tabell38[[#This Row],[Levererad värme, andra fjärrvärmeföretag, företag 3 (GWh)]]</f>
        <v>42.067999999999998</v>
      </c>
      <c r="H279" s="102" t="str">
        <f>VLOOKUP(Tabell38[[#This Row],[Nät]],Tabell5[],2,FALSE)</f>
        <v>Mölnlycke</v>
      </c>
      <c r="I279" t="str">
        <f>VLOOKUP(Tabell38[[#This Row],[Nät]],'Leveranser per nät'!A:A,1,FALSE)</f>
        <v>Mölnlycke</v>
      </c>
      <c r="O279" t="s">
        <v>806</v>
      </c>
      <c r="P279" t="s">
        <v>806</v>
      </c>
      <c r="Q279" s="84" t="s">
        <v>806</v>
      </c>
      <c r="R279">
        <f t="shared" si="25"/>
        <v>0</v>
      </c>
      <c r="S279">
        <f t="shared" si="26"/>
        <v>0</v>
      </c>
      <c r="T279">
        <f t="shared" si="27"/>
        <v>0</v>
      </c>
      <c r="U279">
        <f t="shared" si="28"/>
        <v>0</v>
      </c>
      <c r="V279">
        <f t="shared" si="29"/>
        <v>0</v>
      </c>
      <c r="W279">
        <f t="shared" si="30"/>
        <v>0</v>
      </c>
    </row>
    <row r="280" spans="1:23" x14ac:dyDescent="0.25">
      <c r="A280" t="s">
        <v>1100</v>
      </c>
      <c r="B280" t="s">
        <v>80</v>
      </c>
      <c r="C280">
        <v>45.2</v>
      </c>
      <c r="D280">
        <v>0</v>
      </c>
      <c r="E280">
        <v>0</v>
      </c>
      <c r="F280">
        <v>0</v>
      </c>
      <c r="G280" s="105">
        <f>Tabell38[[#This Row],[Såld värme (GWh)]]-Tabell38[[#This Row],[Levererad värme, andra fjärrvärmeföretag, företag 1 (GWh)]]-Tabell38[[#This Row],[Levererad värme, andra fjärrvärmeföretag, företag 2 (GWh)]]-Tabell38[[#This Row],[Levererad värme, andra fjärrvärmeföretag, företag 3 (GWh)]]</f>
        <v>45.2</v>
      </c>
      <c r="H280" s="102" t="str">
        <f>VLOOKUP(Tabell38[[#This Row],[Nät]],Tabell5[],2,FALSE)</f>
        <v>Mönsterås</v>
      </c>
      <c r="I280" t="str">
        <f>VLOOKUP(Tabell38[[#This Row],[Nät]],'Leveranser per nät'!A:A,1,FALSE)</f>
        <v>Mönsterås</v>
      </c>
      <c r="O280" t="s">
        <v>806</v>
      </c>
      <c r="P280" t="s">
        <v>806</v>
      </c>
      <c r="Q280" s="44" t="s">
        <v>806</v>
      </c>
      <c r="R280">
        <f t="shared" si="25"/>
        <v>0</v>
      </c>
      <c r="S280">
        <f t="shared" si="26"/>
        <v>0</v>
      </c>
      <c r="T280">
        <f t="shared" si="27"/>
        <v>0</v>
      </c>
      <c r="U280">
        <f t="shared" si="28"/>
        <v>0</v>
      </c>
      <c r="V280">
        <f t="shared" si="29"/>
        <v>0</v>
      </c>
      <c r="W280">
        <f t="shared" si="30"/>
        <v>0</v>
      </c>
    </row>
    <row r="281" spans="1:23" x14ac:dyDescent="0.25">
      <c r="A281" t="s">
        <v>1100</v>
      </c>
      <c r="B281" t="s">
        <v>1117</v>
      </c>
      <c r="C281" t="b">
        <f>-'[1]Levererad värme'!$HG$636&lt;'Lev 2020'!N362</f>
        <v>1</v>
      </c>
      <c r="D281">
        <v>0</v>
      </c>
      <c r="E281">
        <v>0</v>
      </c>
      <c r="F281">
        <v>0</v>
      </c>
      <c r="G281" s="105">
        <f>Tabell38[[#This Row],[Såld värme (GWh)]]-Tabell38[[#This Row],[Levererad värme, andra fjärrvärmeföretag, företag 1 (GWh)]]-Tabell38[[#This Row],[Levererad värme, andra fjärrvärmeföretag, företag 2 (GWh)]]-Tabell38[[#This Row],[Levererad värme, andra fjärrvärmeföretag, företag 3 (GWh)]]</f>
        <v>1</v>
      </c>
      <c r="H281" s="102" t="e">
        <f>VLOOKUP(Tabell38[[#This Row],[Nät]],Tabell5[],2,FALSE)</f>
        <v>#N/A</v>
      </c>
      <c r="I281" t="e">
        <f>VLOOKUP(Tabell38[[#This Row],[Nät]],'Leveranser per nät'!A:A,1,FALSE)</f>
        <v>#N/A</v>
      </c>
      <c r="O281" t="s">
        <v>805</v>
      </c>
      <c r="P281" t="s">
        <v>805</v>
      </c>
      <c r="Q281" s="84" t="s">
        <v>805</v>
      </c>
      <c r="R281" t="str">
        <f t="shared" si="25"/>
        <v>-</v>
      </c>
      <c r="S281" t="str">
        <f t="shared" si="26"/>
        <v>-</v>
      </c>
      <c r="T281" t="str">
        <f t="shared" si="27"/>
        <v>-</v>
      </c>
      <c r="U281">
        <f t="shared" si="28"/>
        <v>0</v>
      </c>
      <c r="V281">
        <f t="shared" si="29"/>
        <v>0</v>
      </c>
      <c r="W281">
        <f t="shared" si="30"/>
        <v>0</v>
      </c>
    </row>
    <row r="282" spans="1:23" x14ac:dyDescent="0.25">
      <c r="A282" t="s">
        <v>1100</v>
      </c>
      <c r="B282" t="s">
        <v>70</v>
      </c>
      <c r="C282">
        <v>27.535</v>
      </c>
      <c r="D282">
        <v>0</v>
      </c>
      <c r="E282">
        <v>0</v>
      </c>
      <c r="F282">
        <v>0</v>
      </c>
      <c r="G282" s="105">
        <f>Tabell38[[#This Row],[Såld värme (GWh)]]-Tabell38[[#This Row],[Levererad värme, andra fjärrvärmeföretag, företag 1 (GWh)]]-Tabell38[[#This Row],[Levererad värme, andra fjärrvärmeföretag, företag 2 (GWh)]]-Tabell38[[#This Row],[Levererad värme, andra fjärrvärmeföretag, företag 3 (GWh)]]</f>
        <v>27.535</v>
      </c>
      <c r="H282" s="102" t="str">
        <f>VLOOKUP(Tabell38[[#This Row],[Nät]],Tabell5[],2,FALSE)</f>
        <v>Nora</v>
      </c>
      <c r="I282" t="str">
        <f>VLOOKUP(Tabell38[[#This Row],[Nät]],'Leveranser per nät'!A:A,1,FALSE)</f>
        <v>Nora</v>
      </c>
      <c r="O282" t="s">
        <v>806</v>
      </c>
      <c r="P282" t="s">
        <v>806</v>
      </c>
      <c r="Q282" s="44" t="s">
        <v>806</v>
      </c>
      <c r="R282">
        <f t="shared" si="25"/>
        <v>0</v>
      </c>
      <c r="S282">
        <f t="shared" si="26"/>
        <v>0</v>
      </c>
      <c r="T282">
        <f t="shared" si="27"/>
        <v>0</v>
      </c>
      <c r="U282">
        <f t="shared" si="28"/>
        <v>0</v>
      </c>
      <c r="V282">
        <f t="shared" si="29"/>
        <v>0</v>
      </c>
      <c r="W282">
        <f t="shared" si="30"/>
        <v>0</v>
      </c>
    </row>
    <row r="283" spans="1:23" x14ac:dyDescent="0.25">
      <c r="A283" t="s">
        <v>1100</v>
      </c>
      <c r="B283" t="s">
        <v>1118</v>
      </c>
      <c r="C283" t="s">
        <v>805</v>
      </c>
      <c r="D283">
        <v>0</v>
      </c>
      <c r="E283">
        <v>0</v>
      </c>
      <c r="F283">
        <v>0</v>
      </c>
      <c r="G283"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283" s="102" t="e">
        <f>VLOOKUP(Tabell38[[#This Row],[Nät]],Tabell5[],2,FALSE)</f>
        <v>#N/A</v>
      </c>
      <c r="I283" t="e">
        <f>VLOOKUP(Tabell38[[#This Row],[Nät]],'Leveranser per nät'!A:A,1,FALSE)</f>
        <v>#N/A</v>
      </c>
      <c r="O283" t="s">
        <v>805</v>
      </c>
      <c r="P283" t="s">
        <v>805</v>
      </c>
      <c r="Q283" s="84" t="s">
        <v>805</v>
      </c>
      <c r="R283" t="str">
        <f t="shared" si="25"/>
        <v>-</v>
      </c>
      <c r="S283" t="str">
        <f t="shared" si="26"/>
        <v>-</v>
      </c>
      <c r="T283" t="str">
        <f t="shared" si="27"/>
        <v>-</v>
      </c>
      <c r="U283">
        <f t="shared" si="28"/>
        <v>0</v>
      </c>
      <c r="V283">
        <f t="shared" si="29"/>
        <v>0</v>
      </c>
      <c r="W283">
        <f t="shared" si="30"/>
        <v>0</v>
      </c>
    </row>
    <row r="284" spans="1:23" x14ac:dyDescent="0.25">
      <c r="A284" t="s">
        <v>1100</v>
      </c>
      <c r="B284" t="s">
        <v>51</v>
      </c>
      <c r="C284">
        <v>9.7870000000000008</v>
      </c>
      <c r="D284">
        <v>0</v>
      </c>
      <c r="E284">
        <v>0</v>
      </c>
      <c r="F284">
        <v>0</v>
      </c>
      <c r="G284" s="105">
        <f>Tabell38[[#This Row],[Såld värme (GWh)]]-Tabell38[[#This Row],[Levererad värme, andra fjärrvärmeföretag, företag 1 (GWh)]]-Tabell38[[#This Row],[Levererad värme, andra fjärrvärmeföretag, företag 2 (GWh)]]-Tabell38[[#This Row],[Levererad värme, andra fjärrvärmeföretag, företag 3 (GWh)]]</f>
        <v>9.7870000000000008</v>
      </c>
      <c r="H284" s="102" t="str">
        <f>VLOOKUP(Tabell38[[#This Row],[Nät]],Tabell5[],2,FALSE)</f>
        <v>Nordmaling</v>
      </c>
      <c r="I284" t="str">
        <f>VLOOKUP(Tabell38[[#This Row],[Nät]],'Leveranser per nät'!A:A,1,FALSE)</f>
        <v>Nordmaling</v>
      </c>
      <c r="O284" t="s">
        <v>806</v>
      </c>
      <c r="P284" t="s">
        <v>806</v>
      </c>
      <c r="Q284" s="44" t="s">
        <v>806</v>
      </c>
      <c r="R284">
        <f t="shared" si="25"/>
        <v>0</v>
      </c>
      <c r="S284">
        <f t="shared" si="26"/>
        <v>0</v>
      </c>
      <c r="T284">
        <f t="shared" si="27"/>
        <v>0</v>
      </c>
      <c r="U284">
        <f t="shared" si="28"/>
        <v>0</v>
      </c>
      <c r="V284">
        <f t="shared" si="29"/>
        <v>0</v>
      </c>
      <c r="W284">
        <f t="shared" si="30"/>
        <v>0</v>
      </c>
    </row>
    <row r="285" spans="1:23" x14ac:dyDescent="0.25">
      <c r="A285" t="s">
        <v>1100</v>
      </c>
      <c r="B285" t="s">
        <v>56</v>
      </c>
      <c r="C285">
        <v>4.5330000000000004</v>
      </c>
      <c r="D285">
        <v>0</v>
      </c>
      <c r="E285">
        <v>0</v>
      </c>
      <c r="F285">
        <v>0</v>
      </c>
      <c r="G285" s="105">
        <f>Tabell38[[#This Row],[Såld värme (GWh)]]-Tabell38[[#This Row],[Levererad värme, andra fjärrvärmeföretag, företag 1 (GWh)]]-Tabell38[[#This Row],[Levererad värme, andra fjärrvärmeföretag, företag 2 (GWh)]]-Tabell38[[#This Row],[Levererad värme, andra fjärrvärmeföretag, företag 3 (GWh)]]</f>
        <v>4.5330000000000004</v>
      </c>
      <c r="H285" s="102" t="str">
        <f>VLOOKUP(Tabell38[[#This Row],[Nät]],Tabell5[],2,FALSE)</f>
        <v>Odensbacken</v>
      </c>
      <c r="I285" t="str">
        <f>VLOOKUP(Tabell38[[#This Row],[Nät]],'Leveranser per nät'!A:A,1,FALSE)</f>
        <v>Odensbacken</v>
      </c>
      <c r="O285" t="s">
        <v>806</v>
      </c>
      <c r="P285" t="s">
        <v>806</v>
      </c>
      <c r="Q285" s="84" t="s">
        <v>806</v>
      </c>
      <c r="R285">
        <f t="shared" si="25"/>
        <v>0</v>
      </c>
      <c r="S285">
        <f t="shared" si="26"/>
        <v>0</v>
      </c>
      <c r="T285">
        <f t="shared" si="27"/>
        <v>0</v>
      </c>
      <c r="U285">
        <f t="shared" si="28"/>
        <v>0</v>
      </c>
      <c r="V285">
        <f t="shared" si="29"/>
        <v>0</v>
      </c>
      <c r="W285">
        <f t="shared" si="30"/>
        <v>0</v>
      </c>
    </row>
    <row r="286" spans="1:23" x14ac:dyDescent="0.25">
      <c r="A286" t="s">
        <v>1100</v>
      </c>
      <c r="B286" t="s">
        <v>1119</v>
      </c>
      <c r="C286">
        <v>0.63</v>
      </c>
      <c r="D286">
        <v>0</v>
      </c>
      <c r="E286">
        <v>0</v>
      </c>
      <c r="F286">
        <v>0</v>
      </c>
      <c r="G286" s="105">
        <f>Tabell38[[#This Row],[Såld värme (GWh)]]-Tabell38[[#This Row],[Levererad värme, andra fjärrvärmeföretag, företag 1 (GWh)]]-Tabell38[[#This Row],[Levererad värme, andra fjärrvärmeföretag, företag 2 (GWh)]]-Tabell38[[#This Row],[Levererad värme, andra fjärrvärmeföretag, företag 3 (GWh)]]</f>
        <v>0.63</v>
      </c>
      <c r="H286" s="102" t="e">
        <f>VLOOKUP(Tabell38[[#This Row],[Nät]],Tabell5[],2,FALSE)</f>
        <v>#N/A</v>
      </c>
      <c r="I286" t="e">
        <f>VLOOKUP(Tabell38[[#This Row],[Nät]],'Leveranser per nät'!A:A,1,FALSE)</f>
        <v>#N/A</v>
      </c>
      <c r="O286" t="s">
        <v>806</v>
      </c>
      <c r="P286" t="s">
        <v>806</v>
      </c>
      <c r="Q286" s="44" t="s">
        <v>806</v>
      </c>
      <c r="R286">
        <f t="shared" si="25"/>
        <v>0</v>
      </c>
      <c r="S286">
        <f t="shared" si="26"/>
        <v>0</v>
      </c>
      <c r="T286">
        <f t="shared" si="27"/>
        <v>0</v>
      </c>
      <c r="U286">
        <f t="shared" si="28"/>
        <v>0</v>
      </c>
      <c r="V286">
        <f t="shared" si="29"/>
        <v>0</v>
      </c>
      <c r="W286">
        <f t="shared" si="30"/>
        <v>0</v>
      </c>
    </row>
    <row r="287" spans="1:23" x14ac:dyDescent="0.25">
      <c r="A287" t="s">
        <v>1100</v>
      </c>
      <c r="B287" t="s">
        <v>73</v>
      </c>
      <c r="C287">
        <v>6.74</v>
      </c>
      <c r="D287">
        <v>0</v>
      </c>
      <c r="E287">
        <v>0</v>
      </c>
      <c r="F287">
        <v>0</v>
      </c>
      <c r="G287" s="105">
        <f>Tabell38[[#This Row],[Såld värme (GWh)]]-Tabell38[[#This Row],[Levererad värme, andra fjärrvärmeföretag, företag 1 (GWh)]]-Tabell38[[#This Row],[Levererad värme, andra fjärrvärmeföretag, företag 2 (GWh)]]-Tabell38[[#This Row],[Levererad värme, andra fjärrvärmeföretag, företag 3 (GWh)]]</f>
        <v>6.74</v>
      </c>
      <c r="H287" s="102" t="str">
        <f>VLOOKUP(Tabell38[[#This Row],[Nät]],Tabell5[],2,FALSE)</f>
        <v>Rundvik</v>
      </c>
      <c r="I287" t="str">
        <f>VLOOKUP(Tabell38[[#This Row],[Nät]],'Leveranser per nät'!A:A,1,FALSE)</f>
        <v>Rundvik</v>
      </c>
      <c r="O287" t="s">
        <v>806</v>
      </c>
      <c r="P287" t="s">
        <v>806</v>
      </c>
      <c r="Q287" s="84" t="s">
        <v>806</v>
      </c>
      <c r="R287">
        <f t="shared" si="25"/>
        <v>0</v>
      </c>
      <c r="S287">
        <f t="shared" si="26"/>
        <v>0</v>
      </c>
      <c r="T287">
        <f t="shared" si="27"/>
        <v>0</v>
      </c>
      <c r="U287">
        <f t="shared" si="28"/>
        <v>0</v>
      </c>
      <c r="V287">
        <f t="shared" si="29"/>
        <v>0</v>
      </c>
      <c r="W287">
        <f t="shared" si="30"/>
        <v>0</v>
      </c>
    </row>
    <row r="288" spans="1:23" x14ac:dyDescent="0.25">
      <c r="A288" t="s">
        <v>1100</v>
      </c>
      <c r="B288" t="s">
        <v>87</v>
      </c>
      <c r="C288">
        <v>10.9</v>
      </c>
      <c r="D288">
        <v>0</v>
      </c>
      <c r="E288">
        <v>0</v>
      </c>
      <c r="F288">
        <v>0</v>
      </c>
      <c r="G288" s="105">
        <f>Tabell38[[#This Row],[Såld värme (GWh)]]-Tabell38[[#This Row],[Levererad värme, andra fjärrvärmeföretag, företag 1 (GWh)]]-Tabell38[[#This Row],[Levererad värme, andra fjärrvärmeföretag, företag 2 (GWh)]]-Tabell38[[#This Row],[Levererad värme, andra fjärrvärmeföretag, företag 3 (GWh)]]</f>
        <v>10.9</v>
      </c>
      <c r="H288" s="102" t="str">
        <f>VLOOKUP(Tabell38[[#This Row],[Nät]],Tabell5[],2,FALSE)</f>
        <v>Ryd</v>
      </c>
      <c r="I288" t="str">
        <f>VLOOKUP(Tabell38[[#This Row],[Nät]],'Leveranser per nät'!A:A,1,FALSE)</f>
        <v>Ryd</v>
      </c>
      <c r="O288" t="s">
        <v>806</v>
      </c>
      <c r="P288" t="s">
        <v>806</v>
      </c>
      <c r="Q288" s="44" t="s">
        <v>806</v>
      </c>
      <c r="R288">
        <f t="shared" si="25"/>
        <v>0</v>
      </c>
      <c r="S288">
        <f t="shared" si="26"/>
        <v>0</v>
      </c>
      <c r="T288">
        <f t="shared" si="27"/>
        <v>0</v>
      </c>
      <c r="U288">
        <f t="shared" si="28"/>
        <v>0</v>
      </c>
      <c r="V288">
        <f t="shared" si="29"/>
        <v>0</v>
      </c>
      <c r="W288">
        <f t="shared" si="30"/>
        <v>0</v>
      </c>
    </row>
    <row r="289" spans="1:23" x14ac:dyDescent="0.25">
      <c r="A289" t="s">
        <v>1100</v>
      </c>
      <c r="B289" t="s">
        <v>1120</v>
      </c>
      <c r="C289">
        <v>4.9000000000000004</v>
      </c>
      <c r="D289">
        <v>0</v>
      </c>
      <c r="E289">
        <v>0</v>
      </c>
      <c r="F289">
        <v>0</v>
      </c>
      <c r="G289" s="105">
        <f>Tabell38[[#This Row],[Såld värme (GWh)]]-Tabell38[[#This Row],[Levererad värme, andra fjärrvärmeföretag, företag 1 (GWh)]]-Tabell38[[#This Row],[Levererad värme, andra fjärrvärmeföretag, företag 2 (GWh)]]-Tabell38[[#This Row],[Levererad värme, andra fjärrvärmeföretag, företag 3 (GWh)]]</f>
        <v>4.9000000000000004</v>
      </c>
      <c r="H289" s="102" t="e">
        <f>VLOOKUP(Tabell38[[#This Row],[Nät]],Tabell5[],2,FALSE)</f>
        <v>#N/A</v>
      </c>
      <c r="I289" t="e">
        <f>VLOOKUP(Tabell38[[#This Row],[Nät]],'Leveranser per nät'!A:A,1,FALSE)</f>
        <v>#N/A</v>
      </c>
      <c r="O289" t="s">
        <v>806</v>
      </c>
      <c r="P289" t="s">
        <v>806</v>
      </c>
      <c r="Q289" s="84" t="s">
        <v>806</v>
      </c>
      <c r="R289">
        <f t="shared" si="25"/>
        <v>0</v>
      </c>
      <c r="S289">
        <f t="shared" si="26"/>
        <v>0</v>
      </c>
      <c r="T289">
        <f t="shared" si="27"/>
        <v>0</v>
      </c>
      <c r="U289">
        <f t="shared" si="28"/>
        <v>0</v>
      </c>
      <c r="V289">
        <f t="shared" si="29"/>
        <v>0</v>
      </c>
      <c r="W289">
        <f t="shared" si="30"/>
        <v>0</v>
      </c>
    </row>
    <row r="290" spans="1:23" x14ac:dyDescent="0.25">
      <c r="A290" t="s">
        <v>1100</v>
      </c>
      <c r="B290" t="s">
        <v>244</v>
      </c>
      <c r="C290">
        <v>23.937000000000001</v>
      </c>
      <c r="D290">
        <v>0</v>
      </c>
      <c r="E290">
        <v>0</v>
      </c>
      <c r="F290">
        <v>0</v>
      </c>
      <c r="G290" s="105">
        <f>Tabell38[[#This Row],[Såld värme (GWh)]]-Tabell38[[#This Row],[Levererad värme, andra fjärrvärmeföretag, företag 1 (GWh)]]-Tabell38[[#This Row],[Levererad värme, andra fjärrvärmeföretag, företag 2 (GWh)]]-Tabell38[[#This Row],[Levererad värme, andra fjärrvärmeföretag, företag 3 (GWh)]]</f>
        <v>23.937000000000001</v>
      </c>
      <c r="H290" s="102" t="str">
        <f>VLOOKUP(Tabell38[[#This Row],[Nät]],Tabell5[],2,FALSE)</f>
        <v>Sjöbo</v>
      </c>
      <c r="I290" t="str">
        <f>VLOOKUP(Tabell38[[#This Row],[Nät]],'Leveranser per nät'!A:A,1,FALSE)</f>
        <v>Sjöbo</v>
      </c>
      <c r="O290" t="s">
        <v>806</v>
      </c>
      <c r="P290" t="s">
        <v>806</v>
      </c>
      <c r="Q290" s="44" t="s">
        <v>806</v>
      </c>
      <c r="R290">
        <f t="shared" si="25"/>
        <v>0</v>
      </c>
      <c r="S290">
        <f t="shared" si="26"/>
        <v>0</v>
      </c>
      <c r="T290">
        <f t="shared" si="27"/>
        <v>0</v>
      </c>
      <c r="U290">
        <f t="shared" si="28"/>
        <v>0</v>
      </c>
      <c r="V290">
        <f t="shared" si="29"/>
        <v>0</v>
      </c>
      <c r="W290">
        <f t="shared" si="30"/>
        <v>0</v>
      </c>
    </row>
    <row r="291" spans="1:23" x14ac:dyDescent="0.25">
      <c r="A291" t="s">
        <v>1100</v>
      </c>
      <c r="B291" t="s">
        <v>55</v>
      </c>
      <c r="C291">
        <v>13.34</v>
      </c>
      <c r="D291">
        <v>0</v>
      </c>
      <c r="E291">
        <v>0</v>
      </c>
      <c r="F291">
        <v>0</v>
      </c>
      <c r="G291" s="105">
        <f>Tabell38[[#This Row],[Såld värme (GWh)]]-Tabell38[[#This Row],[Levererad värme, andra fjärrvärmeföretag, företag 1 (GWh)]]-Tabell38[[#This Row],[Levererad värme, andra fjärrvärmeföretag, företag 2 (GWh)]]-Tabell38[[#This Row],[Levererad värme, andra fjärrvärmeföretag, företag 3 (GWh)]]</f>
        <v>13.34</v>
      </c>
      <c r="H291" s="102" t="str">
        <f>VLOOKUP(Tabell38[[#This Row],[Nät]],Tabell5[],2,FALSE)</f>
        <v>Skinnskatteberg</v>
      </c>
      <c r="I291" t="str">
        <f>VLOOKUP(Tabell38[[#This Row],[Nät]],'Leveranser per nät'!A:A,1,FALSE)</f>
        <v>Skinnskatteberg</v>
      </c>
      <c r="O291" t="s">
        <v>806</v>
      </c>
      <c r="P291" t="s">
        <v>806</v>
      </c>
      <c r="Q291" s="84" t="s">
        <v>806</v>
      </c>
      <c r="R291">
        <f t="shared" si="25"/>
        <v>0</v>
      </c>
      <c r="S291">
        <f t="shared" si="26"/>
        <v>0</v>
      </c>
      <c r="T291">
        <f t="shared" si="27"/>
        <v>0</v>
      </c>
      <c r="U291">
        <f t="shared" si="28"/>
        <v>0</v>
      </c>
      <c r="V291">
        <f t="shared" si="29"/>
        <v>0</v>
      </c>
      <c r="W291">
        <f t="shared" si="30"/>
        <v>0</v>
      </c>
    </row>
    <row r="292" spans="1:23" x14ac:dyDescent="0.25">
      <c r="A292" t="s">
        <v>1100</v>
      </c>
      <c r="B292" t="s">
        <v>495</v>
      </c>
      <c r="C292">
        <v>9.4</v>
      </c>
      <c r="D292">
        <v>0</v>
      </c>
      <c r="E292">
        <v>0</v>
      </c>
      <c r="F292">
        <v>0</v>
      </c>
      <c r="G292" s="105">
        <f>Tabell38[[#This Row],[Såld värme (GWh)]]-Tabell38[[#This Row],[Levererad värme, andra fjärrvärmeföretag, företag 1 (GWh)]]-Tabell38[[#This Row],[Levererad värme, andra fjärrvärmeföretag, företag 2 (GWh)]]-Tabell38[[#This Row],[Levererad värme, andra fjärrvärmeföretag, företag 3 (GWh)]]</f>
        <v>9.4</v>
      </c>
      <c r="H292" s="102" t="str">
        <f>VLOOKUP(Tabell38[[#This Row],[Nät]],Tabell5[],2,FALSE)</f>
        <v>Strömsnäsbruk</v>
      </c>
      <c r="I292" t="str">
        <f>VLOOKUP(Tabell38[[#This Row],[Nät]],'Leveranser per nät'!A:A,1,FALSE)</f>
        <v>Strömsnäsbruk</v>
      </c>
      <c r="O292" t="s">
        <v>806</v>
      </c>
      <c r="P292" t="s">
        <v>806</v>
      </c>
      <c r="Q292" s="44" t="s">
        <v>806</v>
      </c>
      <c r="R292">
        <f t="shared" si="25"/>
        <v>0</v>
      </c>
      <c r="S292">
        <f t="shared" si="26"/>
        <v>0</v>
      </c>
      <c r="T292">
        <f t="shared" si="27"/>
        <v>0</v>
      </c>
      <c r="U292">
        <f t="shared" si="28"/>
        <v>0</v>
      </c>
      <c r="V292">
        <f t="shared" si="29"/>
        <v>0</v>
      </c>
      <c r="W292">
        <f t="shared" si="30"/>
        <v>0</v>
      </c>
    </row>
    <row r="293" spans="1:23" x14ac:dyDescent="0.25">
      <c r="A293" t="s">
        <v>1100</v>
      </c>
      <c r="B293" t="s">
        <v>236</v>
      </c>
      <c r="C293">
        <v>29.177</v>
      </c>
      <c r="D293">
        <v>0</v>
      </c>
      <c r="E293">
        <v>0</v>
      </c>
      <c r="F293">
        <v>0</v>
      </c>
      <c r="G293" s="105">
        <f>Tabell38[[#This Row],[Såld värme (GWh)]]-Tabell38[[#This Row],[Levererad värme, andra fjärrvärmeföretag, företag 1 (GWh)]]-Tabell38[[#This Row],[Levererad värme, andra fjärrvärmeföretag, företag 2 (GWh)]]-Tabell38[[#This Row],[Levererad värme, andra fjärrvärmeföretag, företag 3 (GWh)]]</f>
        <v>29.177</v>
      </c>
      <c r="H293" s="102" t="str">
        <f>VLOOKUP(Tabell38[[#This Row],[Nät]],Tabell5[],2,FALSE)</f>
        <v>Sunne</v>
      </c>
      <c r="I293" t="str">
        <f>VLOOKUP(Tabell38[[#This Row],[Nät]],'Leveranser per nät'!A:A,1,FALSE)</f>
        <v>Sunne</v>
      </c>
      <c r="O293" t="s">
        <v>806</v>
      </c>
      <c r="P293" t="s">
        <v>806</v>
      </c>
      <c r="Q293" s="84" t="s">
        <v>806</v>
      </c>
      <c r="R293">
        <f t="shared" si="25"/>
        <v>0</v>
      </c>
      <c r="S293">
        <f t="shared" si="26"/>
        <v>0</v>
      </c>
      <c r="T293">
        <f t="shared" si="27"/>
        <v>0</v>
      </c>
      <c r="U293">
        <f t="shared" si="28"/>
        <v>0</v>
      </c>
      <c r="V293">
        <f t="shared" si="29"/>
        <v>0</v>
      </c>
      <c r="W293">
        <f t="shared" si="30"/>
        <v>0</v>
      </c>
    </row>
    <row r="294" spans="1:23" x14ac:dyDescent="0.25">
      <c r="A294" t="s">
        <v>1100</v>
      </c>
      <c r="B294" t="s">
        <v>42</v>
      </c>
      <c r="C294">
        <v>15.331</v>
      </c>
      <c r="D294">
        <v>0</v>
      </c>
      <c r="E294">
        <v>0</v>
      </c>
      <c r="F294">
        <v>0</v>
      </c>
      <c r="G294" s="105">
        <f>Tabell38[[#This Row],[Såld värme (GWh)]]-Tabell38[[#This Row],[Levererad värme, andra fjärrvärmeföretag, företag 1 (GWh)]]-Tabell38[[#This Row],[Levererad värme, andra fjärrvärmeföretag, företag 2 (GWh)]]-Tabell38[[#This Row],[Levererad värme, andra fjärrvärmeföretag, företag 3 (GWh)]]</f>
        <v>15.331</v>
      </c>
      <c r="H294" s="102" t="str">
        <f>VLOOKUP(Tabell38[[#This Row],[Nät]],Tabell5[],2,FALSE)</f>
        <v>Svalöv</v>
      </c>
      <c r="I294" t="str">
        <f>VLOOKUP(Tabell38[[#This Row],[Nät]],'Leveranser per nät'!A:A,1,FALSE)</f>
        <v>Svalöv</v>
      </c>
      <c r="O294" t="s">
        <v>806</v>
      </c>
      <c r="P294" t="s">
        <v>806</v>
      </c>
      <c r="Q294" s="44" t="s">
        <v>806</v>
      </c>
      <c r="R294">
        <f t="shared" si="25"/>
        <v>0</v>
      </c>
      <c r="S294">
        <f t="shared" si="26"/>
        <v>0</v>
      </c>
      <c r="T294">
        <f t="shared" si="27"/>
        <v>0</v>
      </c>
      <c r="U294">
        <f t="shared" si="28"/>
        <v>0</v>
      </c>
      <c r="V294">
        <f t="shared" si="29"/>
        <v>0</v>
      </c>
      <c r="W294">
        <f t="shared" si="30"/>
        <v>0</v>
      </c>
    </row>
    <row r="295" spans="1:23" x14ac:dyDescent="0.25">
      <c r="A295" t="s">
        <v>1100</v>
      </c>
      <c r="B295" t="s">
        <v>1121</v>
      </c>
      <c r="C295" t="s">
        <v>805</v>
      </c>
      <c r="D295">
        <v>0</v>
      </c>
      <c r="E295">
        <v>0</v>
      </c>
      <c r="F295">
        <v>0</v>
      </c>
      <c r="G295"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295" s="102" t="e">
        <f>VLOOKUP(Tabell38[[#This Row],[Nät]],Tabell5[],2,FALSE)</f>
        <v>#N/A</v>
      </c>
      <c r="I295" t="e">
        <f>VLOOKUP(Tabell38[[#This Row],[Nät]],'Leveranser per nät'!A:A,1,FALSE)</f>
        <v>#N/A</v>
      </c>
      <c r="O295" t="s">
        <v>805</v>
      </c>
      <c r="P295" t="s">
        <v>805</v>
      </c>
      <c r="Q295" s="84" t="s">
        <v>805</v>
      </c>
      <c r="R295" t="str">
        <f t="shared" si="25"/>
        <v>-</v>
      </c>
      <c r="S295" t="str">
        <f t="shared" si="26"/>
        <v>-</v>
      </c>
      <c r="T295" t="str">
        <f t="shared" si="27"/>
        <v>-</v>
      </c>
      <c r="U295">
        <f t="shared" si="28"/>
        <v>0</v>
      </c>
      <c r="V295">
        <f t="shared" si="29"/>
        <v>0</v>
      </c>
      <c r="W295">
        <f t="shared" si="30"/>
        <v>0</v>
      </c>
    </row>
    <row r="296" spans="1:23" x14ac:dyDescent="0.25">
      <c r="A296" t="s">
        <v>1100</v>
      </c>
      <c r="B296" t="s">
        <v>48</v>
      </c>
      <c r="C296">
        <v>24.8</v>
      </c>
      <c r="D296">
        <v>0</v>
      </c>
      <c r="E296">
        <v>0</v>
      </c>
      <c r="F296">
        <v>0</v>
      </c>
      <c r="G296" s="105">
        <f>Tabell38[[#This Row],[Såld värme (GWh)]]-Tabell38[[#This Row],[Levererad värme, andra fjärrvärmeföretag, företag 1 (GWh)]]-Tabell38[[#This Row],[Levererad värme, andra fjärrvärmeföretag, företag 2 (GWh)]]-Tabell38[[#This Row],[Levererad värme, andra fjärrvärmeföretag, företag 3 (GWh)]]</f>
        <v>24.8</v>
      </c>
      <c r="H296" s="102" t="str">
        <f>VLOOKUP(Tabell38[[#This Row],[Nät]],Tabell5[],2,FALSE)</f>
        <v>Sveg</v>
      </c>
      <c r="I296" t="str">
        <f>VLOOKUP(Tabell38[[#This Row],[Nät]],'Leveranser per nät'!A:A,1,FALSE)</f>
        <v>Sveg</v>
      </c>
      <c r="O296" t="s">
        <v>806</v>
      </c>
      <c r="P296" t="s">
        <v>806</v>
      </c>
      <c r="Q296" s="44" t="s">
        <v>806</v>
      </c>
      <c r="R296">
        <f t="shared" si="25"/>
        <v>0</v>
      </c>
      <c r="S296">
        <f t="shared" si="26"/>
        <v>0</v>
      </c>
      <c r="T296">
        <f t="shared" si="27"/>
        <v>0</v>
      </c>
      <c r="U296">
        <f t="shared" si="28"/>
        <v>0</v>
      </c>
      <c r="V296">
        <f t="shared" si="29"/>
        <v>0</v>
      </c>
      <c r="W296">
        <f t="shared" si="30"/>
        <v>0</v>
      </c>
    </row>
    <row r="297" spans="1:23" x14ac:dyDescent="0.25">
      <c r="A297" t="s">
        <v>1100</v>
      </c>
      <c r="B297" t="s">
        <v>1122</v>
      </c>
      <c r="C297" t="s">
        <v>805</v>
      </c>
      <c r="D297">
        <v>0</v>
      </c>
      <c r="E297">
        <v>0</v>
      </c>
      <c r="F297">
        <v>0</v>
      </c>
      <c r="G297"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297" s="102" t="e">
        <f>VLOOKUP(Tabell38[[#This Row],[Nät]],Tabell5[],2,FALSE)</f>
        <v>#N/A</v>
      </c>
      <c r="I297" t="e">
        <f>VLOOKUP(Tabell38[[#This Row],[Nät]],'Leveranser per nät'!A:A,1,FALSE)</f>
        <v>#N/A</v>
      </c>
      <c r="O297" t="s">
        <v>805</v>
      </c>
      <c r="P297" t="s">
        <v>805</v>
      </c>
      <c r="Q297" s="84" t="s">
        <v>805</v>
      </c>
      <c r="R297" t="str">
        <f t="shared" si="25"/>
        <v>-</v>
      </c>
      <c r="S297" t="str">
        <f t="shared" si="26"/>
        <v>-</v>
      </c>
      <c r="T297" t="str">
        <f t="shared" si="27"/>
        <v>-</v>
      </c>
      <c r="U297">
        <f t="shared" si="28"/>
        <v>0</v>
      </c>
      <c r="V297">
        <f t="shared" si="29"/>
        <v>0</v>
      </c>
      <c r="W297">
        <f t="shared" si="30"/>
        <v>0</v>
      </c>
    </row>
    <row r="298" spans="1:23" x14ac:dyDescent="0.25">
      <c r="A298" t="s">
        <v>1100</v>
      </c>
      <c r="B298" t="s">
        <v>298</v>
      </c>
      <c r="C298">
        <v>32.231999999999999</v>
      </c>
      <c r="D298">
        <v>0</v>
      </c>
      <c r="E298">
        <v>0</v>
      </c>
      <c r="F298">
        <v>0</v>
      </c>
      <c r="G298" s="105">
        <f>Tabell38[[#This Row],[Såld värme (GWh)]]-Tabell38[[#This Row],[Levererad värme, andra fjärrvärmeföretag, företag 1 (GWh)]]-Tabell38[[#This Row],[Levererad värme, andra fjärrvärmeföretag, företag 2 (GWh)]]-Tabell38[[#This Row],[Levererad värme, andra fjärrvärmeföretag, företag 3 (GWh)]]</f>
        <v>32.231999999999999</v>
      </c>
      <c r="H298" s="102" t="str">
        <f>VLOOKUP(Tabell38[[#This Row],[Nät]],Tabell5[],2,FALSE)</f>
        <v>Svenljunga</v>
      </c>
      <c r="I298" t="str">
        <f>VLOOKUP(Tabell38[[#This Row],[Nät]],'Leveranser per nät'!A:A,1,FALSE)</f>
        <v>Svenljunga</v>
      </c>
      <c r="O298" t="s">
        <v>806</v>
      </c>
      <c r="P298" t="s">
        <v>806</v>
      </c>
      <c r="Q298" s="44" t="s">
        <v>806</v>
      </c>
      <c r="R298">
        <f t="shared" si="25"/>
        <v>0</v>
      </c>
      <c r="S298">
        <f t="shared" si="26"/>
        <v>0</v>
      </c>
      <c r="T298">
        <f t="shared" si="27"/>
        <v>0</v>
      </c>
      <c r="U298">
        <f t="shared" si="28"/>
        <v>0</v>
      </c>
      <c r="V298">
        <f t="shared" si="29"/>
        <v>0</v>
      </c>
      <c r="W298">
        <f t="shared" si="30"/>
        <v>0</v>
      </c>
    </row>
    <row r="299" spans="1:23" x14ac:dyDescent="0.25">
      <c r="A299" t="s">
        <v>1100</v>
      </c>
      <c r="B299" t="s">
        <v>245</v>
      </c>
      <c r="C299">
        <v>28.396000000000001</v>
      </c>
      <c r="D299">
        <v>0</v>
      </c>
      <c r="E299">
        <v>0</v>
      </c>
      <c r="F299">
        <v>0</v>
      </c>
      <c r="G299" s="105">
        <f>Tabell38[[#This Row],[Såld värme (GWh)]]-Tabell38[[#This Row],[Levererad värme, andra fjärrvärmeföretag, företag 1 (GWh)]]-Tabell38[[#This Row],[Levererad värme, andra fjärrvärmeföretag, företag 2 (GWh)]]-Tabell38[[#This Row],[Levererad värme, andra fjärrvärmeföretag, företag 3 (GWh)]]</f>
        <v>28.396000000000001</v>
      </c>
      <c r="H299" s="102" t="str">
        <f>VLOOKUP(Tabell38[[#This Row],[Nät]],Tabell5[],2,FALSE)</f>
        <v>Tomelilla</v>
      </c>
      <c r="I299" t="str">
        <f>VLOOKUP(Tabell38[[#This Row],[Nät]],'Leveranser per nät'!A:A,1,FALSE)</f>
        <v>Tomelilla</v>
      </c>
      <c r="O299" t="s">
        <v>806</v>
      </c>
      <c r="P299" t="s">
        <v>806</v>
      </c>
      <c r="Q299" s="84" t="s">
        <v>806</v>
      </c>
      <c r="R299">
        <f t="shared" si="25"/>
        <v>0</v>
      </c>
      <c r="S299">
        <f t="shared" si="26"/>
        <v>0</v>
      </c>
      <c r="T299">
        <f t="shared" si="27"/>
        <v>0</v>
      </c>
      <c r="U299">
        <f t="shared" si="28"/>
        <v>0</v>
      </c>
      <c r="V299">
        <f t="shared" si="29"/>
        <v>0</v>
      </c>
      <c r="W299">
        <f t="shared" si="30"/>
        <v>0</v>
      </c>
    </row>
    <row r="300" spans="1:23" x14ac:dyDescent="0.25">
      <c r="A300" t="s">
        <v>1100</v>
      </c>
      <c r="B300" t="s">
        <v>238</v>
      </c>
      <c r="C300">
        <v>33.200000000000003</v>
      </c>
      <c r="D300">
        <v>0</v>
      </c>
      <c r="E300">
        <v>0</v>
      </c>
      <c r="F300">
        <v>0</v>
      </c>
      <c r="G300" s="105">
        <f>Tabell38[[#This Row],[Såld värme (GWh)]]-Tabell38[[#This Row],[Levererad värme, andra fjärrvärmeföretag, företag 1 (GWh)]]-Tabell38[[#This Row],[Levererad värme, andra fjärrvärmeföretag, företag 2 (GWh)]]-Tabell38[[#This Row],[Levererad värme, andra fjärrvärmeföretag, företag 3 (GWh)]]</f>
        <v>33.200000000000003</v>
      </c>
      <c r="H300" s="102" t="str">
        <f>VLOOKUP(Tabell38[[#This Row],[Nät]],Tabell5[],2,FALSE)</f>
        <v>Vadstena</v>
      </c>
      <c r="I300" t="str">
        <f>VLOOKUP(Tabell38[[#This Row],[Nät]],'Leveranser per nät'!A:A,1,FALSE)</f>
        <v>Vadstena</v>
      </c>
      <c r="O300" t="s">
        <v>806</v>
      </c>
      <c r="P300" t="s">
        <v>806</v>
      </c>
      <c r="Q300" s="44" t="s">
        <v>806</v>
      </c>
      <c r="R300">
        <f t="shared" si="25"/>
        <v>0</v>
      </c>
      <c r="S300">
        <f t="shared" si="26"/>
        <v>0</v>
      </c>
      <c r="T300">
        <f t="shared" si="27"/>
        <v>0</v>
      </c>
      <c r="U300">
        <f t="shared" si="28"/>
        <v>0</v>
      </c>
      <c r="V300">
        <f t="shared" si="29"/>
        <v>0</v>
      </c>
      <c r="W300">
        <f t="shared" si="30"/>
        <v>0</v>
      </c>
    </row>
    <row r="301" spans="1:23" x14ac:dyDescent="0.25">
      <c r="A301" t="s">
        <v>1100</v>
      </c>
      <c r="B301" t="s">
        <v>45</v>
      </c>
      <c r="C301">
        <v>33.866</v>
      </c>
      <c r="D301">
        <v>0</v>
      </c>
      <c r="E301">
        <v>0</v>
      </c>
      <c r="F301">
        <v>0</v>
      </c>
      <c r="G301" s="105">
        <f>Tabell38[[#This Row],[Såld värme (GWh)]]-Tabell38[[#This Row],[Levererad värme, andra fjärrvärmeföretag, företag 1 (GWh)]]-Tabell38[[#This Row],[Levererad värme, andra fjärrvärmeföretag, företag 2 (GWh)]]-Tabell38[[#This Row],[Levererad värme, andra fjärrvärmeföretag, företag 3 (GWh)]]</f>
        <v>33.866</v>
      </c>
      <c r="H301" s="102" t="str">
        <f>VLOOKUP(Tabell38[[#This Row],[Nät]],Tabell5[],2,FALSE)</f>
        <v>Vilhelmina</v>
      </c>
      <c r="I301" t="str">
        <f>VLOOKUP(Tabell38[[#This Row],[Nät]],'Leveranser per nät'!A:A,1,FALSE)</f>
        <v>Vilhelmina</v>
      </c>
      <c r="O301" t="s">
        <v>806</v>
      </c>
      <c r="P301" t="s">
        <v>806</v>
      </c>
      <c r="Q301" s="84" t="s">
        <v>806</v>
      </c>
      <c r="R301">
        <f t="shared" si="25"/>
        <v>0</v>
      </c>
      <c r="S301">
        <f t="shared" si="26"/>
        <v>0</v>
      </c>
      <c r="T301">
        <f t="shared" si="27"/>
        <v>0</v>
      </c>
      <c r="U301">
        <f t="shared" si="28"/>
        <v>0</v>
      </c>
      <c r="V301">
        <f t="shared" si="29"/>
        <v>0</v>
      </c>
      <c r="W301">
        <f t="shared" si="30"/>
        <v>0</v>
      </c>
    </row>
    <row r="302" spans="1:23" x14ac:dyDescent="0.25">
      <c r="A302" t="s">
        <v>1100</v>
      </c>
      <c r="B302" t="s">
        <v>240</v>
      </c>
      <c r="C302">
        <v>17.8</v>
      </c>
      <c r="D302">
        <v>0</v>
      </c>
      <c r="E302">
        <v>0</v>
      </c>
      <c r="F302">
        <v>0</v>
      </c>
      <c r="G302" s="105">
        <f>Tabell38[[#This Row],[Såld värme (GWh)]]-Tabell38[[#This Row],[Levererad värme, andra fjärrvärmeföretag, företag 1 (GWh)]]-Tabell38[[#This Row],[Levererad värme, andra fjärrvärmeföretag, företag 2 (GWh)]]-Tabell38[[#This Row],[Levererad värme, andra fjärrvärmeföretag, företag 3 (GWh)]]</f>
        <v>17.8</v>
      </c>
      <c r="H302" s="102" t="str">
        <f>VLOOKUP(Tabell38[[#This Row],[Nät]],Tabell5[],2,FALSE)</f>
        <v>Vingåker</v>
      </c>
      <c r="I302" t="str">
        <f>VLOOKUP(Tabell38[[#This Row],[Nät]],'Leveranser per nät'!A:A,1,FALSE)</f>
        <v>Vingåker</v>
      </c>
      <c r="O302" t="s">
        <v>806</v>
      </c>
      <c r="P302" t="s">
        <v>806</v>
      </c>
      <c r="Q302" s="44" t="s">
        <v>806</v>
      </c>
      <c r="R302">
        <f t="shared" si="25"/>
        <v>0</v>
      </c>
      <c r="S302">
        <f t="shared" si="26"/>
        <v>0</v>
      </c>
      <c r="T302">
        <f t="shared" si="27"/>
        <v>0</v>
      </c>
      <c r="U302">
        <f t="shared" si="28"/>
        <v>0</v>
      </c>
      <c r="V302">
        <f t="shared" si="29"/>
        <v>0</v>
      </c>
      <c r="W302">
        <f t="shared" si="30"/>
        <v>0</v>
      </c>
    </row>
    <row r="303" spans="1:23" x14ac:dyDescent="0.25">
      <c r="A303" t="s">
        <v>1100</v>
      </c>
      <c r="B303" t="s">
        <v>248</v>
      </c>
      <c r="C303">
        <v>35</v>
      </c>
      <c r="D303">
        <v>0</v>
      </c>
      <c r="E303">
        <v>0</v>
      </c>
      <c r="F303">
        <v>0</v>
      </c>
      <c r="G303" s="105">
        <f>Tabell38[[#This Row],[Såld värme (GWh)]]-Tabell38[[#This Row],[Levererad värme, andra fjärrvärmeföretag, företag 1 (GWh)]]-Tabell38[[#This Row],[Levererad värme, andra fjärrvärmeföretag, företag 2 (GWh)]]-Tabell38[[#This Row],[Levererad värme, andra fjärrvärmeföretag, företag 3 (GWh)]]</f>
        <v>35</v>
      </c>
      <c r="H303" s="102" t="str">
        <f>VLOOKUP(Tabell38[[#This Row],[Nät]],Tabell5[],2,FALSE)</f>
        <v>Vårgårda</v>
      </c>
      <c r="I303" t="str">
        <f>VLOOKUP(Tabell38[[#This Row],[Nät]],'Leveranser per nät'!A:A,1,FALSE)</f>
        <v>Vårgårda</v>
      </c>
      <c r="O303" t="s">
        <v>806</v>
      </c>
      <c r="P303" t="s">
        <v>806</v>
      </c>
      <c r="Q303" s="84" t="s">
        <v>806</v>
      </c>
      <c r="R303">
        <f t="shared" si="25"/>
        <v>0</v>
      </c>
      <c r="S303">
        <f t="shared" si="26"/>
        <v>0</v>
      </c>
      <c r="T303">
        <f t="shared" si="27"/>
        <v>0</v>
      </c>
      <c r="U303">
        <f t="shared" si="28"/>
        <v>0</v>
      </c>
      <c r="V303">
        <f t="shared" si="29"/>
        <v>0</v>
      </c>
      <c r="W303">
        <f t="shared" si="30"/>
        <v>0</v>
      </c>
    </row>
    <row r="304" spans="1:23" x14ac:dyDescent="0.25">
      <c r="A304" t="s">
        <v>1100</v>
      </c>
      <c r="B304" t="s">
        <v>50</v>
      </c>
      <c r="C304">
        <v>32.58</v>
      </c>
      <c r="D304">
        <v>0</v>
      </c>
      <c r="E304">
        <v>0</v>
      </c>
      <c r="F304">
        <v>0</v>
      </c>
      <c r="G304" s="105">
        <f>Tabell38[[#This Row],[Såld värme (GWh)]]-Tabell38[[#This Row],[Levererad värme, andra fjärrvärmeföretag, företag 1 (GWh)]]-Tabell38[[#This Row],[Levererad värme, andra fjärrvärmeföretag, företag 2 (GWh)]]-Tabell38[[#This Row],[Levererad värme, andra fjärrvärmeföretag, företag 3 (GWh)]]</f>
        <v>32.58</v>
      </c>
      <c r="H304" s="102" t="str">
        <f>VLOOKUP(Tabell38[[#This Row],[Nät]],Tabell5[],2,FALSE)</f>
        <v>Vännäs</v>
      </c>
      <c r="I304" t="str">
        <f>VLOOKUP(Tabell38[[#This Row],[Nät]],'Leveranser per nät'!A:A,1,FALSE)</f>
        <v>Vännäs</v>
      </c>
      <c r="O304" t="s">
        <v>806</v>
      </c>
      <c r="P304" t="s">
        <v>806</v>
      </c>
      <c r="Q304" s="44" t="s">
        <v>806</v>
      </c>
      <c r="R304">
        <f t="shared" si="25"/>
        <v>0</v>
      </c>
      <c r="S304">
        <f t="shared" si="26"/>
        <v>0</v>
      </c>
      <c r="T304">
        <f t="shared" si="27"/>
        <v>0</v>
      </c>
      <c r="U304">
        <f t="shared" si="28"/>
        <v>0</v>
      </c>
      <c r="V304">
        <f t="shared" si="29"/>
        <v>0</v>
      </c>
      <c r="W304">
        <f t="shared" si="30"/>
        <v>0</v>
      </c>
    </row>
    <row r="305" spans="1:23" x14ac:dyDescent="0.25">
      <c r="A305" t="s">
        <v>1100</v>
      </c>
      <c r="B305" t="s">
        <v>730</v>
      </c>
      <c r="C305">
        <v>3.99</v>
      </c>
      <c r="D305">
        <v>0</v>
      </c>
      <c r="E305">
        <v>0</v>
      </c>
      <c r="F305">
        <v>0</v>
      </c>
      <c r="G305" s="105">
        <f>Tabell38[[#This Row],[Såld värme (GWh)]]-Tabell38[[#This Row],[Levererad värme, andra fjärrvärmeföretag, företag 1 (GWh)]]-Tabell38[[#This Row],[Levererad värme, andra fjärrvärmeföretag, företag 2 (GWh)]]-Tabell38[[#This Row],[Levererad värme, andra fjärrvärmeföretag, företag 3 (GWh)]]</f>
        <v>3.99</v>
      </c>
      <c r="H305" s="102" t="e">
        <f>VLOOKUP(Tabell38[[#This Row],[Nät]],Tabell5[],2,FALSE)</f>
        <v>#N/A</v>
      </c>
      <c r="I305" t="e">
        <f>VLOOKUP(Tabell38[[#This Row],[Nät]],'Leveranser per nät'!A:A,1,FALSE)</f>
        <v>#N/A</v>
      </c>
      <c r="O305" t="s">
        <v>806</v>
      </c>
      <c r="P305" t="s">
        <v>806</v>
      </c>
      <c r="Q305" s="84" t="s">
        <v>806</v>
      </c>
      <c r="R305">
        <f t="shared" si="25"/>
        <v>0</v>
      </c>
      <c r="S305">
        <f t="shared" si="26"/>
        <v>0</v>
      </c>
      <c r="T305">
        <f t="shared" si="27"/>
        <v>0</v>
      </c>
      <c r="U305">
        <f t="shared" si="28"/>
        <v>0</v>
      </c>
      <c r="V305">
        <f t="shared" si="29"/>
        <v>0</v>
      </c>
      <c r="W305">
        <f t="shared" si="30"/>
        <v>0</v>
      </c>
    </row>
    <row r="306" spans="1:23" x14ac:dyDescent="0.25">
      <c r="A306" t="s">
        <v>1100</v>
      </c>
      <c r="B306" t="s">
        <v>249</v>
      </c>
      <c r="C306">
        <v>17.984000000000002</v>
      </c>
      <c r="D306">
        <v>0</v>
      </c>
      <c r="E306">
        <v>0</v>
      </c>
      <c r="F306">
        <v>0</v>
      </c>
      <c r="G306" s="105">
        <f>Tabell38[[#This Row],[Såld värme (GWh)]]-Tabell38[[#This Row],[Levererad värme, andra fjärrvärmeföretag, företag 1 (GWh)]]-Tabell38[[#This Row],[Levererad värme, andra fjärrvärmeföretag, företag 2 (GWh)]]-Tabell38[[#This Row],[Levererad värme, andra fjärrvärmeföretag, företag 3 (GWh)]]</f>
        <v>17.984000000000002</v>
      </c>
      <c r="H306" s="102" t="str">
        <f>VLOOKUP(Tabell38[[#This Row],[Nät]],Tabell5[],2,FALSE)</f>
        <v>Västerdala</v>
      </c>
      <c r="I306" t="str">
        <f>VLOOKUP(Tabell38[[#This Row],[Nät]],'Leveranser per nät'!A:A,1,FALSE)</f>
        <v>Västerdala</v>
      </c>
      <c r="O306" t="s">
        <v>806</v>
      </c>
      <c r="P306" t="s">
        <v>806</v>
      </c>
      <c r="Q306" s="44" t="s">
        <v>806</v>
      </c>
      <c r="R306">
        <f t="shared" si="25"/>
        <v>0</v>
      </c>
      <c r="S306">
        <f t="shared" si="26"/>
        <v>0</v>
      </c>
      <c r="T306">
        <f t="shared" si="27"/>
        <v>0</v>
      </c>
      <c r="U306">
        <f t="shared" si="28"/>
        <v>0</v>
      </c>
      <c r="V306">
        <f t="shared" si="29"/>
        <v>0</v>
      </c>
      <c r="W306">
        <f t="shared" si="30"/>
        <v>0</v>
      </c>
    </row>
    <row r="307" spans="1:23" x14ac:dyDescent="0.25">
      <c r="A307" t="s">
        <v>1100</v>
      </c>
      <c r="B307" t="s">
        <v>77</v>
      </c>
      <c r="C307">
        <v>14.1</v>
      </c>
      <c r="D307">
        <v>0</v>
      </c>
      <c r="E307">
        <v>0</v>
      </c>
      <c r="F307">
        <v>0</v>
      </c>
      <c r="G307" s="105">
        <f>Tabell38[[#This Row],[Såld värme (GWh)]]-Tabell38[[#This Row],[Levererad värme, andra fjärrvärmeföretag, företag 1 (GWh)]]-Tabell38[[#This Row],[Levererad värme, andra fjärrvärmeföretag, företag 2 (GWh)]]-Tabell38[[#This Row],[Levererad värme, andra fjärrvärmeföretag, företag 3 (GWh)]]</f>
        <v>14.1</v>
      </c>
      <c r="H307" s="102" t="str">
        <f>VLOOKUP(Tabell38[[#This Row],[Nät]],Tabell5[],2,FALSE)</f>
        <v>Åseda</v>
      </c>
      <c r="I307" t="str">
        <f>VLOOKUP(Tabell38[[#This Row],[Nät]],'Leveranser per nät'!A:A,1,FALSE)</f>
        <v>Åseda</v>
      </c>
      <c r="O307" t="s">
        <v>806</v>
      </c>
      <c r="P307" t="s">
        <v>806</v>
      </c>
      <c r="Q307" s="84" t="s">
        <v>806</v>
      </c>
      <c r="R307">
        <f t="shared" si="25"/>
        <v>0</v>
      </c>
      <c r="S307">
        <f t="shared" si="26"/>
        <v>0</v>
      </c>
      <c r="T307">
        <f t="shared" si="27"/>
        <v>0</v>
      </c>
      <c r="U307">
        <f t="shared" si="28"/>
        <v>0</v>
      </c>
      <c r="V307">
        <f t="shared" si="29"/>
        <v>0</v>
      </c>
      <c r="W307">
        <f t="shared" si="30"/>
        <v>0</v>
      </c>
    </row>
    <row r="308" spans="1:23" x14ac:dyDescent="0.25">
      <c r="A308" t="s">
        <v>1100</v>
      </c>
      <c r="B308" t="s">
        <v>438</v>
      </c>
      <c r="C308">
        <v>8.6270000000000007</v>
      </c>
      <c r="D308">
        <v>0</v>
      </c>
      <c r="E308">
        <v>0</v>
      </c>
      <c r="F308">
        <v>0</v>
      </c>
      <c r="G308" s="105">
        <f>Tabell38[[#This Row],[Såld värme (GWh)]]-Tabell38[[#This Row],[Levererad värme, andra fjärrvärmeföretag, företag 1 (GWh)]]-Tabell38[[#This Row],[Levererad värme, andra fjärrvärmeföretag, företag 2 (GWh)]]-Tabell38[[#This Row],[Levererad värme, andra fjärrvärmeföretag, företag 3 (GWh)]]</f>
        <v>8.6270000000000007</v>
      </c>
      <c r="H308" s="102" t="str">
        <f>VLOOKUP(Tabell38[[#This Row],[Nät]],Tabell5[],2,FALSE)</f>
        <v>Älvdalen</v>
      </c>
      <c r="I308" t="str">
        <f>VLOOKUP(Tabell38[[#This Row],[Nät]],'Leveranser per nät'!A:A,1,FALSE)</f>
        <v>Älvdalen</v>
      </c>
      <c r="O308" t="s">
        <v>806</v>
      </c>
      <c r="P308" t="s">
        <v>806</v>
      </c>
      <c r="Q308" s="44" t="s">
        <v>806</v>
      </c>
      <c r="R308">
        <f t="shared" si="25"/>
        <v>0</v>
      </c>
      <c r="S308">
        <f t="shared" si="26"/>
        <v>0</v>
      </c>
      <c r="T308">
        <f t="shared" si="27"/>
        <v>0</v>
      </c>
      <c r="U308">
        <f t="shared" si="28"/>
        <v>0</v>
      </c>
      <c r="V308">
        <f t="shared" si="29"/>
        <v>0</v>
      </c>
      <c r="W308">
        <f t="shared" si="30"/>
        <v>0</v>
      </c>
    </row>
    <row r="309" spans="1:23" x14ac:dyDescent="0.25">
      <c r="A309" t="s">
        <v>713</v>
      </c>
      <c r="B309" t="s">
        <v>298</v>
      </c>
      <c r="C309" t="s">
        <v>805</v>
      </c>
      <c r="D309">
        <v>0</v>
      </c>
      <c r="E309">
        <v>0</v>
      </c>
      <c r="F309">
        <v>0</v>
      </c>
      <c r="G309"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309" s="102" t="str">
        <f>VLOOKUP(Tabell38[[#This Row],[Nät]],Tabell5[],2,FALSE)</f>
        <v>Svenljunga</v>
      </c>
      <c r="I309" t="str">
        <f>VLOOKUP(Tabell38[[#This Row],[Nät]],'Leveranser per nät'!A:A,1,FALSE)</f>
        <v>Svenljunga</v>
      </c>
      <c r="O309" t="s">
        <v>805</v>
      </c>
      <c r="P309" t="s">
        <v>805</v>
      </c>
      <c r="Q309" s="84" t="s">
        <v>805</v>
      </c>
      <c r="R309" t="str">
        <f t="shared" si="25"/>
        <v>-</v>
      </c>
      <c r="S309" t="str">
        <f t="shared" si="26"/>
        <v>-</v>
      </c>
      <c r="T309" t="str">
        <f t="shared" si="27"/>
        <v>-</v>
      </c>
      <c r="U309">
        <f t="shared" si="28"/>
        <v>0</v>
      </c>
      <c r="V309">
        <f t="shared" si="29"/>
        <v>0</v>
      </c>
      <c r="W309">
        <f t="shared" si="30"/>
        <v>0</v>
      </c>
    </row>
    <row r="310" spans="1:23" x14ac:dyDescent="0.25">
      <c r="A310" t="s">
        <v>655</v>
      </c>
      <c r="B310" t="s">
        <v>283</v>
      </c>
      <c r="C310">
        <v>108.54</v>
      </c>
      <c r="D310">
        <v>0</v>
      </c>
      <c r="E310">
        <v>0</v>
      </c>
      <c r="F310">
        <v>0</v>
      </c>
      <c r="G310" s="105">
        <f>Tabell38[[#This Row],[Såld värme (GWh)]]-Tabell38[[#This Row],[Levererad värme, andra fjärrvärmeföretag, företag 1 (GWh)]]-Tabell38[[#This Row],[Levererad värme, andra fjärrvärmeföretag, företag 2 (GWh)]]-Tabell38[[#This Row],[Levererad värme, andra fjärrvärmeföretag, företag 3 (GWh)]]</f>
        <v>108.54</v>
      </c>
      <c r="H310" s="102" t="str">
        <f>VLOOKUP(Tabell38[[#This Row],[Nät]],Tabell5[],2,FALSE)</f>
        <v>Kungsbacka</v>
      </c>
      <c r="I310" t="str">
        <f>VLOOKUP(Tabell38[[#This Row],[Nät]],'Leveranser per nät'!A:A,1,FALSE)</f>
        <v>Kungsbacka</v>
      </c>
      <c r="O310" t="s">
        <v>806</v>
      </c>
      <c r="P310" t="s">
        <v>806</v>
      </c>
      <c r="Q310" s="44" t="s">
        <v>806</v>
      </c>
      <c r="R310">
        <f t="shared" si="25"/>
        <v>0</v>
      </c>
      <c r="S310">
        <f t="shared" si="26"/>
        <v>0</v>
      </c>
      <c r="T310">
        <f t="shared" si="27"/>
        <v>0</v>
      </c>
      <c r="U310">
        <f t="shared" si="28"/>
        <v>0</v>
      </c>
      <c r="V310">
        <f t="shared" si="29"/>
        <v>0</v>
      </c>
      <c r="W310">
        <f t="shared" si="30"/>
        <v>0</v>
      </c>
    </row>
    <row r="311" spans="1:23" x14ac:dyDescent="0.25">
      <c r="A311" t="s">
        <v>655</v>
      </c>
      <c r="B311" t="s">
        <v>282</v>
      </c>
      <c r="C311">
        <v>19.940000000000001</v>
      </c>
      <c r="D311">
        <v>0</v>
      </c>
      <c r="E311">
        <v>0</v>
      </c>
      <c r="F311">
        <v>0</v>
      </c>
      <c r="G311" s="105">
        <f>Tabell38[[#This Row],[Såld värme (GWh)]]-Tabell38[[#This Row],[Levererad värme, andra fjärrvärmeföretag, företag 1 (GWh)]]-Tabell38[[#This Row],[Levererad värme, andra fjärrvärmeföretag, företag 2 (GWh)]]-Tabell38[[#This Row],[Levererad värme, andra fjärrvärmeföretag, företag 3 (GWh)]]</f>
        <v>19.940000000000001</v>
      </c>
      <c r="H311" s="102" t="str">
        <f>VLOOKUP(Tabell38[[#This Row],[Nät]],Tabell5[],2,FALSE)</f>
        <v>Trosa</v>
      </c>
      <c r="I311" t="str">
        <f>VLOOKUP(Tabell38[[#This Row],[Nät]],'Leveranser per nät'!A:A,1,FALSE)</f>
        <v>Trosa</v>
      </c>
      <c r="O311" t="s">
        <v>806</v>
      </c>
      <c r="P311" t="s">
        <v>806</v>
      </c>
      <c r="Q311" s="84" t="s">
        <v>806</v>
      </c>
      <c r="R311">
        <f t="shared" si="25"/>
        <v>0</v>
      </c>
      <c r="S311">
        <f t="shared" si="26"/>
        <v>0</v>
      </c>
      <c r="T311">
        <f t="shared" si="27"/>
        <v>0</v>
      </c>
      <c r="U311">
        <f t="shared" si="28"/>
        <v>0</v>
      </c>
      <c r="V311">
        <f t="shared" si="29"/>
        <v>0</v>
      </c>
      <c r="W311">
        <f t="shared" si="30"/>
        <v>0</v>
      </c>
    </row>
    <row r="312" spans="1:23" x14ac:dyDescent="0.25">
      <c r="A312" t="s">
        <v>655</v>
      </c>
      <c r="B312" t="s">
        <v>284</v>
      </c>
      <c r="C312">
        <v>8.93</v>
      </c>
      <c r="D312">
        <v>0</v>
      </c>
      <c r="E312">
        <v>0</v>
      </c>
      <c r="F312">
        <v>0</v>
      </c>
      <c r="G312" s="105">
        <f>Tabell38[[#This Row],[Såld värme (GWh)]]-Tabell38[[#This Row],[Levererad värme, andra fjärrvärmeföretag, företag 1 (GWh)]]-Tabell38[[#This Row],[Levererad värme, andra fjärrvärmeföretag, företag 2 (GWh)]]-Tabell38[[#This Row],[Levererad värme, andra fjärrvärmeföretag, företag 3 (GWh)]]</f>
        <v>8.93</v>
      </c>
      <c r="H312" s="102" t="str">
        <f>VLOOKUP(Tabell38[[#This Row],[Nät]],Tabell5[],2,FALSE)</f>
        <v>Vagnhärad</v>
      </c>
      <c r="I312" t="str">
        <f>VLOOKUP(Tabell38[[#This Row],[Nät]],'Leveranser per nät'!A:A,1,FALSE)</f>
        <v>Vagnhärad</v>
      </c>
      <c r="O312" t="s">
        <v>806</v>
      </c>
      <c r="P312" t="s">
        <v>806</v>
      </c>
      <c r="Q312" s="44" t="s">
        <v>806</v>
      </c>
      <c r="R312">
        <f t="shared" si="25"/>
        <v>0</v>
      </c>
      <c r="S312">
        <f t="shared" si="26"/>
        <v>0</v>
      </c>
      <c r="T312">
        <f t="shared" si="27"/>
        <v>0</v>
      </c>
      <c r="U312">
        <f t="shared" si="28"/>
        <v>0</v>
      </c>
      <c r="V312">
        <f t="shared" si="29"/>
        <v>0</v>
      </c>
      <c r="W312">
        <f t="shared" si="30"/>
        <v>0</v>
      </c>
    </row>
    <row r="313" spans="1:23" x14ac:dyDescent="0.25">
      <c r="A313" t="s">
        <v>655</v>
      </c>
      <c r="B313" t="s">
        <v>281</v>
      </c>
      <c r="C313">
        <v>37.659999999999997</v>
      </c>
      <c r="D313">
        <v>0</v>
      </c>
      <c r="E313">
        <v>0</v>
      </c>
      <c r="F313">
        <v>0</v>
      </c>
      <c r="G313" s="105">
        <f>Tabell38[[#This Row],[Såld värme (GWh)]]-Tabell38[[#This Row],[Levererad värme, andra fjärrvärmeföretag, företag 1 (GWh)]]-Tabell38[[#This Row],[Levererad värme, andra fjärrvärmeföretag, företag 2 (GWh)]]-Tabell38[[#This Row],[Levererad värme, andra fjärrvärmeföretag, företag 3 (GWh)]]</f>
        <v>37.659999999999997</v>
      </c>
      <c r="H313" s="102" t="str">
        <f>VLOOKUP(Tabell38[[#This Row],[Nät]],Tabell5[],2,FALSE)</f>
        <v>Åmål</v>
      </c>
      <c r="I313" t="str">
        <f>VLOOKUP(Tabell38[[#This Row],[Nät]],'Leveranser per nät'!A:A,1,FALSE)</f>
        <v>Åmål</v>
      </c>
      <c r="O313" t="s">
        <v>806</v>
      </c>
      <c r="P313" t="s">
        <v>806</v>
      </c>
      <c r="Q313" s="84" t="s">
        <v>806</v>
      </c>
      <c r="R313">
        <f t="shared" si="25"/>
        <v>0</v>
      </c>
      <c r="S313">
        <f t="shared" si="26"/>
        <v>0</v>
      </c>
      <c r="T313">
        <f t="shared" si="27"/>
        <v>0</v>
      </c>
      <c r="U313">
        <f t="shared" si="28"/>
        <v>0</v>
      </c>
      <c r="V313">
        <f t="shared" si="29"/>
        <v>0</v>
      </c>
      <c r="W313">
        <f t="shared" si="30"/>
        <v>0</v>
      </c>
    </row>
    <row r="314" spans="1:23" x14ac:dyDescent="0.25">
      <c r="A314" t="s">
        <v>996</v>
      </c>
      <c r="B314" t="s">
        <v>418</v>
      </c>
      <c r="C314">
        <v>72.959999999999994</v>
      </c>
      <c r="D314">
        <v>0</v>
      </c>
      <c r="E314">
        <v>0</v>
      </c>
      <c r="F314">
        <v>0</v>
      </c>
      <c r="G314" s="105">
        <f>Tabell38[[#This Row],[Såld värme (GWh)]]-Tabell38[[#This Row],[Levererad värme, andra fjärrvärmeföretag, företag 1 (GWh)]]-Tabell38[[#This Row],[Levererad värme, andra fjärrvärmeföretag, företag 2 (GWh)]]-Tabell38[[#This Row],[Levererad värme, andra fjärrvärmeföretag, företag 3 (GWh)]]</f>
        <v>72.959999999999994</v>
      </c>
      <c r="H314" s="102" t="str">
        <f>VLOOKUP(Tabell38[[#This Row],[Nät]],Tabell5[],2,FALSE)</f>
        <v>Stenungsund</v>
      </c>
      <c r="I314" t="str">
        <f>VLOOKUP(Tabell38[[#This Row],[Nät]],'Leveranser per nät'!A:A,1,FALSE)</f>
        <v>Stenungsund</v>
      </c>
      <c r="O314" t="s">
        <v>806</v>
      </c>
      <c r="P314" t="s">
        <v>806</v>
      </c>
      <c r="Q314" s="44" t="s">
        <v>806</v>
      </c>
      <c r="R314">
        <f t="shared" si="25"/>
        <v>0</v>
      </c>
      <c r="S314">
        <f t="shared" si="26"/>
        <v>0</v>
      </c>
      <c r="T314">
        <f t="shared" si="27"/>
        <v>0</v>
      </c>
      <c r="U314">
        <f t="shared" si="28"/>
        <v>0</v>
      </c>
      <c r="V314">
        <f t="shared" si="29"/>
        <v>0</v>
      </c>
      <c r="W314">
        <f t="shared" si="30"/>
        <v>0</v>
      </c>
    </row>
    <row r="315" spans="1:23" x14ac:dyDescent="0.25">
      <c r="A315" t="s">
        <v>996</v>
      </c>
      <c r="B315" t="s">
        <v>421</v>
      </c>
      <c r="C315">
        <v>0.79400000000000004</v>
      </c>
      <c r="D315">
        <v>0</v>
      </c>
      <c r="E315">
        <v>0</v>
      </c>
      <c r="F315">
        <v>0</v>
      </c>
      <c r="G315" s="105">
        <f>Tabell38[[#This Row],[Såld värme (GWh)]]-Tabell38[[#This Row],[Levererad värme, andra fjärrvärmeföretag, företag 1 (GWh)]]-Tabell38[[#This Row],[Levererad värme, andra fjärrvärmeföretag, företag 2 (GWh)]]-Tabell38[[#This Row],[Levererad värme, andra fjärrvärmeföretag, företag 3 (GWh)]]</f>
        <v>0.79400000000000004</v>
      </c>
      <c r="H315" s="102" t="str">
        <f>VLOOKUP(Tabell38[[#This Row],[Nät]],Tabell5[],2,FALSE)</f>
        <v>Stora Höga</v>
      </c>
      <c r="I315" t="str">
        <f>VLOOKUP(Tabell38[[#This Row],[Nät]],'Leveranser per nät'!A:A,1,FALSE)</f>
        <v>Stora Höga</v>
      </c>
      <c r="O315" t="s">
        <v>806</v>
      </c>
      <c r="P315" t="s">
        <v>806</v>
      </c>
      <c r="Q315" s="84" t="s">
        <v>806</v>
      </c>
      <c r="R315">
        <f t="shared" si="25"/>
        <v>0</v>
      </c>
      <c r="S315">
        <f t="shared" si="26"/>
        <v>0</v>
      </c>
      <c r="T315">
        <f t="shared" si="27"/>
        <v>0</v>
      </c>
      <c r="U315">
        <f t="shared" si="28"/>
        <v>0</v>
      </c>
      <c r="V315">
        <f t="shared" si="29"/>
        <v>0</v>
      </c>
      <c r="W315">
        <f t="shared" si="30"/>
        <v>0</v>
      </c>
    </row>
    <row r="316" spans="1:23" x14ac:dyDescent="0.25">
      <c r="A316" t="s">
        <v>884</v>
      </c>
      <c r="B316" t="s">
        <v>885</v>
      </c>
      <c r="C316" t="s">
        <v>805</v>
      </c>
      <c r="D316">
        <v>0</v>
      </c>
      <c r="E316">
        <v>0</v>
      </c>
      <c r="F316">
        <v>0</v>
      </c>
      <c r="G316"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316" s="102" t="e">
        <f>VLOOKUP(Tabell38[[#This Row],[Nät]],Tabell5[],2,FALSE)</f>
        <v>#N/A</v>
      </c>
      <c r="I316" t="e">
        <f>VLOOKUP(Tabell38[[#This Row],[Nät]],'Leveranser per nät'!A:A,1,FALSE)</f>
        <v>#N/A</v>
      </c>
      <c r="O316" t="s">
        <v>805</v>
      </c>
      <c r="P316" t="s">
        <v>805</v>
      </c>
      <c r="Q316" s="44" t="s">
        <v>805</v>
      </c>
      <c r="R316" t="str">
        <f t="shared" si="25"/>
        <v>-</v>
      </c>
      <c r="S316" t="str">
        <f t="shared" si="26"/>
        <v>-</v>
      </c>
      <c r="T316" t="str">
        <f t="shared" si="27"/>
        <v>-</v>
      </c>
      <c r="U316">
        <f t="shared" si="28"/>
        <v>0</v>
      </c>
      <c r="V316">
        <f t="shared" si="29"/>
        <v>0</v>
      </c>
      <c r="W316">
        <f t="shared" si="30"/>
        <v>0</v>
      </c>
    </row>
    <row r="317" spans="1:23" x14ac:dyDescent="0.25">
      <c r="A317" t="s">
        <v>884</v>
      </c>
      <c r="B317" t="s">
        <v>886</v>
      </c>
      <c r="C317" t="s">
        <v>805</v>
      </c>
      <c r="D317">
        <v>0</v>
      </c>
      <c r="E317">
        <v>0</v>
      </c>
      <c r="F317">
        <v>0</v>
      </c>
      <c r="G317"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317" s="102" t="e">
        <f>VLOOKUP(Tabell38[[#This Row],[Nät]],Tabell5[],2,FALSE)</f>
        <v>#N/A</v>
      </c>
      <c r="I317" t="e">
        <f>VLOOKUP(Tabell38[[#This Row],[Nät]],'Leveranser per nät'!A:A,1,FALSE)</f>
        <v>#N/A</v>
      </c>
      <c r="O317" t="s">
        <v>805</v>
      </c>
      <c r="P317" t="s">
        <v>805</v>
      </c>
      <c r="Q317" s="84" t="s">
        <v>805</v>
      </c>
      <c r="R317" t="str">
        <f t="shared" si="25"/>
        <v>-</v>
      </c>
      <c r="S317" t="str">
        <f t="shared" si="26"/>
        <v>-</v>
      </c>
      <c r="T317" t="str">
        <f t="shared" si="27"/>
        <v>-</v>
      </c>
      <c r="U317">
        <f t="shared" si="28"/>
        <v>0</v>
      </c>
      <c r="V317">
        <f t="shared" si="29"/>
        <v>0</v>
      </c>
      <c r="W317">
        <f t="shared" si="30"/>
        <v>0</v>
      </c>
    </row>
    <row r="318" spans="1:23" x14ac:dyDescent="0.25">
      <c r="A318" t="s">
        <v>884</v>
      </c>
      <c r="B318" t="s">
        <v>887</v>
      </c>
      <c r="C318" t="s">
        <v>805</v>
      </c>
      <c r="D318">
        <v>0</v>
      </c>
      <c r="E318">
        <v>0</v>
      </c>
      <c r="F318">
        <v>0</v>
      </c>
      <c r="G318"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318" s="102" t="e">
        <f>VLOOKUP(Tabell38[[#This Row],[Nät]],Tabell5[],2,FALSE)</f>
        <v>#N/A</v>
      </c>
      <c r="I318" t="e">
        <f>VLOOKUP(Tabell38[[#This Row],[Nät]],'Leveranser per nät'!A:A,1,FALSE)</f>
        <v>#N/A</v>
      </c>
      <c r="O318" t="s">
        <v>805</v>
      </c>
      <c r="P318" t="s">
        <v>805</v>
      </c>
      <c r="Q318" s="44" t="s">
        <v>805</v>
      </c>
      <c r="R318" t="str">
        <f t="shared" si="25"/>
        <v>-</v>
      </c>
      <c r="S318" t="str">
        <f t="shared" si="26"/>
        <v>-</v>
      </c>
      <c r="T318" t="str">
        <f t="shared" si="27"/>
        <v>-</v>
      </c>
      <c r="U318">
        <f t="shared" si="28"/>
        <v>0</v>
      </c>
      <c r="V318">
        <f t="shared" si="29"/>
        <v>0</v>
      </c>
      <c r="W318">
        <f t="shared" si="30"/>
        <v>0</v>
      </c>
    </row>
    <row r="319" spans="1:23" x14ac:dyDescent="0.25">
      <c r="A319" t="s">
        <v>884</v>
      </c>
      <c r="B319" t="s">
        <v>420</v>
      </c>
      <c r="C319">
        <v>7170.8670000000002</v>
      </c>
      <c r="D319">
        <v>0</v>
      </c>
      <c r="E319">
        <v>0</v>
      </c>
      <c r="F319">
        <v>0</v>
      </c>
      <c r="G319" s="105">
        <f>Tabell38[[#This Row],[Såld värme (GWh)]]-Tabell38[[#This Row],[Levererad värme, andra fjärrvärmeföretag, företag 1 (GWh)]]-Tabell38[[#This Row],[Levererad värme, andra fjärrvärmeföretag, företag 2 (GWh)]]-Tabell38[[#This Row],[Levererad värme, andra fjärrvärmeföretag, företag 3 (GWh)]]</f>
        <v>7170.8670000000002</v>
      </c>
      <c r="H319" s="102" t="str">
        <f>VLOOKUP(Tabell38[[#This Row],[Nät]],Tabell5[],2,FALSE)</f>
        <v>Stockholm</v>
      </c>
      <c r="I319" t="str">
        <f>VLOOKUP(Tabell38[[#This Row],[Nät]],'Leveranser per nät'!A:A,1,FALSE)</f>
        <v>Stockholm</v>
      </c>
      <c r="O319" t="s">
        <v>806</v>
      </c>
      <c r="P319" t="s">
        <v>805</v>
      </c>
      <c r="Q319" s="84" t="s">
        <v>805</v>
      </c>
      <c r="R319">
        <f t="shared" si="25"/>
        <v>0</v>
      </c>
      <c r="S319" t="str">
        <f t="shared" si="26"/>
        <v>-</v>
      </c>
      <c r="T319" t="str">
        <f t="shared" si="27"/>
        <v>-</v>
      </c>
      <c r="U319">
        <f t="shared" si="28"/>
        <v>0</v>
      </c>
      <c r="V319">
        <f t="shared" si="29"/>
        <v>0</v>
      </c>
      <c r="W319">
        <f t="shared" si="30"/>
        <v>0</v>
      </c>
    </row>
    <row r="320" spans="1:23" x14ac:dyDescent="0.25">
      <c r="A320" t="s">
        <v>884</v>
      </c>
      <c r="B320" t="s">
        <v>933</v>
      </c>
      <c r="C320" t="s">
        <v>805</v>
      </c>
      <c r="D320">
        <v>0</v>
      </c>
      <c r="E320">
        <v>0</v>
      </c>
      <c r="F320">
        <v>0</v>
      </c>
      <c r="G320"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320" s="102" t="e">
        <f>VLOOKUP(Tabell38[[#This Row],[Nät]],Tabell5[],2,FALSE)</f>
        <v>#N/A</v>
      </c>
      <c r="I320" t="e">
        <f>VLOOKUP(Tabell38[[#This Row],[Nät]],'Leveranser per nät'!A:A,1,FALSE)</f>
        <v>#N/A</v>
      </c>
      <c r="O320" t="s">
        <v>805</v>
      </c>
      <c r="P320" t="s">
        <v>805</v>
      </c>
      <c r="Q320" s="44" t="s">
        <v>805</v>
      </c>
      <c r="R320" t="str">
        <f t="shared" si="25"/>
        <v>-</v>
      </c>
      <c r="S320" t="str">
        <f t="shared" si="26"/>
        <v>-</v>
      </c>
      <c r="T320" t="str">
        <f t="shared" si="27"/>
        <v>-</v>
      </c>
      <c r="U320">
        <f t="shared" si="28"/>
        <v>0</v>
      </c>
      <c r="V320">
        <f t="shared" si="29"/>
        <v>0</v>
      </c>
      <c r="W320">
        <f t="shared" si="30"/>
        <v>0</v>
      </c>
    </row>
    <row r="321" spans="1:23" x14ac:dyDescent="0.25">
      <c r="A321" t="s">
        <v>884</v>
      </c>
      <c r="B321" t="s">
        <v>934</v>
      </c>
      <c r="C321" t="s">
        <v>805</v>
      </c>
      <c r="D321">
        <v>0</v>
      </c>
      <c r="E321">
        <v>0</v>
      </c>
      <c r="F321">
        <v>0</v>
      </c>
      <c r="G321"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321" s="102" t="e">
        <f>VLOOKUP(Tabell38[[#This Row],[Nät]],Tabell5[],2,FALSE)</f>
        <v>#N/A</v>
      </c>
      <c r="I321" t="e">
        <f>VLOOKUP(Tabell38[[#This Row],[Nät]],'Leveranser per nät'!A:A,1,FALSE)</f>
        <v>#N/A</v>
      </c>
      <c r="O321" t="s">
        <v>805</v>
      </c>
      <c r="P321" t="s">
        <v>805</v>
      </c>
      <c r="Q321" s="84" t="s">
        <v>805</v>
      </c>
      <c r="R321" t="str">
        <f t="shared" si="25"/>
        <v>-</v>
      </c>
      <c r="S321" t="str">
        <f t="shared" si="26"/>
        <v>-</v>
      </c>
      <c r="T321" t="str">
        <f t="shared" si="27"/>
        <v>-</v>
      </c>
      <c r="U321">
        <f t="shared" si="28"/>
        <v>0</v>
      </c>
      <c r="V321">
        <f t="shared" si="29"/>
        <v>0</v>
      </c>
      <c r="W321">
        <f t="shared" si="30"/>
        <v>0</v>
      </c>
    </row>
    <row r="322" spans="1:23" x14ac:dyDescent="0.25">
      <c r="A322" t="s">
        <v>884</v>
      </c>
      <c r="B322" t="s">
        <v>935</v>
      </c>
      <c r="C322" t="s">
        <v>805</v>
      </c>
      <c r="D322">
        <v>0</v>
      </c>
      <c r="E322">
        <v>0</v>
      </c>
      <c r="F322">
        <v>0</v>
      </c>
      <c r="G322"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322" s="102" t="e">
        <f>VLOOKUP(Tabell38[[#This Row],[Nät]],Tabell5[],2,FALSE)</f>
        <v>#N/A</v>
      </c>
      <c r="I322" t="e">
        <f>VLOOKUP(Tabell38[[#This Row],[Nät]],'Leveranser per nät'!A:A,1,FALSE)</f>
        <v>#N/A</v>
      </c>
      <c r="O322" t="s">
        <v>805</v>
      </c>
      <c r="P322" t="s">
        <v>805</v>
      </c>
      <c r="Q322" s="44" t="s">
        <v>805</v>
      </c>
      <c r="R322" t="str">
        <f t="shared" si="25"/>
        <v>-</v>
      </c>
      <c r="S322" t="str">
        <f t="shared" si="26"/>
        <v>-</v>
      </c>
      <c r="T322" t="str">
        <f t="shared" si="27"/>
        <v>-</v>
      </c>
      <c r="U322">
        <f t="shared" si="28"/>
        <v>0</v>
      </c>
      <c r="V322">
        <f t="shared" si="29"/>
        <v>0</v>
      </c>
      <c r="W322">
        <f t="shared" si="30"/>
        <v>0</v>
      </c>
    </row>
    <row r="323" spans="1:23" x14ac:dyDescent="0.25">
      <c r="A323" t="s">
        <v>884</v>
      </c>
      <c r="B323" t="s">
        <v>442</v>
      </c>
      <c r="C323">
        <v>52.953000000000003</v>
      </c>
      <c r="D323">
        <v>0</v>
      </c>
      <c r="E323">
        <v>0</v>
      </c>
      <c r="F323">
        <v>0</v>
      </c>
      <c r="G323" s="105">
        <f>Tabell38[[#This Row],[Såld värme (GWh)]]-Tabell38[[#This Row],[Levererad värme, andra fjärrvärmeföretag, företag 1 (GWh)]]-Tabell38[[#This Row],[Levererad värme, andra fjärrvärmeföretag, företag 2 (GWh)]]-Tabell38[[#This Row],[Levererad värme, andra fjärrvärmeföretag, företag 3 (GWh)]]</f>
        <v>52.953000000000003</v>
      </c>
      <c r="H323" s="102" t="str">
        <f>VLOOKUP(Tabell38[[#This Row],[Nät]],Tabell5[],2,FALSE)</f>
        <v>Addera E.ON och sthlm exergi!</v>
      </c>
      <c r="I323" t="str">
        <f>VLOOKUP(Tabell38[[#This Row],[Nät]],'Leveranser per nät'!A:A,1,FALSE)</f>
        <v>Täby</v>
      </c>
      <c r="O323" t="s">
        <v>806</v>
      </c>
      <c r="P323" t="s">
        <v>805</v>
      </c>
      <c r="Q323" s="84" t="s">
        <v>805</v>
      </c>
      <c r="R323">
        <f t="shared" ref="R323:R386" si="31">IF(O323="ET",0,O323)</f>
        <v>0</v>
      </c>
      <c r="S323" t="str">
        <f t="shared" ref="S323:S386" si="32">IF(P323="ET",0,P323)</f>
        <v>-</v>
      </c>
      <c r="T323" t="str">
        <f t="shared" ref="T323:T386" si="33">IF(Q323="ET",0,Q323)</f>
        <v>-</v>
      </c>
      <c r="U323">
        <f t="shared" ref="U323:U386" si="34">IF(R323="-",0,R323)</f>
        <v>0</v>
      </c>
      <c r="V323">
        <f t="shared" ref="V323:V386" si="35">IF(S323="-",0,S323)</f>
        <v>0</v>
      </c>
      <c r="W323">
        <f t="shared" ref="W323:W386" si="36">IF(T323="-",0,T323)</f>
        <v>0</v>
      </c>
    </row>
    <row r="324" spans="1:23" x14ac:dyDescent="0.25">
      <c r="A324" t="s">
        <v>884</v>
      </c>
      <c r="B324" t="s">
        <v>891</v>
      </c>
      <c r="C324" t="s">
        <v>805</v>
      </c>
      <c r="D324">
        <v>0</v>
      </c>
      <c r="E324">
        <v>0</v>
      </c>
      <c r="F324">
        <v>0</v>
      </c>
      <c r="G324"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324" s="102" t="e">
        <f>VLOOKUP(Tabell38[[#This Row],[Nät]],Tabell5[],2,FALSE)</f>
        <v>#N/A</v>
      </c>
      <c r="I324" t="e">
        <f>VLOOKUP(Tabell38[[#This Row],[Nät]],'Leveranser per nät'!A:A,1,FALSE)</f>
        <v>#N/A</v>
      </c>
      <c r="O324" t="s">
        <v>805</v>
      </c>
      <c r="P324" t="s">
        <v>805</v>
      </c>
      <c r="Q324" s="44" t="s">
        <v>805</v>
      </c>
      <c r="R324" t="str">
        <f t="shared" si="31"/>
        <v>-</v>
      </c>
      <c r="S324" t="str">
        <f t="shared" si="32"/>
        <v>-</v>
      </c>
      <c r="T324" t="str">
        <f t="shared" si="33"/>
        <v>-</v>
      </c>
      <c r="U324">
        <f t="shared" si="34"/>
        <v>0</v>
      </c>
      <c r="V324">
        <f t="shared" si="35"/>
        <v>0</v>
      </c>
      <c r="W324">
        <f t="shared" si="36"/>
        <v>0</v>
      </c>
    </row>
    <row r="325" spans="1:23" x14ac:dyDescent="0.25">
      <c r="A325" t="s">
        <v>657</v>
      </c>
      <c r="B325" t="s">
        <v>291</v>
      </c>
      <c r="C325">
        <v>17.099</v>
      </c>
      <c r="D325">
        <v>0</v>
      </c>
      <c r="E325">
        <v>0</v>
      </c>
      <c r="F325">
        <v>0</v>
      </c>
      <c r="G325" s="105">
        <f>Tabell38[[#This Row],[Såld värme (GWh)]]-Tabell38[[#This Row],[Levererad värme, andra fjärrvärmeföretag, företag 1 (GWh)]]-Tabell38[[#This Row],[Levererad värme, andra fjärrvärmeföretag, företag 2 (GWh)]]-Tabell38[[#This Row],[Levererad värme, andra fjärrvärmeföretag, företag 3 (GWh)]]</f>
        <v>17.099</v>
      </c>
      <c r="H325" s="102" t="str">
        <f>VLOOKUP(Tabell38[[#This Row],[Nät]],Tabell5[],2,FALSE)</f>
        <v>Kvissleby</v>
      </c>
      <c r="I325" t="str">
        <f>VLOOKUP(Tabell38[[#This Row],[Nät]],'Leveranser per nät'!A:A,1,FALSE)</f>
        <v>Kvissleby</v>
      </c>
      <c r="O325" t="s">
        <v>806</v>
      </c>
      <c r="P325" t="s">
        <v>806</v>
      </c>
      <c r="Q325" s="84" t="s">
        <v>806</v>
      </c>
      <c r="R325">
        <f t="shared" si="31"/>
        <v>0</v>
      </c>
      <c r="S325">
        <f t="shared" si="32"/>
        <v>0</v>
      </c>
      <c r="T325">
        <f t="shared" si="33"/>
        <v>0</v>
      </c>
      <c r="U325">
        <f t="shared" si="34"/>
        <v>0</v>
      </c>
      <c r="V325">
        <f t="shared" si="35"/>
        <v>0</v>
      </c>
      <c r="W325">
        <f t="shared" si="36"/>
        <v>0</v>
      </c>
    </row>
    <row r="326" spans="1:23" x14ac:dyDescent="0.25">
      <c r="A326" t="s">
        <v>657</v>
      </c>
      <c r="B326" t="s">
        <v>294</v>
      </c>
      <c r="C326">
        <v>14.196</v>
      </c>
      <c r="D326">
        <v>0</v>
      </c>
      <c r="E326">
        <v>0</v>
      </c>
      <c r="F326">
        <v>0</v>
      </c>
      <c r="G326" s="105">
        <f>Tabell38[[#This Row],[Såld värme (GWh)]]-Tabell38[[#This Row],[Levererad värme, andra fjärrvärmeföretag, företag 1 (GWh)]]-Tabell38[[#This Row],[Levererad värme, andra fjärrvärmeföretag, företag 2 (GWh)]]-Tabell38[[#This Row],[Levererad värme, andra fjärrvärmeföretag, företag 3 (GWh)]]</f>
        <v>14.196</v>
      </c>
      <c r="H326" s="102" t="str">
        <f>VLOOKUP(Tabell38[[#This Row],[Nät]],Tabell5[],2,FALSE)</f>
        <v>Matfors</v>
      </c>
      <c r="I326" t="str">
        <f>VLOOKUP(Tabell38[[#This Row],[Nät]],'Leveranser per nät'!A:A,1,FALSE)</f>
        <v>Matfors</v>
      </c>
      <c r="O326" t="s">
        <v>806</v>
      </c>
      <c r="P326" t="s">
        <v>806</v>
      </c>
      <c r="Q326" s="44" t="s">
        <v>806</v>
      </c>
      <c r="R326">
        <f t="shared" si="31"/>
        <v>0</v>
      </c>
      <c r="S326">
        <f t="shared" si="32"/>
        <v>0</v>
      </c>
      <c r="T326">
        <f t="shared" si="33"/>
        <v>0</v>
      </c>
      <c r="U326">
        <f t="shared" si="34"/>
        <v>0</v>
      </c>
      <c r="V326">
        <f t="shared" si="35"/>
        <v>0</v>
      </c>
      <c r="W326">
        <f t="shared" si="36"/>
        <v>0</v>
      </c>
    </row>
    <row r="327" spans="1:23" x14ac:dyDescent="0.25">
      <c r="A327" t="s">
        <v>657</v>
      </c>
      <c r="B327" t="s">
        <v>288</v>
      </c>
      <c r="C327">
        <v>476.03300000000002</v>
      </c>
      <c r="D327">
        <v>0</v>
      </c>
      <c r="E327">
        <v>0</v>
      </c>
      <c r="F327">
        <v>0</v>
      </c>
      <c r="G327" s="105">
        <f>Tabell38[[#This Row],[Såld värme (GWh)]]-Tabell38[[#This Row],[Levererad värme, andra fjärrvärmeföretag, företag 1 (GWh)]]-Tabell38[[#This Row],[Levererad värme, andra fjärrvärmeföretag, företag 2 (GWh)]]-Tabell38[[#This Row],[Levererad värme, andra fjärrvärmeföretag, företag 3 (GWh)]]</f>
        <v>476.03300000000002</v>
      </c>
      <c r="H327" s="102" t="str">
        <f>VLOOKUP(Tabell38[[#This Row],[Nät]],Tabell5[],2,FALSE)</f>
        <v>Sundsvall</v>
      </c>
      <c r="I327" t="str">
        <f>VLOOKUP(Tabell38[[#This Row],[Nät]],'Leveranser per nät'!A:A,1,FALSE)</f>
        <v>Sundsvall</v>
      </c>
      <c r="O327" t="s">
        <v>806</v>
      </c>
      <c r="P327" t="s">
        <v>806</v>
      </c>
      <c r="Q327" s="84" t="s">
        <v>806</v>
      </c>
      <c r="R327">
        <f t="shared" si="31"/>
        <v>0</v>
      </c>
      <c r="S327">
        <f t="shared" si="32"/>
        <v>0</v>
      </c>
      <c r="T327">
        <f t="shared" si="33"/>
        <v>0</v>
      </c>
      <c r="U327">
        <f t="shared" si="34"/>
        <v>0</v>
      </c>
      <c r="V327">
        <f t="shared" si="35"/>
        <v>0</v>
      </c>
      <c r="W327">
        <f t="shared" si="36"/>
        <v>0</v>
      </c>
    </row>
    <row r="328" spans="1:23" x14ac:dyDescent="0.25">
      <c r="A328" t="s">
        <v>657</v>
      </c>
      <c r="B328" t="s">
        <v>1094</v>
      </c>
      <c r="C328" t="s">
        <v>806</v>
      </c>
      <c r="D328">
        <v>0</v>
      </c>
      <c r="E328">
        <v>0</v>
      </c>
      <c r="F328">
        <v>0</v>
      </c>
      <c r="G328"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328" s="102" t="e">
        <f>VLOOKUP(Tabell38[[#This Row],[Nät]],Tabell5[],2,FALSE)</f>
        <v>#N/A</v>
      </c>
      <c r="I328" t="e">
        <f>VLOOKUP(Tabell38[[#This Row],[Nät]],'Leveranser per nät'!A:A,1,FALSE)</f>
        <v>#N/A</v>
      </c>
      <c r="O328" t="s">
        <v>806</v>
      </c>
      <c r="P328" t="s">
        <v>806</v>
      </c>
      <c r="Q328" s="44" t="s">
        <v>806</v>
      </c>
      <c r="R328">
        <f t="shared" si="31"/>
        <v>0</v>
      </c>
      <c r="S328">
        <f t="shared" si="32"/>
        <v>0</v>
      </c>
      <c r="T328">
        <f t="shared" si="33"/>
        <v>0</v>
      </c>
      <c r="U328">
        <f t="shared" si="34"/>
        <v>0</v>
      </c>
      <c r="V328">
        <f t="shared" si="35"/>
        <v>0</v>
      </c>
      <c r="W328">
        <f t="shared" si="36"/>
        <v>0</v>
      </c>
    </row>
    <row r="329" spans="1:23" x14ac:dyDescent="0.25">
      <c r="A329" t="s">
        <v>657</v>
      </c>
      <c r="B329" t="s">
        <v>727</v>
      </c>
      <c r="C329">
        <v>125.739</v>
      </c>
      <c r="D329">
        <v>0</v>
      </c>
      <c r="E329">
        <v>0</v>
      </c>
      <c r="F329">
        <v>0</v>
      </c>
      <c r="G329" s="105">
        <f>Tabell38[[#This Row],[Såld värme (GWh)]]-Tabell38[[#This Row],[Levererad värme, andra fjärrvärmeföretag, företag 1 (GWh)]]-Tabell38[[#This Row],[Levererad värme, andra fjärrvärmeföretag, företag 2 (GWh)]]-Tabell38[[#This Row],[Levererad värme, andra fjärrvärmeföretag, företag 3 (GWh)]]</f>
        <v>125.739</v>
      </c>
      <c r="H329" s="102" t="str">
        <f>VLOOKUP(Tabell38[[#This Row],[Nät]],Tabell5[],2,FALSE)</f>
        <v>Tunadal</v>
      </c>
      <c r="I329" t="str">
        <f>VLOOKUP(Tabell38[[#This Row],[Nät]],'Leveranser per nät'!A:A,1,FALSE)</f>
        <v>Tunadal</v>
      </c>
      <c r="O329" t="s">
        <v>806</v>
      </c>
      <c r="P329" t="s">
        <v>806</v>
      </c>
      <c r="Q329" s="84" t="s">
        <v>806</v>
      </c>
      <c r="R329">
        <f t="shared" si="31"/>
        <v>0</v>
      </c>
      <c r="S329">
        <f t="shared" si="32"/>
        <v>0</v>
      </c>
      <c r="T329">
        <f t="shared" si="33"/>
        <v>0</v>
      </c>
      <c r="U329">
        <f t="shared" si="34"/>
        <v>0</v>
      </c>
      <c r="V329">
        <f t="shared" si="35"/>
        <v>0</v>
      </c>
      <c r="W329">
        <f t="shared" si="36"/>
        <v>0</v>
      </c>
    </row>
    <row r="330" spans="1:23" x14ac:dyDescent="0.25">
      <c r="A330" t="s">
        <v>657</v>
      </c>
      <c r="B330" t="s">
        <v>742</v>
      </c>
      <c r="C330">
        <v>5.6989999999999998</v>
      </c>
      <c r="D330">
        <v>0</v>
      </c>
      <c r="E330">
        <v>0</v>
      </c>
      <c r="F330">
        <v>0</v>
      </c>
      <c r="G330" s="105">
        <f>Tabell38[[#This Row],[Såld värme (GWh)]]-Tabell38[[#This Row],[Levererad värme, andra fjärrvärmeföretag, företag 1 (GWh)]]-Tabell38[[#This Row],[Levererad värme, andra fjärrvärmeföretag, företag 2 (GWh)]]-Tabell38[[#This Row],[Levererad värme, andra fjärrvärmeföretag, företag 3 (GWh)]]</f>
        <v>5.6989999999999998</v>
      </c>
      <c r="H330" s="102" t="e">
        <f>VLOOKUP(Tabell38[[#This Row],[Nät]],Tabell5[],2,FALSE)</f>
        <v>#N/A</v>
      </c>
      <c r="I330" t="e">
        <f>VLOOKUP(Tabell38[[#This Row],[Nät]],'Leveranser per nät'!A:A,1,FALSE)</f>
        <v>#N/A</v>
      </c>
      <c r="O330" t="s">
        <v>806</v>
      </c>
      <c r="P330" t="s">
        <v>806</v>
      </c>
      <c r="Q330" s="44" t="s">
        <v>806</v>
      </c>
      <c r="R330">
        <f t="shared" si="31"/>
        <v>0</v>
      </c>
      <c r="S330">
        <f t="shared" si="32"/>
        <v>0</v>
      </c>
      <c r="T330">
        <f t="shared" si="33"/>
        <v>0</v>
      </c>
      <c r="U330">
        <f t="shared" si="34"/>
        <v>0</v>
      </c>
      <c r="V330">
        <f t="shared" si="35"/>
        <v>0</v>
      </c>
      <c r="W330">
        <f t="shared" si="36"/>
        <v>0</v>
      </c>
    </row>
    <row r="331" spans="1:23" x14ac:dyDescent="0.25">
      <c r="A331" t="s">
        <v>1095</v>
      </c>
      <c r="B331" t="s">
        <v>797</v>
      </c>
      <c r="C331" t="s">
        <v>805</v>
      </c>
      <c r="D331">
        <v>0</v>
      </c>
      <c r="E331">
        <v>0</v>
      </c>
      <c r="F331">
        <v>0</v>
      </c>
      <c r="G331"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331" s="102" t="e">
        <f>VLOOKUP(Tabell38[[#This Row],[Nät]],Tabell5[],2,FALSE)</f>
        <v>#N/A</v>
      </c>
      <c r="I331" t="e">
        <f>VLOOKUP(Tabell38[[#This Row],[Nät]],'Leveranser per nät'!A:A,1,FALSE)</f>
        <v>#N/A</v>
      </c>
      <c r="O331" t="s">
        <v>805</v>
      </c>
      <c r="P331" t="s">
        <v>805</v>
      </c>
      <c r="Q331" s="84" t="s">
        <v>805</v>
      </c>
      <c r="R331" t="str">
        <f t="shared" si="31"/>
        <v>-</v>
      </c>
      <c r="S331" t="str">
        <f t="shared" si="32"/>
        <v>-</v>
      </c>
      <c r="T331" t="str">
        <f t="shared" si="33"/>
        <v>-</v>
      </c>
      <c r="U331">
        <f t="shared" si="34"/>
        <v>0</v>
      </c>
      <c r="V331">
        <f t="shared" si="35"/>
        <v>0</v>
      </c>
      <c r="W331">
        <f t="shared" si="36"/>
        <v>0</v>
      </c>
    </row>
    <row r="332" spans="1:23" x14ac:dyDescent="0.25">
      <c r="A332" t="s">
        <v>666</v>
      </c>
      <c r="B332" t="s">
        <v>302</v>
      </c>
      <c r="C332">
        <v>7.9050000000000002</v>
      </c>
      <c r="D332">
        <v>0</v>
      </c>
      <c r="E332">
        <v>0</v>
      </c>
      <c r="F332">
        <v>0</v>
      </c>
      <c r="G332" s="105">
        <f>Tabell38[[#This Row],[Såld värme (GWh)]]-Tabell38[[#This Row],[Levererad värme, andra fjärrvärmeföretag, företag 1 (GWh)]]-Tabell38[[#This Row],[Levererad värme, andra fjärrvärmeföretag, företag 2 (GWh)]]-Tabell38[[#This Row],[Levererad värme, andra fjärrvärmeföretag, företag 3 (GWh)]]</f>
        <v>7.9050000000000002</v>
      </c>
      <c r="H332" s="102" t="str">
        <f>VLOOKUP(Tabell38[[#This Row],[Nät]],Tabell5[],2,FALSE)</f>
        <v>Ljusne</v>
      </c>
      <c r="I332" t="str">
        <f>VLOOKUP(Tabell38[[#This Row],[Nät]],'Leveranser per nät'!A:A,1,FALSE)</f>
        <v>Ljusne</v>
      </c>
      <c r="O332" t="s">
        <v>806</v>
      </c>
      <c r="P332" t="s">
        <v>806</v>
      </c>
      <c r="Q332" s="44" t="s">
        <v>806</v>
      </c>
      <c r="R332">
        <f t="shared" si="31"/>
        <v>0</v>
      </c>
      <c r="S332">
        <f t="shared" si="32"/>
        <v>0</v>
      </c>
      <c r="T332">
        <f t="shared" si="33"/>
        <v>0</v>
      </c>
      <c r="U332">
        <f t="shared" si="34"/>
        <v>0</v>
      </c>
      <c r="V332">
        <f t="shared" si="35"/>
        <v>0</v>
      </c>
      <c r="W332">
        <f t="shared" si="36"/>
        <v>0</v>
      </c>
    </row>
    <row r="333" spans="1:23" x14ac:dyDescent="0.25">
      <c r="A333" t="s">
        <v>666</v>
      </c>
      <c r="B333" t="s">
        <v>796</v>
      </c>
      <c r="C333">
        <v>2.5590000000000002</v>
      </c>
      <c r="D333">
        <v>0</v>
      </c>
      <c r="E333">
        <v>0</v>
      </c>
      <c r="F333">
        <v>0</v>
      </c>
      <c r="G333" s="105">
        <f>Tabell38[[#This Row],[Såld värme (GWh)]]-Tabell38[[#This Row],[Levererad värme, andra fjärrvärmeföretag, företag 1 (GWh)]]-Tabell38[[#This Row],[Levererad värme, andra fjärrvärmeföretag, företag 2 (GWh)]]-Tabell38[[#This Row],[Levererad värme, andra fjärrvärmeföretag, företag 3 (GWh)]]</f>
        <v>2.5590000000000002</v>
      </c>
      <c r="H333" s="102" t="str">
        <f>VLOOKUP(Tabell38[[#This Row],[Nät]],Tabell5[],2,FALSE)</f>
        <v>Sandarne</v>
      </c>
      <c r="I333" t="str">
        <f>VLOOKUP(Tabell38[[#This Row],[Nät]],'Leveranser per nät'!A:A,1,FALSE)</f>
        <v>Sandarne</v>
      </c>
      <c r="O333" t="s">
        <v>806</v>
      </c>
      <c r="P333" t="s">
        <v>806</v>
      </c>
      <c r="Q333" s="84" t="s">
        <v>806</v>
      </c>
      <c r="R333">
        <f t="shared" si="31"/>
        <v>0</v>
      </c>
      <c r="S333">
        <f t="shared" si="32"/>
        <v>0</v>
      </c>
      <c r="T333">
        <f t="shared" si="33"/>
        <v>0</v>
      </c>
      <c r="U333">
        <f t="shared" si="34"/>
        <v>0</v>
      </c>
      <c r="V333">
        <f t="shared" si="35"/>
        <v>0</v>
      </c>
      <c r="W333">
        <f t="shared" si="36"/>
        <v>0</v>
      </c>
    </row>
    <row r="334" spans="1:23" x14ac:dyDescent="0.25">
      <c r="A334" t="s">
        <v>666</v>
      </c>
      <c r="B334" t="s">
        <v>301</v>
      </c>
      <c r="C334">
        <v>106.39</v>
      </c>
      <c r="D334">
        <v>0</v>
      </c>
      <c r="E334">
        <v>0</v>
      </c>
      <c r="F334">
        <v>0</v>
      </c>
      <c r="G334" s="105">
        <f>Tabell38[[#This Row],[Såld värme (GWh)]]-Tabell38[[#This Row],[Levererad värme, andra fjärrvärmeföretag, företag 1 (GWh)]]-Tabell38[[#This Row],[Levererad värme, andra fjärrvärmeföretag, företag 2 (GWh)]]-Tabell38[[#This Row],[Levererad värme, andra fjärrvärmeföretag, företag 3 (GWh)]]</f>
        <v>106.39</v>
      </c>
      <c r="H334" s="102" t="str">
        <f>VLOOKUP(Tabell38[[#This Row],[Nät]],Tabell5[],2,FALSE)</f>
        <v>Söderhamn</v>
      </c>
      <c r="I334" t="str">
        <f>VLOOKUP(Tabell38[[#This Row],[Nät]],'Leveranser per nät'!A:A,1,FALSE)</f>
        <v>Söderhamn</v>
      </c>
      <c r="O334" t="s">
        <v>806</v>
      </c>
      <c r="P334" t="s">
        <v>806</v>
      </c>
      <c r="Q334" s="44" t="s">
        <v>806</v>
      </c>
      <c r="R334">
        <f t="shared" si="31"/>
        <v>0</v>
      </c>
      <c r="S334">
        <f t="shared" si="32"/>
        <v>0</v>
      </c>
      <c r="T334">
        <f t="shared" si="33"/>
        <v>0</v>
      </c>
      <c r="U334">
        <f t="shared" si="34"/>
        <v>0</v>
      </c>
      <c r="V334">
        <f t="shared" si="35"/>
        <v>0</v>
      </c>
      <c r="W334">
        <f t="shared" si="36"/>
        <v>0</v>
      </c>
    </row>
    <row r="335" spans="1:23" x14ac:dyDescent="0.25">
      <c r="A335" t="s">
        <v>717</v>
      </c>
      <c r="B335" t="s">
        <v>304</v>
      </c>
      <c r="C335">
        <v>867.29</v>
      </c>
      <c r="D335">
        <v>0</v>
      </c>
      <c r="E335">
        <v>0</v>
      </c>
      <c r="F335">
        <v>0</v>
      </c>
      <c r="G335" s="105">
        <f>Tabell38[[#This Row],[Såld värme (GWh)]]-Tabell38[[#This Row],[Levererad värme, andra fjärrvärmeföretag, företag 1 (GWh)]]-Tabell38[[#This Row],[Levererad värme, andra fjärrvärmeföretag, företag 2 (GWh)]]-Tabell38[[#This Row],[Levererad värme, andra fjärrvärmeföretag, företag 3 (GWh)]]</f>
        <v>867.29</v>
      </c>
      <c r="H335" s="102" t="str">
        <f>VLOOKUP(Tabell38[[#This Row],[Nät]],Tabell5[],2,FALSE)</f>
        <v>Södertörn Fjärrvärme Totalt</v>
      </c>
      <c r="I335" t="str">
        <f>VLOOKUP(Tabell38[[#This Row],[Nät]],'Leveranser per nät'!A:A,1,FALSE)</f>
        <v>Södertörn Fjärrvärme Totalt</v>
      </c>
      <c r="O335" t="s">
        <v>806</v>
      </c>
      <c r="P335" t="s">
        <v>806</v>
      </c>
      <c r="Q335" s="84" t="s">
        <v>806</v>
      </c>
      <c r="R335">
        <f t="shared" si="31"/>
        <v>0</v>
      </c>
      <c r="S335">
        <f t="shared" si="32"/>
        <v>0</v>
      </c>
      <c r="T335">
        <f t="shared" si="33"/>
        <v>0</v>
      </c>
      <c r="U335">
        <f t="shared" si="34"/>
        <v>0</v>
      </c>
      <c r="V335">
        <f t="shared" si="35"/>
        <v>0</v>
      </c>
      <c r="W335">
        <f t="shared" si="36"/>
        <v>0</v>
      </c>
    </row>
    <row r="336" spans="1:23" x14ac:dyDescent="0.25">
      <c r="A336" t="s">
        <v>897</v>
      </c>
      <c r="B336" t="s">
        <v>463</v>
      </c>
      <c r="C336">
        <v>44</v>
      </c>
      <c r="D336">
        <v>0</v>
      </c>
      <c r="E336">
        <v>0</v>
      </c>
      <c r="F336">
        <v>0</v>
      </c>
      <c r="G336" s="105">
        <f>Tabell38[[#This Row],[Såld värme (GWh)]]-Tabell38[[#This Row],[Levererad värme, andra fjärrvärmeföretag, företag 1 (GWh)]]-Tabell38[[#This Row],[Levererad värme, andra fjärrvärmeföretag, företag 2 (GWh)]]-Tabell38[[#This Row],[Levererad värme, andra fjärrvärmeföretag, företag 3 (GWh)]]</f>
        <v>44</v>
      </c>
      <c r="H336" s="102" t="str">
        <f>VLOOKUP(Tabell38[[#This Row],[Nät]],Tabell5[],2,FALSE)</f>
        <v>Sölvesborg</v>
      </c>
      <c r="I336" t="str">
        <f>VLOOKUP(Tabell38[[#This Row],[Nät]],'Leveranser per nät'!A:A,1,FALSE)</f>
        <v>Sölvesborg</v>
      </c>
      <c r="O336" t="s">
        <v>806</v>
      </c>
      <c r="P336" t="s">
        <v>806</v>
      </c>
      <c r="Q336" s="44" t="s">
        <v>806</v>
      </c>
      <c r="R336">
        <f t="shared" si="31"/>
        <v>0</v>
      </c>
      <c r="S336">
        <f t="shared" si="32"/>
        <v>0</v>
      </c>
      <c r="T336">
        <f t="shared" si="33"/>
        <v>0</v>
      </c>
      <c r="U336">
        <f t="shared" si="34"/>
        <v>0</v>
      </c>
      <c r="V336">
        <f t="shared" si="35"/>
        <v>0</v>
      </c>
      <c r="W336">
        <f t="shared" si="36"/>
        <v>0</v>
      </c>
    </row>
    <row r="337" spans="1:23" x14ac:dyDescent="0.25">
      <c r="A337" t="s">
        <v>573</v>
      </c>
      <c r="B337" t="s">
        <v>306</v>
      </c>
      <c r="C337">
        <v>9.9920000000000009</v>
      </c>
      <c r="D337">
        <v>0</v>
      </c>
      <c r="E337">
        <v>0</v>
      </c>
      <c r="F337">
        <v>0</v>
      </c>
      <c r="G337" s="105">
        <f>Tabell38[[#This Row],[Såld värme (GWh)]]-Tabell38[[#This Row],[Levererad värme, andra fjärrvärmeföretag, företag 1 (GWh)]]-Tabell38[[#This Row],[Levererad värme, andra fjärrvärmeföretag, företag 2 (GWh)]]-Tabell38[[#This Row],[Levererad värme, andra fjärrvärmeföretag, företag 3 (GWh)]]</f>
        <v>9.9920000000000009</v>
      </c>
      <c r="H337" s="102" t="str">
        <f>VLOOKUP(Tabell38[[#This Row],[Nät]],Tabell5[],2,FALSE)</f>
        <v>Borensberg</v>
      </c>
      <c r="I337" t="str">
        <f>VLOOKUP(Tabell38[[#This Row],[Nät]],'Leveranser per nät'!A:A,1,FALSE)</f>
        <v>Borensberg</v>
      </c>
      <c r="O337" t="s">
        <v>806</v>
      </c>
      <c r="P337" t="s">
        <v>806</v>
      </c>
      <c r="Q337" s="84" t="s">
        <v>806</v>
      </c>
      <c r="R337">
        <f t="shared" si="31"/>
        <v>0</v>
      </c>
      <c r="S337">
        <f t="shared" si="32"/>
        <v>0</v>
      </c>
      <c r="T337">
        <f t="shared" si="33"/>
        <v>0</v>
      </c>
      <c r="U337">
        <f t="shared" si="34"/>
        <v>0</v>
      </c>
      <c r="V337">
        <f t="shared" si="35"/>
        <v>0</v>
      </c>
      <c r="W337">
        <f t="shared" si="36"/>
        <v>0</v>
      </c>
    </row>
    <row r="338" spans="1:23" x14ac:dyDescent="0.25">
      <c r="A338" t="s">
        <v>573</v>
      </c>
      <c r="B338" t="s">
        <v>168</v>
      </c>
      <c r="C338">
        <v>147.47999999999999</v>
      </c>
      <c r="D338">
        <v>0</v>
      </c>
      <c r="E338">
        <v>0</v>
      </c>
      <c r="F338">
        <v>0</v>
      </c>
      <c r="G338" s="105">
        <f>Tabell38[[#This Row],[Såld värme (GWh)]]-Tabell38[[#This Row],[Levererad värme, andra fjärrvärmeföretag, företag 1 (GWh)]]-Tabell38[[#This Row],[Levererad värme, andra fjärrvärmeföretag, företag 2 (GWh)]]-Tabell38[[#This Row],[Levererad värme, andra fjärrvärmeföretag, företag 3 (GWh)]]</f>
        <v>147.47999999999999</v>
      </c>
      <c r="H338" s="102" t="str">
        <f>VLOOKUP(Tabell38[[#This Row],[Nät]],Tabell5[],2,FALSE)</f>
        <v>Katrineholm</v>
      </c>
      <c r="I338" t="str">
        <f>VLOOKUP(Tabell38[[#This Row],[Nät]],'Leveranser per nät'!A:A,1,FALSE)</f>
        <v>Katrineholm</v>
      </c>
      <c r="O338" t="s">
        <v>806</v>
      </c>
      <c r="P338" t="s">
        <v>806</v>
      </c>
      <c r="Q338" s="44" t="s">
        <v>806</v>
      </c>
      <c r="R338">
        <f t="shared" si="31"/>
        <v>0</v>
      </c>
      <c r="S338">
        <f t="shared" si="32"/>
        <v>0</v>
      </c>
      <c r="T338">
        <f t="shared" si="33"/>
        <v>0</v>
      </c>
      <c r="U338">
        <f t="shared" si="34"/>
        <v>0</v>
      </c>
      <c r="V338">
        <f t="shared" si="35"/>
        <v>0</v>
      </c>
      <c r="W338">
        <f t="shared" si="36"/>
        <v>0</v>
      </c>
    </row>
    <row r="339" spans="1:23" x14ac:dyDescent="0.25">
      <c r="A339" t="s">
        <v>573</v>
      </c>
      <c r="B339" t="s">
        <v>307</v>
      </c>
      <c r="C339">
        <v>16.5</v>
      </c>
      <c r="D339">
        <v>0</v>
      </c>
      <c r="E339">
        <v>0</v>
      </c>
      <c r="F339">
        <v>0</v>
      </c>
      <c r="G339" s="105">
        <f>Tabell38[[#This Row],[Såld värme (GWh)]]-Tabell38[[#This Row],[Levererad värme, andra fjärrvärmeföretag, företag 1 (GWh)]]-Tabell38[[#This Row],[Levererad värme, andra fjärrvärmeföretag, företag 2 (GWh)]]-Tabell38[[#This Row],[Levererad värme, andra fjärrvärmeföretag, företag 3 (GWh)]]</f>
        <v>16.5</v>
      </c>
      <c r="H339" s="102" t="str">
        <f>VLOOKUP(Tabell38[[#This Row],[Nät]],Tabell5[],2,FALSE)</f>
        <v>Kisa</v>
      </c>
      <c r="I339" t="str">
        <f>VLOOKUP(Tabell38[[#This Row],[Nät]],'Leveranser per nät'!A:A,1,FALSE)</f>
        <v>Kisa</v>
      </c>
      <c r="O339" t="s">
        <v>806</v>
      </c>
      <c r="P339" t="s">
        <v>806</v>
      </c>
      <c r="Q339" s="84" t="s">
        <v>806</v>
      </c>
      <c r="R339">
        <f t="shared" si="31"/>
        <v>0</v>
      </c>
      <c r="S339">
        <f t="shared" si="32"/>
        <v>0</v>
      </c>
      <c r="T339">
        <f t="shared" si="33"/>
        <v>0</v>
      </c>
      <c r="U339">
        <f t="shared" si="34"/>
        <v>0</v>
      </c>
      <c r="V339">
        <f t="shared" si="35"/>
        <v>0</v>
      </c>
      <c r="W339">
        <f t="shared" si="36"/>
        <v>0</v>
      </c>
    </row>
    <row r="340" spans="1:23" x14ac:dyDescent="0.25">
      <c r="A340" t="s">
        <v>573</v>
      </c>
      <c r="B340" t="s">
        <v>308</v>
      </c>
      <c r="C340">
        <v>1275.5</v>
      </c>
      <c r="D340">
        <v>89.070999999999998</v>
      </c>
      <c r="E340">
        <v>0</v>
      </c>
      <c r="F340">
        <v>0</v>
      </c>
      <c r="G340" s="105">
        <f>Tabell38[[#This Row],[Såld värme (GWh)]]-Tabell38[[#This Row],[Levererad värme, andra fjärrvärmeföretag, företag 1 (GWh)]]-Tabell38[[#This Row],[Levererad värme, andra fjärrvärmeföretag, företag 2 (GWh)]]-Tabell38[[#This Row],[Levererad värme, andra fjärrvärmeföretag, företag 3 (GWh)]]</f>
        <v>1186.4290000000001</v>
      </c>
      <c r="H340" s="102" t="str">
        <f>VLOOKUP(Tabell38[[#This Row],[Nät]],Tabell5[],2,FALSE)</f>
        <v>Linköping</v>
      </c>
      <c r="I340" t="str">
        <f>VLOOKUP(Tabell38[[#This Row],[Nät]],'Leveranser per nät'!A:A,1,FALSE)</f>
        <v>Linköping</v>
      </c>
      <c r="O340">
        <v>89.070999999999998</v>
      </c>
      <c r="P340" t="s">
        <v>806</v>
      </c>
      <c r="Q340" s="44" t="s">
        <v>806</v>
      </c>
      <c r="R340">
        <f t="shared" si="31"/>
        <v>89.070999999999998</v>
      </c>
      <c r="S340">
        <f t="shared" si="32"/>
        <v>0</v>
      </c>
      <c r="T340">
        <f t="shared" si="33"/>
        <v>0</v>
      </c>
      <c r="U340">
        <f t="shared" si="34"/>
        <v>89.070999999999998</v>
      </c>
      <c r="V340">
        <f t="shared" si="35"/>
        <v>0</v>
      </c>
      <c r="W340">
        <f t="shared" si="36"/>
        <v>0</v>
      </c>
    </row>
    <row r="341" spans="1:23" x14ac:dyDescent="0.25">
      <c r="A341" t="s">
        <v>573</v>
      </c>
      <c r="B341" t="s">
        <v>309</v>
      </c>
      <c r="C341">
        <v>16.013999999999999</v>
      </c>
      <c r="D341">
        <v>0</v>
      </c>
      <c r="E341">
        <v>0</v>
      </c>
      <c r="F341">
        <v>0</v>
      </c>
      <c r="G341" s="105">
        <f>Tabell38[[#This Row],[Såld värme (GWh)]]-Tabell38[[#This Row],[Levererad värme, andra fjärrvärmeföretag, företag 1 (GWh)]]-Tabell38[[#This Row],[Levererad värme, andra fjärrvärmeföretag, företag 2 (GWh)]]-Tabell38[[#This Row],[Levererad värme, andra fjärrvärmeföretag, företag 3 (GWh)]]</f>
        <v>16.013999999999999</v>
      </c>
      <c r="H341" s="102" t="str">
        <f>VLOOKUP(Tabell38[[#This Row],[Nät]],Tabell5[],2,FALSE)</f>
        <v>Skärblacka</v>
      </c>
      <c r="I341" t="str">
        <f>VLOOKUP(Tabell38[[#This Row],[Nät]],'Leveranser per nät'!A:A,1,FALSE)</f>
        <v>Skärblacka</v>
      </c>
      <c r="O341" t="s">
        <v>806</v>
      </c>
      <c r="P341" t="s">
        <v>806</v>
      </c>
      <c r="Q341" s="84" t="s">
        <v>806</v>
      </c>
      <c r="R341">
        <f t="shared" si="31"/>
        <v>0</v>
      </c>
      <c r="S341">
        <f t="shared" si="32"/>
        <v>0</v>
      </c>
      <c r="T341">
        <f t="shared" si="33"/>
        <v>0</v>
      </c>
      <c r="U341">
        <f t="shared" si="34"/>
        <v>0</v>
      </c>
      <c r="V341">
        <f t="shared" si="35"/>
        <v>0</v>
      </c>
      <c r="W341">
        <f t="shared" si="36"/>
        <v>0</v>
      </c>
    </row>
    <row r="342" spans="1:23" x14ac:dyDescent="0.25">
      <c r="A342" t="s">
        <v>573</v>
      </c>
      <c r="B342" t="s">
        <v>310</v>
      </c>
      <c r="C342">
        <v>27.3</v>
      </c>
      <c r="D342">
        <v>0</v>
      </c>
      <c r="E342">
        <v>0</v>
      </c>
      <c r="F342">
        <v>0</v>
      </c>
      <c r="G342" s="105">
        <f>Tabell38[[#This Row],[Såld värme (GWh)]]-Tabell38[[#This Row],[Levererad värme, andra fjärrvärmeföretag, företag 1 (GWh)]]-Tabell38[[#This Row],[Levererad värme, andra fjärrvärmeföretag, företag 2 (GWh)]]-Tabell38[[#This Row],[Levererad värme, andra fjärrvärmeföretag, företag 3 (GWh)]]</f>
        <v>27.3</v>
      </c>
      <c r="H342" s="102" t="str">
        <f>VLOOKUP(Tabell38[[#This Row],[Nät]],Tabell5[],2,FALSE)</f>
        <v>Åtvidaberg</v>
      </c>
      <c r="I342" t="str">
        <f>VLOOKUP(Tabell38[[#This Row],[Nät]],'Leveranser per nät'!A:A,1,FALSE)</f>
        <v>Åtvidaberg</v>
      </c>
      <c r="O342" t="s">
        <v>806</v>
      </c>
      <c r="P342" t="s">
        <v>806</v>
      </c>
      <c r="Q342" s="44" t="s">
        <v>806</v>
      </c>
      <c r="R342">
        <f t="shared" si="31"/>
        <v>0</v>
      </c>
      <c r="S342">
        <f t="shared" si="32"/>
        <v>0</v>
      </c>
      <c r="T342">
        <f t="shared" si="33"/>
        <v>0</v>
      </c>
      <c r="U342">
        <f t="shared" si="34"/>
        <v>0</v>
      </c>
      <c r="V342">
        <f t="shared" si="35"/>
        <v>0</v>
      </c>
      <c r="W342">
        <f t="shared" si="36"/>
        <v>0</v>
      </c>
    </row>
    <row r="343" spans="1:23" x14ac:dyDescent="0.25">
      <c r="A343" t="s">
        <v>641</v>
      </c>
      <c r="B343" t="s">
        <v>312</v>
      </c>
      <c r="C343">
        <v>40.39</v>
      </c>
      <c r="D343">
        <v>0</v>
      </c>
      <c r="E343">
        <v>0</v>
      </c>
      <c r="F343">
        <v>0</v>
      </c>
      <c r="G343" s="105">
        <f>Tabell38[[#This Row],[Såld värme (GWh)]]-Tabell38[[#This Row],[Levererad värme, andra fjärrvärmeföretag, företag 1 (GWh)]]-Tabell38[[#This Row],[Levererad värme, andra fjärrvärmeföretag, företag 2 (GWh)]]-Tabell38[[#This Row],[Levererad värme, andra fjärrvärmeföretag, företag 3 (GWh)]]</f>
        <v>40.39</v>
      </c>
      <c r="H343" s="102" t="str">
        <f>VLOOKUP(Tabell38[[#This Row],[Nät]],Tabell5[],2,FALSE)</f>
        <v>Järna</v>
      </c>
      <c r="I343" t="str">
        <f>VLOOKUP(Tabell38[[#This Row],[Nät]],'Leveranser per nät'!A:A,1,FALSE)</f>
        <v>Järna</v>
      </c>
      <c r="O343" t="s">
        <v>806</v>
      </c>
      <c r="P343" t="s">
        <v>806</v>
      </c>
      <c r="Q343" s="84" t="s">
        <v>806</v>
      </c>
      <c r="R343">
        <f t="shared" si="31"/>
        <v>0</v>
      </c>
      <c r="S343">
        <f t="shared" si="32"/>
        <v>0</v>
      </c>
      <c r="T343">
        <f t="shared" si="33"/>
        <v>0</v>
      </c>
      <c r="U343">
        <f t="shared" si="34"/>
        <v>0</v>
      </c>
      <c r="V343">
        <f t="shared" si="35"/>
        <v>0</v>
      </c>
      <c r="W343">
        <f t="shared" si="36"/>
        <v>0</v>
      </c>
    </row>
    <row r="344" spans="1:23" x14ac:dyDescent="0.25">
      <c r="A344" t="s">
        <v>641</v>
      </c>
      <c r="B344" t="s">
        <v>311</v>
      </c>
      <c r="C344">
        <v>615</v>
      </c>
      <c r="D344">
        <v>0</v>
      </c>
      <c r="E344">
        <v>0</v>
      </c>
      <c r="F344">
        <v>0</v>
      </c>
      <c r="G344" s="105">
        <f>Tabell38[[#This Row],[Såld värme (GWh)]]-Tabell38[[#This Row],[Levererad värme, andra fjärrvärmeföretag, företag 1 (GWh)]]-Tabell38[[#This Row],[Levererad värme, andra fjärrvärmeföretag, företag 2 (GWh)]]-Tabell38[[#This Row],[Levererad värme, andra fjärrvärmeföretag, företag 3 (GWh)]]</f>
        <v>615</v>
      </c>
      <c r="H344" s="102" t="str">
        <f>VLOOKUP(Tabell38[[#This Row],[Nät]],Tabell5[],2,FALSE)</f>
        <v>Södertälje</v>
      </c>
      <c r="I344" t="str">
        <f>VLOOKUP(Tabell38[[#This Row],[Nät]],'Leveranser per nät'!A:A,1,FALSE)</f>
        <v>Södertälje</v>
      </c>
      <c r="O344" t="s">
        <v>806</v>
      </c>
      <c r="P344" t="s">
        <v>806</v>
      </c>
      <c r="Q344" s="44" t="s">
        <v>806</v>
      </c>
      <c r="R344">
        <f t="shared" si="31"/>
        <v>0</v>
      </c>
      <c r="S344">
        <f t="shared" si="32"/>
        <v>0</v>
      </c>
      <c r="T344">
        <f t="shared" si="33"/>
        <v>0</v>
      </c>
      <c r="U344">
        <f t="shared" si="34"/>
        <v>0</v>
      </c>
      <c r="V344">
        <f t="shared" si="35"/>
        <v>0</v>
      </c>
      <c r="W344">
        <f t="shared" si="36"/>
        <v>0</v>
      </c>
    </row>
    <row r="345" spans="1:23" x14ac:dyDescent="0.25">
      <c r="A345" t="s">
        <v>718</v>
      </c>
      <c r="B345" t="s">
        <v>314</v>
      </c>
      <c r="C345">
        <v>49.308999999999997</v>
      </c>
      <c r="D345">
        <v>0</v>
      </c>
      <c r="E345">
        <v>0</v>
      </c>
      <c r="F345">
        <v>0</v>
      </c>
      <c r="G345" s="105">
        <f>Tabell38[[#This Row],[Såld värme (GWh)]]-Tabell38[[#This Row],[Levererad värme, andra fjärrvärmeföretag, företag 1 (GWh)]]-Tabell38[[#This Row],[Levererad värme, andra fjärrvärmeföretag, företag 2 (GWh)]]-Tabell38[[#This Row],[Levererad värme, andra fjärrvärmeföretag, företag 3 (GWh)]]</f>
        <v>49.308999999999997</v>
      </c>
      <c r="H345" s="102" t="str">
        <f>VLOOKUP(Tabell38[[#This Row],[Nät]],Tabell5[],2,FALSE)</f>
        <v>Tidaholm</v>
      </c>
      <c r="I345" t="str">
        <f>VLOOKUP(Tabell38[[#This Row],[Nät]],'Leveranser per nät'!A:A,1,FALSE)</f>
        <v>Tidaholm</v>
      </c>
      <c r="O345" t="s">
        <v>806</v>
      </c>
      <c r="P345" t="s">
        <v>806</v>
      </c>
      <c r="Q345" s="84" t="s">
        <v>806</v>
      </c>
      <c r="R345">
        <f t="shared" si="31"/>
        <v>0</v>
      </c>
      <c r="S345">
        <f t="shared" si="32"/>
        <v>0</v>
      </c>
      <c r="T345">
        <f t="shared" si="33"/>
        <v>0</v>
      </c>
      <c r="U345">
        <f t="shared" si="34"/>
        <v>0</v>
      </c>
      <c r="V345">
        <f t="shared" si="35"/>
        <v>0</v>
      </c>
      <c r="W345">
        <f t="shared" si="36"/>
        <v>0</v>
      </c>
    </row>
    <row r="346" spans="1:23" x14ac:dyDescent="0.25">
      <c r="A346" t="s">
        <v>720</v>
      </c>
      <c r="B346" t="s">
        <v>1097</v>
      </c>
      <c r="C346">
        <v>3.73</v>
      </c>
      <c r="D346">
        <v>0</v>
      </c>
      <c r="E346">
        <v>0</v>
      </c>
      <c r="F346">
        <v>0</v>
      </c>
      <c r="G346" s="105">
        <f>Tabell38[[#This Row],[Såld värme (GWh)]]-Tabell38[[#This Row],[Levererad värme, andra fjärrvärmeföretag, företag 1 (GWh)]]-Tabell38[[#This Row],[Levererad värme, andra fjärrvärmeföretag, företag 2 (GWh)]]-Tabell38[[#This Row],[Levererad värme, andra fjärrvärmeföretag, företag 3 (GWh)]]</f>
        <v>3.73</v>
      </c>
      <c r="H346" s="102" t="e">
        <f>VLOOKUP(Tabell38[[#This Row],[Nät]],Tabell5[],2,FALSE)</f>
        <v>#N/A</v>
      </c>
      <c r="I346" t="e">
        <f>VLOOKUP(Tabell38[[#This Row],[Nät]],'Leveranser per nät'!A:A,1,FALSE)</f>
        <v>#N/A</v>
      </c>
      <c r="O346" t="s">
        <v>806</v>
      </c>
      <c r="P346" t="s">
        <v>806</v>
      </c>
      <c r="Q346" s="44" t="s">
        <v>806</v>
      </c>
      <c r="R346">
        <f t="shared" si="31"/>
        <v>0</v>
      </c>
      <c r="S346">
        <f t="shared" si="32"/>
        <v>0</v>
      </c>
      <c r="T346">
        <f t="shared" si="33"/>
        <v>0</v>
      </c>
      <c r="U346">
        <f t="shared" si="34"/>
        <v>0</v>
      </c>
      <c r="V346">
        <f t="shared" si="35"/>
        <v>0</v>
      </c>
      <c r="W346">
        <f t="shared" si="36"/>
        <v>0</v>
      </c>
    </row>
    <row r="347" spans="1:23" x14ac:dyDescent="0.25">
      <c r="A347" t="s">
        <v>720</v>
      </c>
      <c r="B347" t="s">
        <v>315</v>
      </c>
      <c r="C347">
        <v>43.1</v>
      </c>
      <c r="D347">
        <v>0</v>
      </c>
      <c r="E347">
        <v>0</v>
      </c>
      <c r="F347">
        <v>0</v>
      </c>
      <c r="G347" s="105">
        <f>Tabell38[[#This Row],[Såld värme (GWh)]]-Tabell38[[#This Row],[Levererad värme, andra fjärrvärmeföretag, företag 1 (GWh)]]-Tabell38[[#This Row],[Levererad värme, andra fjärrvärmeföretag, företag 2 (GWh)]]-Tabell38[[#This Row],[Levererad värme, andra fjärrvärmeföretag, företag 3 (GWh)]]</f>
        <v>43.1</v>
      </c>
      <c r="H347" s="102" t="str">
        <f>VLOOKUP(Tabell38[[#This Row],[Nät]],Tabell5[],2,FALSE)</f>
        <v>Tierp</v>
      </c>
      <c r="I347" t="str">
        <f>VLOOKUP(Tabell38[[#This Row],[Nät]],'Leveranser per nät'!A:A,1,FALSE)</f>
        <v>Tierp</v>
      </c>
      <c r="O347" t="s">
        <v>806</v>
      </c>
      <c r="P347" t="s">
        <v>806</v>
      </c>
      <c r="Q347" s="84" t="s">
        <v>806</v>
      </c>
      <c r="R347">
        <f t="shared" si="31"/>
        <v>0</v>
      </c>
      <c r="S347">
        <f t="shared" si="32"/>
        <v>0</v>
      </c>
      <c r="T347">
        <f t="shared" si="33"/>
        <v>0</v>
      </c>
      <c r="U347">
        <f t="shared" si="34"/>
        <v>0</v>
      </c>
      <c r="V347">
        <f t="shared" si="35"/>
        <v>0</v>
      </c>
      <c r="W347">
        <f t="shared" si="36"/>
        <v>0</v>
      </c>
    </row>
    <row r="348" spans="1:23" x14ac:dyDescent="0.25">
      <c r="A348" t="s">
        <v>720</v>
      </c>
      <c r="B348" t="s">
        <v>439</v>
      </c>
      <c r="C348">
        <v>6.6</v>
      </c>
      <c r="D348">
        <v>0</v>
      </c>
      <c r="E348">
        <v>0</v>
      </c>
      <c r="F348">
        <v>0</v>
      </c>
      <c r="G348" s="105">
        <f>Tabell38[[#This Row],[Såld värme (GWh)]]-Tabell38[[#This Row],[Levererad värme, andra fjärrvärmeföretag, företag 1 (GWh)]]-Tabell38[[#This Row],[Levererad värme, andra fjärrvärmeföretag, företag 2 (GWh)]]-Tabell38[[#This Row],[Levererad värme, andra fjärrvärmeföretag, företag 3 (GWh)]]</f>
        <v>6.6</v>
      </c>
      <c r="H348" s="102" t="str">
        <f>VLOOKUP(Tabell38[[#This Row],[Nät]],Tabell5[],2,FALSE)</f>
        <v>Örbyhus</v>
      </c>
      <c r="I348" t="str">
        <f>VLOOKUP(Tabell38[[#This Row],[Nät]],'Leveranser per nät'!A:A,1,FALSE)</f>
        <v>Örbyhus</v>
      </c>
      <c r="O348" t="s">
        <v>806</v>
      </c>
      <c r="P348" t="s">
        <v>806</v>
      </c>
      <c r="Q348" s="44" t="s">
        <v>806</v>
      </c>
      <c r="R348">
        <f t="shared" si="31"/>
        <v>0</v>
      </c>
      <c r="S348">
        <f t="shared" si="32"/>
        <v>0</v>
      </c>
      <c r="T348">
        <f t="shared" si="33"/>
        <v>0</v>
      </c>
      <c r="U348">
        <f t="shared" si="34"/>
        <v>0</v>
      </c>
      <c r="V348">
        <f t="shared" si="35"/>
        <v>0</v>
      </c>
      <c r="W348">
        <f t="shared" si="36"/>
        <v>0</v>
      </c>
    </row>
    <row r="349" spans="1:23" x14ac:dyDescent="0.25">
      <c r="A349" t="s">
        <v>1101</v>
      </c>
      <c r="B349" t="s">
        <v>514</v>
      </c>
      <c r="C349">
        <v>12.8</v>
      </c>
      <c r="D349">
        <v>0</v>
      </c>
      <c r="E349">
        <v>0</v>
      </c>
      <c r="F349">
        <v>0</v>
      </c>
      <c r="G349" s="105">
        <f>Tabell38[[#This Row],[Såld värme (GWh)]]-Tabell38[[#This Row],[Levererad värme, andra fjärrvärmeföretag, företag 1 (GWh)]]-Tabell38[[#This Row],[Levererad värme, andra fjärrvärmeföretag, företag 2 (GWh)]]-Tabell38[[#This Row],[Levererad värme, andra fjärrvärmeföretag, företag 3 (GWh)]]</f>
        <v>12.8</v>
      </c>
      <c r="H349" s="102" t="str">
        <f>VLOOKUP(Tabell38[[#This Row],[Nät]],Tabell5[],2,FALSE)</f>
        <v>Torsås</v>
      </c>
      <c r="I349" t="str">
        <f>VLOOKUP(Tabell38[[#This Row],[Nät]],'Leveranser per nät'!A:A,1,FALSE)</f>
        <v>Torsås</v>
      </c>
      <c r="O349" t="s">
        <v>806</v>
      </c>
      <c r="P349" t="s">
        <v>806</v>
      </c>
      <c r="Q349" s="84" t="s">
        <v>806</v>
      </c>
      <c r="R349">
        <f t="shared" si="31"/>
        <v>0</v>
      </c>
      <c r="S349">
        <f t="shared" si="32"/>
        <v>0</v>
      </c>
      <c r="T349">
        <f t="shared" si="33"/>
        <v>0</v>
      </c>
      <c r="U349">
        <f t="shared" si="34"/>
        <v>0</v>
      </c>
      <c r="V349">
        <f t="shared" si="35"/>
        <v>0</v>
      </c>
      <c r="W349">
        <f t="shared" si="36"/>
        <v>0</v>
      </c>
    </row>
    <row r="350" spans="1:23" x14ac:dyDescent="0.25">
      <c r="A350" t="s">
        <v>722</v>
      </c>
      <c r="B350" t="s">
        <v>316</v>
      </c>
      <c r="C350">
        <v>112.303</v>
      </c>
      <c r="D350">
        <v>0</v>
      </c>
      <c r="E350">
        <v>0</v>
      </c>
      <c r="F350">
        <v>0</v>
      </c>
      <c r="G350" s="105">
        <f>Tabell38[[#This Row],[Såld värme (GWh)]]-Tabell38[[#This Row],[Levererad värme, andra fjärrvärmeföretag, företag 1 (GWh)]]-Tabell38[[#This Row],[Levererad värme, andra fjärrvärmeföretag, företag 2 (GWh)]]-Tabell38[[#This Row],[Levererad värme, andra fjärrvärmeföretag, företag 3 (GWh)]]</f>
        <v>112.303</v>
      </c>
      <c r="H350" s="102" t="str">
        <f>VLOOKUP(Tabell38[[#This Row],[Nät]],Tabell5[],2,FALSE)</f>
        <v>Tranås</v>
      </c>
      <c r="I350" t="str">
        <f>VLOOKUP(Tabell38[[#This Row],[Nät]],'Leveranser per nät'!A:A,1,FALSE)</f>
        <v>Tranås</v>
      </c>
      <c r="O350" t="s">
        <v>806</v>
      </c>
      <c r="P350" t="s">
        <v>806</v>
      </c>
      <c r="Q350" s="44" t="s">
        <v>806</v>
      </c>
      <c r="R350">
        <f t="shared" si="31"/>
        <v>0</v>
      </c>
      <c r="S350">
        <f t="shared" si="32"/>
        <v>0</v>
      </c>
      <c r="T350">
        <f t="shared" si="33"/>
        <v>0</v>
      </c>
      <c r="U350">
        <f t="shared" si="34"/>
        <v>0</v>
      </c>
      <c r="V350">
        <f t="shared" si="35"/>
        <v>0</v>
      </c>
      <c r="W350">
        <f t="shared" si="36"/>
        <v>0</v>
      </c>
    </row>
    <row r="351" spans="1:23" x14ac:dyDescent="0.25">
      <c r="A351" t="s">
        <v>723</v>
      </c>
      <c r="B351" t="s">
        <v>317</v>
      </c>
      <c r="C351">
        <v>84.2</v>
      </c>
      <c r="D351">
        <v>0</v>
      </c>
      <c r="E351">
        <v>0</v>
      </c>
      <c r="F351">
        <v>0</v>
      </c>
      <c r="G351" s="105">
        <f>Tabell38[[#This Row],[Såld värme (GWh)]]-Tabell38[[#This Row],[Levererad värme, andra fjärrvärmeföretag, företag 1 (GWh)]]-Tabell38[[#This Row],[Levererad värme, andra fjärrvärmeföretag, företag 2 (GWh)]]-Tabell38[[#This Row],[Levererad värme, andra fjärrvärmeföretag, företag 3 (GWh)]]</f>
        <v>84.2</v>
      </c>
      <c r="H351" s="102" t="str">
        <f>VLOOKUP(Tabell38[[#This Row],[Nät]],Tabell5[],2,FALSE)</f>
        <v>Trelleborg</v>
      </c>
      <c r="I351" t="str">
        <f>VLOOKUP(Tabell38[[#This Row],[Nät]],'Leveranser per nät'!A:A,1,FALSE)</f>
        <v>Trelleborg</v>
      </c>
      <c r="O351" t="s">
        <v>806</v>
      </c>
      <c r="P351" t="s">
        <v>806</v>
      </c>
      <c r="Q351" s="84" t="s">
        <v>806</v>
      </c>
      <c r="R351">
        <f t="shared" si="31"/>
        <v>0</v>
      </c>
      <c r="S351">
        <f t="shared" si="32"/>
        <v>0</v>
      </c>
      <c r="T351">
        <f t="shared" si="33"/>
        <v>0</v>
      </c>
      <c r="U351">
        <f t="shared" si="34"/>
        <v>0</v>
      </c>
      <c r="V351">
        <f t="shared" si="35"/>
        <v>0</v>
      </c>
      <c r="W351">
        <f t="shared" si="36"/>
        <v>0</v>
      </c>
    </row>
    <row r="352" spans="1:23" x14ac:dyDescent="0.25">
      <c r="A352" t="s">
        <v>725</v>
      </c>
      <c r="B352" t="s">
        <v>318</v>
      </c>
      <c r="C352">
        <v>312.39999999999998</v>
      </c>
      <c r="D352">
        <v>8.5</v>
      </c>
      <c r="E352">
        <v>0</v>
      </c>
      <c r="F352">
        <v>0</v>
      </c>
      <c r="G352" s="105">
        <f>Tabell38[[#This Row],[Såld värme (GWh)]]-Tabell38[[#This Row],[Levererad värme, andra fjärrvärmeföretag, företag 1 (GWh)]]-Tabell38[[#This Row],[Levererad värme, andra fjärrvärmeföretag, företag 2 (GWh)]]-Tabell38[[#This Row],[Levererad värme, andra fjärrvärmeföretag, företag 3 (GWh)]]</f>
        <v>303.89999999999998</v>
      </c>
      <c r="H352" s="102" t="str">
        <f>VLOOKUP(Tabell38[[#This Row],[Nät]],Tabell5[],2,FALSE)</f>
        <v>Trollhättan</v>
      </c>
      <c r="I352" t="str">
        <f>VLOOKUP(Tabell38[[#This Row],[Nät]],'Leveranser per nät'!A:A,1,FALSE)</f>
        <v>Trollhättan</v>
      </c>
      <c r="O352">
        <v>8.5</v>
      </c>
      <c r="P352" t="s">
        <v>806</v>
      </c>
      <c r="Q352" s="44" t="s">
        <v>806</v>
      </c>
      <c r="R352">
        <f t="shared" si="31"/>
        <v>8.5</v>
      </c>
      <c r="S352">
        <f t="shared" si="32"/>
        <v>0</v>
      </c>
      <c r="T352">
        <f t="shared" si="33"/>
        <v>0</v>
      </c>
      <c r="U352">
        <f t="shared" si="34"/>
        <v>8.5</v>
      </c>
      <c r="V352">
        <f t="shared" si="35"/>
        <v>0</v>
      </c>
      <c r="W352">
        <f t="shared" si="36"/>
        <v>0</v>
      </c>
    </row>
    <row r="353" spans="1:23" x14ac:dyDescent="0.25">
      <c r="A353" t="s">
        <v>665</v>
      </c>
      <c r="B353" t="s">
        <v>404</v>
      </c>
      <c r="C353">
        <v>4</v>
      </c>
      <c r="D353">
        <v>0</v>
      </c>
      <c r="E353">
        <v>0</v>
      </c>
      <c r="F353">
        <v>0</v>
      </c>
      <c r="G353" s="105">
        <f>Tabell38[[#This Row],[Såld värme (GWh)]]-Tabell38[[#This Row],[Levererad värme, andra fjärrvärmeföretag, företag 1 (GWh)]]-Tabell38[[#This Row],[Levererad värme, andra fjärrvärmeföretag, företag 2 (GWh)]]-Tabell38[[#This Row],[Levererad värme, andra fjärrvärmeföretag, företag 3 (GWh)]]</f>
        <v>4</v>
      </c>
      <c r="H353" s="102" t="str">
        <f>VLOOKUP(Tabell38[[#This Row],[Nät]],Tabell5[],2,FALSE)</f>
        <v>Ljungskile</v>
      </c>
      <c r="I353" t="str">
        <f>VLOOKUP(Tabell38[[#This Row],[Nät]],'Leveranser per nät'!A:A,1,FALSE)</f>
        <v>Ljungskile</v>
      </c>
      <c r="O353" t="s">
        <v>806</v>
      </c>
      <c r="P353" t="s">
        <v>806</v>
      </c>
      <c r="Q353" s="84" t="s">
        <v>806</v>
      </c>
      <c r="R353">
        <f t="shared" si="31"/>
        <v>0</v>
      </c>
      <c r="S353">
        <f t="shared" si="32"/>
        <v>0</v>
      </c>
      <c r="T353">
        <f t="shared" si="33"/>
        <v>0</v>
      </c>
      <c r="U353">
        <f t="shared" si="34"/>
        <v>0</v>
      </c>
      <c r="V353">
        <f t="shared" si="35"/>
        <v>0</v>
      </c>
      <c r="W353">
        <f t="shared" si="36"/>
        <v>0</v>
      </c>
    </row>
    <row r="354" spans="1:23" x14ac:dyDescent="0.25">
      <c r="A354" t="s">
        <v>665</v>
      </c>
      <c r="B354" t="s">
        <v>319</v>
      </c>
      <c r="C354">
        <v>6.14</v>
      </c>
      <c r="D354">
        <v>0</v>
      </c>
      <c r="E354">
        <v>0</v>
      </c>
      <c r="F354">
        <v>0</v>
      </c>
      <c r="G354" s="105">
        <f>Tabell38[[#This Row],[Såld värme (GWh)]]-Tabell38[[#This Row],[Levererad värme, andra fjärrvärmeföretag, företag 1 (GWh)]]-Tabell38[[#This Row],[Levererad värme, andra fjärrvärmeföretag, företag 2 (GWh)]]-Tabell38[[#This Row],[Levererad värme, andra fjärrvärmeföretag, företag 3 (GWh)]]</f>
        <v>6.14</v>
      </c>
      <c r="H354" s="102" t="str">
        <f>VLOOKUP(Tabell38[[#This Row],[Nät]],Tabell5[],2,FALSE)</f>
        <v>Munkedal</v>
      </c>
      <c r="I354" t="str">
        <f>VLOOKUP(Tabell38[[#This Row],[Nät]],'Leveranser per nät'!A:A,1,FALSE)</f>
        <v>Munkedal</v>
      </c>
      <c r="O354" t="s">
        <v>806</v>
      </c>
      <c r="P354" t="s">
        <v>806</v>
      </c>
      <c r="Q354" s="44" t="s">
        <v>806</v>
      </c>
      <c r="R354">
        <f t="shared" si="31"/>
        <v>0</v>
      </c>
      <c r="S354">
        <f t="shared" si="32"/>
        <v>0</v>
      </c>
      <c r="T354">
        <f t="shared" si="33"/>
        <v>0</v>
      </c>
      <c r="U354">
        <f t="shared" si="34"/>
        <v>0</v>
      </c>
      <c r="V354">
        <f t="shared" si="35"/>
        <v>0</v>
      </c>
      <c r="W354">
        <f t="shared" si="36"/>
        <v>0</v>
      </c>
    </row>
    <row r="355" spans="1:23" x14ac:dyDescent="0.25">
      <c r="A355" t="s">
        <v>665</v>
      </c>
      <c r="B355" t="s">
        <v>320</v>
      </c>
      <c r="C355">
        <v>265.27</v>
      </c>
      <c r="D355">
        <v>0</v>
      </c>
      <c r="E355">
        <v>0</v>
      </c>
      <c r="F355">
        <v>0</v>
      </c>
      <c r="G355" s="105">
        <f>Tabell38[[#This Row],[Såld värme (GWh)]]-Tabell38[[#This Row],[Levererad värme, andra fjärrvärmeföretag, företag 1 (GWh)]]-Tabell38[[#This Row],[Levererad värme, andra fjärrvärmeföretag, företag 2 (GWh)]]-Tabell38[[#This Row],[Levererad värme, andra fjärrvärmeföretag, företag 3 (GWh)]]</f>
        <v>265.27</v>
      </c>
      <c r="H355" s="102" t="str">
        <f>VLOOKUP(Tabell38[[#This Row],[Nät]],Tabell5[],2,FALSE)</f>
        <v>Uddevalla</v>
      </c>
      <c r="I355" t="str">
        <f>VLOOKUP(Tabell38[[#This Row],[Nät]],'Leveranser per nät'!A:A,1,FALSE)</f>
        <v>Uddevalla</v>
      </c>
      <c r="O355" t="s">
        <v>806</v>
      </c>
      <c r="P355" t="s">
        <v>806</v>
      </c>
      <c r="Q355" s="84" t="s">
        <v>806</v>
      </c>
      <c r="R355">
        <f t="shared" si="31"/>
        <v>0</v>
      </c>
      <c r="S355">
        <f t="shared" si="32"/>
        <v>0</v>
      </c>
      <c r="T355">
        <f t="shared" si="33"/>
        <v>0</v>
      </c>
      <c r="U355">
        <f t="shared" si="34"/>
        <v>0</v>
      </c>
      <c r="V355">
        <f t="shared" si="35"/>
        <v>0</v>
      </c>
      <c r="W355">
        <f t="shared" si="36"/>
        <v>0</v>
      </c>
    </row>
    <row r="356" spans="1:23" x14ac:dyDescent="0.25">
      <c r="A356" t="s">
        <v>614</v>
      </c>
      <c r="B356" t="s">
        <v>322</v>
      </c>
      <c r="C356">
        <v>2.0379999999999998</v>
      </c>
      <c r="D356">
        <v>0</v>
      </c>
      <c r="E356">
        <v>0</v>
      </c>
      <c r="F356">
        <v>0</v>
      </c>
      <c r="G356" s="105">
        <f>Tabell38[[#This Row],[Såld värme (GWh)]]-Tabell38[[#This Row],[Levererad värme, andra fjärrvärmeföretag, företag 1 (GWh)]]-Tabell38[[#This Row],[Levererad värme, andra fjärrvärmeföretag, företag 2 (GWh)]]-Tabell38[[#This Row],[Levererad värme, andra fjärrvärmeföretag, företag 3 (GWh)]]</f>
        <v>2.0379999999999998</v>
      </c>
      <c r="H356" s="102" t="str">
        <f>VLOOKUP(Tabell38[[#This Row],[Nät]],Tabell5[],2,FALSE)</f>
        <v>Gällstad</v>
      </c>
      <c r="I356" t="str">
        <f>VLOOKUP(Tabell38[[#This Row],[Nät]],'Leveranser per nät'!A:A,1,FALSE)</f>
        <v>Gällstad</v>
      </c>
      <c r="O356" t="s">
        <v>806</v>
      </c>
      <c r="P356" t="s">
        <v>806</v>
      </c>
      <c r="Q356" s="44" t="s">
        <v>806</v>
      </c>
      <c r="R356">
        <f t="shared" si="31"/>
        <v>0</v>
      </c>
      <c r="S356">
        <f t="shared" si="32"/>
        <v>0</v>
      </c>
      <c r="T356">
        <f t="shared" si="33"/>
        <v>0</v>
      </c>
      <c r="U356">
        <f t="shared" si="34"/>
        <v>0</v>
      </c>
      <c r="V356">
        <f t="shared" si="35"/>
        <v>0</v>
      </c>
      <c r="W356">
        <f t="shared" si="36"/>
        <v>0</v>
      </c>
    </row>
    <row r="357" spans="1:23" x14ac:dyDescent="0.25">
      <c r="A357" t="s">
        <v>614</v>
      </c>
      <c r="B357" t="s">
        <v>798</v>
      </c>
      <c r="C357">
        <v>0.77200000000000002</v>
      </c>
      <c r="D357">
        <v>0</v>
      </c>
      <c r="E357">
        <v>0</v>
      </c>
      <c r="F357">
        <v>0</v>
      </c>
      <c r="G357" s="105">
        <f>Tabell38[[#This Row],[Såld värme (GWh)]]-Tabell38[[#This Row],[Levererad värme, andra fjärrvärmeföretag, företag 1 (GWh)]]-Tabell38[[#This Row],[Levererad värme, andra fjärrvärmeföretag, företag 2 (GWh)]]-Tabell38[[#This Row],[Levererad värme, andra fjärrvärmeföretag, företag 3 (GWh)]]</f>
        <v>0.77200000000000002</v>
      </c>
      <c r="H357" s="102" t="str">
        <f>VLOOKUP(Tabell38[[#This Row],[Nät]],Tabell5[],2,FALSE)</f>
        <v>Timmele</v>
      </c>
      <c r="I357" t="str">
        <f>VLOOKUP(Tabell38[[#This Row],[Nät]],'Leveranser per nät'!A:A,1,FALSE)</f>
        <v>Timmele</v>
      </c>
      <c r="O357" t="s">
        <v>806</v>
      </c>
      <c r="P357" t="s">
        <v>806</v>
      </c>
      <c r="Q357" s="84" t="s">
        <v>806</v>
      </c>
      <c r="R357">
        <f t="shared" si="31"/>
        <v>0</v>
      </c>
      <c r="S357">
        <f t="shared" si="32"/>
        <v>0</v>
      </c>
      <c r="T357">
        <f t="shared" si="33"/>
        <v>0</v>
      </c>
      <c r="U357">
        <f t="shared" si="34"/>
        <v>0</v>
      </c>
      <c r="V357">
        <f t="shared" si="35"/>
        <v>0</v>
      </c>
      <c r="W357">
        <f t="shared" si="36"/>
        <v>0</v>
      </c>
    </row>
    <row r="358" spans="1:23" x14ac:dyDescent="0.25">
      <c r="A358" t="s">
        <v>614</v>
      </c>
      <c r="B358" t="s">
        <v>321</v>
      </c>
      <c r="C358">
        <v>45.213999999999999</v>
      </c>
      <c r="D358">
        <v>0</v>
      </c>
      <c r="E358">
        <v>0</v>
      </c>
      <c r="F358">
        <v>0</v>
      </c>
      <c r="G358" s="105">
        <f>Tabell38[[#This Row],[Såld värme (GWh)]]-Tabell38[[#This Row],[Levererad värme, andra fjärrvärmeföretag, företag 1 (GWh)]]-Tabell38[[#This Row],[Levererad värme, andra fjärrvärmeföretag, företag 2 (GWh)]]-Tabell38[[#This Row],[Levererad värme, andra fjärrvärmeföretag, företag 3 (GWh)]]</f>
        <v>45.213999999999999</v>
      </c>
      <c r="H358" s="102" t="str">
        <f>VLOOKUP(Tabell38[[#This Row],[Nät]],Tabell5[],2,FALSE)</f>
        <v>Ulricehamn</v>
      </c>
      <c r="I358" t="str">
        <f>VLOOKUP(Tabell38[[#This Row],[Nät]],'Leveranser per nät'!A:A,1,FALSE)</f>
        <v>Ulricehamn</v>
      </c>
      <c r="O358" t="s">
        <v>806</v>
      </c>
      <c r="P358" t="s">
        <v>806</v>
      </c>
      <c r="Q358" s="44" t="s">
        <v>806</v>
      </c>
      <c r="R358">
        <f t="shared" si="31"/>
        <v>0</v>
      </c>
      <c r="S358">
        <f t="shared" si="32"/>
        <v>0</v>
      </c>
      <c r="T358">
        <f t="shared" si="33"/>
        <v>0</v>
      </c>
      <c r="U358">
        <f t="shared" si="34"/>
        <v>0</v>
      </c>
      <c r="V358">
        <f t="shared" si="35"/>
        <v>0</v>
      </c>
      <c r="W358">
        <f t="shared" si="36"/>
        <v>0</v>
      </c>
    </row>
    <row r="359" spans="1:23" x14ac:dyDescent="0.25">
      <c r="A359" t="s">
        <v>566</v>
      </c>
      <c r="B359" t="s">
        <v>323</v>
      </c>
      <c r="C359">
        <v>6.78</v>
      </c>
      <c r="D359">
        <v>0</v>
      </c>
      <c r="E359">
        <v>0</v>
      </c>
      <c r="F359">
        <v>0</v>
      </c>
      <c r="G359" s="105">
        <f>Tabell38[[#This Row],[Såld värme (GWh)]]-Tabell38[[#This Row],[Levererad värme, andra fjärrvärmeföretag, företag 1 (GWh)]]-Tabell38[[#This Row],[Levererad värme, andra fjärrvärmeföretag, företag 2 (GWh)]]-Tabell38[[#This Row],[Levererad värme, andra fjärrvärmeföretag, företag 3 (GWh)]]</f>
        <v>6.78</v>
      </c>
      <c r="H359" s="102" t="str">
        <f>VLOOKUP(Tabell38[[#This Row],[Nät]],Tabell5[],2,FALSE)</f>
        <v>Bjurholm</v>
      </c>
      <c r="I359" t="str">
        <f>VLOOKUP(Tabell38[[#This Row],[Nät]],'Leveranser per nät'!A:A,1,FALSE)</f>
        <v>Bjurholm</v>
      </c>
      <c r="O359" t="s">
        <v>806</v>
      </c>
      <c r="P359" t="s">
        <v>806</v>
      </c>
      <c r="Q359" s="84" t="s">
        <v>806</v>
      </c>
      <c r="R359">
        <f t="shared" si="31"/>
        <v>0</v>
      </c>
      <c r="S359">
        <f t="shared" si="32"/>
        <v>0</v>
      </c>
      <c r="T359">
        <f t="shared" si="33"/>
        <v>0</v>
      </c>
      <c r="U359">
        <f t="shared" si="34"/>
        <v>0</v>
      </c>
      <c r="V359">
        <f t="shared" si="35"/>
        <v>0</v>
      </c>
      <c r="W359">
        <f t="shared" si="36"/>
        <v>0</v>
      </c>
    </row>
    <row r="360" spans="1:23" x14ac:dyDescent="0.25">
      <c r="A360" t="s">
        <v>566</v>
      </c>
      <c r="B360" t="s">
        <v>326</v>
      </c>
      <c r="C360">
        <v>6.56</v>
      </c>
      <c r="D360">
        <v>0</v>
      </c>
      <c r="E360">
        <v>0</v>
      </c>
      <c r="F360">
        <v>0</v>
      </c>
      <c r="G360" s="105">
        <f>Tabell38[[#This Row],[Såld värme (GWh)]]-Tabell38[[#This Row],[Levererad värme, andra fjärrvärmeföretag, företag 1 (GWh)]]-Tabell38[[#This Row],[Levererad värme, andra fjärrvärmeföretag, företag 2 (GWh)]]-Tabell38[[#This Row],[Levererad värme, andra fjärrvärmeföretag, företag 3 (GWh)]]</f>
        <v>6.56</v>
      </c>
      <c r="H360" s="102" t="str">
        <f>VLOOKUP(Tabell38[[#This Row],[Nät]],Tabell5[],2,FALSE)</f>
        <v>Hörnefors</v>
      </c>
      <c r="I360" t="str">
        <f>VLOOKUP(Tabell38[[#This Row],[Nät]],'Leveranser per nät'!A:A,1,FALSE)</f>
        <v>Hörnefors</v>
      </c>
      <c r="O360" t="s">
        <v>806</v>
      </c>
      <c r="P360" t="s">
        <v>806</v>
      </c>
      <c r="Q360" s="44" t="s">
        <v>806</v>
      </c>
      <c r="R360">
        <f t="shared" si="31"/>
        <v>0</v>
      </c>
      <c r="S360">
        <f t="shared" si="32"/>
        <v>0</v>
      </c>
      <c r="T360">
        <f t="shared" si="33"/>
        <v>0</v>
      </c>
      <c r="U360">
        <f t="shared" si="34"/>
        <v>0</v>
      </c>
      <c r="V360">
        <f t="shared" si="35"/>
        <v>0</v>
      </c>
      <c r="W360">
        <f t="shared" si="36"/>
        <v>0</v>
      </c>
    </row>
    <row r="361" spans="1:23" x14ac:dyDescent="0.25">
      <c r="A361" t="s">
        <v>566</v>
      </c>
      <c r="B361" t="s">
        <v>327</v>
      </c>
      <c r="C361">
        <v>7.79</v>
      </c>
      <c r="D361">
        <v>0</v>
      </c>
      <c r="E361">
        <v>0</v>
      </c>
      <c r="F361">
        <v>0</v>
      </c>
      <c r="G361" s="105">
        <f>Tabell38[[#This Row],[Såld värme (GWh)]]-Tabell38[[#This Row],[Levererad värme, andra fjärrvärmeföretag, företag 1 (GWh)]]-Tabell38[[#This Row],[Levererad värme, andra fjärrvärmeföretag, företag 2 (GWh)]]-Tabell38[[#This Row],[Levererad värme, andra fjärrvärmeföretag, företag 3 (GWh)]]</f>
        <v>7.79</v>
      </c>
      <c r="H361" s="102" t="str">
        <f>VLOOKUP(Tabell38[[#This Row],[Nät]],Tabell5[],2,FALSE)</f>
        <v>Sävar</v>
      </c>
      <c r="I361" t="str">
        <f>VLOOKUP(Tabell38[[#This Row],[Nät]],'Leveranser per nät'!A:A,1,FALSE)</f>
        <v>Sävar</v>
      </c>
      <c r="O361" t="s">
        <v>806</v>
      </c>
      <c r="P361" t="s">
        <v>806</v>
      </c>
      <c r="Q361" s="84" t="s">
        <v>806</v>
      </c>
      <c r="R361">
        <f t="shared" si="31"/>
        <v>0</v>
      </c>
      <c r="S361">
        <f t="shared" si="32"/>
        <v>0</v>
      </c>
      <c r="T361">
        <f t="shared" si="33"/>
        <v>0</v>
      </c>
      <c r="U361">
        <f t="shared" si="34"/>
        <v>0</v>
      </c>
      <c r="V361">
        <f t="shared" si="35"/>
        <v>0</v>
      </c>
      <c r="W361">
        <f t="shared" si="36"/>
        <v>0</v>
      </c>
    </row>
    <row r="362" spans="1:23" x14ac:dyDescent="0.25">
      <c r="A362" t="s">
        <v>566</v>
      </c>
      <c r="B362" t="s">
        <v>324</v>
      </c>
      <c r="C362">
        <v>758.2</v>
      </c>
      <c r="D362">
        <v>0</v>
      </c>
      <c r="E362">
        <v>0</v>
      </c>
      <c r="F362">
        <v>0</v>
      </c>
      <c r="G362" s="105">
        <f>Tabell38[[#This Row],[Såld värme (GWh)]]-Tabell38[[#This Row],[Levererad värme, andra fjärrvärmeföretag, företag 1 (GWh)]]-Tabell38[[#This Row],[Levererad värme, andra fjärrvärmeföretag, företag 2 (GWh)]]-Tabell38[[#This Row],[Levererad värme, andra fjärrvärmeföretag, företag 3 (GWh)]]</f>
        <v>758.2</v>
      </c>
      <c r="H362" s="102" t="str">
        <f>VLOOKUP(Tabell38[[#This Row],[Nät]],Tabell5[],2,FALSE)</f>
        <v>Umeå</v>
      </c>
      <c r="I362" t="str">
        <f>VLOOKUP(Tabell38[[#This Row],[Nät]],'Leveranser per nät'!A:A,1,FALSE)</f>
        <v>Umeå</v>
      </c>
      <c r="O362" t="s">
        <v>806</v>
      </c>
      <c r="P362" t="s">
        <v>806</v>
      </c>
      <c r="Q362" s="44" t="s">
        <v>806</v>
      </c>
      <c r="R362">
        <f t="shared" si="31"/>
        <v>0</v>
      </c>
      <c r="S362">
        <f t="shared" si="32"/>
        <v>0</v>
      </c>
      <c r="T362">
        <f t="shared" si="33"/>
        <v>0</v>
      </c>
      <c r="U362">
        <f t="shared" si="34"/>
        <v>0</v>
      </c>
      <c r="V362">
        <f t="shared" si="35"/>
        <v>0</v>
      </c>
      <c r="W362">
        <f t="shared" si="36"/>
        <v>0</v>
      </c>
    </row>
    <row r="363" spans="1:23" x14ac:dyDescent="0.25">
      <c r="A363" t="s">
        <v>697</v>
      </c>
      <c r="B363" t="s">
        <v>329</v>
      </c>
      <c r="C363">
        <v>21.683</v>
      </c>
      <c r="D363">
        <v>0</v>
      </c>
      <c r="E363">
        <v>0</v>
      </c>
      <c r="F363">
        <v>0</v>
      </c>
      <c r="G363" s="105">
        <f>Tabell38[[#This Row],[Såld värme (GWh)]]-Tabell38[[#This Row],[Levererad värme, andra fjärrvärmeföretag, företag 1 (GWh)]]-Tabell38[[#This Row],[Levererad värme, andra fjärrvärmeföretag, företag 2 (GWh)]]-Tabell38[[#This Row],[Levererad värme, andra fjärrvärmeföretag, företag 3 (GWh)]]</f>
        <v>21.683</v>
      </c>
      <c r="H363" s="102" t="str">
        <f>VLOOKUP(Tabell38[[#This Row],[Nät]],Tabell5[],2,FALSE)</f>
        <v>Skillingaryd</v>
      </c>
      <c r="I363" t="str">
        <f>VLOOKUP(Tabell38[[#This Row],[Nät]],'Leveranser per nät'!A:A,1,FALSE)</f>
        <v>Skillingaryd</v>
      </c>
      <c r="O363" t="s">
        <v>806</v>
      </c>
      <c r="P363" t="s">
        <v>806</v>
      </c>
      <c r="Q363" s="84" t="s">
        <v>806</v>
      </c>
      <c r="R363">
        <f t="shared" si="31"/>
        <v>0</v>
      </c>
      <c r="S363">
        <f t="shared" si="32"/>
        <v>0</v>
      </c>
      <c r="T363">
        <f t="shared" si="33"/>
        <v>0</v>
      </c>
      <c r="U363">
        <f t="shared" si="34"/>
        <v>0</v>
      </c>
      <c r="V363">
        <f t="shared" si="35"/>
        <v>0</v>
      </c>
      <c r="W363">
        <f t="shared" si="36"/>
        <v>0</v>
      </c>
    </row>
    <row r="364" spans="1:23" x14ac:dyDescent="0.25">
      <c r="A364" t="s">
        <v>697</v>
      </c>
      <c r="B364" t="s">
        <v>328</v>
      </c>
      <c r="C364">
        <v>27.492999999999999</v>
      </c>
      <c r="D364">
        <v>0</v>
      </c>
      <c r="E364">
        <v>0</v>
      </c>
      <c r="F364">
        <v>0</v>
      </c>
      <c r="G364" s="105">
        <f>Tabell38[[#This Row],[Såld värme (GWh)]]-Tabell38[[#This Row],[Levererad värme, andra fjärrvärmeföretag, företag 1 (GWh)]]-Tabell38[[#This Row],[Levererad värme, andra fjärrvärmeföretag, företag 2 (GWh)]]-Tabell38[[#This Row],[Levererad värme, andra fjärrvärmeföretag, företag 3 (GWh)]]</f>
        <v>27.492999999999999</v>
      </c>
      <c r="H364" s="102" t="str">
        <f>VLOOKUP(Tabell38[[#This Row],[Nät]],Tabell5[],2,FALSE)</f>
        <v>Vaggeryd</v>
      </c>
      <c r="I364" t="str">
        <f>VLOOKUP(Tabell38[[#This Row],[Nät]],'Leveranser per nät'!A:A,1,FALSE)</f>
        <v>Vaggeryd</v>
      </c>
      <c r="O364" t="s">
        <v>806</v>
      </c>
      <c r="P364" t="s">
        <v>806</v>
      </c>
      <c r="Q364" s="44" t="s">
        <v>806</v>
      </c>
      <c r="R364">
        <f t="shared" si="31"/>
        <v>0</v>
      </c>
      <c r="S364">
        <f t="shared" si="32"/>
        <v>0</v>
      </c>
      <c r="T364">
        <f t="shared" si="33"/>
        <v>0</v>
      </c>
      <c r="U364">
        <f t="shared" si="34"/>
        <v>0</v>
      </c>
      <c r="V364">
        <f t="shared" si="35"/>
        <v>0</v>
      </c>
      <c r="W364">
        <f t="shared" si="36"/>
        <v>0</v>
      </c>
    </row>
    <row r="365" spans="1:23" x14ac:dyDescent="0.25">
      <c r="A365" t="s">
        <v>799</v>
      </c>
      <c r="B365" t="s">
        <v>330</v>
      </c>
      <c r="C365">
        <v>29.5</v>
      </c>
      <c r="D365">
        <v>0</v>
      </c>
      <c r="E365">
        <v>0</v>
      </c>
      <c r="F365">
        <v>0</v>
      </c>
      <c r="G365" s="105">
        <f>Tabell38[[#This Row],[Såld värme (GWh)]]-Tabell38[[#This Row],[Levererad värme, andra fjärrvärmeföretag, företag 1 (GWh)]]-Tabell38[[#This Row],[Levererad värme, andra fjärrvärmeföretag, företag 2 (GWh)]]-Tabell38[[#This Row],[Levererad värme, andra fjärrvärmeföretag, företag 3 (GWh)]]</f>
        <v>29.5</v>
      </c>
      <c r="H365" s="102" t="str">
        <f>VLOOKUP(Tabell38[[#This Row],[Nät]],Tabell5[],2,FALSE)</f>
        <v>Vara</v>
      </c>
      <c r="I365" t="str">
        <f>VLOOKUP(Tabell38[[#This Row],[Nät]],'Leveranser per nät'!A:A,1,FALSE)</f>
        <v>Vara</v>
      </c>
      <c r="O365" t="s">
        <v>806</v>
      </c>
      <c r="P365" t="s">
        <v>806</v>
      </c>
      <c r="Q365" s="84" t="s">
        <v>806</v>
      </c>
      <c r="R365">
        <f t="shared" si="31"/>
        <v>0</v>
      </c>
      <c r="S365">
        <f t="shared" si="32"/>
        <v>0</v>
      </c>
      <c r="T365">
        <f t="shared" si="33"/>
        <v>0</v>
      </c>
      <c r="U365">
        <f t="shared" si="34"/>
        <v>0</v>
      </c>
      <c r="V365">
        <f t="shared" si="35"/>
        <v>0</v>
      </c>
      <c r="W365">
        <f t="shared" si="36"/>
        <v>0</v>
      </c>
    </row>
    <row r="366" spans="1:23" x14ac:dyDescent="0.25">
      <c r="A366" t="s">
        <v>726</v>
      </c>
      <c r="B366" t="s">
        <v>1123</v>
      </c>
      <c r="C366">
        <v>3.1669999999999998</v>
      </c>
      <c r="D366">
        <v>0</v>
      </c>
      <c r="E366">
        <v>0</v>
      </c>
      <c r="F366">
        <v>0</v>
      </c>
      <c r="G366" s="105">
        <f>Tabell38[[#This Row],[Såld värme (GWh)]]-Tabell38[[#This Row],[Levererad värme, andra fjärrvärmeföretag, företag 1 (GWh)]]-Tabell38[[#This Row],[Levererad värme, andra fjärrvärmeföretag, företag 2 (GWh)]]-Tabell38[[#This Row],[Levererad värme, andra fjärrvärmeföretag, företag 3 (GWh)]]</f>
        <v>3.1669999999999998</v>
      </c>
      <c r="H366" s="102" t="e">
        <f>VLOOKUP(Tabell38[[#This Row],[Nät]],Tabell5[],2,FALSE)</f>
        <v>#N/A</v>
      </c>
      <c r="I366" t="e">
        <f>VLOOKUP(Tabell38[[#This Row],[Nät]],'Leveranser per nät'!A:A,1,FALSE)</f>
        <v>#N/A</v>
      </c>
      <c r="O366" t="s">
        <v>806</v>
      </c>
      <c r="P366" t="s">
        <v>806</v>
      </c>
      <c r="Q366" s="44" t="s">
        <v>806</v>
      </c>
      <c r="R366">
        <f t="shared" si="31"/>
        <v>0</v>
      </c>
      <c r="S366">
        <f t="shared" si="32"/>
        <v>0</v>
      </c>
      <c r="T366">
        <f t="shared" si="33"/>
        <v>0</v>
      </c>
      <c r="U366">
        <f t="shared" si="34"/>
        <v>0</v>
      </c>
      <c r="V366">
        <f t="shared" si="35"/>
        <v>0</v>
      </c>
      <c r="W366">
        <f t="shared" si="36"/>
        <v>0</v>
      </c>
    </row>
    <row r="367" spans="1:23" x14ac:dyDescent="0.25">
      <c r="A367" t="s">
        <v>726</v>
      </c>
      <c r="B367" t="s">
        <v>429</v>
      </c>
      <c r="C367">
        <v>5.7</v>
      </c>
      <c r="D367">
        <v>0</v>
      </c>
      <c r="E367">
        <v>0</v>
      </c>
      <c r="F367">
        <v>0</v>
      </c>
      <c r="G367" s="105">
        <f>Tabell38[[#This Row],[Såld värme (GWh)]]-Tabell38[[#This Row],[Levererad värme, andra fjärrvärmeföretag, företag 1 (GWh)]]-Tabell38[[#This Row],[Levererad värme, andra fjärrvärmeföretag, företag 2 (GWh)]]-Tabell38[[#This Row],[Levererad värme, andra fjärrvärmeföretag, företag 3 (GWh)]]</f>
        <v>5.7</v>
      </c>
      <c r="H367" s="102" t="str">
        <f>VLOOKUP(Tabell38[[#This Row],[Nät]],Tabell5[],2,FALSE)</f>
        <v>Tvååker (Närv)</v>
      </c>
      <c r="I367" t="str">
        <f>VLOOKUP(Tabell38[[#This Row],[Nät]],'Leveranser per nät'!A:A,1,FALSE)</f>
        <v>Tvååker (Närv)</v>
      </c>
      <c r="O367" t="s">
        <v>806</v>
      </c>
      <c r="P367" t="s">
        <v>806</v>
      </c>
      <c r="Q367" s="84" t="s">
        <v>806</v>
      </c>
      <c r="R367">
        <f t="shared" si="31"/>
        <v>0</v>
      </c>
      <c r="S367">
        <f t="shared" si="32"/>
        <v>0</v>
      </c>
      <c r="T367">
        <f t="shared" si="33"/>
        <v>0</v>
      </c>
      <c r="U367">
        <f t="shared" si="34"/>
        <v>0</v>
      </c>
      <c r="V367">
        <f t="shared" si="35"/>
        <v>0</v>
      </c>
      <c r="W367">
        <f t="shared" si="36"/>
        <v>0</v>
      </c>
    </row>
    <row r="368" spans="1:23" x14ac:dyDescent="0.25">
      <c r="A368" t="s">
        <v>726</v>
      </c>
      <c r="B368" t="s">
        <v>332</v>
      </c>
      <c r="C368">
        <v>141.15700000000001</v>
      </c>
      <c r="D368">
        <v>0</v>
      </c>
      <c r="E368">
        <v>0</v>
      </c>
      <c r="F368">
        <v>0</v>
      </c>
      <c r="G368" s="105">
        <f>Tabell38[[#This Row],[Såld värme (GWh)]]-Tabell38[[#This Row],[Levererad värme, andra fjärrvärmeföretag, företag 1 (GWh)]]-Tabell38[[#This Row],[Levererad värme, andra fjärrvärmeföretag, företag 2 (GWh)]]-Tabell38[[#This Row],[Levererad värme, andra fjärrvärmeföretag, företag 3 (GWh)]]</f>
        <v>141.15700000000001</v>
      </c>
      <c r="H368" s="102" t="str">
        <f>VLOOKUP(Tabell38[[#This Row],[Nät]],Tabell5[],2,FALSE)</f>
        <v>Varberg (Fjv)</v>
      </c>
      <c r="I368" t="str">
        <f>VLOOKUP(Tabell38[[#This Row],[Nät]],'Leveranser per nät'!A:A,1,FALSE)</f>
        <v>Varberg (Fjv)</v>
      </c>
      <c r="O368" t="s">
        <v>806</v>
      </c>
      <c r="P368" t="s">
        <v>806</v>
      </c>
      <c r="Q368" s="44" t="s">
        <v>806</v>
      </c>
      <c r="R368">
        <f t="shared" si="31"/>
        <v>0</v>
      </c>
      <c r="S368">
        <f t="shared" si="32"/>
        <v>0</v>
      </c>
      <c r="T368">
        <f t="shared" si="33"/>
        <v>0</v>
      </c>
      <c r="U368">
        <f t="shared" si="34"/>
        <v>0</v>
      </c>
      <c r="V368">
        <f t="shared" si="35"/>
        <v>0</v>
      </c>
      <c r="W368">
        <f t="shared" si="36"/>
        <v>0</v>
      </c>
    </row>
    <row r="369" spans="1:23" x14ac:dyDescent="0.25">
      <c r="A369" t="s">
        <v>726</v>
      </c>
      <c r="B369" t="s">
        <v>333</v>
      </c>
      <c r="C369">
        <v>3.4</v>
      </c>
      <c r="D369">
        <v>0</v>
      </c>
      <c r="E369">
        <v>0</v>
      </c>
      <c r="F369">
        <v>0</v>
      </c>
      <c r="G369" s="105">
        <f>Tabell38[[#This Row],[Såld värme (GWh)]]-Tabell38[[#This Row],[Levererad värme, andra fjärrvärmeföretag, företag 1 (GWh)]]-Tabell38[[#This Row],[Levererad värme, andra fjärrvärmeföretag, företag 2 (GWh)]]-Tabell38[[#This Row],[Levererad värme, andra fjärrvärmeföretag, företag 3 (GWh)]]</f>
        <v>3.4</v>
      </c>
      <c r="H369" s="102" t="str">
        <f>VLOOKUP(Tabell38[[#This Row],[Nät]],Tabell5[],2,FALSE)</f>
        <v>Veddige</v>
      </c>
      <c r="I369" t="str">
        <f>VLOOKUP(Tabell38[[#This Row],[Nät]],'Leveranser per nät'!A:A,1,FALSE)</f>
        <v>Veddige</v>
      </c>
      <c r="O369" t="s">
        <v>806</v>
      </c>
      <c r="P369" t="s">
        <v>806</v>
      </c>
      <c r="Q369" s="84" t="s">
        <v>806</v>
      </c>
      <c r="R369">
        <f t="shared" si="31"/>
        <v>0</v>
      </c>
      <c r="S369">
        <f t="shared" si="32"/>
        <v>0</v>
      </c>
      <c r="T369">
        <f t="shared" si="33"/>
        <v>0</v>
      </c>
      <c r="U369">
        <f t="shared" si="34"/>
        <v>0</v>
      </c>
      <c r="V369">
        <f t="shared" si="35"/>
        <v>0</v>
      </c>
      <c r="W369">
        <f t="shared" si="36"/>
        <v>0</v>
      </c>
    </row>
    <row r="370" spans="1:23" x14ac:dyDescent="0.25">
      <c r="A370" t="s">
        <v>800</v>
      </c>
      <c r="B370" t="s">
        <v>95</v>
      </c>
      <c r="C370">
        <v>15.295</v>
      </c>
      <c r="D370">
        <v>0</v>
      </c>
      <c r="E370">
        <v>0</v>
      </c>
      <c r="F370">
        <v>0</v>
      </c>
      <c r="G370" s="105">
        <f>Tabell38[[#This Row],[Såld värme (GWh)]]-Tabell38[[#This Row],[Levererad värme, andra fjärrvärmeföretag, företag 1 (GWh)]]-Tabell38[[#This Row],[Levererad värme, andra fjärrvärmeföretag, företag 2 (GWh)]]-Tabell38[[#This Row],[Levererad värme, andra fjärrvärmeföretag, företag 3 (GWh)]]</f>
        <v>15.295</v>
      </c>
      <c r="H370" s="102" t="str">
        <f>VLOOKUP(Tabell38[[#This Row],[Nät]],Tabell5[],2,FALSE)</f>
        <v>Alfta</v>
      </c>
      <c r="I370" t="str">
        <f>VLOOKUP(Tabell38[[#This Row],[Nät]],'Leveranser per nät'!A:A,1,FALSE)</f>
        <v>Alfta</v>
      </c>
      <c r="O370" t="s">
        <v>806</v>
      </c>
      <c r="P370" t="s">
        <v>806</v>
      </c>
      <c r="Q370" s="44" t="s">
        <v>806</v>
      </c>
      <c r="R370">
        <f t="shared" si="31"/>
        <v>0</v>
      </c>
      <c r="S370">
        <f t="shared" si="32"/>
        <v>0</v>
      </c>
      <c r="T370">
        <f t="shared" si="33"/>
        <v>0</v>
      </c>
      <c r="U370">
        <f t="shared" si="34"/>
        <v>0</v>
      </c>
      <c r="V370">
        <f t="shared" si="35"/>
        <v>0</v>
      </c>
      <c r="W370">
        <f t="shared" si="36"/>
        <v>0</v>
      </c>
    </row>
    <row r="371" spans="1:23" x14ac:dyDescent="0.25">
      <c r="A371" t="s">
        <v>800</v>
      </c>
      <c r="B371" t="s">
        <v>96</v>
      </c>
      <c r="C371">
        <v>28.837</v>
      </c>
      <c r="D371">
        <v>0</v>
      </c>
      <c r="E371">
        <v>0</v>
      </c>
      <c r="F371">
        <v>0</v>
      </c>
      <c r="G371" s="105">
        <f>Tabell38[[#This Row],[Såld värme (GWh)]]-Tabell38[[#This Row],[Levererad värme, andra fjärrvärmeföretag, företag 1 (GWh)]]-Tabell38[[#This Row],[Levererad värme, andra fjärrvärmeföretag, företag 2 (GWh)]]-Tabell38[[#This Row],[Levererad värme, andra fjärrvärmeföretag, företag 3 (GWh)]]</f>
        <v>28.837</v>
      </c>
      <c r="H371" s="102" t="str">
        <f>VLOOKUP(Tabell38[[#This Row],[Nät]],Tabell5[],2,FALSE)</f>
        <v>Edsbyn</v>
      </c>
      <c r="I371" t="str">
        <f>VLOOKUP(Tabell38[[#This Row],[Nät]],'Leveranser per nät'!A:A,1,FALSE)</f>
        <v>Edsbyn</v>
      </c>
      <c r="O371" t="s">
        <v>806</v>
      </c>
      <c r="P371" t="s">
        <v>806</v>
      </c>
      <c r="Q371" s="84" t="s">
        <v>806</v>
      </c>
      <c r="R371">
        <f t="shared" si="31"/>
        <v>0</v>
      </c>
      <c r="S371">
        <f t="shared" si="32"/>
        <v>0</v>
      </c>
      <c r="T371">
        <f t="shared" si="33"/>
        <v>0</v>
      </c>
      <c r="U371">
        <f t="shared" si="34"/>
        <v>0</v>
      </c>
      <c r="V371">
        <f t="shared" si="35"/>
        <v>0</v>
      </c>
      <c r="W371">
        <f t="shared" si="36"/>
        <v>0</v>
      </c>
    </row>
    <row r="372" spans="1:23" x14ac:dyDescent="0.25">
      <c r="A372" t="s">
        <v>800</v>
      </c>
      <c r="B372" t="s">
        <v>346</v>
      </c>
      <c r="C372">
        <v>71.367999999999995</v>
      </c>
      <c r="D372">
        <v>0</v>
      </c>
      <c r="E372">
        <v>0</v>
      </c>
      <c r="F372">
        <v>0</v>
      </c>
      <c r="G372" s="105">
        <f>Tabell38[[#This Row],[Såld värme (GWh)]]-Tabell38[[#This Row],[Levererad värme, andra fjärrvärmeföretag, företag 1 (GWh)]]-Tabell38[[#This Row],[Levererad värme, andra fjärrvärmeföretag, företag 2 (GWh)]]-Tabell38[[#This Row],[Levererad värme, andra fjärrvärmeföretag, företag 3 (GWh)]]</f>
        <v>71.367999999999995</v>
      </c>
      <c r="H372" s="102" t="str">
        <f>VLOOKUP(Tabell38[[#This Row],[Nät]],Tabell5[],2,FALSE)</f>
        <v>Kalix</v>
      </c>
      <c r="I372" t="str">
        <f>VLOOKUP(Tabell38[[#This Row],[Nät]],'Leveranser per nät'!A:A,1,FALSE)</f>
        <v>Kalix</v>
      </c>
      <c r="O372" t="s">
        <v>806</v>
      </c>
      <c r="P372" t="s">
        <v>806</v>
      </c>
      <c r="Q372" s="44" t="s">
        <v>806</v>
      </c>
      <c r="R372">
        <f t="shared" si="31"/>
        <v>0</v>
      </c>
      <c r="S372">
        <f t="shared" si="32"/>
        <v>0</v>
      </c>
      <c r="T372">
        <f t="shared" si="33"/>
        <v>0</v>
      </c>
      <c r="U372">
        <f t="shared" si="34"/>
        <v>0</v>
      </c>
      <c r="V372">
        <f t="shared" si="35"/>
        <v>0</v>
      </c>
      <c r="W372">
        <f t="shared" si="36"/>
        <v>0</v>
      </c>
    </row>
    <row r="373" spans="1:23" x14ac:dyDescent="0.25">
      <c r="A373" t="s">
        <v>800</v>
      </c>
      <c r="B373" t="s">
        <v>801</v>
      </c>
      <c r="C373" t="s">
        <v>805</v>
      </c>
      <c r="D373">
        <v>0</v>
      </c>
      <c r="E373">
        <v>0</v>
      </c>
      <c r="F373">
        <v>0</v>
      </c>
      <c r="G373"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373" s="102" t="str">
        <f>VLOOKUP(Tabell38[[#This Row],[Nät]],Tabell5[],2,FALSE)</f>
        <v>Krokek</v>
      </c>
      <c r="I373" t="str">
        <f>VLOOKUP(Tabell38[[#This Row],[Nät]],'Leveranser per nät'!A:A,1,FALSE)</f>
        <v>Krokek</v>
      </c>
      <c r="O373" t="s">
        <v>805</v>
      </c>
      <c r="P373" t="s">
        <v>805</v>
      </c>
      <c r="Q373" s="84" t="s">
        <v>805</v>
      </c>
      <c r="R373" t="str">
        <f t="shared" si="31"/>
        <v>-</v>
      </c>
      <c r="S373" t="str">
        <f t="shared" si="32"/>
        <v>-</v>
      </c>
      <c r="T373" t="str">
        <f t="shared" si="33"/>
        <v>-</v>
      </c>
      <c r="U373">
        <f t="shared" si="34"/>
        <v>0</v>
      </c>
      <c r="V373">
        <f t="shared" si="35"/>
        <v>0</v>
      </c>
      <c r="W373">
        <f t="shared" si="36"/>
        <v>0</v>
      </c>
    </row>
    <row r="374" spans="1:23" x14ac:dyDescent="0.25">
      <c r="A374" t="s">
        <v>800</v>
      </c>
      <c r="B374" t="s">
        <v>200</v>
      </c>
      <c r="C374">
        <v>13.1</v>
      </c>
      <c r="D374">
        <v>0</v>
      </c>
      <c r="E374">
        <v>0</v>
      </c>
      <c r="F374">
        <v>0</v>
      </c>
      <c r="G374" s="105">
        <f>Tabell38[[#This Row],[Såld värme (GWh)]]-Tabell38[[#This Row],[Levererad värme, andra fjärrvärmeföretag, företag 1 (GWh)]]-Tabell38[[#This Row],[Levererad värme, andra fjärrvärmeföretag, företag 2 (GWh)]]-Tabell38[[#This Row],[Levererad värme, andra fjärrvärmeföretag, företag 3 (GWh)]]</f>
        <v>13.1</v>
      </c>
      <c r="H374" s="102" t="str">
        <f>VLOOKUP(Tabell38[[#This Row],[Nät]],Tabell5[],2,FALSE)</f>
        <v>Malmköping</v>
      </c>
      <c r="I374" t="str">
        <f>VLOOKUP(Tabell38[[#This Row],[Nät]],'Leveranser per nät'!A:A,1,FALSE)</f>
        <v>Malmköping</v>
      </c>
      <c r="O374" t="s">
        <v>806</v>
      </c>
      <c r="P374" t="s">
        <v>806</v>
      </c>
      <c r="Q374" s="44" t="s">
        <v>806</v>
      </c>
      <c r="R374">
        <f t="shared" si="31"/>
        <v>0</v>
      </c>
      <c r="S374">
        <f t="shared" si="32"/>
        <v>0</v>
      </c>
      <c r="T374">
        <f t="shared" si="33"/>
        <v>0</v>
      </c>
      <c r="U374">
        <f t="shared" si="34"/>
        <v>0</v>
      </c>
      <c r="V374">
        <f t="shared" si="35"/>
        <v>0</v>
      </c>
      <c r="W374">
        <f t="shared" si="36"/>
        <v>0</v>
      </c>
    </row>
    <row r="375" spans="1:23" x14ac:dyDescent="0.25">
      <c r="A375" t="s">
        <v>1002</v>
      </c>
      <c r="B375" t="s">
        <v>334</v>
      </c>
      <c r="C375">
        <v>16.835999999999999</v>
      </c>
      <c r="D375">
        <v>0</v>
      </c>
      <c r="E375">
        <v>0</v>
      </c>
      <c r="F375">
        <v>0</v>
      </c>
      <c r="G375" s="105">
        <f>Tabell38[[#This Row],[Såld värme (GWh)]]-Tabell38[[#This Row],[Levererad värme, andra fjärrvärmeföretag, företag 1 (GWh)]]-Tabell38[[#This Row],[Levererad värme, andra fjärrvärmeföretag, företag 2 (GWh)]]-Tabell38[[#This Row],[Levererad värme, andra fjärrvärmeföretag, företag 3 (GWh)]]</f>
        <v>16.835999999999999</v>
      </c>
      <c r="H375" s="102" t="str">
        <f>VLOOKUP(Tabell38[[#This Row],[Nät]],Tabell5[],2,FALSE)</f>
        <v>Askersund</v>
      </c>
      <c r="I375" t="str">
        <f>VLOOKUP(Tabell38[[#This Row],[Nät]],'Leveranser per nät'!A:A,1,FALSE)</f>
        <v>Askersund</v>
      </c>
      <c r="O375" t="s">
        <v>806</v>
      </c>
      <c r="P375" t="s">
        <v>806</v>
      </c>
      <c r="Q375" s="84" t="s">
        <v>806</v>
      </c>
      <c r="R375">
        <f t="shared" si="31"/>
        <v>0</v>
      </c>
      <c r="S375">
        <f t="shared" si="32"/>
        <v>0</v>
      </c>
      <c r="T375">
        <f t="shared" si="33"/>
        <v>0</v>
      </c>
      <c r="U375">
        <f t="shared" si="34"/>
        <v>0</v>
      </c>
      <c r="V375">
        <f t="shared" si="35"/>
        <v>0</v>
      </c>
      <c r="W375">
        <f t="shared" si="36"/>
        <v>0</v>
      </c>
    </row>
    <row r="376" spans="1:23" x14ac:dyDescent="0.25">
      <c r="A376" t="s">
        <v>1002</v>
      </c>
      <c r="B376" t="s">
        <v>339</v>
      </c>
      <c r="C376">
        <v>413.41199999999998</v>
      </c>
      <c r="D376">
        <v>0</v>
      </c>
      <c r="E376">
        <v>0</v>
      </c>
      <c r="F376">
        <v>0</v>
      </c>
      <c r="G376" s="105">
        <f>Tabell38[[#This Row],[Såld värme (GWh)]]-Tabell38[[#This Row],[Levererad värme, andra fjärrvärmeföretag, företag 1 (GWh)]]-Tabell38[[#This Row],[Levererad värme, andra fjärrvärmeföretag, företag 2 (GWh)]]-Tabell38[[#This Row],[Levererad värme, andra fjärrvärmeföretag, företag 3 (GWh)]]</f>
        <v>413.41199999999998</v>
      </c>
      <c r="H376" s="102" t="str">
        <f>VLOOKUP(Tabell38[[#This Row],[Nät]],Tabell5[],2,FALSE)</f>
        <v>Drefviken</v>
      </c>
      <c r="I376" t="str">
        <f>VLOOKUP(Tabell38[[#This Row],[Nät]],'Leveranser per nät'!A:A,1,FALSE)</f>
        <v>Drefviken</v>
      </c>
      <c r="O376" t="s">
        <v>806</v>
      </c>
      <c r="P376" t="s">
        <v>806</v>
      </c>
      <c r="Q376" s="44" t="s">
        <v>806</v>
      </c>
      <c r="R376">
        <f t="shared" si="31"/>
        <v>0</v>
      </c>
      <c r="S376">
        <f t="shared" si="32"/>
        <v>0</v>
      </c>
      <c r="T376">
        <f t="shared" si="33"/>
        <v>0</v>
      </c>
      <c r="U376">
        <f t="shared" si="34"/>
        <v>0</v>
      </c>
      <c r="V376">
        <f t="shared" si="35"/>
        <v>0</v>
      </c>
      <c r="W376">
        <f t="shared" si="36"/>
        <v>0</v>
      </c>
    </row>
    <row r="377" spans="1:23" x14ac:dyDescent="0.25">
      <c r="A377" t="s">
        <v>1002</v>
      </c>
      <c r="B377" t="s">
        <v>340</v>
      </c>
      <c r="C377">
        <v>59.941000000000003</v>
      </c>
      <c r="D377">
        <v>0</v>
      </c>
      <c r="E377">
        <v>0</v>
      </c>
      <c r="F377">
        <v>0</v>
      </c>
      <c r="G377" s="105">
        <f>Tabell38[[#This Row],[Såld värme (GWh)]]-Tabell38[[#This Row],[Levererad värme, andra fjärrvärmeföretag, företag 1 (GWh)]]-Tabell38[[#This Row],[Levererad värme, andra fjärrvärmeföretag, företag 2 (GWh)]]-Tabell38[[#This Row],[Levererad värme, andra fjärrvärmeföretag, företag 3 (GWh)]]</f>
        <v>59.941000000000003</v>
      </c>
      <c r="H377" s="102" t="str">
        <f>VLOOKUP(Tabell38[[#This Row],[Nät]],Tabell5[],2,FALSE)</f>
        <v>Gustavsberg</v>
      </c>
      <c r="I377" t="str">
        <f>VLOOKUP(Tabell38[[#This Row],[Nät]],'Leveranser per nät'!A:A,1,FALSE)</f>
        <v>Gustavsberg</v>
      </c>
      <c r="O377" t="s">
        <v>806</v>
      </c>
      <c r="P377" t="s">
        <v>806</v>
      </c>
      <c r="Q377" s="84" t="s">
        <v>806</v>
      </c>
      <c r="R377">
        <f t="shared" si="31"/>
        <v>0</v>
      </c>
      <c r="S377">
        <f t="shared" si="32"/>
        <v>0</v>
      </c>
      <c r="T377">
        <f t="shared" si="33"/>
        <v>0</v>
      </c>
      <c r="U377">
        <f t="shared" si="34"/>
        <v>0</v>
      </c>
      <c r="V377">
        <f t="shared" si="35"/>
        <v>0</v>
      </c>
      <c r="W377">
        <f t="shared" si="36"/>
        <v>0</v>
      </c>
    </row>
    <row r="378" spans="1:23" x14ac:dyDescent="0.25">
      <c r="A378" t="s">
        <v>1002</v>
      </c>
      <c r="B378" t="s">
        <v>1098</v>
      </c>
      <c r="C378">
        <v>49.100999999999999</v>
      </c>
      <c r="D378">
        <v>5.5250000000000004</v>
      </c>
      <c r="E378">
        <v>0</v>
      </c>
      <c r="F378">
        <v>0</v>
      </c>
      <c r="G378" s="105">
        <f>Tabell38[[#This Row],[Såld värme (GWh)]]-Tabell38[[#This Row],[Levererad värme, andra fjärrvärmeföretag, företag 1 (GWh)]]-Tabell38[[#This Row],[Levererad värme, andra fjärrvärmeföretag, företag 2 (GWh)]]-Tabell38[[#This Row],[Levererad värme, andra fjärrvärmeföretag, företag 3 (GWh)]]</f>
        <v>43.576000000000001</v>
      </c>
      <c r="H378" s="102" t="str">
        <f>VLOOKUP(Tabell38[[#This Row],[Nät]],Tabell5[],2,FALSE)</f>
        <v>Knivsta</v>
      </c>
      <c r="I378" t="e">
        <f>VLOOKUP(Tabell38[[#This Row],[Nät]],'Leveranser per nät'!A:A,1,FALSE)</f>
        <v>#N/A</v>
      </c>
      <c r="O378">
        <v>5.5250000000000004</v>
      </c>
      <c r="P378" t="s">
        <v>806</v>
      </c>
      <c r="Q378" s="44" t="s">
        <v>806</v>
      </c>
      <c r="R378">
        <f t="shared" si="31"/>
        <v>5.5250000000000004</v>
      </c>
      <c r="S378">
        <f t="shared" si="32"/>
        <v>0</v>
      </c>
      <c r="T378">
        <f t="shared" si="33"/>
        <v>0</v>
      </c>
      <c r="U378">
        <f t="shared" si="34"/>
        <v>5.5250000000000004</v>
      </c>
      <c r="V378">
        <f t="shared" si="35"/>
        <v>0</v>
      </c>
      <c r="W378">
        <f t="shared" si="36"/>
        <v>0</v>
      </c>
    </row>
    <row r="379" spans="1:23" x14ac:dyDescent="0.25">
      <c r="A379" t="s">
        <v>1002</v>
      </c>
      <c r="B379" t="s">
        <v>336</v>
      </c>
      <c r="C379">
        <v>128.041</v>
      </c>
      <c r="D379">
        <v>0</v>
      </c>
      <c r="E379">
        <v>0</v>
      </c>
      <c r="F379">
        <v>0</v>
      </c>
      <c r="G379" s="105">
        <f>Tabell38[[#This Row],[Såld värme (GWh)]]-Tabell38[[#This Row],[Levererad värme, andra fjärrvärmeföretag, företag 1 (GWh)]]-Tabell38[[#This Row],[Levererad värme, andra fjärrvärmeföretag, företag 2 (GWh)]]-Tabell38[[#This Row],[Levererad värme, andra fjärrvärmeföretag, företag 3 (GWh)]]</f>
        <v>128.041</v>
      </c>
      <c r="H379" s="102" t="str">
        <f>VLOOKUP(Tabell38[[#This Row],[Nät]],Tabell5[],2,FALSE)</f>
        <v>Motala</v>
      </c>
      <c r="I379" t="str">
        <f>VLOOKUP(Tabell38[[#This Row],[Nät]],'Leveranser per nät'!A:A,1,FALSE)</f>
        <v>Motala</v>
      </c>
      <c r="O379" t="s">
        <v>806</v>
      </c>
      <c r="P379" t="s">
        <v>806</v>
      </c>
      <c r="Q379" s="84" t="s">
        <v>806</v>
      </c>
      <c r="R379">
        <f t="shared" si="31"/>
        <v>0</v>
      </c>
      <c r="S379">
        <f t="shared" si="32"/>
        <v>0</v>
      </c>
      <c r="T379">
        <f t="shared" si="33"/>
        <v>0</v>
      </c>
      <c r="U379">
        <f t="shared" si="34"/>
        <v>0</v>
      </c>
      <c r="V379">
        <f t="shared" si="35"/>
        <v>0</v>
      </c>
      <c r="W379">
        <f t="shared" si="36"/>
        <v>0</v>
      </c>
    </row>
    <row r="380" spans="1:23" x14ac:dyDescent="0.25">
      <c r="A380" t="s">
        <v>1002</v>
      </c>
      <c r="B380" t="s">
        <v>337</v>
      </c>
      <c r="C380">
        <v>243.66399999999999</v>
      </c>
      <c r="D380">
        <v>0</v>
      </c>
      <c r="E380">
        <v>0</v>
      </c>
      <c r="F380">
        <v>0</v>
      </c>
      <c r="G380" s="105">
        <f>Tabell38[[#This Row],[Såld värme (GWh)]]-Tabell38[[#This Row],[Levererad värme, andra fjärrvärmeföretag, företag 1 (GWh)]]-Tabell38[[#This Row],[Levererad värme, andra fjärrvärmeföretag, företag 2 (GWh)]]-Tabell38[[#This Row],[Levererad värme, andra fjärrvärmeföretag, företag 3 (GWh)]]</f>
        <v>243.66399999999999</v>
      </c>
      <c r="H380" s="102" t="str">
        <f>VLOOKUP(Tabell38[[#This Row],[Nät]],Tabell5[],2,FALSE)</f>
        <v>Nyköping</v>
      </c>
      <c r="I380" t="str">
        <f>VLOOKUP(Tabell38[[#This Row],[Nät]],'Leveranser per nät'!A:A,1,FALSE)</f>
        <v>Nyköping</v>
      </c>
      <c r="O380" t="s">
        <v>806</v>
      </c>
      <c r="P380" t="s">
        <v>806</v>
      </c>
      <c r="Q380" s="44" t="s">
        <v>806</v>
      </c>
      <c r="R380">
        <f t="shared" si="31"/>
        <v>0</v>
      </c>
      <c r="S380">
        <f t="shared" si="32"/>
        <v>0</v>
      </c>
      <c r="T380">
        <f t="shared" si="33"/>
        <v>0</v>
      </c>
      <c r="U380">
        <f t="shared" si="34"/>
        <v>0</v>
      </c>
      <c r="V380">
        <f t="shared" si="35"/>
        <v>0</v>
      </c>
      <c r="W380">
        <f t="shared" si="36"/>
        <v>0</v>
      </c>
    </row>
    <row r="381" spans="1:23" x14ac:dyDescent="0.25">
      <c r="A381" t="s">
        <v>1002</v>
      </c>
      <c r="B381" t="s">
        <v>342</v>
      </c>
      <c r="C381">
        <v>23.995000000000001</v>
      </c>
      <c r="D381">
        <v>0</v>
      </c>
      <c r="E381">
        <v>0</v>
      </c>
      <c r="F381">
        <v>0</v>
      </c>
      <c r="G381" s="105">
        <f>Tabell38[[#This Row],[Såld värme (GWh)]]-Tabell38[[#This Row],[Levererad värme, andra fjärrvärmeföretag, företag 1 (GWh)]]-Tabell38[[#This Row],[Levererad värme, andra fjärrvärmeföretag, företag 2 (GWh)]]-Tabell38[[#This Row],[Levererad värme, andra fjärrvärmeföretag, företag 3 (GWh)]]</f>
        <v>23.995000000000001</v>
      </c>
      <c r="H381" s="102" t="str">
        <f>VLOOKUP(Tabell38[[#This Row],[Nät]],Tabell5[],2,FALSE)</f>
        <v>Saltsjöbaden</v>
      </c>
      <c r="I381" t="str">
        <f>VLOOKUP(Tabell38[[#This Row],[Nät]],'Leveranser per nät'!A:A,1,FALSE)</f>
        <v>Saltsjöbaden</v>
      </c>
      <c r="O381" t="s">
        <v>806</v>
      </c>
      <c r="P381" t="s">
        <v>806</v>
      </c>
      <c r="Q381" s="84" t="s">
        <v>806</v>
      </c>
      <c r="R381">
        <f t="shared" si="31"/>
        <v>0</v>
      </c>
      <c r="S381">
        <f t="shared" si="32"/>
        <v>0</v>
      </c>
      <c r="T381">
        <f t="shared" si="33"/>
        <v>0</v>
      </c>
      <c r="U381">
        <f t="shared" si="34"/>
        <v>0</v>
      </c>
      <c r="V381">
        <f t="shared" si="35"/>
        <v>0</v>
      </c>
      <c r="W381">
        <f t="shared" si="36"/>
        <v>0</v>
      </c>
    </row>
    <row r="382" spans="1:23" x14ac:dyDescent="0.25">
      <c r="A382" t="s">
        <v>1002</v>
      </c>
      <c r="B382" t="s">
        <v>343</v>
      </c>
      <c r="C382">
        <v>13.21</v>
      </c>
      <c r="D382">
        <v>0</v>
      </c>
      <c r="E382">
        <v>0</v>
      </c>
      <c r="F382">
        <v>0</v>
      </c>
      <c r="G382" s="105">
        <f>Tabell38[[#This Row],[Såld värme (GWh)]]-Tabell38[[#This Row],[Levererad värme, andra fjärrvärmeföretag, företag 1 (GWh)]]-Tabell38[[#This Row],[Levererad värme, andra fjärrvärmeföretag, företag 2 (GWh)]]-Tabell38[[#This Row],[Levererad värme, andra fjärrvärmeföretag, företag 3 (GWh)]]</f>
        <v>13.21</v>
      </c>
      <c r="H382" s="102" t="str">
        <f>VLOOKUP(Tabell38[[#This Row],[Nät]],Tabell5[],2,FALSE)</f>
        <v>Storvreta</v>
      </c>
      <c r="I382" t="str">
        <f>VLOOKUP(Tabell38[[#This Row],[Nät]],'Leveranser per nät'!A:A,1,FALSE)</f>
        <v>Storvreta</v>
      </c>
      <c r="O382" t="s">
        <v>806</v>
      </c>
      <c r="P382" t="s">
        <v>806</v>
      </c>
      <c r="Q382" s="44" t="s">
        <v>806</v>
      </c>
      <c r="R382">
        <f t="shared" si="31"/>
        <v>0</v>
      </c>
      <c r="S382">
        <f t="shared" si="32"/>
        <v>0</v>
      </c>
      <c r="T382">
        <f t="shared" si="33"/>
        <v>0</v>
      </c>
      <c r="U382">
        <f t="shared" si="34"/>
        <v>0</v>
      </c>
      <c r="V382">
        <f t="shared" si="35"/>
        <v>0</v>
      </c>
      <c r="W382">
        <f t="shared" si="36"/>
        <v>0</v>
      </c>
    </row>
    <row r="383" spans="1:23" x14ac:dyDescent="0.25">
      <c r="A383" t="s">
        <v>1002</v>
      </c>
      <c r="B383" t="s">
        <v>335</v>
      </c>
      <c r="C383">
        <v>1144.3699999999999</v>
      </c>
      <c r="D383">
        <v>0</v>
      </c>
      <c r="E383">
        <v>0</v>
      </c>
      <c r="F383">
        <v>0</v>
      </c>
      <c r="G383" s="105">
        <f>Tabell38[[#This Row],[Såld värme (GWh)]]-Tabell38[[#This Row],[Levererad värme, andra fjärrvärmeföretag, företag 1 (GWh)]]-Tabell38[[#This Row],[Levererad värme, andra fjärrvärmeföretag, företag 2 (GWh)]]-Tabell38[[#This Row],[Levererad värme, andra fjärrvärmeföretag, företag 3 (GWh)]]</f>
        <v>1144.3699999999999</v>
      </c>
      <c r="H383" s="102" t="str">
        <f>VLOOKUP(Tabell38[[#This Row],[Nät]],Tabell5[],2,FALSE)</f>
        <v>Uppsala</v>
      </c>
      <c r="I383" t="str">
        <f>VLOOKUP(Tabell38[[#This Row],[Nät]],'Leveranser per nät'!A:A,1,FALSE)</f>
        <v>Uppsala</v>
      </c>
      <c r="O383" t="s">
        <v>806</v>
      </c>
      <c r="P383" t="s">
        <v>806</v>
      </c>
      <c r="Q383" s="84" t="s">
        <v>806</v>
      </c>
      <c r="R383">
        <f t="shared" si="31"/>
        <v>0</v>
      </c>
      <c r="S383">
        <f t="shared" si="32"/>
        <v>0</v>
      </c>
      <c r="T383">
        <f t="shared" si="33"/>
        <v>0</v>
      </c>
      <c r="U383">
        <f t="shared" si="34"/>
        <v>0</v>
      </c>
      <c r="V383">
        <f t="shared" si="35"/>
        <v>0</v>
      </c>
      <c r="W383">
        <f t="shared" si="36"/>
        <v>0</v>
      </c>
    </row>
    <row r="384" spans="1:23" x14ac:dyDescent="0.25">
      <c r="A384" t="s">
        <v>1002</v>
      </c>
      <c r="B384" t="s">
        <v>338</v>
      </c>
      <c r="C384">
        <v>173.3</v>
      </c>
      <c r="D384">
        <v>52.8</v>
      </c>
      <c r="E384">
        <v>0</v>
      </c>
      <c r="F384">
        <v>0</v>
      </c>
      <c r="G384" s="105">
        <f>Tabell38[[#This Row],[Såld värme (GWh)]]-Tabell38[[#This Row],[Levererad värme, andra fjärrvärmeföretag, företag 1 (GWh)]]-Tabell38[[#This Row],[Levererad värme, andra fjärrvärmeföretag, företag 2 (GWh)]]-Tabell38[[#This Row],[Levererad värme, andra fjärrvärmeföretag, företag 3 (GWh)]]</f>
        <v>120.50000000000001</v>
      </c>
      <c r="H384" s="102" t="str">
        <f>VLOOKUP(Tabell38[[#This Row],[Nät]],Tabell5[],2,FALSE)</f>
        <v>Vänersborg</v>
      </c>
      <c r="I384" t="str">
        <f>VLOOKUP(Tabell38[[#This Row],[Nät]],'Leveranser per nät'!A:A,1,FALSE)</f>
        <v>Vänersborg</v>
      </c>
      <c r="O384">
        <v>52.8</v>
      </c>
      <c r="P384" t="s">
        <v>806</v>
      </c>
      <c r="Q384" s="44" t="s">
        <v>806</v>
      </c>
      <c r="R384">
        <f t="shared" si="31"/>
        <v>52.8</v>
      </c>
      <c r="S384">
        <f t="shared" si="32"/>
        <v>0</v>
      </c>
      <c r="T384">
        <f t="shared" si="33"/>
        <v>0</v>
      </c>
      <c r="U384">
        <f t="shared" si="34"/>
        <v>52.8</v>
      </c>
      <c r="V384">
        <f t="shared" si="35"/>
        <v>0</v>
      </c>
      <c r="W384">
        <f t="shared" si="36"/>
        <v>0</v>
      </c>
    </row>
    <row r="385" spans="1:23" x14ac:dyDescent="0.25">
      <c r="A385" t="s">
        <v>605</v>
      </c>
      <c r="B385" t="s">
        <v>351</v>
      </c>
      <c r="C385">
        <v>3.1</v>
      </c>
      <c r="D385">
        <v>0</v>
      </c>
      <c r="E385">
        <v>0</v>
      </c>
      <c r="F385">
        <v>0</v>
      </c>
      <c r="G385" s="105">
        <f>Tabell38[[#This Row],[Såld värme (GWh)]]-Tabell38[[#This Row],[Levererad värme, andra fjärrvärmeföretag, företag 1 (GWh)]]-Tabell38[[#This Row],[Levererad värme, andra fjärrvärmeföretag, företag 2 (GWh)]]-Tabell38[[#This Row],[Levererad värme, andra fjärrvärmeföretag, företag 3 (GWh)]]</f>
        <v>3.1</v>
      </c>
      <c r="H385" s="102" t="str">
        <f>VLOOKUP(Tabell38[[#This Row],[Nät]],Tabell5[],2,FALSE)</f>
        <v>Frödinge</v>
      </c>
      <c r="I385" t="str">
        <f>VLOOKUP(Tabell38[[#This Row],[Nät]],'Leveranser per nät'!A:A,1,FALSE)</f>
        <v>Frödinge</v>
      </c>
      <c r="O385" t="s">
        <v>806</v>
      </c>
      <c r="P385" t="s">
        <v>806</v>
      </c>
      <c r="Q385" s="84" t="s">
        <v>806</v>
      </c>
      <c r="R385">
        <f t="shared" si="31"/>
        <v>0</v>
      </c>
      <c r="S385">
        <f t="shared" si="32"/>
        <v>0</v>
      </c>
      <c r="T385">
        <f t="shared" si="33"/>
        <v>0</v>
      </c>
      <c r="U385">
        <f t="shared" si="34"/>
        <v>0</v>
      </c>
      <c r="V385">
        <f t="shared" si="35"/>
        <v>0</v>
      </c>
      <c r="W385">
        <f t="shared" si="36"/>
        <v>0</v>
      </c>
    </row>
    <row r="386" spans="1:23" x14ac:dyDescent="0.25">
      <c r="A386" t="s">
        <v>605</v>
      </c>
      <c r="B386" t="s">
        <v>352</v>
      </c>
      <c r="C386">
        <v>3.8380000000000001</v>
      </c>
      <c r="D386">
        <v>0</v>
      </c>
      <c r="E386">
        <v>0</v>
      </c>
      <c r="F386">
        <v>0</v>
      </c>
      <c r="G386" s="105">
        <f>Tabell38[[#This Row],[Såld värme (GWh)]]-Tabell38[[#This Row],[Levererad värme, andra fjärrvärmeföretag, företag 1 (GWh)]]-Tabell38[[#This Row],[Levererad värme, andra fjärrvärmeföretag, företag 2 (GWh)]]-Tabell38[[#This Row],[Levererad värme, andra fjärrvärmeföretag, företag 3 (GWh)]]</f>
        <v>3.8380000000000001</v>
      </c>
      <c r="H386" s="102" t="str">
        <f>VLOOKUP(Tabell38[[#This Row],[Nät]],Tabell5[],2,FALSE)</f>
        <v>Gullringen</v>
      </c>
      <c r="I386" t="str">
        <f>VLOOKUP(Tabell38[[#This Row],[Nät]],'Leveranser per nät'!A:A,1,FALSE)</f>
        <v>Gullringen</v>
      </c>
      <c r="O386" t="s">
        <v>806</v>
      </c>
      <c r="P386" t="s">
        <v>806</v>
      </c>
      <c r="Q386" s="44" t="s">
        <v>806</v>
      </c>
      <c r="R386">
        <f t="shared" si="31"/>
        <v>0</v>
      </c>
      <c r="S386">
        <f t="shared" si="32"/>
        <v>0</v>
      </c>
      <c r="T386">
        <f t="shared" si="33"/>
        <v>0</v>
      </c>
      <c r="U386">
        <f t="shared" si="34"/>
        <v>0</v>
      </c>
      <c r="V386">
        <f t="shared" si="35"/>
        <v>0</v>
      </c>
      <c r="W386">
        <f t="shared" si="36"/>
        <v>0</v>
      </c>
    </row>
    <row r="387" spans="1:23" x14ac:dyDescent="0.25">
      <c r="A387" t="s">
        <v>605</v>
      </c>
      <c r="B387" t="s">
        <v>353</v>
      </c>
      <c r="C387">
        <v>6.37</v>
      </c>
      <c r="D387">
        <v>0</v>
      </c>
      <c r="E387">
        <v>0</v>
      </c>
      <c r="F387">
        <v>0</v>
      </c>
      <c r="G387" s="105">
        <f>Tabell38[[#This Row],[Såld värme (GWh)]]-Tabell38[[#This Row],[Levererad värme, andra fjärrvärmeföretag, företag 1 (GWh)]]-Tabell38[[#This Row],[Levererad värme, andra fjärrvärmeföretag, företag 2 (GWh)]]-Tabell38[[#This Row],[Levererad värme, andra fjärrvärmeföretag, företag 3 (GWh)]]</f>
        <v>6.37</v>
      </c>
      <c r="H387" s="102" t="str">
        <f>VLOOKUP(Tabell38[[#This Row],[Nät]],Tabell5[],2,FALSE)</f>
        <v>Storebro</v>
      </c>
      <c r="I387" t="str">
        <f>VLOOKUP(Tabell38[[#This Row],[Nät]],'Leveranser per nät'!A:A,1,FALSE)</f>
        <v>Storebro</v>
      </c>
      <c r="O387" t="s">
        <v>806</v>
      </c>
      <c r="P387" t="s">
        <v>806</v>
      </c>
      <c r="Q387" s="84" t="s">
        <v>806</v>
      </c>
      <c r="R387">
        <f t="shared" ref="R387:R450" si="37">IF(O387="ET",0,O387)</f>
        <v>0</v>
      </c>
      <c r="S387">
        <f t="shared" ref="S387:S450" si="38">IF(P387="ET",0,P387)</f>
        <v>0</v>
      </c>
      <c r="T387">
        <f t="shared" ref="T387:T450" si="39">IF(Q387="ET",0,Q387)</f>
        <v>0</v>
      </c>
      <c r="U387">
        <f t="shared" ref="U387:U450" si="40">IF(R387="-",0,R387)</f>
        <v>0</v>
      </c>
      <c r="V387">
        <f t="shared" ref="V387:V450" si="41">IF(S387="-",0,S387)</f>
        <v>0</v>
      </c>
      <c r="W387">
        <f t="shared" ref="W387:W450" si="42">IF(T387="-",0,T387)</f>
        <v>0</v>
      </c>
    </row>
    <row r="388" spans="1:23" x14ac:dyDescent="0.25">
      <c r="A388" t="s">
        <v>605</v>
      </c>
      <c r="B388" t="s">
        <v>391</v>
      </c>
      <c r="C388">
        <v>12.901999999999999</v>
      </c>
      <c r="D388">
        <v>0</v>
      </c>
      <c r="E388">
        <v>0</v>
      </c>
      <c r="F388">
        <v>0</v>
      </c>
      <c r="G388" s="105">
        <f>Tabell38[[#This Row],[Såld värme (GWh)]]-Tabell38[[#This Row],[Levererad värme, andra fjärrvärmeföretag, företag 1 (GWh)]]-Tabell38[[#This Row],[Levererad värme, andra fjärrvärmeföretag, företag 2 (GWh)]]-Tabell38[[#This Row],[Levererad värme, andra fjärrvärmeföretag, företag 3 (GWh)]]</f>
        <v>12.901999999999999</v>
      </c>
      <c r="H388" s="102" t="str">
        <f>VLOOKUP(Tabell38[[#This Row],[Nät]],Tabell5[],2,FALSE)</f>
        <v>Södra Vi</v>
      </c>
      <c r="I388" t="str">
        <f>VLOOKUP(Tabell38[[#This Row],[Nät]],'Leveranser per nät'!A:A,1,FALSE)</f>
        <v>Södra Vi</v>
      </c>
      <c r="O388" t="s">
        <v>806</v>
      </c>
      <c r="P388" t="s">
        <v>806</v>
      </c>
      <c r="Q388" s="44" t="s">
        <v>806</v>
      </c>
      <c r="R388">
        <f t="shared" si="37"/>
        <v>0</v>
      </c>
      <c r="S388">
        <f t="shared" si="38"/>
        <v>0</v>
      </c>
      <c r="T388">
        <f t="shared" si="39"/>
        <v>0</v>
      </c>
      <c r="U388">
        <f t="shared" si="40"/>
        <v>0</v>
      </c>
      <c r="V388">
        <f t="shared" si="41"/>
        <v>0</v>
      </c>
      <c r="W388">
        <f t="shared" si="42"/>
        <v>0</v>
      </c>
    </row>
    <row r="389" spans="1:23" x14ac:dyDescent="0.25">
      <c r="A389" t="s">
        <v>605</v>
      </c>
      <c r="B389" t="s">
        <v>350</v>
      </c>
      <c r="C389">
        <v>96.983000000000004</v>
      </c>
      <c r="D389">
        <v>0</v>
      </c>
      <c r="E389">
        <v>0</v>
      </c>
      <c r="F389">
        <v>0</v>
      </c>
      <c r="G389" s="105">
        <f>Tabell38[[#This Row],[Såld värme (GWh)]]-Tabell38[[#This Row],[Levererad värme, andra fjärrvärmeföretag, företag 1 (GWh)]]-Tabell38[[#This Row],[Levererad värme, andra fjärrvärmeföretag, företag 2 (GWh)]]-Tabell38[[#This Row],[Levererad värme, andra fjärrvärmeföretag, företag 3 (GWh)]]</f>
        <v>96.983000000000004</v>
      </c>
      <c r="H389" s="102" t="str">
        <f>VLOOKUP(Tabell38[[#This Row],[Nät]],Tabell5[],2,FALSE)</f>
        <v>Vimmerby</v>
      </c>
      <c r="I389" t="str">
        <f>VLOOKUP(Tabell38[[#This Row],[Nät]],'Leveranser per nät'!A:A,1,FALSE)</f>
        <v>Vimmerby</v>
      </c>
      <c r="O389" t="s">
        <v>806</v>
      </c>
      <c r="P389" t="s">
        <v>806</v>
      </c>
      <c r="Q389" s="84" t="s">
        <v>806</v>
      </c>
      <c r="R389">
        <f t="shared" si="37"/>
        <v>0</v>
      </c>
      <c r="S389">
        <f t="shared" si="38"/>
        <v>0</v>
      </c>
      <c r="T389">
        <f t="shared" si="39"/>
        <v>0</v>
      </c>
      <c r="U389">
        <f t="shared" si="40"/>
        <v>0</v>
      </c>
      <c r="V389">
        <f t="shared" si="41"/>
        <v>0</v>
      </c>
      <c r="W389">
        <f t="shared" si="42"/>
        <v>0</v>
      </c>
    </row>
    <row r="390" spans="1:23" x14ac:dyDescent="0.25">
      <c r="A390" t="s">
        <v>1004</v>
      </c>
      <c r="B390" t="s">
        <v>405</v>
      </c>
      <c r="C390">
        <v>1.9430000000000001</v>
      </c>
      <c r="D390">
        <v>0</v>
      </c>
      <c r="E390">
        <v>0</v>
      </c>
      <c r="F390">
        <v>0</v>
      </c>
      <c r="G390" s="105">
        <f>Tabell38[[#This Row],[Såld värme (GWh)]]-Tabell38[[#This Row],[Levererad värme, andra fjärrvärmeföretag, företag 1 (GWh)]]-Tabell38[[#This Row],[Levererad värme, andra fjärrvärmeföretag, företag 2 (GWh)]]-Tabell38[[#This Row],[Levererad värme, andra fjärrvärmeföretag, företag 3 (GWh)]]</f>
        <v>1.9430000000000001</v>
      </c>
      <c r="H390" s="102" t="str">
        <f>VLOOKUP(Tabell38[[#This Row],[Nät]],Tabell5[],2,FALSE)</f>
        <v>Lyrestad</v>
      </c>
      <c r="I390" t="str">
        <f>VLOOKUP(Tabell38[[#This Row],[Nät]],'Leveranser per nät'!A:A,1,FALSE)</f>
        <v>Lyrestad</v>
      </c>
      <c r="O390" t="s">
        <v>806</v>
      </c>
      <c r="P390" t="s">
        <v>806</v>
      </c>
      <c r="Q390" s="44" t="s">
        <v>806</v>
      </c>
      <c r="R390">
        <f t="shared" si="37"/>
        <v>0</v>
      </c>
      <c r="S390">
        <f t="shared" si="38"/>
        <v>0</v>
      </c>
      <c r="T390">
        <f t="shared" si="39"/>
        <v>0</v>
      </c>
      <c r="U390">
        <f t="shared" si="40"/>
        <v>0</v>
      </c>
      <c r="V390">
        <f t="shared" si="41"/>
        <v>0</v>
      </c>
      <c r="W390">
        <f t="shared" si="42"/>
        <v>0</v>
      </c>
    </row>
    <row r="391" spans="1:23" x14ac:dyDescent="0.25">
      <c r="A391" t="s">
        <v>1004</v>
      </c>
      <c r="B391" t="s">
        <v>202</v>
      </c>
      <c r="C391">
        <v>119.116</v>
      </c>
      <c r="D391">
        <v>0</v>
      </c>
      <c r="E391">
        <v>0</v>
      </c>
      <c r="F391">
        <v>0</v>
      </c>
      <c r="G391" s="105">
        <f>Tabell38[[#This Row],[Såld värme (GWh)]]-Tabell38[[#This Row],[Levererad värme, andra fjärrvärmeföretag, företag 1 (GWh)]]-Tabell38[[#This Row],[Levererad värme, andra fjärrvärmeföretag, företag 2 (GWh)]]-Tabell38[[#This Row],[Levererad värme, andra fjärrvärmeföretag, företag 3 (GWh)]]</f>
        <v>119.116</v>
      </c>
      <c r="H391" s="102" t="str">
        <f>VLOOKUP(Tabell38[[#This Row],[Nät]],Tabell5[],2,FALSE)</f>
        <v>Mariestad</v>
      </c>
      <c r="I391" t="str">
        <f>VLOOKUP(Tabell38[[#This Row],[Nät]],'Leveranser per nät'!A:A,1,FALSE)</f>
        <v>Mariestad</v>
      </c>
      <c r="O391" t="s">
        <v>806</v>
      </c>
      <c r="P391" t="s">
        <v>806</v>
      </c>
      <c r="Q391" s="84" t="s">
        <v>806</v>
      </c>
      <c r="R391">
        <f t="shared" si="37"/>
        <v>0</v>
      </c>
      <c r="S391">
        <f t="shared" si="38"/>
        <v>0</v>
      </c>
      <c r="T391">
        <f t="shared" si="39"/>
        <v>0</v>
      </c>
      <c r="U391">
        <f t="shared" si="40"/>
        <v>0</v>
      </c>
      <c r="V391">
        <f t="shared" si="41"/>
        <v>0</v>
      </c>
      <c r="W391">
        <f t="shared" si="42"/>
        <v>0</v>
      </c>
    </row>
    <row r="392" spans="1:23" x14ac:dyDescent="0.25">
      <c r="A392" t="s">
        <v>1004</v>
      </c>
      <c r="B392" t="s">
        <v>430</v>
      </c>
      <c r="C392">
        <v>22.76</v>
      </c>
      <c r="D392">
        <v>0</v>
      </c>
      <c r="E392">
        <v>0</v>
      </c>
      <c r="F392">
        <v>0</v>
      </c>
      <c r="G392" s="105">
        <f>Tabell38[[#This Row],[Såld värme (GWh)]]-Tabell38[[#This Row],[Levererad värme, andra fjärrvärmeföretag, företag 1 (GWh)]]-Tabell38[[#This Row],[Levererad värme, andra fjärrvärmeföretag, företag 2 (GWh)]]-Tabell38[[#This Row],[Levererad värme, andra fjärrvärmeföretag, företag 3 (GWh)]]</f>
        <v>22.76</v>
      </c>
      <c r="H392" s="102" t="str">
        <f>VLOOKUP(Tabell38[[#This Row],[Nät]],Tabell5[],2,FALSE)</f>
        <v>Töreboda</v>
      </c>
      <c r="I392" t="str">
        <f>VLOOKUP(Tabell38[[#This Row],[Nät]],'Leveranser per nät'!A:A,1,FALSE)</f>
        <v>Töreboda</v>
      </c>
      <c r="O392" t="s">
        <v>806</v>
      </c>
      <c r="P392" t="s">
        <v>806</v>
      </c>
      <c r="Q392" s="44" t="s">
        <v>806</v>
      </c>
      <c r="R392">
        <f t="shared" si="37"/>
        <v>0</v>
      </c>
      <c r="S392">
        <f t="shared" si="38"/>
        <v>0</v>
      </c>
      <c r="T392">
        <f t="shared" si="39"/>
        <v>0</v>
      </c>
      <c r="U392">
        <f t="shared" si="40"/>
        <v>0</v>
      </c>
      <c r="V392">
        <f t="shared" si="41"/>
        <v>0</v>
      </c>
      <c r="W392">
        <f t="shared" si="42"/>
        <v>0</v>
      </c>
    </row>
    <row r="393" spans="1:23" x14ac:dyDescent="0.25">
      <c r="A393" t="s">
        <v>558</v>
      </c>
      <c r="B393" t="s">
        <v>118</v>
      </c>
      <c r="C393">
        <v>112.83499999999999</v>
      </c>
      <c r="D393">
        <v>0</v>
      </c>
      <c r="E393">
        <v>0</v>
      </c>
      <c r="F393">
        <v>0</v>
      </c>
      <c r="G393" s="105">
        <f>Tabell38[[#This Row],[Såld värme (GWh)]]-Tabell38[[#This Row],[Levererad värme, andra fjärrvärmeföretag, företag 1 (GWh)]]-Tabell38[[#This Row],[Levererad värme, andra fjärrvärmeföretag, företag 2 (GWh)]]-Tabell38[[#This Row],[Levererad värme, andra fjärrvärmeföretag, företag 3 (GWh)]]</f>
        <v>112.83499999999999</v>
      </c>
      <c r="H393" s="102" t="str">
        <f>VLOOKUP(Tabell38[[#This Row],[Nät]],Tabell5[],2,FALSE)</f>
        <v>Avesta</v>
      </c>
      <c r="I393" t="str">
        <f>VLOOKUP(Tabell38[[#This Row],[Nät]],'Leveranser per nät'!A:A,1,FALSE)</f>
        <v>Avesta</v>
      </c>
      <c r="J393" t="s">
        <v>1167</v>
      </c>
      <c r="O393" t="s">
        <v>806</v>
      </c>
      <c r="P393" t="s">
        <v>806</v>
      </c>
      <c r="Q393" s="84" t="s">
        <v>806</v>
      </c>
      <c r="R393">
        <f t="shared" si="37"/>
        <v>0</v>
      </c>
      <c r="S393">
        <f t="shared" si="38"/>
        <v>0</v>
      </c>
      <c r="T393">
        <f t="shared" si="39"/>
        <v>0</v>
      </c>
      <c r="U393">
        <f t="shared" si="40"/>
        <v>0</v>
      </c>
      <c r="V393">
        <f t="shared" si="41"/>
        <v>0</v>
      </c>
      <c r="W393">
        <f t="shared" si="42"/>
        <v>0</v>
      </c>
    </row>
    <row r="394" spans="1:23" x14ac:dyDescent="0.25">
      <c r="A394" t="s">
        <v>558</v>
      </c>
      <c r="B394" t="s">
        <v>1124</v>
      </c>
      <c r="C394">
        <v>0.60199999999999998</v>
      </c>
      <c r="D394">
        <v>0</v>
      </c>
      <c r="E394">
        <v>0</v>
      </c>
      <c r="F394">
        <v>0</v>
      </c>
      <c r="G394" s="105">
        <f>Tabell38[[#This Row],[Såld värme (GWh)]]-Tabell38[[#This Row],[Levererad värme, andra fjärrvärmeföretag, företag 1 (GWh)]]-Tabell38[[#This Row],[Levererad värme, andra fjärrvärmeföretag, företag 2 (GWh)]]-Tabell38[[#This Row],[Levererad värme, andra fjärrvärmeföretag, företag 3 (GWh)]]</f>
        <v>0.60199999999999998</v>
      </c>
      <c r="H394" s="102" t="e">
        <f>VLOOKUP(Tabell38[[#This Row],[Nät]],Tabell5[],2,FALSE)</f>
        <v>#N/A</v>
      </c>
      <c r="I394" t="e">
        <f>VLOOKUP(Tabell38[[#This Row],[Nät]],'Leveranser per nät'!A:A,1,FALSE)</f>
        <v>#N/A</v>
      </c>
      <c r="J394" t="s">
        <v>1166</v>
      </c>
      <c r="O394" t="s">
        <v>806</v>
      </c>
      <c r="P394" t="s">
        <v>806</v>
      </c>
      <c r="Q394" s="44" t="s">
        <v>806</v>
      </c>
      <c r="R394">
        <f t="shared" si="37"/>
        <v>0</v>
      </c>
      <c r="S394">
        <f t="shared" si="38"/>
        <v>0</v>
      </c>
      <c r="T394">
        <f t="shared" si="39"/>
        <v>0</v>
      </c>
      <c r="U394">
        <f t="shared" si="40"/>
        <v>0</v>
      </c>
      <c r="V394">
        <f t="shared" si="41"/>
        <v>0</v>
      </c>
      <c r="W394">
        <f t="shared" si="42"/>
        <v>0</v>
      </c>
    </row>
    <row r="395" spans="1:23" x14ac:dyDescent="0.25">
      <c r="A395" t="s">
        <v>558</v>
      </c>
      <c r="B395" t="s">
        <v>115</v>
      </c>
      <c r="C395">
        <v>13.176</v>
      </c>
      <c r="D395">
        <v>0</v>
      </c>
      <c r="E395">
        <v>0</v>
      </c>
      <c r="F395">
        <v>0</v>
      </c>
      <c r="G395" s="105">
        <f>Tabell38[[#This Row],[Såld värme (GWh)]]-Tabell38[[#This Row],[Levererad värme, andra fjärrvärmeföretag, företag 1 (GWh)]]-Tabell38[[#This Row],[Levererad värme, andra fjärrvärmeföretag, företag 2 (GWh)]]-Tabell38[[#This Row],[Levererad värme, andra fjärrvärmeföretag, företag 3 (GWh)]]</f>
        <v>13.176</v>
      </c>
      <c r="H395" s="102" t="str">
        <f>VLOOKUP(Tabell38[[#This Row],[Nät]],Tabell5[],2,FALSE)</f>
        <v>Delsbo</v>
      </c>
      <c r="I395" t="str">
        <f>VLOOKUP(Tabell38[[#This Row],[Nät]],'Leveranser per nät'!A:A,1,FALSE)</f>
        <v>Delsbo</v>
      </c>
      <c r="J395" t="s">
        <v>1174</v>
      </c>
      <c r="O395" t="s">
        <v>806</v>
      </c>
      <c r="P395" t="s">
        <v>806</v>
      </c>
      <c r="Q395" s="84" t="s">
        <v>806</v>
      </c>
      <c r="R395">
        <f t="shared" si="37"/>
        <v>0</v>
      </c>
      <c r="S395">
        <f t="shared" si="38"/>
        <v>0</v>
      </c>
      <c r="T395">
        <f t="shared" si="39"/>
        <v>0</v>
      </c>
      <c r="U395">
        <f t="shared" si="40"/>
        <v>0</v>
      </c>
      <c r="V395">
        <f t="shared" si="41"/>
        <v>0</v>
      </c>
      <c r="W395">
        <f t="shared" si="42"/>
        <v>0</v>
      </c>
    </row>
    <row r="396" spans="1:23" x14ac:dyDescent="0.25">
      <c r="A396" t="s">
        <v>558</v>
      </c>
      <c r="B396" t="s">
        <v>123</v>
      </c>
      <c r="C396">
        <v>19.341999999999999</v>
      </c>
      <c r="D396">
        <v>0</v>
      </c>
      <c r="E396">
        <v>0</v>
      </c>
      <c r="F396">
        <v>0</v>
      </c>
      <c r="G396" s="105">
        <f>Tabell38[[#This Row],[Såld värme (GWh)]]-Tabell38[[#This Row],[Levererad värme, andra fjärrvärmeföretag, företag 1 (GWh)]]-Tabell38[[#This Row],[Levererad värme, andra fjärrvärmeföretag, företag 2 (GWh)]]-Tabell38[[#This Row],[Levererad värme, andra fjärrvärmeföretag, företag 3 (GWh)]]</f>
        <v>19.341999999999999</v>
      </c>
      <c r="H396" s="102" t="str">
        <f>VLOOKUP(Tabell38[[#This Row],[Nät]],Tabell5[],2,FALSE)</f>
        <v>Grums</v>
      </c>
      <c r="I396" t="str">
        <f>VLOOKUP(Tabell38[[#This Row],[Nät]],'Leveranser per nät'!A:A,1,FALSE)</f>
        <v>Grums</v>
      </c>
      <c r="J396" t="s">
        <v>1167</v>
      </c>
      <c r="O396" t="s">
        <v>806</v>
      </c>
      <c r="P396" t="s">
        <v>806</v>
      </c>
      <c r="Q396" s="44" t="s">
        <v>806</v>
      </c>
      <c r="R396">
        <f t="shared" si="37"/>
        <v>0</v>
      </c>
      <c r="S396">
        <f t="shared" si="38"/>
        <v>0</v>
      </c>
      <c r="T396">
        <f t="shared" si="39"/>
        <v>0</v>
      </c>
      <c r="U396">
        <f t="shared" si="40"/>
        <v>0</v>
      </c>
      <c r="V396">
        <f t="shared" si="41"/>
        <v>0</v>
      </c>
      <c r="W396">
        <f t="shared" si="42"/>
        <v>0</v>
      </c>
    </row>
    <row r="397" spans="1:23" x14ac:dyDescent="0.25">
      <c r="A397" t="s">
        <v>558</v>
      </c>
      <c r="B397" t="s">
        <v>124</v>
      </c>
      <c r="C397">
        <v>4.9580000000000002</v>
      </c>
      <c r="D397">
        <v>0</v>
      </c>
      <c r="E397">
        <v>0</v>
      </c>
      <c r="F397">
        <v>0</v>
      </c>
      <c r="G397" s="105">
        <f>Tabell38[[#This Row],[Såld värme (GWh)]]-Tabell38[[#This Row],[Levererad värme, andra fjärrvärmeföretag, företag 1 (GWh)]]-Tabell38[[#This Row],[Levererad värme, andra fjärrvärmeföretag, företag 2 (GWh)]]-Tabell38[[#This Row],[Levererad värme, andra fjärrvärmeföretag, företag 3 (GWh)]]</f>
        <v>4.9580000000000002</v>
      </c>
      <c r="H397" s="102" t="str">
        <f>VLOOKUP(Tabell38[[#This Row],[Nät]],Tabell5[],2,FALSE)</f>
        <v>Grythyttan</v>
      </c>
      <c r="I397" t="str">
        <f>VLOOKUP(Tabell38[[#This Row],[Nät]],'Leveranser per nät'!A:A,1,FALSE)</f>
        <v>Grythyttan</v>
      </c>
      <c r="J397" t="s">
        <v>1176</v>
      </c>
      <c r="O397" t="s">
        <v>806</v>
      </c>
      <c r="P397" t="s">
        <v>806</v>
      </c>
      <c r="Q397" s="84" t="s">
        <v>806</v>
      </c>
      <c r="R397">
        <f t="shared" si="37"/>
        <v>0</v>
      </c>
      <c r="S397">
        <f t="shared" si="38"/>
        <v>0</v>
      </c>
      <c r="T397">
        <f t="shared" si="39"/>
        <v>0</v>
      </c>
      <c r="U397">
        <f t="shared" si="40"/>
        <v>0</v>
      </c>
      <c r="V397">
        <f t="shared" si="41"/>
        <v>0</v>
      </c>
      <c r="W397">
        <f t="shared" si="42"/>
        <v>0</v>
      </c>
    </row>
    <row r="398" spans="1:23" x14ac:dyDescent="0.25">
      <c r="A398" t="s">
        <v>558</v>
      </c>
      <c r="B398" t="s">
        <v>629</v>
      </c>
      <c r="C398">
        <v>35.92</v>
      </c>
      <c r="D398">
        <v>0</v>
      </c>
      <c r="E398">
        <v>0</v>
      </c>
      <c r="F398">
        <v>0</v>
      </c>
      <c r="G398" s="105">
        <f>Tabell38[[#This Row],[Såld värme (GWh)]]-Tabell38[[#This Row],[Levererad värme, andra fjärrvärmeföretag, företag 1 (GWh)]]-Tabell38[[#This Row],[Levererad värme, andra fjärrvärmeföretag, företag 2 (GWh)]]-Tabell38[[#This Row],[Levererad värme, andra fjärrvärmeföretag, företag 3 (GWh)]]</f>
        <v>35.92</v>
      </c>
      <c r="H398" s="102" t="str">
        <f>VLOOKUP(Tabell38[[#This Row],[Nät]],Tabell5[],2,FALSE)</f>
        <v>Hofors</v>
      </c>
      <c r="I398" t="e">
        <f>VLOOKUP(Tabell38[[#This Row],[Nät]],'Leveranser per nät'!A:A,1,FALSE)</f>
        <v>#N/A</v>
      </c>
      <c r="J398" t="s">
        <v>1168</v>
      </c>
      <c r="O398" t="s">
        <v>806</v>
      </c>
      <c r="P398" t="s">
        <v>806</v>
      </c>
      <c r="Q398" s="44" t="s">
        <v>806</v>
      </c>
      <c r="R398">
        <f t="shared" si="37"/>
        <v>0</v>
      </c>
      <c r="S398">
        <f t="shared" si="38"/>
        <v>0</v>
      </c>
      <c r="T398">
        <f t="shared" si="39"/>
        <v>0</v>
      </c>
      <c r="U398">
        <f t="shared" si="40"/>
        <v>0</v>
      </c>
      <c r="V398">
        <f t="shared" si="41"/>
        <v>0</v>
      </c>
      <c r="W398">
        <f t="shared" si="42"/>
        <v>0</v>
      </c>
    </row>
    <row r="399" spans="1:23" x14ac:dyDescent="0.25">
      <c r="A399" t="s">
        <v>558</v>
      </c>
      <c r="B399" t="s">
        <v>117</v>
      </c>
      <c r="C399">
        <v>103.55200000000001</v>
      </c>
      <c r="D399">
        <v>0</v>
      </c>
      <c r="E399">
        <v>0</v>
      </c>
      <c r="F399">
        <v>0</v>
      </c>
      <c r="G399" s="105">
        <f>Tabell38[[#This Row],[Såld värme (GWh)]]-Tabell38[[#This Row],[Levererad värme, andra fjärrvärmeföretag, företag 1 (GWh)]]-Tabell38[[#This Row],[Levererad värme, andra fjärrvärmeföretag, företag 2 (GWh)]]-Tabell38[[#This Row],[Levererad värme, andra fjärrvärmeföretag, företag 3 (GWh)]]</f>
        <v>103.55200000000001</v>
      </c>
      <c r="H399" s="102" t="str">
        <f>VLOOKUP(Tabell38[[#This Row],[Nät]],Tabell5[],2,FALSE)</f>
        <v>Hudiksvall</v>
      </c>
      <c r="I399" t="str">
        <f>VLOOKUP(Tabell38[[#This Row],[Nät]],'Leveranser per nät'!A:A,1,FALSE)</f>
        <v>Hudiksvall</v>
      </c>
      <c r="J399" t="s">
        <v>1167</v>
      </c>
      <c r="O399" t="s">
        <v>806</v>
      </c>
      <c r="P399" t="s">
        <v>806</v>
      </c>
      <c r="Q399" s="84" t="s">
        <v>806</v>
      </c>
      <c r="R399">
        <f t="shared" si="37"/>
        <v>0</v>
      </c>
      <c r="S399">
        <f t="shared" si="38"/>
        <v>0</v>
      </c>
      <c r="T399">
        <f t="shared" si="39"/>
        <v>0</v>
      </c>
      <c r="U399">
        <f t="shared" si="40"/>
        <v>0</v>
      </c>
      <c r="V399">
        <f t="shared" si="41"/>
        <v>0</v>
      </c>
      <c r="W399">
        <f t="shared" si="42"/>
        <v>0</v>
      </c>
    </row>
    <row r="400" spans="1:23" x14ac:dyDescent="0.25">
      <c r="A400" t="s">
        <v>558</v>
      </c>
      <c r="B400" t="s">
        <v>125</v>
      </c>
      <c r="C400">
        <v>24.094000000000001</v>
      </c>
      <c r="D400">
        <v>0</v>
      </c>
      <c r="E400">
        <v>0</v>
      </c>
      <c r="F400">
        <v>0</v>
      </c>
      <c r="G400" s="105">
        <f>Tabell38[[#This Row],[Såld värme (GWh)]]-Tabell38[[#This Row],[Levererad värme, andra fjärrvärmeföretag, företag 1 (GWh)]]-Tabell38[[#This Row],[Levererad värme, andra fjärrvärmeföretag, företag 2 (GWh)]]-Tabell38[[#This Row],[Levererad värme, andra fjärrvärmeföretag, företag 3 (GWh)]]</f>
        <v>24.094000000000001</v>
      </c>
      <c r="H400" s="102" t="str">
        <f>VLOOKUP(Tabell38[[#This Row],[Nät]],Tabell5[],2,FALSE)</f>
        <v>Hällefors</v>
      </c>
      <c r="I400" t="str">
        <f>VLOOKUP(Tabell38[[#This Row],[Nät]],'Leveranser per nät'!A:A,1,FALSE)</f>
        <v>Hällefors</v>
      </c>
      <c r="J400" t="s">
        <v>1167</v>
      </c>
      <c r="O400" t="s">
        <v>806</v>
      </c>
      <c r="P400" t="s">
        <v>806</v>
      </c>
      <c r="Q400" s="44" t="s">
        <v>806</v>
      </c>
      <c r="R400">
        <f t="shared" si="37"/>
        <v>0</v>
      </c>
      <c r="S400">
        <f t="shared" si="38"/>
        <v>0</v>
      </c>
      <c r="T400">
        <f t="shared" si="39"/>
        <v>0</v>
      </c>
      <c r="U400">
        <f t="shared" si="40"/>
        <v>0</v>
      </c>
      <c r="V400">
        <f t="shared" si="41"/>
        <v>0</v>
      </c>
      <c r="W400">
        <f t="shared" si="42"/>
        <v>0</v>
      </c>
    </row>
    <row r="401" spans="1:23" x14ac:dyDescent="0.25">
      <c r="A401" t="s">
        <v>558</v>
      </c>
      <c r="B401" t="s">
        <v>489</v>
      </c>
      <c r="C401">
        <v>13.465999999999999</v>
      </c>
      <c r="D401">
        <v>0</v>
      </c>
      <c r="E401">
        <v>0</v>
      </c>
      <c r="F401">
        <v>0</v>
      </c>
      <c r="G401" s="105">
        <f>Tabell38[[#This Row],[Såld värme (GWh)]]-Tabell38[[#This Row],[Levererad värme, andra fjärrvärmeföretag, företag 1 (GWh)]]-Tabell38[[#This Row],[Levererad värme, andra fjärrvärmeföretag, företag 2 (GWh)]]-Tabell38[[#This Row],[Levererad värme, andra fjärrvärmeföretag, företag 3 (GWh)]]</f>
        <v>13.465999999999999</v>
      </c>
      <c r="H401" s="102" t="str">
        <f>VLOOKUP(Tabell38[[#This Row],[Nät]],Tabell5[],2,FALSE)</f>
        <v>Iggesund</v>
      </c>
      <c r="I401" t="str">
        <f>VLOOKUP(Tabell38[[#This Row],[Nät]],'Leveranser per nät'!A:A,1,FALSE)</f>
        <v>Iggesund</v>
      </c>
      <c r="J401" t="s">
        <v>1167</v>
      </c>
      <c r="O401" t="s">
        <v>806</v>
      </c>
      <c r="P401" t="s">
        <v>806</v>
      </c>
      <c r="Q401" s="84" t="s">
        <v>806</v>
      </c>
      <c r="R401">
        <f t="shared" si="37"/>
        <v>0</v>
      </c>
      <c r="S401">
        <f t="shared" si="38"/>
        <v>0</v>
      </c>
      <c r="T401">
        <f t="shared" si="39"/>
        <v>0</v>
      </c>
      <c r="U401">
        <f t="shared" si="40"/>
        <v>0</v>
      </c>
      <c r="V401">
        <f t="shared" si="41"/>
        <v>0</v>
      </c>
      <c r="W401">
        <f t="shared" si="42"/>
        <v>0</v>
      </c>
    </row>
    <row r="402" spans="1:23" x14ac:dyDescent="0.25">
      <c r="A402" t="s">
        <v>558</v>
      </c>
      <c r="B402" t="s">
        <v>37</v>
      </c>
      <c r="C402">
        <v>8.26</v>
      </c>
      <c r="D402">
        <v>0</v>
      </c>
      <c r="E402">
        <v>0</v>
      </c>
      <c r="F402">
        <v>0</v>
      </c>
      <c r="G402" s="105">
        <f>Tabell38[[#This Row],[Såld värme (GWh)]]-Tabell38[[#This Row],[Levererad värme, andra fjärrvärmeföretag, företag 1 (GWh)]]-Tabell38[[#This Row],[Levererad värme, andra fjärrvärmeföretag, företag 2 (GWh)]]-Tabell38[[#This Row],[Levererad värme, andra fjärrvärmeföretag, företag 3 (GWh)]]</f>
        <v>8.26</v>
      </c>
      <c r="H402" s="102" t="str">
        <f>VLOOKUP(Tabell38[[#This Row],[Nät]],Tabell5[],2,FALSE)</f>
        <v>Insjön</v>
      </c>
      <c r="I402" t="str">
        <f>VLOOKUP(Tabell38[[#This Row],[Nät]],'Leveranser per nät'!A:A,1,FALSE)</f>
        <v>Insjön</v>
      </c>
      <c r="J402" t="s">
        <v>1166</v>
      </c>
      <c r="O402" t="s">
        <v>806</v>
      </c>
      <c r="P402" t="s">
        <v>806</v>
      </c>
      <c r="Q402" s="44" t="s">
        <v>806</v>
      </c>
      <c r="R402">
        <f t="shared" si="37"/>
        <v>0</v>
      </c>
      <c r="S402">
        <f t="shared" si="38"/>
        <v>0</v>
      </c>
      <c r="T402">
        <f t="shared" si="39"/>
        <v>0</v>
      </c>
      <c r="U402">
        <f t="shared" si="40"/>
        <v>0</v>
      </c>
      <c r="V402">
        <f t="shared" si="41"/>
        <v>0</v>
      </c>
      <c r="W402">
        <f t="shared" si="42"/>
        <v>0</v>
      </c>
    </row>
    <row r="403" spans="1:23" x14ac:dyDescent="0.25">
      <c r="A403" t="s">
        <v>558</v>
      </c>
      <c r="B403" t="s">
        <v>126</v>
      </c>
      <c r="C403">
        <v>10.057</v>
      </c>
      <c r="D403">
        <v>0</v>
      </c>
      <c r="E403">
        <v>0</v>
      </c>
      <c r="F403">
        <v>0</v>
      </c>
      <c r="G403" s="105">
        <f>Tabell38[[#This Row],[Såld värme (GWh)]]-Tabell38[[#This Row],[Levererad värme, andra fjärrvärmeföretag, företag 1 (GWh)]]-Tabell38[[#This Row],[Levererad värme, andra fjärrvärmeföretag, företag 2 (GWh)]]-Tabell38[[#This Row],[Levererad värme, andra fjärrvärmeföretag, företag 3 (GWh)]]</f>
        <v>10.057</v>
      </c>
      <c r="H403" s="102" t="str">
        <f>VLOOKUP(Tabell38[[#This Row],[Nät]],Tabell5[],2,FALSE)</f>
        <v>Kopparberg</v>
      </c>
      <c r="I403" t="str">
        <f>VLOOKUP(Tabell38[[#This Row],[Nät]],'Leveranser per nät'!A:A,1,FALSE)</f>
        <v>Kopparberg</v>
      </c>
      <c r="J403" t="s">
        <v>1172</v>
      </c>
      <c r="O403" t="s">
        <v>806</v>
      </c>
      <c r="P403" t="s">
        <v>806</v>
      </c>
      <c r="Q403" s="84" t="s">
        <v>806</v>
      </c>
      <c r="R403">
        <f t="shared" si="37"/>
        <v>0</v>
      </c>
      <c r="S403">
        <f t="shared" si="38"/>
        <v>0</v>
      </c>
      <c r="T403">
        <f t="shared" si="39"/>
        <v>0</v>
      </c>
      <c r="U403">
        <f t="shared" si="40"/>
        <v>0</v>
      </c>
      <c r="V403">
        <f t="shared" si="41"/>
        <v>0</v>
      </c>
      <c r="W403">
        <f t="shared" si="42"/>
        <v>0</v>
      </c>
    </row>
    <row r="404" spans="1:23" x14ac:dyDescent="0.25">
      <c r="A404" t="s">
        <v>558</v>
      </c>
      <c r="B404" t="s">
        <v>654</v>
      </c>
      <c r="C404">
        <v>80.203999999999994</v>
      </c>
      <c r="D404">
        <v>0</v>
      </c>
      <c r="E404">
        <v>0</v>
      </c>
      <c r="F404">
        <v>0</v>
      </c>
      <c r="G404" s="105">
        <f>Tabell38[[#This Row],[Såld värme (GWh)]]-Tabell38[[#This Row],[Levererad värme, andra fjärrvärmeföretag, företag 1 (GWh)]]-Tabell38[[#This Row],[Levererad värme, andra fjärrvärmeföretag, företag 2 (GWh)]]-Tabell38[[#This Row],[Levererad värme, andra fjärrvärmeföretag, företag 3 (GWh)]]</f>
        <v>80.203999999999994</v>
      </c>
      <c r="H404" s="102" t="str">
        <f>VLOOKUP(Tabell38[[#This Row],[Nät]],Tabell5[],2,FALSE)</f>
        <v>Kristinehamn</v>
      </c>
      <c r="I404" t="e">
        <f>VLOOKUP(Tabell38[[#This Row],[Nät]],'Leveranser per nät'!A:A,1,FALSE)</f>
        <v>#N/A</v>
      </c>
      <c r="J404" s="87" t="s">
        <v>1171</v>
      </c>
      <c r="O404" t="s">
        <v>806</v>
      </c>
      <c r="P404" t="s">
        <v>806</v>
      </c>
      <c r="Q404" s="44" t="s">
        <v>806</v>
      </c>
      <c r="R404">
        <f t="shared" si="37"/>
        <v>0</v>
      </c>
      <c r="S404">
        <f t="shared" si="38"/>
        <v>0</v>
      </c>
      <c r="T404">
        <f t="shared" si="39"/>
        <v>0</v>
      </c>
      <c r="U404">
        <f t="shared" si="40"/>
        <v>0</v>
      </c>
      <c r="V404">
        <f t="shared" si="41"/>
        <v>0</v>
      </c>
      <c r="W404">
        <f t="shared" si="42"/>
        <v>0</v>
      </c>
    </row>
    <row r="405" spans="1:23" x14ac:dyDescent="0.25">
      <c r="A405" t="s">
        <v>558</v>
      </c>
      <c r="B405" t="s">
        <v>38</v>
      </c>
      <c r="C405">
        <v>28.747</v>
      </c>
      <c r="D405">
        <v>0</v>
      </c>
      <c r="E405">
        <v>0</v>
      </c>
      <c r="F405">
        <v>0</v>
      </c>
      <c r="G405" s="105">
        <f>Tabell38[[#This Row],[Såld värme (GWh)]]-Tabell38[[#This Row],[Levererad värme, andra fjärrvärmeföretag, företag 1 (GWh)]]-Tabell38[[#This Row],[Levererad värme, andra fjärrvärmeföretag, företag 2 (GWh)]]-Tabell38[[#This Row],[Levererad värme, andra fjärrvärmeföretag, företag 3 (GWh)]]</f>
        <v>28.747</v>
      </c>
      <c r="H405" s="102" t="str">
        <f>VLOOKUP(Tabell38[[#This Row],[Nät]],Tabell5[],2,FALSE)</f>
        <v>Leksand</v>
      </c>
      <c r="I405" t="str">
        <f>VLOOKUP(Tabell38[[#This Row],[Nät]],'Leveranser per nät'!A:A,1,FALSE)</f>
        <v>Leksand</v>
      </c>
      <c r="J405" t="s">
        <v>1166</v>
      </c>
      <c r="O405" t="s">
        <v>806</v>
      </c>
      <c r="P405" t="s">
        <v>806</v>
      </c>
      <c r="Q405" s="84" t="s">
        <v>806</v>
      </c>
      <c r="R405">
        <f t="shared" si="37"/>
        <v>0</v>
      </c>
      <c r="S405">
        <f t="shared" si="38"/>
        <v>0</v>
      </c>
      <c r="T405">
        <f t="shared" si="39"/>
        <v>0</v>
      </c>
      <c r="U405">
        <f t="shared" si="40"/>
        <v>0</v>
      </c>
      <c r="V405">
        <f t="shared" si="41"/>
        <v>0</v>
      </c>
      <c r="W405">
        <f t="shared" si="42"/>
        <v>0</v>
      </c>
    </row>
    <row r="406" spans="1:23" x14ac:dyDescent="0.25">
      <c r="A406" t="s">
        <v>558</v>
      </c>
      <c r="B406" t="s">
        <v>121</v>
      </c>
      <c r="C406">
        <v>59.512</v>
      </c>
      <c r="D406">
        <v>0</v>
      </c>
      <c r="E406">
        <v>0</v>
      </c>
      <c r="F406">
        <v>0</v>
      </c>
      <c r="G406" s="105">
        <f>Tabell38[[#This Row],[Såld värme (GWh)]]-Tabell38[[#This Row],[Levererad värme, andra fjärrvärmeföretag, företag 1 (GWh)]]-Tabell38[[#This Row],[Levererad värme, andra fjärrvärmeföretag, företag 2 (GWh)]]-Tabell38[[#This Row],[Levererad värme, andra fjärrvärmeföretag, företag 3 (GWh)]]</f>
        <v>59.512</v>
      </c>
      <c r="H406" s="102" t="str">
        <f>VLOOKUP(Tabell38[[#This Row],[Nät]],Tabell5[],2,FALSE)</f>
        <v>Nynäshamn</v>
      </c>
      <c r="I406" t="str">
        <f>VLOOKUP(Tabell38[[#This Row],[Nät]],'Leveranser per nät'!A:A,1,FALSE)</f>
        <v>Nynäshamn</v>
      </c>
      <c r="J406" t="s">
        <v>1169</v>
      </c>
      <c r="O406" t="s">
        <v>806</v>
      </c>
      <c r="P406" t="s">
        <v>806</v>
      </c>
      <c r="Q406" s="44" t="s">
        <v>806</v>
      </c>
      <c r="R406">
        <f t="shared" si="37"/>
        <v>0</v>
      </c>
      <c r="S406">
        <f t="shared" si="38"/>
        <v>0</v>
      </c>
      <c r="T406">
        <f t="shared" si="39"/>
        <v>0</v>
      </c>
      <c r="U406">
        <f t="shared" si="40"/>
        <v>0</v>
      </c>
      <c r="V406">
        <f t="shared" si="41"/>
        <v>0</v>
      </c>
      <c r="W406">
        <f t="shared" si="42"/>
        <v>0</v>
      </c>
    </row>
    <row r="407" spans="1:23" x14ac:dyDescent="0.25">
      <c r="A407" t="s">
        <v>558</v>
      </c>
      <c r="B407" t="s">
        <v>252</v>
      </c>
      <c r="C407">
        <v>37.698999999999998</v>
      </c>
      <c r="D407">
        <v>0</v>
      </c>
      <c r="E407">
        <v>0</v>
      </c>
      <c r="F407">
        <v>0</v>
      </c>
      <c r="G407" s="105">
        <f>Tabell38[[#This Row],[Såld värme (GWh)]]-Tabell38[[#This Row],[Levererad värme, andra fjärrvärmeföretag, företag 1 (GWh)]]-Tabell38[[#This Row],[Levererad värme, andra fjärrvärmeföretag, företag 2 (GWh)]]-Tabell38[[#This Row],[Levererad värme, andra fjärrvärmeföretag, företag 3 (GWh)]]</f>
        <v>37.698999999999998</v>
      </c>
      <c r="H407" s="102" t="str">
        <f>VLOOKUP(Tabell38[[#This Row],[Nät]],Tabell5[],2,FALSE)</f>
        <v>Rättvik</v>
      </c>
      <c r="I407" t="str">
        <f>VLOOKUP(Tabell38[[#This Row],[Nät]],'Leveranser per nät'!A:A,1,FALSE)</f>
        <v>Rättvik</v>
      </c>
      <c r="J407" t="s">
        <v>1166</v>
      </c>
      <c r="O407" t="s">
        <v>806</v>
      </c>
      <c r="P407" t="s">
        <v>806</v>
      </c>
      <c r="Q407" s="84" t="s">
        <v>806</v>
      </c>
      <c r="R407">
        <f t="shared" si="37"/>
        <v>0</v>
      </c>
      <c r="S407">
        <f t="shared" si="38"/>
        <v>0</v>
      </c>
      <c r="T407">
        <f t="shared" si="39"/>
        <v>0</v>
      </c>
      <c r="U407">
        <f t="shared" si="40"/>
        <v>0</v>
      </c>
      <c r="V407">
        <f t="shared" si="41"/>
        <v>0</v>
      </c>
      <c r="W407">
        <f t="shared" si="42"/>
        <v>0</v>
      </c>
    </row>
    <row r="408" spans="1:23" x14ac:dyDescent="0.25">
      <c r="A408" t="s">
        <v>558</v>
      </c>
      <c r="B408" t="s">
        <v>128</v>
      </c>
      <c r="C408">
        <v>1.4790000000000001</v>
      </c>
      <c r="D408">
        <v>0</v>
      </c>
      <c r="E408">
        <v>0</v>
      </c>
      <c r="F408">
        <v>0</v>
      </c>
      <c r="G408" s="105">
        <f>Tabell38[[#This Row],[Såld värme (GWh)]]-Tabell38[[#This Row],[Levererad värme, andra fjärrvärmeföretag, företag 1 (GWh)]]-Tabell38[[#This Row],[Levererad värme, andra fjärrvärmeföretag, företag 2 (GWh)]]-Tabell38[[#This Row],[Levererad värme, andra fjärrvärmeföretag, företag 3 (GWh)]]</f>
        <v>1.4790000000000001</v>
      </c>
      <c r="H408" s="102" t="str">
        <f>VLOOKUP(Tabell38[[#This Row],[Nät]],Tabell5[],2,FALSE)</f>
        <v>Stöllet</v>
      </c>
      <c r="I408" t="str">
        <f>VLOOKUP(Tabell38[[#This Row],[Nät]],'Leveranser per nät'!A:A,1,FALSE)</f>
        <v>Stöllet</v>
      </c>
      <c r="J408" t="s">
        <v>1175</v>
      </c>
      <c r="O408" t="s">
        <v>806</v>
      </c>
      <c r="P408" t="s">
        <v>806</v>
      </c>
      <c r="Q408" s="44" t="s">
        <v>806</v>
      </c>
      <c r="R408">
        <f t="shared" si="37"/>
        <v>0</v>
      </c>
      <c r="S408">
        <f t="shared" si="38"/>
        <v>0</v>
      </c>
      <c r="T408">
        <f t="shared" si="39"/>
        <v>0</v>
      </c>
      <c r="U408">
        <f t="shared" si="40"/>
        <v>0</v>
      </c>
      <c r="V408">
        <f t="shared" si="41"/>
        <v>0</v>
      </c>
      <c r="W408">
        <f t="shared" si="42"/>
        <v>0</v>
      </c>
    </row>
    <row r="409" spans="1:23" x14ac:dyDescent="0.25">
      <c r="A409" t="s">
        <v>558</v>
      </c>
      <c r="B409" t="s">
        <v>714</v>
      </c>
      <c r="C409">
        <v>43.805</v>
      </c>
      <c r="D409">
        <v>0</v>
      </c>
      <c r="E409">
        <v>0</v>
      </c>
      <c r="F409">
        <v>0</v>
      </c>
      <c r="G409" s="105">
        <f>Tabell38[[#This Row],[Såld värme (GWh)]]-Tabell38[[#This Row],[Levererad värme, andra fjärrvärmeföretag, företag 1 (GWh)]]-Tabell38[[#This Row],[Levererad värme, andra fjärrvärmeföretag, företag 2 (GWh)]]-Tabell38[[#This Row],[Levererad värme, andra fjärrvärmeföretag, företag 3 (GWh)]]</f>
        <v>43.805</v>
      </c>
      <c r="H409" s="102" t="str">
        <f>VLOOKUP(Tabell38[[#This Row],[Nät]],Tabell5[],2,FALSE)</f>
        <v>Säffle</v>
      </c>
      <c r="I409" t="e">
        <f>VLOOKUP(Tabell38[[#This Row],[Nät]],'Leveranser per nät'!A:A,1,FALSE)</f>
        <v>#N/A</v>
      </c>
      <c r="J409" s="87" t="s">
        <v>1173</v>
      </c>
      <c r="O409" t="s">
        <v>806</v>
      </c>
      <c r="P409" t="s">
        <v>806</v>
      </c>
      <c r="Q409" s="84" t="s">
        <v>806</v>
      </c>
      <c r="R409">
        <f t="shared" si="37"/>
        <v>0</v>
      </c>
      <c r="S409">
        <f t="shared" si="38"/>
        <v>0</v>
      </c>
      <c r="T409">
        <f t="shared" si="39"/>
        <v>0</v>
      </c>
      <c r="U409">
        <f t="shared" si="40"/>
        <v>0</v>
      </c>
      <c r="V409">
        <f t="shared" si="41"/>
        <v>0</v>
      </c>
      <c r="W409">
        <f t="shared" si="42"/>
        <v>0</v>
      </c>
    </row>
    <row r="410" spans="1:23" x14ac:dyDescent="0.25">
      <c r="A410" t="s">
        <v>558</v>
      </c>
      <c r="B410" t="s">
        <v>129</v>
      </c>
      <c r="C410">
        <v>5.9740000000000002</v>
      </c>
      <c r="D410">
        <v>0</v>
      </c>
      <c r="E410">
        <v>0</v>
      </c>
      <c r="F410">
        <v>0</v>
      </c>
      <c r="G410" s="105">
        <f>Tabell38[[#This Row],[Såld värme (GWh)]]-Tabell38[[#This Row],[Levererad värme, andra fjärrvärmeföretag, företag 1 (GWh)]]-Tabell38[[#This Row],[Levererad värme, andra fjärrvärmeföretag, företag 2 (GWh)]]-Tabell38[[#This Row],[Levererad värme, andra fjärrvärmeföretag, företag 3 (GWh)]]</f>
        <v>5.9740000000000002</v>
      </c>
      <c r="H410" s="102" t="str">
        <f>VLOOKUP(Tabell38[[#This Row],[Nät]],Tabell5[],2,FALSE)</f>
        <v>Sörforsa</v>
      </c>
      <c r="I410" t="str">
        <f>VLOOKUP(Tabell38[[#This Row],[Nät]],'Leveranser per nät'!A:A,1,FALSE)</f>
        <v>Sörforsa</v>
      </c>
      <c r="J410" t="s">
        <v>1174</v>
      </c>
      <c r="O410" t="s">
        <v>806</v>
      </c>
      <c r="P410" t="s">
        <v>806</v>
      </c>
      <c r="Q410" s="44" t="s">
        <v>806</v>
      </c>
      <c r="R410">
        <f t="shared" si="37"/>
        <v>0</v>
      </c>
      <c r="S410">
        <f t="shared" si="38"/>
        <v>0</v>
      </c>
      <c r="T410">
        <f t="shared" si="39"/>
        <v>0</v>
      </c>
      <c r="U410">
        <f t="shared" si="40"/>
        <v>0</v>
      </c>
      <c r="V410">
        <f t="shared" si="41"/>
        <v>0</v>
      </c>
      <c r="W410">
        <f t="shared" si="42"/>
        <v>0</v>
      </c>
    </row>
    <row r="411" spans="1:23" x14ac:dyDescent="0.25">
      <c r="A411" t="s">
        <v>558</v>
      </c>
      <c r="B411" t="s">
        <v>130</v>
      </c>
      <c r="C411">
        <v>27.747</v>
      </c>
      <c r="D411">
        <v>0</v>
      </c>
      <c r="E411">
        <v>0</v>
      </c>
      <c r="F411">
        <v>0</v>
      </c>
      <c r="G411" s="105">
        <f>Tabell38[[#This Row],[Såld värme (GWh)]]-Tabell38[[#This Row],[Levererad värme, andra fjärrvärmeföretag, företag 1 (GWh)]]-Tabell38[[#This Row],[Levererad värme, andra fjärrvärmeföretag, företag 2 (GWh)]]-Tabell38[[#This Row],[Levererad värme, andra fjärrvärmeföretag, företag 3 (GWh)]]</f>
        <v>27.747</v>
      </c>
      <c r="H411" s="102" t="str">
        <f>VLOOKUP(Tabell38[[#This Row],[Nät]],Tabell5[],2,FALSE)</f>
        <v>Torsby</v>
      </c>
      <c r="I411" t="str">
        <f>VLOOKUP(Tabell38[[#This Row],[Nät]],'Leveranser per nät'!A:A,1,FALSE)</f>
        <v>Torsby</v>
      </c>
      <c r="J411" t="s">
        <v>1167</v>
      </c>
      <c r="O411" t="s">
        <v>806</v>
      </c>
      <c r="P411" t="s">
        <v>806</v>
      </c>
      <c r="Q411" s="84" t="s">
        <v>806</v>
      </c>
      <c r="R411">
        <f t="shared" si="37"/>
        <v>0</v>
      </c>
      <c r="S411">
        <f t="shared" si="38"/>
        <v>0</v>
      </c>
      <c r="T411">
        <f t="shared" si="39"/>
        <v>0</v>
      </c>
      <c r="U411">
        <f t="shared" si="40"/>
        <v>0</v>
      </c>
      <c r="V411">
        <f t="shared" si="41"/>
        <v>0</v>
      </c>
      <c r="W411">
        <f t="shared" si="42"/>
        <v>0</v>
      </c>
    </row>
    <row r="412" spans="1:23" x14ac:dyDescent="0.25">
      <c r="A412" t="s">
        <v>558</v>
      </c>
      <c r="B412" t="s">
        <v>1125</v>
      </c>
      <c r="C412">
        <v>1.7589999999999999</v>
      </c>
      <c r="D412">
        <v>0</v>
      </c>
      <c r="E412">
        <v>0</v>
      </c>
      <c r="F412">
        <v>0</v>
      </c>
      <c r="G412" s="105">
        <f>Tabell38[[#This Row],[Såld värme (GWh)]]-Tabell38[[#This Row],[Levererad värme, andra fjärrvärmeföretag, företag 1 (GWh)]]-Tabell38[[#This Row],[Levererad värme, andra fjärrvärmeföretag, företag 2 (GWh)]]-Tabell38[[#This Row],[Levererad värme, andra fjärrvärmeföretag, företag 3 (GWh)]]</f>
        <v>1.7589999999999999</v>
      </c>
      <c r="H412" s="102" t="e">
        <f>VLOOKUP(Tabell38[[#This Row],[Nät]],Tabell5[],2,FALSE)</f>
        <v>#N/A</v>
      </c>
      <c r="I412" t="e">
        <f>VLOOKUP(Tabell38[[#This Row],[Nät]],'Leveranser per nät'!A:A,1,FALSE)</f>
        <v>#N/A</v>
      </c>
      <c r="J412" t="s">
        <v>1166</v>
      </c>
      <c r="O412" t="s">
        <v>806</v>
      </c>
      <c r="P412" t="s">
        <v>806</v>
      </c>
      <c r="Q412" s="44" t="s">
        <v>806</v>
      </c>
      <c r="R412">
        <f t="shared" si="37"/>
        <v>0</v>
      </c>
      <c r="S412">
        <f t="shared" si="38"/>
        <v>0</v>
      </c>
      <c r="T412">
        <f t="shared" si="39"/>
        <v>0</v>
      </c>
      <c r="U412">
        <f t="shared" si="40"/>
        <v>0</v>
      </c>
      <c r="V412">
        <f t="shared" si="41"/>
        <v>0</v>
      </c>
      <c r="W412">
        <f t="shared" si="42"/>
        <v>0</v>
      </c>
    </row>
    <row r="413" spans="1:23" x14ac:dyDescent="0.25">
      <c r="A413" t="s">
        <v>558</v>
      </c>
      <c r="B413" t="s">
        <v>743</v>
      </c>
      <c r="C413" t="s">
        <v>805</v>
      </c>
      <c r="D413">
        <v>0</v>
      </c>
      <c r="E413">
        <v>0</v>
      </c>
      <c r="F413">
        <v>0</v>
      </c>
      <c r="G413"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413" s="102" t="e">
        <f>VLOOKUP(Tabell38[[#This Row],[Nät]],Tabell5[],2,FALSE)</f>
        <v>#N/A</v>
      </c>
      <c r="I413" t="e">
        <f>VLOOKUP(Tabell38[[#This Row],[Nät]],'Leveranser per nät'!A:A,1,FALSE)</f>
        <v>#N/A</v>
      </c>
      <c r="O413" t="s">
        <v>805</v>
      </c>
      <c r="P413" t="s">
        <v>805</v>
      </c>
      <c r="Q413" s="84" t="s">
        <v>805</v>
      </c>
      <c r="R413" t="str">
        <f t="shared" si="37"/>
        <v>-</v>
      </c>
      <c r="S413" t="str">
        <f t="shared" si="38"/>
        <v>-</v>
      </c>
      <c r="T413" t="str">
        <f t="shared" si="39"/>
        <v>-</v>
      </c>
      <c r="U413">
        <f t="shared" si="40"/>
        <v>0</v>
      </c>
      <c r="V413">
        <f t="shared" si="41"/>
        <v>0</v>
      </c>
      <c r="W413">
        <f t="shared" si="42"/>
        <v>0</v>
      </c>
    </row>
    <row r="414" spans="1:23" x14ac:dyDescent="0.25">
      <c r="A414" t="s">
        <v>689</v>
      </c>
      <c r="B414" t="s">
        <v>1005</v>
      </c>
      <c r="C414">
        <v>1.8160000000000001</v>
      </c>
      <c r="D414">
        <v>0</v>
      </c>
      <c r="E414">
        <v>0</v>
      </c>
      <c r="F414">
        <v>0</v>
      </c>
      <c r="G414" s="105">
        <f>Tabell38[[#This Row],[Såld värme (GWh)]]-Tabell38[[#This Row],[Levererad värme, andra fjärrvärmeföretag, företag 1 (GWh)]]-Tabell38[[#This Row],[Levererad värme, andra fjärrvärmeföretag, företag 2 (GWh)]]-Tabell38[[#This Row],[Levererad värme, andra fjärrvärmeföretag, företag 3 (GWh)]]</f>
        <v>1.8160000000000001</v>
      </c>
      <c r="H414" s="102" t="e">
        <f>VLOOKUP(Tabell38[[#This Row],[Nät]],Tabell5[],2,FALSE)</f>
        <v>#N/A</v>
      </c>
      <c r="I414" t="e">
        <f>VLOOKUP(Tabell38[[#This Row],[Nät]],'Leveranser per nät'!A:A,1,FALSE)</f>
        <v>#N/A</v>
      </c>
      <c r="O414" t="s">
        <v>806</v>
      </c>
      <c r="P414" t="s">
        <v>806</v>
      </c>
      <c r="Q414" s="44" t="s">
        <v>806</v>
      </c>
      <c r="R414">
        <f t="shared" si="37"/>
        <v>0</v>
      </c>
      <c r="S414">
        <f t="shared" si="38"/>
        <v>0</v>
      </c>
      <c r="T414">
        <f t="shared" si="39"/>
        <v>0</v>
      </c>
      <c r="U414">
        <f t="shared" si="40"/>
        <v>0</v>
      </c>
      <c r="V414">
        <f t="shared" si="41"/>
        <v>0</v>
      </c>
      <c r="W414">
        <f t="shared" si="42"/>
        <v>0</v>
      </c>
    </row>
    <row r="415" spans="1:23" x14ac:dyDescent="0.25">
      <c r="A415" t="s">
        <v>689</v>
      </c>
      <c r="B415" t="s">
        <v>1006</v>
      </c>
      <c r="C415">
        <v>3.1190000000000002</v>
      </c>
      <c r="D415">
        <v>0</v>
      </c>
      <c r="E415">
        <v>0</v>
      </c>
      <c r="F415">
        <v>0</v>
      </c>
      <c r="G415" s="105">
        <f>Tabell38[[#This Row],[Såld värme (GWh)]]-Tabell38[[#This Row],[Levererad värme, andra fjärrvärmeföretag, företag 1 (GWh)]]-Tabell38[[#This Row],[Levererad värme, andra fjärrvärmeföretag, företag 2 (GWh)]]-Tabell38[[#This Row],[Levererad värme, andra fjärrvärmeföretag, företag 3 (GWh)]]</f>
        <v>3.1190000000000002</v>
      </c>
      <c r="H415" s="102" t="e">
        <f>VLOOKUP(Tabell38[[#This Row],[Nät]],Tabell5[],2,FALSE)</f>
        <v>#N/A</v>
      </c>
      <c r="I415" t="e">
        <f>VLOOKUP(Tabell38[[#This Row],[Nät]],'Leveranser per nät'!A:A,1,FALSE)</f>
        <v>#N/A</v>
      </c>
      <c r="O415" t="s">
        <v>806</v>
      </c>
      <c r="P415" t="s">
        <v>806</v>
      </c>
      <c r="Q415" s="84" t="s">
        <v>806</v>
      </c>
      <c r="R415">
        <f t="shared" si="37"/>
        <v>0</v>
      </c>
      <c r="S415">
        <f t="shared" si="38"/>
        <v>0</v>
      </c>
      <c r="T415">
        <f t="shared" si="39"/>
        <v>0</v>
      </c>
      <c r="U415">
        <f t="shared" si="40"/>
        <v>0</v>
      </c>
      <c r="V415">
        <f t="shared" si="41"/>
        <v>0</v>
      </c>
      <c r="W415">
        <f t="shared" si="42"/>
        <v>0</v>
      </c>
    </row>
    <row r="416" spans="1:23" x14ac:dyDescent="0.25">
      <c r="A416" t="s">
        <v>689</v>
      </c>
      <c r="B416" t="s">
        <v>1007</v>
      </c>
      <c r="C416">
        <v>3.4449999999999998</v>
      </c>
      <c r="D416">
        <v>0</v>
      </c>
      <c r="E416">
        <v>0</v>
      </c>
      <c r="F416">
        <v>0</v>
      </c>
      <c r="G416" s="105">
        <f>Tabell38[[#This Row],[Såld värme (GWh)]]-Tabell38[[#This Row],[Levererad värme, andra fjärrvärmeföretag, företag 1 (GWh)]]-Tabell38[[#This Row],[Levererad värme, andra fjärrvärmeföretag, företag 2 (GWh)]]-Tabell38[[#This Row],[Levererad värme, andra fjärrvärmeföretag, företag 3 (GWh)]]</f>
        <v>3.4449999999999998</v>
      </c>
      <c r="H416" s="102" t="e">
        <f>VLOOKUP(Tabell38[[#This Row],[Nät]],Tabell5[],2,FALSE)</f>
        <v>#N/A</v>
      </c>
      <c r="I416" t="e">
        <f>VLOOKUP(Tabell38[[#This Row],[Nät]],'Leveranser per nät'!A:A,1,FALSE)</f>
        <v>#N/A</v>
      </c>
      <c r="O416" t="s">
        <v>806</v>
      </c>
      <c r="P416" t="s">
        <v>806</v>
      </c>
      <c r="Q416" s="44" t="s">
        <v>806</v>
      </c>
      <c r="R416">
        <f t="shared" si="37"/>
        <v>0</v>
      </c>
      <c r="S416">
        <f t="shared" si="38"/>
        <v>0</v>
      </c>
      <c r="T416">
        <f t="shared" si="39"/>
        <v>0</v>
      </c>
      <c r="U416">
        <f t="shared" si="40"/>
        <v>0</v>
      </c>
      <c r="V416">
        <f t="shared" si="41"/>
        <v>0</v>
      </c>
      <c r="W416">
        <f t="shared" si="42"/>
        <v>0</v>
      </c>
    </row>
    <row r="417" spans="1:23" x14ac:dyDescent="0.25">
      <c r="A417" t="s">
        <v>689</v>
      </c>
      <c r="B417" t="s">
        <v>1008</v>
      </c>
      <c r="C417">
        <v>0.628</v>
      </c>
      <c r="D417">
        <v>0</v>
      </c>
      <c r="E417">
        <v>0</v>
      </c>
      <c r="F417">
        <v>0</v>
      </c>
      <c r="G417" s="105">
        <f>Tabell38[[#This Row],[Såld värme (GWh)]]-Tabell38[[#This Row],[Levererad värme, andra fjärrvärmeföretag, företag 1 (GWh)]]-Tabell38[[#This Row],[Levererad värme, andra fjärrvärmeföretag, företag 2 (GWh)]]-Tabell38[[#This Row],[Levererad värme, andra fjärrvärmeföretag, företag 3 (GWh)]]</f>
        <v>0.628</v>
      </c>
      <c r="H417" s="102" t="e">
        <f>VLOOKUP(Tabell38[[#This Row],[Nät]],Tabell5[],2,FALSE)</f>
        <v>#N/A</v>
      </c>
      <c r="I417" t="e">
        <f>VLOOKUP(Tabell38[[#This Row],[Nät]],'Leveranser per nät'!A:A,1,FALSE)</f>
        <v>#N/A</v>
      </c>
      <c r="O417" t="s">
        <v>806</v>
      </c>
      <c r="P417" t="s">
        <v>806</v>
      </c>
      <c r="Q417" s="84" t="s">
        <v>806</v>
      </c>
      <c r="R417">
        <f t="shared" si="37"/>
        <v>0</v>
      </c>
      <c r="S417">
        <f t="shared" si="38"/>
        <v>0</v>
      </c>
      <c r="T417">
        <f t="shared" si="39"/>
        <v>0</v>
      </c>
      <c r="U417">
        <f t="shared" si="40"/>
        <v>0</v>
      </c>
      <c r="V417">
        <f t="shared" si="41"/>
        <v>0</v>
      </c>
      <c r="W417">
        <f t="shared" si="42"/>
        <v>0</v>
      </c>
    </row>
    <row r="418" spans="1:23" x14ac:dyDescent="0.25">
      <c r="A418" t="s">
        <v>689</v>
      </c>
      <c r="B418" t="s">
        <v>354</v>
      </c>
      <c r="C418">
        <v>9.2219999999999995</v>
      </c>
      <c r="D418">
        <v>0</v>
      </c>
      <c r="E418">
        <v>0</v>
      </c>
      <c r="F418">
        <v>0</v>
      </c>
      <c r="G418" s="105">
        <f>Tabell38[[#This Row],[Såld värme (GWh)]]-Tabell38[[#This Row],[Levererad värme, andra fjärrvärmeföretag, företag 1 (GWh)]]-Tabell38[[#This Row],[Levererad värme, andra fjärrvärmeföretag, företag 2 (GWh)]]-Tabell38[[#This Row],[Levererad värme, andra fjärrvärmeföretag, företag 3 (GWh)]]</f>
        <v>9.2219999999999995</v>
      </c>
      <c r="H418" s="102" t="str">
        <f>VLOOKUP(Tabell38[[#This Row],[Nät]],Tabell5[],2,FALSE)</f>
        <v>Rydaholm</v>
      </c>
      <c r="I418" t="str">
        <f>VLOOKUP(Tabell38[[#This Row],[Nät]],'Leveranser per nät'!A:A,1,FALSE)</f>
        <v>Rydaholm</v>
      </c>
      <c r="O418" t="s">
        <v>806</v>
      </c>
      <c r="P418" t="s">
        <v>806</v>
      </c>
      <c r="Q418" s="44" t="s">
        <v>806</v>
      </c>
      <c r="R418">
        <f t="shared" si="37"/>
        <v>0</v>
      </c>
      <c r="S418">
        <f t="shared" si="38"/>
        <v>0</v>
      </c>
      <c r="T418">
        <f t="shared" si="39"/>
        <v>0</v>
      </c>
      <c r="U418">
        <f t="shared" si="40"/>
        <v>0</v>
      </c>
      <c r="V418">
        <f t="shared" si="41"/>
        <v>0</v>
      </c>
      <c r="W418">
        <f t="shared" si="42"/>
        <v>0</v>
      </c>
    </row>
    <row r="419" spans="1:23" x14ac:dyDescent="0.25">
      <c r="A419" t="s">
        <v>689</v>
      </c>
      <c r="B419" t="s">
        <v>355</v>
      </c>
      <c r="C419">
        <v>133.01900000000001</v>
      </c>
      <c r="D419">
        <v>0</v>
      </c>
      <c r="E419">
        <v>0</v>
      </c>
      <c r="F419">
        <v>0</v>
      </c>
      <c r="G419" s="105">
        <f>Tabell38[[#This Row],[Såld värme (GWh)]]-Tabell38[[#This Row],[Levererad värme, andra fjärrvärmeföretag, företag 1 (GWh)]]-Tabell38[[#This Row],[Levererad värme, andra fjärrvärmeföretag, företag 2 (GWh)]]-Tabell38[[#This Row],[Levererad värme, andra fjärrvärmeföretag, företag 3 (GWh)]]</f>
        <v>133.01900000000001</v>
      </c>
      <c r="H419" s="102" t="str">
        <f>VLOOKUP(Tabell38[[#This Row],[Nät]],Tabell5[],2,FALSE)</f>
        <v>Värnamo</v>
      </c>
      <c r="I419" t="str">
        <f>VLOOKUP(Tabell38[[#This Row],[Nät]],'Leveranser per nät'!A:A,1,FALSE)</f>
        <v>Värnamo</v>
      </c>
      <c r="O419" t="s">
        <v>806</v>
      </c>
      <c r="P419" t="s">
        <v>806</v>
      </c>
      <c r="Q419" s="84" t="s">
        <v>806</v>
      </c>
      <c r="R419">
        <f t="shared" si="37"/>
        <v>0</v>
      </c>
      <c r="S419">
        <f t="shared" si="38"/>
        <v>0</v>
      </c>
      <c r="T419">
        <f t="shared" si="39"/>
        <v>0</v>
      </c>
      <c r="U419">
        <f t="shared" si="40"/>
        <v>0</v>
      </c>
      <c r="V419">
        <f t="shared" si="41"/>
        <v>0</v>
      </c>
      <c r="W419">
        <f t="shared" si="42"/>
        <v>0</v>
      </c>
    </row>
    <row r="420" spans="1:23" x14ac:dyDescent="0.25">
      <c r="A420" t="s">
        <v>595</v>
      </c>
      <c r="B420" t="s">
        <v>357</v>
      </c>
      <c r="C420">
        <v>82.043999999999997</v>
      </c>
      <c r="D420">
        <v>0</v>
      </c>
      <c r="E420">
        <v>0</v>
      </c>
      <c r="F420">
        <v>0</v>
      </c>
      <c r="G420" s="105">
        <f>Tabell38[[#This Row],[Såld värme (GWh)]]-Tabell38[[#This Row],[Levererad värme, andra fjärrvärmeföretag, företag 1 (GWh)]]-Tabell38[[#This Row],[Levererad värme, andra fjärrvärmeföretag, företag 2 (GWh)]]-Tabell38[[#This Row],[Levererad värme, andra fjärrvärmeföretag, företag 3 (GWh)]]</f>
        <v>82.043999999999997</v>
      </c>
      <c r="H420" s="102" t="str">
        <f>VLOOKUP(Tabell38[[#This Row],[Nät]],Tabell5[],2,FALSE)</f>
        <v>Fagersta</v>
      </c>
      <c r="I420" t="str">
        <f>VLOOKUP(Tabell38[[#This Row],[Nät]],'Leveranser per nät'!A:A,1,FALSE)</f>
        <v>Fagersta</v>
      </c>
      <c r="O420" t="s">
        <v>806</v>
      </c>
      <c r="P420" t="s">
        <v>806</v>
      </c>
      <c r="Q420" s="44" t="s">
        <v>806</v>
      </c>
      <c r="R420">
        <f t="shared" si="37"/>
        <v>0</v>
      </c>
      <c r="S420">
        <f t="shared" si="38"/>
        <v>0</v>
      </c>
      <c r="T420">
        <f t="shared" si="39"/>
        <v>0</v>
      </c>
      <c r="U420">
        <f t="shared" si="40"/>
        <v>0</v>
      </c>
      <c r="V420">
        <f t="shared" si="41"/>
        <v>0</v>
      </c>
      <c r="W420">
        <f t="shared" si="42"/>
        <v>0</v>
      </c>
    </row>
    <row r="421" spans="1:23" x14ac:dyDescent="0.25">
      <c r="A421" t="s">
        <v>595</v>
      </c>
      <c r="B421" t="s">
        <v>358</v>
      </c>
      <c r="C421">
        <v>11.929</v>
      </c>
      <c r="D421">
        <v>0</v>
      </c>
      <c r="E421">
        <v>0</v>
      </c>
      <c r="F421">
        <v>0</v>
      </c>
      <c r="G421" s="105">
        <f>Tabell38[[#This Row],[Såld värme (GWh)]]-Tabell38[[#This Row],[Levererad värme, andra fjärrvärmeföretag, företag 1 (GWh)]]-Tabell38[[#This Row],[Levererad värme, andra fjärrvärmeföretag, företag 2 (GWh)]]-Tabell38[[#This Row],[Levererad värme, andra fjärrvärmeföretag, företag 3 (GWh)]]</f>
        <v>11.929</v>
      </c>
      <c r="H421" s="102" t="str">
        <f>VLOOKUP(Tabell38[[#This Row],[Nät]],Tabell5[],2,FALSE)</f>
        <v>Grängesberg</v>
      </c>
      <c r="I421" t="str">
        <f>VLOOKUP(Tabell38[[#This Row],[Nät]],'Leveranser per nät'!A:A,1,FALSE)</f>
        <v>Grängesberg</v>
      </c>
      <c r="O421" t="s">
        <v>806</v>
      </c>
      <c r="P421" t="s">
        <v>806</v>
      </c>
      <c r="Q421" s="84" t="s">
        <v>806</v>
      </c>
      <c r="R421">
        <f t="shared" si="37"/>
        <v>0</v>
      </c>
      <c r="S421">
        <f t="shared" si="38"/>
        <v>0</v>
      </c>
      <c r="T421">
        <f t="shared" si="39"/>
        <v>0</v>
      </c>
      <c r="U421">
        <f t="shared" si="40"/>
        <v>0</v>
      </c>
      <c r="V421">
        <f t="shared" si="41"/>
        <v>0</v>
      </c>
      <c r="W421">
        <f t="shared" si="42"/>
        <v>0</v>
      </c>
    </row>
    <row r="422" spans="1:23" x14ac:dyDescent="0.25">
      <c r="A422" t="s">
        <v>595</v>
      </c>
      <c r="B422" t="s">
        <v>359</v>
      </c>
      <c r="C422">
        <v>95.757000000000005</v>
      </c>
      <c r="D422">
        <v>0</v>
      </c>
      <c r="E422">
        <v>0</v>
      </c>
      <c r="F422">
        <v>0</v>
      </c>
      <c r="G422" s="105">
        <f>Tabell38[[#This Row],[Såld värme (GWh)]]-Tabell38[[#This Row],[Levererad värme, andra fjärrvärmeföretag, företag 1 (GWh)]]-Tabell38[[#This Row],[Levererad värme, andra fjärrvärmeföretag, företag 2 (GWh)]]-Tabell38[[#This Row],[Levererad värme, andra fjärrvärmeföretag, företag 3 (GWh)]]</f>
        <v>95.757000000000005</v>
      </c>
      <c r="H422" s="102" t="str">
        <f>VLOOKUP(Tabell38[[#This Row],[Nät]],Tabell5[],2,FALSE)</f>
        <v>Ludvika</v>
      </c>
      <c r="I422" t="str">
        <f>VLOOKUP(Tabell38[[#This Row],[Nät]],'Leveranser per nät'!A:A,1,FALSE)</f>
        <v>Ludvika</v>
      </c>
      <c r="O422" t="s">
        <v>806</v>
      </c>
      <c r="P422" t="s">
        <v>806</v>
      </c>
      <c r="Q422" s="44" t="s">
        <v>806</v>
      </c>
      <c r="R422">
        <f t="shared" si="37"/>
        <v>0</v>
      </c>
      <c r="S422">
        <f t="shared" si="38"/>
        <v>0</v>
      </c>
      <c r="T422">
        <f t="shared" si="39"/>
        <v>0</v>
      </c>
      <c r="U422">
        <f t="shared" si="40"/>
        <v>0</v>
      </c>
      <c r="V422">
        <f t="shared" si="41"/>
        <v>0</v>
      </c>
      <c r="W422">
        <f t="shared" si="42"/>
        <v>0</v>
      </c>
    </row>
    <row r="423" spans="1:23" x14ac:dyDescent="0.25">
      <c r="A423" t="s">
        <v>595</v>
      </c>
      <c r="B423" t="s">
        <v>356</v>
      </c>
      <c r="C423">
        <v>16.707000000000001</v>
      </c>
      <c r="D423">
        <v>0</v>
      </c>
      <c r="E423">
        <v>0</v>
      </c>
      <c r="F423">
        <v>0</v>
      </c>
      <c r="G423" s="105">
        <f>Tabell38[[#This Row],[Såld värme (GWh)]]-Tabell38[[#This Row],[Levererad värme, andra fjärrvärmeföretag, företag 1 (GWh)]]-Tabell38[[#This Row],[Levererad värme, andra fjärrvärmeföretag, företag 2 (GWh)]]-Tabell38[[#This Row],[Levererad värme, andra fjärrvärmeföretag, företag 3 (GWh)]]</f>
        <v>16.707000000000001</v>
      </c>
      <c r="H423" s="102" t="str">
        <f>VLOOKUP(Tabell38[[#This Row],[Nät]],Tabell5[],2,FALSE)</f>
        <v>Norberg</v>
      </c>
      <c r="I423" t="str">
        <f>VLOOKUP(Tabell38[[#This Row],[Nät]],'Leveranser per nät'!A:A,1,FALSE)</f>
        <v>Norberg</v>
      </c>
      <c r="O423" t="s">
        <v>806</v>
      </c>
      <c r="P423" t="s">
        <v>806</v>
      </c>
      <c r="Q423" s="84" t="s">
        <v>806</v>
      </c>
      <c r="R423">
        <f t="shared" si="37"/>
        <v>0</v>
      </c>
      <c r="S423">
        <f t="shared" si="38"/>
        <v>0</v>
      </c>
      <c r="T423">
        <f t="shared" si="39"/>
        <v>0</v>
      </c>
      <c r="U423">
        <f t="shared" si="40"/>
        <v>0</v>
      </c>
      <c r="V423">
        <f t="shared" si="41"/>
        <v>0</v>
      </c>
      <c r="W423">
        <f t="shared" si="42"/>
        <v>0</v>
      </c>
    </row>
    <row r="424" spans="1:23" x14ac:dyDescent="0.25">
      <c r="A424" t="s">
        <v>550</v>
      </c>
      <c r="B424" t="s">
        <v>360</v>
      </c>
      <c r="C424">
        <v>5.76</v>
      </c>
      <c r="D424">
        <v>0</v>
      </c>
      <c r="E424">
        <v>0</v>
      </c>
      <c r="F424">
        <v>0</v>
      </c>
      <c r="G424" s="105">
        <f>Tabell38[[#This Row],[Såld värme (GWh)]]-Tabell38[[#This Row],[Levererad värme, andra fjärrvärmeföretag, företag 1 (GWh)]]-Tabell38[[#This Row],[Levererad värme, andra fjärrvärmeföretag, företag 2 (GWh)]]-Tabell38[[#This Row],[Levererad värme, andra fjärrvärmeföretag, företag 3 (GWh)]]</f>
        <v>5.76</v>
      </c>
      <c r="H424" s="102" t="str">
        <f>VLOOKUP(Tabell38[[#This Row],[Nät]],Tabell5[],2,FALSE)</f>
        <v>Ankarsrum</v>
      </c>
      <c r="I424" t="str">
        <f>VLOOKUP(Tabell38[[#This Row],[Nät]],'Leveranser per nät'!A:A,1,FALSE)</f>
        <v>Ankarsrum</v>
      </c>
      <c r="O424" t="s">
        <v>806</v>
      </c>
      <c r="P424" t="s">
        <v>806</v>
      </c>
      <c r="Q424" s="44" t="s">
        <v>806</v>
      </c>
      <c r="R424">
        <f t="shared" si="37"/>
        <v>0</v>
      </c>
      <c r="S424">
        <f t="shared" si="38"/>
        <v>0</v>
      </c>
      <c r="T424">
        <f t="shared" si="39"/>
        <v>0</v>
      </c>
      <c r="U424">
        <f t="shared" si="40"/>
        <v>0</v>
      </c>
      <c r="V424">
        <f t="shared" si="41"/>
        <v>0</v>
      </c>
      <c r="W424">
        <f t="shared" si="42"/>
        <v>0</v>
      </c>
    </row>
    <row r="425" spans="1:23" x14ac:dyDescent="0.25">
      <c r="A425" t="s">
        <v>550</v>
      </c>
      <c r="B425" t="s">
        <v>361</v>
      </c>
      <c r="C425">
        <v>21.7</v>
      </c>
      <c r="D425">
        <v>0</v>
      </c>
      <c r="E425">
        <v>0</v>
      </c>
      <c r="F425">
        <v>0</v>
      </c>
      <c r="G425" s="105">
        <f>Tabell38[[#This Row],[Såld värme (GWh)]]-Tabell38[[#This Row],[Levererad värme, andra fjärrvärmeföretag, företag 1 (GWh)]]-Tabell38[[#This Row],[Levererad värme, andra fjärrvärmeföretag, företag 2 (GWh)]]-Tabell38[[#This Row],[Levererad värme, andra fjärrvärmeföretag, företag 3 (GWh)]]</f>
        <v>21.7</v>
      </c>
      <c r="H425" s="102" t="str">
        <f>VLOOKUP(Tabell38[[#This Row],[Nät]],Tabell5[],2,FALSE)</f>
        <v>Gamleby</v>
      </c>
      <c r="I425" t="str">
        <f>VLOOKUP(Tabell38[[#This Row],[Nät]],'Leveranser per nät'!A:A,1,FALSE)</f>
        <v>Gamleby</v>
      </c>
      <c r="O425" t="s">
        <v>806</v>
      </c>
      <c r="P425" t="s">
        <v>806</v>
      </c>
      <c r="Q425" s="84" t="s">
        <v>806</v>
      </c>
      <c r="R425">
        <f t="shared" si="37"/>
        <v>0</v>
      </c>
      <c r="S425">
        <f t="shared" si="38"/>
        <v>0</v>
      </c>
      <c r="T425">
        <f t="shared" si="39"/>
        <v>0</v>
      </c>
      <c r="U425">
        <f t="shared" si="40"/>
        <v>0</v>
      </c>
      <c r="V425">
        <f t="shared" si="41"/>
        <v>0</v>
      </c>
      <c r="W425">
        <f t="shared" si="42"/>
        <v>0</v>
      </c>
    </row>
    <row r="426" spans="1:23" x14ac:dyDescent="0.25">
      <c r="A426" t="s">
        <v>550</v>
      </c>
      <c r="B426" t="s">
        <v>362</v>
      </c>
      <c r="C426">
        <v>156.19999999999999</v>
      </c>
      <c r="D426">
        <v>0</v>
      </c>
      <c r="E426">
        <v>0</v>
      </c>
      <c r="F426">
        <v>0</v>
      </c>
      <c r="G426" s="105">
        <f>Tabell38[[#This Row],[Såld värme (GWh)]]-Tabell38[[#This Row],[Levererad värme, andra fjärrvärmeföretag, företag 1 (GWh)]]-Tabell38[[#This Row],[Levererad värme, andra fjärrvärmeföretag, företag 2 (GWh)]]-Tabell38[[#This Row],[Levererad värme, andra fjärrvärmeföretag, företag 3 (GWh)]]</f>
        <v>156.19999999999999</v>
      </c>
      <c r="H426" s="102" t="str">
        <f>VLOOKUP(Tabell38[[#This Row],[Nät]],Tabell5[],2,FALSE)</f>
        <v>Västervik</v>
      </c>
      <c r="I426" t="str">
        <f>VLOOKUP(Tabell38[[#This Row],[Nät]],'Leveranser per nät'!A:A,1,FALSE)</f>
        <v>Västervik</v>
      </c>
      <c r="O426" t="s">
        <v>806</v>
      </c>
      <c r="P426" t="s">
        <v>806</v>
      </c>
      <c r="Q426" s="44" t="s">
        <v>806</v>
      </c>
      <c r="R426">
        <f t="shared" si="37"/>
        <v>0</v>
      </c>
      <c r="S426">
        <f t="shared" si="38"/>
        <v>0</v>
      </c>
      <c r="T426">
        <f t="shared" si="39"/>
        <v>0</v>
      </c>
      <c r="U426">
        <f t="shared" si="40"/>
        <v>0</v>
      </c>
      <c r="V426">
        <f t="shared" si="41"/>
        <v>0</v>
      </c>
      <c r="W426">
        <f t="shared" si="42"/>
        <v>0</v>
      </c>
    </row>
    <row r="427" spans="1:23" x14ac:dyDescent="0.25">
      <c r="A427" t="s">
        <v>1009</v>
      </c>
      <c r="B427" t="s">
        <v>938</v>
      </c>
      <c r="C427">
        <v>268</v>
      </c>
      <c r="D427">
        <v>0</v>
      </c>
      <c r="E427">
        <v>0</v>
      </c>
      <c r="F427">
        <v>0</v>
      </c>
      <c r="G427" s="105">
        <f>Tabell38[[#This Row],[Såld värme (GWh)]]-Tabell38[[#This Row],[Levererad värme, andra fjärrvärmeföretag, företag 1 (GWh)]]-Tabell38[[#This Row],[Levererad värme, andra fjärrvärmeföretag, företag 2 (GWh)]]-Tabell38[[#This Row],[Levererad värme, andra fjärrvärmeföretag, företag 3 (GWh)]]</f>
        <v>268</v>
      </c>
      <c r="H427" s="102" t="str">
        <f>VLOOKUP(Tabell38[[#This Row],[Nät]],Tabell5[],2,FALSE)</f>
        <v>Arboga - Köping</v>
      </c>
      <c r="I427" t="str">
        <f>VLOOKUP(Tabell38[[#This Row],[Nät]],'Leveranser per nät'!A:A,1,FALSE)</f>
        <v>Arboga - Köping</v>
      </c>
      <c r="O427" t="s">
        <v>806</v>
      </c>
      <c r="P427" t="s">
        <v>806</v>
      </c>
      <c r="Q427" s="84" t="s">
        <v>806</v>
      </c>
      <c r="R427">
        <f t="shared" si="37"/>
        <v>0</v>
      </c>
      <c r="S427">
        <f t="shared" si="38"/>
        <v>0</v>
      </c>
      <c r="T427">
        <f t="shared" si="39"/>
        <v>0</v>
      </c>
      <c r="U427">
        <f t="shared" si="40"/>
        <v>0</v>
      </c>
      <c r="V427">
        <f t="shared" si="41"/>
        <v>0</v>
      </c>
      <c r="W427">
        <f t="shared" si="42"/>
        <v>0</v>
      </c>
    </row>
    <row r="428" spans="1:23" x14ac:dyDescent="0.25">
      <c r="A428" t="s">
        <v>1009</v>
      </c>
      <c r="B428" t="s">
        <v>939</v>
      </c>
      <c r="C428" t="s">
        <v>805</v>
      </c>
      <c r="D428">
        <v>0</v>
      </c>
      <c r="E428">
        <v>0</v>
      </c>
      <c r="F428">
        <v>0</v>
      </c>
      <c r="G428"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428" s="102" t="e">
        <f>VLOOKUP(Tabell38[[#This Row],[Nät]],Tabell5[],2,FALSE)</f>
        <v>#N/A</v>
      </c>
      <c r="I428" t="e">
        <f>VLOOKUP(Tabell38[[#This Row],[Nät]],'Leveranser per nät'!A:A,1,FALSE)</f>
        <v>#N/A</v>
      </c>
      <c r="O428" t="s">
        <v>805</v>
      </c>
      <c r="P428" t="s">
        <v>805</v>
      </c>
      <c r="Q428" s="44" t="s">
        <v>805</v>
      </c>
      <c r="R428" t="str">
        <f t="shared" si="37"/>
        <v>-</v>
      </c>
      <c r="S428" t="str">
        <f t="shared" si="38"/>
        <v>-</v>
      </c>
      <c r="T428" t="str">
        <f t="shared" si="39"/>
        <v>-</v>
      </c>
      <c r="U428">
        <f t="shared" si="40"/>
        <v>0</v>
      </c>
      <c r="V428">
        <f t="shared" si="41"/>
        <v>0</v>
      </c>
      <c r="W428">
        <f t="shared" si="42"/>
        <v>0</v>
      </c>
    </row>
    <row r="429" spans="1:23" x14ac:dyDescent="0.25">
      <c r="A429" t="s">
        <v>1009</v>
      </c>
      <c r="B429" t="s">
        <v>940</v>
      </c>
      <c r="C429" t="s">
        <v>805</v>
      </c>
      <c r="D429">
        <v>0</v>
      </c>
      <c r="E429">
        <v>0</v>
      </c>
      <c r="F429">
        <v>0</v>
      </c>
      <c r="G429"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429" s="102" t="e">
        <f>VLOOKUP(Tabell38[[#This Row],[Nät]],Tabell5[],2,FALSE)</f>
        <v>#N/A</v>
      </c>
      <c r="I429" t="e">
        <f>VLOOKUP(Tabell38[[#This Row],[Nät]],'Leveranser per nät'!A:A,1,FALSE)</f>
        <v>#N/A</v>
      </c>
      <c r="O429" t="s">
        <v>805</v>
      </c>
      <c r="P429" t="s">
        <v>805</v>
      </c>
      <c r="Q429" s="84" t="s">
        <v>805</v>
      </c>
      <c r="R429" t="str">
        <f t="shared" si="37"/>
        <v>-</v>
      </c>
      <c r="S429" t="str">
        <f t="shared" si="38"/>
        <v>-</v>
      </c>
      <c r="T429" t="str">
        <f t="shared" si="39"/>
        <v>-</v>
      </c>
      <c r="U429">
        <f t="shared" si="40"/>
        <v>0</v>
      </c>
      <c r="V429">
        <f t="shared" si="41"/>
        <v>0</v>
      </c>
      <c r="W429">
        <f t="shared" si="42"/>
        <v>0</v>
      </c>
    </row>
    <row r="430" spans="1:23" x14ac:dyDescent="0.25">
      <c r="A430" t="s">
        <v>577</v>
      </c>
      <c r="B430" t="s">
        <v>364</v>
      </c>
      <c r="C430">
        <v>11.036</v>
      </c>
      <c r="D430">
        <v>0</v>
      </c>
      <c r="E430">
        <v>0</v>
      </c>
      <c r="F430">
        <v>0</v>
      </c>
      <c r="G430" s="105">
        <f>Tabell38[[#This Row],[Såld värme (GWh)]]-Tabell38[[#This Row],[Levererad värme, andra fjärrvärmeföretag, företag 1 (GWh)]]-Tabell38[[#This Row],[Levererad värme, andra fjärrvärmeföretag, företag 2 (GWh)]]-Tabell38[[#This Row],[Levererad värme, andra fjärrvärmeföretag, företag 3 (GWh)]]</f>
        <v>11.036</v>
      </c>
      <c r="H430" s="102" t="str">
        <f>VLOOKUP(Tabell38[[#This Row],[Nät]],Tabell5[],2,FALSE)</f>
        <v>Braås</v>
      </c>
      <c r="I430" t="str">
        <f>VLOOKUP(Tabell38[[#This Row],[Nät]],'Leveranser per nät'!A:A,1,FALSE)</f>
        <v>Braås</v>
      </c>
      <c r="O430" t="s">
        <v>806</v>
      </c>
      <c r="P430" t="s">
        <v>806</v>
      </c>
      <c r="Q430" s="44" t="s">
        <v>806</v>
      </c>
      <c r="R430">
        <f t="shared" si="37"/>
        <v>0</v>
      </c>
      <c r="S430">
        <f t="shared" si="38"/>
        <v>0</v>
      </c>
      <c r="T430">
        <f t="shared" si="39"/>
        <v>0</v>
      </c>
      <c r="U430">
        <f t="shared" si="40"/>
        <v>0</v>
      </c>
      <c r="V430">
        <f t="shared" si="41"/>
        <v>0</v>
      </c>
      <c r="W430">
        <f t="shared" si="42"/>
        <v>0</v>
      </c>
    </row>
    <row r="431" spans="1:23" x14ac:dyDescent="0.25">
      <c r="A431" t="s">
        <v>577</v>
      </c>
      <c r="B431" t="s">
        <v>365</v>
      </c>
      <c r="C431">
        <v>7.359</v>
      </c>
      <c r="D431">
        <v>0</v>
      </c>
      <c r="E431">
        <v>0</v>
      </c>
      <c r="F431">
        <v>0</v>
      </c>
      <c r="G431" s="105">
        <f>Tabell38[[#This Row],[Såld värme (GWh)]]-Tabell38[[#This Row],[Levererad värme, andra fjärrvärmeföretag, företag 1 (GWh)]]-Tabell38[[#This Row],[Levererad värme, andra fjärrvärmeföretag, företag 2 (GWh)]]-Tabell38[[#This Row],[Levererad värme, andra fjärrvärmeföretag, företag 3 (GWh)]]</f>
        <v>7.359</v>
      </c>
      <c r="H431" s="102" t="str">
        <f>VLOOKUP(Tabell38[[#This Row],[Nät]],Tabell5[],2,FALSE)</f>
        <v>Ingelstad</v>
      </c>
      <c r="I431" t="str">
        <f>VLOOKUP(Tabell38[[#This Row],[Nät]],'Leveranser per nät'!A:A,1,FALSE)</f>
        <v>Ingelstad</v>
      </c>
      <c r="O431" t="s">
        <v>806</v>
      </c>
      <c r="P431" t="s">
        <v>806</v>
      </c>
      <c r="Q431" s="84" t="s">
        <v>806</v>
      </c>
      <c r="R431">
        <f t="shared" si="37"/>
        <v>0</v>
      </c>
      <c r="S431">
        <f t="shared" si="38"/>
        <v>0</v>
      </c>
      <c r="T431">
        <f t="shared" si="39"/>
        <v>0</v>
      </c>
      <c r="U431">
        <f t="shared" si="40"/>
        <v>0</v>
      </c>
      <c r="V431">
        <f t="shared" si="41"/>
        <v>0</v>
      </c>
      <c r="W431">
        <f t="shared" si="42"/>
        <v>0</v>
      </c>
    </row>
    <row r="432" spans="1:23" x14ac:dyDescent="0.25">
      <c r="A432" t="s">
        <v>577</v>
      </c>
      <c r="B432" t="s">
        <v>366</v>
      </c>
      <c r="C432">
        <v>9.4730000000000008</v>
      </c>
      <c r="D432">
        <v>0</v>
      </c>
      <c r="E432">
        <v>0</v>
      </c>
      <c r="F432">
        <v>0</v>
      </c>
      <c r="G432" s="105">
        <f>Tabell38[[#This Row],[Såld värme (GWh)]]-Tabell38[[#This Row],[Levererad värme, andra fjärrvärmeföretag, företag 1 (GWh)]]-Tabell38[[#This Row],[Levererad värme, andra fjärrvärmeföretag, företag 2 (GWh)]]-Tabell38[[#This Row],[Levererad värme, andra fjärrvärmeföretag, företag 3 (GWh)]]</f>
        <v>9.4730000000000008</v>
      </c>
      <c r="H432" s="102" t="str">
        <f>VLOOKUP(Tabell38[[#This Row],[Nät]],Tabell5[],2,FALSE)</f>
        <v>Rottne</v>
      </c>
      <c r="I432" t="str">
        <f>VLOOKUP(Tabell38[[#This Row],[Nät]],'Leveranser per nät'!A:A,1,FALSE)</f>
        <v>Rottne</v>
      </c>
      <c r="O432" t="s">
        <v>806</v>
      </c>
      <c r="P432" t="s">
        <v>806</v>
      </c>
      <c r="Q432" s="44" t="s">
        <v>806</v>
      </c>
      <c r="R432">
        <f t="shared" si="37"/>
        <v>0</v>
      </c>
      <c r="S432">
        <f t="shared" si="38"/>
        <v>0</v>
      </c>
      <c r="T432">
        <f t="shared" si="39"/>
        <v>0</v>
      </c>
      <c r="U432">
        <f t="shared" si="40"/>
        <v>0</v>
      </c>
      <c r="V432">
        <f t="shared" si="41"/>
        <v>0</v>
      </c>
      <c r="W432">
        <f t="shared" si="42"/>
        <v>0</v>
      </c>
    </row>
    <row r="433" spans="1:23" x14ac:dyDescent="0.25">
      <c r="A433" t="s">
        <v>577</v>
      </c>
      <c r="B433" t="s">
        <v>906</v>
      </c>
      <c r="C433">
        <v>15.188000000000001</v>
      </c>
      <c r="D433">
        <v>0</v>
      </c>
      <c r="E433">
        <v>0</v>
      </c>
      <c r="F433">
        <v>0</v>
      </c>
      <c r="G433" s="105">
        <f>Tabell38[[#This Row],[Såld värme (GWh)]]-Tabell38[[#This Row],[Levererad värme, andra fjärrvärmeföretag, företag 1 (GWh)]]-Tabell38[[#This Row],[Levererad värme, andra fjärrvärmeföretag, företag 2 (GWh)]]-Tabell38[[#This Row],[Levererad värme, andra fjärrvärmeföretag, företag 3 (GWh)]]</f>
        <v>15.188000000000001</v>
      </c>
      <c r="H433" s="102" t="e">
        <f>VLOOKUP(Tabell38[[#This Row],[Nät]],Tabell5[],2,FALSE)</f>
        <v>#N/A</v>
      </c>
      <c r="I433" t="e">
        <f>VLOOKUP(Tabell38[[#This Row],[Nät]],'Leveranser per nät'!A:A,1,FALSE)</f>
        <v>#N/A</v>
      </c>
      <c r="O433" t="s">
        <v>806</v>
      </c>
      <c r="P433" t="s">
        <v>806</v>
      </c>
      <c r="Q433" s="84" t="s">
        <v>806</v>
      </c>
      <c r="R433">
        <f t="shared" si="37"/>
        <v>0</v>
      </c>
      <c r="S433">
        <f t="shared" si="38"/>
        <v>0</v>
      </c>
      <c r="T433">
        <f t="shared" si="39"/>
        <v>0</v>
      </c>
      <c r="U433">
        <f t="shared" si="40"/>
        <v>0</v>
      </c>
      <c r="V433">
        <f t="shared" si="41"/>
        <v>0</v>
      </c>
      <c r="W433">
        <f t="shared" si="42"/>
        <v>0</v>
      </c>
    </row>
    <row r="434" spans="1:23" x14ac:dyDescent="0.25">
      <c r="A434" t="s">
        <v>577</v>
      </c>
      <c r="B434" t="s">
        <v>907</v>
      </c>
      <c r="C434">
        <v>497.755</v>
      </c>
      <c r="D434">
        <v>0</v>
      </c>
      <c r="E434">
        <v>0</v>
      </c>
      <c r="F434">
        <v>0</v>
      </c>
      <c r="G434" s="105">
        <f>Tabell38[[#This Row],[Såld värme (GWh)]]-Tabell38[[#This Row],[Levererad värme, andra fjärrvärmeföretag, företag 1 (GWh)]]-Tabell38[[#This Row],[Levererad värme, andra fjärrvärmeföretag, företag 2 (GWh)]]-Tabell38[[#This Row],[Levererad värme, andra fjärrvärmeföretag, företag 3 (GWh)]]</f>
        <v>497.755</v>
      </c>
      <c r="H434" s="102" t="str">
        <f>VLOOKUP(Tabell38[[#This Row],[Nät]],Tabell5[],2,FALSE)</f>
        <v>Växjö</v>
      </c>
      <c r="I434" t="e">
        <f>VLOOKUP(Tabell38[[#This Row],[Nät]],'Leveranser per nät'!A:A,1,FALSE)</f>
        <v>#N/A</v>
      </c>
      <c r="O434" t="s">
        <v>806</v>
      </c>
      <c r="P434" t="s">
        <v>806</v>
      </c>
      <c r="Q434" s="44" t="s">
        <v>806</v>
      </c>
      <c r="R434">
        <f t="shared" si="37"/>
        <v>0</v>
      </c>
      <c r="S434">
        <f t="shared" si="38"/>
        <v>0</v>
      </c>
      <c r="T434">
        <f t="shared" si="39"/>
        <v>0</v>
      </c>
      <c r="U434">
        <f t="shared" si="40"/>
        <v>0</v>
      </c>
      <c r="V434">
        <f t="shared" si="41"/>
        <v>0</v>
      </c>
      <c r="W434">
        <f t="shared" si="42"/>
        <v>0</v>
      </c>
    </row>
    <row r="435" spans="1:23" x14ac:dyDescent="0.25">
      <c r="A435" t="s">
        <v>734</v>
      </c>
      <c r="B435" t="s">
        <v>367</v>
      </c>
      <c r="C435">
        <v>122.964</v>
      </c>
      <c r="D435">
        <v>0</v>
      </c>
      <c r="E435">
        <v>0</v>
      </c>
      <c r="F435">
        <v>0</v>
      </c>
      <c r="G435" s="105">
        <f>Tabell38[[#This Row],[Såld värme (GWh)]]-Tabell38[[#This Row],[Levererad värme, andra fjärrvärmeföretag, företag 1 (GWh)]]-Tabell38[[#This Row],[Levererad värme, andra fjärrvärmeföretag, företag 2 (GWh)]]-Tabell38[[#This Row],[Levererad värme, andra fjärrvärmeföretag, företag 3 (GWh)]]</f>
        <v>122.964</v>
      </c>
      <c r="H435" s="102" t="str">
        <f>VLOOKUP(Tabell38[[#This Row],[Nät]],Tabell5[],2,FALSE)</f>
        <v>Ystad</v>
      </c>
      <c r="I435" t="str">
        <f>VLOOKUP(Tabell38[[#This Row],[Nät]],'Leveranser per nät'!A:A,1,FALSE)</f>
        <v>Ystad</v>
      </c>
      <c r="O435" t="s">
        <v>806</v>
      </c>
      <c r="P435" t="s">
        <v>806</v>
      </c>
      <c r="Q435" s="84" t="s">
        <v>806</v>
      </c>
      <c r="R435">
        <f t="shared" si="37"/>
        <v>0</v>
      </c>
      <c r="S435">
        <f t="shared" si="38"/>
        <v>0</v>
      </c>
      <c r="T435">
        <f t="shared" si="39"/>
        <v>0</v>
      </c>
      <c r="U435">
        <f t="shared" si="40"/>
        <v>0</v>
      </c>
      <c r="V435">
        <f t="shared" si="41"/>
        <v>0</v>
      </c>
      <c r="W435">
        <f t="shared" si="42"/>
        <v>0</v>
      </c>
    </row>
    <row r="436" spans="1:23" x14ac:dyDescent="0.25">
      <c r="A436" t="s">
        <v>604</v>
      </c>
      <c r="B436" t="s">
        <v>368</v>
      </c>
      <c r="C436">
        <v>5.6829999999999998</v>
      </c>
      <c r="D436">
        <v>0</v>
      </c>
      <c r="E436">
        <v>0</v>
      </c>
      <c r="F436">
        <v>0</v>
      </c>
      <c r="G436" s="105">
        <f>Tabell38[[#This Row],[Såld värme (GWh)]]-Tabell38[[#This Row],[Levererad värme, andra fjärrvärmeföretag, företag 1 (GWh)]]-Tabell38[[#This Row],[Levererad värme, andra fjärrvärmeföretag, företag 2 (GWh)]]-Tabell38[[#This Row],[Levererad värme, andra fjärrvärmeföretag, företag 3 (GWh)]]</f>
        <v>5.6829999999999998</v>
      </c>
      <c r="H436" s="102" t="str">
        <f>VLOOKUP(Tabell38[[#This Row],[Nät]],Tabell5[],2,FALSE)</f>
        <v>Fränsta</v>
      </c>
      <c r="I436" t="str">
        <f>VLOOKUP(Tabell38[[#This Row],[Nät]],'Leveranser per nät'!A:A,1,FALSE)</f>
        <v>Fränsta</v>
      </c>
      <c r="O436" t="s">
        <v>806</v>
      </c>
      <c r="P436" t="s">
        <v>806</v>
      </c>
      <c r="Q436" s="44" t="s">
        <v>806</v>
      </c>
      <c r="R436">
        <f t="shared" si="37"/>
        <v>0</v>
      </c>
      <c r="S436">
        <f t="shared" si="38"/>
        <v>0</v>
      </c>
      <c r="T436">
        <f t="shared" si="39"/>
        <v>0</v>
      </c>
      <c r="U436">
        <f t="shared" si="40"/>
        <v>0</v>
      </c>
      <c r="V436">
        <f t="shared" si="41"/>
        <v>0</v>
      </c>
      <c r="W436">
        <f t="shared" si="42"/>
        <v>0</v>
      </c>
    </row>
    <row r="437" spans="1:23" x14ac:dyDescent="0.25">
      <c r="A437" t="s">
        <v>604</v>
      </c>
      <c r="B437" t="s">
        <v>370</v>
      </c>
      <c r="C437">
        <v>19.945</v>
      </c>
      <c r="D437">
        <v>0</v>
      </c>
      <c r="E437">
        <v>0</v>
      </c>
      <c r="F437">
        <v>0</v>
      </c>
      <c r="G437" s="105">
        <f>Tabell38[[#This Row],[Såld värme (GWh)]]-Tabell38[[#This Row],[Levererad värme, andra fjärrvärmeföretag, företag 1 (GWh)]]-Tabell38[[#This Row],[Levererad värme, andra fjärrvärmeföretag, företag 2 (GWh)]]-Tabell38[[#This Row],[Levererad värme, andra fjärrvärmeföretag, företag 3 (GWh)]]</f>
        <v>19.945</v>
      </c>
      <c r="H437" s="102" t="str">
        <f>VLOOKUP(Tabell38[[#This Row],[Nät]],Tabell5[],2,FALSE)</f>
        <v>Ånge</v>
      </c>
      <c r="I437" t="str">
        <f>VLOOKUP(Tabell38[[#This Row],[Nät]],'Leveranser per nät'!A:A,1,FALSE)</f>
        <v>Ånge</v>
      </c>
      <c r="O437" t="s">
        <v>806</v>
      </c>
      <c r="P437" t="s">
        <v>806</v>
      </c>
      <c r="Q437" s="84" t="s">
        <v>806</v>
      </c>
      <c r="R437">
        <f t="shared" si="37"/>
        <v>0</v>
      </c>
      <c r="S437">
        <f t="shared" si="38"/>
        <v>0</v>
      </c>
      <c r="T437">
        <f t="shared" si="39"/>
        <v>0</v>
      </c>
      <c r="U437">
        <f t="shared" si="40"/>
        <v>0</v>
      </c>
      <c r="V437">
        <f t="shared" si="41"/>
        <v>0</v>
      </c>
      <c r="W437">
        <f t="shared" si="42"/>
        <v>0</v>
      </c>
    </row>
    <row r="438" spans="1:23" x14ac:dyDescent="0.25">
      <c r="A438" t="s">
        <v>1011</v>
      </c>
      <c r="B438" t="s">
        <v>912</v>
      </c>
      <c r="C438" t="s">
        <v>805</v>
      </c>
      <c r="D438">
        <v>0</v>
      </c>
      <c r="E438">
        <v>0</v>
      </c>
      <c r="F438">
        <v>0</v>
      </c>
      <c r="G438"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438" s="102" t="e">
        <f>VLOOKUP(Tabell38[[#This Row],[Nät]],Tabell5[],2,FALSE)</f>
        <v>#N/A</v>
      </c>
      <c r="I438" t="e">
        <f>VLOOKUP(Tabell38[[#This Row],[Nät]],'Leveranser per nät'!A:A,1,FALSE)</f>
        <v>#N/A</v>
      </c>
      <c r="O438" t="s">
        <v>805</v>
      </c>
      <c r="P438" t="s">
        <v>805</v>
      </c>
      <c r="Q438" s="44" t="s">
        <v>805</v>
      </c>
      <c r="R438" t="str">
        <f t="shared" si="37"/>
        <v>-</v>
      </c>
      <c r="S438" t="str">
        <f t="shared" si="38"/>
        <v>-</v>
      </c>
      <c r="T438" t="str">
        <f t="shared" si="39"/>
        <v>-</v>
      </c>
      <c r="U438">
        <f t="shared" si="40"/>
        <v>0</v>
      </c>
      <c r="V438">
        <f t="shared" si="41"/>
        <v>0</v>
      </c>
      <c r="W438">
        <f t="shared" si="42"/>
        <v>0</v>
      </c>
    </row>
    <row r="439" spans="1:23" x14ac:dyDescent="0.25">
      <c r="A439" t="s">
        <v>626</v>
      </c>
      <c r="B439" t="s">
        <v>373</v>
      </c>
      <c r="C439">
        <v>929</v>
      </c>
      <c r="D439">
        <v>111.4</v>
      </c>
      <c r="E439">
        <v>0</v>
      </c>
      <c r="F439">
        <v>0</v>
      </c>
      <c r="G439" s="105">
        <f>Tabell38[[#This Row],[Såld värme (GWh)]]-Tabell38[[#This Row],[Levererad värme, andra fjärrvärmeföretag, företag 1 (GWh)]]-Tabell38[[#This Row],[Levererad värme, andra fjärrvärmeföretag, företag 2 (GWh)]]-Tabell38[[#This Row],[Levererad värme, andra fjärrvärmeföretag, företag 3 (GWh)]]</f>
        <v>817.6</v>
      </c>
      <c r="H439" s="102" t="str">
        <f>VLOOKUP(Tabell38[[#This Row],[Nät]],Tabell5[],2,FALSE)</f>
        <v>Helsingborg</v>
      </c>
      <c r="I439" t="str">
        <f>VLOOKUP(Tabell38[[#This Row],[Nät]],'Leveranser per nät'!A:A,1,FALSE)</f>
        <v>Helsingborg</v>
      </c>
      <c r="O439">
        <v>111.4</v>
      </c>
      <c r="P439" t="s">
        <v>806</v>
      </c>
      <c r="Q439" s="84" t="s">
        <v>806</v>
      </c>
      <c r="R439">
        <f t="shared" si="37"/>
        <v>111.4</v>
      </c>
      <c r="S439">
        <f t="shared" si="38"/>
        <v>0</v>
      </c>
      <c r="T439">
        <f t="shared" si="39"/>
        <v>0</v>
      </c>
      <c r="U439">
        <f t="shared" si="40"/>
        <v>111.4</v>
      </c>
      <c r="V439">
        <f t="shared" si="41"/>
        <v>0</v>
      </c>
      <c r="W439">
        <f t="shared" si="42"/>
        <v>0</v>
      </c>
    </row>
    <row r="440" spans="1:23" x14ac:dyDescent="0.25">
      <c r="A440" t="s">
        <v>626</v>
      </c>
      <c r="B440" t="s">
        <v>400</v>
      </c>
      <c r="C440" t="s">
        <v>806</v>
      </c>
      <c r="D440">
        <v>0</v>
      </c>
      <c r="E440">
        <v>0</v>
      </c>
      <c r="F440">
        <v>0</v>
      </c>
      <c r="G440"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440" s="102" t="str">
        <f>VLOOKUP(Tabell38[[#This Row],[Nät]],Tabell5[],2,FALSE)</f>
        <v>Hjärnarp</v>
      </c>
      <c r="I440" t="str">
        <f>VLOOKUP(Tabell38[[#This Row],[Nät]],'Leveranser per nät'!A:A,1,FALSE)</f>
        <v>Hjärnarp</v>
      </c>
      <c r="O440" t="s">
        <v>806</v>
      </c>
      <c r="P440" t="s">
        <v>806</v>
      </c>
      <c r="Q440" s="44" t="s">
        <v>806</v>
      </c>
      <c r="R440">
        <f t="shared" si="37"/>
        <v>0</v>
      </c>
      <c r="S440">
        <f t="shared" si="38"/>
        <v>0</v>
      </c>
      <c r="T440">
        <f t="shared" si="39"/>
        <v>0</v>
      </c>
      <c r="U440">
        <f t="shared" si="40"/>
        <v>0</v>
      </c>
      <c r="V440">
        <f t="shared" si="41"/>
        <v>0</v>
      </c>
      <c r="W440">
        <f t="shared" si="42"/>
        <v>0</v>
      </c>
    </row>
    <row r="441" spans="1:23" x14ac:dyDescent="0.25">
      <c r="A441" t="s">
        <v>626</v>
      </c>
      <c r="B441" t="s">
        <v>431</v>
      </c>
      <c r="C441" t="s">
        <v>806</v>
      </c>
      <c r="D441">
        <v>0</v>
      </c>
      <c r="E441">
        <v>0</v>
      </c>
      <c r="F441">
        <v>0</v>
      </c>
      <c r="G441"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441" s="102" t="str">
        <f>VLOOKUP(Tabell38[[#This Row],[Nät]],Tabell5[],2,FALSE)</f>
        <v>Vejbystrand</v>
      </c>
      <c r="I441" t="str">
        <f>VLOOKUP(Tabell38[[#This Row],[Nät]],'Leveranser per nät'!A:A,1,FALSE)</f>
        <v>Vejbystrand</v>
      </c>
      <c r="O441" t="s">
        <v>806</v>
      </c>
      <c r="P441" t="s">
        <v>806</v>
      </c>
      <c r="Q441" s="84" t="s">
        <v>806</v>
      </c>
      <c r="R441">
        <f t="shared" si="37"/>
        <v>0</v>
      </c>
      <c r="S441">
        <f t="shared" si="38"/>
        <v>0</v>
      </c>
      <c r="T441">
        <f t="shared" si="39"/>
        <v>0</v>
      </c>
      <c r="U441">
        <f t="shared" si="40"/>
        <v>0</v>
      </c>
      <c r="V441">
        <f t="shared" si="41"/>
        <v>0</v>
      </c>
      <c r="W441">
        <f t="shared" si="42"/>
        <v>0</v>
      </c>
    </row>
    <row r="442" spans="1:23" x14ac:dyDescent="0.25">
      <c r="A442" t="s">
        <v>626</v>
      </c>
      <c r="B442" t="s">
        <v>372</v>
      </c>
      <c r="C442">
        <v>155.61199999999999</v>
      </c>
      <c r="D442">
        <v>0</v>
      </c>
      <c r="E442">
        <v>0</v>
      </c>
      <c r="F442">
        <v>0</v>
      </c>
      <c r="G442" s="105">
        <f>Tabell38[[#This Row],[Såld värme (GWh)]]-Tabell38[[#This Row],[Levererad värme, andra fjärrvärmeföretag, företag 1 (GWh)]]-Tabell38[[#This Row],[Levererad värme, andra fjärrvärmeföretag, företag 2 (GWh)]]-Tabell38[[#This Row],[Levererad värme, andra fjärrvärmeföretag, företag 3 (GWh)]]</f>
        <v>155.61199999999999</v>
      </c>
      <c r="H442" s="102" t="str">
        <f>VLOOKUP(Tabell38[[#This Row],[Nät]],Tabell5[],2,FALSE)</f>
        <v>Ängelholm</v>
      </c>
      <c r="I442" t="str">
        <f>VLOOKUP(Tabell38[[#This Row],[Nät]],'Leveranser per nät'!A:A,1,FALSE)</f>
        <v>Ängelholm</v>
      </c>
      <c r="O442" t="s">
        <v>806</v>
      </c>
      <c r="P442" t="s">
        <v>806</v>
      </c>
      <c r="Q442" s="44" t="s">
        <v>806</v>
      </c>
      <c r="R442">
        <f t="shared" si="37"/>
        <v>0</v>
      </c>
      <c r="S442">
        <f t="shared" si="38"/>
        <v>0</v>
      </c>
      <c r="T442">
        <f t="shared" si="39"/>
        <v>0</v>
      </c>
      <c r="U442">
        <f t="shared" si="40"/>
        <v>0</v>
      </c>
      <c r="V442">
        <f t="shared" si="41"/>
        <v>0</v>
      </c>
      <c r="W442">
        <f t="shared" si="42"/>
        <v>0</v>
      </c>
    </row>
    <row r="443" spans="1:23" x14ac:dyDescent="0.25">
      <c r="A443" t="s">
        <v>740</v>
      </c>
      <c r="B443" t="s">
        <v>374</v>
      </c>
      <c r="C443">
        <v>25.5</v>
      </c>
      <c r="D443">
        <v>0</v>
      </c>
      <c r="E443">
        <v>0</v>
      </c>
      <c r="F443">
        <v>0</v>
      </c>
      <c r="G443" s="105">
        <f>Tabell38[[#This Row],[Såld värme (GWh)]]-Tabell38[[#This Row],[Levererad värme, andra fjärrvärmeföretag, företag 1 (GWh)]]-Tabell38[[#This Row],[Levererad värme, andra fjärrvärmeföretag, företag 2 (GWh)]]-Tabell38[[#This Row],[Levererad värme, andra fjärrvärmeföretag, företag 3 (GWh)]]</f>
        <v>25.5</v>
      </c>
      <c r="H443" s="102" t="str">
        <f>VLOOKUP(Tabell38[[#This Row],[Nät]],Tabell5[],2,FALSE)</f>
        <v>Örkelljunga</v>
      </c>
      <c r="I443" t="str">
        <f>VLOOKUP(Tabell38[[#This Row],[Nät]],'Leveranser per nät'!A:A,1,FALSE)</f>
        <v>Örkelljunga</v>
      </c>
      <c r="O443" t="s">
        <v>806</v>
      </c>
      <c r="P443" t="s">
        <v>806</v>
      </c>
      <c r="Q443" s="84" t="s">
        <v>806</v>
      </c>
      <c r="R443">
        <f t="shared" si="37"/>
        <v>0</v>
      </c>
      <c r="S443">
        <f t="shared" si="38"/>
        <v>0</v>
      </c>
      <c r="T443">
        <f t="shared" si="39"/>
        <v>0</v>
      </c>
      <c r="U443">
        <f t="shared" si="40"/>
        <v>0</v>
      </c>
      <c r="V443">
        <f t="shared" si="41"/>
        <v>0</v>
      </c>
      <c r="W443">
        <f t="shared" si="42"/>
        <v>0</v>
      </c>
    </row>
    <row r="444" spans="1:23" x14ac:dyDescent="0.25">
      <c r="A444" t="s">
        <v>695</v>
      </c>
      <c r="B444" t="s">
        <v>375</v>
      </c>
      <c r="C444">
        <v>43.3</v>
      </c>
      <c r="D444">
        <v>0</v>
      </c>
      <c r="E444">
        <v>0</v>
      </c>
      <c r="F444">
        <v>0</v>
      </c>
      <c r="G444" s="105">
        <f>Tabell38[[#This Row],[Såld värme (GWh)]]-Tabell38[[#This Row],[Levererad värme, andra fjärrvärmeföretag, företag 1 (GWh)]]-Tabell38[[#This Row],[Levererad värme, andra fjärrvärmeföretag, företag 2 (GWh)]]-Tabell38[[#This Row],[Levererad värme, andra fjärrvärmeföretag, företag 3 (GWh)]]</f>
        <v>43.3</v>
      </c>
      <c r="H444" s="102" t="str">
        <f>VLOOKUP(Tabell38[[#This Row],[Nät]],Tabell5[],2,FALSE)</f>
        <v>Simrishamn</v>
      </c>
      <c r="I444" t="str">
        <f>VLOOKUP(Tabell38[[#This Row],[Nät]],'Leveranser per nät'!A:A,1,FALSE)</f>
        <v>Simrishamn</v>
      </c>
      <c r="O444" t="s">
        <v>806</v>
      </c>
      <c r="P444" t="s">
        <v>806</v>
      </c>
      <c r="Q444" s="44" t="s">
        <v>806</v>
      </c>
      <c r="R444">
        <f t="shared" si="37"/>
        <v>0</v>
      </c>
      <c r="S444">
        <f t="shared" si="38"/>
        <v>0</v>
      </c>
      <c r="T444">
        <f t="shared" si="39"/>
        <v>0</v>
      </c>
      <c r="U444">
        <f t="shared" si="40"/>
        <v>0</v>
      </c>
      <c r="V444">
        <f t="shared" si="41"/>
        <v>0</v>
      </c>
      <c r="W444">
        <f t="shared" si="42"/>
        <v>0</v>
      </c>
    </row>
    <row r="445" spans="1:23" x14ac:dyDescent="0.25">
      <c r="A445" t="s">
        <v>916</v>
      </c>
      <c r="B445" t="s">
        <v>347</v>
      </c>
      <c r="C445" t="s">
        <v>805</v>
      </c>
      <c r="D445">
        <v>0</v>
      </c>
      <c r="E445">
        <v>0</v>
      </c>
      <c r="F445">
        <v>0</v>
      </c>
      <c r="G445" s="105" t="e">
        <f>Tabell38[[#This Row],[Såld värme (GWh)]]-Tabell38[[#This Row],[Levererad värme, andra fjärrvärmeföretag, företag 1 (GWh)]]-Tabell38[[#This Row],[Levererad värme, andra fjärrvärmeföretag, företag 2 (GWh)]]-Tabell38[[#This Row],[Levererad värme, andra fjärrvärmeföretag, företag 3 (GWh)]]</f>
        <v>#VALUE!</v>
      </c>
      <c r="H445" s="102" t="str">
        <f>VLOOKUP(Tabell38[[#This Row],[Nät]],Tabell5[],2,FALSE)</f>
        <v>Övertorneå</v>
      </c>
      <c r="I445" t="str">
        <f>VLOOKUP(Tabell38[[#This Row],[Nät]],'Leveranser per nät'!A:A,1,FALSE)</f>
        <v>Övertorneå</v>
      </c>
      <c r="O445" t="s">
        <v>805</v>
      </c>
      <c r="P445" t="s">
        <v>805</v>
      </c>
      <c r="Q445" s="84" t="s">
        <v>805</v>
      </c>
      <c r="R445" t="str">
        <f t="shared" si="37"/>
        <v>-</v>
      </c>
      <c r="S445" t="str">
        <f t="shared" si="38"/>
        <v>-</v>
      </c>
      <c r="T445" t="str">
        <f t="shared" si="39"/>
        <v>-</v>
      </c>
      <c r="U445">
        <f t="shared" si="40"/>
        <v>0</v>
      </c>
      <c r="V445">
        <f t="shared" si="41"/>
        <v>0</v>
      </c>
      <c r="W445">
        <f t="shared" si="42"/>
        <v>0</v>
      </c>
    </row>
    <row r="446" spans="1:23" x14ac:dyDescent="0.25">
      <c r="A446" t="s">
        <v>569</v>
      </c>
      <c r="B446" t="s">
        <v>377</v>
      </c>
      <c r="C446">
        <v>5.98</v>
      </c>
      <c r="D446">
        <v>0</v>
      </c>
      <c r="E446">
        <v>0</v>
      </c>
      <c r="F446">
        <v>0</v>
      </c>
      <c r="G446" s="105">
        <f>Tabell38[[#This Row],[Såld värme (GWh)]]-Tabell38[[#This Row],[Levererad värme, andra fjärrvärmeföretag, företag 1 (GWh)]]-Tabell38[[#This Row],[Levererad värme, andra fjärrvärmeföretag, företag 2 (GWh)]]-Tabell38[[#This Row],[Levererad värme, andra fjärrvärmeföretag, företag 3 (GWh)]]</f>
        <v>5.98</v>
      </c>
      <c r="H446" s="102" t="str">
        <f>VLOOKUP(Tabell38[[#This Row],[Nät]],Tabell5[],2,FALSE)</f>
        <v>Bjästa</v>
      </c>
      <c r="I446" t="str">
        <f>VLOOKUP(Tabell38[[#This Row],[Nät]],'Leveranser per nät'!A:A,1,FALSE)</f>
        <v>Bjästa</v>
      </c>
      <c r="O446" t="s">
        <v>806</v>
      </c>
      <c r="P446" t="s">
        <v>806</v>
      </c>
      <c r="Q446" s="44" t="s">
        <v>806</v>
      </c>
      <c r="R446">
        <f t="shared" si="37"/>
        <v>0</v>
      </c>
      <c r="S446">
        <f t="shared" si="38"/>
        <v>0</v>
      </c>
      <c r="T446">
        <f t="shared" si="39"/>
        <v>0</v>
      </c>
      <c r="U446">
        <f t="shared" si="40"/>
        <v>0</v>
      </c>
      <c r="V446">
        <f t="shared" si="41"/>
        <v>0</v>
      </c>
      <c r="W446">
        <f t="shared" si="42"/>
        <v>0</v>
      </c>
    </row>
    <row r="447" spans="1:23" x14ac:dyDescent="0.25">
      <c r="A447" t="s">
        <v>569</v>
      </c>
      <c r="B447" t="s">
        <v>378</v>
      </c>
      <c r="C447">
        <v>4.45</v>
      </c>
      <c r="D447">
        <v>0</v>
      </c>
      <c r="E447">
        <v>0</v>
      </c>
      <c r="F447">
        <v>0</v>
      </c>
      <c r="G447" s="105">
        <f>Tabell38[[#This Row],[Såld värme (GWh)]]-Tabell38[[#This Row],[Levererad värme, andra fjärrvärmeföretag, företag 1 (GWh)]]-Tabell38[[#This Row],[Levererad värme, andra fjärrvärmeföretag, företag 2 (GWh)]]-Tabell38[[#This Row],[Levererad värme, andra fjärrvärmeföretag, företag 3 (GWh)]]</f>
        <v>4.45</v>
      </c>
      <c r="H447" s="102" t="str">
        <f>VLOOKUP(Tabell38[[#This Row],[Nät]],Tabell5[],2,FALSE)</f>
        <v>Bredbyn</v>
      </c>
      <c r="I447" t="str">
        <f>VLOOKUP(Tabell38[[#This Row],[Nät]],'Leveranser per nät'!A:A,1,FALSE)</f>
        <v>Bredbyn</v>
      </c>
      <c r="O447" t="s">
        <v>806</v>
      </c>
      <c r="P447" t="s">
        <v>806</v>
      </c>
      <c r="Q447" s="84" t="s">
        <v>806</v>
      </c>
      <c r="R447">
        <f t="shared" si="37"/>
        <v>0</v>
      </c>
      <c r="S447">
        <f t="shared" si="38"/>
        <v>0</v>
      </c>
      <c r="T447">
        <f t="shared" si="39"/>
        <v>0</v>
      </c>
      <c r="U447">
        <f t="shared" si="40"/>
        <v>0</v>
      </c>
      <c r="V447">
        <f t="shared" si="41"/>
        <v>0</v>
      </c>
      <c r="W447">
        <f t="shared" si="42"/>
        <v>0</v>
      </c>
    </row>
    <row r="448" spans="1:23" x14ac:dyDescent="0.25">
      <c r="A448" t="s">
        <v>569</v>
      </c>
      <c r="B448" t="s">
        <v>379</v>
      </c>
      <c r="C448">
        <v>5.89</v>
      </c>
      <c r="D448">
        <v>0</v>
      </c>
      <c r="E448">
        <v>0</v>
      </c>
      <c r="F448">
        <v>0</v>
      </c>
      <c r="G448" s="105">
        <f>Tabell38[[#This Row],[Såld värme (GWh)]]-Tabell38[[#This Row],[Levererad värme, andra fjärrvärmeföretag, företag 1 (GWh)]]-Tabell38[[#This Row],[Levererad värme, andra fjärrvärmeföretag, företag 2 (GWh)]]-Tabell38[[#This Row],[Levererad värme, andra fjärrvärmeföretag, företag 3 (GWh)]]</f>
        <v>5.89</v>
      </c>
      <c r="H448" s="102" t="str">
        <f>VLOOKUP(Tabell38[[#This Row],[Nät]],Tabell5[],2,FALSE)</f>
        <v>Husum</v>
      </c>
      <c r="I448" t="str">
        <f>VLOOKUP(Tabell38[[#This Row],[Nät]],'Leveranser per nät'!A:A,1,FALSE)</f>
        <v>Husum</v>
      </c>
      <c r="O448" t="s">
        <v>806</v>
      </c>
      <c r="P448" t="s">
        <v>806</v>
      </c>
      <c r="Q448" s="44" t="s">
        <v>806</v>
      </c>
      <c r="R448">
        <f t="shared" si="37"/>
        <v>0</v>
      </c>
      <c r="S448">
        <f t="shared" si="38"/>
        <v>0</v>
      </c>
      <c r="T448">
        <f t="shared" si="39"/>
        <v>0</v>
      </c>
      <c r="U448">
        <f t="shared" si="40"/>
        <v>0</v>
      </c>
      <c r="V448">
        <f t="shared" si="41"/>
        <v>0</v>
      </c>
      <c r="W448">
        <f t="shared" si="42"/>
        <v>0</v>
      </c>
    </row>
    <row r="449" spans="1:23" x14ac:dyDescent="0.25">
      <c r="A449" t="s">
        <v>569</v>
      </c>
      <c r="B449" t="s">
        <v>491</v>
      </c>
      <c r="C449">
        <v>0.4</v>
      </c>
      <c r="D449">
        <v>0</v>
      </c>
      <c r="E449">
        <v>0</v>
      </c>
      <c r="F449">
        <v>0</v>
      </c>
      <c r="G449" s="105">
        <f>Tabell38[[#This Row],[Såld värme (GWh)]]-Tabell38[[#This Row],[Levererad värme, andra fjärrvärmeföretag, företag 1 (GWh)]]-Tabell38[[#This Row],[Levererad värme, andra fjärrvärmeföretag, företag 2 (GWh)]]-Tabell38[[#This Row],[Levererad värme, andra fjärrvärmeföretag, företag 3 (GWh)]]</f>
        <v>0.4</v>
      </c>
      <c r="H449" s="102" t="str">
        <f>VLOOKUP(Tabell38[[#This Row],[Nät]],Tabell5[],2,FALSE)</f>
        <v>Moliden</v>
      </c>
      <c r="I449" t="str">
        <f>VLOOKUP(Tabell38[[#This Row],[Nät]],'Leveranser per nät'!A:A,1,FALSE)</f>
        <v>Moliden</v>
      </c>
      <c r="O449" t="s">
        <v>806</v>
      </c>
      <c r="P449" t="s">
        <v>806</v>
      </c>
      <c r="Q449" s="84" t="s">
        <v>806</v>
      </c>
      <c r="R449">
        <f t="shared" si="37"/>
        <v>0</v>
      </c>
      <c r="S449">
        <f t="shared" si="38"/>
        <v>0</v>
      </c>
      <c r="T449">
        <f t="shared" si="39"/>
        <v>0</v>
      </c>
      <c r="U449">
        <f t="shared" si="40"/>
        <v>0</v>
      </c>
      <c r="V449">
        <f t="shared" si="41"/>
        <v>0</v>
      </c>
      <c r="W449">
        <f t="shared" si="42"/>
        <v>0</v>
      </c>
    </row>
    <row r="450" spans="1:23" x14ac:dyDescent="0.25">
      <c r="A450" t="s">
        <v>569</v>
      </c>
      <c r="B450" t="s">
        <v>802</v>
      </c>
      <c r="C450">
        <v>201.05</v>
      </c>
      <c r="D450">
        <v>0</v>
      </c>
      <c r="E450">
        <v>0</v>
      </c>
      <c r="F450">
        <v>0</v>
      </c>
      <c r="G450" s="105">
        <f>Tabell38[[#This Row],[Såld värme (GWh)]]-Tabell38[[#This Row],[Levererad värme, andra fjärrvärmeföretag, företag 1 (GWh)]]-Tabell38[[#This Row],[Levererad värme, andra fjärrvärmeföretag, företag 2 (GWh)]]-Tabell38[[#This Row],[Levererad värme, andra fjärrvärmeföretag, företag 3 (GWh)]]</f>
        <v>201.05</v>
      </c>
      <c r="H450" s="102" t="e">
        <f>VLOOKUP(Tabell38[[#This Row],[Nät]],Tabell5[],2,FALSE)</f>
        <v>#N/A</v>
      </c>
      <c r="I450" t="e">
        <f>VLOOKUP(Tabell38[[#This Row],[Nät]],'Leveranser per nät'!A:A,1,FALSE)</f>
        <v>#N/A</v>
      </c>
      <c r="O450" t="s">
        <v>806</v>
      </c>
      <c r="P450" t="s">
        <v>806</v>
      </c>
      <c r="Q450" s="44" t="s">
        <v>806</v>
      </c>
      <c r="R450">
        <f t="shared" si="37"/>
        <v>0</v>
      </c>
      <c r="S450">
        <f t="shared" si="38"/>
        <v>0</v>
      </c>
      <c r="T450">
        <f t="shared" si="39"/>
        <v>0</v>
      </c>
      <c r="U450">
        <f t="shared" si="40"/>
        <v>0</v>
      </c>
      <c r="V450">
        <f t="shared" si="41"/>
        <v>0</v>
      </c>
      <c r="W450">
        <f t="shared" si="42"/>
        <v>0</v>
      </c>
    </row>
    <row r="451" spans="1:23" x14ac:dyDescent="0.25">
      <c r="A451" t="s">
        <v>569</v>
      </c>
      <c r="B451" t="s">
        <v>376</v>
      </c>
      <c r="C451">
        <v>205.5</v>
      </c>
      <c r="D451">
        <v>0</v>
      </c>
      <c r="E451">
        <v>0</v>
      </c>
      <c r="F451">
        <v>0</v>
      </c>
      <c r="G451" s="105">
        <f>Tabell38[[#This Row],[Såld värme (GWh)]]-Tabell38[[#This Row],[Levererad värme, andra fjärrvärmeföretag, företag 1 (GWh)]]-Tabell38[[#This Row],[Levererad värme, andra fjärrvärmeföretag, företag 2 (GWh)]]-Tabell38[[#This Row],[Levererad värme, andra fjärrvärmeföretag, företag 3 (GWh)]]</f>
        <v>205.5</v>
      </c>
      <c r="H451" s="102" t="str">
        <f>VLOOKUP(Tabell38[[#This Row],[Nät]],Tabell5[],2,FALSE)</f>
        <v>Örnsköldsvik</v>
      </c>
      <c r="I451" t="str">
        <f>VLOOKUP(Tabell38[[#This Row],[Nät]],'Leveranser per nät'!A:A,1,FALSE)</f>
        <v>Örnsköldsvik</v>
      </c>
      <c r="O451" t="s">
        <v>806</v>
      </c>
      <c r="P451" t="s">
        <v>806</v>
      </c>
      <c r="Q451" s="111" t="s">
        <v>806</v>
      </c>
      <c r="R451">
        <f t="shared" ref="R451:T451" si="43">IF(O451="ET",0,O451)</f>
        <v>0</v>
      </c>
      <c r="S451">
        <f t="shared" si="43"/>
        <v>0</v>
      </c>
      <c r="T451">
        <f t="shared" si="43"/>
        <v>0</v>
      </c>
      <c r="U451">
        <f t="shared" ref="U451" si="44">IF(R451="-",0,R451)</f>
        <v>0</v>
      </c>
      <c r="V451">
        <f t="shared" ref="V451" si="45">IF(S451="-",0,S451)</f>
        <v>0</v>
      </c>
      <c r="W451">
        <f t="shared" ref="W451" si="46">IF(T451="-",0,T451)</f>
        <v>0</v>
      </c>
    </row>
  </sheetData>
  <phoneticPr fontId="32" type="noConversion"/>
  <pageMargins left="0.7" right="0.7" top="0.75" bottom="0.75" header="0.3" footer="0.3"/>
  <legacyDrawing r:id="rId1"/>
  <tableParts count="1">
    <tablePart r:id="rId2"/>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1C66E-9581-4CE4-8578-9C198DC78EEF}">
  <sheetPr codeName="Blad19"/>
  <dimension ref="A1:M408"/>
  <sheetViews>
    <sheetView topLeftCell="A199" workbookViewId="0">
      <selection activeCell="B153" sqref="B153"/>
    </sheetView>
  </sheetViews>
  <sheetFormatPr defaultRowHeight="15" x14ac:dyDescent="0.25"/>
  <cols>
    <col min="1" max="1" width="43.7109375" bestFit="1" customWidth="1"/>
    <col min="2" max="2" width="21.140625" customWidth="1"/>
    <col min="3" max="3" width="19.28515625" customWidth="1"/>
    <col min="4" max="4" width="6.5703125" customWidth="1"/>
    <col min="5" max="5" width="6.140625" customWidth="1"/>
    <col min="6" max="6" width="5.28515625" customWidth="1"/>
    <col min="7" max="7" width="11.5703125" bestFit="1" customWidth="1"/>
    <col min="8" max="8" width="18.42578125" customWidth="1"/>
    <col min="9" max="9" width="32.140625" bestFit="1" customWidth="1"/>
  </cols>
  <sheetData>
    <row r="1" spans="1:9" ht="15.75" thickBot="1" x14ac:dyDescent="0.3">
      <c r="A1" s="39" t="s">
        <v>783</v>
      </c>
      <c r="B1" s="39" t="s">
        <v>544</v>
      </c>
      <c r="C1" s="39" t="s">
        <v>803</v>
      </c>
      <c r="D1" s="39" t="s">
        <v>919</v>
      </c>
      <c r="E1" s="39" t="s">
        <v>920</v>
      </c>
      <c r="F1" s="39" t="s">
        <v>921</v>
      </c>
      <c r="G1" s="39" t="s">
        <v>1013</v>
      </c>
      <c r="H1" s="39" t="s">
        <v>1029</v>
      </c>
      <c r="I1" s="39" t="s">
        <v>1056</v>
      </c>
    </row>
    <row r="2" spans="1:9" x14ac:dyDescent="0.25">
      <c r="A2" t="s">
        <v>956</v>
      </c>
      <c r="B2" t="s">
        <v>85</v>
      </c>
      <c r="C2" s="101">
        <v>7.4340000000000002</v>
      </c>
      <c r="G2" s="105">
        <f>Tabell3[[#This Row],[Såld värme (GWh)]]-Tabell3[[#This Row],[Levererad värme, andra fjärrvärmeföretag, företag 1 (GWh)]]-Tabell3[[#This Row],[Levererad värme, andra fjärrvärmeföretag, företag 2 (GWh)]]-Tabell3[[#This Row],[Levererad värme, andra fjärrvärmeföretag, företag 3 (GWh)]]</f>
        <v>7.4340000000000002</v>
      </c>
      <c r="H2" s="102" t="str">
        <f>VLOOKUP(Tabell3[[#This Row],[Nät]],Tabell5[],2,FALSE)</f>
        <v>Bara</v>
      </c>
      <c r="I2" t="str">
        <f>VLOOKUP(Tabell3[[#This Row],[Nät]],'Leveranser per nät'!A:A,1,FALSE)</f>
        <v>Bara</v>
      </c>
    </row>
    <row r="3" spans="1:9" x14ac:dyDescent="0.25">
      <c r="A3" t="s">
        <v>956</v>
      </c>
      <c r="B3" t="s">
        <v>41</v>
      </c>
      <c r="C3" s="101">
        <v>15.275</v>
      </c>
      <c r="G3" s="105">
        <f>Tabell3[[#This Row],[Såld värme (GWh)]]-Tabell3[[#This Row],[Levererad värme, andra fjärrvärmeföretag, företag 1 (GWh)]]-Tabell3[[#This Row],[Levererad värme, andra fjärrvärmeföretag, företag 2 (GWh)]]-Tabell3[[#This Row],[Levererad värme, andra fjärrvärmeföretag, företag 3 (GWh)]]</f>
        <v>15.275</v>
      </c>
      <c r="H3" s="102" t="str">
        <f>VLOOKUP(Tabell3[[#This Row],[Nät]],Tabell5[],2,FALSE)</f>
        <v>Boxholm</v>
      </c>
      <c r="I3" t="str">
        <f>VLOOKUP(Tabell3[[#This Row],[Nät]],'Leveranser per nät'!A:A,1,FALSE)</f>
        <v>Boxholm</v>
      </c>
    </row>
    <row r="4" spans="1:9" x14ac:dyDescent="0.25">
      <c r="A4" t="s">
        <v>956</v>
      </c>
      <c r="B4" t="s">
        <v>52</v>
      </c>
      <c r="C4" s="101">
        <v>104.622</v>
      </c>
      <c r="G4" s="105">
        <f>Tabell3[[#This Row],[Såld värme (GWh)]]-Tabell3[[#This Row],[Levererad värme, andra fjärrvärmeföretag, företag 1 (GWh)]]-Tabell3[[#This Row],[Levererad värme, andra fjärrvärmeföretag, företag 2 (GWh)]]-Tabell3[[#This Row],[Levererad värme, andra fjärrvärmeföretag, företag 3 (GWh)]]</f>
        <v>104.622</v>
      </c>
      <c r="H4" s="102" t="str">
        <f>VLOOKUP(Tabell3[[#This Row],[Nät]],Tabell5[],2,FALSE)</f>
        <v>Mora</v>
      </c>
      <c r="I4" t="str">
        <f>VLOOKUP(Tabell3[[#This Row],[Nät]],'Leveranser per nät'!A:A,1,FALSE)</f>
        <v>Mora</v>
      </c>
    </row>
    <row r="5" spans="1:9" x14ac:dyDescent="0.25">
      <c r="A5" t="s">
        <v>956</v>
      </c>
      <c r="B5" t="s">
        <v>53</v>
      </c>
      <c r="C5" s="101">
        <v>22.591000000000001</v>
      </c>
      <c r="G5" s="105">
        <f>Tabell3[[#This Row],[Såld värme (GWh)]]-Tabell3[[#This Row],[Levererad värme, andra fjärrvärmeföretag, företag 1 (GWh)]]-Tabell3[[#This Row],[Levererad värme, andra fjärrvärmeföretag, företag 2 (GWh)]]-Tabell3[[#This Row],[Levererad värme, andra fjärrvärmeföretag, företag 3 (GWh)]]</f>
        <v>22.591000000000001</v>
      </c>
      <c r="H5" s="102" t="str">
        <f>VLOOKUP(Tabell3[[#This Row],[Nät]],Tabell5[],2,FALSE)</f>
        <v>Orsa</v>
      </c>
      <c r="I5" t="str">
        <f>VLOOKUP(Tabell3[[#This Row],[Nät]],'Leveranser per nät'!A:A,1,FALSE)</f>
        <v>Orsa</v>
      </c>
    </row>
    <row r="6" spans="1:9" x14ac:dyDescent="0.25">
      <c r="A6" t="s">
        <v>956</v>
      </c>
      <c r="B6" t="s">
        <v>49</v>
      </c>
      <c r="C6" s="101">
        <v>59.720999999999997</v>
      </c>
      <c r="G6" s="105">
        <f>Tabell3[[#This Row],[Såld värme (GWh)]]-Tabell3[[#This Row],[Levererad värme, andra fjärrvärmeföretag, företag 1 (GWh)]]-Tabell3[[#This Row],[Levererad värme, andra fjärrvärmeföretag, företag 2 (GWh)]]-Tabell3[[#This Row],[Levererad värme, andra fjärrvärmeföretag, företag 3 (GWh)]]</f>
        <v>59.720999999999997</v>
      </c>
      <c r="H6" s="102" t="str">
        <f>VLOOKUP(Tabell3[[#This Row],[Nät]],Tabell5[],2,FALSE)</f>
        <v>Sollefteå</v>
      </c>
      <c r="I6" t="str">
        <f>VLOOKUP(Tabell3[[#This Row],[Nät]],'Leveranser per nät'!A:A,1,FALSE)</f>
        <v>Sollefteå</v>
      </c>
    </row>
    <row r="7" spans="1:9" x14ac:dyDescent="0.25">
      <c r="A7" t="s">
        <v>956</v>
      </c>
      <c r="B7" t="s">
        <v>44</v>
      </c>
      <c r="C7" s="101">
        <v>25.547000000000001</v>
      </c>
      <c r="G7" s="105">
        <f>Tabell3[[#This Row],[Såld värme (GWh)]]-Tabell3[[#This Row],[Levererad värme, andra fjärrvärmeföretag, företag 1 (GWh)]]-Tabell3[[#This Row],[Levererad värme, andra fjärrvärmeföretag, företag 2 (GWh)]]-Tabell3[[#This Row],[Levererad värme, andra fjärrvärmeföretag, företag 3 (GWh)]]</f>
        <v>25.547000000000001</v>
      </c>
      <c r="H7" s="102" t="str">
        <f>VLOOKUP(Tabell3[[#This Row],[Nät]],Tabell5[],2,FALSE)</f>
        <v>Staffanstorp</v>
      </c>
      <c r="I7" t="str">
        <f>VLOOKUP(Tabell3[[#This Row],[Nät]],'Leveranser per nät'!A:A,1,FALSE)</f>
        <v>Staffanstorp</v>
      </c>
    </row>
    <row r="8" spans="1:9" x14ac:dyDescent="0.25">
      <c r="A8" t="s">
        <v>956</v>
      </c>
      <c r="B8" t="s">
        <v>54</v>
      </c>
      <c r="C8" s="101">
        <v>70.462000000000003</v>
      </c>
      <c r="G8" s="105">
        <f>Tabell3[[#This Row],[Såld värme (GWh)]]-Tabell3[[#This Row],[Levererad värme, andra fjärrvärmeföretag, företag 1 (GWh)]]-Tabell3[[#This Row],[Levererad värme, andra fjärrvärmeföretag, företag 2 (GWh)]]-Tabell3[[#This Row],[Levererad värme, andra fjärrvärmeföretag, företag 3 (GWh)]]</f>
        <v>70.462000000000003</v>
      </c>
      <c r="H8" s="102" t="str">
        <f>VLOOKUP(Tabell3[[#This Row],[Nät]],Tabell5[],2,FALSE)</f>
        <v>Timrå</v>
      </c>
      <c r="I8" t="str">
        <f>VLOOKUP(Tabell3[[#This Row],[Nät]],'Leveranser per nät'!A:A,1,FALSE)</f>
        <v>Timrå</v>
      </c>
    </row>
    <row r="9" spans="1:9" x14ac:dyDescent="0.25">
      <c r="A9" t="s">
        <v>956</v>
      </c>
      <c r="B9" t="s">
        <v>58</v>
      </c>
      <c r="C9" s="101">
        <v>22.984000000000002</v>
      </c>
      <c r="G9" s="105">
        <f>Tabell3[[#This Row],[Såld värme (GWh)]]-Tabell3[[#This Row],[Levererad värme, andra fjärrvärmeföretag, företag 1 (GWh)]]-Tabell3[[#This Row],[Levererad värme, andra fjärrvärmeföretag, företag 2 (GWh)]]-Tabell3[[#This Row],[Levererad värme, andra fjärrvärmeföretag, företag 3 (GWh)]]</f>
        <v>22.984000000000002</v>
      </c>
      <c r="H9" s="102" t="str">
        <f>VLOOKUP(Tabell3[[#This Row],[Nät]],Tabell5[],2,FALSE)</f>
        <v>Vaxholm</v>
      </c>
      <c r="I9" t="str">
        <f>VLOOKUP(Tabell3[[#This Row],[Nät]],'Leveranser per nät'!A:A,1,FALSE)</f>
        <v>Vaxholm</v>
      </c>
    </row>
    <row r="10" spans="1:9" x14ac:dyDescent="0.25">
      <c r="A10" t="s">
        <v>956</v>
      </c>
      <c r="B10" t="s">
        <v>79</v>
      </c>
      <c r="C10" s="101">
        <v>84.292000000000002</v>
      </c>
      <c r="G10" s="105">
        <f>Tabell3[[#This Row],[Såld värme (GWh)]]-Tabell3[[#This Row],[Levererad värme, andra fjärrvärmeföretag, företag 1 (GWh)]]-Tabell3[[#This Row],[Levererad värme, andra fjärrvärmeföretag, företag 2 (GWh)]]-Tabell3[[#This Row],[Levererad värme, andra fjärrvärmeföretag, företag 3 (GWh)]]</f>
        <v>84.292000000000002</v>
      </c>
      <c r="H10" s="102" t="str">
        <f>VLOOKUP(Tabell3[[#This Row],[Nät]],Tabell5[],2,FALSE)</f>
        <v>Älmhult</v>
      </c>
      <c r="I10" t="str">
        <f>VLOOKUP(Tabell3[[#This Row],[Nät]],'Leveranser per nät'!A:A,1,FALSE)</f>
        <v>Älmhult</v>
      </c>
    </row>
    <row r="11" spans="1:9" x14ac:dyDescent="0.25">
      <c r="A11" t="s">
        <v>809</v>
      </c>
      <c r="B11" t="s">
        <v>60</v>
      </c>
      <c r="C11" s="101">
        <v>4.9000000000000004</v>
      </c>
      <c r="G11" s="105">
        <f>Tabell3[[#This Row],[Såld värme (GWh)]]-Tabell3[[#This Row],[Levererad värme, andra fjärrvärmeföretag, företag 1 (GWh)]]-Tabell3[[#This Row],[Levererad värme, andra fjärrvärmeföretag, företag 2 (GWh)]]-Tabell3[[#This Row],[Levererad värme, andra fjärrvärmeföretag, företag 3 (GWh)]]</f>
        <v>4.9000000000000004</v>
      </c>
      <c r="H11" s="102" t="str">
        <f>VLOOKUP(Tabell3[[#This Row],[Nät]],Tabell5[],2,FALSE)</f>
        <v>Bollstabruk</v>
      </c>
      <c r="I11" t="str">
        <f>VLOOKUP(Tabell3[[#This Row],[Nät]],'Leveranser per nät'!A:A,1,FALSE)</f>
        <v>Bollstabruk</v>
      </c>
    </row>
    <row r="12" spans="1:9" x14ac:dyDescent="0.25">
      <c r="A12" t="s">
        <v>809</v>
      </c>
      <c r="B12" t="s">
        <v>31</v>
      </c>
      <c r="C12" s="101">
        <v>14.776999999999999</v>
      </c>
      <c r="G12" s="105">
        <f>Tabell3[[#This Row],[Såld värme (GWh)]]-Tabell3[[#This Row],[Levererad värme, andra fjärrvärmeföretag, företag 1 (GWh)]]-Tabell3[[#This Row],[Levererad värme, andra fjärrvärmeföretag, företag 2 (GWh)]]-Tabell3[[#This Row],[Levererad värme, andra fjärrvärmeföretag, företag 3 (GWh)]]</f>
        <v>14.776999999999999</v>
      </c>
      <c r="H12" s="102" t="e">
        <f>VLOOKUP(Tabell3[[#This Row],[Nät]],Tabell5[],2,FALSE)</f>
        <v>#N/A</v>
      </c>
      <c r="I12" t="str">
        <f>VLOOKUP(Tabell3[[#This Row],[Nät]],'Leveranser per nät'!A:A,1,FALSE)</f>
        <v>Bräcke</v>
      </c>
    </row>
    <row r="13" spans="1:9" x14ac:dyDescent="0.25">
      <c r="A13" t="s">
        <v>809</v>
      </c>
      <c r="B13" t="s">
        <v>603</v>
      </c>
      <c r="C13" s="101">
        <v>4.1840000000000002</v>
      </c>
      <c r="G13" s="105">
        <f>Tabell3[[#This Row],[Såld värme (GWh)]]-Tabell3[[#This Row],[Levererad värme, andra fjärrvärmeföretag, företag 1 (GWh)]]-Tabell3[[#This Row],[Levererad värme, andra fjärrvärmeföretag, företag 2 (GWh)]]-Tabell3[[#This Row],[Levererad värme, andra fjärrvärmeföretag, företag 3 (GWh)]]</f>
        <v>4.1840000000000002</v>
      </c>
      <c r="H13" s="102" t="str">
        <f>VLOOKUP(Tabell3[[#This Row],[Nät]],Tabell5[],2,FALSE)</f>
        <v>Friggesund</v>
      </c>
      <c r="I13" t="str">
        <f>VLOOKUP(Tabell3[[#This Row],[Nät]],'Leveranser per nät'!A:A,1,FALSE)</f>
        <v>Friggesund</v>
      </c>
    </row>
    <row r="14" spans="1:9" x14ac:dyDescent="0.25">
      <c r="A14" t="s">
        <v>809</v>
      </c>
      <c r="B14" t="s">
        <v>607</v>
      </c>
      <c r="C14" s="101">
        <v>5.5890000000000004</v>
      </c>
      <c r="G14" s="105">
        <f>Tabell3[[#This Row],[Såld värme (GWh)]]-Tabell3[[#This Row],[Levererad värme, andra fjärrvärmeföretag, företag 1 (GWh)]]-Tabell3[[#This Row],[Levererad värme, andra fjärrvärmeföretag, företag 2 (GWh)]]-Tabell3[[#This Row],[Levererad värme, andra fjärrvärmeföretag, företag 3 (GWh)]]</f>
        <v>5.5890000000000004</v>
      </c>
      <c r="H14" s="102" t="str">
        <f>VLOOKUP(Tabell3[[#This Row],[Nät]],Tabell5[],2,FALSE)</f>
        <v>Funäsdalen</v>
      </c>
      <c r="I14" t="str">
        <f>VLOOKUP(Tabell3[[#This Row],[Nät]],'Leveranser per nät'!A:A,1,FALSE)</f>
        <v>Funäsdalen</v>
      </c>
    </row>
    <row r="15" spans="1:9" x14ac:dyDescent="0.25">
      <c r="A15" t="s">
        <v>809</v>
      </c>
      <c r="B15" t="s">
        <v>64</v>
      </c>
      <c r="C15" s="101">
        <v>7.6479999999999997</v>
      </c>
      <c r="G15" s="105">
        <f>Tabell3[[#This Row],[Såld värme (GWh)]]-Tabell3[[#This Row],[Levererad värme, andra fjärrvärmeföretag, företag 1 (GWh)]]-Tabell3[[#This Row],[Levererad värme, andra fjärrvärmeföretag, företag 2 (GWh)]]-Tabell3[[#This Row],[Levererad värme, andra fjärrvärmeföretag, företag 3 (GWh)]]</f>
        <v>7.6479999999999997</v>
      </c>
      <c r="H15" s="102" t="str">
        <f>VLOOKUP(Tabell3[[#This Row],[Nät]],Tabell5[],2,FALSE)</f>
        <v>Hede</v>
      </c>
      <c r="I15" t="str">
        <f>VLOOKUP(Tabell3[[#This Row],[Nät]],'Leveranser per nät'!A:A,1,FALSE)</f>
        <v>Hede</v>
      </c>
    </row>
    <row r="16" spans="1:9" x14ac:dyDescent="0.25">
      <c r="A16" t="s">
        <v>809</v>
      </c>
      <c r="B16" t="s">
        <v>957</v>
      </c>
      <c r="C16" s="101">
        <v>15.265000000000001</v>
      </c>
      <c r="G16" s="105">
        <f>Tabell3[[#This Row],[Såld värme (GWh)]]-Tabell3[[#This Row],[Levererad värme, andra fjärrvärmeföretag, företag 1 (GWh)]]-Tabell3[[#This Row],[Levererad värme, andra fjärrvärmeföretag, företag 2 (GWh)]]-Tabell3[[#This Row],[Levererad värme, andra fjärrvärmeföretag, företag 3 (GWh)]]</f>
        <v>15.265000000000001</v>
      </c>
      <c r="H16" s="102" t="str">
        <f>VLOOKUP(Tabell3[[#This Row],[Nät]],Tabell5[],2,FALSE)</f>
        <v>Lenhovda</v>
      </c>
      <c r="I16" t="str">
        <f>VLOOKUP(Tabell3[[#This Row],[Nät]],'Leveranser per nät'!A:A,1,FALSE)</f>
        <v>Lenhovda</v>
      </c>
    </row>
    <row r="17" spans="1:9" x14ac:dyDescent="0.25">
      <c r="A17" t="s">
        <v>809</v>
      </c>
      <c r="B17" t="s">
        <v>69</v>
      </c>
      <c r="C17" s="101">
        <v>3.9</v>
      </c>
      <c r="G17" s="105">
        <f>Tabell3[[#This Row],[Såld värme (GWh)]]-Tabell3[[#This Row],[Levererad värme, andra fjärrvärmeföretag, företag 1 (GWh)]]-Tabell3[[#This Row],[Levererad värme, andra fjärrvärmeföretag, företag 2 (GWh)]]-Tabell3[[#This Row],[Levererad värme, andra fjärrvärmeföretag, företag 3 (GWh)]]</f>
        <v>3.9</v>
      </c>
      <c r="H17" s="102" t="str">
        <f>VLOOKUP(Tabell3[[#This Row],[Nät]],Tabell5[],2,FALSE)</f>
        <v>Långsele</v>
      </c>
      <c r="I17" t="str">
        <f>VLOOKUP(Tabell3[[#This Row],[Nät]],'Leveranser per nät'!A:A,1,FALSE)</f>
        <v>Långsele</v>
      </c>
    </row>
    <row r="18" spans="1:9" x14ac:dyDescent="0.25">
      <c r="A18" t="s">
        <v>809</v>
      </c>
      <c r="B18" t="s">
        <v>71</v>
      </c>
      <c r="C18" s="101">
        <v>1.827</v>
      </c>
      <c r="G18" s="105">
        <f>Tabell3[[#This Row],[Såld värme (GWh)]]-Tabell3[[#This Row],[Levererad värme, andra fjärrvärmeföretag, företag 1 (GWh)]]-Tabell3[[#This Row],[Levererad värme, andra fjärrvärmeföretag, företag 2 (GWh)]]-Tabell3[[#This Row],[Levererad värme, andra fjärrvärmeföretag, företag 3 (GWh)]]</f>
        <v>1.827</v>
      </c>
      <c r="H18" s="102" t="str">
        <f>VLOOKUP(Tabell3[[#This Row],[Nät]],Tabell5[],2,FALSE)</f>
        <v>Näsåker</v>
      </c>
      <c r="I18" t="str">
        <f>VLOOKUP(Tabell3[[#This Row],[Nät]],'Leveranser per nät'!A:A,1,FALSE)</f>
        <v>Näsåker</v>
      </c>
    </row>
    <row r="19" spans="1:9" x14ac:dyDescent="0.25">
      <c r="A19" t="s">
        <v>809</v>
      </c>
      <c r="B19" t="s">
        <v>72</v>
      </c>
      <c r="C19" s="101">
        <v>5.1020000000000003</v>
      </c>
      <c r="G19" s="105">
        <f>Tabell3[[#This Row],[Såld värme (GWh)]]-Tabell3[[#This Row],[Levererad värme, andra fjärrvärmeföretag, företag 1 (GWh)]]-Tabell3[[#This Row],[Levererad värme, andra fjärrvärmeföretag, företag 2 (GWh)]]-Tabell3[[#This Row],[Levererad värme, andra fjärrvärmeföretag, företag 3 (GWh)]]</f>
        <v>5.1020000000000003</v>
      </c>
      <c r="H19" s="102" t="str">
        <f>VLOOKUP(Tabell3[[#This Row],[Nät]],Tabell5[],2,FALSE)</f>
        <v>Ramsele</v>
      </c>
      <c r="I19" t="str">
        <f>VLOOKUP(Tabell3[[#This Row],[Nät]],'Leveranser per nät'!A:A,1,FALSE)</f>
        <v>Ramsele</v>
      </c>
    </row>
    <row r="20" spans="1:9" x14ac:dyDescent="0.25">
      <c r="A20" t="s">
        <v>809</v>
      </c>
      <c r="B20" t="s">
        <v>958</v>
      </c>
      <c r="C20" s="101">
        <v>3.1920000000000002</v>
      </c>
      <c r="G20" s="105">
        <f>Tabell3[[#This Row],[Såld värme (GWh)]]-Tabell3[[#This Row],[Levererad värme, andra fjärrvärmeföretag, företag 1 (GWh)]]-Tabell3[[#This Row],[Levererad värme, andra fjärrvärmeföretag, företag 2 (GWh)]]-Tabell3[[#This Row],[Levererad värme, andra fjärrvärmeföretag, företag 3 (GWh)]]</f>
        <v>3.1920000000000002</v>
      </c>
      <c r="H20" s="102" t="str">
        <f>VLOOKUP(Tabell3[[#This Row],[Nät]],Tabell5[],2,FALSE)</f>
        <v>Sösdala</v>
      </c>
      <c r="I20" t="str">
        <f>VLOOKUP(Tabell3[[#This Row],[Nät]],'Leveranser per nät'!A:A,1,FALSE)</f>
        <v>Sösdala</v>
      </c>
    </row>
    <row r="21" spans="1:9" x14ac:dyDescent="0.25">
      <c r="A21" t="s">
        <v>639</v>
      </c>
      <c r="B21" t="s">
        <v>838</v>
      </c>
      <c r="C21" s="101">
        <v>0.39</v>
      </c>
      <c r="G21" s="105">
        <f>Tabell3[[#This Row],[Såld värme (GWh)]]-Tabell3[[#This Row],[Levererad värme, andra fjärrvärmeföretag, företag 1 (GWh)]]-Tabell3[[#This Row],[Levererad värme, andra fjärrvärmeföretag, företag 2 (GWh)]]-Tabell3[[#This Row],[Levererad värme, andra fjärrvärmeföretag, företag 3 (GWh)]]</f>
        <v>0.39</v>
      </c>
      <c r="H21" s="102" t="str">
        <f>VLOOKUP(Tabell3[[#This Row],[Nät]],Tabell5[],2,FALSE)</f>
        <v>Fridlevstad</v>
      </c>
      <c r="I21" t="str">
        <f>VLOOKUP(Tabell3[[#This Row],[Nät]],'Leveranser per nät'!A:A,1,FALSE)</f>
        <v>Fridlevstad</v>
      </c>
    </row>
    <row r="22" spans="1:9" x14ac:dyDescent="0.25">
      <c r="A22" t="s">
        <v>639</v>
      </c>
      <c r="B22" t="s">
        <v>640</v>
      </c>
      <c r="C22" s="101">
        <v>5</v>
      </c>
      <c r="G22" s="105">
        <f>Tabell3[[#This Row],[Såld värme (GWh)]]-Tabell3[[#This Row],[Levererad värme, andra fjärrvärmeföretag, företag 1 (GWh)]]-Tabell3[[#This Row],[Levererad värme, andra fjärrvärmeföretag, företag 2 (GWh)]]-Tabell3[[#This Row],[Levererad värme, andra fjärrvärmeföretag, företag 3 (GWh)]]</f>
        <v>5</v>
      </c>
      <c r="H22" s="102" t="str">
        <f>VLOOKUP(Tabell3[[#This Row],[Nät]],Tabell5[],2,FALSE)</f>
        <v>Jämjö</v>
      </c>
      <c r="I22" t="str">
        <f>VLOOKUP(Tabell3[[#This Row],[Nät]],'Leveranser per nät'!A:A,1,FALSE)</f>
        <v>Jämjö</v>
      </c>
    </row>
    <row r="23" spans="1:9" x14ac:dyDescent="0.25">
      <c r="A23" t="s">
        <v>639</v>
      </c>
      <c r="B23" t="s">
        <v>0</v>
      </c>
      <c r="C23" s="101">
        <v>236.58</v>
      </c>
      <c r="G23" s="105">
        <f>Tabell3[[#This Row],[Såld värme (GWh)]]-Tabell3[[#This Row],[Levererad värme, andra fjärrvärmeföretag, företag 1 (GWh)]]-Tabell3[[#This Row],[Levererad värme, andra fjärrvärmeföretag, företag 2 (GWh)]]-Tabell3[[#This Row],[Levererad värme, andra fjärrvärmeföretag, företag 3 (GWh)]]</f>
        <v>236.58</v>
      </c>
      <c r="H23" s="102" t="str">
        <f>VLOOKUP(Tabell3[[#This Row],[Nät]],Tabell5[],2,FALSE)</f>
        <v>Karlskrona</v>
      </c>
      <c r="I23" t="str">
        <f>VLOOKUP(Tabell3[[#This Row],[Nät]],'Leveranser per nät'!A:A,1,FALSE)</f>
        <v>Karlskrona</v>
      </c>
    </row>
    <row r="24" spans="1:9" x14ac:dyDescent="0.25">
      <c r="A24" t="s">
        <v>639</v>
      </c>
      <c r="B24" t="s">
        <v>682</v>
      </c>
      <c r="C24" s="101">
        <v>3.53</v>
      </c>
      <c r="G24" s="105">
        <f>Tabell3[[#This Row],[Såld värme (GWh)]]-Tabell3[[#This Row],[Levererad värme, andra fjärrvärmeföretag, företag 1 (GWh)]]-Tabell3[[#This Row],[Levererad värme, andra fjärrvärmeföretag, företag 2 (GWh)]]-Tabell3[[#This Row],[Levererad värme, andra fjärrvärmeföretag, företag 3 (GWh)]]</f>
        <v>3.53</v>
      </c>
      <c r="H24" s="102" t="str">
        <f>VLOOKUP(Tabell3[[#This Row],[Nät]],Tabell5[],2,FALSE)</f>
        <v>Nättraby</v>
      </c>
      <c r="I24" t="str">
        <f>VLOOKUP(Tabell3[[#This Row],[Nät]],'Leveranser per nät'!A:A,1,FALSE)</f>
        <v>Nättraby</v>
      </c>
    </row>
    <row r="25" spans="1:9" x14ac:dyDescent="0.25">
      <c r="A25" t="s">
        <v>639</v>
      </c>
      <c r="B25" t="s">
        <v>710</v>
      </c>
      <c r="C25" s="101">
        <v>0.63</v>
      </c>
      <c r="G25" s="105">
        <f>Tabell3[[#This Row],[Såld värme (GWh)]]-Tabell3[[#This Row],[Levererad värme, andra fjärrvärmeföretag, företag 1 (GWh)]]-Tabell3[[#This Row],[Levererad värme, andra fjärrvärmeföretag, företag 2 (GWh)]]-Tabell3[[#This Row],[Levererad värme, andra fjärrvärmeföretag, företag 3 (GWh)]]</f>
        <v>0.63</v>
      </c>
      <c r="H25" s="102" t="str">
        <f>VLOOKUP(Tabell3[[#This Row],[Nät]],Tabell5[],2,FALSE)</f>
        <v>Sturkö</v>
      </c>
      <c r="I25" t="str">
        <f>VLOOKUP(Tabell3[[#This Row],[Nät]],'Leveranser per nät'!A:A,1,FALSE)</f>
        <v>Sturkö</v>
      </c>
    </row>
    <row r="26" spans="1:9" x14ac:dyDescent="0.25">
      <c r="A26" t="s">
        <v>548</v>
      </c>
      <c r="B26" t="s">
        <v>1</v>
      </c>
      <c r="C26" s="101">
        <v>119.2</v>
      </c>
      <c r="G26" s="105">
        <f>Tabell3[[#This Row],[Såld värme (GWh)]]-Tabell3[[#This Row],[Levererad värme, andra fjärrvärmeföretag, företag 1 (GWh)]]-Tabell3[[#This Row],[Levererad värme, andra fjärrvärmeföretag, företag 2 (GWh)]]-Tabell3[[#This Row],[Levererad värme, andra fjärrvärmeföretag, företag 3 (GWh)]]</f>
        <v>119.2</v>
      </c>
      <c r="H26" s="102" t="str">
        <f>VLOOKUP(Tabell3[[#This Row],[Nät]],Tabell5[],2,FALSE)</f>
        <v>Alingsås</v>
      </c>
      <c r="I26" t="str">
        <f>VLOOKUP(Tabell3[[#This Row],[Nät]],'Leveranser per nät'!A:A,1,FALSE)</f>
        <v>Alingsås</v>
      </c>
    </row>
    <row r="27" spans="1:9" x14ac:dyDescent="0.25">
      <c r="A27" t="s">
        <v>549</v>
      </c>
      <c r="B27" t="s">
        <v>2</v>
      </c>
      <c r="C27" s="101">
        <v>54.71</v>
      </c>
      <c r="G27" s="105">
        <f>Tabell3[[#This Row],[Såld värme (GWh)]]-Tabell3[[#This Row],[Levererad värme, andra fjärrvärmeföretag, företag 1 (GWh)]]-Tabell3[[#This Row],[Levererad värme, andra fjärrvärmeföretag, företag 2 (GWh)]]-Tabell3[[#This Row],[Levererad värme, andra fjärrvärmeföretag, företag 3 (GWh)]]</f>
        <v>54.71</v>
      </c>
      <c r="H27" s="102" t="str">
        <f>VLOOKUP(Tabell3[[#This Row],[Nät]],Tabell5[],2,FALSE)</f>
        <v>Alvesta</v>
      </c>
      <c r="I27" t="str">
        <f>VLOOKUP(Tabell3[[#This Row],[Nät]],'Leveranser per nät'!A:A,1,FALSE)</f>
        <v>Alvesta</v>
      </c>
    </row>
    <row r="28" spans="1:9" x14ac:dyDescent="0.25">
      <c r="A28" t="s">
        <v>549</v>
      </c>
      <c r="B28" t="s">
        <v>3</v>
      </c>
      <c r="C28" s="101">
        <v>10.71</v>
      </c>
      <c r="G28" s="105">
        <f>Tabell3[[#This Row],[Såld värme (GWh)]]-Tabell3[[#This Row],[Levererad värme, andra fjärrvärmeföretag, företag 1 (GWh)]]-Tabell3[[#This Row],[Levererad värme, andra fjärrvärmeföretag, företag 2 (GWh)]]-Tabell3[[#This Row],[Levererad värme, andra fjärrvärmeföretag, företag 3 (GWh)]]</f>
        <v>10.71</v>
      </c>
      <c r="H28" s="102" t="str">
        <f>VLOOKUP(Tabell3[[#This Row],[Nät]],Tabell5[],2,FALSE)</f>
        <v>Moheda</v>
      </c>
      <c r="I28" t="str">
        <f>VLOOKUP(Tabell3[[#This Row],[Nät]],'Leveranser per nät'!A:A,1,FALSE)</f>
        <v>Moheda</v>
      </c>
    </row>
    <row r="29" spans="1:9" x14ac:dyDescent="0.25">
      <c r="A29" t="s">
        <v>549</v>
      </c>
      <c r="B29" t="s">
        <v>4</v>
      </c>
      <c r="C29" s="101">
        <v>16.16</v>
      </c>
      <c r="G29" s="105">
        <f>Tabell3[[#This Row],[Såld värme (GWh)]]-Tabell3[[#This Row],[Levererad värme, andra fjärrvärmeföretag, företag 1 (GWh)]]-Tabell3[[#This Row],[Levererad värme, andra fjärrvärmeföretag, företag 2 (GWh)]]-Tabell3[[#This Row],[Levererad värme, andra fjärrvärmeföretag, företag 3 (GWh)]]</f>
        <v>16.16</v>
      </c>
      <c r="H29" s="102" t="str">
        <f>VLOOKUP(Tabell3[[#This Row],[Nät]],Tabell5[],2,FALSE)</f>
        <v>Vislanda</v>
      </c>
      <c r="I29" t="str">
        <f>VLOOKUP(Tabell3[[#This Row],[Nät]],'Leveranser per nät'!A:A,1,FALSE)</f>
        <v>Vislanda</v>
      </c>
    </row>
    <row r="30" spans="1:9" x14ac:dyDescent="0.25">
      <c r="A30" t="s">
        <v>959</v>
      </c>
      <c r="B30" t="s">
        <v>792</v>
      </c>
      <c r="C30" s="101">
        <v>24.748999999999999</v>
      </c>
      <c r="G30" s="105">
        <f>Tabell3[[#This Row],[Såld värme (GWh)]]-Tabell3[[#This Row],[Levererad värme, andra fjärrvärmeföretag, företag 1 (GWh)]]-Tabell3[[#This Row],[Levererad värme, andra fjärrvärmeföretag, företag 2 (GWh)]]-Tabell3[[#This Row],[Levererad värme, andra fjärrvärmeföretag, företag 3 (GWh)]]</f>
        <v>24.748999999999999</v>
      </c>
      <c r="H30" s="102" t="e">
        <f>VLOOKUP(Tabell3[[#This Row],[Nät]],Tabell5[],2,FALSE)</f>
        <v>#N/A</v>
      </c>
      <c r="I30" t="str">
        <f>VLOOKUP(Tabell3[[#This Row],[Nät]],'Leveranser per nät'!A:A,1,FALSE)</f>
        <v>Aneby</v>
      </c>
    </row>
    <row r="31" spans="1:9" x14ac:dyDescent="0.25">
      <c r="A31" t="s">
        <v>554</v>
      </c>
      <c r="B31" t="s">
        <v>6</v>
      </c>
      <c r="C31" s="101">
        <v>41.6</v>
      </c>
      <c r="G31" s="105">
        <f>Tabell3[[#This Row],[Såld värme (GWh)]]-Tabell3[[#This Row],[Levererad värme, andra fjärrvärmeföretag, företag 1 (GWh)]]-Tabell3[[#This Row],[Levererad värme, andra fjärrvärmeföretag, företag 2 (GWh)]]-Tabell3[[#This Row],[Levererad värme, andra fjärrvärmeföretag, företag 3 (GWh)]]</f>
        <v>41.6</v>
      </c>
      <c r="H31" s="102" t="str">
        <f>VLOOKUP(Tabell3[[#This Row],[Nät]],Tabell5[],2,FALSE)</f>
        <v>Arvidsjaur</v>
      </c>
      <c r="I31" t="str">
        <f>VLOOKUP(Tabell3[[#This Row],[Nät]],'Leveranser per nät'!A:A,1,FALSE)</f>
        <v>Arvidsjaur</v>
      </c>
    </row>
    <row r="32" spans="1:9" x14ac:dyDescent="0.25">
      <c r="A32" t="s">
        <v>555</v>
      </c>
      <c r="B32" t="s">
        <v>119</v>
      </c>
      <c r="C32" s="101">
        <v>106.7</v>
      </c>
      <c r="G32" s="105">
        <f>Tabell3[[#This Row],[Såld värme (GWh)]]-Tabell3[[#This Row],[Levererad värme, andra fjärrvärmeföretag, företag 1 (GWh)]]-Tabell3[[#This Row],[Levererad värme, andra fjärrvärmeföretag, företag 2 (GWh)]]-Tabell3[[#This Row],[Levererad värme, andra fjärrvärmeföretag, företag 3 (GWh)]]</f>
        <v>106.7</v>
      </c>
      <c r="H32" s="102" t="str">
        <f>VLOOKUP(Tabell3[[#This Row],[Nät]],Tabell5[],2,FALSE)</f>
        <v>Arvika</v>
      </c>
      <c r="I32" t="str">
        <f>VLOOKUP(Tabell3[[#This Row],[Nät]],'Leveranser per nät'!A:A,1,FALSE)</f>
        <v>Arvika</v>
      </c>
    </row>
    <row r="33" spans="1:9" x14ac:dyDescent="0.25">
      <c r="A33" t="s">
        <v>562</v>
      </c>
      <c r="B33" t="s">
        <v>7</v>
      </c>
      <c r="C33" s="101">
        <v>8.6999999999999993</v>
      </c>
      <c r="G33" s="105">
        <f>Tabell3[[#This Row],[Såld värme (GWh)]]-Tabell3[[#This Row],[Levererad värme, andra fjärrvärmeföretag, företag 1 (GWh)]]-Tabell3[[#This Row],[Levererad värme, andra fjärrvärmeföretag, företag 2 (GWh)]]-Tabell3[[#This Row],[Levererad värme, andra fjärrvärmeföretag, företag 3 (GWh)]]</f>
        <v>8.6999999999999993</v>
      </c>
      <c r="H33" s="102" t="str">
        <f>VLOOKUP(Tabell3[[#This Row],[Nät]],Tabell5[],2,FALSE)</f>
        <v>Bengtsfors</v>
      </c>
      <c r="I33" t="str">
        <f>VLOOKUP(Tabell3[[#This Row],[Nät]],'Leveranser per nät'!A:A,1,FALSE)</f>
        <v>Bengtsfors</v>
      </c>
    </row>
    <row r="34" spans="1:9" x14ac:dyDescent="0.25">
      <c r="A34" t="s">
        <v>841</v>
      </c>
      <c r="B34" t="s">
        <v>19</v>
      </c>
      <c r="C34" s="101">
        <v>275</v>
      </c>
      <c r="G34" s="105">
        <f>Tabell3[[#This Row],[Såld värme (GWh)]]-Tabell3[[#This Row],[Levererad värme, andra fjärrvärmeföretag, företag 1 (GWh)]]-Tabell3[[#This Row],[Levererad värme, andra fjärrvärmeföretag, företag 2 (GWh)]]-Tabell3[[#This Row],[Levererad värme, andra fjärrvärmeföretag, företag 3 (GWh)]]</f>
        <v>275</v>
      </c>
      <c r="H34" s="102" t="str">
        <f>VLOOKUP(Tabell3[[#This Row],[Nät]],Tabell5[],2,FALSE)</f>
        <v>Boden</v>
      </c>
      <c r="I34" t="str">
        <f>VLOOKUP(Tabell3[[#This Row],[Nät]],'Leveranser per nät'!A:A,1,FALSE)</f>
        <v>Boden</v>
      </c>
    </row>
    <row r="35" spans="1:9" x14ac:dyDescent="0.25">
      <c r="A35" t="s">
        <v>553</v>
      </c>
      <c r="B35" t="s">
        <v>20</v>
      </c>
      <c r="C35" s="101">
        <v>17.331</v>
      </c>
      <c r="G35" s="105">
        <f>Tabell3[[#This Row],[Såld värme (GWh)]]-Tabell3[[#This Row],[Levererad värme, andra fjärrvärmeföretag, företag 1 (GWh)]]-Tabell3[[#This Row],[Levererad värme, andra fjärrvärmeföretag, företag 2 (GWh)]]-Tabell3[[#This Row],[Levererad värme, andra fjärrvärmeföretag, företag 3 (GWh)]]</f>
        <v>17.331</v>
      </c>
      <c r="H35" s="102" t="str">
        <f>VLOOKUP(Tabell3[[#This Row],[Nät]],Tabell5[],2,FALSE)</f>
        <v>Arbrå</v>
      </c>
      <c r="I35" t="str">
        <f>VLOOKUP(Tabell3[[#This Row],[Nät]],'Leveranser per nät'!A:A,1,FALSE)</f>
        <v>Arbrå</v>
      </c>
    </row>
    <row r="36" spans="1:9" x14ac:dyDescent="0.25">
      <c r="A36" t="s">
        <v>553</v>
      </c>
      <c r="B36" t="s">
        <v>21</v>
      </c>
      <c r="C36" s="101">
        <v>123.673</v>
      </c>
      <c r="G36" s="105">
        <f>Tabell3[[#This Row],[Såld värme (GWh)]]-Tabell3[[#This Row],[Levererad värme, andra fjärrvärmeföretag, företag 1 (GWh)]]-Tabell3[[#This Row],[Levererad värme, andra fjärrvärmeföretag, företag 2 (GWh)]]-Tabell3[[#This Row],[Levererad värme, andra fjärrvärmeföretag, företag 3 (GWh)]]</f>
        <v>123.673</v>
      </c>
      <c r="H36" s="102" t="str">
        <f>VLOOKUP(Tabell3[[#This Row],[Nät]],Tabell5[],2,FALSE)</f>
        <v>Bollnäs</v>
      </c>
      <c r="I36" t="str">
        <f>VLOOKUP(Tabell3[[#This Row],[Nät]],'Leveranser per nät'!A:A,1,FALSE)</f>
        <v>Bollnäs</v>
      </c>
    </row>
    <row r="37" spans="1:9" x14ac:dyDescent="0.25">
      <c r="A37" t="s">
        <v>553</v>
      </c>
      <c r="B37" t="s">
        <v>22</v>
      </c>
      <c r="C37" s="101">
        <v>22.18</v>
      </c>
      <c r="G37" s="105">
        <f>Tabell3[[#This Row],[Såld värme (GWh)]]-Tabell3[[#This Row],[Levererad värme, andra fjärrvärmeföretag, företag 1 (GWh)]]-Tabell3[[#This Row],[Levererad värme, andra fjärrvärmeföretag, företag 2 (GWh)]]-Tabell3[[#This Row],[Levererad värme, andra fjärrvärmeföretag, företag 3 (GWh)]]</f>
        <v>22.18</v>
      </c>
      <c r="H37" s="102" t="str">
        <f>VLOOKUP(Tabell3[[#This Row],[Nät]],Tabell5[],2,FALSE)</f>
        <v>Kilafors</v>
      </c>
      <c r="I37" t="str">
        <f>VLOOKUP(Tabell3[[#This Row],[Nät]],'Leveranser per nät'!A:A,1,FALSE)</f>
        <v>Kilafors</v>
      </c>
    </row>
    <row r="38" spans="1:9" x14ac:dyDescent="0.25">
      <c r="A38" t="s">
        <v>574</v>
      </c>
      <c r="B38" t="s">
        <v>23</v>
      </c>
      <c r="C38" s="101">
        <v>23.08</v>
      </c>
      <c r="G38" s="105">
        <f>Tabell3[[#This Row],[Såld värme (GWh)]]-Tabell3[[#This Row],[Levererad värme, andra fjärrvärmeföretag, företag 1 (GWh)]]-Tabell3[[#This Row],[Levererad värme, andra fjärrvärmeföretag, företag 2 (GWh)]]-Tabell3[[#This Row],[Levererad värme, andra fjärrvärmeföretag, företag 3 (GWh)]]</f>
        <v>23.08</v>
      </c>
      <c r="H38" s="102" t="str">
        <f>VLOOKUP(Tabell3[[#This Row],[Nät]],Tabell5[],2,FALSE)</f>
        <v>Borgholm</v>
      </c>
      <c r="I38" t="str">
        <f>VLOOKUP(Tabell3[[#This Row],[Nät]],'Leveranser per nät'!A:A,1,FALSE)</f>
        <v>Borgholm</v>
      </c>
    </row>
    <row r="39" spans="1:9" x14ac:dyDescent="0.25">
      <c r="A39" t="s">
        <v>574</v>
      </c>
      <c r="B39" t="s">
        <v>24</v>
      </c>
      <c r="C39" s="101">
        <v>2.3759999999999999</v>
      </c>
      <c r="G39" s="105">
        <f>Tabell3[[#This Row],[Såld värme (GWh)]]-Tabell3[[#This Row],[Levererad värme, andra fjärrvärmeföretag, företag 1 (GWh)]]-Tabell3[[#This Row],[Levererad värme, andra fjärrvärmeföretag, företag 2 (GWh)]]-Tabell3[[#This Row],[Levererad värme, andra fjärrvärmeföretag, företag 3 (GWh)]]</f>
        <v>2.3759999999999999</v>
      </c>
      <c r="H39" s="102" t="str">
        <f>VLOOKUP(Tabell3[[#This Row],[Nät]],Tabell5[],2,FALSE)</f>
        <v>Löttorp</v>
      </c>
      <c r="I39" t="str">
        <f>VLOOKUP(Tabell3[[#This Row],[Nät]],'Leveranser per nät'!A:A,1,FALSE)</f>
        <v>Löttorp</v>
      </c>
    </row>
    <row r="40" spans="1:9" x14ac:dyDescent="0.25">
      <c r="A40" t="s">
        <v>575</v>
      </c>
      <c r="B40" t="s">
        <v>25</v>
      </c>
      <c r="C40" s="101">
        <v>430.88900000000001</v>
      </c>
      <c r="D40">
        <v>50.125</v>
      </c>
      <c r="G40" s="105">
        <f>Tabell3[[#This Row],[Såld värme (GWh)]]-Tabell3[[#This Row],[Levererad värme, andra fjärrvärmeföretag, företag 1 (GWh)]]-Tabell3[[#This Row],[Levererad värme, andra fjärrvärmeföretag, företag 2 (GWh)]]-Tabell3[[#This Row],[Levererad värme, andra fjärrvärmeföretag, företag 3 (GWh)]]</f>
        <v>380.76400000000001</v>
      </c>
      <c r="H40" s="102" t="str">
        <f>VLOOKUP(Tabell3[[#This Row],[Nät]],Tabell5[],2,FALSE)</f>
        <v>Borlänge</v>
      </c>
      <c r="I40" t="str">
        <f>VLOOKUP(Tabell3[[#This Row],[Nät]],'Leveranser per nät'!A:A,1,FALSE)</f>
        <v>Borlänge</v>
      </c>
    </row>
    <row r="41" spans="1:9" x14ac:dyDescent="0.25">
      <c r="A41" t="s">
        <v>575</v>
      </c>
      <c r="B41" t="s">
        <v>26</v>
      </c>
      <c r="C41" s="101">
        <v>1.861</v>
      </c>
      <c r="G41" s="105">
        <f>Tabell3[[#This Row],[Såld värme (GWh)]]-Tabell3[[#This Row],[Levererad värme, andra fjärrvärmeföretag, företag 1 (GWh)]]-Tabell3[[#This Row],[Levererad värme, andra fjärrvärmeföretag, företag 2 (GWh)]]-Tabell3[[#This Row],[Levererad värme, andra fjärrvärmeföretag, företag 3 (GWh)]]</f>
        <v>1.861</v>
      </c>
      <c r="H41" s="102" t="str">
        <f>VLOOKUP(Tabell3[[#This Row],[Nät]],Tabell5[],2,FALSE)</f>
        <v>Ornäs</v>
      </c>
      <c r="I41" t="str">
        <f>VLOOKUP(Tabell3[[#This Row],[Nät]],'Leveranser per nät'!A:A,1,FALSE)</f>
        <v>Ornäs</v>
      </c>
    </row>
    <row r="42" spans="1:9" x14ac:dyDescent="0.25">
      <c r="A42" t="s">
        <v>575</v>
      </c>
      <c r="B42" t="s">
        <v>27</v>
      </c>
      <c r="C42" s="101">
        <v>3.2610000000000001</v>
      </c>
      <c r="G42" s="105">
        <f>Tabell3[[#This Row],[Såld värme (GWh)]]-Tabell3[[#This Row],[Levererad värme, andra fjärrvärmeföretag, företag 1 (GWh)]]-Tabell3[[#This Row],[Levererad värme, andra fjärrvärmeföretag, företag 2 (GWh)]]-Tabell3[[#This Row],[Levererad värme, andra fjärrvärmeföretag, företag 3 (GWh)]]</f>
        <v>3.2610000000000001</v>
      </c>
      <c r="H42" s="102" t="str">
        <f>VLOOKUP(Tabell3[[#This Row],[Nät]],Tabell5[],2,FALSE)</f>
        <v>Torsång</v>
      </c>
      <c r="I42" t="str">
        <f>VLOOKUP(Tabell3[[#This Row],[Nät]],'Leveranser per nät'!A:A,1,FALSE)</f>
        <v>Torsång</v>
      </c>
    </row>
    <row r="43" spans="1:9" x14ac:dyDescent="0.25">
      <c r="A43" t="s">
        <v>961</v>
      </c>
      <c r="B43" t="s">
        <v>29</v>
      </c>
      <c r="C43" s="101">
        <v>586.19399999999996</v>
      </c>
      <c r="G43" s="105">
        <f>Tabell3[[#This Row],[Såld värme (GWh)]]-Tabell3[[#This Row],[Levererad värme, andra fjärrvärmeföretag, företag 1 (GWh)]]-Tabell3[[#This Row],[Levererad värme, andra fjärrvärmeföretag, företag 2 (GWh)]]-Tabell3[[#This Row],[Levererad värme, andra fjärrvärmeföretag, företag 3 (GWh)]]</f>
        <v>586.19399999999996</v>
      </c>
      <c r="H43" s="102" t="str">
        <f>VLOOKUP(Tabell3[[#This Row],[Nät]],Tabell5[],2,FALSE)</f>
        <v>Borås</v>
      </c>
      <c r="I43" t="str">
        <f>VLOOKUP(Tabell3[[#This Row],[Nät]],'Leveranser per nät'!A:A,1,FALSE)</f>
        <v>Borås</v>
      </c>
    </row>
    <row r="44" spans="1:9" x14ac:dyDescent="0.25">
      <c r="A44" t="s">
        <v>961</v>
      </c>
      <c r="B44" t="s">
        <v>28</v>
      </c>
      <c r="C44" s="101">
        <v>7.0259999999999998</v>
      </c>
      <c r="G44" s="105">
        <f>Tabell3[[#This Row],[Såld värme (GWh)]]-Tabell3[[#This Row],[Levererad värme, andra fjärrvärmeföretag, företag 1 (GWh)]]-Tabell3[[#This Row],[Levererad värme, andra fjärrvärmeföretag, företag 2 (GWh)]]-Tabell3[[#This Row],[Levererad värme, andra fjärrvärmeföretag, företag 3 (GWh)]]</f>
        <v>7.0259999999999998</v>
      </c>
      <c r="H44" s="102" t="str">
        <f>VLOOKUP(Tabell3[[#This Row],[Nät]],Tabell5[],2,FALSE)</f>
        <v>Fristad</v>
      </c>
      <c r="I44" t="str">
        <f>VLOOKUP(Tabell3[[#This Row],[Nät]],'Leveranser per nät'!A:A,1,FALSE)</f>
        <v>Fristad</v>
      </c>
    </row>
    <row r="45" spans="1:9" x14ac:dyDescent="0.25">
      <c r="A45" t="s">
        <v>578</v>
      </c>
      <c r="B45" t="s">
        <v>30</v>
      </c>
      <c r="C45" s="101">
        <v>34.299999999999997</v>
      </c>
      <c r="G45" s="105">
        <f>Tabell3[[#This Row],[Såld värme (GWh)]]-Tabell3[[#This Row],[Levererad värme, andra fjärrvärmeföretag, företag 1 (GWh)]]-Tabell3[[#This Row],[Levererad värme, andra fjärrvärmeföretag, företag 2 (GWh)]]-Tabell3[[#This Row],[Levererad värme, andra fjärrvärmeföretag, företag 3 (GWh)]]</f>
        <v>34.299999999999997</v>
      </c>
      <c r="H45" s="102" t="str">
        <f>VLOOKUP(Tabell3[[#This Row],[Nät]],Tabell5[],2,FALSE)</f>
        <v>Bromölla</v>
      </c>
      <c r="I45" t="str">
        <f>VLOOKUP(Tabell3[[#This Row],[Nät]],'Leveranser per nät'!A:A,1,FALSE)</f>
        <v>Bromölla</v>
      </c>
    </row>
    <row r="46" spans="1:9" x14ac:dyDescent="0.25">
      <c r="A46" t="s">
        <v>963</v>
      </c>
      <c r="B46" t="s">
        <v>845</v>
      </c>
      <c r="C46" s="101">
        <v>11.253</v>
      </c>
      <c r="G46" s="105">
        <f>Tabell3[[#This Row],[Såld värme (GWh)]]-Tabell3[[#This Row],[Levererad värme, andra fjärrvärmeföretag, företag 1 (GWh)]]-Tabell3[[#This Row],[Levererad värme, andra fjärrvärmeföretag, företag 2 (GWh)]]-Tabell3[[#This Row],[Levererad värme, andra fjärrvärmeföretag, företag 3 (GWh)]]</f>
        <v>11.253</v>
      </c>
      <c r="H46" s="102" t="str">
        <f>VLOOKUP(Tabell3[[#This Row],[Nät]],Tabell5[],2,FALSE)</f>
        <v>Berg</v>
      </c>
      <c r="I46" t="str">
        <f>VLOOKUP(Tabell3[[#This Row],[Nät]],'Leveranser per nät'!A:A,1,FALSE)</f>
        <v>Berg</v>
      </c>
    </row>
    <row r="47" spans="1:9" x14ac:dyDescent="0.25">
      <c r="A47" t="s">
        <v>600</v>
      </c>
      <c r="B47" t="s">
        <v>33</v>
      </c>
      <c r="C47" s="101">
        <v>4.4779999999999998</v>
      </c>
      <c r="G47" s="105">
        <f>Tabell3[[#This Row],[Såld värme (GWh)]]-Tabell3[[#This Row],[Levererad värme, andra fjärrvärmeföretag, företag 1 (GWh)]]-Tabell3[[#This Row],[Levererad värme, andra fjärrvärmeföretag, företag 2 (GWh)]]-Tabell3[[#This Row],[Levererad värme, andra fjärrvärmeföretag, företag 3 (GWh)]]</f>
        <v>4.4779999999999998</v>
      </c>
      <c r="H47" s="102" t="str">
        <f>VLOOKUP(Tabell3[[#This Row],[Nät]],Tabell5[],2,FALSE)</f>
        <v>Fjälkinge</v>
      </c>
      <c r="I47" t="str">
        <f>VLOOKUP(Tabell3[[#This Row],[Nät]],'Leveranser per nät'!A:A,1,FALSE)</f>
        <v>Fjälkinge</v>
      </c>
    </row>
    <row r="48" spans="1:9" x14ac:dyDescent="0.25">
      <c r="A48" t="s">
        <v>600</v>
      </c>
      <c r="B48" t="s">
        <v>34</v>
      </c>
      <c r="C48" s="101">
        <v>340.601</v>
      </c>
      <c r="G48" s="105">
        <f>Tabell3[[#This Row],[Såld värme (GWh)]]-Tabell3[[#This Row],[Levererad värme, andra fjärrvärmeföretag, företag 1 (GWh)]]-Tabell3[[#This Row],[Levererad värme, andra fjärrvärmeföretag, företag 2 (GWh)]]-Tabell3[[#This Row],[Levererad värme, andra fjärrvärmeföretag, företag 3 (GWh)]]</f>
        <v>340.601</v>
      </c>
      <c r="H48" s="102" t="str">
        <f>VLOOKUP(Tabell3[[#This Row],[Nät]],Tabell5[],2,FALSE)</f>
        <v>Kristianstad</v>
      </c>
      <c r="I48" t="str">
        <f>VLOOKUP(Tabell3[[#This Row],[Nät]],'Leveranser per nät'!A:A,1,FALSE)</f>
        <v>Kristianstad</v>
      </c>
    </row>
    <row r="49" spans="1:9" x14ac:dyDescent="0.25">
      <c r="A49" t="s">
        <v>636</v>
      </c>
      <c r="B49" t="s">
        <v>37</v>
      </c>
      <c r="C49" s="101">
        <v>9.0679999999999996</v>
      </c>
      <c r="G49" s="105">
        <f>Tabell3[[#This Row],[Såld värme (GWh)]]-Tabell3[[#This Row],[Levererad värme, andra fjärrvärmeföretag, företag 1 (GWh)]]-Tabell3[[#This Row],[Levererad värme, andra fjärrvärmeföretag, företag 2 (GWh)]]-Tabell3[[#This Row],[Levererad värme, andra fjärrvärmeföretag, företag 3 (GWh)]]</f>
        <v>9.0679999999999996</v>
      </c>
      <c r="H49" s="102" t="str">
        <f>VLOOKUP(Tabell3[[#This Row],[Nät]],Tabell5[],2,FALSE)</f>
        <v>Insjön</v>
      </c>
      <c r="I49" t="str">
        <f>VLOOKUP(Tabell3[[#This Row],[Nät]],'Leveranser per nät'!A:A,1,FALSE)</f>
        <v>Insjön</v>
      </c>
    </row>
    <row r="50" spans="1:9" x14ac:dyDescent="0.25">
      <c r="A50" t="s">
        <v>636</v>
      </c>
      <c r="B50" t="s">
        <v>38</v>
      </c>
      <c r="C50" s="101">
        <v>32.793999999999997</v>
      </c>
      <c r="G50" s="105">
        <f>Tabell3[[#This Row],[Såld värme (GWh)]]-Tabell3[[#This Row],[Levererad värme, andra fjärrvärmeföretag, företag 1 (GWh)]]-Tabell3[[#This Row],[Levererad värme, andra fjärrvärmeföretag, företag 2 (GWh)]]-Tabell3[[#This Row],[Levererad värme, andra fjärrvärmeföretag, företag 3 (GWh)]]</f>
        <v>32.793999999999997</v>
      </c>
      <c r="H50" s="102" t="str">
        <f>VLOOKUP(Tabell3[[#This Row],[Nät]],Tabell5[],2,FALSE)</f>
        <v>Leksand</v>
      </c>
      <c r="I50" t="str">
        <f>VLOOKUP(Tabell3[[#This Row],[Nät]],'Leveranser per nät'!A:A,1,FALSE)</f>
        <v>Leksand</v>
      </c>
    </row>
    <row r="51" spans="1:9" x14ac:dyDescent="0.25">
      <c r="A51" t="s">
        <v>630</v>
      </c>
      <c r="B51" t="s">
        <v>631</v>
      </c>
      <c r="C51" s="101">
        <v>35.67</v>
      </c>
      <c r="G51" s="105">
        <f>Tabell3[[#This Row],[Såld värme (GWh)]]-Tabell3[[#This Row],[Levererad värme, andra fjärrvärmeföretag, företag 1 (GWh)]]-Tabell3[[#This Row],[Levererad värme, andra fjärrvärmeföretag, företag 2 (GWh)]]-Tabell3[[#This Row],[Levererad värme, andra fjärrvärmeföretag, företag 3 (GWh)]]</f>
        <v>35.67</v>
      </c>
      <c r="H51" s="102" t="str">
        <f>VLOOKUP(Tabell3[[#This Row],[Nät]],Tabell5[],2,FALSE)</f>
        <v>HVC Degerfors</v>
      </c>
      <c r="I51" t="str">
        <f>VLOOKUP(Tabell3[[#This Row],[Nät]],'Leveranser per nät'!A:A,1,FALSE)</f>
        <v>HVC Degerfors</v>
      </c>
    </row>
    <row r="52" spans="1:9" x14ac:dyDescent="0.25">
      <c r="A52" t="s">
        <v>630</v>
      </c>
      <c r="B52" t="s">
        <v>1079</v>
      </c>
      <c r="C52" s="101"/>
      <c r="G52" s="105"/>
      <c r="H52" s="102"/>
    </row>
    <row r="53" spans="1:9" x14ac:dyDescent="0.25">
      <c r="A53" t="s">
        <v>630</v>
      </c>
      <c r="B53" t="s">
        <v>39</v>
      </c>
      <c r="C53" s="101">
        <v>1.38</v>
      </c>
      <c r="G53" s="105">
        <f>Tabell3[[#This Row],[Såld värme (GWh)]]-Tabell3[[#This Row],[Levererad värme, andra fjärrvärmeföretag, företag 1 (GWh)]]-Tabell3[[#This Row],[Levererad värme, andra fjärrvärmeföretag, företag 2 (GWh)]]-Tabell3[[#This Row],[Levererad värme, andra fjärrvärmeföretag, företag 3 (GWh)]]</f>
        <v>1.38</v>
      </c>
      <c r="H53" s="102" t="str">
        <f>VLOOKUP(Tabell3[[#This Row],[Nät]],Tabell5[],2,FALSE)</f>
        <v>Svartå</v>
      </c>
      <c r="I53" t="str">
        <f>VLOOKUP(Tabell3[[#This Row],[Nät]],'Leveranser per nät'!A:A,1,FALSE)</f>
        <v>Svartå</v>
      </c>
    </row>
    <row r="54" spans="1:9" x14ac:dyDescent="0.25">
      <c r="A54" t="s">
        <v>630</v>
      </c>
      <c r="B54" t="s">
        <v>40</v>
      </c>
      <c r="C54" s="101">
        <v>0.47299999999999998</v>
      </c>
      <c r="G54" s="105">
        <f>Tabell3[[#This Row],[Såld värme (GWh)]]-Tabell3[[#This Row],[Levererad värme, andra fjärrvärmeföretag, företag 1 (GWh)]]-Tabell3[[#This Row],[Levererad värme, andra fjärrvärmeföretag, företag 2 (GWh)]]-Tabell3[[#This Row],[Levererad värme, andra fjärrvärmeföretag, företag 3 (GWh)]]</f>
        <v>0.47299999999999998</v>
      </c>
      <c r="H54" s="102" t="str">
        <f>VLOOKUP(Tabell3[[#This Row],[Nät]],Tabell5[],2,FALSE)</f>
        <v>Åtorp</v>
      </c>
      <c r="I54" t="str">
        <f>VLOOKUP(Tabell3[[#This Row],[Nät]],'Leveranser per nät'!A:A,1,FALSE)</f>
        <v>Åtorp</v>
      </c>
    </row>
    <row r="55" spans="1:9" x14ac:dyDescent="0.25">
      <c r="A55" t="s">
        <v>1080</v>
      </c>
      <c r="B55" t="s">
        <v>1081</v>
      </c>
      <c r="C55" s="101"/>
      <c r="G55" s="105"/>
      <c r="H55" s="102"/>
    </row>
    <row r="56" spans="1:9" x14ac:dyDescent="0.25">
      <c r="A56" t="s">
        <v>1080</v>
      </c>
      <c r="B56" t="s">
        <v>62</v>
      </c>
      <c r="C56" s="101">
        <v>33.200000000000003</v>
      </c>
      <c r="G56" s="105">
        <f>Tabell3[[#This Row],[Såld värme (GWh)]]-Tabell3[[#This Row],[Levererad värme, andra fjärrvärmeföretag, företag 1 (GWh)]]-Tabell3[[#This Row],[Levererad värme, andra fjärrvärmeföretag, företag 2 (GWh)]]-Tabell3[[#This Row],[Levererad värme, andra fjärrvärmeföretag, företag 3 (GWh)]]</f>
        <v>33.200000000000003</v>
      </c>
      <c r="H56" s="102" t="e">
        <f>VLOOKUP(Tabell3[[#This Row],[Nät]],Tabell5[],2,FALSE)</f>
        <v>#N/A</v>
      </c>
      <c r="I56" t="str">
        <f>VLOOKUP(Tabell3[[#This Row],[Nät]],'Leveranser per nät'!A:A,1,FALSE)</f>
        <v>Bålsta</v>
      </c>
    </row>
    <row r="57" spans="1:9" x14ac:dyDescent="0.25">
      <c r="A57" t="s">
        <v>1080</v>
      </c>
      <c r="B57" t="s">
        <v>1082</v>
      </c>
      <c r="C57" s="101"/>
      <c r="G57" s="105"/>
      <c r="H57" s="102"/>
    </row>
    <row r="58" spans="1:9" x14ac:dyDescent="0.25">
      <c r="A58" t="s">
        <v>1080</v>
      </c>
      <c r="B58" t="s">
        <v>89</v>
      </c>
      <c r="C58" s="101">
        <v>1015</v>
      </c>
      <c r="G58" s="105">
        <f>Tabell3[[#This Row],[Såld värme (GWh)]]-Tabell3[[#This Row],[Levererad värme, andra fjärrvärmeföretag, företag 1 (GWh)]]-Tabell3[[#This Row],[Levererad värme, andra fjärrvärmeföretag, företag 2 (GWh)]]-Tabell3[[#This Row],[Levererad värme, andra fjärrvärmeföretag, företag 3 (GWh)]]</f>
        <v>1015</v>
      </c>
      <c r="H58" s="102" t="e">
        <f>VLOOKUP(Tabell3[[#This Row],[Nät]],Tabell5[],2,FALSE)</f>
        <v>#N/A</v>
      </c>
      <c r="I58" t="e">
        <f>VLOOKUP(Tabell3[[#This Row],[Nät]],'Leveranser per nät'!A:A,1,FALSE)</f>
        <v>#N/A</v>
      </c>
    </row>
    <row r="59" spans="1:9" x14ac:dyDescent="0.25">
      <c r="A59" t="s">
        <v>1080</v>
      </c>
      <c r="B59" t="s">
        <v>66</v>
      </c>
      <c r="C59" s="101">
        <v>462</v>
      </c>
      <c r="D59">
        <v>82</v>
      </c>
      <c r="G59" s="105">
        <f>Tabell3[[#This Row],[Såld värme (GWh)]]-Tabell3[[#This Row],[Levererad värme, andra fjärrvärmeföretag, företag 1 (GWh)]]-Tabell3[[#This Row],[Levererad värme, andra fjärrvärmeföretag, företag 2 (GWh)]]-Tabell3[[#This Row],[Levererad värme, andra fjärrvärmeföretag, företag 3 (GWh)]]</f>
        <v>380</v>
      </c>
      <c r="H59" s="102" t="str">
        <f>VLOOKUP(Tabell3[[#This Row],[Nät]],Tabell5[],2,FALSE)</f>
        <v>Järfälla</v>
      </c>
      <c r="I59" t="str">
        <f>VLOOKUP(Tabell3[[#This Row],[Nät]],'Leveranser per nät'!A:A,1,FALSE)</f>
        <v>Järfälla</v>
      </c>
    </row>
    <row r="60" spans="1:9" x14ac:dyDescent="0.25">
      <c r="A60" t="s">
        <v>1080</v>
      </c>
      <c r="B60" t="s">
        <v>1083</v>
      </c>
      <c r="C60" s="101" t="s">
        <v>806</v>
      </c>
      <c r="G60" s="105" t="e">
        <f>Tabell3[[#This Row],[Såld värme (GWh)]]-Tabell3[[#This Row],[Levererad värme, andra fjärrvärmeföretag, företag 1 (GWh)]]-Tabell3[[#This Row],[Levererad värme, andra fjärrvärmeföretag, företag 2 (GWh)]]-Tabell3[[#This Row],[Levererad värme, andra fjärrvärmeföretag, företag 3 (GWh)]]</f>
        <v>#VALUE!</v>
      </c>
      <c r="H60" s="102" t="e">
        <f>VLOOKUP(Tabell3[[#This Row],[Nät]],Tabell5[],2,FALSE)</f>
        <v>#N/A</v>
      </c>
      <c r="I60" t="e">
        <f>VLOOKUP(Tabell3[[#This Row],[Nät]],'Leveranser per nät'!A:A,1,FALSE)</f>
        <v>#N/A</v>
      </c>
    </row>
    <row r="61" spans="1:9" x14ac:dyDescent="0.25">
      <c r="A61" t="s">
        <v>1080</v>
      </c>
      <c r="B61" t="s">
        <v>43</v>
      </c>
      <c r="C61" s="101">
        <v>1971</v>
      </c>
      <c r="G61" s="105">
        <f>Tabell3[[#This Row],[Såld värme (GWh)]]-Tabell3[[#This Row],[Levererad värme, andra fjärrvärmeföretag, företag 1 (GWh)]]-Tabell3[[#This Row],[Levererad värme, andra fjärrvärmeföretag, företag 2 (GWh)]]-Tabell3[[#This Row],[Levererad värme, andra fjärrvärmeföretag, företag 3 (GWh)]]</f>
        <v>1971</v>
      </c>
      <c r="H61" s="102" t="e">
        <f>VLOOKUP(Tabell3[[#This Row],[Nät]],Tabell5[],2,FALSE)</f>
        <v>#N/A</v>
      </c>
      <c r="I61" t="str">
        <f>VLOOKUP(Tabell3[[#This Row],[Nät]],'Leveranser per nät'!A:A,1,FALSE)</f>
        <v>Malmö</v>
      </c>
    </row>
    <row r="62" spans="1:9" x14ac:dyDescent="0.25">
      <c r="A62" t="s">
        <v>1080</v>
      </c>
      <c r="B62" t="s">
        <v>927</v>
      </c>
      <c r="C62" s="101">
        <v>879</v>
      </c>
      <c r="G62" s="105">
        <f>Tabell3[[#This Row],[Såld värme (GWh)]]-Tabell3[[#This Row],[Levererad värme, andra fjärrvärmeföretag, företag 1 (GWh)]]-Tabell3[[#This Row],[Levererad värme, andra fjärrvärmeföretag, företag 2 (GWh)]]-Tabell3[[#This Row],[Levererad värme, andra fjärrvärmeföretag, företag 3 (GWh)]]</f>
        <v>879</v>
      </c>
      <c r="H62" s="102" t="e">
        <f>VLOOKUP(Tabell3[[#This Row],[Nät]],Tabell5[],2,FALSE)</f>
        <v>#N/A</v>
      </c>
      <c r="I62" t="str">
        <f>VLOOKUP(Tabell3[[#This Row],[Nät]],'Leveranser per nät'!A:A,1,FALSE)</f>
        <v>Norrköping - Söderköping</v>
      </c>
    </row>
    <row r="63" spans="1:9" x14ac:dyDescent="0.25">
      <c r="A63" t="s">
        <v>1080</v>
      </c>
      <c r="B63" t="s">
        <v>785</v>
      </c>
      <c r="C63" s="101">
        <v>77.5</v>
      </c>
      <c r="G63" s="105">
        <f>Tabell3[[#This Row],[Såld värme (GWh)]]-Tabell3[[#This Row],[Levererad värme, andra fjärrvärmeföretag, företag 1 (GWh)]]-Tabell3[[#This Row],[Levererad värme, andra fjärrvärmeföretag, företag 2 (GWh)]]-Tabell3[[#This Row],[Levererad värme, andra fjärrvärmeföretag, företag 3 (GWh)]]</f>
        <v>77.5</v>
      </c>
      <c r="H63" s="102" t="e">
        <f>VLOOKUP(Tabell3[[#This Row],[Nät]],Tabell5[],2,FALSE)</f>
        <v>#N/A</v>
      </c>
      <c r="I63" t="e">
        <f>VLOOKUP(Tabell3[[#This Row],[Nät]],'Leveranser per nät'!A:A,1,FALSE)</f>
        <v>#N/A</v>
      </c>
    </row>
    <row r="64" spans="1:9" x14ac:dyDescent="0.25">
      <c r="A64" t="s">
        <v>1080</v>
      </c>
      <c r="B64" t="s">
        <v>59</v>
      </c>
      <c r="C64" s="101">
        <v>61</v>
      </c>
      <c r="G64" s="105">
        <f>Tabell3[[#This Row],[Såld värme (GWh)]]-Tabell3[[#This Row],[Levererad värme, andra fjärrvärmeföretag, företag 1 (GWh)]]-Tabell3[[#This Row],[Levererad värme, andra fjärrvärmeföretag, företag 2 (GWh)]]-Tabell3[[#This Row],[Levererad värme, andra fjärrvärmeföretag, företag 3 (GWh)]]</f>
        <v>61</v>
      </c>
      <c r="H64" s="102" t="e">
        <f>VLOOKUP(Tabell3[[#This Row],[Nät]],Tabell5[],2,FALSE)</f>
        <v>#N/A</v>
      </c>
      <c r="I64" t="str">
        <f>VLOOKUP(Tabell3[[#This Row],[Nät]],'Leveranser per nät'!A:A,1,FALSE)</f>
        <v>Vallentuna</v>
      </c>
    </row>
    <row r="65" spans="1:9" x14ac:dyDescent="0.25">
      <c r="A65" t="s">
        <v>1080</v>
      </c>
      <c r="B65" t="s">
        <v>57</v>
      </c>
      <c r="C65" s="101">
        <v>65</v>
      </c>
      <c r="G65" s="105">
        <f>Tabell3[[#This Row],[Såld värme (GWh)]]-Tabell3[[#This Row],[Levererad värme, andra fjärrvärmeföretag, företag 1 (GWh)]]-Tabell3[[#This Row],[Levererad värme, andra fjärrvärmeföretag, företag 2 (GWh)]]-Tabell3[[#This Row],[Levererad värme, andra fjärrvärmeföretag, företag 3 (GWh)]]</f>
        <v>65</v>
      </c>
      <c r="H65" s="102" t="e">
        <f>VLOOKUP(Tabell3[[#This Row],[Nät]],Tabell5[],2,FALSE)</f>
        <v>#N/A</v>
      </c>
      <c r="I65" t="str">
        <f>VLOOKUP(Tabell3[[#This Row],[Nät]],'Leveranser per nät'!A:A,1,FALSE)</f>
        <v>Österåker</v>
      </c>
    </row>
    <row r="66" spans="1:9" x14ac:dyDescent="0.25">
      <c r="A66" t="s">
        <v>584</v>
      </c>
      <c r="B66" t="s">
        <v>584</v>
      </c>
      <c r="C66" s="101" t="s">
        <v>805</v>
      </c>
      <c r="D66" t="s">
        <v>805</v>
      </c>
      <c r="E66" t="s">
        <v>805</v>
      </c>
      <c r="F66" t="s">
        <v>805</v>
      </c>
      <c r="G66" s="105" t="e">
        <f>Tabell3[[#This Row],[Såld värme (GWh)]]-Tabell3[[#This Row],[Levererad värme, andra fjärrvärmeföretag, företag 1 (GWh)]]-Tabell3[[#This Row],[Levererad värme, andra fjärrvärmeföretag, företag 2 (GWh)]]-Tabell3[[#This Row],[Levererad värme, andra fjärrvärmeföretag, företag 3 (GWh)]]</f>
        <v>#VALUE!</v>
      </c>
      <c r="H66" s="102" t="str">
        <f>VLOOKUP(Tabell3[[#This Row],[Nät]],Tabell5[],2,FALSE)</f>
        <v>Eda</v>
      </c>
      <c r="I66" t="e">
        <f>VLOOKUP(Tabell3[[#This Row],[Nät]],'Leveranser per nät'!A:A,1,FALSE)</f>
        <v>#N/A</v>
      </c>
    </row>
    <row r="67" spans="1:9" x14ac:dyDescent="0.25">
      <c r="A67" t="s">
        <v>589</v>
      </c>
      <c r="B67" t="s">
        <v>91</v>
      </c>
      <c r="C67" s="101">
        <v>102.72199999999999</v>
      </c>
      <c r="G67" s="105">
        <f>Tabell3[[#This Row],[Såld värme (GWh)]]-Tabell3[[#This Row],[Levererad värme, andra fjärrvärmeföretag, företag 1 (GWh)]]-Tabell3[[#This Row],[Levererad värme, andra fjärrvärmeföretag, företag 2 (GWh)]]-Tabell3[[#This Row],[Levererad värme, andra fjärrvärmeföretag, företag 3 (GWh)]]</f>
        <v>102.72199999999999</v>
      </c>
      <c r="H67" s="102" t="str">
        <f>VLOOKUP(Tabell3[[#This Row],[Nät]],Tabell5[],2,FALSE)</f>
        <v>Eksjö</v>
      </c>
      <c r="I67" t="str">
        <f>VLOOKUP(Tabell3[[#This Row],[Nät]],'Leveranser per nät'!A:A,1,FALSE)</f>
        <v>Eksjö</v>
      </c>
    </row>
    <row r="68" spans="1:9" x14ac:dyDescent="0.25">
      <c r="A68" t="s">
        <v>589</v>
      </c>
      <c r="B68" t="s">
        <v>92</v>
      </c>
      <c r="C68" s="101">
        <v>2.8330000000000002</v>
      </c>
      <c r="G68" s="105">
        <f>Tabell3[[#This Row],[Såld värme (GWh)]]-Tabell3[[#This Row],[Levererad värme, andra fjärrvärmeföretag, företag 1 (GWh)]]-Tabell3[[#This Row],[Levererad värme, andra fjärrvärmeföretag, företag 2 (GWh)]]-Tabell3[[#This Row],[Levererad värme, andra fjärrvärmeföretag, företag 3 (GWh)]]</f>
        <v>2.8330000000000002</v>
      </c>
      <c r="H68" s="102" t="str">
        <f>VLOOKUP(Tabell3[[#This Row],[Nät]],Tabell5[],2,FALSE)</f>
        <v>Ingatorp</v>
      </c>
      <c r="I68" t="str">
        <f>VLOOKUP(Tabell3[[#This Row],[Nät]],'Leveranser per nät'!A:A,1,FALSE)</f>
        <v>Ingatorp</v>
      </c>
    </row>
    <row r="69" spans="1:9" x14ac:dyDescent="0.25">
      <c r="A69" t="s">
        <v>589</v>
      </c>
      <c r="B69" t="s">
        <v>93</v>
      </c>
      <c r="C69" s="101">
        <v>12.869</v>
      </c>
      <c r="G69" s="105">
        <f>Tabell3[[#This Row],[Såld värme (GWh)]]-Tabell3[[#This Row],[Levererad värme, andra fjärrvärmeföretag, företag 1 (GWh)]]-Tabell3[[#This Row],[Levererad värme, andra fjärrvärmeföretag, företag 2 (GWh)]]-Tabell3[[#This Row],[Levererad värme, andra fjärrvärmeföretag, företag 3 (GWh)]]</f>
        <v>12.869</v>
      </c>
      <c r="H69" s="102" t="str">
        <f>VLOOKUP(Tabell3[[#This Row],[Nät]],Tabell5[],2,FALSE)</f>
        <v>Mariannelund</v>
      </c>
      <c r="I69" t="str">
        <f>VLOOKUP(Tabell3[[#This Row],[Nät]],'Leveranser per nät'!A:A,1,FALSE)</f>
        <v>Mariannelund</v>
      </c>
    </row>
    <row r="70" spans="1:9" x14ac:dyDescent="0.25">
      <c r="A70" t="s">
        <v>964</v>
      </c>
      <c r="B70" t="s">
        <v>98</v>
      </c>
      <c r="C70" s="101">
        <v>42.5</v>
      </c>
      <c r="G70" s="105">
        <f>Tabell3[[#This Row],[Såld värme (GWh)]]-Tabell3[[#This Row],[Levererad värme, andra fjärrvärmeföretag, företag 1 (GWh)]]-Tabell3[[#This Row],[Levererad värme, andra fjärrvärmeföretag, företag 2 (GWh)]]-Tabell3[[#This Row],[Levererad värme, andra fjärrvärmeföretag, företag 3 (GWh)]]</f>
        <v>42.5</v>
      </c>
      <c r="H70" s="102" t="str">
        <f>VLOOKUP(Tabell3[[#This Row],[Nät]],Tabell5[],2,FALSE)</f>
        <v>Emmaboda</v>
      </c>
      <c r="I70" t="str">
        <f>VLOOKUP(Tabell3[[#This Row],[Nät]],'Leveranser per nät'!A:A,1,FALSE)</f>
        <v>Emmaboda</v>
      </c>
    </row>
    <row r="71" spans="1:9" x14ac:dyDescent="0.25">
      <c r="A71" t="s">
        <v>591</v>
      </c>
      <c r="B71" t="s">
        <v>101</v>
      </c>
      <c r="C71" s="101">
        <v>213</v>
      </c>
      <c r="G71" s="105">
        <f>Tabell3[[#This Row],[Såld värme (GWh)]]-Tabell3[[#This Row],[Levererad värme, andra fjärrvärmeföretag, företag 1 (GWh)]]-Tabell3[[#This Row],[Levererad värme, andra fjärrvärmeföretag, företag 2 (GWh)]]-Tabell3[[#This Row],[Levererad värme, andra fjärrvärmeföretag, företag 3 (GWh)]]</f>
        <v>213</v>
      </c>
      <c r="H71" s="102" t="str">
        <f>VLOOKUP(Tabell3[[#This Row],[Nät]],Tabell5[],2,FALSE)</f>
        <v>Enköping</v>
      </c>
      <c r="I71" t="str">
        <f>VLOOKUP(Tabell3[[#This Row],[Nät]],'Leveranser per nät'!A:A,1,FALSE)</f>
        <v>Enköping</v>
      </c>
    </row>
    <row r="72" spans="1:9" x14ac:dyDescent="0.25">
      <c r="A72" t="s">
        <v>592</v>
      </c>
      <c r="B72" t="s">
        <v>102</v>
      </c>
      <c r="C72" s="101">
        <v>640.34</v>
      </c>
      <c r="G72" s="105">
        <f>Tabell3[[#This Row],[Såld värme (GWh)]]-Tabell3[[#This Row],[Levererad värme, andra fjärrvärmeföretag, företag 1 (GWh)]]-Tabell3[[#This Row],[Levererad värme, andra fjärrvärmeföretag, företag 2 (GWh)]]-Tabell3[[#This Row],[Levererad värme, andra fjärrvärmeföretag, företag 3 (GWh)]]</f>
        <v>640.34</v>
      </c>
      <c r="H72" s="102" t="str">
        <f>VLOOKUP(Tabell3[[#This Row],[Nät]],Tabell5[],2,FALSE)</f>
        <v>Eskilstuna-Torshälla</v>
      </c>
      <c r="I72" t="str">
        <f>VLOOKUP(Tabell3[[#This Row],[Nät]],'Leveranser per nät'!A:A,1,FALSE)</f>
        <v>Eskilstuna-Torshälla</v>
      </c>
    </row>
    <row r="73" spans="1:9" x14ac:dyDescent="0.25">
      <c r="A73" t="s">
        <v>592</v>
      </c>
      <c r="B73" t="s">
        <v>104</v>
      </c>
      <c r="C73" s="101">
        <v>0.77500000000000002</v>
      </c>
      <c r="G73" s="105">
        <f>Tabell3[[#This Row],[Såld värme (GWh)]]-Tabell3[[#This Row],[Levererad värme, andra fjärrvärmeföretag, företag 1 (GWh)]]-Tabell3[[#This Row],[Levererad värme, andra fjärrvärmeföretag, företag 2 (GWh)]]-Tabell3[[#This Row],[Levererad värme, andra fjärrvärmeföretag, företag 3 (GWh)]]</f>
        <v>0.77500000000000002</v>
      </c>
      <c r="H73" s="102" t="str">
        <f>VLOOKUP(Tabell3[[#This Row],[Nät]],Tabell5[],2,FALSE)</f>
        <v>Kvicksund</v>
      </c>
      <c r="I73" t="str">
        <f>VLOOKUP(Tabell3[[#This Row],[Nät]],'Leveranser per nät'!A:A,1,FALSE)</f>
        <v>Kvicksund</v>
      </c>
    </row>
    <row r="74" spans="1:9" x14ac:dyDescent="0.25">
      <c r="A74" t="s">
        <v>592</v>
      </c>
      <c r="B74" t="s">
        <v>105</v>
      </c>
      <c r="C74" s="101">
        <v>5.8049999999999997</v>
      </c>
      <c r="G74" s="105">
        <f>Tabell3[[#This Row],[Såld värme (GWh)]]-Tabell3[[#This Row],[Levererad värme, andra fjärrvärmeföretag, företag 1 (GWh)]]-Tabell3[[#This Row],[Levererad värme, andra fjärrvärmeföretag, företag 2 (GWh)]]-Tabell3[[#This Row],[Levererad värme, andra fjärrvärmeföretag, företag 3 (GWh)]]</f>
        <v>5.8049999999999997</v>
      </c>
      <c r="H74" s="102" t="str">
        <f>VLOOKUP(Tabell3[[#This Row],[Nät]],Tabell5[],2,FALSE)</f>
        <v>Ärla</v>
      </c>
      <c r="I74" t="str">
        <f>VLOOKUP(Tabell3[[#This Row],[Nät]],'Leveranser per nät'!A:A,1,FALSE)</f>
        <v>Ärla</v>
      </c>
    </row>
    <row r="75" spans="1:9" x14ac:dyDescent="0.25">
      <c r="A75" t="s">
        <v>597</v>
      </c>
      <c r="B75" t="s">
        <v>106</v>
      </c>
      <c r="C75" s="101">
        <v>102.3</v>
      </c>
      <c r="G75" s="105">
        <f>Tabell3[[#This Row],[Såld värme (GWh)]]-Tabell3[[#This Row],[Levererad värme, andra fjärrvärmeföretag, företag 1 (GWh)]]-Tabell3[[#This Row],[Levererad värme, andra fjärrvärmeföretag, företag 2 (GWh)]]-Tabell3[[#This Row],[Levererad värme, andra fjärrvärmeföretag, företag 3 (GWh)]]</f>
        <v>102.3</v>
      </c>
      <c r="H75" s="102" t="str">
        <f>VLOOKUP(Tabell3[[#This Row],[Nät]],Tabell5[],2,FALSE)</f>
        <v>Falköping</v>
      </c>
      <c r="I75" t="str">
        <f>VLOOKUP(Tabell3[[#This Row],[Nät]],'Leveranser per nät'!A:A,1,FALSE)</f>
        <v>Falköping</v>
      </c>
    </row>
    <row r="76" spans="1:9" x14ac:dyDescent="0.25">
      <c r="A76" t="s">
        <v>597</v>
      </c>
      <c r="B76" t="s">
        <v>107</v>
      </c>
      <c r="C76" s="101">
        <v>9.1</v>
      </c>
      <c r="G76" s="105">
        <f>Tabell3[[#This Row],[Såld värme (GWh)]]-Tabell3[[#This Row],[Levererad värme, andra fjärrvärmeföretag, företag 1 (GWh)]]-Tabell3[[#This Row],[Levererad värme, andra fjärrvärmeföretag, företag 2 (GWh)]]-Tabell3[[#This Row],[Levererad värme, andra fjärrvärmeföretag, företag 3 (GWh)]]</f>
        <v>9.1</v>
      </c>
      <c r="H76" s="102" t="str">
        <f>VLOOKUP(Tabell3[[#This Row],[Nät]],Tabell5[],2,FALSE)</f>
        <v>Floby</v>
      </c>
      <c r="I76" t="str">
        <f>VLOOKUP(Tabell3[[#This Row],[Nät]],'Leveranser per nät'!A:A,1,FALSE)</f>
        <v>Floby</v>
      </c>
    </row>
    <row r="77" spans="1:9" x14ac:dyDescent="0.25">
      <c r="A77" t="s">
        <v>597</v>
      </c>
      <c r="B77" t="s">
        <v>705</v>
      </c>
      <c r="C77" s="101">
        <v>4</v>
      </c>
      <c r="G77" s="105">
        <f>Tabell3[[#This Row],[Såld värme (GWh)]]-Tabell3[[#This Row],[Levererad värme, andra fjärrvärmeföretag, företag 1 (GWh)]]-Tabell3[[#This Row],[Levererad värme, andra fjärrvärmeföretag, företag 2 (GWh)]]-Tabell3[[#This Row],[Levererad värme, andra fjärrvärmeföretag, företag 3 (GWh)]]</f>
        <v>4</v>
      </c>
      <c r="H77" s="102" t="str">
        <f>VLOOKUP(Tabell3[[#This Row],[Nät]],Tabell5[],2,FALSE)</f>
        <v>Stenstorp</v>
      </c>
      <c r="I77" t="str">
        <f>VLOOKUP(Tabell3[[#This Row],[Nät]],'Leveranser per nät'!A:A,1,FALSE)</f>
        <v>Stenstorp</v>
      </c>
    </row>
    <row r="78" spans="1:9" x14ac:dyDescent="0.25">
      <c r="A78" t="s">
        <v>596</v>
      </c>
      <c r="B78" t="s">
        <v>108</v>
      </c>
      <c r="C78" s="101">
        <v>63.613999999999997</v>
      </c>
      <c r="G78" s="105">
        <f>Tabell3[[#This Row],[Såld värme (GWh)]]-Tabell3[[#This Row],[Levererad värme, andra fjärrvärmeföretag, företag 1 (GWh)]]-Tabell3[[#This Row],[Levererad värme, andra fjärrvärmeföretag, företag 2 (GWh)]]-Tabell3[[#This Row],[Levererad värme, andra fjärrvärmeföretag, företag 3 (GWh)]]</f>
        <v>63.613999999999997</v>
      </c>
      <c r="H78" s="102" t="str">
        <f>VLOOKUP(Tabell3[[#This Row],[Nät]],Tabell5[],2,FALSE)</f>
        <v>Falkenberg</v>
      </c>
      <c r="I78" t="str">
        <f>VLOOKUP(Tabell3[[#This Row],[Nät]],'Leveranser per nät'!A:A,1,FALSE)</f>
        <v>Falkenberg</v>
      </c>
    </row>
    <row r="79" spans="1:9" x14ac:dyDescent="0.25">
      <c r="A79" t="s">
        <v>596</v>
      </c>
      <c r="B79" t="s">
        <v>383</v>
      </c>
      <c r="C79" s="101">
        <v>2.3220000000000001</v>
      </c>
      <c r="G79" s="105">
        <f>Tabell3[[#This Row],[Såld värme (GWh)]]-Tabell3[[#This Row],[Levererad värme, andra fjärrvärmeföretag, företag 1 (GWh)]]-Tabell3[[#This Row],[Levererad värme, andra fjärrvärmeföretag, företag 2 (GWh)]]-Tabell3[[#This Row],[Levererad värme, andra fjärrvärmeföretag, företag 3 (GWh)]]</f>
        <v>2.3220000000000001</v>
      </c>
      <c r="H79" s="102" t="str">
        <f>VLOOKUP(Tabell3[[#This Row],[Nät]],Tabell5[],2,FALSE)</f>
        <v>Ullared-närvärme</v>
      </c>
      <c r="I79" t="str">
        <f>VLOOKUP(Tabell3[[#This Row],[Nät]],'Leveranser per nät'!A:A,1,FALSE)</f>
        <v>Ullared-närvärme</v>
      </c>
    </row>
    <row r="80" spans="1:9" x14ac:dyDescent="0.25">
      <c r="A80" t="s">
        <v>596</v>
      </c>
      <c r="B80" t="s">
        <v>729</v>
      </c>
      <c r="C80" s="101">
        <v>3.036</v>
      </c>
      <c r="G80" s="105">
        <f>Tabell3[[#This Row],[Såld värme (GWh)]]-Tabell3[[#This Row],[Levererad värme, andra fjärrvärmeföretag, företag 1 (GWh)]]-Tabell3[[#This Row],[Levererad värme, andra fjärrvärmeföretag, företag 2 (GWh)]]-Tabell3[[#This Row],[Levererad värme, andra fjärrvärmeföretag, företag 3 (GWh)]]</f>
        <v>3.036</v>
      </c>
      <c r="H80" s="102" t="str">
        <f>VLOOKUP(Tabell3[[#This Row],[Nät]],Tabell5[],2,FALSE)</f>
        <v>Vessigebro-närvärme</v>
      </c>
      <c r="I80" t="str">
        <f>VLOOKUP(Tabell3[[#This Row],[Nät]],'Leveranser per nät'!A:A,1,FALSE)</f>
        <v>Vessigebro-närvärme</v>
      </c>
    </row>
    <row r="81" spans="1:13" x14ac:dyDescent="0.25">
      <c r="A81" t="s">
        <v>567</v>
      </c>
      <c r="B81" t="s">
        <v>109</v>
      </c>
      <c r="C81" s="101">
        <v>3.96</v>
      </c>
      <c r="G81" s="105">
        <f>Tabell3[[#This Row],[Såld värme (GWh)]]-Tabell3[[#This Row],[Levererad värme, andra fjärrvärmeföretag, företag 1 (GWh)]]-Tabell3[[#This Row],[Levererad värme, andra fjärrvärmeföretag, företag 2 (GWh)]]-Tabell3[[#This Row],[Levererad värme, andra fjärrvärmeföretag, företag 3 (GWh)]]</f>
        <v>3.96</v>
      </c>
      <c r="H81" s="102" t="str">
        <f>VLOOKUP(Tabell3[[#This Row],[Nät]],Tabell5[],2,FALSE)</f>
        <v>Bjursås</v>
      </c>
      <c r="I81" t="str">
        <f>VLOOKUP(Tabell3[[#This Row],[Nät]],'Leveranser per nät'!A:A,1,FALSE)</f>
        <v>Bjursås</v>
      </c>
    </row>
    <row r="82" spans="1:13" x14ac:dyDescent="0.25">
      <c r="A82" t="s">
        <v>567</v>
      </c>
      <c r="B82" t="s">
        <v>110</v>
      </c>
      <c r="C82" s="101">
        <v>352.86</v>
      </c>
      <c r="D82">
        <v>2.85</v>
      </c>
      <c r="G82" s="105">
        <f>Tabell3[[#This Row],[Såld värme (GWh)]]-Tabell3[[#This Row],[Levererad värme, andra fjärrvärmeföretag, företag 1 (GWh)]]-Tabell3[[#This Row],[Levererad värme, andra fjärrvärmeföretag, företag 2 (GWh)]]-Tabell3[[#This Row],[Levererad värme, andra fjärrvärmeföretag, företag 3 (GWh)]]</f>
        <v>350.01</v>
      </c>
      <c r="H82" s="102" t="str">
        <f>VLOOKUP(Tabell3[[#This Row],[Nät]],Tabell5[],2,FALSE)</f>
        <v>Falun</v>
      </c>
      <c r="I82" t="str">
        <f>VLOOKUP(Tabell3[[#This Row],[Nät]],'Leveranser per nät'!A:A,1,FALSE)</f>
        <v>Falun</v>
      </c>
    </row>
    <row r="83" spans="1:13" x14ac:dyDescent="0.25">
      <c r="A83" t="s">
        <v>567</v>
      </c>
      <c r="B83" t="s">
        <v>111</v>
      </c>
      <c r="C83" s="101">
        <v>4.2699999999999996</v>
      </c>
      <c r="G83" s="105">
        <f>Tabell3[[#This Row],[Såld värme (GWh)]]-Tabell3[[#This Row],[Levererad värme, andra fjärrvärmeföretag, företag 1 (GWh)]]-Tabell3[[#This Row],[Levererad värme, andra fjärrvärmeföretag, företag 2 (GWh)]]-Tabell3[[#This Row],[Levererad värme, andra fjärrvärmeföretag, företag 3 (GWh)]]</f>
        <v>4.2699999999999996</v>
      </c>
      <c r="H83" s="102" t="str">
        <f>VLOOKUP(Tabell3[[#This Row],[Nät]],Tabell5[],2,FALSE)</f>
        <v>Grycksbo</v>
      </c>
      <c r="I83" t="str">
        <f>VLOOKUP(Tabell3[[#This Row],[Nät]],'Leveranser per nät'!A:A,1,FALSE)</f>
        <v>Grycksbo</v>
      </c>
    </row>
    <row r="84" spans="1:13" x14ac:dyDescent="0.25">
      <c r="A84" t="s">
        <v>567</v>
      </c>
      <c r="B84" t="s">
        <v>112</v>
      </c>
      <c r="C84" s="101">
        <v>4.8499999999999996</v>
      </c>
      <c r="G84" s="105">
        <f>Tabell3[[#This Row],[Såld värme (GWh)]]-Tabell3[[#This Row],[Levererad värme, andra fjärrvärmeföretag, företag 1 (GWh)]]-Tabell3[[#This Row],[Levererad värme, andra fjärrvärmeföretag, företag 2 (GWh)]]-Tabell3[[#This Row],[Levererad värme, andra fjärrvärmeföretag, företag 3 (GWh)]]</f>
        <v>4.8499999999999996</v>
      </c>
      <c r="H84" s="102" t="str">
        <f>VLOOKUP(Tabell3[[#This Row],[Nät]],Tabell5[],2,FALSE)</f>
        <v>Svärdsjö</v>
      </c>
      <c r="I84" t="str">
        <f>VLOOKUP(Tabell3[[#This Row],[Nät]],'Leveranser per nät'!A:A,1,FALSE)</f>
        <v>Svärdsjö</v>
      </c>
    </row>
    <row r="85" spans="1:13" x14ac:dyDescent="0.25">
      <c r="A85" t="s">
        <v>599</v>
      </c>
      <c r="B85" t="s">
        <v>113</v>
      </c>
      <c r="C85" s="101">
        <v>110</v>
      </c>
      <c r="G85" s="105">
        <f>Tabell3[[#This Row],[Såld värme (GWh)]]-Tabell3[[#This Row],[Levererad värme, andra fjärrvärmeföretag, företag 1 (GWh)]]-Tabell3[[#This Row],[Levererad värme, andra fjärrvärmeföretag, företag 2 (GWh)]]-Tabell3[[#This Row],[Levererad värme, andra fjärrvärmeföretag, företag 3 (GWh)]]</f>
        <v>110</v>
      </c>
      <c r="H85" s="102" t="str">
        <f>VLOOKUP(Tabell3[[#This Row],[Nät]],Tabell5[],2,FALSE)</f>
        <v>Finspång</v>
      </c>
      <c r="I85" t="str">
        <f>VLOOKUP(Tabell3[[#This Row],[Nät]],'Leveranser per nät'!A:A,1,FALSE)</f>
        <v>Finspång</v>
      </c>
    </row>
    <row r="86" spans="1:13" x14ac:dyDescent="0.25">
      <c r="A86" t="s">
        <v>610</v>
      </c>
      <c r="B86" t="s">
        <v>443</v>
      </c>
      <c r="C86" s="101">
        <v>39.652999999999999</v>
      </c>
      <c r="G86" s="105">
        <f>Tabell3[[#This Row],[Såld värme (GWh)]]-Tabell3[[#This Row],[Levererad värme, andra fjärrvärmeföretag, företag 1 (GWh)]]-Tabell3[[#This Row],[Levererad värme, andra fjärrvärmeföretag, företag 2 (GWh)]]-Tabell3[[#This Row],[Levererad värme, andra fjärrvärmeföretag, företag 3 (GWh)]]</f>
        <v>39.652999999999999</v>
      </c>
      <c r="H86" s="102" t="str">
        <f>VLOOKUP(Tabell3[[#This Row],[Nät]],Tabell5[],2,FALSE)</f>
        <v>Gislaved</v>
      </c>
      <c r="I86" t="str">
        <f>VLOOKUP(Tabell3[[#This Row],[Nät]],'Leveranser per nät'!A:A,1,FALSE)</f>
        <v>Gislaved</v>
      </c>
    </row>
    <row r="87" spans="1:13" x14ac:dyDescent="0.25">
      <c r="A87" t="s">
        <v>610</v>
      </c>
      <c r="B87" t="s">
        <v>132</v>
      </c>
      <c r="C87" s="101">
        <v>4.1779999999999999</v>
      </c>
      <c r="G87" s="105">
        <f>Tabell3[[#This Row],[Såld värme (GWh)]]-Tabell3[[#This Row],[Levererad värme, andra fjärrvärmeföretag, företag 1 (GWh)]]-Tabell3[[#This Row],[Levererad värme, andra fjärrvärmeföretag, företag 2 (GWh)]]-Tabell3[[#This Row],[Levererad värme, andra fjärrvärmeföretag, företag 3 (GWh)]]</f>
        <v>4.1779999999999999</v>
      </c>
      <c r="H87" s="102" t="str">
        <f>VLOOKUP(Tabell3[[#This Row],[Nät]],Tabell5[],2,FALSE)</f>
        <v>Hestra</v>
      </c>
      <c r="I87" t="str">
        <f>VLOOKUP(Tabell3[[#This Row],[Nät]],'Leveranser per nät'!A:A,1,FALSE)</f>
        <v>Hestra</v>
      </c>
    </row>
    <row r="88" spans="1:13" x14ac:dyDescent="0.25">
      <c r="A88" t="s">
        <v>610</v>
      </c>
      <c r="B88" t="s">
        <v>413</v>
      </c>
      <c r="C88" s="101">
        <v>2.0609999999999999</v>
      </c>
      <c r="G88" s="105">
        <f>Tabell3[[#This Row],[Såld värme (GWh)]]-Tabell3[[#This Row],[Levererad värme, andra fjärrvärmeföretag, företag 1 (GWh)]]-Tabell3[[#This Row],[Levererad värme, andra fjärrvärmeföretag, företag 2 (GWh)]]-Tabell3[[#This Row],[Levererad värme, andra fjärrvärmeföretag, företag 3 (GWh)]]</f>
        <v>2.0609999999999999</v>
      </c>
      <c r="H88" s="102" t="str">
        <f>VLOOKUP(Tabell3[[#This Row],[Nät]],Tabell5[],2,FALSE)</f>
        <v>Reftele</v>
      </c>
      <c r="I88" t="str">
        <f>VLOOKUP(Tabell3[[#This Row],[Nät]],'Leveranser per nät'!A:A,1,FALSE)</f>
        <v>Reftele</v>
      </c>
    </row>
    <row r="89" spans="1:13" x14ac:dyDescent="0.25">
      <c r="A89" t="s">
        <v>627</v>
      </c>
      <c r="B89" t="s">
        <v>134</v>
      </c>
      <c r="C89" s="101">
        <v>10.939</v>
      </c>
      <c r="G89" s="105">
        <f>Tabell3[[#This Row],[Såld värme (GWh)]]-Tabell3[[#This Row],[Levererad värme, andra fjärrvärmeföretag, företag 1 (GWh)]]-Tabell3[[#This Row],[Levererad värme, andra fjärrvärmeföretag, företag 2 (GWh)]]-Tabell3[[#This Row],[Levererad värme, andra fjärrvärmeföretag, företag 3 (GWh)]]</f>
        <v>10.939</v>
      </c>
      <c r="H89" s="102" t="str">
        <f>VLOOKUP(Tabell3[[#This Row],[Nät]],Tabell5[],2,FALSE)</f>
        <v>Hemse</v>
      </c>
      <c r="I89" t="str">
        <f>VLOOKUP(Tabell3[[#This Row],[Nät]],'Leveranser per nät'!A:A,1,FALSE)</f>
        <v>Hemse</v>
      </c>
    </row>
    <row r="90" spans="1:13" x14ac:dyDescent="0.25">
      <c r="A90" t="s">
        <v>627</v>
      </c>
      <c r="B90" t="s">
        <v>135</v>
      </c>
      <c r="C90" s="101">
        <v>6.6289999999999996</v>
      </c>
      <c r="G90" s="105">
        <f>Tabell3[[#This Row],[Såld värme (GWh)]]-Tabell3[[#This Row],[Levererad värme, andra fjärrvärmeföretag, företag 1 (GWh)]]-Tabell3[[#This Row],[Levererad värme, andra fjärrvärmeföretag, företag 2 (GWh)]]-Tabell3[[#This Row],[Levererad värme, andra fjärrvärmeföretag, företag 3 (GWh)]]</f>
        <v>6.6289999999999996</v>
      </c>
      <c r="H90" s="102" t="str">
        <f>VLOOKUP(Tabell3[[#This Row],[Nät]],Tabell5[],2,FALSE)</f>
        <v>Klintehamn</v>
      </c>
      <c r="I90" t="str">
        <f>VLOOKUP(Tabell3[[#This Row],[Nät]],'Leveranser per nät'!A:A,1,FALSE)</f>
        <v>Klintehamn</v>
      </c>
    </row>
    <row r="91" spans="1:13" x14ac:dyDescent="0.25">
      <c r="A91" t="s">
        <v>627</v>
      </c>
      <c r="B91" t="s">
        <v>136</v>
      </c>
      <c r="C91" s="101">
        <v>15.843999999999999</v>
      </c>
      <c r="G91" s="105">
        <f>Tabell3[[#This Row],[Såld värme (GWh)]]-Tabell3[[#This Row],[Levererad värme, andra fjärrvärmeföretag, företag 1 (GWh)]]-Tabell3[[#This Row],[Levererad värme, andra fjärrvärmeföretag, företag 2 (GWh)]]-Tabell3[[#This Row],[Levererad värme, andra fjärrvärmeföretag, företag 3 (GWh)]]</f>
        <v>15.843999999999999</v>
      </c>
      <c r="H91" s="102" t="str">
        <f>VLOOKUP(Tabell3[[#This Row],[Nät]],Tabell5[],2,FALSE)</f>
        <v>Slite</v>
      </c>
      <c r="I91" t="str">
        <f>VLOOKUP(Tabell3[[#This Row],[Nät]],'Leveranser per nät'!A:A,1,FALSE)</f>
        <v>Slite</v>
      </c>
    </row>
    <row r="92" spans="1:13" x14ac:dyDescent="0.25">
      <c r="A92" t="s">
        <v>627</v>
      </c>
      <c r="B92" t="s">
        <v>133</v>
      </c>
      <c r="C92" s="101">
        <v>165.97499999999999</v>
      </c>
      <c r="G92" s="105">
        <f>Tabell3[[#This Row],[Såld värme (GWh)]]-Tabell3[[#This Row],[Levererad värme, andra fjärrvärmeföretag, företag 1 (GWh)]]-Tabell3[[#This Row],[Levererad värme, andra fjärrvärmeföretag, företag 2 (GWh)]]-Tabell3[[#This Row],[Levererad värme, andra fjärrvärmeföretag, företag 3 (GWh)]]</f>
        <v>165.97499999999999</v>
      </c>
      <c r="H92" s="102" t="str">
        <f>VLOOKUP(Tabell3[[#This Row],[Nät]],Tabell5[],2,FALSE)</f>
        <v>Visby</v>
      </c>
      <c r="I92" t="str">
        <f>VLOOKUP(Tabell3[[#This Row],[Nät]],'Leveranser per nät'!A:A,1,FALSE)</f>
        <v>Visby</v>
      </c>
    </row>
    <row r="93" spans="1:13" x14ac:dyDescent="0.25">
      <c r="A93" t="s">
        <v>613</v>
      </c>
      <c r="B93" t="s">
        <v>137</v>
      </c>
      <c r="C93" s="101">
        <v>165</v>
      </c>
      <c r="G93" s="105">
        <f>Tabell3[[#This Row],[Såld värme (GWh)]]-Tabell3[[#This Row],[Levererad värme, andra fjärrvärmeföretag, företag 1 (GWh)]]-Tabell3[[#This Row],[Levererad värme, andra fjärrvärmeföretag, företag 2 (GWh)]]-Tabell3[[#This Row],[Levererad värme, andra fjärrvärmeföretag, företag 3 (GWh)]]</f>
        <v>165</v>
      </c>
      <c r="H93" s="102" t="e">
        <f>VLOOKUP(Tabell3[[#This Row],[Nät]],Tabell5[],2,FALSE)</f>
        <v>#N/A</v>
      </c>
      <c r="I93" t="str">
        <f>VLOOKUP(Tabell3[[#This Row],[Nät]],'Leveranser per nät'!A:A,1,FALSE)</f>
        <v>Gällivare-Malmberget</v>
      </c>
    </row>
    <row r="94" spans="1:13" x14ac:dyDescent="0.25">
      <c r="A94" t="s">
        <v>615</v>
      </c>
      <c r="B94" t="s">
        <v>138</v>
      </c>
      <c r="C94" s="101">
        <v>685</v>
      </c>
      <c r="G94" s="105">
        <f>Tabell3[[#This Row],[Såld värme (GWh)]]-Tabell3[[#This Row],[Levererad värme, andra fjärrvärmeföretag, företag 1 (GWh)]]-Tabell3[[#This Row],[Levererad värme, andra fjärrvärmeföretag, företag 2 (GWh)]]-Tabell3[[#This Row],[Levererad värme, andra fjärrvärmeföretag, företag 3 (GWh)]]</f>
        <v>685</v>
      </c>
      <c r="H94" s="102" t="str">
        <f>VLOOKUP(Tabell3[[#This Row],[Nät]],Tabell5[],2,FALSE)</f>
        <v>Gävle</v>
      </c>
      <c r="I94" t="str">
        <f>VLOOKUP(Tabell3[[#This Row],[Nät]],'Leveranser per nät'!A:A,1,FALSE)</f>
        <v>Gävle</v>
      </c>
    </row>
    <row r="95" spans="1:13" x14ac:dyDescent="0.25">
      <c r="A95" t="s">
        <v>616</v>
      </c>
      <c r="B95" t="s">
        <v>810</v>
      </c>
      <c r="C95" s="101" t="s">
        <v>806</v>
      </c>
      <c r="G95" s="105" t="e">
        <f>Tabell3[[#This Row],[Såld värme (GWh)]]-Tabell3[[#This Row],[Levererad värme, andra fjärrvärmeföretag, företag 1 (GWh)]]-Tabell3[[#This Row],[Levererad värme, andra fjärrvärmeföretag, företag 2 (GWh)]]-Tabell3[[#This Row],[Levererad värme, andra fjärrvärmeföretag, företag 3 (GWh)]]</f>
        <v>#VALUE!</v>
      </c>
      <c r="H95" s="102" t="e">
        <f>VLOOKUP(Tabell3[[#This Row],[Nät]],Tabell5[],2,FALSE)</f>
        <v>#N/A</v>
      </c>
      <c r="I95" t="e">
        <f>VLOOKUP(Tabell3[[#This Row],[Nät]],'Leveranser per nät'!A:A,1,FALSE)</f>
        <v>#N/A</v>
      </c>
      <c r="M95" s="101">
        <f>G109+G110</f>
        <v>57.280999999999999</v>
      </c>
    </row>
    <row r="96" spans="1:13" x14ac:dyDescent="0.25">
      <c r="A96" t="s">
        <v>616</v>
      </c>
      <c r="B96" t="s">
        <v>966</v>
      </c>
      <c r="C96" s="101">
        <v>3155.53</v>
      </c>
      <c r="D96">
        <v>29.6</v>
      </c>
      <c r="E96">
        <v>22.5</v>
      </c>
      <c r="F96">
        <v>164.59</v>
      </c>
      <c r="G96" s="105">
        <f>Tabell3[[#This Row],[Såld värme (GWh)]]-Tabell3[[#This Row],[Levererad värme, andra fjärrvärmeföretag, företag 1 (GWh)]]-Tabell3[[#This Row],[Levererad värme, andra fjärrvärmeföretag, företag 2 (GWh)]]-Tabell3[[#This Row],[Levererad värme, andra fjärrvärmeföretag, företag 3 (GWh)]]</f>
        <v>2938.84</v>
      </c>
      <c r="H96" s="102" t="str">
        <f>VLOOKUP(Tabell3[[#This Row],[Nät]],Tabell5[],2,FALSE)</f>
        <v>Göteborg Ale</v>
      </c>
      <c r="I96" t="str">
        <f>VLOOKUP(Tabell3[[#This Row],[Nät]],'Leveranser per nät'!A:A,1,FALSE)</f>
        <v>Göteborg Ale</v>
      </c>
    </row>
    <row r="97" spans="1:9" x14ac:dyDescent="0.25">
      <c r="A97" t="s">
        <v>616</v>
      </c>
      <c r="B97" t="s">
        <v>970</v>
      </c>
      <c r="C97" s="101">
        <v>158.6</v>
      </c>
      <c r="G97" s="105">
        <f>Tabell3[[#This Row],[Såld värme (GWh)]]-Tabell3[[#This Row],[Levererad värme, andra fjärrvärmeföretag, företag 1 (GWh)]]-Tabell3[[#This Row],[Levererad värme, andra fjärrvärmeföretag, företag 2 (GWh)]]-Tabell3[[#This Row],[Levererad värme, andra fjärrvärmeföretag, företag 3 (GWh)]]</f>
        <v>158.6</v>
      </c>
      <c r="H97" s="102" t="e">
        <f>VLOOKUP(Tabell3[[#This Row],[Nät]],Tabell5[],2,FALSE)</f>
        <v>#N/A</v>
      </c>
      <c r="I97" t="e">
        <f>VLOOKUP(Tabell3[[#This Row],[Nät]],'Leveranser per nät'!A:A,1,FALSE)</f>
        <v>#N/A</v>
      </c>
    </row>
    <row r="98" spans="1:9" x14ac:dyDescent="0.25">
      <c r="A98" t="s">
        <v>616</v>
      </c>
      <c r="B98" t="s">
        <v>616</v>
      </c>
      <c r="C98" s="101" t="s">
        <v>806</v>
      </c>
      <c r="G98" s="105" t="e">
        <f>Tabell3[[#This Row],[Såld värme (GWh)]]-Tabell3[[#This Row],[Levererad värme, andra fjärrvärmeföretag, företag 1 (GWh)]]-Tabell3[[#This Row],[Levererad värme, andra fjärrvärmeföretag, företag 2 (GWh)]]-Tabell3[[#This Row],[Levererad värme, andra fjärrvärmeföretag, företag 3 (GWh)]]</f>
        <v>#VALUE!</v>
      </c>
      <c r="H98" s="102" t="e">
        <f>VLOOKUP(Tabell3[[#This Row],[Nät]],Tabell5[],2,FALSE)</f>
        <v>#N/A</v>
      </c>
      <c r="I98" t="e">
        <f>VLOOKUP(Tabell3[[#This Row],[Nät]],'Leveranser per nät'!A:A,1,FALSE)</f>
        <v>#N/A</v>
      </c>
    </row>
    <row r="99" spans="1:9" x14ac:dyDescent="0.25">
      <c r="A99" t="s">
        <v>616</v>
      </c>
      <c r="B99" t="s">
        <v>814</v>
      </c>
      <c r="C99" s="101" t="s">
        <v>806</v>
      </c>
      <c r="G99" s="105" t="e">
        <f>Tabell3[[#This Row],[Såld värme (GWh)]]-Tabell3[[#This Row],[Levererad värme, andra fjärrvärmeföretag, företag 1 (GWh)]]-Tabell3[[#This Row],[Levererad värme, andra fjärrvärmeföretag, företag 2 (GWh)]]-Tabell3[[#This Row],[Levererad värme, andra fjärrvärmeföretag, företag 3 (GWh)]]</f>
        <v>#VALUE!</v>
      </c>
      <c r="H99" s="102" t="e">
        <f>VLOOKUP(Tabell3[[#This Row],[Nät]],Tabell5[],2,FALSE)</f>
        <v>#N/A</v>
      </c>
      <c r="I99" t="e">
        <f>VLOOKUP(Tabell3[[#This Row],[Nät]],'Leveranser per nät'!A:A,1,FALSE)</f>
        <v>#N/A</v>
      </c>
    </row>
    <row r="100" spans="1:9" x14ac:dyDescent="0.25">
      <c r="A100" t="s">
        <v>616</v>
      </c>
      <c r="B100" t="s">
        <v>815</v>
      </c>
      <c r="C100" s="101" t="s">
        <v>806</v>
      </c>
      <c r="G100" s="105" t="e">
        <f>Tabell3[[#This Row],[Såld värme (GWh)]]-Tabell3[[#This Row],[Levererad värme, andra fjärrvärmeföretag, företag 1 (GWh)]]-Tabell3[[#This Row],[Levererad värme, andra fjärrvärmeföretag, företag 2 (GWh)]]-Tabell3[[#This Row],[Levererad värme, andra fjärrvärmeföretag, företag 3 (GWh)]]</f>
        <v>#VALUE!</v>
      </c>
      <c r="H100" s="102" t="e">
        <f>VLOOKUP(Tabell3[[#This Row],[Nät]],Tabell5[],2,FALSE)</f>
        <v>#N/A</v>
      </c>
      <c r="I100" t="e">
        <f>VLOOKUP(Tabell3[[#This Row],[Nät]],'Leveranser per nät'!A:A,1,FALSE)</f>
        <v>#N/A</v>
      </c>
    </row>
    <row r="101" spans="1:9" x14ac:dyDescent="0.25">
      <c r="A101" t="s">
        <v>618</v>
      </c>
      <c r="B101" t="s">
        <v>139</v>
      </c>
      <c r="C101" s="101">
        <v>98.884</v>
      </c>
      <c r="G101" s="105">
        <f>Tabell3[[#This Row],[Såld värme (GWh)]]-Tabell3[[#This Row],[Levererad värme, andra fjärrvärmeföretag, företag 1 (GWh)]]-Tabell3[[#This Row],[Levererad värme, andra fjärrvärmeföretag, företag 2 (GWh)]]-Tabell3[[#This Row],[Levererad värme, andra fjärrvärmeföretag, företag 3 (GWh)]]</f>
        <v>98.884</v>
      </c>
      <c r="H101" s="102" t="str">
        <f>VLOOKUP(Tabell3[[#This Row],[Nät]],Tabell5[],2,FALSE)</f>
        <v>Götene</v>
      </c>
      <c r="I101" t="str">
        <f>VLOOKUP(Tabell3[[#This Row],[Nät]],'Leveranser per nät'!A:A,1,FALSE)</f>
        <v>Götene</v>
      </c>
    </row>
    <row r="102" spans="1:9" x14ac:dyDescent="0.25">
      <c r="A102" t="s">
        <v>618</v>
      </c>
      <c r="B102" t="s">
        <v>140</v>
      </c>
      <c r="C102" s="101">
        <v>2.4009999999999998</v>
      </c>
      <c r="G102" s="105">
        <f>Tabell3[[#This Row],[Såld värme (GWh)]]-Tabell3[[#This Row],[Levererad värme, andra fjärrvärmeföretag, företag 1 (GWh)]]-Tabell3[[#This Row],[Levererad värme, andra fjärrvärmeföretag, företag 2 (GWh)]]-Tabell3[[#This Row],[Levererad värme, andra fjärrvärmeföretag, företag 3 (GWh)]]</f>
        <v>2.4009999999999998</v>
      </c>
      <c r="H102" s="102" t="str">
        <f>VLOOKUP(Tabell3[[#This Row],[Nät]],Tabell5[],2,FALSE)</f>
        <v>Hällekis</v>
      </c>
      <c r="I102" t="str">
        <f>VLOOKUP(Tabell3[[#This Row],[Nät]],'Leveranser per nät'!A:A,1,FALSE)</f>
        <v>Hällekis</v>
      </c>
    </row>
    <row r="103" spans="1:9" x14ac:dyDescent="0.25">
      <c r="A103" t="s">
        <v>619</v>
      </c>
      <c r="B103" t="s">
        <v>141</v>
      </c>
      <c r="C103" s="101">
        <v>21.2</v>
      </c>
      <c r="G103" s="105">
        <f>Tabell3[[#This Row],[Såld värme (GWh)]]-Tabell3[[#This Row],[Levererad värme, andra fjärrvärmeföretag, företag 1 (GWh)]]-Tabell3[[#This Row],[Levererad värme, andra fjärrvärmeföretag, företag 2 (GWh)]]-Tabell3[[#This Row],[Levererad värme, andra fjärrvärmeföretag, företag 3 (GWh)]]</f>
        <v>21.2</v>
      </c>
      <c r="H103" s="102" t="str">
        <f>VLOOKUP(Tabell3[[#This Row],[Nät]],Tabell5[],2,FALSE)</f>
        <v>Habo</v>
      </c>
      <c r="I103" t="str">
        <f>VLOOKUP(Tabell3[[#This Row],[Nät]],'Leveranser per nät'!A:A,1,FALSE)</f>
        <v>Habo</v>
      </c>
    </row>
    <row r="104" spans="1:9" x14ac:dyDescent="0.25">
      <c r="A104" t="s">
        <v>972</v>
      </c>
      <c r="B104" t="s">
        <v>588</v>
      </c>
      <c r="C104" s="101">
        <v>10.96</v>
      </c>
      <c r="G104" s="105">
        <f>Tabell3[[#This Row],[Såld värme (GWh)]]-Tabell3[[#This Row],[Levererad värme, andra fjärrvärmeföretag, företag 1 (GWh)]]-Tabell3[[#This Row],[Levererad värme, andra fjärrvärmeföretag, företag 2 (GWh)]]-Tabell3[[#This Row],[Levererad värme, andra fjärrvärmeföretag, företag 3 (GWh)]]</f>
        <v>10.96</v>
      </c>
      <c r="H104" s="102" t="str">
        <f>VLOOKUP(Tabell3[[#This Row],[Nät]],Tabell5[],2,FALSE)</f>
        <v>Ekshärad</v>
      </c>
      <c r="I104" t="str">
        <f>VLOOKUP(Tabell3[[#This Row],[Nät]],'Leveranser per nät'!A:A,1,FALSE)</f>
        <v>Ekshärad</v>
      </c>
    </row>
    <row r="105" spans="1:9" x14ac:dyDescent="0.25">
      <c r="A105" t="s">
        <v>972</v>
      </c>
      <c r="B105" t="s">
        <v>520</v>
      </c>
      <c r="C105" s="101">
        <v>50.99</v>
      </c>
      <c r="G105" s="105">
        <f>Tabell3[[#This Row],[Såld värme (GWh)]]-Tabell3[[#This Row],[Levererad värme, andra fjärrvärmeföretag, företag 1 (GWh)]]-Tabell3[[#This Row],[Levererad värme, andra fjärrvärmeföretag, företag 2 (GWh)]]-Tabell3[[#This Row],[Levererad värme, andra fjärrvärmeföretag, företag 3 (GWh)]]</f>
        <v>50.99</v>
      </c>
      <c r="H105" s="102" t="str">
        <f>VLOOKUP(Tabell3[[#This Row],[Nät]],Tabell5[],2,FALSE)</f>
        <v>Hagfors</v>
      </c>
      <c r="I105" t="str">
        <f>VLOOKUP(Tabell3[[#This Row],[Nät]],'Leveranser per nät'!A:A,1,FALSE)</f>
        <v>Hagfors</v>
      </c>
    </row>
    <row r="106" spans="1:9" x14ac:dyDescent="0.25">
      <c r="A106" t="s">
        <v>972</v>
      </c>
      <c r="B106" t="s">
        <v>712</v>
      </c>
      <c r="C106" s="101">
        <v>0.27200000000000002</v>
      </c>
      <c r="G106" s="105">
        <f>Tabell3[[#This Row],[Såld värme (GWh)]]-Tabell3[[#This Row],[Levererad värme, andra fjärrvärmeföretag, företag 1 (GWh)]]-Tabell3[[#This Row],[Levererad värme, andra fjärrvärmeföretag, företag 2 (GWh)]]-Tabell3[[#This Row],[Levererad värme, andra fjärrvärmeföretag, företag 3 (GWh)]]</f>
        <v>0.27200000000000002</v>
      </c>
      <c r="H106" s="102" t="str">
        <f>VLOOKUP(Tabell3[[#This Row],[Nät]],Tabell5[],2,FALSE)</f>
        <v>Sunnemo</v>
      </c>
      <c r="I106" t="str">
        <f>VLOOKUP(Tabell3[[#This Row],[Nät]],'Leveranser per nät'!A:A,1,FALSE)</f>
        <v>Sunnemo</v>
      </c>
    </row>
    <row r="107" spans="1:9" x14ac:dyDescent="0.25">
      <c r="A107" t="s">
        <v>622</v>
      </c>
      <c r="B107" t="s">
        <v>142</v>
      </c>
      <c r="C107" s="101">
        <v>537.70000000000005</v>
      </c>
      <c r="G107" s="105">
        <f>Tabell3[[#This Row],[Såld värme (GWh)]]-Tabell3[[#This Row],[Levererad värme, andra fjärrvärmeföretag, företag 1 (GWh)]]-Tabell3[[#This Row],[Levererad värme, andra fjärrvärmeföretag, företag 2 (GWh)]]-Tabell3[[#This Row],[Levererad värme, andra fjärrvärmeföretag, företag 3 (GWh)]]</f>
        <v>537.70000000000005</v>
      </c>
      <c r="H107" s="102" t="str">
        <f>VLOOKUP(Tabell3[[#This Row],[Nät]],Tabell5[],2,FALSE)</f>
        <v>Halmstad</v>
      </c>
      <c r="I107" t="str">
        <f>VLOOKUP(Tabell3[[#This Row],[Nät]],'Leveranser per nät'!A:A,1,FALSE)</f>
        <v>Halmstad</v>
      </c>
    </row>
    <row r="108" spans="1:9" x14ac:dyDescent="0.25">
      <c r="A108" t="s">
        <v>698</v>
      </c>
      <c r="B108" t="s">
        <v>143</v>
      </c>
      <c r="C108" s="101">
        <v>46.1</v>
      </c>
      <c r="G108" s="105">
        <f>Tabell3[[#This Row],[Såld värme (GWh)]]-Tabell3[[#This Row],[Levererad värme, andra fjärrvärmeföretag, företag 1 (GWh)]]-Tabell3[[#This Row],[Levererad värme, andra fjärrvärmeföretag, företag 2 (GWh)]]-Tabell3[[#This Row],[Levererad värme, andra fjärrvärmeföretag, företag 3 (GWh)]]</f>
        <v>46.1</v>
      </c>
      <c r="H108" s="102" t="str">
        <f>VLOOKUP(Tabell3[[#This Row],[Nät]],Tabell5[],2,FALSE)</f>
        <v>Skoghall</v>
      </c>
      <c r="I108" t="str">
        <f>VLOOKUP(Tabell3[[#This Row],[Nät]],'Leveranser per nät'!A:A,1,FALSE)</f>
        <v>Skoghall</v>
      </c>
    </row>
    <row r="109" spans="1:9" x14ac:dyDescent="0.25">
      <c r="A109" t="s">
        <v>928</v>
      </c>
      <c r="B109" t="s">
        <v>1084</v>
      </c>
      <c r="C109" s="101">
        <v>14</v>
      </c>
      <c r="G109" s="105">
        <f>Tabell3[[#This Row],[Såld värme (GWh)]]-Tabell3[[#This Row],[Levererad värme, andra fjärrvärmeföretag, företag 1 (GWh)]]-Tabell3[[#This Row],[Levererad värme, andra fjärrvärmeföretag, företag 2 (GWh)]]-Tabell3[[#This Row],[Levererad värme, andra fjärrvärmeföretag, företag 3 (GWh)]]</f>
        <v>14</v>
      </c>
      <c r="H109" s="102" t="e">
        <f>VLOOKUP(Tabell3[[#This Row],[Nät]],Tabell5[],2,FALSE)</f>
        <v>#N/A</v>
      </c>
      <c r="I109" t="e">
        <f>VLOOKUP(Tabell3[[#This Row],[Nät]],'Leveranser per nät'!A:A,1,FALSE)</f>
        <v>#N/A</v>
      </c>
    </row>
    <row r="110" spans="1:9" x14ac:dyDescent="0.25">
      <c r="A110" t="s">
        <v>928</v>
      </c>
      <c r="B110" t="s">
        <v>1085</v>
      </c>
      <c r="C110" s="101">
        <v>43.280999999999999</v>
      </c>
      <c r="G110" s="105">
        <f>Tabell3[[#This Row],[Såld värme (GWh)]]-Tabell3[[#This Row],[Levererad värme, andra fjärrvärmeföretag, företag 1 (GWh)]]-Tabell3[[#This Row],[Levererad värme, andra fjärrvärmeföretag, företag 2 (GWh)]]-Tabell3[[#This Row],[Levererad värme, andra fjärrvärmeföretag, företag 3 (GWh)]]</f>
        <v>43.280999999999999</v>
      </c>
      <c r="H110" s="102" t="str">
        <f>VLOOKUP(Tabell3[[#This Row],[Nät]],Tabell5[],2,FALSE)</f>
        <v>Haparanda</v>
      </c>
      <c r="I110" t="e">
        <f>VLOOKUP(Tabell3[[#This Row],[Nät]],'Leveranser per nät'!A:A,1,FALSE)</f>
        <v>#N/A</v>
      </c>
    </row>
    <row r="111" spans="1:9" x14ac:dyDescent="0.25">
      <c r="A111" t="s">
        <v>611</v>
      </c>
      <c r="B111" t="s">
        <v>145</v>
      </c>
      <c r="C111" s="101">
        <v>55.9</v>
      </c>
      <c r="G111" s="105">
        <f>Tabell3[[#This Row],[Såld värme (GWh)]]-Tabell3[[#This Row],[Levererad värme, andra fjärrvärmeföretag, företag 1 (GWh)]]-Tabell3[[#This Row],[Levererad värme, andra fjärrvärmeföretag, företag 2 (GWh)]]-Tabell3[[#This Row],[Levererad värme, andra fjärrvärmeföretag, företag 3 (GWh)]]</f>
        <v>55.9</v>
      </c>
      <c r="H111" s="102" t="str">
        <f>VLOOKUP(Tabell3[[#This Row],[Nät]],Tabell5[],2,FALSE)</f>
        <v>Hedemora</v>
      </c>
      <c r="I111" t="str">
        <f>VLOOKUP(Tabell3[[#This Row],[Nät]],'Leveranser per nät'!A:A,1,FALSE)</f>
        <v>Hedemora</v>
      </c>
    </row>
    <row r="112" spans="1:9" x14ac:dyDescent="0.25">
      <c r="A112" t="s">
        <v>611</v>
      </c>
      <c r="B112" t="s">
        <v>147</v>
      </c>
      <c r="C112" s="101">
        <v>6.38</v>
      </c>
      <c r="G112" s="105">
        <f>Tabell3[[#This Row],[Såld värme (GWh)]]-Tabell3[[#This Row],[Levererad värme, andra fjärrvärmeföretag, företag 1 (GWh)]]-Tabell3[[#This Row],[Levererad värme, andra fjärrvärmeföretag, företag 2 (GWh)]]-Tabell3[[#This Row],[Levererad värme, andra fjärrvärmeföretag, företag 3 (GWh)]]</f>
        <v>6.38</v>
      </c>
      <c r="H112" s="102" t="str">
        <f>VLOOKUP(Tabell3[[#This Row],[Nät]],Tabell5[],2,FALSE)</f>
        <v>Långshyttan</v>
      </c>
      <c r="I112" t="str">
        <f>VLOOKUP(Tabell3[[#This Row],[Nät]],'Leveranser per nät'!A:A,1,FALSE)</f>
        <v>Långshyttan</v>
      </c>
    </row>
    <row r="113" spans="1:9" x14ac:dyDescent="0.25">
      <c r="A113" t="s">
        <v>611</v>
      </c>
      <c r="B113" t="s">
        <v>416</v>
      </c>
      <c r="C113" s="101">
        <v>2.2400000000000002</v>
      </c>
      <c r="G113" s="105">
        <f>Tabell3[[#This Row],[Såld värme (GWh)]]-Tabell3[[#This Row],[Levererad värme, andra fjärrvärmeföretag, företag 1 (GWh)]]-Tabell3[[#This Row],[Levererad värme, andra fjärrvärmeföretag, företag 2 (GWh)]]-Tabell3[[#This Row],[Levererad värme, andra fjärrvärmeföretag, företag 3 (GWh)]]</f>
        <v>2.2400000000000002</v>
      </c>
      <c r="H113" s="102" t="str">
        <f>VLOOKUP(Tabell3[[#This Row],[Nät]],Tabell5[],2,FALSE)</f>
        <v>St Skedvi</v>
      </c>
      <c r="I113" t="str">
        <f>VLOOKUP(Tabell3[[#This Row],[Nät]],'Leveranser per nät'!A:A,1,FALSE)</f>
        <v>St Skedvi</v>
      </c>
    </row>
    <row r="114" spans="1:9" x14ac:dyDescent="0.25">
      <c r="A114" t="s">
        <v>611</v>
      </c>
      <c r="B114" t="s">
        <v>144</v>
      </c>
      <c r="C114" s="101">
        <v>49.8</v>
      </c>
      <c r="G114" s="105">
        <f>Tabell3[[#This Row],[Såld värme (GWh)]]-Tabell3[[#This Row],[Levererad värme, andra fjärrvärmeföretag, företag 1 (GWh)]]-Tabell3[[#This Row],[Levererad värme, andra fjärrvärmeföretag, företag 2 (GWh)]]-Tabell3[[#This Row],[Levererad värme, andra fjärrvärmeföretag, företag 3 (GWh)]]</f>
        <v>49.8</v>
      </c>
      <c r="H114" s="102" t="str">
        <f>VLOOKUP(Tabell3[[#This Row],[Nät]],Tabell5[],2,FALSE)</f>
        <v>Säter</v>
      </c>
      <c r="I114" t="str">
        <f>VLOOKUP(Tabell3[[#This Row],[Nät]],'Leveranser per nät'!A:A,1,FALSE)</f>
        <v>Säter</v>
      </c>
    </row>
    <row r="115" spans="1:9" x14ac:dyDescent="0.25">
      <c r="A115" t="s">
        <v>850</v>
      </c>
      <c r="B115" t="s">
        <v>446</v>
      </c>
      <c r="C115" s="101" t="s">
        <v>805</v>
      </c>
      <c r="D115" t="s">
        <v>805</v>
      </c>
      <c r="E115" t="s">
        <v>805</v>
      </c>
      <c r="F115" t="s">
        <v>805</v>
      </c>
      <c r="G115" s="105" t="e">
        <f>Tabell3[[#This Row],[Såld värme (GWh)]]-Tabell3[[#This Row],[Levererad värme, andra fjärrvärmeföretag, företag 1 (GWh)]]-Tabell3[[#This Row],[Levererad värme, andra fjärrvärmeföretag, företag 2 (GWh)]]-Tabell3[[#This Row],[Levererad värme, andra fjärrvärmeföretag, företag 3 (GWh)]]</f>
        <v>#VALUE!</v>
      </c>
      <c r="H115" s="102" t="str">
        <f>VLOOKUP(Tabell3[[#This Row],[Nät]],Tabell5[],2,FALSE)</f>
        <v>Herrljunga</v>
      </c>
      <c r="I115" t="str">
        <f>VLOOKUP(Tabell3[[#This Row],[Nät]],'Leveranser per nät'!A:A,1,FALSE)</f>
        <v>Herrljunga</v>
      </c>
    </row>
    <row r="116" spans="1:9" x14ac:dyDescent="0.25">
      <c r="A116" t="s">
        <v>628</v>
      </c>
      <c r="B116" t="s">
        <v>148</v>
      </c>
      <c r="C116" s="101">
        <v>32.500999999999998</v>
      </c>
      <c r="G116" s="105">
        <f>Tabell3[[#This Row],[Såld värme (GWh)]]-Tabell3[[#This Row],[Levererad värme, andra fjärrvärmeföretag, företag 1 (GWh)]]-Tabell3[[#This Row],[Levererad värme, andra fjärrvärmeföretag, företag 2 (GWh)]]-Tabell3[[#This Row],[Levererad värme, andra fjärrvärmeföretag, företag 3 (GWh)]]</f>
        <v>32.500999999999998</v>
      </c>
      <c r="H116" s="102" t="str">
        <f>VLOOKUP(Tabell3[[#This Row],[Nät]],Tabell5[],2,FALSE)</f>
        <v>Hjo</v>
      </c>
      <c r="I116" t="str">
        <f>VLOOKUP(Tabell3[[#This Row],[Nät]],'Leveranser per nät'!A:A,1,FALSE)</f>
        <v>Hjo</v>
      </c>
    </row>
    <row r="117" spans="1:9" x14ac:dyDescent="0.25">
      <c r="A117" t="s">
        <v>633</v>
      </c>
      <c r="B117" t="s">
        <v>150</v>
      </c>
      <c r="C117" s="101">
        <v>180</v>
      </c>
      <c r="G117" s="105">
        <f>Tabell3[[#This Row],[Såld värme (GWh)]]-Tabell3[[#This Row],[Levererad värme, andra fjärrvärmeföretag, företag 1 (GWh)]]-Tabell3[[#This Row],[Levererad värme, andra fjärrvärmeföretag, företag 2 (GWh)]]-Tabell3[[#This Row],[Levererad värme, andra fjärrvärmeföretag, företag 3 (GWh)]]</f>
        <v>180</v>
      </c>
      <c r="H117" s="102" t="str">
        <f>VLOOKUP(Tabell3[[#This Row],[Nät]],Tabell5[],2,FALSE)</f>
        <v>Härnösand</v>
      </c>
      <c r="I117" t="str">
        <f>VLOOKUP(Tabell3[[#This Row],[Nät]],'Leveranser per nät'!A:A,1,FALSE)</f>
        <v>Härnösand</v>
      </c>
    </row>
    <row r="118" spans="1:9" x14ac:dyDescent="0.25">
      <c r="A118" t="s">
        <v>634</v>
      </c>
      <c r="B118" t="s">
        <v>151</v>
      </c>
      <c r="C118" s="101">
        <v>173.8</v>
      </c>
      <c r="G118" s="105">
        <f>Tabell3[[#This Row],[Såld värme (GWh)]]-Tabell3[[#This Row],[Levererad värme, andra fjärrvärmeföretag, företag 1 (GWh)]]-Tabell3[[#This Row],[Levererad värme, andra fjärrvärmeföretag, företag 2 (GWh)]]-Tabell3[[#This Row],[Levererad värme, andra fjärrvärmeföretag, företag 3 (GWh)]]</f>
        <v>173.8</v>
      </c>
      <c r="H118" s="102" t="str">
        <f>VLOOKUP(Tabell3[[#This Row],[Nät]],Tabell5[],2,FALSE)</f>
        <v>Hässleholm</v>
      </c>
      <c r="I118" t="str">
        <f>VLOOKUP(Tabell3[[#This Row],[Nät]],'Leveranser per nät'!A:A,1,FALSE)</f>
        <v>Hässleholm</v>
      </c>
    </row>
    <row r="119" spans="1:9" x14ac:dyDescent="0.25">
      <c r="A119" t="s">
        <v>634</v>
      </c>
      <c r="B119" t="s">
        <v>152</v>
      </c>
      <c r="C119" s="101">
        <v>16.899999999999999</v>
      </c>
      <c r="G119" s="105">
        <f>Tabell3[[#This Row],[Såld värme (GWh)]]-Tabell3[[#This Row],[Levererad värme, andra fjärrvärmeföretag, företag 1 (GWh)]]-Tabell3[[#This Row],[Levererad värme, andra fjärrvärmeföretag, företag 2 (GWh)]]-Tabell3[[#This Row],[Levererad värme, andra fjärrvärmeföretag, företag 3 (GWh)]]</f>
        <v>16.899999999999999</v>
      </c>
      <c r="H119" s="102" t="str">
        <f>VLOOKUP(Tabell3[[#This Row],[Nät]],Tabell5[],2,FALSE)</f>
        <v>Tyringe</v>
      </c>
      <c r="I119" t="str">
        <f>VLOOKUP(Tabell3[[#This Row],[Nät]],'Leveranser per nät'!A:A,1,FALSE)</f>
        <v>Tyringe</v>
      </c>
    </row>
    <row r="120" spans="1:9" x14ac:dyDescent="0.25">
      <c r="A120" t="s">
        <v>635</v>
      </c>
      <c r="B120" t="s">
        <v>153</v>
      </c>
      <c r="C120" s="101">
        <v>41.533999999999999</v>
      </c>
      <c r="G120" s="105">
        <f>Tabell3[[#This Row],[Såld värme (GWh)]]-Tabell3[[#This Row],[Levererad värme, andra fjärrvärmeföretag, företag 1 (GWh)]]-Tabell3[[#This Row],[Levererad värme, andra fjärrvärmeföretag, företag 2 (GWh)]]-Tabell3[[#This Row],[Levererad värme, andra fjärrvärmeföretag, företag 3 (GWh)]]</f>
        <v>41.533999999999999</v>
      </c>
      <c r="H120" s="102" t="str">
        <f>VLOOKUP(Tabell3[[#This Row],[Nät]],Tabell5[],2,FALSE)</f>
        <v>Höganäs</v>
      </c>
      <c r="I120" t="str">
        <f>VLOOKUP(Tabell3[[#This Row],[Nät]],'Leveranser per nät'!A:A,1,FALSE)</f>
        <v>Höganäs</v>
      </c>
    </row>
    <row r="121" spans="1:9" x14ac:dyDescent="0.25">
      <c r="A121" t="s">
        <v>637</v>
      </c>
      <c r="B121" t="s">
        <v>154</v>
      </c>
      <c r="C121" s="101">
        <v>36.75</v>
      </c>
      <c r="G121" s="105">
        <f>Tabell3[[#This Row],[Såld värme (GWh)]]-Tabell3[[#This Row],[Levererad värme, andra fjärrvärmeföretag, företag 1 (GWh)]]-Tabell3[[#This Row],[Levererad värme, andra fjärrvärmeföretag, företag 2 (GWh)]]-Tabell3[[#This Row],[Levererad värme, andra fjärrvärmeföretag, företag 3 (GWh)]]</f>
        <v>36.75</v>
      </c>
      <c r="H121" s="102" t="str">
        <f>VLOOKUP(Tabell3[[#This Row],[Nät]],Tabell5[],2,FALSE)</f>
        <v>Jokkmokk</v>
      </c>
      <c r="I121" t="str">
        <f>VLOOKUP(Tabell3[[#This Row],[Nät]],'Leveranser per nät'!A:A,1,FALSE)</f>
        <v>Jokkmokk</v>
      </c>
    </row>
    <row r="122" spans="1:9" x14ac:dyDescent="0.25">
      <c r="A122" t="s">
        <v>579</v>
      </c>
      <c r="B122" t="s">
        <v>1086</v>
      </c>
      <c r="C122" s="101" t="s">
        <v>806</v>
      </c>
      <c r="G122" s="105" t="e">
        <f>Tabell3[[#This Row],[Såld värme (GWh)]]-Tabell3[[#This Row],[Levererad värme, andra fjärrvärmeföretag, företag 1 (GWh)]]-Tabell3[[#This Row],[Levererad värme, andra fjärrvärmeföretag, företag 2 (GWh)]]-Tabell3[[#This Row],[Levererad värme, andra fjärrvärmeföretag, företag 3 (GWh)]]</f>
        <v>#VALUE!</v>
      </c>
      <c r="H122" s="102" t="e">
        <f>VLOOKUP(Tabell3[[#This Row],[Nät]],Tabell5[],2,FALSE)</f>
        <v>#N/A</v>
      </c>
      <c r="I122" t="e">
        <f>VLOOKUP(Tabell3[[#This Row],[Nät]],'Leveranser per nät'!A:A,1,FALSE)</f>
        <v>#N/A</v>
      </c>
    </row>
    <row r="123" spans="1:9" x14ac:dyDescent="0.25">
      <c r="A123" t="s">
        <v>579</v>
      </c>
      <c r="B123" t="s">
        <v>155</v>
      </c>
      <c r="C123" s="101">
        <v>17.995000000000001</v>
      </c>
      <c r="G123" s="105">
        <f>Tabell3[[#This Row],[Såld värme (GWh)]]-Tabell3[[#This Row],[Levererad värme, andra fjärrvärmeföretag, företag 1 (GWh)]]-Tabell3[[#This Row],[Levererad värme, andra fjärrvärmeföretag, företag 2 (GWh)]]-Tabell3[[#This Row],[Levererad värme, andra fjärrvärmeföretag, företag 3 (GWh)]]</f>
        <v>17.995000000000001</v>
      </c>
      <c r="H123" s="102" t="str">
        <f>VLOOKUP(Tabell3[[#This Row],[Nät]],Tabell5[],2,FALSE)</f>
        <v>Krokom</v>
      </c>
      <c r="I123" t="str">
        <f>VLOOKUP(Tabell3[[#This Row],[Nät]],'Leveranser per nät'!A:A,1,FALSE)</f>
        <v>Krokom</v>
      </c>
    </row>
    <row r="124" spans="1:9" x14ac:dyDescent="0.25">
      <c r="A124" t="s">
        <v>579</v>
      </c>
      <c r="B124" t="s">
        <v>156</v>
      </c>
      <c r="C124" s="101">
        <v>56.55</v>
      </c>
      <c r="G124" s="105">
        <f>Tabell3[[#This Row],[Såld värme (GWh)]]-Tabell3[[#This Row],[Levererad värme, andra fjärrvärmeföretag, företag 1 (GWh)]]-Tabell3[[#This Row],[Levererad värme, andra fjärrvärmeföretag, företag 2 (GWh)]]-Tabell3[[#This Row],[Levererad värme, andra fjärrvärmeföretag, företag 3 (GWh)]]</f>
        <v>56.55</v>
      </c>
      <c r="H124" s="102" t="str">
        <f>VLOOKUP(Tabell3[[#This Row],[Nät]],Tabell5[],2,FALSE)</f>
        <v>Åre</v>
      </c>
      <c r="I124" t="str">
        <f>VLOOKUP(Tabell3[[#This Row],[Nät]],'Leveranser per nät'!A:A,1,FALSE)</f>
        <v>Åre</v>
      </c>
    </row>
    <row r="125" spans="1:9" x14ac:dyDescent="0.25">
      <c r="A125" t="s">
        <v>579</v>
      </c>
      <c r="B125" t="s">
        <v>157</v>
      </c>
      <c r="C125" s="101">
        <v>547.01</v>
      </c>
      <c r="G125" s="105">
        <f>Tabell3[[#This Row],[Såld värme (GWh)]]-Tabell3[[#This Row],[Levererad värme, andra fjärrvärmeföretag, företag 1 (GWh)]]-Tabell3[[#This Row],[Levererad värme, andra fjärrvärmeföretag, företag 2 (GWh)]]-Tabell3[[#This Row],[Levererad värme, andra fjärrvärmeföretag, företag 3 (GWh)]]</f>
        <v>547.01</v>
      </c>
      <c r="H125" s="102" t="str">
        <f>VLOOKUP(Tabell3[[#This Row],[Nät]],Tabell5[],2,FALSE)</f>
        <v>Östersund</v>
      </c>
      <c r="I125" t="str">
        <f>VLOOKUP(Tabell3[[#This Row],[Nät]],'Leveranser per nät'!A:A,1,FALSE)</f>
        <v>Östersund</v>
      </c>
    </row>
    <row r="126" spans="1:9" x14ac:dyDescent="0.25">
      <c r="A126" t="s">
        <v>579</v>
      </c>
      <c r="B126" t="s">
        <v>1087</v>
      </c>
      <c r="C126" s="101">
        <v>1.5760000000000001</v>
      </c>
      <c r="G126" s="105">
        <f>Tabell3[[#This Row],[Såld värme (GWh)]]-Tabell3[[#This Row],[Levererad värme, andra fjärrvärmeföretag, företag 1 (GWh)]]-Tabell3[[#This Row],[Levererad värme, andra fjärrvärmeföretag, företag 2 (GWh)]]-Tabell3[[#This Row],[Levererad värme, andra fjärrvärmeföretag, företag 3 (GWh)]]</f>
        <v>1.5760000000000001</v>
      </c>
      <c r="H126" s="102" t="e">
        <f>VLOOKUP(Tabell3[[#This Row],[Nät]],Tabell5[],2,FALSE)</f>
        <v>#N/A</v>
      </c>
      <c r="I126" t="e">
        <f>VLOOKUP(Tabell3[[#This Row],[Nät]],'Leveranser per nät'!A:A,1,FALSE)</f>
        <v>#N/A</v>
      </c>
    </row>
    <row r="127" spans="1:9" x14ac:dyDescent="0.25">
      <c r="A127" t="s">
        <v>975</v>
      </c>
      <c r="B127" t="s">
        <v>466</v>
      </c>
      <c r="C127" s="101">
        <v>54.4</v>
      </c>
      <c r="G127" s="105">
        <f>Tabell3[[#This Row],[Såld värme (GWh)]]-Tabell3[[#This Row],[Levererad värme, andra fjärrvärmeföretag, företag 1 (GWh)]]-Tabell3[[#This Row],[Levererad värme, andra fjärrvärmeföretag, företag 2 (GWh)]]-Tabell3[[#This Row],[Levererad värme, andra fjärrvärmeföretag, företag 3 (GWh)]]</f>
        <v>54.4</v>
      </c>
      <c r="H127" s="102" t="str">
        <f>VLOOKUP(Tabell3[[#This Row],[Nät]],Tabell5[],2,FALSE)</f>
        <v>Strömsund</v>
      </c>
      <c r="I127" t="str">
        <f>VLOOKUP(Tabell3[[#This Row],[Nät]],'Leveranser per nät'!A:A,1,FALSE)</f>
        <v>Strömsund</v>
      </c>
    </row>
    <row r="128" spans="1:9" x14ac:dyDescent="0.25">
      <c r="A128" t="s">
        <v>559</v>
      </c>
      <c r="B128" t="s">
        <v>159</v>
      </c>
      <c r="C128" s="101">
        <v>11.73</v>
      </c>
      <c r="G128" s="105">
        <f>Tabell3[[#This Row],[Såld värme (GWh)]]-Tabell3[[#This Row],[Levererad värme, andra fjärrvärmeföretag, företag 1 (GWh)]]-Tabell3[[#This Row],[Levererad värme, andra fjärrvärmeföretag, företag 2 (GWh)]]-Tabell3[[#This Row],[Levererad värme, andra fjärrvärmeföretag, företag 3 (GWh)]]</f>
        <v>11.73</v>
      </c>
      <c r="H128" s="102" t="str">
        <f>VLOOKUP(Tabell3[[#This Row],[Nät]],Tabell5[],2,FALSE)</f>
        <v>Gränna</v>
      </c>
      <c r="I128" t="str">
        <f>VLOOKUP(Tabell3[[#This Row],[Nät]],'Leveranser per nät'!A:A,1,FALSE)</f>
        <v>Gränna</v>
      </c>
    </row>
    <row r="129" spans="1:9" x14ac:dyDescent="0.25">
      <c r="A129" t="s">
        <v>559</v>
      </c>
      <c r="B129" t="s">
        <v>160</v>
      </c>
      <c r="C129" s="101">
        <v>676.178</v>
      </c>
      <c r="G129" s="105">
        <f>Tabell3[[#This Row],[Såld värme (GWh)]]-Tabell3[[#This Row],[Levererad värme, andra fjärrvärmeföretag, företag 1 (GWh)]]-Tabell3[[#This Row],[Levererad värme, andra fjärrvärmeföretag, företag 2 (GWh)]]-Tabell3[[#This Row],[Levererad värme, andra fjärrvärmeföretag, företag 3 (GWh)]]</f>
        <v>676.178</v>
      </c>
      <c r="H129" s="102" t="str">
        <f>VLOOKUP(Tabell3[[#This Row],[Nät]],Tabell5[],2,FALSE)</f>
        <v>Jönköping</v>
      </c>
      <c r="I129" t="str">
        <f>VLOOKUP(Tabell3[[#This Row],[Nät]],'Leveranser per nät'!A:A,1,FALSE)</f>
        <v>Jönköping</v>
      </c>
    </row>
    <row r="130" spans="1:9" x14ac:dyDescent="0.25">
      <c r="A130" t="s">
        <v>559</v>
      </c>
      <c r="B130" t="s">
        <v>816</v>
      </c>
      <c r="C130" s="101">
        <v>5.117</v>
      </c>
      <c r="G130" s="105">
        <f>Tabell3[[#This Row],[Såld värme (GWh)]]-Tabell3[[#This Row],[Levererad värme, andra fjärrvärmeföretag, företag 1 (GWh)]]-Tabell3[[#This Row],[Levererad värme, andra fjärrvärmeföretag, företag 2 (GWh)]]-Tabell3[[#This Row],[Levererad värme, andra fjärrvärmeföretag, företag 3 (GWh)]]</f>
        <v>5.117</v>
      </c>
      <c r="H130" s="102" t="str">
        <f>VLOOKUP(Tabell3[[#This Row],[Nät]],Tabell5[],2,FALSE)</f>
        <v>Stigamo</v>
      </c>
      <c r="I130" t="str">
        <f>VLOOKUP(Tabell3[[#This Row],[Nät]],'Leveranser per nät'!A:A,1,FALSE)</f>
        <v>Stigamo</v>
      </c>
    </row>
    <row r="131" spans="1:9" x14ac:dyDescent="0.25">
      <c r="A131" t="s">
        <v>643</v>
      </c>
      <c r="B131" t="s">
        <v>162</v>
      </c>
      <c r="C131" s="101">
        <v>355.1</v>
      </c>
      <c r="G131" s="105">
        <f>Tabell3[[#This Row],[Såld värme (GWh)]]-Tabell3[[#This Row],[Levererad värme, andra fjärrvärmeföretag, företag 1 (GWh)]]-Tabell3[[#This Row],[Levererad värme, andra fjärrvärmeföretag, företag 2 (GWh)]]-Tabell3[[#This Row],[Levererad värme, andra fjärrvärmeföretag, företag 3 (GWh)]]</f>
        <v>355.1</v>
      </c>
      <c r="H131" s="102" t="str">
        <f>VLOOKUP(Tabell3[[#This Row],[Nät]],Tabell5[],2,FALSE)</f>
        <v>Kalmar</v>
      </c>
      <c r="I131" t="str">
        <f>VLOOKUP(Tabell3[[#This Row],[Nät]],'Leveranser per nät'!A:A,1,FALSE)</f>
        <v>Kalmar</v>
      </c>
    </row>
    <row r="132" spans="1:9" x14ac:dyDescent="0.25">
      <c r="A132" t="s">
        <v>976</v>
      </c>
      <c r="B132" t="s">
        <v>237</v>
      </c>
      <c r="C132" s="101">
        <v>14.8</v>
      </c>
      <c r="G132" s="105">
        <f>Tabell3[[#This Row],[Såld värme (GWh)]]-Tabell3[[#This Row],[Levererad värme, andra fjärrvärmeföretag, företag 1 (GWh)]]-Tabell3[[#This Row],[Levererad värme, andra fjärrvärmeföretag, företag 2 (GWh)]]-Tabell3[[#This Row],[Levererad värme, andra fjärrvärmeföretag, företag 3 (GWh)]]</f>
        <v>14.8</v>
      </c>
      <c r="H132" s="102" t="str">
        <f>VLOOKUP(Tabell3[[#This Row],[Nät]],Tabell5[],2,FALSE)</f>
        <v>Karlsborg</v>
      </c>
      <c r="I132" t="str">
        <f>VLOOKUP(Tabell3[[#This Row],[Nät]],'Leveranser per nät'!A:A,1,FALSE)</f>
        <v>Karlsborg</v>
      </c>
    </row>
    <row r="133" spans="1:9" x14ac:dyDescent="0.25">
      <c r="A133" t="s">
        <v>645</v>
      </c>
      <c r="B133" t="s">
        <v>164</v>
      </c>
      <c r="C133" s="101">
        <v>161.499</v>
      </c>
      <c r="G133" s="105">
        <f>Tabell3[[#This Row],[Såld värme (GWh)]]-Tabell3[[#This Row],[Levererad värme, andra fjärrvärmeföretag, företag 1 (GWh)]]-Tabell3[[#This Row],[Levererad värme, andra fjärrvärmeföretag, företag 2 (GWh)]]-Tabell3[[#This Row],[Levererad värme, andra fjärrvärmeföretag, företag 3 (GWh)]]</f>
        <v>161.499</v>
      </c>
      <c r="H133" s="102" t="str">
        <f>VLOOKUP(Tabell3[[#This Row],[Nät]],Tabell5[],2,FALSE)</f>
        <v>Karlshamn</v>
      </c>
      <c r="I133" t="str">
        <f>VLOOKUP(Tabell3[[#This Row],[Nät]],'Leveranser per nät'!A:A,1,FALSE)</f>
        <v>Karlshamn</v>
      </c>
    </row>
    <row r="134" spans="1:9" x14ac:dyDescent="0.25">
      <c r="A134" t="s">
        <v>977</v>
      </c>
      <c r="B134" t="s">
        <v>165</v>
      </c>
      <c r="C134" s="101">
        <v>301.60000000000002</v>
      </c>
      <c r="G134" s="105">
        <f>Tabell3[[#This Row],[Såld värme (GWh)]]-Tabell3[[#This Row],[Levererad värme, andra fjärrvärmeföretag, företag 1 (GWh)]]-Tabell3[[#This Row],[Levererad värme, andra fjärrvärmeföretag, företag 2 (GWh)]]-Tabell3[[#This Row],[Levererad värme, andra fjärrvärmeföretag, företag 3 (GWh)]]</f>
        <v>301.60000000000002</v>
      </c>
      <c r="H134" s="102" t="str">
        <f>VLOOKUP(Tabell3[[#This Row],[Nät]],Tabell5[],2,FALSE)</f>
        <v>Karlskoga</v>
      </c>
      <c r="I134" t="str">
        <f>VLOOKUP(Tabell3[[#This Row],[Nät]],'Leveranser per nät'!A:A,1,FALSE)</f>
        <v>Karlskoga</v>
      </c>
    </row>
    <row r="135" spans="1:9" x14ac:dyDescent="0.25">
      <c r="A135" t="s">
        <v>646</v>
      </c>
      <c r="B135" t="s">
        <v>166</v>
      </c>
      <c r="C135" s="101">
        <v>558.6</v>
      </c>
      <c r="D135">
        <v>57.951999999999998</v>
      </c>
      <c r="G135" s="105">
        <f>Tabell3[[#This Row],[Såld värme (GWh)]]-Tabell3[[#This Row],[Levererad värme, andra fjärrvärmeföretag, företag 1 (GWh)]]-Tabell3[[#This Row],[Levererad värme, andra fjärrvärmeföretag, företag 2 (GWh)]]-Tabell3[[#This Row],[Levererad värme, andra fjärrvärmeföretag, företag 3 (GWh)]]</f>
        <v>500.64800000000002</v>
      </c>
      <c r="H135" s="102" t="str">
        <f>VLOOKUP(Tabell3[[#This Row],[Nät]],Tabell5[],2,FALSE)</f>
        <v>Karlstad</v>
      </c>
      <c r="I135" t="str">
        <f>VLOOKUP(Tabell3[[#This Row],[Nät]],'Leveranser per nät'!A:A,1,FALSE)</f>
        <v>Karlstad</v>
      </c>
    </row>
    <row r="136" spans="1:9" x14ac:dyDescent="0.25">
      <c r="A136" t="s">
        <v>649</v>
      </c>
      <c r="B136" t="s">
        <v>170</v>
      </c>
      <c r="C136" s="101">
        <v>36.450000000000003</v>
      </c>
      <c r="G136" s="105">
        <f>Tabell3[[#This Row],[Såld värme (GWh)]]-Tabell3[[#This Row],[Levererad värme, andra fjärrvärmeföretag, företag 1 (GWh)]]-Tabell3[[#This Row],[Levererad värme, andra fjärrvärmeföretag, företag 2 (GWh)]]-Tabell3[[#This Row],[Levererad värme, andra fjärrvärmeföretag, företag 3 (GWh)]]</f>
        <v>36.450000000000003</v>
      </c>
      <c r="H136" s="102" t="str">
        <f>VLOOKUP(Tabell3[[#This Row],[Nät]],Tabell5[],2,FALSE)</f>
        <v>Kil</v>
      </c>
      <c r="I136" t="str">
        <f>VLOOKUP(Tabell3[[#This Row],[Nät]],'Leveranser per nät'!A:A,1,FALSE)</f>
        <v>Kil</v>
      </c>
    </row>
    <row r="137" spans="1:9" x14ac:dyDescent="0.25">
      <c r="A137" t="s">
        <v>817</v>
      </c>
      <c r="B137" t="s">
        <v>390</v>
      </c>
      <c r="C137" s="101">
        <v>209.52199999999999</v>
      </c>
      <c r="G137" s="105">
        <f>Tabell3[[#This Row],[Såld värme (GWh)]]-Tabell3[[#This Row],[Levererad värme, andra fjärrvärmeföretag, företag 1 (GWh)]]-Tabell3[[#This Row],[Levererad värme, andra fjärrvärmeföretag, företag 2 (GWh)]]-Tabell3[[#This Row],[Levererad värme, andra fjärrvärmeföretag, företag 3 (GWh)]]</f>
        <v>209.52199999999999</v>
      </c>
      <c r="H137" s="102" t="str">
        <f>VLOOKUP(Tabell3[[#This Row],[Nät]],Tabell5[],2,FALSE)</f>
        <v>Kiruna C</v>
      </c>
      <c r="I137" t="str">
        <f>VLOOKUP(Tabell3[[#This Row],[Nät]],'Leveranser per nät'!A:A,1,FALSE)</f>
        <v>Kiruna C</v>
      </c>
    </row>
    <row r="138" spans="1:9" x14ac:dyDescent="0.25">
      <c r="A138" t="s">
        <v>817</v>
      </c>
      <c r="B138" t="s">
        <v>305</v>
      </c>
      <c r="C138" s="101">
        <v>5.9429999999999996</v>
      </c>
      <c r="G138" s="105">
        <f>Tabell3[[#This Row],[Såld värme (GWh)]]-Tabell3[[#This Row],[Levererad värme, andra fjärrvärmeföretag, företag 1 (GWh)]]-Tabell3[[#This Row],[Levererad värme, andra fjärrvärmeföretag, företag 2 (GWh)]]-Tabell3[[#This Row],[Levererad värme, andra fjärrvärmeföretag, företag 3 (GWh)]]</f>
        <v>5.9429999999999996</v>
      </c>
      <c r="H138" s="102" t="str">
        <f>VLOOKUP(Tabell3[[#This Row],[Nät]],Tabell5[],2,FALSE)</f>
        <v>Vittangi</v>
      </c>
      <c r="I138" t="str">
        <f>VLOOKUP(Tabell3[[#This Row],[Nät]],'Leveranser per nät'!A:A,1,FALSE)</f>
        <v>Vittangi</v>
      </c>
    </row>
    <row r="139" spans="1:9" x14ac:dyDescent="0.25">
      <c r="A139" t="s">
        <v>786</v>
      </c>
      <c r="B139" t="s">
        <v>787</v>
      </c>
      <c r="C139" s="101">
        <v>805</v>
      </c>
      <c r="D139">
        <v>8.9</v>
      </c>
      <c r="E139">
        <v>15.1</v>
      </c>
      <c r="G139" s="105">
        <f>Tabell3[[#This Row],[Såld värme (GWh)]]-Tabell3[[#This Row],[Levererad värme, andra fjärrvärmeföretag, företag 1 (GWh)]]-Tabell3[[#This Row],[Levererad värme, andra fjärrvärmeföretag, företag 2 (GWh)]]-Tabell3[[#This Row],[Levererad värme, andra fjärrvärmeföretag, företag 3 (GWh)]]</f>
        <v>781</v>
      </c>
      <c r="H139" s="102" t="str">
        <f>VLOOKUP(Tabell3[[#This Row],[Nät]],Tabell5[],2,FALSE)</f>
        <v>Eslöv-Lund-Lomma m fl</v>
      </c>
      <c r="I139" t="str">
        <f>VLOOKUP(Tabell3[[#This Row],[Nät]],'Leveranser per nät'!A:A,1,FALSE)</f>
        <v>Eslöv-Lund-Lomma m fl</v>
      </c>
    </row>
    <row r="140" spans="1:9" x14ac:dyDescent="0.25">
      <c r="A140" t="s">
        <v>786</v>
      </c>
      <c r="B140" t="s">
        <v>788</v>
      </c>
      <c r="C140" s="101">
        <v>51</v>
      </c>
      <c r="G140" s="105">
        <f>Tabell3[[#This Row],[Såld värme (GWh)]]-Tabell3[[#This Row],[Levererad värme, andra fjärrvärmeföretag, företag 1 (GWh)]]-Tabell3[[#This Row],[Levererad värme, andra fjärrvärmeföretag, företag 2 (GWh)]]-Tabell3[[#This Row],[Levererad värme, andra fjärrvärmeföretag, företag 3 (GWh)]]</f>
        <v>51</v>
      </c>
      <c r="H140" s="102" t="str">
        <f>VLOOKUP(Tabell3[[#This Row],[Nät]],Tabell5[],2,FALSE)</f>
        <v>Klippan-Ljungbyhed-Östra Ljungby</v>
      </c>
      <c r="I140" t="str">
        <f>VLOOKUP(Tabell3[[#This Row],[Nät]],'Leveranser per nät'!A:A,1,FALSE)</f>
        <v>Klippan-Ljungbyhed-Östra Ljungby</v>
      </c>
    </row>
    <row r="141" spans="1:9" x14ac:dyDescent="0.25">
      <c r="A141" t="s">
        <v>632</v>
      </c>
      <c r="B141" t="s">
        <v>385</v>
      </c>
      <c r="C141" s="101">
        <v>1.095</v>
      </c>
      <c r="G141" s="105">
        <f>Tabell3[[#This Row],[Såld värme (GWh)]]-Tabell3[[#This Row],[Levererad värme, andra fjärrvärmeföretag, företag 1 (GWh)]]-Tabell3[[#This Row],[Levererad värme, andra fjärrvärmeföretag, företag 2 (GWh)]]-Tabell3[[#This Row],[Levererad värme, andra fjärrvärmeföretag, företag 3 (GWh)]]</f>
        <v>1.095</v>
      </c>
      <c r="H141" s="102" t="str">
        <f>VLOOKUP(Tabell3[[#This Row],[Nät]],Tabell5[],2,FALSE)</f>
        <v>HVC Kode</v>
      </c>
      <c r="I141" t="str">
        <f>VLOOKUP(Tabell3[[#This Row],[Nät]],'Leveranser per nät'!A:A,1,FALSE)</f>
        <v>HVC Kode</v>
      </c>
    </row>
    <row r="142" spans="1:9" x14ac:dyDescent="0.25">
      <c r="A142" t="s">
        <v>632</v>
      </c>
      <c r="B142" t="s">
        <v>386</v>
      </c>
      <c r="C142" s="101">
        <v>1.032</v>
      </c>
      <c r="G142" s="105">
        <f>Tabell3[[#This Row],[Såld värme (GWh)]]-Tabell3[[#This Row],[Levererad värme, andra fjärrvärmeföretag, företag 1 (GWh)]]-Tabell3[[#This Row],[Levererad värme, andra fjärrvärmeföretag, företag 2 (GWh)]]-Tabell3[[#This Row],[Levererad värme, andra fjärrvärmeföretag, företag 3 (GWh)]]</f>
        <v>1.032</v>
      </c>
      <c r="H142" s="102" t="str">
        <f>VLOOKUP(Tabell3[[#This Row],[Nät]],Tabell5[],2,FALSE)</f>
        <v>HVC Kärna</v>
      </c>
      <c r="I142" t="str">
        <f>VLOOKUP(Tabell3[[#This Row],[Nät]],'Leveranser per nät'!A:A,1,FALSE)</f>
        <v>HVC Kärna</v>
      </c>
    </row>
    <row r="143" spans="1:9" x14ac:dyDescent="0.25">
      <c r="A143" t="s">
        <v>632</v>
      </c>
      <c r="B143" t="s">
        <v>387</v>
      </c>
      <c r="C143" s="101">
        <v>2.5499999999999998</v>
      </c>
      <c r="G143" s="105">
        <f>Tabell3[[#This Row],[Såld värme (GWh)]]-Tabell3[[#This Row],[Levererad värme, andra fjärrvärmeföretag, företag 1 (GWh)]]-Tabell3[[#This Row],[Levererad värme, andra fjärrvärmeföretag, företag 2 (GWh)]]-Tabell3[[#This Row],[Levererad värme, andra fjärrvärmeföretag, företag 3 (GWh)]]</f>
        <v>2.5499999999999998</v>
      </c>
      <c r="H143" s="102" t="str">
        <f>VLOOKUP(Tabell3[[#This Row],[Nät]],Tabell5[],2,FALSE)</f>
        <v>HVC Stålkullen</v>
      </c>
      <c r="I143" t="str">
        <f>VLOOKUP(Tabell3[[#This Row],[Nät]],'Leveranser per nät'!A:A,1,FALSE)</f>
        <v>HVC Stålkullen</v>
      </c>
    </row>
    <row r="144" spans="1:9" x14ac:dyDescent="0.25">
      <c r="A144" t="s">
        <v>632</v>
      </c>
      <c r="B144" t="s">
        <v>173</v>
      </c>
      <c r="C144" s="101">
        <v>113.8</v>
      </c>
      <c r="G144" s="105">
        <f>Tabell3[[#This Row],[Såld värme (GWh)]]-Tabell3[[#This Row],[Levererad värme, andra fjärrvärmeföretag, företag 1 (GWh)]]-Tabell3[[#This Row],[Levererad värme, andra fjärrvärmeföretag, företag 2 (GWh)]]-Tabell3[[#This Row],[Levererad värme, andra fjärrvärmeföretag, företag 3 (GWh)]]</f>
        <v>113.8</v>
      </c>
      <c r="H144" s="102" t="str">
        <f>VLOOKUP(Tabell3[[#This Row],[Nät]],Tabell5[],2,FALSE)</f>
        <v>Kungälv</v>
      </c>
      <c r="I144" t="str">
        <f>VLOOKUP(Tabell3[[#This Row],[Nät]],'Leveranser per nät'!A:A,1,FALSE)</f>
        <v>Kungälv</v>
      </c>
    </row>
    <row r="145" spans="1:9" x14ac:dyDescent="0.25">
      <c r="A145" t="s">
        <v>658</v>
      </c>
      <c r="B145" t="s">
        <v>176</v>
      </c>
      <c r="C145" s="101">
        <v>247.2</v>
      </c>
      <c r="D145">
        <v>10.7</v>
      </c>
      <c r="E145">
        <v>39.9</v>
      </c>
      <c r="G145" s="105">
        <f>Tabell3[[#This Row],[Såld värme (GWh)]]-Tabell3[[#This Row],[Levererad värme, andra fjärrvärmeföretag, företag 1 (GWh)]]-Tabell3[[#This Row],[Levererad värme, andra fjärrvärmeföretag, företag 2 (GWh)]]-Tabell3[[#This Row],[Levererad värme, andra fjärrvärmeföretag, företag 3 (GWh)]]</f>
        <v>196.6</v>
      </c>
      <c r="H145" s="102" t="str">
        <f>VLOOKUP(Tabell3[[#This Row],[Nät]],Tabell5[],2,FALSE)</f>
        <v>Landskrona</v>
      </c>
      <c r="I145" t="str">
        <f>VLOOKUP(Tabell3[[#This Row],[Nät]],'Leveranser per nät'!A:A,1,FALSE)</f>
        <v>Landskrona</v>
      </c>
    </row>
    <row r="146" spans="1:9" x14ac:dyDescent="0.25">
      <c r="A146" t="s">
        <v>568</v>
      </c>
      <c r="B146" t="s">
        <v>178</v>
      </c>
      <c r="C146" s="101">
        <v>8.15</v>
      </c>
      <c r="G146" s="105">
        <f>Tabell3[[#This Row],[Såld värme (GWh)]]-Tabell3[[#This Row],[Levererad värme, andra fjärrvärmeföretag, företag 1 (GWh)]]-Tabell3[[#This Row],[Levererad värme, andra fjärrvärmeföretag, företag 2 (GWh)]]-Tabell3[[#This Row],[Levererad värme, andra fjärrvärmeföretag, företag 3 (GWh)]]</f>
        <v>8.15</v>
      </c>
      <c r="H146" s="102" t="str">
        <f>VLOOKUP(Tabell3[[#This Row],[Nät]],Tabell5[],2,FALSE)</f>
        <v>Bjärnum</v>
      </c>
      <c r="I146" t="str">
        <f>VLOOKUP(Tabell3[[#This Row],[Nät]],'Leveranser per nät'!A:A,1,FALSE)</f>
        <v>Bjärnum</v>
      </c>
    </row>
    <row r="147" spans="1:9" x14ac:dyDescent="0.25">
      <c r="A147" t="s">
        <v>568</v>
      </c>
      <c r="B147" t="s">
        <v>179</v>
      </c>
      <c r="C147" s="101">
        <v>6.86</v>
      </c>
      <c r="G147" s="105">
        <f>Tabell3[[#This Row],[Såld värme (GWh)]]-Tabell3[[#This Row],[Levererad värme, andra fjärrvärmeföretag, företag 1 (GWh)]]-Tabell3[[#This Row],[Levererad värme, andra fjärrvärmeföretag, företag 2 (GWh)]]-Tabell3[[#This Row],[Levererad värme, andra fjärrvärmeföretag, företag 3 (GWh)]]</f>
        <v>6.86</v>
      </c>
      <c r="H147" s="102" t="str">
        <f>VLOOKUP(Tabell3[[#This Row],[Nät]],Tabell5[],2,FALSE)</f>
        <v>Ed</v>
      </c>
      <c r="I147" t="str">
        <f>VLOOKUP(Tabell3[[#This Row],[Nät]],'Leveranser per nät'!A:A,1,FALSE)</f>
        <v>Ed</v>
      </c>
    </row>
    <row r="148" spans="1:9" x14ac:dyDescent="0.25">
      <c r="A148" t="s">
        <v>568</v>
      </c>
      <c r="B148" t="s">
        <v>180</v>
      </c>
      <c r="C148" s="101">
        <v>10.81</v>
      </c>
      <c r="G148" s="105">
        <f>Tabell3[[#This Row],[Såld värme (GWh)]]-Tabell3[[#This Row],[Levererad värme, andra fjärrvärmeföretag, företag 1 (GWh)]]-Tabell3[[#This Row],[Levererad värme, andra fjärrvärmeföretag, företag 2 (GWh)]]-Tabell3[[#This Row],[Levererad värme, andra fjärrvärmeföretag, företag 3 (GWh)]]</f>
        <v>10.81</v>
      </c>
      <c r="H148" s="102" t="str">
        <f>VLOOKUP(Tabell3[[#This Row],[Nät]],Tabell5[],2,FALSE)</f>
        <v>Grästorp</v>
      </c>
      <c r="I148" t="str">
        <f>VLOOKUP(Tabell3[[#This Row],[Nät]],'Leveranser per nät'!A:A,1,FALSE)</f>
        <v>Grästorp</v>
      </c>
    </row>
    <row r="149" spans="1:9" x14ac:dyDescent="0.25">
      <c r="A149" t="s">
        <v>568</v>
      </c>
      <c r="B149" t="s">
        <v>181</v>
      </c>
      <c r="C149" s="101">
        <v>5.17</v>
      </c>
      <c r="G149" s="105">
        <f>Tabell3[[#This Row],[Såld värme (GWh)]]-Tabell3[[#This Row],[Levererad värme, andra fjärrvärmeföretag, företag 1 (GWh)]]-Tabell3[[#This Row],[Levererad värme, andra fjärrvärmeföretag, företag 2 (GWh)]]-Tabell3[[#This Row],[Levererad värme, andra fjärrvärmeföretag, företag 3 (GWh)]]</f>
        <v>5.17</v>
      </c>
      <c r="H149" s="102" t="str">
        <f>VLOOKUP(Tabell3[[#This Row],[Nät]],Tabell5[],2,FALSE)</f>
        <v>Horred</v>
      </c>
      <c r="I149" t="str">
        <f>VLOOKUP(Tabell3[[#This Row],[Nät]],'Leveranser per nät'!A:A,1,FALSE)</f>
        <v>Horred</v>
      </c>
    </row>
    <row r="150" spans="1:9" x14ac:dyDescent="0.25">
      <c r="A150" t="s">
        <v>568</v>
      </c>
      <c r="B150" t="s">
        <v>182</v>
      </c>
      <c r="C150" s="101">
        <v>11.59</v>
      </c>
      <c r="G150" s="105">
        <f>Tabell3[[#This Row],[Såld värme (GWh)]]-Tabell3[[#This Row],[Levererad värme, andra fjärrvärmeföretag, företag 1 (GWh)]]-Tabell3[[#This Row],[Levererad värme, andra fjärrvärmeföretag, företag 2 (GWh)]]-Tabell3[[#This Row],[Levererad värme, andra fjärrvärmeföretag, företag 3 (GWh)]]</f>
        <v>11.59</v>
      </c>
      <c r="H150" s="102" t="str">
        <f>VLOOKUP(Tabell3[[#This Row],[Nät]],Tabell5[],2,FALSE)</f>
        <v>Kvänum</v>
      </c>
      <c r="I150" t="str">
        <f>VLOOKUP(Tabell3[[#This Row],[Nät]],'Leveranser per nät'!A:A,1,FALSE)</f>
        <v>Kvänum</v>
      </c>
    </row>
    <row r="151" spans="1:9" x14ac:dyDescent="0.25">
      <c r="A151" t="s">
        <v>568</v>
      </c>
      <c r="B151" t="s">
        <v>183</v>
      </c>
      <c r="C151" s="101">
        <v>27.08</v>
      </c>
      <c r="G151" s="105">
        <f>Tabell3[[#This Row],[Såld värme (GWh)]]-Tabell3[[#This Row],[Levererad värme, andra fjärrvärmeföretag, företag 1 (GWh)]]-Tabell3[[#This Row],[Levererad värme, andra fjärrvärmeföretag, företag 2 (GWh)]]-Tabell3[[#This Row],[Levererad värme, andra fjärrvärmeföretag, företag 3 (GWh)]]</f>
        <v>27.08</v>
      </c>
      <c r="H151" s="102" t="str">
        <f>VLOOKUP(Tabell3[[#This Row],[Nät]],Tabell5[],2,FALSE)</f>
        <v>Skurup</v>
      </c>
      <c r="I151" t="str">
        <f>VLOOKUP(Tabell3[[#This Row],[Nät]],'Leveranser per nät'!A:A,1,FALSE)</f>
        <v>Skurup</v>
      </c>
    </row>
    <row r="152" spans="1:9" x14ac:dyDescent="0.25">
      <c r="A152" t="s">
        <v>568</v>
      </c>
      <c r="B152" t="s">
        <v>855</v>
      </c>
      <c r="C152" s="101">
        <v>7.13</v>
      </c>
      <c r="G152" s="105">
        <f>Tabell3[[#This Row],[Såld värme (GWh)]]-Tabell3[[#This Row],[Levererad värme, andra fjärrvärmeföretag, företag 1 (GWh)]]-Tabell3[[#This Row],[Levererad värme, andra fjärrvärmeföretag, företag 2 (GWh)]]-Tabell3[[#This Row],[Levererad värme, andra fjärrvärmeföretag, företag 3 (GWh)]]</f>
        <v>7.13</v>
      </c>
      <c r="H152" s="102" t="str">
        <f>VLOOKUP(Tabell3[[#This Row],[Nät]],Tabell5[],2,FALSE)</f>
        <v>Vinslöv</v>
      </c>
      <c r="I152" t="str">
        <f>VLOOKUP(Tabell3[[#This Row],[Nät]],'Leveranser per nät'!A:A,1,FALSE)</f>
        <v>Vinslöv</v>
      </c>
    </row>
    <row r="153" spans="1:9" x14ac:dyDescent="0.25">
      <c r="A153" t="s">
        <v>568</v>
      </c>
      <c r="B153" t="s">
        <v>177</v>
      </c>
      <c r="C153" s="101">
        <v>11.24</v>
      </c>
      <c r="G153" s="105">
        <f>Tabell3[[#This Row],[Såld värme (GWh)]]-Tabell3[[#This Row],[Levererad värme, andra fjärrvärmeföretag, företag 1 (GWh)]]-Tabell3[[#This Row],[Levererad värme, andra fjärrvärmeföretag, företag 2 (GWh)]]-Tabell3[[#This Row],[Levererad värme, andra fjärrvärmeföretag, företag 3 (GWh)]]</f>
        <v>11.24</v>
      </c>
      <c r="H153" s="102" t="str">
        <f>VLOOKUP(Tabell3[[#This Row],[Nät]],Tabell5[],2,FALSE)</f>
        <v>Ödeshög</v>
      </c>
      <c r="I153" t="str">
        <f>VLOOKUP(Tabell3[[#This Row],[Nät]],'Leveranser per nät'!A:A,1,FALSE)</f>
        <v>Ödeshög</v>
      </c>
    </row>
    <row r="154" spans="1:9" x14ac:dyDescent="0.25">
      <c r="A154" t="s">
        <v>568</v>
      </c>
      <c r="B154" t="s">
        <v>440</v>
      </c>
      <c r="C154" s="101">
        <v>5.27</v>
      </c>
      <c r="G154" s="105">
        <f>Tabell3[[#This Row],[Såld värme (GWh)]]-Tabell3[[#This Row],[Levererad värme, andra fjärrvärmeföretag, företag 1 (GWh)]]-Tabell3[[#This Row],[Levererad värme, andra fjärrvärmeföretag, företag 2 (GWh)]]-Tabell3[[#This Row],[Levererad värme, andra fjärrvärmeföretag, företag 3 (GWh)]]</f>
        <v>5.27</v>
      </c>
      <c r="H154" s="102" t="str">
        <f>VLOOKUP(Tabell3[[#This Row],[Nät]],Tabell5[],2,FALSE)</f>
        <v>Örsundsbro</v>
      </c>
      <c r="I154" t="str">
        <f>VLOOKUP(Tabell3[[#This Row],[Nät]],'Leveranser per nät'!A:A,1,FALSE)</f>
        <v>Örsundsbro</v>
      </c>
    </row>
    <row r="155" spans="1:9" x14ac:dyDescent="0.25">
      <c r="A155" t="s">
        <v>659</v>
      </c>
      <c r="B155" t="s">
        <v>184</v>
      </c>
      <c r="C155" s="101">
        <v>26.231999999999999</v>
      </c>
      <c r="G155" s="105">
        <f>Tabell3[[#This Row],[Såld värme (GWh)]]-Tabell3[[#This Row],[Levererad värme, andra fjärrvärmeföretag, företag 1 (GWh)]]-Tabell3[[#This Row],[Levererad värme, andra fjärrvärmeföretag, företag 2 (GWh)]]-Tabell3[[#This Row],[Levererad värme, andra fjärrvärmeföretag, företag 3 (GWh)]]</f>
        <v>26.231999999999999</v>
      </c>
      <c r="H155" s="102" t="str">
        <f>VLOOKUP(Tabell3[[#This Row],[Nät]],Tabell5[],2,FALSE)</f>
        <v>Laxå</v>
      </c>
      <c r="I155" t="str">
        <f>VLOOKUP(Tabell3[[#This Row],[Nät]],'Leveranser per nät'!A:A,1,FALSE)</f>
        <v>Laxå</v>
      </c>
    </row>
    <row r="156" spans="1:9" x14ac:dyDescent="0.25">
      <c r="A156" t="s">
        <v>1088</v>
      </c>
      <c r="B156" t="s">
        <v>857</v>
      </c>
      <c r="C156" s="101" t="s">
        <v>805</v>
      </c>
      <c r="D156" t="s">
        <v>805</v>
      </c>
      <c r="E156" t="s">
        <v>805</v>
      </c>
      <c r="F156" t="s">
        <v>805</v>
      </c>
      <c r="G156" s="105" t="e">
        <f>Tabell3[[#This Row],[Såld värme (GWh)]]-Tabell3[[#This Row],[Levererad värme, andra fjärrvärmeföretag, företag 1 (GWh)]]-Tabell3[[#This Row],[Levererad värme, andra fjärrvärmeföretag, företag 2 (GWh)]]-Tabell3[[#This Row],[Levererad värme, andra fjärrvärmeföretag, företag 3 (GWh)]]</f>
        <v>#VALUE!</v>
      </c>
      <c r="H156" s="102" t="e">
        <f>VLOOKUP(Tabell3[[#This Row],[Nät]],Tabell5[],2,FALSE)</f>
        <v>#N/A</v>
      </c>
      <c r="I156" t="e">
        <f>VLOOKUP(Tabell3[[#This Row],[Nät]],'Leveranser per nät'!A:A,1,FALSE)</f>
        <v>#N/A</v>
      </c>
    </row>
    <row r="157" spans="1:9" x14ac:dyDescent="0.25">
      <c r="A157" t="s">
        <v>601</v>
      </c>
      <c r="B157" t="s">
        <v>397</v>
      </c>
      <c r="C157" s="101">
        <v>7.47</v>
      </c>
      <c r="G157" s="105">
        <f>Tabell3[[#This Row],[Såld värme (GWh)]]-Tabell3[[#This Row],[Levererad värme, andra fjärrvärmeföretag, företag 1 (GWh)]]-Tabell3[[#This Row],[Levererad värme, andra fjärrvärmeföretag, företag 2 (GWh)]]-Tabell3[[#This Row],[Levererad värme, andra fjärrvärmeföretag, företag 3 (GWh)]]</f>
        <v>7.47</v>
      </c>
      <c r="H157" s="102" t="str">
        <f>VLOOKUP(Tabell3[[#This Row],[Nät]],Tabell5[],2,FALSE)</f>
        <v>Floda</v>
      </c>
      <c r="I157" t="str">
        <f>VLOOKUP(Tabell3[[#This Row],[Nät]],'Leveranser per nät'!A:A,1,FALSE)</f>
        <v>Floda</v>
      </c>
    </row>
    <row r="158" spans="1:9" x14ac:dyDescent="0.25">
      <c r="A158" t="s">
        <v>601</v>
      </c>
      <c r="B158" t="s">
        <v>185</v>
      </c>
      <c r="C158" s="101">
        <v>10.64</v>
      </c>
      <c r="G158" s="105">
        <f>Tabell3[[#This Row],[Såld värme (GWh)]]-Tabell3[[#This Row],[Levererad värme, andra fjärrvärmeföretag, företag 1 (GWh)]]-Tabell3[[#This Row],[Levererad värme, andra fjärrvärmeföretag, företag 2 (GWh)]]-Tabell3[[#This Row],[Levererad värme, andra fjärrvärmeföretag, företag 3 (GWh)]]</f>
        <v>10.64</v>
      </c>
      <c r="H158" s="102" t="str">
        <f>VLOOKUP(Tabell3[[#This Row],[Nät]],Tabell5[],2,FALSE)</f>
        <v>Gråbo</v>
      </c>
      <c r="I158" t="str">
        <f>VLOOKUP(Tabell3[[#This Row],[Nät]],'Leveranser per nät'!A:A,1,FALSE)</f>
        <v>Gråbo</v>
      </c>
    </row>
    <row r="159" spans="1:9" x14ac:dyDescent="0.25">
      <c r="A159" t="s">
        <v>601</v>
      </c>
      <c r="B159" t="s">
        <v>186</v>
      </c>
      <c r="C159" s="101">
        <v>29.16</v>
      </c>
      <c r="G159" s="105">
        <f>Tabell3[[#This Row],[Såld värme (GWh)]]-Tabell3[[#This Row],[Levererad värme, andra fjärrvärmeföretag, företag 1 (GWh)]]-Tabell3[[#This Row],[Levererad värme, andra fjärrvärmeföretag, företag 2 (GWh)]]-Tabell3[[#This Row],[Levererad värme, andra fjärrvärmeföretag, företag 3 (GWh)]]</f>
        <v>29.16</v>
      </c>
      <c r="H159" s="102" t="str">
        <f>VLOOKUP(Tabell3[[#This Row],[Nät]],Tabell5[],2,FALSE)</f>
        <v>Lerum</v>
      </c>
      <c r="I159" t="str">
        <f>VLOOKUP(Tabell3[[#This Row],[Nät]],'Leveranser per nät'!A:A,1,FALSE)</f>
        <v>Lerum</v>
      </c>
    </row>
    <row r="160" spans="1:9" x14ac:dyDescent="0.25">
      <c r="A160" t="s">
        <v>601</v>
      </c>
      <c r="B160" t="s">
        <v>417</v>
      </c>
      <c r="C160" s="101">
        <v>3.15</v>
      </c>
      <c r="G160" s="105">
        <f>Tabell3[[#This Row],[Såld värme (GWh)]]-Tabell3[[#This Row],[Levererad värme, andra fjärrvärmeföretag, företag 1 (GWh)]]-Tabell3[[#This Row],[Levererad värme, andra fjärrvärmeföretag, företag 2 (GWh)]]-Tabell3[[#This Row],[Levererad värme, andra fjärrvärmeföretag, företag 3 (GWh)]]</f>
        <v>3.15</v>
      </c>
      <c r="H160" s="102" t="str">
        <f>VLOOKUP(Tabell3[[#This Row],[Nät]],Tabell5[],2,FALSE)</f>
        <v>Stenkullen</v>
      </c>
      <c r="I160" t="str">
        <f>VLOOKUP(Tabell3[[#This Row],[Nät]],'Leveranser per nät'!A:A,1,FALSE)</f>
        <v>Stenkullen</v>
      </c>
    </row>
    <row r="161" spans="1:9" x14ac:dyDescent="0.25">
      <c r="A161" t="s">
        <v>669</v>
      </c>
      <c r="B161" t="s">
        <v>187</v>
      </c>
      <c r="C161" s="101">
        <v>42.332000000000001</v>
      </c>
      <c r="G161" s="105">
        <f>Tabell3[[#This Row],[Såld värme (GWh)]]-Tabell3[[#This Row],[Levererad värme, andra fjärrvärmeföretag, företag 1 (GWh)]]-Tabell3[[#This Row],[Levererad värme, andra fjärrvärmeföretag, företag 2 (GWh)]]-Tabell3[[#This Row],[Levererad värme, andra fjärrvärmeföretag, företag 3 (GWh)]]</f>
        <v>42.332000000000001</v>
      </c>
      <c r="H161" s="102" t="str">
        <f>VLOOKUP(Tabell3[[#This Row],[Nät]],Tabell5[],2,FALSE)</f>
        <v>Lysekil</v>
      </c>
      <c r="I161" t="str">
        <f>VLOOKUP(Tabell3[[#This Row],[Nät]],'Leveranser per nät'!A:A,1,FALSE)</f>
        <v>Lysekil</v>
      </c>
    </row>
    <row r="162" spans="1:9" x14ac:dyDescent="0.25">
      <c r="A162" t="s">
        <v>983</v>
      </c>
      <c r="B162" t="s">
        <v>859</v>
      </c>
      <c r="C162" s="101">
        <v>75.165000000000006</v>
      </c>
      <c r="G162" s="105">
        <f>Tabell3[[#This Row],[Såld värme (GWh)]]-Tabell3[[#This Row],[Levererad värme, andra fjärrvärmeföretag, företag 1 (GWh)]]-Tabell3[[#This Row],[Levererad värme, andra fjärrvärmeföretag, företag 2 (GWh)]]-Tabell3[[#This Row],[Levererad värme, andra fjärrvärmeföretag, företag 3 (GWh)]]</f>
        <v>75.165000000000006</v>
      </c>
      <c r="H162" s="102" t="e">
        <f>VLOOKUP(Tabell3[[#This Row],[Nät]],Tabell5[],2,FALSE)</f>
        <v>#N/A</v>
      </c>
      <c r="I162" t="e">
        <f>VLOOKUP(Tabell3[[#This Row],[Nät]],'Leveranser per nät'!A:A,1,FALSE)</f>
        <v>#N/A</v>
      </c>
    </row>
    <row r="163" spans="1:9" x14ac:dyDescent="0.25">
      <c r="A163" t="s">
        <v>983</v>
      </c>
      <c r="B163" t="s">
        <v>188</v>
      </c>
      <c r="C163" s="101">
        <v>217.59</v>
      </c>
      <c r="G163" s="105">
        <f>Tabell3[[#This Row],[Såld värme (GWh)]]-Tabell3[[#This Row],[Levererad värme, andra fjärrvärmeföretag, företag 1 (GWh)]]-Tabell3[[#This Row],[Levererad värme, andra fjärrvärmeföretag, företag 2 (GWh)]]-Tabell3[[#This Row],[Levererad värme, andra fjärrvärmeföretag, företag 3 (GWh)]]</f>
        <v>217.59</v>
      </c>
      <c r="H163" s="102" t="str">
        <f>VLOOKUP(Tabell3[[#This Row],[Nät]],Tabell5[],2,FALSE)</f>
        <v>Lidköping</v>
      </c>
      <c r="I163" t="str">
        <f>VLOOKUP(Tabell3[[#This Row],[Nät]],'Leveranser per nät'!A:A,1,FALSE)</f>
        <v>Lidköping</v>
      </c>
    </row>
    <row r="164" spans="1:9" x14ac:dyDescent="0.25">
      <c r="A164" t="s">
        <v>662</v>
      </c>
      <c r="B164" t="s">
        <v>189</v>
      </c>
      <c r="C164" s="101">
        <v>11.852</v>
      </c>
      <c r="G164" s="105">
        <f>Tabell3[[#This Row],[Såld värme (GWh)]]-Tabell3[[#This Row],[Levererad värme, andra fjärrvärmeföretag, företag 1 (GWh)]]-Tabell3[[#This Row],[Levererad värme, andra fjärrvärmeföretag, företag 2 (GWh)]]-Tabell3[[#This Row],[Levererad värme, andra fjärrvärmeföretag, företag 3 (GWh)]]</f>
        <v>11.852</v>
      </c>
      <c r="H164" s="102" t="str">
        <f>VLOOKUP(Tabell3[[#This Row],[Nät]],Tabell5[],2,FALSE)</f>
        <v>Lilla Edet</v>
      </c>
      <c r="I164" t="str">
        <f>VLOOKUP(Tabell3[[#This Row],[Nät]],'Leveranser per nät'!A:A,1,FALSE)</f>
        <v>Lilla Edet</v>
      </c>
    </row>
    <row r="165" spans="1:9" x14ac:dyDescent="0.25">
      <c r="A165" t="s">
        <v>606</v>
      </c>
      <c r="B165" t="s">
        <v>191</v>
      </c>
      <c r="C165" s="101">
        <v>14.1</v>
      </c>
      <c r="G165" s="105">
        <f>Tabell3[[#This Row],[Såld värme (GWh)]]-Tabell3[[#This Row],[Levererad värme, andra fjärrvärmeföretag, företag 1 (GWh)]]-Tabell3[[#This Row],[Levererad värme, andra fjärrvärmeföretag, företag 2 (GWh)]]-Tabell3[[#This Row],[Levererad värme, andra fjärrvärmeföretag, företag 3 (GWh)]]</f>
        <v>14.1</v>
      </c>
      <c r="H165" s="102" t="str">
        <f>VLOOKUP(Tabell3[[#This Row],[Nät]],Tabell5[],2,FALSE)</f>
        <v>Frövi</v>
      </c>
      <c r="I165" t="str">
        <f>VLOOKUP(Tabell3[[#This Row],[Nät]],'Leveranser per nät'!A:A,1,FALSE)</f>
        <v>Frövi</v>
      </c>
    </row>
    <row r="166" spans="1:9" x14ac:dyDescent="0.25">
      <c r="A166" t="s">
        <v>606</v>
      </c>
      <c r="B166" t="s">
        <v>930</v>
      </c>
      <c r="C166" s="101">
        <v>4.7</v>
      </c>
      <c r="G166" s="105">
        <f>Tabell3[[#This Row],[Såld värme (GWh)]]-Tabell3[[#This Row],[Levererad värme, andra fjärrvärmeföretag, företag 1 (GWh)]]-Tabell3[[#This Row],[Levererad värme, andra fjärrvärmeföretag, företag 2 (GWh)]]-Tabell3[[#This Row],[Levererad värme, andra fjärrvärmeföretag, företag 3 (GWh)]]</f>
        <v>4.7</v>
      </c>
      <c r="H166" s="102" t="str">
        <f>VLOOKUP(Tabell3[[#This Row],[Nät]],Tabell5[],2,FALSE)</f>
        <v>Guldsmedhyttan</v>
      </c>
      <c r="I166" t="str">
        <f>VLOOKUP(Tabell3[[#This Row],[Nät]],'Leveranser per nät'!A:A,1,FALSE)</f>
        <v>Guldsmedhyttan</v>
      </c>
    </row>
    <row r="167" spans="1:9" x14ac:dyDescent="0.25">
      <c r="A167" t="s">
        <v>606</v>
      </c>
      <c r="B167" t="s">
        <v>190</v>
      </c>
      <c r="C167" s="101">
        <v>83</v>
      </c>
      <c r="G167" s="105">
        <f>Tabell3[[#This Row],[Såld värme (GWh)]]-Tabell3[[#This Row],[Levererad värme, andra fjärrvärmeföretag, företag 1 (GWh)]]-Tabell3[[#This Row],[Levererad värme, andra fjärrvärmeföretag, företag 2 (GWh)]]-Tabell3[[#This Row],[Levererad värme, andra fjärrvärmeföretag, företag 3 (GWh)]]</f>
        <v>83</v>
      </c>
      <c r="H167" s="102" t="str">
        <f>VLOOKUP(Tabell3[[#This Row],[Nät]],Tabell5[],2,FALSE)</f>
        <v>Lindesberg</v>
      </c>
      <c r="I167" t="str">
        <f>VLOOKUP(Tabell3[[#This Row],[Nät]],'Leveranser per nät'!A:A,1,FALSE)</f>
        <v>Lindesberg</v>
      </c>
    </row>
    <row r="168" spans="1:9" x14ac:dyDescent="0.25">
      <c r="A168" t="s">
        <v>606</v>
      </c>
      <c r="B168" t="s">
        <v>1089</v>
      </c>
      <c r="C168" s="101" t="s">
        <v>806</v>
      </c>
      <c r="G168" s="105" t="e">
        <f>Tabell3[[#This Row],[Såld värme (GWh)]]-Tabell3[[#This Row],[Levererad värme, andra fjärrvärmeföretag, företag 1 (GWh)]]-Tabell3[[#This Row],[Levererad värme, andra fjärrvärmeföretag, företag 2 (GWh)]]-Tabell3[[#This Row],[Levererad värme, andra fjärrvärmeföretag, företag 3 (GWh)]]</f>
        <v>#VALUE!</v>
      </c>
      <c r="H168" s="102" t="e">
        <f>VLOOKUP(Tabell3[[#This Row],[Nät]],Tabell5[],2,FALSE)</f>
        <v>#N/A</v>
      </c>
      <c r="I168" t="e">
        <f>VLOOKUP(Tabell3[[#This Row],[Nät]],'Leveranser per nät'!A:A,1,FALSE)</f>
        <v>#N/A</v>
      </c>
    </row>
    <row r="169" spans="1:9" x14ac:dyDescent="0.25">
      <c r="A169" t="s">
        <v>606</v>
      </c>
      <c r="B169" t="s">
        <v>192</v>
      </c>
      <c r="C169" s="101">
        <v>3.8</v>
      </c>
      <c r="G169" s="105">
        <f>Tabell3[[#This Row],[Såld värme (GWh)]]-Tabell3[[#This Row],[Levererad värme, andra fjärrvärmeföretag, företag 1 (GWh)]]-Tabell3[[#This Row],[Levererad värme, andra fjärrvärmeföretag, företag 2 (GWh)]]-Tabell3[[#This Row],[Levererad värme, andra fjärrvärmeföretag, företag 3 (GWh)]]</f>
        <v>3.8</v>
      </c>
      <c r="H169" s="102" t="str">
        <f>VLOOKUP(Tabell3[[#This Row],[Nät]],Tabell5[],2,FALSE)</f>
        <v>Vedevåg</v>
      </c>
      <c r="I169" t="str">
        <f>VLOOKUP(Tabell3[[#This Row],[Nät]],'Leveranser per nät'!A:A,1,FALSE)</f>
        <v>Vedevåg</v>
      </c>
    </row>
    <row r="170" spans="1:9" x14ac:dyDescent="0.25">
      <c r="A170" t="s">
        <v>663</v>
      </c>
      <c r="B170" t="s">
        <v>78</v>
      </c>
      <c r="C170" s="101">
        <v>147.9</v>
      </c>
      <c r="D170">
        <v>11.9</v>
      </c>
      <c r="G170" s="105">
        <f>Tabell3[[#This Row],[Såld värme (GWh)]]-Tabell3[[#This Row],[Levererad värme, andra fjärrvärmeföretag, företag 1 (GWh)]]-Tabell3[[#This Row],[Levererad värme, andra fjärrvärmeföretag, företag 2 (GWh)]]-Tabell3[[#This Row],[Levererad värme, andra fjärrvärmeföretag, företag 3 (GWh)]]</f>
        <v>136</v>
      </c>
      <c r="H170" s="102" t="str">
        <f>VLOOKUP(Tabell3[[#This Row],[Nät]],Tabell5[],2,FALSE)</f>
        <v>Ljungby</v>
      </c>
      <c r="I170" t="str">
        <f>VLOOKUP(Tabell3[[#This Row],[Nät]],'Leveranser per nät'!A:A,1,FALSE)</f>
        <v>Ljungby</v>
      </c>
    </row>
    <row r="171" spans="1:9" x14ac:dyDescent="0.25">
      <c r="A171" t="s">
        <v>608</v>
      </c>
      <c r="B171" t="s">
        <v>194</v>
      </c>
      <c r="C171" s="101">
        <v>8.1</v>
      </c>
      <c r="G171" s="105">
        <f>Tabell3[[#This Row],[Såld värme (GWh)]]-Tabell3[[#This Row],[Levererad värme, andra fjärrvärmeföretag, företag 1 (GWh)]]-Tabell3[[#This Row],[Levererad värme, andra fjärrvärmeföretag, företag 2 (GWh)]]-Tabell3[[#This Row],[Levererad värme, andra fjärrvärmeföretag, företag 3 (GWh)]]</f>
        <v>8.1</v>
      </c>
      <c r="H171" s="102" t="str">
        <f>VLOOKUP(Tabell3[[#This Row],[Nät]],Tabell5[],2,FALSE)</f>
        <v>Färila</v>
      </c>
      <c r="I171" t="str">
        <f>VLOOKUP(Tabell3[[#This Row],[Nät]],'Leveranser per nät'!A:A,1,FALSE)</f>
        <v>Färila</v>
      </c>
    </row>
    <row r="172" spans="1:9" x14ac:dyDescent="0.25">
      <c r="A172" t="s">
        <v>608</v>
      </c>
      <c r="B172" t="s">
        <v>195</v>
      </c>
      <c r="C172" s="101">
        <v>11.1</v>
      </c>
      <c r="G172" s="105">
        <f>Tabell3[[#This Row],[Såld värme (GWh)]]-Tabell3[[#This Row],[Levererad värme, andra fjärrvärmeföretag, företag 1 (GWh)]]-Tabell3[[#This Row],[Levererad värme, andra fjärrvärmeföretag, företag 2 (GWh)]]-Tabell3[[#This Row],[Levererad värme, andra fjärrvärmeföretag, företag 3 (GWh)]]</f>
        <v>11.1</v>
      </c>
      <c r="H172" s="102" t="str">
        <f>VLOOKUP(Tabell3[[#This Row],[Nät]],Tabell5[],2,FALSE)</f>
        <v>Järvsö</v>
      </c>
      <c r="I172" t="str">
        <f>VLOOKUP(Tabell3[[#This Row],[Nät]],'Leveranser per nät'!A:A,1,FALSE)</f>
        <v>Järvsö</v>
      </c>
    </row>
    <row r="173" spans="1:9" x14ac:dyDescent="0.25">
      <c r="A173" t="s">
        <v>608</v>
      </c>
      <c r="B173" t="s">
        <v>193</v>
      </c>
      <c r="C173" s="101">
        <v>61.7</v>
      </c>
      <c r="G173" s="105">
        <f>Tabell3[[#This Row],[Såld värme (GWh)]]-Tabell3[[#This Row],[Levererad värme, andra fjärrvärmeföretag, företag 1 (GWh)]]-Tabell3[[#This Row],[Levererad värme, andra fjärrvärmeföretag, företag 2 (GWh)]]-Tabell3[[#This Row],[Levererad värme, andra fjärrvärmeföretag, företag 3 (GWh)]]</f>
        <v>61.7</v>
      </c>
      <c r="H173" s="102" t="str">
        <f>VLOOKUP(Tabell3[[#This Row],[Nät]],Tabell5[],2,FALSE)</f>
        <v>Ljusdal</v>
      </c>
      <c r="I173" t="str">
        <f>VLOOKUP(Tabell3[[#This Row],[Nät]],'Leveranser per nät'!A:A,1,FALSE)</f>
        <v>Ljusdal</v>
      </c>
    </row>
    <row r="174" spans="1:9" x14ac:dyDescent="0.25">
      <c r="A174" t="s">
        <v>667</v>
      </c>
      <c r="B174" t="s">
        <v>196</v>
      </c>
      <c r="C174" s="101">
        <v>820.2</v>
      </c>
      <c r="G174" s="105">
        <f>Tabell3[[#This Row],[Såld värme (GWh)]]-Tabell3[[#This Row],[Levererad värme, andra fjärrvärmeföretag, företag 1 (GWh)]]-Tabell3[[#This Row],[Levererad värme, andra fjärrvärmeföretag, företag 2 (GWh)]]-Tabell3[[#This Row],[Levererad värme, andra fjärrvärmeföretag, företag 3 (GWh)]]</f>
        <v>820.2</v>
      </c>
      <c r="H174" s="102" t="str">
        <f>VLOOKUP(Tabell3[[#This Row],[Nät]],Tabell5[],2,FALSE)</f>
        <v>Luleå</v>
      </c>
      <c r="I174" t="str">
        <f>VLOOKUP(Tabell3[[#This Row],[Nät]],'Leveranser per nät'!A:A,1,FALSE)</f>
        <v>Luleå</v>
      </c>
    </row>
    <row r="175" spans="1:9" x14ac:dyDescent="0.25">
      <c r="A175" t="s">
        <v>667</v>
      </c>
      <c r="B175" t="s">
        <v>860</v>
      </c>
      <c r="C175" s="101">
        <v>6.7</v>
      </c>
      <c r="G175" s="105">
        <f>Tabell3[[#This Row],[Såld värme (GWh)]]-Tabell3[[#This Row],[Levererad värme, andra fjärrvärmeföretag, företag 1 (GWh)]]-Tabell3[[#This Row],[Levererad värme, andra fjärrvärmeföretag, företag 2 (GWh)]]-Tabell3[[#This Row],[Levererad värme, andra fjärrvärmeföretag, företag 3 (GWh)]]</f>
        <v>6.7</v>
      </c>
      <c r="H175" s="102" t="e">
        <f>VLOOKUP(Tabell3[[#This Row],[Nät]],Tabell5[],2,FALSE)</f>
        <v>#N/A</v>
      </c>
      <c r="I175" t="e">
        <f>VLOOKUP(Tabell3[[#This Row],[Nät]],'Leveranser per nät'!A:A,1,FALSE)</f>
        <v>#N/A</v>
      </c>
    </row>
    <row r="176" spans="1:9" x14ac:dyDescent="0.25">
      <c r="A176" t="s">
        <v>667</v>
      </c>
      <c r="B176" t="s">
        <v>197</v>
      </c>
      <c r="C176" s="101">
        <v>22.2</v>
      </c>
      <c r="G176" s="105">
        <f>Tabell3[[#This Row],[Såld värme (GWh)]]-Tabell3[[#This Row],[Levererad värme, andra fjärrvärmeföretag, företag 1 (GWh)]]-Tabell3[[#This Row],[Levererad värme, andra fjärrvärmeföretag, företag 2 (GWh)]]-Tabell3[[#This Row],[Levererad värme, andra fjärrvärmeföretag, företag 3 (GWh)]]</f>
        <v>22.2</v>
      </c>
      <c r="H176" s="102" t="str">
        <f>VLOOKUP(Tabell3[[#This Row],[Nät]],Tabell5[],2,FALSE)</f>
        <v>Råneå</v>
      </c>
      <c r="I176" t="str">
        <f>VLOOKUP(Tabell3[[#This Row],[Nät]],'Leveranser per nät'!A:A,1,FALSE)</f>
        <v>Råneå</v>
      </c>
    </row>
    <row r="177" spans="1:9" x14ac:dyDescent="0.25">
      <c r="A177" t="s">
        <v>671</v>
      </c>
      <c r="B177" t="s">
        <v>201</v>
      </c>
      <c r="C177" s="101">
        <v>27</v>
      </c>
      <c r="G177" s="105">
        <f>Tabell3[[#This Row],[Såld värme (GWh)]]-Tabell3[[#This Row],[Levererad värme, andra fjärrvärmeföretag, företag 1 (GWh)]]-Tabell3[[#This Row],[Levererad värme, andra fjärrvärmeföretag, företag 2 (GWh)]]-Tabell3[[#This Row],[Levererad värme, andra fjärrvärmeföretag, företag 3 (GWh)]]</f>
        <v>27</v>
      </c>
      <c r="H177" s="102" t="str">
        <f>VLOOKUP(Tabell3[[#This Row],[Nät]],Tabell5[],2,FALSE)</f>
        <v>Malung</v>
      </c>
      <c r="I177" t="str">
        <f>VLOOKUP(Tabell3[[#This Row],[Nät]],'Leveranser per nät'!A:A,1,FALSE)</f>
        <v>Malung</v>
      </c>
    </row>
    <row r="178" spans="1:9" x14ac:dyDescent="0.25">
      <c r="A178" t="s">
        <v>557</v>
      </c>
      <c r="B178" t="s">
        <v>861</v>
      </c>
      <c r="C178" s="101">
        <v>90.04</v>
      </c>
      <c r="G178" s="105">
        <f>Tabell3[[#This Row],[Såld värme (GWh)]]-Tabell3[[#This Row],[Levererad värme, andra fjärrvärmeföretag, företag 1 (GWh)]]-Tabell3[[#This Row],[Levererad värme, andra fjärrvärmeföretag, företag 2 (GWh)]]-Tabell3[[#This Row],[Levererad värme, andra fjärrvärmeföretag, företag 3 (GWh)]]</f>
        <v>90.04</v>
      </c>
      <c r="H178" s="102" t="str">
        <f>VLOOKUP(Tabell3[[#This Row],[Nät]],Tabell5[],2,FALSE)</f>
        <v>Assberg - Fritslanäten</v>
      </c>
      <c r="I178" t="str">
        <f>VLOOKUP(Tabell3[[#This Row],[Nät]],'Leveranser per nät'!A:A,1,FALSE)</f>
        <v>Assberg - Fritslanäten</v>
      </c>
    </row>
    <row r="179" spans="1:9" x14ac:dyDescent="0.25">
      <c r="A179" t="s">
        <v>557</v>
      </c>
      <c r="B179" t="s">
        <v>772</v>
      </c>
      <c r="C179" s="101">
        <v>1.2310000000000001</v>
      </c>
      <c r="G179" s="105">
        <f>Tabell3[[#This Row],[Såld värme (GWh)]]-Tabell3[[#This Row],[Levererad värme, andra fjärrvärmeföretag, företag 1 (GWh)]]-Tabell3[[#This Row],[Levererad värme, andra fjärrvärmeföretag, företag 2 (GWh)]]-Tabell3[[#This Row],[Levererad värme, andra fjärrvärmeföretag, företag 3 (GWh)]]</f>
        <v>1.2310000000000001</v>
      </c>
      <c r="H179" s="102" t="str">
        <f>VLOOKUP(Tabell3[[#This Row],[Nät]],Tabell5[],2,FALSE)</f>
        <v>Hyssna</v>
      </c>
      <c r="I179" t="str">
        <f>VLOOKUP(Tabell3[[#This Row],[Nät]],'Leveranser per nät'!A:A,1,FALSE)</f>
        <v>Hyssna</v>
      </c>
    </row>
    <row r="180" spans="1:9" x14ac:dyDescent="0.25">
      <c r="A180" t="s">
        <v>673</v>
      </c>
      <c r="B180" t="s">
        <v>205</v>
      </c>
      <c r="C180" s="101">
        <v>174.3</v>
      </c>
      <c r="D180">
        <v>0.24</v>
      </c>
      <c r="G180" s="105">
        <f>Tabell3[[#This Row],[Såld värme (GWh)]]-Tabell3[[#This Row],[Levererad värme, andra fjärrvärmeföretag, företag 1 (GWh)]]-Tabell3[[#This Row],[Levererad värme, andra fjärrvärmeföretag, företag 2 (GWh)]]-Tabell3[[#This Row],[Levererad värme, andra fjärrvärmeföretag, företag 3 (GWh)]]</f>
        <v>174.06</v>
      </c>
      <c r="H180" s="102" t="str">
        <f>VLOOKUP(Tabell3[[#This Row],[Nät]],Tabell5[],2,FALSE)</f>
        <v>Mjölby</v>
      </c>
      <c r="I180" t="str">
        <f>VLOOKUP(Tabell3[[#This Row],[Nät]],'Leveranser per nät'!A:A,1,FALSE)</f>
        <v>Mjölby</v>
      </c>
    </row>
    <row r="181" spans="1:9" x14ac:dyDescent="0.25">
      <c r="A181" t="s">
        <v>674</v>
      </c>
      <c r="B181" t="s">
        <v>493</v>
      </c>
      <c r="C181" s="101" t="s">
        <v>805</v>
      </c>
      <c r="D181" t="s">
        <v>805</v>
      </c>
      <c r="E181" t="s">
        <v>805</v>
      </c>
      <c r="F181" t="s">
        <v>805</v>
      </c>
      <c r="G181" s="105" t="e">
        <f>Tabell3[[#This Row],[Såld värme (GWh)]]-Tabell3[[#This Row],[Levererad värme, andra fjärrvärmeföretag, företag 1 (GWh)]]-Tabell3[[#This Row],[Levererad värme, andra fjärrvärmeföretag, företag 2 (GWh)]]-Tabell3[[#This Row],[Levererad värme, andra fjärrvärmeföretag, företag 3 (GWh)]]</f>
        <v>#VALUE!</v>
      </c>
      <c r="H181" s="102" t="str">
        <f>VLOOKUP(Tabell3[[#This Row],[Nät]],Tabell5[],2,FALSE)</f>
        <v>Mullsjö</v>
      </c>
      <c r="I181" t="str">
        <f>VLOOKUP(Tabell3[[#This Row],[Nät]],'Leveranser per nät'!A:A,1,FALSE)</f>
        <v>Mullsjö</v>
      </c>
    </row>
    <row r="182" spans="1:9" x14ac:dyDescent="0.25">
      <c r="A182" t="s">
        <v>675</v>
      </c>
      <c r="B182" t="s">
        <v>206</v>
      </c>
      <c r="C182" s="101" t="s">
        <v>805</v>
      </c>
      <c r="D182" t="s">
        <v>805</v>
      </c>
      <c r="E182" t="s">
        <v>805</v>
      </c>
      <c r="F182" t="s">
        <v>805</v>
      </c>
      <c r="G182" s="105" t="e">
        <f>Tabell3[[#This Row],[Såld värme (GWh)]]-Tabell3[[#This Row],[Levererad värme, andra fjärrvärmeföretag, företag 1 (GWh)]]-Tabell3[[#This Row],[Levererad värme, andra fjärrvärmeföretag, företag 2 (GWh)]]-Tabell3[[#This Row],[Levererad värme, andra fjärrvärmeföretag, företag 3 (GWh)]]</f>
        <v>#VALUE!</v>
      </c>
      <c r="H182" s="102" t="str">
        <f>VLOOKUP(Tabell3[[#This Row],[Nät]],Tabell5[],2,FALSE)</f>
        <v>Munkfors</v>
      </c>
      <c r="I182" t="str">
        <f>VLOOKUP(Tabell3[[#This Row],[Nät]],'Leveranser per nät'!A:A,1,FALSE)</f>
        <v>Munkfors</v>
      </c>
    </row>
    <row r="183" spans="1:9" x14ac:dyDescent="0.25">
      <c r="A183" t="s">
        <v>620</v>
      </c>
      <c r="B183" t="s">
        <v>209</v>
      </c>
      <c r="C183" s="101">
        <v>38.299999999999997</v>
      </c>
      <c r="G183" s="105">
        <f>Tabell3[[#This Row],[Såld värme (GWh)]]-Tabell3[[#This Row],[Levererad värme, andra fjärrvärmeföretag, företag 1 (GWh)]]-Tabell3[[#This Row],[Levererad värme, andra fjärrvärmeföretag, företag 2 (GWh)]]-Tabell3[[#This Row],[Levererad värme, andra fjärrvärmeföretag, företag 3 (GWh)]]</f>
        <v>38.299999999999997</v>
      </c>
      <c r="H183" s="102" t="str">
        <f>VLOOKUP(Tabell3[[#This Row],[Nät]],Tabell5[],2,FALSE)</f>
        <v>Kungsör</v>
      </c>
      <c r="I183" t="str">
        <f>VLOOKUP(Tabell3[[#This Row],[Nät]],'Leveranser per nät'!A:A,1,FALSE)</f>
        <v>Kungsör</v>
      </c>
    </row>
    <row r="184" spans="1:9" x14ac:dyDescent="0.25">
      <c r="A184" t="s">
        <v>620</v>
      </c>
      <c r="B184" t="s">
        <v>1090</v>
      </c>
      <c r="C184" s="101" t="s">
        <v>806</v>
      </c>
      <c r="G184" s="105" t="e">
        <f>Tabell3[[#This Row],[Såld värme (GWh)]]-Tabell3[[#This Row],[Levererad värme, andra fjärrvärmeföretag, företag 1 (GWh)]]-Tabell3[[#This Row],[Levererad värme, andra fjärrvärmeföretag, företag 2 (GWh)]]-Tabell3[[#This Row],[Levererad värme, andra fjärrvärmeföretag, företag 3 (GWh)]]</f>
        <v>#VALUE!</v>
      </c>
      <c r="H184" s="102" t="e">
        <f>VLOOKUP(Tabell3[[#This Row],[Nät]],Tabell5[],2,FALSE)</f>
        <v>#N/A</v>
      </c>
      <c r="I184" t="e">
        <f>VLOOKUP(Tabell3[[#This Row],[Nät]],'Leveranser per nät'!A:A,1,FALSE)</f>
        <v>#N/A</v>
      </c>
    </row>
    <row r="185" spans="1:9" x14ac:dyDescent="0.25">
      <c r="A185" t="s">
        <v>620</v>
      </c>
      <c r="B185" t="s">
        <v>207</v>
      </c>
      <c r="C185" s="101">
        <v>1437.5</v>
      </c>
      <c r="G185" s="105">
        <f>Tabell3[[#This Row],[Såld värme (GWh)]]-Tabell3[[#This Row],[Levererad värme, andra fjärrvärmeföretag, företag 1 (GWh)]]-Tabell3[[#This Row],[Levererad värme, andra fjärrvärmeföretag, företag 2 (GWh)]]-Tabell3[[#This Row],[Levererad värme, andra fjärrvärmeföretag, företag 3 (GWh)]]</f>
        <v>1437.5</v>
      </c>
      <c r="H185" s="102" t="str">
        <f>VLOOKUP(Tabell3[[#This Row],[Nät]],Tabell5[],2,FALSE)</f>
        <v>Västerås</v>
      </c>
      <c r="I185" t="str">
        <f>VLOOKUP(Tabell3[[#This Row],[Nät]],'Leveranser per nät'!A:A,1,FALSE)</f>
        <v>Västerås</v>
      </c>
    </row>
    <row r="186" spans="1:9" x14ac:dyDescent="0.25">
      <c r="A186" t="s">
        <v>620</v>
      </c>
      <c r="B186" t="s">
        <v>790</v>
      </c>
      <c r="C186" s="101">
        <v>45.137</v>
      </c>
      <c r="G186" s="105">
        <f>Tabell3[[#This Row],[Såld värme (GWh)]]-Tabell3[[#This Row],[Levererad värme, andra fjärrvärmeföretag, företag 1 (GWh)]]-Tabell3[[#This Row],[Levererad värme, andra fjärrvärmeföretag, företag 2 (GWh)]]-Tabell3[[#This Row],[Levererad värme, andra fjärrvärmeföretag, företag 3 (GWh)]]</f>
        <v>45.137</v>
      </c>
      <c r="H186" s="102" t="e">
        <f>VLOOKUP(Tabell3[[#This Row],[Nät]],Tabell5[],2,FALSE)</f>
        <v>#N/A</v>
      </c>
      <c r="I186" t="e">
        <f>VLOOKUP(Tabell3[[#This Row],[Nät]],'Leveranser per nät'!A:A,1,FALSE)</f>
        <v>#N/A</v>
      </c>
    </row>
    <row r="187" spans="1:9" x14ac:dyDescent="0.25">
      <c r="A187" t="s">
        <v>676</v>
      </c>
      <c r="B187" t="s">
        <v>210</v>
      </c>
      <c r="C187" s="101">
        <v>322.67500000000001</v>
      </c>
      <c r="D187">
        <v>109.63500000000001</v>
      </c>
      <c r="G187" s="105">
        <f>Tabell3[[#This Row],[Såld värme (GWh)]]-Tabell3[[#This Row],[Levererad värme, andra fjärrvärmeföretag, företag 1 (GWh)]]-Tabell3[[#This Row],[Levererad värme, andra fjärrvärmeföretag, företag 2 (GWh)]]-Tabell3[[#This Row],[Levererad värme, andra fjärrvärmeföretag, företag 3 (GWh)]]</f>
        <v>213.04000000000002</v>
      </c>
      <c r="H187" s="102" t="str">
        <f>VLOOKUP(Tabell3[[#This Row],[Nät]],Tabell5[],2,FALSE)</f>
        <v>Mölndal</v>
      </c>
      <c r="I187" t="str">
        <f>VLOOKUP(Tabell3[[#This Row],[Nät]],'Leveranser per nät'!A:A,1,FALSE)</f>
        <v>Mölndal</v>
      </c>
    </row>
    <row r="188" spans="1:9" x14ac:dyDescent="0.25">
      <c r="A188" t="s">
        <v>676</v>
      </c>
      <c r="B188" t="s">
        <v>819</v>
      </c>
      <c r="C188" s="101">
        <v>60.075000000000003</v>
      </c>
      <c r="G188" s="105">
        <f>Tabell3[[#This Row],[Såld värme (GWh)]]-Tabell3[[#This Row],[Levererad värme, andra fjärrvärmeföretag, företag 1 (GWh)]]-Tabell3[[#This Row],[Levererad värme, andra fjärrvärmeföretag, företag 2 (GWh)]]-Tabell3[[#This Row],[Levererad värme, andra fjärrvärmeföretag, företag 3 (GWh)]]</f>
        <v>60.075000000000003</v>
      </c>
      <c r="H188" s="102" t="e">
        <f>VLOOKUP(Tabell3[[#This Row],[Nät]],Tabell5[],2,FALSE)</f>
        <v>#N/A</v>
      </c>
      <c r="I188" t="e">
        <f>VLOOKUP(Tabell3[[#This Row],[Nät]],'Leveranser per nät'!A:A,1,FALSE)</f>
        <v>#N/A</v>
      </c>
    </row>
    <row r="189" spans="1:9" x14ac:dyDescent="0.25">
      <c r="A189" t="s">
        <v>676</v>
      </c>
      <c r="B189" t="s">
        <v>677</v>
      </c>
      <c r="C189" s="101" t="s">
        <v>805</v>
      </c>
      <c r="D189" t="s">
        <v>805</v>
      </c>
      <c r="E189" t="s">
        <v>805</v>
      </c>
      <c r="F189" t="s">
        <v>805</v>
      </c>
      <c r="G189" s="105" t="e">
        <f>Tabell3[[#This Row],[Såld värme (GWh)]]-Tabell3[[#This Row],[Levererad värme, andra fjärrvärmeföretag, företag 1 (GWh)]]-Tabell3[[#This Row],[Levererad värme, andra fjärrvärmeföretag, företag 2 (GWh)]]-Tabell3[[#This Row],[Levererad värme, andra fjärrvärmeföretag, företag 3 (GWh)]]</f>
        <v>#VALUE!</v>
      </c>
      <c r="H189" s="102" t="e">
        <f>VLOOKUP(Tabell3[[#This Row],[Nät]],Tabell5[],2,FALSE)</f>
        <v>#N/A</v>
      </c>
      <c r="I189" t="e">
        <f>VLOOKUP(Tabell3[[#This Row],[Nät]],'Leveranser per nät'!A:A,1,FALSE)</f>
        <v>#N/A</v>
      </c>
    </row>
    <row r="190" spans="1:9" x14ac:dyDescent="0.25">
      <c r="A190" t="s">
        <v>1091</v>
      </c>
      <c r="B190" t="s">
        <v>987</v>
      </c>
      <c r="C190" s="101">
        <v>2.7909999999999999</v>
      </c>
      <c r="G190" s="105">
        <f>Tabell3[[#This Row],[Såld värme (GWh)]]-Tabell3[[#This Row],[Levererad värme, andra fjärrvärmeföretag, företag 1 (GWh)]]-Tabell3[[#This Row],[Levererad värme, andra fjärrvärmeföretag, företag 2 (GWh)]]-Tabell3[[#This Row],[Levererad värme, andra fjärrvärmeföretag, företag 3 (GWh)]]</f>
        <v>2.7909999999999999</v>
      </c>
      <c r="H190" s="102" t="str">
        <f>VLOOKUP(Tabell3[[#This Row],[Nät]],Tabell5[],2,FALSE)</f>
        <v>Billesholm</v>
      </c>
      <c r="I190" t="e">
        <f>VLOOKUP(Tabell3[[#This Row],[Nät]],'Leveranser per nät'!A:A,1,FALSE)</f>
        <v>#N/A</v>
      </c>
    </row>
    <row r="191" spans="1:9" x14ac:dyDescent="0.25">
      <c r="A191" t="s">
        <v>1091</v>
      </c>
      <c r="B191" t="s">
        <v>213</v>
      </c>
      <c r="C191" s="101">
        <v>21.033999999999999</v>
      </c>
      <c r="G191" s="105">
        <f>Tabell3[[#This Row],[Såld värme (GWh)]]-Tabell3[[#This Row],[Levererad värme, andra fjärrvärmeföretag, företag 1 (GWh)]]-Tabell3[[#This Row],[Levererad värme, andra fjärrvärmeföretag, företag 2 (GWh)]]-Tabell3[[#This Row],[Levererad värme, andra fjärrvärmeföretag, företag 3 (GWh)]]</f>
        <v>21.033999999999999</v>
      </c>
      <c r="H191" s="102" t="str">
        <f>VLOOKUP(Tabell3[[#This Row],[Nät]],Tabell5[],2,FALSE)</f>
        <v>Bjuv</v>
      </c>
      <c r="I191" t="str">
        <f>VLOOKUP(Tabell3[[#This Row],[Nät]],'Leveranser per nät'!A:A,1,FALSE)</f>
        <v>Bjuv</v>
      </c>
    </row>
    <row r="192" spans="1:9" x14ac:dyDescent="0.25">
      <c r="A192" t="s">
        <v>1091</v>
      </c>
      <c r="B192" t="s">
        <v>214</v>
      </c>
      <c r="C192" s="101">
        <v>15.481999999999999</v>
      </c>
      <c r="G192" s="105">
        <f>Tabell3[[#This Row],[Såld värme (GWh)]]-Tabell3[[#This Row],[Levererad värme, andra fjärrvärmeföretag, företag 1 (GWh)]]-Tabell3[[#This Row],[Levererad värme, andra fjärrvärmeföretag, företag 2 (GWh)]]-Tabell3[[#This Row],[Levererad värme, andra fjärrvärmeföretag, företag 3 (GWh)]]</f>
        <v>15.481999999999999</v>
      </c>
      <c r="H192" s="102" t="str">
        <f>VLOOKUP(Tabell3[[#This Row],[Nät]],Tabell5[],2,FALSE)</f>
        <v>Gimo</v>
      </c>
      <c r="I192" t="str">
        <f>VLOOKUP(Tabell3[[#This Row],[Nät]],'Leveranser per nät'!A:A,1,FALSE)</f>
        <v>Gimo</v>
      </c>
    </row>
    <row r="193" spans="1:9" s="43" customFormat="1" x14ac:dyDescent="0.25">
      <c r="A193" s="43" t="s">
        <v>1091</v>
      </c>
      <c r="B193" s="43" t="s">
        <v>1038</v>
      </c>
      <c r="C193" s="106">
        <v>2.839</v>
      </c>
      <c r="G193" s="107">
        <f>Tabell3[[#This Row],[Såld värme (GWh)]]-Tabell3[[#This Row],[Levererad värme, andra fjärrvärmeföretag, företag 1 (GWh)]]-Tabell3[[#This Row],[Levererad värme, andra fjärrvärmeföretag, företag 2 (GWh)]]-Tabell3[[#This Row],[Levererad värme, andra fjärrvärmeföretag, företag 3 (GWh)]]</f>
        <v>2.839</v>
      </c>
      <c r="H193" s="108" t="str">
        <f>VLOOKUP(Tabell3[[#This Row],[Nät]],Tabell5[],2,FALSE)</f>
        <v>Gnosjö</v>
      </c>
      <c r="I193" s="43" t="e">
        <f>VLOOKUP(Tabell3[[#This Row],[Nät]],'Leveranser per nät'!A:A,1,FALSE)</f>
        <v>#N/A</v>
      </c>
    </row>
    <row r="194" spans="1:9" x14ac:dyDescent="0.25">
      <c r="A194" t="s">
        <v>1091</v>
      </c>
      <c r="B194" t="s">
        <v>400</v>
      </c>
      <c r="C194" s="101">
        <v>0.70899999999999996</v>
      </c>
      <c r="G194" s="105">
        <f>Tabell3[[#This Row],[Såld värme (GWh)]]-Tabell3[[#This Row],[Levererad värme, andra fjärrvärmeföretag, företag 1 (GWh)]]-Tabell3[[#This Row],[Levererad värme, andra fjärrvärmeföretag, företag 2 (GWh)]]-Tabell3[[#This Row],[Levererad värme, andra fjärrvärmeföretag, företag 3 (GWh)]]</f>
        <v>0.70899999999999996</v>
      </c>
      <c r="H194" s="102" t="str">
        <f>VLOOKUP(Tabell3[[#This Row],[Nät]],Tabell5[],2,FALSE)</f>
        <v>Hjärnarp</v>
      </c>
      <c r="I194" t="str">
        <f>VLOOKUP(Tabell3[[#This Row],[Nät]],'Leveranser per nät'!A:A,1,FALSE)</f>
        <v>Hjärnarp</v>
      </c>
    </row>
    <row r="195" spans="1:9" x14ac:dyDescent="0.25">
      <c r="A195" t="s">
        <v>1091</v>
      </c>
      <c r="B195" t="s">
        <v>215</v>
      </c>
      <c r="C195" s="101">
        <v>31.111999999999998</v>
      </c>
      <c r="G195" s="105">
        <f>Tabell3[[#This Row],[Såld värme (GWh)]]-Tabell3[[#This Row],[Levererad värme, andra fjärrvärmeföretag, företag 1 (GWh)]]-Tabell3[[#This Row],[Levererad värme, andra fjärrvärmeföretag, företag 2 (GWh)]]-Tabell3[[#This Row],[Levererad värme, andra fjärrvärmeföretag, företag 3 (GWh)]]</f>
        <v>31.111999999999998</v>
      </c>
      <c r="H195" s="102" t="str">
        <f>VLOOKUP(Tabell3[[#This Row],[Nät]],Tabell5[],2,FALSE)</f>
        <v>Hultsfred</v>
      </c>
      <c r="I195" t="str">
        <f>VLOOKUP(Tabell3[[#This Row],[Nät]],'Leveranser per nät'!A:A,1,FALSE)</f>
        <v>Hultsfred</v>
      </c>
    </row>
    <row r="196" spans="1:9" x14ac:dyDescent="0.25">
      <c r="A196" t="s">
        <v>1091</v>
      </c>
      <c r="B196" t="s">
        <v>211</v>
      </c>
      <c r="C196" s="101">
        <v>44.042000000000002</v>
      </c>
      <c r="G196" s="105">
        <f>Tabell3[[#This Row],[Såld värme (GWh)]]-Tabell3[[#This Row],[Levererad värme, andra fjärrvärmeföretag, företag 1 (GWh)]]-Tabell3[[#This Row],[Levererad värme, andra fjärrvärmeföretag, företag 2 (GWh)]]-Tabell3[[#This Row],[Levererad värme, andra fjärrvärmeföretag, företag 3 (GWh)]]</f>
        <v>44.042000000000002</v>
      </c>
      <c r="H196" s="102" t="str">
        <f>VLOOKUP(Tabell3[[#This Row],[Nät]],Tabell5[],2,FALSE)</f>
        <v>Kramfors</v>
      </c>
      <c r="I196" t="str">
        <f>VLOOKUP(Tabell3[[#This Row],[Nät]],'Leveranser per nät'!A:A,1,FALSE)</f>
        <v>Kramfors</v>
      </c>
    </row>
    <row r="197" spans="1:9" x14ac:dyDescent="0.25">
      <c r="A197" t="s">
        <v>1091</v>
      </c>
      <c r="B197" t="s">
        <v>931</v>
      </c>
      <c r="C197" s="101">
        <v>6.3410000000000002</v>
      </c>
      <c r="G197" s="105">
        <f>Tabell3[[#This Row],[Såld värme (GWh)]]-Tabell3[[#This Row],[Levererad värme, andra fjärrvärmeföretag, företag 1 (GWh)]]-Tabell3[[#This Row],[Levererad värme, andra fjärrvärmeföretag, företag 2 (GWh)]]-Tabell3[[#This Row],[Levererad värme, andra fjärrvärmeföretag, företag 3 (GWh)]]</f>
        <v>6.3410000000000002</v>
      </c>
      <c r="H197" s="102" t="str">
        <f>VLOOKUP(Tabell3[[#This Row],[Nät]],Tabell5[],2,FALSE)</f>
        <v>Smålandsstenar</v>
      </c>
      <c r="I197" t="str">
        <f>VLOOKUP(Tabell3[[#This Row],[Nät]],'Leveranser per nät'!A:A,1,FALSE)</f>
        <v>Smålandsstenar</v>
      </c>
    </row>
    <row r="198" spans="1:9" x14ac:dyDescent="0.25">
      <c r="A198" t="s">
        <v>1091</v>
      </c>
      <c r="B198" t="s">
        <v>865</v>
      </c>
      <c r="C198" s="101">
        <v>8.3810000000000002</v>
      </c>
      <c r="G198" s="105">
        <f>Tabell3[[#This Row],[Såld värme (GWh)]]-Tabell3[[#This Row],[Levererad värme, andra fjärrvärmeföretag, företag 1 (GWh)]]-Tabell3[[#This Row],[Levererad värme, andra fjärrvärmeföretag, företag 2 (GWh)]]-Tabell3[[#This Row],[Levererad värme, andra fjärrvärmeföretag, företag 3 (GWh)]]</f>
        <v>8.3810000000000002</v>
      </c>
      <c r="H198" s="102" t="str">
        <f>VLOOKUP(Tabell3[[#This Row],[Nät]],Tabell5[],2,FALSE)</f>
        <v>Tanumshede</v>
      </c>
      <c r="I198" t="e">
        <f>VLOOKUP(Tabell3[[#This Row],[Nät]],'Leveranser per nät'!A:A,1,FALSE)</f>
        <v>#N/A</v>
      </c>
    </row>
    <row r="199" spans="1:9" x14ac:dyDescent="0.25">
      <c r="A199" t="s">
        <v>1091</v>
      </c>
      <c r="B199" t="s">
        <v>216</v>
      </c>
      <c r="C199" s="101">
        <v>57.284999999999997</v>
      </c>
      <c r="D199">
        <v>38.893000000000001</v>
      </c>
      <c r="G199" s="105">
        <f>Tabell3[[#This Row],[Såld värme (GWh)]]-Tabell3[[#This Row],[Levererad värme, andra fjärrvärmeföretag, företag 1 (GWh)]]-Tabell3[[#This Row],[Levererad värme, andra fjärrvärmeföretag, företag 2 (GWh)]]-Tabell3[[#This Row],[Levererad värme, andra fjärrvärmeföretag, företag 3 (GWh)]]</f>
        <v>18.391999999999996</v>
      </c>
      <c r="H199" s="102" t="str">
        <f>VLOOKUP(Tabell3[[#This Row],[Nät]],Tabell5[],2,FALSE)</f>
        <v>Tibro</v>
      </c>
      <c r="I199" t="str">
        <f>VLOOKUP(Tabell3[[#This Row],[Nät]],'Leveranser per nät'!A:A,1,FALSE)</f>
        <v>Tibro</v>
      </c>
    </row>
    <row r="200" spans="1:9" x14ac:dyDescent="0.25">
      <c r="A200" t="s">
        <v>1091</v>
      </c>
      <c r="B200" t="s">
        <v>212</v>
      </c>
      <c r="C200" s="101">
        <v>12.760999999999999</v>
      </c>
      <c r="G200" s="105">
        <f>Tabell3[[#This Row],[Såld värme (GWh)]]-Tabell3[[#This Row],[Levererad värme, andra fjärrvärmeföretag, företag 1 (GWh)]]-Tabell3[[#This Row],[Levererad värme, andra fjärrvärmeföretag, företag 2 (GWh)]]-Tabell3[[#This Row],[Levererad värme, andra fjärrvärmeföretag, företag 3 (GWh)]]</f>
        <v>12.760999999999999</v>
      </c>
      <c r="H200" s="102" t="str">
        <f>VLOOKUP(Tabell3[[#This Row],[Nät]],Tabell5[],2,FALSE)</f>
        <v>Valdemarsvik</v>
      </c>
      <c r="I200" t="str">
        <f>VLOOKUP(Tabell3[[#This Row],[Nät]],'Leveranser per nät'!A:A,1,FALSE)</f>
        <v>Valdemarsvik</v>
      </c>
    </row>
    <row r="201" spans="1:9" x14ac:dyDescent="0.25">
      <c r="A201" t="s">
        <v>1091</v>
      </c>
      <c r="B201" t="s">
        <v>431</v>
      </c>
      <c r="C201" s="101">
        <v>3.3159999999999998</v>
      </c>
      <c r="G201" s="105">
        <f>Tabell3[[#This Row],[Såld värme (GWh)]]-Tabell3[[#This Row],[Levererad värme, andra fjärrvärmeföretag, företag 1 (GWh)]]-Tabell3[[#This Row],[Levererad värme, andra fjärrvärmeföretag, företag 2 (GWh)]]-Tabell3[[#This Row],[Levererad värme, andra fjärrvärmeföretag, företag 3 (GWh)]]</f>
        <v>3.3159999999999998</v>
      </c>
      <c r="H201" s="102" t="str">
        <f>VLOOKUP(Tabell3[[#This Row],[Nät]],Tabell5[],2,FALSE)</f>
        <v>Vejbystrand</v>
      </c>
      <c r="I201" t="str">
        <f>VLOOKUP(Tabell3[[#This Row],[Nät]],'Leveranser per nät'!A:A,1,FALSE)</f>
        <v>Vejbystrand</v>
      </c>
    </row>
    <row r="202" spans="1:9" x14ac:dyDescent="0.25">
      <c r="A202" t="s">
        <v>1091</v>
      </c>
      <c r="B202" t="s">
        <v>217</v>
      </c>
      <c r="C202" s="101">
        <v>16.138999999999999</v>
      </c>
      <c r="G202" s="105">
        <f>Tabell3[[#This Row],[Såld värme (GWh)]]-Tabell3[[#This Row],[Levererad värme, andra fjärrvärmeföretag, företag 1 (GWh)]]-Tabell3[[#This Row],[Levererad värme, andra fjärrvärmeföretag, företag 2 (GWh)]]-Tabell3[[#This Row],[Levererad värme, andra fjärrvärmeföretag, företag 3 (GWh)]]</f>
        <v>16.138999999999999</v>
      </c>
      <c r="H202" s="102" t="str">
        <f>VLOOKUP(Tabell3[[#This Row],[Nät]],Tabell5[],2,FALSE)</f>
        <v>Årjäng</v>
      </c>
      <c r="I202" t="str">
        <f>VLOOKUP(Tabell3[[#This Row],[Nät]],'Leveranser per nät'!A:A,1,FALSE)</f>
        <v>Årjäng</v>
      </c>
    </row>
    <row r="203" spans="1:9" x14ac:dyDescent="0.25">
      <c r="A203" t="s">
        <v>1091</v>
      </c>
      <c r="B203" t="s">
        <v>482</v>
      </c>
      <c r="C203" s="101">
        <v>37.774999999999999</v>
      </c>
      <c r="G203" s="105">
        <f>Tabell3[[#This Row],[Såld värme (GWh)]]-Tabell3[[#This Row],[Levererad värme, andra fjärrvärmeföretag, företag 1 (GWh)]]-Tabell3[[#This Row],[Levererad värme, andra fjärrvärmeföretag, företag 2 (GWh)]]-Tabell3[[#This Row],[Levererad värme, andra fjärrvärmeföretag, företag 3 (GWh)]]</f>
        <v>37.774999999999999</v>
      </c>
      <c r="H203" s="102" t="str">
        <f>VLOOKUP(Tabell3[[#This Row],[Nät]],Tabell5[],2,FALSE)</f>
        <v>Åstorp</v>
      </c>
      <c r="I203" t="str">
        <f>VLOOKUP(Tabell3[[#This Row],[Nät]],'Leveranser per nät'!A:A,1,FALSE)</f>
        <v>Åstorp</v>
      </c>
    </row>
    <row r="204" spans="1:9" x14ac:dyDescent="0.25">
      <c r="A204" t="s">
        <v>1091</v>
      </c>
      <c r="B204" t="s">
        <v>218</v>
      </c>
      <c r="C204" s="101">
        <v>7.28</v>
      </c>
      <c r="G204" s="105">
        <f>Tabell3[[#This Row],[Såld värme (GWh)]]-Tabell3[[#This Row],[Levererad värme, andra fjärrvärmeföretag, företag 1 (GWh)]]-Tabell3[[#This Row],[Levererad värme, andra fjärrvärmeföretag, företag 2 (GWh)]]-Tabell3[[#This Row],[Levererad värme, andra fjärrvärmeföretag, företag 3 (GWh)]]</f>
        <v>7.28</v>
      </c>
      <c r="H204" s="102" t="str">
        <f>VLOOKUP(Tabell3[[#This Row],[Nät]],Tabell5[],2,FALSE)</f>
        <v>Österbybruk</v>
      </c>
      <c r="I204" t="str">
        <f>VLOOKUP(Tabell3[[#This Row],[Nät]],'Leveranser per nät'!A:A,1,FALSE)</f>
        <v>Österbybruk</v>
      </c>
    </row>
    <row r="205" spans="1:9" x14ac:dyDescent="0.25">
      <c r="A205" t="s">
        <v>1091</v>
      </c>
      <c r="B205" t="s">
        <v>528</v>
      </c>
      <c r="C205" s="101">
        <v>7.5659999999999998</v>
      </c>
      <c r="G205" s="105">
        <f>Tabell3[[#This Row],[Såld värme (GWh)]]-Tabell3[[#This Row],[Levererad värme, andra fjärrvärmeföretag, företag 1 (GWh)]]-Tabell3[[#This Row],[Levererad värme, andra fjärrvärmeföretag, företag 2 (GWh)]]-Tabell3[[#This Row],[Levererad värme, andra fjärrvärmeföretag, företag 3 (GWh)]]</f>
        <v>7.5659999999999998</v>
      </c>
      <c r="H205" s="102" t="str">
        <f>VLOOKUP(Tabell3[[#This Row],[Nät]],Tabell5[],2,FALSE)</f>
        <v>Östhammar</v>
      </c>
      <c r="I205" t="str">
        <f>VLOOKUP(Tabell3[[#This Row],[Nät]],'Leveranser per nät'!A:A,1,FALSE)</f>
        <v>Östhammar</v>
      </c>
    </row>
    <row r="206" spans="1:9" x14ac:dyDescent="0.25">
      <c r="A206" t="s">
        <v>866</v>
      </c>
      <c r="B206" t="s">
        <v>300</v>
      </c>
      <c r="C206" s="101">
        <v>3.85</v>
      </c>
      <c r="G206" s="105">
        <f>Tabell3[[#This Row],[Såld värme (GWh)]]-Tabell3[[#This Row],[Levererad värme, andra fjärrvärmeföretag, företag 1 (GWh)]]-Tabell3[[#This Row],[Levererad värme, andra fjärrvärmeföretag, företag 2 (GWh)]]-Tabell3[[#This Row],[Levererad värme, andra fjärrvärmeföretag, företag 3 (GWh)]]</f>
        <v>3.85</v>
      </c>
      <c r="H206" s="102" t="str">
        <f>VLOOKUP(Tabell3[[#This Row],[Nät]],Tabell5[],2,FALSE)</f>
        <v>Rörvik</v>
      </c>
      <c r="I206" t="str">
        <f>VLOOKUP(Tabell3[[#This Row],[Nät]],'Leveranser per nät'!A:A,1,FALSE)</f>
        <v>Rörvik</v>
      </c>
    </row>
    <row r="207" spans="1:9" x14ac:dyDescent="0.25">
      <c r="A207" t="s">
        <v>866</v>
      </c>
      <c r="B207" t="s">
        <v>299</v>
      </c>
      <c r="C207" s="101">
        <v>44.054000000000002</v>
      </c>
      <c r="G207" s="105">
        <f>Tabell3[[#This Row],[Såld värme (GWh)]]-Tabell3[[#This Row],[Levererad värme, andra fjärrvärmeföretag, företag 1 (GWh)]]-Tabell3[[#This Row],[Levererad värme, andra fjärrvärmeföretag, företag 2 (GWh)]]-Tabell3[[#This Row],[Levererad värme, andra fjärrvärmeföretag, företag 3 (GWh)]]</f>
        <v>44.054000000000002</v>
      </c>
      <c r="H207" s="102" t="str">
        <f>VLOOKUP(Tabell3[[#This Row],[Nät]],Tabell5[],2,FALSE)</f>
        <v>Sävsjö</v>
      </c>
      <c r="I207" t="str">
        <f>VLOOKUP(Tabell3[[#This Row],[Nät]],'Leveranser per nät'!A:A,1,FALSE)</f>
        <v>Sävsjö</v>
      </c>
    </row>
    <row r="208" spans="1:9" x14ac:dyDescent="0.25">
      <c r="A208" t="s">
        <v>867</v>
      </c>
      <c r="B208" t="s">
        <v>349</v>
      </c>
      <c r="C208" s="101">
        <v>4.1470000000000002</v>
      </c>
      <c r="G208" s="105">
        <f>Tabell3[[#This Row],[Såld värme (GWh)]]-Tabell3[[#This Row],[Levererad värme, andra fjärrvärmeföretag, företag 1 (GWh)]]-Tabell3[[#This Row],[Levererad värme, andra fjärrvärmeföretag, företag 2 (GWh)]]-Tabell3[[#This Row],[Levererad värme, andra fjärrvärmeföretag, företag 3 (GWh)]]</f>
        <v>4.1470000000000002</v>
      </c>
      <c r="H208" s="102" t="str">
        <f>VLOOKUP(Tabell3[[#This Row],[Nät]],Tabell5[],2,FALSE)</f>
        <v>Holsby</v>
      </c>
      <c r="I208" t="str">
        <f>VLOOKUP(Tabell3[[#This Row],[Nät]],'Leveranser per nät'!A:A,1,FALSE)</f>
        <v>Holsby</v>
      </c>
    </row>
    <row r="209" spans="1:9" x14ac:dyDescent="0.25">
      <c r="A209" t="s">
        <v>867</v>
      </c>
      <c r="B209" t="s">
        <v>348</v>
      </c>
      <c r="C209" s="101">
        <v>124.018</v>
      </c>
      <c r="G209" s="105">
        <f>Tabell3[[#This Row],[Såld värme (GWh)]]-Tabell3[[#This Row],[Levererad värme, andra fjärrvärmeföretag, företag 1 (GWh)]]-Tabell3[[#This Row],[Levererad värme, andra fjärrvärmeföretag, företag 2 (GWh)]]-Tabell3[[#This Row],[Levererad värme, andra fjärrvärmeföretag, företag 3 (GWh)]]</f>
        <v>124.018</v>
      </c>
      <c r="H209" s="102" t="str">
        <f>VLOOKUP(Tabell3[[#This Row],[Nät]],Tabell5[],2,FALSE)</f>
        <v>Vetlanda</v>
      </c>
      <c r="I209" t="str">
        <f>VLOOKUP(Tabell3[[#This Row],[Nät]],'Leveranser per nät'!A:A,1,FALSE)</f>
        <v>Vetlanda</v>
      </c>
    </row>
    <row r="210" spans="1:9" x14ac:dyDescent="0.25">
      <c r="A210" t="s">
        <v>869</v>
      </c>
      <c r="B210" t="s">
        <v>870</v>
      </c>
      <c r="C210" s="101">
        <v>14.3</v>
      </c>
      <c r="G210" s="105">
        <f>Tabell3[[#This Row],[Såld värme (GWh)]]-Tabell3[[#This Row],[Levererad värme, andra fjärrvärmeföretag, företag 1 (GWh)]]-Tabell3[[#This Row],[Levererad värme, andra fjärrvärmeföretag, företag 2 (GWh)]]-Tabell3[[#This Row],[Levererad värme, andra fjärrvärmeföretag, företag 3 (GWh)]]</f>
        <v>14.3</v>
      </c>
      <c r="H210" s="102" t="str">
        <f>VLOOKUP(Tabell3[[#This Row],[Nät]],Tabell5[],2,FALSE)</f>
        <v>Nordanstig</v>
      </c>
      <c r="I210" t="str">
        <f>VLOOKUP(Tabell3[[#This Row],[Nät]],'Leveranser per nät'!A:A,1,FALSE)</f>
        <v>Nordanstig</v>
      </c>
    </row>
    <row r="211" spans="1:9" x14ac:dyDescent="0.25">
      <c r="A211" t="s">
        <v>711</v>
      </c>
      <c r="B211" t="s">
        <v>219</v>
      </c>
      <c r="C211" s="101">
        <v>981</v>
      </c>
      <c r="D211">
        <v>0.44600000000000001</v>
      </c>
      <c r="G211" s="105">
        <f>Tabell3[[#This Row],[Såld värme (GWh)]]-Tabell3[[#This Row],[Levererad värme, andra fjärrvärmeföretag, företag 1 (GWh)]]-Tabell3[[#This Row],[Levererad värme, andra fjärrvärmeföretag, företag 2 (GWh)]]-Tabell3[[#This Row],[Levererad värme, andra fjärrvärmeföretag, företag 3 (GWh)]]</f>
        <v>980.55399999999997</v>
      </c>
      <c r="H211" s="102" t="str">
        <f>VLOOKUP(Tabell3[[#This Row],[Nät]],Tabell5[],2,FALSE)</f>
        <v>Sundbyberg-Solna</v>
      </c>
      <c r="I211" t="str">
        <f>VLOOKUP(Tabell3[[#This Row],[Nät]],'Leveranser per nät'!A:A,1,FALSE)</f>
        <v>Sundbyberg-Solna</v>
      </c>
    </row>
    <row r="212" spans="1:9" x14ac:dyDescent="0.25">
      <c r="A212" t="s">
        <v>621</v>
      </c>
      <c r="B212" t="s">
        <v>220</v>
      </c>
      <c r="C212" s="101">
        <v>16.670000000000002</v>
      </c>
      <c r="G212" s="105">
        <f>Tabell3[[#This Row],[Såld värme (GWh)]]-Tabell3[[#This Row],[Levererad värme, andra fjärrvärmeföretag, företag 1 (GWh)]]-Tabell3[[#This Row],[Levererad värme, andra fjärrvärmeföretag, företag 2 (GWh)]]-Tabell3[[#This Row],[Levererad värme, andra fjärrvärmeföretag, företag 3 (GWh)]]</f>
        <v>16.670000000000002</v>
      </c>
      <c r="H212" s="102" t="str">
        <f>VLOOKUP(Tabell3[[#This Row],[Nät]],Tabell5[],2,FALSE)</f>
        <v>Hallstavik</v>
      </c>
      <c r="I212" t="str">
        <f>VLOOKUP(Tabell3[[#This Row],[Nät]],'Leveranser per nät'!A:A,1,FALSE)</f>
        <v>Hallstavik</v>
      </c>
    </row>
    <row r="213" spans="1:9" x14ac:dyDescent="0.25">
      <c r="A213" t="s">
        <v>621</v>
      </c>
      <c r="B213" t="s">
        <v>221</v>
      </c>
      <c r="C213" s="101">
        <v>119.46599999999999</v>
      </c>
      <c r="G213" s="105">
        <f>Tabell3[[#This Row],[Såld värme (GWh)]]-Tabell3[[#This Row],[Levererad värme, andra fjärrvärmeföretag, företag 1 (GWh)]]-Tabell3[[#This Row],[Levererad värme, andra fjärrvärmeföretag, företag 2 (GWh)]]-Tabell3[[#This Row],[Levererad värme, andra fjärrvärmeföretag, företag 3 (GWh)]]</f>
        <v>119.46599999999999</v>
      </c>
      <c r="H213" s="102" t="str">
        <f>VLOOKUP(Tabell3[[#This Row],[Nät]],Tabell5[],2,FALSE)</f>
        <v>Norrtälje</v>
      </c>
      <c r="I213" t="str">
        <f>VLOOKUP(Tabell3[[#This Row],[Nät]],'Leveranser per nät'!A:A,1,FALSE)</f>
        <v>Norrtälje</v>
      </c>
    </row>
    <row r="214" spans="1:9" x14ac:dyDescent="0.25">
      <c r="A214" t="s">
        <v>621</v>
      </c>
      <c r="B214" t="s">
        <v>222</v>
      </c>
      <c r="C214" s="101">
        <v>16.859000000000002</v>
      </c>
      <c r="G214" s="105">
        <f>Tabell3[[#This Row],[Såld värme (GWh)]]-Tabell3[[#This Row],[Levererad värme, andra fjärrvärmeföretag, företag 1 (GWh)]]-Tabell3[[#This Row],[Levererad värme, andra fjärrvärmeföretag, företag 2 (GWh)]]-Tabell3[[#This Row],[Levererad värme, andra fjärrvärmeföretag, företag 3 (GWh)]]</f>
        <v>16.859000000000002</v>
      </c>
      <c r="H214" s="102" t="str">
        <f>VLOOKUP(Tabell3[[#This Row],[Nät]],Tabell5[],2,FALSE)</f>
        <v>Rimbo</v>
      </c>
      <c r="I214" t="str">
        <f>VLOOKUP(Tabell3[[#This Row],[Nät]],'Leveranser per nät'!A:A,1,FALSE)</f>
        <v>Rimbo</v>
      </c>
    </row>
    <row r="215" spans="1:9" x14ac:dyDescent="0.25">
      <c r="A215" t="s">
        <v>990</v>
      </c>
      <c r="B215" t="s">
        <v>872</v>
      </c>
      <c r="C215" s="101">
        <v>7.96</v>
      </c>
      <c r="G215" s="105">
        <f>Tabell3[[#This Row],[Såld värme (GWh)]]-Tabell3[[#This Row],[Levererad värme, andra fjärrvärmeföretag, företag 1 (GWh)]]-Tabell3[[#This Row],[Levererad värme, andra fjärrvärmeföretag, företag 2 (GWh)]]-Tabell3[[#This Row],[Levererad värme, andra fjärrvärmeföretag, företag 3 (GWh)]]</f>
        <v>7.96</v>
      </c>
      <c r="H215" s="102" t="str">
        <f>VLOOKUP(Tabell3[[#This Row],[Nät]],Tabell5[],2,FALSE)</f>
        <v>Essunga</v>
      </c>
      <c r="I215" t="str">
        <f>VLOOKUP(Tabell3[[#This Row],[Nät]],'Leveranser per nät'!A:A,1,FALSE)</f>
        <v>Essunga</v>
      </c>
    </row>
    <row r="216" spans="1:9" x14ac:dyDescent="0.25">
      <c r="A216" t="s">
        <v>679</v>
      </c>
      <c r="B216" t="s">
        <v>163</v>
      </c>
      <c r="C216" s="101">
        <v>123.5</v>
      </c>
      <c r="G216" s="105">
        <f>Tabell3[[#This Row],[Såld värme (GWh)]]-Tabell3[[#This Row],[Levererad värme, andra fjärrvärmeföretag, företag 1 (GWh)]]-Tabell3[[#This Row],[Levererad värme, andra fjärrvärmeföretag, företag 2 (GWh)]]-Tabell3[[#This Row],[Levererad värme, andra fjärrvärmeföretag, företag 3 (GWh)]]</f>
        <v>123.5</v>
      </c>
      <c r="H216" s="102" t="e">
        <f>VLOOKUP(Tabell3[[#This Row],[Nät]],Tabell5[],2,FALSE)</f>
        <v>#N/A</v>
      </c>
      <c r="I216" t="str">
        <f>VLOOKUP(Tabell3[[#This Row],[Nät]],'Leveranser per nät'!A:A,1,FALSE)</f>
        <v>Nybro</v>
      </c>
    </row>
    <row r="217" spans="1:9" x14ac:dyDescent="0.25">
      <c r="A217" t="s">
        <v>551</v>
      </c>
      <c r="B217" t="s">
        <v>224</v>
      </c>
      <c r="C217" s="101">
        <v>1.6</v>
      </c>
      <c r="G217" s="105">
        <f>Tabell3[[#This Row],[Såld värme (GWh)]]-Tabell3[[#This Row],[Levererad värme, andra fjärrvärmeföretag, företag 1 (GWh)]]-Tabell3[[#This Row],[Levererad värme, andra fjärrvärmeföretag, företag 2 (GWh)]]-Tabell3[[#This Row],[Levererad värme, andra fjärrvärmeföretag, företag 3 (GWh)]]</f>
        <v>1.6</v>
      </c>
      <c r="H217" s="102" t="str">
        <f>VLOOKUP(Tabell3[[#This Row],[Nät]],Tabell5[],2,FALSE)</f>
        <v>Anneberg</v>
      </c>
      <c r="I217" t="str">
        <f>VLOOKUP(Tabell3[[#This Row],[Nät]],'Leveranser per nät'!A:A,1,FALSE)</f>
        <v>Anneberg</v>
      </c>
    </row>
    <row r="218" spans="1:9" x14ac:dyDescent="0.25">
      <c r="A218" t="s">
        <v>551</v>
      </c>
      <c r="B218" t="s">
        <v>225</v>
      </c>
      <c r="C218" s="101">
        <v>10.36</v>
      </c>
      <c r="G218" s="105">
        <f>Tabell3[[#This Row],[Såld värme (GWh)]]-Tabell3[[#This Row],[Levererad värme, andra fjärrvärmeföretag, företag 1 (GWh)]]-Tabell3[[#This Row],[Levererad värme, andra fjärrvärmeföretag, företag 2 (GWh)]]-Tabell3[[#This Row],[Levererad värme, andra fjärrvärmeföretag, företag 3 (GWh)]]</f>
        <v>10.36</v>
      </c>
      <c r="H218" s="102" t="str">
        <f>VLOOKUP(Tabell3[[#This Row],[Nät]],Tabell5[],2,FALSE)</f>
        <v>Bodafors</v>
      </c>
      <c r="I218" t="str">
        <f>VLOOKUP(Tabell3[[#This Row],[Nät]],'Leveranser per nät'!A:A,1,FALSE)</f>
        <v>Bodafors</v>
      </c>
    </row>
    <row r="219" spans="1:9" x14ac:dyDescent="0.25">
      <c r="A219" t="s">
        <v>551</v>
      </c>
      <c r="B219" t="s">
        <v>223</v>
      </c>
      <c r="C219" s="101">
        <v>145.30000000000001</v>
      </c>
      <c r="G219" s="105">
        <f>Tabell3[[#This Row],[Såld värme (GWh)]]-Tabell3[[#This Row],[Levererad värme, andra fjärrvärmeföretag, företag 1 (GWh)]]-Tabell3[[#This Row],[Levererad värme, andra fjärrvärmeföretag, företag 2 (GWh)]]-Tabell3[[#This Row],[Levererad värme, andra fjärrvärmeföretag, företag 3 (GWh)]]</f>
        <v>145.30000000000001</v>
      </c>
      <c r="H219" s="102" t="str">
        <f>VLOOKUP(Tabell3[[#This Row],[Nät]],Tabell5[],2,FALSE)</f>
        <v>Nässjö</v>
      </c>
      <c r="I219" t="str">
        <f>VLOOKUP(Tabell3[[#This Row],[Nät]],'Leveranser per nät'!A:A,1,FALSE)</f>
        <v>Nässjö</v>
      </c>
    </row>
    <row r="220" spans="1:9" x14ac:dyDescent="0.25">
      <c r="A220" t="s">
        <v>683</v>
      </c>
      <c r="B220" t="s">
        <v>226</v>
      </c>
      <c r="C220" s="101">
        <v>45.4</v>
      </c>
      <c r="G220" s="105">
        <f>Tabell3[[#This Row],[Såld värme (GWh)]]-Tabell3[[#This Row],[Levererad värme, andra fjärrvärmeföretag, företag 1 (GWh)]]-Tabell3[[#This Row],[Levererad värme, andra fjärrvärmeföretag, företag 2 (GWh)]]-Tabell3[[#This Row],[Levererad värme, andra fjärrvärmeföretag, företag 3 (GWh)]]</f>
        <v>45.4</v>
      </c>
      <c r="H220" s="102" t="str">
        <f>VLOOKUP(Tabell3[[#This Row],[Nät]],Tabell5[],2,FALSE)</f>
        <v>Olofström</v>
      </c>
      <c r="I220" t="str">
        <f>VLOOKUP(Tabell3[[#This Row],[Nät]],'Leveranser per nät'!A:A,1,FALSE)</f>
        <v>Olofström</v>
      </c>
    </row>
    <row r="221" spans="1:9" x14ac:dyDescent="0.25">
      <c r="A221" t="s">
        <v>873</v>
      </c>
      <c r="B221" t="s">
        <v>874</v>
      </c>
      <c r="C221" s="101" t="s">
        <v>805</v>
      </c>
      <c r="D221" t="s">
        <v>805</v>
      </c>
      <c r="E221" t="s">
        <v>805</v>
      </c>
      <c r="F221" t="s">
        <v>805</v>
      </c>
      <c r="G221" s="105" t="e">
        <f>Tabell3[[#This Row],[Såld värme (GWh)]]-Tabell3[[#This Row],[Levererad värme, andra fjärrvärmeföretag, företag 1 (GWh)]]-Tabell3[[#This Row],[Levererad värme, andra fjärrvärmeföretag, företag 2 (GWh)]]-Tabell3[[#This Row],[Levererad värme, andra fjärrvärmeföretag, företag 3 (GWh)]]</f>
        <v>#VALUE!</v>
      </c>
      <c r="H221" s="102" t="str">
        <f>VLOOKUP(Tabell3[[#This Row],[Nät]],Tabell5[],2,FALSE)</f>
        <v>Ellös</v>
      </c>
      <c r="I221" t="e">
        <f>VLOOKUP(Tabell3[[#This Row],[Nät]],'Leveranser per nät'!A:A,1,FALSE)</f>
        <v>#N/A</v>
      </c>
    </row>
    <row r="222" spans="1:9" x14ac:dyDescent="0.25">
      <c r="A222" t="s">
        <v>873</v>
      </c>
      <c r="B222" t="s">
        <v>875</v>
      </c>
      <c r="C222" s="101" t="s">
        <v>805</v>
      </c>
      <c r="D222" t="s">
        <v>805</v>
      </c>
      <c r="E222" t="s">
        <v>805</v>
      </c>
      <c r="F222" t="s">
        <v>805</v>
      </c>
      <c r="G222" s="105" t="e">
        <f>Tabell3[[#This Row],[Såld värme (GWh)]]-Tabell3[[#This Row],[Levererad värme, andra fjärrvärmeföretag, företag 1 (GWh)]]-Tabell3[[#This Row],[Levererad värme, andra fjärrvärmeföretag, företag 2 (GWh)]]-Tabell3[[#This Row],[Levererad värme, andra fjärrvärmeföretag, företag 3 (GWh)]]</f>
        <v>#VALUE!</v>
      </c>
      <c r="H222" s="102" t="str">
        <f>VLOOKUP(Tabell3[[#This Row],[Nät]],Tabell5[],2,FALSE)</f>
        <v>Henån</v>
      </c>
      <c r="I222" t="e">
        <f>VLOOKUP(Tabell3[[#This Row],[Nät]],'Leveranser per nät'!A:A,1,FALSE)</f>
        <v>#N/A</v>
      </c>
    </row>
    <row r="223" spans="1:9" x14ac:dyDescent="0.25">
      <c r="A223" t="s">
        <v>685</v>
      </c>
      <c r="B223" t="s">
        <v>227</v>
      </c>
      <c r="C223" s="101">
        <v>146.30000000000001</v>
      </c>
      <c r="G223" s="105">
        <f>Tabell3[[#This Row],[Såld värme (GWh)]]-Tabell3[[#This Row],[Levererad värme, andra fjärrvärmeföretag, företag 1 (GWh)]]-Tabell3[[#This Row],[Levererad värme, andra fjärrvärmeföretag, företag 2 (GWh)]]-Tabell3[[#This Row],[Levererad värme, andra fjärrvärmeföretag, företag 3 (GWh)]]</f>
        <v>146.30000000000001</v>
      </c>
      <c r="H223" s="102" t="str">
        <f>VLOOKUP(Tabell3[[#This Row],[Nät]],Tabell5[],2,FALSE)</f>
        <v>Oskarshamn</v>
      </c>
      <c r="I223" t="str">
        <f>VLOOKUP(Tabell3[[#This Row],[Nät]],'Leveranser per nät'!A:A,1,FALSE)</f>
        <v>Oskarshamn</v>
      </c>
    </row>
    <row r="224" spans="1:9" x14ac:dyDescent="0.25">
      <c r="A224" t="s">
        <v>686</v>
      </c>
      <c r="B224" t="s">
        <v>228</v>
      </c>
      <c r="C224" s="101">
        <v>80.7</v>
      </c>
      <c r="G224" s="105">
        <f>Tabell3[[#This Row],[Såld värme (GWh)]]-Tabell3[[#This Row],[Levererad värme, andra fjärrvärmeföretag, företag 1 (GWh)]]-Tabell3[[#This Row],[Levererad värme, andra fjärrvärmeföretag, företag 2 (GWh)]]-Tabell3[[#This Row],[Levererad värme, andra fjärrvärmeföretag, företag 3 (GWh)]]</f>
        <v>80.7</v>
      </c>
      <c r="H224" s="102" t="str">
        <f>VLOOKUP(Tabell3[[#This Row],[Nät]],Tabell5[],2,FALSE)</f>
        <v>Oxelösund</v>
      </c>
      <c r="I224" t="str">
        <f>VLOOKUP(Tabell3[[#This Row],[Nät]],'Leveranser per nät'!A:A,1,FALSE)</f>
        <v>Oxelösund</v>
      </c>
    </row>
    <row r="225" spans="1:9" x14ac:dyDescent="0.25">
      <c r="A225" t="s">
        <v>876</v>
      </c>
      <c r="B225" t="s">
        <v>412</v>
      </c>
      <c r="C225" s="101">
        <v>24.82</v>
      </c>
      <c r="G225" s="105">
        <f>Tabell3[[#This Row],[Såld värme (GWh)]]-Tabell3[[#This Row],[Levererad värme, andra fjärrvärmeföretag, företag 1 (GWh)]]-Tabell3[[#This Row],[Levererad värme, andra fjärrvärmeföretag, företag 2 (GWh)]]-Tabell3[[#This Row],[Levererad värme, andra fjärrvärmeföretag, företag 3 (GWh)]]</f>
        <v>24.82</v>
      </c>
      <c r="H225" s="102" t="str">
        <f>VLOOKUP(Tabell3[[#This Row],[Nät]],Tabell5[],2,FALSE)</f>
        <v>Pajala</v>
      </c>
      <c r="I225" t="str">
        <f>VLOOKUP(Tabell3[[#This Row],[Nät]],'Leveranser per nät'!A:A,1,FALSE)</f>
        <v>Pajala</v>
      </c>
    </row>
    <row r="226" spans="1:9" x14ac:dyDescent="0.25">
      <c r="A226" t="s">
        <v>813</v>
      </c>
      <c r="B226" t="s">
        <v>932</v>
      </c>
      <c r="C226" s="101">
        <v>151</v>
      </c>
      <c r="G226" s="105">
        <f>Tabell3[[#This Row],[Såld värme (GWh)]]-Tabell3[[#This Row],[Levererad värme, andra fjärrvärmeföretag, företag 1 (GWh)]]-Tabell3[[#This Row],[Levererad värme, andra fjärrvärmeföretag, företag 2 (GWh)]]-Tabell3[[#This Row],[Levererad värme, andra fjärrvärmeföretag, företag 3 (GWh)]]</f>
        <v>151</v>
      </c>
      <c r="H226" s="102" t="str">
        <f>VLOOKUP(Tabell3[[#This Row],[Nät]],Tabell5[],2,FALSE)</f>
        <v>Partille</v>
      </c>
      <c r="I226" t="str">
        <f>VLOOKUP(Tabell3[[#This Row],[Nät]],'Leveranser per nät'!A:A,1,FALSE)</f>
        <v>Partille</v>
      </c>
    </row>
    <row r="227" spans="1:9" x14ac:dyDescent="0.25">
      <c r="A227" t="s">
        <v>1092</v>
      </c>
      <c r="B227" t="s">
        <v>797</v>
      </c>
      <c r="C227" s="101" t="s">
        <v>805</v>
      </c>
      <c r="D227" t="s">
        <v>805</v>
      </c>
      <c r="E227" t="s">
        <v>805</v>
      </c>
      <c r="F227" t="s">
        <v>805</v>
      </c>
      <c r="G227" s="105" t="e">
        <f>Tabell3[[#This Row],[Såld värme (GWh)]]-Tabell3[[#This Row],[Levererad värme, andra fjärrvärmeföretag, företag 1 (GWh)]]-Tabell3[[#This Row],[Levererad värme, andra fjärrvärmeföretag, företag 2 (GWh)]]-Tabell3[[#This Row],[Levererad värme, andra fjärrvärmeföretag, företag 3 (GWh)]]</f>
        <v>#VALUE!</v>
      </c>
      <c r="H227" s="102" t="e">
        <f>VLOOKUP(Tabell3[[#This Row],[Nät]],Tabell5[],2,FALSE)</f>
        <v>#N/A</v>
      </c>
      <c r="I227" t="e">
        <f>VLOOKUP(Tabell3[[#This Row],[Nät]],'Leveranser per nät'!A:A,1,FALSE)</f>
        <v>#N/A</v>
      </c>
    </row>
    <row r="228" spans="1:9" x14ac:dyDescent="0.25">
      <c r="A228" t="s">
        <v>877</v>
      </c>
      <c r="B228" t="s">
        <v>496</v>
      </c>
      <c r="C228" s="101" t="s">
        <v>805</v>
      </c>
      <c r="D228" t="s">
        <v>805</v>
      </c>
      <c r="E228" t="s">
        <v>805</v>
      </c>
      <c r="F228" t="s">
        <v>805</v>
      </c>
      <c r="G228" s="105" t="e">
        <f>Tabell3[[#This Row],[Såld värme (GWh)]]-Tabell3[[#This Row],[Levererad värme, andra fjärrvärmeföretag, företag 1 (GWh)]]-Tabell3[[#This Row],[Levererad värme, andra fjärrvärmeföretag, företag 2 (GWh)]]-Tabell3[[#This Row],[Levererad värme, andra fjärrvärmeföretag, företag 3 (GWh)]]</f>
        <v>#VALUE!</v>
      </c>
      <c r="H228" s="102" t="str">
        <f>VLOOKUP(Tabell3[[#This Row],[Nät]],Tabell5[],2,FALSE)</f>
        <v>Bångbro</v>
      </c>
      <c r="I228" t="str">
        <f>VLOOKUP(Tabell3[[#This Row],[Nät]],'Leveranser per nät'!A:A,1,FALSE)</f>
        <v>Bångbro</v>
      </c>
    </row>
    <row r="229" spans="1:9" x14ac:dyDescent="0.25">
      <c r="A229" t="s">
        <v>877</v>
      </c>
      <c r="B229" t="s">
        <v>127</v>
      </c>
      <c r="C229" s="101" t="s">
        <v>805</v>
      </c>
      <c r="D229" t="s">
        <v>805</v>
      </c>
      <c r="E229" t="s">
        <v>805</v>
      </c>
      <c r="F229" t="s">
        <v>805</v>
      </c>
      <c r="G229" s="105" t="e">
        <f>Tabell3[[#This Row],[Såld värme (GWh)]]-Tabell3[[#This Row],[Levererad värme, andra fjärrvärmeföretag, företag 1 (GWh)]]-Tabell3[[#This Row],[Levererad värme, andra fjärrvärmeföretag, företag 2 (GWh)]]-Tabell3[[#This Row],[Levererad värme, andra fjärrvärmeföretag, företag 3 (GWh)]]</f>
        <v>#VALUE!</v>
      </c>
      <c r="H229" s="102" t="str">
        <f>VLOOKUP(Tabell3[[#This Row],[Nät]],Tabell5[],2,FALSE)</f>
        <v>Näsviken</v>
      </c>
      <c r="I229" t="str">
        <f>VLOOKUP(Tabell3[[#This Row],[Nät]],'Leveranser per nät'!A:A,1,FALSE)</f>
        <v>Näsviken</v>
      </c>
    </row>
    <row r="230" spans="1:9" x14ac:dyDescent="0.25">
      <c r="A230" t="s">
        <v>877</v>
      </c>
      <c r="B230" t="s">
        <v>438</v>
      </c>
      <c r="C230" s="101" t="s">
        <v>805</v>
      </c>
      <c r="D230" t="s">
        <v>805</v>
      </c>
      <c r="E230" t="s">
        <v>805</v>
      </c>
      <c r="F230" t="s">
        <v>805</v>
      </c>
      <c r="G230" s="105" t="e">
        <f>Tabell3[[#This Row],[Såld värme (GWh)]]-Tabell3[[#This Row],[Levererad värme, andra fjärrvärmeföretag, företag 1 (GWh)]]-Tabell3[[#This Row],[Levererad värme, andra fjärrvärmeföretag, företag 2 (GWh)]]-Tabell3[[#This Row],[Levererad värme, andra fjärrvärmeföretag, företag 3 (GWh)]]</f>
        <v>#VALUE!</v>
      </c>
      <c r="H230" s="102" t="str">
        <f>VLOOKUP(Tabell3[[#This Row],[Nät]],Tabell5[],2,FALSE)</f>
        <v>Älvdalen</v>
      </c>
      <c r="I230" t="str">
        <f>VLOOKUP(Tabell3[[#This Row],[Nät]],'Leveranser per nät'!A:A,1,FALSE)</f>
        <v>Älvdalen</v>
      </c>
    </row>
    <row r="231" spans="1:9" x14ac:dyDescent="0.25">
      <c r="A231" t="s">
        <v>687</v>
      </c>
      <c r="B231" t="s">
        <v>229</v>
      </c>
      <c r="C231" s="101">
        <v>44.9</v>
      </c>
      <c r="G231" s="105">
        <f>Tabell3[[#This Row],[Såld värme (GWh)]]-Tabell3[[#This Row],[Levererad värme, andra fjärrvärmeföretag, företag 1 (GWh)]]-Tabell3[[#This Row],[Levererad värme, andra fjärrvärmeföretag, företag 2 (GWh)]]-Tabell3[[#This Row],[Levererad värme, andra fjärrvärmeföretag, företag 3 (GWh)]]</f>
        <v>44.9</v>
      </c>
      <c r="H231" s="102" t="str">
        <f>VLOOKUP(Tabell3[[#This Row],[Nät]],Tabell5[],2,FALSE)</f>
        <v>Perstorp</v>
      </c>
      <c r="I231" t="str">
        <f>VLOOKUP(Tabell3[[#This Row],[Nät]],'Leveranser per nät'!A:A,1,FALSE)</f>
        <v>Perstorp</v>
      </c>
    </row>
    <row r="232" spans="1:9" x14ac:dyDescent="0.25">
      <c r="A232" t="s">
        <v>678</v>
      </c>
      <c r="B232" t="s">
        <v>232</v>
      </c>
      <c r="C232" s="101">
        <v>6.26</v>
      </c>
      <c r="G232" s="105">
        <f>Tabell3[[#This Row],[Såld värme (GWh)]]-Tabell3[[#This Row],[Levererad värme, andra fjärrvärmeföretag, företag 1 (GWh)]]-Tabell3[[#This Row],[Levererad värme, andra fjärrvärmeföretag, företag 2 (GWh)]]-Tabell3[[#This Row],[Levererad värme, andra fjärrvärmeföretag, företag 3 (GWh)]]</f>
        <v>6.26</v>
      </c>
      <c r="H232" s="102" t="str">
        <f>VLOOKUP(Tabell3[[#This Row],[Nät]],Tabell5[],2,FALSE)</f>
        <v>Norrfjärden</v>
      </c>
      <c r="I232" t="str">
        <f>VLOOKUP(Tabell3[[#This Row],[Nät]],'Leveranser per nät'!A:A,1,FALSE)</f>
        <v>Norrfjärden</v>
      </c>
    </row>
    <row r="233" spans="1:9" x14ac:dyDescent="0.25">
      <c r="A233" t="s">
        <v>678</v>
      </c>
      <c r="B233" t="s">
        <v>230</v>
      </c>
      <c r="C233" s="101">
        <v>255.83</v>
      </c>
      <c r="G233" s="105">
        <f>Tabell3[[#This Row],[Såld värme (GWh)]]-Tabell3[[#This Row],[Levererad värme, andra fjärrvärmeföretag, företag 1 (GWh)]]-Tabell3[[#This Row],[Levererad värme, andra fjärrvärmeföretag, företag 2 (GWh)]]-Tabell3[[#This Row],[Levererad värme, andra fjärrvärmeföretag, företag 3 (GWh)]]</f>
        <v>255.83</v>
      </c>
      <c r="H233" s="102" t="str">
        <f>VLOOKUP(Tabell3[[#This Row],[Nät]],Tabell5[],2,FALSE)</f>
        <v>Piteå</v>
      </c>
      <c r="I233" t="str">
        <f>VLOOKUP(Tabell3[[#This Row],[Nät]],'Leveranser per nät'!A:A,1,FALSE)</f>
        <v>Piteå</v>
      </c>
    </row>
    <row r="234" spans="1:9" x14ac:dyDescent="0.25">
      <c r="A234" t="s">
        <v>678</v>
      </c>
      <c r="B234" t="s">
        <v>233</v>
      </c>
      <c r="C234" s="101">
        <v>1.51</v>
      </c>
      <c r="G234" s="105">
        <f>Tabell3[[#This Row],[Såld värme (GWh)]]-Tabell3[[#This Row],[Levererad värme, andra fjärrvärmeföretag, företag 1 (GWh)]]-Tabell3[[#This Row],[Levererad värme, andra fjärrvärmeföretag, företag 2 (GWh)]]-Tabell3[[#This Row],[Levererad värme, andra fjärrvärmeföretag, företag 3 (GWh)]]</f>
        <v>1.51</v>
      </c>
      <c r="H234" s="102" t="str">
        <f>VLOOKUP(Tabell3[[#This Row],[Nät]],Tabell5[],2,FALSE)</f>
        <v>Rosvik</v>
      </c>
      <c r="I234" t="str">
        <f>VLOOKUP(Tabell3[[#This Row],[Nät]],'Leveranser per nät'!A:A,1,FALSE)</f>
        <v>Rosvik</v>
      </c>
    </row>
    <row r="235" spans="1:9" x14ac:dyDescent="0.25">
      <c r="A235" t="s">
        <v>678</v>
      </c>
      <c r="B235" t="s">
        <v>234</v>
      </c>
      <c r="C235" s="101">
        <v>2.0699999999999998</v>
      </c>
      <c r="G235" s="105">
        <f>Tabell3[[#This Row],[Såld värme (GWh)]]-Tabell3[[#This Row],[Levererad värme, andra fjärrvärmeföretag, företag 1 (GWh)]]-Tabell3[[#This Row],[Levererad värme, andra fjärrvärmeföretag, företag 2 (GWh)]]-Tabell3[[#This Row],[Levererad värme, andra fjärrvärmeföretag, företag 3 (GWh)]]</f>
        <v>2.0699999999999998</v>
      </c>
      <c r="H235" s="102" t="str">
        <f>VLOOKUP(Tabell3[[#This Row],[Nät]],Tabell5[],2,FALSE)</f>
        <v>Sjulnäs</v>
      </c>
      <c r="I235" t="str">
        <f>VLOOKUP(Tabell3[[#This Row],[Nät]],'Leveranser per nät'!A:A,1,FALSE)</f>
        <v>Sjulnäs</v>
      </c>
    </row>
    <row r="236" spans="1:9" x14ac:dyDescent="0.25">
      <c r="A236" t="s">
        <v>1093</v>
      </c>
      <c r="B236" t="s">
        <v>533</v>
      </c>
      <c r="C236" s="101" t="s">
        <v>805</v>
      </c>
      <c r="D236" t="s">
        <v>805</v>
      </c>
      <c r="E236" t="s">
        <v>805</v>
      </c>
      <c r="F236" t="s">
        <v>805</v>
      </c>
      <c r="G236" s="105" t="e">
        <f>Tabell3[[#This Row],[Såld värme (GWh)]]-Tabell3[[#This Row],[Levererad värme, andra fjärrvärmeföretag, företag 1 (GWh)]]-Tabell3[[#This Row],[Levererad värme, andra fjärrvärmeföretag, företag 2 (GWh)]]-Tabell3[[#This Row],[Levererad värme, andra fjärrvärmeföretag, företag 3 (GWh)]]</f>
        <v>#VALUE!</v>
      </c>
      <c r="H236" s="102" t="str">
        <f>VLOOKUP(Tabell3[[#This Row],[Nät]],Tabell5[],2,FALSE)</f>
        <v>Hammarstrand</v>
      </c>
      <c r="I236" t="str">
        <f>VLOOKUP(Tabell3[[#This Row],[Nät]],'Leveranser per nät'!A:A,1,FALSE)</f>
        <v>Hammarstrand</v>
      </c>
    </row>
    <row r="237" spans="1:9" x14ac:dyDescent="0.25">
      <c r="A237" t="s">
        <v>581</v>
      </c>
      <c r="B237" t="s">
        <v>250</v>
      </c>
      <c r="C237" s="101">
        <v>13.4</v>
      </c>
      <c r="G237" s="105">
        <f>Tabell3[[#This Row],[Såld värme (GWh)]]-Tabell3[[#This Row],[Levererad värme, andra fjärrvärmeföretag, företag 1 (GWh)]]-Tabell3[[#This Row],[Levererad värme, andra fjärrvärmeföretag, företag 2 (GWh)]]-Tabell3[[#This Row],[Levererad värme, andra fjärrvärmeföretag, företag 3 (GWh)]]</f>
        <v>13.4</v>
      </c>
      <c r="H237" s="102" t="str">
        <f>VLOOKUP(Tabell3[[#This Row],[Nät]],Tabell5[],2,FALSE)</f>
        <v>Bräkne-Hoby</v>
      </c>
      <c r="I237" t="str">
        <f>VLOOKUP(Tabell3[[#This Row],[Nät]],'Leveranser per nät'!A:A,1,FALSE)</f>
        <v>Bräkne-Hoby</v>
      </c>
    </row>
    <row r="238" spans="1:9" x14ac:dyDescent="0.25">
      <c r="A238" t="s">
        <v>581</v>
      </c>
      <c r="B238" t="s">
        <v>414</v>
      </c>
      <c r="C238" s="101">
        <v>99.5</v>
      </c>
      <c r="G238" s="105">
        <f>Tabell3[[#This Row],[Såld värme (GWh)]]-Tabell3[[#This Row],[Levererad värme, andra fjärrvärmeföretag, företag 1 (GWh)]]-Tabell3[[#This Row],[Levererad värme, andra fjärrvärmeföretag, företag 2 (GWh)]]-Tabell3[[#This Row],[Levererad värme, andra fjärrvärmeföretag, företag 3 (GWh)]]</f>
        <v>99.5</v>
      </c>
      <c r="H238" s="102" t="str">
        <f>VLOOKUP(Tabell3[[#This Row],[Nät]],Tabell5[],2,FALSE)</f>
        <v>Ronneby-Kallinge</v>
      </c>
      <c r="I238" t="str">
        <f>VLOOKUP(Tabell3[[#This Row],[Nät]],'Leveranser per nät'!A:A,1,FALSE)</f>
        <v>Ronneby-Kallinge</v>
      </c>
    </row>
    <row r="239" spans="1:9" x14ac:dyDescent="0.25">
      <c r="A239" t="s">
        <v>992</v>
      </c>
      <c r="B239" t="s">
        <v>252</v>
      </c>
      <c r="C239" s="101">
        <v>44.7</v>
      </c>
      <c r="G239" s="105">
        <f>Tabell3[[#This Row],[Såld värme (GWh)]]-Tabell3[[#This Row],[Levererad värme, andra fjärrvärmeföretag, företag 1 (GWh)]]-Tabell3[[#This Row],[Levererad värme, andra fjärrvärmeföretag, företag 2 (GWh)]]-Tabell3[[#This Row],[Levererad värme, andra fjärrvärmeföretag, företag 3 (GWh)]]</f>
        <v>44.7</v>
      </c>
      <c r="H239" s="102" t="str">
        <f>VLOOKUP(Tabell3[[#This Row],[Nät]],Tabell5[],2,FALSE)</f>
        <v>Rättvik</v>
      </c>
      <c r="I239" t="str">
        <f>VLOOKUP(Tabell3[[#This Row],[Nät]],'Leveranser per nät'!A:A,1,FALSE)</f>
        <v>Rättvik</v>
      </c>
    </row>
    <row r="240" spans="1:9" x14ac:dyDescent="0.25">
      <c r="A240" t="s">
        <v>625</v>
      </c>
      <c r="B240" t="s">
        <v>693</v>
      </c>
      <c r="C240" s="101">
        <v>143.65</v>
      </c>
      <c r="G240" s="105">
        <f>Tabell3[[#This Row],[Såld värme (GWh)]]-Tabell3[[#This Row],[Levererad värme, andra fjärrvärmeföretag, företag 1 (GWh)]]-Tabell3[[#This Row],[Levererad värme, andra fjärrvärmeföretag, företag 2 (GWh)]]-Tabell3[[#This Row],[Levererad värme, andra fjärrvärmeföretag, företag 3 (GWh)]]</f>
        <v>143.65</v>
      </c>
      <c r="H240" s="102" t="str">
        <f>VLOOKUP(Tabell3[[#This Row],[Nät]],Tabell5[],2,FALSE)</f>
        <v>Sala-Heby</v>
      </c>
      <c r="I240" t="str">
        <f>VLOOKUP(Tabell3[[#This Row],[Nät]],'Leveranser per nät'!A:A,1,FALSE)</f>
        <v>Sala-Heby</v>
      </c>
    </row>
    <row r="241" spans="1:9" x14ac:dyDescent="0.25">
      <c r="A241" t="s">
        <v>694</v>
      </c>
      <c r="B241" t="s">
        <v>255</v>
      </c>
      <c r="C241" s="101">
        <v>224.6</v>
      </c>
      <c r="G241" s="105">
        <f>Tabell3[[#This Row],[Såld värme (GWh)]]-Tabell3[[#This Row],[Levererad värme, andra fjärrvärmeföretag, företag 1 (GWh)]]-Tabell3[[#This Row],[Levererad värme, andra fjärrvärmeföretag, företag 2 (GWh)]]-Tabell3[[#This Row],[Levererad värme, andra fjärrvärmeföretag, företag 3 (GWh)]]</f>
        <v>224.6</v>
      </c>
      <c r="H241" s="102" t="str">
        <f>VLOOKUP(Tabell3[[#This Row],[Nät]],Tabell5[],2,FALSE)</f>
        <v>Sandviken</v>
      </c>
      <c r="I241" t="str">
        <f>VLOOKUP(Tabell3[[#This Row],[Nät]],'Leveranser per nät'!A:A,1,FALSE)</f>
        <v>Sandviken</v>
      </c>
    </row>
    <row r="242" spans="1:9" x14ac:dyDescent="0.25">
      <c r="A242" t="s">
        <v>993</v>
      </c>
      <c r="B242" t="s">
        <v>285</v>
      </c>
      <c r="C242" s="101">
        <v>149.303</v>
      </c>
      <c r="G242" s="105">
        <f>Tabell3[[#This Row],[Såld värme (GWh)]]-Tabell3[[#This Row],[Levererad värme, andra fjärrvärmeföretag, företag 1 (GWh)]]-Tabell3[[#This Row],[Levererad värme, andra fjärrvärmeföretag, företag 2 (GWh)]]-Tabell3[[#This Row],[Levererad värme, andra fjärrvärmeföretag, företag 3 (GWh)]]</f>
        <v>149.303</v>
      </c>
      <c r="H242" s="102" t="str">
        <f>VLOOKUP(Tabell3[[#This Row],[Nät]],Tabell5[],2,FALSE)</f>
        <v>Strängnäs</v>
      </c>
      <c r="I242" t="str">
        <f>VLOOKUP(Tabell3[[#This Row],[Nät]],'Leveranser per nät'!A:A,1,FALSE)</f>
        <v>Strängnäs</v>
      </c>
    </row>
    <row r="243" spans="1:9" x14ac:dyDescent="0.25">
      <c r="A243" t="s">
        <v>696</v>
      </c>
      <c r="B243" t="s">
        <v>256</v>
      </c>
      <c r="C243" s="101">
        <v>87.8</v>
      </c>
      <c r="G243" s="105">
        <f>Tabell3[[#This Row],[Såld värme (GWh)]]-Tabell3[[#This Row],[Levererad värme, andra fjärrvärmeföretag, företag 1 (GWh)]]-Tabell3[[#This Row],[Levererad värme, andra fjärrvärmeföretag, företag 2 (GWh)]]-Tabell3[[#This Row],[Levererad värme, andra fjärrvärmeföretag, företag 3 (GWh)]]</f>
        <v>87.8</v>
      </c>
      <c r="H243" s="102" t="str">
        <f>VLOOKUP(Tabell3[[#This Row],[Nät]],Tabell5[],2,FALSE)</f>
        <v>Skara</v>
      </c>
      <c r="I243" t="str">
        <f>VLOOKUP(Tabell3[[#This Row],[Nät]],'Leveranser per nät'!A:A,1,FALSE)</f>
        <v>Skara</v>
      </c>
    </row>
    <row r="244" spans="1:9" x14ac:dyDescent="0.25">
      <c r="A244" t="s">
        <v>571</v>
      </c>
      <c r="B244" t="s">
        <v>263</v>
      </c>
      <c r="C244" s="101">
        <v>7.8650000000000002</v>
      </c>
      <c r="G244" s="105">
        <f>Tabell3[[#This Row],[Såld värme (GWh)]]-Tabell3[[#This Row],[Levererad värme, andra fjärrvärmeföretag, företag 1 (GWh)]]-Tabell3[[#This Row],[Levererad värme, andra fjärrvärmeföretag, företag 2 (GWh)]]-Tabell3[[#This Row],[Levererad värme, andra fjärrvärmeföretag, företag 3 (GWh)]]</f>
        <v>7.8650000000000002</v>
      </c>
      <c r="H244" s="102" t="str">
        <f>VLOOKUP(Tabell3[[#This Row],[Nät]],Tabell5[],2,FALSE)</f>
        <v>Boliden</v>
      </c>
      <c r="I244" t="str">
        <f>VLOOKUP(Tabell3[[#This Row],[Nät]],'Leveranser per nät'!A:A,1,FALSE)</f>
        <v>Boliden</v>
      </c>
    </row>
    <row r="245" spans="1:9" x14ac:dyDescent="0.25">
      <c r="A245" t="s">
        <v>571</v>
      </c>
      <c r="B245" t="s">
        <v>264</v>
      </c>
      <c r="C245" s="101">
        <v>8.0250000000000004</v>
      </c>
      <c r="G245" s="105">
        <f>Tabell3[[#This Row],[Såld värme (GWh)]]-Tabell3[[#This Row],[Levererad värme, andra fjärrvärmeföretag, företag 1 (GWh)]]-Tabell3[[#This Row],[Levererad värme, andra fjärrvärmeföretag, företag 2 (GWh)]]-Tabell3[[#This Row],[Levererad värme, andra fjärrvärmeföretag, företag 3 (GWh)]]</f>
        <v>8.0250000000000004</v>
      </c>
      <c r="H245" s="102" t="str">
        <f>VLOOKUP(Tabell3[[#This Row],[Nät]],Tabell5[],2,FALSE)</f>
        <v>Bureå</v>
      </c>
      <c r="I245" t="str">
        <f>VLOOKUP(Tabell3[[#This Row],[Nät]],'Leveranser per nät'!A:A,1,FALSE)</f>
        <v>Bureå</v>
      </c>
    </row>
    <row r="246" spans="1:9" x14ac:dyDescent="0.25">
      <c r="A246" t="s">
        <v>571</v>
      </c>
      <c r="B246" t="s">
        <v>265</v>
      </c>
      <c r="C246" s="101">
        <v>15.529</v>
      </c>
      <c r="G246" s="105">
        <f>Tabell3[[#This Row],[Såld värme (GWh)]]-Tabell3[[#This Row],[Levererad värme, andra fjärrvärmeföretag, företag 1 (GWh)]]-Tabell3[[#This Row],[Levererad värme, andra fjärrvärmeföretag, företag 2 (GWh)]]-Tabell3[[#This Row],[Levererad värme, andra fjärrvärmeföretag, företag 3 (GWh)]]</f>
        <v>15.529</v>
      </c>
      <c r="H246" s="102" t="str">
        <f>VLOOKUP(Tabell3[[#This Row],[Nät]],Tabell5[],2,FALSE)</f>
        <v>Burträsk</v>
      </c>
      <c r="I246" t="str">
        <f>VLOOKUP(Tabell3[[#This Row],[Nät]],'Leveranser per nät'!A:A,1,FALSE)</f>
        <v>Burträsk</v>
      </c>
    </row>
    <row r="247" spans="1:9" x14ac:dyDescent="0.25">
      <c r="A247" t="s">
        <v>571</v>
      </c>
      <c r="B247" t="s">
        <v>266</v>
      </c>
      <c r="C247" s="101">
        <v>10.827</v>
      </c>
      <c r="G247" s="105">
        <f>Tabell3[[#This Row],[Såld värme (GWh)]]-Tabell3[[#This Row],[Levererad värme, andra fjärrvärmeföretag, företag 1 (GWh)]]-Tabell3[[#This Row],[Levererad värme, andra fjärrvärmeföretag, företag 2 (GWh)]]-Tabell3[[#This Row],[Levererad värme, andra fjärrvärmeföretag, företag 3 (GWh)]]</f>
        <v>10.827</v>
      </c>
      <c r="H247" s="102" t="str">
        <f>VLOOKUP(Tabell3[[#This Row],[Nät]],Tabell5[],2,FALSE)</f>
        <v>Byske</v>
      </c>
      <c r="I247" t="str">
        <f>VLOOKUP(Tabell3[[#This Row],[Nät]],'Leveranser per nät'!A:A,1,FALSE)</f>
        <v>Byske</v>
      </c>
    </row>
    <row r="248" spans="1:9" x14ac:dyDescent="0.25">
      <c r="A248" t="s">
        <v>571</v>
      </c>
      <c r="B248" t="s">
        <v>267</v>
      </c>
      <c r="C248" s="101">
        <v>6.3159999999999998</v>
      </c>
      <c r="G248" s="105">
        <f>Tabell3[[#This Row],[Såld värme (GWh)]]-Tabell3[[#This Row],[Levererad värme, andra fjärrvärmeföretag, företag 1 (GWh)]]-Tabell3[[#This Row],[Levererad värme, andra fjärrvärmeföretag, företag 2 (GWh)]]-Tabell3[[#This Row],[Levererad värme, andra fjärrvärmeföretag, företag 3 (GWh)]]</f>
        <v>6.3159999999999998</v>
      </c>
      <c r="H248" s="102" t="str">
        <f>VLOOKUP(Tabell3[[#This Row],[Nät]],Tabell5[],2,FALSE)</f>
        <v>Jörn</v>
      </c>
      <c r="I248" t="str">
        <f>VLOOKUP(Tabell3[[#This Row],[Nät]],'Leveranser per nät'!A:A,1,FALSE)</f>
        <v>Jörn</v>
      </c>
    </row>
    <row r="249" spans="1:9" x14ac:dyDescent="0.25">
      <c r="A249" t="s">
        <v>571</v>
      </c>
      <c r="B249" t="s">
        <v>269</v>
      </c>
      <c r="C249" s="101">
        <v>5.4980000000000002</v>
      </c>
      <c r="G249" s="105">
        <f>Tabell3[[#This Row],[Såld värme (GWh)]]-Tabell3[[#This Row],[Levererad värme, andra fjärrvärmeföretag, företag 1 (GWh)]]-Tabell3[[#This Row],[Levererad värme, andra fjärrvärmeföretag, företag 2 (GWh)]]-Tabell3[[#This Row],[Levererad värme, andra fjärrvärmeföretag, företag 3 (GWh)]]</f>
        <v>5.4980000000000002</v>
      </c>
      <c r="H249" s="102" t="str">
        <f>VLOOKUP(Tabell3[[#This Row],[Nät]],Tabell5[],2,FALSE)</f>
        <v>Kåge</v>
      </c>
      <c r="I249" t="str">
        <f>VLOOKUP(Tabell3[[#This Row],[Nät]],'Leveranser per nät'!A:A,1,FALSE)</f>
        <v>Kåge</v>
      </c>
    </row>
    <row r="250" spans="1:9" x14ac:dyDescent="0.25">
      <c r="A250" t="s">
        <v>571</v>
      </c>
      <c r="B250" t="s">
        <v>270</v>
      </c>
      <c r="C250" s="101">
        <v>2.863</v>
      </c>
      <c r="G250" s="105">
        <f>Tabell3[[#This Row],[Såld värme (GWh)]]-Tabell3[[#This Row],[Levererad värme, andra fjärrvärmeföretag, företag 1 (GWh)]]-Tabell3[[#This Row],[Levererad värme, andra fjärrvärmeföretag, företag 2 (GWh)]]-Tabell3[[#This Row],[Levererad värme, andra fjärrvärmeföretag, företag 3 (GWh)]]</f>
        <v>2.863</v>
      </c>
      <c r="H250" s="102" t="str">
        <f>VLOOKUP(Tabell3[[#This Row],[Nät]],Tabell5[],2,FALSE)</f>
        <v>Lidbacken</v>
      </c>
      <c r="I250" t="str">
        <f>VLOOKUP(Tabell3[[#This Row],[Nät]],'Leveranser per nät'!A:A,1,FALSE)</f>
        <v>Lidbacken</v>
      </c>
    </row>
    <row r="251" spans="1:9" x14ac:dyDescent="0.25">
      <c r="A251" t="s">
        <v>571</v>
      </c>
      <c r="B251" t="s">
        <v>259</v>
      </c>
      <c r="C251" s="101">
        <v>106.455</v>
      </c>
      <c r="G251" s="105">
        <f>Tabell3[[#This Row],[Såld värme (GWh)]]-Tabell3[[#This Row],[Levererad värme, andra fjärrvärmeföretag, företag 1 (GWh)]]-Tabell3[[#This Row],[Levererad värme, andra fjärrvärmeföretag, företag 2 (GWh)]]-Tabell3[[#This Row],[Levererad värme, andra fjärrvärmeföretag, företag 3 (GWh)]]</f>
        <v>106.455</v>
      </c>
      <c r="H251" s="102" t="str">
        <f>VLOOKUP(Tabell3[[#This Row],[Nät]],Tabell5[],2,FALSE)</f>
        <v>Lycksele</v>
      </c>
      <c r="I251" t="str">
        <f>VLOOKUP(Tabell3[[#This Row],[Nät]],'Leveranser per nät'!A:A,1,FALSE)</f>
        <v>Lycksele</v>
      </c>
    </row>
    <row r="252" spans="1:9" x14ac:dyDescent="0.25">
      <c r="A252" t="s">
        <v>571</v>
      </c>
      <c r="B252" t="s">
        <v>271</v>
      </c>
      <c r="C252" s="101">
        <v>3.3250000000000002</v>
      </c>
      <c r="G252" s="105">
        <f>Tabell3[[#This Row],[Såld värme (GWh)]]-Tabell3[[#This Row],[Levererad värme, andra fjärrvärmeföretag, företag 1 (GWh)]]-Tabell3[[#This Row],[Levererad värme, andra fjärrvärmeföretag, företag 2 (GWh)]]-Tabell3[[#This Row],[Levererad värme, andra fjärrvärmeföretag, företag 3 (GWh)]]</f>
        <v>3.3250000000000002</v>
      </c>
      <c r="H252" s="102" t="str">
        <f>VLOOKUP(Tabell3[[#This Row],[Nät]],Tabell5[],2,FALSE)</f>
        <v>Lövånger</v>
      </c>
      <c r="I252" t="str">
        <f>VLOOKUP(Tabell3[[#This Row],[Nät]],'Leveranser per nät'!A:A,1,FALSE)</f>
        <v>Lövånger</v>
      </c>
    </row>
    <row r="253" spans="1:9" x14ac:dyDescent="0.25">
      <c r="A253" t="s">
        <v>571</v>
      </c>
      <c r="B253" t="s">
        <v>257</v>
      </c>
      <c r="C253" s="101">
        <v>84.712000000000003</v>
      </c>
      <c r="G253" s="105">
        <f>Tabell3[[#This Row],[Såld värme (GWh)]]-Tabell3[[#This Row],[Levererad värme, andra fjärrvärmeföretag, företag 1 (GWh)]]-Tabell3[[#This Row],[Levererad värme, andra fjärrvärmeföretag, företag 2 (GWh)]]-Tabell3[[#This Row],[Levererad värme, andra fjärrvärmeföretag, företag 3 (GWh)]]</f>
        <v>84.712000000000003</v>
      </c>
      <c r="H253" s="102" t="str">
        <f>VLOOKUP(Tabell3[[#This Row],[Nät]],Tabell5[],2,FALSE)</f>
        <v>Malå</v>
      </c>
      <c r="I253" t="str">
        <f>VLOOKUP(Tabell3[[#This Row],[Nät]],'Leveranser per nät'!A:A,1,FALSE)</f>
        <v>Malå</v>
      </c>
    </row>
    <row r="254" spans="1:9" x14ac:dyDescent="0.25">
      <c r="A254" t="s">
        <v>571</v>
      </c>
      <c r="B254" t="s">
        <v>258</v>
      </c>
      <c r="C254" s="101">
        <v>13.79</v>
      </c>
      <c r="G254" s="105">
        <f>Tabell3[[#This Row],[Såld värme (GWh)]]-Tabell3[[#This Row],[Levererad värme, andra fjärrvärmeföretag, företag 1 (GWh)]]-Tabell3[[#This Row],[Levererad värme, andra fjärrvärmeföretag, företag 2 (GWh)]]-Tabell3[[#This Row],[Levererad värme, andra fjärrvärmeföretag, företag 3 (GWh)]]</f>
        <v>13.79</v>
      </c>
      <c r="H254" s="102" t="str">
        <f>VLOOKUP(Tabell3[[#This Row],[Nät]],Tabell5[],2,FALSE)</f>
        <v>Norsjö</v>
      </c>
      <c r="I254" t="str">
        <f>VLOOKUP(Tabell3[[#This Row],[Nät]],'Leveranser per nät'!A:A,1,FALSE)</f>
        <v>Norsjö</v>
      </c>
    </row>
    <row r="255" spans="1:9" x14ac:dyDescent="0.25">
      <c r="A255" t="s">
        <v>571</v>
      </c>
      <c r="B255" t="s">
        <v>262</v>
      </c>
      <c r="C255" s="101">
        <v>9.3279999999999994</v>
      </c>
      <c r="G255" s="105">
        <f>Tabell3[[#This Row],[Såld värme (GWh)]]-Tabell3[[#This Row],[Levererad värme, andra fjärrvärmeföretag, företag 1 (GWh)]]-Tabell3[[#This Row],[Levererad värme, andra fjärrvärmeföretag, företag 2 (GWh)]]-Tabell3[[#This Row],[Levererad värme, andra fjärrvärmeföretag, företag 3 (GWh)]]</f>
        <v>9.3279999999999994</v>
      </c>
      <c r="H255" s="102" t="str">
        <f>VLOOKUP(Tabell3[[#This Row],[Nät]],Tabell5[],2,FALSE)</f>
        <v>Robertsfors</v>
      </c>
      <c r="I255" t="str">
        <f>VLOOKUP(Tabell3[[#This Row],[Nät]],'Leveranser per nät'!A:A,1,FALSE)</f>
        <v>Robertsfors</v>
      </c>
    </row>
    <row r="256" spans="1:9" x14ac:dyDescent="0.25">
      <c r="A256" t="s">
        <v>571</v>
      </c>
      <c r="B256" t="s">
        <v>261</v>
      </c>
      <c r="C256" s="101">
        <v>352.221</v>
      </c>
      <c r="G256" s="105">
        <f>Tabell3[[#This Row],[Såld värme (GWh)]]-Tabell3[[#This Row],[Levererad värme, andra fjärrvärmeföretag, företag 1 (GWh)]]-Tabell3[[#This Row],[Levererad värme, andra fjärrvärmeföretag, företag 2 (GWh)]]-Tabell3[[#This Row],[Levererad värme, andra fjärrvärmeföretag, företag 3 (GWh)]]</f>
        <v>352.221</v>
      </c>
      <c r="H256" s="102" t="str">
        <f>VLOOKUP(Tabell3[[#This Row],[Nät]],Tabell5[],2,FALSE)</f>
        <v>Skellefteå</v>
      </c>
      <c r="I256" t="str">
        <f>VLOOKUP(Tabell3[[#This Row],[Nät]],'Leveranser per nät'!A:A,1,FALSE)</f>
        <v>Skellefteå</v>
      </c>
    </row>
    <row r="257" spans="1:9" x14ac:dyDescent="0.25">
      <c r="A257" t="s">
        <v>571</v>
      </c>
      <c r="B257" t="s">
        <v>272</v>
      </c>
      <c r="C257" s="101">
        <v>31.312999999999999</v>
      </c>
      <c r="G257" s="105">
        <f>Tabell3[[#This Row],[Såld värme (GWh)]]-Tabell3[[#This Row],[Levererad värme, andra fjärrvärmeföretag, företag 1 (GWh)]]-Tabell3[[#This Row],[Levererad värme, andra fjärrvärmeföretag, företag 2 (GWh)]]-Tabell3[[#This Row],[Levererad värme, andra fjärrvärmeföretag, företag 3 (GWh)]]</f>
        <v>31.312999999999999</v>
      </c>
      <c r="H257" s="102" t="str">
        <f>VLOOKUP(Tabell3[[#This Row],[Nät]],Tabell5[],2,FALSE)</f>
        <v>Storuman</v>
      </c>
      <c r="I257" t="str">
        <f>VLOOKUP(Tabell3[[#This Row],[Nät]],'Leveranser per nät'!A:A,1,FALSE)</f>
        <v>Storuman</v>
      </c>
    </row>
    <row r="258" spans="1:9" x14ac:dyDescent="0.25">
      <c r="A258" t="s">
        <v>571</v>
      </c>
      <c r="B258" t="s">
        <v>273</v>
      </c>
      <c r="C258" s="101">
        <v>32.44</v>
      </c>
      <c r="G258" s="105">
        <f>Tabell3[[#This Row],[Såld värme (GWh)]]-Tabell3[[#This Row],[Levererad värme, andra fjärrvärmeföretag, företag 1 (GWh)]]-Tabell3[[#This Row],[Levererad värme, andra fjärrvärmeföretag, företag 2 (GWh)]]-Tabell3[[#This Row],[Levererad värme, andra fjärrvärmeföretag, företag 3 (GWh)]]</f>
        <v>32.44</v>
      </c>
      <c r="H258" s="102" t="str">
        <f>VLOOKUP(Tabell3[[#This Row],[Nät]],Tabell5[],2,FALSE)</f>
        <v>Ursviken-Skelleftehamn</v>
      </c>
      <c r="I258" t="str">
        <f>VLOOKUP(Tabell3[[#This Row],[Nät]],'Leveranser per nät'!A:A,1,FALSE)</f>
        <v>Ursviken-Skelleftehamn</v>
      </c>
    </row>
    <row r="259" spans="1:9" x14ac:dyDescent="0.25">
      <c r="A259" t="s">
        <v>571</v>
      </c>
      <c r="B259" t="s">
        <v>260</v>
      </c>
      <c r="C259" s="101">
        <v>14.087</v>
      </c>
      <c r="G259" s="105">
        <f>Tabell3[[#This Row],[Såld värme (GWh)]]-Tabell3[[#This Row],[Levererad värme, andra fjärrvärmeföretag, företag 1 (GWh)]]-Tabell3[[#This Row],[Levererad värme, andra fjärrvärmeföretag, företag 2 (GWh)]]-Tabell3[[#This Row],[Levererad värme, andra fjärrvärmeföretag, företag 3 (GWh)]]</f>
        <v>14.087</v>
      </c>
      <c r="H259" s="102" t="str">
        <f>VLOOKUP(Tabell3[[#This Row],[Nät]],Tabell5[],2,FALSE)</f>
        <v>Vindeln</v>
      </c>
      <c r="I259" t="str">
        <f>VLOOKUP(Tabell3[[#This Row],[Nät]],'Leveranser per nät'!A:A,1,FALSE)</f>
        <v>Vindeln</v>
      </c>
    </row>
    <row r="260" spans="1:9" x14ac:dyDescent="0.25">
      <c r="A260" t="s">
        <v>571</v>
      </c>
      <c r="B260" t="s">
        <v>274</v>
      </c>
      <c r="C260" s="101">
        <v>2.7869999999999999</v>
      </c>
      <c r="G260" s="105">
        <f>Tabell3[[#This Row],[Såld värme (GWh)]]-Tabell3[[#This Row],[Levererad värme, andra fjärrvärmeföretag, företag 1 (GWh)]]-Tabell3[[#This Row],[Levererad värme, andra fjärrvärmeföretag, företag 2 (GWh)]]-Tabell3[[#This Row],[Levererad värme, andra fjärrvärmeföretag, företag 3 (GWh)]]</f>
        <v>2.7869999999999999</v>
      </c>
      <c r="H260" s="102" t="str">
        <f>VLOOKUP(Tabell3[[#This Row],[Nät]],Tabell5[],2,FALSE)</f>
        <v>Ånäset</v>
      </c>
      <c r="I260" t="str">
        <f>VLOOKUP(Tabell3[[#This Row],[Nät]],'Leveranser per nät'!A:A,1,FALSE)</f>
        <v>Ånäset</v>
      </c>
    </row>
    <row r="261" spans="1:9" x14ac:dyDescent="0.25">
      <c r="A261" t="s">
        <v>994</v>
      </c>
      <c r="B261" t="s">
        <v>276</v>
      </c>
      <c r="C261" s="101">
        <v>9.5350000000000001</v>
      </c>
      <c r="G261" s="105">
        <f>Tabell3[[#This Row],[Såld värme (GWh)]]-Tabell3[[#This Row],[Levererad värme, andra fjärrvärmeföretag, företag 1 (GWh)]]-Tabell3[[#This Row],[Levererad värme, andra fjärrvärmeföretag, företag 2 (GWh)]]-Tabell3[[#This Row],[Levererad värme, andra fjärrvärmeföretag, företag 3 (GWh)]]</f>
        <v>9.5350000000000001</v>
      </c>
      <c r="H261" s="102" t="str">
        <f>VLOOKUP(Tabell3[[#This Row],[Nät]],Tabell5[],2,FALSE)</f>
        <v>Skultorp</v>
      </c>
      <c r="I261" t="str">
        <f>VLOOKUP(Tabell3[[#This Row],[Nät]],'Leveranser per nät'!A:A,1,FALSE)</f>
        <v>Skultorp</v>
      </c>
    </row>
    <row r="262" spans="1:9" x14ac:dyDescent="0.25">
      <c r="A262" t="s">
        <v>994</v>
      </c>
      <c r="B262" t="s">
        <v>275</v>
      </c>
      <c r="C262" s="101">
        <v>336.66699999999997</v>
      </c>
      <c r="G262" s="105">
        <f>Tabell3[[#This Row],[Såld värme (GWh)]]-Tabell3[[#This Row],[Levererad värme, andra fjärrvärmeföretag, företag 1 (GWh)]]-Tabell3[[#This Row],[Levererad värme, andra fjärrvärmeföretag, företag 2 (GWh)]]-Tabell3[[#This Row],[Levererad värme, andra fjärrvärmeföretag, företag 3 (GWh)]]</f>
        <v>336.66699999999997</v>
      </c>
      <c r="H262" s="102" t="str">
        <f>VLOOKUP(Tabell3[[#This Row],[Nät]],Tabell5[],2,FALSE)</f>
        <v>Skövde</v>
      </c>
      <c r="I262" t="str">
        <f>VLOOKUP(Tabell3[[#This Row],[Nät]],'Leveranser per nät'!A:A,1,FALSE)</f>
        <v>Skövde</v>
      </c>
    </row>
    <row r="263" spans="1:9" x14ac:dyDescent="0.25">
      <c r="A263" t="s">
        <v>994</v>
      </c>
      <c r="B263" t="s">
        <v>277</v>
      </c>
      <c r="C263" s="101">
        <v>4.3879999999999999</v>
      </c>
      <c r="D263" t="s">
        <v>805</v>
      </c>
      <c r="E263" t="s">
        <v>805</v>
      </c>
      <c r="F263" t="s">
        <v>805</v>
      </c>
      <c r="G263" s="105" t="e">
        <f>Tabell3[[#This Row],[Såld värme (GWh)]]-Tabell3[[#This Row],[Levererad värme, andra fjärrvärmeföretag, företag 1 (GWh)]]-Tabell3[[#This Row],[Levererad värme, andra fjärrvärmeföretag, företag 2 (GWh)]]-Tabell3[[#This Row],[Levererad värme, andra fjärrvärmeföretag, företag 3 (GWh)]]</f>
        <v>#VALUE!</v>
      </c>
      <c r="H263" s="102" t="str">
        <f>VLOOKUP(Tabell3[[#This Row],[Nät]],Tabell5[],2,FALSE)</f>
        <v>Stöpen</v>
      </c>
      <c r="I263" t="str">
        <f>VLOOKUP(Tabell3[[#This Row],[Nät]],'Leveranser per nät'!A:A,1,FALSE)</f>
        <v>Stöpen</v>
      </c>
    </row>
    <row r="264" spans="1:9" x14ac:dyDescent="0.25">
      <c r="A264" t="s">
        <v>994</v>
      </c>
      <c r="B264" t="s">
        <v>719</v>
      </c>
      <c r="C264" s="101">
        <v>1.988</v>
      </c>
      <c r="D264" t="s">
        <v>805</v>
      </c>
      <c r="E264" t="s">
        <v>805</v>
      </c>
      <c r="F264" t="s">
        <v>805</v>
      </c>
      <c r="G264" s="105" t="e">
        <f>Tabell3[[#This Row],[Såld värme (GWh)]]-Tabell3[[#This Row],[Levererad värme, andra fjärrvärmeföretag, företag 1 (GWh)]]-Tabell3[[#This Row],[Levererad värme, andra fjärrvärmeföretag, företag 2 (GWh)]]-Tabell3[[#This Row],[Levererad värme, andra fjärrvärmeföretag, företag 3 (GWh)]]</f>
        <v>#VALUE!</v>
      </c>
      <c r="H264" s="102" t="str">
        <f>VLOOKUP(Tabell3[[#This Row],[Nät]],Tabell5[],2,FALSE)</f>
        <v>Tidan</v>
      </c>
      <c r="I264" t="str">
        <f>VLOOKUP(Tabell3[[#This Row],[Nät]],'Leveranser per nät'!A:A,1,FALSE)</f>
        <v>Tidan</v>
      </c>
    </row>
    <row r="265" spans="1:9" x14ac:dyDescent="0.25">
      <c r="A265" t="s">
        <v>994</v>
      </c>
      <c r="B265" t="s">
        <v>428</v>
      </c>
      <c r="C265" s="101">
        <v>3.0329999999999999</v>
      </c>
      <c r="D265" t="s">
        <v>805</v>
      </c>
      <c r="E265" t="s">
        <v>805</v>
      </c>
      <c r="F265" t="s">
        <v>805</v>
      </c>
      <c r="G265" s="105" t="e">
        <f>Tabell3[[#This Row],[Såld värme (GWh)]]-Tabell3[[#This Row],[Levererad värme, andra fjärrvärmeföretag, företag 1 (GWh)]]-Tabell3[[#This Row],[Levererad värme, andra fjärrvärmeföretag, företag 2 (GWh)]]-Tabell3[[#This Row],[Levererad värme, andra fjärrvärmeföretag, företag 3 (GWh)]]</f>
        <v>#VALUE!</v>
      </c>
      <c r="H265" s="102" t="str">
        <f>VLOOKUP(Tabell3[[#This Row],[Nät]],Tabell5[],2,FALSE)</f>
        <v>Timmersdala</v>
      </c>
      <c r="I265" t="str">
        <f>VLOOKUP(Tabell3[[#This Row],[Nät]],'Leveranser per nät'!A:A,1,FALSE)</f>
        <v>Timmersdala</v>
      </c>
    </row>
    <row r="266" spans="1:9" x14ac:dyDescent="0.25">
      <c r="A266" t="s">
        <v>701</v>
      </c>
      <c r="B266" t="s">
        <v>278</v>
      </c>
      <c r="C266" s="101">
        <v>42.633000000000003</v>
      </c>
      <c r="D266" t="s">
        <v>805</v>
      </c>
      <c r="E266" t="s">
        <v>805</v>
      </c>
      <c r="F266" t="s">
        <v>805</v>
      </c>
      <c r="G266" s="105" t="e">
        <f>Tabell3[[#This Row],[Såld värme (GWh)]]-Tabell3[[#This Row],[Levererad värme, andra fjärrvärmeföretag, företag 1 (GWh)]]-Tabell3[[#This Row],[Levererad värme, andra fjärrvärmeföretag, företag 2 (GWh)]]-Tabell3[[#This Row],[Levererad värme, andra fjärrvärmeföretag, företag 3 (GWh)]]</f>
        <v>#VALUE!</v>
      </c>
      <c r="H266" s="102" t="str">
        <f>VLOOKUP(Tabell3[[#This Row],[Nät]],Tabell5[],2,FALSE)</f>
        <v>Smedjebacken</v>
      </c>
      <c r="I266" t="str">
        <f>VLOOKUP(Tabell3[[#This Row],[Nät]],'Leveranser per nät'!A:A,1,FALSE)</f>
        <v>Smedjebacken</v>
      </c>
    </row>
    <row r="267" spans="1:9" x14ac:dyDescent="0.25">
      <c r="A267" t="s">
        <v>701</v>
      </c>
      <c r="B267" t="s">
        <v>279</v>
      </c>
      <c r="C267" s="101">
        <v>4.0339999999999998</v>
      </c>
      <c r="D267" t="s">
        <v>805</v>
      </c>
      <c r="E267" t="s">
        <v>805</v>
      </c>
      <c r="F267" t="s">
        <v>805</v>
      </c>
      <c r="G267" s="105" t="e">
        <f>Tabell3[[#This Row],[Såld värme (GWh)]]-Tabell3[[#This Row],[Levererad värme, andra fjärrvärmeföretag, företag 1 (GWh)]]-Tabell3[[#This Row],[Levererad värme, andra fjärrvärmeföretag, företag 2 (GWh)]]-Tabell3[[#This Row],[Levererad värme, andra fjärrvärmeföretag, företag 3 (GWh)]]</f>
        <v>#VALUE!</v>
      </c>
      <c r="H267" s="102" t="str">
        <f>VLOOKUP(Tabell3[[#This Row],[Nät]],Tabell5[],2,FALSE)</f>
        <v>Söderbärke</v>
      </c>
      <c r="I267" t="str">
        <f>VLOOKUP(Tabell3[[#This Row],[Nät]],'Leveranser per nät'!A:A,1,FALSE)</f>
        <v>Söderbärke</v>
      </c>
    </row>
    <row r="268" spans="1:9" x14ac:dyDescent="0.25">
      <c r="A268" t="s">
        <v>995</v>
      </c>
      <c r="B268" t="s">
        <v>280</v>
      </c>
      <c r="C268" s="101">
        <v>295</v>
      </c>
      <c r="G268" s="105">
        <f>Tabell3[[#This Row],[Såld värme (GWh)]]-Tabell3[[#This Row],[Levererad värme, andra fjärrvärmeföretag, företag 1 (GWh)]]-Tabell3[[#This Row],[Levererad värme, andra fjärrvärmeföretag, företag 2 (GWh)]]-Tabell3[[#This Row],[Levererad värme, andra fjärrvärmeföretag, företag 3 (GWh)]]</f>
        <v>295</v>
      </c>
      <c r="H268" s="102" t="str">
        <f>VLOOKUP(Tabell3[[#This Row],[Nät]],Tabell5[],2,FALSE)</f>
        <v>Sollentuna</v>
      </c>
      <c r="I268" t="str">
        <f>VLOOKUP(Tabell3[[#This Row],[Nät]],'Leveranser per nät'!A:A,1,FALSE)</f>
        <v>Sollentuna</v>
      </c>
    </row>
    <row r="269" spans="1:9" x14ac:dyDescent="0.25">
      <c r="A269" t="s">
        <v>713</v>
      </c>
      <c r="B269" t="s">
        <v>298</v>
      </c>
      <c r="C269" s="101" t="s">
        <v>805</v>
      </c>
      <c r="D269" t="s">
        <v>805</v>
      </c>
      <c r="E269" t="s">
        <v>805</v>
      </c>
      <c r="F269" t="s">
        <v>805</v>
      </c>
      <c r="G269" s="105" t="e">
        <f>Tabell3[[#This Row],[Såld värme (GWh)]]-Tabell3[[#This Row],[Levererad värme, andra fjärrvärmeföretag, företag 1 (GWh)]]-Tabell3[[#This Row],[Levererad värme, andra fjärrvärmeföretag, företag 2 (GWh)]]-Tabell3[[#This Row],[Levererad värme, andra fjärrvärmeföretag, företag 3 (GWh)]]</f>
        <v>#VALUE!</v>
      </c>
      <c r="H269" s="102" t="str">
        <f>VLOOKUP(Tabell3[[#This Row],[Nät]],Tabell5[],2,FALSE)</f>
        <v>Svenljunga</v>
      </c>
      <c r="I269" t="str">
        <f>VLOOKUP(Tabell3[[#This Row],[Nät]],'Leveranser per nät'!A:A,1,FALSE)</f>
        <v>Svenljunga</v>
      </c>
    </row>
    <row r="270" spans="1:9" x14ac:dyDescent="0.25">
      <c r="A270" t="s">
        <v>655</v>
      </c>
      <c r="B270" t="s">
        <v>283</v>
      </c>
      <c r="C270" s="101">
        <v>115.01</v>
      </c>
      <c r="G270" s="105">
        <f>Tabell3[[#This Row],[Såld värme (GWh)]]-Tabell3[[#This Row],[Levererad värme, andra fjärrvärmeföretag, företag 1 (GWh)]]-Tabell3[[#This Row],[Levererad värme, andra fjärrvärmeföretag, företag 2 (GWh)]]-Tabell3[[#This Row],[Levererad värme, andra fjärrvärmeföretag, företag 3 (GWh)]]</f>
        <v>115.01</v>
      </c>
      <c r="H270" s="102" t="str">
        <f>VLOOKUP(Tabell3[[#This Row],[Nät]],Tabell5[],2,FALSE)</f>
        <v>Kungsbacka</v>
      </c>
      <c r="I270" t="str">
        <f>VLOOKUP(Tabell3[[#This Row],[Nät]],'Leveranser per nät'!A:A,1,FALSE)</f>
        <v>Kungsbacka</v>
      </c>
    </row>
    <row r="271" spans="1:9" x14ac:dyDescent="0.25">
      <c r="A271" t="s">
        <v>655</v>
      </c>
      <c r="B271" t="s">
        <v>282</v>
      </c>
      <c r="C271" s="101">
        <v>21.78</v>
      </c>
      <c r="G271" s="105">
        <f>Tabell3[[#This Row],[Såld värme (GWh)]]-Tabell3[[#This Row],[Levererad värme, andra fjärrvärmeföretag, företag 1 (GWh)]]-Tabell3[[#This Row],[Levererad värme, andra fjärrvärmeföretag, företag 2 (GWh)]]-Tabell3[[#This Row],[Levererad värme, andra fjärrvärmeföretag, företag 3 (GWh)]]</f>
        <v>21.78</v>
      </c>
      <c r="H271" s="102" t="str">
        <f>VLOOKUP(Tabell3[[#This Row],[Nät]],Tabell5[],2,FALSE)</f>
        <v>Trosa</v>
      </c>
      <c r="I271" t="str">
        <f>VLOOKUP(Tabell3[[#This Row],[Nät]],'Leveranser per nät'!A:A,1,FALSE)</f>
        <v>Trosa</v>
      </c>
    </row>
    <row r="272" spans="1:9" x14ac:dyDescent="0.25">
      <c r="A272" t="s">
        <v>655</v>
      </c>
      <c r="B272" t="s">
        <v>284</v>
      </c>
      <c r="C272" s="101">
        <v>9.43</v>
      </c>
      <c r="G272" s="105">
        <f>Tabell3[[#This Row],[Såld värme (GWh)]]-Tabell3[[#This Row],[Levererad värme, andra fjärrvärmeföretag, företag 1 (GWh)]]-Tabell3[[#This Row],[Levererad värme, andra fjärrvärmeföretag, företag 2 (GWh)]]-Tabell3[[#This Row],[Levererad värme, andra fjärrvärmeföretag, företag 3 (GWh)]]</f>
        <v>9.43</v>
      </c>
      <c r="H272" s="102" t="str">
        <f>VLOOKUP(Tabell3[[#This Row],[Nät]],Tabell5[],2,FALSE)</f>
        <v>Vagnhärad</v>
      </c>
      <c r="I272" t="str">
        <f>VLOOKUP(Tabell3[[#This Row],[Nät]],'Leveranser per nät'!A:A,1,FALSE)</f>
        <v>Vagnhärad</v>
      </c>
    </row>
    <row r="273" spans="1:9" x14ac:dyDescent="0.25">
      <c r="A273" t="s">
        <v>655</v>
      </c>
      <c r="B273" t="s">
        <v>281</v>
      </c>
      <c r="C273" s="101">
        <v>42.05</v>
      </c>
      <c r="G273" s="105">
        <f>Tabell3[[#This Row],[Såld värme (GWh)]]-Tabell3[[#This Row],[Levererad värme, andra fjärrvärmeföretag, företag 1 (GWh)]]-Tabell3[[#This Row],[Levererad värme, andra fjärrvärmeföretag, företag 2 (GWh)]]-Tabell3[[#This Row],[Levererad värme, andra fjärrvärmeföretag, företag 3 (GWh)]]</f>
        <v>42.05</v>
      </c>
      <c r="H273" s="102" t="str">
        <f>VLOOKUP(Tabell3[[#This Row],[Nät]],Tabell5[],2,FALSE)</f>
        <v>Åmål</v>
      </c>
      <c r="I273" t="str">
        <f>VLOOKUP(Tabell3[[#This Row],[Nät]],'Leveranser per nät'!A:A,1,FALSE)</f>
        <v>Åmål</v>
      </c>
    </row>
    <row r="274" spans="1:9" x14ac:dyDescent="0.25">
      <c r="A274" t="s">
        <v>996</v>
      </c>
      <c r="B274" t="s">
        <v>418</v>
      </c>
      <c r="C274" s="101">
        <v>75.400000000000006</v>
      </c>
      <c r="G274" s="105">
        <f>Tabell3[[#This Row],[Såld värme (GWh)]]-Tabell3[[#This Row],[Levererad värme, andra fjärrvärmeföretag, företag 1 (GWh)]]-Tabell3[[#This Row],[Levererad värme, andra fjärrvärmeföretag, företag 2 (GWh)]]-Tabell3[[#This Row],[Levererad värme, andra fjärrvärmeföretag, företag 3 (GWh)]]</f>
        <v>75.400000000000006</v>
      </c>
      <c r="H274" s="102" t="str">
        <f>VLOOKUP(Tabell3[[#This Row],[Nät]],Tabell5[],2,FALSE)</f>
        <v>Stenungsund</v>
      </c>
      <c r="I274" t="str">
        <f>VLOOKUP(Tabell3[[#This Row],[Nät]],'Leveranser per nät'!A:A,1,FALSE)</f>
        <v>Stenungsund</v>
      </c>
    </row>
    <row r="275" spans="1:9" x14ac:dyDescent="0.25">
      <c r="A275" t="s">
        <v>996</v>
      </c>
      <c r="B275" t="s">
        <v>421</v>
      </c>
      <c r="C275" s="101">
        <v>0.94</v>
      </c>
      <c r="G275" s="105">
        <f>Tabell3[[#This Row],[Såld värme (GWh)]]-Tabell3[[#This Row],[Levererad värme, andra fjärrvärmeföretag, företag 1 (GWh)]]-Tabell3[[#This Row],[Levererad värme, andra fjärrvärmeföretag, företag 2 (GWh)]]-Tabell3[[#This Row],[Levererad värme, andra fjärrvärmeföretag, företag 3 (GWh)]]</f>
        <v>0.94</v>
      </c>
      <c r="H275" s="102" t="str">
        <f>VLOOKUP(Tabell3[[#This Row],[Nät]],Tabell5[],2,FALSE)</f>
        <v>Stora Höga</v>
      </c>
      <c r="I275" t="str">
        <f>VLOOKUP(Tabell3[[#This Row],[Nät]],'Leveranser per nät'!A:A,1,FALSE)</f>
        <v>Stora Höga</v>
      </c>
    </row>
    <row r="276" spans="1:9" x14ac:dyDescent="0.25">
      <c r="A276" t="s">
        <v>884</v>
      </c>
      <c r="B276" t="s">
        <v>885</v>
      </c>
      <c r="C276" s="101" t="s">
        <v>805</v>
      </c>
      <c r="D276" t="s">
        <v>805</v>
      </c>
      <c r="E276" t="s">
        <v>805</v>
      </c>
      <c r="F276" t="s">
        <v>805</v>
      </c>
      <c r="G276" s="105" t="e">
        <f>Tabell3[[#This Row],[Såld värme (GWh)]]-Tabell3[[#This Row],[Levererad värme, andra fjärrvärmeföretag, företag 1 (GWh)]]-Tabell3[[#This Row],[Levererad värme, andra fjärrvärmeföretag, företag 2 (GWh)]]-Tabell3[[#This Row],[Levererad värme, andra fjärrvärmeföretag, företag 3 (GWh)]]</f>
        <v>#VALUE!</v>
      </c>
      <c r="H276" s="102" t="e">
        <f>VLOOKUP(Tabell3[[#This Row],[Nät]],Tabell5[],2,FALSE)</f>
        <v>#N/A</v>
      </c>
      <c r="I276" t="e">
        <f>VLOOKUP(Tabell3[[#This Row],[Nät]],'Leveranser per nät'!A:A,1,FALSE)</f>
        <v>#N/A</v>
      </c>
    </row>
    <row r="277" spans="1:9" x14ac:dyDescent="0.25">
      <c r="A277" t="s">
        <v>884</v>
      </c>
      <c r="B277" t="s">
        <v>886</v>
      </c>
      <c r="C277" s="101" t="s">
        <v>805</v>
      </c>
      <c r="D277" t="s">
        <v>805</v>
      </c>
      <c r="E277" t="s">
        <v>805</v>
      </c>
      <c r="F277" t="s">
        <v>805</v>
      </c>
      <c r="G277" s="105" t="e">
        <f>Tabell3[[#This Row],[Såld värme (GWh)]]-Tabell3[[#This Row],[Levererad värme, andra fjärrvärmeföretag, företag 1 (GWh)]]-Tabell3[[#This Row],[Levererad värme, andra fjärrvärmeföretag, företag 2 (GWh)]]-Tabell3[[#This Row],[Levererad värme, andra fjärrvärmeföretag, företag 3 (GWh)]]</f>
        <v>#VALUE!</v>
      </c>
      <c r="H277" s="102" t="e">
        <f>VLOOKUP(Tabell3[[#This Row],[Nät]],Tabell5[],2,FALSE)</f>
        <v>#N/A</v>
      </c>
      <c r="I277" t="e">
        <f>VLOOKUP(Tabell3[[#This Row],[Nät]],'Leveranser per nät'!A:A,1,FALSE)</f>
        <v>#N/A</v>
      </c>
    </row>
    <row r="278" spans="1:9" x14ac:dyDescent="0.25">
      <c r="A278" t="s">
        <v>884</v>
      </c>
      <c r="B278" t="s">
        <v>887</v>
      </c>
      <c r="C278" s="101" t="s">
        <v>805</v>
      </c>
      <c r="D278" t="s">
        <v>805</v>
      </c>
      <c r="E278" t="s">
        <v>805</v>
      </c>
      <c r="F278" t="s">
        <v>805</v>
      </c>
      <c r="G278" s="105" t="e">
        <f>Tabell3[[#This Row],[Såld värme (GWh)]]-Tabell3[[#This Row],[Levererad värme, andra fjärrvärmeföretag, företag 1 (GWh)]]-Tabell3[[#This Row],[Levererad värme, andra fjärrvärmeföretag, företag 2 (GWh)]]-Tabell3[[#This Row],[Levererad värme, andra fjärrvärmeföretag, företag 3 (GWh)]]</f>
        <v>#VALUE!</v>
      </c>
      <c r="H278" s="102" t="e">
        <f>VLOOKUP(Tabell3[[#This Row],[Nät]],Tabell5[],2,FALSE)</f>
        <v>#N/A</v>
      </c>
      <c r="I278" t="e">
        <f>VLOOKUP(Tabell3[[#This Row],[Nät]],'Leveranser per nät'!A:A,1,FALSE)</f>
        <v>#N/A</v>
      </c>
    </row>
    <row r="279" spans="1:9" x14ac:dyDescent="0.25">
      <c r="A279" t="s">
        <v>884</v>
      </c>
      <c r="B279" t="s">
        <v>420</v>
      </c>
      <c r="C279" s="101">
        <v>8032.2060000000001</v>
      </c>
      <c r="G279" s="105">
        <f>Tabell3[[#This Row],[Såld värme (GWh)]]-Tabell3[[#This Row],[Levererad värme, andra fjärrvärmeföretag, företag 1 (GWh)]]-Tabell3[[#This Row],[Levererad värme, andra fjärrvärmeföretag, företag 2 (GWh)]]-Tabell3[[#This Row],[Levererad värme, andra fjärrvärmeföretag, företag 3 (GWh)]]</f>
        <v>8032.2060000000001</v>
      </c>
      <c r="H279" s="102" t="str">
        <f>VLOOKUP(Tabell3[[#This Row],[Nät]],Tabell5[],2,FALSE)</f>
        <v>Stockholm</v>
      </c>
      <c r="I279" t="str">
        <f>VLOOKUP(Tabell3[[#This Row],[Nät]],'Leveranser per nät'!A:A,1,FALSE)</f>
        <v>Stockholm</v>
      </c>
    </row>
    <row r="280" spans="1:9" x14ac:dyDescent="0.25">
      <c r="A280" t="s">
        <v>884</v>
      </c>
      <c r="B280" t="s">
        <v>933</v>
      </c>
      <c r="C280" s="101" t="s">
        <v>805</v>
      </c>
      <c r="D280" t="s">
        <v>805</v>
      </c>
      <c r="E280" t="s">
        <v>805</v>
      </c>
      <c r="F280" t="s">
        <v>805</v>
      </c>
      <c r="G280" s="105" t="e">
        <f>Tabell3[[#This Row],[Såld värme (GWh)]]-Tabell3[[#This Row],[Levererad värme, andra fjärrvärmeföretag, företag 1 (GWh)]]-Tabell3[[#This Row],[Levererad värme, andra fjärrvärmeföretag, företag 2 (GWh)]]-Tabell3[[#This Row],[Levererad värme, andra fjärrvärmeföretag, företag 3 (GWh)]]</f>
        <v>#VALUE!</v>
      </c>
      <c r="H280" s="102" t="e">
        <f>VLOOKUP(Tabell3[[#This Row],[Nät]],Tabell5[],2,FALSE)</f>
        <v>#N/A</v>
      </c>
      <c r="I280" t="e">
        <f>VLOOKUP(Tabell3[[#This Row],[Nät]],'Leveranser per nät'!A:A,1,FALSE)</f>
        <v>#N/A</v>
      </c>
    </row>
    <row r="281" spans="1:9" x14ac:dyDescent="0.25">
      <c r="A281" t="s">
        <v>884</v>
      </c>
      <c r="B281" t="s">
        <v>934</v>
      </c>
      <c r="C281" s="101" t="s">
        <v>805</v>
      </c>
      <c r="D281" t="s">
        <v>805</v>
      </c>
      <c r="E281" t="s">
        <v>805</v>
      </c>
      <c r="F281" t="s">
        <v>805</v>
      </c>
      <c r="G281" s="105" t="e">
        <f>Tabell3[[#This Row],[Såld värme (GWh)]]-Tabell3[[#This Row],[Levererad värme, andra fjärrvärmeföretag, företag 1 (GWh)]]-Tabell3[[#This Row],[Levererad värme, andra fjärrvärmeföretag, företag 2 (GWh)]]-Tabell3[[#This Row],[Levererad värme, andra fjärrvärmeföretag, företag 3 (GWh)]]</f>
        <v>#VALUE!</v>
      </c>
      <c r="H281" s="102" t="e">
        <f>VLOOKUP(Tabell3[[#This Row],[Nät]],Tabell5[],2,FALSE)</f>
        <v>#N/A</v>
      </c>
      <c r="I281" t="e">
        <f>VLOOKUP(Tabell3[[#This Row],[Nät]],'Leveranser per nät'!A:A,1,FALSE)</f>
        <v>#N/A</v>
      </c>
    </row>
    <row r="282" spans="1:9" x14ac:dyDescent="0.25">
      <c r="A282" t="s">
        <v>884</v>
      </c>
      <c r="B282" t="s">
        <v>935</v>
      </c>
      <c r="C282" s="101" t="s">
        <v>805</v>
      </c>
      <c r="D282" t="s">
        <v>805</v>
      </c>
      <c r="E282" t="s">
        <v>805</v>
      </c>
      <c r="F282" t="s">
        <v>805</v>
      </c>
      <c r="G282" s="105" t="e">
        <f>Tabell3[[#This Row],[Såld värme (GWh)]]-Tabell3[[#This Row],[Levererad värme, andra fjärrvärmeföretag, företag 1 (GWh)]]-Tabell3[[#This Row],[Levererad värme, andra fjärrvärmeföretag, företag 2 (GWh)]]-Tabell3[[#This Row],[Levererad värme, andra fjärrvärmeföretag, företag 3 (GWh)]]</f>
        <v>#VALUE!</v>
      </c>
      <c r="H282" s="102" t="e">
        <f>VLOOKUP(Tabell3[[#This Row],[Nät]],Tabell5[],2,FALSE)</f>
        <v>#N/A</v>
      </c>
      <c r="I282" t="e">
        <f>VLOOKUP(Tabell3[[#This Row],[Nät]],'Leveranser per nät'!A:A,1,FALSE)</f>
        <v>#N/A</v>
      </c>
    </row>
    <row r="283" spans="1:9" x14ac:dyDescent="0.25">
      <c r="A283" t="s">
        <v>884</v>
      </c>
      <c r="B283" t="s">
        <v>442</v>
      </c>
      <c r="C283" s="101">
        <v>61.47</v>
      </c>
      <c r="G283" s="105">
        <f>Tabell3[[#This Row],[Såld värme (GWh)]]-Tabell3[[#This Row],[Levererad värme, andra fjärrvärmeföretag, företag 1 (GWh)]]-Tabell3[[#This Row],[Levererad värme, andra fjärrvärmeföretag, företag 2 (GWh)]]-Tabell3[[#This Row],[Levererad värme, andra fjärrvärmeföretag, företag 3 (GWh)]]</f>
        <v>61.47</v>
      </c>
      <c r="H283" s="102" t="str">
        <f>VLOOKUP(Tabell3[[#This Row],[Nät]],Tabell5[],2,FALSE)</f>
        <v>Addera E.ON och sthlm exergi!</v>
      </c>
      <c r="I283" t="str">
        <f>VLOOKUP(Tabell3[[#This Row],[Nät]],'Leveranser per nät'!A:A,1,FALSE)</f>
        <v>Täby</v>
      </c>
    </row>
    <row r="284" spans="1:9" x14ac:dyDescent="0.25">
      <c r="A284" t="s">
        <v>884</v>
      </c>
      <c r="B284" t="s">
        <v>891</v>
      </c>
      <c r="C284" s="101" t="s">
        <v>805</v>
      </c>
      <c r="D284" t="s">
        <v>805</v>
      </c>
      <c r="E284" t="s">
        <v>805</v>
      </c>
      <c r="F284" t="s">
        <v>805</v>
      </c>
      <c r="G284" s="105" t="e">
        <f>Tabell3[[#This Row],[Såld värme (GWh)]]-Tabell3[[#This Row],[Levererad värme, andra fjärrvärmeföretag, företag 1 (GWh)]]-Tabell3[[#This Row],[Levererad värme, andra fjärrvärmeföretag, företag 2 (GWh)]]-Tabell3[[#This Row],[Levererad värme, andra fjärrvärmeföretag, företag 3 (GWh)]]</f>
        <v>#VALUE!</v>
      </c>
      <c r="H284" s="102" t="e">
        <f>VLOOKUP(Tabell3[[#This Row],[Nät]],Tabell5[],2,FALSE)</f>
        <v>#N/A</v>
      </c>
      <c r="I284" t="e">
        <f>VLOOKUP(Tabell3[[#This Row],[Nät]],'Leveranser per nät'!A:A,1,FALSE)</f>
        <v>#N/A</v>
      </c>
    </row>
    <row r="285" spans="1:9" x14ac:dyDescent="0.25">
      <c r="A285" t="s">
        <v>657</v>
      </c>
      <c r="B285" t="s">
        <v>291</v>
      </c>
      <c r="C285" s="101">
        <v>20.495999999999999</v>
      </c>
      <c r="G285" s="105">
        <f>Tabell3[[#This Row],[Såld värme (GWh)]]-Tabell3[[#This Row],[Levererad värme, andra fjärrvärmeföretag, företag 1 (GWh)]]-Tabell3[[#This Row],[Levererad värme, andra fjärrvärmeföretag, företag 2 (GWh)]]-Tabell3[[#This Row],[Levererad värme, andra fjärrvärmeföretag, företag 3 (GWh)]]</f>
        <v>20.495999999999999</v>
      </c>
      <c r="H285" s="102" t="str">
        <f>VLOOKUP(Tabell3[[#This Row],[Nät]],Tabell5[],2,FALSE)</f>
        <v>Kvissleby</v>
      </c>
      <c r="I285" t="str">
        <f>VLOOKUP(Tabell3[[#This Row],[Nät]],'Leveranser per nät'!A:A,1,FALSE)</f>
        <v>Kvissleby</v>
      </c>
    </row>
    <row r="286" spans="1:9" x14ac:dyDescent="0.25">
      <c r="A286" t="s">
        <v>657</v>
      </c>
      <c r="B286" t="s">
        <v>294</v>
      </c>
      <c r="C286" s="101">
        <v>15.109</v>
      </c>
      <c r="G286" s="105">
        <f>Tabell3[[#This Row],[Såld värme (GWh)]]-Tabell3[[#This Row],[Levererad värme, andra fjärrvärmeföretag, företag 1 (GWh)]]-Tabell3[[#This Row],[Levererad värme, andra fjärrvärmeföretag, företag 2 (GWh)]]-Tabell3[[#This Row],[Levererad värme, andra fjärrvärmeföretag, företag 3 (GWh)]]</f>
        <v>15.109</v>
      </c>
      <c r="H286" s="102" t="str">
        <f>VLOOKUP(Tabell3[[#This Row],[Nät]],Tabell5[],2,FALSE)</f>
        <v>Matfors</v>
      </c>
      <c r="I286" t="str">
        <f>VLOOKUP(Tabell3[[#This Row],[Nät]],'Leveranser per nät'!A:A,1,FALSE)</f>
        <v>Matfors</v>
      </c>
    </row>
    <row r="287" spans="1:9" x14ac:dyDescent="0.25">
      <c r="A287" t="s">
        <v>657</v>
      </c>
      <c r="B287" t="s">
        <v>288</v>
      </c>
      <c r="C287" s="101">
        <v>540.76199999999994</v>
      </c>
      <c r="G287" s="105">
        <f>Tabell3[[#This Row],[Såld värme (GWh)]]-Tabell3[[#This Row],[Levererad värme, andra fjärrvärmeföretag, företag 1 (GWh)]]-Tabell3[[#This Row],[Levererad värme, andra fjärrvärmeföretag, företag 2 (GWh)]]-Tabell3[[#This Row],[Levererad värme, andra fjärrvärmeföretag, företag 3 (GWh)]]</f>
        <v>540.76199999999994</v>
      </c>
      <c r="H287" s="102" t="str">
        <f>VLOOKUP(Tabell3[[#This Row],[Nät]],Tabell5[],2,FALSE)</f>
        <v>Sundsvall</v>
      </c>
      <c r="I287" t="str">
        <f>VLOOKUP(Tabell3[[#This Row],[Nät]],'Leveranser per nät'!A:A,1,FALSE)</f>
        <v>Sundsvall</v>
      </c>
    </row>
    <row r="288" spans="1:9" x14ac:dyDescent="0.25">
      <c r="A288" t="s">
        <v>657</v>
      </c>
      <c r="B288" t="s">
        <v>1094</v>
      </c>
      <c r="C288" s="101" t="s">
        <v>805</v>
      </c>
      <c r="D288" t="s">
        <v>805</v>
      </c>
      <c r="E288" t="s">
        <v>805</v>
      </c>
      <c r="F288" t="s">
        <v>805</v>
      </c>
      <c r="G288" s="105" t="e">
        <f>Tabell3[[#This Row],[Såld värme (GWh)]]-Tabell3[[#This Row],[Levererad värme, andra fjärrvärmeföretag, företag 1 (GWh)]]-Tabell3[[#This Row],[Levererad värme, andra fjärrvärmeföretag, företag 2 (GWh)]]-Tabell3[[#This Row],[Levererad värme, andra fjärrvärmeföretag, företag 3 (GWh)]]</f>
        <v>#VALUE!</v>
      </c>
      <c r="H288" s="102" t="e">
        <f>VLOOKUP(Tabell3[[#This Row],[Nät]],Tabell5[],2,FALSE)</f>
        <v>#N/A</v>
      </c>
      <c r="I288" t="e">
        <f>VLOOKUP(Tabell3[[#This Row],[Nät]],'Leveranser per nät'!A:A,1,FALSE)</f>
        <v>#N/A</v>
      </c>
    </row>
    <row r="289" spans="1:9" x14ac:dyDescent="0.25">
      <c r="A289" t="s">
        <v>657</v>
      </c>
      <c r="B289" t="s">
        <v>727</v>
      </c>
      <c r="C289" s="101">
        <v>131.49600000000001</v>
      </c>
      <c r="G289" s="105">
        <f>Tabell3[[#This Row],[Såld värme (GWh)]]-Tabell3[[#This Row],[Levererad värme, andra fjärrvärmeföretag, företag 1 (GWh)]]-Tabell3[[#This Row],[Levererad värme, andra fjärrvärmeföretag, företag 2 (GWh)]]-Tabell3[[#This Row],[Levererad värme, andra fjärrvärmeföretag, företag 3 (GWh)]]</f>
        <v>131.49600000000001</v>
      </c>
      <c r="H289" s="102" t="str">
        <f>VLOOKUP(Tabell3[[#This Row],[Nät]],Tabell5[],2,FALSE)</f>
        <v>Tunadal</v>
      </c>
      <c r="I289" t="str">
        <f>VLOOKUP(Tabell3[[#This Row],[Nät]],'Leveranser per nät'!A:A,1,FALSE)</f>
        <v>Tunadal</v>
      </c>
    </row>
    <row r="290" spans="1:9" x14ac:dyDescent="0.25">
      <c r="A290" t="s">
        <v>657</v>
      </c>
      <c r="B290" t="s">
        <v>742</v>
      </c>
      <c r="C290" s="101">
        <v>6.4119999999999999</v>
      </c>
      <c r="G290" s="105">
        <f>Tabell3[[#This Row],[Såld värme (GWh)]]-Tabell3[[#This Row],[Levererad värme, andra fjärrvärmeföretag, företag 1 (GWh)]]-Tabell3[[#This Row],[Levererad värme, andra fjärrvärmeföretag, företag 2 (GWh)]]-Tabell3[[#This Row],[Levererad värme, andra fjärrvärmeföretag, företag 3 (GWh)]]</f>
        <v>6.4119999999999999</v>
      </c>
      <c r="H290" s="102" t="e">
        <f>VLOOKUP(Tabell3[[#This Row],[Nät]],Tabell5[],2,FALSE)</f>
        <v>#N/A</v>
      </c>
      <c r="I290" t="e">
        <f>VLOOKUP(Tabell3[[#This Row],[Nät]],'Leveranser per nät'!A:A,1,FALSE)</f>
        <v>#N/A</v>
      </c>
    </row>
    <row r="291" spans="1:9" x14ac:dyDescent="0.25">
      <c r="A291" t="s">
        <v>1095</v>
      </c>
      <c r="B291" t="s">
        <v>797</v>
      </c>
      <c r="C291" s="101" t="s">
        <v>805</v>
      </c>
      <c r="D291" t="s">
        <v>805</v>
      </c>
      <c r="E291" t="s">
        <v>805</v>
      </c>
      <c r="F291" t="s">
        <v>805</v>
      </c>
      <c r="G291" s="105" t="e">
        <f>Tabell3[[#This Row],[Såld värme (GWh)]]-Tabell3[[#This Row],[Levererad värme, andra fjärrvärmeföretag, företag 1 (GWh)]]-Tabell3[[#This Row],[Levererad värme, andra fjärrvärmeföretag, företag 2 (GWh)]]-Tabell3[[#This Row],[Levererad värme, andra fjärrvärmeföretag, företag 3 (GWh)]]</f>
        <v>#VALUE!</v>
      </c>
      <c r="H291" s="102" t="e">
        <f>VLOOKUP(Tabell3[[#This Row],[Nät]],Tabell5[],2,FALSE)</f>
        <v>#N/A</v>
      </c>
      <c r="I291" t="e">
        <f>VLOOKUP(Tabell3[[#This Row],[Nät]],'Leveranser per nät'!A:A,1,FALSE)</f>
        <v>#N/A</v>
      </c>
    </row>
    <row r="292" spans="1:9" x14ac:dyDescent="0.25">
      <c r="A292" t="s">
        <v>666</v>
      </c>
      <c r="B292" t="s">
        <v>302</v>
      </c>
      <c r="C292" s="101">
        <v>9.32</v>
      </c>
      <c r="G292" s="105">
        <f>Tabell3[[#This Row],[Såld värme (GWh)]]-Tabell3[[#This Row],[Levererad värme, andra fjärrvärmeföretag, företag 1 (GWh)]]-Tabell3[[#This Row],[Levererad värme, andra fjärrvärmeföretag, företag 2 (GWh)]]-Tabell3[[#This Row],[Levererad värme, andra fjärrvärmeföretag, företag 3 (GWh)]]</f>
        <v>9.32</v>
      </c>
      <c r="H292" s="102" t="str">
        <f>VLOOKUP(Tabell3[[#This Row],[Nät]],Tabell5[],2,FALSE)</f>
        <v>Ljusne</v>
      </c>
      <c r="I292" t="str">
        <f>VLOOKUP(Tabell3[[#This Row],[Nät]],'Leveranser per nät'!A:A,1,FALSE)</f>
        <v>Ljusne</v>
      </c>
    </row>
    <row r="293" spans="1:9" x14ac:dyDescent="0.25">
      <c r="A293" t="s">
        <v>666</v>
      </c>
      <c r="B293" t="s">
        <v>1096</v>
      </c>
      <c r="C293" s="101" t="s">
        <v>806</v>
      </c>
      <c r="G293" s="105" t="e">
        <f>Tabell3[[#This Row],[Såld värme (GWh)]]-Tabell3[[#This Row],[Levererad värme, andra fjärrvärmeföretag, företag 1 (GWh)]]-Tabell3[[#This Row],[Levererad värme, andra fjärrvärmeföretag, företag 2 (GWh)]]-Tabell3[[#This Row],[Levererad värme, andra fjärrvärmeföretag, företag 3 (GWh)]]</f>
        <v>#VALUE!</v>
      </c>
      <c r="H293" s="102" t="e">
        <f>VLOOKUP(Tabell3[[#This Row],[Nät]],Tabell5[],2,FALSE)</f>
        <v>#N/A</v>
      </c>
      <c r="I293" t="e">
        <f>VLOOKUP(Tabell3[[#This Row],[Nät]],'Leveranser per nät'!A:A,1,FALSE)</f>
        <v>#N/A</v>
      </c>
    </row>
    <row r="294" spans="1:9" x14ac:dyDescent="0.25">
      <c r="A294" t="s">
        <v>666</v>
      </c>
      <c r="B294" t="s">
        <v>796</v>
      </c>
      <c r="C294" s="101">
        <v>3.0680000000000001</v>
      </c>
      <c r="G294" s="105">
        <f>Tabell3[[#This Row],[Såld värme (GWh)]]-Tabell3[[#This Row],[Levererad värme, andra fjärrvärmeföretag, företag 1 (GWh)]]-Tabell3[[#This Row],[Levererad värme, andra fjärrvärmeföretag, företag 2 (GWh)]]-Tabell3[[#This Row],[Levererad värme, andra fjärrvärmeföretag, företag 3 (GWh)]]</f>
        <v>3.0680000000000001</v>
      </c>
      <c r="H294" s="102" t="str">
        <f>VLOOKUP(Tabell3[[#This Row],[Nät]],Tabell5[],2,FALSE)</f>
        <v>Sandarne</v>
      </c>
      <c r="I294" t="str">
        <f>VLOOKUP(Tabell3[[#This Row],[Nät]],'Leveranser per nät'!A:A,1,FALSE)</f>
        <v>Sandarne</v>
      </c>
    </row>
    <row r="295" spans="1:9" x14ac:dyDescent="0.25">
      <c r="A295" t="s">
        <v>666</v>
      </c>
      <c r="B295" t="s">
        <v>301</v>
      </c>
      <c r="C295" s="101">
        <v>123.666</v>
      </c>
      <c r="G295" s="105">
        <f>Tabell3[[#This Row],[Såld värme (GWh)]]-Tabell3[[#This Row],[Levererad värme, andra fjärrvärmeföretag, företag 1 (GWh)]]-Tabell3[[#This Row],[Levererad värme, andra fjärrvärmeföretag, företag 2 (GWh)]]-Tabell3[[#This Row],[Levererad värme, andra fjärrvärmeföretag, företag 3 (GWh)]]</f>
        <v>123.666</v>
      </c>
      <c r="H295" s="102" t="str">
        <f>VLOOKUP(Tabell3[[#This Row],[Nät]],Tabell5[],2,FALSE)</f>
        <v>Söderhamn</v>
      </c>
      <c r="I295" t="str">
        <f>VLOOKUP(Tabell3[[#This Row],[Nät]],'Leveranser per nät'!A:A,1,FALSE)</f>
        <v>Söderhamn</v>
      </c>
    </row>
    <row r="296" spans="1:9" x14ac:dyDescent="0.25">
      <c r="A296" t="s">
        <v>717</v>
      </c>
      <c r="B296" t="s">
        <v>304</v>
      </c>
      <c r="C296" s="101">
        <v>958.56399999999996</v>
      </c>
      <c r="D296">
        <v>2.246</v>
      </c>
      <c r="G296" s="105">
        <f>Tabell3[[#This Row],[Såld värme (GWh)]]-Tabell3[[#This Row],[Levererad värme, andra fjärrvärmeföretag, företag 1 (GWh)]]-Tabell3[[#This Row],[Levererad värme, andra fjärrvärmeföretag, företag 2 (GWh)]]-Tabell3[[#This Row],[Levererad värme, andra fjärrvärmeföretag, företag 3 (GWh)]]</f>
        <v>956.31799999999998</v>
      </c>
      <c r="H296" s="102" t="str">
        <f>VLOOKUP(Tabell3[[#This Row],[Nät]],Tabell5[],2,FALSE)</f>
        <v>Södertörn Fjärrvärme Totalt</v>
      </c>
      <c r="I296" t="str">
        <f>VLOOKUP(Tabell3[[#This Row],[Nät]],'Leveranser per nät'!A:A,1,FALSE)</f>
        <v>Södertörn Fjärrvärme Totalt</v>
      </c>
    </row>
    <row r="297" spans="1:9" x14ac:dyDescent="0.25">
      <c r="A297" t="s">
        <v>897</v>
      </c>
      <c r="B297" t="s">
        <v>463</v>
      </c>
      <c r="C297" s="101">
        <v>46</v>
      </c>
      <c r="G297" s="105">
        <f>Tabell3[[#This Row],[Såld värme (GWh)]]-Tabell3[[#This Row],[Levererad värme, andra fjärrvärmeföretag, företag 1 (GWh)]]-Tabell3[[#This Row],[Levererad värme, andra fjärrvärmeföretag, företag 2 (GWh)]]-Tabell3[[#This Row],[Levererad värme, andra fjärrvärmeföretag, företag 3 (GWh)]]</f>
        <v>46</v>
      </c>
      <c r="H297" s="102" t="str">
        <f>VLOOKUP(Tabell3[[#This Row],[Nät]],Tabell5[],2,FALSE)</f>
        <v>Sölvesborg</v>
      </c>
      <c r="I297" t="str">
        <f>VLOOKUP(Tabell3[[#This Row],[Nät]],'Leveranser per nät'!A:A,1,FALSE)</f>
        <v>Sölvesborg</v>
      </c>
    </row>
    <row r="298" spans="1:9" x14ac:dyDescent="0.25">
      <c r="A298" t="s">
        <v>573</v>
      </c>
      <c r="B298" t="s">
        <v>306</v>
      </c>
      <c r="C298" s="101">
        <v>10.795999999999999</v>
      </c>
      <c r="G298" s="105">
        <f>Tabell3[[#This Row],[Såld värme (GWh)]]-Tabell3[[#This Row],[Levererad värme, andra fjärrvärmeföretag, företag 1 (GWh)]]-Tabell3[[#This Row],[Levererad värme, andra fjärrvärmeföretag, företag 2 (GWh)]]-Tabell3[[#This Row],[Levererad värme, andra fjärrvärmeföretag, företag 3 (GWh)]]</f>
        <v>10.795999999999999</v>
      </c>
      <c r="H298" s="102" t="str">
        <f>VLOOKUP(Tabell3[[#This Row],[Nät]],Tabell5[],2,FALSE)</f>
        <v>Borensberg</v>
      </c>
      <c r="I298" t="str">
        <f>VLOOKUP(Tabell3[[#This Row],[Nät]],'Leveranser per nät'!A:A,1,FALSE)</f>
        <v>Borensberg</v>
      </c>
    </row>
    <row r="299" spans="1:9" x14ac:dyDescent="0.25">
      <c r="A299" t="s">
        <v>573</v>
      </c>
      <c r="B299" t="s">
        <v>168</v>
      </c>
      <c r="C299" s="101">
        <v>165.10300000000001</v>
      </c>
      <c r="G299" s="105">
        <f>Tabell3[[#This Row],[Såld värme (GWh)]]-Tabell3[[#This Row],[Levererad värme, andra fjärrvärmeföretag, företag 1 (GWh)]]-Tabell3[[#This Row],[Levererad värme, andra fjärrvärmeföretag, företag 2 (GWh)]]-Tabell3[[#This Row],[Levererad värme, andra fjärrvärmeföretag, företag 3 (GWh)]]</f>
        <v>165.10300000000001</v>
      </c>
      <c r="H299" s="102" t="str">
        <f>VLOOKUP(Tabell3[[#This Row],[Nät]],Tabell5[],2,FALSE)</f>
        <v>Katrineholm</v>
      </c>
      <c r="I299" t="str">
        <f>VLOOKUP(Tabell3[[#This Row],[Nät]],'Leveranser per nät'!A:A,1,FALSE)</f>
        <v>Katrineholm</v>
      </c>
    </row>
    <row r="300" spans="1:9" x14ac:dyDescent="0.25">
      <c r="A300" t="s">
        <v>573</v>
      </c>
      <c r="B300" t="s">
        <v>307</v>
      </c>
      <c r="C300" s="101">
        <v>17.611000000000001</v>
      </c>
      <c r="G300" s="105">
        <f>Tabell3[[#This Row],[Såld värme (GWh)]]-Tabell3[[#This Row],[Levererad värme, andra fjärrvärmeföretag, företag 1 (GWh)]]-Tabell3[[#This Row],[Levererad värme, andra fjärrvärmeföretag, företag 2 (GWh)]]-Tabell3[[#This Row],[Levererad värme, andra fjärrvärmeföretag, företag 3 (GWh)]]</f>
        <v>17.611000000000001</v>
      </c>
      <c r="H300" s="102" t="str">
        <f>VLOOKUP(Tabell3[[#This Row],[Nät]],Tabell5[],2,FALSE)</f>
        <v>Kisa</v>
      </c>
      <c r="I300" t="str">
        <f>VLOOKUP(Tabell3[[#This Row],[Nät]],'Leveranser per nät'!A:A,1,FALSE)</f>
        <v>Kisa</v>
      </c>
    </row>
    <row r="301" spans="1:9" x14ac:dyDescent="0.25">
      <c r="A301" t="s">
        <v>573</v>
      </c>
      <c r="B301" t="s">
        <v>308</v>
      </c>
      <c r="C301" s="101">
        <v>1278.665</v>
      </c>
      <c r="D301">
        <v>79.040800000000004</v>
      </c>
      <c r="G301" s="105">
        <f>Tabell3[[#This Row],[Såld värme (GWh)]]-Tabell3[[#This Row],[Levererad värme, andra fjärrvärmeföretag, företag 1 (GWh)]]-Tabell3[[#This Row],[Levererad värme, andra fjärrvärmeföretag, företag 2 (GWh)]]-Tabell3[[#This Row],[Levererad värme, andra fjärrvärmeföretag, företag 3 (GWh)]]</f>
        <v>1199.6242</v>
      </c>
      <c r="H301" s="102" t="str">
        <f>VLOOKUP(Tabell3[[#This Row],[Nät]],Tabell5[],2,FALSE)</f>
        <v>Linköping</v>
      </c>
      <c r="I301" t="str">
        <f>VLOOKUP(Tabell3[[#This Row],[Nät]],'Leveranser per nät'!A:A,1,FALSE)</f>
        <v>Linköping</v>
      </c>
    </row>
    <row r="302" spans="1:9" x14ac:dyDescent="0.25">
      <c r="A302" t="s">
        <v>573</v>
      </c>
      <c r="B302" t="s">
        <v>309</v>
      </c>
      <c r="C302" s="101">
        <v>17.236000000000001</v>
      </c>
      <c r="G302" s="105">
        <f>Tabell3[[#This Row],[Såld värme (GWh)]]-Tabell3[[#This Row],[Levererad värme, andra fjärrvärmeföretag, företag 1 (GWh)]]-Tabell3[[#This Row],[Levererad värme, andra fjärrvärmeföretag, företag 2 (GWh)]]-Tabell3[[#This Row],[Levererad värme, andra fjärrvärmeföretag, företag 3 (GWh)]]</f>
        <v>17.236000000000001</v>
      </c>
      <c r="H302" s="102" t="str">
        <f>VLOOKUP(Tabell3[[#This Row],[Nät]],Tabell5[],2,FALSE)</f>
        <v>Skärblacka</v>
      </c>
      <c r="I302" t="str">
        <f>VLOOKUP(Tabell3[[#This Row],[Nät]],'Leveranser per nät'!A:A,1,FALSE)</f>
        <v>Skärblacka</v>
      </c>
    </row>
    <row r="303" spans="1:9" x14ac:dyDescent="0.25">
      <c r="A303" t="s">
        <v>573</v>
      </c>
      <c r="B303" t="s">
        <v>310</v>
      </c>
      <c r="C303" s="101">
        <v>30.116</v>
      </c>
      <c r="G303" s="105">
        <f>Tabell3[[#This Row],[Såld värme (GWh)]]-Tabell3[[#This Row],[Levererad värme, andra fjärrvärmeföretag, företag 1 (GWh)]]-Tabell3[[#This Row],[Levererad värme, andra fjärrvärmeföretag, företag 2 (GWh)]]-Tabell3[[#This Row],[Levererad värme, andra fjärrvärmeföretag, företag 3 (GWh)]]</f>
        <v>30.116</v>
      </c>
      <c r="H303" s="102" t="str">
        <f>VLOOKUP(Tabell3[[#This Row],[Nät]],Tabell5[],2,FALSE)</f>
        <v>Åtvidaberg</v>
      </c>
      <c r="I303" t="str">
        <f>VLOOKUP(Tabell3[[#This Row],[Nät]],'Leveranser per nät'!A:A,1,FALSE)</f>
        <v>Åtvidaberg</v>
      </c>
    </row>
    <row r="304" spans="1:9" x14ac:dyDescent="0.25">
      <c r="A304" t="s">
        <v>641</v>
      </c>
      <c r="B304" t="s">
        <v>312</v>
      </c>
      <c r="C304" s="101">
        <v>42.49</v>
      </c>
      <c r="G304" s="105">
        <f>Tabell3[[#This Row],[Såld värme (GWh)]]-Tabell3[[#This Row],[Levererad värme, andra fjärrvärmeföretag, företag 1 (GWh)]]-Tabell3[[#This Row],[Levererad värme, andra fjärrvärmeföretag, företag 2 (GWh)]]-Tabell3[[#This Row],[Levererad värme, andra fjärrvärmeföretag, företag 3 (GWh)]]</f>
        <v>42.49</v>
      </c>
      <c r="H304" s="102" t="str">
        <f>VLOOKUP(Tabell3[[#This Row],[Nät]],Tabell5[],2,FALSE)</f>
        <v>Järna</v>
      </c>
      <c r="I304" t="str">
        <f>VLOOKUP(Tabell3[[#This Row],[Nät]],'Leveranser per nät'!A:A,1,FALSE)</f>
        <v>Järna</v>
      </c>
    </row>
    <row r="305" spans="1:9" x14ac:dyDescent="0.25">
      <c r="A305" t="s">
        <v>641</v>
      </c>
      <c r="B305" t="s">
        <v>311</v>
      </c>
      <c r="C305" s="101">
        <v>668</v>
      </c>
      <c r="G305" s="105">
        <f>Tabell3[[#This Row],[Såld värme (GWh)]]-Tabell3[[#This Row],[Levererad värme, andra fjärrvärmeföretag, företag 1 (GWh)]]-Tabell3[[#This Row],[Levererad värme, andra fjärrvärmeföretag, företag 2 (GWh)]]-Tabell3[[#This Row],[Levererad värme, andra fjärrvärmeföretag, företag 3 (GWh)]]</f>
        <v>668</v>
      </c>
      <c r="H305" s="102" t="str">
        <f>VLOOKUP(Tabell3[[#This Row],[Nät]],Tabell5[],2,FALSE)</f>
        <v>Södertälje</v>
      </c>
      <c r="I305" t="str">
        <f>VLOOKUP(Tabell3[[#This Row],[Nät]],'Leveranser per nät'!A:A,1,FALSE)</f>
        <v>Södertälje</v>
      </c>
    </row>
    <row r="306" spans="1:9" x14ac:dyDescent="0.25">
      <c r="A306" t="s">
        <v>718</v>
      </c>
      <c r="B306" t="s">
        <v>314</v>
      </c>
      <c r="C306" s="101">
        <v>52.332999999999998</v>
      </c>
      <c r="G306" s="105">
        <f>Tabell3[[#This Row],[Såld värme (GWh)]]-Tabell3[[#This Row],[Levererad värme, andra fjärrvärmeföretag, företag 1 (GWh)]]-Tabell3[[#This Row],[Levererad värme, andra fjärrvärmeföretag, företag 2 (GWh)]]-Tabell3[[#This Row],[Levererad värme, andra fjärrvärmeföretag, företag 3 (GWh)]]</f>
        <v>52.332999999999998</v>
      </c>
      <c r="H306" s="102" t="str">
        <f>VLOOKUP(Tabell3[[#This Row],[Nät]],Tabell5[],2,FALSE)</f>
        <v>Tidaholm</v>
      </c>
      <c r="I306" t="str">
        <f>VLOOKUP(Tabell3[[#This Row],[Nät]],'Leveranser per nät'!A:A,1,FALSE)</f>
        <v>Tidaholm</v>
      </c>
    </row>
    <row r="307" spans="1:9" x14ac:dyDescent="0.25">
      <c r="A307" t="s">
        <v>720</v>
      </c>
      <c r="B307" t="s">
        <v>1097</v>
      </c>
      <c r="C307" s="101">
        <v>4.03</v>
      </c>
      <c r="G307" s="105">
        <f>Tabell3[[#This Row],[Såld värme (GWh)]]-Tabell3[[#This Row],[Levererad värme, andra fjärrvärmeföretag, företag 1 (GWh)]]-Tabell3[[#This Row],[Levererad värme, andra fjärrvärmeföretag, företag 2 (GWh)]]-Tabell3[[#This Row],[Levererad värme, andra fjärrvärmeföretag, företag 3 (GWh)]]</f>
        <v>4.03</v>
      </c>
      <c r="H307" s="102" t="e">
        <f>VLOOKUP(Tabell3[[#This Row],[Nät]],Tabell5[],2,FALSE)</f>
        <v>#N/A</v>
      </c>
      <c r="I307" t="e">
        <f>VLOOKUP(Tabell3[[#This Row],[Nät]],'Leveranser per nät'!A:A,1,FALSE)</f>
        <v>#N/A</v>
      </c>
    </row>
    <row r="308" spans="1:9" x14ac:dyDescent="0.25">
      <c r="A308" t="s">
        <v>720</v>
      </c>
      <c r="B308" t="s">
        <v>315</v>
      </c>
      <c r="C308" s="101">
        <v>46.96</v>
      </c>
      <c r="G308" s="105">
        <f>Tabell3[[#This Row],[Såld värme (GWh)]]-Tabell3[[#This Row],[Levererad värme, andra fjärrvärmeföretag, företag 1 (GWh)]]-Tabell3[[#This Row],[Levererad värme, andra fjärrvärmeföretag, företag 2 (GWh)]]-Tabell3[[#This Row],[Levererad värme, andra fjärrvärmeföretag, företag 3 (GWh)]]</f>
        <v>46.96</v>
      </c>
      <c r="H308" s="102" t="str">
        <f>VLOOKUP(Tabell3[[#This Row],[Nät]],Tabell5[],2,FALSE)</f>
        <v>Tierp</v>
      </c>
      <c r="I308" t="str">
        <f>VLOOKUP(Tabell3[[#This Row],[Nät]],'Leveranser per nät'!A:A,1,FALSE)</f>
        <v>Tierp</v>
      </c>
    </row>
    <row r="309" spans="1:9" x14ac:dyDescent="0.25">
      <c r="A309" t="s">
        <v>720</v>
      </c>
      <c r="B309" t="s">
        <v>439</v>
      </c>
      <c r="C309" s="101">
        <v>7.24</v>
      </c>
      <c r="G309" s="105">
        <f>Tabell3[[#This Row],[Såld värme (GWh)]]-Tabell3[[#This Row],[Levererad värme, andra fjärrvärmeföretag, företag 1 (GWh)]]-Tabell3[[#This Row],[Levererad värme, andra fjärrvärmeföretag, företag 2 (GWh)]]-Tabell3[[#This Row],[Levererad värme, andra fjärrvärmeföretag, företag 3 (GWh)]]</f>
        <v>7.24</v>
      </c>
      <c r="H309" s="102" t="str">
        <f>VLOOKUP(Tabell3[[#This Row],[Nät]],Tabell5[],2,FALSE)</f>
        <v>Örbyhus</v>
      </c>
      <c r="I309" t="str">
        <f>VLOOKUP(Tabell3[[#This Row],[Nät]],'Leveranser per nät'!A:A,1,FALSE)</f>
        <v>Örbyhus</v>
      </c>
    </row>
    <row r="310" spans="1:9" x14ac:dyDescent="0.25">
      <c r="A310" t="s">
        <v>777</v>
      </c>
      <c r="B310" t="s">
        <v>777</v>
      </c>
      <c r="C310" s="101" t="s">
        <v>805</v>
      </c>
      <c r="D310" t="s">
        <v>805</v>
      </c>
      <c r="E310" t="s">
        <v>805</v>
      </c>
      <c r="F310" t="s">
        <v>805</v>
      </c>
      <c r="G310" s="105" t="e">
        <f>Tabell3[[#This Row],[Såld värme (GWh)]]-Tabell3[[#This Row],[Levererad värme, andra fjärrvärmeföretag, företag 1 (GWh)]]-Tabell3[[#This Row],[Levererad värme, andra fjärrvärmeföretag, företag 2 (GWh)]]-Tabell3[[#This Row],[Levererad värme, andra fjärrvärmeföretag, företag 3 (GWh)]]</f>
        <v>#VALUE!</v>
      </c>
      <c r="H310" s="102" t="e">
        <f>VLOOKUP(Tabell3[[#This Row],[Nät]],Tabell5[],2,FALSE)</f>
        <v>#N/A</v>
      </c>
      <c r="I310" t="e">
        <f>VLOOKUP(Tabell3[[#This Row],[Nät]],'Leveranser per nät'!A:A,1,FALSE)</f>
        <v>#N/A</v>
      </c>
    </row>
    <row r="311" spans="1:9" x14ac:dyDescent="0.25">
      <c r="A311" t="s">
        <v>721</v>
      </c>
      <c r="B311" t="s">
        <v>514</v>
      </c>
      <c r="C311" s="101">
        <v>13.129</v>
      </c>
      <c r="G311" s="105">
        <f>Tabell3[[#This Row],[Såld värme (GWh)]]-Tabell3[[#This Row],[Levererad värme, andra fjärrvärmeföretag, företag 1 (GWh)]]-Tabell3[[#This Row],[Levererad värme, andra fjärrvärmeföretag, företag 2 (GWh)]]-Tabell3[[#This Row],[Levererad värme, andra fjärrvärmeföretag, företag 3 (GWh)]]</f>
        <v>13.129</v>
      </c>
      <c r="H311" s="102" t="str">
        <f>VLOOKUP(Tabell3[[#This Row],[Nät]],Tabell5[],2,FALSE)</f>
        <v>Torsås</v>
      </c>
      <c r="I311" t="str">
        <f>VLOOKUP(Tabell3[[#This Row],[Nät]],'Leveranser per nät'!A:A,1,FALSE)</f>
        <v>Torsås</v>
      </c>
    </row>
    <row r="312" spans="1:9" x14ac:dyDescent="0.25">
      <c r="A312" t="s">
        <v>722</v>
      </c>
      <c r="B312" t="s">
        <v>316</v>
      </c>
      <c r="C312" s="101">
        <v>122</v>
      </c>
      <c r="G312" s="105">
        <f>Tabell3[[#This Row],[Såld värme (GWh)]]-Tabell3[[#This Row],[Levererad värme, andra fjärrvärmeföretag, företag 1 (GWh)]]-Tabell3[[#This Row],[Levererad värme, andra fjärrvärmeföretag, företag 2 (GWh)]]-Tabell3[[#This Row],[Levererad värme, andra fjärrvärmeföretag, företag 3 (GWh)]]</f>
        <v>122</v>
      </c>
      <c r="H312" s="102" t="str">
        <f>VLOOKUP(Tabell3[[#This Row],[Nät]],Tabell5[],2,FALSE)</f>
        <v>Tranås</v>
      </c>
      <c r="I312" t="str">
        <f>VLOOKUP(Tabell3[[#This Row],[Nät]],'Leveranser per nät'!A:A,1,FALSE)</f>
        <v>Tranås</v>
      </c>
    </row>
    <row r="313" spans="1:9" x14ac:dyDescent="0.25">
      <c r="A313" t="s">
        <v>723</v>
      </c>
      <c r="B313" t="s">
        <v>317</v>
      </c>
      <c r="C313" s="101">
        <v>90.1</v>
      </c>
      <c r="G313" s="105">
        <f>Tabell3[[#This Row],[Såld värme (GWh)]]-Tabell3[[#This Row],[Levererad värme, andra fjärrvärmeföretag, företag 1 (GWh)]]-Tabell3[[#This Row],[Levererad värme, andra fjärrvärmeföretag, företag 2 (GWh)]]-Tabell3[[#This Row],[Levererad värme, andra fjärrvärmeföretag, företag 3 (GWh)]]</f>
        <v>90.1</v>
      </c>
      <c r="H313" s="102" t="str">
        <f>VLOOKUP(Tabell3[[#This Row],[Nät]],Tabell5[],2,FALSE)</f>
        <v>Trelleborg</v>
      </c>
      <c r="I313" t="str">
        <f>VLOOKUP(Tabell3[[#This Row],[Nät]],'Leveranser per nät'!A:A,1,FALSE)</f>
        <v>Trelleborg</v>
      </c>
    </row>
    <row r="314" spans="1:9" x14ac:dyDescent="0.25">
      <c r="A314" t="s">
        <v>725</v>
      </c>
      <c r="B314" t="s">
        <v>318</v>
      </c>
      <c r="C314" s="101">
        <v>335.2</v>
      </c>
      <c r="D314">
        <v>2.2000000000000002</v>
      </c>
      <c r="G314" s="105">
        <f>Tabell3[[#This Row],[Såld värme (GWh)]]-Tabell3[[#This Row],[Levererad värme, andra fjärrvärmeföretag, företag 1 (GWh)]]-Tabell3[[#This Row],[Levererad värme, andra fjärrvärmeföretag, företag 2 (GWh)]]-Tabell3[[#This Row],[Levererad värme, andra fjärrvärmeföretag, företag 3 (GWh)]]</f>
        <v>333</v>
      </c>
      <c r="H314" s="102" t="str">
        <f>VLOOKUP(Tabell3[[#This Row],[Nät]],Tabell5[],2,FALSE)</f>
        <v>Trollhättan</v>
      </c>
      <c r="I314" t="str">
        <f>VLOOKUP(Tabell3[[#This Row],[Nät]],'Leveranser per nät'!A:A,1,FALSE)</f>
        <v>Trollhättan</v>
      </c>
    </row>
    <row r="315" spans="1:9" x14ac:dyDescent="0.25">
      <c r="A315" t="s">
        <v>665</v>
      </c>
      <c r="B315" t="s">
        <v>404</v>
      </c>
      <c r="C315" s="101">
        <v>4.3470000000000004</v>
      </c>
      <c r="G315" s="105">
        <f>Tabell3[[#This Row],[Såld värme (GWh)]]-Tabell3[[#This Row],[Levererad värme, andra fjärrvärmeföretag, företag 1 (GWh)]]-Tabell3[[#This Row],[Levererad värme, andra fjärrvärmeföretag, företag 2 (GWh)]]-Tabell3[[#This Row],[Levererad värme, andra fjärrvärmeföretag, företag 3 (GWh)]]</f>
        <v>4.3470000000000004</v>
      </c>
      <c r="H315" s="102" t="str">
        <f>VLOOKUP(Tabell3[[#This Row],[Nät]],Tabell5[],2,FALSE)</f>
        <v>Ljungskile</v>
      </c>
      <c r="I315" t="str">
        <f>VLOOKUP(Tabell3[[#This Row],[Nät]],'Leveranser per nät'!A:A,1,FALSE)</f>
        <v>Ljungskile</v>
      </c>
    </row>
    <row r="316" spans="1:9" x14ac:dyDescent="0.25">
      <c r="A316" t="s">
        <v>665</v>
      </c>
      <c r="B316" t="s">
        <v>319</v>
      </c>
      <c r="C316" s="101">
        <v>6.7720000000000002</v>
      </c>
      <c r="G316" s="105">
        <f>Tabell3[[#This Row],[Såld värme (GWh)]]-Tabell3[[#This Row],[Levererad värme, andra fjärrvärmeföretag, företag 1 (GWh)]]-Tabell3[[#This Row],[Levererad värme, andra fjärrvärmeföretag, företag 2 (GWh)]]-Tabell3[[#This Row],[Levererad värme, andra fjärrvärmeföretag, företag 3 (GWh)]]</f>
        <v>6.7720000000000002</v>
      </c>
      <c r="H316" s="102" t="str">
        <f>VLOOKUP(Tabell3[[#This Row],[Nät]],Tabell5[],2,FALSE)</f>
        <v>Munkedal</v>
      </c>
      <c r="I316" t="str">
        <f>VLOOKUP(Tabell3[[#This Row],[Nät]],'Leveranser per nät'!A:A,1,FALSE)</f>
        <v>Munkedal</v>
      </c>
    </row>
    <row r="317" spans="1:9" x14ac:dyDescent="0.25">
      <c r="A317" t="s">
        <v>665</v>
      </c>
      <c r="B317" t="s">
        <v>320</v>
      </c>
      <c r="C317" s="101">
        <v>304</v>
      </c>
      <c r="G317" s="105">
        <f>Tabell3[[#This Row],[Såld värme (GWh)]]-Tabell3[[#This Row],[Levererad värme, andra fjärrvärmeföretag, företag 1 (GWh)]]-Tabell3[[#This Row],[Levererad värme, andra fjärrvärmeföretag, företag 2 (GWh)]]-Tabell3[[#This Row],[Levererad värme, andra fjärrvärmeföretag, företag 3 (GWh)]]</f>
        <v>304</v>
      </c>
      <c r="H317" s="102" t="str">
        <f>VLOOKUP(Tabell3[[#This Row],[Nät]],Tabell5[],2,FALSE)</f>
        <v>Uddevalla</v>
      </c>
      <c r="I317" t="str">
        <f>VLOOKUP(Tabell3[[#This Row],[Nät]],'Leveranser per nät'!A:A,1,FALSE)</f>
        <v>Uddevalla</v>
      </c>
    </row>
    <row r="318" spans="1:9" x14ac:dyDescent="0.25">
      <c r="A318" t="s">
        <v>614</v>
      </c>
      <c r="B318" t="s">
        <v>322</v>
      </c>
      <c r="C318" s="101">
        <v>2.1240000000000001</v>
      </c>
      <c r="G318" s="105">
        <f>Tabell3[[#This Row],[Såld värme (GWh)]]-Tabell3[[#This Row],[Levererad värme, andra fjärrvärmeföretag, företag 1 (GWh)]]-Tabell3[[#This Row],[Levererad värme, andra fjärrvärmeföretag, företag 2 (GWh)]]-Tabell3[[#This Row],[Levererad värme, andra fjärrvärmeföretag, företag 3 (GWh)]]</f>
        <v>2.1240000000000001</v>
      </c>
      <c r="H318" s="102" t="str">
        <f>VLOOKUP(Tabell3[[#This Row],[Nät]],Tabell5[],2,FALSE)</f>
        <v>Gällstad</v>
      </c>
      <c r="I318" t="str">
        <f>VLOOKUP(Tabell3[[#This Row],[Nät]],'Leveranser per nät'!A:A,1,FALSE)</f>
        <v>Gällstad</v>
      </c>
    </row>
    <row r="319" spans="1:9" x14ac:dyDescent="0.25">
      <c r="A319" t="s">
        <v>614</v>
      </c>
      <c r="B319" t="s">
        <v>798</v>
      </c>
      <c r="C319" s="101">
        <v>0.78800000000000003</v>
      </c>
      <c r="G319" s="105">
        <f>Tabell3[[#This Row],[Såld värme (GWh)]]-Tabell3[[#This Row],[Levererad värme, andra fjärrvärmeföretag, företag 1 (GWh)]]-Tabell3[[#This Row],[Levererad värme, andra fjärrvärmeföretag, företag 2 (GWh)]]-Tabell3[[#This Row],[Levererad värme, andra fjärrvärmeföretag, företag 3 (GWh)]]</f>
        <v>0.78800000000000003</v>
      </c>
      <c r="H319" s="102" t="str">
        <f>VLOOKUP(Tabell3[[#This Row],[Nät]],Tabell5[],2,FALSE)</f>
        <v>Timmele</v>
      </c>
      <c r="I319" t="str">
        <f>VLOOKUP(Tabell3[[#This Row],[Nät]],'Leveranser per nät'!A:A,1,FALSE)</f>
        <v>Timmele</v>
      </c>
    </row>
    <row r="320" spans="1:9" x14ac:dyDescent="0.25">
      <c r="A320" t="s">
        <v>614</v>
      </c>
      <c r="B320" t="s">
        <v>321</v>
      </c>
      <c r="C320" s="101">
        <v>47.084000000000003</v>
      </c>
      <c r="G320" s="105">
        <f>Tabell3[[#This Row],[Såld värme (GWh)]]-Tabell3[[#This Row],[Levererad värme, andra fjärrvärmeföretag, företag 1 (GWh)]]-Tabell3[[#This Row],[Levererad värme, andra fjärrvärmeföretag, företag 2 (GWh)]]-Tabell3[[#This Row],[Levererad värme, andra fjärrvärmeföretag, företag 3 (GWh)]]</f>
        <v>47.084000000000003</v>
      </c>
      <c r="H320" s="102" t="str">
        <f>VLOOKUP(Tabell3[[#This Row],[Nät]],Tabell5[],2,FALSE)</f>
        <v>Ulricehamn</v>
      </c>
      <c r="I320" t="str">
        <f>VLOOKUP(Tabell3[[#This Row],[Nät]],'Leveranser per nät'!A:A,1,FALSE)</f>
        <v>Ulricehamn</v>
      </c>
    </row>
    <row r="321" spans="1:9" x14ac:dyDescent="0.25">
      <c r="A321" t="s">
        <v>566</v>
      </c>
      <c r="B321" t="s">
        <v>323</v>
      </c>
      <c r="C321" s="101">
        <v>7.46</v>
      </c>
      <c r="G321" s="105">
        <f>Tabell3[[#This Row],[Såld värme (GWh)]]-Tabell3[[#This Row],[Levererad värme, andra fjärrvärmeföretag, företag 1 (GWh)]]-Tabell3[[#This Row],[Levererad värme, andra fjärrvärmeföretag, företag 2 (GWh)]]-Tabell3[[#This Row],[Levererad värme, andra fjärrvärmeföretag, företag 3 (GWh)]]</f>
        <v>7.46</v>
      </c>
      <c r="H321" s="102" t="str">
        <f>VLOOKUP(Tabell3[[#This Row],[Nät]],Tabell5[],2,FALSE)</f>
        <v>Bjurholm</v>
      </c>
      <c r="I321" t="str">
        <f>VLOOKUP(Tabell3[[#This Row],[Nät]],'Leveranser per nät'!A:A,1,FALSE)</f>
        <v>Bjurholm</v>
      </c>
    </row>
    <row r="322" spans="1:9" x14ac:dyDescent="0.25">
      <c r="A322" t="s">
        <v>566</v>
      </c>
      <c r="B322" t="s">
        <v>326</v>
      </c>
      <c r="C322" s="101">
        <v>7.38</v>
      </c>
      <c r="G322" s="105">
        <f>Tabell3[[#This Row],[Såld värme (GWh)]]-Tabell3[[#This Row],[Levererad värme, andra fjärrvärmeföretag, företag 1 (GWh)]]-Tabell3[[#This Row],[Levererad värme, andra fjärrvärmeföretag, företag 2 (GWh)]]-Tabell3[[#This Row],[Levererad värme, andra fjärrvärmeföretag, företag 3 (GWh)]]</f>
        <v>7.38</v>
      </c>
      <c r="H322" s="102" t="str">
        <f>VLOOKUP(Tabell3[[#This Row],[Nät]],Tabell5[],2,FALSE)</f>
        <v>Hörnefors</v>
      </c>
      <c r="I322" t="str">
        <f>VLOOKUP(Tabell3[[#This Row],[Nät]],'Leveranser per nät'!A:A,1,FALSE)</f>
        <v>Hörnefors</v>
      </c>
    </row>
    <row r="323" spans="1:9" x14ac:dyDescent="0.25">
      <c r="A323" t="s">
        <v>566</v>
      </c>
      <c r="B323" t="s">
        <v>327</v>
      </c>
      <c r="C323" s="101">
        <v>7.92</v>
      </c>
      <c r="G323" s="105">
        <f>Tabell3[[#This Row],[Såld värme (GWh)]]-Tabell3[[#This Row],[Levererad värme, andra fjärrvärmeföretag, företag 1 (GWh)]]-Tabell3[[#This Row],[Levererad värme, andra fjärrvärmeföretag, företag 2 (GWh)]]-Tabell3[[#This Row],[Levererad värme, andra fjärrvärmeföretag, företag 3 (GWh)]]</f>
        <v>7.92</v>
      </c>
      <c r="H323" s="102" t="str">
        <f>VLOOKUP(Tabell3[[#This Row],[Nät]],Tabell5[],2,FALSE)</f>
        <v>Sävar</v>
      </c>
      <c r="I323" t="str">
        <f>VLOOKUP(Tabell3[[#This Row],[Nät]],'Leveranser per nät'!A:A,1,FALSE)</f>
        <v>Sävar</v>
      </c>
    </row>
    <row r="324" spans="1:9" x14ac:dyDescent="0.25">
      <c r="A324" t="s">
        <v>566</v>
      </c>
      <c r="B324" t="s">
        <v>324</v>
      </c>
      <c r="C324" s="101">
        <v>873.8</v>
      </c>
      <c r="G324" s="105">
        <f>Tabell3[[#This Row],[Såld värme (GWh)]]-Tabell3[[#This Row],[Levererad värme, andra fjärrvärmeföretag, företag 1 (GWh)]]-Tabell3[[#This Row],[Levererad värme, andra fjärrvärmeföretag, företag 2 (GWh)]]-Tabell3[[#This Row],[Levererad värme, andra fjärrvärmeföretag, företag 3 (GWh)]]</f>
        <v>873.8</v>
      </c>
      <c r="H324" s="102" t="str">
        <f>VLOOKUP(Tabell3[[#This Row],[Nät]],Tabell5[],2,FALSE)</f>
        <v>Umeå</v>
      </c>
      <c r="I324" t="str">
        <f>VLOOKUP(Tabell3[[#This Row],[Nät]],'Leveranser per nät'!A:A,1,FALSE)</f>
        <v>Umeå</v>
      </c>
    </row>
    <row r="325" spans="1:9" x14ac:dyDescent="0.25">
      <c r="A325" t="s">
        <v>697</v>
      </c>
      <c r="B325" t="s">
        <v>329</v>
      </c>
      <c r="C325" s="101">
        <v>21.449000000000002</v>
      </c>
      <c r="G325" s="105">
        <f>Tabell3[[#This Row],[Såld värme (GWh)]]-Tabell3[[#This Row],[Levererad värme, andra fjärrvärmeföretag, företag 1 (GWh)]]-Tabell3[[#This Row],[Levererad värme, andra fjärrvärmeföretag, företag 2 (GWh)]]-Tabell3[[#This Row],[Levererad värme, andra fjärrvärmeföretag, företag 3 (GWh)]]</f>
        <v>21.449000000000002</v>
      </c>
      <c r="H325" s="102" t="str">
        <f>VLOOKUP(Tabell3[[#This Row],[Nät]],Tabell5[],2,FALSE)</f>
        <v>Skillingaryd</v>
      </c>
      <c r="I325" t="str">
        <f>VLOOKUP(Tabell3[[#This Row],[Nät]],'Leveranser per nät'!A:A,1,FALSE)</f>
        <v>Skillingaryd</v>
      </c>
    </row>
    <row r="326" spans="1:9" x14ac:dyDescent="0.25">
      <c r="A326" t="s">
        <v>697</v>
      </c>
      <c r="B326" t="s">
        <v>328</v>
      </c>
      <c r="C326" s="101">
        <v>28.105</v>
      </c>
      <c r="G326" s="105">
        <f>Tabell3[[#This Row],[Såld värme (GWh)]]-Tabell3[[#This Row],[Levererad värme, andra fjärrvärmeföretag, företag 1 (GWh)]]-Tabell3[[#This Row],[Levererad värme, andra fjärrvärmeföretag, företag 2 (GWh)]]-Tabell3[[#This Row],[Levererad värme, andra fjärrvärmeföretag, företag 3 (GWh)]]</f>
        <v>28.105</v>
      </c>
      <c r="H326" s="102" t="str">
        <f>VLOOKUP(Tabell3[[#This Row],[Nät]],Tabell5[],2,FALSE)</f>
        <v>Vaggeryd</v>
      </c>
      <c r="I326" t="str">
        <f>VLOOKUP(Tabell3[[#This Row],[Nät]],'Leveranser per nät'!A:A,1,FALSE)</f>
        <v>Vaggeryd</v>
      </c>
    </row>
    <row r="327" spans="1:9" x14ac:dyDescent="0.25">
      <c r="A327" t="s">
        <v>799</v>
      </c>
      <c r="B327" t="s">
        <v>330</v>
      </c>
      <c r="C327" s="101">
        <v>34.17</v>
      </c>
      <c r="G327" s="105">
        <f>Tabell3[[#This Row],[Såld värme (GWh)]]-Tabell3[[#This Row],[Levererad värme, andra fjärrvärmeföretag, företag 1 (GWh)]]-Tabell3[[#This Row],[Levererad värme, andra fjärrvärmeföretag, företag 2 (GWh)]]-Tabell3[[#This Row],[Levererad värme, andra fjärrvärmeföretag, företag 3 (GWh)]]</f>
        <v>34.17</v>
      </c>
      <c r="H327" s="102" t="str">
        <f>VLOOKUP(Tabell3[[#This Row],[Nät]],Tabell5[],2,FALSE)</f>
        <v>Vara</v>
      </c>
      <c r="I327" t="str">
        <f>VLOOKUP(Tabell3[[#This Row],[Nät]],'Leveranser per nät'!A:A,1,FALSE)</f>
        <v>Vara</v>
      </c>
    </row>
    <row r="328" spans="1:9" x14ac:dyDescent="0.25">
      <c r="A328" t="s">
        <v>726</v>
      </c>
      <c r="B328" t="s">
        <v>429</v>
      </c>
      <c r="C328" s="101">
        <v>5.91</v>
      </c>
      <c r="G328" s="105">
        <f>Tabell3[[#This Row],[Såld värme (GWh)]]-Tabell3[[#This Row],[Levererad värme, andra fjärrvärmeföretag, företag 1 (GWh)]]-Tabell3[[#This Row],[Levererad värme, andra fjärrvärmeföretag, företag 2 (GWh)]]-Tabell3[[#This Row],[Levererad värme, andra fjärrvärmeföretag, företag 3 (GWh)]]</f>
        <v>5.91</v>
      </c>
      <c r="H328" s="102" t="str">
        <f>VLOOKUP(Tabell3[[#This Row],[Nät]],Tabell5[],2,FALSE)</f>
        <v>Tvååker (Närv)</v>
      </c>
      <c r="I328" t="str">
        <f>VLOOKUP(Tabell3[[#This Row],[Nät]],'Leveranser per nät'!A:A,1,FALSE)</f>
        <v>Tvååker (Närv)</v>
      </c>
    </row>
    <row r="329" spans="1:9" x14ac:dyDescent="0.25">
      <c r="A329" t="s">
        <v>726</v>
      </c>
      <c r="B329" t="s">
        <v>332</v>
      </c>
      <c r="C329" s="101">
        <v>149</v>
      </c>
      <c r="G329" s="105">
        <f>Tabell3[[#This Row],[Såld värme (GWh)]]-Tabell3[[#This Row],[Levererad värme, andra fjärrvärmeföretag, företag 1 (GWh)]]-Tabell3[[#This Row],[Levererad värme, andra fjärrvärmeföretag, företag 2 (GWh)]]-Tabell3[[#This Row],[Levererad värme, andra fjärrvärmeföretag, företag 3 (GWh)]]</f>
        <v>149</v>
      </c>
      <c r="H329" s="102" t="str">
        <f>VLOOKUP(Tabell3[[#This Row],[Nät]],Tabell5[],2,FALSE)</f>
        <v>Varberg (Fjv)</v>
      </c>
      <c r="I329" t="str">
        <f>VLOOKUP(Tabell3[[#This Row],[Nät]],'Leveranser per nät'!A:A,1,FALSE)</f>
        <v>Varberg (Fjv)</v>
      </c>
    </row>
    <row r="330" spans="1:9" x14ac:dyDescent="0.25">
      <c r="A330" t="s">
        <v>726</v>
      </c>
      <c r="B330" t="s">
        <v>333</v>
      </c>
      <c r="C330" s="101">
        <v>3.847</v>
      </c>
      <c r="G330" s="105">
        <f>Tabell3[[#This Row],[Såld värme (GWh)]]-Tabell3[[#This Row],[Levererad värme, andra fjärrvärmeföretag, företag 1 (GWh)]]-Tabell3[[#This Row],[Levererad värme, andra fjärrvärmeföretag, företag 2 (GWh)]]-Tabell3[[#This Row],[Levererad värme, andra fjärrvärmeföretag, företag 3 (GWh)]]</f>
        <v>3.847</v>
      </c>
      <c r="H330" s="102" t="str">
        <f>VLOOKUP(Tabell3[[#This Row],[Nät]],Tabell5[],2,FALSE)</f>
        <v>Veddige</v>
      </c>
      <c r="I330" t="str">
        <f>VLOOKUP(Tabell3[[#This Row],[Nät]],'Leveranser per nät'!A:A,1,FALSE)</f>
        <v>Veddige</v>
      </c>
    </row>
    <row r="331" spans="1:9" x14ac:dyDescent="0.25">
      <c r="A331" t="s">
        <v>800</v>
      </c>
      <c r="B331" t="s">
        <v>95</v>
      </c>
      <c r="C331" s="101">
        <v>17.913</v>
      </c>
      <c r="G331" s="105">
        <f>Tabell3[[#This Row],[Såld värme (GWh)]]-Tabell3[[#This Row],[Levererad värme, andra fjärrvärmeföretag, företag 1 (GWh)]]-Tabell3[[#This Row],[Levererad värme, andra fjärrvärmeföretag, företag 2 (GWh)]]-Tabell3[[#This Row],[Levererad värme, andra fjärrvärmeföretag, företag 3 (GWh)]]</f>
        <v>17.913</v>
      </c>
      <c r="H331" s="102" t="str">
        <f>VLOOKUP(Tabell3[[#This Row],[Nät]],Tabell5[],2,FALSE)</f>
        <v>Alfta</v>
      </c>
      <c r="I331" t="str">
        <f>VLOOKUP(Tabell3[[#This Row],[Nät]],'Leveranser per nät'!A:A,1,FALSE)</f>
        <v>Alfta</v>
      </c>
    </row>
    <row r="332" spans="1:9" x14ac:dyDescent="0.25">
      <c r="A332" t="s">
        <v>800</v>
      </c>
      <c r="B332" t="s">
        <v>96</v>
      </c>
      <c r="C332" s="101">
        <v>31.899000000000001</v>
      </c>
      <c r="G332" s="105">
        <f>Tabell3[[#This Row],[Såld värme (GWh)]]-Tabell3[[#This Row],[Levererad värme, andra fjärrvärmeföretag, företag 1 (GWh)]]-Tabell3[[#This Row],[Levererad värme, andra fjärrvärmeföretag, företag 2 (GWh)]]-Tabell3[[#This Row],[Levererad värme, andra fjärrvärmeföretag, företag 3 (GWh)]]</f>
        <v>31.899000000000001</v>
      </c>
      <c r="H332" s="102" t="str">
        <f>VLOOKUP(Tabell3[[#This Row],[Nät]],Tabell5[],2,FALSE)</f>
        <v>Edsbyn</v>
      </c>
      <c r="I332" t="str">
        <f>VLOOKUP(Tabell3[[#This Row],[Nät]],'Leveranser per nät'!A:A,1,FALSE)</f>
        <v>Edsbyn</v>
      </c>
    </row>
    <row r="333" spans="1:9" x14ac:dyDescent="0.25">
      <c r="A333" t="s">
        <v>800</v>
      </c>
      <c r="B333" t="s">
        <v>346</v>
      </c>
      <c r="C333" s="101">
        <v>90.472999999999999</v>
      </c>
      <c r="G333" s="105">
        <f>Tabell3[[#This Row],[Såld värme (GWh)]]-Tabell3[[#This Row],[Levererad värme, andra fjärrvärmeföretag, företag 1 (GWh)]]-Tabell3[[#This Row],[Levererad värme, andra fjärrvärmeföretag, företag 2 (GWh)]]-Tabell3[[#This Row],[Levererad värme, andra fjärrvärmeföretag, företag 3 (GWh)]]</f>
        <v>90.472999999999999</v>
      </c>
      <c r="H333" s="102" t="str">
        <f>VLOOKUP(Tabell3[[#This Row],[Nät]],Tabell5[],2,FALSE)</f>
        <v>Kalix</v>
      </c>
      <c r="I333" t="str">
        <f>VLOOKUP(Tabell3[[#This Row],[Nät]],'Leveranser per nät'!A:A,1,FALSE)</f>
        <v>Kalix</v>
      </c>
    </row>
    <row r="334" spans="1:9" x14ac:dyDescent="0.25">
      <c r="A334" t="s">
        <v>800</v>
      </c>
      <c r="B334" t="s">
        <v>801</v>
      </c>
      <c r="C334" s="101">
        <v>2.4460000000000002</v>
      </c>
      <c r="G334" s="105">
        <f>Tabell3[[#This Row],[Såld värme (GWh)]]-Tabell3[[#This Row],[Levererad värme, andra fjärrvärmeföretag, företag 1 (GWh)]]-Tabell3[[#This Row],[Levererad värme, andra fjärrvärmeföretag, företag 2 (GWh)]]-Tabell3[[#This Row],[Levererad värme, andra fjärrvärmeföretag, företag 3 (GWh)]]</f>
        <v>2.4460000000000002</v>
      </c>
      <c r="H334" s="102" t="str">
        <f>VLOOKUP(Tabell3[[#This Row],[Nät]],Tabell5[],2,FALSE)</f>
        <v>Krokek</v>
      </c>
      <c r="I334" t="str">
        <f>VLOOKUP(Tabell3[[#This Row],[Nät]],'Leveranser per nät'!A:A,1,FALSE)</f>
        <v>Krokek</v>
      </c>
    </row>
    <row r="335" spans="1:9" x14ac:dyDescent="0.25">
      <c r="A335" t="s">
        <v>800</v>
      </c>
      <c r="B335" t="s">
        <v>200</v>
      </c>
      <c r="C335" s="101">
        <v>14.295999999999999</v>
      </c>
      <c r="G335" s="105">
        <f>Tabell3[[#This Row],[Såld värme (GWh)]]-Tabell3[[#This Row],[Levererad värme, andra fjärrvärmeföretag, företag 1 (GWh)]]-Tabell3[[#This Row],[Levererad värme, andra fjärrvärmeföretag, företag 2 (GWh)]]-Tabell3[[#This Row],[Levererad värme, andra fjärrvärmeföretag, företag 3 (GWh)]]</f>
        <v>14.295999999999999</v>
      </c>
      <c r="H335" s="102" t="str">
        <f>VLOOKUP(Tabell3[[#This Row],[Nät]],Tabell5[],2,FALSE)</f>
        <v>Malmköping</v>
      </c>
      <c r="I335" t="str">
        <f>VLOOKUP(Tabell3[[#This Row],[Nät]],'Leveranser per nät'!A:A,1,FALSE)</f>
        <v>Malmköping</v>
      </c>
    </row>
    <row r="336" spans="1:9" x14ac:dyDescent="0.25">
      <c r="A336" t="s">
        <v>1002</v>
      </c>
      <c r="B336" t="s">
        <v>334</v>
      </c>
      <c r="C336" s="101">
        <v>19.093</v>
      </c>
      <c r="G336" s="105">
        <f>Tabell3[[#This Row],[Såld värme (GWh)]]-Tabell3[[#This Row],[Levererad värme, andra fjärrvärmeföretag, företag 1 (GWh)]]-Tabell3[[#This Row],[Levererad värme, andra fjärrvärmeföretag, företag 2 (GWh)]]-Tabell3[[#This Row],[Levererad värme, andra fjärrvärmeföretag, företag 3 (GWh)]]</f>
        <v>19.093</v>
      </c>
      <c r="H336" s="102" t="str">
        <f>VLOOKUP(Tabell3[[#This Row],[Nät]],Tabell5[],2,FALSE)</f>
        <v>Askersund</v>
      </c>
      <c r="I336" t="str">
        <f>VLOOKUP(Tabell3[[#This Row],[Nät]],'Leveranser per nät'!A:A,1,FALSE)</f>
        <v>Askersund</v>
      </c>
    </row>
    <row r="337" spans="1:9" x14ac:dyDescent="0.25">
      <c r="A337" t="s">
        <v>1002</v>
      </c>
      <c r="B337" t="s">
        <v>339</v>
      </c>
      <c r="C337" s="101">
        <v>452.48099999999999</v>
      </c>
      <c r="G337" s="105">
        <f>Tabell3[[#This Row],[Såld värme (GWh)]]-Tabell3[[#This Row],[Levererad värme, andra fjärrvärmeföretag, företag 1 (GWh)]]-Tabell3[[#This Row],[Levererad värme, andra fjärrvärmeföretag, företag 2 (GWh)]]-Tabell3[[#This Row],[Levererad värme, andra fjärrvärmeföretag, företag 3 (GWh)]]</f>
        <v>452.48099999999999</v>
      </c>
      <c r="H337" s="102" t="str">
        <f>VLOOKUP(Tabell3[[#This Row],[Nät]],Tabell5[],2,FALSE)</f>
        <v>Drefviken</v>
      </c>
      <c r="I337" t="str">
        <f>VLOOKUP(Tabell3[[#This Row],[Nät]],'Leveranser per nät'!A:A,1,FALSE)</f>
        <v>Drefviken</v>
      </c>
    </row>
    <row r="338" spans="1:9" x14ac:dyDescent="0.25">
      <c r="A338" t="s">
        <v>1002</v>
      </c>
      <c r="B338" t="s">
        <v>340</v>
      </c>
      <c r="C338" s="101">
        <v>65.201999999999998</v>
      </c>
      <c r="G338" s="105">
        <f>Tabell3[[#This Row],[Såld värme (GWh)]]-Tabell3[[#This Row],[Levererad värme, andra fjärrvärmeföretag, företag 1 (GWh)]]-Tabell3[[#This Row],[Levererad värme, andra fjärrvärmeföretag, företag 2 (GWh)]]-Tabell3[[#This Row],[Levererad värme, andra fjärrvärmeföretag, företag 3 (GWh)]]</f>
        <v>65.201999999999998</v>
      </c>
      <c r="H338" s="102" t="str">
        <f>VLOOKUP(Tabell3[[#This Row],[Nät]],Tabell5[],2,FALSE)</f>
        <v>Gustavsberg</v>
      </c>
      <c r="I338" t="str">
        <f>VLOOKUP(Tabell3[[#This Row],[Nät]],'Leveranser per nät'!A:A,1,FALSE)</f>
        <v>Gustavsberg</v>
      </c>
    </row>
    <row r="339" spans="1:9" x14ac:dyDescent="0.25">
      <c r="A339" t="s">
        <v>1002</v>
      </c>
      <c r="B339" t="s">
        <v>1098</v>
      </c>
      <c r="C339" s="101">
        <v>52.908999999999999</v>
      </c>
      <c r="D339">
        <v>5.7160000000000002</v>
      </c>
      <c r="G339" s="105">
        <f>Tabell3[[#This Row],[Såld värme (GWh)]]-Tabell3[[#This Row],[Levererad värme, andra fjärrvärmeföretag, företag 1 (GWh)]]-Tabell3[[#This Row],[Levererad värme, andra fjärrvärmeföretag, företag 2 (GWh)]]-Tabell3[[#This Row],[Levererad värme, andra fjärrvärmeföretag, företag 3 (GWh)]]</f>
        <v>47.192999999999998</v>
      </c>
      <c r="H339" s="102" t="str">
        <f>VLOOKUP(Tabell3[[#This Row],[Nät]],Tabell5[],2,FALSE)</f>
        <v>Knivsta</v>
      </c>
      <c r="I339" t="e">
        <f>VLOOKUP(Tabell3[[#This Row],[Nät]],'Leveranser per nät'!A:A,1,FALSE)</f>
        <v>#N/A</v>
      </c>
    </row>
    <row r="340" spans="1:9" x14ac:dyDescent="0.25">
      <c r="A340" t="s">
        <v>1002</v>
      </c>
      <c r="B340" t="s">
        <v>336</v>
      </c>
      <c r="C340" s="101">
        <v>143.173</v>
      </c>
      <c r="G340" s="105">
        <f>Tabell3[[#This Row],[Såld värme (GWh)]]-Tabell3[[#This Row],[Levererad värme, andra fjärrvärmeföretag, företag 1 (GWh)]]-Tabell3[[#This Row],[Levererad värme, andra fjärrvärmeföretag, företag 2 (GWh)]]-Tabell3[[#This Row],[Levererad värme, andra fjärrvärmeföretag, företag 3 (GWh)]]</f>
        <v>143.173</v>
      </c>
      <c r="H340" s="102" t="str">
        <f>VLOOKUP(Tabell3[[#This Row],[Nät]],Tabell5[],2,FALSE)</f>
        <v>Motala</v>
      </c>
      <c r="I340" t="str">
        <f>VLOOKUP(Tabell3[[#This Row],[Nät]],'Leveranser per nät'!A:A,1,FALSE)</f>
        <v>Motala</v>
      </c>
    </row>
    <row r="341" spans="1:9" x14ac:dyDescent="0.25">
      <c r="A341" t="s">
        <v>1002</v>
      </c>
      <c r="B341" t="s">
        <v>337</v>
      </c>
      <c r="C341" s="101">
        <v>261.93</v>
      </c>
      <c r="G341" s="105">
        <f>Tabell3[[#This Row],[Såld värme (GWh)]]-Tabell3[[#This Row],[Levererad värme, andra fjärrvärmeföretag, företag 1 (GWh)]]-Tabell3[[#This Row],[Levererad värme, andra fjärrvärmeföretag, företag 2 (GWh)]]-Tabell3[[#This Row],[Levererad värme, andra fjärrvärmeföretag, företag 3 (GWh)]]</f>
        <v>261.93</v>
      </c>
      <c r="H341" s="102" t="str">
        <f>VLOOKUP(Tabell3[[#This Row],[Nät]],Tabell5[],2,FALSE)</f>
        <v>Nyköping</v>
      </c>
      <c r="I341" t="str">
        <f>VLOOKUP(Tabell3[[#This Row],[Nät]],'Leveranser per nät'!A:A,1,FALSE)</f>
        <v>Nyköping</v>
      </c>
    </row>
    <row r="342" spans="1:9" x14ac:dyDescent="0.25">
      <c r="A342" t="s">
        <v>1002</v>
      </c>
      <c r="B342" t="s">
        <v>342</v>
      </c>
      <c r="C342" s="101">
        <v>25.696000000000002</v>
      </c>
      <c r="G342" s="105">
        <f>Tabell3[[#This Row],[Såld värme (GWh)]]-Tabell3[[#This Row],[Levererad värme, andra fjärrvärmeföretag, företag 1 (GWh)]]-Tabell3[[#This Row],[Levererad värme, andra fjärrvärmeföretag, företag 2 (GWh)]]-Tabell3[[#This Row],[Levererad värme, andra fjärrvärmeföretag, företag 3 (GWh)]]</f>
        <v>25.696000000000002</v>
      </c>
      <c r="H342" s="102" t="str">
        <f>VLOOKUP(Tabell3[[#This Row],[Nät]],Tabell5[],2,FALSE)</f>
        <v>Saltsjöbaden</v>
      </c>
      <c r="I342" t="str">
        <f>VLOOKUP(Tabell3[[#This Row],[Nät]],'Leveranser per nät'!A:A,1,FALSE)</f>
        <v>Saltsjöbaden</v>
      </c>
    </row>
    <row r="343" spans="1:9" x14ac:dyDescent="0.25">
      <c r="A343" t="s">
        <v>1002</v>
      </c>
      <c r="B343" t="s">
        <v>343</v>
      </c>
      <c r="C343" s="101">
        <v>14.379</v>
      </c>
      <c r="G343" s="105">
        <f>Tabell3[[#This Row],[Såld värme (GWh)]]-Tabell3[[#This Row],[Levererad värme, andra fjärrvärmeföretag, företag 1 (GWh)]]-Tabell3[[#This Row],[Levererad värme, andra fjärrvärmeföretag, företag 2 (GWh)]]-Tabell3[[#This Row],[Levererad värme, andra fjärrvärmeföretag, företag 3 (GWh)]]</f>
        <v>14.379</v>
      </c>
      <c r="H343" s="102" t="str">
        <f>VLOOKUP(Tabell3[[#This Row],[Nät]],Tabell5[],2,FALSE)</f>
        <v>Storvreta</v>
      </c>
      <c r="I343" t="str">
        <f>VLOOKUP(Tabell3[[#This Row],[Nät]],'Leveranser per nät'!A:A,1,FALSE)</f>
        <v>Storvreta</v>
      </c>
    </row>
    <row r="344" spans="1:9" x14ac:dyDescent="0.25">
      <c r="A344" t="s">
        <v>1002</v>
      </c>
      <c r="B344" t="s">
        <v>335</v>
      </c>
      <c r="C344" s="101">
        <v>1289.133</v>
      </c>
      <c r="G344" s="105">
        <f>Tabell3[[#This Row],[Såld värme (GWh)]]-Tabell3[[#This Row],[Levererad värme, andra fjärrvärmeföretag, företag 1 (GWh)]]-Tabell3[[#This Row],[Levererad värme, andra fjärrvärmeföretag, företag 2 (GWh)]]-Tabell3[[#This Row],[Levererad värme, andra fjärrvärmeföretag, företag 3 (GWh)]]</f>
        <v>1289.133</v>
      </c>
      <c r="H344" s="102" t="str">
        <f>VLOOKUP(Tabell3[[#This Row],[Nät]],Tabell5[],2,FALSE)</f>
        <v>Uppsala</v>
      </c>
      <c r="I344" t="str">
        <f>VLOOKUP(Tabell3[[#This Row],[Nät]],'Leveranser per nät'!A:A,1,FALSE)</f>
        <v>Uppsala</v>
      </c>
    </row>
    <row r="345" spans="1:9" x14ac:dyDescent="0.25">
      <c r="A345" t="s">
        <v>1002</v>
      </c>
      <c r="B345" t="s">
        <v>338</v>
      </c>
      <c r="C345" s="101">
        <v>196.64099999999999</v>
      </c>
      <c r="D345">
        <v>66.7</v>
      </c>
      <c r="G345" s="105">
        <f>Tabell3[[#This Row],[Såld värme (GWh)]]-Tabell3[[#This Row],[Levererad värme, andra fjärrvärmeföretag, företag 1 (GWh)]]-Tabell3[[#This Row],[Levererad värme, andra fjärrvärmeföretag, företag 2 (GWh)]]-Tabell3[[#This Row],[Levererad värme, andra fjärrvärmeföretag, företag 3 (GWh)]]</f>
        <v>129.94099999999997</v>
      </c>
      <c r="H345" s="102" t="str">
        <f>VLOOKUP(Tabell3[[#This Row],[Nät]],Tabell5[],2,FALSE)</f>
        <v>Vänersborg</v>
      </c>
      <c r="I345" t="str">
        <f>VLOOKUP(Tabell3[[#This Row],[Nät]],'Leveranser per nät'!A:A,1,FALSE)</f>
        <v>Vänersborg</v>
      </c>
    </row>
    <row r="346" spans="1:9" x14ac:dyDescent="0.25">
      <c r="A346" t="s">
        <v>904</v>
      </c>
      <c r="B346" t="s">
        <v>905</v>
      </c>
      <c r="C346" s="101" t="s">
        <v>805</v>
      </c>
      <c r="D346" t="s">
        <v>805</v>
      </c>
      <c r="E346" t="s">
        <v>805</v>
      </c>
      <c r="F346" t="s">
        <v>805</v>
      </c>
      <c r="G346" s="105" t="e">
        <f>Tabell3[[#This Row],[Såld värme (GWh)]]-Tabell3[[#This Row],[Levererad värme, andra fjärrvärmeföretag, företag 1 (GWh)]]-Tabell3[[#This Row],[Levererad värme, andra fjärrvärmeföretag, företag 2 (GWh)]]-Tabell3[[#This Row],[Levererad värme, andra fjärrvärmeföretag, företag 3 (GWh)]]</f>
        <v>#VALUE!</v>
      </c>
      <c r="H346" s="102" t="str">
        <f>VLOOKUP(Tabell3[[#This Row],[Nät]],Tabell5[],2,FALSE)</f>
        <v>Ekerö</v>
      </c>
      <c r="I346" t="str">
        <f>VLOOKUP(Tabell3[[#This Row],[Nät]],'Leveranser per nät'!A:A,1,FALSE)</f>
        <v>Ekerö</v>
      </c>
    </row>
    <row r="347" spans="1:9" x14ac:dyDescent="0.25">
      <c r="A347" t="s">
        <v>904</v>
      </c>
      <c r="B347" t="s">
        <v>341</v>
      </c>
      <c r="C347" s="101" t="s">
        <v>805</v>
      </c>
      <c r="D347" t="s">
        <v>805</v>
      </c>
      <c r="E347" t="s">
        <v>805</v>
      </c>
      <c r="F347" t="s">
        <v>805</v>
      </c>
      <c r="G347" s="105" t="e">
        <f>Tabell3[[#This Row],[Såld värme (GWh)]]-Tabell3[[#This Row],[Levererad värme, andra fjärrvärmeföretag, företag 1 (GWh)]]-Tabell3[[#This Row],[Levererad värme, andra fjärrvärmeföretag, företag 2 (GWh)]]-Tabell3[[#This Row],[Levererad värme, andra fjärrvärmeföretag, företag 3 (GWh)]]</f>
        <v>#VALUE!</v>
      </c>
      <c r="H347" s="102" t="e">
        <f>VLOOKUP(Tabell3[[#This Row],[Nät]],Tabell5[],2,FALSE)</f>
        <v>#N/A</v>
      </c>
      <c r="I347" t="str">
        <f>VLOOKUP(Tabell3[[#This Row],[Nät]],'Leveranser per nät'!A:A,1,FALSE)</f>
        <v>Knivsta</v>
      </c>
    </row>
    <row r="348" spans="1:9" x14ac:dyDescent="0.25">
      <c r="A348" t="s">
        <v>605</v>
      </c>
      <c r="B348" t="s">
        <v>351</v>
      </c>
      <c r="C348" s="101">
        <v>3.51</v>
      </c>
      <c r="G348" s="105">
        <f>Tabell3[[#This Row],[Såld värme (GWh)]]-Tabell3[[#This Row],[Levererad värme, andra fjärrvärmeföretag, företag 1 (GWh)]]-Tabell3[[#This Row],[Levererad värme, andra fjärrvärmeföretag, företag 2 (GWh)]]-Tabell3[[#This Row],[Levererad värme, andra fjärrvärmeföretag, företag 3 (GWh)]]</f>
        <v>3.51</v>
      </c>
      <c r="H348" s="102" t="str">
        <f>VLOOKUP(Tabell3[[#This Row],[Nät]],Tabell5[],2,FALSE)</f>
        <v>Frödinge</v>
      </c>
      <c r="I348" t="str">
        <f>VLOOKUP(Tabell3[[#This Row],[Nät]],'Leveranser per nät'!A:A,1,FALSE)</f>
        <v>Frödinge</v>
      </c>
    </row>
    <row r="349" spans="1:9" x14ac:dyDescent="0.25">
      <c r="A349" t="s">
        <v>605</v>
      </c>
      <c r="B349" t="s">
        <v>352</v>
      </c>
      <c r="C349" s="101">
        <v>3.8069999999999999</v>
      </c>
      <c r="G349" s="105">
        <f>Tabell3[[#This Row],[Såld värme (GWh)]]-Tabell3[[#This Row],[Levererad värme, andra fjärrvärmeföretag, företag 1 (GWh)]]-Tabell3[[#This Row],[Levererad värme, andra fjärrvärmeföretag, företag 2 (GWh)]]-Tabell3[[#This Row],[Levererad värme, andra fjärrvärmeföretag, företag 3 (GWh)]]</f>
        <v>3.8069999999999999</v>
      </c>
      <c r="H349" s="102" t="str">
        <f>VLOOKUP(Tabell3[[#This Row],[Nät]],Tabell5[],2,FALSE)</f>
        <v>Gullringen</v>
      </c>
      <c r="I349" t="str">
        <f>VLOOKUP(Tabell3[[#This Row],[Nät]],'Leveranser per nät'!A:A,1,FALSE)</f>
        <v>Gullringen</v>
      </c>
    </row>
    <row r="350" spans="1:9" x14ac:dyDescent="0.25">
      <c r="A350" t="s">
        <v>605</v>
      </c>
      <c r="B350" t="s">
        <v>353</v>
      </c>
      <c r="C350" s="101">
        <v>6.6470000000000002</v>
      </c>
      <c r="G350" s="105">
        <f>Tabell3[[#This Row],[Såld värme (GWh)]]-Tabell3[[#This Row],[Levererad värme, andra fjärrvärmeföretag, företag 1 (GWh)]]-Tabell3[[#This Row],[Levererad värme, andra fjärrvärmeföretag, företag 2 (GWh)]]-Tabell3[[#This Row],[Levererad värme, andra fjärrvärmeföretag, företag 3 (GWh)]]</f>
        <v>6.6470000000000002</v>
      </c>
      <c r="H350" s="102" t="str">
        <f>VLOOKUP(Tabell3[[#This Row],[Nät]],Tabell5[],2,FALSE)</f>
        <v>Storebro</v>
      </c>
      <c r="I350" t="str">
        <f>VLOOKUP(Tabell3[[#This Row],[Nät]],'Leveranser per nät'!A:A,1,FALSE)</f>
        <v>Storebro</v>
      </c>
    </row>
    <row r="351" spans="1:9" x14ac:dyDescent="0.25">
      <c r="A351" t="s">
        <v>605</v>
      </c>
      <c r="B351" t="s">
        <v>391</v>
      </c>
      <c r="C351" s="101">
        <v>11.372</v>
      </c>
      <c r="G351" s="105">
        <f>Tabell3[[#This Row],[Såld värme (GWh)]]-Tabell3[[#This Row],[Levererad värme, andra fjärrvärmeföretag, företag 1 (GWh)]]-Tabell3[[#This Row],[Levererad värme, andra fjärrvärmeföretag, företag 2 (GWh)]]-Tabell3[[#This Row],[Levererad värme, andra fjärrvärmeföretag, företag 3 (GWh)]]</f>
        <v>11.372</v>
      </c>
      <c r="H351" s="102" t="str">
        <f>VLOOKUP(Tabell3[[#This Row],[Nät]],Tabell5[],2,FALSE)</f>
        <v>Södra Vi</v>
      </c>
      <c r="I351" t="str">
        <f>VLOOKUP(Tabell3[[#This Row],[Nät]],'Leveranser per nät'!A:A,1,FALSE)</f>
        <v>Södra Vi</v>
      </c>
    </row>
    <row r="352" spans="1:9" x14ac:dyDescent="0.25">
      <c r="A352" t="s">
        <v>605</v>
      </c>
      <c r="B352" t="s">
        <v>350</v>
      </c>
      <c r="C352" s="101">
        <v>103.509</v>
      </c>
      <c r="G352" s="105">
        <f>Tabell3[[#This Row],[Såld värme (GWh)]]-Tabell3[[#This Row],[Levererad värme, andra fjärrvärmeföretag, företag 1 (GWh)]]-Tabell3[[#This Row],[Levererad värme, andra fjärrvärmeföretag, företag 2 (GWh)]]-Tabell3[[#This Row],[Levererad värme, andra fjärrvärmeföretag, företag 3 (GWh)]]</f>
        <v>103.509</v>
      </c>
      <c r="H352" s="102" t="str">
        <f>VLOOKUP(Tabell3[[#This Row],[Nät]],Tabell5[],2,FALSE)</f>
        <v>Vimmerby</v>
      </c>
      <c r="I352" t="str">
        <f>VLOOKUP(Tabell3[[#This Row],[Nät]],'Leveranser per nät'!A:A,1,FALSE)</f>
        <v>Vimmerby</v>
      </c>
    </row>
    <row r="353" spans="1:9" x14ac:dyDescent="0.25">
      <c r="A353" t="s">
        <v>1004</v>
      </c>
      <c r="B353" t="s">
        <v>405</v>
      </c>
      <c r="C353" s="101">
        <v>2.23</v>
      </c>
      <c r="G353" s="105">
        <f>Tabell3[[#This Row],[Såld värme (GWh)]]-Tabell3[[#This Row],[Levererad värme, andra fjärrvärmeföretag, företag 1 (GWh)]]-Tabell3[[#This Row],[Levererad värme, andra fjärrvärmeföretag, företag 2 (GWh)]]-Tabell3[[#This Row],[Levererad värme, andra fjärrvärmeföretag, företag 3 (GWh)]]</f>
        <v>2.23</v>
      </c>
      <c r="H353" s="102" t="str">
        <f>VLOOKUP(Tabell3[[#This Row],[Nät]],Tabell5[],2,FALSE)</f>
        <v>Lyrestad</v>
      </c>
      <c r="I353" t="str">
        <f>VLOOKUP(Tabell3[[#This Row],[Nät]],'Leveranser per nät'!A:A,1,FALSE)</f>
        <v>Lyrestad</v>
      </c>
    </row>
    <row r="354" spans="1:9" x14ac:dyDescent="0.25">
      <c r="A354" t="s">
        <v>1004</v>
      </c>
      <c r="B354" t="s">
        <v>202</v>
      </c>
      <c r="C354" s="101">
        <v>125.908</v>
      </c>
      <c r="G354" s="105">
        <f>Tabell3[[#This Row],[Såld värme (GWh)]]-Tabell3[[#This Row],[Levererad värme, andra fjärrvärmeföretag, företag 1 (GWh)]]-Tabell3[[#This Row],[Levererad värme, andra fjärrvärmeföretag, företag 2 (GWh)]]-Tabell3[[#This Row],[Levererad värme, andra fjärrvärmeföretag, företag 3 (GWh)]]</f>
        <v>125.908</v>
      </c>
      <c r="H354" s="102" t="str">
        <f>VLOOKUP(Tabell3[[#This Row],[Nät]],Tabell5[],2,FALSE)</f>
        <v>Mariestad</v>
      </c>
      <c r="I354" t="str">
        <f>VLOOKUP(Tabell3[[#This Row],[Nät]],'Leveranser per nät'!A:A,1,FALSE)</f>
        <v>Mariestad</v>
      </c>
    </row>
    <row r="355" spans="1:9" x14ac:dyDescent="0.25">
      <c r="A355" t="s">
        <v>1004</v>
      </c>
      <c r="B355" t="s">
        <v>430</v>
      </c>
      <c r="C355" s="101">
        <v>24.553999999999998</v>
      </c>
      <c r="G355" s="105">
        <f>Tabell3[[#This Row],[Såld värme (GWh)]]-Tabell3[[#This Row],[Levererad värme, andra fjärrvärmeföretag, företag 1 (GWh)]]-Tabell3[[#This Row],[Levererad värme, andra fjärrvärmeföretag, företag 2 (GWh)]]-Tabell3[[#This Row],[Levererad värme, andra fjärrvärmeföretag, företag 3 (GWh)]]</f>
        <v>24.553999999999998</v>
      </c>
      <c r="H355" s="102" t="str">
        <f>VLOOKUP(Tabell3[[#This Row],[Nät]],Tabell5[],2,FALSE)</f>
        <v>Töreboda</v>
      </c>
      <c r="I355" t="str">
        <f>VLOOKUP(Tabell3[[#This Row],[Nät]],'Leveranser per nät'!A:A,1,FALSE)</f>
        <v>Töreboda</v>
      </c>
    </row>
    <row r="356" spans="1:9" x14ac:dyDescent="0.25">
      <c r="A356" t="s">
        <v>558</v>
      </c>
      <c r="B356" t="s">
        <v>118</v>
      </c>
      <c r="C356" s="101">
        <v>127.65</v>
      </c>
      <c r="G356" s="105">
        <f>Tabell3[[#This Row],[Såld värme (GWh)]]-Tabell3[[#This Row],[Levererad värme, andra fjärrvärmeföretag, företag 1 (GWh)]]-Tabell3[[#This Row],[Levererad värme, andra fjärrvärmeföretag, företag 2 (GWh)]]-Tabell3[[#This Row],[Levererad värme, andra fjärrvärmeföretag, företag 3 (GWh)]]</f>
        <v>127.65</v>
      </c>
      <c r="H356" s="102" t="str">
        <f>VLOOKUP(Tabell3[[#This Row],[Nät]],Tabell5[],2,FALSE)</f>
        <v>Avesta</v>
      </c>
      <c r="I356" t="str">
        <f>VLOOKUP(Tabell3[[#This Row],[Nät]],'Leveranser per nät'!A:A,1,FALSE)</f>
        <v>Avesta</v>
      </c>
    </row>
    <row r="357" spans="1:9" x14ac:dyDescent="0.25">
      <c r="A357" t="s">
        <v>558</v>
      </c>
      <c r="B357" t="s">
        <v>115</v>
      </c>
      <c r="C357" s="101">
        <v>14.688000000000001</v>
      </c>
      <c r="G357" s="105">
        <f>Tabell3[[#This Row],[Såld värme (GWh)]]-Tabell3[[#This Row],[Levererad värme, andra fjärrvärmeföretag, företag 1 (GWh)]]-Tabell3[[#This Row],[Levererad värme, andra fjärrvärmeföretag, företag 2 (GWh)]]-Tabell3[[#This Row],[Levererad värme, andra fjärrvärmeföretag, företag 3 (GWh)]]</f>
        <v>14.688000000000001</v>
      </c>
      <c r="H357" s="102" t="str">
        <f>VLOOKUP(Tabell3[[#This Row],[Nät]],Tabell5[],2,FALSE)</f>
        <v>Delsbo</v>
      </c>
      <c r="I357" t="str">
        <f>VLOOKUP(Tabell3[[#This Row],[Nät]],'Leveranser per nät'!A:A,1,FALSE)</f>
        <v>Delsbo</v>
      </c>
    </row>
    <row r="358" spans="1:9" x14ac:dyDescent="0.25">
      <c r="A358" t="s">
        <v>558</v>
      </c>
      <c r="B358" t="s">
        <v>123</v>
      </c>
      <c r="C358" s="101">
        <v>22.847999999999999</v>
      </c>
      <c r="G358" s="105">
        <f>Tabell3[[#This Row],[Såld värme (GWh)]]-Tabell3[[#This Row],[Levererad värme, andra fjärrvärmeföretag, företag 1 (GWh)]]-Tabell3[[#This Row],[Levererad värme, andra fjärrvärmeföretag, företag 2 (GWh)]]-Tabell3[[#This Row],[Levererad värme, andra fjärrvärmeföretag, företag 3 (GWh)]]</f>
        <v>22.847999999999999</v>
      </c>
      <c r="H358" s="102" t="str">
        <f>VLOOKUP(Tabell3[[#This Row],[Nät]],Tabell5[],2,FALSE)</f>
        <v>Grums</v>
      </c>
      <c r="I358" t="str">
        <f>VLOOKUP(Tabell3[[#This Row],[Nät]],'Leveranser per nät'!A:A,1,FALSE)</f>
        <v>Grums</v>
      </c>
    </row>
    <row r="359" spans="1:9" x14ac:dyDescent="0.25">
      <c r="A359" t="s">
        <v>558</v>
      </c>
      <c r="B359" t="s">
        <v>124</v>
      </c>
      <c r="C359" s="101">
        <v>5.5330000000000004</v>
      </c>
      <c r="G359" s="105">
        <f>Tabell3[[#This Row],[Såld värme (GWh)]]-Tabell3[[#This Row],[Levererad värme, andra fjärrvärmeföretag, företag 1 (GWh)]]-Tabell3[[#This Row],[Levererad värme, andra fjärrvärmeföretag, företag 2 (GWh)]]-Tabell3[[#This Row],[Levererad värme, andra fjärrvärmeföretag, företag 3 (GWh)]]</f>
        <v>5.5330000000000004</v>
      </c>
      <c r="H359" s="102" t="str">
        <f>VLOOKUP(Tabell3[[#This Row],[Nät]],Tabell5[],2,FALSE)</f>
        <v>Grythyttan</v>
      </c>
      <c r="I359" t="str">
        <f>VLOOKUP(Tabell3[[#This Row],[Nät]],'Leveranser per nät'!A:A,1,FALSE)</f>
        <v>Grythyttan</v>
      </c>
    </row>
    <row r="360" spans="1:9" x14ac:dyDescent="0.25">
      <c r="A360" t="s">
        <v>558</v>
      </c>
      <c r="B360" t="s">
        <v>629</v>
      </c>
      <c r="C360" s="101">
        <v>91.608000000000004</v>
      </c>
      <c r="G360" s="105">
        <f>Tabell3[[#This Row],[Såld värme (GWh)]]-Tabell3[[#This Row],[Levererad värme, andra fjärrvärmeföretag, företag 1 (GWh)]]-Tabell3[[#This Row],[Levererad värme, andra fjärrvärmeföretag, företag 2 (GWh)]]-Tabell3[[#This Row],[Levererad värme, andra fjärrvärmeföretag, företag 3 (GWh)]]</f>
        <v>91.608000000000004</v>
      </c>
      <c r="H360" s="102" t="str">
        <f>VLOOKUP(Tabell3[[#This Row],[Nät]],Tabell5[],2,FALSE)</f>
        <v>Hofors</v>
      </c>
      <c r="I360" t="e">
        <f>VLOOKUP(Tabell3[[#This Row],[Nät]],'Leveranser per nät'!A:A,1,FALSE)</f>
        <v>#N/A</v>
      </c>
    </row>
    <row r="361" spans="1:9" x14ac:dyDescent="0.25">
      <c r="A361" t="s">
        <v>558</v>
      </c>
      <c r="B361" t="s">
        <v>117</v>
      </c>
      <c r="C361" s="101">
        <v>118.883</v>
      </c>
      <c r="G361" s="105">
        <f>Tabell3[[#This Row],[Såld värme (GWh)]]-Tabell3[[#This Row],[Levererad värme, andra fjärrvärmeföretag, företag 1 (GWh)]]-Tabell3[[#This Row],[Levererad värme, andra fjärrvärmeföretag, företag 2 (GWh)]]-Tabell3[[#This Row],[Levererad värme, andra fjärrvärmeföretag, företag 3 (GWh)]]</f>
        <v>118.883</v>
      </c>
      <c r="H361" s="102" t="str">
        <f>VLOOKUP(Tabell3[[#This Row],[Nät]],Tabell5[],2,FALSE)</f>
        <v>Hudiksvall</v>
      </c>
      <c r="I361" t="str">
        <f>VLOOKUP(Tabell3[[#This Row],[Nät]],'Leveranser per nät'!A:A,1,FALSE)</f>
        <v>Hudiksvall</v>
      </c>
    </row>
    <row r="362" spans="1:9" x14ac:dyDescent="0.25">
      <c r="A362" t="s">
        <v>558</v>
      </c>
      <c r="B362" t="s">
        <v>125</v>
      </c>
      <c r="C362" s="101">
        <v>32.707000000000001</v>
      </c>
      <c r="G362" s="105">
        <f>Tabell3[[#This Row],[Såld värme (GWh)]]-Tabell3[[#This Row],[Levererad värme, andra fjärrvärmeföretag, företag 1 (GWh)]]-Tabell3[[#This Row],[Levererad värme, andra fjärrvärmeföretag, företag 2 (GWh)]]-Tabell3[[#This Row],[Levererad värme, andra fjärrvärmeföretag, företag 3 (GWh)]]</f>
        <v>32.707000000000001</v>
      </c>
      <c r="H362" s="102" t="str">
        <f>VLOOKUP(Tabell3[[#This Row],[Nät]],Tabell5[],2,FALSE)</f>
        <v>Hällefors</v>
      </c>
      <c r="I362" t="str">
        <f>VLOOKUP(Tabell3[[#This Row],[Nät]],'Leveranser per nät'!A:A,1,FALSE)</f>
        <v>Hällefors</v>
      </c>
    </row>
    <row r="363" spans="1:9" x14ac:dyDescent="0.25">
      <c r="A363" t="s">
        <v>558</v>
      </c>
      <c r="B363" t="s">
        <v>489</v>
      </c>
      <c r="C363" s="101">
        <v>15.672000000000001</v>
      </c>
      <c r="G363" s="105">
        <f>Tabell3[[#This Row],[Såld värme (GWh)]]-Tabell3[[#This Row],[Levererad värme, andra fjärrvärmeföretag, företag 1 (GWh)]]-Tabell3[[#This Row],[Levererad värme, andra fjärrvärmeföretag, företag 2 (GWh)]]-Tabell3[[#This Row],[Levererad värme, andra fjärrvärmeföretag, företag 3 (GWh)]]</f>
        <v>15.672000000000001</v>
      </c>
      <c r="H363" s="102" t="str">
        <f>VLOOKUP(Tabell3[[#This Row],[Nät]],Tabell5[],2,FALSE)</f>
        <v>Iggesund</v>
      </c>
      <c r="I363" t="str">
        <f>VLOOKUP(Tabell3[[#This Row],[Nät]],'Leveranser per nät'!A:A,1,FALSE)</f>
        <v>Iggesund</v>
      </c>
    </row>
    <row r="364" spans="1:9" x14ac:dyDescent="0.25">
      <c r="A364" t="s">
        <v>558</v>
      </c>
      <c r="B364" t="s">
        <v>126</v>
      </c>
      <c r="C364" s="101">
        <v>10.991</v>
      </c>
      <c r="G364" s="105">
        <f>Tabell3[[#This Row],[Såld värme (GWh)]]-Tabell3[[#This Row],[Levererad värme, andra fjärrvärmeföretag, företag 1 (GWh)]]-Tabell3[[#This Row],[Levererad värme, andra fjärrvärmeföretag, företag 2 (GWh)]]-Tabell3[[#This Row],[Levererad värme, andra fjärrvärmeföretag, företag 3 (GWh)]]</f>
        <v>10.991</v>
      </c>
      <c r="H364" s="102" t="str">
        <f>VLOOKUP(Tabell3[[#This Row],[Nät]],Tabell5[],2,FALSE)</f>
        <v>Kopparberg</v>
      </c>
      <c r="I364" t="str">
        <f>VLOOKUP(Tabell3[[#This Row],[Nät]],'Leveranser per nät'!A:A,1,FALSE)</f>
        <v>Kopparberg</v>
      </c>
    </row>
    <row r="365" spans="1:9" x14ac:dyDescent="0.25">
      <c r="A365" t="s">
        <v>558</v>
      </c>
      <c r="B365" t="s">
        <v>654</v>
      </c>
      <c r="C365" s="101">
        <v>89.936000000000007</v>
      </c>
      <c r="G365" s="105">
        <f>Tabell3[[#This Row],[Såld värme (GWh)]]-Tabell3[[#This Row],[Levererad värme, andra fjärrvärmeföretag, företag 1 (GWh)]]-Tabell3[[#This Row],[Levererad värme, andra fjärrvärmeföretag, företag 2 (GWh)]]-Tabell3[[#This Row],[Levererad värme, andra fjärrvärmeföretag, företag 3 (GWh)]]</f>
        <v>89.936000000000007</v>
      </c>
      <c r="H365" s="102" t="str">
        <f>VLOOKUP(Tabell3[[#This Row],[Nät]],Tabell5[],2,FALSE)</f>
        <v>Kristinehamn</v>
      </c>
      <c r="I365" t="e">
        <f>VLOOKUP(Tabell3[[#This Row],[Nät]],'Leveranser per nät'!A:A,1,FALSE)</f>
        <v>#N/A</v>
      </c>
    </row>
    <row r="366" spans="1:9" x14ac:dyDescent="0.25">
      <c r="A366" t="s">
        <v>558</v>
      </c>
      <c r="B366" t="s">
        <v>121</v>
      </c>
      <c r="C366" s="101">
        <v>66.548000000000002</v>
      </c>
      <c r="G366" s="105">
        <f>Tabell3[[#This Row],[Såld värme (GWh)]]-Tabell3[[#This Row],[Levererad värme, andra fjärrvärmeföretag, företag 1 (GWh)]]-Tabell3[[#This Row],[Levererad värme, andra fjärrvärmeföretag, företag 2 (GWh)]]-Tabell3[[#This Row],[Levererad värme, andra fjärrvärmeföretag, företag 3 (GWh)]]</f>
        <v>66.548000000000002</v>
      </c>
      <c r="H366" s="102" t="str">
        <f>VLOOKUP(Tabell3[[#This Row],[Nät]],Tabell5[],2,FALSE)</f>
        <v>Nynäshamn</v>
      </c>
      <c r="I366" t="str">
        <f>VLOOKUP(Tabell3[[#This Row],[Nät]],'Leveranser per nät'!A:A,1,FALSE)</f>
        <v>Nynäshamn</v>
      </c>
    </row>
    <row r="367" spans="1:9" x14ac:dyDescent="0.25">
      <c r="A367" t="s">
        <v>558</v>
      </c>
      <c r="B367" t="s">
        <v>128</v>
      </c>
      <c r="C367" s="101">
        <v>1.7</v>
      </c>
      <c r="G367" s="105">
        <f>Tabell3[[#This Row],[Såld värme (GWh)]]-Tabell3[[#This Row],[Levererad värme, andra fjärrvärmeföretag, företag 1 (GWh)]]-Tabell3[[#This Row],[Levererad värme, andra fjärrvärmeföretag, företag 2 (GWh)]]-Tabell3[[#This Row],[Levererad värme, andra fjärrvärmeföretag, företag 3 (GWh)]]</f>
        <v>1.7</v>
      </c>
      <c r="H367" s="102" t="str">
        <f>VLOOKUP(Tabell3[[#This Row],[Nät]],Tabell5[],2,FALSE)</f>
        <v>Stöllet</v>
      </c>
      <c r="I367" t="str">
        <f>VLOOKUP(Tabell3[[#This Row],[Nät]],'Leveranser per nät'!A:A,1,FALSE)</f>
        <v>Stöllet</v>
      </c>
    </row>
    <row r="368" spans="1:9" x14ac:dyDescent="0.25">
      <c r="A368" t="s">
        <v>558</v>
      </c>
      <c r="B368" t="s">
        <v>714</v>
      </c>
      <c r="C368" s="101">
        <v>47.171999999999997</v>
      </c>
      <c r="G368" s="105">
        <f>Tabell3[[#This Row],[Såld värme (GWh)]]-Tabell3[[#This Row],[Levererad värme, andra fjärrvärmeföretag, företag 1 (GWh)]]-Tabell3[[#This Row],[Levererad värme, andra fjärrvärmeföretag, företag 2 (GWh)]]-Tabell3[[#This Row],[Levererad värme, andra fjärrvärmeföretag, företag 3 (GWh)]]</f>
        <v>47.171999999999997</v>
      </c>
      <c r="H368" s="102" t="str">
        <f>VLOOKUP(Tabell3[[#This Row],[Nät]],Tabell5[],2,FALSE)</f>
        <v>Säffle</v>
      </c>
      <c r="I368" t="e">
        <f>VLOOKUP(Tabell3[[#This Row],[Nät]],'Leveranser per nät'!A:A,1,FALSE)</f>
        <v>#N/A</v>
      </c>
    </row>
    <row r="369" spans="1:9" x14ac:dyDescent="0.25">
      <c r="A369" t="s">
        <v>558</v>
      </c>
      <c r="B369" t="s">
        <v>129</v>
      </c>
      <c r="C369" s="101">
        <v>6.7089999999999996</v>
      </c>
      <c r="G369" s="105">
        <f>Tabell3[[#This Row],[Såld värme (GWh)]]-Tabell3[[#This Row],[Levererad värme, andra fjärrvärmeföretag, företag 1 (GWh)]]-Tabell3[[#This Row],[Levererad värme, andra fjärrvärmeföretag, företag 2 (GWh)]]-Tabell3[[#This Row],[Levererad värme, andra fjärrvärmeföretag, företag 3 (GWh)]]</f>
        <v>6.7089999999999996</v>
      </c>
      <c r="H369" s="102" t="str">
        <f>VLOOKUP(Tabell3[[#This Row],[Nät]],Tabell5[],2,FALSE)</f>
        <v>Sörforsa</v>
      </c>
      <c r="I369" t="str">
        <f>VLOOKUP(Tabell3[[#This Row],[Nät]],'Leveranser per nät'!A:A,1,FALSE)</f>
        <v>Sörforsa</v>
      </c>
    </row>
    <row r="370" spans="1:9" x14ac:dyDescent="0.25">
      <c r="A370" t="s">
        <v>558</v>
      </c>
      <c r="B370" t="s">
        <v>130</v>
      </c>
      <c r="C370" s="101">
        <v>79.188999999999993</v>
      </c>
      <c r="G370" s="105">
        <f>Tabell3[[#This Row],[Såld värme (GWh)]]-Tabell3[[#This Row],[Levererad värme, andra fjärrvärmeföretag, företag 1 (GWh)]]-Tabell3[[#This Row],[Levererad värme, andra fjärrvärmeföretag, företag 2 (GWh)]]-Tabell3[[#This Row],[Levererad värme, andra fjärrvärmeföretag, företag 3 (GWh)]]</f>
        <v>79.188999999999993</v>
      </c>
      <c r="H370" s="102" t="str">
        <f>VLOOKUP(Tabell3[[#This Row],[Nät]],Tabell5[],2,FALSE)</f>
        <v>Torsby</v>
      </c>
      <c r="I370" t="str">
        <f>VLOOKUP(Tabell3[[#This Row],[Nät]],'Leveranser per nät'!A:A,1,FALSE)</f>
        <v>Torsby</v>
      </c>
    </row>
    <row r="371" spans="1:9" x14ac:dyDescent="0.25">
      <c r="A371" t="s">
        <v>558</v>
      </c>
      <c r="B371" t="s">
        <v>743</v>
      </c>
      <c r="C371" s="101" t="s">
        <v>805</v>
      </c>
      <c r="D371" t="s">
        <v>805</v>
      </c>
      <c r="E371" t="s">
        <v>805</v>
      </c>
      <c r="F371" t="s">
        <v>805</v>
      </c>
      <c r="G371" s="105" t="e">
        <f>Tabell3[[#This Row],[Såld värme (GWh)]]-Tabell3[[#This Row],[Levererad värme, andra fjärrvärmeföretag, företag 1 (GWh)]]-Tabell3[[#This Row],[Levererad värme, andra fjärrvärmeföretag, företag 2 (GWh)]]-Tabell3[[#This Row],[Levererad värme, andra fjärrvärmeföretag, företag 3 (GWh)]]</f>
        <v>#VALUE!</v>
      </c>
      <c r="H371" s="102" t="e">
        <f>VLOOKUP(Tabell3[[#This Row],[Nät]],Tabell5[],2,FALSE)</f>
        <v>#N/A</v>
      </c>
      <c r="I371" t="e">
        <f>VLOOKUP(Tabell3[[#This Row],[Nät]],'Leveranser per nät'!A:A,1,FALSE)</f>
        <v>#N/A</v>
      </c>
    </row>
    <row r="372" spans="1:9" x14ac:dyDescent="0.25">
      <c r="A372" t="s">
        <v>689</v>
      </c>
      <c r="B372" t="s">
        <v>1005</v>
      </c>
      <c r="C372" s="101">
        <v>1.8959999999999999</v>
      </c>
      <c r="G372" s="105">
        <f>Tabell3[[#This Row],[Såld värme (GWh)]]-Tabell3[[#This Row],[Levererad värme, andra fjärrvärmeföretag, företag 1 (GWh)]]-Tabell3[[#This Row],[Levererad värme, andra fjärrvärmeföretag, företag 2 (GWh)]]-Tabell3[[#This Row],[Levererad värme, andra fjärrvärmeföretag, företag 3 (GWh)]]</f>
        <v>1.8959999999999999</v>
      </c>
      <c r="H372" s="102" t="e">
        <f>VLOOKUP(Tabell3[[#This Row],[Nät]],Tabell5[],2,FALSE)</f>
        <v>#N/A</v>
      </c>
      <c r="I372" t="e">
        <f>VLOOKUP(Tabell3[[#This Row],[Nät]],'Leveranser per nät'!A:A,1,FALSE)</f>
        <v>#N/A</v>
      </c>
    </row>
    <row r="373" spans="1:9" x14ac:dyDescent="0.25">
      <c r="A373" t="s">
        <v>689</v>
      </c>
      <c r="B373" t="s">
        <v>1006</v>
      </c>
      <c r="C373" s="101">
        <v>3.23</v>
      </c>
      <c r="G373" s="105">
        <f>Tabell3[[#This Row],[Såld värme (GWh)]]-Tabell3[[#This Row],[Levererad värme, andra fjärrvärmeföretag, företag 1 (GWh)]]-Tabell3[[#This Row],[Levererad värme, andra fjärrvärmeföretag, företag 2 (GWh)]]-Tabell3[[#This Row],[Levererad värme, andra fjärrvärmeföretag, företag 3 (GWh)]]</f>
        <v>3.23</v>
      </c>
      <c r="H373" s="102" t="e">
        <f>VLOOKUP(Tabell3[[#This Row],[Nät]],Tabell5[],2,FALSE)</f>
        <v>#N/A</v>
      </c>
      <c r="I373" t="e">
        <f>VLOOKUP(Tabell3[[#This Row],[Nät]],'Leveranser per nät'!A:A,1,FALSE)</f>
        <v>#N/A</v>
      </c>
    </row>
    <row r="374" spans="1:9" x14ac:dyDescent="0.25">
      <c r="A374" t="s">
        <v>689</v>
      </c>
      <c r="B374" t="s">
        <v>1007</v>
      </c>
      <c r="C374" s="101">
        <v>3.4129999999999998</v>
      </c>
      <c r="G374" s="105">
        <f>Tabell3[[#This Row],[Såld värme (GWh)]]-Tabell3[[#This Row],[Levererad värme, andra fjärrvärmeföretag, företag 1 (GWh)]]-Tabell3[[#This Row],[Levererad värme, andra fjärrvärmeföretag, företag 2 (GWh)]]-Tabell3[[#This Row],[Levererad värme, andra fjärrvärmeföretag, företag 3 (GWh)]]</f>
        <v>3.4129999999999998</v>
      </c>
      <c r="H374" s="102" t="e">
        <f>VLOOKUP(Tabell3[[#This Row],[Nät]],Tabell5[],2,FALSE)</f>
        <v>#N/A</v>
      </c>
      <c r="I374" t="e">
        <f>VLOOKUP(Tabell3[[#This Row],[Nät]],'Leveranser per nät'!A:A,1,FALSE)</f>
        <v>#N/A</v>
      </c>
    </row>
    <row r="375" spans="1:9" x14ac:dyDescent="0.25">
      <c r="A375" t="s">
        <v>689</v>
      </c>
      <c r="B375" t="s">
        <v>1008</v>
      </c>
      <c r="C375" s="101">
        <v>0.61499999999999999</v>
      </c>
      <c r="G375" s="105">
        <f>Tabell3[[#This Row],[Såld värme (GWh)]]-Tabell3[[#This Row],[Levererad värme, andra fjärrvärmeföretag, företag 1 (GWh)]]-Tabell3[[#This Row],[Levererad värme, andra fjärrvärmeföretag, företag 2 (GWh)]]-Tabell3[[#This Row],[Levererad värme, andra fjärrvärmeföretag, företag 3 (GWh)]]</f>
        <v>0.61499999999999999</v>
      </c>
      <c r="H375" s="102" t="e">
        <f>VLOOKUP(Tabell3[[#This Row],[Nät]],Tabell5[],2,FALSE)</f>
        <v>#N/A</v>
      </c>
      <c r="I375" t="e">
        <f>VLOOKUP(Tabell3[[#This Row],[Nät]],'Leveranser per nät'!A:A,1,FALSE)</f>
        <v>#N/A</v>
      </c>
    </row>
    <row r="376" spans="1:9" x14ac:dyDescent="0.25">
      <c r="A376" t="s">
        <v>689</v>
      </c>
      <c r="B376" t="s">
        <v>354</v>
      </c>
      <c r="C376" s="101">
        <v>9.1300000000000008</v>
      </c>
      <c r="G376" s="105">
        <f>Tabell3[[#This Row],[Såld värme (GWh)]]-Tabell3[[#This Row],[Levererad värme, andra fjärrvärmeföretag, företag 1 (GWh)]]-Tabell3[[#This Row],[Levererad värme, andra fjärrvärmeföretag, företag 2 (GWh)]]-Tabell3[[#This Row],[Levererad värme, andra fjärrvärmeföretag, företag 3 (GWh)]]</f>
        <v>9.1300000000000008</v>
      </c>
      <c r="H376" s="102" t="str">
        <f>VLOOKUP(Tabell3[[#This Row],[Nät]],Tabell5[],2,FALSE)</f>
        <v>Rydaholm</v>
      </c>
      <c r="I376" t="str">
        <f>VLOOKUP(Tabell3[[#This Row],[Nät]],'Leveranser per nät'!A:A,1,FALSE)</f>
        <v>Rydaholm</v>
      </c>
    </row>
    <row r="377" spans="1:9" x14ac:dyDescent="0.25">
      <c r="A377" t="s">
        <v>689</v>
      </c>
      <c r="B377" t="s">
        <v>355</v>
      </c>
      <c r="C377" s="101">
        <v>140.29599999999999</v>
      </c>
      <c r="G377" s="105">
        <f>Tabell3[[#This Row],[Såld värme (GWh)]]-Tabell3[[#This Row],[Levererad värme, andra fjärrvärmeföretag, företag 1 (GWh)]]-Tabell3[[#This Row],[Levererad värme, andra fjärrvärmeföretag, företag 2 (GWh)]]-Tabell3[[#This Row],[Levererad värme, andra fjärrvärmeföretag, företag 3 (GWh)]]</f>
        <v>140.29599999999999</v>
      </c>
      <c r="H377" s="102" t="str">
        <f>VLOOKUP(Tabell3[[#This Row],[Nät]],Tabell5[],2,FALSE)</f>
        <v>Värnamo</v>
      </c>
      <c r="I377" t="str">
        <f>VLOOKUP(Tabell3[[#This Row],[Nät]],'Leveranser per nät'!A:A,1,FALSE)</f>
        <v>Värnamo</v>
      </c>
    </row>
    <row r="378" spans="1:9" x14ac:dyDescent="0.25">
      <c r="A378" t="s">
        <v>595</v>
      </c>
      <c r="B378" t="s">
        <v>357</v>
      </c>
      <c r="C378" s="101">
        <v>94.289000000000001</v>
      </c>
      <c r="G378" s="105">
        <f>Tabell3[[#This Row],[Såld värme (GWh)]]-Tabell3[[#This Row],[Levererad värme, andra fjärrvärmeföretag, företag 1 (GWh)]]-Tabell3[[#This Row],[Levererad värme, andra fjärrvärmeföretag, företag 2 (GWh)]]-Tabell3[[#This Row],[Levererad värme, andra fjärrvärmeföretag, företag 3 (GWh)]]</f>
        <v>94.289000000000001</v>
      </c>
      <c r="H378" s="102" t="str">
        <f>VLOOKUP(Tabell3[[#This Row],[Nät]],Tabell5[],2,FALSE)</f>
        <v>Fagersta</v>
      </c>
      <c r="I378" t="str">
        <f>VLOOKUP(Tabell3[[#This Row],[Nät]],'Leveranser per nät'!A:A,1,FALSE)</f>
        <v>Fagersta</v>
      </c>
    </row>
    <row r="379" spans="1:9" x14ac:dyDescent="0.25">
      <c r="A379" t="s">
        <v>595</v>
      </c>
      <c r="B379" t="s">
        <v>358</v>
      </c>
      <c r="C379" s="101">
        <v>12.691000000000001</v>
      </c>
      <c r="G379" s="105">
        <f>Tabell3[[#This Row],[Såld värme (GWh)]]-Tabell3[[#This Row],[Levererad värme, andra fjärrvärmeföretag, företag 1 (GWh)]]-Tabell3[[#This Row],[Levererad värme, andra fjärrvärmeföretag, företag 2 (GWh)]]-Tabell3[[#This Row],[Levererad värme, andra fjärrvärmeföretag, företag 3 (GWh)]]</f>
        <v>12.691000000000001</v>
      </c>
      <c r="H379" s="102" t="str">
        <f>VLOOKUP(Tabell3[[#This Row],[Nät]],Tabell5[],2,FALSE)</f>
        <v>Grängesberg</v>
      </c>
      <c r="I379" t="str">
        <f>VLOOKUP(Tabell3[[#This Row],[Nät]],'Leveranser per nät'!A:A,1,FALSE)</f>
        <v>Grängesberg</v>
      </c>
    </row>
    <row r="380" spans="1:9" x14ac:dyDescent="0.25">
      <c r="A380" t="s">
        <v>595</v>
      </c>
      <c r="B380" t="s">
        <v>359</v>
      </c>
      <c r="C380" s="101">
        <v>102.86799999999999</v>
      </c>
      <c r="G380" s="105">
        <f>Tabell3[[#This Row],[Såld värme (GWh)]]-Tabell3[[#This Row],[Levererad värme, andra fjärrvärmeföretag, företag 1 (GWh)]]-Tabell3[[#This Row],[Levererad värme, andra fjärrvärmeföretag, företag 2 (GWh)]]-Tabell3[[#This Row],[Levererad värme, andra fjärrvärmeföretag, företag 3 (GWh)]]</f>
        <v>102.86799999999999</v>
      </c>
      <c r="H380" s="102" t="str">
        <f>VLOOKUP(Tabell3[[#This Row],[Nät]],Tabell5[],2,FALSE)</f>
        <v>Ludvika</v>
      </c>
      <c r="I380" t="str">
        <f>VLOOKUP(Tabell3[[#This Row],[Nät]],'Leveranser per nät'!A:A,1,FALSE)</f>
        <v>Ludvika</v>
      </c>
    </row>
    <row r="381" spans="1:9" x14ac:dyDescent="0.25">
      <c r="A381" t="s">
        <v>595</v>
      </c>
      <c r="B381" t="s">
        <v>356</v>
      </c>
      <c r="C381" s="101">
        <v>18.343</v>
      </c>
      <c r="G381" s="105">
        <f>Tabell3[[#This Row],[Såld värme (GWh)]]-Tabell3[[#This Row],[Levererad värme, andra fjärrvärmeföretag, företag 1 (GWh)]]-Tabell3[[#This Row],[Levererad värme, andra fjärrvärmeföretag, företag 2 (GWh)]]-Tabell3[[#This Row],[Levererad värme, andra fjärrvärmeföretag, företag 3 (GWh)]]</f>
        <v>18.343</v>
      </c>
      <c r="H381" s="102" t="str">
        <f>VLOOKUP(Tabell3[[#This Row],[Nät]],Tabell5[],2,FALSE)</f>
        <v>Norberg</v>
      </c>
      <c r="I381" t="str">
        <f>VLOOKUP(Tabell3[[#This Row],[Nät]],'Leveranser per nät'!A:A,1,FALSE)</f>
        <v>Norberg</v>
      </c>
    </row>
    <row r="382" spans="1:9" x14ac:dyDescent="0.25">
      <c r="A382" t="s">
        <v>550</v>
      </c>
      <c r="B382" t="s">
        <v>360</v>
      </c>
      <c r="C382" s="101">
        <v>6.2</v>
      </c>
      <c r="G382" s="105">
        <f>Tabell3[[#This Row],[Såld värme (GWh)]]-Tabell3[[#This Row],[Levererad värme, andra fjärrvärmeföretag, företag 1 (GWh)]]-Tabell3[[#This Row],[Levererad värme, andra fjärrvärmeföretag, företag 2 (GWh)]]-Tabell3[[#This Row],[Levererad värme, andra fjärrvärmeföretag, företag 3 (GWh)]]</f>
        <v>6.2</v>
      </c>
      <c r="H382" s="102" t="str">
        <f>VLOOKUP(Tabell3[[#This Row],[Nät]],Tabell5[],2,FALSE)</f>
        <v>Ankarsrum</v>
      </c>
      <c r="I382" t="str">
        <f>VLOOKUP(Tabell3[[#This Row],[Nät]],'Leveranser per nät'!A:A,1,FALSE)</f>
        <v>Ankarsrum</v>
      </c>
    </row>
    <row r="383" spans="1:9" x14ac:dyDescent="0.25">
      <c r="A383" t="s">
        <v>550</v>
      </c>
      <c r="B383" t="s">
        <v>361</v>
      </c>
      <c r="C383" s="101">
        <v>23.6</v>
      </c>
      <c r="G383" s="105">
        <f>Tabell3[[#This Row],[Såld värme (GWh)]]-Tabell3[[#This Row],[Levererad värme, andra fjärrvärmeföretag, företag 1 (GWh)]]-Tabell3[[#This Row],[Levererad värme, andra fjärrvärmeföretag, företag 2 (GWh)]]-Tabell3[[#This Row],[Levererad värme, andra fjärrvärmeföretag, företag 3 (GWh)]]</f>
        <v>23.6</v>
      </c>
      <c r="H383" s="102" t="str">
        <f>VLOOKUP(Tabell3[[#This Row],[Nät]],Tabell5[],2,FALSE)</f>
        <v>Gamleby</v>
      </c>
      <c r="I383" t="str">
        <f>VLOOKUP(Tabell3[[#This Row],[Nät]],'Leveranser per nät'!A:A,1,FALSE)</f>
        <v>Gamleby</v>
      </c>
    </row>
    <row r="384" spans="1:9" x14ac:dyDescent="0.25">
      <c r="A384" t="s">
        <v>550</v>
      </c>
      <c r="B384" t="s">
        <v>362</v>
      </c>
      <c r="C384" s="101">
        <v>170.3</v>
      </c>
      <c r="G384" s="105">
        <f>Tabell3[[#This Row],[Såld värme (GWh)]]-Tabell3[[#This Row],[Levererad värme, andra fjärrvärmeföretag, företag 1 (GWh)]]-Tabell3[[#This Row],[Levererad värme, andra fjärrvärmeföretag, företag 2 (GWh)]]-Tabell3[[#This Row],[Levererad värme, andra fjärrvärmeföretag, företag 3 (GWh)]]</f>
        <v>170.3</v>
      </c>
      <c r="H384" s="102" t="str">
        <f>VLOOKUP(Tabell3[[#This Row],[Nät]],Tabell5[],2,FALSE)</f>
        <v>Västervik</v>
      </c>
      <c r="I384" t="str">
        <f>VLOOKUP(Tabell3[[#This Row],[Nät]],'Leveranser per nät'!A:A,1,FALSE)</f>
        <v>Västervik</v>
      </c>
    </row>
    <row r="385" spans="1:9" x14ac:dyDescent="0.25">
      <c r="A385" t="s">
        <v>1009</v>
      </c>
      <c r="B385" t="s">
        <v>938</v>
      </c>
      <c r="C385" s="101">
        <v>300</v>
      </c>
      <c r="G385" s="105">
        <f>Tabell3[[#This Row],[Såld värme (GWh)]]-Tabell3[[#This Row],[Levererad värme, andra fjärrvärmeföretag, företag 1 (GWh)]]-Tabell3[[#This Row],[Levererad värme, andra fjärrvärmeföretag, företag 2 (GWh)]]-Tabell3[[#This Row],[Levererad värme, andra fjärrvärmeföretag, företag 3 (GWh)]]</f>
        <v>300</v>
      </c>
      <c r="H385" s="102" t="str">
        <f>VLOOKUP(Tabell3[[#This Row],[Nät]],Tabell5[],2,FALSE)</f>
        <v>Arboga - Köping</v>
      </c>
      <c r="I385" t="str">
        <f>VLOOKUP(Tabell3[[#This Row],[Nät]],'Leveranser per nät'!A:A,1,FALSE)</f>
        <v>Arboga - Köping</v>
      </c>
    </row>
    <row r="386" spans="1:9" x14ac:dyDescent="0.25">
      <c r="A386" t="s">
        <v>577</v>
      </c>
      <c r="B386" t="s">
        <v>364</v>
      </c>
      <c r="C386" s="101">
        <v>12.743</v>
      </c>
      <c r="G386" s="105">
        <f>Tabell3[[#This Row],[Såld värme (GWh)]]-Tabell3[[#This Row],[Levererad värme, andra fjärrvärmeföretag, företag 1 (GWh)]]-Tabell3[[#This Row],[Levererad värme, andra fjärrvärmeföretag, företag 2 (GWh)]]-Tabell3[[#This Row],[Levererad värme, andra fjärrvärmeföretag, företag 3 (GWh)]]</f>
        <v>12.743</v>
      </c>
      <c r="H386" s="102" t="str">
        <f>VLOOKUP(Tabell3[[#This Row],[Nät]],Tabell5[],2,FALSE)</f>
        <v>Braås</v>
      </c>
      <c r="I386" t="str">
        <f>VLOOKUP(Tabell3[[#This Row],[Nät]],'Leveranser per nät'!A:A,1,FALSE)</f>
        <v>Braås</v>
      </c>
    </row>
    <row r="387" spans="1:9" x14ac:dyDescent="0.25">
      <c r="A387" t="s">
        <v>577</v>
      </c>
      <c r="B387" t="s">
        <v>365</v>
      </c>
      <c r="C387" s="101">
        <v>7.5730000000000004</v>
      </c>
      <c r="G387" s="105">
        <f>Tabell3[[#This Row],[Såld värme (GWh)]]-Tabell3[[#This Row],[Levererad värme, andra fjärrvärmeföretag, företag 1 (GWh)]]-Tabell3[[#This Row],[Levererad värme, andra fjärrvärmeföretag, företag 2 (GWh)]]-Tabell3[[#This Row],[Levererad värme, andra fjärrvärmeföretag, företag 3 (GWh)]]</f>
        <v>7.5730000000000004</v>
      </c>
      <c r="H387" s="102" t="str">
        <f>VLOOKUP(Tabell3[[#This Row],[Nät]],Tabell5[],2,FALSE)</f>
        <v>Ingelstad</v>
      </c>
      <c r="I387" t="str">
        <f>VLOOKUP(Tabell3[[#This Row],[Nät]],'Leveranser per nät'!A:A,1,FALSE)</f>
        <v>Ingelstad</v>
      </c>
    </row>
    <row r="388" spans="1:9" x14ac:dyDescent="0.25">
      <c r="A388" t="s">
        <v>577</v>
      </c>
      <c r="B388" t="s">
        <v>366</v>
      </c>
      <c r="C388" s="101">
        <v>9.7870000000000008</v>
      </c>
      <c r="G388" s="105">
        <f>Tabell3[[#This Row],[Såld värme (GWh)]]-Tabell3[[#This Row],[Levererad värme, andra fjärrvärmeföretag, företag 1 (GWh)]]-Tabell3[[#This Row],[Levererad värme, andra fjärrvärmeföretag, företag 2 (GWh)]]-Tabell3[[#This Row],[Levererad värme, andra fjärrvärmeföretag, företag 3 (GWh)]]</f>
        <v>9.7870000000000008</v>
      </c>
      <c r="H388" s="102" t="str">
        <f>VLOOKUP(Tabell3[[#This Row],[Nät]],Tabell5[],2,FALSE)</f>
        <v>Rottne</v>
      </c>
      <c r="I388" t="str">
        <f>VLOOKUP(Tabell3[[#This Row],[Nät]],'Leveranser per nät'!A:A,1,FALSE)</f>
        <v>Rottne</v>
      </c>
    </row>
    <row r="389" spans="1:9" x14ac:dyDescent="0.25">
      <c r="A389" t="s">
        <v>577</v>
      </c>
      <c r="B389" t="s">
        <v>906</v>
      </c>
      <c r="C389" s="101">
        <v>14.911</v>
      </c>
      <c r="G389" s="105">
        <f>Tabell3[[#This Row],[Såld värme (GWh)]]-Tabell3[[#This Row],[Levererad värme, andra fjärrvärmeföretag, företag 1 (GWh)]]-Tabell3[[#This Row],[Levererad värme, andra fjärrvärmeföretag, företag 2 (GWh)]]-Tabell3[[#This Row],[Levererad värme, andra fjärrvärmeföretag, företag 3 (GWh)]]</f>
        <v>14.911</v>
      </c>
      <c r="H389" s="102" t="e">
        <f>VLOOKUP(Tabell3[[#This Row],[Nät]],Tabell5[],2,FALSE)</f>
        <v>#N/A</v>
      </c>
      <c r="I389" t="e">
        <f>VLOOKUP(Tabell3[[#This Row],[Nät]],'Leveranser per nät'!A:A,1,FALSE)</f>
        <v>#N/A</v>
      </c>
    </row>
    <row r="390" spans="1:9" x14ac:dyDescent="0.25">
      <c r="A390" t="s">
        <v>577</v>
      </c>
      <c r="B390" t="s">
        <v>907</v>
      </c>
      <c r="C390" s="101">
        <v>516.13099999999997</v>
      </c>
      <c r="G390" s="105">
        <f>Tabell3[[#This Row],[Såld värme (GWh)]]-Tabell3[[#This Row],[Levererad värme, andra fjärrvärmeföretag, företag 1 (GWh)]]-Tabell3[[#This Row],[Levererad värme, andra fjärrvärmeföretag, företag 2 (GWh)]]-Tabell3[[#This Row],[Levererad värme, andra fjärrvärmeföretag, företag 3 (GWh)]]</f>
        <v>516.13099999999997</v>
      </c>
      <c r="H390" s="102" t="str">
        <f>VLOOKUP(Tabell3[[#This Row],[Nät]],Tabell5[],2,FALSE)</f>
        <v>Växjö</v>
      </c>
      <c r="I390" t="e">
        <f>VLOOKUP(Tabell3[[#This Row],[Nät]],'Leveranser per nät'!A:A,1,FALSE)</f>
        <v>#N/A</v>
      </c>
    </row>
    <row r="391" spans="1:9" x14ac:dyDescent="0.25">
      <c r="A391" t="s">
        <v>734</v>
      </c>
      <c r="B391" t="s">
        <v>367</v>
      </c>
      <c r="C391" s="101">
        <v>128.572</v>
      </c>
      <c r="G391" s="105">
        <f>Tabell3[[#This Row],[Såld värme (GWh)]]-Tabell3[[#This Row],[Levererad värme, andra fjärrvärmeföretag, företag 1 (GWh)]]-Tabell3[[#This Row],[Levererad värme, andra fjärrvärmeföretag, företag 2 (GWh)]]-Tabell3[[#This Row],[Levererad värme, andra fjärrvärmeföretag, företag 3 (GWh)]]</f>
        <v>128.572</v>
      </c>
      <c r="H391" s="102" t="str">
        <f>VLOOKUP(Tabell3[[#This Row],[Nät]],Tabell5[],2,FALSE)</f>
        <v>Ystad</v>
      </c>
      <c r="I391" t="str">
        <f>VLOOKUP(Tabell3[[#This Row],[Nät]],'Leveranser per nät'!A:A,1,FALSE)</f>
        <v>Ystad</v>
      </c>
    </row>
    <row r="392" spans="1:9" x14ac:dyDescent="0.25">
      <c r="A392" t="s">
        <v>604</v>
      </c>
      <c r="B392" t="s">
        <v>368</v>
      </c>
      <c r="C392" s="101">
        <v>6.4</v>
      </c>
      <c r="G392" s="105">
        <f>Tabell3[[#This Row],[Såld värme (GWh)]]-Tabell3[[#This Row],[Levererad värme, andra fjärrvärmeföretag, företag 1 (GWh)]]-Tabell3[[#This Row],[Levererad värme, andra fjärrvärmeföretag, företag 2 (GWh)]]-Tabell3[[#This Row],[Levererad värme, andra fjärrvärmeföretag, företag 3 (GWh)]]</f>
        <v>6.4</v>
      </c>
      <c r="H392" s="102" t="str">
        <f>VLOOKUP(Tabell3[[#This Row],[Nät]],Tabell5[],2,FALSE)</f>
        <v>Fränsta</v>
      </c>
      <c r="I392" t="str">
        <f>VLOOKUP(Tabell3[[#This Row],[Nät]],'Leveranser per nät'!A:A,1,FALSE)</f>
        <v>Fränsta</v>
      </c>
    </row>
    <row r="393" spans="1:9" x14ac:dyDescent="0.25">
      <c r="A393" t="s">
        <v>604</v>
      </c>
      <c r="B393" t="s">
        <v>370</v>
      </c>
      <c r="C393" s="101">
        <v>22.417999999999999</v>
      </c>
      <c r="G393" s="105">
        <f>Tabell3[[#This Row],[Såld värme (GWh)]]-Tabell3[[#This Row],[Levererad värme, andra fjärrvärmeföretag, företag 1 (GWh)]]-Tabell3[[#This Row],[Levererad värme, andra fjärrvärmeföretag, företag 2 (GWh)]]-Tabell3[[#This Row],[Levererad värme, andra fjärrvärmeföretag, företag 3 (GWh)]]</f>
        <v>22.417999999999999</v>
      </c>
      <c r="H393" s="102" t="str">
        <f>VLOOKUP(Tabell3[[#This Row],[Nät]],Tabell5[],2,FALSE)</f>
        <v>Ånge</v>
      </c>
      <c r="I393" t="str">
        <f>VLOOKUP(Tabell3[[#This Row],[Nät]],'Leveranser per nät'!A:A,1,FALSE)</f>
        <v>Ånge</v>
      </c>
    </row>
    <row r="394" spans="1:9" x14ac:dyDescent="0.25">
      <c r="A394" t="s">
        <v>1011</v>
      </c>
      <c r="B394" t="s">
        <v>912</v>
      </c>
      <c r="C394" s="101" t="s">
        <v>805</v>
      </c>
      <c r="D394" t="s">
        <v>805</v>
      </c>
      <c r="E394" t="s">
        <v>805</v>
      </c>
      <c r="F394" t="s">
        <v>805</v>
      </c>
      <c r="G394" s="105" t="e">
        <f>Tabell3[[#This Row],[Såld värme (GWh)]]-Tabell3[[#This Row],[Levererad värme, andra fjärrvärmeföretag, företag 1 (GWh)]]-Tabell3[[#This Row],[Levererad värme, andra fjärrvärmeföretag, företag 2 (GWh)]]-Tabell3[[#This Row],[Levererad värme, andra fjärrvärmeföretag, företag 3 (GWh)]]</f>
        <v>#VALUE!</v>
      </c>
      <c r="H394" s="102" t="e">
        <f>VLOOKUP(Tabell3[[#This Row],[Nät]],Tabell5[],2,FALSE)</f>
        <v>#N/A</v>
      </c>
      <c r="I394" t="e">
        <f>VLOOKUP(Tabell3[[#This Row],[Nät]],'Leveranser per nät'!A:A,1,FALSE)</f>
        <v>#N/A</v>
      </c>
    </row>
    <row r="395" spans="1:9" x14ac:dyDescent="0.25">
      <c r="A395" t="s">
        <v>626</v>
      </c>
      <c r="B395" t="s">
        <v>373</v>
      </c>
      <c r="C395" s="101">
        <v>958.4</v>
      </c>
      <c r="D395">
        <v>104.4</v>
      </c>
      <c r="G395" s="105">
        <f>Tabell3[[#This Row],[Såld värme (GWh)]]-Tabell3[[#This Row],[Levererad värme, andra fjärrvärmeföretag, företag 1 (GWh)]]-Tabell3[[#This Row],[Levererad värme, andra fjärrvärmeföretag, företag 2 (GWh)]]-Tabell3[[#This Row],[Levererad värme, andra fjärrvärmeföretag, företag 3 (GWh)]]</f>
        <v>854</v>
      </c>
      <c r="H395" s="102" t="str">
        <f>VLOOKUP(Tabell3[[#This Row],[Nät]],Tabell5[],2,FALSE)</f>
        <v>Helsingborg</v>
      </c>
      <c r="I395" t="str">
        <f>VLOOKUP(Tabell3[[#This Row],[Nät]],'Leveranser per nät'!A:A,1,FALSE)</f>
        <v>Helsingborg</v>
      </c>
    </row>
    <row r="396" spans="1:9" x14ac:dyDescent="0.25">
      <c r="A396" t="s">
        <v>626</v>
      </c>
      <c r="B396" t="s">
        <v>400</v>
      </c>
      <c r="C396" s="101">
        <v>1.83</v>
      </c>
      <c r="G396" s="105">
        <f>Tabell3[[#This Row],[Såld värme (GWh)]]-Tabell3[[#This Row],[Levererad värme, andra fjärrvärmeföretag, företag 1 (GWh)]]-Tabell3[[#This Row],[Levererad värme, andra fjärrvärmeföretag, företag 2 (GWh)]]-Tabell3[[#This Row],[Levererad värme, andra fjärrvärmeföretag, företag 3 (GWh)]]</f>
        <v>1.83</v>
      </c>
      <c r="H396" s="102" t="str">
        <f>VLOOKUP(Tabell3[[#This Row],[Nät]],Tabell5[],2,FALSE)</f>
        <v>Hjärnarp</v>
      </c>
      <c r="I396" t="str">
        <f>VLOOKUP(Tabell3[[#This Row],[Nät]],'Leveranser per nät'!A:A,1,FALSE)</f>
        <v>Hjärnarp</v>
      </c>
    </row>
    <row r="397" spans="1:9" x14ac:dyDescent="0.25">
      <c r="A397" t="s">
        <v>626</v>
      </c>
      <c r="B397" t="s">
        <v>431</v>
      </c>
      <c r="C397" s="101">
        <v>7.3</v>
      </c>
      <c r="G397" s="105">
        <f>Tabell3[[#This Row],[Såld värme (GWh)]]-Tabell3[[#This Row],[Levererad värme, andra fjärrvärmeföretag, företag 1 (GWh)]]-Tabell3[[#This Row],[Levererad värme, andra fjärrvärmeföretag, företag 2 (GWh)]]-Tabell3[[#This Row],[Levererad värme, andra fjärrvärmeföretag, företag 3 (GWh)]]</f>
        <v>7.3</v>
      </c>
      <c r="H397" s="102" t="str">
        <f>VLOOKUP(Tabell3[[#This Row],[Nät]],Tabell5[],2,FALSE)</f>
        <v>Vejbystrand</v>
      </c>
      <c r="I397" t="str">
        <f>VLOOKUP(Tabell3[[#This Row],[Nät]],'Leveranser per nät'!A:A,1,FALSE)</f>
        <v>Vejbystrand</v>
      </c>
    </row>
    <row r="398" spans="1:9" x14ac:dyDescent="0.25">
      <c r="A398" t="s">
        <v>626</v>
      </c>
      <c r="B398" t="s">
        <v>372</v>
      </c>
      <c r="C398" s="101">
        <v>161.465</v>
      </c>
      <c r="G398" s="105">
        <f>Tabell3[[#This Row],[Såld värme (GWh)]]-Tabell3[[#This Row],[Levererad värme, andra fjärrvärmeföretag, företag 1 (GWh)]]-Tabell3[[#This Row],[Levererad värme, andra fjärrvärmeföretag, företag 2 (GWh)]]-Tabell3[[#This Row],[Levererad värme, andra fjärrvärmeföretag, företag 3 (GWh)]]</f>
        <v>161.465</v>
      </c>
      <c r="H398" s="102" t="str">
        <f>VLOOKUP(Tabell3[[#This Row],[Nät]],Tabell5[],2,FALSE)</f>
        <v>Ängelholm</v>
      </c>
      <c r="I398" t="str">
        <f>VLOOKUP(Tabell3[[#This Row],[Nät]],'Leveranser per nät'!A:A,1,FALSE)</f>
        <v>Ängelholm</v>
      </c>
    </row>
    <row r="399" spans="1:9" x14ac:dyDescent="0.25">
      <c r="A399" t="s">
        <v>740</v>
      </c>
      <c r="B399" t="s">
        <v>374</v>
      </c>
      <c r="C399" s="101">
        <v>26.4</v>
      </c>
      <c r="G399" s="105">
        <f>Tabell3[[#This Row],[Såld värme (GWh)]]-Tabell3[[#This Row],[Levererad värme, andra fjärrvärmeföretag, företag 1 (GWh)]]-Tabell3[[#This Row],[Levererad värme, andra fjärrvärmeföretag, företag 2 (GWh)]]-Tabell3[[#This Row],[Levererad värme, andra fjärrvärmeföretag, företag 3 (GWh)]]</f>
        <v>26.4</v>
      </c>
      <c r="H399" s="102" t="str">
        <f>VLOOKUP(Tabell3[[#This Row],[Nät]],Tabell5[],2,FALSE)</f>
        <v>Örkelljunga</v>
      </c>
      <c r="I399" t="str">
        <f>VLOOKUP(Tabell3[[#This Row],[Nät]],'Leveranser per nät'!A:A,1,FALSE)</f>
        <v>Örkelljunga</v>
      </c>
    </row>
    <row r="400" spans="1:9" x14ac:dyDescent="0.25">
      <c r="A400" t="s">
        <v>695</v>
      </c>
      <c r="B400" t="s">
        <v>375</v>
      </c>
      <c r="C400" s="101">
        <v>46.1</v>
      </c>
      <c r="G400" s="105">
        <f>Tabell3[[#This Row],[Såld värme (GWh)]]-Tabell3[[#This Row],[Levererad värme, andra fjärrvärmeföretag, företag 1 (GWh)]]-Tabell3[[#This Row],[Levererad värme, andra fjärrvärmeföretag, företag 2 (GWh)]]-Tabell3[[#This Row],[Levererad värme, andra fjärrvärmeföretag, företag 3 (GWh)]]</f>
        <v>46.1</v>
      </c>
      <c r="H400" s="102" t="str">
        <f>VLOOKUP(Tabell3[[#This Row],[Nät]],Tabell5[],2,FALSE)</f>
        <v>Simrishamn</v>
      </c>
      <c r="I400" t="str">
        <f>VLOOKUP(Tabell3[[#This Row],[Nät]],'Leveranser per nät'!A:A,1,FALSE)</f>
        <v>Simrishamn</v>
      </c>
    </row>
    <row r="401" spans="1:9" x14ac:dyDescent="0.25">
      <c r="A401" t="s">
        <v>941</v>
      </c>
      <c r="B401" t="s">
        <v>347</v>
      </c>
      <c r="C401" s="101" t="s">
        <v>805</v>
      </c>
      <c r="D401" t="s">
        <v>805</v>
      </c>
      <c r="E401" t="s">
        <v>805</v>
      </c>
      <c r="F401" t="s">
        <v>805</v>
      </c>
      <c r="G401" s="105" t="e">
        <f>Tabell3[[#This Row],[Såld värme (GWh)]]-Tabell3[[#This Row],[Levererad värme, andra fjärrvärmeföretag, företag 1 (GWh)]]-Tabell3[[#This Row],[Levererad värme, andra fjärrvärmeföretag, företag 2 (GWh)]]-Tabell3[[#This Row],[Levererad värme, andra fjärrvärmeföretag, företag 3 (GWh)]]</f>
        <v>#VALUE!</v>
      </c>
      <c r="H401" s="102" t="str">
        <f>VLOOKUP(Tabell3[[#This Row],[Nät]],Tabell5[],2,FALSE)</f>
        <v>Övertorneå</v>
      </c>
      <c r="I401" t="str">
        <f>VLOOKUP(Tabell3[[#This Row],[Nät]],'Leveranser per nät'!A:A,1,FALSE)</f>
        <v>Övertorneå</v>
      </c>
    </row>
    <row r="402" spans="1:9" x14ac:dyDescent="0.25">
      <c r="A402" t="s">
        <v>916</v>
      </c>
      <c r="B402" t="s">
        <v>347</v>
      </c>
      <c r="C402" s="101" t="s">
        <v>805</v>
      </c>
      <c r="D402" t="s">
        <v>805</v>
      </c>
      <c r="E402" t="s">
        <v>805</v>
      </c>
      <c r="F402" t="s">
        <v>805</v>
      </c>
      <c r="G402" s="105" t="e">
        <f>Tabell3[[#This Row],[Såld värme (GWh)]]-Tabell3[[#This Row],[Levererad värme, andra fjärrvärmeföretag, företag 1 (GWh)]]-Tabell3[[#This Row],[Levererad värme, andra fjärrvärmeföretag, företag 2 (GWh)]]-Tabell3[[#This Row],[Levererad värme, andra fjärrvärmeföretag, företag 3 (GWh)]]</f>
        <v>#VALUE!</v>
      </c>
      <c r="H402" s="102" t="str">
        <f>VLOOKUP(Tabell3[[#This Row],[Nät]],Tabell5[],2,FALSE)</f>
        <v>Övertorneå</v>
      </c>
      <c r="I402" t="str">
        <f>VLOOKUP(Tabell3[[#This Row],[Nät]],'Leveranser per nät'!A:A,1,FALSE)</f>
        <v>Övertorneå</v>
      </c>
    </row>
    <row r="403" spans="1:9" x14ac:dyDescent="0.25">
      <c r="A403" t="s">
        <v>569</v>
      </c>
      <c r="B403" t="s">
        <v>377</v>
      </c>
      <c r="C403" s="101">
        <v>6.83</v>
      </c>
      <c r="G403" s="105">
        <f>Tabell3[[#This Row],[Såld värme (GWh)]]-Tabell3[[#This Row],[Levererad värme, andra fjärrvärmeföretag, företag 1 (GWh)]]-Tabell3[[#This Row],[Levererad värme, andra fjärrvärmeföretag, företag 2 (GWh)]]-Tabell3[[#This Row],[Levererad värme, andra fjärrvärmeföretag, företag 3 (GWh)]]</f>
        <v>6.83</v>
      </c>
      <c r="H403" s="102" t="str">
        <f>VLOOKUP(Tabell3[[#This Row],[Nät]],Tabell5[],2,FALSE)</f>
        <v>Bjästa</v>
      </c>
      <c r="I403" t="str">
        <f>VLOOKUP(Tabell3[[#This Row],[Nät]],'Leveranser per nät'!A:A,1,FALSE)</f>
        <v>Bjästa</v>
      </c>
    </row>
    <row r="404" spans="1:9" x14ac:dyDescent="0.25">
      <c r="A404" t="s">
        <v>569</v>
      </c>
      <c r="B404" t="s">
        <v>378</v>
      </c>
      <c r="C404" s="101">
        <v>5.35</v>
      </c>
      <c r="G404" s="105">
        <f>Tabell3[[#This Row],[Såld värme (GWh)]]-Tabell3[[#This Row],[Levererad värme, andra fjärrvärmeföretag, företag 1 (GWh)]]-Tabell3[[#This Row],[Levererad värme, andra fjärrvärmeföretag, företag 2 (GWh)]]-Tabell3[[#This Row],[Levererad värme, andra fjärrvärmeföretag, företag 3 (GWh)]]</f>
        <v>5.35</v>
      </c>
      <c r="H404" s="102" t="str">
        <f>VLOOKUP(Tabell3[[#This Row],[Nät]],Tabell5[],2,FALSE)</f>
        <v>Bredbyn</v>
      </c>
      <c r="I404" t="str">
        <f>VLOOKUP(Tabell3[[#This Row],[Nät]],'Leveranser per nät'!A:A,1,FALSE)</f>
        <v>Bredbyn</v>
      </c>
    </row>
    <row r="405" spans="1:9" x14ac:dyDescent="0.25">
      <c r="A405" t="s">
        <v>569</v>
      </c>
      <c r="B405" t="s">
        <v>379</v>
      </c>
      <c r="C405" s="101">
        <v>6.68</v>
      </c>
      <c r="G405" s="105">
        <f>Tabell3[[#This Row],[Såld värme (GWh)]]-Tabell3[[#This Row],[Levererad värme, andra fjärrvärmeföretag, företag 1 (GWh)]]-Tabell3[[#This Row],[Levererad värme, andra fjärrvärmeföretag, företag 2 (GWh)]]-Tabell3[[#This Row],[Levererad värme, andra fjärrvärmeföretag, företag 3 (GWh)]]</f>
        <v>6.68</v>
      </c>
      <c r="H405" s="102" t="str">
        <f>VLOOKUP(Tabell3[[#This Row],[Nät]],Tabell5[],2,FALSE)</f>
        <v>Husum</v>
      </c>
      <c r="I405" t="str">
        <f>VLOOKUP(Tabell3[[#This Row],[Nät]],'Leveranser per nät'!A:A,1,FALSE)</f>
        <v>Husum</v>
      </c>
    </row>
    <row r="406" spans="1:9" x14ac:dyDescent="0.25">
      <c r="A406" t="s">
        <v>569</v>
      </c>
      <c r="B406" t="s">
        <v>491</v>
      </c>
      <c r="C406" s="101">
        <v>0.43</v>
      </c>
      <c r="G406" s="105">
        <f>Tabell3[[#This Row],[Såld värme (GWh)]]-Tabell3[[#This Row],[Levererad värme, andra fjärrvärmeföretag, företag 1 (GWh)]]-Tabell3[[#This Row],[Levererad värme, andra fjärrvärmeföretag, företag 2 (GWh)]]-Tabell3[[#This Row],[Levererad värme, andra fjärrvärmeföretag, företag 3 (GWh)]]</f>
        <v>0.43</v>
      </c>
      <c r="H406" s="102" t="str">
        <f>VLOOKUP(Tabell3[[#This Row],[Nät]],Tabell5[],2,FALSE)</f>
        <v>Moliden</v>
      </c>
      <c r="I406" t="str">
        <f>VLOOKUP(Tabell3[[#This Row],[Nät]],'Leveranser per nät'!A:A,1,FALSE)</f>
        <v>Moliden</v>
      </c>
    </row>
    <row r="407" spans="1:9" x14ac:dyDescent="0.25">
      <c r="A407" t="s">
        <v>569</v>
      </c>
      <c r="B407" t="s">
        <v>802</v>
      </c>
      <c r="C407" s="101">
        <v>267.3</v>
      </c>
      <c r="G407" s="105">
        <f>Tabell3[[#This Row],[Såld värme (GWh)]]-Tabell3[[#This Row],[Levererad värme, andra fjärrvärmeföretag, företag 1 (GWh)]]-Tabell3[[#This Row],[Levererad värme, andra fjärrvärmeföretag, företag 2 (GWh)]]-Tabell3[[#This Row],[Levererad värme, andra fjärrvärmeföretag, företag 3 (GWh)]]</f>
        <v>267.3</v>
      </c>
      <c r="H407" s="102" t="e">
        <f>VLOOKUP(Tabell3[[#This Row],[Nät]],Tabell5[],2,FALSE)</f>
        <v>#N/A</v>
      </c>
      <c r="I407" t="e">
        <f>VLOOKUP(Tabell3[[#This Row],[Nät]],'Leveranser per nät'!A:A,1,FALSE)</f>
        <v>#N/A</v>
      </c>
    </row>
    <row r="408" spans="1:9" x14ac:dyDescent="0.25">
      <c r="A408" t="s">
        <v>569</v>
      </c>
      <c r="B408" t="s">
        <v>376</v>
      </c>
      <c r="C408" s="101">
        <v>232.97</v>
      </c>
      <c r="G408" s="105">
        <f>Tabell3[[#This Row],[Såld värme (GWh)]]-Tabell3[[#This Row],[Levererad värme, andra fjärrvärmeföretag, företag 1 (GWh)]]-Tabell3[[#This Row],[Levererad värme, andra fjärrvärmeföretag, företag 2 (GWh)]]-Tabell3[[#This Row],[Levererad värme, andra fjärrvärmeföretag, företag 3 (GWh)]]</f>
        <v>232.97</v>
      </c>
      <c r="H408" s="102" t="str">
        <f>VLOOKUP(Tabell3[[#This Row],[Nät]],Tabell5[],2,FALSE)</f>
        <v>Örnsköldsvik</v>
      </c>
      <c r="I408" t="str">
        <f>VLOOKUP(Tabell3[[#This Row],[Nät]],'Leveranser per nät'!A:A,1,FALSE)</f>
        <v>Örnsköldsvik</v>
      </c>
    </row>
  </sheetData>
  <pageMargins left="0.7" right="0.7" top="0.75" bottom="0.75" header="0.3" footer="0.3"/>
  <legacyDrawing r:id="rId1"/>
  <tableParts count="1">
    <tablePart r:id="rId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0392A-CC8F-4493-A873-FAF788E6AEFE}">
  <sheetPr codeName="Blad16"/>
  <dimension ref="A1:AK411"/>
  <sheetViews>
    <sheetView topLeftCell="A319" workbookViewId="0">
      <selection activeCell="B153" sqref="B153"/>
    </sheetView>
  </sheetViews>
  <sheetFormatPr defaultRowHeight="15" x14ac:dyDescent="0.25"/>
  <cols>
    <col min="1" max="1" width="19.5703125" customWidth="1"/>
    <col min="3" max="3" width="0" hidden="1" customWidth="1"/>
    <col min="4" max="4" width="19.28515625" customWidth="1"/>
    <col min="5" max="5" width="38.5703125" hidden="1" customWidth="1"/>
    <col min="6" max="6" width="32.140625" hidden="1" customWidth="1"/>
    <col min="7" max="7" width="34.140625" hidden="1" customWidth="1"/>
    <col min="8" max="8" width="40" hidden="1" customWidth="1"/>
    <col min="9" max="9" width="40.7109375" hidden="1" customWidth="1"/>
    <col min="10" max="10" width="37.42578125" hidden="1" customWidth="1"/>
    <col min="11" max="11" width="35" hidden="1" customWidth="1"/>
    <col min="12" max="12" width="35.85546875" hidden="1" customWidth="1"/>
    <col min="13" max="13" width="62.140625" hidden="1" customWidth="1"/>
    <col min="14" max="14" width="18.5703125" hidden="1" customWidth="1"/>
    <col min="15" max="15" width="16.85546875" customWidth="1"/>
    <col min="16" max="16" width="18.5703125" hidden="1" customWidth="1"/>
    <col min="17" max="17" width="14.5703125" customWidth="1"/>
    <col min="18" max="18" width="18.5703125" hidden="1" customWidth="1"/>
    <col min="19" max="19" width="13.85546875" customWidth="1"/>
    <col min="24" max="24" width="12" bestFit="1" customWidth="1"/>
    <col min="29" max="29" width="10.5703125" bestFit="1" customWidth="1"/>
    <col min="30" max="31" width="9.5703125" bestFit="1" customWidth="1"/>
    <col min="32" max="33" width="10.5703125" bestFit="1" customWidth="1"/>
  </cols>
  <sheetData>
    <row r="1" spans="1:22" s="61" customFormat="1" ht="15" customHeight="1" thickBot="1" x14ac:dyDescent="0.3">
      <c r="A1" s="60" t="s">
        <v>783</v>
      </c>
      <c r="B1" s="60" t="s">
        <v>544</v>
      </c>
      <c r="C1" s="60" t="s">
        <v>947</v>
      </c>
      <c r="D1" s="60" t="s">
        <v>803</v>
      </c>
      <c r="E1" s="60" t="s">
        <v>948</v>
      </c>
      <c r="F1" s="60" t="s">
        <v>949</v>
      </c>
      <c r="G1" s="60" t="s">
        <v>950</v>
      </c>
      <c r="H1" s="60" t="s">
        <v>951</v>
      </c>
      <c r="I1" s="60" t="s">
        <v>952</v>
      </c>
      <c r="J1" s="60" t="s">
        <v>953</v>
      </c>
      <c r="K1" s="60" t="s">
        <v>954</v>
      </c>
      <c r="L1" s="60" t="s">
        <v>1014</v>
      </c>
      <c r="M1" s="60" t="s">
        <v>955</v>
      </c>
      <c r="N1" s="60" t="s">
        <v>1015</v>
      </c>
      <c r="O1" s="60" t="s">
        <v>1016</v>
      </c>
      <c r="P1" s="60" t="s">
        <v>1017</v>
      </c>
      <c r="Q1" s="60" t="s">
        <v>1018</v>
      </c>
      <c r="R1" s="60" t="s">
        <v>1019</v>
      </c>
      <c r="S1" s="60" t="s">
        <v>1020</v>
      </c>
      <c r="T1" s="60" t="s">
        <v>1013</v>
      </c>
      <c r="U1" s="60" t="s">
        <v>1029</v>
      </c>
      <c r="V1" s="60" t="s">
        <v>1056</v>
      </c>
    </row>
    <row r="2" spans="1:22" ht="15" customHeight="1" x14ac:dyDescent="0.25">
      <c r="A2" t="s">
        <v>956</v>
      </c>
      <c r="B2" t="s">
        <v>85</v>
      </c>
      <c r="C2">
        <v>2018</v>
      </c>
      <c r="D2">
        <v>7.4930000000000003</v>
      </c>
      <c r="E2" t="s">
        <v>804</v>
      </c>
      <c r="F2" t="s">
        <v>804</v>
      </c>
      <c r="G2" t="s">
        <v>804</v>
      </c>
      <c r="H2" t="s">
        <v>804</v>
      </c>
      <c r="I2" t="s">
        <v>804</v>
      </c>
      <c r="J2" t="s">
        <v>804</v>
      </c>
      <c r="K2" t="s">
        <v>804</v>
      </c>
      <c r="L2" t="s">
        <v>804</v>
      </c>
      <c r="M2" t="s">
        <v>804</v>
      </c>
      <c r="N2" t="s">
        <v>805</v>
      </c>
      <c r="P2" t="s">
        <v>805</v>
      </c>
      <c r="R2" t="s">
        <v>805</v>
      </c>
      <c r="T2">
        <f>Tabell6[[#This Row],[Såld värme (GWh)]]-Tabell6[[#This Row],[Levererad värme, andra fjärrvärmeförag, förag 1 (GWh)]]-Tabell6[[#This Row],[Levererad värme, andra fjärrvärmeförag, förag 2 (GWh)]]-Tabell6[[#This Row],[Levererad värme, andra fjärrvärmeförag, förag 3 (GWh)]]</f>
        <v>7.4930000000000003</v>
      </c>
      <c r="U2" t="str">
        <f>VLOOKUP(Tabell6[[#This Row],[Nät]],Tabell5[],2,FALSE)</f>
        <v>Bara</v>
      </c>
    </row>
    <row r="3" spans="1:22" ht="15" customHeight="1" x14ac:dyDescent="0.25">
      <c r="A3" t="s">
        <v>956</v>
      </c>
      <c r="B3" t="s">
        <v>41</v>
      </c>
      <c r="C3">
        <v>2018</v>
      </c>
      <c r="D3">
        <v>16.2</v>
      </c>
      <c r="E3" t="s">
        <v>804</v>
      </c>
      <c r="F3" t="s">
        <v>804</v>
      </c>
      <c r="G3" t="s">
        <v>804</v>
      </c>
      <c r="H3" t="s">
        <v>804</v>
      </c>
      <c r="I3" t="s">
        <v>804</v>
      </c>
      <c r="J3" t="s">
        <v>804</v>
      </c>
      <c r="K3" t="s">
        <v>804</v>
      </c>
      <c r="L3" t="s">
        <v>804</v>
      </c>
      <c r="M3" t="s">
        <v>804</v>
      </c>
      <c r="N3" t="s">
        <v>805</v>
      </c>
      <c r="P3" t="s">
        <v>805</v>
      </c>
      <c r="R3" t="s">
        <v>805</v>
      </c>
      <c r="T3">
        <f>Tabell6[[#This Row],[Såld värme (GWh)]]-Tabell6[[#This Row],[Levererad värme, andra fjärrvärmeförag, förag 1 (GWh)]]-Tabell6[[#This Row],[Levererad värme, andra fjärrvärmeförag, förag 2 (GWh)]]-Tabell6[[#This Row],[Levererad värme, andra fjärrvärmeförag, förag 3 (GWh)]]</f>
        <v>16.2</v>
      </c>
      <c r="U3" t="str">
        <f>VLOOKUP(Tabell6[[#This Row],[Nät]],Tabell5[],2,FALSE)</f>
        <v>Boxholm</v>
      </c>
    </row>
    <row r="4" spans="1:22" ht="15" customHeight="1" x14ac:dyDescent="0.25">
      <c r="A4" t="s">
        <v>956</v>
      </c>
      <c r="B4" t="s">
        <v>52</v>
      </c>
      <c r="C4">
        <v>2018</v>
      </c>
      <c r="D4">
        <v>107.4</v>
      </c>
      <c r="E4" t="s">
        <v>804</v>
      </c>
      <c r="F4" t="s">
        <v>804</v>
      </c>
      <c r="G4" t="s">
        <v>804</v>
      </c>
      <c r="H4" t="s">
        <v>804</v>
      </c>
      <c r="I4" t="s">
        <v>804</v>
      </c>
      <c r="J4" t="s">
        <v>804</v>
      </c>
      <c r="K4" t="s">
        <v>804</v>
      </c>
      <c r="L4" t="s">
        <v>804</v>
      </c>
      <c r="M4" t="s">
        <v>804</v>
      </c>
      <c r="N4" t="s">
        <v>805</v>
      </c>
      <c r="P4" t="s">
        <v>805</v>
      </c>
      <c r="R4" t="s">
        <v>805</v>
      </c>
      <c r="T4">
        <f>Tabell6[[#This Row],[Såld värme (GWh)]]-Tabell6[[#This Row],[Levererad värme, andra fjärrvärmeförag, förag 1 (GWh)]]-Tabell6[[#This Row],[Levererad värme, andra fjärrvärmeförag, förag 2 (GWh)]]-Tabell6[[#This Row],[Levererad värme, andra fjärrvärmeförag, förag 3 (GWh)]]</f>
        <v>107.4</v>
      </c>
      <c r="U4" t="str">
        <f>VLOOKUP(Tabell6[[#This Row],[Nät]],Tabell5[],2,FALSE)</f>
        <v>Mora</v>
      </c>
    </row>
    <row r="5" spans="1:22" ht="15" customHeight="1" x14ac:dyDescent="0.25">
      <c r="A5" t="s">
        <v>956</v>
      </c>
      <c r="B5" t="s">
        <v>53</v>
      </c>
      <c r="C5">
        <v>2018</v>
      </c>
      <c r="D5">
        <v>22.3</v>
      </c>
      <c r="E5" t="s">
        <v>804</v>
      </c>
      <c r="F5" t="s">
        <v>804</v>
      </c>
      <c r="G5" t="s">
        <v>804</v>
      </c>
      <c r="H5" t="s">
        <v>804</v>
      </c>
      <c r="I5" t="s">
        <v>804</v>
      </c>
      <c r="J5" t="s">
        <v>804</v>
      </c>
      <c r="K5" t="s">
        <v>804</v>
      </c>
      <c r="L5" t="s">
        <v>804</v>
      </c>
      <c r="M5" t="s">
        <v>804</v>
      </c>
      <c r="N5" t="s">
        <v>805</v>
      </c>
      <c r="P5" t="s">
        <v>805</v>
      </c>
      <c r="R5" t="s">
        <v>805</v>
      </c>
      <c r="T5">
        <f>Tabell6[[#This Row],[Såld värme (GWh)]]-Tabell6[[#This Row],[Levererad värme, andra fjärrvärmeförag, förag 1 (GWh)]]-Tabell6[[#This Row],[Levererad värme, andra fjärrvärmeförag, förag 2 (GWh)]]-Tabell6[[#This Row],[Levererad värme, andra fjärrvärmeförag, förag 3 (GWh)]]</f>
        <v>22.3</v>
      </c>
      <c r="U5" t="str">
        <f>VLOOKUP(Tabell6[[#This Row],[Nät]],Tabell5[],2,FALSE)</f>
        <v>Orsa</v>
      </c>
    </row>
    <row r="6" spans="1:22" ht="15" customHeight="1" x14ac:dyDescent="0.25">
      <c r="A6" t="s">
        <v>956</v>
      </c>
      <c r="B6" t="s">
        <v>49</v>
      </c>
      <c r="C6">
        <v>2018</v>
      </c>
      <c r="D6">
        <v>62.1</v>
      </c>
      <c r="E6" t="s">
        <v>804</v>
      </c>
      <c r="F6" t="s">
        <v>804</v>
      </c>
      <c r="G6" t="s">
        <v>804</v>
      </c>
      <c r="H6" t="s">
        <v>804</v>
      </c>
      <c r="I6" t="s">
        <v>804</v>
      </c>
      <c r="J6" t="s">
        <v>804</v>
      </c>
      <c r="K6" t="s">
        <v>804</v>
      </c>
      <c r="L6" t="s">
        <v>804</v>
      </c>
      <c r="M6" t="s">
        <v>804</v>
      </c>
      <c r="N6" t="s">
        <v>805</v>
      </c>
      <c r="P6" t="s">
        <v>805</v>
      </c>
      <c r="R6" t="s">
        <v>805</v>
      </c>
      <c r="T6">
        <f>Tabell6[[#This Row],[Såld värme (GWh)]]-Tabell6[[#This Row],[Levererad värme, andra fjärrvärmeförag, förag 1 (GWh)]]-Tabell6[[#This Row],[Levererad värme, andra fjärrvärmeförag, förag 2 (GWh)]]-Tabell6[[#This Row],[Levererad värme, andra fjärrvärmeförag, förag 3 (GWh)]]</f>
        <v>62.1</v>
      </c>
      <c r="U6" t="str">
        <f>VLOOKUP(Tabell6[[#This Row],[Nät]],Tabell5[],2,FALSE)</f>
        <v>Sollefteå</v>
      </c>
    </row>
    <row r="7" spans="1:22" ht="15" customHeight="1" x14ac:dyDescent="0.25">
      <c r="A7" t="s">
        <v>956</v>
      </c>
      <c r="B7" t="s">
        <v>44</v>
      </c>
      <c r="C7">
        <v>2018</v>
      </c>
      <c r="D7">
        <v>23.9</v>
      </c>
      <c r="E7" t="s">
        <v>804</v>
      </c>
      <c r="F7" t="s">
        <v>804</v>
      </c>
      <c r="G7" t="s">
        <v>804</v>
      </c>
      <c r="H7" t="s">
        <v>804</v>
      </c>
      <c r="I7" t="s">
        <v>804</v>
      </c>
      <c r="J7" t="s">
        <v>804</v>
      </c>
      <c r="K7" t="s">
        <v>804</v>
      </c>
      <c r="L7" t="s">
        <v>804</v>
      </c>
      <c r="M7" t="s">
        <v>804</v>
      </c>
      <c r="N7" t="s">
        <v>805</v>
      </c>
      <c r="P7" t="s">
        <v>805</v>
      </c>
      <c r="R7" t="s">
        <v>805</v>
      </c>
      <c r="T7">
        <f>Tabell6[[#This Row],[Såld värme (GWh)]]-Tabell6[[#This Row],[Levererad värme, andra fjärrvärmeförag, förag 1 (GWh)]]-Tabell6[[#This Row],[Levererad värme, andra fjärrvärmeförag, förag 2 (GWh)]]-Tabell6[[#This Row],[Levererad värme, andra fjärrvärmeförag, förag 3 (GWh)]]</f>
        <v>23.9</v>
      </c>
      <c r="U7" t="str">
        <f>VLOOKUP(Tabell6[[#This Row],[Nät]],Tabell5[],2,FALSE)</f>
        <v>Staffanstorp</v>
      </c>
    </row>
    <row r="8" spans="1:22" ht="15" customHeight="1" x14ac:dyDescent="0.25">
      <c r="A8" t="s">
        <v>956</v>
      </c>
      <c r="B8" t="s">
        <v>54</v>
      </c>
      <c r="C8">
        <v>2018</v>
      </c>
      <c r="D8">
        <v>71.900000000000006</v>
      </c>
      <c r="E8" t="s">
        <v>804</v>
      </c>
      <c r="F8" t="s">
        <v>804</v>
      </c>
      <c r="G8" t="s">
        <v>804</v>
      </c>
      <c r="H8" t="s">
        <v>804</v>
      </c>
      <c r="I8" t="s">
        <v>804</v>
      </c>
      <c r="J8" t="s">
        <v>804</v>
      </c>
      <c r="K8" t="s">
        <v>804</v>
      </c>
      <c r="L8" t="s">
        <v>804</v>
      </c>
      <c r="M8" t="s">
        <v>804</v>
      </c>
      <c r="N8" t="s">
        <v>805</v>
      </c>
      <c r="P8" t="s">
        <v>805</v>
      </c>
      <c r="R8" t="s">
        <v>805</v>
      </c>
      <c r="T8">
        <f>Tabell6[[#This Row],[Såld värme (GWh)]]-Tabell6[[#This Row],[Levererad värme, andra fjärrvärmeförag, förag 1 (GWh)]]-Tabell6[[#This Row],[Levererad värme, andra fjärrvärmeförag, förag 2 (GWh)]]-Tabell6[[#This Row],[Levererad värme, andra fjärrvärmeförag, förag 3 (GWh)]]</f>
        <v>71.900000000000006</v>
      </c>
      <c r="U8" t="str">
        <f>VLOOKUP(Tabell6[[#This Row],[Nät]],Tabell5[],2,FALSE)</f>
        <v>Timrå</v>
      </c>
    </row>
    <row r="9" spans="1:22" ht="15" customHeight="1" x14ac:dyDescent="0.25">
      <c r="A9" t="s">
        <v>956</v>
      </c>
      <c r="B9" t="s">
        <v>58</v>
      </c>
      <c r="C9">
        <v>2018</v>
      </c>
      <c r="D9">
        <v>23.6</v>
      </c>
      <c r="E9" t="s">
        <v>804</v>
      </c>
      <c r="F9" t="s">
        <v>804</v>
      </c>
      <c r="G9" t="s">
        <v>804</v>
      </c>
      <c r="H9" t="s">
        <v>804</v>
      </c>
      <c r="I9" t="s">
        <v>804</v>
      </c>
      <c r="J9" t="s">
        <v>804</v>
      </c>
      <c r="K9" t="s">
        <v>804</v>
      </c>
      <c r="L9" t="s">
        <v>804</v>
      </c>
      <c r="M9" t="s">
        <v>804</v>
      </c>
      <c r="N9" t="s">
        <v>805</v>
      </c>
      <c r="P9" t="s">
        <v>805</v>
      </c>
      <c r="R9" t="s">
        <v>805</v>
      </c>
      <c r="T9">
        <f>Tabell6[[#This Row],[Såld värme (GWh)]]-Tabell6[[#This Row],[Levererad värme, andra fjärrvärmeförag, förag 1 (GWh)]]-Tabell6[[#This Row],[Levererad värme, andra fjärrvärmeförag, förag 2 (GWh)]]-Tabell6[[#This Row],[Levererad värme, andra fjärrvärmeförag, förag 3 (GWh)]]</f>
        <v>23.6</v>
      </c>
      <c r="U9" t="str">
        <f>VLOOKUP(Tabell6[[#This Row],[Nät]],Tabell5[],2,FALSE)</f>
        <v>Vaxholm</v>
      </c>
    </row>
    <row r="10" spans="1:22" ht="15" customHeight="1" x14ac:dyDescent="0.25">
      <c r="A10" t="s">
        <v>956</v>
      </c>
      <c r="B10" t="s">
        <v>79</v>
      </c>
      <c r="C10">
        <v>2018</v>
      </c>
      <c r="D10">
        <v>86.6</v>
      </c>
      <c r="E10" t="s">
        <v>804</v>
      </c>
      <c r="F10" t="s">
        <v>804</v>
      </c>
      <c r="G10" t="s">
        <v>804</v>
      </c>
      <c r="H10" t="s">
        <v>804</v>
      </c>
      <c r="I10" t="s">
        <v>804</v>
      </c>
      <c r="J10" t="s">
        <v>804</v>
      </c>
      <c r="K10" t="s">
        <v>804</v>
      </c>
      <c r="L10" t="s">
        <v>804</v>
      </c>
      <c r="M10" t="s">
        <v>804</v>
      </c>
      <c r="N10" t="s">
        <v>805</v>
      </c>
      <c r="P10" t="s">
        <v>805</v>
      </c>
      <c r="R10" t="s">
        <v>805</v>
      </c>
      <c r="T10">
        <f>Tabell6[[#This Row],[Såld värme (GWh)]]-Tabell6[[#This Row],[Levererad värme, andra fjärrvärmeförag, förag 1 (GWh)]]-Tabell6[[#This Row],[Levererad värme, andra fjärrvärmeförag, förag 2 (GWh)]]-Tabell6[[#This Row],[Levererad värme, andra fjärrvärmeförag, förag 3 (GWh)]]</f>
        <v>86.6</v>
      </c>
      <c r="U10" t="str">
        <f>VLOOKUP(Tabell6[[#This Row],[Nät]],Tabell5[],2,FALSE)</f>
        <v>Älmhult</v>
      </c>
    </row>
    <row r="11" spans="1:22" ht="15" customHeight="1" x14ac:dyDescent="0.25">
      <c r="A11" t="s">
        <v>809</v>
      </c>
      <c r="B11" t="s">
        <v>60</v>
      </c>
      <c r="C11">
        <v>2018</v>
      </c>
      <c r="D11">
        <v>5.3</v>
      </c>
      <c r="E11">
        <v>3.3</v>
      </c>
      <c r="I11">
        <v>2</v>
      </c>
      <c r="N11" t="s">
        <v>805</v>
      </c>
      <c r="P11" t="s">
        <v>805</v>
      </c>
      <c r="R11" t="s">
        <v>805</v>
      </c>
      <c r="T11">
        <f>Tabell6[[#This Row],[Såld värme (GWh)]]-Tabell6[[#This Row],[Levererad värme, andra fjärrvärmeförag, förag 1 (GWh)]]-Tabell6[[#This Row],[Levererad värme, andra fjärrvärmeförag, förag 2 (GWh)]]-Tabell6[[#This Row],[Levererad värme, andra fjärrvärmeförag, förag 3 (GWh)]]</f>
        <v>5.3</v>
      </c>
      <c r="U11" t="str">
        <f>VLOOKUP(Tabell6[[#This Row],[Nät]],Tabell5[],2,FALSE)</f>
        <v>Bollstabruk</v>
      </c>
    </row>
    <row r="12" spans="1:22" ht="15" customHeight="1" x14ac:dyDescent="0.25">
      <c r="A12" t="s">
        <v>809</v>
      </c>
      <c r="B12" t="s">
        <v>925</v>
      </c>
      <c r="C12">
        <v>2018</v>
      </c>
      <c r="D12">
        <v>18.2</v>
      </c>
      <c r="E12">
        <v>10.3</v>
      </c>
      <c r="F12">
        <v>0</v>
      </c>
      <c r="G12">
        <v>0.7</v>
      </c>
      <c r="H12">
        <v>0</v>
      </c>
      <c r="I12">
        <v>7.2</v>
      </c>
      <c r="J12">
        <v>0</v>
      </c>
      <c r="K12">
        <v>0</v>
      </c>
      <c r="L12">
        <v>0</v>
      </c>
      <c r="M12">
        <v>0</v>
      </c>
      <c r="N12" t="s">
        <v>805</v>
      </c>
      <c r="P12" t="s">
        <v>805</v>
      </c>
      <c r="R12" t="s">
        <v>805</v>
      </c>
      <c r="T12">
        <f>Tabell6[[#This Row],[Såld värme (GWh)]]-Tabell6[[#This Row],[Levererad värme, andra fjärrvärmeförag, förag 1 (GWh)]]-Tabell6[[#This Row],[Levererad värme, andra fjärrvärmeförag, förag 2 (GWh)]]-Tabell6[[#This Row],[Levererad värme, andra fjärrvärmeförag, förag 3 (GWh)]]</f>
        <v>18.2</v>
      </c>
      <c r="U12" t="str">
        <f>VLOOKUP(Tabell6[[#This Row],[Nät]],Tabell5[],2,FALSE)</f>
        <v>Bräcke</v>
      </c>
    </row>
    <row r="13" spans="1:22" ht="15" customHeight="1" x14ac:dyDescent="0.25">
      <c r="A13" t="s">
        <v>809</v>
      </c>
      <c r="B13" t="s">
        <v>603</v>
      </c>
      <c r="C13">
        <v>2018</v>
      </c>
      <c r="D13">
        <v>3.5</v>
      </c>
      <c r="E13">
        <v>1.9</v>
      </c>
      <c r="F13">
        <v>0</v>
      </c>
      <c r="G13">
        <v>0</v>
      </c>
      <c r="H13">
        <v>0</v>
      </c>
      <c r="I13">
        <v>1.6</v>
      </c>
      <c r="J13">
        <v>0</v>
      </c>
      <c r="K13">
        <v>0</v>
      </c>
      <c r="L13">
        <v>0</v>
      </c>
      <c r="M13">
        <v>0</v>
      </c>
      <c r="N13" t="s">
        <v>805</v>
      </c>
      <c r="P13" t="s">
        <v>805</v>
      </c>
      <c r="R13" t="s">
        <v>805</v>
      </c>
      <c r="T13">
        <f>Tabell6[[#This Row],[Såld värme (GWh)]]-Tabell6[[#This Row],[Levererad värme, andra fjärrvärmeförag, förag 1 (GWh)]]-Tabell6[[#This Row],[Levererad värme, andra fjärrvärmeförag, förag 2 (GWh)]]-Tabell6[[#This Row],[Levererad värme, andra fjärrvärmeförag, förag 3 (GWh)]]</f>
        <v>3.5</v>
      </c>
      <c r="U13" t="str">
        <f>VLOOKUP(Tabell6[[#This Row],[Nät]],Tabell5[],2,FALSE)</f>
        <v>Friggesund</v>
      </c>
    </row>
    <row r="14" spans="1:22" ht="15" customHeight="1" x14ac:dyDescent="0.25">
      <c r="A14" t="s">
        <v>809</v>
      </c>
      <c r="B14" t="s">
        <v>607</v>
      </c>
      <c r="C14">
        <v>2018</v>
      </c>
      <c r="D14">
        <v>5.4</v>
      </c>
      <c r="E14">
        <v>3</v>
      </c>
      <c r="F14">
        <v>0.4</v>
      </c>
      <c r="G14">
        <v>0</v>
      </c>
      <c r="H14">
        <v>0</v>
      </c>
      <c r="I14">
        <v>2</v>
      </c>
      <c r="J14">
        <v>0</v>
      </c>
      <c r="K14">
        <v>0</v>
      </c>
      <c r="L14">
        <v>0</v>
      </c>
      <c r="M14">
        <v>0</v>
      </c>
      <c r="N14" t="s">
        <v>805</v>
      </c>
      <c r="P14" t="s">
        <v>805</v>
      </c>
      <c r="R14" t="s">
        <v>805</v>
      </c>
      <c r="T14">
        <f>Tabell6[[#This Row],[Såld värme (GWh)]]-Tabell6[[#This Row],[Levererad värme, andra fjärrvärmeförag, förag 1 (GWh)]]-Tabell6[[#This Row],[Levererad värme, andra fjärrvärmeförag, förag 2 (GWh)]]-Tabell6[[#This Row],[Levererad värme, andra fjärrvärmeförag, förag 3 (GWh)]]</f>
        <v>5.4</v>
      </c>
      <c r="U14" t="str">
        <f>VLOOKUP(Tabell6[[#This Row],[Nät]],Tabell5[],2,FALSE)</f>
        <v>Funäsdalen</v>
      </c>
    </row>
    <row r="15" spans="1:22" ht="15" customHeight="1" x14ac:dyDescent="0.25">
      <c r="A15" t="s">
        <v>809</v>
      </c>
      <c r="B15" t="s">
        <v>64</v>
      </c>
      <c r="C15">
        <v>2018</v>
      </c>
      <c r="D15">
        <v>7.8</v>
      </c>
      <c r="E15">
        <v>2.8</v>
      </c>
      <c r="F15">
        <v>1.4</v>
      </c>
      <c r="G15">
        <v>0.6</v>
      </c>
      <c r="H15">
        <v>0</v>
      </c>
      <c r="I15">
        <v>3</v>
      </c>
      <c r="J15">
        <v>0</v>
      </c>
      <c r="K15">
        <v>0</v>
      </c>
      <c r="L15">
        <v>0</v>
      </c>
      <c r="M15">
        <v>0</v>
      </c>
      <c r="N15" t="s">
        <v>805</v>
      </c>
      <c r="P15" t="s">
        <v>805</v>
      </c>
      <c r="R15" t="s">
        <v>805</v>
      </c>
      <c r="T15">
        <f>Tabell6[[#This Row],[Såld värme (GWh)]]-Tabell6[[#This Row],[Levererad värme, andra fjärrvärmeförag, förag 1 (GWh)]]-Tabell6[[#This Row],[Levererad värme, andra fjärrvärmeförag, förag 2 (GWh)]]-Tabell6[[#This Row],[Levererad värme, andra fjärrvärmeförag, förag 3 (GWh)]]</f>
        <v>7.8</v>
      </c>
      <c r="U15" t="str">
        <f>VLOOKUP(Tabell6[[#This Row],[Nät]],Tabell5[],2,FALSE)</f>
        <v>Hede</v>
      </c>
    </row>
    <row r="16" spans="1:22" ht="15" customHeight="1" x14ac:dyDescent="0.25">
      <c r="A16" t="s">
        <v>809</v>
      </c>
      <c r="B16" t="s">
        <v>957</v>
      </c>
      <c r="C16">
        <v>2018</v>
      </c>
      <c r="D16">
        <v>15.7</v>
      </c>
      <c r="E16">
        <v>5.4</v>
      </c>
      <c r="F16">
        <v>3.1</v>
      </c>
      <c r="G16">
        <v>7.2</v>
      </c>
      <c r="N16" t="s">
        <v>805</v>
      </c>
      <c r="P16" t="s">
        <v>805</v>
      </c>
      <c r="R16" t="s">
        <v>805</v>
      </c>
      <c r="T16">
        <f>Tabell6[[#This Row],[Såld värme (GWh)]]-Tabell6[[#This Row],[Levererad värme, andra fjärrvärmeförag, förag 1 (GWh)]]-Tabell6[[#This Row],[Levererad värme, andra fjärrvärmeförag, förag 2 (GWh)]]-Tabell6[[#This Row],[Levererad värme, andra fjärrvärmeförag, förag 3 (GWh)]]</f>
        <v>15.7</v>
      </c>
      <c r="U16" t="str">
        <f>VLOOKUP(Tabell6[[#This Row],[Nät]],Tabell5[],2,FALSE)</f>
        <v>Lenhovda</v>
      </c>
    </row>
    <row r="17" spans="1:21" ht="15" customHeight="1" x14ac:dyDescent="0.25">
      <c r="A17" t="s">
        <v>809</v>
      </c>
      <c r="B17" t="s">
        <v>69</v>
      </c>
      <c r="C17">
        <v>2018</v>
      </c>
      <c r="D17">
        <v>4</v>
      </c>
      <c r="E17">
        <v>2.1</v>
      </c>
      <c r="F17">
        <v>0.1</v>
      </c>
      <c r="G17">
        <v>0</v>
      </c>
      <c r="H17">
        <v>0</v>
      </c>
      <c r="I17">
        <v>1.8</v>
      </c>
      <c r="J17">
        <v>0</v>
      </c>
      <c r="K17">
        <v>0</v>
      </c>
      <c r="L17">
        <v>0</v>
      </c>
      <c r="M17">
        <v>0</v>
      </c>
      <c r="N17" t="s">
        <v>805</v>
      </c>
      <c r="P17" t="s">
        <v>805</v>
      </c>
      <c r="R17" t="s">
        <v>805</v>
      </c>
      <c r="T17">
        <f>Tabell6[[#This Row],[Såld värme (GWh)]]-Tabell6[[#This Row],[Levererad värme, andra fjärrvärmeförag, förag 1 (GWh)]]-Tabell6[[#This Row],[Levererad värme, andra fjärrvärmeförag, förag 2 (GWh)]]-Tabell6[[#This Row],[Levererad värme, andra fjärrvärmeförag, förag 3 (GWh)]]</f>
        <v>4</v>
      </c>
      <c r="U17" t="str">
        <f>VLOOKUP(Tabell6[[#This Row],[Nät]],Tabell5[],2,FALSE)</f>
        <v>Långsele</v>
      </c>
    </row>
    <row r="18" spans="1:21" ht="15" customHeight="1" x14ac:dyDescent="0.25">
      <c r="A18" t="s">
        <v>809</v>
      </c>
      <c r="B18" t="s">
        <v>71</v>
      </c>
      <c r="C18">
        <v>2018</v>
      </c>
      <c r="D18">
        <v>1.8</v>
      </c>
      <c r="E18">
        <v>1.3</v>
      </c>
      <c r="F18">
        <v>0</v>
      </c>
      <c r="G18">
        <v>0</v>
      </c>
      <c r="H18">
        <v>0</v>
      </c>
      <c r="I18">
        <v>0.5</v>
      </c>
      <c r="J18">
        <v>0</v>
      </c>
      <c r="K18">
        <v>0</v>
      </c>
      <c r="L18">
        <v>0</v>
      </c>
      <c r="M18">
        <v>0</v>
      </c>
      <c r="N18" t="s">
        <v>805</v>
      </c>
      <c r="P18" t="s">
        <v>805</v>
      </c>
      <c r="R18" t="s">
        <v>805</v>
      </c>
      <c r="T18">
        <f>Tabell6[[#This Row],[Såld värme (GWh)]]-Tabell6[[#This Row],[Levererad värme, andra fjärrvärmeförag, förag 1 (GWh)]]-Tabell6[[#This Row],[Levererad värme, andra fjärrvärmeförag, förag 2 (GWh)]]-Tabell6[[#This Row],[Levererad värme, andra fjärrvärmeförag, förag 3 (GWh)]]</f>
        <v>1.8</v>
      </c>
      <c r="U18" t="str">
        <f>VLOOKUP(Tabell6[[#This Row],[Nät]],Tabell5[],2,FALSE)</f>
        <v>Näsåker</v>
      </c>
    </row>
    <row r="19" spans="1:21" ht="15" customHeight="1" x14ac:dyDescent="0.25">
      <c r="A19" t="s">
        <v>809</v>
      </c>
      <c r="B19" t="s">
        <v>72</v>
      </c>
      <c r="C19">
        <v>2018</v>
      </c>
      <c r="D19">
        <v>5.5</v>
      </c>
      <c r="E19">
        <v>3.1</v>
      </c>
      <c r="F19">
        <v>0.6</v>
      </c>
      <c r="G19">
        <v>0</v>
      </c>
      <c r="H19">
        <v>0</v>
      </c>
      <c r="I19">
        <v>2.4</v>
      </c>
      <c r="J19">
        <v>0</v>
      </c>
      <c r="K19">
        <v>0</v>
      </c>
      <c r="L19">
        <v>0</v>
      </c>
      <c r="M19">
        <v>0</v>
      </c>
      <c r="N19" t="s">
        <v>805</v>
      </c>
      <c r="P19" t="s">
        <v>805</v>
      </c>
      <c r="R19" t="s">
        <v>805</v>
      </c>
      <c r="T19">
        <f>Tabell6[[#This Row],[Såld värme (GWh)]]-Tabell6[[#This Row],[Levererad värme, andra fjärrvärmeförag, förag 1 (GWh)]]-Tabell6[[#This Row],[Levererad värme, andra fjärrvärmeförag, förag 2 (GWh)]]-Tabell6[[#This Row],[Levererad värme, andra fjärrvärmeförag, förag 3 (GWh)]]</f>
        <v>5.5</v>
      </c>
      <c r="U19" t="str">
        <f>VLOOKUP(Tabell6[[#This Row],[Nät]],Tabell5[],2,FALSE)</f>
        <v>Ramsele</v>
      </c>
    </row>
    <row r="20" spans="1:21" ht="15" customHeight="1" x14ac:dyDescent="0.25">
      <c r="A20" t="s">
        <v>809</v>
      </c>
      <c r="B20" t="s">
        <v>958</v>
      </c>
      <c r="C20">
        <v>2018</v>
      </c>
      <c r="D20">
        <v>3.5</v>
      </c>
      <c r="E20">
        <v>1.4</v>
      </c>
      <c r="F20">
        <v>0.6</v>
      </c>
      <c r="I20">
        <v>1.5</v>
      </c>
      <c r="N20" t="s">
        <v>805</v>
      </c>
      <c r="P20" t="s">
        <v>805</v>
      </c>
      <c r="R20" t="s">
        <v>805</v>
      </c>
      <c r="T20">
        <f>Tabell6[[#This Row],[Såld värme (GWh)]]-Tabell6[[#This Row],[Levererad värme, andra fjärrvärmeförag, förag 1 (GWh)]]-Tabell6[[#This Row],[Levererad värme, andra fjärrvärmeförag, förag 2 (GWh)]]-Tabell6[[#This Row],[Levererad värme, andra fjärrvärmeförag, förag 3 (GWh)]]</f>
        <v>3.5</v>
      </c>
      <c r="U20" t="str">
        <f>VLOOKUP(Tabell6[[#This Row],[Nät]],Tabell5[],2,FALSE)</f>
        <v>Sösdala</v>
      </c>
    </row>
    <row r="21" spans="1:21" ht="15" customHeight="1" x14ac:dyDescent="0.25">
      <c r="A21" t="s">
        <v>639</v>
      </c>
      <c r="B21" t="s">
        <v>838</v>
      </c>
      <c r="C21">
        <v>2018</v>
      </c>
      <c r="D21">
        <v>0.38</v>
      </c>
      <c r="E21">
        <v>0</v>
      </c>
      <c r="F21">
        <v>0</v>
      </c>
      <c r="G21">
        <v>0</v>
      </c>
      <c r="H21">
        <v>0</v>
      </c>
      <c r="I21">
        <v>0.38</v>
      </c>
      <c r="J21">
        <v>0</v>
      </c>
      <c r="K21">
        <v>0</v>
      </c>
      <c r="L21">
        <v>0</v>
      </c>
      <c r="M21">
        <v>0</v>
      </c>
      <c r="N21" t="s">
        <v>805</v>
      </c>
      <c r="P21" t="s">
        <v>805</v>
      </c>
      <c r="R21" t="s">
        <v>805</v>
      </c>
      <c r="T21">
        <f>Tabell6[[#This Row],[Såld värme (GWh)]]-Tabell6[[#This Row],[Levererad värme, andra fjärrvärmeförag, förag 1 (GWh)]]-Tabell6[[#This Row],[Levererad värme, andra fjärrvärmeförag, förag 2 (GWh)]]-Tabell6[[#This Row],[Levererad värme, andra fjärrvärmeförag, förag 3 (GWh)]]</f>
        <v>0.38</v>
      </c>
      <c r="U21" t="str">
        <f>VLOOKUP(Tabell6[[#This Row],[Nät]],Tabell5[],2,FALSE)</f>
        <v>Fridlevstad</v>
      </c>
    </row>
    <row r="22" spans="1:21" ht="15" customHeight="1" x14ac:dyDescent="0.25">
      <c r="A22" t="s">
        <v>639</v>
      </c>
      <c r="B22" t="s">
        <v>640</v>
      </c>
      <c r="C22">
        <v>2018</v>
      </c>
      <c r="D22">
        <v>4.95</v>
      </c>
      <c r="E22">
        <v>2</v>
      </c>
      <c r="F22">
        <v>0.19</v>
      </c>
      <c r="G22">
        <v>0</v>
      </c>
      <c r="H22">
        <v>0</v>
      </c>
      <c r="I22">
        <v>2.5099999999999998</v>
      </c>
      <c r="J22">
        <v>0.27</v>
      </c>
      <c r="K22">
        <v>0</v>
      </c>
      <c r="L22">
        <v>0</v>
      </c>
      <c r="M22">
        <v>0</v>
      </c>
      <c r="N22" t="s">
        <v>805</v>
      </c>
      <c r="P22" t="s">
        <v>805</v>
      </c>
      <c r="R22" t="s">
        <v>805</v>
      </c>
      <c r="T22">
        <f>Tabell6[[#This Row],[Såld värme (GWh)]]-Tabell6[[#This Row],[Levererad värme, andra fjärrvärmeförag, förag 1 (GWh)]]-Tabell6[[#This Row],[Levererad värme, andra fjärrvärmeförag, förag 2 (GWh)]]-Tabell6[[#This Row],[Levererad värme, andra fjärrvärmeförag, förag 3 (GWh)]]</f>
        <v>4.95</v>
      </c>
      <c r="U22" t="str">
        <f>VLOOKUP(Tabell6[[#This Row],[Nät]],Tabell5[],2,FALSE)</f>
        <v>Jämjö</v>
      </c>
    </row>
    <row r="23" spans="1:21" ht="15" customHeight="1" x14ac:dyDescent="0.25">
      <c r="A23" t="s">
        <v>639</v>
      </c>
      <c r="B23" t="s">
        <v>0</v>
      </c>
      <c r="C23">
        <v>2018</v>
      </c>
      <c r="D23">
        <v>243.29599999999999</v>
      </c>
      <c r="E23">
        <v>124.744</v>
      </c>
      <c r="F23">
        <v>2.702</v>
      </c>
      <c r="I23">
        <v>42.685000000000002</v>
      </c>
      <c r="J23">
        <v>49.439</v>
      </c>
      <c r="K23">
        <v>8.5000000000000006E-2</v>
      </c>
      <c r="M23">
        <v>23.640999999999998</v>
      </c>
      <c r="N23" t="s">
        <v>805</v>
      </c>
      <c r="P23" t="s">
        <v>805</v>
      </c>
      <c r="R23" t="s">
        <v>805</v>
      </c>
      <c r="T23">
        <f>Tabell6[[#This Row],[Såld värme (GWh)]]-Tabell6[[#This Row],[Levererad värme, andra fjärrvärmeförag, förag 1 (GWh)]]-Tabell6[[#This Row],[Levererad värme, andra fjärrvärmeförag, förag 2 (GWh)]]-Tabell6[[#This Row],[Levererad värme, andra fjärrvärmeförag, förag 3 (GWh)]]</f>
        <v>243.29599999999999</v>
      </c>
      <c r="U23" t="str">
        <f>VLOOKUP(Tabell6[[#This Row],[Nät]],Tabell5[],2,FALSE)</f>
        <v>Karlskrona</v>
      </c>
    </row>
    <row r="24" spans="1:21" ht="15" customHeight="1" x14ac:dyDescent="0.25">
      <c r="A24" t="s">
        <v>639</v>
      </c>
      <c r="B24" t="s">
        <v>682</v>
      </c>
      <c r="C24">
        <v>2018</v>
      </c>
      <c r="D24">
        <v>4.0970000000000004</v>
      </c>
      <c r="E24">
        <v>1.083</v>
      </c>
      <c r="F24">
        <v>0.32</v>
      </c>
      <c r="G24">
        <v>0</v>
      </c>
      <c r="H24">
        <v>0</v>
      </c>
      <c r="I24">
        <v>1.7829999999999999</v>
      </c>
      <c r="J24">
        <v>0.91100000000000003</v>
      </c>
      <c r="K24">
        <v>0</v>
      </c>
      <c r="L24">
        <v>0</v>
      </c>
      <c r="M24">
        <v>0</v>
      </c>
      <c r="N24" t="s">
        <v>805</v>
      </c>
      <c r="P24" t="s">
        <v>805</v>
      </c>
      <c r="R24" t="s">
        <v>805</v>
      </c>
      <c r="T24">
        <f>Tabell6[[#This Row],[Såld värme (GWh)]]-Tabell6[[#This Row],[Levererad värme, andra fjärrvärmeförag, förag 1 (GWh)]]-Tabell6[[#This Row],[Levererad värme, andra fjärrvärmeförag, förag 2 (GWh)]]-Tabell6[[#This Row],[Levererad värme, andra fjärrvärmeförag, förag 3 (GWh)]]</f>
        <v>4.0970000000000004</v>
      </c>
      <c r="U24" t="str">
        <f>VLOOKUP(Tabell6[[#This Row],[Nät]],Tabell5[],2,FALSE)</f>
        <v>Nättraby</v>
      </c>
    </row>
    <row r="25" spans="1:21" ht="15" customHeight="1" x14ac:dyDescent="0.25">
      <c r="A25" t="s">
        <v>639</v>
      </c>
      <c r="B25" t="s">
        <v>710</v>
      </c>
      <c r="C25">
        <v>2018</v>
      </c>
      <c r="D25">
        <v>0.7</v>
      </c>
      <c r="E25">
        <v>0.32</v>
      </c>
      <c r="F25">
        <v>0</v>
      </c>
      <c r="G25">
        <v>0</v>
      </c>
      <c r="H25">
        <v>0</v>
      </c>
      <c r="I25">
        <v>0.37</v>
      </c>
      <c r="J25">
        <v>0</v>
      </c>
      <c r="K25">
        <v>0</v>
      </c>
      <c r="L25">
        <v>0</v>
      </c>
      <c r="M25">
        <v>0</v>
      </c>
      <c r="N25" t="s">
        <v>805</v>
      </c>
      <c r="P25" t="s">
        <v>805</v>
      </c>
      <c r="R25" t="s">
        <v>805</v>
      </c>
      <c r="T25">
        <f>Tabell6[[#This Row],[Såld värme (GWh)]]-Tabell6[[#This Row],[Levererad värme, andra fjärrvärmeförag, förag 1 (GWh)]]-Tabell6[[#This Row],[Levererad värme, andra fjärrvärmeförag, förag 2 (GWh)]]-Tabell6[[#This Row],[Levererad värme, andra fjärrvärmeförag, förag 3 (GWh)]]</f>
        <v>0.7</v>
      </c>
      <c r="U25" t="str">
        <f>VLOOKUP(Tabell6[[#This Row],[Nät]],Tabell5[],2,FALSE)</f>
        <v>Sturkö</v>
      </c>
    </row>
    <row r="26" spans="1:21" ht="15" customHeight="1" x14ac:dyDescent="0.25">
      <c r="A26" t="s">
        <v>548</v>
      </c>
      <c r="B26" t="s">
        <v>1</v>
      </c>
      <c r="C26">
        <v>2018</v>
      </c>
      <c r="D26">
        <v>121.5</v>
      </c>
      <c r="E26">
        <v>62</v>
      </c>
      <c r="F26">
        <v>11.1</v>
      </c>
      <c r="G26">
        <v>9.4</v>
      </c>
      <c r="H26">
        <v>0</v>
      </c>
      <c r="I26">
        <v>12.5</v>
      </c>
      <c r="J26">
        <v>26.5</v>
      </c>
      <c r="K26">
        <v>0</v>
      </c>
      <c r="L26" t="s">
        <v>804</v>
      </c>
      <c r="M26">
        <v>4.3</v>
      </c>
      <c r="N26" t="s">
        <v>805</v>
      </c>
      <c r="P26" t="s">
        <v>805</v>
      </c>
      <c r="R26" t="s">
        <v>805</v>
      </c>
      <c r="T26">
        <f>Tabell6[[#This Row],[Såld värme (GWh)]]-Tabell6[[#This Row],[Levererad värme, andra fjärrvärmeförag, förag 1 (GWh)]]-Tabell6[[#This Row],[Levererad värme, andra fjärrvärmeförag, förag 2 (GWh)]]-Tabell6[[#This Row],[Levererad värme, andra fjärrvärmeförag, förag 3 (GWh)]]</f>
        <v>121.5</v>
      </c>
      <c r="U26" t="str">
        <f>VLOOKUP(Tabell6[[#This Row],[Nät]],Tabell5[],2,FALSE)</f>
        <v>Alingsås</v>
      </c>
    </row>
    <row r="27" spans="1:21" ht="15" customHeight="1" x14ac:dyDescent="0.25">
      <c r="A27" t="s">
        <v>549</v>
      </c>
      <c r="B27" t="s">
        <v>2</v>
      </c>
      <c r="C27">
        <v>2018</v>
      </c>
      <c r="D27">
        <v>55.97</v>
      </c>
      <c r="E27">
        <v>23.34</v>
      </c>
      <c r="F27">
        <v>13.59</v>
      </c>
      <c r="G27">
        <v>4.42</v>
      </c>
      <c r="H27" t="s">
        <v>804</v>
      </c>
      <c r="I27">
        <v>14.62</v>
      </c>
      <c r="N27" t="s">
        <v>805</v>
      </c>
      <c r="P27" t="s">
        <v>805</v>
      </c>
      <c r="R27" t="s">
        <v>805</v>
      </c>
      <c r="T27">
        <f>Tabell6[[#This Row],[Såld värme (GWh)]]-Tabell6[[#This Row],[Levererad värme, andra fjärrvärmeförag, förag 1 (GWh)]]-Tabell6[[#This Row],[Levererad värme, andra fjärrvärmeförag, förag 2 (GWh)]]-Tabell6[[#This Row],[Levererad värme, andra fjärrvärmeförag, förag 3 (GWh)]]</f>
        <v>55.97</v>
      </c>
      <c r="U27" t="str">
        <f>VLOOKUP(Tabell6[[#This Row],[Nät]],Tabell5[],2,FALSE)</f>
        <v>Alvesta</v>
      </c>
    </row>
    <row r="28" spans="1:21" ht="15" customHeight="1" x14ac:dyDescent="0.25">
      <c r="A28" t="s">
        <v>549</v>
      </c>
      <c r="B28" t="s">
        <v>3</v>
      </c>
      <c r="C28">
        <v>2018</v>
      </c>
      <c r="D28">
        <v>10.67</v>
      </c>
      <c r="E28">
        <v>2.83</v>
      </c>
      <c r="F28">
        <v>4.8899999999999997</v>
      </c>
      <c r="G28">
        <v>1.47</v>
      </c>
      <c r="I28">
        <v>1.48</v>
      </c>
      <c r="N28" t="s">
        <v>805</v>
      </c>
      <c r="P28" t="s">
        <v>805</v>
      </c>
      <c r="R28" t="s">
        <v>805</v>
      </c>
      <c r="T28">
        <f>Tabell6[[#This Row],[Såld värme (GWh)]]-Tabell6[[#This Row],[Levererad värme, andra fjärrvärmeförag, förag 1 (GWh)]]-Tabell6[[#This Row],[Levererad värme, andra fjärrvärmeförag, förag 2 (GWh)]]-Tabell6[[#This Row],[Levererad värme, andra fjärrvärmeförag, förag 3 (GWh)]]</f>
        <v>10.67</v>
      </c>
      <c r="U28" t="str">
        <f>VLOOKUP(Tabell6[[#This Row],[Nät]],Tabell5[],2,FALSE)</f>
        <v>Moheda</v>
      </c>
    </row>
    <row r="29" spans="1:21" ht="15" customHeight="1" x14ac:dyDescent="0.25">
      <c r="A29" t="s">
        <v>549</v>
      </c>
      <c r="B29" t="s">
        <v>4</v>
      </c>
      <c r="C29">
        <v>2018</v>
      </c>
      <c r="D29">
        <v>10.67</v>
      </c>
      <c r="E29">
        <v>2.83</v>
      </c>
      <c r="F29">
        <v>4.8899999999999997</v>
      </c>
      <c r="G29">
        <v>1.47</v>
      </c>
      <c r="I29">
        <v>1.48</v>
      </c>
      <c r="N29" t="s">
        <v>805</v>
      </c>
      <c r="P29" t="s">
        <v>805</v>
      </c>
      <c r="R29" t="s">
        <v>805</v>
      </c>
      <c r="T29">
        <f>Tabell6[[#This Row],[Såld värme (GWh)]]-Tabell6[[#This Row],[Levererad värme, andra fjärrvärmeförag, förag 1 (GWh)]]-Tabell6[[#This Row],[Levererad värme, andra fjärrvärmeförag, förag 2 (GWh)]]-Tabell6[[#This Row],[Levererad värme, andra fjärrvärmeförag, förag 3 (GWh)]]</f>
        <v>10.67</v>
      </c>
      <c r="U29" t="str">
        <f>VLOOKUP(Tabell6[[#This Row],[Nät]],Tabell5[],2,FALSE)</f>
        <v>Vislanda</v>
      </c>
    </row>
    <row r="30" spans="1:21" ht="15" customHeight="1" x14ac:dyDescent="0.25">
      <c r="A30" t="s">
        <v>959</v>
      </c>
      <c r="B30" t="s">
        <v>926</v>
      </c>
      <c r="C30">
        <v>2018</v>
      </c>
      <c r="D30">
        <v>25.97</v>
      </c>
      <c r="E30">
        <v>5.9610000000000003</v>
      </c>
      <c r="F30">
        <v>3.4729999999999999</v>
      </c>
      <c r="G30">
        <v>0.97899999999999998</v>
      </c>
      <c r="H30">
        <v>0</v>
      </c>
      <c r="I30">
        <v>2.1070000000000002</v>
      </c>
      <c r="J30">
        <v>1.8620000000000001</v>
      </c>
      <c r="K30">
        <v>0</v>
      </c>
      <c r="L30">
        <v>0</v>
      </c>
      <c r="M30">
        <v>11.587999999999999</v>
      </c>
      <c r="N30" t="s">
        <v>805</v>
      </c>
      <c r="P30" t="s">
        <v>805</v>
      </c>
      <c r="R30" t="s">
        <v>805</v>
      </c>
      <c r="T30">
        <f>Tabell6[[#This Row],[Såld värme (GWh)]]-Tabell6[[#This Row],[Levererad värme, andra fjärrvärmeförag, förag 1 (GWh)]]-Tabell6[[#This Row],[Levererad värme, andra fjärrvärmeförag, förag 2 (GWh)]]-Tabell6[[#This Row],[Levererad värme, andra fjärrvärmeförag, förag 3 (GWh)]]</f>
        <v>25.97</v>
      </c>
      <c r="U30" t="str">
        <f>VLOOKUP(Tabell6[[#This Row],[Nät]],Tabell5[],2,FALSE)</f>
        <v>Aneby</v>
      </c>
    </row>
    <row r="31" spans="1:21" ht="15" customHeight="1" x14ac:dyDescent="0.25">
      <c r="A31" t="s">
        <v>555</v>
      </c>
      <c r="B31" t="s">
        <v>119</v>
      </c>
      <c r="C31">
        <v>2018</v>
      </c>
      <c r="D31">
        <v>108.3</v>
      </c>
      <c r="E31">
        <v>40.799999999999997</v>
      </c>
      <c r="F31">
        <v>5.2</v>
      </c>
      <c r="G31">
        <v>31.4</v>
      </c>
      <c r="I31">
        <v>14.1</v>
      </c>
      <c r="J31">
        <v>16.8</v>
      </c>
      <c r="N31" t="s">
        <v>805</v>
      </c>
      <c r="P31" t="s">
        <v>805</v>
      </c>
      <c r="R31" t="s">
        <v>805</v>
      </c>
      <c r="T31">
        <f>Tabell6[[#This Row],[Såld värme (GWh)]]-Tabell6[[#This Row],[Levererad värme, andra fjärrvärmeförag, förag 1 (GWh)]]-Tabell6[[#This Row],[Levererad värme, andra fjärrvärmeförag, förag 2 (GWh)]]-Tabell6[[#This Row],[Levererad värme, andra fjärrvärmeförag, förag 3 (GWh)]]</f>
        <v>108.3</v>
      </c>
      <c r="U31" t="str">
        <f>VLOOKUP(Tabell6[[#This Row],[Nät]],Tabell5[],2,FALSE)</f>
        <v>Arvika</v>
      </c>
    </row>
    <row r="32" spans="1:21" ht="15" customHeight="1" x14ac:dyDescent="0.25">
      <c r="A32" t="s">
        <v>562</v>
      </c>
      <c r="B32" t="s">
        <v>7</v>
      </c>
      <c r="C32">
        <v>2018</v>
      </c>
      <c r="D32">
        <v>8.4</v>
      </c>
      <c r="E32">
        <v>3.4</v>
      </c>
      <c r="F32">
        <v>0.5</v>
      </c>
      <c r="I32">
        <v>3.6</v>
      </c>
      <c r="J32">
        <v>0.6</v>
      </c>
      <c r="N32" t="s">
        <v>805</v>
      </c>
      <c r="P32" t="s">
        <v>805</v>
      </c>
      <c r="R32" t="s">
        <v>805</v>
      </c>
      <c r="T32">
        <f>Tabell6[[#This Row],[Såld värme (GWh)]]-Tabell6[[#This Row],[Levererad värme, andra fjärrvärmeförag, förag 1 (GWh)]]-Tabell6[[#This Row],[Levererad värme, andra fjärrvärmeförag, förag 2 (GWh)]]-Tabell6[[#This Row],[Levererad värme, andra fjärrvärmeförag, förag 3 (GWh)]]</f>
        <v>8.4</v>
      </c>
      <c r="U32" t="str">
        <f>VLOOKUP(Tabell6[[#This Row],[Nät]],Tabell5[],2,FALSE)</f>
        <v>Bengtsfors</v>
      </c>
    </row>
    <row r="33" spans="1:21" ht="15" customHeight="1" x14ac:dyDescent="0.25">
      <c r="A33" t="s">
        <v>841</v>
      </c>
      <c r="B33" t="s">
        <v>19</v>
      </c>
      <c r="C33">
        <v>2018</v>
      </c>
      <c r="D33">
        <v>273</v>
      </c>
      <c r="E33">
        <v>91</v>
      </c>
      <c r="F33">
        <v>88</v>
      </c>
      <c r="G33">
        <v>12</v>
      </c>
      <c r="I33">
        <v>36</v>
      </c>
      <c r="K33">
        <v>4</v>
      </c>
      <c r="M33">
        <v>12</v>
      </c>
      <c r="N33" t="s">
        <v>805</v>
      </c>
      <c r="P33" t="s">
        <v>805</v>
      </c>
      <c r="R33" t="s">
        <v>805</v>
      </c>
      <c r="T33">
        <f>Tabell6[[#This Row],[Såld värme (GWh)]]-Tabell6[[#This Row],[Levererad värme, andra fjärrvärmeförag, förag 1 (GWh)]]-Tabell6[[#This Row],[Levererad värme, andra fjärrvärmeförag, förag 2 (GWh)]]-Tabell6[[#This Row],[Levererad värme, andra fjärrvärmeförag, förag 3 (GWh)]]</f>
        <v>273</v>
      </c>
      <c r="U33" t="str">
        <f>VLOOKUP(Tabell6[[#This Row],[Nät]],Tabell5[],2,FALSE)</f>
        <v>Boden</v>
      </c>
    </row>
    <row r="34" spans="1:21" ht="15" customHeight="1" x14ac:dyDescent="0.25">
      <c r="A34" t="s">
        <v>553</v>
      </c>
      <c r="B34" t="s">
        <v>20</v>
      </c>
      <c r="C34">
        <v>2018</v>
      </c>
      <c r="D34">
        <v>17.327999999999999</v>
      </c>
      <c r="E34">
        <v>5.9989999999999997</v>
      </c>
      <c r="F34">
        <v>3.431</v>
      </c>
      <c r="G34">
        <v>3.5390000000000001</v>
      </c>
      <c r="I34">
        <v>3.6059999999999999</v>
      </c>
      <c r="J34">
        <v>0.753</v>
      </c>
      <c r="N34" t="s">
        <v>805</v>
      </c>
      <c r="P34" t="s">
        <v>805</v>
      </c>
      <c r="R34" t="s">
        <v>805</v>
      </c>
      <c r="T34">
        <f>Tabell6[[#This Row],[Såld värme (GWh)]]-Tabell6[[#This Row],[Levererad värme, andra fjärrvärmeförag, förag 1 (GWh)]]-Tabell6[[#This Row],[Levererad värme, andra fjärrvärmeförag, förag 2 (GWh)]]-Tabell6[[#This Row],[Levererad värme, andra fjärrvärmeförag, förag 3 (GWh)]]</f>
        <v>17.327999999999999</v>
      </c>
      <c r="U34" t="str">
        <f>VLOOKUP(Tabell6[[#This Row],[Nät]],Tabell5[],2,FALSE)</f>
        <v>Arbrå</v>
      </c>
    </row>
    <row r="35" spans="1:21" ht="15" customHeight="1" x14ac:dyDescent="0.25">
      <c r="A35" t="s">
        <v>553</v>
      </c>
      <c r="B35" t="s">
        <v>21</v>
      </c>
      <c r="C35">
        <v>2018</v>
      </c>
      <c r="D35">
        <v>125.789</v>
      </c>
      <c r="E35">
        <v>50.56</v>
      </c>
      <c r="F35">
        <v>23.484999999999999</v>
      </c>
      <c r="G35">
        <v>4.149</v>
      </c>
      <c r="I35">
        <v>25.388000000000002</v>
      </c>
      <c r="J35">
        <v>20.338000000000001</v>
      </c>
      <c r="K35">
        <v>1.1299999999999999</v>
      </c>
      <c r="L35">
        <v>0.73899999999999999</v>
      </c>
      <c r="N35" t="s">
        <v>805</v>
      </c>
      <c r="P35" t="s">
        <v>805</v>
      </c>
      <c r="R35" t="s">
        <v>805</v>
      </c>
      <c r="T35">
        <f>Tabell6[[#This Row],[Såld värme (GWh)]]-Tabell6[[#This Row],[Levererad värme, andra fjärrvärmeförag, förag 1 (GWh)]]-Tabell6[[#This Row],[Levererad värme, andra fjärrvärmeförag, förag 2 (GWh)]]-Tabell6[[#This Row],[Levererad värme, andra fjärrvärmeförag, förag 3 (GWh)]]</f>
        <v>125.789</v>
      </c>
      <c r="U35" t="str">
        <f>VLOOKUP(Tabell6[[#This Row],[Nät]],Tabell5[],2,FALSE)</f>
        <v>Bollnäs</v>
      </c>
    </row>
    <row r="36" spans="1:21" ht="15" customHeight="1" x14ac:dyDescent="0.25">
      <c r="A36" t="s">
        <v>553</v>
      </c>
      <c r="B36" t="s">
        <v>22</v>
      </c>
      <c r="C36">
        <v>2018</v>
      </c>
      <c r="D36">
        <v>22.678999999999998</v>
      </c>
      <c r="E36">
        <v>3.1179999999999999</v>
      </c>
      <c r="F36">
        <v>2.0590000000000002</v>
      </c>
      <c r="G36">
        <v>13.897</v>
      </c>
      <c r="I36">
        <v>2.5150000000000001</v>
      </c>
      <c r="J36">
        <v>1.0900000000000001</v>
      </c>
      <c r="N36" t="s">
        <v>805</v>
      </c>
      <c r="P36" t="s">
        <v>805</v>
      </c>
      <c r="R36" t="s">
        <v>805</v>
      </c>
      <c r="T36">
        <f>Tabell6[[#This Row],[Såld värme (GWh)]]-Tabell6[[#This Row],[Levererad värme, andra fjärrvärmeförag, förag 1 (GWh)]]-Tabell6[[#This Row],[Levererad värme, andra fjärrvärmeförag, förag 2 (GWh)]]-Tabell6[[#This Row],[Levererad värme, andra fjärrvärmeförag, förag 3 (GWh)]]</f>
        <v>22.678999999999998</v>
      </c>
      <c r="U36" t="str">
        <f>VLOOKUP(Tabell6[[#This Row],[Nät]],Tabell5[],2,FALSE)</f>
        <v>Kilafors</v>
      </c>
    </row>
    <row r="37" spans="1:21" ht="15" customHeight="1" x14ac:dyDescent="0.25">
      <c r="A37" t="s">
        <v>574</v>
      </c>
      <c r="B37" t="s">
        <v>23</v>
      </c>
      <c r="C37">
        <v>2018</v>
      </c>
      <c r="D37">
        <v>25.062000000000001</v>
      </c>
      <c r="E37">
        <v>7.4880000000000004</v>
      </c>
      <c r="F37">
        <v>7.2290000000000001</v>
      </c>
      <c r="G37">
        <v>0.308</v>
      </c>
      <c r="H37" t="s">
        <v>804</v>
      </c>
      <c r="I37">
        <v>4.4249999999999998</v>
      </c>
      <c r="J37">
        <v>5.6130000000000004</v>
      </c>
      <c r="M37" t="s">
        <v>804</v>
      </c>
      <c r="N37" t="s">
        <v>805</v>
      </c>
      <c r="P37" t="s">
        <v>805</v>
      </c>
      <c r="R37" t="s">
        <v>805</v>
      </c>
      <c r="T37">
        <f>Tabell6[[#This Row],[Såld värme (GWh)]]-Tabell6[[#This Row],[Levererad värme, andra fjärrvärmeförag, förag 1 (GWh)]]-Tabell6[[#This Row],[Levererad värme, andra fjärrvärmeförag, förag 2 (GWh)]]-Tabell6[[#This Row],[Levererad värme, andra fjärrvärmeförag, förag 3 (GWh)]]</f>
        <v>25.062000000000001</v>
      </c>
      <c r="U37" t="str">
        <f>VLOOKUP(Tabell6[[#This Row],[Nät]],Tabell5[],2,FALSE)</f>
        <v>Borgholm</v>
      </c>
    </row>
    <row r="38" spans="1:21" ht="15" customHeight="1" x14ac:dyDescent="0.25">
      <c r="A38" t="s">
        <v>574</v>
      </c>
      <c r="B38" t="s">
        <v>24</v>
      </c>
      <c r="C38">
        <v>2018</v>
      </c>
      <c r="D38">
        <v>2.0990000000000002</v>
      </c>
      <c r="E38">
        <v>0</v>
      </c>
      <c r="F38">
        <v>0.221</v>
      </c>
      <c r="G38">
        <v>8.3000000000000004E-2</v>
      </c>
      <c r="H38">
        <v>0</v>
      </c>
      <c r="I38">
        <v>1.5489999999999999</v>
      </c>
      <c r="J38">
        <v>0.245</v>
      </c>
      <c r="N38" t="s">
        <v>805</v>
      </c>
      <c r="P38" t="s">
        <v>805</v>
      </c>
      <c r="R38" t="s">
        <v>805</v>
      </c>
      <c r="T38">
        <f>Tabell6[[#This Row],[Såld värme (GWh)]]-Tabell6[[#This Row],[Levererad värme, andra fjärrvärmeförag, förag 1 (GWh)]]-Tabell6[[#This Row],[Levererad värme, andra fjärrvärmeförag, förag 2 (GWh)]]-Tabell6[[#This Row],[Levererad värme, andra fjärrvärmeförag, förag 3 (GWh)]]</f>
        <v>2.0990000000000002</v>
      </c>
      <c r="U38" t="str">
        <f>VLOOKUP(Tabell6[[#This Row],[Nät]],Tabell5[],2,FALSE)</f>
        <v>Löttorp</v>
      </c>
    </row>
    <row r="39" spans="1:21" ht="15" customHeight="1" x14ac:dyDescent="0.25">
      <c r="A39" t="s">
        <v>575</v>
      </c>
      <c r="B39" t="s">
        <v>25</v>
      </c>
      <c r="C39">
        <v>2018</v>
      </c>
      <c r="D39">
        <v>445.13299999999998</v>
      </c>
      <c r="E39">
        <v>144.96700000000001</v>
      </c>
      <c r="F39">
        <v>105.807</v>
      </c>
      <c r="G39">
        <v>37.707000000000001</v>
      </c>
      <c r="I39">
        <v>49.423999999999999</v>
      </c>
      <c r="J39">
        <v>37.551000000000002</v>
      </c>
      <c r="K39">
        <v>2.0750000000000002</v>
      </c>
      <c r="L39">
        <v>2.1120000000000001</v>
      </c>
      <c r="M39">
        <v>6.8540000000000001</v>
      </c>
      <c r="N39" t="s">
        <v>960</v>
      </c>
      <c r="O39">
        <v>64.605000000000004</v>
      </c>
      <c r="T39">
        <f>Tabell6[[#This Row],[Såld värme (GWh)]]-Tabell6[[#This Row],[Levererad värme, andra fjärrvärmeförag, förag 1 (GWh)]]-Tabell6[[#This Row],[Levererad värme, andra fjärrvärmeförag, förag 2 (GWh)]]-Tabell6[[#This Row],[Levererad värme, andra fjärrvärmeförag, förag 3 (GWh)]]</f>
        <v>380.52799999999996</v>
      </c>
      <c r="U39" t="str">
        <f>VLOOKUP(Tabell6[[#This Row],[Nät]],Tabell5[],2,FALSE)</f>
        <v>Borlänge</v>
      </c>
    </row>
    <row r="40" spans="1:21" ht="15" customHeight="1" x14ac:dyDescent="0.25">
      <c r="A40" t="s">
        <v>575</v>
      </c>
      <c r="B40" t="s">
        <v>26</v>
      </c>
      <c r="C40">
        <v>2018</v>
      </c>
      <c r="D40">
        <v>1.96</v>
      </c>
      <c r="E40">
        <v>0.67400000000000004</v>
      </c>
      <c r="F40">
        <v>0.60499999999999998</v>
      </c>
      <c r="I40">
        <v>0.67969999999999997</v>
      </c>
      <c r="N40" t="s">
        <v>805</v>
      </c>
      <c r="P40" t="s">
        <v>805</v>
      </c>
      <c r="R40" t="s">
        <v>805</v>
      </c>
      <c r="T40">
        <f>Tabell6[[#This Row],[Såld värme (GWh)]]-Tabell6[[#This Row],[Levererad värme, andra fjärrvärmeförag, förag 1 (GWh)]]-Tabell6[[#This Row],[Levererad värme, andra fjärrvärmeförag, förag 2 (GWh)]]-Tabell6[[#This Row],[Levererad värme, andra fjärrvärmeförag, förag 3 (GWh)]]</f>
        <v>1.96</v>
      </c>
      <c r="U40" t="str">
        <f>VLOOKUP(Tabell6[[#This Row],[Nät]],Tabell5[],2,FALSE)</f>
        <v>Ornäs</v>
      </c>
    </row>
    <row r="41" spans="1:21" ht="15" customHeight="1" x14ac:dyDescent="0.25">
      <c r="A41" t="s">
        <v>575</v>
      </c>
      <c r="B41" t="s">
        <v>27</v>
      </c>
      <c r="C41">
        <v>2018</v>
      </c>
      <c r="D41">
        <v>3.133</v>
      </c>
      <c r="F41">
        <v>2.9260000000000002</v>
      </c>
      <c r="I41">
        <v>0.20799999999999999</v>
      </c>
      <c r="N41" t="s">
        <v>805</v>
      </c>
      <c r="P41" t="s">
        <v>805</v>
      </c>
      <c r="R41" t="s">
        <v>805</v>
      </c>
      <c r="T41">
        <f>Tabell6[[#This Row],[Såld värme (GWh)]]-Tabell6[[#This Row],[Levererad värme, andra fjärrvärmeförag, förag 1 (GWh)]]-Tabell6[[#This Row],[Levererad värme, andra fjärrvärmeförag, förag 2 (GWh)]]-Tabell6[[#This Row],[Levererad värme, andra fjärrvärmeförag, förag 3 (GWh)]]</f>
        <v>3.133</v>
      </c>
      <c r="U41" t="str">
        <f>VLOOKUP(Tabell6[[#This Row],[Nät]],Tabell5[],2,FALSE)</f>
        <v>Torsång</v>
      </c>
    </row>
    <row r="42" spans="1:21" ht="15" customHeight="1" x14ac:dyDescent="0.25">
      <c r="A42" t="s">
        <v>961</v>
      </c>
      <c r="B42" t="s">
        <v>29</v>
      </c>
      <c r="C42">
        <v>2018</v>
      </c>
      <c r="D42">
        <v>598.46799999999996</v>
      </c>
      <c r="E42">
        <v>293.14600000000002</v>
      </c>
      <c r="F42">
        <v>50.978000000000002</v>
      </c>
      <c r="G42">
        <v>29.465</v>
      </c>
      <c r="H42">
        <v>5.819</v>
      </c>
      <c r="I42">
        <v>105</v>
      </c>
      <c r="J42">
        <v>114.623</v>
      </c>
      <c r="K42">
        <v>5.2560000000000002</v>
      </c>
      <c r="N42" t="s">
        <v>962</v>
      </c>
      <c r="P42" t="s">
        <v>962</v>
      </c>
      <c r="R42" t="s">
        <v>962</v>
      </c>
      <c r="T42">
        <f>Tabell6[[#This Row],[Såld värme (GWh)]]-Tabell6[[#This Row],[Levererad värme, andra fjärrvärmeförag, förag 1 (GWh)]]-Tabell6[[#This Row],[Levererad värme, andra fjärrvärmeförag, förag 2 (GWh)]]-Tabell6[[#This Row],[Levererad värme, andra fjärrvärmeförag, förag 3 (GWh)]]</f>
        <v>598.46799999999996</v>
      </c>
      <c r="U42" t="str">
        <f>VLOOKUP(Tabell6[[#This Row],[Nät]],Tabell5[],2,FALSE)</f>
        <v>Borås</v>
      </c>
    </row>
    <row r="43" spans="1:21" ht="15" customHeight="1" x14ac:dyDescent="0.25">
      <c r="A43" t="s">
        <v>961</v>
      </c>
      <c r="B43" t="s">
        <v>28</v>
      </c>
      <c r="C43">
        <v>2018</v>
      </c>
      <c r="D43">
        <v>17.98</v>
      </c>
      <c r="E43">
        <v>4.9379999999999997</v>
      </c>
      <c r="F43">
        <v>3.5009999999999999</v>
      </c>
      <c r="G43">
        <v>2.4969999999999999</v>
      </c>
      <c r="I43">
        <v>5.6689999999999996</v>
      </c>
      <c r="J43">
        <v>1.375</v>
      </c>
      <c r="N43" t="s">
        <v>962</v>
      </c>
      <c r="P43" t="s">
        <v>962</v>
      </c>
      <c r="R43" t="s">
        <v>962</v>
      </c>
      <c r="T43">
        <f>Tabell6[[#This Row],[Såld värme (GWh)]]-Tabell6[[#This Row],[Levererad värme, andra fjärrvärmeförag, förag 1 (GWh)]]-Tabell6[[#This Row],[Levererad värme, andra fjärrvärmeförag, förag 2 (GWh)]]-Tabell6[[#This Row],[Levererad värme, andra fjärrvärmeförag, förag 3 (GWh)]]</f>
        <v>17.98</v>
      </c>
      <c r="U43" t="str">
        <f>VLOOKUP(Tabell6[[#This Row],[Nät]],Tabell5[],2,FALSE)</f>
        <v>Fristad</v>
      </c>
    </row>
    <row r="44" spans="1:21" ht="15" customHeight="1" x14ac:dyDescent="0.25">
      <c r="A44" t="s">
        <v>578</v>
      </c>
      <c r="B44" t="s">
        <v>30</v>
      </c>
      <c r="C44">
        <v>2018</v>
      </c>
      <c r="D44" t="s">
        <v>805</v>
      </c>
      <c r="E44" t="s">
        <v>805</v>
      </c>
      <c r="F44" t="s">
        <v>805</v>
      </c>
      <c r="G44" t="s">
        <v>805</v>
      </c>
      <c r="H44" t="s">
        <v>805</v>
      </c>
      <c r="I44" t="s">
        <v>805</v>
      </c>
      <c r="J44" t="s">
        <v>805</v>
      </c>
      <c r="K44" t="s">
        <v>805</v>
      </c>
      <c r="L44" t="s">
        <v>805</v>
      </c>
      <c r="M44" t="s">
        <v>805</v>
      </c>
      <c r="N44" t="s">
        <v>805</v>
      </c>
      <c r="O44" t="s">
        <v>805</v>
      </c>
      <c r="P44" t="s">
        <v>805</v>
      </c>
      <c r="Q44" t="s">
        <v>805</v>
      </c>
      <c r="R44" t="s">
        <v>805</v>
      </c>
      <c r="S44" t="s">
        <v>805</v>
      </c>
      <c r="T44" t="e">
        <f>Tabell6[[#This Row],[Såld värme (GWh)]]-Tabell6[[#This Row],[Levererad värme, andra fjärrvärmeförag, förag 1 (GWh)]]-Tabell6[[#This Row],[Levererad värme, andra fjärrvärmeförag, förag 2 (GWh)]]-Tabell6[[#This Row],[Levererad värme, andra fjärrvärmeförag, förag 3 (GWh)]]</f>
        <v>#VALUE!</v>
      </c>
      <c r="U44" t="str">
        <f>VLOOKUP(Tabell6[[#This Row],[Nät]],Tabell5[],2,FALSE)</f>
        <v>Bromölla</v>
      </c>
    </row>
    <row r="45" spans="1:21" ht="15" customHeight="1" x14ac:dyDescent="0.25">
      <c r="A45" t="s">
        <v>963</v>
      </c>
      <c r="B45" t="s">
        <v>845</v>
      </c>
      <c r="C45">
        <v>2018</v>
      </c>
      <c r="D45">
        <v>11.193</v>
      </c>
      <c r="E45">
        <v>4.2350000000000003</v>
      </c>
      <c r="F45">
        <v>0.76400000000000001</v>
      </c>
      <c r="G45">
        <v>1.66</v>
      </c>
      <c r="H45">
        <v>0</v>
      </c>
      <c r="I45">
        <v>4.4800000000000004</v>
      </c>
      <c r="J45">
        <v>0.52900000000000003</v>
      </c>
      <c r="K45">
        <v>0</v>
      </c>
      <c r="L45">
        <v>0</v>
      </c>
      <c r="M45">
        <v>0</v>
      </c>
      <c r="N45" t="s">
        <v>805</v>
      </c>
      <c r="P45" t="s">
        <v>805</v>
      </c>
      <c r="R45" t="s">
        <v>805</v>
      </c>
      <c r="T45">
        <f>Tabell6[[#This Row],[Såld värme (GWh)]]-Tabell6[[#This Row],[Levererad värme, andra fjärrvärmeförag, förag 1 (GWh)]]-Tabell6[[#This Row],[Levererad värme, andra fjärrvärmeförag, förag 2 (GWh)]]-Tabell6[[#This Row],[Levererad värme, andra fjärrvärmeförag, förag 3 (GWh)]]</f>
        <v>11.193</v>
      </c>
      <c r="U45" t="str">
        <f>VLOOKUP(Tabell6[[#This Row],[Nät]],Tabell5[],2,FALSE)</f>
        <v>Berg</v>
      </c>
    </row>
    <row r="46" spans="1:21" ht="15" customHeight="1" x14ac:dyDescent="0.25">
      <c r="A46" t="s">
        <v>600</v>
      </c>
      <c r="B46" t="s">
        <v>33</v>
      </c>
      <c r="C46">
        <v>2018</v>
      </c>
      <c r="D46">
        <v>4.5830000000000002</v>
      </c>
      <c r="E46">
        <v>0.437</v>
      </c>
      <c r="F46">
        <v>2.2160000000000002</v>
      </c>
      <c r="G46">
        <v>0</v>
      </c>
      <c r="H46">
        <v>0</v>
      </c>
      <c r="I46">
        <v>1.5469999999999999</v>
      </c>
      <c r="J46">
        <v>0.38300000000000001</v>
      </c>
      <c r="N46" t="s">
        <v>962</v>
      </c>
      <c r="P46" t="s">
        <v>962</v>
      </c>
      <c r="R46" t="s">
        <v>962</v>
      </c>
      <c r="T46">
        <f>Tabell6[[#This Row],[Såld värme (GWh)]]-Tabell6[[#This Row],[Levererad värme, andra fjärrvärmeförag, förag 1 (GWh)]]-Tabell6[[#This Row],[Levererad värme, andra fjärrvärmeförag, förag 2 (GWh)]]-Tabell6[[#This Row],[Levererad värme, andra fjärrvärmeförag, förag 3 (GWh)]]</f>
        <v>4.5830000000000002</v>
      </c>
      <c r="U46" t="str">
        <f>VLOOKUP(Tabell6[[#This Row],[Nät]],Tabell5[],2,FALSE)</f>
        <v>Fjälkinge</v>
      </c>
    </row>
    <row r="47" spans="1:21" ht="15" customHeight="1" x14ac:dyDescent="0.25">
      <c r="A47" t="s">
        <v>600</v>
      </c>
      <c r="B47" t="s">
        <v>34</v>
      </c>
      <c r="C47">
        <v>2018</v>
      </c>
      <c r="D47">
        <v>355.76600000000002</v>
      </c>
      <c r="E47">
        <v>147.69</v>
      </c>
      <c r="F47">
        <v>43.945999999999998</v>
      </c>
      <c r="G47">
        <v>49.295000000000002</v>
      </c>
      <c r="H47">
        <v>21.372</v>
      </c>
      <c r="I47">
        <v>53.173999999999999</v>
      </c>
      <c r="J47">
        <v>60.552999999999997</v>
      </c>
      <c r="K47">
        <v>1.1080000000000001</v>
      </c>
      <c r="N47" t="s">
        <v>962</v>
      </c>
      <c r="P47" t="s">
        <v>962</v>
      </c>
      <c r="R47" t="s">
        <v>962</v>
      </c>
      <c r="T47">
        <f>Tabell6[[#This Row],[Såld värme (GWh)]]-Tabell6[[#This Row],[Levererad värme, andra fjärrvärmeförag, förag 1 (GWh)]]-Tabell6[[#This Row],[Levererad värme, andra fjärrvärmeförag, förag 2 (GWh)]]-Tabell6[[#This Row],[Levererad värme, andra fjärrvärmeförag, förag 3 (GWh)]]</f>
        <v>355.76600000000002</v>
      </c>
      <c r="U47" t="str">
        <f>VLOOKUP(Tabell6[[#This Row],[Nät]],Tabell5[],2,FALSE)</f>
        <v>Kristianstad</v>
      </c>
    </row>
    <row r="48" spans="1:21" ht="15" customHeight="1" x14ac:dyDescent="0.25">
      <c r="A48" t="s">
        <v>636</v>
      </c>
      <c r="B48" t="s">
        <v>37</v>
      </c>
      <c r="C48">
        <v>2018</v>
      </c>
      <c r="D48">
        <v>10.673999999999999</v>
      </c>
      <c r="E48">
        <v>2.0510000000000002</v>
      </c>
      <c r="F48">
        <v>0.187</v>
      </c>
      <c r="I48">
        <v>1.5229999999999999</v>
      </c>
      <c r="J48">
        <v>4.7919999999999998</v>
      </c>
      <c r="M48">
        <v>2.121</v>
      </c>
      <c r="N48" t="s">
        <v>805</v>
      </c>
      <c r="P48" t="s">
        <v>805</v>
      </c>
      <c r="R48" t="s">
        <v>805</v>
      </c>
      <c r="T48">
        <f>Tabell6[[#This Row],[Såld värme (GWh)]]-Tabell6[[#This Row],[Levererad värme, andra fjärrvärmeförag, förag 1 (GWh)]]-Tabell6[[#This Row],[Levererad värme, andra fjärrvärmeförag, förag 2 (GWh)]]-Tabell6[[#This Row],[Levererad värme, andra fjärrvärmeförag, förag 3 (GWh)]]</f>
        <v>10.673999999999999</v>
      </c>
      <c r="U48" t="str">
        <f>VLOOKUP(Tabell6[[#This Row],[Nät]],Tabell5[],2,FALSE)</f>
        <v>Insjön</v>
      </c>
    </row>
    <row r="49" spans="1:21" ht="15" customHeight="1" x14ac:dyDescent="0.25">
      <c r="A49" t="s">
        <v>636</v>
      </c>
      <c r="B49" t="s">
        <v>38</v>
      </c>
      <c r="C49">
        <v>2018</v>
      </c>
      <c r="D49">
        <v>33.930999999999997</v>
      </c>
      <c r="E49">
        <v>14.266</v>
      </c>
      <c r="F49">
        <v>5.9880000000000004</v>
      </c>
      <c r="I49">
        <v>9.5850000000000009</v>
      </c>
      <c r="J49">
        <v>7.9059999999999997</v>
      </c>
      <c r="N49" t="s">
        <v>805</v>
      </c>
      <c r="P49" t="s">
        <v>805</v>
      </c>
      <c r="R49" t="s">
        <v>805</v>
      </c>
      <c r="T49">
        <f>Tabell6[[#This Row],[Såld värme (GWh)]]-Tabell6[[#This Row],[Levererad värme, andra fjärrvärmeförag, förag 1 (GWh)]]-Tabell6[[#This Row],[Levererad värme, andra fjärrvärmeförag, förag 2 (GWh)]]-Tabell6[[#This Row],[Levererad värme, andra fjärrvärmeförag, förag 3 (GWh)]]</f>
        <v>33.930999999999997</v>
      </c>
      <c r="U49" t="str">
        <f>VLOOKUP(Tabell6[[#This Row],[Nät]],Tabell5[],2,FALSE)</f>
        <v>Leksand</v>
      </c>
    </row>
    <row r="50" spans="1:21" ht="15" customHeight="1" x14ac:dyDescent="0.25">
      <c r="A50" t="s">
        <v>630</v>
      </c>
      <c r="B50" t="s">
        <v>631</v>
      </c>
      <c r="C50">
        <v>2018</v>
      </c>
      <c r="D50">
        <v>35.369999999999997</v>
      </c>
      <c r="E50">
        <v>15.67</v>
      </c>
      <c r="F50">
        <v>5.53</v>
      </c>
      <c r="G50">
        <v>2.78</v>
      </c>
      <c r="I50">
        <v>6.59</v>
      </c>
      <c r="J50">
        <v>3.82</v>
      </c>
      <c r="K50">
        <v>0.84</v>
      </c>
      <c r="L50">
        <v>0.46</v>
      </c>
      <c r="N50" t="s">
        <v>962</v>
      </c>
      <c r="P50" t="s">
        <v>962</v>
      </c>
      <c r="R50" t="s">
        <v>962</v>
      </c>
      <c r="T50">
        <f>Tabell6[[#This Row],[Såld värme (GWh)]]-Tabell6[[#This Row],[Levererad värme, andra fjärrvärmeförag, förag 1 (GWh)]]-Tabell6[[#This Row],[Levererad värme, andra fjärrvärmeförag, förag 2 (GWh)]]-Tabell6[[#This Row],[Levererad värme, andra fjärrvärmeförag, förag 3 (GWh)]]</f>
        <v>35.369999999999997</v>
      </c>
      <c r="U50" t="str">
        <f>VLOOKUP(Tabell6[[#This Row],[Nät]],Tabell5[],2,FALSE)</f>
        <v>HVC Degerfors</v>
      </c>
    </row>
    <row r="51" spans="1:21" ht="15" customHeight="1" x14ac:dyDescent="0.25">
      <c r="A51" t="s">
        <v>630</v>
      </c>
      <c r="B51" t="s">
        <v>39</v>
      </c>
      <c r="C51">
        <v>2018</v>
      </c>
      <c r="D51">
        <v>1.78</v>
      </c>
      <c r="E51">
        <v>0.33</v>
      </c>
      <c r="F51">
        <v>0.03</v>
      </c>
      <c r="G51">
        <v>0.38</v>
      </c>
      <c r="I51">
        <v>0.59</v>
      </c>
      <c r="J51">
        <v>0.12</v>
      </c>
      <c r="N51" t="s">
        <v>962</v>
      </c>
      <c r="P51" t="s">
        <v>962</v>
      </c>
      <c r="R51" t="s">
        <v>962</v>
      </c>
      <c r="T51">
        <f>Tabell6[[#This Row],[Såld värme (GWh)]]-Tabell6[[#This Row],[Levererad värme, andra fjärrvärmeförag, förag 1 (GWh)]]-Tabell6[[#This Row],[Levererad värme, andra fjärrvärmeförag, förag 2 (GWh)]]-Tabell6[[#This Row],[Levererad värme, andra fjärrvärmeförag, förag 3 (GWh)]]</f>
        <v>1.78</v>
      </c>
      <c r="U51" t="str">
        <f>VLOOKUP(Tabell6[[#This Row],[Nät]],Tabell5[],2,FALSE)</f>
        <v>Svartå</v>
      </c>
    </row>
    <row r="52" spans="1:21" ht="15" customHeight="1" x14ac:dyDescent="0.25">
      <c r="A52" t="s">
        <v>630</v>
      </c>
      <c r="B52" t="s">
        <v>40</v>
      </c>
      <c r="C52">
        <v>2018</v>
      </c>
      <c r="D52">
        <v>0.55400000000000005</v>
      </c>
      <c r="N52" t="s">
        <v>962</v>
      </c>
      <c r="P52" t="s">
        <v>962</v>
      </c>
      <c r="R52" t="s">
        <v>962</v>
      </c>
      <c r="T52">
        <f>Tabell6[[#This Row],[Såld värme (GWh)]]-Tabell6[[#This Row],[Levererad värme, andra fjärrvärmeförag, förag 1 (GWh)]]-Tabell6[[#This Row],[Levererad värme, andra fjärrvärmeförag, förag 2 (GWh)]]-Tabell6[[#This Row],[Levererad värme, andra fjärrvärmeförag, förag 3 (GWh)]]</f>
        <v>0.55400000000000005</v>
      </c>
      <c r="U52" t="str">
        <f>VLOOKUP(Tabell6[[#This Row],[Nät]],Tabell5[],2,FALSE)</f>
        <v>Åtorp</v>
      </c>
    </row>
    <row r="53" spans="1:21" ht="15" customHeight="1" x14ac:dyDescent="0.25">
      <c r="A53" t="s">
        <v>561</v>
      </c>
      <c r="B53" t="s">
        <v>61</v>
      </c>
      <c r="C53">
        <v>2018</v>
      </c>
      <c r="D53">
        <v>28.38</v>
      </c>
      <c r="E53" t="s">
        <v>804</v>
      </c>
      <c r="F53" t="s">
        <v>804</v>
      </c>
      <c r="G53" t="s">
        <v>804</v>
      </c>
      <c r="H53" t="s">
        <v>804</v>
      </c>
      <c r="I53" t="s">
        <v>804</v>
      </c>
      <c r="J53" t="s">
        <v>804</v>
      </c>
      <c r="K53" t="s">
        <v>804</v>
      </c>
      <c r="L53" t="s">
        <v>804</v>
      </c>
      <c r="M53" t="s">
        <v>804</v>
      </c>
      <c r="N53" t="s">
        <v>805</v>
      </c>
      <c r="P53" t="s">
        <v>805</v>
      </c>
      <c r="R53" t="s">
        <v>805</v>
      </c>
      <c r="T53">
        <f>Tabell6[[#This Row],[Såld värme (GWh)]]-Tabell6[[#This Row],[Levererad värme, andra fjärrvärmeförag, förag 1 (GWh)]]-Tabell6[[#This Row],[Levererad värme, andra fjärrvärmeförag, förag 2 (GWh)]]-Tabell6[[#This Row],[Levererad värme, andra fjärrvärmeförag, förag 3 (GWh)]]</f>
        <v>28.38</v>
      </c>
      <c r="U53" t="str">
        <f>VLOOKUP(Tabell6[[#This Row],[Nät]],Tabell5[],2,FALSE)</f>
        <v>Bro</v>
      </c>
    </row>
    <row r="54" spans="1:21" ht="15" customHeight="1" x14ac:dyDescent="0.25">
      <c r="A54" t="s">
        <v>561</v>
      </c>
      <c r="B54" t="s">
        <v>62</v>
      </c>
      <c r="C54">
        <v>2018</v>
      </c>
      <c r="D54">
        <v>32.5</v>
      </c>
      <c r="N54" t="s">
        <v>805</v>
      </c>
      <c r="P54" t="s">
        <v>805</v>
      </c>
      <c r="R54" t="s">
        <v>805</v>
      </c>
      <c r="T54">
        <f>Tabell6[[#This Row],[Såld värme (GWh)]]-Tabell6[[#This Row],[Levererad värme, andra fjärrvärmeförag, förag 1 (GWh)]]-Tabell6[[#This Row],[Levererad värme, andra fjärrvärmeförag, förag 2 (GWh)]]-Tabell6[[#This Row],[Levererad värme, andra fjärrvärmeförag, förag 3 (GWh)]]</f>
        <v>32.5</v>
      </c>
      <c r="U54" t="e">
        <f>VLOOKUP(Tabell6[[#This Row],[Nät]],Tabell5[],2,FALSE)</f>
        <v>#N/A</v>
      </c>
    </row>
    <row r="55" spans="1:21" ht="15" customHeight="1" x14ac:dyDescent="0.25">
      <c r="A55" t="s">
        <v>561</v>
      </c>
      <c r="B55" t="s">
        <v>583</v>
      </c>
      <c r="C55">
        <v>2018</v>
      </c>
      <c r="D55">
        <v>16</v>
      </c>
      <c r="N55" t="s">
        <v>805</v>
      </c>
      <c r="P55" t="s">
        <v>805</v>
      </c>
      <c r="R55" t="s">
        <v>805</v>
      </c>
      <c r="T55">
        <f>Tabell6[[#This Row],[Såld värme (GWh)]]-Tabell6[[#This Row],[Levererad värme, andra fjärrvärmeförag, förag 1 (GWh)]]-Tabell6[[#This Row],[Levererad värme, andra fjärrvärmeförag, förag 2 (GWh)]]-Tabell6[[#This Row],[Levererad värme, andra fjärrvärmeförag, förag 3 (GWh)]]</f>
        <v>16</v>
      </c>
      <c r="U55" t="e">
        <f>VLOOKUP(Tabell6[[#This Row],[Nät]],Tabell5[],2,FALSE)</f>
        <v>#N/A</v>
      </c>
    </row>
    <row r="56" spans="1:21" ht="15" customHeight="1" x14ac:dyDescent="0.25">
      <c r="A56" t="s">
        <v>561</v>
      </c>
      <c r="B56" t="s">
        <v>89</v>
      </c>
      <c r="C56">
        <v>2018</v>
      </c>
      <c r="D56">
        <v>1034</v>
      </c>
      <c r="E56">
        <v>546</v>
      </c>
      <c r="F56">
        <v>62</v>
      </c>
      <c r="G56">
        <v>119</v>
      </c>
      <c r="H56">
        <v>4</v>
      </c>
      <c r="I56">
        <v>130</v>
      </c>
      <c r="J56">
        <v>153</v>
      </c>
      <c r="K56">
        <v>0.03</v>
      </c>
      <c r="M56">
        <v>32</v>
      </c>
      <c r="N56" t="s">
        <v>805</v>
      </c>
      <c r="P56" t="s">
        <v>805</v>
      </c>
      <c r="R56" t="s">
        <v>805</v>
      </c>
      <c r="T56">
        <f>Tabell6[[#This Row],[Såld värme (GWh)]]-Tabell6[[#This Row],[Levererad värme, andra fjärrvärmeförag, förag 1 (GWh)]]-Tabell6[[#This Row],[Levererad värme, andra fjärrvärmeförag, förag 2 (GWh)]]-Tabell6[[#This Row],[Levererad värme, andra fjärrvärmeförag, förag 3 (GWh)]]</f>
        <v>1034</v>
      </c>
      <c r="U56" t="e">
        <f>VLOOKUP(Tabell6[[#This Row],[Nät]],Tabell5[],2,FALSE)</f>
        <v>#N/A</v>
      </c>
    </row>
    <row r="57" spans="1:21" ht="15" customHeight="1" x14ac:dyDescent="0.25">
      <c r="A57" t="s">
        <v>561</v>
      </c>
      <c r="B57" t="s">
        <v>66</v>
      </c>
      <c r="C57">
        <v>2018</v>
      </c>
      <c r="D57">
        <v>292</v>
      </c>
      <c r="N57" t="s">
        <v>805</v>
      </c>
      <c r="P57" t="s">
        <v>805</v>
      </c>
      <c r="R57" t="s">
        <v>805</v>
      </c>
      <c r="T57">
        <f>Tabell6[[#This Row],[Såld värme (GWh)]]-Tabell6[[#This Row],[Levererad värme, andra fjärrvärmeförag, förag 1 (GWh)]]-Tabell6[[#This Row],[Levererad värme, andra fjärrvärmeförag, förag 2 (GWh)]]-Tabell6[[#This Row],[Levererad värme, andra fjärrvärmeförag, förag 3 (GWh)]]</f>
        <v>292</v>
      </c>
      <c r="U57" t="str">
        <f>VLOOKUP(Tabell6[[#This Row],[Nät]],Tabell5[],2,FALSE)</f>
        <v>Järfälla</v>
      </c>
    </row>
    <row r="58" spans="1:21" ht="15" customHeight="1" x14ac:dyDescent="0.25">
      <c r="A58" t="s">
        <v>561</v>
      </c>
      <c r="B58" t="s">
        <v>68</v>
      </c>
      <c r="C58">
        <v>2018</v>
      </c>
      <c r="D58">
        <v>54.2</v>
      </c>
      <c r="N58" t="s">
        <v>805</v>
      </c>
      <c r="P58" t="s">
        <v>805</v>
      </c>
      <c r="R58" t="s">
        <v>805</v>
      </c>
      <c r="T58">
        <f>Tabell6[[#This Row],[Såld värme (GWh)]]-Tabell6[[#This Row],[Levererad värme, andra fjärrvärmeförag, förag 1 (GWh)]]-Tabell6[[#This Row],[Levererad värme, andra fjärrvärmeförag, förag 2 (GWh)]]-Tabell6[[#This Row],[Levererad värme, andra fjärrvärmeförag, förag 3 (GWh)]]</f>
        <v>54.2</v>
      </c>
      <c r="U58" t="str">
        <f>VLOOKUP(Tabell6[[#This Row],[Nät]],Tabell5[],2,FALSE)</f>
        <v>Kungsängen</v>
      </c>
    </row>
    <row r="59" spans="1:21" ht="15" customHeight="1" x14ac:dyDescent="0.25">
      <c r="A59" t="s">
        <v>561</v>
      </c>
      <c r="B59" t="s">
        <v>43</v>
      </c>
      <c r="C59">
        <v>2018</v>
      </c>
      <c r="D59">
        <v>2074</v>
      </c>
      <c r="E59" t="s">
        <v>804</v>
      </c>
      <c r="F59" t="s">
        <v>804</v>
      </c>
      <c r="G59" t="s">
        <v>804</v>
      </c>
      <c r="H59" t="s">
        <v>804</v>
      </c>
      <c r="I59" t="s">
        <v>804</v>
      </c>
      <c r="J59" t="s">
        <v>804</v>
      </c>
      <c r="K59" t="s">
        <v>804</v>
      </c>
      <c r="L59" t="s">
        <v>804</v>
      </c>
      <c r="M59">
        <v>17</v>
      </c>
      <c r="N59" t="s">
        <v>805</v>
      </c>
      <c r="P59" t="s">
        <v>805</v>
      </c>
      <c r="R59" t="s">
        <v>805</v>
      </c>
      <c r="T59">
        <f>Tabell6[[#This Row],[Såld värme (GWh)]]-Tabell6[[#This Row],[Levererad värme, andra fjärrvärmeförag, förag 1 (GWh)]]-Tabell6[[#This Row],[Levererad värme, andra fjärrvärmeförag, förag 2 (GWh)]]-Tabell6[[#This Row],[Levererad värme, andra fjärrvärmeförag, förag 3 (GWh)]]</f>
        <v>2074</v>
      </c>
      <c r="U59" t="e">
        <f>VLOOKUP(Tabell6[[#This Row],[Nät]],Tabell5[],2,FALSE)</f>
        <v>#N/A</v>
      </c>
    </row>
    <row r="60" spans="1:21" ht="15" customHeight="1" x14ac:dyDescent="0.25">
      <c r="A60" t="s">
        <v>561</v>
      </c>
      <c r="B60" t="s">
        <v>927</v>
      </c>
      <c r="C60">
        <v>2018</v>
      </c>
      <c r="D60">
        <v>901</v>
      </c>
      <c r="M60">
        <v>16</v>
      </c>
      <c r="N60" t="s">
        <v>805</v>
      </c>
      <c r="P60" t="s">
        <v>805</v>
      </c>
      <c r="R60" t="s">
        <v>805</v>
      </c>
      <c r="T60">
        <f>Tabell6[[#This Row],[Såld värme (GWh)]]-Tabell6[[#This Row],[Levererad värme, andra fjärrvärmeförag, förag 1 (GWh)]]-Tabell6[[#This Row],[Levererad värme, andra fjärrvärmeförag, förag 2 (GWh)]]-Tabell6[[#This Row],[Levererad värme, andra fjärrvärmeförag, förag 3 (GWh)]]</f>
        <v>901</v>
      </c>
      <c r="U60" t="e">
        <f>VLOOKUP(Tabell6[[#This Row],[Nät]],Tabell5[],2,FALSE)</f>
        <v>#N/A</v>
      </c>
    </row>
    <row r="61" spans="1:21" ht="15" customHeight="1" x14ac:dyDescent="0.25">
      <c r="A61" t="s">
        <v>561</v>
      </c>
      <c r="B61" t="s">
        <v>785</v>
      </c>
      <c r="C61">
        <v>2018</v>
      </c>
      <c r="D61">
        <v>72.3</v>
      </c>
      <c r="N61" t="s">
        <v>805</v>
      </c>
      <c r="P61" t="s">
        <v>805</v>
      </c>
      <c r="R61" t="s">
        <v>805</v>
      </c>
      <c r="T61">
        <f>Tabell6[[#This Row],[Såld värme (GWh)]]-Tabell6[[#This Row],[Levererad värme, andra fjärrvärmeförag, förag 1 (GWh)]]-Tabell6[[#This Row],[Levererad värme, andra fjärrvärmeförag, förag 2 (GWh)]]-Tabell6[[#This Row],[Levererad värme, andra fjärrvärmeförag, förag 3 (GWh)]]</f>
        <v>72.3</v>
      </c>
      <c r="U61" t="e">
        <f>VLOOKUP(Tabell6[[#This Row],[Nät]],Tabell5[],2,FALSE)</f>
        <v>#N/A</v>
      </c>
    </row>
    <row r="62" spans="1:21" ht="15" customHeight="1" x14ac:dyDescent="0.25">
      <c r="A62" t="s">
        <v>561</v>
      </c>
      <c r="B62" t="s">
        <v>59</v>
      </c>
      <c r="C62">
        <v>2018</v>
      </c>
      <c r="D62">
        <v>61</v>
      </c>
      <c r="N62" t="s">
        <v>805</v>
      </c>
      <c r="P62" t="s">
        <v>805</v>
      </c>
      <c r="R62" t="s">
        <v>805</v>
      </c>
      <c r="T62">
        <f>Tabell6[[#This Row],[Såld värme (GWh)]]-Tabell6[[#This Row],[Levererad värme, andra fjärrvärmeförag, förag 1 (GWh)]]-Tabell6[[#This Row],[Levererad värme, andra fjärrvärmeförag, förag 2 (GWh)]]-Tabell6[[#This Row],[Levererad värme, andra fjärrvärmeförag, förag 3 (GWh)]]</f>
        <v>61</v>
      </c>
      <c r="U62" t="e">
        <f>VLOOKUP(Tabell6[[#This Row],[Nät]],Tabell5[],2,FALSE)</f>
        <v>#N/A</v>
      </c>
    </row>
    <row r="63" spans="1:21" ht="15" customHeight="1" x14ac:dyDescent="0.25">
      <c r="A63" t="s">
        <v>561</v>
      </c>
      <c r="B63" t="s">
        <v>57</v>
      </c>
      <c r="C63">
        <v>2018</v>
      </c>
      <c r="D63">
        <v>68</v>
      </c>
      <c r="N63" t="s">
        <v>805</v>
      </c>
      <c r="P63" t="s">
        <v>805</v>
      </c>
      <c r="R63" t="s">
        <v>805</v>
      </c>
      <c r="T63">
        <f>Tabell6[[#This Row],[Såld värme (GWh)]]-Tabell6[[#This Row],[Levererad värme, andra fjärrvärmeförag, förag 1 (GWh)]]-Tabell6[[#This Row],[Levererad värme, andra fjärrvärmeförag, förag 2 (GWh)]]-Tabell6[[#This Row],[Levererad värme, andra fjärrvärmeförag, förag 3 (GWh)]]</f>
        <v>68</v>
      </c>
      <c r="U63" t="e">
        <f>VLOOKUP(Tabell6[[#This Row],[Nät]],Tabell5[],2,FALSE)</f>
        <v>#N/A</v>
      </c>
    </row>
    <row r="64" spans="1:21" ht="15" customHeight="1" x14ac:dyDescent="0.25">
      <c r="A64" t="s">
        <v>584</v>
      </c>
      <c r="B64" t="s">
        <v>584</v>
      </c>
      <c r="C64">
        <v>2018</v>
      </c>
      <c r="D64">
        <v>7.95</v>
      </c>
      <c r="E64">
        <v>1.78</v>
      </c>
      <c r="F64">
        <v>1.77</v>
      </c>
      <c r="G64">
        <v>1.91</v>
      </c>
      <c r="I64">
        <v>2.4900000000000002</v>
      </c>
      <c r="N64" t="s">
        <v>805</v>
      </c>
      <c r="P64" t="s">
        <v>805</v>
      </c>
      <c r="R64" t="s">
        <v>805</v>
      </c>
      <c r="T64">
        <f>Tabell6[[#This Row],[Såld värme (GWh)]]-Tabell6[[#This Row],[Levererad värme, andra fjärrvärmeförag, förag 1 (GWh)]]-Tabell6[[#This Row],[Levererad värme, andra fjärrvärmeförag, förag 2 (GWh)]]-Tabell6[[#This Row],[Levererad värme, andra fjärrvärmeförag, förag 3 (GWh)]]</f>
        <v>7.95</v>
      </c>
      <c r="U64" t="str">
        <f>VLOOKUP(Tabell6[[#This Row],[Nät]],Tabell5[],2,FALSE)</f>
        <v>Eda</v>
      </c>
    </row>
    <row r="65" spans="1:21" ht="15" customHeight="1" x14ac:dyDescent="0.25">
      <c r="A65" t="s">
        <v>589</v>
      </c>
      <c r="B65" t="s">
        <v>91</v>
      </c>
      <c r="C65">
        <v>2018</v>
      </c>
      <c r="D65">
        <v>106.69499999999999</v>
      </c>
      <c r="E65">
        <v>35.097000000000001</v>
      </c>
      <c r="F65">
        <v>22.558</v>
      </c>
      <c r="G65">
        <v>0</v>
      </c>
      <c r="I65">
        <v>24.681999999999999</v>
      </c>
      <c r="J65">
        <v>16.327999999999999</v>
      </c>
      <c r="M65">
        <v>8.0299999999999994</v>
      </c>
      <c r="N65" t="s">
        <v>805</v>
      </c>
      <c r="P65" t="s">
        <v>805</v>
      </c>
      <c r="R65" t="s">
        <v>805</v>
      </c>
      <c r="T65">
        <f>Tabell6[[#This Row],[Såld värme (GWh)]]-Tabell6[[#This Row],[Levererad värme, andra fjärrvärmeförag, förag 1 (GWh)]]-Tabell6[[#This Row],[Levererad värme, andra fjärrvärmeförag, förag 2 (GWh)]]-Tabell6[[#This Row],[Levererad värme, andra fjärrvärmeförag, förag 3 (GWh)]]</f>
        <v>106.69499999999999</v>
      </c>
      <c r="U65" t="str">
        <f>VLOOKUP(Tabell6[[#This Row],[Nät]],Tabell5[],2,FALSE)</f>
        <v>Eksjö</v>
      </c>
    </row>
    <row r="66" spans="1:21" ht="15" customHeight="1" x14ac:dyDescent="0.25">
      <c r="A66" t="s">
        <v>589</v>
      </c>
      <c r="B66" t="s">
        <v>92</v>
      </c>
      <c r="C66">
        <v>2018</v>
      </c>
      <c r="D66">
        <v>2.9169999999999998</v>
      </c>
      <c r="E66">
        <v>0.91800000000000004</v>
      </c>
      <c r="F66">
        <v>1.0580000000000001</v>
      </c>
      <c r="G66">
        <v>0</v>
      </c>
      <c r="I66">
        <v>0.79</v>
      </c>
      <c r="J66">
        <v>0.151</v>
      </c>
      <c r="M66">
        <v>0</v>
      </c>
      <c r="N66" t="s">
        <v>805</v>
      </c>
      <c r="P66" t="s">
        <v>805</v>
      </c>
      <c r="R66" t="s">
        <v>805</v>
      </c>
      <c r="T66">
        <f>Tabell6[[#This Row],[Såld värme (GWh)]]-Tabell6[[#This Row],[Levererad värme, andra fjärrvärmeförag, förag 1 (GWh)]]-Tabell6[[#This Row],[Levererad värme, andra fjärrvärmeförag, förag 2 (GWh)]]-Tabell6[[#This Row],[Levererad värme, andra fjärrvärmeförag, förag 3 (GWh)]]</f>
        <v>2.9169999999999998</v>
      </c>
      <c r="U66" t="str">
        <f>VLOOKUP(Tabell6[[#This Row],[Nät]],Tabell5[],2,FALSE)</f>
        <v>Ingatorp</v>
      </c>
    </row>
    <row r="67" spans="1:21" ht="15" customHeight="1" x14ac:dyDescent="0.25">
      <c r="A67" t="s">
        <v>589</v>
      </c>
      <c r="B67" t="s">
        <v>93</v>
      </c>
      <c r="C67">
        <v>2018</v>
      </c>
      <c r="D67">
        <v>14.026</v>
      </c>
      <c r="E67">
        <v>3.75</v>
      </c>
      <c r="F67">
        <v>3.4609999999999999</v>
      </c>
      <c r="G67">
        <v>0</v>
      </c>
      <c r="I67">
        <v>3.6419999999999999</v>
      </c>
      <c r="J67">
        <v>1.224</v>
      </c>
      <c r="M67">
        <v>1.9490000000000001</v>
      </c>
      <c r="N67" t="s">
        <v>805</v>
      </c>
      <c r="P67" t="s">
        <v>805</v>
      </c>
      <c r="R67" t="s">
        <v>805</v>
      </c>
      <c r="T67">
        <f>Tabell6[[#This Row],[Såld värme (GWh)]]-Tabell6[[#This Row],[Levererad värme, andra fjärrvärmeförag, förag 1 (GWh)]]-Tabell6[[#This Row],[Levererad värme, andra fjärrvärmeförag, förag 2 (GWh)]]-Tabell6[[#This Row],[Levererad värme, andra fjärrvärmeförag, förag 3 (GWh)]]</f>
        <v>14.026</v>
      </c>
      <c r="U67" t="str">
        <f>VLOOKUP(Tabell6[[#This Row],[Nät]],Tabell5[],2,FALSE)</f>
        <v>Mariannelund</v>
      </c>
    </row>
    <row r="68" spans="1:21" ht="15" customHeight="1" x14ac:dyDescent="0.25">
      <c r="A68" t="s">
        <v>964</v>
      </c>
      <c r="B68" t="s">
        <v>98</v>
      </c>
      <c r="C68">
        <v>2018</v>
      </c>
      <c r="D68">
        <v>46.8</v>
      </c>
      <c r="E68">
        <v>10.8</v>
      </c>
      <c r="F68">
        <v>11.7</v>
      </c>
      <c r="G68">
        <v>11.9</v>
      </c>
      <c r="I68">
        <v>7.9</v>
      </c>
      <c r="J68">
        <v>4.5</v>
      </c>
      <c r="N68" t="s">
        <v>805</v>
      </c>
      <c r="P68" t="s">
        <v>805</v>
      </c>
      <c r="R68" t="s">
        <v>805</v>
      </c>
      <c r="T68">
        <f>Tabell6[[#This Row],[Såld värme (GWh)]]-Tabell6[[#This Row],[Levererad värme, andra fjärrvärmeförag, förag 1 (GWh)]]-Tabell6[[#This Row],[Levererad värme, andra fjärrvärmeförag, förag 2 (GWh)]]-Tabell6[[#This Row],[Levererad värme, andra fjärrvärmeförag, förag 3 (GWh)]]</f>
        <v>46.8</v>
      </c>
      <c r="U68" t="str">
        <f>VLOOKUP(Tabell6[[#This Row],[Nät]],Tabell5[],2,FALSE)</f>
        <v>Emmaboda</v>
      </c>
    </row>
    <row r="69" spans="1:21" ht="15" customHeight="1" x14ac:dyDescent="0.25">
      <c r="A69" t="s">
        <v>591</v>
      </c>
      <c r="B69" t="s">
        <v>101</v>
      </c>
      <c r="C69">
        <v>2018</v>
      </c>
      <c r="D69">
        <v>213</v>
      </c>
      <c r="E69">
        <v>84</v>
      </c>
      <c r="F69">
        <v>29</v>
      </c>
      <c r="G69">
        <v>4</v>
      </c>
      <c r="I69">
        <v>52</v>
      </c>
      <c r="J69">
        <v>30</v>
      </c>
      <c r="K69">
        <v>1</v>
      </c>
      <c r="L69">
        <v>14</v>
      </c>
      <c r="T69">
        <f>Tabell6[[#This Row],[Såld värme (GWh)]]-Tabell6[[#This Row],[Levererad värme, andra fjärrvärmeförag, förag 1 (GWh)]]-Tabell6[[#This Row],[Levererad värme, andra fjärrvärmeförag, förag 2 (GWh)]]-Tabell6[[#This Row],[Levererad värme, andra fjärrvärmeförag, förag 3 (GWh)]]</f>
        <v>213</v>
      </c>
      <c r="U69" t="str">
        <f>VLOOKUP(Tabell6[[#This Row],[Nät]],Tabell5[],2,FALSE)</f>
        <v>Enköping</v>
      </c>
    </row>
    <row r="70" spans="1:21" ht="15" customHeight="1" x14ac:dyDescent="0.25">
      <c r="A70" t="s">
        <v>592</v>
      </c>
      <c r="B70" t="s">
        <v>102</v>
      </c>
      <c r="C70">
        <v>2018</v>
      </c>
      <c r="D70">
        <v>628.12400000000002</v>
      </c>
      <c r="E70">
        <v>306.49900000000002</v>
      </c>
      <c r="F70">
        <v>57.89</v>
      </c>
      <c r="G70">
        <v>51.506999999999998</v>
      </c>
      <c r="H70">
        <v>0</v>
      </c>
      <c r="I70">
        <v>88.506</v>
      </c>
      <c r="J70">
        <v>110.74299999999999</v>
      </c>
      <c r="K70">
        <v>3.12</v>
      </c>
      <c r="L70">
        <v>9.859</v>
      </c>
      <c r="N70" t="s">
        <v>805</v>
      </c>
      <c r="P70" t="s">
        <v>805</v>
      </c>
      <c r="R70" t="s">
        <v>805</v>
      </c>
      <c r="T70">
        <f>Tabell6[[#This Row],[Såld värme (GWh)]]-Tabell6[[#This Row],[Levererad värme, andra fjärrvärmeförag, förag 1 (GWh)]]-Tabell6[[#This Row],[Levererad värme, andra fjärrvärmeförag, förag 2 (GWh)]]-Tabell6[[#This Row],[Levererad värme, andra fjärrvärmeförag, förag 3 (GWh)]]</f>
        <v>628.12400000000002</v>
      </c>
      <c r="U70" t="str">
        <f>VLOOKUP(Tabell6[[#This Row],[Nät]],Tabell5[],2,FALSE)</f>
        <v>Eskilstuna-Torshälla</v>
      </c>
    </row>
    <row r="71" spans="1:21" ht="15" customHeight="1" x14ac:dyDescent="0.25">
      <c r="A71" t="s">
        <v>592</v>
      </c>
      <c r="B71" t="s">
        <v>104</v>
      </c>
      <c r="C71">
        <v>2018</v>
      </c>
      <c r="D71">
        <v>0.76939999999999997</v>
      </c>
      <c r="I71">
        <v>0.76939999999999997</v>
      </c>
      <c r="N71" t="s">
        <v>805</v>
      </c>
      <c r="P71" t="s">
        <v>805</v>
      </c>
      <c r="R71" t="s">
        <v>805</v>
      </c>
      <c r="T71">
        <f>Tabell6[[#This Row],[Såld värme (GWh)]]-Tabell6[[#This Row],[Levererad värme, andra fjärrvärmeförag, förag 1 (GWh)]]-Tabell6[[#This Row],[Levererad värme, andra fjärrvärmeförag, förag 2 (GWh)]]-Tabell6[[#This Row],[Levererad värme, andra fjärrvärmeförag, förag 3 (GWh)]]</f>
        <v>0.76939999999999997</v>
      </c>
      <c r="U71" t="str">
        <f>VLOOKUP(Tabell6[[#This Row],[Nät]],Tabell5[],2,FALSE)</f>
        <v>Kvicksund</v>
      </c>
    </row>
    <row r="72" spans="1:21" ht="15" customHeight="1" x14ac:dyDescent="0.25">
      <c r="A72" t="s">
        <v>592</v>
      </c>
      <c r="B72" t="s">
        <v>105</v>
      </c>
      <c r="C72">
        <v>2018</v>
      </c>
      <c r="D72">
        <v>5.8570000000000002</v>
      </c>
      <c r="E72">
        <v>0.76200000000000001</v>
      </c>
      <c r="F72">
        <v>3.8660000000000001</v>
      </c>
      <c r="I72">
        <v>1.097</v>
      </c>
      <c r="J72">
        <v>0.13200000000000001</v>
      </c>
      <c r="N72" t="s">
        <v>805</v>
      </c>
      <c r="P72" t="s">
        <v>805</v>
      </c>
      <c r="R72" t="s">
        <v>805</v>
      </c>
      <c r="T72">
        <f>Tabell6[[#This Row],[Såld värme (GWh)]]-Tabell6[[#This Row],[Levererad värme, andra fjärrvärmeförag, förag 1 (GWh)]]-Tabell6[[#This Row],[Levererad värme, andra fjärrvärmeförag, förag 2 (GWh)]]-Tabell6[[#This Row],[Levererad värme, andra fjärrvärmeförag, förag 3 (GWh)]]</f>
        <v>5.8570000000000002</v>
      </c>
      <c r="U72" t="str">
        <f>VLOOKUP(Tabell6[[#This Row],[Nät]],Tabell5[],2,FALSE)</f>
        <v>Ärla</v>
      </c>
    </row>
    <row r="73" spans="1:21" ht="15" customHeight="1" x14ac:dyDescent="0.25">
      <c r="A73" t="s">
        <v>597</v>
      </c>
      <c r="B73" t="s">
        <v>106</v>
      </c>
      <c r="C73">
        <v>2018</v>
      </c>
      <c r="D73">
        <v>103.4</v>
      </c>
      <c r="E73">
        <v>53.4</v>
      </c>
      <c r="F73">
        <v>8.6</v>
      </c>
      <c r="G73">
        <v>4.8</v>
      </c>
      <c r="I73">
        <v>15.3</v>
      </c>
      <c r="J73">
        <v>21.2</v>
      </c>
      <c r="N73" t="s">
        <v>962</v>
      </c>
      <c r="P73" t="s">
        <v>962</v>
      </c>
      <c r="R73" t="s">
        <v>962</v>
      </c>
      <c r="T73">
        <f>Tabell6[[#This Row],[Såld värme (GWh)]]-Tabell6[[#This Row],[Levererad värme, andra fjärrvärmeförag, förag 1 (GWh)]]-Tabell6[[#This Row],[Levererad värme, andra fjärrvärmeförag, förag 2 (GWh)]]-Tabell6[[#This Row],[Levererad värme, andra fjärrvärmeförag, förag 3 (GWh)]]</f>
        <v>103.4</v>
      </c>
      <c r="U73" t="str">
        <f>VLOOKUP(Tabell6[[#This Row],[Nät]],Tabell5[],2,FALSE)</f>
        <v>Falköping</v>
      </c>
    </row>
    <row r="74" spans="1:21" ht="15" customHeight="1" x14ac:dyDescent="0.25">
      <c r="A74" t="s">
        <v>597</v>
      </c>
      <c r="B74" t="s">
        <v>107</v>
      </c>
      <c r="C74">
        <v>2018</v>
      </c>
      <c r="D74">
        <v>10.9</v>
      </c>
      <c r="E74">
        <v>2.2999999999999998</v>
      </c>
      <c r="F74">
        <v>1.5</v>
      </c>
      <c r="G74">
        <v>4.8</v>
      </c>
      <c r="I74">
        <v>2.2000000000000002</v>
      </c>
      <c r="K74">
        <v>0.1</v>
      </c>
      <c r="T74">
        <f>Tabell6[[#This Row],[Såld värme (GWh)]]-Tabell6[[#This Row],[Levererad värme, andra fjärrvärmeförag, förag 1 (GWh)]]-Tabell6[[#This Row],[Levererad värme, andra fjärrvärmeförag, förag 2 (GWh)]]-Tabell6[[#This Row],[Levererad värme, andra fjärrvärmeförag, förag 3 (GWh)]]</f>
        <v>10.9</v>
      </c>
      <c r="U74" t="str">
        <f>VLOOKUP(Tabell6[[#This Row],[Nät]],Tabell5[],2,FALSE)</f>
        <v>Floby</v>
      </c>
    </row>
    <row r="75" spans="1:21" ht="15" customHeight="1" x14ac:dyDescent="0.25">
      <c r="A75" t="s">
        <v>597</v>
      </c>
      <c r="B75" t="s">
        <v>705</v>
      </c>
      <c r="C75">
        <v>2018</v>
      </c>
      <c r="D75">
        <v>4.0999999999999996</v>
      </c>
      <c r="E75">
        <v>1.5</v>
      </c>
      <c r="F75">
        <v>0.15</v>
      </c>
      <c r="I75">
        <v>2.2999999999999998</v>
      </c>
      <c r="K75">
        <v>0.2</v>
      </c>
      <c r="N75" t="s">
        <v>805</v>
      </c>
      <c r="P75" t="s">
        <v>805</v>
      </c>
      <c r="R75" t="s">
        <v>805</v>
      </c>
      <c r="T75">
        <f>Tabell6[[#This Row],[Såld värme (GWh)]]-Tabell6[[#This Row],[Levererad värme, andra fjärrvärmeförag, förag 1 (GWh)]]-Tabell6[[#This Row],[Levererad värme, andra fjärrvärmeförag, förag 2 (GWh)]]-Tabell6[[#This Row],[Levererad värme, andra fjärrvärmeförag, förag 3 (GWh)]]</f>
        <v>4.0999999999999996</v>
      </c>
      <c r="U75" t="str">
        <f>VLOOKUP(Tabell6[[#This Row],[Nät]],Tabell5[],2,FALSE)</f>
        <v>Stenstorp</v>
      </c>
    </row>
    <row r="76" spans="1:21" ht="15" customHeight="1" x14ac:dyDescent="0.25">
      <c r="A76" t="s">
        <v>596</v>
      </c>
      <c r="B76" t="s">
        <v>108</v>
      </c>
      <c r="C76">
        <v>2018</v>
      </c>
      <c r="D76">
        <v>63.59</v>
      </c>
      <c r="E76">
        <v>27.25</v>
      </c>
      <c r="F76">
        <v>5.75</v>
      </c>
      <c r="G76">
        <v>0</v>
      </c>
      <c r="I76">
        <v>13.441000000000001</v>
      </c>
      <c r="J76">
        <v>13.459</v>
      </c>
      <c r="M76">
        <v>3.69</v>
      </c>
      <c r="N76" t="s">
        <v>805</v>
      </c>
      <c r="P76" t="s">
        <v>805</v>
      </c>
      <c r="R76" t="s">
        <v>805</v>
      </c>
      <c r="T76">
        <f>Tabell6[[#This Row],[Såld värme (GWh)]]-Tabell6[[#This Row],[Levererad värme, andra fjärrvärmeförag, förag 1 (GWh)]]-Tabell6[[#This Row],[Levererad värme, andra fjärrvärmeförag, förag 2 (GWh)]]-Tabell6[[#This Row],[Levererad värme, andra fjärrvärmeförag, förag 3 (GWh)]]</f>
        <v>63.59</v>
      </c>
      <c r="U76" t="str">
        <f>VLOOKUP(Tabell6[[#This Row],[Nät]],Tabell5[],2,FALSE)</f>
        <v>Falkenberg</v>
      </c>
    </row>
    <row r="77" spans="1:21" ht="15" customHeight="1" x14ac:dyDescent="0.25">
      <c r="A77" t="s">
        <v>596</v>
      </c>
      <c r="B77" t="s">
        <v>383</v>
      </c>
      <c r="C77">
        <v>2018</v>
      </c>
      <c r="D77">
        <v>2.4660000000000002</v>
      </c>
      <c r="E77">
        <v>0.36599999999999999</v>
      </c>
      <c r="F77">
        <v>0.19700000000000001</v>
      </c>
      <c r="G77">
        <v>0</v>
      </c>
      <c r="I77">
        <v>1.7470000000000001</v>
      </c>
      <c r="J77">
        <v>0.156</v>
      </c>
      <c r="K77">
        <v>0</v>
      </c>
      <c r="L77">
        <v>0</v>
      </c>
      <c r="M77">
        <v>0</v>
      </c>
      <c r="N77" t="s">
        <v>805</v>
      </c>
      <c r="P77" t="s">
        <v>805</v>
      </c>
      <c r="R77" t="s">
        <v>805</v>
      </c>
      <c r="T77">
        <f>Tabell6[[#This Row],[Såld värme (GWh)]]-Tabell6[[#This Row],[Levererad värme, andra fjärrvärmeförag, förag 1 (GWh)]]-Tabell6[[#This Row],[Levererad värme, andra fjärrvärmeförag, förag 2 (GWh)]]-Tabell6[[#This Row],[Levererad värme, andra fjärrvärmeförag, förag 3 (GWh)]]</f>
        <v>2.4660000000000002</v>
      </c>
      <c r="U77" t="str">
        <f>VLOOKUP(Tabell6[[#This Row],[Nät]],Tabell5[],2,FALSE)</f>
        <v>Ullared-närvärme</v>
      </c>
    </row>
    <row r="78" spans="1:21" ht="15" customHeight="1" x14ac:dyDescent="0.25">
      <c r="A78" t="s">
        <v>596</v>
      </c>
      <c r="B78" t="s">
        <v>729</v>
      </c>
      <c r="C78">
        <v>2018</v>
      </c>
      <c r="D78">
        <v>3.2919999999999998</v>
      </c>
      <c r="E78">
        <v>0.49299999999999999</v>
      </c>
      <c r="F78">
        <v>0.26600000000000001</v>
      </c>
      <c r="G78">
        <v>0</v>
      </c>
      <c r="I78">
        <v>2.496</v>
      </c>
      <c r="J78">
        <v>3.6999999999999998E-2</v>
      </c>
      <c r="K78">
        <v>0</v>
      </c>
      <c r="L78">
        <v>0</v>
      </c>
      <c r="M78">
        <v>0</v>
      </c>
      <c r="N78" t="s">
        <v>805</v>
      </c>
      <c r="P78" t="s">
        <v>805</v>
      </c>
      <c r="R78" t="s">
        <v>805</v>
      </c>
      <c r="T78">
        <f>Tabell6[[#This Row],[Såld värme (GWh)]]-Tabell6[[#This Row],[Levererad värme, andra fjärrvärmeförag, förag 1 (GWh)]]-Tabell6[[#This Row],[Levererad värme, andra fjärrvärmeförag, förag 2 (GWh)]]-Tabell6[[#This Row],[Levererad värme, andra fjärrvärmeförag, förag 3 (GWh)]]</f>
        <v>3.2919999999999998</v>
      </c>
      <c r="U78" t="str">
        <f>VLOOKUP(Tabell6[[#This Row],[Nät]],Tabell5[],2,FALSE)</f>
        <v>Vessigebro-närvärme</v>
      </c>
    </row>
    <row r="79" spans="1:21" ht="15" customHeight="1" x14ac:dyDescent="0.25">
      <c r="A79" t="s">
        <v>567</v>
      </c>
      <c r="B79" t="s">
        <v>109</v>
      </c>
      <c r="C79">
        <v>2018</v>
      </c>
      <c r="D79">
        <v>3.71</v>
      </c>
      <c r="E79">
        <v>1.45</v>
      </c>
      <c r="F79">
        <v>0.24</v>
      </c>
      <c r="G79">
        <v>0.3</v>
      </c>
      <c r="I79">
        <v>1.34</v>
      </c>
      <c r="J79">
        <v>0.15</v>
      </c>
      <c r="K79">
        <v>0.23</v>
      </c>
      <c r="L79">
        <v>0</v>
      </c>
      <c r="M79">
        <v>0</v>
      </c>
      <c r="N79" t="s">
        <v>805</v>
      </c>
      <c r="P79" t="s">
        <v>805</v>
      </c>
      <c r="R79" t="s">
        <v>805</v>
      </c>
      <c r="T79">
        <f>Tabell6[[#This Row],[Såld värme (GWh)]]-Tabell6[[#This Row],[Levererad värme, andra fjärrvärmeförag, förag 1 (GWh)]]-Tabell6[[#This Row],[Levererad värme, andra fjärrvärmeförag, förag 2 (GWh)]]-Tabell6[[#This Row],[Levererad värme, andra fjärrvärmeförag, förag 3 (GWh)]]</f>
        <v>3.71</v>
      </c>
      <c r="U79" t="str">
        <f>VLOOKUP(Tabell6[[#This Row],[Nät]],Tabell5[],2,FALSE)</f>
        <v>Bjursås</v>
      </c>
    </row>
    <row r="80" spans="1:21" ht="15" customHeight="1" x14ac:dyDescent="0.25">
      <c r="A80" t="s">
        <v>567</v>
      </c>
      <c r="B80" t="s">
        <v>110</v>
      </c>
      <c r="C80">
        <v>2018</v>
      </c>
      <c r="D80">
        <v>357.8</v>
      </c>
      <c r="E80">
        <v>133.57</v>
      </c>
      <c r="F80">
        <v>39.58</v>
      </c>
      <c r="G80">
        <v>30.04</v>
      </c>
      <c r="I80">
        <v>42.46</v>
      </c>
      <c r="J80">
        <v>40.799999999999997</v>
      </c>
      <c r="K80">
        <v>18.16</v>
      </c>
      <c r="L80">
        <v>4.0199999999999996</v>
      </c>
      <c r="M80">
        <v>49.2</v>
      </c>
      <c r="N80" t="s">
        <v>965</v>
      </c>
      <c r="O80">
        <v>5.82</v>
      </c>
      <c r="P80" t="s">
        <v>805</v>
      </c>
      <c r="R80" t="s">
        <v>805</v>
      </c>
      <c r="T80">
        <f>Tabell6[[#This Row],[Såld värme (GWh)]]-Tabell6[[#This Row],[Levererad värme, andra fjärrvärmeförag, förag 1 (GWh)]]-Tabell6[[#This Row],[Levererad värme, andra fjärrvärmeförag, förag 2 (GWh)]]-Tabell6[[#This Row],[Levererad värme, andra fjärrvärmeförag, förag 3 (GWh)]]</f>
        <v>351.98</v>
      </c>
      <c r="U80" t="str">
        <f>VLOOKUP(Tabell6[[#This Row],[Nät]],Tabell5[],2,FALSE)</f>
        <v>Falun</v>
      </c>
    </row>
    <row r="81" spans="1:21" ht="15" customHeight="1" x14ac:dyDescent="0.25">
      <c r="A81" t="s">
        <v>567</v>
      </c>
      <c r="B81" t="s">
        <v>111</v>
      </c>
      <c r="C81">
        <v>2018</v>
      </c>
      <c r="D81">
        <v>4.93</v>
      </c>
      <c r="E81">
        <v>3.56</v>
      </c>
      <c r="F81">
        <v>0.02</v>
      </c>
      <c r="G81">
        <v>0</v>
      </c>
      <c r="I81">
        <v>1.18</v>
      </c>
      <c r="J81">
        <v>0.17</v>
      </c>
      <c r="K81">
        <v>0</v>
      </c>
      <c r="L81">
        <v>0</v>
      </c>
      <c r="M81">
        <v>0</v>
      </c>
      <c r="N81" t="s">
        <v>805</v>
      </c>
      <c r="P81" t="s">
        <v>805</v>
      </c>
      <c r="R81" t="s">
        <v>805</v>
      </c>
      <c r="T81">
        <f>Tabell6[[#This Row],[Såld värme (GWh)]]-Tabell6[[#This Row],[Levererad värme, andra fjärrvärmeförag, förag 1 (GWh)]]-Tabell6[[#This Row],[Levererad värme, andra fjärrvärmeförag, förag 2 (GWh)]]-Tabell6[[#This Row],[Levererad värme, andra fjärrvärmeförag, förag 3 (GWh)]]</f>
        <v>4.93</v>
      </c>
      <c r="U81" t="str">
        <f>VLOOKUP(Tabell6[[#This Row],[Nät]],Tabell5[],2,FALSE)</f>
        <v>Grycksbo</v>
      </c>
    </row>
    <row r="82" spans="1:21" ht="15" customHeight="1" x14ac:dyDescent="0.25">
      <c r="A82" t="s">
        <v>567</v>
      </c>
      <c r="B82" t="s">
        <v>112</v>
      </c>
      <c r="C82">
        <v>2018</v>
      </c>
      <c r="D82">
        <v>4.88</v>
      </c>
      <c r="E82">
        <v>2.54</v>
      </c>
      <c r="F82">
        <v>0.14000000000000001</v>
      </c>
      <c r="G82">
        <v>0</v>
      </c>
      <c r="I82">
        <v>2.11</v>
      </c>
      <c r="J82">
        <v>0.09</v>
      </c>
      <c r="K82">
        <v>0</v>
      </c>
      <c r="L82">
        <v>0</v>
      </c>
      <c r="M82">
        <v>0</v>
      </c>
      <c r="N82" t="s">
        <v>805</v>
      </c>
      <c r="P82" t="s">
        <v>805</v>
      </c>
      <c r="R82" t="s">
        <v>805</v>
      </c>
      <c r="T82">
        <f>Tabell6[[#This Row],[Såld värme (GWh)]]-Tabell6[[#This Row],[Levererad värme, andra fjärrvärmeförag, förag 1 (GWh)]]-Tabell6[[#This Row],[Levererad värme, andra fjärrvärmeförag, förag 2 (GWh)]]-Tabell6[[#This Row],[Levererad värme, andra fjärrvärmeförag, förag 3 (GWh)]]</f>
        <v>4.88</v>
      </c>
      <c r="U82" t="str">
        <f>VLOOKUP(Tabell6[[#This Row],[Nät]],Tabell5[],2,FALSE)</f>
        <v>Svärdsjö</v>
      </c>
    </row>
    <row r="83" spans="1:21" ht="15" customHeight="1" x14ac:dyDescent="0.25">
      <c r="A83" t="s">
        <v>599</v>
      </c>
      <c r="B83" t="s">
        <v>113</v>
      </c>
      <c r="C83">
        <v>2018</v>
      </c>
      <c r="D83">
        <v>107</v>
      </c>
      <c r="E83">
        <v>41</v>
      </c>
      <c r="F83">
        <v>9</v>
      </c>
      <c r="G83">
        <v>30</v>
      </c>
      <c r="H83">
        <v>0</v>
      </c>
      <c r="I83">
        <v>14</v>
      </c>
      <c r="J83">
        <v>13</v>
      </c>
      <c r="K83">
        <v>0</v>
      </c>
      <c r="L83" t="s">
        <v>804</v>
      </c>
      <c r="N83" t="s">
        <v>805</v>
      </c>
      <c r="P83" t="s">
        <v>805</v>
      </c>
      <c r="R83" t="s">
        <v>805</v>
      </c>
      <c r="T83">
        <f>Tabell6[[#This Row],[Såld värme (GWh)]]-Tabell6[[#This Row],[Levererad värme, andra fjärrvärmeförag, förag 1 (GWh)]]-Tabell6[[#This Row],[Levererad värme, andra fjärrvärmeförag, förag 2 (GWh)]]-Tabell6[[#This Row],[Levererad värme, andra fjärrvärmeförag, förag 3 (GWh)]]</f>
        <v>107</v>
      </c>
      <c r="U83" t="str">
        <f>VLOOKUP(Tabell6[[#This Row],[Nät]],Tabell5[],2,FALSE)</f>
        <v>Finspång</v>
      </c>
    </row>
    <row r="84" spans="1:21" ht="15" customHeight="1" x14ac:dyDescent="0.25">
      <c r="A84" t="s">
        <v>610</v>
      </c>
      <c r="B84" t="s">
        <v>443</v>
      </c>
      <c r="C84">
        <v>2018</v>
      </c>
      <c r="D84">
        <v>33.445</v>
      </c>
      <c r="E84">
        <v>16.343</v>
      </c>
      <c r="F84">
        <v>0.29699999999999999</v>
      </c>
      <c r="G84">
        <v>0.98099999999999998</v>
      </c>
      <c r="I84">
        <v>11.704000000000001</v>
      </c>
      <c r="J84">
        <v>4.1180000000000003</v>
      </c>
      <c r="N84" t="s">
        <v>805</v>
      </c>
      <c r="P84" t="s">
        <v>805</v>
      </c>
      <c r="R84" t="s">
        <v>805</v>
      </c>
      <c r="T84">
        <f>Tabell6[[#This Row],[Såld värme (GWh)]]-Tabell6[[#This Row],[Levererad värme, andra fjärrvärmeförag, förag 1 (GWh)]]-Tabell6[[#This Row],[Levererad värme, andra fjärrvärmeförag, förag 2 (GWh)]]-Tabell6[[#This Row],[Levererad värme, andra fjärrvärmeförag, förag 3 (GWh)]]</f>
        <v>33.445</v>
      </c>
      <c r="U84" t="str">
        <f>VLOOKUP(Tabell6[[#This Row],[Nät]],Tabell5[],2,FALSE)</f>
        <v>Gislaved</v>
      </c>
    </row>
    <row r="85" spans="1:21" ht="15" customHeight="1" x14ac:dyDescent="0.25">
      <c r="A85" t="s">
        <v>610</v>
      </c>
      <c r="B85" t="s">
        <v>132</v>
      </c>
      <c r="C85">
        <v>2018</v>
      </c>
      <c r="D85">
        <v>4.367</v>
      </c>
      <c r="E85">
        <v>1.224</v>
      </c>
      <c r="F85">
        <v>4.5999999999999999E-2</v>
      </c>
      <c r="G85">
        <v>1.806</v>
      </c>
      <c r="I85">
        <v>1.2050000000000001</v>
      </c>
      <c r="J85">
        <v>8.5000000000000006E-2</v>
      </c>
      <c r="N85" t="s">
        <v>805</v>
      </c>
      <c r="P85" t="s">
        <v>805</v>
      </c>
      <c r="R85" t="s">
        <v>805</v>
      </c>
      <c r="T85">
        <f>Tabell6[[#This Row],[Såld värme (GWh)]]-Tabell6[[#This Row],[Levererad värme, andra fjärrvärmeförag, förag 1 (GWh)]]-Tabell6[[#This Row],[Levererad värme, andra fjärrvärmeförag, förag 2 (GWh)]]-Tabell6[[#This Row],[Levererad värme, andra fjärrvärmeförag, förag 3 (GWh)]]</f>
        <v>4.367</v>
      </c>
      <c r="U85" t="str">
        <f>VLOOKUP(Tabell6[[#This Row],[Nät]],Tabell5[],2,FALSE)</f>
        <v>Hestra</v>
      </c>
    </row>
    <row r="86" spans="1:21" ht="15" customHeight="1" x14ac:dyDescent="0.25">
      <c r="A86" t="s">
        <v>610</v>
      </c>
      <c r="B86" t="s">
        <v>413</v>
      </c>
      <c r="C86">
        <v>2018</v>
      </c>
      <c r="D86">
        <v>2.1549999999999998</v>
      </c>
      <c r="E86">
        <v>0.247</v>
      </c>
      <c r="F86">
        <v>2.1999999999999999E-2</v>
      </c>
      <c r="I86">
        <v>1.8839999999999999</v>
      </c>
      <c r="N86" t="s">
        <v>805</v>
      </c>
      <c r="P86" t="s">
        <v>805</v>
      </c>
      <c r="R86" t="s">
        <v>805</v>
      </c>
      <c r="T86">
        <f>Tabell6[[#This Row],[Såld värme (GWh)]]-Tabell6[[#This Row],[Levererad värme, andra fjärrvärmeförag, förag 1 (GWh)]]-Tabell6[[#This Row],[Levererad värme, andra fjärrvärmeförag, förag 2 (GWh)]]-Tabell6[[#This Row],[Levererad värme, andra fjärrvärmeförag, förag 3 (GWh)]]</f>
        <v>2.1549999999999998</v>
      </c>
      <c r="U86" t="str">
        <f>VLOOKUP(Tabell6[[#This Row],[Nät]],Tabell5[],2,FALSE)</f>
        <v>Reftele</v>
      </c>
    </row>
    <row r="87" spans="1:21" ht="15" customHeight="1" x14ac:dyDescent="0.25">
      <c r="A87" t="s">
        <v>627</v>
      </c>
      <c r="B87" t="s">
        <v>134</v>
      </c>
      <c r="C87">
        <v>2018</v>
      </c>
      <c r="D87">
        <v>11.819000000000001</v>
      </c>
      <c r="E87">
        <v>4.516</v>
      </c>
      <c r="F87">
        <v>0.50600000000000001</v>
      </c>
      <c r="G87">
        <v>0</v>
      </c>
      <c r="H87">
        <v>0</v>
      </c>
      <c r="I87">
        <v>4.0730000000000004</v>
      </c>
      <c r="J87">
        <v>2.6440000000000001</v>
      </c>
      <c r="K87">
        <v>0</v>
      </c>
      <c r="L87">
        <v>0</v>
      </c>
      <c r="M87">
        <v>0.08</v>
      </c>
      <c r="N87" t="s">
        <v>962</v>
      </c>
      <c r="P87" t="s">
        <v>962</v>
      </c>
      <c r="R87" t="s">
        <v>962</v>
      </c>
      <c r="T87">
        <f>Tabell6[[#This Row],[Såld värme (GWh)]]-Tabell6[[#This Row],[Levererad värme, andra fjärrvärmeförag, förag 1 (GWh)]]-Tabell6[[#This Row],[Levererad värme, andra fjärrvärmeförag, förag 2 (GWh)]]-Tabell6[[#This Row],[Levererad värme, andra fjärrvärmeförag, förag 3 (GWh)]]</f>
        <v>11.819000000000001</v>
      </c>
      <c r="U87" t="str">
        <f>VLOOKUP(Tabell6[[#This Row],[Nät]],Tabell5[],2,FALSE)</f>
        <v>Hemse</v>
      </c>
    </row>
    <row r="88" spans="1:21" ht="15" customHeight="1" x14ac:dyDescent="0.25">
      <c r="A88" t="s">
        <v>627</v>
      </c>
      <c r="B88" t="s">
        <v>135</v>
      </c>
      <c r="C88">
        <v>2018</v>
      </c>
      <c r="D88">
        <v>7.149</v>
      </c>
      <c r="E88">
        <v>3.2909999999999999</v>
      </c>
      <c r="F88">
        <v>0.151</v>
      </c>
      <c r="G88">
        <v>0</v>
      </c>
      <c r="H88">
        <v>0</v>
      </c>
      <c r="I88">
        <v>2.5379999999999998</v>
      </c>
      <c r="J88">
        <v>1.2130000000000001</v>
      </c>
      <c r="K88">
        <v>0</v>
      </c>
      <c r="L88">
        <v>0</v>
      </c>
      <c r="M88">
        <v>0</v>
      </c>
      <c r="N88" t="s">
        <v>805</v>
      </c>
      <c r="P88" t="s">
        <v>805</v>
      </c>
      <c r="R88" t="s">
        <v>805</v>
      </c>
      <c r="T88">
        <f>Tabell6[[#This Row],[Såld värme (GWh)]]-Tabell6[[#This Row],[Levererad värme, andra fjärrvärmeförag, förag 1 (GWh)]]-Tabell6[[#This Row],[Levererad värme, andra fjärrvärmeförag, förag 2 (GWh)]]-Tabell6[[#This Row],[Levererad värme, andra fjärrvärmeförag, förag 3 (GWh)]]</f>
        <v>7.149</v>
      </c>
      <c r="U88" t="str">
        <f>VLOOKUP(Tabell6[[#This Row],[Nät]],Tabell5[],2,FALSE)</f>
        <v>Klintehamn</v>
      </c>
    </row>
    <row r="89" spans="1:21" ht="15" customHeight="1" x14ac:dyDescent="0.25">
      <c r="A89" t="s">
        <v>627</v>
      </c>
      <c r="B89" t="s">
        <v>136</v>
      </c>
      <c r="C89">
        <v>2018</v>
      </c>
      <c r="D89">
        <v>15.727</v>
      </c>
      <c r="E89">
        <v>3.97</v>
      </c>
      <c r="F89">
        <v>0.24299999999999999</v>
      </c>
      <c r="G89">
        <v>0</v>
      </c>
      <c r="H89">
        <v>0</v>
      </c>
      <c r="I89">
        <v>2.0609999999999999</v>
      </c>
      <c r="J89">
        <v>1.8220000000000001</v>
      </c>
      <c r="K89">
        <v>0</v>
      </c>
      <c r="L89">
        <v>0</v>
      </c>
      <c r="M89">
        <v>7.6310000000000002</v>
      </c>
      <c r="N89" t="s">
        <v>805</v>
      </c>
      <c r="P89" t="s">
        <v>805</v>
      </c>
      <c r="R89" t="s">
        <v>805</v>
      </c>
      <c r="T89">
        <f>Tabell6[[#This Row],[Såld värme (GWh)]]-Tabell6[[#This Row],[Levererad värme, andra fjärrvärmeförag, förag 1 (GWh)]]-Tabell6[[#This Row],[Levererad värme, andra fjärrvärmeförag, förag 2 (GWh)]]-Tabell6[[#This Row],[Levererad värme, andra fjärrvärmeförag, förag 3 (GWh)]]</f>
        <v>15.727</v>
      </c>
      <c r="U89" t="str">
        <f>VLOOKUP(Tabell6[[#This Row],[Nät]],Tabell5[],2,FALSE)</f>
        <v>Slite</v>
      </c>
    </row>
    <row r="90" spans="1:21" ht="15" customHeight="1" x14ac:dyDescent="0.25">
      <c r="A90" t="s">
        <v>627</v>
      </c>
      <c r="B90" t="s">
        <v>133</v>
      </c>
      <c r="C90">
        <v>2018</v>
      </c>
      <c r="D90">
        <v>170.99700000000001</v>
      </c>
      <c r="E90">
        <v>90.180999999999997</v>
      </c>
      <c r="F90">
        <v>9.8930000000000007</v>
      </c>
      <c r="G90">
        <v>0</v>
      </c>
      <c r="H90">
        <v>0</v>
      </c>
      <c r="I90">
        <v>37.835999999999999</v>
      </c>
      <c r="J90">
        <v>28.757999999999999</v>
      </c>
      <c r="K90">
        <v>0</v>
      </c>
      <c r="L90">
        <v>0</v>
      </c>
      <c r="M90">
        <v>4.3289999999999997</v>
      </c>
      <c r="N90" t="s">
        <v>805</v>
      </c>
      <c r="P90" t="s">
        <v>805</v>
      </c>
      <c r="R90" t="s">
        <v>805</v>
      </c>
      <c r="T90">
        <f>Tabell6[[#This Row],[Såld värme (GWh)]]-Tabell6[[#This Row],[Levererad värme, andra fjärrvärmeförag, förag 1 (GWh)]]-Tabell6[[#This Row],[Levererad värme, andra fjärrvärmeförag, förag 2 (GWh)]]-Tabell6[[#This Row],[Levererad värme, andra fjärrvärmeförag, förag 3 (GWh)]]</f>
        <v>170.99700000000001</v>
      </c>
      <c r="U90" t="str">
        <f>VLOOKUP(Tabell6[[#This Row],[Nät]],Tabell5[],2,FALSE)</f>
        <v>Visby</v>
      </c>
    </row>
    <row r="91" spans="1:21" ht="15" customHeight="1" x14ac:dyDescent="0.25">
      <c r="A91" t="s">
        <v>613</v>
      </c>
      <c r="B91" t="s">
        <v>1021</v>
      </c>
      <c r="C91">
        <v>2018</v>
      </c>
      <c r="D91">
        <v>162</v>
      </c>
      <c r="E91">
        <v>66</v>
      </c>
      <c r="F91">
        <v>37</v>
      </c>
      <c r="G91">
        <v>6.1</v>
      </c>
      <c r="I91">
        <v>28</v>
      </c>
      <c r="J91">
        <v>19</v>
      </c>
      <c r="K91">
        <v>1.3</v>
      </c>
      <c r="L91">
        <v>0</v>
      </c>
      <c r="M91">
        <v>4.0999999999999996</v>
      </c>
      <c r="N91" t="s">
        <v>805</v>
      </c>
      <c r="P91" t="s">
        <v>805</v>
      </c>
      <c r="R91" t="s">
        <v>805</v>
      </c>
      <c r="T91">
        <f>Tabell6[[#This Row],[Såld värme (GWh)]]-Tabell6[[#This Row],[Levererad värme, andra fjärrvärmeförag, förag 1 (GWh)]]-Tabell6[[#This Row],[Levererad värme, andra fjärrvärmeförag, förag 2 (GWh)]]-Tabell6[[#This Row],[Levererad värme, andra fjärrvärmeförag, förag 3 (GWh)]]</f>
        <v>162</v>
      </c>
      <c r="U91" t="str">
        <f>VLOOKUP(Tabell6[[#This Row],[Nät]],Tabell5[],2,FALSE)</f>
        <v>Gällivare-Malmberget</v>
      </c>
    </row>
    <row r="92" spans="1:21" ht="15" customHeight="1" x14ac:dyDescent="0.25">
      <c r="A92" t="s">
        <v>615</v>
      </c>
      <c r="B92" t="s">
        <v>138</v>
      </c>
      <c r="C92">
        <v>2018</v>
      </c>
      <c r="D92">
        <v>680</v>
      </c>
      <c r="E92">
        <v>363.2</v>
      </c>
      <c r="F92">
        <v>84.4</v>
      </c>
      <c r="I92">
        <v>97.3</v>
      </c>
      <c r="J92">
        <v>77.400000000000006</v>
      </c>
      <c r="K92">
        <v>8.5</v>
      </c>
      <c r="L92">
        <v>18.3</v>
      </c>
      <c r="M92">
        <v>31</v>
      </c>
      <c r="N92" t="s">
        <v>805</v>
      </c>
      <c r="P92" t="s">
        <v>805</v>
      </c>
      <c r="R92" t="s">
        <v>805</v>
      </c>
      <c r="T92">
        <f>Tabell6[[#This Row],[Såld värme (GWh)]]-Tabell6[[#This Row],[Levererad värme, andra fjärrvärmeförag, förag 1 (GWh)]]-Tabell6[[#This Row],[Levererad värme, andra fjärrvärmeförag, förag 2 (GWh)]]-Tabell6[[#This Row],[Levererad värme, andra fjärrvärmeförag, förag 3 (GWh)]]</f>
        <v>680</v>
      </c>
      <c r="U92" t="str">
        <f>VLOOKUP(Tabell6[[#This Row],[Nät]],Tabell5[],2,FALSE)</f>
        <v>Gävle</v>
      </c>
    </row>
    <row r="93" spans="1:21" ht="15" customHeight="1" x14ac:dyDescent="0.25">
      <c r="A93" t="s">
        <v>616</v>
      </c>
      <c r="B93" t="s">
        <v>810</v>
      </c>
      <c r="C93">
        <v>2018</v>
      </c>
      <c r="N93" t="s">
        <v>962</v>
      </c>
      <c r="P93" t="s">
        <v>962</v>
      </c>
      <c r="R93" t="s">
        <v>962</v>
      </c>
      <c r="T93">
        <f>Tabell6[[#This Row],[Såld värme (GWh)]]-Tabell6[[#This Row],[Levererad värme, andra fjärrvärmeförag, förag 1 (GWh)]]-Tabell6[[#This Row],[Levererad värme, andra fjärrvärmeförag, förag 2 (GWh)]]-Tabell6[[#This Row],[Levererad värme, andra fjärrvärmeförag, förag 3 (GWh)]]</f>
        <v>0</v>
      </c>
      <c r="U93" t="e">
        <f>VLOOKUP(Tabell6[[#This Row],[Nät]],Tabell5[],2,FALSE)</f>
        <v>#N/A</v>
      </c>
    </row>
    <row r="94" spans="1:21" ht="15" customHeight="1" x14ac:dyDescent="0.25">
      <c r="A94" s="62" t="s">
        <v>616</v>
      </c>
      <c r="B94" s="62" t="s">
        <v>966</v>
      </c>
      <c r="C94" s="62">
        <v>2018</v>
      </c>
      <c r="D94" s="62">
        <v>3363.53</v>
      </c>
      <c r="E94" s="62">
        <v>1986</v>
      </c>
      <c r="F94" s="62">
        <v>224</v>
      </c>
      <c r="G94" s="62">
        <v>193</v>
      </c>
      <c r="H94" s="62"/>
      <c r="I94" s="62">
        <v>323</v>
      </c>
      <c r="J94" s="62">
        <v>436</v>
      </c>
      <c r="K94" s="62">
        <v>4</v>
      </c>
      <c r="L94" s="62"/>
      <c r="M94" s="62"/>
      <c r="N94" s="62" t="s">
        <v>967</v>
      </c>
      <c r="O94" s="62">
        <v>31.4</v>
      </c>
      <c r="P94" s="62" t="s">
        <v>968</v>
      </c>
      <c r="Q94" s="62">
        <v>22.7</v>
      </c>
      <c r="R94" s="62" t="s">
        <v>969</v>
      </c>
      <c r="S94" s="62">
        <v>171</v>
      </c>
      <c r="T94" s="62">
        <f>Tabell6[[#This Row],[Såld värme (GWh)]]-Tabell6[[#This Row],[Levererad värme, andra fjärrvärmeförag, förag 1 (GWh)]]-Tabell6[[#This Row],[Levererad värme, andra fjärrvärmeförag, förag 2 (GWh)]]-Tabell6[[#This Row],[Levererad värme, andra fjärrvärmeförag, förag 3 (GWh)]]</f>
        <v>3138.4300000000003</v>
      </c>
      <c r="U94" s="62" t="str">
        <f>VLOOKUP(Tabell6[[#This Row],[Nät]],Tabell5[],2,FALSE)</f>
        <v>Göteborg Ale</v>
      </c>
    </row>
    <row r="95" spans="1:21" ht="15" customHeight="1" x14ac:dyDescent="0.25">
      <c r="A95" s="52" t="s">
        <v>616</v>
      </c>
      <c r="B95" s="52" t="s">
        <v>970</v>
      </c>
      <c r="C95" s="52">
        <v>2018</v>
      </c>
      <c r="D95" s="52">
        <v>165.02</v>
      </c>
      <c r="E95" s="52"/>
      <c r="F95" s="52"/>
      <c r="G95" s="52"/>
      <c r="H95" s="52"/>
      <c r="I95" s="52"/>
      <c r="J95" s="52"/>
      <c r="K95" s="52"/>
      <c r="L95" s="52"/>
      <c r="M95" s="52"/>
      <c r="N95" s="52" t="s">
        <v>962</v>
      </c>
      <c r="O95" s="52"/>
      <c r="P95" s="52" t="s">
        <v>962</v>
      </c>
      <c r="Q95" s="52"/>
      <c r="R95" s="52" t="s">
        <v>962</v>
      </c>
      <c r="S95" s="52"/>
      <c r="T95" s="52">
        <f>Tabell6[[#This Row],[Såld värme (GWh)]]-Tabell6[[#This Row],[Levererad värme, andra fjärrvärmeförag, förag 1 (GWh)]]-Tabell6[[#This Row],[Levererad värme, andra fjärrvärmeförag, förag 2 (GWh)]]-Tabell6[[#This Row],[Levererad värme, andra fjärrvärmeförag, förag 3 (GWh)]]</f>
        <v>165.02</v>
      </c>
      <c r="U95" s="52" t="e">
        <f>VLOOKUP(Tabell6[[#This Row],[Nät]],Tabell5[],2,FALSE)</f>
        <v>#N/A</v>
      </c>
    </row>
    <row r="96" spans="1:21" ht="15" customHeight="1" x14ac:dyDescent="0.25">
      <c r="A96" t="s">
        <v>616</v>
      </c>
      <c r="B96" t="s">
        <v>616</v>
      </c>
      <c r="C96">
        <v>2018</v>
      </c>
      <c r="N96" t="s">
        <v>962</v>
      </c>
      <c r="P96" t="s">
        <v>962</v>
      </c>
      <c r="R96" t="s">
        <v>962</v>
      </c>
      <c r="T96">
        <f>Tabell6[[#This Row],[Såld värme (GWh)]]-Tabell6[[#This Row],[Levererad värme, andra fjärrvärmeförag, förag 1 (GWh)]]-Tabell6[[#This Row],[Levererad värme, andra fjärrvärmeförag, förag 2 (GWh)]]-Tabell6[[#This Row],[Levererad värme, andra fjärrvärmeförag, förag 3 (GWh)]]</f>
        <v>0</v>
      </c>
      <c r="U96" t="e">
        <f>VLOOKUP(Tabell6[[#This Row],[Nät]],Tabell5[],2,FALSE)</f>
        <v>#N/A</v>
      </c>
    </row>
    <row r="97" spans="1:21" ht="15" customHeight="1" x14ac:dyDescent="0.25">
      <c r="A97" t="s">
        <v>616</v>
      </c>
      <c r="B97" t="s">
        <v>971</v>
      </c>
      <c r="C97">
        <v>2018</v>
      </c>
      <c r="D97" t="s">
        <v>805</v>
      </c>
      <c r="E97" t="s">
        <v>805</v>
      </c>
      <c r="F97" t="s">
        <v>805</v>
      </c>
      <c r="G97" t="s">
        <v>805</v>
      </c>
      <c r="H97" t="s">
        <v>805</v>
      </c>
      <c r="I97" t="s">
        <v>805</v>
      </c>
      <c r="J97" t="s">
        <v>805</v>
      </c>
      <c r="K97" t="s">
        <v>805</v>
      </c>
      <c r="L97" t="s">
        <v>805</v>
      </c>
      <c r="M97" t="s">
        <v>805</v>
      </c>
      <c r="N97" t="s">
        <v>805</v>
      </c>
      <c r="O97" t="s">
        <v>805</v>
      </c>
      <c r="P97" t="s">
        <v>805</v>
      </c>
      <c r="Q97" t="s">
        <v>805</v>
      </c>
      <c r="R97" t="s">
        <v>805</v>
      </c>
      <c r="S97" t="s">
        <v>805</v>
      </c>
      <c r="T97" t="e">
        <f>Tabell6[[#This Row],[Såld värme (GWh)]]-Tabell6[[#This Row],[Levererad värme, andra fjärrvärmeförag, förag 1 (GWh)]]-Tabell6[[#This Row],[Levererad värme, andra fjärrvärmeförag, förag 2 (GWh)]]-Tabell6[[#This Row],[Levererad värme, andra fjärrvärmeförag, förag 3 (GWh)]]</f>
        <v>#VALUE!</v>
      </c>
      <c r="U97" t="e">
        <f>VLOOKUP(Tabell6[[#This Row],[Nät]],Tabell5[],2,FALSE)</f>
        <v>#N/A</v>
      </c>
    </row>
    <row r="98" spans="1:21" ht="15" customHeight="1" x14ac:dyDescent="0.25">
      <c r="A98" t="s">
        <v>616</v>
      </c>
      <c r="B98" t="s">
        <v>814</v>
      </c>
      <c r="C98">
        <v>2018</v>
      </c>
      <c r="N98" t="s">
        <v>962</v>
      </c>
      <c r="P98" t="s">
        <v>962</v>
      </c>
      <c r="R98" t="s">
        <v>962</v>
      </c>
      <c r="T98">
        <f>Tabell6[[#This Row],[Såld värme (GWh)]]-Tabell6[[#This Row],[Levererad värme, andra fjärrvärmeförag, förag 1 (GWh)]]-Tabell6[[#This Row],[Levererad värme, andra fjärrvärmeförag, förag 2 (GWh)]]-Tabell6[[#This Row],[Levererad värme, andra fjärrvärmeförag, förag 3 (GWh)]]</f>
        <v>0</v>
      </c>
      <c r="U98" t="e">
        <f>VLOOKUP(Tabell6[[#This Row],[Nät]],Tabell5[],2,FALSE)</f>
        <v>#N/A</v>
      </c>
    </row>
    <row r="99" spans="1:21" ht="15" customHeight="1" x14ac:dyDescent="0.25">
      <c r="A99" t="s">
        <v>616</v>
      </c>
      <c r="B99" t="s">
        <v>815</v>
      </c>
      <c r="C99">
        <v>2018</v>
      </c>
      <c r="N99" t="s">
        <v>962</v>
      </c>
      <c r="P99" t="s">
        <v>962</v>
      </c>
      <c r="R99" t="s">
        <v>962</v>
      </c>
      <c r="T99">
        <f>Tabell6[[#This Row],[Såld värme (GWh)]]-Tabell6[[#This Row],[Levererad värme, andra fjärrvärmeförag, förag 1 (GWh)]]-Tabell6[[#This Row],[Levererad värme, andra fjärrvärmeförag, förag 2 (GWh)]]-Tabell6[[#This Row],[Levererad värme, andra fjärrvärmeförag, förag 3 (GWh)]]</f>
        <v>0</v>
      </c>
      <c r="U99" t="e">
        <f>VLOOKUP(Tabell6[[#This Row],[Nät]],Tabell5[],2,FALSE)</f>
        <v>#N/A</v>
      </c>
    </row>
    <row r="100" spans="1:21" ht="15" customHeight="1" x14ac:dyDescent="0.25">
      <c r="A100" t="s">
        <v>618</v>
      </c>
      <c r="B100" t="s">
        <v>139</v>
      </c>
      <c r="C100">
        <v>2018</v>
      </c>
      <c r="D100">
        <v>113.941</v>
      </c>
      <c r="E100">
        <v>11.419</v>
      </c>
      <c r="F100">
        <v>9.8819999999999997</v>
      </c>
      <c r="G100">
        <v>83.007000000000005</v>
      </c>
      <c r="H100">
        <v>76.941999999999993</v>
      </c>
      <c r="I100">
        <v>4.9980000000000002</v>
      </c>
      <c r="J100">
        <v>2.1110000000000002</v>
      </c>
      <c r="N100" t="s">
        <v>805</v>
      </c>
      <c r="P100" t="s">
        <v>805</v>
      </c>
      <c r="R100" t="s">
        <v>805</v>
      </c>
      <c r="T100">
        <f>Tabell6[[#This Row],[Såld värme (GWh)]]-Tabell6[[#This Row],[Levererad värme, andra fjärrvärmeförag, förag 1 (GWh)]]-Tabell6[[#This Row],[Levererad värme, andra fjärrvärmeförag, förag 2 (GWh)]]-Tabell6[[#This Row],[Levererad värme, andra fjärrvärmeförag, förag 3 (GWh)]]</f>
        <v>113.941</v>
      </c>
      <c r="U100" t="str">
        <f>VLOOKUP(Tabell6[[#This Row],[Nät]],Tabell5[],2,FALSE)</f>
        <v>Götene</v>
      </c>
    </row>
    <row r="101" spans="1:21" ht="15" customHeight="1" x14ac:dyDescent="0.25">
      <c r="A101" t="s">
        <v>618</v>
      </c>
      <c r="B101" t="s">
        <v>140</v>
      </c>
      <c r="C101">
        <v>2018</v>
      </c>
      <c r="D101">
        <v>2.5230000000000001</v>
      </c>
      <c r="E101">
        <v>1.0860000000000001</v>
      </c>
      <c r="F101">
        <v>0.59099999999999997</v>
      </c>
      <c r="G101">
        <v>0</v>
      </c>
      <c r="I101">
        <v>0.84599999999999997</v>
      </c>
      <c r="J101">
        <v>0</v>
      </c>
      <c r="N101" t="s">
        <v>805</v>
      </c>
      <c r="P101" t="s">
        <v>805</v>
      </c>
      <c r="R101" t="s">
        <v>805</v>
      </c>
      <c r="T101">
        <f>Tabell6[[#This Row],[Såld värme (GWh)]]-Tabell6[[#This Row],[Levererad värme, andra fjärrvärmeförag, förag 1 (GWh)]]-Tabell6[[#This Row],[Levererad värme, andra fjärrvärmeförag, förag 2 (GWh)]]-Tabell6[[#This Row],[Levererad värme, andra fjärrvärmeförag, förag 3 (GWh)]]</f>
        <v>2.5230000000000001</v>
      </c>
      <c r="U101" t="str">
        <f>VLOOKUP(Tabell6[[#This Row],[Nät]],Tabell5[],2,FALSE)</f>
        <v>Hällekis</v>
      </c>
    </row>
    <row r="102" spans="1:21" ht="15" customHeight="1" x14ac:dyDescent="0.25">
      <c r="A102" t="s">
        <v>619</v>
      </c>
      <c r="B102" t="s">
        <v>141</v>
      </c>
      <c r="C102">
        <v>2018</v>
      </c>
      <c r="D102">
        <v>21.3</v>
      </c>
      <c r="E102">
        <v>7.6</v>
      </c>
      <c r="F102">
        <v>5</v>
      </c>
      <c r="G102">
        <v>2.8</v>
      </c>
      <c r="I102">
        <v>3.8</v>
      </c>
      <c r="J102">
        <v>1.9</v>
      </c>
      <c r="N102" t="s">
        <v>805</v>
      </c>
      <c r="P102" t="s">
        <v>805</v>
      </c>
      <c r="R102" t="s">
        <v>805</v>
      </c>
      <c r="T102">
        <f>Tabell6[[#This Row],[Såld värme (GWh)]]-Tabell6[[#This Row],[Levererad värme, andra fjärrvärmeförag, förag 1 (GWh)]]-Tabell6[[#This Row],[Levererad värme, andra fjärrvärmeförag, förag 2 (GWh)]]-Tabell6[[#This Row],[Levererad värme, andra fjärrvärmeförag, förag 3 (GWh)]]</f>
        <v>21.3</v>
      </c>
      <c r="U102" t="str">
        <f>VLOOKUP(Tabell6[[#This Row],[Nät]],Tabell5[],2,FALSE)</f>
        <v>Habo</v>
      </c>
    </row>
    <row r="103" spans="1:21" ht="15" customHeight="1" x14ac:dyDescent="0.25">
      <c r="A103" t="s">
        <v>972</v>
      </c>
      <c r="B103" t="s">
        <v>588</v>
      </c>
      <c r="C103">
        <v>2018</v>
      </c>
      <c r="D103">
        <v>11.32</v>
      </c>
      <c r="E103">
        <v>1.65</v>
      </c>
      <c r="F103">
        <v>4.3899999999999997</v>
      </c>
      <c r="G103">
        <v>0.46</v>
      </c>
      <c r="I103">
        <v>2.2000000000000002</v>
      </c>
      <c r="J103">
        <v>2.0499999999999998</v>
      </c>
      <c r="M103">
        <v>0.54</v>
      </c>
      <c r="N103" t="s">
        <v>805</v>
      </c>
      <c r="P103" t="s">
        <v>805</v>
      </c>
      <c r="R103" t="s">
        <v>805</v>
      </c>
      <c r="T103">
        <f>Tabell6[[#This Row],[Såld värme (GWh)]]-Tabell6[[#This Row],[Levererad värme, andra fjärrvärmeförag, förag 1 (GWh)]]-Tabell6[[#This Row],[Levererad värme, andra fjärrvärmeförag, förag 2 (GWh)]]-Tabell6[[#This Row],[Levererad värme, andra fjärrvärmeförag, förag 3 (GWh)]]</f>
        <v>11.32</v>
      </c>
      <c r="U103" t="str">
        <f>VLOOKUP(Tabell6[[#This Row],[Nät]],Tabell5[],2,FALSE)</f>
        <v>Ekshärad</v>
      </c>
    </row>
    <row r="104" spans="1:21" ht="15" customHeight="1" x14ac:dyDescent="0.25">
      <c r="A104" t="s">
        <v>972</v>
      </c>
      <c r="B104" t="s">
        <v>520</v>
      </c>
      <c r="C104">
        <v>2018</v>
      </c>
      <c r="D104">
        <v>51.68</v>
      </c>
      <c r="E104">
        <v>15.9</v>
      </c>
      <c r="F104">
        <v>0.62</v>
      </c>
      <c r="G104">
        <v>21.85</v>
      </c>
      <c r="I104">
        <v>7.08</v>
      </c>
      <c r="J104">
        <v>6.18</v>
      </c>
      <c r="M104" t="s">
        <v>804</v>
      </c>
      <c r="N104" t="s">
        <v>805</v>
      </c>
      <c r="P104" t="s">
        <v>805</v>
      </c>
      <c r="R104" t="s">
        <v>805</v>
      </c>
      <c r="T104">
        <f>Tabell6[[#This Row],[Såld värme (GWh)]]-Tabell6[[#This Row],[Levererad värme, andra fjärrvärmeförag, förag 1 (GWh)]]-Tabell6[[#This Row],[Levererad värme, andra fjärrvärmeförag, förag 2 (GWh)]]-Tabell6[[#This Row],[Levererad värme, andra fjärrvärmeförag, förag 3 (GWh)]]</f>
        <v>51.68</v>
      </c>
      <c r="U104" t="str">
        <f>VLOOKUP(Tabell6[[#This Row],[Nät]],Tabell5[],2,FALSE)</f>
        <v>Hagfors</v>
      </c>
    </row>
    <row r="105" spans="1:21" ht="15" customHeight="1" x14ac:dyDescent="0.25">
      <c r="A105" t="s">
        <v>972</v>
      </c>
      <c r="B105" t="s">
        <v>712</v>
      </c>
      <c r="C105">
        <v>2018</v>
      </c>
      <c r="D105">
        <v>0.254</v>
      </c>
      <c r="I105">
        <v>0.254</v>
      </c>
      <c r="N105" t="s">
        <v>805</v>
      </c>
      <c r="P105" t="s">
        <v>805</v>
      </c>
      <c r="R105" t="s">
        <v>805</v>
      </c>
      <c r="T105">
        <f>Tabell6[[#This Row],[Såld värme (GWh)]]-Tabell6[[#This Row],[Levererad värme, andra fjärrvärmeförag, förag 1 (GWh)]]-Tabell6[[#This Row],[Levererad värme, andra fjärrvärmeförag, förag 2 (GWh)]]-Tabell6[[#This Row],[Levererad värme, andra fjärrvärmeförag, förag 3 (GWh)]]</f>
        <v>0.254</v>
      </c>
      <c r="U105" t="str">
        <f>VLOOKUP(Tabell6[[#This Row],[Nät]],Tabell5[],2,FALSE)</f>
        <v>Sunnemo</v>
      </c>
    </row>
    <row r="106" spans="1:21" ht="15" customHeight="1" x14ac:dyDescent="0.25">
      <c r="A106" t="s">
        <v>622</v>
      </c>
      <c r="B106" t="s">
        <v>142</v>
      </c>
      <c r="C106">
        <v>2018</v>
      </c>
      <c r="D106">
        <v>575</v>
      </c>
      <c r="E106">
        <v>274</v>
      </c>
      <c r="F106">
        <v>63</v>
      </c>
      <c r="G106">
        <v>130</v>
      </c>
      <c r="I106">
        <v>55</v>
      </c>
      <c r="J106">
        <v>53</v>
      </c>
      <c r="N106" t="s">
        <v>805</v>
      </c>
      <c r="P106" t="s">
        <v>805</v>
      </c>
      <c r="R106" t="s">
        <v>805</v>
      </c>
      <c r="T106">
        <f>Tabell6[[#This Row],[Såld värme (GWh)]]-Tabell6[[#This Row],[Levererad värme, andra fjärrvärmeförag, förag 1 (GWh)]]-Tabell6[[#This Row],[Levererad värme, andra fjärrvärmeförag, förag 2 (GWh)]]-Tabell6[[#This Row],[Levererad värme, andra fjärrvärmeförag, förag 3 (GWh)]]</f>
        <v>575</v>
      </c>
      <c r="U106" t="str">
        <f>VLOOKUP(Tabell6[[#This Row],[Nät]],Tabell5[],2,FALSE)</f>
        <v>Halmstad</v>
      </c>
    </row>
    <row r="107" spans="1:21" ht="15" customHeight="1" x14ac:dyDescent="0.25">
      <c r="A107" t="s">
        <v>698</v>
      </c>
      <c r="B107" t="s">
        <v>143</v>
      </c>
      <c r="C107">
        <v>2018</v>
      </c>
      <c r="D107">
        <v>47.3</v>
      </c>
      <c r="E107">
        <v>16.2</v>
      </c>
      <c r="F107">
        <v>18.3</v>
      </c>
      <c r="G107">
        <v>0</v>
      </c>
      <c r="H107">
        <v>0</v>
      </c>
      <c r="I107">
        <v>8.6</v>
      </c>
      <c r="J107">
        <v>4.2</v>
      </c>
      <c r="N107" t="s">
        <v>805</v>
      </c>
      <c r="P107" t="s">
        <v>805</v>
      </c>
      <c r="R107" t="s">
        <v>805</v>
      </c>
      <c r="T107">
        <f>Tabell6[[#This Row],[Såld värme (GWh)]]-Tabell6[[#This Row],[Levererad värme, andra fjärrvärmeförag, förag 1 (GWh)]]-Tabell6[[#This Row],[Levererad värme, andra fjärrvärmeförag, förag 2 (GWh)]]-Tabell6[[#This Row],[Levererad värme, andra fjärrvärmeförag, förag 3 (GWh)]]</f>
        <v>47.3</v>
      </c>
      <c r="U107" t="str">
        <f>VLOOKUP(Tabell6[[#This Row],[Nät]],Tabell5[],2,FALSE)</f>
        <v>Skoghall</v>
      </c>
    </row>
    <row r="108" spans="1:21" ht="15" customHeight="1" x14ac:dyDescent="0.25">
      <c r="A108" s="52" t="s">
        <v>928</v>
      </c>
      <c r="B108" s="52" t="s">
        <v>973</v>
      </c>
      <c r="C108" s="52">
        <v>2018</v>
      </c>
      <c r="D108" s="52">
        <v>10</v>
      </c>
      <c r="E108" s="52">
        <v>4</v>
      </c>
      <c r="F108" s="52"/>
      <c r="G108" s="52">
        <v>1</v>
      </c>
      <c r="H108" s="52"/>
      <c r="I108" s="52">
        <v>1</v>
      </c>
      <c r="J108" s="52">
        <v>4</v>
      </c>
      <c r="K108" s="52"/>
      <c r="L108" s="52"/>
      <c r="M108" s="52"/>
      <c r="N108" s="52" t="s">
        <v>805</v>
      </c>
      <c r="O108" s="52"/>
      <c r="P108" s="52" t="s">
        <v>805</v>
      </c>
      <c r="Q108" s="52"/>
      <c r="R108" s="52" t="s">
        <v>805</v>
      </c>
      <c r="S108" s="52"/>
      <c r="T108" s="52">
        <f>Tabell6[[#This Row],[Såld värme (GWh)]]-Tabell6[[#This Row],[Levererad värme, andra fjärrvärmeförag, förag 1 (GWh)]]-Tabell6[[#This Row],[Levererad värme, andra fjärrvärmeförag, förag 2 (GWh)]]-Tabell6[[#This Row],[Levererad värme, andra fjärrvärmeförag, förag 3 (GWh)]]</f>
        <v>10</v>
      </c>
      <c r="U108" s="52" t="e">
        <f>VLOOKUP(Tabell6[[#This Row],[Nät]],Tabell5[],2,FALSE)</f>
        <v>#N/A</v>
      </c>
    </row>
    <row r="109" spans="1:21" ht="15" customHeight="1" x14ac:dyDescent="0.25">
      <c r="A109" t="s">
        <v>928</v>
      </c>
      <c r="B109" t="s">
        <v>974</v>
      </c>
      <c r="C109">
        <v>2018</v>
      </c>
      <c r="D109">
        <v>46</v>
      </c>
      <c r="E109">
        <v>16</v>
      </c>
      <c r="F109">
        <v>10</v>
      </c>
      <c r="I109">
        <v>5</v>
      </c>
      <c r="J109">
        <v>15</v>
      </c>
      <c r="N109" t="s">
        <v>805</v>
      </c>
      <c r="P109" t="s">
        <v>805</v>
      </c>
      <c r="R109" t="s">
        <v>805</v>
      </c>
      <c r="T109">
        <f>Tabell6[[#This Row],[Såld värme (GWh)]]-Tabell6[[#This Row],[Levererad värme, andra fjärrvärmeförag, förag 1 (GWh)]]-Tabell6[[#This Row],[Levererad värme, andra fjärrvärmeförag, förag 2 (GWh)]]-Tabell6[[#This Row],[Levererad värme, andra fjärrvärmeförag, förag 3 (GWh)]]</f>
        <v>46</v>
      </c>
      <c r="U109" t="e">
        <f>VLOOKUP(Tabell6[[#This Row],[Nät]],Tabell5[],2,FALSE)</f>
        <v>#N/A</v>
      </c>
    </row>
    <row r="110" spans="1:21" ht="15" customHeight="1" x14ac:dyDescent="0.25">
      <c r="A110" t="s">
        <v>611</v>
      </c>
      <c r="B110" t="s">
        <v>145</v>
      </c>
      <c r="C110">
        <v>2018</v>
      </c>
      <c r="D110">
        <v>56.1</v>
      </c>
      <c r="E110">
        <v>24.6</v>
      </c>
      <c r="F110">
        <v>10.8</v>
      </c>
      <c r="G110">
        <v>1.9</v>
      </c>
      <c r="H110">
        <v>0</v>
      </c>
      <c r="I110">
        <v>12.3</v>
      </c>
      <c r="J110">
        <v>6.5</v>
      </c>
      <c r="N110" t="s">
        <v>805</v>
      </c>
      <c r="P110" t="s">
        <v>805</v>
      </c>
      <c r="R110" t="s">
        <v>805</v>
      </c>
      <c r="T110">
        <f>Tabell6[[#This Row],[Såld värme (GWh)]]-Tabell6[[#This Row],[Levererad värme, andra fjärrvärmeförag, förag 1 (GWh)]]-Tabell6[[#This Row],[Levererad värme, andra fjärrvärmeförag, förag 2 (GWh)]]-Tabell6[[#This Row],[Levererad värme, andra fjärrvärmeförag, förag 3 (GWh)]]</f>
        <v>56.1</v>
      </c>
      <c r="U110" t="str">
        <f>VLOOKUP(Tabell6[[#This Row],[Nät]],Tabell5[],2,FALSE)</f>
        <v>Hedemora</v>
      </c>
    </row>
    <row r="111" spans="1:21" ht="15" customHeight="1" x14ac:dyDescent="0.25">
      <c r="A111" t="s">
        <v>611</v>
      </c>
      <c r="B111" t="s">
        <v>147</v>
      </c>
      <c r="C111">
        <v>2018</v>
      </c>
      <c r="D111">
        <v>6.59</v>
      </c>
      <c r="E111">
        <v>4.9000000000000004</v>
      </c>
      <c r="F111">
        <v>0.16</v>
      </c>
      <c r="G111">
        <v>0</v>
      </c>
      <c r="H111">
        <v>0</v>
      </c>
      <c r="I111">
        <v>1.32</v>
      </c>
      <c r="J111">
        <v>0.25</v>
      </c>
      <c r="K111">
        <v>0</v>
      </c>
      <c r="L111">
        <v>0</v>
      </c>
      <c r="N111" t="s">
        <v>805</v>
      </c>
      <c r="P111" t="s">
        <v>805</v>
      </c>
      <c r="R111" t="s">
        <v>805</v>
      </c>
      <c r="T111">
        <f>Tabell6[[#This Row],[Såld värme (GWh)]]-Tabell6[[#This Row],[Levererad värme, andra fjärrvärmeförag, förag 1 (GWh)]]-Tabell6[[#This Row],[Levererad värme, andra fjärrvärmeförag, förag 2 (GWh)]]-Tabell6[[#This Row],[Levererad värme, andra fjärrvärmeförag, förag 3 (GWh)]]</f>
        <v>6.59</v>
      </c>
      <c r="U111" t="str">
        <f>VLOOKUP(Tabell6[[#This Row],[Nät]],Tabell5[],2,FALSE)</f>
        <v>Långshyttan</v>
      </c>
    </row>
    <row r="112" spans="1:21" ht="15" customHeight="1" x14ac:dyDescent="0.25">
      <c r="A112" t="s">
        <v>611</v>
      </c>
      <c r="B112" t="s">
        <v>416</v>
      </c>
      <c r="C112">
        <v>2018</v>
      </c>
      <c r="D112">
        <v>2.27</v>
      </c>
      <c r="E112">
        <v>0.73</v>
      </c>
      <c r="F112">
        <v>0.23</v>
      </c>
      <c r="G112">
        <v>0.1</v>
      </c>
      <c r="H112">
        <v>0</v>
      </c>
      <c r="I112">
        <v>4.5999999999999999E-2</v>
      </c>
      <c r="J112">
        <v>1.1200000000000001</v>
      </c>
      <c r="K112">
        <v>0</v>
      </c>
      <c r="L112">
        <v>0</v>
      </c>
      <c r="M112">
        <v>0.1</v>
      </c>
      <c r="N112" t="s">
        <v>805</v>
      </c>
      <c r="P112" t="s">
        <v>805</v>
      </c>
      <c r="R112" t="s">
        <v>805</v>
      </c>
      <c r="T112">
        <f>Tabell6[[#This Row],[Såld värme (GWh)]]-Tabell6[[#This Row],[Levererad värme, andra fjärrvärmeförag, förag 1 (GWh)]]-Tabell6[[#This Row],[Levererad värme, andra fjärrvärmeförag, förag 2 (GWh)]]-Tabell6[[#This Row],[Levererad värme, andra fjärrvärmeförag, förag 3 (GWh)]]</f>
        <v>2.27</v>
      </c>
      <c r="U112" t="str">
        <f>VLOOKUP(Tabell6[[#This Row],[Nät]],Tabell5[],2,FALSE)</f>
        <v>St Skedvi</v>
      </c>
    </row>
    <row r="113" spans="1:21" ht="15" customHeight="1" x14ac:dyDescent="0.25">
      <c r="A113" t="s">
        <v>611</v>
      </c>
      <c r="B113" t="s">
        <v>144</v>
      </c>
      <c r="C113">
        <v>2018</v>
      </c>
      <c r="D113">
        <v>50.14</v>
      </c>
      <c r="E113">
        <v>13.25</v>
      </c>
      <c r="F113">
        <v>6.47</v>
      </c>
      <c r="G113">
        <v>15.59</v>
      </c>
      <c r="I113">
        <v>12</v>
      </c>
      <c r="J113">
        <v>2.83</v>
      </c>
      <c r="N113" t="s">
        <v>805</v>
      </c>
      <c r="P113" t="s">
        <v>805</v>
      </c>
      <c r="R113" t="s">
        <v>805</v>
      </c>
      <c r="T113">
        <f>Tabell6[[#This Row],[Såld värme (GWh)]]-Tabell6[[#This Row],[Levererad värme, andra fjärrvärmeförag, förag 1 (GWh)]]-Tabell6[[#This Row],[Levererad värme, andra fjärrvärmeförag, förag 2 (GWh)]]-Tabell6[[#This Row],[Levererad värme, andra fjärrvärmeförag, förag 3 (GWh)]]</f>
        <v>50.14</v>
      </c>
      <c r="U113" t="str">
        <f>VLOOKUP(Tabell6[[#This Row],[Nät]],Tabell5[],2,FALSE)</f>
        <v>Säter</v>
      </c>
    </row>
    <row r="114" spans="1:21" ht="15" customHeight="1" x14ac:dyDescent="0.25">
      <c r="A114" t="s">
        <v>850</v>
      </c>
      <c r="B114" t="s">
        <v>446</v>
      </c>
      <c r="C114">
        <v>2018</v>
      </c>
      <c r="D114">
        <v>18.896000000000001</v>
      </c>
      <c r="N114" t="s">
        <v>805</v>
      </c>
      <c r="P114" t="s">
        <v>805</v>
      </c>
      <c r="R114" t="s">
        <v>805</v>
      </c>
      <c r="T114">
        <f>Tabell6[[#This Row],[Såld värme (GWh)]]-Tabell6[[#This Row],[Levererad värme, andra fjärrvärmeförag, förag 1 (GWh)]]-Tabell6[[#This Row],[Levererad värme, andra fjärrvärmeförag, förag 2 (GWh)]]-Tabell6[[#This Row],[Levererad värme, andra fjärrvärmeförag, förag 3 (GWh)]]</f>
        <v>18.896000000000001</v>
      </c>
      <c r="U114" t="str">
        <f>VLOOKUP(Tabell6[[#This Row],[Nät]],Tabell5[],2,FALSE)</f>
        <v>Herrljunga</v>
      </c>
    </row>
    <row r="115" spans="1:21" ht="15" customHeight="1" x14ac:dyDescent="0.25">
      <c r="A115" t="s">
        <v>628</v>
      </c>
      <c r="B115" t="s">
        <v>148</v>
      </c>
      <c r="C115">
        <v>2018</v>
      </c>
      <c r="D115">
        <v>33.927999999999997</v>
      </c>
      <c r="E115">
        <v>13.476000000000001</v>
      </c>
      <c r="F115">
        <v>8.5869999999999997</v>
      </c>
      <c r="G115">
        <v>3.044</v>
      </c>
      <c r="H115">
        <v>0</v>
      </c>
      <c r="I115">
        <v>4.9820000000000002</v>
      </c>
      <c r="J115">
        <v>3.6549999999999998</v>
      </c>
      <c r="K115">
        <v>0.184</v>
      </c>
      <c r="L115">
        <v>0</v>
      </c>
      <c r="M115">
        <v>0</v>
      </c>
      <c r="N115" t="s">
        <v>805</v>
      </c>
      <c r="P115" t="s">
        <v>805</v>
      </c>
      <c r="R115" t="s">
        <v>805</v>
      </c>
      <c r="T115">
        <f>Tabell6[[#This Row],[Såld värme (GWh)]]-Tabell6[[#This Row],[Levererad värme, andra fjärrvärmeförag, förag 1 (GWh)]]-Tabell6[[#This Row],[Levererad värme, andra fjärrvärmeförag, förag 2 (GWh)]]-Tabell6[[#This Row],[Levererad värme, andra fjärrvärmeförag, förag 3 (GWh)]]</f>
        <v>33.927999999999997</v>
      </c>
      <c r="U115" t="str">
        <f>VLOOKUP(Tabell6[[#This Row],[Nät]],Tabell5[],2,FALSE)</f>
        <v>Hjo</v>
      </c>
    </row>
    <row r="116" spans="1:21" ht="15" customHeight="1" x14ac:dyDescent="0.25">
      <c r="A116" t="s">
        <v>633</v>
      </c>
      <c r="B116" t="s">
        <v>150</v>
      </c>
      <c r="C116">
        <v>2018</v>
      </c>
      <c r="D116">
        <v>180.9</v>
      </c>
      <c r="E116">
        <v>67.900000000000006</v>
      </c>
      <c r="F116">
        <v>34</v>
      </c>
      <c r="G116">
        <v>4</v>
      </c>
      <c r="I116">
        <v>51</v>
      </c>
      <c r="J116">
        <v>7</v>
      </c>
      <c r="K116">
        <v>1</v>
      </c>
      <c r="L116">
        <v>16</v>
      </c>
      <c r="N116" t="s">
        <v>805</v>
      </c>
      <c r="P116" t="s">
        <v>805</v>
      </c>
      <c r="R116" t="s">
        <v>805</v>
      </c>
      <c r="T116">
        <f>Tabell6[[#This Row],[Såld värme (GWh)]]-Tabell6[[#This Row],[Levererad värme, andra fjärrvärmeförag, förag 1 (GWh)]]-Tabell6[[#This Row],[Levererad värme, andra fjärrvärmeförag, förag 2 (GWh)]]-Tabell6[[#This Row],[Levererad värme, andra fjärrvärmeförag, förag 3 (GWh)]]</f>
        <v>180.9</v>
      </c>
      <c r="U116" t="str">
        <f>VLOOKUP(Tabell6[[#This Row],[Nät]],Tabell5[],2,FALSE)</f>
        <v>Härnösand</v>
      </c>
    </row>
    <row r="117" spans="1:21" ht="15" customHeight="1" x14ac:dyDescent="0.25">
      <c r="A117" t="s">
        <v>634</v>
      </c>
      <c r="B117" t="s">
        <v>151</v>
      </c>
      <c r="C117">
        <v>2018</v>
      </c>
      <c r="D117">
        <v>179.5</v>
      </c>
      <c r="E117">
        <v>67.099999999999994</v>
      </c>
      <c r="F117">
        <v>43</v>
      </c>
      <c r="G117">
        <v>5.5</v>
      </c>
      <c r="I117">
        <v>31.4</v>
      </c>
      <c r="J117">
        <v>30.4</v>
      </c>
      <c r="L117">
        <v>2.1</v>
      </c>
      <c r="N117" t="s">
        <v>805</v>
      </c>
      <c r="P117" t="s">
        <v>805</v>
      </c>
      <c r="R117" t="s">
        <v>805</v>
      </c>
      <c r="T117">
        <f>Tabell6[[#This Row],[Såld värme (GWh)]]-Tabell6[[#This Row],[Levererad värme, andra fjärrvärmeförag, förag 1 (GWh)]]-Tabell6[[#This Row],[Levererad värme, andra fjärrvärmeförag, förag 2 (GWh)]]-Tabell6[[#This Row],[Levererad värme, andra fjärrvärmeförag, förag 3 (GWh)]]</f>
        <v>179.5</v>
      </c>
      <c r="U117" t="str">
        <f>VLOOKUP(Tabell6[[#This Row],[Nät]],Tabell5[],2,FALSE)</f>
        <v>Hässleholm</v>
      </c>
    </row>
    <row r="118" spans="1:21" ht="15" customHeight="1" x14ac:dyDescent="0.25">
      <c r="A118" t="s">
        <v>634</v>
      </c>
      <c r="B118" t="s">
        <v>152</v>
      </c>
      <c r="C118">
        <v>2018</v>
      </c>
      <c r="D118">
        <v>17</v>
      </c>
      <c r="E118">
        <v>7.8</v>
      </c>
      <c r="F118">
        <v>3.2</v>
      </c>
      <c r="G118">
        <v>0.2</v>
      </c>
      <c r="I118">
        <v>4.8</v>
      </c>
      <c r="J118">
        <v>1</v>
      </c>
      <c r="N118" t="s">
        <v>805</v>
      </c>
      <c r="P118" t="s">
        <v>805</v>
      </c>
      <c r="R118" t="s">
        <v>805</v>
      </c>
      <c r="T118">
        <f>Tabell6[[#This Row],[Såld värme (GWh)]]-Tabell6[[#This Row],[Levererad värme, andra fjärrvärmeförag, förag 1 (GWh)]]-Tabell6[[#This Row],[Levererad värme, andra fjärrvärmeförag, förag 2 (GWh)]]-Tabell6[[#This Row],[Levererad värme, andra fjärrvärmeförag, förag 3 (GWh)]]</f>
        <v>17</v>
      </c>
      <c r="U118" t="str">
        <f>VLOOKUP(Tabell6[[#This Row],[Nät]],Tabell5[],2,FALSE)</f>
        <v>Tyringe</v>
      </c>
    </row>
    <row r="119" spans="1:21" ht="15" customHeight="1" x14ac:dyDescent="0.25">
      <c r="A119" t="s">
        <v>635</v>
      </c>
      <c r="B119" t="s">
        <v>153</v>
      </c>
      <c r="C119">
        <v>2018</v>
      </c>
      <c r="D119">
        <v>42.759</v>
      </c>
      <c r="E119">
        <v>25.257999999999999</v>
      </c>
      <c r="F119">
        <v>1.702</v>
      </c>
      <c r="I119">
        <v>7.2460000000000004</v>
      </c>
      <c r="J119">
        <v>4.3339999999999996</v>
      </c>
      <c r="K119">
        <v>0</v>
      </c>
      <c r="M119">
        <v>4.2160000000000002</v>
      </c>
      <c r="N119" t="s">
        <v>962</v>
      </c>
      <c r="P119" t="s">
        <v>962</v>
      </c>
      <c r="R119" t="s">
        <v>962</v>
      </c>
      <c r="T119">
        <f>Tabell6[[#This Row],[Såld värme (GWh)]]-Tabell6[[#This Row],[Levererad värme, andra fjärrvärmeförag, förag 1 (GWh)]]-Tabell6[[#This Row],[Levererad värme, andra fjärrvärmeförag, förag 2 (GWh)]]-Tabell6[[#This Row],[Levererad värme, andra fjärrvärmeförag, förag 3 (GWh)]]</f>
        <v>42.759</v>
      </c>
      <c r="U119" t="str">
        <f>VLOOKUP(Tabell6[[#This Row],[Nät]],Tabell5[],2,FALSE)</f>
        <v>Höganäs</v>
      </c>
    </row>
    <row r="120" spans="1:21" ht="15" customHeight="1" x14ac:dyDescent="0.25">
      <c r="A120" t="s">
        <v>637</v>
      </c>
      <c r="B120" t="s">
        <v>154</v>
      </c>
      <c r="C120">
        <v>2018</v>
      </c>
      <c r="D120">
        <v>34.799999999999997</v>
      </c>
      <c r="E120">
        <v>9</v>
      </c>
      <c r="F120">
        <v>8.6999999999999993</v>
      </c>
      <c r="G120">
        <v>3.1</v>
      </c>
      <c r="I120">
        <v>6.6</v>
      </c>
      <c r="J120">
        <v>7.5</v>
      </c>
      <c r="N120" t="s">
        <v>805</v>
      </c>
      <c r="P120" t="s">
        <v>805</v>
      </c>
      <c r="R120" t="s">
        <v>805</v>
      </c>
      <c r="T120">
        <f>Tabell6[[#This Row],[Såld värme (GWh)]]-Tabell6[[#This Row],[Levererad värme, andra fjärrvärmeförag, förag 1 (GWh)]]-Tabell6[[#This Row],[Levererad värme, andra fjärrvärmeförag, förag 2 (GWh)]]-Tabell6[[#This Row],[Levererad värme, andra fjärrvärmeförag, förag 3 (GWh)]]</f>
        <v>34.799999999999997</v>
      </c>
      <c r="U120" t="str">
        <f>VLOOKUP(Tabell6[[#This Row],[Nät]],Tabell5[],2,FALSE)</f>
        <v>Jokkmokk</v>
      </c>
    </row>
    <row r="121" spans="1:21" ht="15" customHeight="1" x14ac:dyDescent="0.25">
      <c r="A121" t="s">
        <v>579</v>
      </c>
      <c r="B121" t="s">
        <v>393</v>
      </c>
      <c r="C121">
        <v>2018</v>
      </c>
      <c r="N121" t="s">
        <v>805</v>
      </c>
      <c r="P121" t="s">
        <v>805</v>
      </c>
      <c r="R121" t="s">
        <v>805</v>
      </c>
      <c r="T121">
        <f>Tabell6[[#This Row],[Såld värme (GWh)]]-Tabell6[[#This Row],[Levererad värme, andra fjärrvärmeförag, förag 1 (GWh)]]-Tabell6[[#This Row],[Levererad värme, andra fjärrvärmeförag, förag 2 (GWh)]]-Tabell6[[#This Row],[Levererad värme, andra fjärrvärmeförag, förag 3 (GWh)]]</f>
        <v>0</v>
      </c>
      <c r="U121" t="str">
        <f>VLOOKUP(Tabell6[[#This Row],[Nät]],Tabell5[],2,FALSE)</f>
        <v>Brunflo</v>
      </c>
    </row>
    <row r="122" spans="1:21" ht="15" customHeight="1" x14ac:dyDescent="0.25">
      <c r="A122" t="s">
        <v>579</v>
      </c>
      <c r="B122" t="s">
        <v>155</v>
      </c>
      <c r="C122">
        <v>2018</v>
      </c>
      <c r="D122">
        <v>18.63</v>
      </c>
      <c r="E122">
        <v>8.2100000000000009</v>
      </c>
      <c r="F122">
        <v>2.2999999999999998</v>
      </c>
      <c r="G122">
        <v>0.61</v>
      </c>
      <c r="H122">
        <v>0</v>
      </c>
      <c r="I122">
        <v>5.28</v>
      </c>
      <c r="J122">
        <v>2.23</v>
      </c>
      <c r="K122">
        <v>0</v>
      </c>
      <c r="L122">
        <v>0</v>
      </c>
      <c r="M122">
        <v>0</v>
      </c>
      <c r="N122" t="s">
        <v>805</v>
      </c>
      <c r="P122" t="s">
        <v>805</v>
      </c>
      <c r="R122" t="s">
        <v>805</v>
      </c>
      <c r="T122">
        <f>Tabell6[[#This Row],[Såld värme (GWh)]]-Tabell6[[#This Row],[Levererad värme, andra fjärrvärmeförag, förag 1 (GWh)]]-Tabell6[[#This Row],[Levererad värme, andra fjärrvärmeförag, förag 2 (GWh)]]-Tabell6[[#This Row],[Levererad värme, andra fjärrvärmeförag, förag 3 (GWh)]]</f>
        <v>18.63</v>
      </c>
      <c r="U122" t="str">
        <f>VLOOKUP(Tabell6[[#This Row],[Nät]],Tabell5[],2,FALSE)</f>
        <v>Krokom</v>
      </c>
    </row>
    <row r="123" spans="1:21" ht="15" customHeight="1" x14ac:dyDescent="0.25">
      <c r="A123" t="s">
        <v>579</v>
      </c>
      <c r="B123" t="s">
        <v>156</v>
      </c>
      <c r="C123">
        <v>2018</v>
      </c>
      <c r="D123">
        <v>57.2</v>
      </c>
      <c r="E123">
        <v>20.39</v>
      </c>
      <c r="F123">
        <v>4.42</v>
      </c>
      <c r="G123">
        <v>0.95</v>
      </c>
      <c r="H123">
        <v>0</v>
      </c>
      <c r="I123">
        <v>8.36</v>
      </c>
      <c r="J123">
        <v>23.08</v>
      </c>
      <c r="K123">
        <v>0</v>
      </c>
      <c r="L123">
        <v>0</v>
      </c>
      <c r="M123">
        <v>0</v>
      </c>
      <c r="N123" t="s">
        <v>805</v>
      </c>
      <c r="P123" t="s">
        <v>805</v>
      </c>
      <c r="R123" t="s">
        <v>805</v>
      </c>
      <c r="T123">
        <f>Tabell6[[#This Row],[Såld värme (GWh)]]-Tabell6[[#This Row],[Levererad värme, andra fjärrvärmeförag, förag 1 (GWh)]]-Tabell6[[#This Row],[Levererad värme, andra fjärrvärmeförag, förag 2 (GWh)]]-Tabell6[[#This Row],[Levererad värme, andra fjärrvärmeförag, förag 3 (GWh)]]</f>
        <v>57.2</v>
      </c>
      <c r="U123" t="str">
        <f>VLOOKUP(Tabell6[[#This Row],[Nät]],Tabell5[],2,FALSE)</f>
        <v>Åre</v>
      </c>
    </row>
    <row r="124" spans="1:21" ht="15" customHeight="1" x14ac:dyDescent="0.25">
      <c r="A124" t="s">
        <v>579</v>
      </c>
      <c r="B124" t="s">
        <v>157</v>
      </c>
      <c r="C124">
        <v>2018</v>
      </c>
      <c r="D124">
        <v>551.14</v>
      </c>
      <c r="E124">
        <v>263.20999999999998</v>
      </c>
      <c r="F124">
        <v>88.21</v>
      </c>
      <c r="G124">
        <v>16.940000000000001</v>
      </c>
      <c r="H124">
        <v>0</v>
      </c>
      <c r="I124">
        <v>61.27</v>
      </c>
      <c r="J124">
        <v>119.63</v>
      </c>
      <c r="K124">
        <v>1.88</v>
      </c>
      <c r="L124">
        <v>0</v>
      </c>
      <c r="M124">
        <v>0</v>
      </c>
      <c r="N124" t="s">
        <v>805</v>
      </c>
      <c r="P124" t="s">
        <v>805</v>
      </c>
      <c r="R124" t="s">
        <v>805</v>
      </c>
      <c r="T124">
        <f>Tabell6[[#This Row],[Såld värme (GWh)]]-Tabell6[[#This Row],[Levererad värme, andra fjärrvärmeförag, förag 1 (GWh)]]-Tabell6[[#This Row],[Levererad värme, andra fjärrvärmeförag, förag 2 (GWh)]]-Tabell6[[#This Row],[Levererad värme, andra fjärrvärmeförag, förag 3 (GWh)]]</f>
        <v>551.14</v>
      </c>
      <c r="U124" t="str">
        <f>VLOOKUP(Tabell6[[#This Row],[Nät]],Tabell5[],2,FALSE)</f>
        <v>Östersund</v>
      </c>
    </row>
    <row r="125" spans="1:21" ht="15" customHeight="1" x14ac:dyDescent="0.25">
      <c r="A125" t="s">
        <v>975</v>
      </c>
      <c r="B125" t="s">
        <v>466</v>
      </c>
      <c r="C125">
        <v>2018</v>
      </c>
      <c r="D125">
        <v>55.7</v>
      </c>
      <c r="E125">
        <v>19.399999999999999</v>
      </c>
      <c r="F125">
        <v>7.4</v>
      </c>
      <c r="G125">
        <v>5.2</v>
      </c>
      <c r="I125">
        <v>17.7</v>
      </c>
      <c r="J125">
        <v>6</v>
      </c>
      <c r="N125" t="s">
        <v>805</v>
      </c>
      <c r="P125" t="s">
        <v>805</v>
      </c>
      <c r="R125" t="s">
        <v>805</v>
      </c>
      <c r="T125">
        <f>Tabell6[[#This Row],[Såld värme (GWh)]]-Tabell6[[#This Row],[Levererad värme, andra fjärrvärmeförag, förag 1 (GWh)]]-Tabell6[[#This Row],[Levererad värme, andra fjärrvärmeförag, förag 2 (GWh)]]-Tabell6[[#This Row],[Levererad värme, andra fjärrvärmeförag, förag 3 (GWh)]]</f>
        <v>55.7</v>
      </c>
      <c r="U125" t="str">
        <f>VLOOKUP(Tabell6[[#This Row],[Nät]],Tabell5[],2,FALSE)</f>
        <v>Strömsund</v>
      </c>
    </row>
    <row r="126" spans="1:21" ht="15" customHeight="1" x14ac:dyDescent="0.25">
      <c r="A126" t="s">
        <v>559</v>
      </c>
      <c r="B126" t="s">
        <v>159</v>
      </c>
      <c r="C126">
        <v>2018</v>
      </c>
      <c r="D126">
        <v>11.7</v>
      </c>
      <c r="E126">
        <v>5.92</v>
      </c>
      <c r="F126">
        <v>2.42</v>
      </c>
      <c r="I126">
        <v>2.14</v>
      </c>
      <c r="J126">
        <v>1.22</v>
      </c>
      <c r="L126" t="s">
        <v>804</v>
      </c>
      <c r="N126" t="s">
        <v>805</v>
      </c>
      <c r="P126" t="s">
        <v>805</v>
      </c>
      <c r="R126" t="s">
        <v>805</v>
      </c>
      <c r="T126">
        <f>Tabell6[[#This Row],[Såld värme (GWh)]]-Tabell6[[#This Row],[Levererad värme, andra fjärrvärmeförag, förag 1 (GWh)]]-Tabell6[[#This Row],[Levererad värme, andra fjärrvärmeförag, förag 2 (GWh)]]-Tabell6[[#This Row],[Levererad värme, andra fjärrvärmeförag, förag 3 (GWh)]]</f>
        <v>11.7</v>
      </c>
      <c r="U126" t="str">
        <f>VLOOKUP(Tabell6[[#This Row],[Nät]],Tabell5[],2,FALSE)</f>
        <v>Gränna</v>
      </c>
    </row>
    <row r="127" spans="1:21" ht="15" customHeight="1" x14ac:dyDescent="0.25">
      <c r="A127" t="s">
        <v>559</v>
      </c>
      <c r="B127" t="s">
        <v>160</v>
      </c>
      <c r="C127">
        <v>2018</v>
      </c>
      <c r="D127">
        <v>710.64</v>
      </c>
      <c r="E127">
        <v>308.37</v>
      </c>
      <c r="F127">
        <v>81.93</v>
      </c>
      <c r="G127">
        <v>28</v>
      </c>
      <c r="I127">
        <v>114.2</v>
      </c>
      <c r="J127">
        <v>176.98</v>
      </c>
      <c r="K127">
        <v>1.18</v>
      </c>
      <c r="L127" t="s">
        <v>804</v>
      </c>
      <c r="N127" t="s">
        <v>805</v>
      </c>
      <c r="P127" t="s">
        <v>805</v>
      </c>
      <c r="R127" t="s">
        <v>805</v>
      </c>
      <c r="T127">
        <f>Tabell6[[#This Row],[Såld värme (GWh)]]-Tabell6[[#This Row],[Levererad värme, andra fjärrvärmeförag, förag 1 (GWh)]]-Tabell6[[#This Row],[Levererad värme, andra fjärrvärmeförag, förag 2 (GWh)]]-Tabell6[[#This Row],[Levererad värme, andra fjärrvärmeförag, förag 3 (GWh)]]</f>
        <v>710.64</v>
      </c>
      <c r="U127" t="str">
        <f>VLOOKUP(Tabell6[[#This Row],[Nät]],Tabell5[],2,FALSE)</f>
        <v>Jönköping</v>
      </c>
    </row>
    <row r="128" spans="1:21" ht="15" customHeight="1" x14ac:dyDescent="0.25">
      <c r="A128" t="s">
        <v>559</v>
      </c>
      <c r="B128" t="s">
        <v>816</v>
      </c>
      <c r="C128">
        <v>2018</v>
      </c>
      <c r="D128">
        <v>3.14</v>
      </c>
      <c r="J128">
        <v>3.14</v>
      </c>
      <c r="N128" t="s">
        <v>805</v>
      </c>
      <c r="P128" t="s">
        <v>805</v>
      </c>
      <c r="R128" t="s">
        <v>805</v>
      </c>
      <c r="T128">
        <f>Tabell6[[#This Row],[Såld värme (GWh)]]-Tabell6[[#This Row],[Levererad värme, andra fjärrvärmeförag, förag 1 (GWh)]]-Tabell6[[#This Row],[Levererad värme, andra fjärrvärmeförag, förag 2 (GWh)]]-Tabell6[[#This Row],[Levererad värme, andra fjärrvärmeförag, förag 3 (GWh)]]</f>
        <v>3.14</v>
      </c>
      <c r="U128" t="str">
        <f>VLOOKUP(Tabell6[[#This Row],[Nät]],Tabell5[],2,FALSE)</f>
        <v>Stigamo</v>
      </c>
    </row>
    <row r="129" spans="1:21" ht="15" customHeight="1" x14ac:dyDescent="0.25">
      <c r="A129" t="s">
        <v>643</v>
      </c>
      <c r="B129" t="s">
        <v>162</v>
      </c>
      <c r="C129">
        <v>2018</v>
      </c>
      <c r="D129">
        <v>368.9</v>
      </c>
      <c r="E129">
        <v>181.6</v>
      </c>
      <c r="F129">
        <v>38.299999999999997</v>
      </c>
      <c r="G129">
        <v>18.100000000000001</v>
      </c>
      <c r="H129">
        <v>0</v>
      </c>
      <c r="I129">
        <v>62.7</v>
      </c>
      <c r="J129">
        <v>68.099999999999994</v>
      </c>
      <c r="K129">
        <v>1</v>
      </c>
      <c r="N129" t="s">
        <v>805</v>
      </c>
      <c r="P129" t="s">
        <v>805</v>
      </c>
      <c r="R129" t="s">
        <v>805</v>
      </c>
      <c r="T129">
        <f>Tabell6[[#This Row],[Såld värme (GWh)]]-Tabell6[[#This Row],[Levererad värme, andra fjärrvärmeförag, förag 1 (GWh)]]-Tabell6[[#This Row],[Levererad värme, andra fjärrvärmeförag, förag 2 (GWh)]]-Tabell6[[#This Row],[Levererad värme, andra fjärrvärmeförag, förag 3 (GWh)]]</f>
        <v>368.9</v>
      </c>
      <c r="U129" t="str">
        <f>VLOOKUP(Tabell6[[#This Row],[Nät]],Tabell5[],2,FALSE)</f>
        <v>Kalmar</v>
      </c>
    </row>
    <row r="130" spans="1:21" ht="15" customHeight="1" x14ac:dyDescent="0.25">
      <c r="A130" t="s">
        <v>976</v>
      </c>
      <c r="B130" t="s">
        <v>237</v>
      </c>
      <c r="C130">
        <v>2018</v>
      </c>
      <c r="D130">
        <v>15.1</v>
      </c>
      <c r="E130">
        <v>14.8</v>
      </c>
      <c r="G130">
        <v>0.29099999999999998</v>
      </c>
      <c r="N130" t="s">
        <v>805</v>
      </c>
      <c r="P130" t="s">
        <v>805</v>
      </c>
      <c r="R130" t="s">
        <v>805</v>
      </c>
      <c r="T130">
        <f>Tabell6[[#This Row],[Såld värme (GWh)]]-Tabell6[[#This Row],[Levererad värme, andra fjärrvärmeförag, förag 1 (GWh)]]-Tabell6[[#This Row],[Levererad värme, andra fjärrvärmeförag, förag 2 (GWh)]]-Tabell6[[#This Row],[Levererad värme, andra fjärrvärmeförag, förag 3 (GWh)]]</f>
        <v>15.1</v>
      </c>
      <c r="U130" t="str">
        <f>VLOOKUP(Tabell6[[#This Row],[Nät]],Tabell5[],2,FALSE)</f>
        <v>Karlsborg</v>
      </c>
    </row>
    <row r="131" spans="1:21" ht="15" customHeight="1" x14ac:dyDescent="0.25">
      <c r="A131" t="s">
        <v>645</v>
      </c>
      <c r="B131" t="s">
        <v>164</v>
      </c>
      <c r="C131">
        <v>2018</v>
      </c>
      <c r="D131">
        <v>167.82300000000001</v>
      </c>
      <c r="E131">
        <v>67.06</v>
      </c>
      <c r="F131">
        <v>17.475999999999999</v>
      </c>
      <c r="G131">
        <v>6.3010000000000002</v>
      </c>
      <c r="H131">
        <v>0</v>
      </c>
      <c r="I131">
        <v>31.096</v>
      </c>
      <c r="J131">
        <v>45.89</v>
      </c>
      <c r="K131">
        <v>0</v>
      </c>
      <c r="L131">
        <v>0</v>
      </c>
      <c r="M131">
        <v>0</v>
      </c>
      <c r="N131" t="s">
        <v>805</v>
      </c>
      <c r="P131" t="s">
        <v>805</v>
      </c>
      <c r="R131" t="s">
        <v>805</v>
      </c>
      <c r="T131">
        <f>Tabell6[[#This Row],[Såld värme (GWh)]]-Tabell6[[#This Row],[Levererad värme, andra fjärrvärmeförag, förag 1 (GWh)]]-Tabell6[[#This Row],[Levererad värme, andra fjärrvärmeförag, förag 2 (GWh)]]-Tabell6[[#This Row],[Levererad värme, andra fjärrvärmeförag, förag 3 (GWh)]]</f>
        <v>167.82300000000001</v>
      </c>
      <c r="U131" t="str">
        <f>VLOOKUP(Tabell6[[#This Row],[Nät]],Tabell5[],2,FALSE)</f>
        <v>Karlshamn</v>
      </c>
    </row>
    <row r="132" spans="1:21" ht="15" customHeight="1" x14ac:dyDescent="0.25">
      <c r="A132" t="s">
        <v>977</v>
      </c>
      <c r="B132" t="s">
        <v>165</v>
      </c>
      <c r="C132">
        <v>2018</v>
      </c>
      <c r="D132">
        <v>305.2</v>
      </c>
      <c r="E132">
        <v>88.3</v>
      </c>
      <c r="F132">
        <v>18.8</v>
      </c>
      <c r="G132">
        <v>142.19999999999999</v>
      </c>
      <c r="H132">
        <v>107.6</v>
      </c>
      <c r="I132">
        <v>28.6</v>
      </c>
      <c r="J132">
        <v>26.2</v>
      </c>
      <c r="K132">
        <v>1</v>
      </c>
      <c r="L132" t="s">
        <v>804</v>
      </c>
      <c r="M132">
        <v>34.299999999999997</v>
      </c>
      <c r="N132" t="s">
        <v>805</v>
      </c>
      <c r="P132" t="s">
        <v>805</v>
      </c>
      <c r="R132" t="s">
        <v>805</v>
      </c>
      <c r="T132">
        <f>Tabell6[[#This Row],[Såld värme (GWh)]]-Tabell6[[#This Row],[Levererad värme, andra fjärrvärmeförag, förag 1 (GWh)]]-Tabell6[[#This Row],[Levererad värme, andra fjärrvärmeförag, förag 2 (GWh)]]-Tabell6[[#This Row],[Levererad värme, andra fjärrvärmeförag, förag 3 (GWh)]]</f>
        <v>305.2</v>
      </c>
      <c r="U132" t="str">
        <f>VLOOKUP(Tabell6[[#This Row],[Nät]],Tabell5[],2,FALSE)</f>
        <v>Karlskoga</v>
      </c>
    </row>
    <row r="133" spans="1:21" ht="15" customHeight="1" x14ac:dyDescent="0.25">
      <c r="A133" t="s">
        <v>646</v>
      </c>
      <c r="B133" t="s">
        <v>166</v>
      </c>
      <c r="C133">
        <v>2018</v>
      </c>
      <c r="D133">
        <v>576.79999999999995</v>
      </c>
      <c r="E133">
        <v>254.6</v>
      </c>
      <c r="F133">
        <v>73.5</v>
      </c>
      <c r="G133">
        <v>6.6710000000000003</v>
      </c>
      <c r="I133">
        <v>57.3</v>
      </c>
      <c r="J133">
        <v>105.2</v>
      </c>
      <c r="K133">
        <v>3.9</v>
      </c>
      <c r="M133">
        <v>17.600000000000001</v>
      </c>
      <c r="N133" t="s">
        <v>978</v>
      </c>
      <c r="O133">
        <v>57.600999999999999</v>
      </c>
      <c r="P133" t="s">
        <v>805</v>
      </c>
      <c r="R133" t="s">
        <v>805</v>
      </c>
      <c r="T133">
        <f>Tabell6[[#This Row],[Såld värme (GWh)]]-Tabell6[[#This Row],[Levererad värme, andra fjärrvärmeförag, förag 1 (GWh)]]-Tabell6[[#This Row],[Levererad värme, andra fjärrvärmeförag, förag 2 (GWh)]]-Tabell6[[#This Row],[Levererad värme, andra fjärrvärmeförag, förag 3 (GWh)]]</f>
        <v>519.19899999999996</v>
      </c>
      <c r="U133" t="str">
        <f>VLOOKUP(Tabell6[[#This Row],[Nät]],Tabell5[],2,FALSE)</f>
        <v>Karlstad</v>
      </c>
    </row>
    <row r="134" spans="1:21" ht="15" customHeight="1" x14ac:dyDescent="0.25">
      <c r="A134" t="s">
        <v>649</v>
      </c>
      <c r="B134" t="s">
        <v>170</v>
      </c>
      <c r="C134">
        <v>2018</v>
      </c>
      <c r="D134">
        <v>36.6</v>
      </c>
      <c r="E134">
        <v>12.6</v>
      </c>
      <c r="F134">
        <v>10.8</v>
      </c>
      <c r="G134">
        <v>1.8</v>
      </c>
      <c r="I134">
        <v>6.5</v>
      </c>
      <c r="J134">
        <v>1.3</v>
      </c>
      <c r="K134">
        <v>0.2</v>
      </c>
      <c r="M134">
        <v>3.3</v>
      </c>
      <c r="N134" t="s">
        <v>805</v>
      </c>
      <c r="P134" t="s">
        <v>805</v>
      </c>
      <c r="R134" t="s">
        <v>805</v>
      </c>
      <c r="T134">
        <f>Tabell6[[#This Row],[Såld värme (GWh)]]-Tabell6[[#This Row],[Levererad värme, andra fjärrvärmeförag, förag 1 (GWh)]]-Tabell6[[#This Row],[Levererad värme, andra fjärrvärmeförag, förag 2 (GWh)]]-Tabell6[[#This Row],[Levererad värme, andra fjärrvärmeförag, förag 3 (GWh)]]</f>
        <v>36.6</v>
      </c>
      <c r="U134" t="str">
        <f>VLOOKUP(Tabell6[[#This Row],[Nät]],Tabell5[],2,FALSE)</f>
        <v>Kil</v>
      </c>
    </row>
    <row r="135" spans="1:21" ht="15" customHeight="1" x14ac:dyDescent="0.25">
      <c r="A135" t="s">
        <v>817</v>
      </c>
      <c r="B135" t="s">
        <v>390</v>
      </c>
      <c r="C135">
        <v>2018</v>
      </c>
      <c r="D135">
        <v>200.06800000000001</v>
      </c>
      <c r="E135" t="s">
        <v>804</v>
      </c>
      <c r="F135">
        <v>33.826999999999998</v>
      </c>
      <c r="G135" t="s">
        <v>804</v>
      </c>
      <c r="I135" t="s">
        <v>804</v>
      </c>
      <c r="J135" t="s">
        <v>804</v>
      </c>
      <c r="K135" t="s">
        <v>804</v>
      </c>
      <c r="L135" t="s">
        <v>804</v>
      </c>
      <c r="M135" t="s">
        <v>804</v>
      </c>
      <c r="N135" t="s">
        <v>805</v>
      </c>
      <c r="P135" t="s">
        <v>805</v>
      </c>
      <c r="R135" t="s">
        <v>805</v>
      </c>
      <c r="T135">
        <f>Tabell6[[#This Row],[Såld värme (GWh)]]-Tabell6[[#This Row],[Levererad värme, andra fjärrvärmeförag, förag 1 (GWh)]]-Tabell6[[#This Row],[Levererad värme, andra fjärrvärmeförag, förag 2 (GWh)]]-Tabell6[[#This Row],[Levererad värme, andra fjärrvärmeförag, förag 3 (GWh)]]</f>
        <v>200.06800000000001</v>
      </c>
      <c r="U135" t="str">
        <f>VLOOKUP(Tabell6[[#This Row],[Nät]],Tabell5[],2,FALSE)</f>
        <v>Kiruna C</v>
      </c>
    </row>
    <row r="136" spans="1:21" ht="15" customHeight="1" x14ac:dyDescent="0.25">
      <c r="A136" t="s">
        <v>817</v>
      </c>
      <c r="B136" t="s">
        <v>305</v>
      </c>
      <c r="C136">
        <v>2018</v>
      </c>
      <c r="D136">
        <v>5.7569999999999997</v>
      </c>
      <c r="E136" t="s">
        <v>804</v>
      </c>
      <c r="F136">
        <v>3.8940000000000001</v>
      </c>
      <c r="I136" t="s">
        <v>804</v>
      </c>
      <c r="J136" t="s">
        <v>804</v>
      </c>
      <c r="K136" t="s">
        <v>804</v>
      </c>
      <c r="L136" t="s">
        <v>804</v>
      </c>
      <c r="N136" t="s">
        <v>805</v>
      </c>
      <c r="P136" t="s">
        <v>805</v>
      </c>
      <c r="R136" t="s">
        <v>805</v>
      </c>
      <c r="T136">
        <f>Tabell6[[#This Row],[Såld värme (GWh)]]-Tabell6[[#This Row],[Levererad värme, andra fjärrvärmeförag, förag 1 (GWh)]]-Tabell6[[#This Row],[Levererad värme, andra fjärrvärmeförag, förag 2 (GWh)]]-Tabell6[[#This Row],[Levererad värme, andra fjärrvärmeförag, förag 3 (GWh)]]</f>
        <v>5.7569999999999997</v>
      </c>
      <c r="U136" t="str">
        <f>VLOOKUP(Tabell6[[#This Row],[Nät]],Tabell5[],2,FALSE)</f>
        <v>Vittangi</v>
      </c>
    </row>
    <row r="137" spans="1:21" ht="15" customHeight="1" x14ac:dyDescent="0.25">
      <c r="A137" t="s">
        <v>786</v>
      </c>
      <c r="B137" t="s">
        <v>787</v>
      </c>
      <c r="C137">
        <v>2018</v>
      </c>
      <c r="D137">
        <v>836</v>
      </c>
      <c r="E137">
        <v>433</v>
      </c>
      <c r="F137">
        <v>93</v>
      </c>
      <c r="G137">
        <v>56</v>
      </c>
      <c r="I137">
        <v>158</v>
      </c>
      <c r="J137">
        <v>98</v>
      </c>
      <c r="N137" t="s">
        <v>979</v>
      </c>
      <c r="O137">
        <v>8.6999999999999993</v>
      </c>
      <c r="P137" t="s">
        <v>980</v>
      </c>
      <c r="Q137">
        <v>1.8</v>
      </c>
      <c r="R137" t="s">
        <v>805</v>
      </c>
      <c r="T137">
        <f>Tabell6[[#This Row],[Såld värme (GWh)]]-Tabell6[[#This Row],[Levererad värme, andra fjärrvärmeförag, förag 1 (GWh)]]-Tabell6[[#This Row],[Levererad värme, andra fjärrvärmeförag, förag 2 (GWh)]]-Tabell6[[#This Row],[Levererad värme, andra fjärrvärmeförag, förag 3 (GWh)]]</f>
        <v>825.5</v>
      </c>
      <c r="U137" t="str">
        <f>VLOOKUP(Tabell6[[#This Row],[Nät]],Tabell5[],2,FALSE)</f>
        <v>Eslöv-Lund-Lomma m fl</v>
      </c>
    </row>
    <row r="138" spans="1:21" ht="15" customHeight="1" x14ac:dyDescent="0.25">
      <c r="A138" t="s">
        <v>786</v>
      </c>
      <c r="B138" t="s">
        <v>788</v>
      </c>
      <c r="C138">
        <v>2018</v>
      </c>
      <c r="D138">
        <v>53</v>
      </c>
      <c r="E138" t="s">
        <v>805</v>
      </c>
      <c r="F138" t="s">
        <v>805</v>
      </c>
      <c r="G138" t="s">
        <v>805</v>
      </c>
      <c r="H138" t="s">
        <v>805</v>
      </c>
      <c r="I138" t="s">
        <v>805</v>
      </c>
      <c r="J138" t="s">
        <v>805</v>
      </c>
      <c r="K138" t="s">
        <v>805</v>
      </c>
      <c r="L138" t="s">
        <v>805</v>
      </c>
      <c r="M138" t="s">
        <v>805</v>
      </c>
      <c r="N138" t="s">
        <v>805</v>
      </c>
      <c r="T138">
        <f>Tabell6[[#This Row],[Såld värme (GWh)]]-Tabell6[[#This Row],[Levererad värme, andra fjärrvärmeförag, förag 1 (GWh)]]-Tabell6[[#This Row],[Levererad värme, andra fjärrvärmeförag, förag 2 (GWh)]]-Tabell6[[#This Row],[Levererad värme, andra fjärrvärmeförag, förag 3 (GWh)]]</f>
        <v>53</v>
      </c>
      <c r="U138" t="str">
        <f>VLOOKUP(Tabell6[[#This Row],[Nät]],Tabell5[],2,FALSE)</f>
        <v>Klippan-Ljungbyhed-Östra Ljungby</v>
      </c>
    </row>
    <row r="139" spans="1:21" ht="15" customHeight="1" x14ac:dyDescent="0.25">
      <c r="A139" t="s">
        <v>632</v>
      </c>
      <c r="B139" t="s">
        <v>385</v>
      </c>
      <c r="C139">
        <v>2018</v>
      </c>
      <c r="D139">
        <v>1.1025</v>
      </c>
      <c r="F139">
        <v>2.5000000000000001E-2</v>
      </c>
      <c r="J139">
        <v>1.0780000000000001</v>
      </c>
      <c r="N139" t="s">
        <v>805</v>
      </c>
      <c r="P139" t="s">
        <v>805</v>
      </c>
      <c r="R139" t="s">
        <v>805</v>
      </c>
      <c r="T139">
        <f>Tabell6[[#This Row],[Såld värme (GWh)]]-Tabell6[[#This Row],[Levererad värme, andra fjärrvärmeförag, förag 1 (GWh)]]-Tabell6[[#This Row],[Levererad värme, andra fjärrvärmeförag, förag 2 (GWh)]]-Tabell6[[#This Row],[Levererad värme, andra fjärrvärmeförag, förag 3 (GWh)]]</f>
        <v>1.1025</v>
      </c>
      <c r="U139" t="str">
        <f>VLOOKUP(Tabell6[[#This Row],[Nät]],Tabell5[],2,FALSE)</f>
        <v>HVC Kode</v>
      </c>
    </row>
    <row r="140" spans="1:21" ht="15" customHeight="1" x14ac:dyDescent="0.25">
      <c r="A140" t="s">
        <v>632</v>
      </c>
      <c r="B140" t="s">
        <v>386</v>
      </c>
      <c r="C140">
        <v>2018</v>
      </c>
      <c r="D140">
        <v>0.81089999999999995</v>
      </c>
      <c r="E140">
        <v>0.16800000000000001</v>
      </c>
      <c r="F140">
        <v>6.5000000000000002E-2</v>
      </c>
      <c r="I140">
        <v>0.57699999999999996</v>
      </c>
      <c r="N140" t="s">
        <v>805</v>
      </c>
      <c r="P140" t="s">
        <v>805</v>
      </c>
      <c r="R140" t="s">
        <v>805</v>
      </c>
      <c r="T140">
        <f>Tabell6[[#This Row],[Såld värme (GWh)]]-Tabell6[[#This Row],[Levererad värme, andra fjärrvärmeförag, förag 1 (GWh)]]-Tabell6[[#This Row],[Levererad värme, andra fjärrvärmeförag, förag 2 (GWh)]]-Tabell6[[#This Row],[Levererad värme, andra fjärrvärmeförag, förag 3 (GWh)]]</f>
        <v>0.81089999999999995</v>
      </c>
      <c r="U140" t="str">
        <f>VLOOKUP(Tabell6[[#This Row],[Nät]],Tabell5[],2,FALSE)</f>
        <v>HVC Kärna</v>
      </c>
    </row>
    <row r="141" spans="1:21" ht="15" customHeight="1" x14ac:dyDescent="0.25">
      <c r="A141" t="s">
        <v>632</v>
      </c>
      <c r="B141" t="s">
        <v>387</v>
      </c>
      <c r="C141">
        <v>2018</v>
      </c>
      <c r="D141">
        <v>3</v>
      </c>
      <c r="F141">
        <v>2.9</v>
      </c>
      <c r="I141">
        <v>0.1</v>
      </c>
      <c r="N141" t="s">
        <v>805</v>
      </c>
      <c r="P141" t="s">
        <v>805</v>
      </c>
      <c r="R141" t="s">
        <v>805</v>
      </c>
      <c r="T141">
        <f>Tabell6[[#This Row],[Såld värme (GWh)]]-Tabell6[[#This Row],[Levererad värme, andra fjärrvärmeförag, förag 1 (GWh)]]-Tabell6[[#This Row],[Levererad värme, andra fjärrvärmeförag, förag 2 (GWh)]]-Tabell6[[#This Row],[Levererad värme, andra fjärrvärmeförag, förag 3 (GWh)]]</f>
        <v>3</v>
      </c>
      <c r="U141" t="str">
        <f>VLOOKUP(Tabell6[[#This Row],[Nät]],Tabell5[],2,FALSE)</f>
        <v>HVC Stålkullen</v>
      </c>
    </row>
    <row r="142" spans="1:21" ht="15" customHeight="1" x14ac:dyDescent="0.25">
      <c r="A142" t="s">
        <v>632</v>
      </c>
      <c r="B142" t="s">
        <v>173</v>
      </c>
      <c r="C142">
        <v>2018</v>
      </c>
      <c r="D142">
        <v>116</v>
      </c>
      <c r="E142">
        <v>62.2</v>
      </c>
      <c r="F142">
        <v>6.7</v>
      </c>
      <c r="G142">
        <v>7.8</v>
      </c>
      <c r="I142">
        <v>23.3</v>
      </c>
      <c r="J142">
        <v>11.1</v>
      </c>
      <c r="N142" t="s">
        <v>805</v>
      </c>
      <c r="P142" t="s">
        <v>805</v>
      </c>
      <c r="R142" t="s">
        <v>805</v>
      </c>
      <c r="T142">
        <f>Tabell6[[#This Row],[Såld värme (GWh)]]-Tabell6[[#This Row],[Levererad värme, andra fjärrvärmeförag, förag 1 (GWh)]]-Tabell6[[#This Row],[Levererad värme, andra fjärrvärmeförag, förag 2 (GWh)]]-Tabell6[[#This Row],[Levererad värme, andra fjärrvärmeförag, förag 3 (GWh)]]</f>
        <v>116</v>
      </c>
      <c r="U142" t="str">
        <f>VLOOKUP(Tabell6[[#This Row],[Nät]],Tabell5[],2,FALSE)</f>
        <v>Kungälv</v>
      </c>
    </row>
    <row r="143" spans="1:21" ht="15" customHeight="1" x14ac:dyDescent="0.25">
      <c r="A143" t="s">
        <v>651</v>
      </c>
      <c r="B143" t="s">
        <v>797</v>
      </c>
      <c r="C143">
        <v>2018</v>
      </c>
      <c r="D143" t="s">
        <v>805</v>
      </c>
      <c r="E143" t="s">
        <v>805</v>
      </c>
      <c r="F143" t="s">
        <v>805</v>
      </c>
      <c r="G143" t="s">
        <v>805</v>
      </c>
      <c r="H143" t="s">
        <v>805</v>
      </c>
      <c r="I143" t="s">
        <v>805</v>
      </c>
      <c r="J143" t="s">
        <v>805</v>
      </c>
      <c r="K143" t="s">
        <v>805</v>
      </c>
      <c r="L143" t="s">
        <v>805</v>
      </c>
      <c r="M143" t="s">
        <v>805</v>
      </c>
      <c r="N143" t="s">
        <v>805</v>
      </c>
      <c r="O143" t="s">
        <v>805</v>
      </c>
      <c r="P143" t="s">
        <v>805</v>
      </c>
      <c r="Q143" t="s">
        <v>805</v>
      </c>
      <c r="R143" t="s">
        <v>805</v>
      </c>
      <c r="S143" t="s">
        <v>805</v>
      </c>
    </row>
    <row r="144" spans="1:21" ht="15" customHeight="1" x14ac:dyDescent="0.25">
      <c r="A144" t="s">
        <v>658</v>
      </c>
      <c r="B144" t="s">
        <v>176</v>
      </c>
      <c r="C144">
        <v>2018</v>
      </c>
      <c r="D144">
        <v>254.3</v>
      </c>
      <c r="E144">
        <v>150.5</v>
      </c>
      <c r="F144">
        <v>33</v>
      </c>
      <c r="G144">
        <v>10.1</v>
      </c>
      <c r="I144">
        <v>22</v>
      </c>
      <c r="J144">
        <v>16.100000000000001</v>
      </c>
      <c r="K144">
        <v>0.3</v>
      </c>
      <c r="L144">
        <v>3.1</v>
      </c>
      <c r="M144">
        <v>19.2</v>
      </c>
      <c r="N144" t="s">
        <v>981</v>
      </c>
      <c r="O144">
        <v>1.9</v>
      </c>
      <c r="P144" t="s">
        <v>982</v>
      </c>
      <c r="Q144">
        <v>29.9</v>
      </c>
      <c r="R144" t="s">
        <v>962</v>
      </c>
      <c r="T144">
        <f>Tabell6[[#This Row],[Såld värme (GWh)]]-Tabell6[[#This Row],[Levererad värme, andra fjärrvärmeförag, förag 1 (GWh)]]-Tabell6[[#This Row],[Levererad värme, andra fjärrvärmeförag, förag 2 (GWh)]]-Tabell6[[#This Row],[Levererad värme, andra fjärrvärmeförag, förag 3 (GWh)]]</f>
        <v>222.5</v>
      </c>
      <c r="U144" t="str">
        <f>VLOOKUP(Tabell6[[#This Row],[Nät]],Tabell5[],2,FALSE)</f>
        <v>Landskrona</v>
      </c>
    </row>
    <row r="145" spans="1:21" ht="15" customHeight="1" x14ac:dyDescent="0.25">
      <c r="A145" t="s">
        <v>568</v>
      </c>
      <c r="B145" t="s">
        <v>178</v>
      </c>
      <c r="C145">
        <v>2018</v>
      </c>
      <c r="D145">
        <v>8.68</v>
      </c>
      <c r="E145">
        <v>4.12</v>
      </c>
      <c r="F145">
        <v>0.6</v>
      </c>
      <c r="G145">
        <v>2.0299999999999998</v>
      </c>
      <c r="I145">
        <v>1.68</v>
      </c>
      <c r="J145">
        <v>0.23</v>
      </c>
      <c r="N145" t="s">
        <v>805</v>
      </c>
      <c r="P145" t="s">
        <v>805</v>
      </c>
      <c r="R145" t="s">
        <v>805</v>
      </c>
      <c r="T145">
        <f>Tabell6[[#This Row],[Såld värme (GWh)]]-Tabell6[[#This Row],[Levererad värme, andra fjärrvärmeförag, förag 1 (GWh)]]-Tabell6[[#This Row],[Levererad värme, andra fjärrvärmeförag, förag 2 (GWh)]]-Tabell6[[#This Row],[Levererad värme, andra fjärrvärmeförag, förag 3 (GWh)]]</f>
        <v>8.68</v>
      </c>
      <c r="U145" t="str">
        <f>VLOOKUP(Tabell6[[#This Row],[Nät]],Tabell5[],2,FALSE)</f>
        <v>Bjärnum</v>
      </c>
    </row>
    <row r="146" spans="1:21" ht="15" customHeight="1" x14ac:dyDescent="0.25">
      <c r="A146" t="s">
        <v>568</v>
      </c>
      <c r="B146" t="s">
        <v>179</v>
      </c>
      <c r="C146">
        <v>2018</v>
      </c>
      <c r="D146">
        <v>6.98</v>
      </c>
      <c r="E146">
        <v>2.98</v>
      </c>
      <c r="F146">
        <v>0.15</v>
      </c>
      <c r="G146">
        <v>0</v>
      </c>
      <c r="H146">
        <v>0</v>
      </c>
      <c r="I146">
        <v>2.74</v>
      </c>
      <c r="J146">
        <v>1.1000000000000001</v>
      </c>
      <c r="K146">
        <v>0</v>
      </c>
      <c r="L146">
        <v>0</v>
      </c>
      <c r="M146">
        <v>0</v>
      </c>
      <c r="N146" t="s">
        <v>805</v>
      </c>
      <c r="P146" t="s">
        <v>805</v>
      </c>
      <c r="R146" t="s">
        <v>805</v>
      </c>
      <c r="T146">
        <f>Tabell6[[#This Row],[Såld värme (GWh)]]-Tabell6[[#This Row],[Levererad värme, andra fjärrvärmeförag, förag 1 (GWh)]]-Tabell6[[#This Row],[Levererad värme, andra fjärrvärmeförag, förag 2 (GWh)]]-Tabell6[[#This Row],[Levererad värme, andra fjärrvärmeförag, förag 3 (GWh)]]</f>
        <v>6.98</v>
      </c>
      <c r="U146" t="str">
        <f>VLOOKUP(Tabell6[[#This Row],[Nät]],Tabell5[],2,FALSE)</f>
        <v>Ed</v>
      </c>
    </row>
    <row r="147" spans="1:21" ht="15" customHeight="1" x14ac:dyDescent="0.25">
      <c r="A147" t="s">
        <v>568</v>
      </c>
      <c r="B147" t="s">
        <v>180</v>
      </c>
      <c r="C147">
        <v>2018</v>
      </c>
      <c r="D147">
        <v>10.95</v>
      </c>
      <c r="E147">
        <v>3.7</v>
      </c>
      <c r="F147">
        <v>1.85</v>
      </c>
      <c r="G147">
        <v>0.19</v>
      </c>
      <c r="H147">
        <v>0</v>
      </c>
      <c r="I147">
        <v>4.12</v>
      </c>
      <c r="J147">
        <v>1.07</v>
      </c>
      <c r="K147">
        <v>0</v>
      </c>
      <c r="L147">
        <v>0</v>
      </c>
      <c r="M147">
        <v>0</v>
      </c>
      <c r="N147" t="s">
        <v>805</v>
      </c>
      <c r="P147" t="s">
        <v>805</v>
      </c>
      <c r="R147" t="s">
        <v>805</v>
      </c>
      <c r="T147">
        <f>Tabell6[[#This Row],[Såld värme (GWh)]]-Tabell6[[#This Row],[Levererad värme, andra fjärrvärmeförag, förag 1 (GWh)]]-Tabell6[[#This Row],[Levererad värme, andra fjärrvärmeförag, förag 2 (GWh)]]-Tabell6[[#This Row],[Levererad värme, andra fjärrvärmeförag, förag 3 (GWh)]]</f>
        <v>10.95</v>
      </c>
      <c r="U147" t="str">
        <f>VLOOKUP(Tabell6[[#This Row],[Nät]],Tabell5[],2,FALSE)</f>
        <v>Grästorp</v>
      </c>
    </row>
    <row r="148" spans="1:21" ht="15" customHeight="1" x14ac:dyDescent="0.25">
      <c r="A148" t="s">
        <v>568</v>
      </c>
      <c r="B148" t="s">
        <v>181</v>
      </c>
      <c r="C148">
        <v>2018</v>
      </c>
      <c r="D148">
        <v>5.46</v>
      </c>
      <c r="E148">
        <v>1.04</v>
      </c>
      <c r="F148">
        <v>1.76</v>
      </c>
      <c r="G148">
        <v>1.42</v>
      </c>
      <c r="H148">
        <v>0</v>
      </c>
      <c r="I148">
        <v>1.1200000000000001</v>
      </c>
      <c r="J148">
        <v>0.11</v>
      </c>
      <c r="K148">
        <v>0</v>
      </c>
      <c r="L148">
        <v>0</v>
      </c>
      <c r="M148">
        <v>0</v>
      </c>
      <c r="N148" t="s">
        <v>805</v>
      </c>
      <c r="P148" t="s">
        <v>805</v>
      </c>
      <c r="R148" t="s">
        <v>805</v>
      </c>
      <c r="T148">
        <f>Tabell6[[#This Row],[Såld värme (GWh)]]-Tabell6[[#This Row],[Levererad värme, andra fjärrvärmeförag, förag 1 (GWh)]]-Tabell6[[#This Row],[Levererad värme, andra fjärrvärmeförag, förag 2 (GWh)]]-Tabell6[[#This Row],[Levererad värme, andra fjärrvärmeförag, förag 3 (GWh)]]</f>
        <v>5.46</v>
      </c>
      <c r="U148" t="str">
        <f>VLOOKUP(Tabell6[[#This Row],[Nät]],Tabell5[],2,FALSE)</f>
        <v>Horred</v>
      </c>
    </row>
    <row r="149" spans="1:21" ht="15" customHeight="1" x14ac:dyDescent="0.25">
      <c r="A149" t="s">
        <v>568</v>
      </c>
      <c r="B149" t="s">
        <v>182</v>
      </c>
      <c r="C149">
        <v>2018</v>
      </c>
      <c r="D149">
        <v>11.65</v>
      </c>
      <c r="E149">
        <v>2.633</v>
      </c>
      <c r="F149">
        <v>1.05</v>
      </c>
      <c r="G149">
        <v>4.67</v>
      </c>
      <c r="H149">
        <v>0</v>
      </c>
      <c r="I149">
        <v>2.97</v>
      </c>
      <c r="J149">
        <v>0.32</v>
      </c>
      <c r="K149">
        <v>0</v>
      </c>
      <c r="L149">
        <v>0</v>
      </c>
      <c r="M149">
        <v>0</v>
      </c>
      <c r="N149" t="s">
        <v>805</v>
      </c>
      <c r="P149" t="s">
        <v>805</v>
      </c>
      <c r="R149" t="s">
        <v>805</v>
      </c>
      <c r="T149">
        <f>Tabell6[[#This Row],[Såld värme (GWh)]]-Tabell6[[#This Row],[Levererad värme, andra fjärrvärmeförag, förag 1 (GWh)]]-Tabell6[[#This Row],[Levererad värme, andra fjärrvärmeförag, förag 2 (GWh)]]-Tabell6[[#This Row],[Levererad värme, andra fjärrvärmeförag, förag 3 (GWh)]]</f>
        <v>11.65</v>
      </c>
      <c r="U149" t="str">
        <f>VLOOKUP(Tabell6[[#This Row],[Nät]],Tabell5[],2,FALSE)</f>
        <v>Kvänum</v>
      </c>
    </row>
    <row r="150" spans="1:21" ht="15" customHeight="1" x14ac:dyDescent="0.25">
      <c r="A150" t="s">
        <v>568</v>
      </c>
      <c r="B150" t="s">
        <v>183</v>
      </c>
      <c r="C150">
        <v>2018</v>
      </c>
      <c r="D150">
        <v>28</v>
      </c>
      <c r="E150">
        <v>13.57</v>
      </c>
      <c r="F150">
        <v>1.1499999999999999</v>
      </c>
      <c r="G150">
        <v>1.08</v>
      </c>
      <c r="H150">
        <v>0</v>
      </c>
      <c r="I150">
        <v>11.34</v>
      </c>
      <c r="J150">
        <v>0.84</v>
      </c>
      <c r="K150">
        <v>0</v>
      </c>
      <c r="L150">
        <v>0</v>
      </c>
      <c r="M150">
        <v>0</v>
      </c>
      <c r="N150" t="s">
        <v>805</v>
      </c>
      <c r="P150" t="s">
        <v>805</v>
      </c>
      <c r="R150" t="s">
        <v>805</v>
      </c>
      <c r="T150">
        <f>Tabell6[[#This Row],[Såld värme (GWh)]]-Tabell6[[#This Row],[Levererad värme, andra fjärrvärmeförag, förag 1 (GWh)]]-Tabell6[[#This Row],[Levererad värme, andra fjärrvärmeförag, förag 2 (GWh)]]-Tabell6[[#This Row],[Levererad värme, andra fjärrvärmeförag, förag 3 (GWh)]]</f>
        <v>28</v>
      </c>
      <c r="U150" t="str">
        <f>VLOOKUP(Tabell6[[#This Row],[Nät]],Tabell5[],2,FALSE)</f>
        <v>Skurup</v>
      </c>
    </row>
    <row r="151" spans="1:21" ht="15" customHeight="1" x14ac:dyDescent="0.25">
      <c r="A151" t="s">
        <v>568</v>
      </c>
      <c r="B151" t="s">
        <v>855</v>
      </c>
      <c r="C151">
        <v>2018</v>
      </c>
      <c r="D151">
        <v>7.74</v>
      </c>
      <c r="E151">
        <v>2.54</v>
      </c>
      <c r="F151">
        <v>1.59</v>
      </c>
      <c r="G151">
        <v>0.25</v>
      </c>
      <c r="H151">
        <v>0</v>
      </c>
      <c r="I151">
        <v>2.2799999999999998</v>
      </c>
      <c r="J151">
        <v>1.07</v>
      </c>
      <c r="K151">
        <v>0</v>
      </c>
      <c r="L151">
        <v>0</v>
      </c>
      <c r="M151">
        <v>0</v>
      </c>
      <c r="N151" t="s">
        <v>805</v>
      </c>
      <c r="P151" t="s">
        <v>805</v>
      </c>
      <c r="R151" t="s">
        <v>805</v>
      </c>
      <c r="T151">
        <f>Tabell6[[#This Row],[Såld värme (GWh)]]-Tabell6[[#This Row],[Levererad värme, andra fjärrvärmeförag, förag 1 (GWh)]]-Tabell6[[#This Row],[Levererad värme, andra fjärrvärmeförag, förag 2 (GWh)]]-Tabell6[[#This Row],[Levererad värme, andra fjärrvärmeförag, förag 3 (GWh)]]</f>
        <v>7.74</v>
      </c>
      <c r="U151" t="str">
        <f>VLOOKUP(Tabell6[[#This Row],[Nät]],Tabell5[],2,FALSE)</f>
        <v>Vinslöv</v>
      </c>
    </row>
    <row r="152" spans="1:21" ht="15" customHeight="1" x14ac:dyDescent="0.25">
      <c r="A152" t="s">
        <v>568</v>
      </c>
      <c r="B152" t="s">
        <v>177</v>
      </c>
      <c r="C152">
        <v>2018</v>
      </c>
      <c r="D152">
        <v>11.76</v>
      </c>
      <c r="E152">
        <v>4.1689999999999996</v>
      </c>
      <c r="F152">
        <v>0.85</v>
      </c>
      <c r="G152">
        <v>2.08</v>
      </c>
      <c r="H152">
        <v>0</v>
      </c>
      <c r="I152">
        <v>4.2300000000000004</v>
      </c>
      <c r="J152">
        <v>0.44</v>
      </c>
      <c r="K152">
        <v>0</v>
      </c>
      <c r="L152">
        <v>0</v>
      </c>
      <c r="M152">
        <v>0</v>
      </c>
      <c r="N152" t="s">
        <v>805</v>
      </c>
      <c r="P152" t="s">
        <v>805</v>
      </c>
      <c r="R152" t="s">
        <v>805</v>
      </c>
      <c r="T152">
        <f>Tabell6[[#This Row],[Såld värme (GWh)]]-Tabell6[[#This Row],[Levererad värme, andra fjärrvärmeförag, förag 1 (GWh)]]-Tabell6[[#This Row],[Levererad värme, andra fjärrvärmeförag, förag 2 (GWh)]]-Tabell6[[#This Row],[Levererad värme, andra fjärrvärmeförag, förag 3 (GWh)]]</f>
        <v>11.76</v>
      </c>
      <c r="U152" t="str">
        <f>VLOOKUP(Tabell6[[#This Row],[Nät]],Tabell5[],2,FALSE)</f>
        <v>Ödeshög</v>
      </c>
    </row>
    <row r="153" spans="1:21" ht="15" customHeight="1" x14ac:dyDescent="0.25">
      <c r="A153" t="s">
        <v>568</v>
      </c>
      <c r="B153" t="s">
        <v>440</v>
      </c>
      <c r="C153">
        <v>2018</v>
      </c>
      <c r="D153">
        <v>5.41</v>
      </c>
      <c r="E153">
        <v>1.27</v>
      </c>
      <c r="F153">
        <v>0.04</v>
      </c>
      <c r="G153">
        <v>7.0000000000000007E-2</v>
      </c>
      <c r="H153">
        <v>0</v>
      </c>
      <c r="I153">
        <v>4.0199999999999996</v>
      </c>
      <c r="J153">
        <v>0</v>
      </c>
      <c r="K153">
        <v>0</v>
      </c>
      <c r="L153">
        <v>0</v>
      </c>
      <c r="M153">
        <v>0</v>
      </c>
      <c r="N153" t="s">
        <v>805</v>
      </c>
      <c r="P153" t="s">
        <v>805</v>
      </c>
      <c r="R153" t="s">
        <v>805</v>
      </c>
      <c r="T153">
        <f>Tabell6[[#This Row],[Såld värme (GWh)]]-Tabell6[[#This Row],[Levererad värme, andra fjärrvärmeförag, förag 1 (GWh)]]-Tabell6[[#This Row],[Levererad värme, andra fjärrvärmeförag, förag 2 (GWh)]]-Tabell6[[#This Row],[Levererad värme, andra fjärrvärmeförag, förag 3 (GWh)]]</f>
        <v>5.41</v>
      </c>
      <c r="U153" t="str">
        <f>VLOOKUP(Tabell6[[#This Row],[Nät]],Tabell5[],2,FALSE)</f>
        <v>Örsundsbro</v>
      </c>
    </row>
    <row r="154" spans="1:21" ht="15" customHeight="1" x14ac:dyDescent="0.25">
      <c r="A154" t="s">
        <v>659</v>
      </c>
      <c r="B154" t="s">
        <v>184</v>
      </c>
      <c r="C154">
        <v>2018</v>
      </c>
      <c r="D154">
        <v>29.670999999999999</v>
      </c>
      <c r="E154">
        <v>9.4009999999999998</v>
      </c>
      <c r="F154">
        <v>2.0510000000000002</v>
      </c>
      <c r="G154">
        <v>10.882999999999999</v>
      </c>
      <c r="H154">
        <v>0</v>
      </c>
      <c r="I154">
        <v>4.4829999999999997</v>
      </c>
      <c r="J154">
        <v>2.8540000000000001</v>
      </c>
      <c r="K154">
        <v>0</v>
      </c>
      <c r="L154">
        <v>0</v>
      </c>
      <c r="N154" t="s">
        <v>805</v>
      </c>
      <c r="P154" t="s">
        <v>805</v>
      </c>
      <c r="R154" t="s">
        <v>805</v>
      </c>
      <c r="T154">
        <f>Tabell6[[#This Row],[Såld värme (GWh)]]-Tabell6[[#This Row],[Levererad värme, andra fjärrvärmeförag, förag 1 (GWh)]]-Tabell6[[#This Row],[Levererad värme, andra fjärrvärmeförag, förag 2 (GWh)]]-Tabell6[[#This Row],[Levererad värme, andra fjärrvärmeförag, förag 3 (GWh)]]</f>
        <v>29.670999999999999</v>
      </c>
      <c r="U154" t="str">
        <f>VLOOKUP(Tabell6[[#This Row],[Nät]],Tabell5[],2,FALSE)</f>
        <v>Laxå</v>
      </c>
    </row>
    <row r="155" spans="1:21" ht="15" customHeight="1" x14ac:dyDescent="0.25">
      <c r="A155" t="s">
        <v>856</v>
      </c>
      <c r="B155" t="s">
        <v>857</v>
      </c>
      <c r="C155">
        <v>2018</v>
      </c>
      <c r="D155" t="s">
        <v>805</v>
      </c>
      <c r="E155" t="s">
        <v>805</v>
      </c>
      <c r="F155" t="s">
        <v>805</v>
      </c>
      <c r="G155" t="s">
        <v>805</v>
      </c>
      <c r="H155" t="s">
        <v>805</v>
      </c>
      <c r="I155" t="s">
        <v>805</v>
      </c>
      <c r="J155" t="s">
        <v>805</v>
      </c>
      <c r="K155" t="s">
        <v>805</v>
      </c>
      <c r="L155" t="s">
        <v>805</v>
      </c>
      <c r="M155" t="s">
        <v>805</v>
      </c>
      <c r="N155" t="s">
        <v>805</v>
      </c>
      <c r="O155" t="s">
        <v>805</v>
      </c>
      <c r="P155" t="s">
        <v>805</v>
      </c>
      <c r="Q155" t="s">
        <v>805</v>
      </c>
      <c r="R155" t="s">
        <v>805</v>
      </c>
      <c r="S155" t="s">
        <v>805</v>
      </c>
    </row>
    <row r="156" spans="1:21" ht="15" customHeight="1" x14ac:dyDescent="0.25">
      <c r="A156" t="s">
        <v>601</v>
      </c>
      <c r="B156" t="s">
        <v>397</v>
      </c>
      <c r="C156">
        <v>2018</v>
      </c>
      <c r="D156">
        <v>8.3000000000000007</v>
      </c>
      <c r="E156">
        <v>4</v>
      </c>
      <c r="F156">
        <v>0.3</v>
      </c>
      <c r="I156">
        <v>4</v>
      </c>
      <c r="N156" t="s">
        <v>805</v>
      </c>
      <c r="P156" t="s">
        <v>805</v>
      </c>
      <c r="R156" t="s">
        <v>805</v>
      </c>
      <c r="T156">
        <f>Tabell6[[#This Row],[Såld värme (GWh)]]-Tabell6[[#This Row],[Levererad värme, andra fjärrvärmeförag, förag 1 (GWh)]]-Tabell6[[#This Row],[Levererad värme, andra fjärrvärmeförag, förag 2 (GWh)]]-Tabell6[[#This Row],[Levererad värme, andra fjärrvärmeförag, förag 3 (GWh)]]</f>
        <v>8.3000000000000007</v>
      </c>
      <c r="U156" t="str">
        <f>VLOOKUP(Tabell6[[#This Row],[Nät]],Tabell5[],2,FALSE)</f>
        <v>Floda</v>
      </c>
    </row>
    <row r="157" spans="1:21" ht="15" customHeight="1" x14ac:dyDescent="0.25">
      <c r="A157" t="s">
        <v>601</v>
      </c>
      <c r="B157" t="s">
        <v>185</v>
      </c>
      <c r="C157">
        <v>2018</v>
      </c>
      <c r="D157">
        <v>10.7</v>
      </c>
      <c r="E157">
        <v>5.3</v>
      </c>
      <c r="F157">
        <v>1.1000000000000001</v>
      </c>
      <c r="I157">
        <v>4.3</v>
      </c>
      <c r="N157" t="s">
        <v>805</v>
      </c>
      <c r="P157" t="s">
        <v>805</v>
      </c>
      <c r="R157" t="s">
        <v>805</v>
      </c>
      <c r="T157">
        <f>Tabell6[[#This Row],[Såld värme (GWh)]]-Tabell6[[#This Row],[Levererad värme, andra fjärrvärmeförag, förag 1 (GWh)]]-Tabell6[[#This Row],[Levererad värme, andra fjärrvärmeförag, förag 2 (GWh)]]-Tabell6[[#This Row],[Levererad värme, andra fjärrvärmeförag, förag 3 (GWh)]]</f>
        <v>10.7</v>
      </c>
      <c r="U157" t="str">
        <f>VLOOKUP(Tabell6[[#This Row],[Nät]],Tabell5[],2,FALSE)</f>
        <v>Gråbo</v>
      </c>
    </row>
    <row r="158" spans="1:21" ht="15" customHeight="1" x14ac:dyDescent="0.25">
      <c r="A158" t="s">
        <v>601</v>
      </c>
      <c r="B158" t="s">
        <v>186</v>
      </c>
      <c r="C158">
        <v>2018</v>
      </c>
      <c r="D158">
        <v>29</v>
      </c>
      <c r="E158">
        <v>13.5</v>
      </c>
      <c r="F158">
        <v>1.9</v>
      </c>
      <c r="I158">
        <v>13.6</v>
      </c>
      <c r="N158" t="s">
        <v>805</v>
      </c>
      <c r="P158" t="s">
        <v>805</v>
      </c>
      <c r="R158" t="s">
        <v>805</v>
      </c>
      <c r="T158">
        <f>Tabell6[[#This Row],[Såld värme (GWh)]]-Tabell6[[#This Row],[Levererad värme, andra fjärrvärmeförag, förag 1 (GWh)]]-Tabell6[[#This Row],[Levererad värme, andra fjärrvärmeförag, förag 2 (GWh)]]-Tabell6[[#This Row],[Levererad värme, andra fjärrvärmeförag, förag 3 (GWh)]]</f>
        <v>29</v>
      </c>
      <c r="U158" t="str">
        <f>VLOOKUP(Tabell6[[#This Row],[Nät]],Tabell5[],2,FALSE)</f>
        <v>Lerum</v>
      </c>
    </row>
    <row r="159" spans="1:21" ht="15" customHeight="1" x14ac:dyDescent="0.25">
      <c r="A159" t="s">
        <v>601</v>
      </c>
      <c r="B159" t="s">
        <v>417</v>
      </c>
      <c r="C159">
        <v>2018</v>
      </c>
      <c r="D159">
        <v>3.1</v>
      </c>
      <c r="J159">
        <v>3.1</v>
      </c>
      <c r="N159" t="s">
        <v>805</v>
      </c>
      <c r="P159" t="s">
        <v>805</v>
      </c>
      <c r="R159" t="s">
        <v>805</v>
      </c>
      <c r="T159">
        <f>Tabell6[[#This Row],[Såld värme (GWh)]]-Tabell6[[#This Row],[Levererad värme, andra fjärrvärmeförag, förag 1 (GWh)]]-Tabell6[[#This Row],[Levererad värme, andra fjärrvärmeförag, förag 2 (GWh)]]-Tabell6[[#This Row],[Levererad värme, andra fjärrvärmeförag, förag 3 (GWh)]]</f>
        <v>3.1</v>
      </c>
      <c r="U159" t="str">
        <f>VLOOKUP(Tabell6[[#This Row],[Nät]],Tabell5[],2,FALSE)</f>
        <v>Stenkullen</v>
      </c>
    </row>
    <row r="160" spans="1:21" ht="15" customHeight="1" x14ac:dyDescent="0.25">
      <c r="A160" t="s">
        <v>669</v>
      </c>
      <c r="B160" t="s">
        <v>187</v>
      </c>
      <c r="C160">
        <v>2018</v>
      </c>
      <c r="D160">
        <v>44.374000000000002</v>
      </c>
      <c r="E160">
        <v>26.559000000000001</v>
      </c>
      <c r="F160">
        <v>0.66300000000000003</v>
      </c>
      <c r="I160">
        <v>8.57</v>
      </c>
      <c r="J160">
        <v>3.504</v>
      </c>
      <c r="M160">
        <v>5.0789999999999997</v>
      </c>
      <c r="N160" t="s">
        <v>805</v>
      </c>
      <c r="P160" t="s">
        <v>805</v>
      </c>
      <c r="R160" t="s">
        <v>805</v>
      </c>
      <c r="T160">
        <f>Tabell6[[#This Row],[Såld värme (GWh)]]-Tabell6[[#This Row],[Levererad värme, andra fjärrvärmeförag, förag 1 (GWh)]]-Tabell6[[#This Row],[Levererad värme, andra fjärrvärmeförag, förag 2 (GWh)]]-Tabell6[[#This Row],[Levererad värme, andra fjärrvärmeförag, förag 3 (GWh)]]</f>
        <v>44.374000000000002</v>
      </c>
      <c r="U160" t="str">
        <f>VLOOKUP(Tabell6[[#This Row],[Nät]],Tabell5[],2,FALSE)</f>
        <v>Lysekil</v>
      </c>
    </row>
    <row r="161" spans="1:21" ht="15" customHeight="1" x14ac:dyDescent="0.25">
      <c r="A161" s="52" t="s">
        <v>983</v>
      </c>
      <c r="B161" s="52" t="s">
        <v>859</v>
      </c>
      <c r="C161" s="52">
        <v>2018</v>
      </c>
      <c r="D161" s="52">
        <v>75.518000000000001</v>
      </c>
      <c r="E161" s="52"/>
      <c r="F161" s="52"/>
      <c r="G161" s="52">
        <v>75.518000000000001</v>
      </c>
      <c r="H161" s="52">
        <v>51.064999999999998</v>
      </c>
      <c r="I161" s="52"/>
      <c r="J161" s="52"/>
      <c r="K161" s="52"/>
      <c r="L161" s="52"/>
      <c r="M161" s="52"/>
      <c r="N161" s="52"/>
      <c r="O161" s="52"/>
      <c r="P161" s="52"/>
      <c r="Q161" s="52"/>
      <c r="R161" s="52"/>
      <c r="S161" s="52"/>
      <c r="T161" s="52">
        <f>Tabell6[[#This Row],[Såld värme (GWh)]]-Tabell6[[#This Row],[Levererad värme, andra fjärrvärmeförag, förag 1 (GWh)]]-Tabell6[[#This Row],[Levererad värme, andra fjärrvärmeförag, förag 2 (GWh)]]-Tabell6[[#This Row],[Levererad värme, andra fjärrvärmeförag, förag 3 (GWh)]]</f>
        <v>75.518000000000001</v>
      </c>
      <c r="U161" s="52" t="e">
        <f>VLOOKUP(Tabell6[[#This Row],[Nät]],Tabell5[],2,FALSE)</f>
        <v>#N/A</v>
      </c>
    </row>
    <row r="162" spans="1:21" ht="15" customHeight="1" x14ac:dyDescent="0.25">
      <c r="A162" t="s">
        <v>983</v>
      </c>
      <c r="B162" t="s">
        <v>188</v>
      </c>
      <c r="C162">
        <v>2018</v>
      </c>
      <c r="D162">
        <v>220.43</v>
      </c>
      <c r="E162">
        <v>89.14</v>
      </c>
      <c r="F162">
        <v>54.36</v>
      </c>
      <c r="G162">
        <v>12.98</v>
      </c>
      <c r="I162">
        <v>29.47</v>
      </c>
      <c r="J162">
        <v>34.11</v>
      </c>
      <c r="K162">
        <v>0.38</v>
      </c>
      <c r="T162">
        <f>Tabell6[[#This Row],[Såld värme (GWh)]]-Tabell6[[#This Row],[Levererad värme, andra fjärrvärmeförag, förag 1 (GWh)]]-Tabell6[[#This Row],[Levererad värme, andra fjärrvärmeförag, förag 2 (GWh)]]-Tabell6[[#This Row],[Levererad värme, andra fjärrvärmeförag, förag 3 (GWh)]]</f>
        <v>220.43</v>
      </c>
      <c r="U162" t="str">
        <f>VLOOKUP(Tabell6[[#This Row],[Nät]],Tabell5[],2,FALSE)</f>
        <v>Lidköping</v>
      </c>
    </row>
    <row r="163" spans="1:21" ht="15" customHeight="1" x14ac:dyDescent="0.25">
      <c r="A163" t="s">
        <v>1022</v>
      </c>
      <c r="B163" t="s">
        <v>1023</v>
      </c>
      <c r="C163">
        <v>2018</v>
      </c>
      <c r="D163">
        <v>12.323</v>
      </c>
      <c r="E163">
        <v>8.1609999999999996</v>
      </c>
      <c r="F163">
        <v>5.8999999999999997E-2</v>
      </c>
      <c r="I163">
        <v>4.05</v>
      </c>
      <c r="J163">
        <v>5.2999999999999999E-2</v>
      </c>
      <c r="N163" t="s">
        <v>805</v>
      </c>
      <c r="P163" t="s">
        <v>805</v>
      </c>
      <c r="R163" t="s">
        <v>805</v>
      </c>
      <c r="T163">
        <f>Tabell6[[#This Row],[Såld värme (GWh)]]-Tabell6[[#This Row],[Levererad värme, andra fjärrvärmeförag, förag 1 (GWh)]]-Tabell6[[#This Row],[Levererad värme, andra fjärrvärmeförag, förag 2 (GWh)]]-Tabell6[[#This Row],[Levererad värme, andra fjärrvärmeförag, förag 3 (GWh)]]</f>
        <v>12.323</v>
      </c>
      <c r="U163" t="str">
        <f>VLOOKUP(Tabell6[[#This Row],[Nät]],Tabell5[],2,FALSE)</f>
        <v>Lilla Edet</v>
      </c>
    </row>
    <row r="164" spans="1:21" ht="15" customHeight="1" x14ac:dyDescent="0.25">
      <c r="A164" t="s">
        <v>606</v>
      </c>
      <c r="B164" t="s">
        <v>191</v>
      </c>
      <c r="C164">
        <v>2018</v>
      </c>
      <c r="D164">
        <v>14.1</v>
      </c>
      <c r="E164">
        <v>4.8</v>
      </c>
      <c r="F164">
        <v>4.2</v>
      </c>
      <c r="G164">
        <v>0.46</v>
      </c>
      <c r="I164">
        <v>1</v>
      </c>
      <c r="J164">
        <v>3.7</v>
      </c>
      <c r="N164" t="s">
        <v>805</v>
      </c>
      <c r="P164" t="s">
        <v>805</v>
      </c>
      <c r="R164" t="s">
        <v>805</v>
      </c>
      <c r="T164">
        <f>Tabell6[[#This Row],[Såld värme (GWh)]]-Tabell6[[#This Row],[Levererad värme, andra fjärrvärmeförag, förag 1 (GWh)]]-Tabell6[[#This Row],[Levererad värme, andra fjärrvärmeförag, förag 2 (GWh)]]-Tabell6[[#This Row],[Levererad värme, andra fjärrvärmeförag, förag 3 (GWh)]]</f>
        <v>14.1</v>
      </c>
      <c r="U164" t="str">
        <f>VLOOKUP(Tabell6[[#This Row],[Nät]],Tabell5[],2,FALSE)</f>
        <v>Frövi</v>
      </c>
    </row>
    <row r="165" spans="1:21" ht="15" customHeight="1" x14ac:dyDescent="0.25">
      <c r="A165" t="s">
        <v>606</v>
      </c>
      <c r="B165" t="s">
        <v>930</v>
      </c>
      <c r="C165">
        <v>2018</v>
      </c>
      <c r="D165">
        <v>4.4000000000000004</v>
      </c>
      <c r="E165">
        <v>0.9</v>
      </c>
      <c r="G165">
        <v>3.3</v>
      </c>
      <c r="I165">
        <v>0.17</v>
      </c>
      <c r="N165" t="s">
        <v>805</v>
      </c>
      <c r="P165" t="s">
        <v>805</v>
      </c>
      <c r="R165" t="s">
        <v>805</v>
      </c>
      <c r="T165">
        <f>Tabell6[[#This Row],[Såld värme (GWh)]]-Tabell6[[#This Row],[Levererad värme, andra fjärrvärmeförag, förag 1 (GWh)]]-Tabell6[[#This Row],[Levererad värme, andra fjärrvärmeförag, förag 2 (GWh)]]-Tabell6[[#This Row],[Levererad värme, andra fjärrvärmeförag, förag 3 (GWh)]]</f>
        <v>4.4000000000000004</v>
      </c>
      <c r="U165" t="str">
        <f>VLOOKUP(Tabell6[[#This Row],[Nät]],Tabell5[],2,FALSE)</f>
        <v>Guldsmedhyttan</v>
      </c>
    </row>
    <row r="166" spans="1:21" ht="15" customHeight="1" x14ac:dyDescent="0.25">
      <c r="A166" t="s">
        <v>606</v>
      </c>
      <c r="B166" t="s">
        <v>190</v>
      </c>
      <c r="C166">
        <v>2018</v>
      </c>
      <c r="D166">
        <v>85</v>
      </c>
      <c r="E166">
        <v>31.5</v>
      </c>
      <c r="F166">
        <v>10.9</v>
      </c>
      <c r="G166">
        <v>18.2</v>
      </c>
      <c r="H166">
        <v>2.2000000000000002</v>
      </c>
      <c r="I166">
        <v>11.6</v>
      </c>
      <c r="J166">
        <v>13.9</v>
      </c>
      <c r="K166">
        <v>0.8</v>
      </c>
      <c r="N166" t="s">
        <v>805</v>
      </c>
      <c r="P166" t="s">
        <v>805</v>
      </c>
      <c r="R166" t="s">
        <v>805</v>
      </c>
      <c r="T166">
        <f>Tabell6[[#This Row],[Såld värme (GWh)]]-Tabell6[[#This Row],[Levererad värme, andra fjärrvärmeförag, förag 1 (GWh)]]-Tabell6[[#This Row],[Levererad värme, andra fjärrvärmeförag, förag 2 (GWh)]]-Tabell6[[#This Row],[Levererad värme, andra fjärrvärmeförag, förag 3 (GWh)]]</f>
        <v>85</v>
      </c>
      <c r="U166" t="str">
        <f>VLOOKUP(Tabell6[[#This Row],[Nät]],Tabell5[],2,FALSE)</f>
        <v>Lindesberg</v>
      </c>
    </row>
    <row r="167" spans="1:21" ht="15" customHeight="1" x14ac:dyDescent="0.25">
      <c r="A167" t="s">
        <v>606</v>
      </c>
      <c r="B167" t="s">
        <v>703</v>
      </c>
      <c r="C167">
        <v>2018</v>
      </c>
      <c r="N167" t="s">
        <v>805</v>
      </c>
      <c r="P167" t="s">
        <v>805</v>
      </c>
      <c r="R167" t="s">
        <v>805</v>
      </c>
      <c r="T167">
        <f>Tabell6[[#This Row],[Såld värme (GWh)]]-Tabell6[[#This Row],[Levererad värme, andra fjärrvärmeförag, förag 1 (GWh)]]-Tabell6[[#This Row],[Levererad värme, andra fjärrvärmeförag, förag 2 (GWh)]]-Tabell6[[#This Row],[Levererad värme, andra fjärrvärmeförag, förag 3 (GWh)]]</f>
        <v>0</v>
      </c>
    </row>
    <row r="168" spans="1:21" ht="15" customHeight="1" x14ac:dyDescent="0.25">
      <c r="A168" t="s">
        <v>606</v>
      </c>
      <c r="B168" t="s">
        <v>192</v>
      </c>
      <c r="C168">
        <v>2018</v>
      </c>
      <c r="D168">
        <v>3.8</v>
      </c>
      <c r="E168">
        <v>0.9</v>
      </c>
      <c r="G168">
        <v>2.2999999999999998</v>
      </c>
      <c r="I168">
        <v>0.2</v>
      </c>
      <c r="J168">
        <v>0.3</v>
      </c>
      <c r="N168" t="s">
        <v>805</v>
      </c>
      <c r="P168" t="s">
        <v>805</v>
      </c>
      <c r="R168" t="s">
        <v>805</v>
      </c>
      <c r="T168">
        <f>Tabell6[[#This Row],[Såld värme (GWh)]]-Tabell6[[#This Row],[Levererad värme, andra fjärrvärmeförag, förag 1 (GWh)]]-Tabell6[[#This Row],[Levererad värme, andra fjärrvärmeförag, förag 2 (GWh)]]-Tabell6[[#This Row],[Levererad värme, andra fjärrvärmeförag, förag 3 (GWh)]]</f>
        <v>3.8</v>
      </c>
      <c r="U168" t="str">
        <f>VLOOKUP(Tabell6[[#This Row],[Nät]],Tabell5[],2,FALSE)</f>
        <v>Vedevåg</v>
      </c>
    </row>
    <row r="169" spans="1:21" ht="15" customHeight="1" x14ac:dyDescent="0.25">
      <c r="A169" t="s">
        <v>663</v>
      </c>
      <c r="B169" t="s">
        <v>78</v>
      </c>
      <c r="C169">
        <v>2018</v>
      </c>
      <c r="D169">
        <v>142.9</v>
      </c>
      <c r="E169">
        <v>43.7</v>
      </c>
      <c r="F169">
        <v>31.1</v>
      </c>
      <c r="G169">
        <v>25.8</v>
      </c>
      <c r="I169">
        <v>16.399999999999999</v>
      </c>
      <c r="J169">
        <v>19.600000000000001</v>
      </c>
      <c r="K169">
        <v>0</v>
      </c>
      <c r="L169">
        <v>0</v>
      </c>
      <c r="M169">
        <v>0</v>
      </c>
      <c r="N169" t="s">
        <v>984</v>
      </c>
      <c r="O169">
        <v>3.5</v>
      </c>
      <c r="P169" t="s">
        <v>805</v>
      </c>
      <c r="R169" t="s">
        <v>805</v>
      </c>
      <c r="T169">
        <f>Tabell6[[#This Row],[Såld värme (GWh)]]-Tabell6[[#This Row],[Levererad värme, andra fjärrvärmeförag, förag 1 (GWh)]]-Tabell6[[#This Row],[Levererad värme, andra fjärrvärmeförag, förag 2 (GWh)]]-Tabell6[[#This Row],[Levererad värme, andra fjärrvärmeförag, förag 3 (GWh)]]</f>
        <v>139.4</v>
      </c>
      <c r="U169" t="str">
        <f>VLOOKUP(Tabell6[[#This Row],[Nät]],Tabell5[],2,FALSE)</f>
        <v>Ljungby</v>
      </c>
    </row>
    <row r="170" spans="1:21" ht="15" customHeight="1" x14ac:dyDescent="0.25">
      <c r="A170" t="s">
        <v>608</v>
      </c>
      <c r="B170" t="s">
        <v>194</v>
      </c>
      <c r="C170">
        <v>2018</v>
      </c>
      <c r="D170">
        <v>8.1</v>
      </c>
      <c r="E170">
        <v>3</v>
      </c>
      <c r="F170">
        <v>0.8</v>
      </c>
      <c r="G170">
        <v>0.2</v>
      </c>
      <c r="H170">
        <v>0</v>
      </c>
      <c r="I170">
        <v>1.7</v>
      </c>
      <c r="J170">
        <v>2.4</v>
      </c>
      <c r="K170">
        <v>0</v>
      </c>
      <c r="L170">
        <v>0</v>
      </c>
      <c r="M170">
        <v>0</v>
      </c>
      <c r="N170" t="s">
        <v>805</v>
      </c>
      <c r="P170" t="s">
        <v>805</v>
      </c>
      <c r="R170" t="s">
        <v>805</v>
      </c>
      <c r="T170">
        <f>Tabell6[[#This Row],[Såld värme (GWh)]]-Tabell6[[#This Row],[Levererad värme, andra fjärrvärmeförag, förag 1 (GWh)]]-Tabell6[[#This Row],[Levererad värme, andra fjärrvärmeförag, förag 2 (GWh)]]-Tabell6[[#This Row],[Levererad värme, andra fjärrvärmeförag, förag 3 (GWh)]]</f>
        <v>8.1</v>
      </c>
      <c r="U170" t="str">
        <f>VLOOKUP(Tabell6[[#This Row],[Nät]],Tabell5[],2,FALSE)</f>
        <v>Färila</v>
      </c>
    </row>
    <row r="171" spans="1:21" ht="15" customHeight="1" x14ac:dyDescent="0.25">
      <c r="A171" t="s">
        <v>608</v>
      </c>
      <c r="B171" t="s">
        <v>195</v>
      </c>
      <c r="C171">
        <v>2018</v>
      </c>
      <c r="D171">
        <v>10.5</v>
      </c>
      <c r="E171">
        <v>4.4000000000000004</v>
      </c>
      <c r="F171">
        <v>1.2</v>
      </c>
      <c r="G171">
        <v>2.1</v>
      </c>
      <c r="H171">
        <v>0</v>
      </c>
      <c r="I171">
        <v>1.4</v>
      </c>
      <c r="J171">
        <v>1.4</v>
      </c>
      <c r="K171">
        <v>0</v>
      </c>
      <c r="L171">
        <v>0</v>
      </c>
      <c r="M171">
        <v>0</v>
      </c>
      <c r="N171" t="s">
        <v>805</v>
      </c>
      <c r="P171" t="s">
        <v>805</v>
      </c>
      <c r="R171" t="s">
        <v>805</v>
      </c>
      <c r="T171">
        <f>Tabell6[[#This Row],[Såld värme (GWh)]]-Tabell6[[#This Row],[Levererad värme, andra fjärrvärmeförag, förag 1 (GWh)]]-Tabell6[[#This Row],[Levererad värme, andra fjärrvärmeförag, förag 2 (GWh)]]-Tabell6[[#This Row],[Levererad värme, andra fjärrvärmeförag, förag 3 (GWh)]]</f>
        <v>10.5</v>
      </c>
      <c r="U171" t="str">
        <f>VLOOKUP(Tabell6[[#This Row],[Nät]],Tabell5[],2,FALSE)</f>
        <v>Järvsö</v>
      </c>
    </row>
    <row r="172" spans="1:21" ht="15" customHeight="1" x14ac:dyDescent="0.25">
      <c r="A172" t="s">
        <v>608</v>
      </c>
      <c r="B172" t="s">
        <v>193</v>
      </c>
      <c r="C172">
        <v>2018</v>
      </c>
      <c r="D172">
        <v>63.1</v>
      </c>
      <c r="E172">
        <v>28.4</v>
      </c>
      <c r="F172">
        <v>8.9</v>
      </c>
      <c r="G172">
        <v>3.3</v>
      </c>
      <c r="H172">
        <v>0</v>
      </c>
      <c r="I172">
        <v>9.6999999999999993</v>
      </c>
      <c r="J172">
        <v>12.5</v>
      </c>
      <c r="K172">
        <v>0</v>
      </c>
      <c r="L172">
        <v>0.3</v>
      </c>
      <c r="M172">
        <v>0</v>
      </c>
      <c r="N172" t="s">
        <v>805</v>
      </c>
      <c r="P172" t="s">
        <v>805</v>
      </c>
      <c r="R172" t="s">
        <v>805</v>
      </c>
      <c r="T172">
        <f>Tabell6[[#This Row],[Såld värme (GWh)]]-Tabell6[[#This Row],[Levererad värme, andra fjärrvärmeförag, förag 1 (GWh)]]-Tabell6[[#This Row],[Levererad värme, andra fjärrvärmeförag, förag 2 (GWh)]]-Tabell6[[#This Row],[Levererad värme, andra fjärrvärmeförag, förag 3 (GWh)]]</f>
        <v>63.1</v>
      </c>
      <c r="U172" t="str">
        <f>VLOOKUP(Tabell6[[#This Row],[Nät]],Tabell5[],2,FALSE)</f>
        <v>Ljusdal</v>
      </c>
    </row>
    <row r="173" spans="1:21" ht="15" customHeight="1" x14ac:dyDescent="0.25">
      <c r="A173" t="s">
        <v>667</v>
      </c>
      <c r="B173" t="s">
        <v>196</v>
      </c>
      <c r="C173">
        <v>2018</v>
      </c>
      <c r="D173">
        <v>789.2</v>
      </c>
      <c r="E173">
        <v>265</v>
      </c>
      <c r="F173">
        <v>201.3</v>
      </c>
      <c r="G173">
        <v>7</v>
      </c>
      <c r="I173">
        <v>99.1</v>
      </c>
      <c r="J173">
        <v>152.5</v>
      </c>
      <c r="K173">
        <v>7.4</v>
      </c>
      <c r="L173">
        <v>0.9</v>
      </c>
      <c r="M173">
        <v>56</v>
      </c>
      <c r="N173" t="s">
        <v>805</v>
      </c>
      <c r="P173" t="s">
        <v>805</v>
      </c>
      <c r="R173" t="s">
        <v>805</v>
      </c>
      <c r="T173">
        <f>Tabell6[[#This Row],[Såld värme (GWh)]]-Tabell6[[#This Row],[Levererad värme, andra fjärrvärmeförag, förag 1 (GWh)]]-Tabell6[[#This Row],[Levererad värme, andra fjärrvärmeförag, förag 2 (GWh)]]-Tabell6[[#This Row],[Levererad värme, andra fjärrvärmeförag, förag 3 (GWh)]]</f>
        <v>789.2</v>
      </c>
      <c r="U173" t="str">
        <f>VLOOKUP(Tabell6[[#This Row],[Nät]],Tabell5[],2,FALSE)</f>
        <v>Luleå</v>
      </c>
    </row>
    <row r="174" spans="1:21" ht="15" customHeight="1" x14ac:dyDescent="0.25">
      <c r="A174" s="52" t="s">
        <v>667</v>
      </c>
      <c r="B174" s="52" t="s">
        <v>860</v>
      </c>
      <c r="C174" s="52">
        <v>2018</v>
      </c>
      <c r="D174" s="52">
        <v>6.14</v>
      </c>
      <c r="E174" s="52"/>
      <c r="F174" s="52"/>
      <c r="G174" s="52"/>
      <c r="H174" s="52"/>
      <c r="I174" s="52">
        <v>1.18</v>
      </c>
      <c r="J174" s="52">
        <v>4.96</v>
      </c>
      <c r="K174" s="52"/>
      <c r="L174" s="52"/>
      <c r="M174" s="52"/>
      <c r="N174" s="52" t="s">
        <v>805</v>
      </c>
      <c r="O174" s="52"/>
      <c r="P174" s="52" t="s">
        <v>805</v>
      </c>
      <c r="Q174" s="52"/>
      <c r="R174" s="52" t="s">
        <v>805</v>
      </c>
      <c r="S174" s="52"/>
      <c r="T174" s="52">
        <f>Tabell6[[#This Row],[Såld värme (GWh)]]-Tabell6[[#This Row],[Levererad värme, andra fjärrvärmeförag, förag 1 (GWh)]]-Tabell6[[#This Row],[Levererad värme, andra fjärrvärmeförag, förag 2 (GWh)]]-Tabell6[[#This Row],[Levererad värme, andra fjärrvärmeförag, förag 3 (GWh)]]</f>
        <v>6.14</v>
      </c>
      <c r="U174" s="52" t="e">
        <f>VLOOKUP(Tabell6[[#This Row],[Nät]],Tabell5[],2,FALSE)</f>
        <v>#N/A</v>
      </c>
    </row>
    <row r="175" spans="1:21" ht="15" customHeight="1" x14ac:dyDescent="0.25">
      <c r="A175" t="s">
        <v>667</v>
      </c>
      <c r="B175" t="s">
        <v>197</v>
      </c>
      <c r="C175">
        <v>2018</v>
      </c>
      <c r="D175">
        <v>22.4</v>
      </c>
      <c r="E175">
        <v>4.9000000000000004</v>
      </c>
      <c r="F175">
        <v>11.6</v>
      </c>
      <c r="I175">
        <v>4.0999999999999996</v>
      </c>
      <c r="J175">
        <v>1.8</v>
      </c>
      <c r="N175" t="s">
        <v>805</v>
      </c>
      <c r="P175" t="s">
        <v>805</v>
      </c>
      <c r="R175" t="s">
        <v>805</v>
      </c>
      <c r="T175">
        <f>Tabell6[[#This Row],[Såld värme (GWh)]]-Tabell6[[#This Row],[Levererad värme, andra fjärrvärmeförag, förag 1 (GWh)]]-Tabell6[[#This Row],[Levererad värme, andra fjärrvärmeförag, förag 2 (GWh)]]-Tabell6[[#This Row],[Levererad värme, andra fjärrvärmeförag, förag 3 (GWh)]]</f>
        <v>22.4</v>
      </c>
      <c r="U175" t="str">
        <f>VLOOKUP(Tabell6[[#This Row],[Nät]],Tabell5[],2,FALSE)</f>
        <v>Råneå</v>
      </c>
    </row>
    <row r="176" spans="1:21" ht="15" customHeight="1" x14ac:dyDescent="0.25">
      <c r="A176" t="s">
        <v>671</v>
      </c>
      <c r="B176" t="s">
        <v>201</v>
      </c>
      <c r="C176">
        <v>2018</v>
      </c>
      <c r="D176">
        <v>27</v>
      </c>
      <c r="E176">
        <v>7.6</v>
      </c>
      <c r="G176">
        <v>6.2</v>
      </c>
      <c r="I176">
        <v>8.6999999999999993</v>
      </c>
      <c r="J176">
        <v>4.5999999999999996</v>
      </c>
      <c r="N176" t="s">
        <v>805</v>
      </c>
      <c r="P176" t="s">
        <v>805</v>
      </c>
      <c r="R176" t="s">
        <v>805</v>
      </c>
      <c r="T176">
        <f>Tabell6[[#This Row],[Såld värme (GWh)]]-Tabell6[[#This Row],[Levererad värme, andra fjärrvärmeförag, förag 1 (GWh)]]-Tabell6[[#This Row],[Levererad värme, andra fjärrvärmeförag, förag 2 (GWh)]]-Tabell6[[#This Row],[Levererad värme, andra fjärrvärmeförag, förag 3 (GWh)]]</f>
        <v>27</v>
      </c>
      <c r="U176" t="str">
        <f>VLOOKUP(Tabell6[[#This Row],[Nät]],Tabell5[],2,FALSE)</f>
        <v>Malung</v>
      </c>
    </row>
    <row r="177" spans="1:22" ht="15" customHeight="1" x14ac:dyDescent="0.25">
      <c r="A177" t="s">
        <v>557</v>
      </c>
      <c r="B177" t="s">
        <v>861</v>
      </c>
      <c r="C177">
        <v>2018</v>
      </c>
      <c r="D177">
        <v>93.07</v>
      </c>
      <c r="E177">
        <v>37.4</v>
      </c>
      <c r="F177">
        <v>11.45</v>
      </c>
      <c r="G177">
        <v>15.62</v>
      </c>
      <c r="H177">
        <v>7.19</v>
      </c>
      <c r="I177">
        <v>16.149999999999999</v>
      </c>
      <c r="J177">
        <v>13.02</v>
      </c>
      <c r="T177">
        <f>Tabell6[[#This Row],[Såld värme (GWh)]]-Tabell6[[#This Row],[Levererad värme, andra fjärrvärmeförag, förag 1 (GWh)]]-Tabell6[[#This Row],[Levererad värme, andra fjärrvärmeförag, förag 2 (GWh)]]-Tabell6[[#This Row],[Levererad värme, andra fjärrvärmeförag, förag 3 (GWh)]]</f>
        <v>93.07</v>
      </c>
      <c r="U177" t="str">
        <f>VLOOKUP(Tabell6[[#This Row],[Nät]],Tabell5[],2,FALSE)</f>
        <v>Assberg - Fritslanäten</v>
      </c>
    </row>
    <row r="178" spans="1:22" ht="15" customHeight="1" x14ac:dyDescent="0.25">
      <c r="A178" t="s">
        <v>557</v>
      </c>
      <c r="B178" t="s">
        <v>772</v>
      </c>
      <c r="C178">
        <v>2018</v>
      </c>
      <c r="D178">
        <v>1.226</v>
      </c>
      <c r="E178">
        <v>0.66200000000000003</v>
      </c>
      <c r="I178">
        <v>0.56399999999999995</v>
      </c>
      <c r="T178">
        <f>Tabell6[[#This Row],[Såld värme (GWh)]]-Tabell6[[#This Row],[Levererad värme, andra fjärrvärmeförag, förag 1 (GWh)]]-Tabell6[[#This Row],[Levererad värme, andra fjärrvärmeförag, förag 2 (GWh)]]-Tabell6[[#This Row],[Levererad värme, andra fjärrvärmeförag, förag 3 (GWh)]]</f>
        <v>1.226</v>
      </c>
      <c r="U178" t="str">
        <f>VLOOKUP(Tabell6[[#This Row],[Nät]],Tabell5[],2,FALSE)</f>
        <v>Hyssna</v>
      </c>
    </row>
    <row r="179" spans="1:22" ht="15" customHeight="1" x14ac:dyDescent="0.25">
      <c r="A179" t="s">
        <v>673</v>
      </c>
      <c r="B179" t="s">
        <v>205</v>
      </c>
      <c r="C179">
        <v>2018</v>
      </c>
      <c r="D179">
        <v>176.1</v>
      </c>
      <c r="E179">
        <v>63.5</v>
      </c>
      <c r="F179">
        <v>37.700000000000003</v>
      </c>
      <c r="G179">
        <v>28.4</v>
      </c>
      <c r="I179">
        <v>23.8</v>
      </c>
      <c r="J179">
        <v>22.2</v>
      </c>
      <c r="K179">
        <v>0.2</v>
      </c>
      <c r="N179" t="s">
        <v>985</v>
      </c>
      <c r="O179">
        <v>0.22</v>
      </c>
      <c r="P179" t="s">
        <v>962</v>
      </c>
      <c r="R179" t="s">
        <v>962</v>
      </c>
      <c r="T179">
        <f>Tabell6[[#This Row],[Såld värme (GWh)]]-Tabell6[[#This Row],[Levererad värme, andra fjärrvärmeförag, förag 1 (GWh)]]-Tabell6[[#This Row],[Levererad värme, andra fjärrvärmeförag, förag 2 (GWh)]]-Tabell6[[#This Row],[Levererad värme, andra fjärrvärmeförag, förag 3 (GWh)]]</f>
        <v>175.88</v>
      </c>
      <c r="U179" t="str">
        <f>VLOOKUP(Tabell6[[#This Row],[Nät]],Tabell5[],2,FALSE)</f>
        <v>Mjölby</v>
      </c>
    </row>
    <row r="180" spans="1:22" ht="15" customHeight="1" x14ac:dyDescent="0.25">
      <c r="A180" t="s">
        <v>674</v>
      </c>
      <c r="B180" t="s">
        <v>493</v>
      </c>
      <c r="C180">
        <v>2018</v>
      </c>
      <c r="D180">
        <v>17.8</v>
      </c>
      <c r="E180">
        <v>6.4</v>
      </c>
      <c r="F180">
        <v>3.3</v>
      </c>
      <c r="G180">
        <v>2.1</v>
      </c>
      <c r="H180">
        <v>0</v>
      </c>
      <c r="I180">
        <v>5.3</v>
      </c>
      <c r="J180">
        <v>0.7</v>
      </c>
      <c r="K180">
        <v>0</v>
      </c>
      <c r="N180" t="s">
        <v>805</v>
      </c>
      <c r="P180" t="s">
        <v>805</v>
      </c>
      <c r="R180" t="s">
        <v>805</v>
      </c>
      <c r="T180">
        <f>Tabell6[[#This Row],[Såld värme (GWh)]]-Tabell6[[#This Row],[Levererad värme, andra fjärrvärmeförag, förag 1 (GWh)]]-Tabell6[[#This Row],[Levererad värme, andra fjärrvärmeförag, förag 2 (GWh)]]-Tabell6[[#This Row],[Levererad värme, andra fjärrvärmeförag, förag 3 (GWh)]]</f>
        <v>17.8</v>
      </c>
      <c r="U180" t="str">
        <f>VLOOKUP(Tabell6[[#This Row],[Nät]],Tabell5[],2,FALSE)</f>
        <v>Mullsjö</v>
      </c>
    </row>
    <row r="181" spans="1:22" ht="15" customHeight="1" x14ac:dyDescent="0.25">
      <c r="A181" t="s">
        <v>675</v>
      </c>
      <c r="B181" t="s">
        <v>206</v>
      </c>
      <c r="C181">
        <v>2018</v>
      </c>
      <c r="T181">
        <f>Tabell6[[#This Row],[Såld värme (GWh)]]-Tabell6[[#This Row],[Levererad värme, andra fjärrvärmeförag, förag 1 (GWh)]]-Tabell6[[#This Row],[Levererad värme, andra fjärrvärmeförag, förag 2 (GWh)]]-Tabell6[[#This Row],[Levererad värme, andra fjärrvärmeförag, förag 3 (GWh)]]</f>
        <v>0</v>
      </c>
      <c r="U181" t="str">
        <f>VLOOKUP(Tabell6[[#This Row],[Nät]],Tabell5[],2,FALSE)</f>
        <v>Munkfors</v>
      </c>
    </row>
    <row r="182" spans="1:22" ht="15" customHeight="1" x14ac:dyDescent="0.25">
      <c r="A182" t="s">
        <v>620</v>
      </c>
      <c r="B182" t="s">
        <v>209</v>
      </c>
      <c r="C182">
        <v>2018</v>
      </c>
      <c r="D182">
        <v>37.799999999999997</v>
      </c>
      <c r="E182">
        <v>14.8</v>
      </c>
      <c r="F182">
        <v>4.8</v>
      </c>
      <c r="G182">
        <v>9</v>
      </c>
      <c r="I182">
        <v>8.4</v>
      </c>
      <c r="J182">
        <v>0.7</v>
      </c>
      <c r="L182">
        <v>0.1</v>
      </c>
      <c r="N182" t="s">
        <v>805</v>
      </c>
      <c r="P182" t="s">
        <v>805</v>
      </c>
      <c r="R182" t="s">
        <v>805</v>
      </c>
      <c r="T182">
        <f>Tabell6[[#This Row],[Såld värme (GWh)]]-Tabell6[[#This Row],[Levererad värme, andra fjärrvärmeförag, förag 1 (GWh)]]-Tabell6[[#This Row],[Levererad värme, andra fjärrvärmeförag, förag 2 (GWh)]]-Tabell6[[#This Row],[Levererad värme, andra fjärrvärmeförag, förag 3 (GWh)]]</f>
        <v>37.799999999999997</v>
      </c>
      <c r="U182" t="str">
        <f>VLOOKUP(Tabell6[[#This Row],[Nät]],Tabell5[],2,FALSE)</f>
        <v>Kungsör</v>
      </c>
    </row>
    <row r="183" spans="1:22" ht="15" customHeight="1" x14ac:dyDescent="0.25">
      <c r="A183" t="s">
        <v>620</v>
      </c>
      <c r="B183" t="s">
        <v>296</v>
      </c>
      <c r="C183">
        <v>2018</v>
      </c>
      <c r="N183" t="s">
        <v>805</v>
      </c>
      <c r="P183" t="s">
        <v>805</v>
      </c>
      <c r="R183" t="s">
        <v>805</v>
      </c>
      <c r="T183">
        <f>Tabell6[[#This Row],[Såld värme (GWh)]]-Tabell6[[#This Row],[Levererad värme, andra fjärrvärmeförag, förag 1 (GWh)]]-Tabell6[[#This Row],[Levererad värme, andra fjärrvärmeförag, förag 2 (GWh)]]-Tabell6[[#This Row],[Levererad värme, andra fjärrvärmeförag, förag 3 (GWh)]]</f>
        <v>0</v>
      </c>
      <c r="U183" t="str">
        <f>VLOOKUP(Tabell6[[#This Row],[Nät]],Tabell5[],2,FALSE)</f>
        <v>Surahammar</v>
      </c>
    </row>
    <row r="184" spans="1:22" ht="15" customHeight="1" x14ac:dyDescent="0.25">
      <c r="A184" t="s">
        <v>620</v>
      </c>
      <c r="B184" t="s">
        <v>207</v>
      </c>
      <c r="C184">
        <v>2018</v>
      </c>
      <c r="D184">
        <v>1419.33</v>
      </c>
      <c r="E184">
        <v>538.6</v>
      </c>
      <c r="F184">
        <v>276.8</v>
      </c>
      <c r="G184">
        <v>118.3</v>
      </c>
      <c r="H184">
        <v>9.3000000000000007</v>
      </c>
      <c r="I184">
        <v>189.1</v>
      </c>
      <c r="J184">
        <v>199.5</v>
      </c>
      <c r="K184">
        <v>25.7</v>
      </c>
      <c r="L184">
        <v>96.6</v>
      </c>
      <c r="N184" t="s">
        <v>805</v>
      </c>
      <c r="P184" t="s">
        <v>805</v>
      </c>
      <c r="R184" t="s">
        <v>805</v>
      </c>
      <c r="T184">
        <f>Tabell6[[#This Row],[Såld värme (GWh)]]-Tabell6[[#This Row],[Levererad värme, andra fjärrvärmeförag, förag 1 (GWh)]]-Tabell6[[#This Row],[Levererad värme, andra fjärrvärmeförag, förag 2 (GWh)]]-Tabell6[[#This Row],[Levererad värme, andra fjärrvärmeförag, förag 3 (GWh)]]</f>
        <v>1419.33</v>
      </c>
      <c r="U184" t="str">
        <f>VLOOKUP(Tabell6[[#This Row],[Nät]],Tabell5[],2,FALSE)</f>
        <v>Västerås</v>
      </c>
    </row>
    <row r="185" spans="1:22" ht="15" customHeight="1" x14ac:dyDescent="0.25">
      <c r="A185" s="52" t="s">
        <v>620</v>
      </c>
      <c r="B185" s="52" t="s">
        <v>790</v>
      </c>
      <c r="C185" s="52">
        <v>2018</v>
      </c>
      <c r="D185" s="52">
        <v>46.040999999999997</v>
      </c>
      <c r="E185" s="52">
        <v>1.0029999999999999</v>
      </c>
      <c r="F185" s="52"/>
      <c r="G185" s="52">
        <v>0.29599999999999999</v>
      </c>
      <c r="H185" s="52"/>
      <c r="I185" s="52">
        <v>29.364999999999998</v>
      </c>
      <c r="J185" s="52">
        <v>15.377000000000001</v>
      </c>
      <c r="K185" s="52"/>
      <c r="L185" s="52"/>
      <c r="M185" s="52"/>
      <c r="N185" s="52" t="s">
        <v>805</v>
      </c>
      <c r="O185" s="52"/>
      <c r="P185" s="52" t="s">
        <v>805</v>
      </c>
      <c r="Q185" s="52"/>
      <c r="R185" s="52" t="s">
        <v>805</v>
      </c>
      <c r="S185" s="52"/>
      <c r="T185" s="52">
        <f>Tabell6[[#This Row],[Såld värme (GWh)]]-Tabell6[[#This Row],[Levererad värme, andra fjärrvärmeförag, förag 1 (GWh)]]-Tabell6[[#This Row],[Levererad värme, andra fjärrvärmeförag, förag 2 (GWh)]]-Tabell6[[#This Row],[Levererad värme, andra fjärrvärmeförag, förag 3 (GWh)]]</f>
        <v>46.040999999999997</v>
      </c>
      <c r="U185" s="52" t="e">
        <f>VLOOKUP(Tabell6[[#This Row],[Nät]],Tabell5[],2,FALSE)</f>
        <v>#N/A</v>
      </c>
    </row>
    <row r="186" spans="1:22" ht="15" customHeight="1" x14ac:dyDescent="0.25">
      <c r="A186" t="s">
        <v>676</v>
      </c>
      <c r="B186" t="s">
        <v>210</v>
      </c>
      <c r="C186">
        <v>2018</v>
      </c>
      <c r="D186">
        <v>322.29599999999999</v>
      </c>
      <c r="E186">
        <v>125.06</v>
      </c>
      <c r="F186">
        <v>18.978000000000002</v>
      </c>
      <c r="G186">
        <v>24.914000000000001</v>
      </c>
      <c r="I186">
        <v>42.838000000000001</v>
      </c>
      <c r="J186">
        <v>64.977000000000004</v>
      </c>
      <c r="K186">
        <v>0.13300000000000001</v>
      </c>
      <c r="L186">
        <v>5.5670000000000002</v>
      </c>
      <c r="N186" t="s">
        <v>986</v>
      </c>
      <c r="O186">
        <v>98.918999999999997</v>
      </c>
      <c r="P186" t="s">
        <v>805</v>
      </c>
      <c r="R186" t="s">
        <v>805</v>
      </c>
      <c r="T186">
        <f>Tabell6[[#This Row],[Såld värme (GWh)]]-Tabell6[[#This Row],[Levererad värme, andra fjärrvärmeförag, förag 1 (GWh)]]-Tabell6[[#This Row],[Levererad värme, andra fjärrvärmeförag, förag 2 (GWh)]]-Tabell6[[#This Row],[Levererad värme, andra fjärrvärmeförag, förag 3 (GWh)]]</f>
        <v>223.37700000000001</v>
      </c>
      <c r="U186" t="str">
        <f>VLOOKUP(Tabell6[[#This Row],[Nät]],Tabell5[],2,FALSE)</f>
        <v>Mölndal</v>
      </c>
    </row>
    <row r="187" spans="1:22" ht="15" customHeight="1" x14ac:dyDescent="0.25">
      <c r="A187" s="52" t="s">
        <v>676</v>
      </c>
      <c r="B187" s="52" t="s">
        <v>1024</v>
      </c>
      <c r="C187" s="52">
        <v>2018</v>
      </c>
      <c r="D187" s="52">
        <v>48.192</v>
      </c>
      <c r="E187" s="52"/>
      <c r="F187" s="52"/>
      <c r="G187" s="52"/>
      <c r="H187" s="52"/>
      <c r="I187" s="52"/>
      <c r="J187" s="52"/>
      <c r="K187" s="52"/>
      <c r="L187" s="52"/>
      <c r="M187" s="52"/>
      <c r="N187" s="52" t="s">
        <v>805</v>
      </c>
      <c r="O187" s="52"/>
      <c r="P187" s="52" t="s">
        <v>805</v>
      </c>
      <c r="Q187" s="52"/>
      <c r="R187" s="52" t="s">
        <v>805</v>
      </c>
      <c r="S187" s="52"/>
      <c r="T187" s="52">
        <f>Tabell6[[#This Row],[Såld värme (GWh)]]-Tabell6[[#This Row],[Levererad värme, andra fjärrvärmeförag, förag 1 (GWh)]]-Tabell6[[#This Row],[Levererad värme, andra fjärrvärmeförag, förag 2 (GWh)]]-Tabell6[[#This Row],[Levererad värme, andra fjärrvärmeförag, förag 3 (GWh)]]</f>
        <v>48.192</v>
      </c>
      <c r="U187" s="52" t="e">
        <f>VLOOKUP(Tabell6[[#This Row],[Nät]],Tabell5[],2,FALSE)</f>
        <v>#N/A</v>
      </c>
    </row>
    <row r="188" spans="1:22" ht="15" customHeight="1" x14ac:dyDescent="0.25">
      <c r="A188" s="52" t="s">
        <v>676</v>
      </c>
      <c r="B188" s="52" t="s">
        <v>677</v>
      </c>
      <c r="C188" s="52">
        <v>2018</v>
      </c>
      <c r="D188" s="52">
        <v>10.904</v>
      </c>
      <c r="E188" s="52"/>
      <c r="F188" s="52"/>
      <c r="G188" s="52"/>
      <c r="H188" s="52"/>
      <c r="I188" s="52"/>
      <c r="J188" s="52"/>
      <c r="K188" s="52"/>
      <c r="L188" s="52"/>
      <c r="M188" s="52"/>
      <c r="N188" s="52" t="s">
        <v>805</v>
      </c>
      <c r="O188" s="52"/>
      <c r="P188" s="52" t="s">
        <v>805</v>
      </c>
      <c r="Q188" s="52"/>
      <c r="R188" s="52" t="s">
        <v>805</v>
      </c>
      <c r="S188" s="52"/>
      <c r="T188" s="52">
        <f>Tabell6[[#This Row],[Såld värme (GWh)]]-Tabell6[[#This Row],[Levererad värme, andra fjärrvärmeförag, förag 1 (GWh)]]-Tabell6[[#This Row],[Levererad värme, andra fjärrvärmeförag, förag 2 (GWh)]]-Tabell6[[#This Row],[Levererad värme, andra fjärrvärmeförag, förag 3 (GWh)]]</f>
        <v>10.904</v>
      </c>
      <c r="U188" s="52" t="e">
        <f>VLOOKUP(Tabell6[[#This Row],[Nät]],Tabell5[],2,FALSE)</f>
        <v>#N/A</v>
      </c>
    </row>
    <row r="189" spans="1:22" s="23" customFormat="1" ht="15" customHeight="1" x14ac:dyDescent="0.25">
      <c r="A189" s="23" t="s">
        <v>864</v>
      </c>
      <c r="B189" s="23" t="s">
        <v>987</v>
      </c>
      <c r="C189" s="23">
        <v>2018</v>
      </c>
      <c r="D189" s="23">
        <v>3.2170000000000001</v>
      </c>
      <c r="E189" s="23">
        <v>3.2170000000000001</v>
      </c>
      <c r="F189" s="23">
        <v>0</v>
      </c>
      <c r="G189" s="23">
        <v>0</v>
      </c>
      <c r="H189" s="23">
        <v>0</v>
      </c>
      <c r="I189" s="23">
        <v>0</v>
      </c>
      <c r="J189" s="23">
        <v>0</v>
      </c>
      <c r="K189" s="23">
        <v>0</v>
      </c>
      <c r="L189" s="23">
        <v>0</v>
      </c>
      <c r="M189" s="23">
        <v>0</v>
      </c>
      <c r="N189" s="23" t="s">
        <v>805</v>
      </c>
      <c r="P189" s="23" t="s">
        <v>805</v>
      </c>
      <c r="R189" s="23" t="s">
        <v>805</v>
      </c>
      <c r="T189" s="23">
        <f>Tabell6[[#This Row],[Såld värme (GWh)]]-Tabell6[[#This Row],[Levererad värme, andra fjärrvärmeförag, förag 1 (GWh)]]-Tabell6[[#This Row],[Levererad värme, andra fjärrvärmeförag, förag 2 (GWh)]]-Tabell6[[#This Row],[Levererad värme, andra fjärrvärmeförag, förag 3 (GWh)]]</f>
        <v>3.2170000000000001</v>
      </c>
      <c r="U189" s="23" t="str">
        <f>VLOOKUP(Tabell6[[#This Row],[Nät]],Tabell5[],2,FALSE)</f>
        <v>Billesholm</v>
      </c>
      <c r="V189" s="23" t="s">
        <v>1055</v>
      </c>
    </row>
    <row r="190" spans="1:22" ht="15" customHeight="1" x14ac:dyDescent="0.25">
      <c r="A190" t="s">
        <v>864</v>
      </c>
      <c r="B190" t="s">
        <v>213</v>
      </c>
      <c r="C190">
        <v>2018</v>
      </c>
      <c r="D190">
        <v>22.4</v>
      </c>
      <c r="E190">
        <v>14.048999999999999</v>
      </c>
      <c r="F190">
        <v>0.45800000000000002</v>
      </c>
      <c r="G190">
        <v>0</v>
      </c>
      <c r="H190">
        <v>0</v>
      </c>
      <c r="I190">
        <v>3.8740000000000001</v>
      </c>
      <c r="J190">
        <v>1.8879999999999999</v>
      </c>
      <c r="K190">
        <v>0</v>
      </c>
      <c r="L190">
        <v>0</v>
      </c>
      <c r="M190">
        <v>2.1309999999999998</v>
      </c>
      <c r="N190" t="s">
        <v>805</v>
      </c>
      <c r="P190" t="s">
        <v>805</v>
      </c>
      <c r="R190" t="s">
        <v>805</v>
      </c>
      <c r="T190">
        <f>Tabell6[[#This Row],[Såld värme (GWh)]]-Tabell6[[#This Row],[Levererad värme, andra fjärrvärmeförag, förag 1 (GWh)]]-Tabell6[[#This Row],[Levererad värme, andra fjärrvärmeförag, förag 2 (GWh)]]-Tabell6[[#This Row],[Levererad värme, andra fjärrvärmeförag, förag 3 (GWh)]]</f>
        <v>22.4</v>
      </c>
      <c r="U190" t="str">
        <f>VLOOKUP(Tabell6[[#This Row],[Nät]],Tabell5[],2,FALSE)</f>
        <v>Bjuv</v>
      </c>
    </row>
    <row r="191" spans="1:22" ht="15" customHeight="1" x14ac:dyDescent="0.25">
      <c r="A191" t="s">
        <v>864</v>
      </c>
      <c r="B191" t="s">
        <v>214</v>
      </c>
      <c r="C191">
        <v>2018</v>
      </c>
      <c r="D191">
        <v>12.478999999999999</v>
      </c>
      <c r="E191">
        <v>6.1079999999999997</v>
      </c>
      <c r="F191">
        <v>1.9E-2</v>
      </c>
      <c r="G191">
        <v>0</v>
      </c>
      <c r="H191">
        <v>0</v>
      </c>
      <c r="I191">
        <v>4.1580000000000004</v>
      </c>
      <c r="J191">
        <v>0.81599999999999995</v>
      </c>
      <c r="K191">
        <v>0.246</v>
      </c>
      <c r="L191">
        <v>0</v>
      </c>
      <c r="M191">
        <v>1.1299999999999999</v>
      </c>
      <c r="N191" t="s">
        <v>805</v>
      </c>
      <c r="P191" t="s">
        <v>805</v>
      </c>
      <c r="R191" t="s">
        <v>805</v>
      </c>
      <c r="T191">
        <f>Tabell6[[#This Row],[Såld värme (GWh)]]-Tabell6[[#This Row],[Levererad värme, andra fjärrvärmeförag, förag 1 (GWh)]]-Tabell6[[#This Row],[Levererad värme, andra fjärrvärmeförag, förag 2 (GWh)]]-Tabell6[[#This Row],[Levererad värme, andra fjärrvärmeförag, förag 3 (GWh)]]</f>
        <v>12.478999999999999</v>
      </c>
      <c r="U191" t="str">
        <f>VLOOKUP(Tabell6[[#This Row],[Nät]],Tabell5[],2,FALSE)</f>
        <v>Gimo</v>
      </c>
    </row>
    <row r="192" spans="1:22" ht="15" customHeight="1" x14ac:dyDescent="0.25">
      <c r="A192" t="s">
        <v>864</v>
      </c>
      <c r="B192" t="s">
        <v>215</v>
      </c>
      <c r="C192">
        <v>2018</v>
      </c>
      <c r="D192">
        <v>32.593000000000004</v>
      </c>
      <c r="E192">
        <v>14.93</v>
      </c>
      <c r="F192">
        <v>1.7310000000000001</v>
      </c>
      <c r="G192">
        <v>4.0830000000000002</v>
      </c>
      <c r="H192">
        <v>0</v>
      </c>
      <c r="I192">
        <v>6.7629999999999999</v>
      </c>
      <c r="J192">
        <v>5.0860000000000003</v>
      </c>
      <c r="K192">
        <v>0</v>
      </c>
      <c r="L192">
        <v>0</v>
      </c>
      <c r="M192">
        <v>0</v>
      </c>
      <c r="N192" t="s">
        <v>805</v>
      </c>
      <c r="P192" t="s">
        <v>805</v>
      </c>
      <c r="R192" t="s">
        <v>805</v>
      </c>
      <c r="T192">
        <f>Tabell6[[#This Row],[Såld värme (GWh)]]-Tabell6[[#This Row],[Levererad värme, andra fjärrvärmeförag, förag 1 (GWh)]]-Tabell6[[#This Row],[Levererad värme, andra fjärrvärmeförag, förag 2 (GWh)]]-Tabell6[[#This Row],[Levererad värme, andra fjärrvärmeförag, förag 3 (GWh)]]</f>
        <v>32.593000000000004</v>
      </c>
      <c r="U192" t="str">
        <f>VLOOKUP(Tabell6[[#This Row],[Nät]],Tabell5[],2,FALSE)</f>
        <v>Hultsfred</v>
      </c>
    </row>
    <row r="193" spans="1:37" ht="15" customHeight="1" x14ac:dyDescent="0.25">
      <c r="A193" t="s">
        <v>864</v>
      </c>
      <c r="B193" t="s">
        <v>211</v>
      </c>
      <c r="C193">
        <v>2018</v>
      </c>
      <c r="D193">
        <v>45.156999999999996</v>
      </c>
      <c r="E193">
        <v>22.163</v>
      </c>
      <c r="F193">
        <v>2.746</v>
      </c>
      <c r="G193">
        <v>0</v>
      </c>
      <c r="H193">
        <v>0</v>
      </c>
      <c r="I193">
        <v>7.4770000000000003</v>
      </c>
      <c r="J193">
        <v>8.64</v>
      </c>
      <c r="K193">
        <v>0.68799999999999994</v>
      </c>
      <c r="L193">
        <v>0</v>
      </c>
      <c r="M193">
        <v>3.4430000000000001</v>
      </c>
      <c r="N193" t="s">
        <v>805</v>
      </c>
      <c r="P193" t="s">
        <v>805</v>
      </c>
      <c r="R193" t="s">
        <v>805</v>
      </c>
      <c r="T193">
        <f>Tabell6[[#This Row],[Såld värme (GWh)]]-Tabell6[[#This Row],[Levererad värme, andra fjärrvärmeförag, förag 1 (GWh)]]-Tabell6[[#This Row],[Levererad värme, andra fjärrvärmeförag, förag 2 (GWh)]]-Tabell6[[#This Row],[Levererad värme, andra fjärrvärmeförag, förag 3 (GWh)]]</f>
        <v>45.156999999999996</v>
      </c>
      <c r="U193" t="str">
        <f>VLOOKUP(Tabell6[[#This Row],[Nät]],Tabell5[],2,FALSE)</f>
        <v>Kramfors</v>
      </c>
    </row>
    <row r="194" spans="1:37" ht="15" customHeight="1" x14ac:dyDescent="0.25">
      <c r="A194" t="s">
        <v>864</v>
      </c>
      <c r="B194" t="s">
        <v>931</v>
      </c>
      <c r="C194">
        <v>2018</v>
      </c>
      <c r="D194">
        <v>3.0550000000000002</v>
      </c>
      <c r="E194">
        <v>0.79400000000000004</v>
      </c>
      <c r="F194">
        <v>0</v>
      </c>
      <c r="G194">
        <v>0.67500000000000004</v>
      </c>
      <c r="H194">
        <v>0</v>
      </c>
      <c r="I194">
        <v>1.5860000000000001</v>
      </c>
      <c r="J194">
        <v>0</v>
      </c>
      <c r="K194">
        <v>0</v>
      </c>
      <c r="L194">
        <v>0</v>
      </c>
      <c r="M194">
        <v>0</v>
      </c>
      <c r="N194" t="s">
        <v>805</v>
      </c>
      <c r="P194" t="s">
        <v>805</v>
      </c>
      <c r="R194" t="s">
        <v>805</v>
      </c>
      <c r="T194">
        <f>Tabell6[[#This Row],[Såld värme (GWh)]]-Tabell6[[#This Row],[Levererad värme, andra fjärrvärmeförag, förag 1 (GWh)]]-Tabell6[[#This Row],[Levererad värme, andra fjärrvärmeförag, förag 2 (GWh)]]-Tabell6[[#This Row],[Levererad värme, andra fjärrvärmeförag, förag 3 (GWh)]]</f>
        <v>3.0550000000000002</v>
      </c>
      <c r="U194" t="str">
        <f>VLOOKUP(Tabell6[[#This Row],[Nät]],Tabell5[],2,FALSE)</f>
        <v>Smålandsstenar</v>
      </c>
    </row>
    <row r="195" spans="1:37" ht="15" customHeight="1" x14ac:dyDescent="0.25">
      <c r="A195" t="s">
        <v>864</v>
      </c>
      <c r="B195" t="s">
        <v>865</v>
      </c>
      <c r="C195">
        <v>2018</v>
      </c>
      <c r="D195">
        <v>8.5459999999999994</v>
      </c>
      <c r="E195">
        <v>3.6349999999999998</v>
      </c>
      <c r="F195">
        <v>7.6999999999999999E-2</v>
      </c>
      <c r="G195">
        <v>0</v>
      </c>
      <c r="H195">
        <v>0</v>
      </c>
      <c r="I195">
        <v>3.08</v>
      </c>
      <c r="J195">
        <v>1.7529999999999999</v>
      </c>
      <c r="K195">
        <v>0</v>
      </c>
      <c r="L195">
        <v>0</v>
      </c>
      <c r="M195">
        <v>0</v>
      </c>
      <c r="N195" t="s">
        <v>805</v>
      </c>
      <c r="P195" t="s">
        <v>805</v>
      </c>
      <c r="R195" t="s">
        <v>805</v>
      </c>
      <c r="T195">
        <f>Tabell6[[#This Row],[Såld värme (GWh)]]-Tabell6[[#This Row],[Levererad värme, andra fjärrvärmeförag, förag 1 (GWh)]]-Tabell6[[#This Row],[Levererad värme, andra fjärrvärmeförag, förag 2 (GWh)]]-Tabell6[[#This Row],[Levererad värme, andra fjärrvärmeförag, förag 3 (GWh)]]</f>
        <v>8.5459999999999994</v>
      </c>
      <c r="U195" t="str">
        <f>VLOOKUP(Tabell6[[#This Row],[Nät]],Tabell5[],2,FALSE)</f>
        <v>Tanumshede</v>
      </c>
    </row>
    <row r="196" spans="1:37" ht="15" customHeight="1" x14ac:dyDescent="0.25">
      <c r="A196" t="s">
        <v>864</v>
      </c>
      <c r="B196" t="s">
        <v>216</v>
      </c>
      <c r="C196">
        <v>2018</v>
      </c>
      <c r="D196">
        <v>58.317999999999998</v>
      </c>
      <c r="E196">
        <v>0</v>
      </c>
      <c r="F196">
        <v>0.32300000000000001</v>
      </c>
      <c r="G196">
        <v>0</v>
      </c>
      <c r="H196">
        <v>0</v>
      </c>
      <c r="I196">
        <v>0</v>
      </c>
      <c r="J196">
        <v>3.996</v>
      </c>
      <c r="K196">
        <v>0</v>
      </c>
      <c r="L196">
        <v>0</v>
      </c>
      <c r="M196">
        <v>7.2629999999999999</v>
      </c>
      <c r="N196" t="s">
        <v>988</v>
      </c>
      <c r="O196">
        <v>39.472999999999999</v>
      </c>
      <c r="P196" t="s">
        <v>805</v>
      </c>
      <c r="R196" t="s">
        <v>805</v>
      </c>
      <c r="T196">
        <f>Tabell6[[#This Row],[Såld värme (GWh)]]-Tabell6[[#This Row],[Levererad värme, andra fjärrvärmeförag, förag 1 (GWh)]]-Tabell6[[#This Row],[Levererad värme, andra fjärrvärmeförag, förag 2 (GWh)]]-Tabell6[[#This Row],[Levererad värme, andra fjärrvärmeförag, förag 3 (GWh)]]</f>
        <v>18.844999999999999</v>
      </c>
      <c r="U196" t="str">
        <f>VLOOKUP(Tabell6[[#This Row],[Nät]],Tabell5[],2,FALSE)</f>
        <v>Tibro</v>
      </c>
    </row>
    <row r="197" spans="1:37" ht="15" customHeight="1" x14ac:dyDescent="0.25">
      <c r="A197" t="s">
        <v>864</v>
      </c>
      <c r="B197" t="s">
        <v>212</v>
      </c>
      <c r="C197">
        <v>2018</v>
      </c>
      <c r="D197">
        <v>13.42</v>
      </c>
      <c r="E197">
        <v>6.8479999999999999</v>
      </c>
      <c r="F197">
        <v>2.1000000000000001E-2</v>
      </c>
      <c r="G197">
        <v>1.01</v>
      </c>
      <c r="H197">
        <v>0</v>
      </c>
      <c r="I197">
        <v>1.9630000000000001</v>
      </c>
      <c r="J197">
        <v>3.5779999999999998</v>
      </c>
      <c r="K197">
        <v>0</v>
      </c>
      <c r="L197">
        <v>0</v>
      </c>
      <c r="M197">
        <v>0</v>
      </c>
      <c r="N197" t="s">
        <v>805</v>
      </c>
      <c r="P197" t="s">
        <v>805</v>
      </c>
      <c r="R197" t="s">
        <v>805</v>
      </c>
      <c r="T197">
        <f>Tabell6[[#This Row],[Såld värme (GWh)]]-Tabell6[[#This Row],[Levererad värme, andra fjärrvärmeförag, förag 1 (GWh)]]-Tabell6[[#This Row],[Levererad värme, andra fjärrvärmeförag, förag 2 (GWh)]]-Tabell6[[#This Row],[Levererad värme, andra fjärrvärmeförag, förag 3 (GWh)]]</f>
        <v>13.42</v>
      </c>
      <c r="U197" t="str">
        <f>VLOOKUP(Tabell6[[#This Row],[Nät]],Tabell5[],2,FALSE)</f>
        <v>Valdemarsvik</v>
      </c>
    </row>
    <row r="198" spans="1:37" ht="15" customHeight="1" x14ac:dyDescent="0.25">
      <c r="A198" t="s">
        <v>864</v>
      </c>
      <c r="B198" t="s">
        <v>217</v>
      </c>
      <c r="C198">
        <v>2018</v>
      </c>
      <c r="D198">
        <v>17.164000000000001</v>
      </c>
      <c r="E198">
        <v>7.2969999999999997</v>
      </c>
      <c r="F198">
        <v>0.27400000000000002</v>
      </c>
      <c r="G198">
        <v>0.111</v>
      </c>
      <c r="H198">
        <v>0</v>
      </c>
      <c r="I198">
        <v>6.7130000000000001</v>
      </c>
      <c r="J198">
        <v>2.7690000000000001</v>
      </c>
      <c r="K198">
        <v>0</v>
      </c>
      <c r="L198">
        <v>0</v>
      </c>
      <c r="M198">
        <v>0</v>
      </c>
      <c r="N198" t="s">
        <v>805</v>
      </c>
      <c r="P198" t="s">
        <v>805</v>
      </c>
      <c r="R198" t="s">
        <v>805</v>
      </c>
      <c r="T198">
        <f>Tabell6[[#This Row],[Såld värme (GWh)]]-Tabell6[[#This Row],[Levererad värme, andra fjärrvärmeförag, förag 1 (GWh)]]-Tabell6[[#This Row],[Levererad värme, andra fjärrvärmeförag, förag 2 (GWh)]]-Tabell6[[#This Row],[Levererad värme, andra fjärrvärmeförag, förag 3 (GWh)]]</f>
        <v>17.164000000000001</v>
      </c>
      <c r="U198" t="str">
        <f>VLOOKUP(Tabell6[[#This Row],[Nät]],Tabell5[],2,FALSE)</f>
        <v>Årjäng</v>
      </c>
    </row>
    <row r="199" spans="1:37" ht="15" customHeight="1" x14ac:dyDescent="0.25">
      <c r="A199" t="s">
        <v>864</v>
      </c>
      <c r="B199" t="s">
        <v>482</v>
      </c>
      <c r="C199">
        <v>2018</v>
      </c>
      <c r="D199">
        <v>24.768000000000001</v>
      </c>
      <c r="E199">
        <v>15.516999999999999</v>
      </c>
      <c r="F199">
        <v>0.161</v>
      </c>
      <c r="G199">
        <v>0</v>
      </c>
      <c r="H199">
        <v>0</v>
      </c>
      <c r="I199">
        <v>3.8039999999999998</v>
      </c>
      <c r="J199">
        <v>5.2850000000000001</v>
      </c>
      <c r="K199">
        <v>0</v>
      </c>
      <c r="L199">
        <v>0</v>
      </c>
      <c r="M199">
        <v>0</v>
      </c>
      <c r="N199" t="s">
        <v>805</v>
      </c>
      <c r="P199" t="s">
        <v>805</v>
      </c>
      <c r="R199" t="s">
        <v>805</v>
      </c>
      <c r="T199">
        <f>Tabell6[[#This Row],[Såld värme (GWh)]]-Tabell6[[#This Row],[Levererad värme, andra fjärrvärmeförag, förag 1 (GWh)]]-Tabell6[[#This Row],[Levererad värme, andra fjärrvärmeförag, förag 2 (GWh)]]-Tabell6[[#This Row],[Levererad värme, andra fjärrvärmeförag, förag 3 (GWh)]]</f>
        <v>24.768000000000001</v>
      </c>
      <c r="U199" t="str">
        <f>VLOOKUP(Tabell6[[#This Row],[Nät]],Tabell5[],2,FALSE)</f>
        <v>Åstorp</v>
      </c>
      <c r="X199" s="84" t="s">
        <v>214</v>
      </c>
      <c r="Y199" s="84">
        <v>2018</v>
      </c>
      <c r="Z199" s="84">
        <v>12.478999999999999</v>
      </c>
      <c r="AA199">
        <f>Z199/$Z$202</f>
        <v>0.50787513735704681</v>
      </c>
      <c r="AB199">
        <f>AA199*AB$208</f>
        <v>0</v>
      </c>
      <c r="AG199" s="8">
        <f t="shared" ref="AG199" si="0">$AA199*AG$208</f>
        <v>12.138215782833418</v>
      </c>
      <c r="AH199" s="8">
        <f>$AA199*AF$208</f>
        <v>14.474441414675834</v>
      </c>
      <c r="AI199" s="8">
        <f>$AA199*AE$208</f>
        <v>9.5988400960481837</v>
      </c>
      <c r="AJ199" s="8">
        <f>$AA199*AD$208</f>
        <v>9.7512026372552985</v>
      </c>
      <c r="AK199" s="8">
        <f>$AA199*AC$208</f>
        <v>11.07167799438362</v>
      </c>
    </row>
    <row r="200" spans="1:37" ht="15" customHeight="1" x14ac:dyDescent="0.25">
      <c r="A200" t="s">
        <v>864</v>
      </c>
      <c r="B200" t="s">
        <v>218</v>
      </c>
      <c r="C200">
        <v>2018</v>
      </c>
      <c r="D200">
        <v>7.3010000000000002</v>
      </c>
      <c r="E200">
        <v>5.1150000000000002</v>
      </c>
      <c r="F200">
        <v>4.5999999999999999E-2</v>
      </c>
      <c r="G200">
        <v>0</v>
      </c>
      <c r="H200">
        <v>0</v>
      </c>
      <c r="I200">
        <v>2.073</v>
      </c>
      <c r="J200">
        <v>6.6000000000000003E-2</v>
      </c>
      <c r="K200">
        <v>0</v>
      </c>
      <c r="L200">
        <v>0</v>
      </c>
      <c r="M200">
        <v>0</v>
      </c>
      <c r="N200" t="s">
        <v>805</v>
      </c>
      <c r="P200" t="s">
        <v>805</v>
      </c>
      <c r="R200" t="s">
        <v>805</v>
      </c>
      <c r="T200">
        <f>Tabell6[[#This Row],[Såld värme (GWh)]]-Tabell6[[#This Row],[Levererad värme, andra fjärrvärmeförag, förag 1 (GWh)]]-Tabell6[[#This Row],[Levererad värme, andra fjärrvärmeförag, förag 2 (GWh)]]-Tabell6[[#This Row],[Levererad värme, andra fjärrvärmeförag, förag 3 (GWh)]]</f>
        <v>7.3010000000000002</v>
      </c>
      <c r="U200" t="str">
        <f>VLOOKUP(Tabell6[[#This Row],[Nät]],Tabell5[],2,FALSE)</f>
        <v>Österbybruk</v>
      </c>
      <c r="X200" s="44" t="s">
        <v>218</v>
      </c>
      <c r="Y200" s="44">
        <v>2018</v>
      </c>
      <c r="Z200" s="44">
        <v>7.3010000000000002</v>
      </c>
      <c r="AA200">
        <f>Z200/$Z$202</f>
        <v>0.29713890358552764</v>
      </c>
      <c r="AB200">
        <f>AA200*AB$208</f>
        <v>0</v>
      </c>
      <c r="AG200" s="8">
        <f t="shared" ref="AC200:AG201" si="1">$AA200*AG$208</f>
        <v>7.1016197956941101</v>
      </c>
      <c r="AH200" s="8">
        <f>$AA200*AF$208</f>
        <v>8.4684587521875372</v>
      </c>
      <c r="AI200" s="8">
        <f>$AA200*AE$208</f>
        <v>5.6159252777664719</v>
      </c>
      <c r="AJ200" s="8">
        <f>$AA200*AD$208</f>
        <v>5.7050669488421306</v>
      </c>
      <c r="AK200" s="8">
        <f>$AA200*AC$208</f>
        <v>6.4776280981645025</v>
      </c>
    </row>
    <row r="201" spans="1:37" ht="15" customHeight="1" x14ac:dyDescent="0.25">
      <c r="A201" t="s">
        <v>864</v>
      </c>
      <c r="B201" t="s">
        <v>528</v>
      </c>
      <c r="C201">
        <v>2018</v>
      </c>
      <c r="D201">
        <v>4.7910000000000004</v>
      </c>
      <c r="E201">
        <v>1.3129999999999999</v>
      </c>
      <c r="F201">
        <v>5.5E-2</v>
      </c>
      <c r="G201">
        <v>0</v>
      </c>
      <c r="H201">
        <v>0</v>
      </c>
      <c r="I201">
        <v>3.0259999999999998</v>
      </c>
      <c r="J201">
        <v>0.39600000000000002</v>
      </c>
      <c r="K201">
        <v>0</v>
      </c>
      <c r="L201">
        <v>0</v>
      </c>
      <c r="M201">
        <v>0</v>
      </c>
      <c r="N201" t="s">
        <v>805</v>
      </c>
      <c r="P201" t="s">
        <v>805</v>
      </c>
      <c r="R201" t="s">
        <v>805</v>
      </c>
      <c r="T201">
        <f>Tabell6[[#This Row],[Såld värme (GWh)]]-Tabell6[[#This Row],[Levererad värme, andra fjärrvärmeförag, förag 1 (GWh)]]-Tabell6[[#This Row],[Levererad värme, andra fjärrvärmeförag, förag 2 (GWh)]]-Tabell6[[#This Row],[Levererad värme, andra fjärrvärmeförag, förag 3 (GWh)]]</f>
        <v>4.7910000000000004</v>
      </c>
      <c r="U201" t="str">
        <f>VLOOKUP(Tabell6[[#This Row],[Nät]],Tabell5[],2,FALSE)</f>
        <v>Östhammar</v>
      </c>
      <c r="X201" s="84" t="s">
        <v>528</v>
      </c>
      <c r="Y201" s="84">
        <v>2018</v>
      </c>
      <c r="Z201" s="84">
        <v>4.7910000000000004</v>
      </c>
      <c r="AA201">
        <f>Z201/$Z$202</f>
        <v>0.19498595905742541</v>
      </c>
      <c r="AB201">
        <f t="shared" ref="AB201" si="2">AA201*AB$208</f>
        <v>0</v>
      </c>
      <c r="AC201" s="8">
        <f t="shared" si="1"/>
        <v>4.2506939074518737</v>
      </c>
      <c r="AD201" s="8">
        <f t="shared" si="1"/>
        <v>3.7437304139025676</v>
      </c>
      <c r="AE201" s="8">
        <f t="shared" si="1"/>
        <v>3.6852346261853399</v>
      </c>
      <c r="AF201" s="8">
        <f t="shared" si="1"/>
        <v>5.5570998331366246</v>
      </c>
      <c r="AG201" s="8">
        <f t="shared" si="1"/>
        <v>4.6601644214724667</v>
      </c>
    </row>
    <row r="202" spans="1:37" ht="15" customHeight="1" x14ac:dyDescent="0.25">
      <c r="A202" t="s">
        <v>866</v>
      </c>
      <c r="B202" t="s">
        <v>300</v>
      </c>
      <c r="C202">
        <v>2018</v>
      </c>
      <c r="D202">
        <v>3.7309999999999999</v>
      </c>
      <c r="E202">
        <v>0.9</v>
      </c>
      <c r="F202">
        <v>1.032</v>
      </c>
      <c r="G202">
        <v>0.88400000000000001</v>
      </c>
      <c r="I202">
        <v>0.89100000000000001</v>
      </c>
      <c r="J202">
        <v>2.4E-2</v>
      </c>
      <c r="N202" t="s">
        <v>805</v>
      </c>
      <c r="P202" t="s">
        <v>805</v>
      </c>
      <c r="R202" t="s">
        <v>805</v>
      </c>
      <c r="T202">
        <f>Tabell6[[#This Row],[Såld värme (GWh)]]-Tabell6[[#This Row],[Levererad värme, andra fjärrvärmeförag, förag 1 (GWh)]]-Tabell6[[#This Row],[Levererad värme, andra fjärrvärmeförag, förag 2 (GWh)]]-Tabell6[[#This Row],[Levererad värme, andra fjärrvärmeförag, förag 3 (GWh)]]</f>
        <v>3.7309999999999999</v>
      </c>
      <c r="U202" t="str">
        <f>VLOOKUP(Tabell6[[#This Row],[Nät]],Tabell5[],2,FALSE)</f>
        <v>Rörvik</v>
      </c>
      <c r="Z202">
        <f>SUM(Z199:Z201)</f>
        <v>24.571000000000002</v>
      </c>
    </row>
    <row r="203" spans="1:37" ht="15" customHeight="1" x14ac:dyDescent="0.25">
      <c r="A203" t="s">
        <v>866</v>
      </c>
      <c r="B203" t="s">
        <v>299</v>
      </c>
      <c r="C203">
        <v>2018</v>
      </c>
      <c r="D203">
        <v>44.280999999999999</v>
      </c>
      <c r="E203">
        <v>12.532</v>
      </c>
      <c r="F203">
        <v>6.6680000000000001</v>
      </c>
      <c r="G203">
        <v>13.904999999999999</v>
      </c>
      <c r="I203">
        <v>7.8410000000000002</v>
      </c>
      <c r="J203">
        <v>3.335</v>
      </c>
      <c r="N203" t="s">
        <v>805</v>
      </c>
      <c r="P203" t="s">
        <v>805</v>
      </c>
      <c r="R203" t="s">
        <v>805</v>
      </c>
      <c r="T203">
        <f>Tabell6[[#This Row],[Såld värme (GWh)]]-Tabell6[[#This Row],[Levererad värme, andra fjärrvärmeförag, förag 1 (GWh)]]-Tabell6[[#This Row],[Levererad värme, andra fjärrvärmeförag, förag 2 (GWh)]]-Tabell6[[#This Row],[Levererad värme, andra fjärrvärmeförag, förag 3 (GWh)]]</f>
        <v>44.280999999999999</v>
      </c>
      <c r="U203" t="str">
        <f>VLOOKUP(Tabell6[[#This Row],[Nät]],Tabell5[],2,FALSE)</f>
        <v>Sävsjö</v>
      </c>
    </row>
    <row r="204" spans="1:37" ht="15" customHeight="1" x14ac:dyDescent="0.25">
      <c r="A204" t="s">
        <v>1025</v>
      </c>
      <c r="B204" t="s">
        <v>349</v>
      </c>
      <c r="C204">
        <v>2018</v>
      </c>
      <c r="D204">
        <v>4.2</v>
      </c>
      <c r="E204">
        <v>0.2</v>
      </c>
      <c r="F204">
        <v>0.5</v>
      </c>
      <c r="G204">
        <v>0.8</v>
      </c>
      <c r="I204">
        <v>2.2000000000000002</v>
      </c>
      <c r="J204">
        <v>0.4</v>
      </c>
      <c r="N204" t="s">
        <v>962</v>
      </c>
      <c r="P204" t="s">
        <v>962</v>
      </c>
      <c r="R204" t="s">
        <v>962</v>
      </c>
      <c r="T204">
        <f>Tabell6[[#This Row],[Såld värme (GWh)]]-Tabell6[[#This Row],[Levererad värme, andra fjärrvärmeförag, förag 1 (GWh)]]-Tabell6[[#This Row],[Levererad värme, andra fjärrvärmeförag, förag 2 (GWh)]]-Tabell6[[#This Row],[Levererad värme, andra fjärrvärmeförag, förag 3 (GWh)]]</f>
        <v>4.2</v>
      </c>
      <c r="U204" t="str">
        <f>VLOOKUP(Tabell6[[#This Row],[Nät]],Tabell5[],2,FALSE)</f>
        <v>Holsby</v>
      </c>
    </row>
    <row r="205" spans="1:37" ht="15" customHeight="1" x14ac:dyDescent="0.25">
      <c r="A205" t="s">
        <v>1025</v>
      </c>
      <c r="B205" t="s">
        <v>348</v>
      </c>
      <c r="C205">
        <v>2018</v>
      </c>
      <c r="D205">
        <v>127.8</v>
      </c>
      <c r="E205">
        <v>32.299999999999997</v>
      </c>
      <c r="F205">
        <v>19.5</v>
      </c>
      <c r="G205">
        <v>39.299999999999997</v>
      </c>
      <c r="H205">
        <v>6.7</v>
      </c>
      <c r="I205">
        <v>20.6</v>
      </c>
      <c r="J205">
        <v>15.6</v>
      </c>
      <c r="N205" t="s">
        <v>805</v>
      </c>
      <c r="P205" t="s">
        <v>805</v>
      </c>
      <c r="R205" t="s">
        <v>805</v>
      </c>
      <c r="T205">
        <f>Tabell6[[#This Row],[Såld värme (GWh)]]-Tabell6[[#This Row],[Levererad värme, andra fjärrvärmeförag, förag 1 (GWh)]]-Tabell6[[#This Row],[Levererad värme, andra fjärrvärmeförag, förag 2 (GWh)]]-Tabell6[[#This Row],[Levererad värme, andra fjärrvärmeförag, förag 3 (GWh)]]</f>
        <v>127.8</v>
      </c>
      <c r="U205" t="str">
        <f>VLOOKUP(Tabell6[[#This Row],[Nät]],Tabell5[],2,FALSE)</f>
        <v>Vetlanda</v>
      </c>
    </row>
    <row r="206" spans="1:37" ht="15" customHeight="1" x14ac:dyDescent="0.25">
      <c r="A206" t="s">
        <v>869</v>
      </c>
      <c r="B206" t="s">
        <v>870</v>
      </c>
      <c r="C206">
        <v>2018</v>
      </c>
      <c r="U206" t="str">
        <f>VLOOKUP(Tabell6[[#This Row],[Nät]],Tabell5[],2,FALSE)</f>
        <v>Nordanstig</v>
      </c>
    </row>
    <row r="207" spans="1:37" ht="15" customHeight="1" x14ac:dyDescent="0.25">
      <c r="A207" t="s">
        <v>711</v>
      </c>
      <c r="B207" t="s">
        <v>219</v>
      </c>
      <c r="C207">
        <v>2018</v>
      </c>
      <c r="D207">
        <v>1002</v>
      </c>
      <c r="E207">
        <v>661.76</v>
      </c>
      <c r="F207">
        <v>10.52</v>
      </c>
      <c r="G207">
        <v>10.029999999999999</v>
      </c>
      <c r="H207">
        <v>0</v>
      </c>
      <c r="I207">
        <v>80.680000000000007</v>
      </c>
      <c r="J207">
        <v>235.04</v>
      </c>
      <c r="K207">
        <v>4.41</v>
      </c>
      <c r="L207">
        <v>0</v>
      </c>
      <c r="M207">
        <v>0</v>
      </c>
      <c r="N207" t="s">
        <v>989</v>
      </c>
      <c r="O207">
        <v>0.90700000000000003</v>
      </c>
      <c r="P207" t="s">
        <v>805</v>
      </c>
      <c r="R207" t="s">
        <v>805</v>
      </c>
      <c r="T207">
        <f>Tabell6[[#This Row],[Såld värme (GWh)]]-Tabell6[[#This Row],[Levererad värme, andra fjärrvärmeförag, förag 1 (GWh)]]-Tabell6[[#This Row],[Levererad värme, andra fjärrvärmeförag, förag 2 (GWh)]]-Tabell6[[#This Row],[Levererad värme, andra fjärrvärmeförag, förag 3 (GWh)]]</f>
        <v>1001.093</v>
      </c>
      <c r="U207" t="str">
        <f>VLOOKUP(Tabell6[[#This Row],[Nät]],Tabell5[],2,FALSE)</f>
        <v>Sundbyberg-Solna</v>
      </c>
      <c r="AB207" s="89">
        <v>2017</v>
      </c>
      <c r="AC207" s="89">
        <v>2016</v>
      </c>
      <c r="AD207" s="89">
        <v>2015</v>
      </c>
      <c r="AE207" s="89">
        <v>2014</v>
      </c>
      <c r="AF207" s="89">
        <v>2013</v>
      </c>
      <c r="AG207" s="89">
        <v>2012</v>
      </c>
    </row>
    <row r="208" spans="1:37" ht="15" customHeight="1" x14ac:dyDescent="0.25">
      <c r="A208" t="s">
        <v>621</v>
      </c>
      <c r="B208" t="s">
        <v>220</v>
      </c>
      <c r="C208">
        <v>2018</v>
      </c>
      <c r="D208">
        <v>16.640999999999998</v>
      </c>
      <c r="E208">
        <v>10.346</v>
      </c>
      <c r="F208">
        <v>0.57099999999999995</v>
      </c>
      <c r="G208">
        <v>0</v>
      </c>
      <c r="H208">
        <v>0</v>
      </c>
      <c r="I208">
        <v>4.9269999999999996</v>
      </c>
      <c r="J208">
        <v>1.038</v>
      </c>
      <c r="K208">
        <v>0</v>
      </c>
      <c r="L208">
        <v>0</v>
      </c>
      <c r="M208">
        <v>0</v>
      </c>
      <c r="N208" t="s">
        <v>805</v>
      </c>
      <c r="P208" t="s">
        <v>805</v>
      </c>
      <c r="R208" t="s">
        <v>805</v>
      </c>
      <c r="T208">
        <f>Tabell6[[#This Row],[Såld värme (GWh)]]-Tabell6[[#This Row],[Levererad värme, andra fjärrvärmeförag, förag 1 (GWh)]]-Tabell6[[#This Row],[Levererad värme, andra fjärrvärmeförag, förag 2 (GWh)]]-Tabell6[[#This Row],[Levererad värme, andra fjärrvärmeförag, förag 3 (GWh)]]</f>
        <v>16.640999999999998</v>
      </c>
      <c r="U208" t="str">
        <f>VLOOKUP(Tabell6[[#This Row],[Nät]],Tabell5[],2,FALSE)</f>
        <v>Hallstavik</v>
      </c>
      <c r="Z208" s="87" t="s">
        <v>864</v>
      </c>
      <c r="AA208" s="87" t="s">
        <v>1054</v>
      </c>
      <c r="AB208" s="88">
        <v>0</v>
      </c>
      <c r="AC208" s="88">
        <v>21.8</v>
      </c>
      <c r="AD208" s="88">
        <v>19.2</v>
      </c>
      <c r="AE208" s="88">
        <v>18.899999999999999</v>
      </c>
      <c r="AF208" s="88">
        <v>28.5</v>
      </c>
      <c r="AG208" s="88">
        <v>23.9</v>
      </c>
    </row>
    <row r="209" spans="1:21" ht="15" customHeight="1" x14ac:dyDescent="0.25">
      <c r="A209" t="s">
        <v>621</v>
      </c>
      <c r="B209" t="s">
        <v>221</v>
      </c>
      <c r="C209">
        <v>2018</v>
      </c>
      <c r="D209">
        <v>123.922</v>
      </c>
      <c r="E209">
        <v>65.671999999999997</v>
      </c>
      <c r="F209">
        <v>4.5759999999999996</v>
      </c>
      <c r="G209">
        <v>3.718</v>
      </c>
      <c r="H209">
        <v>0</v>
      </c>
      <c r="I209">
        <v>32.79</v>
      </c>
      <c r="J209">
        <v>17.038</v>
      </c>
      <c r="K209">
        <v>0</v>
      </c>
      <c r="L209">
        <v>0</v>
      </c>
      <c r="M209">
        <v>2.4950000000000001</v>
      </c>
      <c r="N209" t="s">
        <v>805</v>
      </c>
      <c r="P209" t="s">
        <v>805</v>
      </c>
      <c r="R209" t="s">
        <v>805</v>
      </c>
      <c r="T209">
        <f>Tabell6[[#This Row],[Såld värme (GWh)]]-Tabell6[[#This Row],[Levererad värme, andra fjärrvärmeförag, förag 1 (GWh)]]-Tabell6[[#This Row],[Levererad värme, andra fjärrvärmeförag, förag 2 (GWh)]]-Tabell6[[#This Row],[Levererad värme, andra fjärrvärmeförag, förag 3 (GWh)]]</f>
        <v>123.922</v>
      </c>
      <c r="U209" t="str">
        <f>VLOOKUP(Tabell6[[#This Row],[Nät]],Tabell5[],2,FALSE)</f>
        <v>Norrtälje</v>
      </c>
    </row>
    <row r="210" spans="1:21" ht="15" customHeight="1" x14ac:dyDescent="0.25">
      <c r="A210" t="s">
        <v>621</v>
      </c>
      <c r="B210" t="s">
        <v>222</v>
      </c>
      <c r="C210">
        <v>2018</v>
      </c>
      <c r="D210">
        <v>17.280999999999999</v>
      </c>
      <c r="E210">
        <v>9.3539999999999992</v>
      </c>
      <c r="F210">
        <v>0.753</v>
      </c>
      <c r="G210">
        <v>0</v>
      </c>
      <c r="H210">
        <v>0</v>
      </c>
      <c r="I210">
        <v>3.4740000000000002</v>
      </c>
      <c r="J210">
        <v>3.5880000000000001</v>
      </c>
      <c r="K210">
        <v>0</v>
      </c>
      <c r="L210">
        <v>0</v>
      </c>
      <c r="M210">
        <v>0</v>
      </c>
      <c r="N210" t="s">
        <v>805</v>
      </c>
      <c r="P210" t="s">
        <v>805</v>
      </c>
      <c r="R210" t="s">
        <v>805</v>
      </c>
      <c r="T210">
        <f>Tabell6[[#This Row],[Såld värme (GWh)]]-Tabell6[[#This Row],[Levererad värme, andra fjärrvärmeförag, förag 1 (GWh)]]-Tabell6[[#This Row],[Levererad värme, andra fjärrvärmeförag, förag 2 (GWh)]]-Tabell6[[#This Row],[Levererad värme, andra fjärrvärmeförag, förag 3 (GWh)]]</f>
        <v>17.280999999999999</v>
      </c>
      <c r="U210" t="str">
        <f>VLOOKUP(Tabell6[[#This Row],[Nät]],Tabell5[],2,FALSE)</f>
        <v>Rimbo</v>
      </c>
    </row>
    <row r="211" spans="1:21" ht="15" customHeight="1" x14ac:dyDescent="0.25">
      <c r="A211" t="s">
        <v>990</v>
      </c>
      <c r="B211" t="s">
        <v>872</v>
      </c>
      <c r="C211">
        <v>2018</v>
      </c>
      <c r="D211">
        <v>7</v>
      </c>
      <c r="E211">
        <v>2</v>
      </c>
      <c r="F211">
        <v>0</v>
      </c>
      <c r="G211">
        <v>1</v>
      </c>
      <c r="J211">
        <v>4</v>
      </c>
      <c r="K211">
        <v>0</v>
      </c>
      <c r="N211" t="s">
        <v>805</v>
      </c>
      <c r="P211" t="s">
        <v>805</v>
      </c>
      <c r="R211" t="s">
        <v>805</v>
      </c>
      <c r="T211">
        <f>Tabell6[[#This Row],[Såld värme (GWh)]]-Tabell6[[#This Row],[Levererad värme, andra fjärrvärmeförag, förag 1 (GWh)]]-Tabell6[[#This Row],[Levererad värme, andra fjärrvärmeförag, förag 2 (GWh)]]-Tabell6[[#This Row],[Levererad värme, andra fjärrvärmeförag, förag 3 (GWh)]]</f>
        <v>7</v>
      </c>
      <c r="U211" t="str">
        <f>VLOOKUP(Tabell6[[#This Row],[Nät]],Tabell5[],2,FALSE)</f>
        <v>Essunga</v>
      </c>
    </row>
    <row r="212" spans="1:21" ht="15" customHeight="1" x14ac:dyDescent="0.25">
      <c r="A212" t="s">
        <v>679</v>
      </c>
      <c r="B212" t="s">
        <v>820</v>
      </c>
      <c r="C212">
        <v>2018</v>
      </c>
      <c r="D212">
        <v>144</v>
      </c>
      <c r="E212">
        <v>61</v>
      </c>
      <c r="F212">
        <v>19</v>
      </c>
      <c r="G212">
        <v>63</v>
      </c>
      <c r="H212">
        <v>0</v>
      </c>
      <c r="I212">
        <v>1.5</v>
      </c>
      <c r="J212">
        <v>0</v>
      </c>
      <c r="K212">
        <v>0</v>
      </c>
      <c r="L212">
        <v>0</v>
      </c>
      <c r="M212">
        <v>0</v>
      </c>
      <c r="N212" t="s">
        <v>991</v>
      </c>
      <c r="P212" t="s">
        <v>991</v>
      </c>
      <c r="R212" t="s">
        <v>991</v>
      </c>
      <c r="T212">
        <f>Tabell6[[#This Row],[Såld värme (GWh)]]-Tabell6[[#This Row],[Levererad värme, andra fjärrvärmeförag, förag 1 (GWh)]]-Tabell6[[#This Row],[Levererad värme, andra fjärrvärmeförag, förag 2 (GWh)]]-Tabell6[[#This Row],[Levererad värme, andra fjärrvärmeförag, förag 3 (GWh)]]</f>
        <v>144</v>
      </c>
      <c r="U212" t="str">
        <f>VLOOKUP(Tabell6[[#This Row],[Nät]],Tabell5[],2,FALSE)</f>
        <v>Nybro</v>
      </c>
    </row>
    <row r="213" spans="1:21" ht="15" customHeight="1" x14ac:dyDescent="0.25">
      <c r="A213" t="s">
        <v>551</v>
      </c>
      <c r="B213" t="s">
        <v>224</v>
      </c>
      <c r="C213">
        <v>2018</v>
      </c>
      <c r="D213">
        <v>1.72</v>
      </c>
      <c r="E213">
        <v>0.77</v>
      </c>
      <c r="F213">
        <v>0.124</v>
      </c>
      <c r="I213">
        <v>0.82</v>
      </c>
      <c r="N213" t="s">
        <v>805</v>
      </c>
      <c r="P213" t="s">
        <v>805</v>
      </c>
      <c r="R213" t="s">
        <v>805</v>
      </c>
      <c r="T213">
        <f>Tabell6[[#This Row],[Såld värme (GWh)]]-Tabell6[[#This Row],[Levererad värme, andra fjärrvärmeförag, förag 1 (GWh)]]-Tabell6[[#This Row],[Levererad värme, andra fjärrvärmeförag, förag 2 (GWh)]]-Tabell6[[#This Row],[Levererad värme, andra fjärrvärmeförag, förag 3 (GWh)]]</f>
        <v>1.72</v>
      </c>
      <c r="U213" t="str">
        <f>VLOOKUP(Tabell6[[#This Row],[Nät]],Tabell5[],2,FALSE)</f>
        <v>Anneberg</v>
      </c>
    </row>
    <row r="214" spans="1:21" ht="15" customHeight="1" x14ac:dyDescent="0.25">
      <c r="A214" t="s">
        <v>551</v>
      </c>
      <c r="B214" t="s">
        <v>225</v>
      </c>
      <c r="C214">
        <v>2018</v>
      </c>
      <c r="D214">
        <v>10.56</v>
      </c>
      <c r="E214">
        <v>1.65</v>
      </c>
      <c r="F214">
        <v>3.18</v>
      </c>
      <c r="I214">
        <v>1.81</v>
      </c>
      <c r="J214">
        <v>0.75</v>
      </c>
      <c r="L214">
        <v>0.12</v>
      </c>
      <c r="M214">
        <v>3.06</v>
      </c>
      <c r="N214" t="s">
        <v>805</v>
      </c>
      <c r="P214" t="s">
        <v>805</v>
      </c>
      <c r="R214" t="s">
        <v>805</v>
      </c>
      <c r="T214">
        <f>Tabell6[[#This Row],[Såld värme (GWh)]]-Tabell6[[#This Row],[Levererad värme, andra fjärrvärmeförag, förag 1 (GWh)]]-Tabell6[[#This Row],[Levererad värme, andra fjärrvärmeförag, förag 2 (GWh)]]-Tabell6[[#This Row],[Levererad värme, andra fjärrvärmeförag, förag 3 (GWh)]]</f>
        <v>10.56</v>
      </c>
      <c r="U214" t="str">
        <f>VLOOKUP(Tabell6[[#This Row],[Nät]],Tabell5[],2,FALSE)</f>
        <v>Bodafors</v>
      </c>
    </row>
    <row r="215" spans="1:21" ht="15" customHeight="1" x14ac:dyDescent="0.25">
      <c r="A215" t="s">
        <v>551</v>
      </c>
      <c r="B215" t="s">
        <v>223</v>
      </c>
      <c r="C215">
        <v>2018</v>
      </c>
      <c r="D215">
        <v>150.80000000000001</v>
      </c>
      <c r="E215">
        <v>42.8</v>
      </c>
      <c r="F215">
        <v>25.4</v>
      </c>
      <c r="I215">
        <v>18.8</v>
      </c>
      <c r="J215">
        <v>23</v>
      </c>
      <c r="K215">
        <v>29.8</v>
      </c>
      <c r="M215">
        <v>20</v>
      </c>
      <c r="N215" t="s">
        <v>805</v>
      </c>
      <c r="P215" t="s">
        <v>805</v>
      </c>
      <c r="R215" t="s">
        <v>805</v>
      </c>
      <c r="T215">
        <f>Tabell6[[#This Row],[Såld värme (GWh)]]-Tabell6[[#This Row],[Levererad värme, andra fjärrvärmeförag, förag 1 (GWh)]]-Tabell6[[#This Row],[Levererad värme, andra fjärrvärmeförag, förag 2 (GWh)]]-Tabell6[[#This Row],[Levererad värme, andra fjärrvärmeförag, förag 3 (GWh)]]</f>
        <v>150.80000000000001</v>
      </c>
      <c r="U215" t="str">
        <f>VLOOKUP(Tabell6[[#This Row],[Nät]],Tabell5[],2,FALSE)</f>
        <v>Nässjö</v>
      </c>
    </row>
    <row r="216" spans="1:21" ht="15" customHeight="1" x14ac:dyDescent="0.25">
      <c r="A216" t="s">
        <v>683</v>
      </c>
      <c r="B216" t="s">
        <v>226</v>
      </c>
      <c r="C216">
        <v>2018</v>
      </c>
      <c r="D216">
        <v>49</v>
      </c>
      <c r="E216">
        <v>25.7</v>
      </c>
      <c r="F216">
        <v>4.4000000000000004</v>
      </c>
      <c r="G216">
        <v>7.6</v>
      </c>
      <c r="I216">
        <v>8.9</v>
      </c>
      <c r="J216">
        <v>2.4</v>
      </c>
      <c r="N216" t="s">
        <v>962</v>
      </c>
      <c r="P216" t="s">
        <v>962</v>
      </c>
      <c r="R216" t="s">
        <v>962</v>
      </c>
      <c r="T216">
        <f>Tabell6[[#This Row],[Såld värme (GWh)]]-Tabell6[[#This Row],[Levererad värme, andra fjärrvärmeförag, förag 1 (GWh)]]-Tabell6[[#This Row],[Levererad värme, andra fjärrvärmeförag, förag 2 (GWh)]]-Tabell6[[#This Row],[Levererad värme, andra fjärrvärmeförag, förag 3 (GWh)]]</f>
        <v>49</v>
      </c>
      <c r="U216" t="str">
        <f>VLOOKUP(Tabell6[[#This Row],[Nät]],Tabell5[],2,FALSE)</f>
        <v>Olofström</v>
      </c>
    </row>
    <row r="217" spans="1:21" ht="15" customHeight="1" x14ac:dyDescent="0.25">
      <c r="A217" t="s">
        <v>873</v>
      </c>
      <c r="B217" t="s">
        <v>874</v>
      </c>
      <c r="C217">
        <v>2018</v>
      </c>
      <c r="U217" t="str">
        <f>VLOOKUP(Tabell6[[#This Row],[Nät]],Tabell5[],2,FALSE)</f>
        <v>Ellös</v>
      </c>
    </row>
    <row r="218" spans="1:21" ht="15" customHeight="1" x14ac:dyDescent="0.25">
      <c r="A218" t="s">
        <v>873</v>
      </c>
      <c r="B218" t="s">
        <v>875</v>
      </c>
      <c r="C218">
        <v>2018</v>
      </c>
      <c r="U218" t="str">
        <f>VLOOKUP(Tabell6[[#This Row],[Nät]],Tabell5[],2,FALSE)</f>
        <v>Henån</v>
      </c>
    </row>
    <row r="219" spans="1:21" ht="15" customHeight="1" x14ac:dyDescent="0.25">
      <c r="A219" t="s">
        <v>685</v>
      </c>
      <c r="B219" t="s">
        <v>227</v>
      </c>
      <c r="C219">
        <v>2018</v>
      </c>
      <c r="D219">
        <v>148.6</v>
      </c>
      <c r="E219">
        <v>58.6</v>
      </c>
      <c r="F219">
        <v>4.9000000000000004</v>
      </c>
      <c r="G219">
        <v>56.3</v>
      </c>
      <c r="H219">
        <v>16.7</v>
      </c>
      <c r="I219">
        <v>16.399999999999999</v>
      </c>
      <c r="J219">
        <v>12.4</v>
      </c>
      <c r="K219">
        <v>0</v>
      </c>
      <c r="L219">
        <v>0</v>
      </c>
      <c r="M219">
        <v>55.5</v>
      </c>
      <c r="N219" t="s">
        <v>805</v>
      </c>
      <c r="P219" t="s">
        <v>805</v>
      </c>
      <c r="R219" t="s">
        <v>805</v>
      </c>
      <c r="T219">
        <f>Tabell6[[#This Row],[Såld värme (GWh)]]-Tabell6[[#This Row],[Levererad värme, andra fjärrvärmeförag, förag 1 (GWh)]]-Tabell6[[#This Row],[Levererad värme, andra fjärrvärmeförag, förag 2 (GWh)]]-Tabell6[[#This Row],[Levererad värme, andra fjärrvärmeförag, förag 3 (GWh)]]</f>
        <v>148.6</v>
      </c>
      <c r="U219" t="str">
        <f>VLOOKUP(Tabell6[[#This Row],[Nät]],Tabell5[],2,FALSE)</f>
        <v>Oskarshamn</v>
      </c>
    </row>
    <row r="220" spans="1:21" ht="15" customHeight="1" x14ac:dyDescent="0.25">
      <c r="A220" t="s">
        <v>686</v>
      </c>
      <c r="B220" t="s">
        <v>228</v>
      </c>
      <c r="C220">
        <v>2018</v>
      </c>
      <c r="D220">
        <v>82.9</v>
      </c>
      <c r="E220">
        <v>35</v>
      </c>
      <c r="F220">
        <v>23.1</v>
      </c>
      <c r="G220">
        <v>10.199999999999999</v>
      </c>
      <c r="I220">
        <v>9.6</v>
      </c>
      <c r="J220">
        <v>5</v>
      </c>
      <c r="N220" t="s">
        <v>805</v>
      </c>
      <c r="P220" t="s">
        <v>805</v>
      </c>
      <c r="R220" t="s">
        <v>805</v>
      </c>
      <c r="T220">
        <f>Tabell6[[#This Row],[Såld värme (GWh)]]-Tabell6[[#This Row],[Levererad värme, andra fjärrvärmeförag, förag 1 (GWh)]]-Tabell6[[#This Row],[Levererad värme, andra fjärrvärmeförag, förag 2 (GWh)]]-Tabell6[[#This Row],[Levererad värme, andra fjärrvärmeförag, förag 3 (GWh)]]</f>
        <v>82.9</v>
      </c>
      <c r="U220" t="str">
        <f>VLOOKUP(Tabell6[[#This Row],[Nät]],Tabell5[],2,FALSE)</f>
        <v>Oxelösund</v>
      </c>
    </row>
    <row r="221" spans="1:21" ht="15" customHeight="1" x14ac:dyDescent="0.25">
      <c r="A221" t="s">
        <v>876</v>
      </c>
      <c r="B221" t="s">
        <v>412</v>
      </c>
      <c r="C221">
        <v>2018</v>
      </c>
      <c r="U221" t="str">
        <f>VLOOKUP(Tabell6[[#This Row],[Nät]],Tabell5[],2,FALSE)</f>
        <v>Pajala</v>
      </c>
    </row>
    <row r="222" spans="1:21" s="23" customFormat="1" ht="15" customHeight="1" x14ac:dyDescent="0.25">
      <c r="A222" s="23" t="s">
        <v>813</v>
      </c>
      <c r="B222" s="23" t="s">
        <v>932</v>
      </c>
      <c r="C222" s="23">
        <v>2018</v>
      </c>
      <c r="D222" s="23">
        <v>158</v>
      </c>
      <c r="E222" s="23">
        <v>81</v>
      </c>
      <c r="F222" s="23">
        <v>39</v>
      </c>
      <c r="G222" s="23">
        <v>7</v>
      </c>
      <c r="H222" s="23">
        <v>0</v>
      </c>
      <c r="I222" s="23">
        <v>12</v>
      </c>
      <c r="J222" s="23">
        <v>19</v>
      </c>
      <c r="K222" s="23">
        <v>0</v>
      </c>
      <c r="L222" s="23">
        <v>0</v>
      </c>
      <c r="M222" s="23">
        <v>0</v>
      </c>
      <c r="T222" s="23">
        <f>Tabell6[[#This Row],[Såld värme (GWh)]]-Tabell6[[#This Row],[Levererad värme, andra fjärrvärmeförag, förag 1 (GWh)]]-Tabell6[[#This Row],[Levererad värme, andra fjärrvärmeförag, förag 2 (GWh)]]-Tabell6[[#This Row],[Levererad värme, andra fjärrvärmeförag, förag 3 (GWh)]]</f>
        <v>158</v>
      </c>
      <c r="U222" s="23" t="str">
        <f>VLOOKUP(Tabell6[[#This Row],[Nät]],Tabell5[],2,FALSE)</f>
        <v>Partille</v>
      </c>
    </row>
    <row r="223" spans="1:21" ht="15" customHeight="1" x14ac:dyDescent="0.25">
      <c r="A223" t="s">
        <v>877</v>
      </c>
      <c r="B223" t="s">
        <v>496</v>
      </c>
      <c r="C223">
        <v>2018</v>
      </c>
      <c r="U223" t="str">
        <f>VLOOKUP(Tabell6[[#This Row],[Nät]],Tabell5[],2,FALSE)</f>
        <v>Bångbro</v>
      </c>
    </row>
    <row r="224" spans="1:21" ht="15" customHeight="1" x14ac:dyDescent="0.25">
      <c r="A224" t="s">
        <v>877</v>
      </c>
      <c r="B224" t="s">
        <v>127</v>
      </c>
      <c r="C224">
        <v>2018</v>
      </c>
      <c r="U224" t="str">
        <f>VLOOKUP(Tabell6[[#This Row],[Nät]],Tabell5[],2,FALSE)</f>
        <v>Näsviken</v>
      </c>
    </row>
    <row r="225" spans="1:21" ht="15" customHeight="1" x14ac:dyDescent="0.25">
      <c r="A225" t="s">
        <v>877</v>
      </c>
      <c r="B225" t="s">
        <v>438</v>
      </c>
      <c r="C225">
        <v>2018</v>
      </c>
      <c r="U225" t="str">
        <f>VLOOKUP(Tabell6[[#This Row],[Nät]],Tabell5[],2,FALSE)</f>
        <v>Älvdalen</v>
      </c>
    </row>
    <row r="226" spans="1:21" ht="15" customHeight="1" x14ac:dyDescent="0.25">
      <c r="A226" t="s">
        <v>687</v>
      </c>
      <c r="B226" t="s">
        <v>229</v>
      </c>
      <c r="C226">
        <v>2018</v>
      </c>
      <c r="D226">
        <v>45.8</v>
      </c>
      <c r="E226">
        <v>18.7</v>
      </c>
      <c r="F226">
        <v>16.399999999999999</v>
      </c>
      <c r="G226">
        <v>3.1</v>
      </c>
      <c r="H226">
        <v>0</v>
      </c>
      <c r="I226">
        <v>6.3</v>
      </c>
      <c r="J226">
        <v>1.3</v>
      </c>
      <c r="K226">
        <v>0</v>
      </c>
      <c r="L226">
        <v>0</v>
      </c>
      <c r="M226">
        <v>0</v>
      </c>
      <c r="T226">
        <f>Tabell6[[#This Row],[Såld värme (GWh)]]-Tabell6[[#This Row],[Levererad värme, andra fjärrvärmeförag, förag 1 (GWh)]]-Tabell6[[#This Row],[Levererad värme, andra fjärrvärmeförag, förag 2 (GWh)]]-Tabell6[[#This Row],[Levererad värme, andra fjärrvärmeförag, förag 3 (GWh)]]</f>
        <v>45.8</v>
      </c>
      <c r="U226" t="str">
        <f>VLOOKUP(Tabell6[[#This Row],[Nät]],Tabell5[],2,FALSE)</f>
        <v>Perstorp</v>
      </c>
    </row>
    <row r="227" spans="1:21" ht="15" customHeight="1" x14ac:dyDescent="0.25">
      <c r="A227" t="s">
        <v>678</v>
      </c>
      <c r="B227" t="s">
        <v>232</v>
      </c>
      <c r="C227">
        <v>2018</v>
      </c>
      <c r="D227">
        <v>6.06</v>
      </c>
      <c r="E227">
        <v>2.09</v>
      </c>
      <c r="F227">
        <v>1.58</v>
      </c>
      <c r="I227">
        <v>1.87</v>
      </c>
      <c r="J227">
        <v>0.52</v>
      </c>
      <c r="N227" t="s">
        <v>805</v>
      </c>
      <c r="P227" t="s">
        <v>805</v>
      </c>
      <c r="R227" t="s">
        <v>805</v>
      </c>
      <c r="T227">
        <f>Tabell6[[#This Row],[Såld värme (GWh)]]-Tabell6[[#This Row],[Levererad värme, andra fjärrvärmeförag, förag 1 (GWh)]]-Tabell6[[#This Row],[Levererad värme, andra fjärrvärmeförag, förag 2 (GWh)]]-Tabell6[[#This Row],[Levererad värme, andra fjärrvärmeförag, förag 3 (GWh)]]</f>
        <v>6.06</v>
      </c>
      <c r="U227" t="str">
        <f>VLOOKUP(Tabell6[[#This Row],[Nät]],Tabell5[],2,FALSE)</f>
        <v>Norrfjärden</v>
      </c>
    </row>
    <row r="228" spans="1:21" ht="15" customHeight="1" x14ac:dyDescent="0.25">
      <c r="A228" t="s">
        <v>678</v>
      </c>
      <c r="B228" t="s">
        <v>230</v>
      </c>
      <c r="C228">
        <v>2018</v>
      </c>
      <c r="D228">
        <v>246.8</v>
      </c>
      <c r="E228">
        <v>80.7</v>
      </c>
      <c r="F228">
        <v>69</v>
      </c>
      <c r="G228">
        <v>18.100000000000001</v>
      </c>
      <c r="I228">
        <v>40</v>
      </c>
      <c r="J228">
        <v>36.200000000000003</v>
      </c>
      <c r="K228">
        <v>2.76</v>
      </c>
      <c r="N228" t="s">
        <v>805</v>
      </c>
      <c r="P228" t="s">
        <v>805</v>
      </c>
      <c r="R228" t="s">
        <v>805</v>
      </c>
      <c r="T228">
        <f>Tabell6[[#This Row],[Såld värme (GWh)]]-Tabell6[[#This Row],[Levererad värme, andra fjärrvärmeförag, förag 1 (GWh)]]-Tabell6[[#This Row],[Levererad värme, andra fjärrvärmeförag, förag 2 (GWh)]]-Tabell6[[#This Row],[Levererad värme, andra fjärrvärmeförag, förag 3 (GWh)]]</f>
        <v>246.8</v>
      </c>
      <c r="U228" t="str">
        <f>VLOOKUP(Tabell6[[#This Row],[Nät]],Tabell5[],2,FALSE)</f>
        <v>Piteå</v>
      </c>
    </row>
    <row r="229" spans="1:21" ht="15" customHeight="1" x14ac:dyDescent="0.25">
      <c r="A229" t="s">
        <v>678</v>
      </c>
      <c r="B229" t="s">
        <v>233</v>
      </c>
      <c r="C229">
        <v>2018</v>
      </c>
      <c r="D229">
        <v>1.468</v>
      </c>
      <c r="E229">
        <v>0.69299999999999995</v>
      </c>
      <c r="I229">
        <v>0.63900000000000001</v>
      </c>
      <c r="J229">
        <v>0.13600000000000001</v>
      </c>
      <c r="N229" t="s">
        <v>805</v>
      </c>
      <c r="P229" t="s">
        <v>805</v>
      </c>
      <c r="R229" t="s">
        <v>805</v>
      </c>
      <c r="T229">
        <f>Tabell6[[#This Row],[Såld värme (GWh)]]-Tabell6[[#This Row],[Levererad värme, andra fjärrvärmeförag, förag 1 (GWh)]]-Tabell6[[#This Row],[Levererad värme, andra fjärrvärmeförag, förag 2 (GWh)]]-Tabell6[[#This Row],[Levererad värme, andra fjärrvärmeförag, förag 3 (GWh)]]</f>
        <v>1.468</v>
      </c>
      <c r="U229" t="str">
        <f>VLOOKUP(Tabell6[[#This Row],[Nät]],Tabell5[],2,FALSE)</f>
        <v>Rosvik</v>
      </c>
    </row>
    <row r="230" spans="1:21" ht="15" customHeight="1" x14ac:dyDescent="0.25">
      <c r="A230" t="s">
        <v>678</v>
      </c>
      <c r="B230" t="s">
        <v>234</v>
      </c>
      <c r="C230">
        <v>2018</v>
      </c>
      <c r="D230">
        <v>2.09</v>
      </c>
      <c r="E230">
        <v>0.59</v>
      </c>
      <c r="F230">
        <v>0.151</v>
      </c>
      <c r="I230">
        <v>1.29</v>
      </c>
      <c r="J230">
        <v>6.3E-2</v>
      </c>
      <c r="N230" t="s">
        <v>805</v>
      </c>
      <c r="P230" t="s">
        <v>805</v>
      </c>
      <c r="R230" t="s">
        <v>805</v>
      </c>
      <c r="T230">
        <f>Tabell6[[#This Row],[Såld värme (GWh)]]-Tabell6[[#This Row],[Levererad värme, andra fjärrvärmeförag, förag 1 (GWh)]]-Tabell6[[#This Row],[Levererad värme, andra fjärrvärmeförag, förag 2 (GWh)]]-Tabell6[[#This Row],[Levererad värme, andra fjärrvärmeförag, förag 3 (GWh)]]</f>
        <v>2.09</v>
      </c>
      <c r="U230" t="str">
        <f>VLOOKUP(Tabell6[[#This Row],[Nät]],Tabell5[],2,FALSE)</f>
        <v>Sjulnäs</v>
      </c>
    </row>
    <row r="231" spans="1:21" ht="15" customHeight="1" x14ac:dyDescent="0.25">
      <c r="A231" t="s">
        <v>623</v>
      </c>
      <c r="B231" t="s">
        <v>533</v>
      </c>
      <c r="C231">
        <v>2018</v>
      </c>
      <c r="U231" t="str">
        <f>VLOOKUP(Tabell6[[#This Row],[Nät]],Tabell5[],2,FALSE)</f>
        <v>Hammarstrand</v>
      </c>
    </row>
    <row r="232" spans="1:21" ht="15" customHeight="1" x14ac:dyDescent="0.25">
      <c r="A232" t="s">
        <v>581</v>
      </c>
      <c r="B232" t="s">
        <v>250</v>
      </c>
      <c r="C232">
        <v>2018</v>
      </c>
      <c r="D232">
        <v>14.6</v>
      </c>
      <c r="E232">
        <v>3</v>
      </c>
      <c r="F232">
        <v>4.2</v>
      </c>
      <c r="G232">
        <v>3.5</v>
      </c>
      <c r="H232">
        <v>0</v>
      </c>
      <c r="I232">
        <v>3.9</v>
      </c>
      <c r="J232">
        <v>0</v>
      </c>
      <c r="K232">
        <v>0</v>
      </c>
      <c r="N232" t="s">
        <v>805</v>
      </c>
      <c r="P232" t="s">
        <v>805</v>
      </c>
      <c r="R232" t="s">
        <v>805</v>
      </c>
      <c r="T232">
        <f>Tabell6[[#This Row],[Såld värme (GWh)]]-Tabell6[[#This Row],[Levererad värme, andra fjärrvärmeförag, förag 1 (GWh)]]-Tabell6[[#This Row],[Levererad värme, andra fjärrvärmeförag, förag 2 (GWh)]]-Tabell6[[#This Row],[Levererad värme, andra fjärrvärmeförag, förag 3 (GWh)]]</f>
        <v>14.6</v>
      </c>
      <c r="U232" t="str">
        <f>VLOOKUP(Tabell6[[#This Row],[Nät]],Tabell5[],2,FALSE)</f>
        <v>Bräkne-Hoby</v>
      </c>
    </row>
    <row r="233" spans="1:21" ht="15" customHeight="1" x14ac:dyDescent="0.25">
      <c r="A233" t="s">
        <v>581</v>
      </c>
      <c r="B233" t="s">
        <v>414</v>
      </c>
      <c r="C233">
        <v>2018</v>
      </c>
      <c r="D233">
        <v>106.9</v>
      </c>
      <c r="E233">
        <v>69.7</v>
      </c>
      <c r="F233">
        <v>7.7</v>
      </c>
      <c r="G233">
        <v>10.4</v>
      </c>
      <c r="H233">
        <v>0</v>
      </c>
      <c r="I233">
        <v>16.2</v>
      </c>
      <c r="J233">
        <v>2.6</v>
      </c>
      <c r="L233">
        <v>0.3</v>
      </c>
      <c r="N233" t="s">
        <v>805</v>
      </c>
      <c r="P233" t="s">
        <v>805</v>
      </c>
      <c r="R233" t="s">
        <v>805</v>
      </c>
      <c r="T233">
        <f>Tabell6[[#This Row],[Såld värme (GWh)]]-Tabell6[[#This Row],[Levererad värme, andra fjärrvärmeförag, förag 1 (GWh)]]-Tabell6[[#This Row],[Levererad värme, andra fjärrvärmeförag, förag 2 (GWh)]]-Tabell6[[#This Row],[Levererad värme, andra fjärrvärmeförag, förag 3 (GWh)]]</f>
        <v>106.9</v>
      </c>
      <c r="U233" t="str">
        <f>VLOOKUP(Tabell6[[#This Row],[Nät]],Tabell5[],2,FALSE)</f>
        <v>Ronneby-Kallinge</v>
      </c>
    </row>
    <row r="234" spans="1:21" ht="15" customHeight="1" x14ac:dyDescent="0.25">
      <c r="A234" t="s">
        <v>992</v>
      </c>
      <c r="B234" t="s">
        <v>252</v>
      </c>
      <c r="C234">
        <v>2018</v>
      </c>
      <c r="D234">
        <v>44.9</v>
      </c>
      <c r="E234">
        <v>17.3</v>
      </c>
      <c r="F234">
        <v>8.6999999999999993</v>
      </c>
      <c r="G234">
        <v>1.6</v>
      </c>
      <c r="I234">
        <v>9.6999999999999993</v>
      </c>
      <c r="J234">
        <v>7.5</v>
      </c>
      <c r="L234" t="s">
        <v>804</v>
      </c>
      <c r="M234" t="s">
        <v>804</v>
      </c>
      <c r="N234" t="s">
        <v>805</v>
      </c>
      <c r="P234" t="s">
        <v>805</v>
      </c>
      <c r="R234" t="s">
        <v>805</v>
      </c>
      <c r="T234">
        <f>Tabell6[[#This Row],[Såld värme (GWh)]]-Tabell6[[#This Row],[Levererad värme, andra fjärrvärmeförag, förag 1 (GWh)]]-Tabell6[[#This Row],[Levererad värme, andra fjärrvärmeförag, förag 2 (GWh)]]-Tabell6[[#This Row],[Levererad värme, andra fjärrvärmeförag, förag 3 (GWh)]]</f>
        <v>44.9</v>
      </c>
      <c r="U234" t="str">
        <f>VLOOKUP(Tabell6[[#This Row],[Nät]],Tabell5[],2,FALSE)</f>
        <v>Rättvik</v>
      </c>
    </row>
    <row r="235" spans="1:21" ht="15" customHeight="1" x14ac:dyDescent="0.25">
      <c r="A235" t="s">
        <v>625</v>
      </c>
      <c r="B235" t="s">
        <v>693</v>
      </c>
      <c r="C235">
        <v>2018</v>
      </c>
      <c r="D235">
        <v>146.04</v>
      </c>
      <c r="E235">
        <v>62.7</v>
      </c>
      <c r="F235">
        <v>18.03</v>
      </c>
      <c r="G235">
        <v>6.05</v>
      </c>
      <c r="I235">
        <v>36.81</v>
      </c>
      <c r="J235">
        <v>21.19</v>
      </c>
      <c r="K235">
        <v>1.26</v>
      </c>
      <c r="L235" t="s">
        <v>804</v>
      </c>
      <c r="M235" t="s">
        <v>804</v>
      </c>
      <c r="N235" t="s">
        <v>805</v>
      </c>
      <c r="P235" t="s">
        <v>805</v>
      </c>
      <c r="R235" t="s">
        <v>805</v>
      </c>
      <c r="T235">
        <f>Tabell6[[#This Row],[Såld värme (GWh)]]-Tabell6[[#This Row],[Levererad värme, andra fjärrvärmeförag, förag 1 (GWh)]]-Tabell6[[#This Row],[Levererad värme, andra fjärrvärmeförag, förag 2 (GWh)]]-Tabell6[[#This Row],[Levererad värme, andra fjärrvärmeförag, förag 3 (GWh)]]</f>
        <v>146.04</v>
      </c>
      <c r="U235" t="str">
        <f>VLOOKUP(Tabell6[[#This Row],[Nät]],Tabell5[],2,FALSE)</f>
        <v>Sala-Heby</v>
      </c>
    </row>
    <row r="236" spans="1:21" ht="15" customHeight="1" x14ac:dyDescent="0.25">
      <c r="A236" t="s">
        <v>694</v>
      </c>
      <c r="B236" t="s">
        <v>255</v>
      </c>
      <c r="C236">
        <v>2018</v>
      </c>
      <c r="D236">
        <v>215</v>
      </c>
      <c r="E236">
        <v>99</v>
      </c>
      <c r="F236">
        <v>39</v>
      </c>
      <c r="G236">
        <v>21</v>
      </c>
      <c r="I236">
        <v>23</v>
      </c>
      <c r="J236">
        <v>30</v>
      </c>
      <c r="K236">
        <v>1.9</v>
      </c>
      <c r="N236" t="s">
        <v>805</v>
      </c>
      <c r="P236" t="s">
        <v>805</v>
      </c>
      <c r="R236" t="s">
        <v>805</v>
      </c>
      <c r="T236">
        <f>Tabell6[[#This Row],[Såld värme (GWh)]]-Tabell6[[#This Row],[Levererad värme, andra fjärrvärmeförag, förag 1 (GWh)]]-Tabell6[[#This Row],[Levererad värme, andra fjärrvärmeförag, förag 2 (GWh)]]-Tabell6[[#This Row],[Levererad värme, andra fjärrvärmeförag, förag 3 (GWh)]]</f>
        <v>215</v>
      </c>
      <c r="U236" t="str">
        <f>VLOOKUP(Tabell6[[#This Row],[Nät]],Tabell5[],2,FALSE)</f>
        <v>Sandviken</v>
      </c>
    </row>
    <row r="237" spans="1:21" ht="15" customHeight="1" x14ac:dyDescent="0.25">
      <c r="A237" t="s">
        <v>993</v>
      </c>
      <c r="B237" t="s">
        <v>285</v>
      </c>
      <c r="C237">
        <v>2018</v>
      </c>
      <c r="D237">
        <v>149.37200000000001</v>
      </c>
      <c r="E237">
        <v>77.292000000000002</v>
      </c>
      <c r="F237">
        <v>13.98</v>
      </c>
      <c r="G237">
        <v>22.468</v>
      </c>
      <c r="H237">
        <v>18.803999999999998</v>
      </c>
      <c r="I237">
        <v>15.510999999999999</v>
      </c>
      <c r="J237">
        <v>19.024999999999999</v>
      </c>
      <c r="K237">
        <v>0.159</v>
      </c>
      <c r="L237">
        <v>0.80200000000000005</v>
      </c>
      <c r="N237" t="s">
        <v>805</v>
      </c>
      <c r="P237" t="s">
        <v>805</v>
      </c>
      <c r="R237" t="s">
        <v>805</v>
      </c>
      <c r="T237">
        <f>Tabell6[[#This Row],[Såld värme (GWh)]]-Tabell6[[#This Row],[Levererad värme, andra fjärrvärmeförag, förag 1 (GWh)]]-Tabell6[[#This Row],[Levererad värme, andra fjärrvärmeförag, förag 2 (GWh)]]-Tabell6[[#This Row],[Levererad värme, andra fjärrvärmeförag, förag 3 (GWh)]]</f>
        <v>149.37200000000001</v>
      </c>
      <c r="U237" t="str">
        <f>VLOOKUP(Tabell6[[#This Row],[Nät]],Tabell5[],2,FALSE)</f>
        <v>Strängnäs</v>
      </c>
    </row>
    <row r="238" spans="1:21" ht="15" customHeight="1" x14ac:dyDescent="0.25">
      <c r="A238" t="s">
        <v>696</v>
      </c>
      <c r="B238" t="s">
        <v>256</v>
      </c>
      <c r="C238">
        <v>2018</v>
      </c>
      <c r="D238">
        <v>88.4</v>
      </c>
      <c r="E238">
        <v>44.8</v>
      </c>
      <c r="F238">
        <v>5.0999999999999996</v>
      </c>
      <c r="G238">
        <v>11.7</v>
      </c>
      <c r="H238">
        <v>0</v>
      </c>
      <c r="I238">
        <v>2.1</v>
      </c>
      <c r="J238">
        <v>23.7</v>
      </c>
      <c r="K238">
        <v>0</v>
      </c>
      <c r="L238">
        <v>1</v>
      </c>
      <c r="M238">
        <v>0</v>
      </c>
      <c r="N238" t="s">
        <v>805</v>
      </c>
      <c r="P238" t="s">
        <v>805</v>
      </c>
      <c r="R238" t="s">
        <v>805</v>
      </c>
      <c r="T238">
        <f>Tabell6[[#This Row],[Såld värme (GWh)]]-Tabell6[[#This Row],[Levererad värme, andra fjärrvärmeförag, förag 1 (GWh)]]-Tabell6[[#This Row],[Levererad värme, andra fjärrvärmeförag, förag 2 (GWh)]]-Tabell6[[#This Row],[Levererad värme, andra fjärrvärmeförag, förag 3 (GWh)]]</f>
        <v>88.4</v>
      </c>
      <c r="U238" t="str">
        <f>VLOOKUP(Tabell6[[#This Row],[Nät]],Tabell5[],2,FALSE)</f>
        <v>Skara</v>
      </c>
    </row>
    <row r="239" spans="1:21" ht="15" customHeight="1" x14ac:dyDescent="0.25">
      <c r="A239" t="s">
        <v>571</v>
      </c>
      <c r="B239" t="s">
        <v>263</v>
      </c>
      <c r="C239">
        <v>2018</v>
      </c>
      <c r="D239">
        <v>7.9029999999999996</v>
      </c>
      <c r="E239">
        <v>4.4850000000000003</v>
      </c>
      <c r="F239">
        <v>0.434</v>
      </c>
      <c r="G239">
        <v>0.20499999999999999</v>
      </c>
      <c r="I239">
        <v>2.1640000000000001</v>
      </c>
      <c r="J239">
        <v>0.61499999999999999</v>
      </c>
      <c r="N239" t="s">
        <v>805</v>
      </c>
      <c r="P239" t="s">
        <v>805</v>
      </c>
      <c r="R239" t="s">
        <v>805</v>
      </c>
      <c r="T239">
        <f>Tabell6[[#This Row],[Såld värme (GWh)]]-Tabell6[[#This Row],[Levererad värme, andra fjärrvärmeförag, förag 1 (GWh)]]-Tabell6[[#This Row],[Levererad värme, andra fjärrvärmeförag, förag 2 (GWh)]]-Tabell6[[#This Row],[Levererad värme, andra fjärrvärmeförag, förag 3 (GWh)]]</f>
        <v>7.9029999999999996</v>
      </c>
      <c r="U239" t="str">
        <f>VLOOKUP(Tabell6[[#This Row],[Nät]],Tabell5[],2,FALSE)</f>
        <v>Boliden</v>
      </c>
    </row>
    <row r="240" spans="1:21" ht="15" customHeight="1" x14ac:dyDescent="0.25">
      <c r="A240" t="s">
        <v>571</v>
      </c>
      <c r="B240" t="s">
        <v>264</v>
      </c>
      <c r="C240">
        <v>2018</v>
      </c>
      <c r="D240">
        <v>7.8559999999999999</v>
      </c>
      <c r="E240">
        <v>1.387</v>
      </c>
      <c r="F240">
        <v>1.087</v>
      </c>
      <c r="G240">
        <v>0</v>
      </c>
      <c r="I240">
        <v>4.367</v>
      </c>
      <c r="J240">
        <v>1.0149999999999999</v>
      </c>
      <c r="N240" t="s">
        <v>805</v>
      </c>
      <c r="P240" t="s">
        <v>805</v>
      </c>
      <c r="R240" t="s">
        <v>805</v>
      </c>
      <c r="T240">
        <f>Tabell6[[#This Row],[Såld värme (GWh)]]-Tabell6[[#This Row],[Levererad värme, andra fjärrvärmeförag, förag 1 (GWh)]]-Tabell6[[#This Row],[Levererad värme, andra fjärrvärmeförag, förag 2 (GWh)]]-Tabell6[[#This Row],[Levererad värme, andra fjärrvärmeförag, förag 3 (GWh)]]</f>
        <v>7.8559999999999999</v>
      </c>
      <c r="U240" t="str">
        <f>VLOOKUP(Tabell6[[#This Row],[Nät]],Tabell5[],2,FALSE)</f>
        <v>Bureå</v>
      </c>
    </row>
    <row r="241" spans="1:21" ht="15" customHeight="1" x14ac:dyDescent="0.25">
      <c r="A241" t="s">
        <v>571</v>
      </c>
      <c r="B241" t="s">
        <v>265</v>
      </c>
      <c r="C241">
        <v>2018</v>
      </c>
      <c r="D241">
        <v>15.5</v>
      </c>
      <c r="E241">
        <v>2.4860000000000002</v>
      </c>
      <c r="F241">
        <v>3.4790000000000001</v>
      </c>
      <c r="G241">
        <v>3.0819999999999999</v>
      </c>
      <c r="I241">
        <v>5.5860000000000003</v>
      </c>
      <c r="J241">
        <v>0.86599999999999999</v>
      </c>
      <c r="N241" t="s">
        <v>805</v>
      </c>
      <c r="P241" t="s">
        <v>805</v>
      </c>
      <c r="R241" t="s">
        <v>805</v>
      </c>
      <c r="T241">
        <f>Tabell6[[#This Row],[Såld värme (GWh)]]-Tabell6[[#This Row],[Levererad värme, andra fjärrvärmeförag, förag 1 (GWh)]]-Tabell6[[#This Row],[Levererad värme, andra fjärrvärmeförag, förag 2 (GWh)]]-Tabell6[[#This Row],[Levererad värme, andra fjärrvärmeförag, förag 3 (GWh)]]</f>
        <v>15.5</v>
      </c>
      <c r="U241" t="str">
        <f>VLOOKUP(Tabell6[[#This Row],[Nät]],Tabell5[],2,FALSE)</f>
        <v>Burträsk</v>
      </c>
    </row>
    <row r="242" spans="1:21" ht="15" customHeight="1" x14ac:dyDescent="0.25">
      <c r="A242" t="s">
        <v>571</v>
      </c>
      <c r="B242" t="s">
        <v>266</v>
      </c>
      <c r="C242">
        <v>2018</v>
      </c>
      <c r="D242">
        <v>10.94</v>
      </c>
      <c r="E242">
        <v>2.7</v>
      </c>
      <c r="F242">
        <v>0.57799999999999996</v>
      </c>
      <c r="G242">
        <v>4.5490000000000004</v>
      </c>
      <c r="I242">
        <v>2.9260000000000002</v>
      </c>
      <c r="J242">
        <v>0.187</v>
      </c>
      <c r="N242" t="s">
        <v>805</v>
      </c>
      <c r="P242" t="s">
        <v>805</v>
      </c>
      <c r="R242" t="s">
        <v>805</v>
      </c>
      <c r="T242">
        <f>Tabell6[[#This Row],[Såld värme (GWh)]]-Tabell6[[#This Row],[Levererad värme, andra fjärrvärmeförag, förag 1 (GWh)]]-Tabell6[[#This Row],[Levererad värme, andra fjärrvärmeförag, förag 2 (GWh)]]-Tabell6[[#This Row],[Levererad värme, andra fjärrvärmeförag, förag 3 (GWh)]]</f>
        <v>10.94</v>
      </c>
      <c r="U242" t="str">
        <f>VLOOKUP(Tabell6[[#This Row],[Nät]],Tabell5[],2,FALSE)</f>
        <v>Byske</v>
      </c>
    </row>
    <row r="243" spans="1:21" ht="15" customHeight="1" x14ac:dyDescent="0.25">
      <c r="A243" t="s">
        <v>571</v>
      </c>
      <c r="B243" t="s">
        <v>267</v>
      </c>
      <c r="C243">
        <v>2018</v>
      </c>
      <c r="D243">
        <v>6.87</v>
      </c>
      <c r="E243">
        <v>2.4180000000000001</v>
      </c>
      <c r="F243">
        <v>0.38200000000000001</v>
      </c>
      <c r="I243">
        <v>3.0739999999999998</v>
      </c>
      <c r="J243">
        <v>0.996</v>
      </c>
      <c r="N243" t="s">
        <v>805</v>
      </c>
      <c r="P243" t="s">
        <v>805</v>
      </c>
      <c r="R243" t="s">
        <v>805</v>
      </c>
      <c r="T243">
        <f>Tabell6[[#This Row],[Såld värme (GWh)]]-Tabell6[[#This Row],[Levererad värme, andra fjärrvärmeförag, förag 1 (GWh)]]-Tabell6[[#This Row],[Levererad värme, andra fjärrvärmeförag, förag 2 (GWh)]]-Tabell6[[#This Row],[Levererad värme, andra fjärrvärmeförag, förag 3 (GWh)]]</f>
        <v>6.87</v>
      </c>
      <c r="U243" t="str">
        <f>VLOOKUP(Tabell6[[#This Row],[Nät]],Tabell5[],2,FALSE)</f>
        <v>Jörn</v>
      </c>
    </row>
    <row r="244" spans="1:21" ht="15" customHeight="1" x14ac:dyDescent="0.25">
      <c r="A244" t="s">
        <v>571</v>
      </c>
      <c r="B244" t="s">
        <v>652</v>
      </c>
      <c r="C244">
        <v>2018</v>
      </c>
      <c r="N244" t="s">
        <v>805</v>
      </c>
      <c r="P244" t="s">
        <v>805</v>
      </c>
      <c r="R244" t="s">
        <v>805</v>
      </c>
      <c r="T244">
        <f>Tabell6[[#This Row],[Såld värme (GWh)]]-Tabell6[[#This Row],[Levererad värme, andra fjärrvärmeförag, förag 1 (GWh)]]-Tabell6[[#This Row],[Levererad värme, andra fjärrvärmeförag, förag 2 (GWh)]]-Tabell6[[#This Row],[Levererad värme, andra fjärrvärmeförag, förag 3 (GWh)]]</f>
        <v>0</v>
      </c>
    </row>
    <row r="245" spans="1:21" ht="15" customHeight="1" x14ac:dyDescent="0.25">
      <c r="A245" t="s">
        <v>571</v>
      </c>
      <c r="B245" t="s">
        <v>269</v>
      </c>
      <c r="C245">
        <v>2018</v>
      </c>
      <c r="D245">
        <v>5.27</v>
      </c>
      <c r="E245">
        <v>2.677</v>
      </c>
      <c r="F245">
        <v>0.49399999999999999</v>
      </c>
      <c r="I245">
        <v>1.75</v>
      </c>
      <c r="J245">
        <v>0.34899999999999998</v>
      </c>
      <c r="N245" t="s">
        <v>805</v>
      </c>
      <c r="P245" t="s">
        <v>805</v>
      </c>
      <c r="R245" t="s">
        <v>805</v>
      </c>
      <c r="T245">
        <f>Tabell6[[#This Row],[Såld värme (GWh)]]-Tabell6[[#This Row],[Levererad värme, andra fjärrvärmeförag, förag 1 (GWh)]]-Tabell6[[#This Row],[Levererad värme, andra fjärrvärmeförag, förag 2 (GWh)]]-Tabell6[[#This Row],[Levererad värme, andra fjärrvärmeförag, förag 3 (GWh)]]</f>
        <v>5.27</v>
      </c>
      <c r="U245" t="str">
        <f>VLOOKUP(Tabell6[[#This Row],[Nät]],Tabell5[],2,FALSE)</f>
        <v>Kåge</v>
      </c>
    </row>
    <row r="246" spans="1:21" ht="15" customHeight="1" x14ac:dyDescent="0.25">
      <c r="A246" t="s">
        <v>571</v>
      </c>
      <c r="B246" t="s">
        <v>270</v>
      </c>
      <c r="C246">
        <v>2018</v>
      </c>
      <c r="D246">
        <v>2.855</v>
      </c>
      <c r="G246">
        <v>2.452</v>
      </c>
      <c r="I246">
        <v>0.34499999999999997</v>
      </c>
      <c r="J246">
        <v>5.8999999999999997E-2</v>
      </c>
      <c r="N246" t="s">
        <v>805</v>
      </c>
      <c r="P246" t="s">
        <v>805</v>
      </c>
      <c r="R246" t="s">
        <v>805</v>
      </c>
      <c r="T246">
        <f>Tabell6[[#This Row],[Såld värme (GWh)]]-Tabell6[[#This Row],[Levererad värme, andra fjärrvärmeförag, förag 1 (GWh)]]-Tabell6[[#This Row],[Levererad värme, andra fjärrvärmeförag, förag 2 (GWh)]]-Tabell6[[#This Row],[Levererad värme, andra fjärrvärmeförag, förag 3 (GWh)]]</f>
        <v>2.855</v>
      </c>
      <c r="U246" t="str">
        <f>VLOOKUP(Tabell6[[#This Row],[Nät]],Tabell5[],2,FALSE)</f>
        <v>Lidbacken</v>
      </c>
    </row>
    <row r="247" spans="1:21" ht="15" customHeight="1" x14ac:dyDescent="0.25">
      <c r="A247" t="s">
        <v>571</v>
      </c>
      <c r="B247" t="s">
        <v>259</v>
      </c>
      <c r="C247">
        <v>2018</v>
      </c>
      <c r="D247">
        <v>105.599</v>
      </c>
      <c r="E247">
        <v>31.359000000000002</v>
      </c>
      <c r="F247">
        <v>22.696999999999999</v>
      </c>
      <c r="G247">
        <v>9.7110000000000003</v>
      </c>
      <c r="I247">
        <v>21.512</v>
      </c>
      <c r="J247">
        <v>20.32</v>
      </c>
      <c r="N247" t="s">
        <v>805</v>
      </c>
      <c r="P247" t="s">
        <v>805</v>
      </c>
      <c r="R247" t="s">
        <v>805</v>
      </c>
      <c r="T247">
        <f>Tabell6[[#This Row],[Såld värme (GWh)]]-Tabell6[[#This Row],[Levererad värme, andra fjärrvärmeförag, förag 1 (GWh)]]-Tabell6[[#This Row],[Levererad värme, andra fjärrvärmeförag, förag 2 (GWh)]]-Tabell6[[#This Row],[Levererad värme, andra fjärrvärmeförag, förag 3 (GWh)]]</f>
        <v>105.599</v>
      </c>
      <c r="U247" t="str">
        <f>VLOOKUP(Tabell6[[#This Row],[Nät]],Tabell5[],2,FALSE)</f>
        <v>Lycksele</v>
      </c>
    </row>
    <row r="248" spans="1:21" ht="15" customHeight="1" x14ac:dyDescent="0.25">
      <c r="A248" t="s">
        <v>571</v>
      </c>
      <c r="B248" t="s">
        <v>271</v>
      </c>
      <c r="C248">
        <v>2018</v>
      </c>
      <c r="D248">
        <v>3.2170000000000001</v>
      </c>
      <c r="E248">
        <v>0.38700000000000001</v>
      </c>
      <c r="F248">
        <v>0.13100000000000001</v>
      </c>
      <c r="G248">
        <v>0</v>
      </c>
      <c r="I248">
        <v>2.63</v>
      </c>
      <c r="J248">
        <v>7.0000000000000007E-2</v>
      </c>
      <c r="N248" t="s">
        <v>805</v>
      </c>
      <c r="P248" t="s">
        <v>805</v>
      </c>
      <c r="R248" t="s">
        <v>805</v>
      </c>
      <c r="T248">
        <f>Tabell6[[#This Row],[Såld värme (GWh)]]-Tabell6[[#This Row],[Levererad värme, andra fjärrvärmeförag, förag 1 (GWh)]]-Tabell6[[#This Row],[Levererad värme, andra fjärrvärmeförag, förag 2 (GWh)]]-Tabell6[[#This Row],[Levererad värme, andra fjärrvärmeförag, förag 3 (GWh)]]</f>
        <v>3.2170000000000001</v>
      </c>
      <c r="U248" t="str">
        <f>VLOOKUP(Tabell6[[#This Row],[Nät]],Tabell5[],2,FALSE)</f>
        <v>Lövånger</v>
      </c>
    </row>
    <row r="249" spans="1:21" ht="15" customHeight="1" x14ac:dyDescent="0.25">
      <c r="A249" t="s">
        <v>571</v>
      </c>
      <c r="B249" t="s">
        <v>257</v>
      </c>
      <c r="C249">
        <v>2018</v>
      </c>
      <c r="D249">
        <v>87.786000000000001</v>
      </c>
      <c r="E249">
        <v>4.4770000000000003</v>
      </c>
      <c r="F249">
        <v>4.3090000000000002</v>
      </c>
      <c r="G249">
        <v>72.313000000000002</v>
      </c>
      <c r="I249">
        <v>4.319</v>
      </c>
      <c r="J249">
        <v>2.3690000000000002</v>
      </c>
      <c r="N249" t="s">
        <v>805</v>
      </c>
      <c r="P249" t="s">
        <v>805</v>
      </c>
      <c r="R249" t="s">
        <v>805</v>
      </c>
      <c r="T249">
        <f>Tabell6[[#This Row],[Såld värme (GWh)]]-Tabell6[[#This Row],[Levererad värme, andra fjärrvärmeförag, förag 1 (GWh)]]-Tabell6[[#This Row],[Levererad värme, andra fjärrvärmeförag, förag 2 (GWh)]]-Tabell6[[#This Row],[Levererad värme, andra fjärrvärmeförag, förag 3 (GWh)]]</f>
        <v>87.786000000000001</v>
      </c>
      <c r="U249" t="str">
        <f>VLOOKUP(Tabell6[[#This Row],[Nät]],Tabell5[],2,FALSE)</f>
        <v>Malå</v>
      </c>
    </row>
    <row r="250" spans="1:21" ht="15" customHeight="1" x14ac:dyDescent="0.25">
      <c r="A250" t="s">
        <v>571</v>
      </c>
      <c r="B250" t="s">
        <v>258</v>
      </c>
      <c r="C250">
        <v>2018</v>
      </c>
      <c r="D250">
        <v>13.169</v>
      </c>
      <c r="E250">
        <v>3.1120000000000001</v>
      </c>
      <c r="F250">
        <v>2.0270000000000001</v>
      </c>
      <c r="G250">
        <v>7.2999999999999995E-2</v>
      </c>
      <c r="I250">
        <v>5.6070000000000002</v>
      </c>
      <c r="J250">
        <v>2.35</v>
      </c>
      <c r="N250" t="s">
        <v>805</v>
      </c>
      <c r="P250" t="s">
        <v>805</v>
      </c>
      <c r="R250" t="s">
        <v>805</v>
      </c>
      <c r="T250">
        <f>Tabell6[[#This Row],[Såld värme (GWh)]]-Tabell6[[#This Row],[Levererad värme, andra fjärrvärmeförag, förag 1 (GWh)]]-Tabell6[[#This Row],[Levererad värme, andra fjärrvärmeförag, förag 2 (GWh)]]-Tabell6[[#This Row],[Levererad värme, andra fjärrvärmeförag, förag 3 (GWh)]]</f>
        <v>13.169</v>
      </c>
      <c r="U250" t="str">
        <f>VLOOKUP(Tabell6[[#This Row],[Nät]],Tabell5[],2,FALSE)</f>
        <v>Norsjö</v>
      </c>
    </row>
    <row r="251" spans="1:21" ht="15" customHeight="1" x14ac:dyDescent="0.25">
      <c r="A251" t="s">
        <v>571</v>
      </c>
      <c r="B251" t="s">
        <v>262</v>
      </c>
      <c r="C251">
        <v>2018</v>
      </c>
      <c r="D251">
        <v>9.8339999999999996</v>
      </c>
      <c r="E251">
        <v>1.167</v>
      </c>
      <c r="F251">
        <v>0.78500000000000003</v>
      </c>
      <c r="G251">
        <v>2.2709999999999999</v>
      </c>
      <c r="I251">
        <v>5.0259999999999998</v>
      </c>
      <c r="J251">
        <v>0.58599999999999997</v>
      </c>
      <c r="N251" t="s">
        <v>805</v>
      </c>
      <c r="P251" t="s">
        <v>805</v>
      </c>
      <c r="R251" t="s">
        <v>805</v>
      </c>
      <c r="T251">
        <f>Tabell6[[#This Row],[Såld värme (GWh)]]-Tabell6[[#This Row],[Levererad värme, andra fjärrvärmeförag, förag 1 (GWh)]]-Tabell6[[#This Row],[Levererad värme, andra fjärrvärmeförag, förag 2 (GWh)]]-Tabell6[[#This Row],[Levererad värme, andra fjärrvärmeförag, förag 3 (GWh)]]</f>
        <v>9.8339999999999996</v>
      </c>
      <c r="U251" t="str">
        <f>VLOOKUP(Tabell6[[#This Row],[Nät]],Tabell5[],2,FALSE)</f>
        <v>Robertsfors</v>
      </c>
    </row>
    <row r="252" spans="1:21" ht="15" customHeight="1" x14ac:dyDescent="0.25">
      <c r="A252" t="s">
        <v>571</v>
      </c>
      <c r="B252" t="s">
        <v>261</v>
      </c>
      <c r="C252">
        <v>2018</v>
      </c>
      <c r="D252">
        <v>323.15499999999997</v>
      </c>
      <c r="E252">
        <v>129.63800000000001</v>
      </c>
      <c r="F252">
        <v>52.613</v>
      </c>
      <c r="G252">
        <v>25.725999999999999</v>
      </c>
      <c r="I252">
        <v>59.508000000000003</v>
      </c>
      <c r="J252">
        <v>55.67</v>
      </c>
      <c r="K252">
        <v>6.4870000000000001</v>
      </c>
      <c r="N252" t="s">
        <v>805</v>
      </c>
      <c r="P252" t="s">
        <v>805</v>
      </c>
      <c r="R252" t="s">
        <v>805</v>
      </c>
      <c r="T252">
        <f>Tabell6[[#This Row],[Såld värme (GWh)]]-Tabell6[[#This Row],[Levererad värme, andra fjärrvärmeförag, förag 1 (GWh)]]-Tabell6[[#This Row],[Levererad värme, andra fjärrvärmeförag, förag 2 (GWh)]]-Tabell6[[#This Row],[Levererad värme, andra fjärrvärmeförag, förag 3 (GWh)]]</f>
        <v>323.15499999999997</v>
      </c>
      <c r="U252" t="str">
        <f>VLOOKUP(Tabell6[[#This Row],[Nät]],Tabell5[],2,FALSE)</f>
        <v>Skellefteå</v>
      </c>
    </row>
    <row r="253" spans="1:21" ht="15" customHeight="1" x14ac:dyDescent="0.25">
      <c r="A253" t="s">
        <v>571</v>
      </c>
      <c r="B253" t="s">
        <v>272</v>
      </c>
      <c r="C253">
        <v>2018</v>
      </c>
      <c r="D253">
        <v>30.885999999999999</v>
      </c>
      <c r="E253">
        <v>10.27</v>
      </c>
      <c r="F253">
        <v>7.6470000000000002</v>
      </c>
      <c r="G253">
        <v>1.6919999999999999</v>
      </c>
      <c r="I253">
        <v>5.9109999999999996</v>
      </c>
      <c r="J253">
        <v>5.3659999999999997</v>
      </c>
      <c r="N253" t="s">
        <v>805</v>
      </c>
      <c r="P253" t="s">
        <v>805</v>
      </c>
      <c r="R253" t="s">
        <v>805</v>
      </c>
      <c r="T253">
        <f>Tabell6[[#This Row],[Såld värme (GWh)]]-Tabell6[[#This Row],[Levererad värme, andra fjärrvärmeförag, förag 1 (GWh)]]-Tabell6[[#This Row],[Levererad värme, andra fjärrvärmeförag, förag 2 (GWh)]]-Tabell6[[#This Row],[Levererad värme, andra fjärrvärmeförag, förag 3 (GWh)]]</f>
        <v>30.885999999999999</v>
      </c>
      <c r="U253" t="str">
        <f>VLOOKUP(Tabell6[[#This Row],[Nät]],Tabell5[],2,FALSE)</f>
        <v>Storuman</v>
      </c>
    </row>
    <row r="254" spans="1:21" ht="15" customHeight="1" x14ac:dyDescent="0.25">
      <c r="A254" t="s">
        <v>571</v>
      </c>
      <c r="B254" t="s">
        <v>273</v>
      </c>
      <c r="C254">
        <v>2018</v>
      </c>
      <c r="D254">
        <v>30.95</v>
      </c>
      <c r="E254">
        <v>12.775</v>
      </c>
      <c r="F254">
        <v>7.157</v>
      </c>
      <c r="G254">
        <v>3.3210000000000002</v>
      </c>
      <c r="I254">
        <v>4.9909999999999997</v>
      </c>
      <c r="J254">
        <v>2.706</v>
      </c>
      <c r="N254" t="s">
        <v>805</v>
      </c>
      <c r="P254" t="s">
        <v>805</v>
      </c>
      <c r="R254" t="s">
        <v>805</v>
      </c>
      <c r="T254">
        <f>Tabell6[[#This Row],[Såld värme (GWh)]]-Tabell6[[#This Row],[Levererad värme, andra fjärrvärmeförag, förag 1 (GWh)]]-Tabell6[[#This Row],[Levererad värme, andra fjärrvärmeförag, förag 2 (GWh)]]-Tabell6[[#This Row],[Levererad värme, andra fjärrvärmeförag, förag 3 (GWh)]]</f>
        <v>30.95</v>
      </c>
      <c r="U254" t="str">
        <f>VLOOKUP(Tabell6[[#This Row],[Nät]],Tabell5[],2,FALSE)</f>
        <v>Ursviken-Skelleftehamn</v>
      </c>
    </row>
    <row r="255" spans="1:21" ht="15" customHeight="1" x14ac:dyDescent="0.25">
      <c r="A255" t="s">
        <v>571</v>
      </c>
      <c r="B255" t="s">
        <v>260</v>
      </c>
      <c r="C255">
        <v>2018</v>
      </c>
      <c r="D255">
        <v>13.664</v>
      </c>
      <c r="E255">
        <v>3.173</v>
      </c>
      <c r="F255">
        <v>2.8279999999999998</v>
      </c>
      <c r="G255">
        <v>0</v>
      </c>
      <c r="I255">
        <v>5.5330000000000004</v>
      </c>
      <c r="J255">
        <v>2.13</v>
      </c>
      <c r="N255" t="s">
        <v>805</v>
      </c>
      <c r="P255" t="s">
        <v>805</v>
      </c>
      <c r="R255" t="s">
        <v>805</v>
      </c>
      <c r="T255">
        <f>Tabell6[[#This Row],[Såld värme (GWh)]]-Tabell6[[#This Row],[Levererad värme, andra fjärrvärmeförag, förag 1 (GWh)]]-Tabell6[[#This Row],[Levererad värme, andra fjärrvärmeförag, förag 2 (GWh)]]-Tabell6[[#This Row],[Levererad värme, andra fjärrvärmeförag, förag 3 (GWh)]]</f>
        <v>13.664</v>
      </c>
      <c r="U255" t="str">
        <f>VLOOKUP(Tabell6[[#This Row],[Nät]],Tabell5[],2,FALSE)</f>
        <v>Vindeln</v>
      </c>
    </row>
    <row r="256" spans="1:21" ht="15" customHeight="1" x14ac:dyDescent="0.25">
      <c r="A256" t="s">
        <v>571</v>
      </c>
      <c r="B256" t="s">
        <v>1026</v>
      </c>
      <c r="C256">
        <v>2018</v>
      </c>
      <c r="D256">
        <v>2.7559999999999998</v>
      </c>
      <c r="E256">
        <v>0.71499999999999997</v>
      </c>
      <c r="F256">
        <v>9.9000000000000005E-2</v>
      </c>
      <c r="G256">
        <v>0</v>
      </c>
      <c r="I256">
        <v>1.395</v>
      </c>
      <c r="J256">
        <v>0.54700000000000004</v>
      </c>
      <c r="N256" t="s">
        <v>805</v>
      </c>
      <c r="P256" t="s">
        <v>805</v>
      </c>
      <c r="R256" t="s">
        <v>805</v>
      </c>
      <c r="T256">
        <f>Tabell6[[#This Row],[Såld värme (GWh)]]-Tabell6[[#This Row],[Levererad värme, andra fjärrvärmeförag, förag 1 (GWh)]]-Tabell6[[#This Row],[Levererad värme, andra fjärrvärmeförag, förag 2 (GWh)]]-Tabell6[[#This Row],[Levererad värme, andra fjärrvärmeförag, förag 3 (GWh)]]</f>
        <v>2.7559999999999998</v>
      </c>
      <c r="U256" t="e">
        <f>VLOOKUP(Tabell6[[#This Row],[Nät]],Tabell5[],2,FALSE)</f>
        <v>#N/A</v>
      </c>
    </row>
    <row r="257" spans="1:21" ht="15" customHeight="1" x14ac:dyDescent="0.25">
      <c r="A257" t="s">
        <v>994</v>
      </c>
      <c r="B257" t="s">
        <v>276</v>
      </c>
      <c r="C257">
        <v>2018</v>
      </c>
      <c r="D257">
        <v>9.7629999999999999</v>
      </c>
      <c r="E257">
        <v>6.3220000000000001</v>
      </c>
      <c r="F257">
        <v>1.0349999999999999</v>
      </c>
      <c r="G257">
        <v>0.10299999999999999</v>
      </c>
      <c r="H257">
        <v>0</v>
      </c>
      <c r="I257">
        <v>0.876</v>
      </c>
      <c r="J257">
        <v>1.2949999999999999</v>
      </c>
      <c r="K257">
        <v>0</v>
      </c>
      <c r="L257">
        <v>0.13</v>
      </c>
      <c r="M257">
        <v>0.10299999999999999</v>
      </c>
      <c r="N257" t="s">
        <v>805</v>
      </c>
      <c r="P257" t="s">
        <v>805</v>
      </c>
      <c r="R257" t="s">
        <v>805</v>
      </c>
      <c r="T257">
        <f>Tabell6[[#This Row],[Såld värme (GWh)]]-Tabell6[[#This Row],[Levererad värme, andra fjärrvärmeförag, förag 1 (GWh)]]-Tabell6[[#This Row],[Levererad värme, andra fjärrvärmeförag, förag 2 (GWh)]]-Tabell6[[#This Row],[Levererad värme, andra fjärrvärmeförag, förag 3 (GWh)]]</f>
        <v>9.7629999999999999</v>
      </c>
      <c r="U257" t="str">
        <f>VLOOKUP(Tabell6[[#This Row],[Nät]],Tabell5[],2,FALSE)</f>
        <v>Skultorp</v>
      </c>
    </row>
    <row r="258" spans="1:21" ht="15" customHeight="1" x14ac:dyDescent="0.25">
      <c r="A258" t="s">
        <v>994</v>
      </c>
      <c r="B258" t="s">
        <v>275</v>
      </c>
      <c r="C258">
        <v>2018</v>
      </c>
      <c r="D258">
        <v>359.29</v>
      </c>
      <c r="E258">
        <v>121.861</v>
      </c>
      <c r="F258">
        <v>15.505000000000001</v>
      </c>
      <c r="G258">
        <v>84.97</v>
      </c>
      <c r="I258">
        <v>69.763999999999996</v>
      </c>
      <c r="J258">
        <v>45.023000000000003</v>
      </c>
      <c r="K258">
        <v>0.48699999999999999</v>
      </c>
      <c r="L258">
        <v>22.113</v>
      </c>
      <c r="M258">
        <v>84.97</v>
      </c>
      <c r="N258" t="s">
        <v>805</v>
      </c>
      <c r="P258" t="s">
        <v>805</v>
      </c>
      <c r="R258" t="s">
        <v>805</v>
      </c>
      <c r="T258">
        <f>Tabell6[[#This Row],[Såld värme (GWh)]]-Tabell6[[#This Row],[Levererad värme, andra fjärrvärmeförag, förag 1 (GWh)]]-Tabell6[[#This Row],[Levererad värme, andra fjärrvärmeförag, förag 2 (GWh)]]-Tabell6[[#This Row],[Levererad värme, andra fjärrvärmeförag, förag 3 (GWh)]]</f>
        <v>359.29</v>
      </c>
      <c r="U258" t="str">
        <f>VLOOKUP(Tabell6[[#This Row],[Nät]],Tabell5[],2,FALSE)</f>
        <v>Skövde</v>
      </c>
    </row>
    <row r="259" spans="1:21" ht="15" customHeight="1" x14ac:dyDescent="0.25">
      <c r="A259" t="s">
        <v>994</v>
      </c>
      <c r="B259" t="s">
        <v>277</v>
      </c>
      <c r="C259">
        <v>2018</v>
      </c>
      <c r="D259">
        <v>4.4852100000000004</v>
      </c>
      <c r="E259">
        <v>0.57091999999999998</v>
      </c>
      <c r="F259">
        <v>0.24817</v>
      </c>
      <c r="G259">
        <v>0</v>
      </c>
      <c r="H259">
        <v>0</v>
      </c>
      <c r="I259">
        <v>1.1539200000000001</v>
      </c>
      <c r="J259">
        <v>2.01E-2</v>
      </c>
      <c r="K259">
        <v>0</v>
      </c>
      <c r="L259">
        <v>2.4921099999999998</v>
      </c>
      <c r="M259">
        <v>0</v>
      </c>
      <c r="N259" t="s">
        <v>805</v>
      </c>
      <c r="P259" t="s">
        <v>805</v>
      </c>
      <c r="R259" t="s">
        <v>805</v>
      </c>
      <c r="T259">
        <f>Tabell6[[#This Row],[Såld värme (GWh)]]-Tabell6[[#This Row],[Levererad värme, andra fjärrvärmeförag, förag 1 (GWh)]]-Tabell6[[#This Row],[Levererad värme, andra fjärrvärmeförag, förag 2 (GWh)]]-Tabell6[[#This Row],[Levererad värme, andra fjärrvärmeförag, förag 3 (GWh)]]</f>
        <v>4.4852100000000004</v>
      </c>
      <c r="U259" t="str">
        <f>VLOOKUP(Tabell6[[#This Row],[Nät]],Tabell5[],2,FALSE)</f>
        <v>Stöpen</v>
      </c>
    </row>
    <row r="260" spans="1:21" ht="15" customHeight="1" x14ac:dyDescent="0.25">
      <c r="A260" t="s">
        <v>994</v>
      </c>
      <c r="B260" t="s">
        <v>719</v>
      </c>
      <c r="C260">
        <v>2018</v>
      </c>
      <c r="D260">
        <v>2.0739999999999998</v>
      </c>
      <c r="E260">
        <v>0.751</v>
      </c>
      <c r="F260">
        <v>0.20100000000000001</v>
      </c>
      <c r="G260">
        <v>0</v>
      </c>
      <c r="H260">
        <v>0</v>
      </c>
      <c r="I260">
        <v>0.82</v>
      </c>
      <c r="J260">
        <v>0.30099999999999999</v>
      </c>
      <c r="K260">
        <v>0</v>
      </c>
      <c r="L260">
        <v>0</v>
      </c>
      <c r="M260">
        <v>0</v>
      </c>
      <c r="N260" t="s">
        <v>805</v>
      </c>
      <c r="P260" t="s">
        <v>805</v>
      </c>
      <c r="R260" t="s">
        <v>805</v>
      </c>
      <c r="T260">
        <f>Tabell6[[#This Row],[Såld värme (GWh)]]-Tabell6[[#This Row],[Levererad värme, andra fjärrvärmeförag, förag 1 (GWh)]]-Tabell6[[#This Row],[Levererad värme, andra fjärrvärmeförag, förag 2 (GWh)]]-Tabell6[[#This Row],[Levererad värme, andra fjärrvärmeförag, förag 3 (GWh)]]</f>
        <v>2.0739999999999998</v>
      </c>
      <c r="U260" t="str">
        <f>VLOOKUP(Tabell6[[#This Row],[Nät]],Tabell5[],2,FALSE)</f>
        <v>Tidan</v>
      </c>
    </row>
    <row r="261" spans="1:21" ht="15" customHeight="1" x14ac:dyDescent="0.25">
      <c r="A261" t="s">
        <v>994</v>
      </c>
      <c r="B261" t="s">
        <v>428</v>
      </c>
      <c r="C261">
        <v>2018</v>
      </c>
      <c r="D261">
        <v>3.2269999999999999</v>
      </c>
      <c r="E261">
        <v>0.60899999999999999</v>
      </c>
      <c r="F261">
        <v>0.97699999999999998</v>
      </c>
      <c r="G261">
        <v>0.33400000000000002</v>
      </c>
      <c r="H261">
        <v>0</v>
      </c>
      <c r="I261">
        <v>0.88300000000000001</v>
      </c>
      <c r="J261">
        <v>0.42299999999999999</v>
      </c>
      <c r="K261">
        <v>0</v>
      </c>
      <c r="L261">
        <v>0</v>
      </c>
      <c r="M261">
        <v>0.33400000000000002</v>
      </c>
      <c r="N261" t="s">
        <v>805</v>
      </c>
      <c r="P261" t="s">
        <v>805</v>
      </c>
      <c r="R261" t="s">
        <v>805</v>
      </c>
      <c r="T261">
        <f>Tabell6[[#This Row],[Såld värme (GWh)]]-Tabell6[[#This Row],[Levererad värme, andra fjärrvärmeförag, förag 1 (GWh)]]-Tabell6[[#This Row],[Levererad värme, andra fjärrvärmeförag, förag 2 (GWh)]]-Tabell6[[#This Row],[Levererad värme, andra fjärrvärmeförag, förag 3 (GWh)]]</f>
        <v>3.2269999999999999</v>
      </c>
      <c r="U261" t="str">
        <f>VLOOKUP(Tabell6[[#This Row],[Nät]],Tabell5[],2,FALSE)</f>
        <v>Timmersdala</v>
      </c>
    </row>
    <row r="262" spans="1:21" ht="15" customHeight="1" x14ac:dyDescent="0.25">
      <c r="A262" t="s">
        <v>701</v>
      </c>
      <c r="B262" t="s">
        <v>278</v>
      </c>
      <c r="C262">
        <v>2018</v>
      </c>
      <c r="D262">
        <v>43.204000000000001</v>
      </c>
      <c r="M262">
        <v>16.219000000000001</v>
      </c>
      <c r="N262" t="s">
        <v>805</v>
      </c>
      <c r="P262" t="s">
        <v>805</v>
      </c>
      <c r="R262" t="s">
        <v>805</v>
      </c>
      <c r="T262">
        <f>Tabell6[[#This Row],[Såld värme (GWh)]]-Tabell6[[#This Row],[Levererad värme, andra fjärrvärmeförag, förag 1 (GWh)]]-Tabell6[[#This Row],[Levererad värme, andra fjärrvärmeförag, förag 2 (GWh)]]-Tabell6[[#This Row],[Levererad värme, andra fjärrvärmeförag, förag 3 (GWh)]]</f>
        <v>43.204000000000001</v>
      </c>
      <c r="U262" t="str">
        <f>VLOOKUP(Tabell6[[#This Row],[Nät]],Tabell5[],2,FALSE)</f>
        <v>Smedjebacken</v>
      </c>
    </row>
    <row r="263" spans="1:21" ht="15" customHeight="1" x14ac:dyDescent="0.25">
      <c r="A263" t="s">
        <v>701</v>
      </c>
      <c r="B263" t="s">
        <v>279</v>
      </c>
      <c r="C263">
        <v>2018</v>
      </c>
      <c r="D263">
        <v>4.7210000000000001</v>
      </c>
      <c r="N263" t="s">
        <v>805</v>
      </c>
      <c r="P263" t="s">
        <v>805</v>
      </c>
      <c r="R263" t="s">
        <v>805</v>
      </c>
      <c r="T263">
        <f>Tabell6[[#This Row],[Såld värme (GWh)]]-Tabell6[[#This Row],[Levererad värme, andra fjärrvärmeförag, förag 1 (GWh)]]-Tabell6[[#This Row],[Levererad värme, andra fjärrvärmeförag, förag 2 (GWh)]]-Tabell6[[#This Row],[Levererad värme, andra fjärrvärmeförag, förag 3 (GWh)]]</f>
        <v>4.7210000000000001</v>
      </c>
      <c r="U263" t="str">
        <f>VLOOKUP(Tabell6[[#This Row],[Nät]],Tabell5[],2,FALSE)</f>
        <v>Söderbärke</v>
      </c>
    </row>
    <row r="264" spans="1:21" ht="15" customHeight="1" x14ac:dyDescent="0.25">
      <c r="A264" t="s">
        <v>995</v>
      </c>
      <c r="B264" t="s">
        <v>280</v>
      </c>
      <c r="C264">
        <v>2018</v>
      </c>
      <c r="D264">
        <v>302</v>
      </c>
      <c r="E264">
        <v>216.8</v>
      </c>
      <c r="F264">
        <v>26.8</v>
      </c>
      <c r="G264">
        <v>5.3</v>
      </c>
      <c r="H264">
        <v>0</v>
      </c>
      <c r="I264">
        <v>25</v>
      </c>
      <c r="J264">
        <v>19.8</v>
      </c>
      <c r="K264">
        <v>0.1</v>
      </c>
      <c r="L264">
        <v>8.6999999999999993</v>
      </c>
      <c r="M264">
        <v>0</v>
      </c>
      <c r="T264">
        <f>Tabell6[[#This Row],[Såld värme (GWh)]]-Tabell6[[#This Row],[Levererad värme, andra fjärrvärmeförag, förag 1 (GWh)]]-Tabell6[[#This Row],[Levererad värme, andra fjärrvärmeförag, förag 2 (GWh)]]-Tabell6[[#This Row],[Levererad värme, andra fjärrvärmeförag, förag 3 (GWh)]]</f>
        <v>302</v>
      </c>
      <c r="U264" t="str">
        <f>VLOOKUP(Tabell6[[#This Row],[Nät]],Tabell5[],2,FALSE)</f>
        <v>Sollentuna</v>
      </c>
    </row>
    <row r="265" spans="1:21" ht="15" customHeight="1" x14ac:dyDescent="0.25">
      <c r="A265" t="s">
        <v>713</v>
      </c>
      <c r="B265" t="s">
        <v>298</v>
      </c>
      <c r="C265">
        <v>2018</v>
      </c>
      <c r="U265" t="str">
        <f>VLOOKUP(Tabell6[[#This Row],[Nät]],Tabell5[],2,FALSE)</f>
        <v>Svenljunga</v>
      </c>
    </row>
    <row r="266" spans="1:21" ht="15" customHeight="1" x14ac:dyDescent="0.25">
      <c r="A266" t="s">
        <v>655</v>
      </c>
      <c r="B266" t="s">
        <v>283</v>
      </c>
      <c r="C266">
        <v>2018</v>
      </c>
      <c r="D266">
        <v>121.45</v>
      </c>
      <c r="E266">
        <v>58.93</v>
      </c>
      <c r="F266">
        <v>15.13</v>
      </c>
      <c r="G266">
        <v>0.48</v>
      </c>
      <c r="H266">
        <v>0</v>
      </c>
      <c r="I266">
        <v>15.53</v>
      </c>
      <c r="J266">
        <v>29.48</v>
      </c>
      <c r="K266">
        <v>0</v>
      </c>
      <c r="L266">
        <v>1.9</v>
      </c>
      <c r="M266">
        <v>0</v>
      </c>
      <c r="T266">
        <f>Tabell6[[#This Row],[Såld värme (GWh)]]-Tabell6[[#This Row],[Levererad värme, andra fjärrvärmeförag, förag 1 (GWh)]]-Tabell6[[#This Row],[Levererad värme, andra fjärrvärmeförag, förag 2 (GWh)]]-Tabell6[[#This Row],[Levererad värme, andra fjärrvärmeförag, förag 3 (GWh)]]</f>
        <v>121.45</v>
      </c>
      <c r="U266" t="str">
        <f>VLOOKUP(Tabell6[[#This Row],[Nät]],Tabell5[],2,FALSE)</f>
        <v>Kungsbacka</v>
      </c>
    </row>
    <row r="267" spans="1:21" ht="15" customHeight="1" x14ac:dyDescent="0.25">
      <c r="A267" t="s">
        <v>655</v>
      </c>
      <c r="B267" t="s">
        <v>282</v>
      </c>
      <c r="C267">
        <v>2018</v>
      </c>
      <c r="D267">
        <v>21.95</v>
      </c>
      <c r="E267">
        <v>11.04</v>
      </c>
      <c r="F267">
        <v>1.34</v>
      </c>
      <c r="G267">
        <v>1.49</v>
      </c>
      <c r="H267">
        <v>0</v>
      </c>
      <c r="I267">
        <v>3.43</v>
      </c>
      <c r="J267">
        <v>4.54</v>
      </c>
      <c r="K267">
        <v>0</v>
      </c>
      <c r="L267">
        <v>0.11</v>
      </c>
      <c r="M267">
        <v>0</v>
      </c>
      <c r="T267">
        <f>Tabell6[[#This Row],[Såld värme (GWh)]]-Tabell6[[#This Row],[Levererad värme, andra fjärrvärmeförag, förag 1 (GWh)]]-Tabell6[[#This Row],[Levererad värme, andra fjärrvärmeförag, förag 2 (GWh)]]-Tabell6[[#This Row],[Levererad värme, andra fjärrvärmeförag, förag 3 (GWh)]]</f>
        <v>21.95</v>
      </c>
      <c r="U267" t="str">
        <f>VLOOKUP(Tabell6[[#This Row],[Nät]],Tabell5[],2,FALSE)</f>
        <v>Trosa</v>
      </c>
    </row>
    <row r="268" spans="1:21" ht="15" customHeight="1" x14ac:dyDescent="0.25">
      <c r="A268" t="s">
        <v>655</v>
      </c>
      <c r="B268" t="s">
        <v>284</v>
      </c>
      <c r="C268">
        <v>2018</v>
      </c>
      <c r="D268">
        <v>9.2100000000000009</v>
      </c>
      <c r="E268">
        <v>3.02</v>
      </c>
      <c r="F268">
        <v>1.8</v>
      </c>
      <c r="G268">
        <v>0.3</v>
      </c>
      <c r="H268">
        <v>0</v>
      </c>
      <c r="I268">
        <v>3.43</v>
      </c>
      <c r="J268">
        <v>0.66</v>
      </c>
      <c r="K268">
        <v>0</v>
      </c>
      <c r="L268">
        <v>0</v>
      </c>
      <c r="M268">
        <v>0</v>
      </c>
      <c r="T268">
        <f>Tabell6[[#This Row],[Såld värme (GWh)]]-Tabell6[[#This Row],[Levererad värme, andra fjärrvärmeförag, förag 1 (GWh)]]-Tabell6[[#This Row],[Levererad värme, andra fjärrvärmeförag, förag 2 (GWh)]]-Tabell6[[#This Row],[Levererad värme, andra fjärrvärmeförag, förag 3 (GWh)]]</f>
        <v>9.2100000000000009</v>
      </c>
      <c r="U268" t="str">
        <f>VLOOKUP(Tabell6[[#This Row],[Nät]],Tabell5[],2,FALSE)</f>
        <v>Vagnhärad</v>
      </c>
    </row>
    <row r="269" spans="1:21" ht="15" customHeight="1" x14ac:dyDescent="0.25">
      <c r="A269" t="s">
        <v>655</v>
      </c>
      <c r="B269" t="s">
        <v>281</v>
      </c>
      <c r="C269">
        <v>2018</v>
      </c>
      <c r="D269">
        <v>42.33</v>
      </c>
      <c r="E269">
        <v>19.100000000000001</v>
      </c>
      <c r="F269">
        <v>0.95</v>
      </c>
      <c r="G269">
        <v>9.18</v>
      </c>
      <c r="H269">
        <v>0</v>
      </c>
      <c r="I269">
        <v>6.73</v>
      </c>
      <c r="J269">
        <v>6.37</v>
      </c>
      <c r="K269">
        <v>0</v>
      </c>
      <c r="L269">
        <v>0</v>
      </c>
      <c r="M269">
        <v>0</v>
      </c>
      <c r="T269">
        <f>Tabell6[[#This Row],[Såld värme (GWh)]]-Tabell6[[#This Row],[Levererad värme, andra fjärrvärmeförag, förag 1 (GWh)]]-Tabell6[[#This Row],[Levererad värme, andra fjärrvärmeförag, förag 2 (GWh)]]-Tabell6[[#This Row],[Levererad värme, andra fjärrvärmeförag, förag 3 (GWh)]]</f>
        <v>42.33</v>
      </c>
      <c r="U269" t="str">
        <f>VLOOKUP(Tabell6[[#This Row],[Nät]],Tabell5[],2,FALSE)</f>
        <v>Åmål</v>
      </c>
    </row>
    <row r="270" spans="1:21" ht="15" customHeight="1" x14ac:dyDescent="0.25">
      <c r="A270" t="s">
        <v>996</v>
      </c>
      <c r="B270" t="s">
        <v>418</v>
      </c>
      <c r="C270">
        <v>2018</v>
      </c>
      <c r="D270">
        <v>77.3</v>
      </c>
      <c r="E270">
        <v>38.299999999999997</v>
      </c>
      <c r="F270">
        <v>17.5</v>
      </c>
      <c r="G270">
        <v>2.2000000000000002</v>
      </c>
      <c r="I270">
        <v>10.199999999999999</v>
      </c>
      <c r="J270">
        <v>9</v>
      </c>
      <c r="N270" t="s">
        <v>805</v>
      </c>
      <c r="P270" t="s">
        <v>805</v>
      </c>
      <c r="R270" t="s">
        <v>805</v>
      </c>
      <c r="T270">
        <f>Tabell6[[#This Row],[Såld värme (GWh)]]-Tabell6[[#This Row],[Levererad värme, andra fjärrvärmeförag, förag 1 (GWh)]]-Tabell6[[#This Row],[Levererad värme, andra fjärrvärmeförag, förag 2 (GWh)]]-Tabell6[[#This Row],[Levererad värme, andra fjärrvärmeförag, förag 3 (GWh)]]</f>
        <v>77.3</v>
      </c>
      <c r="U270" t="str">
        <f>VLOOKUP(Tabell6[[#This Row],[Nät]],Tabell5[],2,FALSE)</f>
        <v>Stenungsund</v>
      </c>
    </row>
    <row r="271" spans="1:21" ht="15" customHeight="1" x14ac:dyDescent="0.25">
      <c r="A271" t="s">
        <v>996</v>
      </c>
      <c r="B271" t="s">
        <v>421</v>
      </c>
      <c r="C271">
        <v>2018</v>
      </c>
      <c r="D271">
        <v>0.872</v>
      </c>
      <c r="I271">
        <v>0.872</v>
      </c>
      <c r="N271" t="s">
        <v>805</v>
      </c>
      <c r="P271" t="s">
        <v>805</v>
      </c>
      <c r="R271" t="s">
        <v>805</v>
      </c>
      <c r="T271">
        <f>Tabell6[[#This Row],[Såld värme (GWh)]]-Tabell6[[#This Row],[Levererad värme, andra fjärrvärmeförag, förag 1 (GWh)]]-Tabell6[[#This Row],[Levererad värme, andra fjärrvärmeförag, förag 2 (GWh)]]-Tabell6[[#This Row],[Levererad värme, andra fjärrvärmeförag, förag 3 (GWh)]]</f>
        <v>0.872</v>
      </c>
      <c r="U271" t="str">
        <f>VLOOKUP(Tabell6[[#This Row],[Nät]],Tabell5[],2,FALSE)</f>
        <v>Stora Höga</v>
      </c>
    </row>
    <row r="272" spans="1:21" ht="15" customHeight="1" x14ac:dyDescent="0.25">
      <c r="A272" t="s">
        <v>884</v>
      </c>
      <c r="B272" t="s">
        <v>885</v>
      </c>
      <c r="C272">
        <v>2018</v>
      </c>
    </row>
    <row r="273" spans="1:21" ht="15" customHeight="1" x14ac:dyDescent="0.25">
      <c r="A273" t="s">
        <v>884</v>
      </c>
      <c r="B273" t="s">
        <v>886</v>
      </c>
      <c r="C273">
        <v>2018</v>
      </c>
    </row>
    <row r="274" spans="1:21" ht="15" customHeight="1" x14ac:dyDescent="0.25">
      <c r="A274" t="s">
        <v>884</v>
      </c>
      <c r="B274" t="s">
        <v>887</v>
      </c>
      <c r="C274">
        <v>2018</v>
      </c>
    </row>
    <row r="275" spans="1:21" ht="15" customHeight="1" x14ac:dyDescent="0.25">
      <c r="A275" t="s">
        <v>884</v>
      </c>
      <c r="B275" t="s">
        <v>420</v>
      </c>
      <c r="C275">
        <v>2018</v>
      </c>
      <c r="D275">
        <v>8113.0209999999997</v>
      </c>
      <c r="E275">
        <v>4672.6480000000001</v>
      </c>
      <c r="F275">
        <v>144.506</v>
      </c>
      <c r="G275">
        <v>178.00399999999999</v>
      </c>
      <c r="H275">
        <v>15.976000000000001</v>
      </c>
      <c r="I275">
        <v>542.1</v>
      </c>
      <c r="J275">
        <v>1219.6859999999999</v>
      </c>
      <c r="K275">
        <v>359.47800000000001</v>
      </c>
      <c r="N275" t="s">
        <v>997</v>
      </c>
      <c r="O275">
        <v>788.83399999999995</v>
      </c>
      <c r="P275" t="s">
        <v>998</v>
      </c>
      <c r="Q275">
        <v>69.207999999999998</v>
      </c>
      <c r="R275" t="s">
        <v>999</v>
      </c>
      <c r="S275">
        <v>89.191999999999993</v>
      </c>
      <c r="T275">
        <f>Tabell6[[#This Row],[Såld värme (GWh)]]-Tabell6[[#This Row],[Levererad värme, andra fjärrvärmeförag, förag 1 (GWh)]]-Tabell6[[#This Row],[Levererad värme, andra fjärrvärmeförag, förag 2 (GWh)]]-Tabell6[[#This Row],[Levererad värme, andra fjärrvärmeförag, förag 3 (GWh)]]</f>
        <v>7165.7870000000003</v>
      </c>
      <c r="U275" t="str">
        <f>VLOOKUP(Tabell6[[#This Row],[Nät]],Tabell5[],2,FALSE)</f>
        <v>Stockholm</v>
      </c>
    </row>
    <row r="276" spans="1:21" ht="15" customHeight="1" x14ac:dyDescent="0.25">
      <c r="A276" t="s">
        <v>884</v>
      </c>
      <c r="B276" t="s">
        <v>888</v>
      </c>
      <c r="C276">
        <v>2018</v>
      </c>
    </row>
    <row r="277" spans="1:21" ht="15" customHeight="1" x14ac:dyDescent="0.25">
      <c r="A277" t="s">
        <v>884</v>
      </c>
      <c r="B277" t="s">
        <v>1027</v>
      </c>
      <c r="C277">
        <v>2018</v>
      </c>
    </row>
    <row r="278" spans="1:21" ht="15" customHeight="1" x14ac:dyDescent="0.25">
      <c r="A278" t="s">
        <v>884</v>
      </c>
      <c r="B278" t="s">
        <v>1028</v>
      </c>
      <c r="C278">
        <v>2018</v>
      </c>
    </row>
    <row r="279" spans="1:21" ht="15" customHeight="1" x14ac:dyDescent="0.25">
      <c r="A279" t="s">
        <v>884</v>
      </c>
      <c r="B279" t="s">
        <v>889</v>
      </c>
      <c r="C279">
        <v>2018</v>
      </c>
    </row>
    <row r="280" spans="1:21" ht="15" customHeight="1" x14ac:dyDescent="0.25">
      <c r="A280" t="s">
        <v>884</v>
      </c>
      <c r="B280" t="s">
        <v>890</v>
      </c>
      <c r="C280">
        <v>2018</v>
      </c>
    </row>
    <row r="281" spans="1:21" ht="15" customHeight="1" x14ac:dyDescent="0.25">
      <c r="A281" t="s">
        <v>884</v>
      </c>
      <c r="B281" t="s">
        <v>935</v>
      </c>
      <c r="C281">
        <v>2018</v>
      </c>
    </row>
    <row r="282" spans="1:21" ht="15" customHeight="1" x14ac:dyDescent="0.25">
      <c r="A282" t="s">
        <v>884</v>
      </c>
      <c r="B282" t="s">
        <v>442</v>
      </c>
      <c r="C282">
        <v>2018</v>
      </c>
      <c r="D282">
        <v>62.732999999999997</v>
      </c>
      <c r="N282" t="s">
        <v>805</v>
      </c>
      <c r="P282" t="s">
        <v>805</v>
      </c>
      <c r="R282" t="s">
        <v>805</v>
      </c>
      <c r="T282">
        <f>Tabell6[[#This Row],[Såld värme (GWh)]]-Tabell6[[#This Row],[Levererad värme, andra fjärrvärmeförag, förag 1 (GWh)]]-Tabell6[[#This Row],[Levererad värme, andra fjärrvärmeförag, förag 2 (GWh)]]-Tabell6[[#This Row],[Levererad värme, andra fjärrvärmeförag, förag 3 (GWh)]]</f>
        <v>62.732999999999997</v>
      </c>
      <c r="U282" t="str">
        <f>VLOOKUP(Tabell6[[#This Row],[Nät]],Tabell5[],2,FALSE)</f>
        <v>Addera E.ON och sthlm exergi!</v>
      </c>
    </row>
    <row r="283" spans="1:21" ht="15" customHeight="1" x14ac:dyDescent="0.25">
      <c r="A283" t="s">
        <v>884</v>
      </c>
      <c r="B283" t="s">
        <v>891</v>
      </c>
      <c r="C283">
        <v>2018</v>
      </c>
    </row>
    <row r="284" spans="1:21" ht="15" customHeight="1" x14ac:dyDescent="0.25">
      <c r="A284" t="s">
        <v>657</v>
      </c>
      <c r="B284" t="s">
        <v>291</v>
      </c>
      <c r="C284">
        <v>2018</v>
      </c>
      <c r="D284">
        <v>22.38</v>
      </c>
      <c r="E284">
        <v>11.94</v>
      </c>
      <c r="F284">
        <v>2.9020000000000001</v>
      </c>
      <c r="G284">
        <v>0.21099999999999999</v>
      </c>
      <c r="I284">
        <v>5.8129999999999997</v>
      </c>
      <c r="J284">
        <v>1.1519999999999999</v>
      </c>
      <c r="N284" t="s">
        <v>805</v>
      </c>
      <c r="P284" t="s">
        <v>805</v>
      </c>
      <c r="R284" t="s">
        <v>805</v>
      </c>
      <c r="T284">
        <f>Tabell6[[#This Row],[Såld värme (GWh)]]-Tabell6[[#This Row],[Levererad värme, andra fjärrvärmeförag, förag 1 (GWh)]]-Tabell6[[#This Row],[Levererad värme, andra fjärrvärmeförag, förag 2 (GWh)]]-Tabell6[[#This Row],[Levererad värme, andra fjärrvärmeförag, förag 3 (GWh)]]</f>
        <v>22.38</v>
      </c>
      <c r="U284" t="str">
        <f>VLOOKUP(Tabell6[[#This Row],[Nät]],Tabell5[],2,FALSE)</f>
        <v>Kvissleby</v>
      </c>
    </row>
    <row r="285" spans="1:21" ht="15" customHeight="1" x14ac:dyDescent="0.25">
      <c r="A285" t="s">
        <v>657</v>
      </c>
      <c r="B285" t="s">
        <v>294</v>
      </c>
      <c r="C285">
        <v>2018</v>
      </c>
      <c r="D285">
        <v>15.986000000000001</v>
      </c>
      <c r="E285">
        <v>5.6879999999999997</v>
      </c>
      <c r="F285">
        <v>1.3320000000000001</v>
      </c>
      <c r="G285">
        <v>3.7890000000000001</v>
      </c>
      <c r="I285">
        <v>4.0229999999999997</v>
      </c>
      <c r="J285">
        <v>1.1519999999999999</v>
      </c>
      <c r="N285" t="s">
        <v>805</v>
      </c>
      <c r="P285" t="s">
        <v>805</v>
      </c>
      <c r="R285" t="s">
        <v>805</v>
      </c>
      <c r="T285">
        <f>Tabell6[[#This Row],[Såld värme (GWh)]]-Tabell6[[#This Row],[Levererad värme, andra fjärrvärmeförag, förag 1 (GWh)]]-Tabell6[[#This Row],[Levererad värme, andra fjärrvärmeförag, förag 2 (GWh)]]-Tabell6[[#This Row],[Levererad värme, andra fjärrvärmeförag, förag 3 (GWh)]]</f>
        <v>15.986000000000001</v>
      </c>
      <c r="U285" t="str">
        <f>VLOOKUP(Tabell6[[#This Row],[Nät]],Tabell5[],2,FALSE)</f>
        <v>Matfors</v>
      </c>
    </row>
    <row r="286" spans="1:21" ht="15" customHeight="1" x14ac:dyDescent="0.25">
      <c r="A286" t="s">
        <v>657</v>
      </c>
      <c r="B286" t="s">
        <v>288</v>
      </c>
      <c r="C286">
        <v>2018</v>
      </c>
      <c r="D286">
        <v>549.02499999999998</v>
      </c>
      <c r="E286">
        <v>257.71699999999998</v>
      </c>
      <c r="F286">
        <v>42.875</v>
      </c>
      <c r="I286">
        <v>82.724999999999994</v>
      </c>
      <c r="J286">
        <v>141.251</v>
      </c>
      <c r="K286">
        <v>1.9630000000000001</v>
      </c>
      <c r="L286">
        <v>6.44</v>
      </c>
      <c r="M286">
        <v>14.028</v>
      </c>
      <c r="N286" t="s">
        <v>805</v>
      </c>
      <c r="P286" t="s">
        <v>805</v>
      </c>
      <c r="R286" t="s">
        <v>805</v>
      </c>
      <c r="T286">
        <f>Tabell6[[#This Row],[Såld värme (GWh)]]-Tabell6[[#This Row],[Levererad värme, andra fjärrvärmeförag, förag 1 (GWh)]]-Tabell6[[#This Row],[Levererad värme, andra fjärrvärmeförag, förag 2 (GWh)]]-Tabell6[[#This Row],[Levererad värme, andra fjärrvärmeförag, förag 3 (GWh)]]</f>
        <v>549.02499999999998</v>
      </c>
      <c r="U286" t="str">
        <f>VLOOKUP(Tabell6[[#This Row],[Nät]],Tabell5[],2,FALSE)</f>
        <v>Sundsvall</v>
      </c>
    </row>
    <row r="287" spans="1:21" ht="15" customHeight="1" x14ac:dyDescent="0.25">
      <c r="A287" t="s">
        <v>657</v>
      </c>
      <c r="B287" t="s">
        <v>727</v>
      </c>
      <c r="C287">
        <v>2018</v>
      </c>
      <c r="D287">
        <v>129.91300000000001</v>
      </c>
      <c r="G287">
        <v>129.91300000000001</v>
      </c>
      <c r="N287" t="s">
        <v>805</v>
      </c>
      <c r="P287" t="s">
        <v>805</v>
      </c>
      <c r="R287" t="s">
        <v>805</v>
      </c>
      <c r="T287">
        <f>Tabell6[[#This Row],[Såld värme (GWh)]]-Tabell6[[#This Row],[Levererad värme, andra fjärrvärmeförag, förag 1 (GWh)]]-Tabell6[[#This Row],[Levererad värme, andra fjärrvärmeförag, förag 2 (GWh)]]-Tabell6[[#This Row],[Levererad värme, andra fjärrvärmeförag, förag 3 (GWh)]]</f>
        <v>129.91300000000001</v>
      </c>
      <c r="U287" t="str">
        <f>VLOOKUP(Tabell6[[#This Row],[Nät]],Tabell5[],2,FALSE)</f>
        <v>Tunadal</v>
      </c>
    </row>
    <row r="288" spans="1:21" ht="15" customHeight="1" x14ac:dyDescent="0.25">
      <c r="A288" s="62" t="s">
        <v>657</v>
      </c>
      <c r="B288" s="62" t="s">
        <v>742</v>
      </c>
      <c r="C288" s="62">
        <v>2018</v>
      </c>
      <c r="D288" s="62">
        <v>6.6349999999999998</v>
      </c>
      <c r="E288" s="62">
        <v>1.8640000000000001</v>
      </c>
      <c r="F288" s="62">
        <v>1.355</v>
      </c>
      <c r="G288" s="62">
        <v>6.5000000000000002E-2</v>
      </c>
      <c r="H288" s="62"/>
      <c r="I288" s="62">
        <v>2.996</v>
      </c>
      <c r="J288" s="62">
        <v>0.35499999999999998</v>
      </c>
      <c r="K288" s="62"/>
      <c r="L288" s="62"/>
      <c r="M288" s="62"/>
      <c r="N288" s="62" t="s">
        <v>805</v>
      </c>
      <c r="O288" s="62"/>
      <c r="P288" s="62" t="s">
        <v>805</v>
      </c>
      <c r="Q288" s="62"/>
      <c r="R288" s="62" t="s">
        <v>805</v>
      </c>
      <c r="S288" s="62"/>
      <c r="T288" s="62">
        <f>Tabell6[[#This Row],[Såld värme (GWh)]]-Tabell6[[#This Row],[Levererad värme, andra fjärrvärmeförag, förag 1 (GWh)]]-Tabell6[[#This Row],[Levererad värme, andra fjärrvärmeförag, förag 2 (GWh)]]-Tabell6[[#This Row],[Levererad värme, andra fjärrvärmeförag, förag 3 (GWh)]]</f>
        <v>6.6349999999999998</v>
      </c>
      <c r="U288" s="62" t="e">
        <f>VLOOKUP(Tabell6[[#This Row],[Nät]],Tabell5[],2,FALSE)</f>
        <v>#N/A</v>
      </c>
    </row>
    <row r="289" spans="1:21" ht="15" customHeight="1" x14ac:dyDescent="0.25">
      <c r="A289" t="s">
        <v>715</v>
      </c>
    </row>
    <row r="290" spans="1:21" ht="15" customHeight="1" x14ac:dyDescent="0.25">
      <c r="A290" t="s">
        <v>666</v>
      </c>
      <c r="B290" t="s">
        <v>302</v>
      </c>
      <c r="C290">
        <v>2018</v>
      </c>
      <c r="D290">
        <v>9.4990000000000006</v>
      </c>
      <c r="E290">
        <v>4.6180000000000003</v>
      </c>
      <c r="F290">
        <v>0.747</v>
      </c>
      <c r="G290">
        <v>0.50600000000000001</v>
      </c>
      <c r="I290">
        <v>2.7410000000000001</v>
      </c>
      <c r="J290">
        <v>0.88700000000000001</v>
      </c>
      <c r="N290" t="s">
        <v>805</v>
      </c>
      <c r="P290" t="s">
        <v>805</v>
      </c>
      <c r="R290" t="s">
        <v>805</v>
      </c>
      <c r="T290">
        <f>Tabell6[[#This Row],[Såld värme (GWh)]]-Tabell6[[#This Row],[Levererad värme, andra fjärrvärmeförag, förag 1 (GWh)]]-Tabell6[[#This Row],[Levererad värme, andra fjärrvärmeförag, förag 2 (GWh)]]-Tabell6[[#This Row],[Levererad värme, andra fjärrvärmeförag, förag 3 (GWh)]]</f>
        <v>9.4990000000000006</v>
      </c>
      <c r="U290" t="str">
        <f>VLOOKUP(Tabell6[[#This Row],[Nät]],Tabell5[],2,FALSE)</f>
        <v>Ljusne</v>
      </c>
    </row>
    <row r="291" spans="1:21" ht="15" customHeight="1" x14ac:dyDescent="0.25">
      <c r="A291" t="s">
        <v>666</v>
      </c>
      <c r="B291" t="s">
        <v>795</v>
      </c>
      <c r="C291">
        <v>2018</v>
      </c>
      <c r="N291" t="s">
        <v>805</v>
      </c>
      <c r="P291" t="s">
        <v>805</v>
      </c>
      <c r="R291" t="s">
        <v>805</v>
      </c>
      <c r="T291">
        <f>Tabell6[[#This Row],[Såld värme (GWh)]]-Tabell6[[#This Row],[Levererad värme, andra fjärrvärmeförag, förag 1 (GWh)]]-Tabell6[[#This Row],[Levererad värme, andra fjärrvärmeförag, förag 2 (GWh)]]-Tabell6[[#This Row],[Levererad värme, andra fjärrvärmeförag, förag 3 (GWh)]]</f>
        <v>0</v>
      </c>
      <c r="U291" t="str">
        <f>VLOOKUP(Tabell6[[#This Row],[Nät]],Tabell5[],2,FALSE)</f>
        <v>Mohed</v>
      </c>
    </row>
    <row r="292" spans="1:21" ht="15" customHeight="1" x14ac:dyDescent="0.25">
      <c r="A292" t="s">
        <v>666</v>
      </c>
      <c r="B292" t="s">
        <v>796</v>
      </c>
      <c r="C292">
        <v>2018</v>
      </c>
      <c r="D292">
        <v>3.149</v>
      </c>
      <c r="E292">
        <v>2.827</v>
      </c>
      <c r="F292">
        <v>6.0000000000000001E-3</v>
      </c>
      <c r="G292">
        <v>0</v>
      </c>
      <c r="I292">
        <v>0.316</v>
      </c>
      <c r="J292">
        <v>0</v>
      </c>
      <c r="N292" t="s">
        <v>805</v>
      </c>
      <c r="P292" t="s">
        <v>805</v>
      </c>
      <c r="R292" t="s">
        <v>805</v>
      </c>
      <c r="T292">
        <f>Tabell6[[#This Row],[Såld värme (GWh)]]-Tabell6[[#This Row],[Levererad värme, andra fjärrvärmeförag, förag 1 (GWh)]]-Tabell6[[#This Row],[Levererad värme, andra fjärrvärmeförag, förag 2 (GWh)]]-Tabell6[[#This Row],[Levererad värme, andra fjärrvärmeförag, förag 3 (GWh)]]</f>
        <v>3.149</v>
      </c>
      <c r="U292" t="str">
        <f>VLOOKUP(Tabell6[[#This Row],[Nät]],Tabell5[],2,FALSE)</f>
        <v>Sandarne</v>
      </c>
    </row>
    <row r="293" spans="1:21" ht="15" customHeight="1" x14ac:dyDescent="0.25">
      <c r="A293" t="s">
        <v>666</v>
      </c>
      <c r="B293" t="s">
        <v>301</v>
      </c>
      <c r="C293">
        <v>2018</v>
      </c>
      <c r="D293">
        <v>125.73699999999999</v>
      </c>
      <c r="E293">
        <v>57.853000000000002</v>
      </c>
      <c r="F293">
        <v>15.308999999999999</v>
      </c>
      <c r="G293">
        <v>10.483000000000001</v>
      </c>
      <c r="I293">
        <v>19.821000000000002</v>
      </c>
      <c r="J293">
        <v>22.271999999999998</v>
      </c>
      <c r="N293" t="s">
        <v>805</v>
      </c>
      <c r="P293" t="s">
        <v>805</v>
      </c>
      <c r="R293" t="s">
        <v>805</v>
      </c>
      <c r="T293">
        <f>Tabell6[[#This Row],[Såld värme (GWh)]]-Tabell6[[#This Row],[Levererad värme, andra fjärrvärmeförag, förag 1 (GWh)]]-Tabell6[[#This Row],[Levererad värme, andra fjärrvärmeförag, förag 2 (GWh)]]-Tabell6[[#This Row],[Levererad värme, andra fjärrvärmeförag, förag 3 (GWh)]]</f>
        <v>125.73699999999999</v>
      </c>
      <c r="U293" t="str">
        <f>VLOOKUP(Tabell6[[#This Row],[Nät]],Tabell5[],2,FALSE)</f>
        <v>Söderhamn</v>
      </c>
    </row>
    <row r="294" spans="1:21" ht="15" customHeight="1" x14ac:dyDescent="0.25">
      <c r="A294" t="s">
        <v>717</v>
      </c>
      <c r="B294" t="s">
        <v>304</v>
      </c>
      <c r="C294">
        <v>2018</v>
      </c>
      <c r="D294">
        <v>978.07899999999995</v>
      </c>
      <c r="E294">
        <v>498.904</v>
      </c>
      <c r="F294">
        <v>47.738999999999997</v>
      </c>
      <c r="G294">
        <v>78.965999999999994</v>
      </c>
      <c r="I294">
        <v>166.375</v>
      </c>
      <c r="J294">
        <v>74.811999999999998</v>
      </c>
      <c r="K294">
        <v>0.7</v>
      </c>
      <c r="L294">
        <v>91.006</v>
      </c>
      <c r="M294">
        <v>19.568000000000001</v>
      </c>
      <c r="N294" t="s">
        <v>805</v>
      </c>
      <c r="P294" t="s">
        <v>805</v>
      </c>
      <c r="R294" t="s">
        <v>805</v>
      </c>
      <c r="T294">
        <f>Tabell6[[#This Row],[Såld värme (GWh)]]-Tabell6[[#This Row],[Levererad värme, andra fjärrvärmeförag, förag 1 (GWh)]]-Tabell6[[#This Row],[Levererad värme, andra fjärrvärmeförag, förag 2 (GWh)]]-Tabell6[[#This Row],[Levererad värme, andra fjärrvärmeförag, förag 3 (GWh)]]</f>
        <v>978.07899999999995</v>
      </c>
      <c r="U294" t="str">
        <f>VLOOKUP(Tabell6[[#This Row],[Nät]],Tabell5[],2,FALSE)</f>
        <v>Södertörn Fjärrvärme Totalt</v>
      </c>
    </row>
    <row r="295" spans="1:21" ht="15" customHeight="1" x14ac:dyDescent="0.25">
      <c r="A295" t="s">
        <v>897</v>
      </c>
      <c r="B295" t="s">
        <v>463</v>
      </c>
      <c r="C295">
        <v>2018</v>
      </c>
    </row>
    <row r="296" spans="1:21" ht="15" customHeight="1" x14ac:dyDescent="0.25">
      <c r="A296" t="s">
        <v>573</v>
      </c>
      <c r="B296" t="s">
        <v>306</v>
      </c>
      <c r="C296">
        <v>2018</v>
      </c>
      <c r="D296">
        <v>11.2</v>
      </c>
      <c r="E296">
        <v>4.5</v>
      </c>
      <c r="F296">
        <v>4.3</v>
      </c>
      <c r="G296">
        <v>0</v>
      </c>
      <c r="I296">
        <v>2</v>
      </c>
      <c r="J296">
        <v>0</v>
      </c>
      <c r="K296">
        <v>0</v>
      </c>
      <c r="L296">
        <v>0.5</v>
      </c>
      <c r="M296">
        <v>0</v>
      </c>
      <c r="N296" t="s">
        <v>805</v>
      </c>
      <c r="P296" t="s">
        <v>805</v>
      </c>
      <c r="R296" t="s">
        <v>805</v>
      </c>
      <c r="T296">
        <f>Tabell6[[#This Row],[Såld värme (GWh)]]-Tabell6[[#This Row],[Levererad värme, andra fjärrvärmeförag, förag 1 (GWh)]]-Tabell6[[#This Row],[Levererad värme, andra fjärrvärmeförag, förag 2 (GWh)]]-Tabell6[[#This Row],[Levererad värme, andra fjärrvärmeförag, förag 3 (GWh)]]</f>
        <v>11.2</v>
      </c>
      <c r="U296" t="str">
        <f>VLOOKUP(Tabell6[[#This Row],[Nät]],Tabell5[],2,FALSE)</f>
        <v>Borensberg</v>
      </c>
    </row>
    <row r="297" spans="1:21" ht="15" customHeight="1" x14ac:dyDescent="0.25">
      <c r="A297" t="s">
        <v>573</v>
      </c>
      <c r="B297" t="s">
        <v>168</v>
      </c>
      <c r="C297">
        <v>2018</v>
      </c>
      <c r="D297">
        <v>170.4</v>
      </c>
      <c r="E297">
        <v>90.3</v>
      </c>
      <c r="F297">
        <v>14.8</v>
      </c>
      <c r="G297">
        <v>9.8000000000000007</v>
      </c>
      <c r="H297">
        <v>0</v>
      </c>
      <c r="I297">
        <v>22.5</v>
      </c>
      <c r="J297">
        <v>15.8</v>
      </c>
      <c r="K297">
        <v>0.2</v>
      </c>
      <c r="L297">
        <v>0</v>
      </c>
      <c r="M297">
        <v>17</v>
      </c>
      <c r="N297" t="s">
        <v>805</v>
      </c>
      <c r="P297" t="s">
        <v>805</v>
      </c>
      <c r="R297" t="s">
        <v>805</v>
      </c>
      <c r="T297">
        <f>Tabell6[[#This Row],[Såld värme (GWh)]]-Tabell6[[#This Row],[Levererad värme, andra fjärrvärmeförag, förag 1 (GWh)]]-Tabell6[[#This Row],[Levererad värme, andra fjärrvärmeförag, förag 2 (GWh)]]-Tabell6[[#This Row],[Levererad värme, andra fjärrvärmeförag, förag 3 (GWh)]]</f>
        <v>170.4</v>
      </c>
      <c r="U297" t="str">
        <f>VLOOKUP(Tabell6[[#This Row],[Nät]],Tabell5[],2,FALSE)</f>
        <v>Katrineholm</v>
      </c>
    </row>
    <row r="298" spans="1:21" ht="15" customHeight="1" x14ac:dyDescent="0.25">
      <c r="A298" t="s">
        <v>573</v>
      </c>
      <c r="B298" t="s">
        <v>307</v>
      </c>
      <c r="C298">
        <v>2018</v>
      </c>
      <c r="D298">
        <v>18.7</v>
      </c>
      <c r="E298">
        <v>12</v>
      </c>
      <c r="F298">
        <v>2.1</v>
      </c>
      <c r="G298">
        <v>0.4</v>
      </c>
      <c r="I298">
        <v>1.9</v>
      </c>
      <c r="J298">
        <v>0.8</v>
      </c>
      <c r="K298">
        <v>0</v>
      </c>
      <c r="L298">
        <v>0</v>
      </c>
      <c r="M298">
        <v>1.4</v>
      </c>
      <c r="N298" t="s">
        <v>805</v>
      </c>
      <c r="P298" t="s">
        <v>805</v>
      </c>
      <c r="R298" t="s">
        <v>805</v>
      </c>
      <c r="T298">
        <f>Tabell6[[#This Row],[Såld värme (GWh)]]-Tabell6[[#This Row],[Levererad värme, andra fjärrvärmeförag, förag 1 (GWh)]]-Tabell6[[#This Row],[Levererad värme, andra fjärrvärmeförag, förag 2 (GWh)]]-Tabell6[[#This Row],[Levererad värme, andra fjärrvärmeförag, förag 3 (GWh)]]</f>
        <v>18.7</v>
      </c>
      <c r="U298" t="str">
        <f>VLOOKUP(Tabell6[[#This Row],[Nät]],Tabell5[],2,FALSE)</f>
        <v>Kisa</v>
      </c>
    </row>
    <row r="299" spans="1:21" ht="15" customHeight="1" x14ac:dyDescent="0.25">
      <c r="A299" t="s">
        <v>573</v>
      </c>
      <c r="B299" t="s">
        <v>308</v>
      </c>
      <c r="C299">
        <v>2018</v>
      </c>
      <c r="D299">
        <v>1313.9</v>
      </c>
      <c r="E299">
        <v>534.70000000000005</v>
      </c>
      <c r="F299">
        <v>198.9</v>
      </c>
      <c r="G299">
        <v>74.900000000000006</v>
      </c>
      <c r="I299">
        <v>151.30000000000001</v>
      </c>
      <c r="J299">
        <v>118.8</v>
      </c>
      <c r="K299">
        <v>100.8</v>
      </c>
      <c r="L299">
        <v>28.2</v>
      </c>
      <c r="M299">
        <v>106.3</v>
      </c>
      <c r="N299" t="s">
        <v>1000</v>
      </c>
      <c r="O299">
        <v>68.95</v>
      </c>
      <c r="P299" t="s">
        <v>805</v>
      </c>
      <c r="R299" t="s">
        <v>805</v>
      </c>
      <c r="T299">
        <f>Tabell6[[#This Row],[Såld värme (GWh)]]-Tabell6[[#This Row],[Levererad värme, andra fjärrvärmeförag, förag 1 (GWh)]]-Tabell6[[#This Row],[Levererad värme, andra fjärrvärmeförag, förag 2 (GWh)]]-Tabell6[[#This Row],[Levererad värme, andra fjärrvärmeförag, förag 3 (GWh)]]</f>
        <v>1244.95</v>
      </c>
      <c r="U299" t="str">
        <f>VLOOKUP(Tabell6[[#This Row],[Nät]],Tabell5[],2,FALSE)</f>
        <v>Linköping</v>
      </c>
    </row>
    <row r="300" spans="1:21" ht="15" customHeight="1" x14ac:dyDescent="0.25">
      <c r="A300" t="s">
        <v>573</v>
      </c>
      <c r="B300" t="s">
        <v>309</v>
      </c>
      <c r="C300">
        <v>2018</v>
      </c>
      <c r="D300">
        <v>17.2</v>
      </c>
      <c r="E300">
        <v>7.4</v>
      </c>
      <c r="F300">
        <v>5.4</v>
      </c>
      <c r="G300">
        <v>0.2</v>
      </c>
      <c r="I300">
        <v>4</v>
      </c>
      <c r="J300">
        <v>0.2</v>
      </c>
      <c r="K300">
        <v>0</v>
      </c>
      <c r="L300">
        <v>0</v>
      </c>
      <c r="M300">
        <v>0</v>
      </c>
      <c r="N300" t="s">
        <v>805</v>
      </c>
      <c r="P300" t="s">
        <v>805</v>
      </c>
      <c r="R300" t="s">
        <v>805</v>
      </c>
      <c r="T300">
        <f>Tabell6[[#This Row],[Såld värme (GWh)]]-Tabell6[[#This Row],[Levererad värme, andra fjärrvärmeförag, förag 1 (GWh)]]-Tabell6[[#This Row],[Levererad värme, andra fjärrvärmeförag, förag 2 (GWh)]]-Tabell6[[#This Row],[Levererad värme, andra fjärrvärmeförag, förag 3 (GWh)]]</f>
        <v>17.2</v>
      </c>
      <c r="U300" t="str">
        <f>VLOOKUP(Tabell6[[#This Row],[Nät]],Tabell5[],2,FALSE)</f>
        <v>Skärblacka</v>
      </c>
    </row>
    <row r="301" spans="1:21" ht="15" customHeight="1" x14ac:dyDescent="0.25">
      <c r="A301" t="s">
        <v>573</v>
      </c>
      <c r="B301" t="s">
        <v>310</v>
      </c>
      <c r="C301">
        <v>2018</v>
      </c>
      <c r="D301">
        <v>30.8</v>
      </c>
      <c r="E301">
        <v>14.2</v>
      </c>
      <c r="F301">
        <v>1</v>
      </c>
      <c r="G301">
        <v>6.1</v>
      </c>
      <c r="I301">
        <v>7.3</v>
      </c>
      <c r="J301">
        <v>1.5</v>
      </c>
      <c r="K301">
        <v>0.8</v>
      </c>
      <c r="L301">
        <v>0</v>
      </c>
      <c r="M301">
        <v>0</v>
      </c>
      <c r="N301" t="s">
        <v>805</v>
      </c>
      <c r="P301" t="s">
        <v>805</v>
      </c>
      <c r="R301" t="s">
        <v>805</v>
      </c>
      <c r="T301">
        <f>Tabell6[[#This Row],[Såld värme (GWh)]]-Tabell6[[#This Row],[Levererad värme, andra fjärrvärmeförag, förag 1 (GWh)]]-Tabell6[[#This Row],[Levererad värme, andra fjärrvärmeförag, förag 2 (GWh)]]-Tabell6[[#This Row],[Levererad värme, andra fjärrvärmeförag, förag 3 (GWh)]]</f>
        <v>30.8</v>
      </c>
      <c r="U301" t="str">
        <f>VLOOKUP(Tabell6[[#This Row],[Nät]],Tabell5[],2,FALSE)</f>
        <v>Åtvidaberg</v>
      </c>
    </row>
    <row r="302" spans="1:21" ht="15" customHeight="1" x14ac:dyDescent="0.25">
      <c r="A302" t="s">
        <v>641</v>
      </c>
      <c r="B302" t="s">
        <v>312</v>
      </c>
      <c r="C302">
        <v>2018</v>
      </c>
      <c r="D302">
        <v>43</v>
      </c>
      <c r="E302">
        <v>16</v>
      </c>
      <c r="F302">
        <v>0.4</v>
      </c>
      <c r="G302">
        <v>20.6</v>
      </c>
      <c r="H302">
        <v>8</v>
      </c>
      <c r="I302">
        <v>4.5999999999999996</v>
      </c>
      <c r="J302">
        <v>1.4</v>
      </c>
      <c r="K302">
        <v>0</v>
      </c>
      <c r="L302">
        <v>0</v>
      </c>
      <c r="N302" t="s">
        <v>805</v>
      </c>
      <c r="P302" t="s">
        <v>805</v>
      </c>
      <c r="R302" t="s">
        <v>805</v>
      </c>
      <c r="T302">
        <f>Tabell6[[#This Row],[Såld värme (GWh)]]-Tabell6[[#This Row],[Levererad värme, andra fjärrvärmeförag, förag 1 (GWh)]]-Tabell6[[#This Row],[Levererad värme, andra fjärrvärmeförag, förag 2 (GWh)]]-Tabell6[[#This Row],[Levererad värme, andra fjärrvärmeförag, förag 3 (GWh)]]</f>
        <v>43</v>
      </c>
      <c r="U302" t="str">
        <f>VLOOKUP(Tabell6[[#This Row],[Nät]],Tabell5[],2,FALSE)</f>
        <v>Järna</v>
      </c>
    </row>
    <row r="303" spans="1:21" ht="15" customHeight="1" x14ac:dyDescent="0.25">
      <c r="A303" t="s">
        <v>641</v>
      </c>
      <c r="B303" t="s">
        <v>311</v>
      </c>
      <c r="C303">
        <v>2018</v>
      </c>
      <c r="D303">
        <v>688</v>
      </c>
      <c r="E303">
        <v>307</v>
      </c>
      <c r="F303">
        <v>19</v>
      </c>
      <c r="G303">
        <v>219</v>
      </c>
      <c r="H303">
        <v>64</v>
      </c>
      <c r="I303">
        <v>68</v>
      </c>
      <c r="J303">
        <v>73</v>
      </c>
      <c r="K303">
        <v>2</v>
      </c>
      <c r="L303">
        <v>0</v>
      </c>
      <c r="M303">
        <v>0</v>
      </c>
      <c r="N303" t="s">
        <v>805</v>
      </c>
      <c r="P303" t="s">
        <v>805</v>
      </c>
      <c r="R303" t="s">
        <v>805</v>
      </c>
      <c r="T303">
        <f>Tabell6[[#This Row],[Såld värme (GWh)]]-Tabell6[[#This Row],[Levererad värme, andra fjärrvärmeförag, förag 1 (GWh)]]-Tabell6[[#This Row],[Levererad värme, andra fjärrvärmeförag, förag 2 (GWh)]]-Tabell6[[#This Row],[Levererad värme, andra fjärrvärmeförag, förag 3 (GWh)]]</f>
        <v>688</v>
      </c>
      <c r="U303" t="str">
        <f>VLOOKUP(Tabell6[[#This Row],[Nät]],Tabell5[],2,FALSE)</f>
        <v>Södertälje</v>
      </c>
    </row>
    <row r="304" spans="1:21" ht="15" customHeight="1" x14ac:dyDescent="0.25">
      <c r="A304" t="s">
        <v>718</v>
      </c>
      <c r="B304" t="s">
        <v>314</v>
      </c>
      <c r="C304">
        <v>2018</v>
      </c>
      <c r="D304">
        <v>53.524999999999999</v>
      </c>
      <c r="E304">
        <v>17.190000000000001</v>
      </c>
      <c r="F304">
        <v>1.5609999999999999</v>
      </c>
      <c r="G304">
        <v>20.568000000000001</v>
      </c>
      <c r="I304">
        <v>11.21</v>
      </c>
      <c r="J304">
        <v>2.9950000000000001</v>
      </c>
      <c r="N304" t="s">
        <v>805</v>
      </c>
      <c r="P304" t="s">
        <v>805</v>
      </c>
      <c r="R304" t="s">
        <v>805</v>
      </c>
      <c r="T304">
        <f>Tabell6[[#This Row],[Såld värme (GWh)]]-Tabell6[[#This Row],[Levererad värme, andra fjärrvärmeförag, förag 1 (GWh)]]-Tabell6[[#This Row],[Levererad värme, andra fjärrvärmeförag, förag 2 (GWh)]]-Tabell6[[#This Row],[Levererad värme, andra fjärrvärmeförag, förag 3 (GWh)]]</f>
        <v>53.524999999999999</v>
      </c>
      <c r="U304" t="str">
        <f>VLOOKUP(Tabell6[[#This Row],[Nät]],Tabell5[],2,FALSE)</f>
        <v>Tidaholm</v>
      </c>
    </row>
    <row r="305" spans="1:21" ht="15" customHeight="1" x14ac:dyDescent="0.25">
      <c r="A305" t="s">
        <v>720</v>
      </c>
      <c r="B305" t="s">
        <v>315</v>
      </c>
      <c r="C305">
        <v>2018</v>
      </c>
      <c r="D305">
        <v>57.95</v>
      </c>
      <c r="E305">
        <v>30.86</v>
      </c>
      <c r="F305">
        <v>6.41</v>
      </c>
      <c r="G305">
        <v>1.43</v>
      </c>
      <c r="I305">
        <v>13.86</v>
      </c>
      <c r="J305">
        <v>2.96</v>
      </c>
      <c r="N305" t="s">
        <v>805</v>
      </c>
      <c r="P305" t="s">
        <v>805</v>
      </c>
      <c r="R305" t="s">
        <v>805</v>
      </c>
      <c r="T305">
        <f>Tabell6[[#This Row],[Såld värme (GWh)]]-Tabell6[[#This Row],[Levererad värme, andra fjärrvärmeförag, förag 1 (GWh)]]-Tabell6[[#This Row],[Levererad värme, andra fjärrvärmeförag, förag 2 (GWh)]]-Tabell6[[#This Row],[Levererad värme, andra fjärrvärmeförag, förag 3 (GWh)]]</f>
        <v>57.95</v>
      </c>
      <c r="U305" t="str">
        <f>VLOOKUP(Tabell6[[#This Row],[Nät]],Tabell5[],2,FALSE)</f>
        <v>Tierp</v>
      </c>
    </row>
    <row r="306" spans="1:21" ht="15" customHeight="1" x14ac:dyDescent="0.25">
      <c r="A306" t="s">
        <v>720</v>
      </c>
      <c r="B306" t="s">
        <v>439</v>
      </c>
      <c r="C306">
        <v>2018</v>
      </c>
      <c r="N306" t="s">
        <v>805</v>
      </c>
      <c r="P306" t="s">
        <v>805</v>
      </c>
      <c r="R306" t="s">
        <v>805</v>
      </c>
      <c r="T306">
        <f>Tabell6[[#This Row],[Såld värme (GWh)]]-Tabell6[[#This Row],[Levererad värme, andra fjärrvärmeförag, förag 1 (GWh)]]-Tabell6[[#This Row],[Levererad värme, andra fjärrvärmeförag, förag 2 (GWh)]]-Tabell6[[#This Row],[Levererad värme, andra fjärrvärmeförag, förag 3 (GWh)]]</f>
        <v>0</v>
      </c>
      <c r="U306" t="str">
        <f>VLOOKUP(Tabell6[[#This Row],[Nät]],Tabell5[],2,FALSE)</f>
        <v>Örbyhus</v>
      </c>
    </row>
    <row r="307" spans="1:21" ht="15" customHeight="1" x14ac:dyDescent="0.25">
      <c r="A307" t="s">
        <v>777</v>
      </c>
      <c r="B307" t="s">
        <v>777</v>
      </c>
      <c r="C307">
        <v>2018</v>
      </c>
      <c r="D307">
        <v>2.4500000000000002</v>
      </c>
      <c r="E307">
        <v>0.59</v>
      </c>
      <c r="F307">
        <v>0.27</v>
      </c>
      <c r="G307">
        <v>0.59</v>
      </c>
      <c r="I307">
        <v>1</v>
      </c>
      <c r="N307" t="s">
        <v>805</v>
      </c>
      <c r="P307" t="s">
        <v>805</v>
      </c>
      <c r="R307" t="s">
        <v>805</v>
      </c>
      <c r="T307">
        <f>Tabell6[[#This Row],[Såld värme (GWh)]]-Tabell6[[#This Row],[Levererad värme, andra fjärrvärmeförag, förag 1 (GWh)]]-Tabell6[[#This Row],[Levererad värme, andra fjärrvärmeförag, förag 2 (GWh)]]-Tabell6[[#This Row],[Levererad värme, andra fjärrvärmeförag, förag 3 (GWh)]]</f>
        <v>2.4500000000000002</v>
      </c>
      <c r="U307" t="e">
        <f>VLOOKUP(Tabell6[[#This Row],[Nät]],Tabell5[],2,FALSE)</f>
        <v>#N/A</v>
      </c>
    </row>
    <row r="308" spans="1:21" ht="15" customHeight="1" x14ac:dyDescent="0.25">
      <c r="A308" t="s">
        <v>721</v>
      </c>
      <c r="B308" t="s">
        <v>514</v>
      </c>
      <c r="C308">
        <v>2018</v>
      </c>
      <c r="D308">
        <v>12.355</v>
      </c>
      <c r="E308">
        <v>3.6920000000000002</v>
      </c>
      <c r="F308">
        <v>2.5099999999999998</v>
      </c>
      <c r="G308">
        <v>2.9020000000000001</v>
      </c>
      <c r="I308">
        <v>3.2519999999999998</v>
      </c>
      <c r="N308" t="s">
        <v>805</v>
      </c>
      <c r="P308" t="s">
        <v>805</v>
      </c>
      <c r="R308" t="s">
        <v>805</v>
      </c>
      <c r="T308">
        <f>Tabell6[[#This Row],[Såld värme (GWh)]]-Tabell6[[#This Row],[Levererad värme, andra fjärrvärmeförag, förag 1 (GWh)]]-Tabell6[[#This Row],[Levererad värme, andra fjärrvärmeförag, förag 2 (GWh)]]-Tabell6[[#This Row],[Levererad värme, andra fjärrvärmeförag, förag 3 (GWh)]]</f>
        <v>12.355</v>
      </c>
      <c r="U308" t="str">
        <f>VLOOKUP(Tabell6[[#This Row],[Nät]],Tabell5[],2,FALSE)</f>
        <v>Torsås</v>
      </c>
    </row>
    <row r="309" spans="1:21" ht="15" customHeight="1" x14ac:dyDescent="0.25">
      <c r="A309" t="s">
        <v>722</v>
      </c>
      <c r="B309" t="s">
        <v>316</v>
      </c>
      <c r="C309">
        <v>2018</v>
      </c>
      <c r="D309">
        <v>124</v>
      </c>
      <c r="E309">
        <v>52.2</v>
      </c>
      <c r="F309">
        <v>18.5</v>
      </c>
      <c r="G309">
        <v>24.6</v>
      </c>
      <c r="I309">
        <v>12.7</v>
      </c>
      <c r="J309">
        <v>16</v>
      </c>
      <c r="K309">
        <v>0.2</v>
      </c>
      <c r="L309">
        <v>0</v>
      </c>
      <c r="M309">
        <v>0</v>
      </c>
      <c r="N309" t="s">
        <v>962</v>
      </c>
      <c r="P309" t="s">
        <v>962</v>
      </c>
      <c r="R309" t="s">
        <v>962</v>
      </c>
      <c r="T309">
        <f>Tabell6[[#This Row],[Såld värme (GWh)]]-Tabell6[[#This Row],[Levererad värme, andra fjärrvärmeförag, förag 1 (GWh)]]-Tabell6[[#This Row],[Levererad värme, andra fjärrvärmeförag, förag 2 (GWh)]]-Tabell6[[#This Row],[Levererad värme, andra fjärrvärmeförag, förag 3 (GWh)]]</f>
        <v>124</v>
      </c>
      <c r="U309" t="str">
        <f>VLOOKUP(Tabell6[[#This Row],[Nät]],Tabell5[],2,FALSE)</f>
        <v>Tranås</v>
      </c>
    </row>
    <row r="310" spans="1:21" ht="15" customHeight="1" x14ac:dyDescent="0.25">
      <c r="A310" t="s">
        <v>723</v>
      </c>
      <c r="B310" t="s">
        <v>317</v>
      </c>
      <c r="C310">
        <v>2018</v>
      </c>
      <c r="U310" t="str">
        <f>VLOOKUP(Tabell6[[#This Row],[Nät]],Tabell5[],2,FALSE)</f>
        <v>Trelleborg</v>
      </c>
    </row>
    <row r="311" spans="1:21" ht="15" customHeight="1" x14ac:dyDescent="0.25">
      <c r="A311" t="s">
        <v>725</v>
      </c>
      <c r="B311" t="s">
        <v>318</v>
      </c>
      <c r="C311">
        <v>2018</v>
      </c>
      <c r="D311">
        <v>346.2</v>
      </c>
      <c r="E311">
        <v>153.30000000000001</v>
      </c>
      <c r="F311">
        <v>15.5</v>
      </c>
      <c r="G311">
        <v>84.5</v>
      </c>
      <c r="H311">
        <v>0</v>
      </c>
      <c r="I311">
        <v>21.6</v>
      </c>
      <c r="J311">
        <v>49.6</v>
      </c>
      <c r="K311">
        <v>0</v>
      </c>
      <c r="L311">
        <v>22.3</v>
      </c>
      <c r="M311">
        <v>0</v>
      </c>
      <c r="N311" t="s">
        <v>1001</v>
      </c>
      <c r="O311">
        <v>4.2</v>
      </c>
      <c r="T311">
        <f>Tabell6[[#This Row],[Såld värme (GWh)]]-Tabell6[[#This Row],[Levererad värme, andra fjärrvärmeförag, förag 1 (GWh)]]-Tabell6[[#This Row],[Levererad värme, andra fjärrvärmeförag, förag 2 (GWh)]]-Tabell6[[#This Row],[Levererad värme, andra fjärrvärmeförag, förag 3 (GWh)]]</f>
        <v>342</v>
      </c>
      <c r="U311" t="str">
        <f>VLOOKUP(Tabell6[[#This Row],[Nät]],Tabell5[],2,FALSE)</f>
        <v>Trollhättan</v>
      </c>
    </row>
    <row r="312" spans="1:21" ht="15" customHeight="1" x14ac:dyDescent="0.25">
      <c r="A312" t="s">
        <v>902</v>
      </c>
      <c r="B312" t="s">
        <v>797</v>
      </c>
      <c r="C312">
        <v>2018</v>
      </c>
    </row>
    <row r="313" spans="1:21" ht="15" customHeight="1" x14ac:dyDescent="0.25">
      <c r="A313" t="s">
        <v>665</v>
      </c>
      <c r="B313" t="s">
        <v>404</v>
      </c>
      <c r="C313">
        <v>2018</v>
      </c>
      <c r="D313">
        <v>4.2690000000000001</v>
      </c>
      <c r="E313">
        <v>1.3</v>
      </c>
      <c r="F313">
        <v>0.107</v>
      </c>
      <c r="G313">
        <v>7.9000000000000001E-2</v>
      </c>
      <c r="H313">
        <v>0</v>
      </c>
      <c r="I313">
        <v>2.2000000000000002</v>
      </c>
      <c r="J313">
        <v>0.48299999999999998</v>
      </c>
      <c r="K313">
        <v>0</v>
      </c>
      <c r="L313">
        <v>0</v>
      </c>
      <c r="M313">
        <v>0</v>
      </c>
      <c r="T313">
        <f>Tabell6[[#This Row],[Såld värme (GWh)]]-Tabell6[[#This Row],[Levererad värme, andra fjärrvärmeförag, förag 1 (GWh)]]-Tabell6[[#This Row],[Levererad värme, andra fjärrvärmeförag, förag 2 (GWh)]]-Tabell6[[#This Row],[Levererad värme, andra fjärrvärmeförag, förag 3 (GWh)]]</f>
        <v>4.2690000000000001</v>
      </c>
      <c r="U313" t="str">
        <f>VLOOKUP(Tabell6[[#This Row],[Nät]],Tabell5[],2,FALSE)</f>
        <v>Ljungskile</v>
      </c>
    </row>
    <row r="314" spans="1:21" ht="15" customHeight="1" x14ac:dyDescent="0.25">
      <c r="A314" t="s">
        <v>665</v>
      </c>
      <c r="B314" t="s">
        <v>319</v>
      </c>
      <c r="C314">
        <v>2018</v>
      </c>
      <c r="D314">
        <v>7.0449999999999999</v>
      </c>
      <c r="E314">
        <v>3.2</v>
      </c>
      <c r="F314">
        <v>0</v>
      </c>
      <c r="G314">
        <v>0</v>
      </c>
      <c r="H314">
        <v>0</v>
      </c>
      <c r="I314">
        <v>3.4</v>
      </c>
      <c r="J314">
        <v>0.34300000000000003</v>
      </c>
      <c r="K314">
        <v>0</v>
      </c>
      <c r="L314">
        <v>0</v>
      </c>
      <c r="M314">
        <v>0</v>
      </c>
      <c r="T314">
        <f>Tabell6[[#This Row],[Såld värme (GWh)]]-Tabell6[[#This Row],[Levererad värme, andra fjärrvärmeförag, förag 1 (GWh)]]-Tabell6[[#This Row],[Levererad värme, andra fjärrvärmeförag, förag 2 (GWh)]]-Tabell6[[#This Row],[Levererad värme, andra fjärrvärmeförag, förag 3 (GWh)]]</f>
        <v>7.0449999999999999</v>
      </c>
      <c r="U314" t="str">
        <f>VLOOKUP(Tabell6[[#This Row],[Nät]],Tabell5[],2,FALSE)</f>
        <v>Munkedal</v>
      </c>
    </row>
    <row r="315" spans="1:21" ht="15" customHeight="1" x14ac:dyDescent="0.25">
      <c r="A315" t="s">
        <v>665</v>
      </c>
      <c r="B315" t="s">
        <v>320</v>
      </c>
      <c r="C315">
        <v>2018</v>
      </c>
      <c r="D315">
        <v>302</v>
      </c>
      <c r="E315">
        <v>122.7</v>
      </c>
      <c r="F315">
        <v>17.399999999999999</v>
      </c>
      <c r="G315">
        <v>70.099999999999994</v>
      </c>
      <c r="H315">
        <v>0</v>
      </c>
      <c r="I315">
        <v>43.7</v>
      </c>
      <c r="J315">
        <v>45.6</v>
      </c>
      <c r="K315">
        <v>0</v>
      </c>
      <c r="L315">
        <v>3.4</v>
      </c>
      <c r="M315">
        <v>0</v>
      </c>
      <c r="T315">
        <f>Tabell6[[#This Row],[Såld värme (GWh)]]-Tabell6[[#This Row],[Levererad värme, andra fjärrvärmeförag, förag 1 (GWh)]]-Tabell6[[#This Row],[Levererad värme, andra fjärrvärmeförag, förag 2 (GWh)]]-Tabell6[[#This Row],[Levererad värme, andra fjärrvärmeförag, förag 3 (GWh)]]</f>
        <v>302</v>
      </c>
      <c r="U315" t="str">
        <f>VLOOKUP(Tabell6[[#This Row],[Nät]],Tabell5[],2,FALSE)</f>
        <v>Uddevalla</v>
      </c>
    </row>
    <row r="316" spans="1:21" ht="15" customHeight="1" x14ac:dyDescent="0.25">
      <c r="A316" t="s">
        <v>614</v>
      </c>
      <c r="B316" t="s">
        <v>322</v>
      </c>
      <c r="C316">
        <v>2018</v>
      </c>
      <c r="D316">
        <v>2.161</v>
      </c>
      <c r="E316">
        <v>0.66600000000000004</v>
      </c>
      <c r="F316">
        <v>0.28899999999999998</v>
      </c>
      <c r="G316">
        <v>0</v>
      </c>
      <c r="H316">
        <v>0</v>
      </c>
      <c r="I316">
        <v>1.1539999999999999</v>
      </c>
      <c r="J316">
        <v>5.1999999999999998E-2</v>
      </c>
      <c r="K316">
        <v>0</v>
      </c>
      <c r="L316">
        <v>0</v>
      </c>
      <c r="M316">
        <v>0</v>
      </c>
      <c r="N316" t="s">
        <v>805</v>
      </c>
      <c r="P316" t="s">
        <v>805</v>
      </c>
      <c r="R316" t="s">
        <v>805</v>
      </c>
      <c r="T316">
        <f>Tabell6[[#This Row],[Såld värme (GWh)]]-Tabell6[[#This Row],[Levererad värme, andra fjärrvärmeförag, förag 1 (GWh)]]-Tabell6[[#This Row],[Levererad värme, andra fjärrvärmeförag, förag 2 (GWh)]]-Tabell6[[#This Row],[Levererad värme, andra fjärrvärmeförag, förag 3 (GWh)]]</f>
        <v>2.161</v>
      </c>
      <c r="U316" t="str">
        <f>VLOOKUP(Tabell6[[#This Row],[Nät]],Tabell5[],2,FALSE)</f>
        <v>Gällstad</v>
      </c>
    </row>
    <row r="317" spans="1:21" ht="15" customHeight="1" x14ac:dyDescent="0.25">
      <c r="A317" t="s">
        <v>614</v>
      </c>
      <c r="B317" t="s">
        <v>798</v>
      </c>
      <c r="C317">
        <v>2018</v>
      </c>
      <c r="D317">
        <v>0.82399999999999995</v>
      </c>
      <c r="E317">
        <v>0</v>
      </c>
      <c r="F317">
        <v>0</v>
      </c>
      <c r="G317">
        <v>0</v>
      </c>
      <c r="H317">
        <v>0</v>
      </c>
      <c r="I317">
        <v>0.82399999999999995</v>
      </c>
      <c r="J317">
        <v>0</v>
      </c>
      <c r="K317">
        <v>0</v>
      </c>
      <c r="L317">
        <v>0</v>
      </c>
      <c r="M317">
        <v>0</v>
      </c>
      <c r="N317" t="s">
        <v>805</v>
      </c>
      <c r="P317" t="s">
        <v>805</v>
      </c>
      <c r="R317" t="s">
        <v>805</v>
      </c>
      <c r="T317">
        <f>Tabell6[[#This Row],[Såld värme (GWh)]]-Tabell6[[#This Row],[Levererad värme, andra fjärrvärmeförag, förag 1 (GWh)]]-Tabell6[[#This Row],[Levererad värme, andra fjärrvärmeförag, förag 2 (GWh)]]-Tabell6[[#This Row],[Levererad värme, andra fjärrvärmeförag, förag 3 (GWh)]]</f>
        <v>0.82399999999999995</v>
      </c>
      <c r="U317" t="str">
        <f>VLOOKUP(Tabell6[[#This Row],[Nät]],Tabell5[],2,FALSE)</f>
        <v>Timmele</v>
      </c>
    </row>
    <row r="318" spans="1:21" ht="15" customHeight="1" x14ac:dyDescent="0.25">
      <c r="A318" t="s">
        <v>614</v>
      </c>
      <c r="B318" t="s">
        <v>321</v>
      </c>
      <c r="C318">
        <v>2018</v>
      </c>
      <c r="D318">
        <v>48.752000000000002</v>
      </c>
      <c r="E318">
        <v>22.861999999999998</v>
      </c>
      <c r="F318">
        <v>2.0960000000000001</v>
      </c>
      <c r="G318">
        <v>3.516</v>
      </c>
      <c r="H318">
        <v>0</v>
      </c>
      <c r="I318">
        <v>9.7140000000000004</v>
      </c>
      <c r="J318">
        <v>9.9659999999999993</v>
      </c>
      <c r="K318">
        <v>0.59799999999999998</v>
      </c>
      <c r="L318">
        <v>0</v>
      </c>
      <c r="M318">
        <v>0</v>
      </c>
      <c r="N318" t="s">
        <v>805</v>
      </c>
      <c r="P318" t="s">
        <v>805</v>
      </c>
      <c r="R318" t="s">
        <v>805</v>
      </c>
      <c r="T318">
        <f>Tabell6[[#This Row],[Såld värme (GWh)]]-Tabell6[[#This Row],[Levererad värme, andra fjärrvärmeförag, förag 1 (GWh)]]-Tabell6[[#This Row],[Levererad värme, andra fjärrvärmeförag, förag 2 (GWh)]]-Tabell6[[#This Row],[Levererad värme, andra fjärrvärmeförag, förag 3 (GWh)]]</f>
        <v>48.752000000000002</v>
      </c>
      <c r="U318" t="str">
        <f>VLOOKUP(Tabell6[[#This Row],[Nät]],Tabell5[],2,FALSE)</f>
        <v>Ulricehamn</v>
      </c>
    </row>
    <row r="319" spans="1:21" ht="15" customHeight="1" x14ac:dyDescent="0.25">
      <c r="A319" t="s">
        <v>566</v>
      </c>
      <c r="B319" t="s">
        <v>323</v>
      </c>
      <c r="C319">
        <v>2018</v>
      </c>
      <c r="D319">
        <v>7.55</v>
      </c>
      <c r="E319">
        <v>1.79</v>
      </c>
      <c r="F319">
        <v>1.28</v>
      </c>
      <c r="G319">
        <v>0.14000000000000001</v>
      </c>
      <c r="I319">
        <v>2.29</v>
      </c>
      <c r="J319">
        <v>1.87</v>
      </c>
      <c r="L319">
        <v>0.18</v>
      </c>
      <c r="M319">
        <v>0</v>
      </c>
      <c r="N319" t="s">
        <v>805</v>
      </c>
      <c r="P319" t="s">
        <v>805</v>
      </c>
      <c r="R319" t="s">
        <v>805</v>
      </c>
      <c r="T319">
        <f>Tabell6[[#This Row],[Såld värme (GWh)]]-Tabell6[[#This Row],[Levererad värme, andra fjärrvärmeförag, förag 1 (GWh)]]-Tabell6[[#This Row],[Levererad värme, andra fjärrvärmeförag, förag 2 (GWh)]]-Tabell6[[#This Row],[Levererad värme, andra fjärrvärmeförag, förag 3 (GWh)]]</f>
        <v>7.55</v>
      </c>
      <c r="U319" t="str">
        <f>VLOOKUP(Tabell6[[#This Row],[Nät]],Tabell5[],2,FALSE)</f>
        <v>Bjurholm</v>
      </c>
    </row>
    <row r="320" spans="1:21" ht="15" customHeight="1" x14ac:dyDescent="0.25">
      <c r="A320" t="s">
        <v>566</v>
      </c>
      <c r="B320" t="s">
        <v>326</v>
      </c>
      <c r="C320">
        <v>2018</v>
      </c>
      <c r="D320">
        <v>7.41</v>
      </c>
      <c r="E320">
        <v>0.9</v>
      </c>
      <c r="F320">
        <v>1.23</v>
      </c>
      <c r="G320">
        <v>0</v>
      </c>
      <c r="H320">
        <v>0</v>
      </c>
      <c r="I320">
        <v>2.79</v>
      </c>
      <c r="J320">
        <v>2.5</v>
      </c>
      <c r="K320">
        <v>0</v>
      </c>
      <c r="L320">
        <v>0</v>
      </c>
      <c r="M320">
        <v>0</v>
      </c>
      <c r="N320" t="s">
        <v>805</v>
      </c>
      <c r="P320" t="s">
        <v>805</v>
      </c>
      <c r="R320" t="s">
        <v>805</v>
      </c>
      <c r="T320">
        <f>Tabell6[[#This Row],[Såld värme (GWh)]]-Tabell6[[#This Row],[Levererad värme, andra fjärrvärmeförag, förag 1 (GWh)]]-Tabell6[[#This Row],[Levererad värme, andra fjärrvärmeförag, förag 2 (GWh)]]-Tabell6[[#This Row],[Levererad värme, andra fjärrvärmeförag, förag 3 (GWh)]]</f>
        <v>7.41</v>
      </c>
      <c r="U320" t="str">
        <f>VLOOKUP(Tabell6[[#This Row],[Nät]],Tabell5[],2,FALSE)</f>
        <v>Hörnefors</v>
      </c>
    </row>
    <row r="321" spans="1:21" ht="15" customHeight="1" x14ac:dyDescent="0.25">
      <c r="A321" t="s">
        <v>566</v>
      </c>
      <c r="B321" t="s">
        <v>327</v>
      </c>
      <c r="C321">
        <v>2018</v>
      </c>
      <c r="D321">
        <v>7.54</v>
      </c>
      <c r="E321">
        <v>1.01</v>
      </c>
      <c r="F321">
        <v>1.69</v>
      </c>
      <c r="G321">
        <v>0.28999999999999998</v>
      </c>
      <c r="H321">
        <v>0</v>
      </c>
      <c r="I321">
        <v>3.34</v>
      </c>
      <c r="J321">
        <v>0.63</v>
      </c>
      <c r="K321">
        <v>0</v>
      </c>
      <c r="L321">
        <v>0.57999999999999996</v>
      </c>
      <c r="M321">
        <v>0</v>
      </c>
      <c r="N321" t="s">
        <v>805</v>
      </c>
      <c r="P321" t="s">
        <v>805</v>
      </c>
      <c r="R321" t="s">
        <v>805</v>
      </c>
      <c r="T321">
        <f>Tabell6[[#This Row],[Såld värme (GWh)]]-Tabell6[[#This Row],[Levererad värme, andra fjärrvärmeförag, förag 1 (GWh)]]-Tabell6[[#This Row],[Levererad värme, andra fjärrvärmeförag, förag 2 (GWh)]]-Tabell6[[#This Row],[Levererad värme, andra fjärrvärmeförag, förag 3 (GWh)]]</f>
        <v>7.54</v>
      </c>
      <c r="U321" t="str">
        <f>VLOOKUP(Tabell6[[#This Row],[Nät]],Tabell5[],2,FALSE)</f>
        <v>Sävar</v>
      </c>
    </row>
    <row r="322" spans="1:21" ht="15" customHeight="1" x14ac:dyDescent="0.25">
      <c r="A322" t="s">
        <v>566</v>
      </c>
      <c r="B322" t="s">
        <v>324</v>
      </c>
      <c r="C322">
        <v>2018</v>
      </c>
      <c r="D322">
        <v>854.3</v>
      </c>
      <c r="E322">
        <v>367.94</v>
      </c>
      <c r="F322">
        <v>99.16</v>
      </c>
      <c r="G322">
        <v>41.26</v>
      </c>
      <c r="I322">
        <v>145.56</v>
      </c>
      <c r="J322">
        <v>147.32</v>
      </c>
      <c r="K322">
        <v>19.03</v>
      </c>
      <c r="L322">
        <v>34.04</v>
      </c>
      <c r="M322">
        <v>0</v>
      </c>
      <c r="N322" t="s">
        <v>805</v>
      </c>
      <c r="P322" t="s">
        <v>805</v>
      </c>
      <c r="R322" t="s">
        <v>805</v>
      </c>
      <c r="T322">
        <f>Tabell6[[#This Row],[Såld värme (GWh)]]-Tabell6[[#This Row],[Levererad värme, andra fjärrvärmeförag, förag 1 (GWh)]]-Tabell6[[#This Row],[Levererad värme, andra fjärrvärmeförag, förag 2 (GWh)]]-Tabell6[[#This Row],[Levererad värme, andra fjärrvärmeförag, förag 3 (GWh)]]</f>
        <v>854.3</v>
      </c>
      <c r="U322" t="str">
        <f>VLOOKUP(Tabell6[[#This Row],[Nät]],Tabell5[],2,FALSE)</f>
        <v>Umeå</v>
      </c>
    </row>
    <row r="323" spans="1:21" ht="15" customHeight="1" x14ac:dyDescent="0.25">
      <c r="A323" t="s">
        <v>697</v>
      </c>
      <c r="B323" t="s">
        <v>329</v>
      </c>
      <c r="C323">
        <v>2018</v>
      </c>
      <c r="D323">
        <v>22.716999999999999</v>
      </c>
      <c r="E323">
        <v>9.9559999999999995</v>
      </c>
      <c r="F323">
        <v>3.0409999999999999</v>
      </c>
      <c r="G323">
        <v>4.0229999999999997</v>
      </c>
      <c r="I323">
        <v>4.04</v>
      </c>
      <c r="J323">
        <v>1.657</v>
      </c>
      <c r="L323" t="s">
        <v>804</v>
      </c>
      <c r="M323">
        <v>4.0979999999999999</v>
      </c>
      <c r="N323" t="s">
        <v>805</v>
      </c>
      <c r="P323" t="s">
        <v>805</v>
      </c>
      <c r="R323" t="s">
        <v>805</v>
      </c>
      <c r="T323">
        <f>Tabell6[[#This Row],[Såld värme (GWh)]]-Tabell6[[#This Row],[Levererad värme, andra fjärrvärmeförag, förag 1 (GWh)]]-Tabell6[[#This Row],[Levererad värme, andra fjärrvärmeförag, förag 2 (GWh)]]-Tabell6[[#This Row],[Levererad värme, andra fjärrvärmeförag, förag 3 (GWh)]]</f>
        <v>22.716999999999999</v>
      </c>
      <c r="U323" t="str">
        <f>VLOOKUP(Tabell6[[#This Row],[Nät]],Tabell5[],2,FALSE)</f>
        <v>Skillingaryd</v>
      </c>
    </row>
    <row r="324" spans="1:21" ht="15" customHeight="1" x14ac:dyDescent="0.25">
      <c r="A324" t="s">
        <v>697</v>
      </c>
      <c r="B324" t="s">
        <v>328</v>
      </c>
      <c r="C324">
        <v>2018</v>
      </c>
      <c r="D324">
        <v>30.187000000000001</v>
      </c>
      <c r="E324">
        <v>13.573</v>
      </c>
      <c r="F324">
        <v>6.4740000000000002</v>
      </c>
      <c r="G324">
        <v>6.3620000000000001</v>
      </c>
      <c r="I324">
        <v>0.9</v>
      </c>
      <c r="J324">
        <v>2.8780000000000001</v>
      </c>
      <c r="L324" t="s">
        <v>804</v>
      </c>
      <c r="M324">
        <v>6.0229999999999997</v>
      </c>
      <c r="N324" t="s">
        <v>805</v>
      </c>
      <c r="P324" t="s">
        <v>805</v>
      </c>
      <c r="R324" t="s">
        <v>805</v>
      </c>
      <c r="T324">
        <f>Tabell6[[#This Row],[Såld värme (GWh)]]-Tabell6[[#This Row],[Levererad värme, andra fjärrvärmeförag, förag 1 (GWh)]]-Tabell6[[#This Row],[Levererad värme, andra fjärrvärmeförag, förag 2 (GWh)]]-Tabell6[[#This Row],[Levererad värme, andra fjärrvärmeförag, förag 3 (GWh)]]</f>
        <v>30.187000000000001</v>
      </c>
      <c r="U324" t="str">
        <f>VLOOKUP(Tabell6[[#This Row],[Nät]],Tabell5[],2,FALSE)</f>
        <v>Vaggeryd</v>
      </c>
    </row>
    <row r="325" spans="1:21" ht="15" customHeight="1" x14ac:dyDescent="0.25">
      <c r="A325" t="s">
        <v>799</v>
      </c>
      <c r="B325" t="s">
        <v>330</v>
      </c>
      <c r="C325">
        <v>2018</v>
      </c>
      <c r="D325">
        <v>31.73</v>
      </c>
      <c r="E325">
        <v>10.3</v>
      </c>
      <c r="F325">
        <v>4.5</v>
      </c>
      <c r="G325">
        <v>0.39</v>
      </c>
      <c r="I325">
        <v>10.5</v>
      </c>
      <c r="J325">
        <v>5.8</v>
      </c>
      <c r="N325" t="s">
        <v>805</v>
      </c>
      <c r="P325" t="s">
        <v>805</v>
      </c>
      <c r="R325" t="s">
        <v>805</v>
      </c>
      <c r="T325">
        <f>Tabell6[[#This Row],[Såld värme (GWh)]]-Tabell6[[#This Row],[Levererad värme, andra fjärrvärmeförag, förag 1 (GWh)]]-Tabell6[[#This Row],[Levererad värme, andra fjärrvärmeförag, förag 2 (GWh)]]-Tabell6[[#This Row],[Levererad värme, andra fjärrvärmeförag, förag 3 (GWh)]]</f>
        <v>31.73</v>
      </c>
      <c r="U325" t="str">
        <f>VLOOKUP(Tabell6[[#This Row],[Nät]],Tabell5[],2,FALSE)</f>
        <v>Vara</v>
      </c>
    </row>
    <row r="326" spans="1:21" ht="15" customHeight="1" x14ac:dyDescent="0.25">
      <c r="A326" t="s">
        <v>726</v>
      </c>
      <c r="B326" t="s">
        <v>429</v>
      </c>
      <c r="C326">
        <v>2018</v>
      </c>
      <c r="D326">
        <v>4.968</v>
      </c>
      <c r="N326" t="s">
        <v>805</v>
      </c>
      <c r="P326" t="s">
        <v>805</v>
      </c>
      <c r="R326" t="s">
        <v>805</v>
      </c>
      <c r="T326">
        <f>Tabell6[[#This Row],[Såld värme (GWh)]]-Tabell6[[#This Row],[Levererad värme, andra fjärrvärmeförag, förag 1 (GWh)]]-Tabell6[[#This Row],[Levererad värme, andra fjärrvärmeförag, förag 2 (GWh)]]-Tabell6[[#This Row],[Levererad värme, andra fjärrvärmeförag, förag 3 (GWh)]]</f>
        <v>4.968</v>
      </c>
      <c r="U326" t="str">
        <f>VLOOKUP(Tabell6[[#This Row],[Nät]],Tabell5[],2,FALSE)</f>
        <v>Tvååker (Närv)</v>
      </c>
    </row>
    <row r="327" spans="1:21" ht="15" customHeight="1" x14ac:dyDescent="0.25">
      <c r="A327" t="s">
        <v>726</v>
      </c>
      <c r="B327" t="s">
        <v>332</v>
      </c>
      <c r="C327">
        <v>2018</v>
      </c>
      <c r="D327">
        <v>152.30000000000001</v>
      </c>
      <c r="N327" t="s">
        <v>805</v>
      </c>
      <c r="P327" t="s">
        <v>805</v>
      </c>
      <c r="R327" t="s">
        <v>805</v>
      </c>
      <c r="T327">
        <f>Tabell6[[#This Row],[Såld värme (GWh)]]-Tabell6[[#This Row],[Levererad värme, andra fjärrvärmeförag, förag 1 (GWh)]]-Tabell6[[#This Row],[Levererad värme, andra fjärrvärmeförag, förag 2 (GWh)]]-Tabell6[[#This Row],[Levererad värme, andra fjärrvärmeförag, förag 3 (GWh)]]</f>
        <v>152.30000000000001</v>
      </c>
      <c r="U327" t="str">
        <f>VLOOKUP(Tabell6[[#This Row],[Nät]],Tabell5[],2,FALSE)</f>
        <v>Varberg (Fjv)</v>
      </c>
    </row>
    <row r="328" spans="1:21" ht="15" customHeight="1" x14ac:dyDescent="0.25">
      <c r="A328" t="s">
        <v>726</v>
      </c>
      <c r="B328" t="s">
        <v>333</v>
      </c>
      <c r="C328">
        <v>2018</v>
      </c>
      <c r="D328">
        <v>3.6349999999999998</v>
      </c>
      <c r="N328" t="s">
        <v>805</v>
      </c>
      <c r="P328" t="s">
        <v>805</v>
      </c>
      <c r="R328" t="s">
        <v>805</v>
      </c>
      <c r="T328">
        <f>Tabell6[[#This Row],[Såld värme (GWh)]]-Tabell6[[#This Row],[Levererad värme, andra fjärrvärmeförag, förag 1 (GWh)]]-Tabell6[[#This Row],[Levererad värme, andra fjärrvärmeförag, förag 2 (GWh)]]-Tabell6[[#This Row],[Levererad värme, andra fjärrvärmeförag, förag 3 (GWh)]]</f>
        <v>3.6349999999999998</v>
      </c>
      <c r="U328" t="str">
        <f>VLOOKUP(Tabell6[[#This Row],[Nät]],Tabell5[],2,FALSE)</f>
        <v>Veddige</v>
      </c>
    </row>
    <row r="329" spans="1:21" ht="15" customHeight="1" x14ac:dyDescent="0.25">
      <c r="A329" t="s">
        <v>800</v>
      </c>
      <c r="B329" t="s">
        <v>95</v>
      </c>
      <c r="C329">
        <v>2018</v>
      </c>
      <c r="D329">
        <v>18.7</v>
      </c>
      <c r="E329">
        <v>8.6999999999999993</v>
      </c>
      <c r="F329">
        <v>1.8</v>
      </c>
      <c r="I329">
        <v>1.8</v>
      </c>
      <c r="J329">
        <v>1.3</v>
      </c>
      <c r="M329">
        <v>5.0999999999999996</v>
      </c>
      <c r="N329" t="s">
        <v>805</v>
      </c>
      <c r="P329" t="s">
        <v>805</v>
      </c>
      <c r="R329" t="s">
        <v>805</v>
      </c>
      <c r="T329">
        <f>Tabell6[[#This Row],[Såld värme (GWh)]]-Tabell6[[#This Row],[Levererad värme, andra fjärrvärmeförag, förag 1 (GWh)]]-Tabell6[[#This Row],[Levererad värme, andra fjärrvärmeförag, förag 2 (GWh)]]-Tabell6[[#This Row],[Levererad värme, andra fjärrvärmeförag, förag 3 (GWh)]]</f>
        <v>18.7</v>
      </c>
      <c r="U329" t="str">
        <f>VLOOKUP(Tabell6[[#This Row],[Nät]],Tabell5[],2,FALSE)</f>
        <v>Alfta</v>
      </c>
    </row>
    <row r="330" spans="1:21" ht="15" customHeight="1" x14ac:dyDescent="0.25">
      <c r="A330" t="s">
        <v>800</v>
      </c>
      <c r="B330" t="s">
        <v>96</v>
      </c>
      <c r="C330">
        <v>2018</v>
      </c>
      <c r="D330">
        <v>32.299999999999997</v>
      </c>
      <c r="E330">
        <v>13</v>
      </c>
      <c r="F330">
        <v>5.3</v>
      </c>
      <c r="G330">
        <v>7.8</v>
      </c>
      <c r="I330">
        <v>4</v>
      </c>
      <c r="J330">
        <v>2.2000000000000002</v>
      </c>
      <c r="N330" t="s">
        <v>805</v>
      </c>
      <c r="P330" t="s">
        <v>805</v>
      </c>
      <c r="R330" t="s">
        <v>805</v>
      </c>
      <c r="T330">
        <f>Tabell6[[#This Row],[Såld värme (GWh)]]-Tabell6[[#This Row],[Levererad värme, andra fjärrvärmeförag, förag 1 (GWh)]]-Tabell6[[#This Row],[Levererad värme, andra fjärrvärmeförag, förag 2 (GWh)]]-Tabell6[[#This Row],[Levererad värme, andra fjärrvärmeförag, förag 3 (GWh)]]</f>
        <v>32.299999999999997</v>
      </c>
      <c r="U330" t="str">
        <f>VLOOKUP(Tabell6[[#This Row],[Nät]],Tabell5[],2,FALSE)</f>
        <v>Edsbyn</v>
      </c>
    </row>
    <row r="331" spans="1:21" ht="15" customHeight="1" x14ac:dyDescent="0.25">
      <c r="A331" t="s">
        <v>800</v>
      </c>
      <c r="B331" t="s">
        <v>346</v>
      </c>
      <c r="C331">
        <v>2018</v>
      </c>
      <c r="D331">
        <v>108.1</v>
      </c>
      <c r="E331">
        <v>20.6</v>
      </c>
      <c r="F331">
        <v>7.8</v>
      </c>
      <c r="I331">
        <v>20.5</v>
      </c>
      <c r="J331">
        <v>17.899999999999999</v>
      </c>
      <c r="M331">
        <v>41.3</v>
      </c>
      <c r="N331" t="s">
        <v>805</v>
      </c>
      <c r="P331" t="s">
        <v>805</v>
      </c>
      <c r="R331" t="s">
        <v>805</v>
      </c>
      <c r="T331">
        <f>Tabell6[[#This Row],[Såld värme (GWh)]]-Tabell6[[#This Row],[Levererad värme, andra fjärrvärmeförag, förag 1 (GWh)]]-Tabell6[[#This Row],[Levererad värme, andra fjärrvärmeförag, förag 2 (GWh)]]-Tabell6[[#This Row],[Levererad värme, andra fjärrvärmeförag, förag 3 (GWh)]]</f>
        <v>108.1</v>
      </c>
      <c r="U331" t="str">
        <f>VLOOKUP(Tabell6[[#This Row],[Nät]],Tabell5[],2,FALSE)</f>
        <v>Kalix</v>
      </c>
    </row>
    <row r="332" spans="1:21" ht="15" customHeight="1" x14ac:dyDescent="0.25">
      <c r="A332" t="s">
        <v>800</v>
      </c>
      <c r="B332" t="s">
        <v>801</v>
      </c>
      <c r="C332">
        <v>2018</v>
      </c>
      <c r="D332">
        <v>2.5720000000000001</v>
      </c>
      <c r="E332">
        <v>2.319</v>
      </c>
      <c r="I332">
        <v>0.20599999999999999</v>
      </c>
      <c r="J332">
        <v>4.7E-2</v>
      </c>
      <c r="N332" t="s">
        <v>805</v>
      </c>
      <c r="P332" t="s">
        <v>805</v>
      </c>
      <c r="R332" t="s">
        <v>805</v>
      </c>
      <c r="T332">
        <f>Tabell6[[#This Row],[Såld värme (GWh)]]-Tabell6[[#This Row],[Levererad värme, andra fjärrvärmeförag, förag 1 (GWh)]]-Tabell6[[#This Row],[Levererad värme, andra fjärrvärmeförag, förag 2 (GWh)]]-Tabell6[[#This Row],[Levererad värme, andra fjärrvärmeförag, förag 3 (GWh)]]</f>
        <v>2.5720000000000001</v>
      </c>
      <c r="U332" t="str">
        <f>VLOOKUP(Tabell6[[#This Row],[Nät]],Tabell5[],2,FALSE)</f>
        <v>Krokek</v>
      </c>
    </row>
    <row r="333" spans="1:21" ht="15" customHeight="1" x14ac:dyDescent="0.25">
      <c r="A333" t="s">
        <v>800</v>
      </c>
      <c r="B333" t="s">
        <v>200</v>
      </c>
      <c r="C333">
        <v>2018</v>
      </c>
      <c r="D333">
        <v>14.8</v>
      </c>
      <c r="E333">
        <v>10.199999999999999</v>
      </c>
      <c r="F333">
        <v>2.6</v>
      </c>
      <c r="G333">
        <v>0.70799999999999996</v>
      </c>
      <c r="I333">
        <v>1.0720000000000001</v>
      </c>
      <c r="J333">
        <v>0.12</v>
      </c>
      <c r="L333">
        <v>0.1</v>
      </c>
      <c r="N333" t="s">
        <v>805</v>
      </c>
      <c r="P333" t="s">
        <v>805</v>
      </c>
      <c r="R333" t="s">
        <v>805</v>
      </c>
      <c r="T333">
        <f>Tabell6[[#This Row],[Såld värme (GWh)]]-Tabell6[[#This Row],[Levererad värme, andra fjärrvärmeförag, förag 1 (GWh)]]-Tabell6[[#This Row],[Levererad värme, andra fjärrvärmeförag, förag 2 (GWh)]]-Tabell6[[#This Row],[Levererad värme, andra fjärrvärmeförag, förag 3 (GWh)]]</f>
        <v>14.8</v>
      </c>
      <c r="U333" t="str">
        <f>VLOOKUP(Tabell6[[#This Row],[Nät]],Tabell5[],2,FALSE)</f>
        <v>Malmköping</v>
      </c>
    </row>
    <row r="334" spans="1:21" ht="15" customHeight="1" x14ac:dyDescent="0.25">
      <c r="A334" t="s">
        <v>1002</v>
      </c>
      <c r="B334" t="s">
        <v>334</v>
      </c>
      <c r="C334">
        <v>2018</v>
      </c>
      <c r="D334">
        <v>18.920000000000002</v>
      </c>
      <c r="E334">
        <v>11.96</v>
      </c>
      <c r="F334">
        <v>0.17</v>
      </c>
      <c r="G334">
        <v>1.2</v>
      </c>
      <c r="I334">
        <v>3.6</v>
      </c>
      <c r="J334">
        <v>1.99</v>
      </c>
      <c r="K334">
        <v>0</v>
      </c>
      <c r="N334" t="s">
        <v>805</v>
      </c>
      <c r="P334" t="s">
        <v>805</v>
      </c>
      <c r="R334" t="s">
        <v>805</v>
      </c>
      <c r="T334">
        <f>Tabell6[[#This Row],[Såld värme (GWh)]]-Tabell6[[#This Row],[Levererad värme, andra fjärrvärmeförag, förag 1 (GWh)]]-Tabell6[[#This Row],[Levererad värme, andra fjärrvärmeförag, förag 2 (GWh)]]-Tabell6[[#This Row],[Levererad värme, andra fjärrvärmeförag, förag 3 (GWh)]]</f>
        <v>18.920000000000002</v>
      </c>
      <c r="U334" t="str">
        <f>VLOOKUP(Tabell6[[#This Row],[Nät]],Tabell5[],2,FALSE)</f>
        <v>Askersund</v>
      </c>
    </row>
    <row r="335" spans="1:21" ht="15" customHeight="1" x14ac:dyDescent="0.25">
      <c r="A335" t="s">
        <v>1002</v>
      </c>
      <c r="B335" t="s">
        <v>339</v>
      </c>
      <c r="C335">
        <v>2018</v>
      </c>
      <c r="D335">
        <v>467.84800000000001</v>
      </c>
      <c r="E335">
        <v>301.029</v>
      </c>
      <c r="F335">
        <v>5.82</v>
      </c>
      <c r="G335">
        <v>24.59</v>
      </c>
      <c r="I335">
        <v>28.28</v>
      </c>
      <c r="J335">
        <v>107.34</v>
      </c>
      <c r="K335">
        <v>0.8</v>
      </c>
      <c r="N335" t="s">
        <v>805</v>
      </c>
      <c r="P335" t="s">
        <v>805</v>
      </c>
      <c r="R335" t="s">
        <v>805</v>
      </c>
      <c r="T335">
        <f>Tabell6[[#This Row],[Såld värme (GWh)]]-Tabell6[[#This Row],[Levererad värme, andra fjärrvärmeförag, förag 1 (GWh)]]-Tabell6[[#This Row],[Levererad värme, andra fjärrvärmeförag, förag 2 (GWh)]]-Tabell6[[#This Row],[Levererad värme, andra fjärrvärmeförag, förag 3 (GWh)]]</f>
        <v>467.84800000000001</v>
      </c>
      <c r="U335" t="str">
        <f>VLOOKUP(Tabell6[[#This Row],[Nät]],Tabell5[],2,FALSE)</f>
        <v>Drefviken</v>
      </c>
    </row>
    <row r="336" spans="1:21" ht="15" customHeight="1" x14ac:dyDescent="0.25">
      <c r="A336" t="s">
        <v>1002</v>
      </c>
      <c r="B336" t="s">
        <v>340</v>
      </c>
      <c r="C336">
        <v>2018</v>
      </c>
      <c r="D336">
        <v>67.75</v>
      </c>
      <c r="E336">
        <v>49.3</v>
      </c>
      <c r="F336">
        <v>2.14</v>
      </c>
      <c r="G336">
        <v>0.56999999999999995</v>
      </c>
      <c r="I336">
        <v>4.8899999999999997</v>
      </c>
      <c r="J336">
        <v>11.06</v>
      </c>
      <c r="K336">
        <v>0.01</v>
      </c>
      <c r="N336" t="s">
        <v>805</v>
      </c>
      <c r="P336" t="s">
        <v>805</v>
      </c>
      <c r="R336" t="s">
        <v>805</v>
      </c>
      <c r="T336">
        <f>Tabell6[[#This Row],[Såld värme (GWh)]]-Tabell6[[#This Row],[Levererad värme, andra fjärrvärmeförag, förag 1 (GWh)]]-Tabell6[[#This Row],[Levererad värme, andra fjärrvärmeförag, förag 2 (GWh)]]-Tabell6[[#This Row],[Levererad värme, andra fjärrvärmeförag, förag 3 (GWh)]]</f>
        <v>67.75</v>
      </c>
      <c r="U336" t="str">
        <f>VLOOKUP(Tabell6[[#This Row],[Nät]],Tabell5[],2,FALSE)</f>
        <v>Gustavsberg</v>
      </c>
    </row>
    <row r="337" spans="1:21" ht="15" customHeight="1" x14ac:dyDescent="0.25">
      <c r="A337" t="s">
        <v>1002</v>
      </c>
      <c r="B337" t="s">
        <v>341</v>
      </c>
      <c r="C337">
        <v>2018</v>
      </c>
      <c r="D337">
        <v>53.29</v>
      </c>
      <c r="E337">
        <v>25.02</v>
      </c>
      <c r="F337">
        <v>12.21</v>
      </c>
      <c r="G337">
        <v>0.88</v>
      </c>
      <c r="I337">
        <v>4.13</v>
      </c>
      <c r="J337">
        <v>5.61</v>
      </c>
      <c r="K337">
        <v>8.5999999999999993E-2</v>
      </c>
      <c r="N337" t="s">
        <v>1003</v>
      </c>
      <c r="O337">
        <v>5.37</v>
      </c>
      <c r="P337" t="s">
        <v>805</v>
      </c>
      <c r="R337" t="s">
        <v>805</v>
      </c>
      <c r="T337">
        <f>Tabell6[[#This Row],[Såld värme (GWh)]]-Tabell6[[#This Row],[Levererad värme, andra fjärrvärmeförag, förag 1 (GWh)]]-Tabell6[[#This Row],[Levererad värme, andra fjärrvärmeförag, förag 2 (GWh)]]-Tabell6[[#This Row],[Levererad värme, andra fjärrvärmeförag, förag 3 (GWh)]]</f>
        <v>47.92</v>
      </c>
      <c r="U337" t="e">
        <f>VLOOKUP(Tabell6[[#This Row],[Nät]],Tabell5[],2,FALSE)</f>
        <v>#N/A</v>
      </c>
    </row>
    <row r="338" spans="1:21" ht="15" customHeight="1" x14ac:dyDescent="0.25">
      <c r="A338" t="s">
        <v>1002</v>
      </c>
      <c r="B338" t="s">
        <v>336</v>
      </c>
      <c r="C338">
        <v>2018</v>
      </c>
      <c r="D338">
        <v>150.82400000000001</v>
      </c>
      <c r="E338">
        <v>85.12</v>
      </c>
      <c r="F338">
        <v>4.41</v>
      </c>
      <c r="G338">
        <v>12.04</v>
      </c>
      <c r="I338">
        <v>21.58</v>
      </c>
      <c r="J338">
        <v>26.69</v>
      </c>
      <c r="K338">
        <v>0.99</v>
      </c>
      <c r="N338" t="s">
        <v>805</v>
      </c>
      <c r="P338" t="s">
        <v>805</v>
      </c>
      <c r="R338" t="s">
        <v>805</v>
      </c>
      <c r="T338">
        <f>Tabell6[[#This Row],[Såld värme (GWh)]]-Tabell6[[#This Row],[Levererad värme, andra fjärrvärmeförag, förag 1 (GWh)]]-Tabell6[[#This Row],[Levererad värme, andra fjärrvärmeförag, förag 2 (GWh)]]-Tabell6[[#This Row],[Levererad värme, andra fjärrvärmeförag, förag 3 (GWh)]]</f>
        <v>150.82400000000001</v>
      </c>
      <c r="U338" t="str">
        <f>VLOOKUP(Tabell6[[#This Row],[Nät]],Tabell5[],2,FALSE)</f>
        <v>Motala</v>
      </c>
    </row>
    <row r="339" spans="1:21" ht="15" customHeight="1" x14ac:dyDescent="0.25">
      <c r="A339" t="s">
        <v>1002</v>
      </c>
      <c r="B339" t="s">
        <v>337</v>
      </c>
      <c r="C339">
        <v>2018</v>
      </c>
      <c r="D339">
        <v>270.89100000000002</v>
      </c>
      <c r="E339">
        <v>135.69</v>
      </c>
      <c r="F339">
        <v>23.42</v>
      </c>
      <c r="G339">
        <v>7.79</v>
      </c>
      <c r="I339">
        <v>27.96</v>
      </c>
      <c r="J339">
        <v>75.77</v>
      </c>
      <c r="K339">
        <v>0.25</v>
      </c>
      <c r="N339" t="s">
        <v>805</v>
      </c>
      <c r="P339" t="s">
        <v>805</v>
      </c>
      <c r="R339" t="s">
        <v>805</v>
      </c>
      <c r="T339">
        <f>Tabell6[[#This Row],[Såld värme (GWh)]]-Tabell6[[#This Row],[Levererad värme, andra fjärrvärmeförag, förag 1 (GWh)]]-Tabell6[[#This Row],[Levererad värme, andra fjärrvärmeförag, förag 2 (GWh)]]-Tabell6[[#This Row],[Levererad värme, andra fjärrvärmeförag, förag 3 (GWh)]]</f>
        <v>270.89100000000002</v>
      </c>
      <c r="U339" t="str">
        <f>VLOOKUP(Tabell6[[#This Row],[Nät]],Tabell5[],2,FALSE)</f>
        <v>Nyköping</v>
      </c>
    </row>
    <row r="340" spans="1:21" ht="15" customHeight="1" x14ac:dyDescent="0.25">
      <c r="A340" t="s">
        <v>1002</v>
      </c>
      <c r="B340" t="s">
        <v>342</v>
      </c>
      <c r="C340">
        <v>2018</v>
      </c>
      <c r="D340">
        <v>27.100999999999999</v>
      </c>
      <c r="E340">
        <v>24.44</v>
      </c>
      <c r="I340">
        <v>1.72</v>
      </c>
      <c r="J340">
        <v>0.94</v>
      </c>
      <c r="N340" t="s">
        <v>805</v>
      </c>
      <c r="P340" t="s">
        <v>805</v>
      </c>
      <c r="R340" t="s">
        <v>805</v>
      </c>
      <c r="T340">
        <f>Tabell6[[#This Row],[Såld värme (GWh)]]-Tabell6[[#This Row],[Levererad värme, andra fjärrvärmeförag, förag 1 (GWh)]]-Tabell6[[#This Row],[Levererad värme, andra fjärrvärmeförag, förag 2 (GWh)]]-Tabell6[[#This Row],[Levererad värme, andra fjärrvärmeförag, förag 3 (GWh)]]</f>
        <v>27.100999999999999</v>
      </c>
      <c r="U340" t="str">
        <f>VLOOKUP(Tabell6[[#This Row],[Nät]],Tabell5[],2,FALSE)</f>
        <v>Saltsjöbaden</v>
      </c>
    </row>
    <row r="341" spans="1:21" ht="15" customHeight="1" x14ac:dyDescent="0.25">
      <c r="A341" t="s">
        <v>1002</v>
      </c>
      <c r="B341" t="s">
        <v>343</v>
      </c>
      <c r="C341">
        <v>2018</v>
      </c>
      <c r="D341">
        <v>14.05</v>
      </c>
      <c r="E341">
        <v>6.31</v>
      </c>
      <c r="F341">
        <v>4.04</v>
      </c>
      <c r="I341">
        <v>3.06</v>
      </c>
      <c r="J341">
        <v>0.63</v>
      </c>
      <c r="N341" t="s">
        <v>805</v>
      </c>
      <c r="P341" t="s">
        <v>805</v>
      </c>
      <c r="R341" t="s">
        <v>805</v>
      </c>
      <c r="T341">
        <f>Tabell6[[#This Row],[Såld värme (GWh)]]-Tabell6[[#This Row],[Levererad värme, andra fjärrvärmeförag, förag 1 (GWh)]]-Tabell6[[#This Row],[Levererad värme, andra fjärrvärmeförag, förag 2 (GWh)]]-Tabell6[[#This Row],[Levererad värme, andra fjärrvärmeförag, förag 3 (GWh)]]</f>
        <v>14.05</v>
      </c>
      <c r="U341" t="str">
        <f>VLOOKUP(Tabell6[[#This Row],[Nät]],Tabell5[],2,FALSE)</f>
        <v>Storvreta</v>
      </c>
    </row>
    <row r="342" spans="1:21" ht="15" customHeight="1" x14ac:dyDescent="0.25">
      <c r="A342" t="s">
        <v>1002</v>
      </c>
      <c r="B342" t="s">
        <v>335</v>
      </c>
      <c r="C342">
        <v>2018</v>
      </c>
      <c r="D342">
        <v>1419.3689999999999</v>
      </c>
      <c r="E342">
        <v>677.53</v>
      </c>
      <c r="F342">
        <v>134.5</v>
      </c>
      <c r="G342">
        <v>171</v>
      </c>
      <c r="H342">
        <v>112.32</v>
      </c>
      <c r="I342">
        <v>124.67</v>
      </c>
      <c r="J342">
        <v>298.45999999999998</v>
      </c>
      <c r="K342">
        <v>13.21</v>
      </c>
      <c r="N342" t="s">
        <v>805</v>
      </c>
      <c r="P342" t="s">
        <v>805</v>
      </c>
      <c r="R342" t="s">
        <v>805</v>
      </c>
      <c r="T342">
        <f>Tabell6[[#This Row],[Såld värme (GWh)]]-Tabell6[[#This Row],[Levererad värme, andra fjärrvärmeförag, förag 1 (GWh)]]-Tabell6[[#This Row],[Levererad värme, andra fjärrvärmeförag, förag 2 (GWh)]]-Tabell6[[#This Row],[Levererad värme, andra fjärrvärmeförag, förag 3 (GWh)]]</f>
        <v>1419.3689999999999</v>
      </c>
      <c r="U342" t="str">
        <f>VLOOKUP(Tabell6[[#This Row],[Nät]],Tabell5[],2,FALSE)</f>
        <v>Uppsala</v>
      </c>
    </row>
    <row r="343" spans="1:21" ht="15" customHeight="1" x14ac:dyDescent="0.25">
      <c r="A343" t="s">
        <v>1002</v>
      </c>
      <c r="B343" t="s">
        <v>338</v>
      </c>
      <c r="C343">
        <v>2018</v>
      </c>
      <c r="D343">
        <v>135.69</v>
      </c>
      <c r="E343">
        <v>73.2</v>
      </c>
      <c r="F343">
        <v>5.94</v>
      </c>
      <c r="G343">
        <v>3</v>
      </c>
      <c r="I343">
        <v>10.35</v>
      </c>
      <c r="J343">
        <v>41.4</v>
      </c>
      <c r="K343">
        <v>1.79</v>
      </c>
      <c r="N343" t="s">
        <v>805</v>
      </c>
      <c r="P343" t="s">
        <v>805</v>
      </c>
      <c r="R343" t="s">
        <v>805</v>
      </c>
      <c r="T343">
        <f>Tabell6[[#This Row],[Såld värme (GWh)]]-Tabell6[[#This Row],[Levererad värme, andra fjärrvärmeförag, förag 1 (GWh)]]-Tabell6[[#This Row],[Levererad värme, andra fjärrvärmeförag, förag 2 (GWh)]]-Tabell6[[#This Row],[Levererad värme, andra fjärrvärmeförag, förag 3 (GWh)]]</f>
        <v>135.69</v>
      </c>
      <c r="U343" t="str">
        <f>VLOOKUP(Tabell6[[#This Row],[Nät]],Tabell5[],2,FALSE)</f>
        <v>Vänersborg</v>
      </c>
    </row>
    <row r="344" spans="1:21" ht="15" customHeight="1" x14ac:dyDescent="0.25">
      <c r="A344" t="s">
        <v>904</v>
      </c>
      <c r="B344" t="s">
        <v>905</v>
      </c>
      <c r="C344">
        <v>2018</v>
      </c>
      <c r="D344">
        <v>5.5</v>
      </c>
      <c r="E344">
        <v>0.66</v>
      </c>
      <c r="F344">
        <v>4.84</v>
      </c>
      <c r="I344" t="s">
        <v>804</v>
      </c>
      <c r="J344" t="s">
        <v>804</v>
      </c>
      <c r="N344" t="s">
        <v>805</v>
      </c>
      <c r="P344" t="s">
        <v>805</v>
      </c>
      <c r="R344" t="s">
        <v>805</v>
      </c>
      <c r="T344">
        <f>Tabell6[[#This Row],[Såld värme (GWh)]]-Tabell6[[#This Row],[Levererad värme, andra fjärrvärmeförag, förag 1 (GWh)]]-Tabell6[[#This Row],[Levererad värme, andra fjärrvärmeförag, förag 2 (GWh)]]-Tabell6[[#This Row],[Levererad värme, andra fjärrvärmeförag, förag 3 (GWh)]]</f>
        <v>5.5</v>
      </c>
      <c r="U344" t="str">
        <f>VLOOKUP(Tabell6[[#This Row],[Nät]],Tabell5[],2,FALSE)</f>
        <v>Ekerö</v>
      </c>
    </row>
    <row r="345" spans="1:21" ht="15" customHeight="1" x14ac:dyDescent="0.25">
      <c r="A345" t="s">
        <v>904</v>
      </c>
      <c r="B345" t="s">
        <v>341</v>
      </c>
      <c r="C345">
        <v>2018</v>
      </c>
      <c r="D345">
        <v>3.3</v>
      </c>
      <c r="E345">
        <v>0.74</v>
      </c>
      <c r="F345">
        <v>2</v>
      </c>
      <c r="I345">
        <v>0.56000000000000005</v>
      </c>
      <c r="N345" t="s">
        <v>805</v>
      </c>
      <c r="P345" t="s">
        <v>805</v>
      </c>
      <c r="R345" t="s">
        <v>805</v>
      </c>
      <c r="T345">
        <f>Tabell6[[#This Row],[Såld värme (GWh)]]-Tabell6[[#This Row],[Levererad värme, andra fjärrvärmeförag, förag 1 (GWh)]]-Tabell6[[#This Row],[Levererad värme, andra fjärrvärmeförag, förag 2 (GWh)]]-Tabell6[[#This Row],[Levererad värme, andra fjärrvärmeförag, förag 3 (GWh)]]</f>
        <v>3.3</v>
      </c>
      <c r="U345" t="e">
        <f>VLOOKUP(Tabell6[[#This Row],[Nät]],Tabell5[],2,FALSE)</f>
        <v>#N/A</v>
      </c>
    </row>
    <row r="346" spans="1:21" ht="15" customHeight="1" x14ac:dyDescent="0.25">
      <c r="A346" t="s">
        <v>605</v>
      </c>
      <c r="B346" t="s">
        <v>351</v>
      </c>
      <c r="C346">
        <v>2018</v>
      </c>
      <c r="D346">
        <v>4.5229999999999997</v>
      </c>
      <c r="E346">
        <v>0.32700000000000001</v>
      </c>
      <c r="F346">
        <v>1.0449999999999999</v>
      </c>
      <c r="G346">
        <v>0</v>
      </c>
      <c r="I346">
        <v>0.49</v>
      </c>
      <c r="J346">
        <v>0.23599999999999999</v>
      </c>
      <c r="K346">
        <v>0</v>
      </c>
      <c r="L346">
        <v>0</v>
      </c>
      <c r="M346">
        <v>2.4249999999999998</v>
      </c>
      <c r="N346" t="s">
        <v>805</v>
      </c>
      <c r="P346" t="s">
        <v>805</v>
      </c>
      <c r="R346" t="s">
        <v>805</v>
      </c>
      <c r="T346">
        <f>Tabell6[[#This Row],[Såld värme (GWh)]]-Tabell6[[#This Row],[Levererad värme, andra fjärrvärmeförag, förag 1 (GWh)]]-Tabell6[[#This Row],[Levererad värme, andra fjärrvärmeförag, förag 2 (GWh)]]-Tabell6[[#This Row],[Levererad värme, andra fjärrvärmeförag, förag 3 (GWh)]]</f>
        <v>4.5229999999999997</v>
      </c>
      <c r="U346" t="str">
        <f>VLOOKUP(Tabell6[[#This Row],[Nät]],Tabell5[],2,FALSE)</f>
        <v>Frödinge</v>
      </c>
    </row>
    <row r="347" spans="1:21" ht="15" customHeight="1" x14ac:dyDescent="0.25">
      <c r="A347" t="s">
        <v>605</v>
      </c>
      <c r="B347" t="s">
        <v>352</v>
      </c>
      <c r="C347">
        <v>2018</v>
      </c>
      <c r="D347">
        <v>4.0510000000000002</v>
      </c>
      <c r="E347">
        <v>0.33700000000000002</v>
      </c>
      <c r="F347">
        <v>1.2430000000000001</v>
      </c>
      <c r="G347">
        <v>0</v>
      </c>
      <c r="I347">
        <v>0.45700000000000002</v>
      </c>
      <c r="J347">
        <v>0.21199999999999999</v>
      </c>
      <c r="K347">
        <v>0</v>
      </c>
      <c r="L347">
        <v>0</v>
      </c>
      <c r="M347">
        <v>1.802</v>
      </c>
      <c r="N347" t="s">
        <v>805</v>
      </c>
      <c r="P347" t="s">
        <v>805</v>
      </c>
      <c r="R347" t="s">
        <v>805</v>
      </c>
      <c r="T347">
        <f>Tabell6[[#This Row],[Såld värme (GWh)]]-Tabell6[[#This Row],[Levererad värme, andra fjärrvärmeförag, förag 1 (GWh)]]-Tabell6[[#This Row],[Levererad värme, andra fjärrvärmeförag, förag 2 (GWh)]]-Tabell6[[#This Row],[Levererad värme, andra fjärrvärmeförag, förag 3 (GWh)]]</f>
        <v>4.0510000000000002</v>
      </c>
      <c r="U347" t="str">
        <f>VLOOKUP(Tabell6[[#This Row],[Nät]],Tabell5[],2,FALSE)</f>
        <v>Gullringen</v>
      </c>
    </row>
    <row r="348" spans="1:21" ht="15" customHeight="1" x14ac:dyDescent="0.25">
      <c r="A348" t="s">
        <v>605</v>
      </c>
      <c r="B348" t="s">
        <v>353</v>
      </c>
      <c r="C348">
        <v>2018</v>
      </c>
      <c r="D348">
        <v>6.7370000000000001</v>
      </c>
      <c r="E348">
        <v>2.004</v>
      </c>
      <c r="F348">
        <v>2.6680000000000001</v>
      </c>
      <c r="I348">
        <v>0.47399999999999998</v>
      </c>
      <c r="J348">
        <v>0</v>
      </c>
      <c r="K348">
        <v>0</v>
      </c>
      <c r="L348">
        <v>0</v>
      </c>
      <c r="M348">
        <v>1.591</v>
      </c>
      <c r="N348" t="s">
        <v>805</v>
      </c>
      <c r="P348" t="s">
        <v>805</v>
      </c>
      <c r="R348" t="s">
        <v>805</v>
      </c>
      <c r="T348">
        <f>Tabell6[[#This Row],[Såld värme (GWh)]]-Tabell6[[#This Row],[Levererad värme, andra fjärrvärmeförag, förag 1 (GWh)]]-Tabell6[[#This Row],[Levererad värme, andra fjärrvärmeförag, förag 2 (GWh)]]-Tabell6[[#This Row],[Levererad värme, andra fjärrvärmeförag, förag 3 (GWh)]]</f>
        <v>6.7370000000000001</v>
      </c>
      <c r="U348" t="str">
        <f>VLOOKUP(Tabell6[[#This Row],[Nät]],Tabell5[],2,FALSE)</f>
        <v>Storebro</v>
      </c>
    </row>
    <row r="349" spans="1:21" ht="15" customHeight="1" x14ac:dyDescent="0.25">
      <c r="A349" t="s">
        <v>605</v>
      </c>
      <c r="B349" t="s">
        <v>391</v>
      </c>
      <c r="C349">
        <v>2018</v>
      </c>
      <c r="D349">
        <v>12.093</v>
      </c>
      <c r="E349">
        <v>1.2749999999999999</v>
      </c>
      <c r="F349">
        <v>3.4620000000000002</v>
      </c>
      <c r="I349">
        <v>1.002</v>
      </c>
      <c r="J349">
        <v>0.56200000000000006</v>
      </c>
      <c r="K349">
        <v>0</v>
      </c>
      <c r="L349">
        <v>0</v>
      </c>
      <c r="M349">
        <v>5.7919999999999998</v>
      </c>
      <c r="N349" t="s">
        <v>805</v>
      </c>
      <c r="P349" t="s">
        <v>805</v>
      </c>
      <c r="R349" t="s">
        <v>805</v>
      </c>
      <c r="T349">
        <f>Tabell6[[#This Row],[Såld värme (GWh)]]-Tabell6[[#This Row],[Levererad värme, andra fjärrvärmeförag, förag 1 (GWh)]]-Tabell6[[#This Row],[Levererad värme, andra fjärrvärmeförag, förag 2 (GWh)]]-Tabell6[[#This Row],[Levererad värme, andra fjärrvärmeförag, förag 3 (GWh)]]</f>
        <v>12.093</v>
      </c>
      <c r="U349" t="str">
        <f>VLOOKUP(Tabell6[[#This Row],[Nät]],Tabell5[],2,FALSE)</f>
        <v>Södra Vi</v>
      </c>
    </row>
    <row r="350" spans="1:21" ht="15" customHeight="1" x14ac:dyDescent="0.25">
      <c r="A350" t="s">
        <v>605</v>
      </c>
      <c r="B350" t="s">
        <v>350</v>
      </c>
      <c r="C350">
        <v>2018</v>
      </c>
      <c r="D350">
        <v>102.31</v>
      </c>
      <c r="E350">
        <v>22.248999999999999</v>
      </c>
      <c r="F350">
        <v>23.145</v>
      </c>
      <c r="G350">
        <v>0</v>
      </c>
      <c r="H350">
        <v>0</v>
      </c>
      <c r="I350">
        <v>14.802</v>
      </c>
      <c r="J350">
        <v>18.395</v>
      </c>
      <c r="K350">
        <v>0</v>
      </c>
      <c r="L350">
        <v>0</v>
      </c>
      <c r="M350">
        <v>23.719000000000001</v>
      </c>
      <c r="N350" t="s">
        <v>805</v>
      </c>
      <c r="P350" t="s">
        <v>805</v>
      </c>
      <c r="R350" t="s">
        <v>805</v>
      </c>
      <c r="T350">
        <f>Tabell6[[#This Row],[Såld värme (GWh)]]-Tabell6[[#This Row],[Levererad värme, andra fjärrvärmeförag, förag 1 (GWh)]]-Tabell6[[#This Row],[Levererad värme, andra fjärrvärmeförag, förag 2 (GWh)]]-Tabell6[[#This Row],[Levererad värme, andra fjärrvärmeförag, förag 3 (GWh)]]</f>
        <v>102.31</v>
      </c>
      <c r="U350" t="str">
        <f>VLOOKUP(Tabell6[[#This Row],[Nät]],Tabell5[],2,FALSE)</f>
        <v>Vimmerby</v>
      </c>
    </row>
    <row r="351" spans="1:21" ht="15" customHeight="1" x14ac:dyDescent="0.25">
      <c r="A351" t="s">
        <v>1004</v>
      </c>
      <c r="B351" t="s">
        <v>405</v>
      </c>
      <c r="C351">
        <v>2018</v>
      </c>
      <c r="D351">
        <v>2.12</v>
      </c>
      <c r="E351">
        <v>0.55800000000000005</v>
      </c>
      <c r="F351">
        <v>0.28000000000000003</v>
      </c>
      <c r="G351">
        <v>0</v>
      </c>
      <c r="H351">
        <v>0</v>
      </c>
      <c r="I351">
        <v>0.79300000000000004</v>
      </c>
      <c r="J351">
        <v>8.1000000000000003E-2</v>
      </c>
      <c r="K351">
        <v>0</v>
      </c>
      <c r="L351">
        <v>0</v>
      </c>
      <c r="M351">
        <v>0.40899999999999997</v>
      </c>
      <c r="N351" t="s">
        <v>805</v>
      </c>
      <c r="P351" t="s">
        <v>805</v>
      </c>
      <c r="R351" t="s">
        <v>805</v>
      </c>
      <c r="T351">
        <f>Tabell6[[#This Row],[Såld värme (GWh)]]-Tabell6[[#This Row],[Levererad värme, andra fjärrvärmeförag, förag 1 (GWh)]]-Tabell6[[#This Row],[Levererad värme, andra fjärrvärmeförag, förag 2 (GWh)]]-Tabell6[[#This Row],[Levererad värme, andra fjärrvärmeförag, förag 3 (GWh)]]</f>
        <v>2.12</v>
      </c>
      <c r="U351" t="str">
        <f>VLOOKUP(Tabell6[[#This Row],[Nät]],Tabell5[],2,FALSE)</f>
        <v>Lyrestad</v>
      </c>
    </row>
    <row r="352" spans="1:21" ht="15" customHeight="1" x14ac:dyDescent="0.25">
      <c r="A352" t="s">
        <v>1004</v>
      </c>
      <c r="B352" t="s">
        <v>202</v>
      </c>
      <c r="C352">
        <v>2018</v>
      </c>
      <c r="D352">
        <v>128.35300000000001</v>
      </c>
      <c r="E352">
        <v>49.624000000000002</v>
      </c>
      <c r="F352">
        <v>20.306000000000001</v>
      </c>
      <c r="H352">
        <v>11.343999999999999</v>
      </c>
      <c r="I352">
        <v>21.972999999999999</v>
      </c>
      <c r="J352">
        <v>11.766999999999999</v>
      </c>
      <c r="K352">
        <v>4.1000000000000002E-2</v>
      </c>
      <c r="L352">
        <v>4.649</v>
      </c>
      <c r="M352">
        <v>19.992999999999999</v>
      </c>
      <c r="N352" t="s">
        <v>805</v>
      </c>
      <c r="P352" t="s">
        <v>805</v>
      </c>
      <c r="R352" t="s">
        <v>805</v>
      </c>
      <c r="T352">
        <f>Tabell6[[#This Row],[Såld värme (GWh)]]-Tabell6[[#This Row],[Levererad värme, andra fjärrvärmeförag, förag 1 (GWh)]]-Tabell6[[#This Row],[Levererad värme, andra fjärrvärmeförag, förag 2 (GWh)]]-Tabell6[[#This Row],[Levererad värme, andra fjärrvärmeförag, förag 3 (GWh)]]</f>
        <v>128.35300000000001</v>
      </c>
      <c r="U352" t="str">
        <f>VLOOKUP(Tabell6[[#This Row],[Nät]],Tabell5[],2,FALSE)</f>
        <v>Mariestad</v>
      </c>
    </row>
    <row r="353" spans="1:24" ht="15" customHeight="1" x14ac:dyDescent="0.25">
      <c r="A353" t="s">
        <v>1004</v>
      </c>
      <c r="B353" t="s">
        <v>430</v>
      </c>
      <c r="C353">
        <v>2018</v>
      </c>
      <c r="D353">
        <v>26.018000000000001</v>
      </c>
      <c r="E353">
        <v>10.913</v>
      </c>
      <c r="F353">
        <v>0.624</v>
      </c>
      <c r="I353">
        <v>6.7489999999999997</v>
      </c>
      <c r="J353">
        <v>1.0069999999999999</v>
      </c>
      <c r="M353">
        <v>6.7240000000000002</v>
      </c>
      <c r="N353" t="s">
        <v>805</v>
      </c>
      <c r="P353" t="s">
        <v>805</v>
      </c>
      <c r="R353" t="s">
        <v>805</v>
      </c>
      <c r="T353">
        <f>Tabell6[[#This Row],[Såld värme (GWh)]]-Tabell6[[#This Row],[Levererad värme, andra fjärrvärmeförag, förag 1 (GWh)]]-Tabell6[[#This Row],[Levererad värme, andra fjärrvärmeförag, förag 2 (GWh)]]-Tabell6[[#This Row],[Levererad värme, andra fjärrvärmeförag, förag 3 (GWh)]]</f>
        <v>26.018000000000001</v>
      </c>
      <c r="U353" t="str">
        <f>VLOOKUP(Tabell6[[#This Row],[Nät]],Tabell5[],2,FALSE)</f>
        <v>Töreboda</v>
      </c>
    </row>
    <row r="354" spans="1:24" ht="15" customHeight="1" x14ac:dyDescent="0.25">
      <c r="A354" t="s">
        <v>558</v>
      </c>
      <c r="B354" t="s">
        <v>118</v>
      </c>
      <c r="C354">
        <v>2018</v>
      </c>
      <c r="D354">
        <v>203.3</v>
      </c>
      <c r="E354">
        <v>63.5</v>
      </c>
      <c r="F354">
        <v>21.4</v>
      </c>
      <c r="G354">
        <v>77.599999999999994</v>
      </c>
      <c r="I354">
        <v>20.7</v>
      </c>
      <c r="J354">
        <v>17.7</v>
      </c>
      <c r="K354">
        <v>2.2999999999999998</v>
      </c>
      <c r="M354">
        <v>77.599999999999994</v>
      </c>
      <c r="N354" t="s">
        <v>805</v>
      </c>
      <c r="P354" t="s">
        <v>805</v>
      </c>
      <c r="R354" t="s">
        <v>805</v>
      </c>
      <c r="T354">
        <f>Tabell6[[#This Row],[Såld värme (GWh)]]-Tabell6[[#This Row],[Levererad värme, andra fjärrvärmeförag, förag 1 (GWh)]]-Tabell6[[#This Row],[Levererad värme, andra fjärrvärmeförag, förag 2 (GWh)]]-Tabell6[[#This Row],[Levererad värme, andra fjärrvärmeförag, förag 3 (GWh)]]</f>
        <v>203.3</v>
      </c>
      <c r="U354" t="str">
        <f>VLOOKUP(Tabell6[[#This Row],[Nät]],Tabell5[],2,FALSE)</f>
        <v>Avesta</v>
      </c>
    </row>
    <row r="355" spans="1:24" ht="15" customHeight="1" x14ac:dyDescent="0.25">
      <c r="A355" t="s">
        <v>558</v>
      </c>
      <c r="B355" t="s">
        <v>115</v>
      </c>
      <c r="C355">
        <v>2018</v>
      </c>
      <c r="D355">
        <v>14.8</v>
      </c>
      <c r="E355">
        <v>7.9</v>
      </c>
      <c r="F355">
        <v>0.64</v>
      </c>
      <c r="I355">
        <v>3.9</v>
      </c>
      <c r="J355">
        <v>1.1000000000000001</v>
      </c>
      <c r="N355" t="s">
        <v>805</v>
      </c>
      <c r="P355" t="s">
        <v>805</v>
      </c>
      <c r="R355" t="s">
        <v>805</v>
      </c>
      <c r="T355">
        <f>Tabell6[[#This Row],[Såld värme (GWh)]]-Tabell6[[#This Row],[Levererad värme, andra fjärrvärmeförag, förag 1 (GWh)]]-Tabell6[[#This Row],[Levererad värme, andra fjärrvärmeförag, förag 2 (GWh)]]-Tabell6[[#This Row],[Levererad värme, andra fjärrvärmeförag, förag 3 (GWh)]]</f>
        <v>14.8</v>
      </c>
      <c r="U355" t="str">
        <f>VLOOKUP(Tabell6[[#This Row],[Nät]],Tabell5[],2,FALSE)</f>
        <v>Delsbo</v>
      </c>
    </row>
    <row r="356" spans="1:24" ht="15" customHeight="1" x14ac:dyDescent="0.25">
      <c r="A356" t="s">
        <v>558</v>
      </c>
      <c r="B356" t="s">
        <v>123</v>
      </c>
      <c r="C356">
        <v>2018</v>
      </c>
      <c r="D356">
        <v>21.974</v>
      </c>
      <c r="E356">
        <v>10.048</v>
      </c>
      <c r="F356">
        <v>6.0730000000000004</v>
      </c>
      <c r="I356">
        <v>4.3129999999999997</v>
      </c>
      <c r="J356">
        <v>1.54</v>
      </c>
      <c r="N356" t="s">
        <v>805</v>
      </c>
      <c r="P356" t="s">
        <v>805</v>
      </c>
      <c r="R356" t="s">
        <v>805</v>
      </c>
      <c r="T356">
        <f>Tabell6[[#This Row],[Såld värme (GWh)]]-Tabell6[[#This Row],[Levererad värme, andra fjärrvärmeförag, förag 1 (GWh)]]-Tabell6[[#This Row],[Levererad värme, andra fjärrvärmeförag, förag 2 (GWh)]]-Tabell6[[#This Row],[Levererad värme, andra fjärrvärmeförag, förag 3 (GWh)]]</f>
        <v>21.974</v>
      </c>
      <c r="U356" t="str">
        <f>VLOOKUP(Tabell6[[#This Row],[Nät]],Tabell5[],2,FALSE)</f>
        <v>Grums</v>
      </c>
    </row>
    <row r="357" spans="1:24" ht="15" customHeight="1" x14ac:dyDescent="0.25">
      <c r="A357" t="s">
        <v>558</v>
      </c>
      <c r="B357" t="s">
        <v>124</v>
      </c>
      <c r="C357">
        <v>2018</v>
      </c>
      <c r="D357">
        <v>5.8</v>
      </c>
      <c r="E357">
        <v>1.9</v>
      </c>
      <c r="F357">
        <v>0.3</v>
      </c>
      <c r="G357">
        <v>1</v>
      </c>
      <c r="I357">
        <v>1.3</v>
      </c>
      <c r="J357">
        <v>1.2</v>
      </c>
      <c r="N357" t="s">
        <v>805</v>
      </c>
      <c r="P357" t="s">
        <v>805</v>
      </c>
      <c r="R357" t="s">
        <v>805</v>
      </c>
      <c r="T357">
        <f>Tabell6[[#This Row],[Såld värme (GWh)]]-Tabell6[[#This Row],[Levererad värme, andra fjärrvärmeförag, förag 1 (GWh)]]-Tabell6[[#This Row],[Levererad värme, andra fjärrvärmeförag, förag 2 (GWh)]]-Tabell6[[#This Row],[Levererad värme, andra fjärrvärmeförag, förag 3 (GWh)]]</f>
        <v>5.8</v>
      </c>
      <c r="U357" t="str">
        <f>VLOOKUP(Tabell6[[#This Row],[Nät]],Tabell5[],2,FALSE)</f>
        <v>Grythyttan</v>
      </c>
    </row>
    <row r="358" spans="1:24" ht="15" customHeight="1" x14ac:dyDescent="0.25">
      <c r="A358" t="s">
        <v>558</v>
      </c>
      <c r="B358" t="s">
        <v>629</v>
      </c>
      <c r="C358">
        <v>2018</v>
      </c>
      <c r="D358">
        <v>97.2</v>
      </c>
      <c r="E358">
        <v>22</v>
      </c>
      <c r="F358">
        <v>4.4000000000000004</v>
      </c>
      <c r="G358">
        <v>60.7</v>
      </c>
      <c r="H358">
        <v>31.3</v>
      </c>
      <c r="I358">
        <v>5.9</v>
      </c>
      <c r="J358">
        <v>3.9</v>
      </c>
      <c r="K358">
        <v>0.4</v>
      </c>
      <c r="M358">
        <v>60.7</v>
      </c>
      <c r="N358" t="s">
        <v>805</v>
      </c>
      <c r="P358" t="s">
        <v>805</v>
      </c>
      <c r="R358" t="s">
        <v>805</v>
      </c>
      <c r="T358">
        <f>Tabell6[[#This Row],[Såld värme (GWh)]]-Tabell6[[#This Row],[Levererad värme, andra fjärrvärmeförag, förag 1 (GWh)]]-Tabell6[[#This Row],[Levererad värme, andra fjärrvärmeförag, förag 2 (GWh)]]-Tabell6[[#This Row],[Levererad värme, andra fjärrvärmeförag, förag 3 (GWh)]]</f>
        <v>97.2</v>
      </c>
      <c r="U358" t="str">
        <f>VLOOKUP(Tabell6[[#This Row],[Nät]],Tabell5[],2,FALSE)</f>
        <v>Hofors</v>
      </c>
    </row>
    <row r="359" spans="1:24" ht="15" customHeight="1" x14ac:dyDescent="0.25">
      <c r="A359" t="s">
        <v>558</v>
      </c>
      <c r="B359" t="s">
        <v>117</v>
      </c>
      <c r="C359">
        <v>2018</v>
      </c>
      <c r="D359">
        <v>120.9</v>
      </c>
      <c r="E359">
        <v>64.8</v>
      </c>
      <c r="F359">
        <v>7.5</v>
      </c>
      <c r="G359">
        <v>11.6</v>
      </c>
      <c r="I359">
        <v>20.100000000000001</v>
      </c>
      <c r="J359">
        <v>16.399999999999999</v>
      </c>
      <c r="K359">
        <v>0.7</v>
      </c>
      <c r="M359">
        <v>11.6</v>
      </c>
      <c r="N359" t="s">
        <v>805</v>
      </c>
      <c r="P359" t="s">
        <v>805</v>
      </c>
      <c r="R359" t="s">
        <v>805</v>
      </c>
      <c r="T359">
        <f>Tabell6[[#This Row],[Såld värme (GWh)]]-Tabell6[[#This Row],[Levererad värme, andra fjärrvärmeförag, förag 1 (GWh)]]-Tabell6[[#This Row],[Levererad värme, andra fjärrvärmeförag, förag 2 (GWh)]]-Tabell6[[#This Row],[Levererad värme, andra fjärrvärmeförag, förag 3 (GWh)]]</f>
        <v>120.9</v>
      </c>
      <c r="U359" t="str">
        <f>VLOOKUP(Tabell6[[#This Row],[Nät]],Tabell5[],2,FALSE)</f>
        <v>Hudiksvall</v>
      </c>
    </row>
    <row r="360" spans="1:24" ht="15" customHeight="1" x14ac:dyDescent="0.25">
      <c r="A360" t="s">
        <v>558</v>
      </c>
      <c r="B360" t="s">
        <v>125</v>
      </c>
      <c r="C360">
        <v>2018</v>
      </c>
      <c r="D360">
        <v>33.700000000000003</v>
      </c>
      <c r="E360">
        <v>13.7</v>
      </c>
      <c r="F360">
        <v>3.7</v>
      </c>
      <c r="G360">
        <v>8</v>
      </c>
      <c r="I360">
        <v>6.4</v>
      </c>
      <c r="K360">
        <v>1.9</v>
      </c>
      <c r="M360">
        <v>8</v>
      </c>
      <c r="N360" t="s">
        <v>805</v>
      </c>
      <c r="P360" t="s">
        <v>805</v>
      </c>
      <c r="R360" t="s">
        <v>805</v>
      </c>
      <c r="T360">
        <f>Tabell6[[#This Row],[Såld värme (GWh)]]-Tabell6[[#This Row],[Levererad värme, andra fjärrvärmeförag, förag 1 (GWh)]]-Tabell6[[#This Row],[Levererad värme, andra fjärrvärmeförag, förag 2 (GWh)]]-Tabell6[[#This Row],[Levererad värme, andra fjärrvärmeförag, förag 3 (GWh)]]</f>
        <v>33.700000000000003</v>
      </c>
      <c r="U360" t="str">
        <f>VLOOKUP(Tabell6[[#This Row],[Nät]],Tabell5[],2,FALSE)</f>
        <v>Hällefors</v>
      </c>
    </row>
    <row r="361" spans="1:24" ht="15" customHeight="1" x14ac:dyDescent="0.25">
      <c r="A361" t="s">
        <v>558</v>
      </c>
      <c r="B361" t="s">
        <v>489</v>
      </c>
      <c r="C361">
        <v>2018</v>
      </c>
      <c r="D361">
        <v>16.3</v>
      </c>
      <c r="E361">
        <v>7</v>
      </c>
      <c r="G361">
        <v>5.3</v>
      </c>
      <c r="I361">
        <v>3.1</v>
      </c>
      <c r="J361">
        <v>0.9</v>
      </c>
      <c r="M361">
        <v>5.3</v>
      </c>
      <c r="N361" t="s">
        <v>805</v>
      </c>
      <c r="P361" t="s">
        <v>805</v>
      </c>
      <c r="R361" t="s">
        <v>805</v>
      </c>
      <c r="T361">
        <f>Tabell6[[#This Row],[Såld värme (GWh)]]-Tabell6[[#This Row],[Levererad värme, andra fjärrvärmeförag, förag 1 (GWh)]]-Tabell6[[#This Row],[Levererad värme, andra fjärrvärmeförag, förag 2 (GWh)]]-Tabell6[[#This Row],[Levererad värme, andra fjärrvärmeförag, förag 3 (GWh)]]</f>
        <v>16.3</v>
      </c>
      <c r="U361" t="str">
        <f>VLOOKUP(Tabell6[[#This Row],[Nät]],Tabell5[],2,FALSE)</f>
        <v>Iggesund</v>
      </c>
    </row>
    <row r="362" spans="1:24" ht="15" customHeight="1" x14ac:dyDescent="0.25">
      <c r="A362" t="s">
        <v>558</v>
      </c>
      <c r="B362" t="s">
        <v>126</v>
      </c>
      <c r="C362">
        <v>2018</v>
      </c>
      <c r="D362">
        <v>11.1</v>
      </c>
      <c r="E362">
        <v>7.2</v>
      </c>
      <c r="F362">
        <v>0.4</v>
      </c>
      <c r="I362">
        <v>2.8</v>
      </c>
      <c r="J362">
        <v>0.6</v>
      </c>
      <c r="K362">
        <v>0.1</v>
      </c>
      <c r="N362" t="s">
        <v>805</v>
      </c>
      <c r="P362" t="s">
        <v>805</v>
      </c>
      <c r="R362" t="s">
        <v>805</v>
      </c>
      <c r="T362">
        <f>Tabell6[[#This Row],[Såld värme (GWh)]]-Tabell6[[#This Row],[Levererad värme, andra fjärrvärmeförag, förag 1 (GWh)]]-Tabell6[[#This Row],[Levererad värme, andra fjärrvärmeförag, förag 2 (GWh)]]-Tabell6[[#This Row],[Levererad värme, andra fjärrvärmeförag, förag 3 (GWh)]]</f>
        <v>11.1</v>
      </c>
      <c r="U362" t="str">
        <f>VLOOKUP(Tabell6[[#This Row],[Nät]],Tabell5[],2,FALSE)</f>
        <v>Kopparberg</v>
      </c>
    </row>
    <row r="363" spans="1:24" ht="15" customHeight="1" x14ac:dyDescent="0.25">
      <c r="A363" t="s">
        <v>558</v>
      </c>
      <c r="B363" t="s">
        <v>654</v>
      </c>
      <c r="C363">
        <v>2018</v>
      </c>
      <c r="D363">
        <v>93.7</v>
      </c>
      <c r="E363">
        <v>43.6</v>
      </c>
      <c r="F363">
        <v>4.9000000000000004</v>
      </c>
      <c r="G363">
        <v>11.5</v>
      </c>
      <c r="I363">
        <v>15.9</v>
      </c>
      <c r="J363">
        <v>17.899999999999999</v>
      </c>
      <c r="M363">
        <v>11.5</v>
      </c>
      <c r="N363" t="s">
        <v>805</v>
      </c>
      <c r="P363" t="s">
        <v>805</v>
      </c>
      <c r="R363" t="s">
        <v>805</v>
      </c>
      <c r="T363">
        <f>Tabell6[[#This Row],[Såld värme (GWh)]]-Tabell6[[#This Row],[Levererad värme, andra fjärrvärmeförag, förag 1 (GWh)]]-Tabell6[[#This Row],[Levererad värme, andra fjärrvärmeförag, förag 2 (GWh)]]-Tabell6[[#This Row],[Levererad värme, andra fjärrvärmeförag, förag 3 (GWh)]]</f>
        <v>93.7</v>
      </c>
      <c r="U363" t="str">
        <f>VLOOKUP(Tabell6[[#This Row],[Nät]],Tabell5[],2,FALSE)</f>
        <v>Kristinehamn</v>
      </c>
    </row>
    <row r="364" spans="1:24" ht="15" customHeight="1" x14ac:dyDescent="0.25">
      <c r="A364" t="s">
        <v>558</v>
      </c>
      <c r="B364" t="s">
        <v>121</v>
      </c>
      <c r="C364">
        <v>2018</v>
      </c>
      <c r="D364">
        <v>208.7</v>
      </c>
      <c r="E364">
        <v>45.6</v>
      </c>
      <c r="G364">
        <v>151</v>
      </c>
      <c r="H364">
        <v>151</v>
      </c>
      <c r="I364">
        <v>7.8</v>
      </c>
      <c r="J364">
        <v>4.2</v>
      </c>
      <c r="M364">
        <v>151</v>
      </c>
      <c r="N364" t="s">
        <v>805</v>
      </c>
      <c r="P364" t="s">
        <v>805</v>
      </c>
      <c r="R364" t="s">
        <v>805</v>
      </c>
      <c r="T364">
        <f>Tabell6[[#This Row],[Såld värme (GWh)]]-Tabell6[[#This Row],[Levererad värme, andra fjärrvärmeförag, förag 1 (GWh)]]-Tabell6[[#This Row],[Levererad värme, andra fjärrvärmeförag, förag 2 (GWh)]]-Tabell6[[#This Row],[Levererad värme, andra fjärrvärmeförag, förag 3 (GWh)]]</f>
        <v>208.7</v>
      </c>
      <c r="U364" t="str">
        <f>VLOOKUP(Tabell6[[#This Row],[Nät]],Tabell5[],2,FALSE)</f>
        <v>Nynäshamn</v>
      </c>
    </row>
    <row r="365" spans="1:24" ht="15" customHeight="1" x14ac:dyDescent="0.25">
      <c r="A365" t="s">
        <v>558</v>
      </c>
      <c r="B365" t="s">
        <v>128</v>
      </c>
      <c r="C365">
        <v>2018</v>
      </c>
      <c r="D365">
        <v>1.7</v>
      </c>
      <c r="F365">
        <v>0.1</v>
      </c>
      <c r="I365">
        <v>1.6</v>
      </c>
      <c r="N365" t="s">
        <v>805</v>
      </c>
      <c r="P365" t="s">
        <v>805</v>
      </c>
      <c r="R365" t="s">
        <v>805</v>
      </c>
      <c r="T365">
        <f>Tabell6[[#This Row],[Såld värme (GWh)]]-Tabell6[[#This Row],[Levererad värme, andra fjärrvärmeförag, förag 1 (GWh)]]-Tabell6[[#This Row],[Levererad värme, andra fjärrvärmeförag, förag 2 (GWh)]]-Tabell6[[#This Row],[Levererad värme, andra fjärrvärmeförag, förag 3 (GWh)]]</f>
        <v>1.7</v>
      </c>
      <c r="U365" t="str">
        <f>VLOOKUP(Tabell6[[#This Row],[Nät]],Tabell5[],2,FALSE)</f>
        <v>Stöllet</v>
      </c>
    </row>
    <row r="366" spans="1:24" ht="15" customHeight="1" x14ac:dyDescent="0.25">
      <c r="A366" t="s">
        <v>558</v>
      </c>
      <c r="B366" t="s">
        <v>714</v>
      </c>
      <c r="C366">
        <v>2018</v>
      </c>
      <c r="D366">
        <v>49.863</v>
      </c>
      <c r="E366">
        <v>21.704000000000001</v>
      </c>
      <c r="F366">
        <v>1.1970000000000001</v>
      </c>
      <c r="G366">
        <v>7.133</v>
      </c>
      <c r="I366">
        <v>7.9059999999999997</v>
      </c>
      <c r="J366">
        <v>11.923999999999999</v>
      </c>
      <c r="N366" t="s">
        <v>805</v>
      </c>
      <c r="P366" t="s">
        <v>805</v>
      </c>
      <c r="R366" t="s">
        <v>805</v>
      </c>
      <c r="T366">
        <f>Tabell6[[#This Row],[Såld värme (GWh)]]-Tabell6[[#This Row],[Levererad värme, andra fjärrvärmeförag, förag 1 (GWh)]]-Tabell6[[#This Row],[Levererad värme, andra fjärrvärmeförag, förag 2 (GWh)]]-Tabell6[[#This Row],[Levererad värme, andra fjärrvärmeförag, förag 3 (GWh)]]</f>
        <v>49.863</v>
      </c>
      <c r="U366" t="str">
        <f>VLOOKUP(Tabell6[[#This Row],[Nät]],Tabell5[],2,FALSE)</f>
        <v>Säffle</v>
      </c>
      <c r="X366">
        <v>2.4500000000000002</v>
      </c>
    </row>
    <row r="367" spans="1:24" ht="15" customHeight="1" x14ac:dyDescent="0.25">
      <c r="A367" t="s">
        <v>558</v>
      </c>
      <c r="B367" t="s">
        <v>129</v>
      </c>
      <c r="C367">
        <v>2018</v>
      </c>
      <c r="D367">
        <v>6.8</v>
      </c>
      <c r="E367">
        <v>3.3</v>
      </c>
      <c r="F367">
        <v>0.2</v>
      </c>
      <c r="I367">
        <v>3</v>
      </c>
      <c r="J367">
        <v>0.3</v>
      </c>
      <c r="N367" t="s">
        <v>805</v>
      </c>
      <c r="P367" t="s">
        <v>805</v>
      </c>
      <c r="R367" t="s">
        <v>805</v>
      </c>
      <c r="T367">
        <f>Tabell6[[#This Row],[Såld värme (GWh)]]-Tabell6[[#This Row],[Levererad värme, andra fjärrvärmeförag, förag 1 (GWh)]]-Tabell6[[#This Row],[Levererad värme, andra fjärrvärmeförag, förag 2 (GWh)]]-Tabell6[[#This Row],[Levererad värme, andra fjärrvärmeförag, förag 3 (GWh)]]</f>
        <v>6.8</v>
      </c>
      <c r="U367" t="str">
        <f>VLOOKUP(Tabell6[[#This Row],[Nät]],Tabell5[],2,FALSE)</f>
        <v>Sörforsa</v>
      </c>
      <c r="X367">
        <f>X366+T368</f>
        <v>94.350000000000009</v>
      </c>
    </row>
    <row r="368" spans="1:24" s="23" customFormat="1" ht="15" customHeight="1" x14ac:dyDescent="0.25">
      <c r="A368" s="23" t="s">
        <v>558</v>
      </c>
      <c r="B368" s="23" t="s">
        <v>130</v>
      </c>
      <c r="C368" s="23">
        <v>2018</v>
      </c>
      <c r="D368" s="23">
        <v>91.9</v>
      </c>
      <c r="E368" s="23">
        <v>12.6</v>
      </c>
      <c r="F368" s="23">
        <v>4</v>
      </c>
      <c r="G368" s="23">
        <v>61.6</v>
      </c>
      <c r="I368" s="23">
        <v>8.8000000000000007</v>
      </c>
      <c r="J368" s="23">
        <v>4.3</v>
      </c>
      <c r="M368" s="23">
        <v>61.6</v>
      </c>
      <c r="N368" s="23" t="s">
        <v>805</v>
      </c>
      <c r="P368" s="23" t="s">
        <v>805</v>
      </c>
      <c r="R368" s="23" t="s">
        <v>805</v>
      </c>
      <c r="T368" s="23">
        <f>Tabell6[[#This Row],[Såld värme (GWh)]]-Tabell6[[#This Row],[Levererad värme, andra fjärrvärmeförag, förag 1 (GWh)]]-Tabell6[[#This Row],[Levererad värme, andra fjärrvärmeförag, förag 2 (GWh)]]-Tabell6[[#This Row],[Levererad värme, andra fjärrvärmeförag, förag 3 (GWh)]]</f>
        <v>91.9</v>
      </c>
      <c r="U368" s="23" t="str">
        <f>VLOOKUP(Tabell6[[#This Row],[Nät]],Tabell5[],2,FALSE)</f>
        <v>Torsby</v>
      </c>
      <c r="X368" s="23">
        <f>2.45+Tabell6[[#This Row],[Kolumn1]]</f>
        <v>94.350000000000009</v>
      </c>
    </row>
    <row r="369" spans="1:21" ht="15" customHeight="1" x14ac:dyDescent="0.25">
      <c r="A369" t="s">
        <v>558</v>
      </c>
      <c r="B369" t="s">
        <v>743</v>
      </c>
      <c r="C369">
        <v>2018</v>
      </c>
      <c r="E369" t="s">
        <v>804</v>
      </c>
      <c r="N369" t="s">
        <v>805</v>
      </c>
      <c r="P369" t="s">
        <v>805</v>
      </c>
      <c r="R369" t="s">
        <v>805</v>
      </c>
    </row>
    <row r="370" spans="1:21" s="23" customFormat="1" ht="15" customHeight="1" x14ac:dyDescent="0.25">
      <c r="A370" s="23" t="s">
        <v>689</v>
      </c>
      <c r="B370" s="23" t="s">
        <v>1005</v>
      </c>
      <c r="C370" s="23">
        <v>2018</v>
      </c>
      <c r="D370" s="23">
        <v>0.48199999999999998</v>
      </c>
      <c r="E370" s="23">
        <v>0.13900000000000001</v>
      </c>
      <c r="F370" s="23">
        <v>3.0000000000000001E-3</v>
      </c>
      <c r="G370" s="23">
        <v>0</v>
      </c>
      <c r="I370" s="23">
        <v>0.3402</v>
      </c>
      <c r="J370" s="23">
        <v>0</v>
      </c>
      <c r="N370" s="23" t="s">
        <v>805</v>
      </c>
      <c r="P370" s="23" t="s">
        <v>805</v>
      </c>
      <c r="R370" s="23" t="s">
        <v>805</v>
      </c>
      <c r="T370" s="23">
        <f>Tabell6[[#This Row],[Såld värme (GWh)]]-Tabell6[[#This Row],[Levererad värme, andra fjärrvärmeförag, förag 1 (GWh)]]-Tabell6[[#This Row],[Levererad värme, andra fjärrvärmeförag, förag 2 (GWh)]]-Tabell6[[#This Row],[Levererad värme, andra fjärrvärmeförag, förag 3 (GWh)]]</f>
        <v>0.48199999999999998</v>
      </c>
      <c r="U370" s="23" t="e">
        <f>VLOOKUP(Tabell6[[#This Row],[Nät]],Tabell5[],2,FALSE)</f>
        <v>#N/A</v>
      </c>
    </row>
    <row r="371" spans="1:21" ht="15" customHeight="1" x14ac:dyDescent="0.25">
      <c r="A371" t="s">
        <v>689</v>
      </c>
      <c r="B371" t="s">
        <v>1006</v>
      </c>
      <c r="C371">
        <v>2018</v>
      </c>
      <c r="D371">
        <v>0</v>
      </c>
      <c r="E371">
        <v>0</v>
      </c>
      <c r="F371">
        <v>0</v>
      </c>
      <c r="G371">
        <v>0</v>
      </c>
      <c r="I371">
        <v>0</v>
      </c>
      <c r="J371">
        <v>0</v>
      </c>
      <c r="N371" t="s">
        <v>805</v>
      </c>
      <c r="P371" t="s">
        <v>805</v>
      </c>
      <c r="R371" t="s">
        <v>805</v>
      </c>
    </row>
    <row r="372" spans="1:21" ht="15" customHeight="1" x14ac:dyDescent="0.25">
      <c r="A372" t="s">
        <v>689</v>
      </c>
      <c r="B372" t="s">
        <v>1007</v>
      </c>
      <c r="C372">
        <v>2018</v>
      </c>
      <c r="D372">
        <v>0</v>
      </c>
      <c r="E372">
        <v>0</v>
      </c>
      <c r="F372">
        <v>0</v>
      </c>
      <c r="G372">
        <v>0</v>
      </c>
      <c r="I372">
        <v>0</v>
      </c>
      <c r="J372">
        <v>0</v>
      </c>
      <c r="N372" t="s">
        <v>805</v>
      </c>
      <c r="P372" t="s">
        <v>805</v>
      </c>
      <c r="R372" t="s">
        <v>805</v>
      </c>
    </row>
    <row r="373" spans="1:21" s="23" customFormat="1" ht="15" customHeight="1" x14ac:dyDescent="0.25">
      <c r="A373" s="23" t="s">
        <v>689</v>
      </c>
      <c r="B373" s="23" t="s">
        <v>1008</v>
      </c>
      <c r="C373" s="23">
        <v>2018</v>
      </c>
      <c r="D373" s="23">
        <v>0.71299999999999997</v>
      </c>
      <c r="E373" s="23">
        <v>0</v>
      </c>
      <c r="F373" s="23">
        <v>0</v>
      </c>
      <c r="G373" s="23">
        <v>0</v>
      </c>
      <c r="I373" s="23">
        <v>0.997</v>
      </c>
      <c r="J373" s="23">
        <v>0.61299999999999999</v>
      </c>
      <c r="N373" s="23" t="s">
        <v>805</v>
      </c>
      <c r="P373" s="23" t="s">
        <v>805</v>
      </c>
      <c r="R373" s="23" t="s">
        <v>805</v>
      </c>
      <c r="T373" s="23">
        <f>Tabell6[[#This Row],[Såld värme (GWh)]]-Tabell6[[#This Row],[Levererad värme, andra fjärrvärmeförag, förag 1 (GWh)]]-Tabell6[[#This Row],[Levererad värme, andra fjärrvärmeförag, förag 2 (GWh)]]-Tabell6[[#This Row],[Levererad värme, andra fjärrvärmeförag, förag 3 (GWh)]]</f>
        <v>0.71299999999999997</v>
      </c>
      <c r="U373" s="23" t="e">
        <f>VLOOKUP(Tabell6[[#This Row],[Nät]],Tabell5[],2,FALSE)</f>
        <v>#N/A</v>
      </c>
    </row>
    <row r="374" spans="1:21" ht="15" customHeight="1" x14ac:dyDescent="0.25">
      <c r="A374" t="s">
        <v>689</v>
      </c>
      <c r="B374" t="s">
        <v>354</v>
      </c>
      <c r="C374">
        <v>2018</v>
      </c>
      <c r="D374">
        <v>9.5990000000000002</v>
      </c>
      <c r="E374">
        <v>2.8690000000000002</v>
      </c>
      <c r="F374">
        <v>3.0750000000000002</v>
      </c>
      <c r="G374">
        <v>1.889</v>
      </c>
      <c r="I374">
        <v>1.4710000000000001</v>
      </c>
      <c r="J374">
        <v>0.29499999999999998</v>
      </c>
      <c r="N374" t="s">
        <v>805</v>
      </c>
      <c r="P374" t="s">
        <v>805</v>
      </c>
      <c r="R374" t="s">
        <v>805</v>
      </c>
      <c r="T374">
        <f>Tabell6[[#This Row],[Såld värme (GWh)]]-Tabell6[[#This Row],[Levererad värme, andra fjärrvärmeförag, förag 1 (GWh)]]-Tabell6[[#This Row],[Levererad värme, andra fjärrvärmeförag, förag 2 (GWh)]]-Tabell6[[#This Row],[Levererad värme, andra fjärrvärmeförag, förag 3 (GWh)]]</f>
        <v>9.5990000000000002</v>
      </c>
      <c r="U374" t="str">
        <f>VLOOKUP(Tabell6[[#This Row],[Nät]],Tabell5[],2,FALSE)</f>
        <v>Rydaholm</v>
      </c>
    </row>
    <row r="375" spans="1:21" ht="15" customHeight="1" x14ac:dyDescent="0.25">
      <c r="A375" t="s">
        <v>689</v>
      </c>
      <c r="B375" t="s">
        <v>355</v>
      </c>
      <c r="C375">
        <v>2018</v>
      </c>
      <c r="D375">
        <v>144.096</v>
      </c>
      <c r="E375">
        <v>59.704000000000001</v>
      </c>
      <c r="F375">
        <v>16.599</v>
      </c>
      <c r="G375">
        <v>15.96</v>
      </c>
      <c r="I375">
        <v>26.44</v>
      </c>
      <c r="J375">
        <v>25.393000000000001</v>
      </c>
      <c r="N375" t="s">
        <v>805</v>
      </c>
      <c r="P375" t="s">
        <v>805</v>
      </c>
      <c r="R375" t="s">
        <v>805</v>
      </c>
      <c r="T375">
        <f>Tabell6[[#This Row],[Såld värme (GWh)]]-Tabell6[[#This Row],[Levererad värme, andra fjärrvärmeförag, förag 1 (GWh)]]-Tabell6[[#This Row],[Levererad värme, andra fjärrvärmeförag, förag 2 (GWh)]]-Tabell6[[#This Row],[Levererad värme, andra fjärrvärmeförag, förag 3 (GWh)]]</f>
        <v>144.096</v>
      </c>
      <c r="U375" t="str">
        <f>VLOOKUP(Tabell6[[#This Row],[Nät]],Tabell5[],2,FALSE)</f>
        <v>Värnamo</v>
      </c>
    </row>
    <row r="376" spans="1:21" ht="15" customHeight="1" x14ac:dyDescent="0.25">
      <c r="A376" t="s">
        <v>595</v>
      </c>
      <c r="B376" t="s">
        <v>357</v>
      </c>
      <c r="C376">
        <v>2018</v>
      </c>
      <c r="D376">
        <v>94.965999999999994</v>
      </c>
      <c r="E376">
        <v>45.05</v>
      </c>
      <c r="F376">
        <v>3.9409999999999998</v>
      </c>
      <c r="G376">
        <v>19.401</v>
      </c>
      <c r="I376">
        <v>15.7</v>
      </c>
      <c r="J376">
        <v>10.676</v>
      </c>
      <c r="K376">
        <v>0.18</v>
      </c>
      <c r="M376">
        <v>19.401</v>
      </c>
      <c r="N376" t="s">
        <v>805</v>
      </c>
      <c r="P376" t="s">
        <v>805</v>
      </c>
      <c r="R376" t="s">
        <v>805</v>
      </c>
      <c r="T376">
        <f>Tabell6[[#This Row],[Såld värme (GWh)]]-Tabell6[[#This Row],[Levererad värme, andra fjärrvärmeförag, förag 1 (GWh)]]-Tabell6[[#This Row],[Levererad värme, andra fjärrvärmeförag, förag 2 (GWh)]]-Tabell6[[#This Row],[Levererad värme, andra fjärrvärmeförag, förag 3 (GWh)]]</f>
        <v>94.965999999999994</v>
      </c>
      <c r="U376" t="str">
        <f>VLOOKUP(Tabell6[[#This Row],[Nät]],Tabell5[],2,FALSE)</f>
        <v>Fagersta</v>
      </c>
    </row>
    <row r="377" spans="1:21" ht="15" customHeight="1" x14ac:dyDescent="0.25">
      <c r="A377" t="s">
        <v>595</v>
      </c>
      <c r="B377" t="s">
        <v>358</v>
      </c>
      <c r="C377">
        <v>2018</v>
      </c>
      <c r="D377">
        <v>12.122999999999999</v>
      </c>
      <c r="E377">
        <v>5.7720000000000002</v>
      </c>
      <c r="F377">
        <v>8.9999999999999993E-3</v>
      </c>
      <c r="G377">
        <v>1.5589999999999999</v>
      </c>
      <c r="I377">
        <v>3.0419999999999998</v>
      </c>
      <c r="J377">
        <v>1.7410000000000001</v>
      </c>
      <c r="M377">
        <v>1.5589999999999999</v>
      </c>
      <c r="N377" t="s">
        <v>805</v>
      </c>
      <c r="P377" t="s">
        <v>805</v>
      </c>
      <c r="R377" t="s">
        <v>805</v>
      </c>
      <c r="T377">
        <f>Tabell6[[#This Row],[Såld värme (GWh)]]-Tabell6[[#This Row],[Levererad värme, andra fjärrvärmeförag, förag 1 (GWh)]]-Tabell6[[#This Row],[Levererad värme, andra fjärrvärmeförag, förag 2 (GWh)]]-Tabell6[[#This Row],[Levererad värme, andra fjärrvärmeförag, förag 3 (GWh)]]</f>
        <v>12.122999999999999</v>
      </c>
      <c r="U377" t="str">
        <f>VLOOKUP(Tabell6[[#This Row],[Nät]],Tabell5[],2,FALSE)</f>
        <v>Grängesberg</v>
      </c>
    </row>
    <row r="378" spans="1:21" ht="15" customHeight="1" x14ac:dyDescent="0.25">
      <c r="A378" t="s">
        <v>595</v>
      </c>
      <c r="B378" t="s">
        <v>359</v>
      </c>
      <c r="C378">
        <v>2018</v>
      </c>
      <c r="D378">
        <v>101.849</v>
      </c>
      <c r="E378">
        <v>53.124000000000002</v>
      </c>
      <c r="F378">
        <v>2.3980000000000001</v>
      </c>
      <c r="G378">
        <v>14.698</v>
      </c>
      <c r="I378">
        <v>17.863</v>
      </c>
      <c r="J378">
        <v>13.765000000000001</v>
      </c>
      <c r="M378">
        <v>14.698</v>
      </c>
      <c r="N378" t="s">
        <v>805</v>
      </c>
      <c r="P378" t="s">
        <v>805</v>
      </c>
      <c r="R378" t="s">
        <v>805</v>
      </c>
      <c r="T378">
        <f>Tabell6[[#This Row],[Såld värme (GWh)]]-Tabell6[[#This Row],[Levererad värme, andra fjärrvärmeförag, förag 1 (GWh)]]-Tabell6[[#This Row],[Levererad värme, andra fjärrvärmeförag, förag 2 (GWh)]]-Tabell6[[#This Row],[Levererad värme, andra fjärrvärmeförag, förag 3 (GWh)]]</f>
        <v>101.849</v>
      </c>
      <c r="U378" t="str">
        <f>VLOOKUP(Tabell6[[#This Row],[Nät]],Tabell5[],2,FALSE)</f>
        <v>Ludvika</v>
      </c>
    </row>
    <row r="379" spans="1:21" ht="15" customHeight="1" x14ac:dyDescent="0.25">
      <c r="A379" t="s">
        <v>595</v>
      </c>
      <c r="B379" t="s">
        <v>356</v>
      </c>
      <c r="C379">
        <v>2018</v>
      </c>
      <c r="D379">
        <v>18.561</v>
      </c>
      <c r="E379">
        <v>16.135000000000002</v>
      </c>
      <c r="F379">
        <v>8.6999999999999994E-2</v>
      </c>
      <c r="G379">
        <v>2.0950000000000002</v>
      </c>
      <c r="I379">
        <v>0.19500000000000001</v>
      </c>
      <c r="J379">
        <v>0.05</v>
      </c>
      <c r="M379">
        <v>2.0950000000000002</v>
      </c>
      <c r="N379" t="s">
        <v>805</v>
      </c>
      <c r="P379" t="s">
        <v>805</v>
      </c>
      <c r="R379" t="s">
        <v>805</v>
      </c>
      <c r="T379">
        <f>Tabell6[[#This Row],[Såld värme (GWh)]]-Tabell6[[#This Row],[Levererad värme, andra fjärrvärmeförag, förag 1 (GWh)]]-Tabell6[[#This Row],[Levererad värme, andra fjärrvärmeförag, förag 2 (GWh)]]-Tabell6[[#This Row],[Levererad värme, andra fjärrvärmeförag, förag 3 (GWh)]]</f>
        <v>18.561</v>
      </c>
      <c r="U379" t="str">
        <f>VLOOKUP(Tabell6[[#This Row],[Nät]],Tabell5[],2,FALSE)</f>
        <v>Norberg</v>
      </c>
    </row>
    <row r="380" spans="1:21" ht="15" customHeight="1" x14ac:dyDescent="0.25">
      <c r="A380" t="s">
        <v>550</v>
      </c>
      <c r="B380" t="s">
        <v>360</v>
      </c>
      <c r="C380">
        <v>2018</v>
      </c>
      <c r="D380">
        <v>6.3</v>
      </c>
      <c r="E380">
        <v>1.7</v>
      </c>
      <c r="F380">
        <v>2.7</v>
      </c>
      <c r="I380">
        <v>1.2</v>
      </c>
      <c r="J380">
        <v>0.3</v>
      </c>
      <c r="L380">
        <v>0.4</v>
      </c>
      <c r="N380" t="s">
        <v>805</v>
      </c>
      <c r="P380" t="s">
        <v>805</v>
      </c>
      <c r="R380" t="s">
        <v>805</v>
      </c>
      <c r="T380">
        <f>Tabell6[[#This Row],[Såld värme (GWh)]]-Tabell6[[#This Row],[Levererad värme, andra fjärrvärmeförag, förag 1 (GWh)]]-Tabell6[[#This Row],[Levererad värme, andra fjärrvärmeförag, förag 2 (GWh)]]-Tabell6[[#This Row],[Levererad värme, andra fjärrvärmeförag, förag 3 (GWh)]]</f>
        <v>6.3</v>
      </c>
      <c r="U380" t="str">
        <f>VLOOKUP(Tabell6[[#This Row],[Nät]],Tabell5[],2,FALSE)</f>
        <v>Ankarsrum</v>
      </c>
    </row>
    <row r="381" spans="1:21" ht="15" customHeight="1" x14ac:dyDescent="0.25">
      <c r="A381" t="s">
        <v>550</v>
      </c>
      <c r="B381" t="s">
        <v>361</v>
      </c>
      <c r="C381">
        <v>2018</v>
      </c>
      <c r="D381">
        <v>24.6</v>
      </c>
      <c r="E381">
        <v>7.4</v>
      </c>
      <c r="F381">
        <v>7.2</v>
      </c>
      <c r="G381">
        <v>0.8</v>
      </c>
      <c r="I381">
        <v>5.5</v>
      </c>
      <c r="J381">
        <v>3.1</v>
      </c>
      <c r="L381">
        <v>0.6</v>
      </c>
      <c r="N381" t="s">
        <v>805</v>
      </c>
      <c r="P381" t="s">
        <v>805</v>
      </c>
      <c r="R381" t="s">
        <v>805</v>
      </c>
      <c r="T381">
        <f>Tabell6[[#This Row],[Såld värme (GWh)]]-Tabell6[[#This Row],[Levererad värme, andra fjärrvärmeförag, förag 1 (GWh)]]-Tabell6[[#This Row],[Levererad värme, andra fjärrvärmeförag, förag 2 (GWh)]]-Tabell6[[#This Row],[Levererad värme, andra fjärrvärmeförag, förag 3 (GWh)]]</f>
        <v>24.6</v>
      </c>
      <c r="U381" t="str">
        <f>VLOOKUP(Tabell6[[#This Row],[Nät]],Tabell5[],2,FALSE)</f>
        <v>Gamleby</v>
      </c>
    </row>
    <row r="382" spans="1:21" ht="15" customHeight="1" x14ac:dyDescent="0.25">
      <c r="A382" t="s">
        <v>550</v>
      </c>
      <c r="B382" t="s">
        <v>362</v>
      </c>
      <c r="C382">
        <v>2018</v>
      </c>
      <c r="D382">
        <v>177.5</v>
      </c>
      <c r="E382">
        <v>66.099999999999994</v>
      </c>
      <c r="F382">
        <v>39.5</v>
      </c>
      <c r="G382">
        <v>7.9</v>
      </c>
      <c r="I382">
        <v>25.4</v>
      </c>
      <c r="J382">
        <v>35.5</v>
      </c>
      <c r="L382">
        <v>3.1</v>
      </c>
      <c r="N382" t="s">
        <v>805</v>
      </c>
      <c r="P382" t="s">
        <v>805</v>
      </c>
      <c r="R382" t="s">
        <v>805</v>
      </c>
      <c r="T382">
        <f>Tabell6[[#This Row],[Såld värme (GWh)]]-Tabell6[[#This Row],[Levererad värme, andra fjärrvärmeförag, förag 1 (GWh)]]-Tabell6[[#This Row],[Levererad värme, andra fjärrvärmeförag, förag 2 (GWh)]]-Tabell6[[#This Row],[Levererad värme, andra fjärrvärmeförag, förag 3 (GWh)]]</f>
        <v>177.5</v>
      </c>
      <c r="U382" t="str">
        <f>VLOOKUP(Tabell6[[#This Row],[Nät]],Tabell5[],2,FALSE)</f>
        <v>Västervik</v>
      </c>
    </row>
    <row r="383" spans="1:21" ht="15" customHeight="1" x14ac:dyDescent="0.25">
      <c r="A383" t="s">
        <v>1009</v>
      </c>
      <c r="B383" t="s">
        <v>938</v>
      </c>
      <c r="C383">
        <v>2018</v>
      </c>
      <c r="D383">
        <v>302</v>
      </c>
      <c r="E383">
        <v>142</v>
      </c>
      <c r="F383">
        <v>35</v>
      </c>
      <c r="I383">
        <v>41</v>
      </c>
      <c r="J383">
        <v>83</v>
      </c>
      <c r="P383" t="s">
        <v>805</v>
      </c>
      <c r="R383" t="s">
        <v>805</v>
      </c>
      <c r="T383">
        <f>Tabell6[[#This Row],[Såld värme (GWh)]]-Tabell6[[#This Row],[Levererad värme, andra fjärrvärmeförag, förag 1 (GWh)]]-Tabell6[[#This Row],[Levererad värme, andra fjärrvärmeförag, förag 2 (GWh)]]-Tabell6[[#This Row],[Levererad värme, andra fjärrvärmeförag, förag 3 (GWh)]]</f>
        <v>302</v>
      </c>
      <c r="U383" t="str">
        <f>VLOOKUP(Tabell6[[#This Row],[Nät]],Tabell5[],2,FALSE)</f>
        <v>Arboga - Köping</v>
      </c>
    </row>
    <row r="384" spans="1:21" ht="15" customHeight="1" x14ac:dyDescent="0.25">
      <c r="A384" t="s">
        <v>1009</v>
      </c>
      <c r="B384" t="s">
        <v>939</v>
      </c>
      <c r="C384">
        <v>2018</v>
      </c>
    </row>
    <row r="385" spans="1:21" ht="15" customHeight="1" x14ac:dyDescent="0.25">
      <c r="A385" t="s">
        <v>1009</v>
      </c>
      <c r="B385" t="s">
        <v>175</v>
      </c>
      <c r="C385">
        <v>2018</v>
      </c>
      <c r="D385">
        <v>16.399999999999999</v>
      </c>
      <c r="N385" t="s">
        <v>805</v>
      </c>
      <c r="P385" t="s">
        <v>805</v>
      </c>
      <c r="R385" t="s">
        <v>805</v>
      </c>
      <c r="T385">
        <f>Tabell6[[#This Row],[Såld värme (GWh)]]-Tabell6[[#This Row],[Levererad värme, andra fjärrvärmeförag, förag 1 (GWh)]]-Tabell6[[#This Row],[Levererad värme, andra fjärrvärmeförag, förag 2 (GWh)]]-Tabell6[[#This Row],[Levererad värme, andra fjärrvärmeförag, förag 3 (GWh)]]</f>
        <v>16.399999999999999</v>
      </c>
      <c r="U385" t="str">
        <f>VLOOKUP(Tabell6[[#This Row],[Nät]],Tabell5[],2,FALSE)</f>
        <v>Kolsva</v>
      </c>
    </row>
    <row r="386" spans="1:21" ht="15" customHeight="1" x14ac:dyDescent="0.25">
      <c r="A386" t="s">
        <v>1009</v>
      </c>
      <c r="B386" t="s">
        <v>940</v>
      </c>
      <c r="C386">
        <v>2018</v>
      </c>
    </row>
    <row r="387" spans="1:21" ht="15" customHeight="1" x14ac:dyDescent="0.25">
      <c r="A387" t="s">
        <v>577</v>
      </c>
      <c r="B387" t="s">
        <v>364</v>
      </c>
      <c r="C387">
        <v>2018</v>
      </c>
      <c r="D387">
        <v>13.83</v>
      </c>
      <c r="E387">
        <v>3.0329999999999999</v>
      </c>
      <c r="F387">
        <v>2.2599999999999998</v>
      </c>
      <c r="G387">
        <v>6.617</v>
      </c>
      <c r="I387">
        <v>1.268</v>
      </c>
      <c r="J387">
        <v>0.64800000000000002</v>
      </c>
      <c r="N387" t="s">
        <v>805</v>
      </c>
      <c r="P387" t="s">
        <v>805</v>
      </c>
      <c r="R387" t="s">
        <v>805</v>
      </c>
      <c r="T387">
        <f>Tabell6[[#This Row],[Såld värme (GWh)]]-Tabell6[[#This Row],[Levererad värme, andra fjärrvärmeförag, förag 1 (GWh)]]-Tabell6[[#This Row],[Levererad värme, andra fjärrvärmeförag, förag 2 (GWh)]]-Tabell6[[#This Row],[Levererad värme, andra fjärrvärmeförag, förag 3 (GWh)]]</f>
        <v>13.83</v>
      </c>
      <c r="U387" t="str">
        <f>VLOOKUP(Tabell6[[#This Row],[Nät]],Tabell5[],2,FALSE)</f>
        <v>Braås</v>
      </c>
    </row>
    <row r="388" spans="1:21" ht="15" customHeight="1" x14ac:dyDescent="0.25">
      <c r="A388" t="s">
        <v>577</v>
      </c>
      <c r="B388" t="s">
        <v>365</v>
      </c>
      <c r="C388">
        <v>2018</v>
      </c>
      <c r="D388">
        <v>7.7039999999999997</v>
      </c>
      <c r="E388">
        <v>2.681</v>
      </c>
      <c r="F388">
        <v>2.5419999999999998</v>
      </c>
      <c r="G388">
        <v>0</v>
      </c>
      <c r="I388">
        <v>2.2290000000000001</v>
      </c>
      <c r="J388">
        <v>0.254</v>
      </c>
      <c r="K388">
        <v>0</v>
      </c>
      <c r="L388">
        <v>0</v>
      </c>
      <c r="M388">
        <v>0</v>
      </c>
      <c r="N388" t="s">
        <v>805</v>
      </c>
      <c r="P388" t="s">
        <v>805</v>
      </c>
      <c r="R388" t="s">
        <v>805</v>
      </c>
      <c r="T388">
        <f>Tabell6[[#This Row],[Såld värme (GWh)]]-Tabell6[[#This Row],[Levererad värme, andra fjärrvärmeförag, förag 1 (GWh)]]-Tabell6[[#This Row],[Levererad värme, andra fjärrvärmeförag, förag 2 (GWh)]]-Tabell6[[#This Row],[Levererad värme, andra fjärrvärmeförag, förag 3 (GWh)]]</f>
        <v>7.7039999999999997</v>
      </c>
      <c r="U388" t="str">
        <f>VLOOKUP(Tabell6[[#This Row],[Nät]],Tabell5[],2,FALSE)</f>
        <v>Ingelstad</v>
      </c>
    </row>
    <row r="389" spans="1:21" ht="15" customHeight="1" x14ac:dyDescent="0.25">
      <c r="A389" t="s">
        <v>577</v>
      </c>
      <c r="B389" t="s">
        <v>366</v>
      </c>
      <c r="C389">
        <v>2018</v>
      </c>
      <c r="D389">
        <v>10.163</v>
      </c>
      <c r="E389">
        <v>3.58</v>
      </c>
      <c r="F389">
        <v>2.387</v>
      </c>
      <c r="G389">
        <v>1.64</v>
      </c>
      <c r="I389">
        <v>1.298</v>
      </c>
      <c r="J389">
        <v>1.264</v>
      </c>
      <c r="K389">
        <v>0</v>
      </c>
      <c r="N389" t="s">
        <v>805</v>
      </c>
      <c r="P389" t="s">
        <v>805</v>
      </c>
      <c r="R389" t="s">
        <v>805</v>
      </c>
      <c r="T389">
        <f>Tabell6[[#This Row],[Såld värme (GWh)]]-Tabell6[[#This Row],[Levererad värme, andra fjärrvärmeförag, förag 1 (GWh)]]-Tabell6[[#This Row],[Levererad värme, andra fjärrvärmeförag, förag 2 (GWh)]]-Tabell6[[#This Row],[Levererad värme, andra fjärrvärmeförag, förag 3 (GWh)]]</f>
        <v>10.163</v>
      </c>
      <c r="U389" t="str">
        <f>VLOOKUP(Tabell6[[#This Row],[Nät]],Tabell5[],2,FALSE)</f>
        <v>Rottne</v>
      </c>
    </row>
    <row r="390" spans="1:21" ht="15" customHeight="1" x14ac:dyDescent="0.25">
      <c r="A390" t="s">
        <v>577</v>
      </c>
      <c r="B390" t="s">
        <v>906</v>
      </c>
      <c r="C390">
        <v>2018</v>
      </c>
    </row>
    <row r="391" spans="1:21" ht="15" customHeight="1" x14ac:dyDescent="0.25">
      <c r="A391" t="s">
        <v>577</v>
      </c>
      <c r="B391" t="s">
        <v>907</v>
      </c>
      <c r="C391">
        <v>2018</v>
      </c>
      <c r="D391">
        <v>534.84799999999996</v>
      </c>
      <c r="E391">
        <v>226.268</v>
      </c>
      <c r="F391">
        <v>120.598</v>
      </c>
      <c r="G391">
        <v>11.318</v>
      </c>
      <c r="H391">
        <v>0</v>
      </c>
      <c r="I391">
        <v>47.761000000000003</v>
      </c>
      <c r="J391">
        <v>128.90299999999999</v>
      </c>
      <c r="K391">
        <v>0</v>
      </c>
      <c r="L391">
        <v>0</v>
      </c>
      <c r="M391">
        <v>0</v>
      </c>
      <c r="N391" t="s">
        <v>805</v>
      </c>
      <c r="P391" t="s">
        <v>805</v>
      </c>
      <c r="R391" t="s">
        <v>805</v>
      </c>
      <c r="T391">
        <f>Tabell6[[#This Row],[Såld värme (GWh)]]-Tabell6[[#This Row],[Levererad värme, andra fjärrvärmeförag, förag 1 (GWh)]]-Tabell6[[#This Row],[Levererad värme, andra fjärrvärmeförag, förag 2 (GWh)]]-Tabell6[[#This Row],[Levererad värme, andra fjärrvärmeförag, förag 3 (GWh)]]</f>
        <v>534.84799999999996</v>
      </c>
      <c r="U391" t="str">
        <f>VLOOKUP(Tabell6[[#This Row],[Nät]],Tabell5[],2,FALSE)</f>
        <v>Växjö</v>
      </c>
    </row>
    <row r="392" spans="1:21" ht="15" customHeight="1" x14ac:dyDescent="0.25">
      <c r="A392" t="s">
        <v>577</v>
      </c>
      <c r="B392" t="s">
        <v>1010</v>
      </c>
      <c r="C392">
        <v>2018</v>
      </c>
    </row>
    <row r="393" spans="1:21" ht="15" customHeight="1" x14ac:dyDescent="0.25">
      <c r="A393" t="s">
        <v>734</v>
      </c>
      <c r="B393" t="s">
        <v>367</v>
      </c>
      <c r="C393">
        <v>2018</v>
      </c>
      <c r="D393">
        <v>133.149</v>
      </c>
      <c r="E393">
        <v>75.649000000000001</v>
      </c>
      <c r="F393">
        <v>24.783000000000001</v>
      </c>
      <c r="G393">
        <v>0.60499999999999998</v>
      </c>
      <c r="H393">
        <v>0</v>
      </c>
      <c r="I393">
        <v>22.702000000000002</v>
      </c>
      <c r="J393">
        <v>4.7919999999999998</v>
      </c>
      <c r="K393">
        <v>0</v>
      </c>
      <c r="L393">
        <v>0</v>
      </c>
      <c r="M393">
        <v>4.6180000000000003</v>
      </c>
      <c r="N393" t="s">
        <v>805</v>
      </c>
      <c r="P393" t="s">
        <v>805</v>
      </c>
      <c r="R393" t="s">
        <v>805</v>
      </c>
      <c r="T393">
        <f>Tabell6[[#This Row],[Såld värme (GWh)]]-Tabell6[[#This Row],[Levererad värme, andra fjärrvärmeförag, förag 1 (GWh)]]-Tabell6[[#This Row],[Levererad värme, andra fjärrvärmeförag, förag 2 (GWh)]]-Tabell6[[#This Row],[Levererad värme, andra fjärrvärmeförag, förag 3 (GWh)]]</f>
        <v>133.149</v>
      </c>
      <c r="U393" t="str">
        <f>VLOOKUP(Tabell6[[#This Row],[Nät]],Tabell5[],2,FALSE)</f>
        <v>Ystad</v>
      </c>
    </row>
    <row r="394" spans="1:21" ht="15" customHeight="1" x14ac:dyDescent="0.25">
      <c r="A394" t="s">
        <v>604</v>
      </c>
      <c r="B394" t="s">
        <v>368</v>
      </c>
      <c r="C394">
        <v>2018</v>
      </c>
      <c r="D394">
        <v>6.7</v>
      </c>
      <c r="E394">
        <v>3.5</v>
      </c>
      <c r="F394">
        <v>0.4</v>
      </c>
      <c r="I394">
        <v>1.8</v>
      </c>
      <c r="J394">
        <v>1</v>
      </c>
      <c r="N394" t="s">
        <v>805</v>
      </c>
      <c r="P394" t="s">
        <v>805</v>
      </c>
      <c r="R394" t="s">
        <v>805</v>
      </c>
      <c r="T394">
        <f>Tabell6[[#This Row],[Såld värme (GWh)]]-Tabell6[[#This Row],[Levererad värme, andra fjärrvärmeförag, förag 1 (GWh)]]-Tabell6[[#This Row],[Levererad värme, andra fjärrvärmeförag, förag 2 (GWh)]]-Tabell6[[#This Row],[Levererad värme, andra fjärrvärmeförag, förag 3 (GWh)]]</f>
        <v>6.7</v>
      </c>
      <c r="U394" t="str">
        <f>VLOOKUP(Tabell6[[#This Row],[Nät]],Tabell5[],2,FALSE)</f>
        <v>Fränsta</v>
      </c>
    </row>
    <row r="395" spans="1:21" ht="15" customHeight="1" x14ac:dyDescent="0.25">
      <c r="A395" t="s">
        <v>604</v>
      </c>
      <c r="B395" t="s">
        <v>370</v>
      </c>
      <c r="C395">
        <v>2018</v>
      </c>
      <c r="D395">
        <v>23.193000000000001</v>
      </c>
      <c r="E395">
        <v>10.503</v>
      </c>
      <c r="F395">
        <v>1.446</v>
      </c>
      <c r="G395">
        <v>1.5229999999999999</v>
      </c>
      <c r="I395">
        <v>4.0289999999999999</v>
      </c>
      <c r="J395">
        <v>5.4450000000000003</v>
      </c>
      <c r="K395">
        <v>0.247</v>
      </c>
      <c r="N395" t="s">
        <v>805</v>
      </c>
      <c r="P395" t="s">
        <v>805</v>
      </c>
      <c r="R395" t="s">
        <v>805</v>
      </c>
      <c r="T395">
        <f>Tabell6[[#This Row],[Såld värme (GWh)]]-Tabell6[[#This Row],[Levererad värme, andra fjärrvärmeförag, förag 1 (GWh)]]-Tabell6[[#This Row],[Levererad värme, andra fjärrvärmeförag, förag 2 (GWh)]]-Tabell6[[#This Row],[Levererad värme, andra fjärrvärmeförag, förag 3 (GWh)]]</f>
        <v>23.193000000000001</v>
      </c>
      <c r="U395" t="str">
        <f>VLOOKUP(Tabell6[[#This Row],[Nät]],Tabell5[],2,FALSE)</f>
        <v>Ånge</v>
      </c>
    </row>
    <row r="396" spans="1:21" ht="15" customHeight="1" x14ac:dyDescent="0.25">
      <c r="A396" t="s">
        <v>1011</v>
      </c>
      <c r="B396" t="s">
        <v>912</v>
      </c>
      <c r="C396">
        <v>2018</v>
      </c>
    </row>
    <row r="397" spans="1:21" ht="15" customHeight="1" x14ac:dyDescent="0.25">
      <c r="A397" t="s">
        <v>626</v>
      </c>
      <c r="B397" t="s">
        <v>373</v>
      </c>
      <c r="C397">
        <v>2018</v>
      </c>
      <c r="D397">
        <v>1031.8599999999999</v>
      </c>
      <c r="E397">
        <v>464.8</v>
      </c>
      <c r="F397">
        <v>147.04</v>
      </c>
      <c r="G397">
        <v>49.244999999999997</v>
      </c>
      <c r="H397">
        <v>0</v>
      </c>
      <c r="I397">
        <v>79.653000000000006</v>
      </c>
      <c r="J397">
        <v>121.102</v>
      </c>
      <c r="K397">
        <v>0.3</v>
      </c>
      <c r="L397">
        <v>7</v>
      </c>
      <c r="N397" t="s">
        <v>1012</v>
      </c>
      <c r="O397">
        <v>163.30000000000001</v>
      </c>
      <c r="P397" t="s">
        <v>805</v>
      </c>
      <c r="R397" t="s">
        <v>805</v>
      </c>
      <c r="T397">
        <f>Tabell6[[#This Row],[Såld värme (GWh)]]-Tabell6[[#This Row],[Levererad värme, andra fjärrvärmeförag, förag 1 (GWh)]]-Tabell6[[#This Row],[Levererad värme, andra fjärrvärmeförag, förag 2 (GWh)]]-Tabell6[[#This Row],[Levererad värme, andra fjärrvärmeförag, förag 3 (GWh)]]</f>
        <v>868.56</v>
      </c>
      <c r="U397" t="str">
        <f>VLOOKUP(Tabell6[[#This Row],[Nät]],Tabell5[],2,FALSE)</f>
        <v>Helsingborg</v>
      </c>
    </row>
    <row r="398" spans="1:21" ht="15" customHeight="1" x14ac:dyDescent="0.25">
      <c r="A398" t="s">
        <v>626</v>
      </c>
      <c r="B398" t="s">
        <v>400</v>
      </c>
      <c r="C398">
        <v>2018</v>
      </c>
      <c r="D398">
        <v>1.661</v>
      </c>
      <c r="E398">
        <v>0.66100000000000003</v>
      </c>
      <c r="I398">
        <v>1</v>
      </c>
      <c r="N398" t="s">
        <v>805</v>
      </c>
      <c r="P398" t="s">
        <v>805</v>
      </c>
      <c r="R398" t="s">
        <v>805</v>
      </c>
      <c r="T398">
        <f>Tabell6[[#This Row],[Såld värme (GWh)]]-Tabell6[[#This Row],[Levererad värme, andra fjärrvärmeförag, förag 1 (GWh)]]-Tabell6[[#This Row],[Levererad värme, andra fjärrvärmeförag, förag 2 (GWh)]]-Tabell6[[#This Row],[Levererad värme, andra fjärrvärmeförag, förag 3 (GWh)]]</f>
        <v>1.661</v>
      </c>
      <c r="U398" t="str">
        <f>VLOOKUP(Tabell6[[#This Row],[Nät]],Tabell5[],2,FALSE)</f>
        <v>Hjärnarp</v>
      </c>
    </row>
    <row r="399" spans="1:21" ht="15" customHeight="1" x14ac:dyDescent="0.25">
      <c r="A399" t="s">
        <v>626</v>
      </c>
      <c r="B399" t="s">
        <v>431</v>
      </c>
      <c r="C399">
        <v>2018</v>
      </c>
      <c r="D399">
        <v>8.49</v>
      </c>
      <c r="E399">
        <v>2.2000000000000002</v>
      </c>
      <c r="F399">
        <v>2.8</v>
      </c>
      <c r="I399">
        <v>3.4</v>
      </c>
      <c r="J399">
        <v>0.1</v>
      </c>
      <c r="N399" t="s">
        <v>805</v>
      </c>
      <c r="P399" t="s">
        <v>805</v>
      </c>
      <c r="R399" t="s">
        <v>805</v>
      </c>
      <c r="T399">
        <f>Tabell6[[#This Row],[Såld värme (GWh)]]-Tabell6[[#This Row],[Levererad värme, andra fjärrvärmeförag, förag 1 (GWh)]]-Tabell6[[#This Row],[Levererad värme, andra fjärrvärmeförag, förag 2 (GWh)]]-Tabell6[[#This Row],[Levererad värme, andra fjärrvärmeförag, förag 3 (GWh)]]</f>
        <v>8.49</v>
      </c>
      <c r="U399" t="str">
        <f>VLOOKUP(Tabell6[[#This Row],[Nät]],Tabell5[],2,FALSE)</f>
        <v>Vejbystrand</v>
      </c>
    </row>
    <row r="400" spans="1:21" ht="15" customHeight="1" x14ac:dyDescent="0.25">
      <c r="A400" t="s">
        <v>626</v>
      </c>
      <c r="B400" t="s">
        <v>372</v>
      </c>
      <c r="C400">
        <v>2018</v>
      </c>
      <c r="D400">
        <v>171.738</v>
      </c>
      <c r="E400">
        <v>82.328999999999994</v>
      </c>
      <c r="F400">
        <v>39.875</v>
      </c>
      <c r="G400">
        <v>10.151999999999999</v>
      </c>
      <c r="I400">
        <v>36.558999999999997</v>
      </c>
      <c r="J400">
        <v>10.1</v>
      </c>
      <c r="L400">
        <v>1.2</v>
      </c>
      <c r="N400" t="s">
        <v>805</v>
      </c>
      <c r="P400" t="s">
        <v>805</v>
      </c>
      <c r="R400" t="s">
        <v>805</v>
      </c>
      <c r="T400">
        <f>Tabell6[[#This Row],[Såld värme (GWh)]]-Tabell6[[#This Row],[Levererad värme, andra fjärrvärmeförag, förag 1 (GWh)]]-Tabell6[[#This Row],[Levererad värme, andra fjärrvärmeförag, förag 2 (GWh)]]-Tabell6[[#This Row],[Levererad värme, andra fjärrvärmeförag, förag 3 (GWh)]]</f>
        <v>171.738</v>
      </c>
      <c r="U400" t="str">
        <f>VLOOKUP(Tabell6[[#This Row],[Nät]],Tabell5[],2,FALSE)</f>
        <v>Ängelholm</v>
      </c>
    </row>
    <row r="401" spans="1:21" ht="15" customHeight="1" x14ac:dyDescent="0.25">
      <c r="A401" t="s">
        <v>740</v>
      </c>
      <c r="B401" t="s">
        <v>374</v>
      </c>
      <c r="C401">
        <v>2018</v>
      </c>
      <c r="D401">
        <v>27.2</v>
      </c>
      <c r="E401">
        <v>9.4</v>
      </c>
      <c r="F401">
        <v>6.6</v>
      </c>
      <c r="G401">
        <v>1</v>
      </c>
      <c r="I401">
        <v>6.6</v>
      </c>
      <c r="J401">
        <v>2.8</v>
      </c>
      <c r="N401" t="s">
        <v>805</v>
      </c>
      <c r="P401" t="s">
        <v>805</v>
      </c>
      <c r="R401" t="s">
        <v>805</v>
      </c>
      <c r="T401">
        <f>Tabell6[[#This Row],[Såld värme (GWh)]]-Tabell6[[#This Row],[Levererad värme, andra fjärrvärmeförag, förag 1 (GWh)]]-Tabell6[[#This Row],[Levererad värme, andra fjärrvärmeförag, förag 2 (GWh)]]-Tabell6[[#This Row],[Levererad värme, andra fjärrvärmeförag, förag 3 (GWh)]]</f>
        <v>27.2</v>
      </c>
      <c r="U401" t="str">
        <f>VLOOKUP(Tabell6[[#This Row],[Nät]],Tabell5[],2,FALSE)</f>
        <v>Örkelljunga</v>
      </c>
    </row>
    <row r="402" spans="1:21" ht="15" customHeight="1" x14ac:dyDescent="0.25">
      <c r="A402" t="s">
        <v>695</v>
      </c>
      <c r="B402" t="s">
        <v>375</v>
      </c>
      <c r="C402">
        <v>2018</v>
      </c>
      <c r="D402">
        <v>47.3</v>
      </c>
      <c r="E402">
        <v>28.7</v>
      </c>
      <c r="F402">
        <v>3.9</v>
      </c>
      <c r="G402">
        <v>3.7</v>
      </c>
      <c r="I402">
        <v>6.7</v>
      </c>
      <c r="J402">
        <v>4.3</v>
      </c>
      <c r="N402" t="s">
        <v>805</v>
      </c>
      <c r="P402" t="s">
        <v>805</v>
      </c>
      <c r="R402" t="s">
        <v>805</v>
      </c>
      <c r="T402">
        <f>Tabell6[[#This Row],[Såld värme (GWh)]]-Tabell6[[#This Row],[Levererad värme, andra fjärrvärmeförag, förag 1 (GWh)]]-Tabell6[[#This Row],[Levererad värme, andra fjärrvärmeförag, förag 2 (GWh)]]-Tabell6[[#This Row],[Levererad värme, andra fjärrvärmeförag, förag 3 (GWh)]]</f>
        <v>47.3</v>
      </c>
      <c r="U402" t="str">
        <f>VLOOKUP(Tabell6[[#This Row],[Nät]],Tabell5[],2,FALSE)</f>
        <v>Simrishamn</v>
      </c>
    </row>
    <row r="403" spans="1:21" ht="15" customHeight="1" x14ac:dyDescent="0.25">
      <c r="A403" t="s">
        <v>941</v>
      </c>
      <c r="B403" t="s">
        <v>347</v>
      </c>
      <c r="C403">
        <v>2018</v>
      </c>
      <c r="U403" t="str">
        <f>VLOOKUP(Tabell6[[#This Row],[Nät]],Tabell5[],2,FALSE)</f>
        <v>Övertorneå</v>
      </c>
    </row>
    <row r="404" spans="1:21" ht="15" customHeight="1" x14ac:dyDescent="0.25">
      <c r="A404" t="s">
        <v>916</v>
      </c>
      <c r="B404" t="s">
        <v>347</v>
      </c>
      <c r="C404">
        <v>2018</v>
      </c>
      <c r="U404" t="str">
        <f>VLOOKUP(Tabell6[[#This Row],[Nät]],Tabell5[],2,FALSE)</f>
        <v>Övertorneå</v>
      </c>
    </row>
    <row r="405" spans="1:21" ht="15" customHeight="1" x14ac:dyDescent="0.25">
      <c r="A405" t="s">
        <v>569</v>
      </c>
      <c r="B405" t="s">
        <v>377</v>
      </c>
      <c r="C405">
        <v>2018</v>
      </c>
      <c r="D405">
        <v>7.19</v>
      </c>
      <c r="E405">
        <v>3</v>
      </c>
      <c r="F405">
        <v>0.96</v>
      </c>
      <c r="G405">
        <v>0.62</v>
      </c>
      <c r="I405">
        <v>1.77</v>
      </c>
      <c r="J405">
        <v>0.83</v>
      </c>
      <c r="N405" t="s">
        <v>805</v>
      </c>
      <c r="P405" t="s">
        <v>805</v>
      </c>
      <c r="R405" t="s">
        <v>805</v>
      </c>
      <c r="T405">
        <f>Tabell6[[#This Row],[Såld värme (GWh)]]-Tabell6[[#This Row],[Levererad värme, andra fjärrvärmeförag, förag 1 (GWh)]]-Tabell6[[#This Row],[Levererad värme, andra fjärrvärmeförag, förag 2 (GWh)]]-Tabell6[[#This Row],[Levererad värme, andra fjärrvärmeförag, förag 3 (GWh)]]</f>
        <v>7.19</v>
      </c>
      <c r="U405" t="str">
        <f>VLOOKUP(Tabell6[[#This Row],[Nät]],Tabell5[],2,FALSE)</f>
        <v>Bjästa</v>
      </c>
    </row>
    <row r="406" spans="1:21" ht="15" customHeight="1" x14ac:dyDescent="0.25">
      <c r="A406" t="s">
        <v>569</v>
      </c>
      <c r="B406" t="s">
        <v>378</v>
      </c>
      <c r="C406">
        <v>2018</v>
      </c>
      <c r="D406">
        <v>5.62</v>
      </c>
      <c r="E406">
        <v>1.61</v>
      </c>
      <c r="F406">
        <v>1.68</v>
      </c>
      <c r="I406">
        <v>2.0299999999999998</v>
      </c>
      <c r="J406">
        <v>0.28999999999999998</v>
      </c>
      <c r="N406" t="s">
        <v>805</v>
      </c>
      <c r="P406" t="s">
        <v>805</v>
      </c>
      <c r="R406" t="s">
        <v>805</v>
      </c>
      <c r="T406">
        <f>Tabell6[[#This Row],[Såld värme (GWh)]]-Tabell6[[#This Row],[Levererad värme, andra fjärrvärmeförag, förag 1 (GWh)]]-Tabell6[[#This Row],[Levererad värme, andra fjärrvärmeförag, förag 2 (GWh)]]-Tabell6[[#This Row],[Levererad värme, andra fjärrvärmeförag, förag 3 (GWh)]]</f>
        <v>5.62</v>
      </c>
      <c r="U406" t="str">
        <f>VLOOKUP(Tabell6[[#This Row],[Nät]],Tabell5[],2,FALSE)</f>
        <v>Bredbyn</v>
      </c>
    </row>
    <row r="407" spans="1:21" ht="15" customHeight="1" x14ac:dyDescent="0.25">
      <c r="A407" t="s">
        <v>569</v>
      </c>
      <c r="B407" t="s">
        <v>379</v>
      </c>
      <c r="C407">
        <v>2018</v>
      </c>
      <c r="D407">
        <v>6.8</v>
      </c>
      <c r="E407">
        <v>1.94</v>
      </c>
      <c r="F407">
        <v>1.03</v>
      </c>
      <c r="I407">
        <v>2.06</v>
      </c>
      <c r="J407">
        <v>1.77</v>
      </c>
      <c r="K407">
        <v>0</v>
      </c>
      <c r="N407" t="s">
        <v>805</v>
      </c>
      <c r="P407" t="s">
        <v>805</v>
      </c>
      <c r="R407" t="s">
        <v>805</v>
      </c>
      <c r="T407">
        <f>Tabell6[[#This Row],[Såld värme (GWh)]]-Tabell6[[#This Row],[Levererad värme, andra fjärrvärmeförag, förag 1 (GWh)]]-Tabell6[[#This Row],[Levererad värme, andra fjärrvärmeförag, förag 2 (GWh)]]-Tabell6[[#This Row],[Levererad värme, andra fjärrvärmeförag, förag 3 (GWh)]]</f>
        <v>6.8</v>
      </c>
      <c r="U407" t="str">
        <f>VLOOKUP(Tabell6[[#This Row],[Nät]],Tabell5[],2,FALSE)</f>
        <v>Husum</v>
      </c>
    </row>
    <row r="408" spans="1:21" ht="15" customHeight="1" x14ac:dyDescent="0.25">
      <c r="A408" t="s">
        <v>569</v>
      </c>
      <c r="B408" t="s">
        <v>491</v>
      </c>
      <c r="C408">
        <v>2018</v>
      </c>
      <c r="D408">
        <v>0.54</v>
      </c>
      <c r="F408">
        <v>7.2999999999999995E-2</v>
      </c>
      <c r="I408">
        <v>0.46</v>
      </c>
      <c r="N408" t="s">
        <v>805</v>
      </c>
      <c r="P408" t="s">
        <v>805</v>
      </c>
      <c r="R408" t="s">
        <v>805</v>
      </c>
      <c r="T408">
        <f>Tabell6[[#This Row],[Såld värme (GWh)]]-Tabell6[[#This Row],[Levererad värme, andra fjärrvärmeförag, förag 1 (GWh)]]-Tabell6[[#This Row],[Levererad värme, andra fjärrvärmeförag, förag 2 (GWh)]]-Tabell6[[#This Row],[Levererad värme, andra fjärrvärmeförag, förag 3 (GWh)]]</f>
        <v>0.54</v>
      </c>
      <c r="U408" t="str">
        <f>VLOOKUP(Tabell6[[#This Row],[Nät]],Tabell5[],2,FALSE)</f>
        <v>Moliden</v>
      </c>
    </row>
    <row r="409" spans="1:21" ht="15" customHeight="1" x14ac:dyDescent="0.25">
      <c r="A409" s="62" t="s">
        <v>569</v>
      </c>
      <c r="B409" s="62" t="s">
        <v>802</v>
      </c>
      <c r="C409" s="62">
        <v>2018</v>
      </c>
      <c r="D409" s="62">
        <v>277.14</v>
      </c>
      <c r="E409" s="62"/>
      <c r="F409" s="62"/>
      <c r="G409" s="62">
        <v>277.14</v>
      </c>
      <c r="H409" s="62">
        <v>277.14</v>
      </c>
      <c r="I409" s="62"/>
      <c r="J409" s="62"/>
      <c r="K409" s="62"/>
      <c r="L409" s="62"/>
      <c r="M409" s="62"/>
      <c r="N409" s="62" t="s">
        <v>805</v>
      </c>
      <c r="O409" s="62"/>
      <c r="P409" s="62" t="s">
        <v>805</v>
      </c>
      <c r="Q409" s="62"/>
      <c r="R409" s="62" t="s">
        <v>805</v>
      </c>
      <c r="S409" s="62"/>
      <c r="T409" s="62">
        <f>Tabell6[[#This Row],[Såld värme (GWh)]]-Tabell6[[#This Row],[Levererad värme, andra fjärrvärmeförag, förag 1 (GWh)]]-Tabell6[[#This Row],[Levererad värme, andra fjärrvärmeförag, förag 2 (GWh)]]-Tabell6[[#This Row],[Levererad värme, andra fjärrvärmeförag, förag 3 (GWh)]]</f>
        <v>277.14</v>
      </c>
      <c r="U409" s="62" t="e">
        <f>VLOOKUP(Tabell6[[#This Row],[Nät]],Tabell5[],2,FALSE)</f>
        <v>#N/A</v>
      </c>
    </row>
    <row r="410" spans="1:21" ht="15" customHeight="1" x14ac:dyDescent="0.25">
      <c r="A410" t="s">
        <v>569</v>
      </c>
      <c r="B410" t="s">
        <v>376</v>
      </c>
      <c r="C410">
        <v>2018</v>
      </c>
      <c r="D410">
        <v>234.08</v>
      </c>
      <c r="E410">
        <v>80.05</v>
      </c>
      <c r="F410">
        <v>53.86</v>
      </c>
      <c r="G410">
        <v>26.62</v>
      </c>
      <c r="I410">
        <v>32.5</v>
      </c>
      <c r="J410">
        <v>39.15</v>
      </c>
      <c r="K410">
        <v>1.9</v>
      </c>
      <c r="N410" t="s">
        <v>805</v>
      </c>
      <c r="P410" t="s">
        <v>805</v>
      </c>
      <c r="R410" t="s">
        <v>805</v>
      </c>
      <c r="T410">
        <f>Tabell6[[#This Row],[Såld värme (GWh)]]-Tabell6[[#This Row],[Levererad värme, andra fjärrvärmeförag, förag 1 (GWh)]]-Tabell6[[#This Row],[Levererad värme, andra fjärrvärmeförag, förag 2 (GWh)]]-Tabell6[[#This Row],[Levererad värme, andra fjärrvärmeförag, förag 3 (GWh)]]</f>
        <v>234.08</v>
      </c>
      <c r="U410" t="str">
        <f>VLOOKUP(Tabell6[[#This Row],[Nät]],Tabell5[],2,FALSE)</f>
        <v>Örnsköldsvik</v>
      </c>
    </row>
    <row r="411" spans="1:21" ht="15" customHeight="1" x14ac:dyDescent="0.25"/>
  </sheetData>
  <phoneticPr fontId="32" type="noConversion"/>
  <pageMargins left="0.7" right="0.7" top="0.75" bottom="0.75" header="0.3" footer="0.3"/>
  <legacyDrawing r:id="rId1"/>
  <tableParts count="1">
    <tablePart r:id="rId2"/>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90F11-03F0-4D03-AE50-0C0CAFD6836F}">
  <sheetPr codeName="Blad13"/>
  <dimension ref="A1:Q474"/>
  <sheetViews>
    <sheetView topLeftCell="A115" workbookViewId="0">
      <selection activeCell="B153" sqref="B153"/>
    </sheetView>
  </sheetViews>
  <sheetFormatPr defaultRowHeight="15" x14ac:dyDescent="0.25"/>
  <cols>
    <col min="1" max="1" width="19.5703125" customWidth="1"/>
    <col min="2" max="2" width="45.5703125" bestFit="1" customWidth="1"/>
    <col min="3" max="3" width="18" customWidth="1"/>
    <col min="4" max="11" width="12" customWidth="1"/>
    <col min="12" max="12" width="13.5703125" customWidth="1"/>
    <col min="13" max="13" width="15.7109375" customWidth="1"/>
  </cols>
  <sheetData>
    <row r="1" spans="1:14" ht="15.75" thickBot="1" x14ac:dyDescent="0.3">
      <c r="A1" s="39" t="s">
        <v>783</v>
      </c>
      <c r="B1" s="39" t="s">
        <v>544</v>
      </c>
      <c r="C1" s="39" t="s">
        <v>803</v>
      </c>
      <c r="D1" s="39" t="s">
        <v>919</v>
      </c>
      <c r="E1" s="39" t="s">
        <v>920</v>
      </c>
      <c r="F1" s="39" t="s">
        <v>921</v>
      </c>
      <c r="G1" s="49" t="s">
        <v>943</v>
      </c>
      <c r="H1" s="49" t="s">
        <v>922</v>
      </c>
      <c r="I1" s="49" t="s">
        <v>923</v>
      </c>
      <c r="J1" s="49" t="s">
        <v>924</v>
      </c>
      <c r="K1" s="49" t="s">
        <v>837</v>
      </c>
      <c r="L1" s="50" t="s">
        <v>822</v>
      </c>
      <c r="M1" s="50" t="s">
        <v>946</v>
      </c>
      <c r="N1" s="50" t="s">
        <v>944</v>
      </c>
    </row>
    <row r="2" spans="1:14" x14ac:dyDescent="0.25">
      <c r="A2" t="s">
        <v>809</v>
      </c>
      <c r="B2" t="s">
        <v>60</v>
      </c>
      <c r="C2">
        <v>5.0999999999999996</v>
      </c>
      <c r="D2" t="s">
        <v>806</v>
      </c>
      <c r="E2" t="s">
        <v>806</v>
      </c>
      <c r="F2" t="s">
        <v>806</v>
      </c>
      <c r="G2">
        <f>IF(ISTEXT(C2),0,C2)</f>
        <v>5.0999999999999996</v>
      </c>
      <c r="H2">
        <f t="shared" ref="H2:J17" si="0">IF(ISTEXT(D2),0,D2)</f>
        <v>0</v>
      </c>
      <c r="I2">
        <f t="shared" si="0"/>
        <v>0</v>
      </c>
      <c r="J2">
        <f t="shared" si="0"/>
        <v>0</v>
      </c>
      <c r="K2">
        <f>G2-H2-I2-J2</f>
        <v>5.0999999999999996</v>
      </c>
      <c r="L2" t="str">
        <f>VLOOKUP(Tabell4[[#This Row],[Nät]],Indexnamn!A:A,1,FALSE)</f>
        <v>Bollstabruk</v>
      </c>
      <c r="M2" t="str">
        <f>IF(ISTEXT(Tabell4[[#This Row],[Indexnamn]]),Tabell4[[#This Row],[Indexnamn]],LOOKUP(Tabell4[[#This Row],[Nät]],Tabell5[Nätnamn],#REF!))</f>
        <v>Bollstabruk</v>
      </c>
      <c r="N2" t="str">
        <f>IF(Tabell4[[#This Row],[Finns i listan ]]=Tabell4[[#This Row],[Indexnamn]],"","NEJ")</f>
        <v/>
      </c>
    </row>
    <row r="3" spans="1:14" x14ac:dyDescent="0.25">
      <c r="A3" t="s">
        <v>809</v>
      </c>
      <c r="B3" t="s">
        <v>925</v>
      </c>
      <c r="C3">
        <v>17.899999999999999</v>
      </c>
      <c r="D3" t="s">
        <v>806</v>
      </c>
      <c r="E3" t="s">
        <v>806</v>
      </c>
      <c r="F3" t="s">
        <v>806</v>
      </c>
      <c r="G3">
        <f t="shared" ref="G3:J66" si="1">IF(ISTEXT(C3),0,C3)</f>
        <v>17.899999999999999</v>
      </c>
      <c r="H3">
        <f t="shared" si="0"/>
        <v>0</v>
      </c>
      <c r="I3">
        <f t="shared" si="0"/>
        <v>0</v>
      </c>
      <c r="J3">
        <f t="shared" si="0"/>
        <v>0</v>
      </c>
      <c r="K3">
        <f t="shared" ref="K3:K66" si="2">G3-H3-I3-J3</f>
        <v>17.899999999999999</v>
      </c>
      <c r="L3" t="str">
        <f>VLOOKUP(Tabell4[[#This Row],[Nät]],Indexnamn!A:A,1,FALSE)</f>
        <v>Bräcke, Enycon</v>
      </c>
      <c r="M3" t="str">
        <f>IF(ISTEXT(Tabell4[[#This Row],[Indexnamn]]),Tabell4[[#This Row],[Indexnamn]],LOOKUP(Tabell4[[#This Row],[Nät]],Tabell5[Nätnamn],#REF!))</f>
        <v>Bräcke, Enycon</v>
      </c>
      <c r="N3" t="str">
        <f>IF(Tabell4[[#This Row],[Finns i listan ]]=Tabell4[[#This Row],[Indexnamn]],"","NEJ")</f>
        <v/>
      </c>
    </row>
    <row r="4" spans="1:14" x14ac:dyDescent="0.25">
      <c r="A4" t="s">
        <v>809</v>
      </c>
      <c r="B4" t="s">
        <v>603</v>
      </c>
      <c r="C4">
        <v>3.3</v>
      </c>
      <c r="D4" t="s">
        <v>806</v>
      </c>
      <c r="E4" t="s">
        <v>806</v>
      </c>
      <c r="F4" t="s">
        <v>806</v>
      </c>
      <c r="G4">
        <f t="shared" si="1"/>
        <v>3.3</v>
      </c>
      <c r="H4">
        <f t="shared" si="0"/>
        <v>0</v>
      </c>
      <c r="I4">
        <f t="shared" si="0"/>
        <v>0</v>
      </c>
      <c r="J4">
        <f t="shared" si="0"/>
        <v>0</v>
      </c>
      <c r="K4">
        <f t="shared" si="2"/>
        <v>3.3</v>
      </c>
      <c r="L4" t="str">
        <f>VLOOKUP(Tabell4[[#This Row],[Nät]],Indexnamn!A:A,1,FALSE)</f>
        <v>Friggesund</v>
      </c>
      <c r="M4" t="str">
        <f>IF(ISTEXT(Tabell4[[#This Row],[Indexnamn]]),Tabell4[[#This Row],[Indexnamn]],LOOKUP(Tabell4[[#This Row],[Nät]],Tabell5[Nätnamn],#REF!))</f>
        <v>Friggesund</v>
      </c>
      <c r="N4" t="str">
        <f>IF(Tabell4[[#This Row],[Finns i listan ]]=Tabell4[[#This Row],[Indexnamn]],"","NEJ")</f>
        <v/>
      </c>
    </row>
    <row r="5" spans="1:14" x14ac:dyDescent="0.25">
      <c r="A5" t="s">
        <v>809</v>
      </c>
      <c r="B5" t="s">
        <v>607</v>
      </c>
      <c r="C5">
        <v>5.7</v>
      </c>
      <c r="D5" t="s">
        <v>806</v>
      </c>
      <c r="E5" t="s">
        <v>806</v>
      </c>
      <c r="F5" t="s">
        <v>806</v>
      </c>
      <c r="G5">
        <f t="shared" si="1"/>
        <v>5.7</v>
      </c>
      <c r="H5">
        <f t="shared" si="0"/>
        <v>0</v>
      </c>
      <c r="I5">
        <f t="shared" si="0"/>
        <v>0</v>
      </c>
      <c r="J5">
        <f t="shared" si="0"/>
        <v>0</v>
      </c>
      <c r="K5">
        <f t="shared" si="2"/>
        <v>5.7</v>
      </c>
      <c r="L5" t="str">
        <f>VLOOKUP(Tabell4[[#This Row],[Nät]],Indexnamn!A:A,1,FALSE)</f>
        <v>Funäsdalen</v>
      </c>
      <c r="M5" t="str">
        <f>IF(ISTEXT(Tabell4[[#This Row],[Indexnamn]]),Tabell4[[#This Row],[Indexnamn]],LOOKUP(Tabell4[[#This Row],[Nät]],Tabell5[Nätnamn],#REF!))</f>
        <v>Funäsdalen</v>
      </c>
      <c r="N5" t="str">
        <f>IF(Tabell4[[#This Row],[Finns i listan ]]=Tabell4[[#This Row],[Indexnamn]],"","NEJ")</f>
        <v/>
      </c>
    </row>
    <row r="6" spans="1:14" x14ac:dyDescent="0.25">
      <c r="A6" t="s">
        <v>809</v>
      </c>
      <c r="B6" t="s">
        <v>64</v>
      </c>
      <c r="C6">
        <v>7.7</v>
      </c>
      <c r="D6" t="s">
        <v>806</v>
      </c>
      <c r="E6" t="s">
        <v>806</v>
      </c>
      <c r="F6" t="s">
        <v>806</v>
      </c>
      <c r="G6">
        <f t="shared" si="1"/>
        <v>7.7</v>
      </c>
      <c r="H6">
        <f t="shared" si="0"/>
        <v>0</v>
      </c>
      <c r="I6">
        <f t="shared" si="0"/>
        <v>0</v>
      </c>
      <c r="J6">
        <f t="shared" si="0"/>
        <v>0</v>
      </c>
      <c r="K6">
        <f t="shared" si="2"/>
        <v>7.7</v>
      </c>
      <c r="L6" t="str">
        <f>VLOOKUP(Tabell4[[#This Row],[Nät]],Indexnamn!A:A,1,FALSE)</f>
        <v>Hede</v>
      </c>
      <c r="M6" t="str">
        <f>IF(ISTEXT(Tabell4[[#This Row],[Indexnamn]]),Tabell4[[#This Row],[Indexnamn]],LOOKUP(Tabell4[[#This Row],[Nät]],Tabell5[Nätnamn],#REF!))</f>
        <v>Hede</v>
      </c>
      <c r="N6" t="str">
        <f>IF(Tabell4[[#This Row],[Finns i listan ]]=Tabell4[[#This Row],[Indexnamn]],"","NEJ")</f>
        <v/>
      </c>
    </row>
    <row r="7" spans="1:14" x14ac:dyDescent="0.25">
      <c r="A7" t="s">
        <v>809</v>
      </c>
      <c r="B7" t="s">
        <v>69</v>
      </c>
      <c r="C7">
        <v>4.2</v>
      </c>
      <c r="D7" t="s">
        <v>806</v>
      </c>
      <c r="E7" t="s">
        <v>806</v>
      </c>
      <c r="F7" t="s">
        <v>806</v>
      </c>
      <c r="G7">
        <f t="shared" si="1"/>
        <v>4.2</v>
      </c>
      <c r="H7">
        <f t="shared" si="0"/>
        <v>0</v>
      </c>
      <c r="I7">
        <f t="shared" si="0"/>
        <v>0</v>
      </c>
      <c r="J7">
        <f t="shared" si="0"/>
        <v>0</v>
      </c>
      <c r="K7">
        <f t="shared" si="2"/>
        <v>4.2</v>
      </c>
      <c r="L7" t="str">
        <f>VLOOKUP(Tabell4[[#This Row],[Nät]],Indexnamn!A:A,1,FALSE)</f>
        <v>Långsele</v>
      </c>
      <c r="M7" t="str">
        <f>IF(ISTEXT(Tabell4[[#This Row],[Indexnamn]]),Tabell4[[#This Row],[Indexnamn]],LOOKUP(Tabell4[[#This Row],[Nät]],Tabell5[Nätnamn],#REF!))</f>
        <v>Långsele</v>
      </c>
      <c r="N7" t="str">
        <f>IF(Tabell4[[#This Row],[Finns i listan ]]=Tabell4[[#This Row],[Indexnamn]],"","NEJ")</f>
        <v/>
      </c>
    </row>
    <row r="8" spans="1:14" x14ac:dyDescent="0.25">
      <c r="A8" t="s">
        <v>809</v>
      </c>
      <c r="B8" t="s">
        <v>71</v>
      </c>
      <c r="C8">
        <v>1.7</v>
      </c>
      <c r="D8" t="s">
        <v>806</v>
      </c>
      <c r="E8" t="s">
        <v>806</v>
      </c>
      <c r="F8" t="s">
        <v>806</v>
      </c>
      <c r="G8">
        <f t="shared" si="1"/>
        <v>1.7</v>
      </c>
      <c r="H8">
        <f t="shared" si="0"/>
        <v>0</v>
      </c>
      <c r="I8">
        <f t="shared" si="0"/>
        <v>0</v>
      </c>
      <c r="J8">
        <f t="shared" si="0"/>
        <v>0</v>
      </c>
      <c r="K8">
        <f t="shared" si="2"/>
        <v>1.7</v>
      </c>
      <c r="L8" t="str">
        <f>VLOOKUP(Tabell4[[#This Row],[Nät]],Indexnamn!A:A,1,FALSE)</f>
        <v>Näsåker</v>
      </c>
      <c r="M8" t="str">
        <f>IF(ISTEXT(Tabell4[[#This Row],[Indexnamn]]),Tabell4[[#This Row],[Indexnamn]],LOOKUP(Tabell4[[#This Row],[Nät]],Tabell5[Nätnamn],#REF!))</f>
        <v>Näsåker</v>
      </c>
      <c r="N8" t="str">
        <f>IF(Tabell4[[#This Row],[Finns i listan ]]=Tabell4[[#This Row],[Indexnamn]],"","NEJ")</f>
        <v/>
      </c>
    </row>
    <row r="9" spans="1:14" x14ac:dyDescent="0.25">
      <c r="A9" t="s">
        <v>809</v>
      </c>
      <c r="B9" t="s">
        <v>72</v>
      </c>
      <c r="C9">
        <v>5.3</v>
      </c>
      <c r="D9" t="s">
        <v>806</v>
      </c>
      <c r="E9" t="s">
        <v>806</v>
      </c>
      <c r="F9" t="s">
        <v>806</v>
      </c>
      <c r="G9">
        <f t="shared" si="1"/>
        <v>5.3</v>
      </c>
      <c r="H9">
        <f t="shared" si="0"/>
        <v>0</v>
      </c>
      <c r="I9">
        <f t="shared" si="0"/>
        <v>0</v>
      </c>
      <c r="J9">
        <f t="shared" si="0"/>
        <v>0</v>
      </c>
      <c r="K9">
        <f t="shared" si="2"/>
        <v>5.3</v>
      </c>
      <c r="L9" t="str">
        <f>VLOOKUP(Tabell4[[#This Row],[Nät]],Indexnamn!A:A,1,FALSE)</f>
        <v>Ramsele</v>
      </c>
      <c r="M9" t="str">
        <f>IF(ISTEXT(Tabell4[[#This Row],[Indexnamn]]),Tabell4[[#This Row],[Indexnamn]],LOOKUP(Tabell4[[#This Row],[Nät]],Tabell5[Nätnamn],#REF!))</f>
        <v>Ramsele</v>
      </c>
      <c r="N9" t="str">
        <f>IF(Tabell4[[#This Row],[Finns i listan ]]=Tabell4[[#This Row],[Indexnamn]],"","NEJ")</f>
        <v/>
      </c>
    </row>
    <row r="10" spans="1:14" x14ac:dyDescent="0.25">
      <c r="A10" t="s">
        <v>639</v>
      </c>
      <c r="B10" t="s">
        <v>838</v>
      </c>
      <c r="C10">
        <v>0.37</v>
      </c>
      <c r="D10" t="s">
        <v>806</v>
      </c>
      <c r="E10" t="s">
        <v>806</v>
      </c>
      <c r="F10" t="s">
        <v>806</v>
      </c>
      <c r="G10">
        <f t="shared" si="1"/>
        <v>0.37</v>
      </c>
      <c r="H10">
        <f t="shared" si="0"/>
        <v>0</v>
      </c>
      <c r="I10">
        <f t="shared" si="0"/>
        <v>0</v>
      </c>
      <c r="J10">
        <f t="shared" si="0"/>
        <v>0</v>
      </c>
      <c r="K10">
        <f t="shared" si="2"/>
        <v>0.37</v>
      </c>
      <c r="L10" t="str">
        <f>VLOOKUP(Tabell4[[#This Row],[Nät]],Indexnamn!A:A,1,FALSE)</f>
        <v>Fridlevstad</v>
      </c>
      <c r="M10" t="str">
        <f>IF(ISTEXT(Tabell4[[#This Row],[Indexnamn]]),Tabell4[[#This Row],[Indexnamn]],LOOKUP(Tabell4[[#This Row],[Nät]],Tabell5[Nätnamn],#REF!))</f>
        <v>Fridlevstad</v>
      </c>
      <c r="N10" t="str">
        <f>IF(Tabell4[[#This Row],[Finns i listan ]]=Tabell4[[#This Row],[Indexnamn]],"","NEJ")</f>
        <v/>
      </c>
    </row>
    <row r="11" spans="1:14" x14ac:dyDescent="0.25">
      <c r="A11" t="s">
        <v>639</v>
      </c>
      <c r="B11" t="s">
        <v>640</v>
      </c>
      <c r="C11">
        <v>5</v>
      </c>
      <c r="D11" t="s">
        <v>806</v>
      </c>
      <c r="E11" t="s">
        <v>806</v>
      </c>
      <c r="F11" t="s">
        <v>806</v>
      </c>
      <c r="G11">
        <f t="shared" si="1"/>
        <v>5</v>
      </c>
      <c r="H11">
        <f t="shared" si="0"/>
        <v>0</v>
      </c>
      <c r="I11">
        <f t="shared" si="0"/>
        <v>0</v>
      </c>
      <c r="J11">
        <f t="shared" si="0"/>
        <v>0</v>
      </c>
      <c r="K11">
        <f t="shared" si="2"/>
        <v>5</v>
      </c>
      <c r="L11" t="str">
        <f>VLOOKUP(Tabell4[[#This Row],[Nät]],Indexnamn!A:A,1,FALSE)</f>
        <v>Jämjö</v>
      </c>
      <c r="M11" t="str">
        <f>IF(ISTEXT(Tabell4[[#This Row],[Indexnamn]]),Tabell4[[#This Row],[Indexnamn]],LOOKUP(Tabell4[[#This Row],[Nät]],Tabell5[Nätnamn],#REF!))</f>
        <v>Jämjö</v>
      </c>
      <c r="N11" t="str">
        <f>IF(Tabell4[[#This Row],[Finns i listan ]]=Tabell4[[#This Row],[Indexnamn]],"","NEJ")</f>
        <v/>
      </c>
    </row>
    <row r="12" spans="1:14" x14ac:dyDescent="0.25">
      <c r="A12" t="s">
        <v>639</v>
      </c>
      <c r="B12" t="s">
        <v>0</v>
      </c>
      <c r="C12">
        <v>241.78</v>
      </c>
      <c r="D12" t="s">
        <v>806</v>
      </c>
      <c r="E12" t="s">
        <v>806</v>
      </c>
      <c r="F12" t="s">
        <v>806</v>
      </c>
      <c r="G12">
        <f t="shared" si="1"/>
        <v>241.78</v>
      </c>
      <c r="H12">
        <f t="shared" si="0"/>
        <v>0</v>
      </c>
      <c r="I12">
        <f t="shared" si="0"/>
        <v>0</v>
      </c>
      <c r="J12">
        <f t="shared" si="0"/>
        <v>0</v>
      </c>
      <c r="K12">
        <f t="shared" si="2"/>
        <v>241.78</v>
      </c>
      <c r="L12" t="str">
        <f>VLOOKUP(Tabell4[[#This Row],[Nät]],Indexnamn!A:A,1,FALSE)</f>
        <v>Karlskrona</v>
      </c>
      <c r="M12" t="str">
        <f>IF(ISTEXT(Tabell4[[#This Row],[Indexnamn]]),Tabell4[[#This Row],[Indexnamn]],LOOKUP(Tabell4[[#This Row],[Nät]],Tabell5[Nätnamn],#REF!))</f>
        <v>Karlskrona</v>
      </c>
      <c r="N12" t="str">
        <f>IF(Tabell4[[#This Row],[Finns i listan ]]=Tabell4[[#This Row],[Indexnamn]],"","NEJ")</f>
        <v/>
      </c>
    </row>
    <row r="13" spans="1:14" x14ac:dyDescent="0.25">
      <c r="A13" t="s">
        <v>639</v>
      </c>
      <c r="B13" t="s">
        <v>682</v>
      </c>
      <c r="C13">
        <v>4.2699999999999996</v>
      </c>
      <c r="D13" t="s">
        <v>806</v>
      </c>
      <c r="E13" t="s">
        <v>806</v>
      </c>
      <c r="F13" t="s">
        <v>806</v>
      </c>
      <c r="G13">
        <f t="shared" si="1"/>
        <v>4.2699999999999996</v>
      </c>
      <c r="H13">
        <f t="shared" si="0"/>
        <v>0</v>
      </c>
      <c r="I13">
        <f t="shared" si="0"/>
        <v>0</v>
      </c>
      <c r="J13">
        <f t="shared" si="0"/>
        <v>0</v>
      </c>
      <c r="K13">
        <f t="shared" si="2"/>
        <v>4.2699999999999996</v>
      </c>
      <c r="L13" t="str">
        <f>VLOOKUP(Tabell4[[#This Row],[Nät]],Indexnamn!A:A,1,FALSE)</f>
        <v>Nättraby</v>
      </c>
      <c r="M13" t="str">
        <f>IF(ISTEXT(Tabell4[[#This Row],[Indexnamn]]),Tabell4[[#This Row],[Indexnamn]],LOOKUP(Tabell4[[#This Row],[Nät]],Tabell5[Nätnamn],#REF!))</f>
        <v>Nättraby</v>
      </c>
      <c r="N13" t="str">
        <f>IF(Tabell4[[#This Row],[Finns i listan ]]=Tabell4[[#This Row],[Indexnamn]],"","NEJ")</f>
        <v/>
      </c>
    </row>
    <row r="14" spans="1:14" x14ac:dyDescent="0.25">
      <c r="A14" t="s">
        <v>639</v>
      </c>
      <c r="B14" t="s">
        <v>710</v>
      </c>
      <c r="C14">
        <v>0.71499999999999997</v>
      </c>
      <c r="D14" t="s">
        <v>806</v>
      </c>
      <c r="E14" t="s">
        <v>806</v>
      </c>
      <c r="F14" t="s">
        <v>806</v>
      </c>
      <c r="G14">
        <f t="shared" si="1"/>
        <v>0.71499999999999997</v>
      </c>
      <c r="H14">
        <f t="shared" si="0"/>
        <v>0</v>
      </c>
      <c r="I14">
        <f t="shared" si="0"/>
        <v>0</v>
      </c>
      <c r="J14">
        <f t="shared" si="0"/>
        <v>0</v>
      </c>
      <c r="K14">
        <f t="shared" si="2"/>
        <v>0.71499999999999997</v>
      </c>
      <c r="L14" t="str">
        <f>VLOOKUP(Tabell4[[#This Row],[Nät]],Indexnamn!A:A,1,FALSE)</f>
        <v>Sturkö</v>
      </c>
      <c r="M14" t="str">
        <f>IF(ISTEXT(Tabell4[[#This Row],[Indexnamn]]),Tabell4[[#This Row],[Indexnamn]],LOOKUP(Tabell4[[#This Row],[Nät]],Tabell5[Nätnamn],#REF!))</f>
        <v>Sturkö</v>
      </c>
      <c r="N14" t="str">
        <f>IF(Tabell4[[#This Row],[Finns i listan ]]=Tabell4[[#This Row],[Indexnamn]],"","NEJ")</f>
        <v/>
      </c>
    </row>
    <row r="15" spans="1:14" x14ac:dyDescent="0.25">
      <c r="A15" t="s">
        <v>548</v>
      </c>
      <c r="B15" t="s">
        <v>1</v>
      </c>
      <c r="C15">
        <v>119.3</v>
      </c>
      <c r="D15" t="s">
        <v>806</v>
      </c>
      <c r="E15" t="s">
        <v>806</v>
      </c>
      <c r="F15" t="s">
        <v>806</v>
      </c>
      <c r="G15">
        <f t="shared" si="1"/>
        <v>119.3</v>
      </c>
      <c r="H15">
        <f t="shared" si="0"/>
        <v>0</v>
      </c>
      <c r="I15">
        <f t="shared" si="0"/>
        <v>0</v>
      </c>
      <c r="J15">
        <f t="shared" si="0"/>
        <v>0</v>
      </c>
      <c r="K15">
        <f t="shared" si="2"/>
        <v>119.3</v>
      </c>
      <c r="L15" t="str">
        <f>VLOOKUP(Tabell4[[#This Row],[Nät]],Indexnamn!A:A,1,FALSE)</f>
        <v>Alingsås</v>
      </c>
      <c r="M15" t="str">
        <f>IF(ISTEXT(Tabell4[[#This Row],[Indexnamn]]),Tabell4[[#This Row],[Indexnamn]],LOOKUP(Tabell4[[#This Row],[Nät]],Tabell5[Nätnamn],#REF!))</f>
        <v>Alingsås</v>
      </c>
      <c r="N15" t="str">
        <f>IF(Tabell4[[#This Row],[Finns i listan ]]=Tabell4[[#This Row],[Indexnamn]],"","NEJ")</f>
        <v/>
      </c>
    </row>
    <row r="16" spans="1:14" x14ac:dyDescent="0.25">
      <c r="A16" t="s">
        <v>549</v>
      </c>
      <c r="B16" t="s">
        <v>2</v>
      </c>
      <c r="C16">
        <v>58.7</v>
      </c>
      <c r="D16" t="s">
        <v>806</v>
      </c>
      <c r="E16" t="s">
        <v>806</v>
      </c>
      <c r="F16" t="s">
        <v>806</v>
      </c>
      <c r="G16">
        <f t="shared" si="1"/>
        <v>58.7</v>
      </c>
      <c r="H16">
        <f t="shared" si="0"/>
        <v>0</v>
      </c>
      <c r="I16">
        <f t="shared" si="0"/>
        <v>0</v>
      </c>
      <c r="J16">
        <f t="shared" si="0"/>
        <v>0</v>
      </c>
      <c r="K16">
        <f t="shared" si="2"/>
        <v>58.7</v>
      </c>
      <c r="L16" t="str">
        <f>VLOOKUP(Tabell4[[#This Row],[Nät]],Indexnamn!A:A,1,FALSE)</f>
        <v>Alvesta</v>
      </c>
      <c r="M16" t="str">
        <f>IF(ISTEXT(Tabell4[[#This Row],[Indexnamn]]),Tabell4[[#This Row],[Indexnamn]],LOOKUP(Tabell4[[#This Row],[Nät]],Tabell5[Nätnamn],#REF!))</f>
        <v>Alvesta</v>
      </c>
      <c r="N16" t="str">
        <f>IF(Tabell4[[#This Row],[Finns i listan ]]=Tabell4[[#This Row],[Indexnamn]],"","NEJ")</f>
        <v/>
      </c>
    </row>
    <row r="17" spans="1:14" x14ac:dyDescent="0.25">
      <c r="A17" t="s">
        <v>549</v>
      </c>
      <c r="B17" t="s">
        <v>3</v>
      </c>
      <c r="C17">
        <v>10.3</v>
      </c>
      <c r="D17" t="s">
        <v>806</v>
      </c>
      <c r="E17" t="s">
        <v>806</v>
      </c>
      <c r="F17" t="s">
        <v>806</v>
      </c>
      <c r="G17">
        <f t="shared" si="1"/>
        <v>10.3</v>
      </c>
      <c r="H17">
        <f t="shared" si="0"/>
        <v>0</v>
      </c>
      <c r="I17">
        <f t="shared" si="0"/>
        <v>0</v>
      </c>
      <c r="J17">
        <f t="shared" si="0"/>
        <v>0</v>
      </c>
      <c r="K17">
        <f t="shared" si="2"/>
        <v>10.3</v>
      </c>
      <c r="L17" t="str">
        <f>VLOOKUP(Tabell4[[#This Row],[Nät]],Indexnamn!A:A,1,FALSE)</f>
        <v>Moheda</v>
      </c>
      <c r="M17" t="str">
        <f>IF(ISTEXT(Tabell4[[#This Row],[Indexnamn]]),Tabell4[[#This Row],[Indexnamn]],LOOKUP(Tabell4[[#This Row],[Nät]],Tabell5[Nätnamn],#REF!))</f>
        <v>Moheda</v>
      </c>
      <c r="N17" t="str">
        <f>IF(Tabell4[[#This Row],[Finns i listan ]]=Tabell4[[#This Row],[Indexnamn]],"","NEJ")</f>
        <v/>
      </c>
    </row>
    <row r="18" spans="1:14" x14ac:dyDescent="0.25">
      <c r="A18" t="s">
        <v>549</v>
      </c>
      <c r="B18" t="s">
        <v>4</v>
      </c>
      <c r="C18">
        <v>18.600000000000001</v>
      </c>
      <c r="D18" t="s">
        <v>806</v>
      </c>
      <c r="E18" t="s">
        <v>806</v>
      </c>
      <c r="F18" t="s">
        <v>806</v>
      </c>
      <c r="G18">
        <f t="shared" si="1"/>
        <v>18.600000000000001</v>
      </c>
      <c r="H18">
        <f t="shared" si="1"/>
        <v>0</v>
      </c>
      <c r="I18">
        <f t="shared" si="1"/>
        <v>0</v>
      </c>
      <c r="J18">
        <f t="shared" si="1"/>
        <v>0</v>
      </c>
      <c r="K18">
        <f t="shared" si="2"/>
        <v>18.600000000000001</v>
      </c>
      <c r="L18" t="str">
        <f>VLOOKUP(Tabell4[[#This Row],[Nät]],Indexnamn!A:A,1,FALSE)</f>
        <v>Vislanda</v>
      </c>
      <c r="M18" t="str">
        <f>IF(ISTEXT(Tabell4[[#This Row],[Indexnamn]]),Tabell4[[#This Row],[Indexnamn]],LOOKUP(Tabell4[[#This Row],[Nät]],Tabell5[Nätnamn],#REF!))</f>
        <v>Vislanda</v>
      </c>
      <c r="N18" t="str">
        <f>IF(Tabell4[[#This Row],[Finns i listan ]]=Tabell4[[#This Row],[Indexnamn]],"","NEJ")</f>
        <v/>
      </c>
    </row>
    <row r="19" spans="1:14" x14ac:dyDescent="0.25">
      <c r="A19" t="s">
        <v>784</v>
      </c>
      <c r="B19" t="s">
        <v>926</v>
      </c>
      <c r="C19">
        <v>24.727</v>
      </c>
      <c r="D19" t="s">
        <v>806</v>
      </c>
      <c r="E19" t="s">
        <v>806</v>
      </c>
      <c r="F19" t="s">
        <v>806</v>
      </c>
      <c r="G19">
        <f t="shared" si="1"/>
        <v>24.727</v>
      </c>
      <c r="H19">
        <f t="shared" si="1"/>
        <v>0</v>
      </c>
      <c r="I19">
        <f t="shared" si="1"/>
        <v>0</v>
      </c>
      <c r="J19">
        <f t="shared" si="1"/>
        <v>0</v>
      </c>
      <c r="K19">
        <f t="shared" si="2"/>
        <v>24.727</v>
      </c>
      <c r="L19" t="str">
        <f>VLOOKUP(Tabell4[[#This Row],[Nät]],Indexnamn!A:A,1,FALSE)</f>
        <v xml:space="preserve">Aneby </v>
      </c>
      <c r="M19" t="str">
        <f>IF(ISTEXT(Tabell4[[#This Row],[Indexnamn]]),Tabell4[[#This Row],[Indexnamn]],LOOKUP(Tabell4[[#This Row],[Nät]],Tabell5[Nätnamn],#REF!))</f>
        <v xml:space="preserve">Aneby </v>
      </c>
      <c r="N19" t="str">
        <f>IF(Tabell4[[#This Row],[Finns i listan ]]=Tabell4[[#This Row],[Indexnamn]],"","NEJ")</f>
        <v/>
      </c>
    </row>
    <row r="20" spans="1:14" x14ac:dyDescent="0.25">
      <c r="A20" t="s">
        <v>552</v>
      </c>
      <c r="B20" t="s">
        <v>797</v>
      </c>
      <c r="C20" t="s">
        <v>805</v>
      </c>
      <c r="D20" t="s">
        <v>805</v>
      </c>
      <c r="E20" t="s">
        <v>805</v>
      </c>
      <c r="F20" t="s">
        <v>805</v>
      </c>
      <c r="G20">
        <f t="shared" si="1"/>
        <v>0</v>
      </c>
      <c r="H20">
        <f t="shared" si="1"/>
        <v>0</v>
      </c>
      <c r="I20">
        <f t="shared" si="1"/>
        <v>0</v>
      </c>
      <c r="J20">
        <f t="shared" si="1"/>
        <v>0</v>
      </c>
      <c r="K20">
        <f t="shared" si="2"/>
        <v>0</v>
      </c>
      <c r="L20" t="e">
        <f>VLOOKUP(Tabell4[[#This Row],[Nät]],Indexnamn!A:A,1,FALSE)</f>
        <v>#N/A</v>
      </c>
      <c r="N20" t="e">
        <f>IF(Tabell4[[#This Row],[Finns i listan ]]=Tabell4[[#This Row],[Indexnamn]],"","NEJ")</f>
        <v>#N/A</v>
      </c>
    </row>
    <row r="21" spans="1:14" x14ac:dyDescent="0.25">
      <c r="A21" t="s">
        <v>839</v>
      </c>
      <c r="B21" t="s">
        <v>449</v>
      </c>
      <c r="C21" t="s">
        <v>805</v>
      </c>
      <c r="D21" t="s">
        <v>805</v>
      </c>
      <c r="E21" t="s">
        <v>805</v>
      </c>
      <c r="F21" t="s">
        <v>805</v>
      </c>
      <c r="G21">
        <f t="shared" si="1"/>
        <v>0</v>
      </c>
      <c r="H21">
        <f t="shared" si="1"/>
        <v>0</v>
      </c>
      <c r="I21">
        <f t="shared" si="1"/>
        <v>0</v>
      </c>
      <c r="J21">
        <f t="shared" si="1"/>
        <v>0</v>
      </c>
      <c r="K21">
        <f t="shared" si="2"/>
        <v>0</v>
      </c>
      <c r="L21" t="e">
        <f>VLOOKUP(Tabell4[[#This Row],[Nät]],Indexnamn!A:A,1,FALSE)</f>
        <v>#N/A</v>
      </c>
      <c r="M21" t="e">
        <f>IF(ISTEXT(Tabell4[[#This Row],[Indexnamn]]),Tabell4[[#This Row],[Indexnamn]],LOOKUP(Tabell4[[#This Row],[Nät]],Tabell5[Nätnamn],#REF!))</f>
        <v>#REF!</v>
      </c>
      <c r="N21" t="e">
        <f>IF(Tabell4[[#This Row],[Finns i listan ]]=Tabell4[[#This Row],[Indexnamn]],"","NEJ")</f>
        <v>#REF!</v>
      </c>
    </row>
    <row r="22" spans="1:14" x14ac:dyDescent="0.25">
      <c r="A22" t="s">
        <v>840</v>
      </c>
      <c r="B22" t="s">
        <v>6</v>
      </c>
      <c r="C22" t="s">
        <v>805</v>
      </c>
      <c r="D22" t="s">
        <v>805</v>
      </c>
      <c r="E22" t="s">
        <v>805</v>
      </c>
      <c r="F22" t="s">
        <v>805</v>
      </c>
      <c r="G22">
        <f t="shared" si="1"/>
        <v>0</v>
      </c>
      <c r="H22">
        <f t="shared" si="1"/>
        <v>0</v>
      </c>
      <c r="I22">
        <f t="shared" si="1"/>
        <v>0</v>
      </c>
      <c r="J22">
        <f t="shared" si="1"/>
        <v>0</v>
      </c>
      <c r="K22">
        <f t="shared" si="2"/>
        <v>0</v>
      </c>
      <c r="L22" t="str">
        <f>VLOOKUP(Tabell4[[#This Row],[Nät]],Indexnamn!A:A,1,FALSE)</f>
        <v>Arvidsjaur</v>
      </c>
      <c r="M22" t="str">
        <f>IF(ISTEXT(Tabell4[[#This Row],[Indexnamn]]),Tabell4[[#This Row],[Indexnamn]],LOOKUP(Tabell4[[#This Row],[Nät]],Tabell5[Nätnamn],#REF!))</f>
        <v>Arvidsjaur</v>
      </c>
      <c r="N22" t="str">
        <f>IF(Tabell4[[#This Row],[Finns i listan ]]=Tabell4[[#This Row],[Indexnamn]],"","NEJ")</f>
        <v/>
      </c>
    </row>
    <row r="23" spans="1:14" x14ac:dyDescent="0.25">
      <c r="A23" t="s">
        <v>555</v>
      </c>
      <c r="B23" t="s">
        <v>119</v>
      </c>
      <c r="C23">
        <v>107.4</v>
      </c>
      <c r="D23" t="s">
        <v>806</v>
      </c>
      <c r="E23" t="s">
        <v>806</v>
      </c>
      <c r="F23" t="s">
        <v>806</v>
      </c>
      <c r="G23">
        <f t="shared" si="1"/>
        <v>107.4</v>
      </c>
      <c r="H23">
        <f t="shared" si="1"/>
        <v>0</v>
      </c>
      <c r="I23">
        <f t="shared" si="1"/>
        <v>0</v>
      </c>
      <c r="J23">
        <f t="shared" si="1"/>
        <v>0</v>
      </c>
      <c r="K23">
        <f t="shared" si="2"/>
        <v>107.4</v>
      </c>
      <c r="L23" t="str">
        <f>VLOOKUP(Tabell4[[#This Row],[Nät]],Indexnamn!A:A,1,FALSE)</f>
        <v>Arvika</v>
      </c>
      <c r="M23" t="str">
        <f>IF(ISTEXT(Tabell4[[#This Row],[Indexnamn]]),Tabell4[[#This Row],[Indexnamn]],LOOKUP(Tabell4[[#This Row],[Nät]],Tabell5[Nätnamn],#REF!))</f>
        <v>Arvika</v>
      </c>
      <c r="N23" t="str">
        <f>IF(Tabell4[[#This Row],[Finns i listan ]]=Tabell4[[#This Row],[Indexnamn]],"","NEJ")</f>
        <v/>
      </c>
    </row>
    <row r="24" spans="1:14" x14ac:dyDescent="0.25">
      <c r="A24" t="s">
        <v>562</v>
      </c>
      <c r="B24" t="s">
        <v>7</v>
      </c>
      <c r="C24" t="s">
        <v>805</v>
      </c>
      <c r="D24" t="s">
        <v>805</v>
      </c>
      <c r="E24" t="s">
        <v>805</v>
      </c>
      <c r="F24" t="s">
        <v>805</v>
      </c>
      <c r="G24">
        <f t="shared" si="1"/>
        <v>0</v>
      </c>
      <c r="H24">
        <f t="shared" si="1"/>
        <v>0</v>
      </c>
      <c r="I24">
        <f t="shared" si="1"/>
        <v>0</v>
      </c>
      <c r="J24">
        <f t="shared" si="1"/>
        <v>0</v>
      </c>
      <c r="K24">
        <f t="shared" si="2"/>
        <v>0</v>
      </c>
      <c r="L24" t="str">
        <f>VLOOKUP(Tabell4[[#This Row],[Nät]],Indexnamn!A:A,1,FALSE)</f>
        <v>Bengtsfors</v>
      </c>
      <c r="M24" t="str">
        <f>IF(ISTEXT(Tabell4[[#This Row],[Indexnamn]]),Tabell4[[#This Row],[Indexnamn]],LOOKUP(Tabell4[[#This Row],[Nät]],Tabell5[Nätnamn],#REF!))</f>
        <v>Bengtsfors</v>
      </c>
      <c r="N24" t="str">
        <f>IF(Tabell4[[#This Row],[Finns i listan ]]=Tabell4[[#This Row],[Indexnamn]],"","NEJ")</f>
        <v/>
      </c>
    </row>
    <row r="25" spans="1:14" x14ac:dyDescent="0.25">
      <c r="A25" t="s">
        <v>563</v>
      </c>
      <c r="B25" t="s">
        <v>9</v>
      </c>
      <c r="C25" t="s">
        <v>805</v>
      </c>
      <c r="D25" t="s">
        <v>805</v>
      </c>
      <c r="E25" t="s">
        <v>805</v>
      </c>
      <c r="F25" t="s">
        <v>805</v>
      </c>
      <c r="G25">
        <f t="shared" si="1"/>
        <v>0</v>
      </c>
      <c r="H25">
        <f t="shared" si="1"/>
        <v>0</v>
      </c>
      <c r="I25">
        <f t="shared" si="1"/>
        <v>0</v>
      </c>
      <c r="J25">
        <f t="shared" si="1"/>
        <v>0</v>
      </c>
      <c r="K25">
        <f t="shared" si="2"/>
        <v>0</v>
      </c>
      <c r="L25" t="e">
        <f>VLOOKUP(Tabell4[[#This Row],[Nät]],Indexnamn!A:A,1,FALSE)</f>
        <v>#N/A</v>
      </c>
      <c r="M25" t="e">
        <f>IF(ISTEXT(Tabell4[[#This Row],[Indexnamn]]),Tabell4[[#This Row],[Indexnamn]],LOOKUP(Tabell4[[#This Row],[Nät]],Tabell5[Nätnamn],#REF!))</f>
        <v>#REF!</v>
      </c>
      <c r="N25" t="e">
        <f>IF(Tabell4[[#This Row],[Finns i listan ]]=Tabell4[[#This Row],[Indexnamn]],"","NEJ")</f>
        <v>#REF!</v>
      </c>
    </row>
    <row r="26" spans="1:14" x14ac:dyDescent="0.25">
      <c r="A26" t="s">
        <v>563</v>
      </c>
      <c r="B26" t="s">
        <v>582</v>
      </c>
      <c r="C26" t="s">
        <v>805</v>
      </c>
      <c r="D26" t="s">
        <v>805</v>
      </c>
      <c r="E26" t="s">
        <v>805</v>
      </c>
      <c r="F26" t="s">
        <v>805</v>
      </c>
      <c r="G26">
        <f t="shared" si="1"/>
        <v>0</v>
      </c>
      <c r="H26">
        <f t="shared" si="1"/>
        <v>0</v>
      </c>
      <c r="I26">
        <f t="shared" si="1"/>
        <v>0</v>
      </c>
      <c r="J26">
        <f t="shared" si="1"/>
        <v>0</v>
      </c>
      <c r="K26">
        <f t="shared" si="2"/>
        <v>0</v>
      </c>
      <c r="L26" t="str">
        <f>VLOOKUP(Tabell4[[#This Row],[Nät]],Indexnamn!A:A,1,FALSE)</f>
        <v>Bällinge</v>
      </c>
      <c r="M26" t="str">
        <f>IF(ISTEXT(Tabell4[[#This Row],[Indexnamn]]),Tabell4[[#This Row],[Indexnamn]],LOOKUP(Tabell4[[#This Row],[Nät]],Tabell5[Nätnamn],#REF!))</f>
        <v>Bällinge</v>
      </c>
      <c r="N26" t="str">
        <f>IF(Tabell4[[#This Row],[Finns i listan ]]=Tabell4[[#This Row],[Indexnamn]],"","NEJ")</f>
        <v/>
      </c>
    </row>
    <row r="27" spans="1:14" x14ac:dyDescent="0.25">
      <c r="A27" t="s">
        <v>563</v>
      </c>
      <c r="B27" t="s">
        <v>10</v>
      </c>
      <c r="C27" t="s">
        <v>805</v>
      </c>
      <c r="D27" t="s">
        <v>805</v>
      </c>
      <c r="E27" t="s">
        <v>805</v>
      </c>
      <c r="F27" t="s">
        <v>805</v>
      </c>
      <c r="G27">
        <f t="shared" si="1"/>
        <v>0</v>
      </c>
      <c r="H27">
        <f t="shared" si="1"/>
        <v>0</v>
      </c>
      <c r="I27">
        <f t="shared" si="1"/>
        <v>0</v>
      </c>
      <c r="J27">
        <f t="shared" si="1"/>
        <v>0</v>
      </c>
      <c r="K27">
        <f t="shared" si="2"/>
        <v>0</v>
      </c>
      <c r="L27" t="e">
        <f>VLOOKUP(Tabell4[[#This Row],[Nät]],Indexnamn!A:A,1,FALSE)</f>
        <v>#N/A</v>
      </c>
      <c r="M27" t="e">
        <f>IF(ISTEXT(Tabell4[[#This Row],[Indexnamn]]),Tabell4[[#This Row],[Indexnamn]],LOOKUP(Tabell4[[#This Row],[Nät]],Tabell5[Nätnamn],#REF!))</f>
        <v>#REF!</v>
      </c>
      <c r="N27" t="e">
        <f>IF(Tabell4[[#This Row],[Finns i listan ]]=Tabell4[[#This Row],[Indexnamn]],"","NEJ")</f>
        <v>#REF!</v>
      </c>
    </row>
    <row r="28" spans="1:14" x14ac:dyDescent="0.25">
      <c r="A28" t="s">
        <v>563</v>
      </c>
      <c r="B28" t="s">
        <v>16</v>
      </c>
      <c r="C28" t="s">
        <v>805</v>
      </c>
      <c r="D28" t="s">
        <v>805</v>
      </c>
      <c r="E28" t="s">
        <v>805</v>
      </c>
      <c r="F28" t="s">
        <v>805</v>
      </c>
      <c r="G28">
        <f t="shared" si="1"/>
        <v>0</v>
      </c>
      <c r="H28">
        <f t="shared" si="1"/>
        <v>0</v>
      </c>
      <c r="I28">
        <f t="shared" si="1"/>
        <v>0</v>
      </c>
      <c r="J28">
        <f t="shared" si="1"/>
        <v>0</v>
      </c>
      <c r="K28">
        <f t="shared" si="2"/>
        <v>0</v>
      </c>
      <c r="L28" t="e">
        <f>VLOOKUP(Tabell4[[#This Row],[Nät]],Indexnamn!A:A,1,FALSE)</f>
        <v>#N/A</v>
      </c>
      <c r="M28" t="e">
        <f>IF(ISTEXT(Tabell4[[#This Row],[Indexnamn]]),Tabell4[[#This Row],[Indexnamn]],LOOKUP(Tabell4[[#This Row],[Nät]],Tabell5[Nätnamn],#REF!))</f>
        <v>#REF!</v>
      </c>
      <c r="N28" t="e">
        <f>IF(Tabell4[[#This Row],[Finns i listan ]]=Tabell4[[#This Row],[Indexnamn]],"","NEJ")</f>
        <v>#REF!</v>
      </c>
    </row>
    <row r="29" spans="1:14" x14ac:dyDescent="0.25">
      <c r="A29" t="s">
        <v>563</v>
      </c>
      <c r="B29" t="s">
        <v>494</v>
      </c>
      <c r="C29" t="s">
        <v>805</v>
      </c>
      <c r="D29" t="s">
        <v>805</v>
      </c>
      <c r="E29" t="s">
        <v>805</v>
      </c>
      <c r="F29" t="s">
        <v>805</v>
      </c>
      <c r="G29">
        <f t="shared" si="1"/>
        <v>0</v>
      </c>
      <c r="H29">
        <f t="shared" si="1"/>
        <v>0</v>
      </c>
      <c r="I29">
        <f t="shared" si="1"/>
        <v>0</v>
      </c>
      <c r="J29">
        <f t="shared" si="1"/>
        <v>0</v>
      </c>
      <c r="K29">
        <f t="shared" si="2"/>
        <v>0</v>
      </c>
      <c r="L29" t="e">
        <f>VLOOKUP(Tabell4[[#This Row],[Nät]],Indexnamn!A:A,1,FALSE)</f>
        <v>#N/A</v>
      </c>
      <c r="M29" t="e">
        <f>IF(ISTEXT(Tabell4[[#This Row],[Indexnamn]]),Tabell4[[#This Row],[Indexnamn]],LOOKUP(Tabell4[[#This Row],[Nät]],Tabell5[Nätnamn],#REF!))</f>
        <v>#REF!</v>
      </c>
      <c r="N29" t="e">
        <f>IF(Tabell4[[#This Row],[Finns i listan ]]=Tabell4[[#This Row],[Indexnamn]],"","NEJ")</f>
        <v>#REF!</v>
      </c>
    </row>
    <row r="30" spans="1:14" x14ac:dyDescent="0.25">
      <c r="A30" t="s">
        <v>563</v>
      </c>
      <c r="B30" t="s">
        <v>8</v>
      </c>
      <c r="C30" t="s">
        <v>805</v>
      </c>
      <c r="D30" t="s">
        <v>805</v>
      </c>
      <c r="E30" t="s">
        <v>805</v>
      </c>
      <c r="F30" t="s">
        <v>805</v>
      </c>
      <c r="G30">
        <f t="shared" si="1"/>
        <v>0</v>
      </c>
      <c r="H30">
        <f t="shared" si="1"/>
        <v>0</v>
      </c>
      <c r="I30">
        <f t="shared" si="1"/>
        <v>0</v>
      </c>
      <c r="J30">
        <f t="shared" si="1"/>
        <v>0</v>
      </c>
      <c r="K30">
        <f t="shared" si="2"/>
        <v>0</v>
      </c>
      <c r="L30" t="e">
        <f>VLOOKUP(Tabell4[[#This Row],[Nät]],Indexnamn!A:A,1,FALSE)</f>
        <v>#N/A</v>
      </c>
      <c r="M30" t="e">
        <f>IF(ISTEXT(Tabell4[[#This Row],[Indexnamn]]),Tabell4[[#This Row],[Indexnamn]],LOOKUP(Tabell4[[#This Row],[Nät]],Tabell5[Nätnamn],#REF!))</f>
        <v>#REF!</v>
      </c>
      <c r="N30" t="e">
        <f>IF(Tabell4[[#This Row],[Finns i listan ]]=Tabell4[[#This Row],[Indexnamn]],"","NEJ")</f>
        <v>#REF!</v>
      </c>
    </row>
    <row r="31" spans="1:14" x14ac:dyDescent="0.25">
      <c r="A31" t="s">
        <v>563</v>
      </c>
      <c r="B31" t="s">
        <v>15</v>
      </c>
      <c r="C31" t="s">
        <v>805</v>
      </c>
      <c r="D31" t="s">
        <v>805</v>
      </c>
      <c r="E31" t="s">
        <v>805</v>
      </c>
      <c r="F31" t="s">
        <v>805</v>
      </c>
      <c r="G31">
        <f t="shared" si="1"/>
        <v>0</v>
      </c>
      <c r="H31">
        <f t="shared" si="1"/>
        <v>0</v>
      </c>
      <c r="I31">
        <f t="shared" si="1"/>
        <v>0</v>
      </c>
      <c r="J31">
        <f t="shared" si="1"/>
        <v>0</v>
      </c>
      <c r="K31">
        <f t="shared" si="2"/>
        <v>0</v>
      </c>
      <c r="L31" t="e">
        <f>VLOOKUP(Tabell4[[#This Row],[Nät]],Indexnamn!A:A,1,FALSE)</f>
        <v>#N/A</v>
      </c>
      <c r="M31" t="e">
        <f>IF(ISTEXT(Tabell4[[#This Row],[Indexnamn]]),Tabell4[[#This Row],[Indexnamn]],LOOKUP(Tabell4[[#This Row],[Nät]],Tabell5[Nätnamn],#REF!))</f>
        <v>#REF!</v>
      </c>
      <c r="N31" t="e">
        <f>IF(Tabell4[[#This Row],[Finns i listan ]]=Tabell4[[#This Row],[Indexnamn]],"","NEJ")</f>
        <v>#REF!</v>
      </c>
    </row>
    <row r="32" spans="1:14" x14ac:dyDescent="0.25">
      <c r="A32" t="s">
        <v>563</v>
      </c>
      <c r="B32" t="s">
        <v>17</v>
      </c>
      <c r="C32" t="s">
        <v>805</v>
      </c>
      <c r="D32" t="s">
        <v>805</v>
      </c>
      <c r="E32" t="s">
        <v>805</v>
      </c>
      <c r="F32" t="s">
        <v>805</v>
      </c>
      <c r="G32">
        <f t="shared" si="1"/>
        <v>0</v>
      </c>
      <c r="H32">
        <f t="shared" si="1"/>
        <v>0</v>
      </c>
      <c r="I32">
        <f t="shared" si="1"/>
        <v>0</v>
      </c>
      <c r="J32">
        <f t="shared" si="1"/>
        <v>0</v>
      </c>
      <c r="K32">
        <f t="shared" si="2"/>
        <v>0</v>
      </c>
      <c r="L32" t="str">
        <f>VLOOKUP(Tabell4[[#This Row],[Nät]],Indexnamn!A:A,1,FALSE)</f>
        <v>Söderfors</v>
      </c>
      <c r="M32" t="str">
        <f>IF(ISTEXT(Tabell4[[#This Row],[Indexnamn]]),Tabell4[[#This Row],[Indexnamn]],LOOKUP(Tabell4[[#This Row],[Nät]],Tabell5[Nätnamn],#REF!))</f>
        <v>Söderfors</v>
      </c>
      <c r="N32" t="str">
        <f>IF(Tabell4[[#This Row],[Finns i listan ]]=Tabell4[[#This Row],[Indexnamn]],"","NEJ")</f>
        <v/>
      </c>
    </row>
    <row r="33" spans="1:14" x14ac:dyDescent="0.25">
      <c r="A33" t="s">
        <v>563</v>
      </c>
      <c r="B33" t="s">
        <v>435</v>
      </c>
      <c r="C33" t="s">
        <v>805</v>
      </c>
      <c r="D33" t="s">
        <v>805</v>
      </c>
      <c r="E33" t="s">
        <v>805</v>
      </c>
      <c r="F33" t="s">
        <v>805</v>
      </c>
      <c r="G33">
        <f t="shared" si="1"/>
        <v>0</v>
      </c>
      <c r="H33">
        <f t="shared" si="1"/>
        <v>0</v>
      </c>
      <c r="I33">
        <f t="shared" si="1"/>
        <v>0</v>
      </c>
      <c r="J33">
        <f t="shared" si="1"/>
        <v>0</v>
      </c>
      <c r="K33">
        <f t="shared" si="2"/>
        <v>0</v>
      </c>
      <c r="L33" t="e">
        <f>VLOOKUP(Tabell4[[#This Row],[Nät]],Indexnamn!A:A,1,FALSE)</f>
        <v>#N/A</v>
      </c>
      <c r="M33" t="e">
        <f>IF(ISTEXT(Tabell4[[#This Row],[Indexnamn]]),Tabell4[[#This Row],[Indexnamn]],LOOKUP(Tabell4[[#This Row],[Nät]],Tabell5[Nätnamn],#REF!))</f>
        <v>#REF!</v>
      </c>
      <c r="N33" t="e">
        <f>IF(Tabell4[[#This Row],[Finns i listan ]]=Tabell4[[#This Row],[Indexnamn]],"","NEJ")</f>
        <v>#REF!</v>
      </c>
    </row>
    <row r="34" spans="1:14" x14ac:dyDescent="0.25">
      <c r="A34" t="s">
        <v>563</v>
      </c>
      <c r="B34" t="s">
        <v>737</v>
      </c>
      <c r="C34" t="s">
        <v>805</v>
      </c>
      <c r="D34" t="s">
        <v>805</v>
      </c>
      <c r="E34" t="s">
        <v>805</v>
      </c>
      <c r="F34" t="s">
        <v>805</v>
      </c>
      <c r="G34">
        <f t="shared" si="1"/>
        <v>0</v>
      </c>
      <c r="H34">
        <f t="shared" si="1"/>
        <v>0</v>
      </c>
      <c r="I34">
        <f t="shared" si="1"/>
        <v>0</v>
      </c>
      <c r="J34">
        <f t="shared" si="1"/>
        <v>0</v>
      </c>
      <c r="K34">
        <f t="shared" si="2"/>
        <v>0</v>
      </c>
      <c r="L34" t="e">
        <f>VLOOKUP(Tabell4[[#This Row],[Nät]],Indexnamn!A:A,1,FALSE)</f>
        <v>#N/A</v>
      </c>
      <c r="M34" t="e">
        <f>IF(ISTEXT(Tabell4[[#This Row],[Indexnamn]]),Tabell4[[#This Row],[Indexnamn]],LOOKUP(Tabell4[[#This Row],[Nät]],Tabell5[Nätnamn],#REF!))</f>
        <v>#REF!</v>
      </c>
      <c r="N34" t="e">
        <f>IF(Tabell4[[#This Row],[Finns i listan ]]=Tabell4[[#This Row],[Indexnamn]],"","NEJ")</f>
        <v>#REF!</v>
      </c>
    </row>
    <row r="35" spans="1:14" x14ac:dyDescent="0.25">
      <c r="A35" t="s">
        <v>841</v>
      </c>
      <c r="B35" t="s">
        <v>19</v>
      </c>
      <c r="C35">
        <v>272</v>
      </c>
      <c r="D35" t="s">
        <v>806</v>
      </c>
      <c r="E35" t="s">
        <v>806</v>
      </c>
      <c r="F35" t="s">
        <v>806</v>
      </c>
      <c r="G35">
        <f t="shared" si="1"/>
        <v>272</v>
      </c>
      <c r="H35">
        <f t="shared" si="1"/>
        <v>0</v>
      </c>
      <c r="I35">
        <f t="shared" si="1"/>
        <v>0</v>
      </c>
      <c r="J35">
        <f t="shared" si="1"/>
        <v>0</v>
      </c>
      <c r="K35">
        <f t="shared" si="2"/>
        <v>272</v>
      </c>
      <c r="L35" t="str">
        <f>VLOOKUP(Tabell4[[#This Row],[Nät]],Indexnamn!A:A,1,FALSE)</f>
        <v>Boden</v>
      </c>
      <c r="M35" t="str">
        <f>IF(ISTEXT(Tabell4[[#This Row],[Indexnamn]]),Tabell4[[#This Row],[Indexnamn]],LOOKUP(Tabell4[[#This Row],[Nät]],Tabell5[Nätnamn],#REF!))</f>
        <v>Boden</v>
      </c>
      <c r="N35" t="str">
        <f>IF(Tabell4[[#This Row],[Finns i listan ]]=Tabell4[[#This Row],[Indexnamn]],"","NEJ")</f>
        <v/>
      </c>
    </row>
    <row r="36" spans="1:14" x14ac:dyDescent="0.25">
      <c r="A36" t="s">
        <v>553</v>
      </c>
      <c r="B36" t="s">
        <v>20</v>
      </c>
      <c r="C36">
        <v>16.936</v>
      </c>
      <c r="D36" t="s">
        <v>806</v>
      </c>
      <c r="E36" t="s">
        <v>806</v>
      </c>
      <c r="F36" t="s">
        <v>806</v>
      </c>
      <c r="G36">
        <f t="shared" si="1"/>
        <v>16.936</v>
      </c>
      <c r="H36">
        <f t="shared" si="1"/>
        <v>0</v>
      </c>
      <c r="I36">
        <f t="shared" si="1"/>
        <v>0</v>
      </c>
      <c r="J36">
        <f t="shared" si="1"/>
        <v>0</v>
      </c>
      <c r="K36">
        <f t="shared" si="2"/>
        <v>16.936</v>
      </c>
      <c r="L36" t="str">
        <f>VLOOKUP(Tabell4[[#This Row],[Nät]],Indexnamn!A:A,1,FALSE)</f>
        <v>Arbrå</v>
      </c>
      <c r="M36" t="str">
        <f>IF(ISTEXT(Tabell4[[#This Row],[Indexnamn]]),Tabell4[[#This Row],[Indexnamn]],LOOKUP(Tabell4[[#This Row],[Nät]],Tabell5[Nätnamn],#REF!))</f>
        <v>Arbrå</v>
      </c>
      <c r="N36" t="str">
        <f>IF(Tabell4[[#This Row],[Finns i listan ]]=Tabell4[[#This Row],[Indexnamn]],"","NEJ")</f>
        <v/>
      </c>
    </row>
    <row r="37" spans="1:14" x14ac:dyDescent="0.25">
      <c r="A37" t="s">
        <v>553</v>
      </c>
      <c r="B37" t="s">
        <v>21</v>
      </c>
      <c r="C37">
        <v>125.47199999999999</v>
      </c>
      <c r="D37" t="s">
        <v>806</v>
      </c>
      <c r="E37" t="s">
        <v>806</v>
      </c>
      <c r="F37" t="s">
        <v>806</v>
      </c>
      <c r="G37">
        <f t="shared" si="1"/>
        <v>125.47199999999999</v>
      </c>
      <c r="H37">
        <f t="shared" si="1"/>
        <v>0</v>
      </c>
      <c r="I37">
        <f t="shared" si="1"/>
        <v>0</v>
      </c>
      <c r="J37">
        <f t="shared" si="1"/>
        <v>0</v>
      </c>
      <c r="K37">
        <f t="shared" si="2"/>
        <v>125.47199999999999</v>
      </c>
      <c r="L37" t="str">
        <f>VLOOKUP(Tabell4[[#This Row],[Nät]],Indexnamn!A:A,1,FALSE)</f>
        <v>Bollnäs</v>
      </c>
      <c r="M37" t="str">
        <f>IF(ISTEXT(Tabell4[[#This Row],[Indexnamn]]),Tabell4[[#This Row],[Indexnamn]],LOOKUP(Tabell4[[#This Row],[Nät]],Tabell5[Nätnamn],#REF!))</f>
        <v>Bollnäs</v>
      </c>
      <c r="N37" t="str">
        <f>IF(Tabell4[[#This Row],[Finns i listan ]]=Tabell4[[#This Row],[Indexnamn]],"","NEJ")</f>
        <v/>
      </c>
    </row>
    <row r="38" spans="1:14" x14ac:dyDescent="0.25">
      <c r="A38" t="s">
        <v>553</v>
      </c>
      <c r="B38" t="s">
        <v>22</v>
      </c>
      <c r="C38">
        <v>23.309000000000001</v>
      </c>
      <c r="D38" t="s">
        <v>806</v>
      </c>
      <c r="E38" t="s">
        <v>806</v>
      </c>
      <c r="F38" t="s">
        <v>806</v>
      </c>
      <c r="G38">
        <f t="shared" si="1"/>
        <v>23.309000000000001</v>
      </c>
      <c r="H38">
        <f t="shared" si="1"/>
        <v>0</v>
      </c>
      <c r="I38">
        <f t="shared" si="1"/>
        <v>0</v>
      </c>
      <c r="J38">
        <f t="shared" si="1"/>
        <v>0</v>
      </c>
      <c r="K38">
        <f t="shared" si="2"/>
        <v>23.309000000000001</v>
      </c>
      <c r="L38" t="str">
        <f>VLOOKUP(Tabell4[[#This Row],[Nät]],Indexnamn!A:A,1,FALSE)</f>
        <v>Kilafors</v>
      </c>
      <c r="M38" t="str">
        <f>IF(ISTEXT(Tabell4[[#This Row],[Indexnamn]]),Tabell4[[#This Row],[Indexnamn]],LOOKUP(Tabell4[[#This Row],[Nät]],Tabell5[Nätnamn],#REF!))</f>
        <v>Kilafors</v>
      </c>
      <c r="N38" t="str">
        <f>IF(Tabell4[[#This Row],[Finns i listan ]]=Tabell4[[#This Row],[Indexnamn]],"","NEJ")</f>
        <v/>
      </c>
    </row>
    <row r="39" spans="1:14" x14ac:dyDescent="0.25">
      <c r="A39" t="s">
        <v>574</v>
      </c>
      <c r="B39" t="s">
        <v>23</v>
      </c>
      <c r="C39">
        <v>25.67</v>
      </c>
      <c r="D39" t="s">
        <v>806</v>
      </c>
      <c r="E39" t="s">
        <v>806</v>
      </c>
      <c r="F39" t="s">
        <v>806</v>
      </c>
      <c r="G39">
        <f t="shared" si="1"/>
        <v>25.67</v>
      </c>
      <c r="H39">
        <f t="shared" si="1"/>
        <v>0</v>
      </c>
      <c r="I39">
        <f t="shared" si="1"/>
        <v>0</v>
      </c>
      <c r="J39">
        <f t="shared" si="1"/>
        <v>0</v>
      </c>
      <c r="K39">
        <f t="shared" si="2"/>
        <v>25.67</v>
      </c>
      <c r="L39" t="str">
        <f>VLOOKUP(Tabell4[[#This Row],[Nät]],Indexnamn!A:A,1,FALSE)</f>
        <v>Borgholm</v>
      </c>
      <c r="M39" t="str">
        <f>IF(ISTEXT(Tabell4[[#This Row],[Indexnamn]]),Tabell4[[#This Row],[Indexnamn]],LOOKUP(Tabell4[[#This Row],[Nät]],Tabell5[Nätnamn],#REF!))</f>
        <v>Borgholm</v>
      </c>
      <c r="N39" t="str">
        <f>IF(Tabell4[[#This Row],[Finns i listan ]]=Tabell4[[#This Row],[Indexnamn]],"","NEJ")</f>
        <v/>
      </c>
    </row>
    <row r="40" spans="1:14" x14ac:dyDescent="0.25">
      <c r="A40" t="s">
        <v>574</v>
      </c>
      <c r="B40" t="s">
        <v>24</v>
      </c>
      <c r="C40">
        <v>1.61</v>
      </c>
      <c r="D40" t="s">
        <v>806</v>
      </c>
      <c r="E40" t="s">
        <v>806</v>
      </c>
      <c r="F40" t="s">
        <v>806</v>
      </c>
      <c r="G40">
        <f t="shared" si="1"/>
        <v>1.61</v>
      </c>
      <c r="H40">
        <f t="shared" si="1"/>
        <v>0</v>
      </c>
      <c r="I40">
        <f t="shared" si="1"/>
        <v>0</v>
      </c>
      <c r="J40">
        <f t="shared" si="1"/>
        <v>0</v>
      </c>
      <c r="K40">
        <f t="shared" si="2"/>
        <v>1.61</v>
      </c>
      <c r="L40" t="str">
        <f>VLOOKUP(Tabell4[[#This Row],[Nät]],Indexnamn!A:A,1,FALSE)</f>
        <v>Löttorp</v>
      </c>
      <c r="M40" t="str">
        <f>IF(ISTEXT(Tabell4[[#This Row],[Indexnamn]]),Tabell4[[#This Row],[Indexnamn]],LOOKUP(Tabell4[[#This Row],[Nät]],Tabell5[Nätnamn],#REF!))</f>
        <v>Löttorp</v>
      </c>
      <c r="N40" t="str">
        <f>IF(Tabell4[[#This Row],[Finns i listan ]]=Tabell4[[#This Row],[Indexnamn]],"","NEJ")</f>
        <v/>
      </c>
    </row>
    <row r="41" spans="1:14" x14ac:dyDescent="0.25">
      <c r="A41" t="s">
        <v>575</v>
      </c>
      <c r="B41" t="s">
        <v>25</v>
      </c>
      <c r="C41">
        <v>429.3</v>
      </c>
      <c r="D41">
        <v>54.85</v>
      </c>
      <c r="E41" t="s">
        <v>806</v>
      </c>
      <c r="F41" t="s">
        <v>806</v>
      </c>
      <c r="G41">
        <f t="shared" si="1"/>
        <v>429.3</v>
      </c>
      <c r="H41">
        <f t="shared" si="1"/>
        <v>54.85</v>
      </c>
      <c r="I41">
        <f t="shared" si="1"/>
        <v>0</v>
      </c>
      <c r="J41">
        <f t="shared" si="1"/>
        <v>0</v>
      </c>
      <c r="K41">
        <f t="shared" si="2"/>
        <v>374.45</v>
      </c>
      <c r="L41" t="str">
        <f>VLOOKUP(Tabell4[[#This Row],[Nät]],Indexnamn!A:A,1,FALSE)</f>
        <v>Borlänge</v>
      </c>
      <c r="M41" t="str">
        <f>IF(ISTEXT(Tabell4[[#This Row],[Indexnamn]]),Tabell4[[#This Row],[Indexnamn]],LOOKUP(Tabell4[[#This Row],[Nät]],Tabell5[Nätnamn],#REF!))</f>
        <v>Borlänge</v>
      </c>
      <c r="N41" t="str">
        <f>IF(Tabell4[[#This Row],[Finns i listan ]]=Tabell4[[#This Row],[Indexnamn]],"","NEJ")</f>
        <v/>
      </c>
    </row>
    <row r="42" spans="1:14" x14ac:dyDescent="0.25">
      <c r="A42" t="s">
        <v>575</v>
      </c>
      <c r="B42" t="s">
        <v>26</v>
      </c>
      <c r="C42">
        <v>1.831</v>
      </c>
      <c r="D42" t="s">
        <v>806</v>
      </c>
      <c r="E42" t="s">
        <v>806</v>
      </c>
      <c r="F42" t="s">
        <v>806</v>
      </c>
      <c r="G42">
        <f t="shared" si="1"/>
        <v>1.831</v>
      </c>
      <c r="H42">
        <f t="shared" si="1"/>
        <v>0</v>
      </c>
      <c r="I42">
        <f t="shared" si="1"/>
        <v>0</v>
      </c>
      <c r="J42">
        <f t="shared" si="1"/>
        <v>0</v>
      </c>
      <c r="K42">
        <f t="shared" si="2"/>
        <v>1.831</v>
      </c>
      <c r="L42" t="str">
        <f>VLOOKUP(Tabell4[[#This Row],[Nät]],Indexnamn!A:A,1,FALSE)</f>
        <v>Ornäs</v>
      </c>
      <c r="M42" t="str">
        <f>IF(ISTEXT(Tabell4[[#This Row],[Indexnamn]]),Tabell4[[#This Row],[Indexnamn]],LOOKUP(Tabell4[[#This Row],[Nät]],Tabell5[Nätnamn],#REF!))</f>
        <v>Ornäs</v>
      </c>
      <c r="N42" t="str">
        <f>IF(Tabell4[[#This Row],[Finns i listan ]]=Tabell4[[#This Row],[Indexnamn]],"","NEJ")</f>
        <v/>
      </c>
    </row>
    <row r="43" spans="1:14" x14ac:dyDescent="0.25">
      <c r="A43" t="s">
        <v>575</v>
      </c>
      <c r="B43" t="s">
        <v>27</v>
      </c>
      <c r="C43">
        <v>3.1</v>
      </c>
      <c r="D43" t="s">
        <v>806</v>
      </c>
      <c r="E43" t="s">
        <v>806</v>
      </c>
      <c r="F43" t="s">
        <v>806</v>
      </c>
      <c r="G43">
        <f t="shared" si="1"/>
        <v>3.1</v>
      </c>
      <c r="H43">
        <f t="shared" si="1"/>
        <v>0</v>
      </c>
      <c r="I43">
        <f t="shared" si="1"/>
        <v>0</v>
      </c>
      <c r="J43">
        <f t="shared" si="1"/>
        <v>0</v>
      </c>
      <c r="K43">
        <f t="shared" si="2"/>
        <v>3.1</v>
      </c>
      <c r="L43" t="str">
        <f>VLOOKUP(Tabell4[[#This Row],[Nät]],Indexnamn!A:A,1,FALSE)</f>
        <v>Torsång</v>
      </c>
      <c r="M43" t="str">
        <f>IF(ISTEXT(Tabell4[[#This Row],[Indexnamn]]),Tabell4[[#This Row],[Indexnamn]],LOOKUP(Tabell4[[#This Row],[Nät]],Tabell5[Nätnamn],#REF!))</f>
        <v>Torsång</v>
      </c>
      <c r="N43" t="str">
        <f>IF(Tabell4[[#This Row],[Finns i listan ]]=Tabell4[[#This Row],[Indexnamn]],"","NEJ")</f>
        <v/>
      </c>
    </row>
    <row r="44" spans="1:14" x14ac:dyDescent="0.25">
      <c r="A44" t="s">
        <v>576</v>
      </c>
      <c r="B44" t="s">
        <v>29</v>
      </c>
      <c r="C44">
        <v>593.62199999999996</v>
      </c>
      <c r="D44" t="s">
        <v>806</v>
      </c>
      <c r="E44" t="s">
        <v>806</v>
      </c>
      <c r="F44" t="s">
        <v>806</v>
      </c>
      <c r="G44">
        <f t="shared" si="1"/>
        <v>593.62199999999996</v>
      </c>
      <c r="H44">
        <f t="shared" si="1"/>
        <v>0</v>
      </c>
      <c r="I44">
        <f t="shared" si="1"/>
        <v>0</v>
      </c>
      <c r="J44">
        <f t="shared" si="1"/>
        <v>0</v>
      </c>
      <c r="K44">
        <f t="shared" si="2"/>
        <v>593.62199999999996</v>
      </c>
      <c r="L44" t="str">
        <f>VLOOKUP(Tabell4[[#This Row],[Nät]],Indexnamn!A:A,1,FALSE)</f>
        <v>Borås</v>
      </c>
      <c r="M44" t="str">
        <f>IF(ISTEXT(Tabell4[[#This Row],[Indexnamn]]),Tabell4[[#This Row],[Indexnamn]],LOOKUP(Tabell4[[#This Row],[Nät]],Tabell5[Nätnamn],#REF!))</f>
        <v>Borås</v>
      </c>
      <c r="N44" t="str">
        <f>IF(Tabell4[[#This Row],[Finns i listan ]]=Tabell4[[#This Row],[Indexnamn]],"","NEJ")</f>
        <v/>
      </c>
    </row>
    <row r="45" spans="1:14" x14ac:dyDescent="0.25">
      <c r="A45" t="s">
        <v>576</v>
      </c>
      <c r="B45" t="s">
        <v>28</v>
      </c>
      <c r="C45">
        <v>18.178000000000001</v>
      </c>
      <c r="D45" t="s">
        <v>806</v>
      </c>
      <c r="E45" t="s">
        <v>806</v>
      </c>
      <c r="F45" t="s">
        <v>806</v>
      </c>
      <c r="G45">
        <f t="shared" si="1"/>
        <v>18.178000000000001</v>
      </c>
      <c r="H45">
        <f t="shared" si="1"/>
        <v>0</v>
      </c>
      <c r="I45">
        <f t="shared" si="1"/>
        <v>0</v>
      </c>
      <c r="J45">
        <f t="shared" si="1"/>
        <v>0</v>
      </c>
      <c r="K45">
        <f t="shared" si="2"/>
        <v>18.178000000000001</v>
      </c>
      <c r="L45" t="str">
        <f>VLOOKUP(Tabell4[[#This Row],[Nät]],Indexnamn!A:A,1,FALSE)</f>
        <v>Fristad</v>
      </c>
      <c r="M45" t="str">
        <f>IF(ISTEXT(Tabell4[[#This Row],[Indexnamn]]),Tabell4[[#This Row],[Indexnamn]],LOOKUP(Tabell4[[#This Row],[Nät]],Tabell5[Nätnamn],#REF!))</f>
        <v>Fristad</v>
      </c>
      <c r="N45" t="str">
        <f>IF(Tabell4[[#This Row],[Finns i listan ]]=Tabell4[[#This Row],[Indexnamn]],"","NEJ")</f>
        <v/>
      </c>
    </row>
    <row r="46" spans="1:14" x14ac:dyDescent="0.25">
      <c r="A46" t="s">
        <v>842</v>
      </c>
      <c r="B46" t="s">
        <v>843</v>
      </c>
      <c r="C46" t="s">
        <v>805</v>
      </c>
      <c r="D46" t="s">
        <v>805</v>
      </c>
      <c r="E46" t="s">
        <v>805</v>
      </c>
      <c r="F46" t="s">
        <v>805</v>
      </c>
      <c r="G46">
        <f t="shared" si="1"/>
        <v>0</v>
      </c>
      <c r="H46">
        <f t="shared" si="1"/>
        <v>0</v>
      </c>
      <c r="I46">
        <f t="shared" si="1"/>
        <v>0</v>
      </c>
      <c r="J46">
        <f t="shared" si="1"/>
        <v>0</v>
      </c>
      <c r="K46">
        <f t="shared" si="2"/>
        <v>0</v>
      </c>
      <c r="L46" t="e">
        <f>VLOOKUP(Tabell4[[#This Row],[Nät]],Indexnamn!A:A,1,FALSE)</f>
        <v>#N/A</v>
      </c>
      <c r="M46" t="e">
        <f>IF(ISTEXT(Tabell4[[#This Row],[Indexnamn]]),Tabell4[[#This Row],[Indexnamn]],LOOKUP(Tabell4[[#This Row],[Nät]],Tabell5[Nätnamn],#REF!))</f>
        <v>#REF!</v>
      </c>
      <c r="N46" t="e">
        <f>IF(Tabell4[[#This Row],[Finns i listan ]]=Tabell4[[#This Row],[Indexnamn]],"","NEJ")</f>
        <v>#REF!</v>
      </c>
    </row>
    <row r="47" spans="1:14" x14ac:dyDescent="0.25">
      <c r="A47" t="s">
        <v>578</v>
      </c>
      <c r="B47" t="s">
        <v>30</v>
      </c>
      <c r="C47" t="s">
        <v>805</v>
      </c>
      <c r="D47" t="s">
        <v>806</v>
      </c>
      <c r="E47" t="s">
        <v>806</v>
      </c>
      <c r="F47" t="s">
        <v>806</v>
      </c>
      <c r="G47">
        <f t="shared" si="1"/>
        <v>0</v>
      </c>
      <c r="H47">
        <f t="shared" si="1"/>
        <v>0</v>
      </c>
      <c r="I47">
        <f t="shared" si="1"/>
        <v>0</v>
      </c>
      <c r="J47">
        <f t="shared" si="1"/>
        <v>0</v>
      </c>
      <c r="K47">
        <f t="shared" si="2"/>
        <v>0</v>
      </c>
      <c r="L47" t="str">
        <f>VLOOKUP(Tabell4[[#This Row],[Nät]],Indexnamn!A:A,1,FALSE)</f>
        <v>Bromölla</v>
      </c>
      <c r="M47" t="str">
        <f>IF(ISTEXT(Tabell4[[#This Row],[Indexnamn]]),Tabell4[[#This Row],[Indexnamn]],LOOKUP(Tabell4[[#This Row],[Nät]],Tabell5[Nätnamn],#REF!))</f>
        <v>Bromölla</v>
      </c>
      <c r="N47" t="str">
        <f>IF(Tabell4[[#This Row],[Finns i listan ]]=Tabell4[[#This Row],[Indexnamn]],"","NEJ")</f>
        <v/>
      </c>
    </row>
    <row r="48" spans="1:14" x14ac:dyDescent="0.25">
      <c r="A48" t="s">
        <v>844</v>
      </c>
      <c r="B48" t="s">
        <v>845</v>
      </c>
      <c r="C48">
        <v>11.116</v>
      </c>
      <c r="D48" t="s">
        <v>806</v>
      </c>
      <c r="E48" t="s">
        <v>806</v>
      </c>
      <c r="F48" t="s">
        <v>806</v>
      </c>
      <c r="G48">
        <f t="shared" si="1"/>
        <v>11.116</v>
      </c>
      <c r="H48">
        <f t="shared" si="1"/>
        <v>0</v>
      </c>
      <c r="I48">
        <f t="shared" si="1"/>
        <v>0</v>
      </c>
      <c r="J48">
        <f t="shared" si="1"/>
        <v>0</v>
      </c>
      <c r="K48">
        <f t="shared" si="2"/>
        <v>11.116</v>
      </c>
      <c r="L48" t="str">
        <f>VLOOKUP(Tabell4[[#This Row],[Nät]],Indexnamn!A:A,1,FALSE)</f>
        <v>Berg</v>
      </c>
      <c r="M48" t="str">
        <f>IF(ISTEXT(Tabell4[[#This Row],[Indexnamn]]),Tabell4[[#This Row],[Indexnamn]],LOOKUP(Tabell4[[#This Row],[Nät]],Tabell5[Nätnamn],#REF!))</f>
        <v>Berg</v>
      </c>
      <c r="N48" t="str">
        <f>IF(Tabell4[[#This Row],[Finns i listan ]]=Tabell4[[#This Row],[Indexnamn]],"","NEJ")</f>
        <v/>
      </c>
    </row>
    <row r="49" spans="1:14" x14ac:dyDescent="0.25">
      <c r="A49" t="s">
        <v>600</v>
      </c>
      <c r="B49" t="s">
        <v>33</v>
      </c>
      <c r="C49">
        <v>4.6260000000000003</v>
      </c>
      <c r="D49" t="s">
        <v>806</v>
      </c>
      <c r="E49" t="s">
        <v>806</v>
      </c>
      <c r="F49" t="s">
        <v>806</v>
      </c>
      <c r="G49">
        <f t="shared" si="1"/>
        <v>4.6260000000000003</v>
      </c>
      <c r="H49">
        <f t="shared" si="1"/>
        <v>0</v>
      </c>
      <c r="I49">
        <f t="shared" si="1"/>
        <v>0</v>
      </c>
      <c r="J49">
        <f t="shared" si="1"/>
        <v>0</v>
      </c>
      <c r="K49">
        <f t="shared" si="2"/>
        <v>4.6260000000000003</v>
      </c>
      <c r="L49" t="str">
        <f>VLOOKUP(Tabell4[[#This Row],[Nät]],Indexnamn!A:A,1,FALSE)</f>
        <v>Fjälkinge</v>
      </c>
      <c r="M49" t="str">
        <f>IF(ISTEXT(Tabell4[[#This Row],[Indexnamn]]),Tabell4[[#This Row],[Indexnamn]],LOOKUP(Tabell4[[#This Row],[Nät]],Tabell5[Nätnamn],#REF!))</f>
        <v>Fjälkinge</v>
      </c>
      <c r="N49" t="str">
        <f>IF(Tabell4[[#This Row],[Finns i listan ]]=Tabell4[[#This Row],[Indexnamn]],"","NEJ")</f>
        <v/>
      </c>
    </row>
    <row r="50" spans="1:14" x14ac:dyDescent="0.25">
      <c r="A50" t="s">
        <v>600</v>
      </c>
      <c r="B50" t="s">
        <v>34</v>
      </c>
      <c r="C50">
        <v>356.59899999999999</v>
      </c>
      <c r="D50" t="s">
        <v>806</v>
      </c>
      <c r="E50" t="s">
        <v>806</v>
      </c>
      <c r="F50" t="s">
        <v>806</v>
      </c>
      <c r="G50">
        <f t="shared" si="1"/>
        <v>356.59899999999999</v>
      </c>
      <c r="H50">
        <f t="shared" si="1"/>
        <v>0</v>
      </c>
      <c r="I50">
        <f t="shared" si="1"/>
        <v>0</v>
      </c>
      <c r="J50">
        <f t="shared" si="1"/>
        <v>0</v>
      </c>
      <c r="K50">
        <f t="shared" si="2"/>
        <v>356.59899999999999</v>
      </c>
      <c r="L50" t="str">
        <f>VLOOKUP(Tabell4[[#This Row],[Nät]],Indexnamn!A:A,1,FALSE)</f>
        <v>Kristianstad</v>
      </c>
      <c r="M50" t="str">
        <f>IF(ISTEXT(Tabell4[[#This Row],[Indexnamn]]),Tabell4[[#This Row],[Indexnamn]],LOOKUP(Tabell4[[#This Row],[Nät]],Tabell5[Nätnamn],#REF!))</f>
        <v>Kristianstad</v>
      </c>
      <c r="N50" t="str">
        <f>IF(Tabell4[[#This Row],[Finns i listan ]]=Tabell4[[#This Row],[Indexnamn]],"","NEJ")</f>
        <v/>
      </c>
    </row>
    <row r="51" spans="1:14" x14ac:dyDescent="0.25">
      <c r="A51" t="s">
        <v>636</v>
      </c>
      <c r="B51" t="s">
        <v>37</v>
      </c>
      <c r="C51">
        <v>8.9190000000000005</v>
      </c>
      <c r="D51" t="s">
        <v>806</v>
      </c>
      <c r="E51" t="s">
        <v>806</v>
      </c>
      <c r="F51" t="s">
        <v>806</v>
      </c>
      <c r="G51">
        <f t="shared" si="1"/>
        <v>8.9190000000000005</v>
      </c>
      <c r="H51">
        <f t="shared" si="1"/>
        <v>0</v>
      </c>
      <c r="I51">
        <f t="shared" si="1"/>
        <v>0</v>
      </c>
      <c r="J51">
        <f t="shared" si="1"/>
        <v>0</v>
      </c>
      <c r="K51">
        <f t="shared" si="2"/>
        <v>8.9190000000000005</v>
      </c>
      <c r="L51" t="str">
        <f>VLOOKUP(Tabell4[[#This Row],[Nät]],Indexnamn!A:A,1,FALSE)</f>
        <v>Insjön</v>
      </c>
      <c r="M51" t="str">
        <f>IF(ISTEXT(Tabell4[[#This Row],[Indexnamn]]),Tabell4[[#This Row],[Indexnamn]],LOOKUP(Tabell4[[#This Row],[Nät]],Tabell5[Nätnamn],#REF!))</f>
        <v>Insjön</v>
      </c>
      <c r="N51" t="str">
        <f>IF(Tabell4[[#This Row],[Finns i listan ]]=Tabell4[[#This Row],[Indexnamn]],"","NEJ")</f>
        <v/>
      </c>
    </row>
    <row r="52" spans="1:14" x14ac:dyDescent="0.25">
      <c r="A52" t="s">
        <v>636</v>
      </c>
      <c r="B52" t="s">
        <v>38</v>
      </c>
      <c r="C52">
        <v>32.957000000000001</v>
      </c>
      <c r="D52" t="s">
        <v>806</v>
      </c>
      <c r="E52" t="s">
        <v>806</v>
      </c>
      <c r="F52" t="s">
        <v>806</v>
      </c>
      <c r="G52">
        <f t="shared" si="1"/>
        <v>32.957000000000001</v>
      </c>
      <c r="H52">
        <f t="shared" si="1"/>
        <v>0</v>
      </c>
      <c r="I52">
        <f t="shared" si="1"/>
        <v>0</v>
      </c>
      <c r="J52">
        <f t="shared" si="1"/>
        <v>0</v>
      </c>
      <c r="K52">
        <f t="shared" si="2"/>
        <v>32.957000000000001</v>
      </c>
      <c r="L52" t="str">
        <f>VLOOKUP(Tabell4[[#This Row],[Nät]],Indexnamn!A:A,1,FALSE)</f>
        <v>Leksand</v>
      </c>
      <c r="M52" t="str">
        <f>IF(ISTEXT(Tabell4[[#This Row],[Indexnamn]]),Tabell4[[#This Row],[Indexnamn]],LOOKUP(Tabell4[[#This Row],[Nät]],Tabell5[Nätnamn],#REF!))</f>
        <v>Leksand</v>
      </c>
      <c r="N52" t="str">
        <f>IF(Tabell4[[#This Row],[Finns i listan ]]=Tabell4[[#This Row],[Indexnamn]],"","NEJ")</f>
        <v/>
      </c>
    </row>
    <row r="53" spans="1:14" x14ac:dyDescent="0.25">
      <c r="A53" t="s">
        <v>630</v>
      </c>
      <c r="B53" t="s">
        <v>631</v>
      </c>
      <c r="C53">
        <v>33.06</v>
      </c>
      <c r="D53" t="s">
        <v>806</v>
      </c>
      <c r="E53" t="s">
        <v>806</v>
      </c>
      <c r="F53" t="s">
        <v>806</v>
      </c>
      <c r="G53">
        <f t="shared" si="1"/>
        <v>33.06</v>
      </c>
      <c r="H53">
        <f t="shared" si="1"/>
        <v>0</v>
      </c>
      <c r="I53">
        <f t="shared" si="1"/>
        <v>0</v>
      </c>
      <c r="J53">
        <f t="shared" si="1"/>
        <v>0</v>
      </c>
      <c r="K53">
        <f t="shared" si="2"/>
        <v>33.06</v>
      </c>
      <c r="L53" t="str">
        <f>VLOOKUP(Tabell4[[#This Row],[Nät]],Indexnamn!A:A,1,FALSE)</f>
        <v>HVC Degerfors</v>
      </c>
      <c r="M53" t="str">
        <f>IF(ISTEXT(Tabell4[[#This Row],[Indexnamn]]),Tabell4[[#This Row],[Indexnamn]],LOOKUP(Tabell4[[#This Row],[Nät]],Tabell5[Nätnamn],#REF!))</f>
        <v>HVC Degerfors</v>
      </c>
      <c r="N53" t="str">
        <f>IF(Tabell4[[#This Row],[Finns i listan ]]=Tabell4[[#This Row],[Indexnamn]],"","NEJ")</f>
        <v/>
      </c>
    </row>
    <row r="54" spans="1:14" x14ac:dyDescent="0.25">
      <c r="A54" t="s">
        <v>630</v>
      </c>
      <c r="B54" t="s">
        <v>656</v>
      </c>
      <c r="C54">
        <v>2.4900000000000002</v>
      </c>
      <c r="D54" t="s">
        <v>806</v>
      </c>
      <c r="E54" t="s">
        <v>806</v>
      </c>
      <c r="F54" t="s">
        <v>806</v>
      </c>
      <c r="G54">
        <f t="shared" si="1"/>
        <v>2.4900000000000002</v>
      </c>
      <c r="H54">
        <f t="shared" si="1"/>
        <v>0</v>
      </c>
      <c r="I54">
        <f t="shared" si="1"/>
        <v>0</v>
      </c>
      <c r="J54">
        <f t="shared" si="1"/>
        <v>0</v>
      </c>
      <c r="K54">
        <f t="shared" si="2"/>
        <v>2.4900000000000002</v>
      </c>
      <c r="L54" t="e">
        <f>VLOOKUP(Tabell4[[#This Row],[Nät]],Indexnamn!A:A,1,FALSE)</f>
        <v>#N/A</v>
      </c>
      <c r="M54" t="e">
        <f>IF(ISTEXT(Tabell4[[#This Row],[Indexnamn]]),Tabell4[[#This Row],[Indexnamn]],LOOKUP(Tabell4[[#This Row],[Nät]],Tabell5[Nätnamn],#REF!))</f>
        <v>#REF!</v>
      </c>
      <c r="N54" t="e">
        <f>IF(Tabell4[[#This Row],[Finns i listan ]]=Tabell4[[#This Row],[Indexnamn]],"","NEJ")</f>
        <v>#REF!</v>
      </c>
    </row>
    <row r="55" spans="1:14" x14ac:dyDescent="0.25">
      <c r="A55" t="s">
        <v>630</v>
      </c>
      <c r="B55" t="s">
        <v>39</v>
      </c>
      <c r="C55">
        <v>1.45</v>
      </c>
      <c r="D55" t="s">
        <v>806</v>
      </c>
      <c r="E55" t="s">
        <v>806</v>
      </c>
      <c r="F55" t="s">
        <v>806</v>
      </c>
      <c r="G55">
        <f t="shared" si="1"/>
        <v>1.45</v>
      </c>
      <c r="H55">
        <f t="shared" si="1"/>
        <v>0</v>
      </c>
      <c r="I55">
        <f t="shared" si="1"/>
        <v>0</v>
      </c>
      <c r="J55">
        <f t="shared" si="1"/>
        <v>0</v>
      </c>
      <c r="K55">
        <f t="shared" si="2"/>
        <v>1.45</v>
      </c>
      <c r="L55" t="str">
        <f>VLOOKUP(Tabell4[[#This Row],[Nät]],Indexnamn!A:A,1,FALSE)</f>
        <v>Svartå</v>
      </c>
      <c r="M55" t="str">
        <f>IF(ISTEXT(Tabell4[[#This Row],[Indexnamn]]),Tabell4[[#This Row],[Indexnamn]],LOOKUP(Tabell4[[#This Row],[Nät]],Tabell5[Nätnamn],#REF!))</f>
        <v>Svartå</v>
      </c>
      <c r="N55" t="str">
        <f>IF(Tabell4[[#This Row],[Finns i listan ]]=Tabell4[[#This Row],[Indexnamn]],"","NEJ")</f>
        <v/>
      </c>
    </row>
    <row r="56" spans="1:14" x14ac:dyDescent="0.25">
      <c r="A56" t="s">
        <v>630</v>
      </c>
      <c r="B56" t="s">
        <v>40</v>
      </c>
      <c r="C56">
        <v>0.58799999999999997</v>
      </c>
      <c r="D56" t="s">
        <v>806</v>
      </c>
      <c r="E56" t="s">
        <v>806</v>
      </c>
      <c r="F56" t="s">
        <v>806</v>
      </c>
      <c r="G56">
        <f t="shared" si="1"/>
        <v>0.58799999999999997</v>
      </c>
      <c r="H56">
        <f t="shared" si="1"/>
        <v>0</v>
      </c>
      <c r="I56">
        <f t="shared" si="1"/>
        <v>0</v>
      </c>
      <c r="J56">
        <f t="shared" si="1"/>
        <v>0</v>
      </c>
      <c r="K56">
        <f t="shared" si="2"/>
        <v>0.58799999999999997</v>
      </c>
      <c r="L56" t="str">
        <f>VLOOKUP(Tabell4[[#This Row],[Nät]],Indexnamn!A:A,1,FALSE)</f>
        <v>Åtorp</v>
      </c>
      <c r="M56" t="str">
        <f>IF(ISTEXT(Tabell4[[#This Row],[Indexnamn]]),Tabell4[[#This Row],[Indexnamn]],LOOKUP(Tabell4[[#This Row],[Nät]],Tabell5[Nätnamn],#REF!))</f>
        <v>Åtorp</v>
      </c>
      <c r="N56" t="str">
        <f>IF(Tabell4[[#This Row],[Finns i listan ]]=Tabell4[[#This Row],[Indexnamn]],"","NEJ")</f>
        <v/>
      </c>
    </row>
    <row r="57" spans="1:14" x14ac:dyDescent="0.25">
      <c r="A57" t="s">
        <v>561</v>
      </c>
      <c r="B57" t="s">
        <v>85</v>
      </c>
      <c r="C57">
        <v>7.4710000000000001</v>
      </c>
      <c r="D57" t="s">
        <v>805</v>
      </c>
      <c r="E57" t="s">
        <v>805</v>
      </c>
      <c r="F57" t="s">
        <v>805</v>
      </c>
      <c r="G57">
        <f t="shared" si="1"/>
        <v>7.4710000000000001</v>
      </c>
      <c r="H57">
        <f t="shared" si="1"/>
        <v>0</v>
      </c>
      <c r="I57">
        <f t="shared" si="1"/>
        <v>0</v>
      </c>
      <c r="J57">
        <f t="shared" si="1"/>
        <v>0</v>
      </c>
      <c r="K57">
        <f t="shared" si="2"/>
        <v>7.4710000000000001</v>
      </c>
      <c r="L57" t="str">
        <f>VLOOKUP(Tabell4[[#This Row],[Nät]],Indexnamn!A:A,1,FALSE)</f>
        <v>Bara</v>
      </c>
      <c r="M57" t="str">
        <f>IF(ISTEXT(Tabell4[[#This Row],[Indexnamn]]),Tabell4[[#This Row],[Indexnamn]],LOOKUP(Tabell4[[#This Row],[Nät]],Tabell5[Nätnamn],#REF!))</f>
        <v>Bara</v>
      </c>
      <c r="N57" t="str">
        <f>IF(Tabell4[[#This Row],[Finns i listan ]]=Tabell4[[#This Row],[Indexnamn]],"","NEJ")</f>
        <v/>
      </c>
    </row>
    <row r="58" spans="1:14" x14ac:dyDescent="0.25">
      <c r="A58" t="s">
        <v>561</v>
      </c>
      <c r="B58" t="s">
        <v>41</v>
      </c>
      <c r="C58">
        <v>24.338000000000001</v>
      </c>
      <c r="D58" t="s">
        <v>805</v>
      </c>
      <c r="E58" t="s">
        <v>805</v>
      </c>
      <c r="F58" t="s">
        <v>805</v>
      </c>
      <c r="G58">
        <f t="shared" si="1"/>
        <v>24.338000000000001</v>
      </c>
      <c r="H58">
        <f t="shared" si="1"/>
        <v>0</v>
      </c>
      <c r="I58">
        <f t="shared" si="1"/>
        <v>0</v>
      </c>
      <c r="J58">
        <f t="shared" si="1"/>
        <v>0</v>
      </c>
      <c r="K58">
        <f t="shared" si="2"/>
        <v>24.338000000000001</v>
      </c>
      <c r="L58" t="str">
        <f>VLOOKUP(Tabell4[[#This Row],[Nät]],Indexnamn!A:A,1,FALSE)</f>
        <v>Boxholm</v>
      </c>
      <c r="M58" t="str">
        <f>IF(ISTEXT(Tabell4[[#This Row],[Indexnamn]]),Tabell4[[#This Row],[Indexnamn]],LOOKUP(Tabell4[[#This Row],[Nät]],Tabell5[Nätnamn],#REF!))</f>
        <v>Boxholm</v>
      </c>
      <c r="N58" t="str">
        <f>IF(Tabell4[[#This Row],[Finns i listan ]]=Tabell4[[#This Row],[Indexnamn]],"","NEJ")</f>
        <v/>
      </c>
    </row>
    <row r="59" spans="1:14" x14ac:dyDescent="0.25">
      <c r="A59" t="s">
        <v>561</v>
      </c>
      <c r="B59" t="s">
        <v>61</v>
      </c>
      <c r="C59">
        <v>29</v>
      </c>
      <c r="D59" t="s">
        <v>806</v>
      </c>
      <c r="E59" t="s">
        <v>806</v>
      </c>
      <c r="F59" t="s">
        <v>806</v>
      </c>
      <c r="G59">
        <f t="shared" si="1"/>
        <v>29</v>
      </c>
      <c r="H59">
        <f t="shared" si="1"/>
        <v>0</v>
      </c>
      <c r="I59">
        <f t="shared" si="1"/>
        <v>0</v>
      </c>
      <c r="J59">
        <f t="shared" si="1"/>
        <v>0</v>
      </c>
      <c r="K59">
        <f t="shared" si="2"/>
        <v>29</v>
      </c>
      <c r="L59" t="str">
        <f>VLOOKUP(Tabell4[[#This Row],[Nät]],Indexnamn!A:A,1,FALSE)</f>
        <v>Bro</v>
      </c>
      <c r="M59" t="str">
        <f>IF(ISTEXT(Tabell4[[#This Row],[Indexnamn]]),Tabell4[[#This Row],[Indexnamn]],LOOKUP(Tabell4[[#This Row],[Nät]],Tabell5[Nätnamn],#REF!))</f>
        <v>Bro</v>
      </c>
      <c r="N59" t="str">
        <f>IF(Tabell4[[#This Row],[Finns i listan ]]=Tabell4[[#This Row],[Indexnamn]],"","NEJ")</f>
        <v/>
      </c>
    </row>
    <row r="60" spans="1:14" x14ac:dyDescent="0.25">
      <c r="A60" t="s">
        <v>561</v>
      </c>
      <c r="B60" t="s">
        <v>62</v>
      </c>
      <c r="C60">
        <v>32.799999999999997</v>
      </c>
      <c r="D60" t="s">
        <v>806</v>
      </c>
      <c r="E60" t="s">
        <v>806</v>
      </c>
      <c r="F60" t="s">
        <v>806</v>
      </c>
      <c r="G60">
        <f t="shared" si="1"/>
        <v>32.799999999999997</v>
      </c>
      <c r="H60">
        <f t="shared" si="1"/>
        <v>0</v>
      </c>
      <c r="I60">
        <f t="shared" si="1"/>
        <v>0</v>
      </c>
      <c r="J60">
        <f t="shared" si="1"/>
        <v>0</v>
      </c>
      <c r="K60">
        <f t="shared" si="2"/>
        <v>32.799999999999997</v>
      </c>
      <c r="L60" t="e">
        <f>VLOOKUP(Tabell4[[#This Row],[Nät]],Indexnamn!A:A,1,FALSE)</f>
        <v>#N/A</v>
      </c>
      <c r="M60" t="e">
        <f>IF(ISTEXT(Tabell4[[#This Row],[Indexnamn]]),Tabell4[[#This Row],[Indexnamn]],LOOKUP(Tabell4[[#This Row],[Nät]],Tabell5[Nätnamn],#REF!))</f>
        <v>#REF!</v>
      </c>
      <c r="N60" t="e">
        <f>IF(Tabell4[[#This Row],[Finns i listan ]]=Tabell4[[#This Row],[Indexnamn]],"","NEJ")</f>
        <v>#REF!</v>
      </c>
    </row>
    <row r="61" spans="1:14" x14ac:dyDescent="0.25">
      <c r="A61" t="s">
        <v>561</v>
      </c>
      <c r="B61" t="s">
        <v>583</v>
      </c>
      <c r="C61">
        <v>14.3</v>
      </c>
      <c r="D61" t="s">
        <v>806</v>
      </c>
      <c r="E61" t="s">
        <v>806</v>
      </c>
      <c r="F61" t="s">
        <v>806</v>
      </c>
      <c r="G61">
        <f t="shared" si="1"/>
        <v>14.3</v>
      </c>
      <c r="H61">
        <f t="shared" si="1"/>
        <v>0</v>
      </c>
      <c r="I61">
        <f t="shared" si="1"/>
        <v>0</v>
      </c>
      <c r="J61">
        <f t="shared" si="1"/>
        <v>0</v>
      </c>
      <c r="K61">
        <f t="shared" si="2"/>
        <v>14.3</v>
      </c>
      <c r="L61" t="e">
        <f>VLOOKUP(Tabell4[[#This Row],[Nät]],Indexnamn!A:A,1,FALSE)</f>
        <v>#N/A</v>
      </c>
      <c r="M61" t="e">
        <f>IF(ISTEXT(Tabell4[[#This Row],[Indexnamn]]),Tabell4[[#This Row],[Indexnamn]],LOOKUP(Tabell4[[#This Row],[Nät]],Tabell5[Nätnamn],#REF!))</f>
        <v>#REF!</v>
      </c>
      <c r="N61" t="e">
        <f>IF(Tabell4[[#This Row],[Finns i listan ]]=Tabell4[[#This Row],[Indexnamn]],"","NEJ")</f>
        <v>#REF!</v>
      </c>
    </row>
    <row r="62" spans="1:14" x14ac:dyDescent="0.25">
      <c r="A62" t="s">
        <v>561</v>
      </c>
      <c r="B62" t="s">
        <v>89</v>
      </c>
      <c r="C62">
        <v>1000.413</v>
      </c>
      <c r="D62" t="s">
        <v>806</v>
      </c>
      <c r="E62" t="s">
        <v>806</v>
      </c>
      <c r="F62" t="s">
        <v>806</v>
      </c>
      <c r="G62">
        <f t="shared" si="1"/>
        <v>1000.413</v>
      </c>
      <c r="H62">
        <f t="shared" si="1"/>
        <v>0</v>
      </c>
      <c r="I62">
        <f t="shared" si="1"/>
        <v>0</v>
      </c>
      <c r="J62">
        <f t="shared" si="1"/>
        <v>0</v>
      </c>
      <c r="K62">
        <f t="shared" si="2"/>
        <v>1000.413</v>
      </c>
      <c r="L62" t="e">
        <f>VLOOKUP(Tabell4[[#This Row],[Nät]],Indexnamn!A:A,1,FALSE)</f>
        <v>#N/A</v>
      </c>
      <c r="M62" t="s">
        <v>1064</v>
      </c>
      <c r="N62" t="e">
        <f>IF(Tabell4[[#This Row],[Finns i listan ]]=Tabell4[[#This Row],[Indexnamn]],"","NEJ")</f>
        <v>#N/A</v>
      </c>
    </row>
    <row r="63" spans="1:14" x14ac:dyDescent="0.25">
      <c r="A63" t="s">
        <v>561</v>
      </c>
      <c r="B63" t="s">
        <v>66</v>
      </c>
      <c r="C63">
        <v>291.89999999999998</v>
      </c>
      <c r="D63">
        <v>15.6</v>
      </c>
      <c r="E63" t="s">
        <v>806</v>
      </c>
      <c r="F63" t="s">
        <v>806</v>
      </c>
      <c r="G63">
        <f t="shared" si="1"/>
        <v>291.89999999999998</v>
      </c>
      <c r="H63">
        <f t="shared" si="1"/>
        <v>15.6</v>
      </c>
      <c r="I63">
        <f t="shared" si="1"/>
        <v>0</v>
      </c>
      <c r="J63">
        <f t="shared" si="1"/>
        <v>0</v>
      </c>
      <c r="K63">
        <f t="shared" si="2"/>
        <v>276.29999999999995</v>
      </c>
      <c r="L63" t="str">
        <f>VLOOKUP(Tabell4[[#This Row],[Nät]],Indexnamn!A:A,1,FALSE)</f>
        <v>Järfälla</v>
      </c>
      <c r="M63" t="str">
        <f>IF(ISTEXT(Tabell4[[#This Row],[Indexnamn]]),Tabell4[[#This Row],[Indexnamn]],LOOKUP(Tabell4[[#This Row],[Nät]],Tabell5[Nätnamn],#REF!))</f>
        <v>Järfälla</v>
      </c>
      <c r="N63" t="str">
        <f>IF(Tabell4[[#This Row],[Finns i listan ]]=Tabell4[[#This Row],[Indexnamn]],"","NEJ")</f>
        <v/>
      </c>
    </row>
    <row r="64" spans="1:14" x14ac:dyDescent="0.25">
      <c r="A64" t="s">
        <v>561</v>
      </c>
      <c r="B64" t="s">
        <v>68</v>
      </c>
      <c r="C64">
        <v>51.5</v>
      </c>
      <c r="D64" t="s">
        <v>806</v>
      </c>
      <c r="E64" t="s">
        <v>806</v>
      </c>
      <c r="F64" t="s">
        <v>806</v>
      </c>
      <c r="G64">
        <f t="shared" si="1"/>
        <v>51.5</v>
      </c>
      <c r="H64">
        <f t="shared" si="1"/>
        <v>0</v>
      </c>
      <c r="I64">
        <f t="shared" si="1"/>
        <v>0</v>
      </c>
      <c r="J64">
        <f t="shared" si="1"/>
        <v>0</v>
      </c>
      <c r="K64">
        <f t="shared" si="2"/>
        <v>51.5</v>
      </c>
      <c r="L64" t="str">
        <f>VLOOKUP(Tabell4[[#This Row],[Nät]],Indexnamn!A:A,1,FALSE)</f>
        <v>Kungsängen</v>
      </c>
      <c r="M64" t="str">
        <f>IF(ISTEXT(Tabell4[[#This Row],[Indexnamn]]),Tabell4[[#This Row],[Indexnamn]],LOOKUP(Tabell4[[#This Row],[Nät]],Tabell5[Nätnamn],#REF!))</f>
        <v>Kungsängen</v>
      </c>
      <c r="N64" t="str">
        <f>IF(Tabell4[[#This Row],[Finns i listan ]]=Tabell4[[#This Row],[Indexnamn]],"","NEJ")</f>
        <v/>
      </c>
    </row>
    <row r="65" spans="1:14" x14ac:dyDescent="0.25">
      <c r="A65" t="s">
        <v>561</v>
      </c>
      <c r="B65" t="s">
        <v>43</v>
      </c>
      <c r="C65">
        <v>2111</v>
      </c>
      <c r="D65" t="s">
        <v>806</v>
      </c>
      <c r="E65" t="s">
        <v>806</v>
      </c>
      <c r="F65" t="s">
        <v>806</v>
      </c>
      <c r="G65">
        <f t="shared" si="1"/>
        <v>2111</v>
      </c>
      <c r="H65">
        <f t="shared" si="1"/>
        <v>0</v>
      </c>
      <c r="I65">
        <f t="shared" si="1"/>
        <v>0</v>
      </c>
      <c r="J65">
        <f t="shared" si="1"/>
        <v>0</v>
      </c>
      <c r="K65">
        <f t="shared" si="2"/>
        <v>2111</v>
      </c>
      <c r="L65" t="e">
        <f>VLOOKUP(Tabell4[[#This Row],[Nät]],Indexnamn!A:A,1,FALSE)</f>
        <v>#N/A</v>
      </c>
      <c r="M65" t="e">
        <f>IF(ISTEXT(Tabell4[[#This Row],[Indexnamn]]),Tabell4[[#This Row],[Indexnamn]],LOOKUP(Tabell4[[#This Row],[Nät]],Tabell5[Nätnamn],#REF!))</f>
        <v>#REF!</v>
      </c>
      <c r="N65" t="e">
        <f>IF(Tabell4[[#This Row],[Finns i listan ]]=Tabell4[[#This Row],[Indexnamn]],"","NEJ")</f>
        <v>#REF!</v>
      </c>
    </row>
    <row r="66" spans="1:14" x14ac:dyDescent="0.25">
      <c r="A66" t="s">
        <v>561</v>
      </c>
      <c r="B66" t="s">
        <v>52</v>
      </c>
      <c r="C66">
        <v>113.002</v>
      </c>
      <c r="D66" t="s">
        <v>805</v>
      </c>
      <c r="E66" t="s">
        <v>805</v>
      </c>
      <c r="F66" t="s">
        <v>805</v>
      </c>
      <c r="G66">
        <f t="shared" si="1"/>
        <v>113.002</v>
      </c>
      <c r="H66">
        <f t="shared" si="1"/>
        <v>0</v>
      </c>
      <c r="I66">
        <f t="shared" si="1"/>
        <v>0</v>
      </c>
      <c r="J66">
        <f t="shared" si="1"/>
        <v>0</v>
      </c>
      <c r="K66">
        <f t="shared" si="2"/>
        <v>113.002</v>
      </c>
      <c r="L66" t="str">
        <f>VLOOKUP(Tabell4[[#This Row],[Nät]],Indexnamn!A:A,1,FALSE)</f>
        <v>Mora</v>
      </c>
      <c r="M66" t="str">
        <f>IF(ISTEXT(Tabell4[[#This Row],[Indexnamn]]),Tabell4[[#This Row],[Indexnamn]],LOOKUP(Tabell4[[#This Row],[Nät]],Tabell5[Nätnamn],#REF!))</f>
        <v>Mora</v>
      </c>
      <c r="N66" t="str">
        <f>IF(Tabell4[[#This Row],[Finns i listan ]]=Tabell4[[#This Row],[Indexnamn]],"","NEJ")</f>
        <v/>
      </c>
    </row>
    <row r="67" spans="1:14" x14ac:dyDescent="0.25">
      <c r="A67" t="s">
        <v>561</v>
      </c>
      <c r="B67" t="s">
        <v>927</v>
      </c>
      <c r="C67">
        <v>896</v>
      </c>
      <c r="D67" t="s">
        <v>806</v>
      </c>
      <c r="E67" t="s">
        <v>806</v>
      </c>
      <c r="F67" t="s">
        <v>806</v>
      </c>
      <c r="G67">
        <f t="shared" ref="G67:J130" si="3">IF(ISTEXT(C67),0,C67)</f>
        <v>896</v>
      </c>
      <c r="H67">
        <f t="shared" si="3"/>
        <v>0</v>
      </c>
      <c r="I67">
        <f t="shared" si="3"/>
        <v>0</v>
      </c>
      <c r="J67">
        <f t="shared" si="3"/>
        <v>0</v>
      </c>
      <c r="K67">
        <f t="shared" ref="K67:K130" si="4">G67-H67-I67-J67</f>
        <v>896</v>
      </c>
      <c r="L67" t="e">
        <f>VLOOKUP(Tabell4[[#This Row],[Nät]],Indexnamn!A:A,1,FALSE)</f>
        <v>#N/A</v>
      </c>
      <c r="M67" t="e">
        <f>IF(ISTEXT(Tabell4[[#This Row],[Indexnamn]]),Tabell4[[#This Row],[Indexnamn]],LOOKUP(Tabell4[[#This Row],[Nät]],Tabell5[Nätnamn],#REF!))</f>
        <v>#REF!</v>
      </c>
      <c r="N67" t="e">
        <f>IF(Tabell4[[#This Row],[Finns i listan ]]=Tabell4[[#This Row],[Indexnamn]],"","NEJ")</f>
        <v>#REF!</v>
      </c>
    </row>
    <row r="68" spans="1:14" x14ac:dyDescent="0.25">
      <c r="A68" t="s">
        <v>561</v>
      </c>
      <c r="B68" t="s">
        <v>53</v>
      </c>
      <c r="C68">
        <v>23.428999999999998</v>
      </c>
      <c r="D68" t="s">
        <v>805</v>
      </c>
      <c r="E68" t="s">
        <v>805</v>
      </c>
      <c r="F68" t="s">
        <v>805</v>
      </c>
      <c r="G68">
        <f t="shared" si="3"/>
        <v>23.428999999999998</v>
      </c>
      <c r="H68">
        <f t="shared" si="3"/>
        <v>0</v>
      </c>
      <c r="I68">
        <f t="shared" si="3"/>
        <v>0</v>
      </c>
      <c r="J68">
        <f t="shared" si="3"/>
        <v>0</v>
      </c>
      <c r="K68">
        <f t="shared" si="4"/>
        <v>23.428999999999998</v>
      </c>
      <c r="L68" t="str">
        <f>VLOOKUP(Tabell4[[#This Row],[Nät]],Indexnamn!A:A,1,FALSE)</f>
        <v>Orsa</v>
      </c>
      <c r="M68" t="str">
        <f>IF(ISTEXT(Tabell4[[#This Row],[Indexnamn]]),Tabell4[[#This Row],[Indexnamn]],LOOKUP(Tabell4[[#This Row],[Nät]],Tabell5[Nätnamn],#REF!))</f>
        <v>Orsa</v>
      </c>
      <c r="N68" t="str">
        <f>IF(Tabell4[[#This Row],[Finns i listan ]]=Tabell4[[#This Row],[Indexnamn]],"","NEJ")</f>
        <v/>
      </c>
    </row>
    <row r="69" spans="1:14" x14ac:dyDescent="0.25">
      <c r="A69" t="s">
        <v>561</v>
      </c>
      <c r="B69" t="s">
        <v>49</v>
      </c>
      <c r="C69">
        <v>60.838999999999999</v>
      </c>
      <c r="D69" t="s">
        <v>805</v>
      </c>
      <c r="E69" t="s">
        <v>805</v>
      </c>
      <c r="F69" t="s">
        <v>805</v>
      </c>
      <c r="G69">
        <f t="shared" si="3"/>
        <v>60.838999999999999</v>
      </c>
      <c r="H69">
        <f t="shared" si="3"/>
        <v>0</v>
      </c>
      <c r="I69">
        <f t="shared" si="3"/>
        <v>0</v>
      </c>
      <c r="J69">
        <f t="shared" si="3"/>
        <v>0</v>
      </c>
      <c r="K69">
        <f t="shared" si="4"/>
        <v>60.838999999999999</v>
      </c>
      <c r="L69" t="str">
        <f>VLOOKUP(Tabell4[[#This Row],[Nät]],Indexnamn!A:A,1,FALSE)</f>
        <v>Sollefteå</v>
      </c>
      <c r="M69" t="str">
        <f>IF(ISTEXT(Tabell4[[#This Row],[Indexnamn]]),Tabell4[[#This Row],[Indexnamn]],LOOKUP(Tabell4[[#This Row],[Nät]],Tabell5[Nätnamn],#REF!))</f>
        <v>Sollefteå</v>
      </c>
      <c r="N69" t="str">
        <f>IF(Tabell4[[#This Row],[Finns i listan ]]=Tabell4[[#This Row],[Indexnamn]],"","NEJ")</f>
        <v/>
      </c>
    </row>
    <row r="70" spans="1:14" x14ac:dyDescent="0.25">
      <c r="A70" t="s">
        <v>561</v>
      </c>
      <c r="B70" t="s">
        <v>44</v>
      </c>
      <c r="C70">
        <v>23.271999999999998</v>
      </c>
      <c r="D70" t="s">
        <v>805</v>
      </c>
      <c r="E70" t="s">
        <v>805</v>
      </c>
      <c r="F70" t="s">
        <v>805</v>
      </c>
      <c r="G70">
        <f t="shared" si="3"/>
        <v>23.271999999999998</v>
      </c>
      <c r="H70">
        <f t="shared" si="3"/>
        <v>0</v>
      </c>
      <c r="I70">
        <f t="shared" si="3"/>
        <v>0</v>
      </c>
      <c r="J70">
        <f t="shared" si="3"/>
        <v>0</v>
      </c>
      <c r="K70">
        <f t="shared" si="4"/>
        <v>23.271999999999998</v>
      </c>
      <c r="L70" t="str">
        <f>VLOOKUP(Tabell4[[#This Row],[Nät]],Indexnamn!A:A,1,FALSE)</f>
        <v>Staffanstorp</v>
      </c>
      <c r="M70" t="str">
        <f>IF(ISTEXT(Tabell4[[#This Row],[Indexnamn]]),Tabell4[[#This Row],[Indexnamn]],LOOKUP(Tabell4[[#This Row],[Nät]],Tabell5[Nätnamn],#REF!))</f>
        <v>Staffanstorp</v>
      </c>
      <c r="N70" t="str">
        <f>IF(Tabell4[[#This Row],[Finns i listan ]]=Tabell4[[#This Row],[Indexnamn]],"","NEJ")</f>
        <v/>
      </c>
    </row>
    <row r="71" spans="1:14" x14ac:dyDescent="0.25">
      <c r="A71" t="s">
        <v>561</v>
      </c>
      <c r="B71" t="s">
        <v>54</v>
      </c>
      <c r="C71">
        <v>63.899000000000001</v>
      </c>
      <c r="D71" t="s">
        <v>805</v>
      </c>
      <c r="E71" t="s">
        <v>805</v>
      </c>
      <c r="F71" t="s">
        <v>805</v>
      </c>
      <c r="G71">
        <f t="shared" si="3"/>
        <v>63.899000000000001</v>
      </c>
      <c r="H71">
        <f t="shared" si="3"/>
        <v>0</v>
      </c>
      <c r="I71">
        <f t="shared" si="3"/>
        <v>0</v>
      </c>
      <c r="J71">
        <f t="shared" si="3"/>
        <v>0</v>
      </c>
      <c r="K71">
        <f t="shared" si="4"/>
        <v>63.899000000000001</v>
      </c>
      <c r="L71" t="str">
        <f>VLOOKUP(Tabell4[[#This Row],[Nät]],Indexnamn!A:A,1,FALSE)</f>
        <v>Timrå</v>
      </c>
      <c r="M71" t="str">
        <f>IF(ISTEXT(Tabell4[[#This Row],[Indexnamn]]),Tabell4[[#This Row],[Indexnamn]],LOOKUP(Tabell4[[#This Row],[Nät]],Tabell5[Nätnamn],#REF!))</f>
        <v>Timrå</v>
      </c>
      <c r="N71" t="str">
        <f>IF(Tabell4[[#This Row],[Finns i listan ]]=Tabell4[[#This Row],[Indexnamn]],"","NEJ")</f>
        <v/>
      </c>
    </row>
    <row r="72" spans="1:14" x14ac:dyDescent="0.25">
      <c r="A72" t="s">
        <v>561</v>
      </c>
      <c r="B72" t="s">
        <v>785</v>
      </c>
      <c r="C72">
        <v>69.5</v>
      </c>
      <c r="D72" t="s">
        <v>806</v>
      </c>
      <c r="E72" t="s">
        <v>806</v>
      </c>
      <c r="F72" t="s">
        <v>806</v>
      </c>
      <c r="G72">
        <f t="shared" si="3"/>
        <v>69.5</v>
      </c>
      <c r="H72">
        <f t="shared" si="3"/>
        <v>0</v>
      </c>
      <c r="I72">
        <f t="shared" si="3"/>
        <v>0</v>
      </c>
      <c r="J72">
        <f t="shared" si="3"/>
        <v>0</v>
      </c>
      <c r="K72">
        <f t="shared" si="4"/>
        <v>69.5</v>
      </c>
      <c r="L72" t="e">
        <f>VLOOKUP(Tabell4[[#This Row],[Nät]],Indexnamn!A:A,1,FALSE)</f>
        <v>#N/A</v>
      </c>
      <c r="M72" t="e">
        <f>IF(ISTEXT(Tabell4[[#This Row],[Indexnamn]]),Tabell4[[#This Row],[Indexnamn]],LOOKUP(Tabell4[[#This Row],[Nät]],Tabell5[Nätnamn],#REF!))</f>
        <v>#REF!</v>
      </c>
      <c r="N72" t="e">
        <f>IF(Tabell4[[#This Row],[Finns i listan ]]=Tabell4[[#This Row],[Indexnamn]],"","NEJ")</f>
        <v>#REF!</v>
      </c>
    </row>
    <row r="73" spans="1:14" x14ac:dyDescent="0.25">
      <c r="A73" t="s">
        <v>561</v>
      </c>
      <c r="B73" t="s">
        <v>59</v>
      </c>
      <c r="C73">
        <v>60.7</v>
      </c>
      <c r="D73" t="s">
        <v>806</v>
      </c>
      <c r="E73" t="s">
        <v>806</v>
      </c>
      <c r="F73" t="s">
        <v>806</v>
      </c>
      <c r="G73">
        <f t="shared" si="3"/>
        <v>60.7</v>
      </c>
      <c r="H73">
        <f t="shared" si="3"/>
        <v>0</v>
      </c>
      <c r="I73">
        <f t="shared" si="3"/>
        <v>0</v>
      </c>
      <c r="J73">
        <f t="shared" si="3"/>
        <v>0</v>
      </c>
      <c r="K73">
        <f t="shared" si="4"/>
        <v>60.7</v>
      </c>
      <c r="L73" t="e">
        <f>VLOOKUP(Tabell4[[#This Row],[Nät]],Indexnamn!A:A,1,FALSE)</f>
        <v>#N/A</v>
      </c>
      <c r="M73" t="e">
        <f>IF(ISTEXT(Tabell4[[#This Row],[Indexnamn]]),Tabell4[[#This Row],[Indexnamn]],LOOKUP(Tabell4[[#This Row],[Nät]],Tabell5[Nätnamn],#REF!))</f>
        <v>#REF!</v>
      </c>
      <c r="N73" t="e">
        <f>IF(Tabell4[[#This Row],[Finns i listan ]]=Tabell4[[#This Row],[Indexnamn]],"","NEJ")</f>
        <v>#REF!</v>
      </c>
    </row>
    <row r="74" spans="1:14" x14ac:dyDescent="0.25">
      <c r="A74" t="s">
        <v>561</v>
      </c>
      <c r="B74" t="s">
        <v>58</v>
      </c>
      <c r="C74">
        <v>25.257000000000001</v>
      </c>
      <c r="D74" t="s">
        <v>805</v>
      </c>
      <c r="E74" t="s">
        <v>805</v>
      </c>
      <c r="F74" t="s">
        <v>805</v>
      </c>
      <c r="G74">
        <f t="shared" si="3"/>
        <v>25.257000000000001</v>
      </c>
      <c r="H74">
        <f t="shared" si="3"/>
        <v>0</v>
      </c>
      <c r="I74">
        <f t="shared" si="3"/>
        <v>0</v>
      </c>
      <c r="J74">
        <f t="shared" si="3"/>
        <v>0</v>
      </c>
      <c r="K74">
        <f t="shared" si="4"/>
        <v>25.257000000000001</v>
      </c>
      <c r="L74" t="str">
        <f>VLOOKUP(Tabell4[[#This Row],[Nät]],Indexnamn!A:A,1,FALSE)</f>
        <v>Vaxholm</v>
      </c>
      <c r="M74" t="str">
        <f>IF(ISTEXT(Tabell4[[#This Row],[Indexnamn]]),Tabell4[[#This Row],[Indexnamn]],LOOKUP(Tabell4[[#This Row],[Nät]],Tabell5[Nätnamn],#REF!))</f>
        <v>Vaxholm</v>
      </c>
      <c r="N74" t="str">
        <f>IF(Tabell4[[#This Row],[Finns i listan ]]=Tabell4[[#This Row],[Indexnamn]],"","NEJ")</f>
        <v/>
      </c>
    </row>
    <row r="75" spans="1:14" x14ac:dyDescent="0.25">
      <c r="A75" t="s">
        <v>561</v>
      </c>
      <c r="B75" t="s">
        <v>79</v>
      </c>
      <c r="C75">
        <v>81.433000000000007</v>
      </c>
      <c r="D75" t="s">
        <v>805</v>
      </c>
      <c r="E75" t="s">
        <v>805</v>
      </c>
      <c r="F75" t="s">
        <v>805</v>
      </c>
      <c r="G75">
        <f t="shared" si="3"/>
        <v>81.433000000000007</v>
      </c>
      <c r="H75">
        <f t="shared" si="3"/>
        <v>0</v>
      </c>
      <c r="I75">
        <f t="shared" si="3"/>
        <v>0</v>
      </c>
      <c r="J75">
        <f t="shared" si="3"/>
        <v>0</v>
      </c>
      <c r="K75">
        <f t="shared" si="4"/>
        <v>81.433000000000007</v>
      </c>
      <c r="L75" t="str">
        <f>VLOOKUP(Tabell4[[#This Row],[Nät]],Indexnamn!A:A,1,FALSE)</f>
        <v>Älmhult</v>
      </c>
      <c r="M75" t="str">
        <f>IF(ISTEXT(Tabell4[[#This Row],[Indexnamn]]),Tabell4[[#This Row],[Indexnamn]],LOOKUP(Tabell4[[#This Row],[Nät]],Tabell5[Nätnamn],#REF!))</f>
        <v>Älmhult</v>
      </c>
      <c r="N75" t="str">
        <f>IF(Tabell4[[#This Row],[Finns i listan ]]=Tabell4[[#This Row],[Indexnamn]],"","NEJ")</f>
        <v/>
      </c>
    </row>
    <row r="76" spans="1:14" x14ac:dyDescent="0.25">
      <c r="A76" t="s">
        <v>561</v>
      </c>
      <c r="B76" t="s">
        <v>57</v>
      </c>
      <c r="C76">
        <v>65.2</v>
      </c>
      <c r="D76" t="s">
        <v>806</v>
      </c>
      <c r="E76" t="s">
        <v>806</v>
      </c>
      <c r="F76" t="s">
        <v>806</v>
      </c>
      <c r="G76">
        <f t="shared" si="3"/>
        <v>65.2</v>
      </c>
      <c r="H76">
        <f t="shared" si="3"/>
        <v>0</v>
      </c>
      <c r="I76">
        <f t="shared" si="3"/>
        <v>0</v>
      </c>
      <c r="J76">
        <f t="shared" si="3"/>
        <v>0</v>
      </c>
      <c r="K76">
        <f t="shared" si="4"/>
        <v>65.2</v>
      </c>
      <c r="L76" t="e">
        <f>VLOOKUP(Tabell4[[#This Row],[Nät]],Indexnamn!A:A,1,FALSE)</f>
        <v>#N/A</v>
      </c>
      <c r="M76" t="e">
        <f>IF(ISTEXT(Tabell4[[#This Row],[Indexnamn]]),Tabell4[[#This Row],[Indexnamn]],LOOKUP(Tabell4[[#This Row],[Nät]],Tabell5[Nätnamn],#REF!))</f>
        <v>#REF!</v>
      </c>
      <c r="N76" t="e">
        <f>IF(Tabell4[[#This Row],[Finns i listan ]]=Tabell4[[#This Row],[Indexnamn]],"","NEJ")</f>
        <v>#REF!</v>
      </c>
    </row>
    <row r="77" spans="1:14" x14ac:dyDescent="0.25">
      <c r="A77" t="s">
        <v>584</v>
      </c>
      <c r="B77" t="s">
        <v>90</v>
      </c>
      <c r="C77" t="s">
        <v>805</v>
      </c>
      <c r="D77" t="s">
        <v>805</v>
      </c>
      <c r="E77" t="s">
        <v>805</v>
      </c>
      <c r="F77" t="s">
        <v>805</v>
      </c>
      <c r="G77">
        <f t="shared" si="3"/>
        <v>0</v>
      </c>
      <c r="H77">
        <f t="shared" si="3"/>
        <v>0</v>
      </c>
      <c r="I77">
        <f t="shared" si="3"/>
        <v>0</v>
      </c>
      <c r="J77">
        <f t="shared" si="3"/>
        <v>0</v>
      </c>
      <c r="K77">
        <f t="shared" si="4"/>
        <v>0</v>
      </c>
      <c r="L77" t="e">
        <f>VLOOKUP(Tabell4[[#This Row],[Nät]],Indexnamn!A:A,1,FALSE)</f>
        <v>#N/A</v>
      </c>
      <c r="M77" t="e">
        <f>IF(ISTEXT(Tabell4[[#This Row],[Indexnamn]]),Tabell4[[#This Row],[Indexnamn]],LOOKUP(Tabell4[[#This Row],[Nät]],Tabell5[Nätnamn],#REF!))</f>
        <v>#REF!</v>
      </c>
      <c r="N77" t="e">
        <f>IF(Tabell4[[#This Row],[Finns i listan ]]=Tabell4[[#This Row],[Indexnamn]],"","NEJ")</f>
        <v>#REF!</v>
      </c>
    </row>
    <row r="78" spans="1:14" x14ac:dyDescent="0.25">
      <c r="A78" t="s">
        <v>589</v>
      </c>
      <c r="B78" t="s">
        <v>91</v>
      </c>
      <c r="C78">
        <v>105.378</v>
      </c>
      <c r="D78" t="s">
        <v>806</v>
      </c>
      <c r="E78" t="s">
        <v>806</v>
      </c>
      <c r="F78" t="s">
        <v>806</v>
      </c>
      <c r="G78">
        <f t="shared" si="3"/>
        <v>105.378</v>
      </c>
      <c r="H78">
        <f t="shared" si="3"/>
        <v>0</v>
      </c>
      <c r="I78">
        <f t="shared" si="3"/>
        <v>0</v>
      </c>
      <c r="J78">
        <f t="shared" si="3"/>
        <v>0</v>
      </c>
      <c r="K78">
        <f t="shared" si="4"/>
        <v>105.378</v>
      </c>
      <c r="L78" t="str">
        <f>VLOOKUP(Tabell4[[#This Row],[Nät]],Indexnamn!A:A,1,FALSE)</f>
        <v>Eksjö</v>
      </c>
      <c r="M78" t="str">
        <f>IF(ISTEXT(Tabell4[[#This Row],[Indexnamn]]),Tabell4[[#This Row],[Indexnamn]],LOOKUP(Tabell4[[#This Row],[Nät]],Tabell5[Nätnamn],#REF!))</f>
        <v>Eksjö</v>
      </c>
      <c r="N78" t="str">
        <f>IF(Tabell4[[#This Row],[Finns i listan ]]=Tabell4[[#This Row],[Indexnamn]],"","NEJ")</f>
        <v/>
      </c>
    </row>
    <row r="79" spans="1:14" x14ac:dyDescent="0.25">
      <c r="A79" t="s">
        <v>589</v>
      </c>
      <c r="B79" t="s">
        <v>92</v>
      </c>
      <c r="C79">
        <v>2.8919999999999999</v>
      </c>
      <c r="D79" t="s">
        <v>806</v>
      </c>
      <c r="E79" t="s">
        <v>806</v>
      </c>
      <c r="F79" t="s">
        <v>806</v>
      </c>
      <c r="G79">
        <f t="shared" si="3"/>
        <v>2.8919999999999999</v>
      </c>
      <c r="H79">
        <f t="shared" si="3"/>
        <v>0</v>
      </c>
      <c r="I79">
        <f t="shared" si="3"/>
        <v>0</v>
      </c>
      <c r="J79">
        <f t="shared" si="3"/>
        <v>0</v>
      </c>
      <c r="K79">
        <f t="shared" si="4"/>
        <v>2.8919999999999999</v>
      </c>
      <c r="L79" t="str">
        <f>VLOOKUP(Tabell4[[#This Row],[Nät]],Indexnamn!A:A,1,FALSE)</f>
        <v>Ingatorp</v>
      </c>
      <c r="M79" t="str">
        <f>IF(ISTEXT(Tabell4[[#This Row],[Indexnamn]]),Tabell4[[#This Row],[Indexnamn]],LOOKUP(Tabell4[[#This Row],[Nät]],Tabell5[Nätnamn],#REF!))</f>
        <v>Ingatorp</v>
      </c>
      <c r="N79" t="str">
        <f>IF(Tabell4[[#This Row],[Finns i listan ]]=Tabell4[[#This Row],[Indexnamn]],"","NEJ")</f>
        <v/>
      </c>
    </row>
    <row r="80" spans="1:14" x14ac:dyDescent="0.25">
      <c r="A80" t="s">
        <v>589</v>
      </c>
      <c r="B80" t="s">
        <v>93</v>
      </c>
      <c r="C80">
        <v>14.401999999999999</v>
      </c>
      <c r="D80" t="s">
        <v>806</v>
      </c>
      <c r="E80" t="s">
        <v>806</v>
      </c>
      <c r="F80" t="s">
        <v>806</v>
      </c>
      <c r="G80">
        <f t="shared" si="3"/>
        <v>14.401999999999999</v>
      </c>
      <c r="H80">
        <f t="shared" si="3"/>
        <v>0</v>
      </c>
      <c r="I80">
        <f t="shared" si="3"/>
        <v>0</v>
      </c>
      <c r="J80">
        <f t="shared" si="3"/>
        <v>0</v>
      </c>
      <c r="K80">
        <f t="shared" si="4"/>
        <v>14.401999999999999</v>
      </c>
      <c r="L80" t="str">
        <f>VLOOKUP(Tabell4[[#This Row],[Nät]],Indexnamn!A:A,1,FALSE)</f>
        <v>Mariannelund</v>
      </c>
      <c r="M80" t="str">
        <f>IF(ISTEXT(Tabell4[[#This Row],[Indexnamn]]),Tabell4[[#This Row],[Indexnamn]],LOOKUP(Tabell4[[#This Row],[Nät]],Tabell5[Nätnamn],#REF!))</f>
        <v>Mariannelund</v>
      </c>
      <c r="N80" t="str">
        <f>IF(Tabell4[[#This Row],[Finns i listan ]]=Tabell4[[#This Row],[Indexnamn]],"","NEJ")</f>
        <v/>
      </c>
    </row>
    <row r="81" spans="1:14" x14ac:dyDescent="0.25">
      <c r="A81" t="s">
        <v>590</v>
      </c>
      <c r="B81" t="s">
        <v>94</v>
      </c>
      <c r="C81" t="s">
        <v>805</v>
      </c>
      <c r="D81" t="s">
        <v>805</v>
      </c>
      <c r="E81" t="s">
        <v>805</v>
      </c>
      <c r="F81" t="s">
        <v>805</v>
      </c>
      <c r="G81">
        <f t="shared" si="3"/>
        <v>0</v>
      </c>
      <c r="H81">
        <f t="shared" si="3"/>
        <v>0</v>
      </c>
      <c r="I81">
        <f t="shared" si="3"/>
        <v>0</v>
      </c>
      <c r="J81">
        <f t="shared" si="3"/>
        <v>0</v>
      </c>
      <c r="K81">
        <f t="shared" si="4"/>
        <v>0</v>
      </c>
      <c r="L81" t="e">
        <f>VLOOKUP(Tabell4[[#This Row],[Nät]],Indexnamn!A:A,1,FALSE)</f>
        <v>#N/A</v>
      </c>
      <c r="M81" t="e">
        <f>IF(ISTEXT(Tabell4[[#This Row],[Indexnamn]]),Tabell4[[#This Row],[Indexnamn]],LOOKUP(Tabell4[[#This Row],[Nät]],Tabell5[Nätnamn],#REF!))</f>
        <v>#REF!</v>
      </c>
      <c r="N81" t="e">
        <f>IF(Tabell4[[#This Row],[Finns i listan ]]=Tabell4[[#This Row],[Indexnamn]],"","NEJ")</f>
        <v>#REF!</v>
      </c>
    </row>
    <row r="82" spans="1:14" x14ac:dyDescent="0.25">
      <c r="A82" t="s">
        <v>545</v>
      </c>
      <c r="B82" t="s">
        <v>797</v>
      </c>
      <c r="C82" t="s">
        <v>805</v>
      </c>
      <c r="D82" t="s">
        <v>805</v>
      </c>
      <c r="E82" t="s">
        <v>805</v>
      </c>
      <c r="F82" t="s">
        <v>805</v>
      </c>
      <c r="G82">
        <f t="shared" si="3"/>
        <v>0</v>
      </c>
      <c r="H82">
        <f t="shared" si="3"/>
        <v>0</v>
      </c>
      <c r="I82">
        <f t="shared" si="3"/>
        <v>0</v>
      </c>
      <c r="J82">
        <f t="shared" si="3"/>
        <v>0</v>
      </c>
      <c r="K82">
        <f t="shared" si="4"/>
        <v>0</v>
      </c>
      <c r="L82" t="e">
        <f>VLOOKUP(Tabell4[[#This Row],[Nät]],Indexnamn!A:A,1,FALSE)</f>
        <v>#N/A</v>
      </c>
      <c r="N82" t="e">
        <f>IF(Tabell4[[#This Row],[Finns i listan ]]=Tabell4[[#This Row],[Indexnamn]],"","NEJ")</f>
        <v>#N/A</v>
      </c>
    </row>
    <row r="83" spans="1:14" x14ac:dyDescent="0.25">
      <c r="A83" t="s">
        <v>546</v>
      </c>
      <c r="B83" t="s">
        <v>98</v>
      </c>
      <c r="C83">
        <v>46</v>
      </c>
      <c r="D83" t="s">
        <v>806</v>
      </c>
      <c r="E83" t="s">
        <v>806</v>
      </c>
      <c r="F83" t="s">
        <v>806</v>
      </c>
      <c r="G83">
        <f t="shared" si="3"/>
        <v>46</v>
      </c>
      <c r="H83">
        <f t="shared" si="3"/>
        <v>0</v>
      </c>
      <c r="I83">
        <f t="shared" si="3"/>
        <v>0</v>
      </c>
      <c r="J83">
        <f t="shared" si="3"/>
        <v>0</v>
      </c>
      <c r="K83">
        <f t="shared" si="4"/>
        <v>46</v>
      </c>
      <c r="L83" t="str">
        <f>VLOOKUP(Tabell4[[#This Row],[Nät]],Indexnamn!A:A,1,FALSE)</f>
        <v>Emmaboda</v>
      </c>
      <c r="M83" t="str">
        <f>IF(ISTEXT(Tabell4[[#This Row],[Indexnamn]]),Tabell4[[#This Row],[Indexnamn]],LOOKUP(Tabell4[[#This Row],[Nät]],Tabell5[Nätnamn],#REF!))</f>
        <v>Emmaboda</v>
      </c>
      <c r="N83" t="str">
        <f>IF(Tabell4[[#This Row],[Finns i listan ]]=Tabell4[[#This Row],[Indexnamn]],"","NEJ")</f>
        <v/>
      </c>
    </row>
    <row r="84" spans="1:14" x14ac:dyDescent="0.25">
      <c r="A84" t="s">
        <v>591</v>
      </c>
      <c r="B84" t="s">
        <v>101</v>
      </c>
      <c r="C84">
        <v>212</v>
      </c>
      <c r="D84" t="s">
        <v>806</v>
      </c>
      <c r="E84" t="s">
        <v>806</v>
      </c>
      <c r="F84" t="s">
        <v>806</v>
      </c>
      <c r="G84">
        <f t="shared" si="3"/>
        <v>212</v>
      </c>
      <c r="H84">
        <f t="shared" si="3"/>
        <v>0</v>
      </c>
      <c r="I84">
        <f t="shared" si="3"/>
        <v>0</v>
      </c>
      <c r="J84">
        <f t="shared" si="3"/>
        <v>0</v>
      </c>
      <c r="K84">
        <f t="shared" si="4"/>
        <v>212</v>
      </c>
      <c r="L84" t="str">
        <f>VLOOKUP(Tabell4[[#This Row],[Nät]],Indexnamn!A:A,1,FALSE)</f>
        <v>Enköping</v>
      </c>
      <c r="M84" t="str">
        <f>IF(ISTEXT(Tabell4[[#This Row],[Indexnamn]]),Tabell4[[#This Row],[Indexnamn]],LOOKUP(Tabell4[[#This Row],[Nät]],Tabell5[Nätnamn],#REF!))</f>
        <v>Enköping</v>
      </c>
      <c r="N84" t="str">
        <f>IF(Tabell4[[#This Row],[Finns i listan ]]=Tabell4[[#This Row],[Indexnamn]],"","NEJ")</f>
        <v/>
      </c>
    </row>
    <row r="85" spans="1:14" x14ac:dyDescent="0.25">
      <c r="A85" t="s">
        <v>592</v>
      </c>
      <c r="B85" t="s">
        <v>102</v>
      </c>
      <c r="C85">
        <v>645.70000000000005</v>
      </c>
      <c r="D85" t="s">
        <v>806</v>
      </c>
      <c r="E85" t="s">
        <v>806</v>
      </c>
      <c r="F85" t="s">
        <v>806</v>
      </c>
      <c r="G85">
        <f t="shared" si="3"/>
        <v>645.70000000000005</v>
      </c>
      <c r="H85">
        <f t="shared" si="3"/>
        <v>0</v>
      </c>
      <c r="I85">
        <f t="shared" si="3"/>
        <v>0</v>
      </c>
      <c r="J85">
        <f t="shared" si="3"/>
        <v>0</v>
      </c>
      <c r="K85">
        <f t="shared" si="4"/>
        <v>645.70000000000005</v>
      </c>
      <c r="L85" t="str">
        <f>VLOOKUP(Tabell4[[#This Row],[Nät]],Indexnamn!A:A,1,FALSE)</f>
        <v>Eskilstuna-Torshälla</v>
      </c>
      <c r="M85" t="str">
        <f>IF(ISTEXT(Tabell4[[#This Row],[Indexnamn]]),Tabell4[[#This Row],[Indexnamn]],LOOKUP(Tabell4[[#This Row],[Nät]],Tabell5[Nätnamn],#REF!))</f>
        <v>Eskilstuna-Torshälla</v>
      </c>
      <c r="N85" t="str">
        <f>IF(Tabell4[[#This Row],[Finns i listan ]]=Tabell4[[#This Row],[Indexnamn]],"","NEJ")</f>
        <v/>
      </c>
    </row>
    <row r="86" spans="1:14" x14ac:dyDescent="0.25">
      <c r="A86" t="s">
        <v>592</v>
      </c>
      <c r="B86" t="s">
        <v>104</v>
      </c>
      <c r="C86">
        <v>0.77600000000000002</v>
      </c>
      <c r="D86" t="s">
        <v>806</v>
      </c>
      <c r="E86" t="s">
        <v>806</v>
      </c>
      <c r="F86" t="s">
        <v>806</v>
      </c>
      <c r="G86">
        <f t="shared" si="3"/>
        <v>0.77600000000000002</v>
      </c>
      <c r="H86">
        <f t="shared" si="3"/>
        <v>0</v>
      </c>
      <c r="I86">
        <f t="shared" si="3"/>
        <v>0</v>
      </c>
      <c r="J86">
        <f t="shared" si="3"/>
        <v>0</v>
      </c>
      <c r="K86">
        <f t="shared" si="4"/>
        <v>0.77600000000000002</v>
      </c>
      <c r="L86" t="str">
        <f>VLOOKUP(Tabell4[[#This Row],[Nät]],Indexnamn!A:A,1,FALSE)</f>
        <v>Kvicksund</v>
      </c>
      <c r="M86" t="str">
        <f>IF(ISTEXT(Tabell4[[#This Row],[Indexnamn]]),Tabell4[[#This Row],[Indexnamn]],LOOKUP(Tabell4[[#This Row],[Nät]],Tabell5[Nätnamn],#REF!))</f>
        <v>Kvicksund</v>
      </c>
      <c r="N86" t="str">
        <f>IF(Tabell4[[#This Row],[Finns i listan ]]=Tabell4[[#This Row],[Indexnamn]],"","NEJ")</f>
        <v/>
      </c>
    </row>
    <row r="87" spans="1:14" x14ac:dyDescent="0.25">
      <c r="A87" t="s">
        <v>592</v>
      </c>
      <c r="B87" t="s">
        <v>105</v>
      </c>
      <c r="C87">
        <v>5.8</v>
      </c>
      <c r="D87" t="s">
        <v>806</v>
      </c>
      <c r="E87" t="s">
        <v>806</v>
      </c>
      <c r="F87" t="s">
        <v>806</v>
      </c>
      <c r="G87">
        <f t="shared" si="3"/>
        <v>5.8</v>
      </c>
      <c r="H87">
        <f t="shared" si="3"/>
        <v>0</v>
      </c>
      <c r="I87">
        <f t="shared" si="3"/>
        <v>0</v>
      </c>
      <c r="J87">
        <f t="shared" si="3"/>
        <v>0</v>
      </c>
      <c r="K87">
        <f t="shared" si="4"/>
        <v>5.8</v>
      </c>
      <c r="L87" t="str">
        <f>VLOOKUP(Tabell4[[#This Row],[Nät]],Indexnamn!A:A,1,FALSE)</f>
        <v>Ärla</v>
      </c>
      <c r="M87" t="str">
        <f>IF(ISTEXT(Tabell4[[#This Row],[Indexnamn]]),Tabell4[[#This Row],[Indexnamn]],LOOKUP(Tabell4[[#This Row],[Nät]],Tabell5[Nätnamn],#REF!))</f>
        <v>Ärla</v>
      </c>
      <c r="N87" t="str">
        <f>IF(Tabell4[[#This Row],[Finns i listan ]]=Tabell4[[#This Row],[Indexnamn]],"","NEJ")</f>
        <v/>
      </c>
    </row>
    <row r="88" spans="1:14" x14ac:dyDescent="0.25">
      <c r="A88" t="s">
        <v>597</v>
      </c>
      <c r="B88" t="s">
        <v>106</v>
      </c>
      <c r="C88">
        <v>103.6</v>
      </c>
      <c r="D88" t="s">
        <v>806</v>
      </c>
      <c r="E88" t="s">
        <v>806</v>
      </c>
      <c r="F88" t="s">
        <v>806</v>
      </c>
      <c r="G88">
        <f t="shared" si="3"/>
        <v>103.6</v>
      </c>
      <c r="H88">
        <f t="shared" si="3"/>
        <v>0</v>
      </c>
      <c r="I88">
        <f t="shared" si="3"/>
        <v>0</v>
      </c>
      <c r="J88">
        <f t="shared" si="3"/>
        <v>0</v>
      </c>
      <c r="K88">
        <f t="shared" si="4"/>
        <v>103.6</v>
      </c>
      <c r="L88" t="str">
        <f>VLOOKUP(Tabell4[[#This Row],[Nät]],Indexnamn!A:A,1,FALSE)</f>
        <v>Falköping</v>
      </c>
      <c r="M88" t="str">
        <f>IF(ISTEXT(Tabell4[[#This Row],[Indexnamn]]),Tabell4[[#This Row],[Indexnamn]],LOOKUP(Tabell4[[#This Row],[Nät]],Tabell5[Nätnamn],#REF!))</f>
        <v>Falköping</v>
      </c>
      <c r="N88" t="str">
        <f>IF(Tabell4[[#This Row],[Finns i listan ]]=Tabell4[[#This Row],[Indexnamn]],"","NEJ")</f>
        <v/>
      </c>
    </row>
    <row r="89" spans="1:14" x14ac:dyDescent="0.25">
      <c r="A89" t="s">
        <v>597</v>
      </c>
      <c r="B89" t="s">
        <v>107</v>
      </c>
      <c r="C89">
        <v>10.1</v>
      </c>
      <c r="D89" t="s">
        <v>806</v>
      </c>
      <c r="E89" t="s">
        <v>806</v>
      </c>
      <c r="F89" t="s">
        <v>806</v>
      </c>
      <c r="G89">
        <f t="shared" si="3"/>
        <v>10.1</v>
      </c>
      <c r="H89">
        <f t="shared" si="3"/>
        <v>0</v>
      </c>
      <c r="I89">
        <f t="shared" si="3"/>
        <v>0</v>
      </c>
      <c r="J89">
        <f t="shared" si="3"/>
        <v>0</v>
      </c>
      <c r="K89">
        <f t="shared" si="4"/>
        <v>10.1</v>
      </c>
      <c r="L89" t="str">
        <f>VLOOKUP(Tabell4[[#This Row],[Nät]],Indexnamn!A:A,1,FALSE)</f>
        <v>Floby</v>
      </c>
      <c r="M89" t="str">
        <f>IF(ISTEXT(Tabell4[[#This Row],[Indexnamn]]),Tabell4[[#This Row],[Indexnamn]],LOOKUP(Tabell4[[#This Row],[Nät]],Tabell5[Nätnamn],#REF!))</f>
        <v>Floby</v>
      </c>
      <c r="N89" t="str">
        <f>IF(Tabell4[[#This Row],[Finns i listan ]]=Tabell4[[#This Row],[Indexnamn]],"","NEJ")</f>
        <v/>
      </c>
    </row>
    <row r="90" spans="1:14" x14ac:dyDescent="0.25">
      <c r="A90" t="s">
        <v>597</v>
      </c>
      <c r="B90" t="s">
        <v>705</v>
      </c>
      <c r="C90">
        <v>4.3</v>
      </c>
      <c r="D90" t="s">
        <v>806</v>
      </c>
      <c r="E90" t="s">
        <v>806</v>
      </c>
      <c r="F90" t="s">
        <v>806</v>
      </c>
      <c r="G90">
        <f t="shared" si="3"/>
        <v>4.3</v>
      </c>
      <c r="H90">
        <f t="shared" si="3"/>
        <v>0</v>
      </c>
      <c r="I90">
        <f t="shared" si="3"/>
        <v>0</v>
      </c>
      <c r="J90">
        <f t="shared" si="3"/>
        <v>0</v>
      </c>
      <c r="K90">
        <f t="shared" si="4"/>
        <v>4.3</v>
      </c>
      <c r="L90" t="str">
        <f>VLOOKUP(Tabell4[[#This Row],[Nät]],Indexnamn!A:A,1,FALSE)</f>
        <v>Stenstorp</v>
      </c>
      <c r="M90" t="str">
        <f>IF(ISTEXT(Tabell4[[#This Row],[Indexnamn]]),Tabell4[[#This Row],[Indexnamn]],LOOKUP(Tabell4[[#This Row],[Nät]],Tabell5[Nätnamn],#REF!))</f>
        <v>Stenstorp</v>
      </c>
      <c r="N90" t="str">
        <f>IF(Tabell4[[#This Row],[Finns i listan ]]=Tabell4[[#This Row],[Indexnamn]],"","NEJ")</f>
        <v/>
      </c>
    </row>
    <row r="91" spans="1:14" x14ac:dyDescent="0.25">
      <c r="A91" t="s">
        <v>596</v>
      </c>
      <c r="B91" t="s">
        <v>108</v>
      </c>
      <c r="C91">
        <v>61.26</v>
      </c>
      <c r="D91" t="s">
        <v>806</v>
      </c>
      <c r="E91" t="s">
        <v>806</v>
      </c>
      <c r="F91" t="s">
        <v>806</v>
      </c>
      <c r="G91">
        <f t="shared" si="3"/>
        <v>61.26</v>
      </c>
      <c r="H91">
        <f t="shared" si="3"/>
        <v>0</v>
      </c>
      <c r="I91">
        <f t="shared" si="3"/>
        <v>0</v>
      </c>
      <c r="J91">
        <f t="shared" si="3"/>
        <v>0</v>
      </c>
      <c r="K91">
        <f t="shared" si="4"/>
        <v>61.26</v>
      </c>
      <c r="L91" t="str">
        <f>VLOOKUP(Tabell4[[#This Row],[Nät]],Indexnamn!A:A,1,FALSE)</f>
        <v>Falkenberg</v>
      </c>
      <c r="M91" t="str">
        <f>IF(ISTEXT(Tabell4[[#This Row],[Indexnamn]]),Tabell4[[#This Row],[Indexnamn]],LOOKUP(Tabell4[[#This Row],[Nät]],Tabell5[Nätnamn],#REF!))</f>
        <v>Falkenberg</v>
      </c>
      <c r="N91" t="str">
        <f>IF(Tabell4[[#This Row],[Finns i listan ]]=Tabell4[[#This Row],[Indexnamn]],"","NEJ")</f>
        <v/>
      </c>
    </row>
    <row r="92" spans="1:14" x14ac:dyDescent="0.25">
      <c r="A92" t="s">
        <v>596</v>
      </c>
      <c r="B92" t="s">
        <v>383</v>
      </c>
      <c r="C92">
        <v>2.5739999999999998</v>
      </c>
      <c r="D92" t="s">
        <v>806</v>
      </c>
      <c r="E92" t="s">
        <v>806</v>
      </c>
      <c r="F92" t="s">
        <v>806</v>
      </c>
      <c r="G92">
        <f t="shared" si="3"/>
        <v>2.5739999999999998</v>
      </c>
      <c r="H92">
        <f t="shared" si="3"/>
        <v>0</v>
      </c>
      <c r="I92">
        <f t="shared" si="3"/>
        <v>0</v>
      </c>
      <c r="J92">
        <f t="shared" si="3"/>
        <v>0</v>
      </c>
      <c r="K92">
        <f t="shared" si="4"/>
        <v>2.5739999999999998</v>
      </c>
      <c r="L92" t="str">
        <f>VLOOKUP(Tabell4[[#This Row],[Nät]],Indexnamn!A:A,1,FALSE)</f>
        <v>Ullared-närvärme</v>
      </c>
      <c r="M92" t="str">
        <f>IF(ISTEXT(Tabell4[[#This Row],[Indexnamn]]),Tabell4[[#This Row],[Indexnamn]],LOOKUP(Tabell4[[#This Row],[Nät]],Tabell5[Nätnamn],#REF!))</f>
        <v>Ullared-närvärme</v>
      </c>
      <c r="N92" t="str">
        <f>IF(Tabell4[[#This Row],[Finns i listan ]]=Tabell4[[#This Row],[Indexnamn]],"","NEJ")</f>
        <v/>
      </c>
    </row>
    <row r="93" spans="1:14" x14ac:dyDescent="0.25">
      <c r="A93" t="s">
        <v>596</v>
      </c>
      <c r="B93" t="s">
        <v>729</v>
      </c>
      <c r="C93">
        <v>3.468</v>
      </c>
      <c r="D93" t="s">
        <v>806</v>
      </c>
      <c r="E93" t="s">
        <v>806</v>
      </c>
      <c r="F93" t="s">
        <v>806</v>
      </c>
      <c r="G93">
        <f t="shared" si="3"/>
        <v>3.468</v>
      </c>
      <c r="H93">
        <f t="shared" si="3"/>
        <v>0</v>
      </c>
      <c r="I93">
        <f t="shared" si="3"/>
        <v>0</v>
      </c>
      <c r="J93">
        <f t="shared" si="3"/>
        <v>0</v>
      </c>
      <c r="K93">
        <f t="shared" si="4"/>
        <v>3.468</v>
      </c>
      <c r="L93" t="str">
        <f>VLOOKUP(Tabell4[[#This Row],[Nät]],Indexnamn!A:A,1,FALSE)</f>
        <v>Vessigebro-närvärme</v>
      </c>
      <c r="M93" t="str">
        <f>IF(ISTEXT(Tabell4[[#This Row],[Indexnamn]]),Tabell4[[#This Row],[Indexnamn]],LOOKUP(Tabell4[[#This Row],[Nät]],Tabell5[Nätnamn],#REF!))</f>
        <v>Vessigebro-närvärme</v>
      </c>
      <c r="N93" t="str">
        <f>IF(Tabell4[[#This Row],[Finns i listan ]]=Tabell4[[#This Row],[Indexnamn]],"","NEJ")</f>
        <v/>
      </c>
    </row>
    <row r="94" spans="1:14" x14ac:dyDescent="0.25">
      <c r="A94" t="s">
        <v>567</v>
      </c>
      <c r="B94" t="s">
        <v>109</v>
      </c>
      <c r="C94">
        <v>3.16</v>
      </c>
      <c r="D94" t="s">
        <v>806</v>
      </c>
      <c r="E94" t="s">
        <v>806</v>
      </c>
      <c r="F94" t="s">
        <v>806</v>
      </c>
      <c r="G94">
        <f t="shared" si="3"/>
        <v>3.16</v>
      </c>
      <c r="H94">
        <f t="shared" si="3"/>
        <v>0</v>
      </c>
      <c r="I94">
        <f t="shared" si="3"/>
        <v>0</v>
      </c>
      <c r="J94">
        <f t="shared" si="3"/>
        <v>0</v>
      </c>
      <c r="K94">
        <f t="shared" si="4"/>
        <v>3.16</v>
      </c>
      <c r="L94" t="str">
        <f>VLOOKUP(Tabell4[[#This Row],[Nät]],Indexnamn!A:A,1,FALSE)</f>
        <v>Bjursås</v>
      </c>
      <c r="M94" t="str">
        <f>IF(ISTEXT(Tabell4[[#This Row],[Indexnamn]]),Tabell4[[#This Row],[Indexnamn]],LOOKUP(Tabell4[[#This Row],[Nät]],Tabell5[Nätnamn],#REF!))</f>
        <v>Bjursås</v>
      </c>
      <c r="N94" t="str">
        <f>IF(Tabell4[[#This Row],[Finns i listan ]]=Tabell4[[#This Row],[Indexnamn]],"","NEJ")</f>
        <v/>
      </c>
    </row>
    <row r="95" spans="1:14" x14ac:dyDescent="0.25">
      <c r="A95" t="s">
        <v>567</v>
      </c>
      <c r="B95" t="s">
        <v>110</v>
      </c>
      <c r="C95">
        <v>369.64</v>
      </c>
      <c r="D95">
        <v>3.55</v>
      </c>
      <c r="E95" t="s">
        <v>806</v>
      </c>
      <c r="F95" t="s">
        <v>806</v>
      </c>
      <c r="G95">
        <f t="shared" si="3"/>
        <v>369.64</v>
      </c>
      <c r="H95">
        <f t="shared" si="3"/>
        <v>3.55</v>
      </c>
      <c r="I95">
        <f t="shared" si="3"/>
        <v>0</v>
      </c>
      <c r="J95">
        <f t="shared" si="3"/>
        <v>0</v>
      </c>
      <c r="K95">
        <f t="shared" si="4"/>
        <v>366.09</v>
      </c>
      <c r="L95" t="str">
        <f>VLOOKUP(Tabell4[[#This Row],[Nät]],Indexnamn!A:A,1,FALSE)</f>
        <v>Falun</v>
      </c>
      <c r="M95" t="str">
        <f>IF(ISTEXT(Tabell4[[#This Row],[Indexnamn]]),Tabell4[[#This Row],[Indexnamn]],LOOKUP(Tabell4[[#This Row],[Nät]],Tabell5[Nätnamn],#REF!))</f>
        <v>Falun</v>
      </c>
      <c r="N95" t="str">
        <f>IF(Tabell4[[#This Row],[Finns i listan ]]=Tabell4[[#This Row],[Indexnamn]],"","NEJ")</f>
        <v/>
      </c>
    </row>
    <row r="96" spans="1:14" x14ac:dyDescent="0.25">
      <c r="A96" t="s">
        <v>567</v>
      </c>
      <c r="B96" t="s">
        <v>111</v>
      </c>
      <c r="C96">
        <v>4.8600000000000003</v>
      </c>
      <c r="D96" t="s">
        <v>806</v>
      </c>
      <c r="E96" t="s">
        <v>806</v>
      </c>
      <c r="F96" t="s">
        <v>806</v>
      </c>
      <c r="G96">
        <f t="shared" si="3"/>
        <v>4.8600000000000003</v>
      </c>
      <c r="H96">
        <f t="shared" si="3"/>
        <v>0</v>
      </c>
      <c r="I96">
        <f t="shared" si="3"/>
        <v>0</v>
      </c>
      <c r="J96">
        <f t="shared" si="3"/>
        <v>0</v>
      </c>
      <c r="K96">
        <f t="shared" si="4"/>
        <v>4.8600000000000003</v>
      </c>
      <c r="L96" t="str">
        <f>VLOOKUP(Tabell4[[#This Row],[Nät]],Indexnamn!A:A,1,FALSE)</f>
        <v>Grycksbo</v>
      </c>
      <c r="M96" t="str">
        <f>IF(ISTEXT(Tabell4[[#This Row],[Indexnamn]]),Tabell4[[#This Row],[Indexnamn]],LOOKUP(Tabell4[[#This Row],[Nät]],Tabell5[Nätnamn],#REF!))</f>
        <v>Grycksbo</v>
      </c>
      <c r="N96" t="str">
        <f>IF(Tabell4[[#This Row],[Finns i listan ]]=Tabell4[[#This Row],[Indexnamn]],"","NEJ")</f>
        <v/>
      </c>
    </row>
    <row r="97" spans="1:14" x14ac:dyDescent="0.25">
      <c r="A97" t="s">
        <v>567</v>
      </c>
      <c r="B97" t="s">
        <v>112</v>
      </c>
      <c r="C97">
        <v>4.7699999999999996</v>
      </c>
      <c r="D97" t="s">
        <v>806</v>
      </c>
      <c r="E97" t="s">
        <v>806</v>
      </c>
      <c r="F97" t="s">
        <v>806</v>
      </c>
      <c r="G97">
        <f t="shared" si="3"/>
        <v>4.7699999999999996</v>
      </c>
      <c r="H97">
        <f t="shared" si="3"/>
        <v>0</v>
      </c>
      <c r="I97">
        <f t="shared" si="3"/>
        <v>0</v>
      </c>
      <c r="J97">
        <f t="shared" si="3"/>
        <v>0</v>
      </c>
      <c r="K97">
        <f t="shared" si="4"/>
        <v>4.7699999999999996</v>
      </c>
      <c r="L97" t="str">
        <f>VLOOKUP(Tabell4[[#This Row],[Nät]],Indexnamn!A:A,1,FALSE)</f>
        <v>Svärdsjö</v>
      </c>
      <c r="M97" t="str">
        <f>IF(ISTEXT(Tabell4[[#This Row],[Indexnamn]]),Tabell4[[#This Row],[Indexnamn]],LOOKUP(Tabell4[[#This Row],[Nät]],Tabell5[Nätnamn],#REF!))</f>
        <v>Svärdsjö</v>
      </c>
      <c r="N97" t="str">
        <f>IF(Tabell4[[#This Row],[Finns i listan ]]=Tabell4[[#This Row],[Indexnamn]],"","NEJ")</f>
        <v/>
      </c>
    </row>
    <row r="98" spans="1:14" x14ac:dyDescent="0.25">
      <c r="A98" t="s">
        <v>599</v>
      </c>
      <c r="B98" t="s">
        <v>113</v>
      </c>
      <c r="C98">
        <v>107</v>
      </c>
      <c r="D98" t="s">
        <v>806</v>
      </c>
      <c r="E98" t="s">
        <v>806</v>
      </c>
      <c r="F98" t="s">
        <v>806</v>
      </c>
      <c r="G98">
        <f t="shared" si="3"/>
        <v>107</v>
      </c>
      <c r="H98">
        <f t="shared" si="3"/>
        <v>0</v>
      </c>
      <c r="I98">
        <f t="shared" si="3"/>
        <v>0</v>
      </c>
      <c r="J98">
        <f t="shared" si="3"/>
        <v>0</v>
      </c>
      <c r="K98">
        <f t="shared" si="4"/>
        <v>107</v>
      </c>
      <c r="L98" t="str">
        <f>VLOOKUP(Tabell4[[#This Row],[Nät]],Indexnamn!A:A,1,FALSE)</f>
        <v>Finspång</v>
      </c>
      <c r="M98" t="str">
        <f>IF(ISTEXT(Tabell4[[#This Row],[Indexnamn]]),Tabell4[[#This Row],[Indexnamn]],LOOKUP(Tabell4[[#This Row],[Nät]],Tabell5[Nätnamn],#REF!))</f>
        <v>Finspång</v>
      </c>
      <c r="N98" t="str">
        <f>IF(Tabell4[[#This Row],[Finns i listan ]]=Tabell4[[#This Row],[Indexnamn]],"","NEJ")</f>
        <v/>
      </c>
    </row>
    <row r="99" spans="1:14" x14ac:dyDescent="0.25">
      <c r="A99" t="s">
        <v>847</v>
      </c>
      <c r="B99" t="s">
        <v>114</v>
      </c>
      <c r="C99" t="s">
        <v>805</v>
      </c>
      <c r="D99" t="s">
        <v>805</v>
      </c>
      <c r="E99" t="s">
        <v>805</v>
      </c>
      <c r="F99" t="s">
        <v>805</v>
      </c>
      <c r="G99">
        <f t="shared" si="3"/>
        <v>0</v>
      </c>
      <c r="H99">
        <f t="shared" si="3"/>
        <v>0</v>
      </c>
      <c r="I99">
        <f t="shared" si="3"/>
        <v>0</v>
      </c>
      <c r="J99">
        <f t="shared" si="3"/>
        <v>0</v>
      </c>
      <c r="K99">
        <f t="shared" si="4"/>
        <v>0</v>
      </c>
      <c r="L99" t="e">
        <f>VLOOKUP(Tabell4[[#This Row],[Nät]],Indexnamn!A:A,1,FALSE)</f>
        <v>#N/A</v>
      </c>
      <c r="M99" t="e">
        <f>IF(ISTEXT(Tabell4[[#This Row],[Indexnamn]]),Tabell4[[#This Row],[Indexnamn]],LOOKUP(Tabell4[[#This Row],[Nät]],Tabell5[Nätnamn],#REF!))</f>
        <v>#REF!</v>
      </c>
      <c r="N99" t="e">
        <f>IF(Tabell4[[#This Row],[Finns i listan ]]=Tabell4[[#This Row],[Indexnamn]],"","NEJ")</f>
        <v>#REF!</v>
      </c>
    </row>
    <row r="100" spans="1:14" x14ac:dyDescent="0.25">
      <c r="A100" t="s">
        <v>848</v>
      </c>
      <c r="B100" t="s">
        <v>849</v>
      </c>
      <c r="C100" t="s">
        <v>805</v>
      </c>
      <c r="D100" t="s">
        <v>805</v>
      </c>
      <c r="E100" t="s">
        <v>805</v>
      </c>
      <c r="F100" t="s">
        <v>805</v>
      </c>
      <c r="G100">
        <f t="shared" si="3"/>
        <v>0</v>
      </c>
      <c r="H100">
        <f t="shared" si="3"/>
        <v>0</v>
      </c>
      <c r="I100">
        <f t="shared" si="3"/>
        <v>0</v>
      </c>
      <c r="J100">
        <f t="shared" si="3"/>
        <v>0</v>
      </c>
      <c r="K100">
        <f t="shared" si="4"/>
        <v>0</v>
      </c>
      <c r="L100" t="e">
        <f>VLOOKUP(Tabell4[[#This Row],[Nät]],Indexnamn!A:A,1,FALSE)</f>
        <v>#N/A</v>
      </c>
      <c r="M100" t="e">
        <f>IF(ISTEXT(Tabell4[[#This Row],[Indexnamn]]),Tabell4[[#This Row],[Indexnamn]],LOOKUP(Tabell4[[#This Row],[Nät]],Tabell5[Nätnamn],#REF!))</f>
        <v>#REF!</v>
      </c>
      <c r="N100" t="e">
        <f>IF(Tabell4[[#This Row],[Finns i listan ]]=Tabell4[[#This Row],[Indexnamn]],"","NEJ")</f>
        <v>#REF!</v>
      </c>
    </row>
    <row r="101" spans="1:14" x14ac:dyDescent="0.25">
      <c r="A101" t="s">
        <v>564</v>
      </c>
      <c r="B101" t="s">
        <v>565</v>
      </c>
      <c r="C101" t="s">
        <v>805</v>
      </c>
      <c r="D101" t="s">
        <v>805</v>
      </c>
      <c r="E101" t="s">
        <v>805</v>
      </c>
      <c r="F101" t="s">
        <v>805</v>
      </c>
      <c r="G101">
        <f t="shared" si="3"/>
        <v>0</v>
      </c>
      <c r="H101">
        <f t="shared" si="3"/>
        <v>0</v>
      </c>
      <c r="I101">
        <f t="shared" si="3"/>
        <v>0</v>
      </c>
      <c r="J101">
        <f t="shared" si="3"/>
        <v>0</v>
      </c>
      <c r="K101">
        <f t="shared" si="4"/>
        <v>0</v>
      </c>
      <c r="L101" t="e">
        <f>VLOOKUP(Tabell4[[#This Row],[Nät]],Indexnamn!A:A,1,FALSE)</f>
        <v>#N/A</v>
      </c>
      <c r="M101" t="e">
        <f>IF(ISTEXT(Tabell4[[#This Row],[Indexnamn]]),Tabell4[[#This Row],[Indexnamn]],LOOKUP(Tabell4[[#This Row],[Nät]],Tabell5[Nätnamn],#REF!))</f>
        <v>#REF!</v>
      </c>
      <c r="N101" t="e">
        <f>IF(Tabell4[[#This Row],[Finns i listan ]]=Tabell4[[#This Row],[Indexnamn]],"","NEJ")</f>
        <v>#REF!</v>
      </c>
    </row>
    <row r="102" spans="1:14" x14ac:dyDescent="0.25">
      <c r="A102" t="s">
        <v>564</v>
      </c>
      <c r="B102" t="s">
        <v>570</v>
      </c>
      <c r="C102" t="s">
        <v>805</v>
      </c>
      <c r="D102" t="s">
        <v>805</v>
      </c>
      <c r="E102" t="s">
        <v>805</v>
      </c>
      <c r="F102" t="s">
        <v>805</v>
      </c>
      <c r="G102">
        <f t="shared" si="3"/>
        <v>0</v>
      </c>
      <c r="H102">
        <f t="shared" si="3"/>
        <v>0</v>
      </c>
      <c r="I102">
        <f t="shared" si="3"/>
        <v>0</v>
      </c>
      <c r="J102">
        <f t="shared" si="3"/>
        <v>0</v>
      </c>
      <c r="K102">
        <f t="shared" si="4"/>
        <v>0</v>
      </c>
      <c r="L102" t="e">
        <f>VLOOKUP(Tabell4[[#This Row],[Nät]],Indexnamn!A:A,1,FALSE)</f>
        <v>#N/A</v>
      </c>
      <c r="M102" t="e">
        <f>IF(ISTEXT(Tabell4[[#This Row],[Indexnamn]]),Tabell4[[#This Row],[Indexnamn]],LOOKUP(Tabell4[[#This Row],[Nät]],Tabell5[Nätnamn],#REF!))</f>
        <v>#REF!</v>
      </c>
      <c r="N102" t="e">
        <f>IF(Tabell4[[#This Row],[Finns i listan ]]=Tabell4[[#This Row],[Indexnamn]],"","NEJ")</f>
        <v>#REF!</v>
      </c>
    </row>
    <row r="103" spans="1:14" x14ac:dyDescent="0.25">
      <c r="A103" t="s">
        <v>564</v>
      </c>
      <c r="B103" t="s">
        <v>602</v>
      </c>
      <c r="C103" t="s">
        <v>805</v>
      </c>
      <c r="D103" t="s">
        <v>805</v>
      </c>
      <c r="E103" t="s">
        <v>805</v>
      </c>
      <c r="F103" t="s">
        <v>805</v>
      </c>
      <c r="G103">
        <f t="shared" si="3"/>
        <v>0</v>
      </c>
      <c r="H103">
        <f t="shared" si="3"/>
        <v>0</v>
      </c>
      <c r="I103">
        <f t="shared" si="3"/>
        <v>0</v>
      </c>
      <c r="J103">
        <f t="shared" si="3"/>
        <v>0</v>
      </c>
      <c r="K103">
        <f t="shared" si="4"/>
        <v>0</v>
      </c>
      <c r="L103" t="e">
        <f>VLOOKUP(Tabell4[[#This Row],[Nät]],Indexnamn!A:A,1,FALSE)</f>
        <v>#N/A</v>
      </c>
      <c r="M103" t="e">
        <f>IF(ISTEXT(Tabell4[[#This Row],[Indexnamn]]),Tabell4[[#This Row],[Indexnamn]],LOOKUP(Tabell4[[#This Row],[Nät]],Tabell5[Nätnamn],#REF!))</f>
        <v>#REF!</v>
      </c>
      <c r="N103" t="e">
        <f>IF(Tabell4[[#This Row],[Finns i listan ]]=Tabell4[[#This Row],[Indexnamn]],"","NEJ")</f>
        <v>#REF!</v>
      </c>
    </row>
    <row r="104" spans="1:14" x14ac:dyDescent="0.25">
      <c r="A104" t="s">
        <v>564</v>
      </c>
      <c r="B104" t="s">
        <v>638</v>
      </c>
      <c r="C104" t="s">
        <v>805</v>
      </c>
      <c r="D104" t="s">
        <v>805</v>
      </c>
      <c r="E104" t="s">
        <v>805</v>
      </c>
      <c r="F104" t="s">
        <v>805</v>
      </c>
      <c r="G104">
        <f t="shared" si="3"/>
        <v>0</v>
      </c>
      <c r="H104">
        <f t="shared" si="3"/>
        <v>0</v>
      </c>
      <c r="I104">
        <f t="shared" si="3"/>
        <v>0</v>
      </c>
      <c r="J104">
        <f t="shared" si="3"/>
        <v>0</v>
      </c>
      <c r="K104">
        <f t="shared" si="4"/>
        <v>0</v>
      </c>
      <c r="L104" t="e">
        <f>VLOOKUP(Tabell4[[#This Row],[Nät]],Indexnamn!A:A,1,FALSE)</f>
        <v>#N/A</v>
      </c>
      <c r="M104" t="e">
        <f>IF(ISTEXT(Tabell4[[#This Row],[Indexnamn]]),Tabell4[[#This Row],[Indexnamn]],LOOKUP(Tabell4[[#This Row],[Nät]],Tabell5[Nätnamn],#REF!))</f>
        <v>#REF!</v>
      </c>
      <c r="N104" t="e">
        <f>IF(Tabell4[[#This Row],[Finns i listan ]]=Tabell4[[#This Row],[Indexnamn]],"","NEJ")</f>
        <v>#REF!</v>
      </c>
    </row>
    <row r="105" spans="1:14" x14ac:dyDescent="0.25">
      <c r="A105" t="s">
        <v>564</v>
      </c>
      <c r="B105" t="s">
        <v>700</v>
      </c>
      <c r="C105" t="s">
        <v>805</v>
      </c>
      <c r="D105" t="s">
        <v>805</v>
      </c>
      <c r="E105" t="s">
        <v>805</v>
      </c>
      <c r="F105" t="s">
        <v>805</v>
      </c>
      <c r="G105">
        <f t="shared" si="3"/>
        <v>0</v>
      </c>
      <c r="H105">
        <f t="shared" si="3"/>
        <v>0</v>
      </c>
      <c r="I105">
        <f t="shared" si="3"/>
        <v>0</v>
      </c>
      <c r="J105">
        <f t="shared" si="3"/>
        <v>0</v>
      </c>
      <c r="K105">
        <f t="shared" si="4"/>
        <v>0</v>
      </c>
      <c r="L105" t="e">
        <f>VLOOKUP(Tabell4[[#This Row],[Nät]],Indexnamn!A:A,1,FALSE)</f>
        <v>#N/A</v>
      </c>
      <c r="M105" t="e">
        <f>IF(ISTEXT(Tabell4[[#This Row],[Indexnamn]]),Tabell4[[#This Row],[Indexnamn]],LOOKUP(Tabell4[[#This Row],[Nät]],Tabell5[Nätnamn],#REF!))</f>
        <v>#REF!</v>
      </c>
      <c r="N105" t="e">
        <f>IF(Tabell4[[#This Row],[Finns i listan ]]=Tabell4[[#This Row],[Indexnamn]],"","NEJ")</f>
        <v>#REF!</v>
      </c>
    </row>
    <row r="106" spans="1:14" x14ac:dyDescent="0.25">
      <c r="A106" t="s">
        <v>564</v>
      </c>
      <c r="B106" t="s">
        <v>708</v>
      </c>
      <c r="C106" t="s">
        <v>805</v>
      </c>
      <c r="D106" t="s">
        <v>805</v>
      </c>
      <c r="E106" t="s">
        <v>805</v>
      </c>
      <c r="F106" t="s">
        <v>805</v>
      </c>
      <c r="G106">
        <f t="shared" si="3"/>
        <v>0</v>
      </c>
      <c r="H106">
        <f t="shared" si="3"/>
        <v>0</v>
      </c>
      <c r="I106">
        <f t="shared" si="3"/>
        <v>0</v>
      </c>
      <c r="J106">
        <f t="shared" si="3"/>
        <v>0</v>
      </c>
      <c r="K106">
        <f t="shared" si="4"/>
        <v>0</v>
      </c>
      <c r="L106" t="e">
        <f>VLOOKUP(Tabell4[[#This Row],[Nät]],Indexnamn!A:A,1,FALSE)</f>
        <v>#N/A</v>
      </c>
      <c r="M106" t="e">
        <f>IF(ISTEXT(Tabell4[[#This Row],[Indexnamn]]),Tabell4[[#This Row],[Indexnamn]],LOOKUP(Tabell4[[#This Row],[Nät]],Tabell5[Nätnamn],#REF!))</f>
        <v>#REF!</v>
      </c>
      <c r="N106" t="e">
        <f>IF(Tabell4[[#This Row],[Finns i listan ]]=Tabell4[[#This Row],[Indexnamn]],"","NEJ")</f>
        <v>#REF!</v>
      </c>
    </row>
    <row r="107" spans="1:14" x14ac:dyDescent="0.25">
      <c r="A107" t="s">
        <v>564</v>
      </c>
      <c r="B107" t="s">
        <v>169</v>
      </c>
      <c r="C107" t="s">
        <v>805</v>
      </c>
      <c r="D107" t="s">
        <v>805</v>
      </c>
      <c r="E107" t="s">
        <v>805</v>
      </c>
      <c r="F107" t="s">
        <v>805</v>
      </c>
      <c r="G107">
        <f t="shared" si="3"/>
        <v>0</v>
      </c>
      <c r="H107">
        <f t="shared" si="3"/>
        <v>0</v>
      </c>
      <c r="I107">
        <f t="shared" si="3"/>
        <v>0</v>
      </c>
      <c r="J107">
        <f t="shared" si="3"/>
        <v>0</v>
      </c>
      <c r="K107">
        <f t="shared" si="4"/>
        <v>0</v>
      </c>
      <c r="L107" t="e">
        <f>VLOOKUP(Tabell4[[#This Row],[Nät]],Indexnamn!A:A,1,FALSE)</f>
        <v>#N/A</v>
      </c>
      <c r="M107" t="e">
        <f>IF(ISTEXT(Tabell4[[#This Row],[Indexnamn]]),Tabell4[[#This Row],[Indexnamn]],LOOKUP(Tabell4[[#This Row],[Nät]],Tabell5[Nätnamn],#REF!))</f>
        <v>#REF!</v>
      </c>
      <c r="N107" t="e">
        <f>IF(Tabell4[[#This Row],[Finns i listan ]]=Tabell4[[#This Row],[Indexnamn]],"","NEJ")</f>
        <v>#REF!</v>
      </c>
    </row>
    <row r="108" spans="1:14" x14ac:dyDescent="0.25">
      <c r="A108" t="s">
        <v>610</v>
      </c>
      <c r="B108" t="s">
        <v>443</v>
      </c>
      <c r="C108">
        <v>27.074999999999999</v>
      </c>
      <c r="D108" t="s">
        <v>806</v>
      </c>
      <c r="E108" t="s">
        <v>806</v>
      </c>
      <c r="F108" t="s">
        <v>806</v>
      </c>
      <c r="G108">
        <f t="shared" si="3"/>
        <v>27.074999999999999</v>
      </c>
      <c r="H108">
        <f t="shared" si="3"/>
        <v>0</v>
      </c>
      <c r="I108">
        <f t="shared" si="3"/>
        <v>0</v>
      </c>
      <c r="J108">
        <f t="shared" si="3"/>
        <v>0</v>
      </c>
      <c r="K108">
        <f t="shared" si="4"/>
        <v>27.074999999999999</v>
      </c>
      <c r="L108" t="str">
        <f>VLOOKUP(Tabell4[[#This Row],[Nät]],Indexnamn!A:A,1,FALSE)</f>
        <v>Gislaved</v>
      </c>
      <c r="M108" t="str">
        <f>IF(ISTEXT(Tabell4[[#This Row],[Indexnamn]]),Tabell4[[#This Row],[Indexnamn]],LOOKUP(Tabell4[[#This Row],[Nät]],Tabell5[Nätnamn],#REF!))</f>
        <v>Gislaved</v>
      </c>
      <c r="N108" t="str">
        <f>IF(Tabell4[[#This Row],[Finns i listan ]]=Tabell4[[#This Row],[Indexnamn]],"","NEJ")</f>
        <v/>
      </c>
    </row>
    <row r="109" spans="1:14" x14ac:dyDescent="0.25">
      <c r="A109" t="s">
        <v>610</v>
      </c>
      <c r="B109" t="s">
        <v>132</v>
      </c>
      <c r="C109">
        <v>4.1779999999999999</v>
      </c>
      <c r="D109" t="s">
        <v>806</v>
      </c>
      <c r="E109" t="s">
        <v>806</v>
      </c>
      <c r="F109" t="s">
        <v>806</v>
      </c>
      <c r="G109">
        <f t="shared" si="3"/>
        <v>4.1779999999999999</v>
      </c>
      <c r="H109">
        <f t="shared" si="3"/>
        <v>0</v>
      </c>
      <c r="I109">
        <f t="shared" si="3"/>
        <v>0</v>
      </c>
      <c r="J109">
        <f t="shared" si="3"/>
        <v>0</v>
      </c>
      <c r="K109">
        <f t="shared" si="4"/>
        <v>4.1779999999999999</v>
      </c>
      <c r="L109" t="str">
        <f>VLOOKUP(Tabell4[[#This Row],[Nät]],Indexnamn!A:A,1,FALSE)</f>
        <v>Hestra</v>
      </c>
      <c r="M109" t="str">
        <f>IF(ISTEXT(Tabell4[[#This Row],[Indexnamn]]),Tabell4[[#This Row],[Indexnamn]],LOOKUP(Tabell4[[#This Row],[Nät]],Tabell5[Nätnamn],#REF!))</f>
        <v>Hestra</v>
      </c>
      <c r="N109" t="str">
        <f>IF(Tabell4[[#This Row],[Finns i listan ]]=Tabell4[[#This Row],[Indexnamn]],"","NEJ")</f>
        <v/>
      </c>
    </row>
    <row r="110" spans="1:14" x14ac:dyDescent="0.25">
      <c r="A110" t="s">
        <v>610</v>
      </c>
      <c r="B110" t="s">
        <v>413</v>
      </c>
      <c r="C110">
        <v>2.09</v>
      </c>
      <c r="D110" t="s">
        <v>806</v>
      </c>
      <c r="E110" t="s">
        <v>806</v>
      </c>
      <c r="F110" t="s">
        <v>806</v>
      </c>
      <c r="G110">
        <f t="shared" si="3"/>
        <v>2.09</v>
      </c>
      <c r="H110">
        <f t="shared" si="3"/>
        <v>0</v>
      </c>
      <c r="I110">
        <f t="shared" si="3"/>
        <v>0</v>
      </c>
      <c r="J110">
        <f t="shared" si="3"/>
        <v>0</v>
      </c>
      <c r="K110">
        <f t="shared" si="4"/>
        <v>2.09</v>
      </c>
      <c r="L110" t="str">
        <f>VLOOKUP(Tabell4[[#This Row],[Nät]],Indexnamn!A:A,1,FALSE)</f>
        <v>Reftele</v>
      </c>
      <c r="M110" t="str">
        <f>IF(ISTEXT(Tabell4[[#This Row],[Indexnamn]]),Tabell4[[#This Row],[Indexnamn]],LOOKUP(Tabell4[[#This Row],[Nät]],Tabell5[Nätnamn],#REF!))</f>
        <v>Reftele</v>
      </c>
      <c r="N110" t="str">
        <f>IF(Tabell4[[#This Row],[Finns i listan ]]=Tabell4[[#This Row],[Indexnamn]],"","NEJ")</f>
        <v/>
      </c>
    </row>
    <row r="111" spans="1:14" x14ac:dyDescent="0.25">
      <c r="A111" t="s">
        <v>627</v>
      </c>
      <c r="B111" t="s">
        <v>134</v>
      </c>
      <c r="C111">
        <v>12.173999999999999</v>
      </c>
      <c r="D111" t="s">
        <v>806</v>
      </c>
      <c r="E111" t="s">
        <v>806</v>
      </c>
      <c r="F111" t="s">
        <v>806</v>
      </c>
      <c r="G111">
        <f t="shared" si="3"/>
        <v>12.173999999999999</v>
      </c>
      <c r="H111">
        <f t="shared" si="3"/>
        <v>0</v>
      </c>
      <c r="I111">
        <f t="shared" si="3"/>
        <v>0</v>
      </c>
      <c r="J111">
        <f t="shared" si="3"/>
        <v>0</v>
      </c>
      <c r="K111">
        <f t="shared" si="4"/>
        <v>12.173999999999999</v>
      </c>
      <c r="L111" t="str">
        <f>VLOOKUP(Tabell4[[#This Row],[Nät]],Indexnamn!A:A,1,FALSE)</f>
        <v>Hemse</v>
      </c>
      <c r="M111" t="str">
        <f>IF(ISTEXT(Tabell4[[#This Row],[Indexnamn]]),Tabell4[[#This Row],[Indexnamn]],LOOKUP(Tabell4[[#This Row],[Nät]],Tabell5[Nätnamn],#REF!))</f>
        <v>Hemse</v>
      </c>
      <c r="N111" t="str">
        <f>IF(Tabell4[[#This Row],[Finns i listan ]]=Tabell4[[#This Row],[Indexnamn]],"","NEJ")</f>
        <v/>
      </c>
    </row>
    <row r="112" spans="1:14" x14ac:dyDescent="0.25">
      <c r="A112" t="s">
        <v>627</v>
      </c>
      <c r="B112" t="s">
        <v>135</v>
      </c>
      <c r="C112">
        <v>7.9749999999999996</v>
      </c>
      <c r="D112" t="s">
        <v>806</v>
      </c>
      <c r="E112" t="s">
        <v>806</v>
      </c>
      <c r="F112" t="s">
        <v>806</v>
      </c>
      <c r="G112">
        <f t="shared" si="3"/>
        <v>7.9749999999999996</v>
      </c>
      <c r="H112">
        <f t="shared" si="3"/>
        <v>0</v>
      </c>
      <c r="I112">
        <f t="shared" si="3"/>
        <v>0</v>
      </c>
      <c r="J112">
        <f t="shared" si="3"/>
        <v>0</v>
      </c>
      <c r="K112">
        <f t="shared" si="4"/>
        <v>7.9749999999999996</v>
      </c>
      <c r="L112" t="str">
        <f>VLOOKUP(Tabell4[[#This Row],[Nät]],Indexnamn!A:A,1,FALSE)</f>
        <v>Klintehamn</v>
      </c>
      <c r="M112" t="str">
        <f>IF(ISTEXT(Tabell4[[#This Row],[Indexnamn]]),Tabell4[[#This Row],[Indexnamn]],LOOKUP(Tabell4[[#This Row],[Nät]],Tabell5[Nätnamn],#REF!))</f>
        <v>Klintehamn</v>
      </c>
      <c r="N112" t="str">
        <f>IF(Tabell4[[#This Row],[Finns i listan ]]=Tabell4[[#This Row],[Indexnamn]],"","NEJ")</f>
        <v/>
      </c>
    </row>
    <row r="113" spans="1:17" x14ac:dyDescent="0.25">
      <c r="A113" t="s">
        <v>627</v>
      </c>
      <c r="B113" t="s">
        <v>136</v>
      </c>
      <c r="C113">
        <v>16.611000000000001</v>
      </c>
      <c r="D113" t="s">
        <v>806</v>
      </c>
      <c r="E113" t="s">
        <v>806</v>
      </c>
      <c r="F113" t="s">
        <v>806</v>
      </c>
      <c r="G113">
        <f t="shared" si="3"/>
        <v>16.611000000000001</v>
      </c>
      <c r="H113">
        <f t="shared" si="3"/>
        <v>0</v>
      </c>
      <c r="I113">
        <f t="shared" si="3"/>
        <v>0</v>
      </c>
      <c r="J113">
        <f t="shared" si="3"/>
        <v>0</v>
      </c>
      <c r="K113">
        <f t="shared" si="4"/>
        <v>16.611000000000001</v>
      </c>
      <c r="L113" t="str">
        <f>VLOOKUP(Tabell4[[#This Row],[Nät]],Indexnamn!A:A,1,FALSE)</f>
        <v>Slite</v>
      </c>
      <c r="M113" t="str">
        <f>IF(ISTEXT(Tabell4[[#This Row],[Indexnamn]]),Tabell4[[#This Row],[Indexnamn]],LOOKUP(Tabell4[[#This Row],[Nät]],Tabell5[Nätnamn],#REF!))</f>
        <v>Slite</v>
      </c>
      <c r="N113" t="str">
        <f>IF(Tabell4[[#This Row],[Finns i listan ]]=Tabell4[[#This Row],[Indexnamn]],"","NEJ")</f>
        <v/>
      </c>
    </row>
    <row r="114" spans="1:17" x14ac:dyDescent="0.25">
      <c r="A114" t="s">
        <v>627</v>
      </c>
      <c r="B114" t="s">
        <v>133</v>
      </c>
      <c r="C114">
        <v>173.37</v>
      </c>
      <c r="D114" t="s">
        <v>806</v>
      </c>
      <c r="E114" t="s">
        <v>806</v>
      </c>
      <c r="F114" t="s">
        <v>806</v>
      </c>
      <c r="G114">
        <f t="shared" si="3"/>
        <v>173.37</v>
      </c>
      <c r="H114">
        <f t="shared" si="3"/>
        <v>0</v>
      </c>
      <c r="I114">
        <f t="shared" si="3"/>
        <v>0</v>
      </c>
      <c r="J114">
        <f t="shared" si="3"/>
        <v>0</v>
      </c>
      <c r="K114">
        <f t="shared" si="4"/>
        <v>173.37</v>
      </c>
      <c r="L114" t="str">
        <f>VLOOKUP(Tabell4[[#This Row],[Nät]],Indexnamn!A:A,1,FALSE)</f>
        <v>Visby</v>
      </c>
      <c r="M114" t="str">
        <f>IF(ISTEXT(Tabell4[[#This Row],[Indexnamn]]),Tabell4[[#This Row],[Indexnamn]],LOOKUP(Tabell4[[#This Row],[Nät]],Tabell5[Nätnamn],#REF!))</f>
        <v>Visby</v>
      </c>
      <c r="N114" t="str">
        <f>IF(Tabell4[[#This Row],[Finns i listan ]]=Tabell4[[#This Row],[Indexnamn]],"","NEJ")</f>
        <v/>
      </c>
    </row>
    <row r="115" spans="1:17" x14ac:dyDescent="0.25">
      <c r="A115" t="s">
        <v>613</v>
      </c>
      <c r="B115" t="s">
        <v>137</v>
      </c>
      <c r="C115">
        <v>162</v>
      </c>
      <c r="D115" t="s">
        <v>806</v>
      </c>
      <c r="E115" t="s">
        <v>806</v>
      </c>
      <c r="F115" t="s">
        <v>806</v>
      </c>
      <c r="G115">
        <f t="shared" si="3"/>
        <v>162</v>
      </c>
      <c r="H115">
        <f t="shared" si="3"/>
        <v>0</v>
      </c>
      <c r="I115">
        <f t="shared" si="3"/>
        <v>0</v>
      </c>
      <c r="J115">
        <f t="shared" si="3"/>
        <v>0</v>
      </c>
      <c r="K115">
        <f t="shared" si="4"/>
        <v>162</v>
      </c>
      <c r="L115" t="e">
        <f>VLOOKUP(Tabell4[[#This Row],[Nät]],Indexnamn!A:A,1,FALSE)</f>
        <v>#N/A</v>
      </c>
      <c r="M115" t="e">
        <f>IF(ISTEXT(Tabell4[[#This Row],[Indexnamn]]),Tabell4[[#This Row],[Indexnamn]],LOOKUP(Tabell4[[#This Row],[Nät]],Tabell5[Nätnamn],#REF!))</f>
        <v>#REF!</v>
      </c>
      <c r="N115" t="e">
        <f>IF(Tabell4[[#This Row],[Finns i listan ]]=Tabell4[[#This Row],[Indexnamn]],"","NEJ")</f>
        <v>#REF!</v>
      </c>
    </row>
    <row r="116" spans="1:17" x14ac:dyDescent="0.25">
      <c r="A116" t="s">
        <v>615</v>
      </c>
      <c r="B116" t="s">
        <v>138</v>
      </c>
      <c r="C116">
        <v>684.8</v>
      </c>
      <c r="D116" t="s">
        <v>806</v>
      </c>
      <c r="E116" t="s">
        <v>806</v>
      </c>
      <c r="F116" t="s">
        <v>806</v>
      </c>
      <c r="G116">
        <f t="shared" si="3"/>
        <v>684.8</v>
      </c>
      <c r="H116">
        <f t="shared" si="3"/>
        <v>0</v>
      </c>
      <c r="I116">
        <f t="shared" si="3"/>
        <v>0</v>
      </c>
      <c r="J116">
        <f t="shared" si="3"/>
        <v>0</v>
      </c>
      <c r="K116">
        <f t="shared" si="4"/>
        <v>684.8</v>
      </c>
      <c r="L116" t="str">
        <f>VLOOKUP(Tabell4[[#This Row],[Nät]],Indexnamn!A:A,1,FALSE)</f>
        <v>Gävle</v>
      </c>
      <c r="M116" t="str">
        <f>IF(ISTEXT(Tabell4[[#This Row],[Indexnamn]]),Tabell4[[#This Row],[Indexnamn]],LOOKUP(Tabell4[[#This Row],[Nät]],Tabell5[Nätnamn],#REF!))</f>
        <v>Gävle</v>
      </c>
      <c r="N116" t="str">
        <f>IF(Tabell4[[#This Row],[Finns i listan ]]=Tabell4[[#This Row],[Indexnamn]],"","NEJ")</f>
        <v/>
      </c>
    </row>
    <row r="117" spans="1:17" x14ac:dyDescent="0.25">
      <c r="A117" t="s">
        <v>616</v>
      </c>
      <c r="B117" t="s">
        <v>810</v>
      </c>
      <c r="C117" t="s">
        <v>806</v>
      </c>
      <c r="D117" t="s">
        <v>806</v>
      </c>
      <c r="E117" t="s">
        <v>806</v>
      </c>
      <c r="F117" t="s">
        <v>806</v>
      </c>
      <c r="G117">
        <f t="shared" si="3"/>
        <v>0</v>
      </c>
      <c r="H117">
        <f t="shared" si="3"/>
        <v>0</v>
      </c>
      <c r="I117">
        <f t="shared" si="3"/>
        <v>0</v>
      </c>
      <c r="J117">
        <f t="shared" si="3"/>
        <v>0</v>
      </c>
      <c r="K117">
        <f t="shared" si="4"/>
        <v>0</v>
      </c>
      <c r="L117" t="e">
        <f>VLOOKUP(Tabell4[[#This Row],[Nät]],Indexnamn!A:A,1,FALSE)</f>
        <v>#N/A</v>
      </c>
      <c r="N117" t="e">
        <f>IF(Tabell4[[#This Row],[Finns i listan ]]=Tabell4[[#This Row],[Indexnamn]],"","NEJ")</f>
        <v>#N/A</v>
      </c>
    </row>
    <row r="118" spans="1:17" x14ac:dyDescent="0.25">
      <c r="A118" t="s">
        <v>616</v>
      </c>
      <c r="B118" t="s">
        <v>811</v>
      </c>
      <c r="C118">
        <f>3319.03+C119</f>
        <v>3478.25</v>
      </c>
      <c r="D118">
        <v>29</v>
      </c>
      <c r="E118">
        <v>22.9</v>
      </c>
      <c r="F118">
        <v>141</v>
      </c>
      <c r="G118">
        <f t="shared" si="3"/>
        <v>3478.25</v>
      </c>
      <c r="H118">
        <f t="shared" si="3"/>
        <v>29</v>
      </c>
      <c r="I118">
        <f t="shared" si="3"/>
        <v>22.9</v>
      </c>
      <c r="J118">
        <f t="shared" si="3"/>
        <v>141</v>
      </c>
      <c r="K118">
        <f>Tabell4[[#This Row],[C]]-Tabell4[[#This Row],[D]]-Tabell4[[#This Row],[E]]-Tabell4[[#This Row],[F]]+K119</f>
        <v>3444.5699999999997</v>
      </c>
      <c r="L118" t="e">
        <f>VLOOKUP(Tabell4[[#This Row],[Nät]],Indexnamn!A:A,1,FALSE)</f>
        <v>#N/A</v>
      </c>
      <c r="M118" t="e">
        <f>IF(ISTEXT(Tabell4[[#This Row],[Indexnamn]]),Tabell4[[#This Row],[Indexnamn]],LOOKUP(Tabell4[[#This Row],[Nät]],Tabell5[Nätnamn],#REF!))</f>
        <v>#REF!</v>
      </c>
      <c r="N118" t="e">
        <f>IF(Tabell4[[#This Row],[Finns i listan ]]=Tabell4[[#This Row],[Indexnamn]],"","NEJ")</f>
        <v>#REF!</v>
      </c>
      <c r="Q118">
        <f>Tabell4[[#This Row],[Leveranser till eget nät]]+K119</f>
        <v>3603.7899999999995</v>
      </c>
    </row>
    <row r="119" spans="1:17" x14ac:dyDescent="0.25">
      <c r="A119" t="s">
        <v>616</v>
      </c>
      <c r="B119" t="s">
        <v>812</v>
      </c>
      <c r="C119">
        <v>159.22</v>
      </c>
      <c r="D119" t="s">
        <v>806</v>
      </c>
      <c r="E119" t="s">
        <v>806</v>
      </c>
      <c r="F119" t="s">
        <v>806</v>
      </c>
      <c r="G119">
        <f t="shared" si="3"/>
        <v>159.22</v>
      </c>
      <c r="H119">
        <f t="shared" si="3"/>
        <v>0</v>
      </c>
      <c r="I119">
        <f t="shared" si="3"/>
        <v>0</v>
      </c>
      <c r="J119">
        <f t="shared" si="3"/>
        <v>0</v>
      </c>
      <c r="K119">
        <f t="shared" si="4"/>
        <v>159.22</v>
      </c>
      <c r="L119" t="e">
        <f>VLOOKUP(Tabell4[[#This Row],[Nät]],Indexnamn!A:A,1,FALSE)</f>
        <v>#N/A</v>
      </c>
      <c r="N119" t="e">
        <f>IF(Tabell4[[#This Row],[Finns i listan ]]=Tabell4[[#This Row],[Indexnamn]],"","NEJ")</f>
        <v>#N/A</v>
      </c>
    </row>
    <row r="120" spans="1:17" x14ac:dyDescent="0.25">
      <c r="A120" t="s">
        <v>616</v>
      </c>
      <c r="B120" t="s">
        <v>616</v>
      </c>
      <c r="C120" t="s">
        <v>806</v>
      </c>
      <c r="D120" t="s">
        <v>806</v>
      </c>
      <c r="E120" t="s">
        <v>806</v>
      </c>
      <c r="F120" t="s">
        <v>806</v>
      </c>
      <c r="G120">
        <f t="shared" si="3"/>
        <v>0</v>
      </c>
      <c r="H120">
        <f t="shared" si="3"/>
        <v>0</v>
      </c>
      <c r="I120">
        <f t="shared" si="3"/>
        <v>0</v>
      </c>
      <c r="J120">
        <f t="shared" si="3"/>
        <v>0</v>
      </c>
      <c r="K120">
        <f t="shared" si="4"/>
        <v>0</v>
      </c>
      <c r="L120" t="e">
        <f>VLOOKUP(Tabell4[[#This Row],[Nät]],Indexnamn!A:A,1,FALSE)</f>
        <v>#N/A</v>
      </c>
      <c r="N120" t="e">
        <f>IF(Tabell4[[#This Row],[Finns i listan ]]=Tabell4[[#This Row],[Indexnamn]],"","NEJ")</f>
        <v>#N/A</v>
      </c>
    </row>
    <row r="121" spans="1:17" x14ac:dyDescent="0.25">
      <c r="A121" t="s">
        <v>616</v>
      </c>
      <c r="B121" t="s">
        <v>813</v>
      </c>
      <c r="C121" t="s">
        <v>806</v>
      </c>
      <c r="D121" t="s">
        <v>806</v>
      </c>
      <c r="E121" t="s">
        <v>806</v>
      </c>
      <c r="F121" t="s">
        <v>806</v>
      </c>
      <c r="G121">
        <f t="shared" si="3"/>
        <v>0</v>
      </c>
      <c r="H121">
        <f t="shared" si="3"/>
        <v>0</v>
      </c>
      <c r="I121">
        <f t="shared" si="3"/>
        <v>0</v>
      </c>
      <c r="J121">
        <f t="shared" si="3"/>
        <v>0</v>
      </c>
      <c r="K121">
        <f t="shared" si="4"/>
        <v>0</v>
      </c>
      <c r="L121" t="e">
        <f>VLOOKUP(Tabell4[[#This Row],[Nät]],Indexnamn!A:A,1,FALSE)</f>
        <v>#N/A</v>
      </c>
      <c r="N121" t="e">
        <f>IF(Tabell4[[#This Row],[Finns i listan ]]=Tabell4[[#This Row],[Indexnamn]],"","NEJ")</f>
        <v>#N/A</v>
      </c>
    </row>
    <row r="122" spans="1:17" x14ac:dyDescent="0.25">
      <c r="A122" t="s">
        <v>616</v>
      </c>
      <c r="B122" t="s">
        <v>814</v>
      </c>
      <c r="C122" t="s">
        <v>806</v>
      </c>
      <c r="D122" t="s">
        <v>806</v>
      </c>
      <c r="E122" t="s">
        <v>806</v>
      </c>
      <c r="F122" t="s">
        <v>806</v>
      </c>
      <c r="G122">
        <f t="shared" si="3"/>
        <v>0</v>
      </c>
      <c r="H122">
        <f t="shared" si="3"/>
        <v>0</v>
      </c>
      <c r="I122">
        <f t="shared" si="3"/>
        <v>0</v>
      </c>
      <c r="J122">
        <f t="shared" si="3"/>
        <v>0</v>
      </c>
      <c r="K122">
        <f t="shared" si="4"/>
        <v>0</v>
      </c>
      <c r="L122" t="e">
        <f>VLOOKUP(Tabell4[[#This Row],[Nät]],Indexnamn!A:A,1,FALSE)</f>
        <v>#N/A</v>
      </c>
      <c r="N122" t="e">
        <f>IF(Tabell4[[#This Row],[Finns i listan ]]=Tabell4[[#This Row],[Indexnamn]],"","NEJ")</f>
        <v>#N/A</v>
      </c>
    </row>
    <row r="123" spans="1:17" x14ac:dyDescent="0.25">
      <c r="A123" t="s">
        <v>616</v>
      </c>
      <c r="B123" t="s">
        <v>815</v>
      </c>
      <c r="C123" t="s">
        <v>806</v>
      </c>
      <c r="D123" t="s">
        <v>806</v>
      </c>
      <c r="E123" t="s">
        <v>806</v>
      </c>
      <c r="F123" t="s">
        <v>806</v>
      </c>
      <c r="G123">
        <f t="shared" si="3"/>
        <v>0</v>
      </c>
      <c r="H123">
        <f t="shared" si="3"/>
        <v>0</v>
      </c>
      <c r="I123">
        <f t="shared" si="3"/>
        <v>0</v>
      </c>
      <c r="J123">
        <f t="shared" si="3"/>
        <v>0</v>
      </c>
      <c r="K123">
        <f t="shared" si="4"/>
        <v>0</v>
      </c>
      <c r="L123" t="e">
        <f>VLOOKUP(Tabell4[[#This Row],[Nät]],Indexnamn!A:A,1,FALSE)</f>
        <v>#N/A</v>
      </c>
      <c r="N123" t="e">
        <f>IF(Tabell4[[#This Row],[Finns i listan ]]=Tabell4[[#This Row],[Indexnamn]],"","NEJ")</f>
        <v>#N/A</v>
      </c>
    </row>
    <row r="124" spans="1:17" x14ac:dyDescent="0.25">
      <c r="A124" t="s">
        <v>618</v>
      </c>
      <c r="B124" t="s">
        <v>139</v>
      </c>
      <c r="C124">
        <v>117.6</v>
      </c>
      <c r="D124" t="s">
        <v>806</v>
      </c>
      <c r="E124" t="s">
        <v>806</v>
      </c>
      <c r="F124" t="s">
        <v>806</v>
      </c>
      <c r="G124">
        <f t="shared" si="3"/>
        <v>117.6</v>
      </c>
      <c r="H124">
        <f t="shared" si="3"/>
        <v>0</v>
      </c>
      <c r="I124">
        <f t="shared" si="3"/>
        <v>0</v>
      </c>
      <c r="J124">
        <f t="shared" si="3"/>
        <v>0</v>
      </c>
      <c r="K124">
        <f t="shared" si="4"/>
        <v>117.6</v>
      </c>
      <c r="L124" t="str">
        <f>VLOOKUP(Tabell4[[#This Row],[Nät]],Indexnamn!A:A,1,FALSE)</f>
        <v>Götene</v>
      </c>
      <c r="M124" t="str">
        <f>IF(ISTEXT(Tabell4[[#This Row],[Indexnamn]]),Tabell4[[#This Row],[Indexnamn]],LOOKUP(Tabell4[[#This Row],[Nät]],Tabell5[Nätnamn],#REF!))</f>
        <v>Götene</v>
      </c>
      <c r="N124" t="str">
        <f>IF(Tabell4[[#This Row],[Finns i listan ]]=Tabell4[[#This Row],[Indexnamn]],"","NEJ")</f>
        <v/>
      </c>
    </row>
    <row r="125" spans="1:17" x14ac:dyDescent="0.25">
      <c r="A125" t="s">
        <v>618</v>
      </c>
      <c r="B125" t="s">
        <v>140</v>
      </c>
      <c r="C125">
        <v>2.6</v>
      </c>
      <c r="D125" t="s">
        <v>806</v>
      </c>
      <c r="E125" t="s">
        <v>806</v>
      </c>
      <c r="F125" t="s">
        <v>806</v>
      </c>
      <c r="G125">
        <f t="shared" si="3"/>
        <v>2.6</v>
      </c>
      <c r="H125">
        <f t="shared" si="3"/>
        <v>0</v>
      </c>
      <c r="I125">
        <f t="shared" si="3"/>
        <v>0</v>
      </c>
      <c r="J125">
        <f t="shared" si="3"/>
        <v>0</v>
      </c>
      <c r="K125">
        <f t="shared" si="4"/>
        <v>2.6</v>
      </c>
      <c r="L125" t="str">
        <f>VLOOKUP(Tabell4[[#This Row],[Nät]],Indexnamn!A:A,1,FALSE)</f>
        <v>Hällekis</v>
      </c>
      <c r="M125" t="str">
        <f>IF(ISTEXT(Tabell4[[#This Row],[Indexnamn]]),Tabell4[[#This Row],[Indexnamn]],LOOKUP(Tabell4[[#This Row],[Nät]],Tabell5[Nätnamn],#REF!))</f>
        <v>Hällekis</v>
      </c>
      <c r="N125" t="str">
        <f>IF(Tabell4[[#This Row],[Finns i listan ]]=Tabell4[[#This Row],[Indexnamn]],"","NEJ")</f>
        <v/>
      </c>
    </row>
    <row r="126" spans="1:17" x14ac:dyDescent="0.25">
      <c r="A126" t="s">
        <v>619</v>
      </c>
      <c r="B126" t="s">
        <v>141</v>
      </c>
      <c r="C126">
        <v>20.8</v>
      </c>
      <c r="D126" t="s">
        <v>806</v>
      </c>
      <c r="E126" t="s">
        <v>806</v>
      </c>
      <c r="F126" t="s">
        <v>806</v>
      </c>
      <c r="G126">
        <f t="shared" si="3"/>
        <v>20.8</v>
      </c>
      <c r="H126">
        <f t="shared" si="3"/>
        <v>0</v>
      </c>
      <c r="I126">
        <f t="shared" si="3"/>
        <v>0</v>
      </c>
      <c r="J126">
        <f t="shared" si="3"/>
        <v>0</v>
      </c>
      <c r="K126">
        <f t="shared" si="4"/>
        <v>20.8</v>
      </c>
      <c r="L126" t="str">
        <f>VLOOKUP(Tabell4[[#This Row],[Nät]],Indexnamn!A:A,1,FALSE)</f>
        <v>Habo</v>
      </c>
      <c r="M126" t="str">
        <f>IF(ISTEXT(Tabell4[[#This Row],[Indexnamn]]),Tabell4[[#This Row],[Indexnamn]],LOOKUP(Tabell4[[#This Row],[Nät]],Tabell5[Nätnamn],#REF!))</f>
        <v>Habo</v>
      </c>
      <c r="N126" t="str">
        <f>IF(Tabell4[[#This Row],[Finns i listan ]]=Tabell4[[#This Row],[Indexnamn]],"","NEJ")</f>
        <v/>
      </c>
    </row>
    <row r="127" spans="1:17" x14ac:dyDescent="0.25">
      <c r="A127" t="s">
        <v>587</v>
      </c>
      <c r="B127" t="s">
        <v>588</v>
      </c>
      <c r="C127">
        <v>12.06</v>
      </c>
      <c r="D127" t="s">
        <v>806</v>
      </c>
      <c r="E127" t="s">
        <v>806</v>
      </c>
      <c r="F127" t="s">
        <v>806</v>
      </c>
      <c r="G127">
        <f t="shared" si="3"/>
        <v>12.06</v>
      </c>
      <c r="H127">
        <f t="shared" si="3"/>
        <v>0</v>
      </c>
      <c r="I127">
        <f t="shared" si="3"/>
        <v>0</v>
      </c>
      <c r="J127">
        <f t="shared" si="3"/>
        <v>0</v>
      </c>
      <c r="K127">
        <f t="shared" si="4"/>
        <v>12.06</v>
      </c>
      <c r="L127" t="str">
        <f>VLOOKUP(Tabell4[[#This Row],[Nät]],Indexnamn!A:A,1,FALSE)</f>
        <v>Ekshärad</v>
      </c>
      <c r="M127" t="str">
        <f>IF(ISTEXT(Tabell4[[#This Row],[Indexnamn]]),Tabell4[[#This Row],[Indexnamn]],LOOKUP(Tabell4[[#This Row],[Nät]],Tabell5[Nätnamn],#REF!))</f>
        <v>Ekshärad</v>
      </c>
      <c r="N127" t="str">
        <f>IF(Tabell4[[#This Row],[Finns i listan ]]=Tabell4[[#This Row],[Indexnamn]],"","NEJ")</f>
        <v/>
      </c>
    </row>
    <row r="128" spans="1:17" x14ac:dyDescent="0.25">
      <c r="A128" t="s">
        <v>587</v>
      </c>
      <c r="B128" t="s">
        <v>520</v>
      </c>
      <c r="C128">
        <v>51.01</v>
      </c>
      <c r="D128" t="s">
        <v>806</v>
      </c>
      <c r="E128" t="s">
        <v>806</v>
      </c>
      <c r="F128" t="s">
        <v>806</v>
      </c>
      <c r="G128">
        <f t="shared" si="3"/>
        <v>51.01</v>
      </c>
      <c r="H128">
        <f t="shared" si="3"/>
        <v>0</v>
      </c>
      <c r="I128">
        <f t="shared" si="3"/>
        <v>0</v>
      </c>
      <c r="J128">
        <f t="shared" si="3"/>
        <v>0</v>
      </c>
      <c r="K128">
        <f t="shared" si="4"/>
        <v>51.01</v>
      </c>
      <c r="L128" t="str">
        <f>VLOOKUP(Tabell4[[#This Row],[Nät]],Indexnamn!A:A,1,FALSE)</f>
        <v>Hagfors</v>
      </c>
      <c r="M128" t="str">
        <f>IF(ISTEXT(Tabell4[[#This Row],[Indexnamn]]),Tabell4[[#This Row],[Indexnamn]],LOOKUP(Tabell4[[#This Row],[Nät]],Tabell5[Nätnamn],#REF!))</f>
        <v>Hagfors</v>
      </c>
      <c r="N128" t="str">
        <f>IF(Tabell4[[#This Row],[Finns i listan ]]=Tabell4[[#This Row],[Indexnamn]],"","NEJ")</f>
        <v/>
      </c>
    </row>
    <row r="129" spans="1:14" x14ac:dyDescent="0.25">
      <c r="A129" t="s">
        <v>587</v>
      </c>
      <c r="B129" t="s">
        <v>712</v>
      </c>
      <c r="C129">
        <v>0.25700000000000001</v>
      </c>
      <c r="D129" t="s">
        <v>806</v>
      </c>
      <c r="E129" t="s">
        <v>806</v>
      </c>
      <c r="F129" t="s">
        <v>806</v>
      </c>
      <c r="G129">
        <f t="shared" si="3"/>
        <v>0.25700000000000001</v>
      </c>
      <c r="H129">
        <f t="shared" si="3"/>
        <v>0</v>
      </c>
      <c r="I129">
        <f t="shared" si="3"/>
        <v>0</v>
      </c>
      <c r="J129">
        <f t="shared" si="3"/>
        <v>0</v>
      </c>
      <c r="K129">
        <f t="shared" si="4"/>
        <v>0.25700000000000001</v>
      </c>
      <c r="L129" t="str">
        <f>VLOOKUP(Tabell4[[#This Row],[Nät]],Indexnamn!A:A,1,FALSE)</f>
        <v>Sunnemo</v>
      </c>
      <c r="M129" t="str">
        <f>IF(ISTEXT(Tabell4[[#This Row],[Indexnamn]]),Tabell4[[#This Row],[Indexnamn]],LOOKUP(Tabell4[[#This Row],[Nät]],Tabell5[Nätnamn],#REF!))</f>
        <v>Sunnemo</v>
      </c>
      <c r="N129" t="str">
        <f>IF(Tabell4[[#This Row],[Finns i listan ]]=Tabell4[[#This Row],[Indexnamn]],"","NEJ")</f>
        <v/>
      </c>
    </row>
    <row r="130" spans="1:14" x14ac:dyDescent="0.25">
      <c r="A130" t="s">
        <v>622</v>
      </c>
      <c r="B130" t="s">
        <v>142</v>
      </c>
      <c r="C130">
        <v>566</v>
      </c>
      <c r="D130" t="s">
        <v>806</v>
      </c>
      <c r="E130" t="s">
        <v>806</v>
      </c>
      <c r="F130" t="s">
        <v>806</v>
      </c>
      <c r="G130">
        <f t="shared" si="3"/>
        <v>566</v>
      </c>
      <c r="H130">
        <f t="shared" si="3"/>
        <v>0</v>
      </c>
      <c r="I130">
        <f t="shared" si="3"/>
        <v>0</v>
      </c>
      <c r="J130">
        <f t="shared" ref="J130:J193" si="5">IF(ISTEXT(F130),0,F130)</f>
        <v>0</v>
      </c>
      <c r="K130">
        <f t="shared" si="4"/>
        <v>566</v>
      </c>
      <c r="L130" t="str">
        <f>VLOOKUP(Tabell4[[#This Row],[Nät]],Indexnamn!A:A,1,FALSE)</f>
        <v>Halmstad</v>
      </c>
      <c r="M130" t="str">
        <f>IF(ISTEXT(Tabell4[[#This Row],[Indexnamn]]),Tabell4[[#This Row],[Indexnamn]],LOOKUP(Tabell4[[#This Row],[Nät]],Tabell5[Nätnamn],#REF!))</f>
        <v>Halmstad</v>
      </c>
      <c r="N130" t="str">
        <f>IF(Tabell4[[#This Row],[Finns i listan ]]=Tabell4[[#This Row],[Indexnamn]],"","NEJ")</f>
        <v/>
      </c>
    </row>
    <row r="131" spans="1:14" x14ac:dyDescent="0.25">
      <c r="A131" t="s">
        <v>698</v>
      </c>
      <c r="B131" t="s">
        <v>143</v>
      </c>
      <c r="C131">
        <v>46.6</v>
      </c>
      <c r="D131" t="s">
        <v>806</v>
      </c>
      <c r="E131" t="s">
        <v>806</v>
      </c>
      <c r="F131" t="s">
        <v>806</v>
      </c>
      <c r="G131">
        <f t="shared" ref="G131:J194" si="6">IF(ISTEXT(C131),0,C131)</f>
        <v>46.6</v>
      </c>
      <c r="H131">
        <f t="shared" si="6"/>
        <v>0</v>
      </c>
      <c r="I131">
        <f t="shared" si="6"/>
        <v>0</v>
      </c>
      <c r="J131">
        <f t="shared" si="5"/>
        <v>0</v>
      </c>
      <c r="K131">
        <f t="shared" ref="K131:K194" si="7">G131-H131-I131-J131</f>
        <v>46.6</v>
      </c>
      <c r="L131" t="str">
        <f>VLOOKUP(Tabell4[[#This Row],[Nät]],Indexnamn!A:A,1,FALSE)</f>
        <v>Skoghall</v>
      </c>
      <c r="M131" t="str">
        <f>IF(ISTEXT(Tabell4[[#This Row],[Indexnamn]]),Tabell4[[#This Row],[Indexnamn]],LOOKUP(Tabell4[[#This Row],[Nät]],Tabell5[Nätnamn],#REF!))</f>
        <v>Skoghall</v>
      </c>
      <c r="N131" t="str">
        <f>IF(Tabell4[[#This Row],[Finns i listan ]]=Tabell4[[#This Row],[Indexnamn]],"","NEJ")</f>
        <v/>
      </c>
    </row>
    <row r="132" spans="1:14" x14ac:dyDescent="0.25">
      <c r="A132" t="s">
        <v>928</v>
      </c>
      <c r="B132" t="s">
        <v>345</v>
      </c>
      <c r="C132">
        <v>57</v>
      </c>
      <c r="D132" t="s">
        <v>806</v>
      </c>
      <c r="E132" t="s">
        <v>806</v>
      </c>
      <c r="F132" t="s">
        <v>806</v>
      </c>
      <c r="G132">
        <f t="shared" si="6"/>
        <v>57</v>
      </c>
      <c r="H132">
        <f t="shared" si="6"/>
        <v>0</v>
      </c>
      <c r="I132">
        <f t="shared" si="6"/>
        <v>0</v>
      </c>
      <c r="J132">
        <f t="shared" si="5"/>
        <v>0</v>
      </c>
      <c r="K132">
        <f t="shared" si="7"/>
        <v>57</v>
      </c>
      <c r="L132" t="e">
        <f>VLOOKUP(Tabell4[[#This Row],[Nät]],Indexnamn!A:A,1,FALSE)</f>
        <v>#N/A</v>
      </c>
      <c r="M132" t="e">
        <f>IF(ISTEXT(Tabell4[[#This Row],[Indexnamn]]),Tabell4[[#This Row],[Indexnamn]],LOOKUP(Tabell4[[#This Row],[Nät]],Tabell5[Nätnamn],#REF!))</f>
        <v>#REF!</v>
      </c>
      <c r="N132" t="e">
        <f>IF(Tabell4[[#This Row],[Finns i listan ]]=Tabell4[[#This Row],[Indexnamn]],"","NEJ")</f>
        <v>#REF!</v>
      </c>
    </row>
    <row r="133" spans="1:14" x14ac:dyDescent="0.25">
      <c r="A133" t="s">
        <v>611</v>
      </c>
      <c r="B133" t="s">
        <v>145</v>
      </c>
      <c r="C133" t="s">
        <v>805</v>
      </c>
      <c r="D133" t="s">
        <v>805</v>
      </c>
      <c r="E133" t="s">
        <v>805</v>
      </c>
      <c r="F133" t="s">
        <v>805</v>
      </c>
      <c r="G133">
        <f t="shared" si="6"/>
        <v>0</v>
      </c>
      <c r="H133">
        <f t="shared" si="6"/>
        <v>0</v>
      </c>
      <c r="I133">
        <f t="shared" si="6"/>
        <v>0</v>
      </c>
      <c r="J133">
        <f t="shared" si="5"/>
        <v>0</v>
      </c>
      <c r="K133">
        <f t="shared" si="7"/>
        <v>0</v>
      </c>
      <c r="L133" t="str">
        <f>VLOOKUP(Tabell4[[#This Row],[Nät]],Indexnamn!A:A,1,FALSE)</f>
        <v>Hedemora</v>
      </c>
      <c r="M133" t="str">
        <f>IF(ISTEXT(Tabell4[[#This Row],[Indexnamn]]),Tabell4[[#This Row],[Indexnamn]],LOOKUP(Tabell4[[#This Row],[Nät]],Tabell5[Nätnamn],#REF!))</f>
        <v>Hedemora</v>
      </c>
      <c r="N133" t="str">
        <f>IF(Tabell4[[#This Row],[Finns i listan ]]=Tabell4[[#This Row],[Indexnamn]],"","NEJ")</f>
        <v/>
      </c>
    </row>
    <row r="134" spans="1:14" x14ac:dyDescent="0.25">
      <c r="A134" t="s">
        <v>611</v>
      </c>
      <c r="B134" t="s">
        <v>147</v>
      </c>
      <c r="C134" t="s">
        <v>805</v>
      </c>
      <c r="D134" t="s">
        <v>805</v>
      </c>
      <c r="E134" t="s">
        <v>805</v>
      </c>
      <c r="F134" t="s">
        <v>805</v>
      </c>
      <c r="G134">
        <f t="shared" si="6"/>
        <v>0</v>
      </c>
      <c r="H134">
        <f t="shared" si="6"/>
        <v>0</v>
      </c>
      <c r="I134">
        <f t="shared" si="6"/>
        <v>0</v>
      </c>
      <c r="J134">
        <f t="shared" si="5"/>
        <v>0</v>
      </c>
      <c r="K134">
        <f t="shared" si="7"/>
        <v>0</v>
      </c>
      <c r="L134" t="str">
        <f>VLOOKUP(Tabell4[[#This Row],[Nät]],Indexnamn!A:A,1,FALSE)</f>
        <v>Långshyttan</v>
      </c>
      <c r="M134" t="str">
        <f>IF(ISTEXT(Tabell4[[#This Row],[Indexnamn]]),Tabell4[[#This Row],[Indexnamn]],LOOKUP(Tabell4[[#This Row],[Nät]],Tabell5[Nätnamn],#REF!))</f>
        <v>Långshyttan</v>
      </c>
      <c r="N134" t="str">
        <f>IF(Tabell4[[#This Row],[Finns i listan ]]=Tabell4[[#This Row],[Indexnamn]],"","NEJ")</f>
        <v/>
      </c>
    </row>
    <row r="135" spans="1:14" x14ac:dyDescent="0.25">
      <c r="A135" t="s">
        <v>611</v>
      </c>
      <c r="B135" t="s">
        <v>416</v>
      </c>
      <c r="C135" t="s">
        <v>805</v>
      </c>
      <c r="D135" t="s">
        <v>805</v>
      </c>
      <c r="E135" t="s">
        <v>805</v>
      </c>
      <c r="F135" t="s">
        <v>805</v>
      </c>
      <c r="G135">
        <f t="shared" si="6"/>
        <v>0</v>
      </c>
      <c r="H135">
        <f t="shared" si="6"/>
        <v>0</v>
      </c>
      <c r="I135">
        <f t="shared" si="6"/>
        <v>0</v>
      </c>
      <c r="J135">
        <f t="shared" si="5"/>
        <v>0</v>
      </c>
      <c r="K135">
        <f t="shared" si="7"/>
        <v>0</v>
      </c>
      <c r="L135" t="str">
        <f>VLOOKUP(Tabell4[[#This Row],[Nät]],Indexnamn!A:A,1,FALSE)</f>
        <v>St Skedvi</v>
      </c>
      <c r="M135" t="str">
        <f>IF(ISTEXT(Tabell4[[#This Row],[Indexnamn]]),Tabell4[[#This Row],[Indexnamn]],LOOKUP(Tabell4[[#This Row],[Nät]],Tabell5[Nätnamn],#REF!))</f>
        <v>St Skedvi</v>
      </c>
      <c r="N135" t="str">
        <f>IF(Tabell4[[#This Row],[Finns i listan ]]=Tabell4[[#This Row],[Indexnamn]],"","NEJ")</f>
        <v/>
      </c>
    </row>
    <row r="136" spans="1:14" x14ac:dyDescent="0.25">
      <c r="A136" t="s">
        <v>611</v>
      </c>
      <c r="B136" t="s">
        <v>144</v>
      </c>
      <c r="C136" t="s">
        <v>805</v>
      </c>
      <c r="D136" t="s">
        <v>805</v>
      </c>
      <c r="E136" t="s">
        <v>805</v>
      </c>
      <c r="F136" t="s">
        <v>805</v>
      </c>
      <c r="G136">
        <f t="shared" si="6"/>
        <v>0</v>
      </c>
      <c r="H136">
        <f t="shared" si="6"/>
        <v>0</v>
      </c>
      <c r="I136">
        <f t="shared" si="6"/>
        <v>0</v>
      </c>
      <c r="J136">
        <f t="shared" si="5"/>
        <v>0</v>
      </c>
      <c r="K136">
        <f t="shared" si="7"/>
        <v>0</v>
      </c>
      <c r="L136" t="str">
        <f>VLOOKUP(Tabell4[[#This Row],[Nät]],Indexnamn!A:A,1,FALSE)</f>
        <v>Säter</v>
      </c>
      <c r="M136" t="str">
        <f>IF(ISTEXT(Tabell4[[#This Row],[Indexnamn]]),Tabell4[[#This Row],[Indexnamn]],LOOKUP(Tabell4[[#This Row],[Nät]],Tabell5[Nätnamn],#REF!))</f>
        <v>Säter</v>
      </c>
      <c r="N136" t="str">
        <f>IF(Tabell4[[#This Row],[Finns i listan ]]=Tabell4[[#This Row],[Indexnamn]],"","NEJ")</f>
        <v/>
      </c>
    </row>
    <row r="137" spans="1:14" x14ac:dyDescent="0.25">
      <c r="A137" t="s">
        <v>850</v>
      </c>
      <c r="B137" t="s">
        <v>446</v>
      </c>
      <c r="C137">
        <v>18.353999999999999</v>
      </c>
      <c r="D137" t="s">
        <v>806</v>
      </c>
      <c r="E137" t="s">
        <v>806</v>
      </c>
      <c r="F137" t="s">
        <v>806</v>
      </c>
      <c r="G137">
        <f t="shared" si="6"/>
        <v>18.353999999999999</v>
      </c>
      <c r="H137">
        <f t="shared" si="6"/>
        <v>0</v>
      </c>
      <c r="I137">
        <f t="shared" si="6"/>
        <v>0</v>
      </c>
      <c r="J137">
        <f t="shared" si="5"/>
        <v>0</v>
      </c>
      <c r="K137">
        <f t="shared" si="7"/>
        <v>18.353999999999999</v>
      </c>
      <c r="L137" t="str">
        <f>VLOOKUP(Tabell4[[#This Row],[Nät]],Indexnamn!A:A,1,FALSE)</f>
        <v>Herrljunga</v>
      </c>
      <c r="M137" t="str">
        <f>IF(ISTEXT(Tabell4[[#This Row],[Indexnamn]]),Tabell4[[#This Row],[Indexnamn]],LOOKUP(Tabell4[[#This Row],[Nät]],Tabell5[Nätnamn],#REF!))</f>
        <v>Herrljunga</v>
      </c>
      <c r="N137" t="str">
        <f>IF(Tabell4[[#This Row],[Finns i listan ]]=Tabell4[[#This Row],[Indexnamn]],"","NEJ")</f>
        <v/>
      </c>
    </row>
    <row r="138" spans="1:14" x14ac:dyDescent="0.25">
      <c r="A138" t="s">
        <v>628</v>
      </c>
      <c r="B138" t="s">
        <v>148</v>
      </c>
      <c r="C138">
        <v>33.956000000000003</v>
      </c>
      <c r="D138" t="s">
        <v>806</v>
      </c>
      <c r="E138" t="s">
        <v>806</v>
      </c>
      <c r="F138" t="s">
        <v>806</v>
      </c>
      <c r="G138">
        <f t="shared" si="6"/>
        <v>33.956000000000003</v>
      </c>
      <c r="H138">
        <f t="shared" si="6"/>
        <v>0</v>
      </c>
      <c r="I138">
        <f t="shared" si="6"/>
        <v>0</v>
      </c>
      <c r="J138">
        <f t="shared" si="5"/>
        <v>0</v>
      </c>
      <c r="K138">
        <f t="shared" si="7"/>
        <v>33.956000000000003</v>
      </c>
      <c r="L138" t="str">
        <f>VLOOKUP(Tabell4[[#This Row],[Nät]],Indexnamn!A:A,1,FALSE)</f>
        <v>Hjo</v>
      </c>
      <c r="M138" t="str">
        <f>IF(ISTEXT(Tabell4[[#This Row],[Indexnamn]]),Tabell4[[#This Row],[Indexnamn]],LOOKUP(Tabell4[[#This Row],[Nät]],Tabell5[Nätnamn],#REF!))</f>
        <v>Hjo</v>
      </c>
      <c r="N138" t="str">
        <f>IF(Tabell4[[#This Row],[Finns i listan ]]=Tabell4[[#This Row],[Indexnamn]],"","NEJ")</f>
        <v/>
      </c>
    </row>
    <row r="139" spans="1:14" x14ac:dyDescent="0.25">
      <c r="A139" t="s">
        <v>851</v>
      </c>
      <c r="B139" t="s">
        <v>843</v>
      </c>
      <c r="C139" t="s">
        <v>805</v>
      </c>
      <c r="D139" t="s">
        <v>805</v>
      </c>
      <c r="E139" t="s">
        <v>805</v>
      </c>
      <c r="F139" t="s">
        <v>805</v>
      </c>
      <c r="G139">
        <f t="shared" si="6"/>
        <v>0</v>
      </c>
      <c r="H139">
        <f t="shared" si="6"/>
        <v>0</v>
      </c>
      <c r="I139">
        <f t="shared" si="6"/>
        <v>0</v>
      </c>
      <c r="J139">
        <f t="shared" si="5"/>
        <v>0</v>
      </c>
      <c r="K139">
        <f t="shared" si="7"/>
        <v>0</v>
      </c>
      <c r="L139" t="e">
        <f>VLOOKUP(Tabell4[[#This Row],[Nät]],Indexnamn!A:A,1,FALSE)</f>
        <v>#N/A</v>
      </c>
      <c r="M139" t="e">
        <f>IF(ISTEXT(Tabell4[[#This Row],[Indexnamn]]),Tabell4[[#This Row],[Indexnamn]],LOOKUP(Tabell4[[#This Row],[Nät]],Tabell5[Nätnamn],#REF!))</f>
        <v>#REF!</v>
      </c>
      <c r="N139" t="e">
        <f>IF(Tabell4[[#This Row],[Finns i listan ]]=Tabell4[[#This Row],[Indexnamn]],"","NEJ")</f>
        <v>#REF!</v>
      </c>
    </row>
    <row r="140" spans="1:14" x14ac:dyDescent="0.25">
      <c r="A140" t="s">
        <v>633</v>
      </c>
      <c r="B140" t="s">
        <v>150</v>
      </c>
      <c r="C140">
        <v>178.04</v>
      </c>
      <c r="D140" t="s">
        <v>806</v>
      </c>
      <c r="E140" t="s">
        <v>806</v>
      </c>
      <c r="F140" t="s">
        <v>806</v>
      </c>
      <c r="G140">
        <f t="shared" si="6"/>
        <v>178.04</v>
      </c>
      <c r="H140">
        <f t="shared" si="6"/>
        <v>0</v>
      </c>
      <c r="I140">
        <f t="shared" si="6"/>
        <v>0</v>
      </c>
      <c r="J140">
        <f t="shared" si="5"/>
        <v>0</v>
      </c>
      <c r="K140">
        <f t="shared" si="7"/>
        <v>178.04</v>
      </c>
      <c r="L140" t="str">
        <f>VLOOKUP(Tabell4[[#This Row],[Nät]],Indexnamn!A:A,1,FALSE)</f>
        <v>Härnösand</v>
      </c>
      <c r="M140" t="str">
        <f>IF(ISTEXT(Tabell4[[#This Row],[Indexnamn]]),Tabell4[[#This Row],[Indexnamn]],LOOKUP(Tabell4[[#This Row],[Nät]],Tabell5[Nätnamn],#REF!))</f>
        <v>Härnösand</v>
      </c>
      <c r="N140" t="str">
        <f>IF(Tabell4[[#This Row],[Finns i listan ]]=Tabell4[[#This Row],[Indexnamn]],"","NEJ")</f>
        <v/>
      </c>
    </row>
    <row r="141" spans="1:14" x14ac:dyDescent="0.25">
      <c r="A141" t="s">
        <v>634</v>
      </c>
      <c r="B141" t="s">
        <v>151</v>
      </c>
      <c r="C141">
        <v>180.5</v>
      </c>
      <c r="D141" t="s">
        <v>806</v>
      </c>
      <c r="E141" t="s">
        <v>806</v>
      </c>
      <c r="F141" t="s">
        <v>806</v>
      </c>
      <c r="G141">
        <f t="shared" si="6"/>
        <v>180.5</v>
      </c>
      <c r="H141">
        <f t="shared" si="6"/>
        <v>0</v>
      </c>
      <c r="I141">
        <f t="shared" si="6"/>
        <v>0</v>
      </c>
      <c r="J141">
        <f t="shared" si="5"/>
        <v>0</v>
      </c>
      <c r="K141">
        <f t="shared" si="7"/>
        <v>180.5</v>
      </c>
      <c r="L141" t="str">
        <f>VLOOKUP(Tabell4[[#This Row],[Nät]],Indexnamn!A:A,1,FALSE)</f>
        <v>Hässleholm</v>
      </c>
      <c r="M141" t="str">
        <f>IF(ISTEXT(Tabell4[[#This Row],[Indexnamn]]),Tabell4[[#This Row],[Indexnamn]],LOOKUP(Tabell4[[#This Row],[Nät]],Tabell5[Nätnamn],#REF!))</f>
        <v>Hässleholm</v>
      </c>
      <c r="N141" t="str">
        <f>IF(Tabell4[[#This Row],[Finns i listan ]]=Tabell4[[#This Row],[Indexnamn]],"","NEJ")</f>
        <v/>
      </c>
    </row>
    <row r="142" spans="1:14" x14ac:dyDescent="0.25">
      <c r="A142" t="s">
        <v>634</v>
      </c>
      <c r="B142" t="s">
        <v>152</v>
      </c>
      <c r="C142">
        <v>17.7</v>
      </c>
      <c r="D142" t="s">
        <v>806</v>
      </c>
      <c r="E142" t="s">
        <v>806</v>
      </c>
      <c r="F142" t="s">
        <v>806</v>
      </c>
      <c r="G142">
        <f t="shared" si="6"/>
        <v>17.7</v>
      </c>
      <c r="H142">
        <f t="shared" si="6"/>
        <v>0</v>
      </c>
      <c r="I142">
        <f t="shared" si="6"/>
        <v>0</v>
      </c>
      <c r="J142">
        <f t="shared" si="5"/>
        <v>0</v>
      </c>
      <c r="K142">
        <f t="shared" si="7"/>
        <v>17.7</v>
      </c>
      <c r="L142" t="str">
        <f>VLOOKUP(Tabell4[[#This Row],[Nät]],Indexnamn!A:A,1,FALSE)</f>
        <v>Tyringe</v>
      </c>
      <c r="M142" t="str">
        <f>IF(ISTEXT(Tabell4[[#This Row],[Indexnamn]]),Tabell4[[#This Row],[Indexnamn]],LOOKUP(Tabell4[[#This Row],[Nät]],Tabell5[Nätnamn],#REF!))</f>
        <v>Tyringe</v>
      </c>
      <c r="N142" t="str">
        <f>IF(Tabell4[[#This Row],[Finns i listan ]]=Tabell4[[#This Row],[Indexnamn]],"","NEJ")</f>
        <v/>
      </c>
    </row>
    <row r="143" spans="1:14" x14ac:dyDescent="0.25">
      <c r="A143" t="s">
        <v>635</v>
      </c>
      <c r="B143" t="s">
        <v>153</v>
      </c>
      <c r="C143">
        <v>43.268000000000001</v>
      </c>
      <c r="D143" t="s">
        <v>806</v>
      </c>
      <c r="E143" t="s">
        <v>806</v>
      </c>
      <c r="F143" t="s">
        <v>806</v>
      </c>
      <c r="G143">
        <f t="shared" si="6"/>
        <v>43.268000000000001</v>
      </c>
      <c r="H143">
        <f t="shared" si="6"/>
        <v>0</v>
      </c>
      <c r="I143">
        <f t="shared" si="6"/>
        <v>0</v>
      </c>
      <c r="J143">
        <f t="shared" si="5"/>
        <v>0</v>
      </c>
      <c r="K143">
        <f t="shared" si="7"/>
        <v>43.268000000000001</v>
      </c>
      <c r="L143" t="str">
        <f>VLOOKUP(Tabell4[[#This Row],[Nät]],Indexnamn!A:A,1,FALSE)</f>
        <v>Höganäs</v>
      </c>
      <c r="M143" t="str">
        <f>IF(ISTEXT(Tabell4[[#This Row],[Indexnamn]]),Tabell4[[#This Row],[Indexnamn]],LOOKUP(Tabell4[[#This Row],[Nät]],Tabell5[Nätnamn],#REF!))</f>
        <v>Höganäs</v>
      </c>
      <c r="N143" t="str">
        <f>IF(Tabell4[[#This Row],[Finns i listan ]]=Tabell4[[#This Row],[Indexnamn]],"","NEJ")</f>
        <v/>
      </c>
    </row>
    <row r="144" spans="1:14" x14ac:dyDescent="0.25">
      <c r="A144" t="s">
        <v>637</v>
      </c>
      <c r="B144" t="s">
        <v>154</v>
      </c>
      <c r="C144">
        <v>34</v>
      </c>
      <c r="D144" t="s">
        <v>806</v>
      </c>
      <c r="E144" t="s">
        <v>806</v>
      </c>
      <c r="F144" t="s">
        <v>806</v>
      </c>
      <c r="G144">
        <f t="shared" si="6"/>
        <v>34</v>
      </c>
      <c r="H144">
        <f t="shared" si="6"/>
        <v>0</v>
      </c>
      <c r="I144">
        <f t="shared" si="6"/>
        <v>0</v>
      </c>
      <c r="J144">
        <f t="shared" si="5"/>
        <v>0</v>
      </c>
      <c r="K144">
        <f t="shared" si="7"/>
        <v>34</v>
      </c>
      <c r="L144" t="str">
        <f>VLOOKUP(Tabell4[[#This Row],[Nät]],Indexnamn!A:A,1,FALSE)</f>
        <v>Jokkmokk</v>
      </c>
      <c r="M144" t="str">
        <f>IF(ISTEXT(Tabell4[[#This Row],[Indexnamn]]),Tabell4[[#This Row],[Indexnamn]],LOOKUP(Tabell4[[#This Row],[Nät]],Tabell5[Nätnamn],#REF!))</f>
        <v>Jokkmokk</v>
      </c>
      <c r="N144" t="str">
        <f>IF(Tabell4[[#This Row],[Finns i listan ]]=Tabell4[[#This Row],[Indexnamn]],"","NEJ")</f>
        <v/>
      </c>
    </row>
    <row r="145" spans="1:14" x14ac:dyDescent="0.25">
      <c r="A145" t="s">
        <v>579</v>
      </c>
      <c r="B145" t="s">
        <v>393</v>
      </c>
      <c r="C145" t="s">
        <v>806</v>
      </c>
      <c r="D145" t="s">
        <v>806</v>
      </c>
      <c r="E145" t="s">
        <v>806</v>
      </c>
      <c r="F145" t="s">
        <v>806</v>
      </c>
      <c r="G145">
        <f t="shared" si="6"/>
        <v>0</v>
      </c>
      <c r="H145">
        <f t="shared" si="6"/>
        <v>0</v>
      </c>
      <c r="I145">
        <f t="shared" si="6"/>
        <v>0</v>
      </c>
      <c r="J145">
        <f t="shared" si="5"/>
        <v>0</v>
      </c>
      <c r="K145">
        <f t="shared" si="7"/>
        <v>0</v>
      </c>
      <c r="L145" t="str">
        <f>VLOOKUP(Tabell4[[#This Row],[Nät]],Indexnamn!A:A,1,FALSE)</f>
        <v>Brunflo</v>
      </c>
      <c r="M145" t="str">
        <f>IF(ISTEXT(Tabell4[[#This Row],[Indexnamn]]),Tabell4[[#This Row],[Indexnamn]],LOOKUP(Tabell4[[#This Row],[Nät]],Tabell5[Nätnamn],#REF!))</f>
        <v>Brunflo</v>
      </c>
      <c r="N145" t="str">
        <f>IF(Tabell4[[#This Row],[Finns i listan ]]=Tabell4[[#This Row],[Indexnamn]],"","NEJ")</f>
        <v/>
      </c>
    </row>
    <row r="146" spans="1:14" x14ac:dyDescent="0.25">
      <c r="A146" t="s">
        <v>579</v>
      </c>
      <c r="B146" t="s">
        <v>155</v>
      </c>
      <c r="C146">
        <v>18.63</v>
      </c>
      <c r="D146" t="s">
        <v>806</v>
      </c>
      <c r="E146" t="s">
        <v>806</v>
      </c>
      <c r="F146" t="s">
        <v>806</v>
      </c>
      <c r="G146">
        <f t="shared" si="6"/>
        <v>18.63</v>
      </c>
      <c r="H146">
        <f t="shared" si="6"/>
        <v>0</v>
      </c>
      <c r="I146">
        <f t="shared" si="6"/>
        <v>0</v>
      </c>
      <c r="J146">
        <f t="shared" si="5"/>
        <v>0</v>
      </c>
      <c r="K146">
        <f t="shared" si="7"/>
        <v>18.63</v>
      </c>
      <c r="L146" t="str">
        <f>VLOOKUP(Tabell4[[#This Row],[Nät]],Indexnamn!A:A,1,FALSE)</f>
        <v>Krokom</v>
      </c>
      <c r="M146" t="str">
        <f>IF(ISTEXT(Tabell4[[#This Row],[Indexnamn]]),Tabell4[[#This Row],[Indexnamn]],LOOKUP(Tabell4[[#This Row],[Nät]],Tabell5[Nätnamn],#REF!))</f>
        <v>Krokom</v>
      </c>
      <c r="N146" t="str">
        <f>IF(Tabell4[[#This Row],[Finns i listan ]]=Tabell4[[#This Row],[Indexnamn]],"","NEJ")</f>
        <v/>
      </c>
    </row>
    <row r="147" spans="1:14" x14ac:dyDescent="0.25">
      <c r="A147" t="s">
        <v>579</v>
      </c>
      <c r="B147" t="s">
        <v>156</v>
      </c>
      <c r="C147">
        <v>55.86</v>
      </c>
      <c r="D147" t="s">
        <v>806</v>
      </c>
      <c r="E147" t="s">
        <v>806</v>
      </c>
      <c r="F147" t="s">
        <v>806</v>
      </c>
      <c r="G147">
        <f t="shared" si="6"/>
        <v>55.86</v>
      </c>
      <c r="H147">
        <f t="shared" si="6"/>
        <v>0</v>
      </c>
      <c r="I147">
        <f t="shared" si="6"/>
        <v>0</v>
      </c>
      <c r="J147">
        <f t="shared" si="5"/>
        <v>0</v>
      </c>
      <c r="K147">
        <f t="shared" si="7"/>
        <v>55.86</v>
      </c>
      <c r="L147" t="str">
        <f>VLOOKUP(Tabell4[[#This Row],[Nät]],Indexnamn!A:A,1,FALSE)</f>
        <v>Åre</v>
      </c>
      <c r="M147" t="str">
        <f>IF(ISTEXT(Tabell4[[#This Row],[Indexnamn]]),Tabell4[[#This Row],[Indexnamn]],LOOKUP(Tabell4[[#This Row],[Nät]],Tabell5[Nätnamn],#REF!))</f>
        <v>Åre</v>
      </c>
      <c r="N147" t="str">
        <f>IF(Tabell4[[#This Row],[Finns i listan ]]=Tabell4[[#This Row],[Indexnamn]],"","NEJ")</f>
        <v/>
      </c>
    </row>
    <row r="148" spans="1:14" x14ac:dyDescent="0.25">
      <c r="A148" t="s">
        <v>579</v>
      </c>
      <c r="B148" t="s">
        <v>157</v>
      </c>
      <c r="C148">
        <v>549.75</v>
      </c>
      <c r="D148" t="s">
        <v>806</v>
      </c>
      <c r="E148" t="s">
        <v>806</v>
      </c>
      <c r="F148" t="s">
        <v>806</v>
      </c>
      <c r="G148">
        <f t="shared" si="6"/>
        <v>549.75</v>
      </c>
      <c r="H148">
        <f t="shared" si="6"/>
        <v>0</v>
      </c>
      <c r="I148">
        <f t="shared" si="6"/>
        <v>0</v>
      </c>
      <c r="J148">
        <f t="shared" si="5"/>
        <v>0</v>
      </c>
      <c r="K148">
        <f t="shared" si="7"/>
        <v>549.75</v>
      </c>
      <c r="L148" t="str">
        <f>VLOOKUP(Tabell4[[#This Row],[Nät]],Indexnamn!A:A,1,FALSE)</f>
        <v>Östersund</v>
      </c>
      <c r="M148" t="str">
        <f>IF(ISTEXT(Tabell4[[#This Row],[Indexnamn]]),Tabell4[[#This Row],[Indexnamn]],LOOKUP(Tabell4[[#This Row],[Nät]],Tabell5[Nätnamn],#REF!))</f>
        <v>Östersund</v>
      </c>
      <c r="N148" t="str">
        <f>IF(Tabell4[[#This Row],[Finns i listan ]]=Tabell4[[#This Row],[Indexnamn]],"","NEJ")</f>
        <v/>
      </c>
    </row>
    <row r="149" spans="1:14" x14ac:dyDescent="0.25">
      <c r="A149" t="s">
        <v>852</v>
      </c>
      <c r="B149" t="s">
        <v>466</v>
      </c>
      <c r="C149">
        <v>51.6</v>
      </c>
      <c r="D149" t="s">
        <v>806</v>
      </c>
      <c r="E149" t="s">
        <v>806</v>
      </c>
      <c r="F149" t="s">
        <v>806</v>
      </c>
      <c r="G149">
        <f t="shared" si="6"/>
        <v>51.6</v>
      </c>
      <c r="H149">
        <f t="shared" si="6"/>
        <v>0</v>
      </c>
      <c r="I149">
        <f t="shared" si="6"/>
        <v>0</v>
      </c>
      <c r="J149">
        <f t="shared" si="5"/>
        <v>0</v>
      </c>
      <c r="K149">
        <f t="shared" si="7"/>
        <v>51.6</v>
      </c>
      <c r="L149" t="str">
        <f>VLOOKUP(Tabell4[[#This Row],[Nät]],Indexnamn!A:A,1,FALSE)</f>
        <v>Strömsund</v>
      </c>
      <c r="M149" t="str">
        <f>IF(ISTEXT(Tabell4[[#This Row],[Indexnamn]]),Tabell4[[#This Row],[Indexnamn]],LOOKUP(Tabell4[[#This Row],[Nät]],Tabell5[Nätnamn],#REF!))</f>
        <v>Strömsund</v>
      </c>
      <c r="N149" t="str">
        <f>IF(Tabell4[[#This Row],[Finns i listan ]]=Tabell4[[#This Row],[Indexnamn]],"","NEJ")</f>
        <v/>
      </c>
    </row>
    <row r="150" spans="1:14" x14ac:dyDescent="0.25">
      <c r="A150" t="s">
        <v>559</v>
      </c>
      <c r="B150" t="s">
        <v>159</v>
      </c>
      <c r="C150">
        <v>11.551</v>
      </c>
      <c r="D150" t="s">
        <v>806</v>
      </c>
      <c r="E150" t="s">
        <v>806</v>
      </c>
      <c r="F150" t="s">
        <v>806</v>
      </c>
      <c r="G150">
        <f t="shared" si="6"/>
        <v>11.551</v>
      </c>
      <c r="H150">
        <f t="shared" si="6"/>
        <v>0</v>
      </c>
      <c r="I150">
        <f t="shared" si="6"/>
        <v>0</v>
      </c>
      <c r="J150">
        <f t="shared" si="5"/>
        <v>0</v>
      </c>
      <c r="K150">
        <f t="shared" si="7"/>
        <v>11.551</v>
      </c>
      <c r="L150" t="str">
        <f>VLOOKUP(Tabell4[[#This Row],[Nät]],Indexnamn!A:A,1,FALSE)</f>
        <v>Gränna</v>
      </c>
      <c r="M150" t="str">
        <f>IF(ISTEXT(Tabell4[[#This Row],[Indexnamn]]),Tabell4[[#This Row],[Indexnamn]],LOOKUP(Tabell4[[#This Row],[Nät]],Tabell5[Nätnamn],#REF!))</f>
        <v>Gränna</v>
      </c>
      <c r="N150" t="str">
        <f>IF(Tabell4[[#This Row],[Finns i listan ]]=Tabell4[[#This Row],[Indexnamn]],"","NEJ")</f>
        <v/>
      </c>
    </row>
    <row r="151" spans="1:14" x14ac:dyDescent="0.25">
      <c r="A151" t="s">
        <v>559</v>
      </c>
      <c r="B151" t="s">
        <v>160</v>
      </c>
      <c r="C151">
        <v>696.71</v>
      </c>
      <c r="D151" t="s">
        <v>806</v>
      </c>
      <c r="E151" t="s">
        <v>806</v>
      </c>
      <c r="F151" t="s">
        <v>806</v>
      </c>
      <c r="G151">
        <f t="shared" si="6"/>
        <v>696.71</v>
      </c>
      <c r="H151">
        <f t="shared" si="6"/>
        <v>0</v>
      </c>
      <c r="I151">
        <f t="shared" si="6"/>
        <v>0</v>
      </c>
      <c r="J151">
        <f t="shared" si="5"/>
        <v>0</v>
      </c>
      <c r="K151">
        <f t="shared" si="7"/>
        <v>696.71</v>
      </c>
      <c r="L151" t="str">
        <f>VLOOKUP(Tabell4[[#This Row],[Nät]],Indexnamn!A:A,1,FALSE)</f>
        <v>Jönköping</v>
      </c>
      <c r="M151" t="str">
        <f>IF(ISTEXT(Tabell4[[#This Row],[Indexnamn]]),Tabell4[[#This Row],[Indexnamn]],LOOKUP(Tabell4[[#This Row],[Nät]],Tabell5[Nätnamn],#REF!))</f>
        <v>Jönköping</v>
      </c>
      <c r="N151" t="str">
        <f>IF(Tabell4[[#This Row],[Finns i listan ]]=Tabell4[[#This Row],[Indexnamn]],"","NEJ")</f>
        <v/>
      </c>
    </row>
    <row r="152" spans="1:14" x14ac:dyDescent="0.25">
      <c r="A152" t="s">
        <v>559</v>
      </c>
      <c r="B152" t="s">
        <v>816</v>
      </c>
      <c r="C152">
        <v>1.077</v>
      </c>
      <c r="D152" t="s">
        <v>806</v>
      </c>
      <c r="E152" t="s">
        <v>806</v>
      </c>
      <c r="F152" t="s">
        <v>806</v>
      </c>
      <c r="G152">
        <f t="shared" si="6"/>
        <v>1.077</v>
      </c>
      <c r="H152">
        <f t="shared" si="6"/>
        <v>0</v>
      </c>
      <c r="I152">
        <f t="shared" si="6"/>
        <v>0</v>
      </c>
      <c r="J152">
        <f t="shared" si="5"/>
        <v>0</v>
      </c>
      <c r="K152">
        <f t="shared" si="7"/>
        <v>1.077</v>
      </c>
      <c r="L152" t="str">
        <f>VLOOKUP(Tabell4[[#This Row],[Nät]],Indexnamn!A:A,1,FALSE)</f>
        <v>Stigamo</v>
      </c>
      <c r="M152" t="str">
        <f>IF(ISTEXT(Tabell4[[#This Row],[Indexnamn]]),Tabell4[[#This Row],[Indexnamn]],LOOKUP(Tabell4[[#This Row],[Nät]],Tabell5[Nätnamn],#REF!))</f>
        <v>Stigamo</v>
      </c>
      <c r="N152" t="str">
        <f>IF(Tabell4[[#This Row],[Finns i listan ]]=Tabell4[[#This Row],[Indexnamn]],"","NEJ")</f>
        <v/>
      </c>
    </row>
    <row r="153" spans="1:14" x14ac:dyDescent="0.25">
      <c r="A153" t="s">
        <v>643</v>
      </c>
      <c r="B153" t="s">
        <v>162</v>
      </c>
      <c r="C153">
        <v>364.3</v>
      </c>
      <c r="D153" t="s">
        <v>806</v>
      </c>
      <c r="E153" t="s">
        <v>806</v>
      </c>
      <c r="F153" t="s">
        <v>806</v>
      </c>
      <c r="G153">
        <f t="shared" si="6"/>
        <v>364.3</v>
      </c>
      <c r="H153">
        <f t="shared" si="6"/>
        <v>0</v>
      </c>
      <c r="I153">
        <f t="shared" si="6"/>
        <v>0</v>
      </c>
      <c r="J153">
        <f t="shared" si="5"/>
        <v>0</v>
      </c>
      <c r="K153">
        <f t="shared" si="7"/>
        <v>364.3</v>
      </c>
      <c r="L153" t="str">
        <f>VLOOKUP(Tabell4[[#This Row],[Nät]],Indexnamn!A:A,1,FALSE)</f>
        <v>Kalmar</v>
      </c>
      <c r="M153" t="str">
        <f>IF(ISTEXT(Tabell4[[#This Row],[Indexnamn]]),Tabell4[[#This Row],[Indexnamn]],LOOKUP(Tabell4[[#This Row],[Nät]],Tabell5[Nätnamn],#REF!))</f>
        <v>Kalmar</v>
      </c>
      <c r="N153" t="str">
        <f>IF(Tabell4[[#This Row],[Finns i listan ]]=Tabell4[[#This Row],[Indexnamn]],"","NEJ")</f>
        <v/>
      </c>
    </row>
    <row r="154" spans="1:14" x14ac:dyDescent="0.25">
      <c r="A154" t="s">
        <v>929</v>
      </c>
      <c r="B154" t="s">
        <v>237</v>
      </c>
      <c r="C154">
        <v>15.5</v>
      </c>
      <c r="D154" t="s">
        <v>806</v>
      </c>
      <c r="E154" t="s">
        <v>806</v>
      </c>
      <c r="F154" t="s">
        <v>806</v>
      </c>
      <c r="G154">
        <f t="shared" si="6"/>
        <v>15.5</v>
      </c>
      <c r="H154">
        <f t="shared" si="6"/>
        <v>0</v>
      </c>
      <c r="I154">
        <f t="shared" si="6"/>
        <v>0</v>
      </c>
      <c r="J154">
        <f t="shared" si="5"/>
        <v>0</v>
      </c>
      <c r="K154">
        <f t="shared" si="7"/>
        <v>15.5</v>
      </c>
      <c r="L154" t="str">
        <f>VLOOKUP(Tabell4[[#This Row],[Nät]],Indexnamn!A:A,1,FALSE)</f>
        <v>Karlsborg</v>
      </c>
      <c r="M154" t="str">
        <f>IF(ISTEXT(Tabell4[[#This Row],[Indexnamn]]),Tabell4[[#This Row],[Indexnamn]],LOOKUP(Tabell4[[#This Row],[Nät]],Tabell5[Nätnamn],#REF!))</f>
        <v>Karlsborg</v>
      </c>
      <c r="N154" t="str">
        <f>IF(Tabell4[[#This Row],[Finns i listan ]]=Tabell4[[#This Row],[Indexnamn]],"","NEJ")</f>
        <v/>
      </c>
    </row>
    <row r="155" spans="1:14" x14ac:dyDescent="0.25">
      <c r="A155" t="s">
        <v>645</v>
      </c>
      <c r="B155" t="s">
        <v>164</v>
      </c>
      <c r="C155">
        <v>168.55099999999999</v>
      </c>
      <c r="D155" t="s">
        <v>806</v>
      </c>
      <c r="E155" t="s">
        <v>806</v>
      </c>
      <c r="F155" t="s">
        <v>806</v>
      </c>
      <c r="G155">
        <f t="shared" si="6"/>
        <v>168.55099999999999</v>
      </c>
      <c r="H155">
        <f t="shared" si="6"/>
        <v>0</v>
      </c>
      <c r="I155">
        <f t="shared" si="6"/>
        <v>0</v>
      </c>
      <c r="J155">
        <f t="shared" si="5"/>
        <v>0</v>
      </c>
      <c r="K155">
        <f t="shared" si="7"/>
        <v>168.55099999999999</v>
      </c>
      <c r="L155" t="str">
        <f>VLOOKUP(Tabell4[[#This Row],[Nät]],Indexnamn!A:A,1,FALSE)</f>
        <v>Karlshamn</v>
      </c>
      <c r="M155" t="str">
        <f>IF(ISTEXT(Tabell4[[#This Row],[Indexnamn]]),Tabell4[[#This Row],[Indexnamn]],LOOKUP(Tabell4[[#This Row],[Nät]],Tabell5[Nätnamn],#REF!))</f>
        <v>Karlshamn</v>
      </c>
      <c r="N155" t="str">
        <f>IF(Tabell4[[#This Row],[Finns i listan ]]=Tabell4[[#This Row],[Indexnamn]],"","NEJ")</f>
        <v/>
      </c>
    </row>
    <row r="156" spans="1:14" x14ac:dyDescent="0.25">
      <c r="A156" t="s">
        <v>854</v>
      </c>
      <c r="B156" t="s">
        <v>165</v>
      </c>
      <c r="C156">
        <v>313.39999999999998</v>
      </c>
      <c r="D156" t="s">
        <v>806</v>
      </c>
      <c r="E156" t="s">
        <v>806</v>
      </c>
      <c r="F156" t="s">
        <v>806</v>
      </c>
      <c r="G156">
        <f t="shared" si="6"/>
        <v>313.39999999999998</v>
      </c>
      <c r="H156">
        <f t="shared" si="6"/>
        <v>0</v>
      </c>
      <c r="I156">
        <f t="shared" si="6"/>
        <v>0</v>
      </c>
      <c r="J156">
        <f t="shared" si="5"/>
        <v>0</v>
      </c>
      <c r="K156">
        <f t="shared" si="7"/>
        <v>313.39999999999998</v>
      </c>
      <c r="L156" t="str">
        <f>VLOOKUP(Tabell4[[#This Row],[Nät]],Indexnamn!A:A,1,FALSE)</f>
        <v>Karlskoga</v>
      </c>
      <c r="M156" t="str">
        <f>IF(ISTEXT(Tabell4[[#This Row],[Indexnamn]]),Tabell4[[#This Row],[Indexnamn]],LOOKUP(Tabell4[[#This Row],[Nät]],Tabell5[Nätnamn],#REF!))</f>
        <v>Karlskoga</v>
      </c>
      <c r="N156" t="str">
        <f>IF(Tabell4[[#This Row],[Finns i listan ]]=Tabell4[[#This Row],[Indexnamn]],"","NEJ")</f>
        <v/>
      </c>
    </row>
    <row r="157" spans="1:14" x14ac:dyDescent="0.25">
      <c r="A157" t="s">
        <v>646</v>
      </c>
      <c r="B157" t="s">
        <v>166</v>
      </c>
      <c r="C157">
        <v>567.31700000000001</v>
      </c>
      <c r="D157">
        <v>56.673000000000002</v>
      </c>
      <c r="E157" t="s">
        <v>806</v>
      </c>
      <c r="F157" t="s">
        <v>806</v>
      </c>
      <c r="G157">
        <f t="shared" si="6"/>
        <v>567.31700000000001</v>
      </c>
      <c r="H157">
        <f t="shared" si="6"/>
        <v>56.673000000000002</v>
      </c>
      <c r="I157">
        <f t="shared" si="6"/>
        <v>0</v>
      </c>
      <c r="J157">
        <f t="shared" si="5"/>
        <v>0</v>
      </c>
      <c r="K157">
        <f t="shared" si="7"/>
        <v>510.64400000000001</v>
      </c>
      <c r="L157" t="str">
        <f>VLOOKUP(Tabell4[[#This Row],[Nät]],Indexnamn!A:A,1,FALSE)</f>
        <v>Karlstad</v>
      </c>
      <c r="M157" t="str">
        <f>IF(ISTEXT(Tabell4[[#This Row],[Indexnamn]]),Tabell4[[#This Row],[Indexnamn]],LOOKUP(Tabell4[[#This Row],[Nät]],Tabell5[Nätnamn],#REF!))</f>
        <v>Karlstad</v>
      </c>
      <c r="N157" t="str">
        <f>IF(Tabell4[[#This Row],[Finns i listan ]]=Tabell4[[#This Row],[Indexnamn]],"","NEJ")</f>
        <v/>
      </c>
    </row>
    <row r="158" spans="1:14" x14ac:dyDescent="0.25">
      <c r="A158" t="s">
        <v>647</v>
      </c>
      <c r="B158" t="s">
        <v>648</v>
      </c>
      <c r="C158" t="s">
        <v>805</v>
      </c>
      <c r="D158" t="s">
        <v>805</v>
      </c>
      <c r="E158" t="s">
        <v>805</v>
      </c>
      <c r="F158" t="s">
        <v>805</v>
      </c>
      <c r="G158">
        <f t="shared" si="6"/>
        <v>0</v>
      </c>
      <c r="H158">
        <f t="shared" si="6"/>
        <v>0</v>
      </c>
      <c r="I158">
        <f t="shared" si="6"/>
        <v>0</v>
      </c>
      <c r="J158">
        <f t="shared" si="5"/>
        <v>0</v>
      </c>
      <c r="K158">
        <f t="shared" si="7"/>
        <v>0</v>
      </c>
      <c r="L158" t="e">
        <f>VLOOKUP(Tabell4[[#This Row],[Nät]],Indexnamn!A:A,1,FALSE)</f>
        <v>#N/A</v>
      </c>
      <c r="N158" t="e">
        <f>IF(Tabell4[[#This Row],[Finns i listan ]]=Tabell4[[#This Row],[Indexnamn]],"","NEJ")</f>
        <v>#N/A</v>
      </c>
    </row>
    <row r="159" spans="1:14" x14ac:dyDescent="0.25">
      <c r="A159" t="s">
        <v>649</v>
      </c>
      <c r="B159" t="s">
        <v>170</v>
      </c>
      <c r="C159">
        <v>36.85</v>
      </c>
      <c r="D159" t="s">
        <v>806</v>
      </c>
      <c r="E159" t="s">
        <v>806</v>
      </c>
      <c r="F159" t="s">
        <v>806</v>
      </c>
      <c r="G159">
        <f t="shared" si="6"/>
        <v>36.85</v>
      </c>
      <c r="H159">
        <f t="shared" si="6"/>
        <v>0</v>
      </c>
      <c r="I159">
        <f t="shared" si="6"/>
        <v>0</v>
      </c>
      <c r="J159">
        <f t="shared" si="5"/>
        <v>0</v>
      </c>
      <c r="K159">
        <f t="shared" si="7"/>
        <v>36.85</v>
      </c>
      <c r="L159" t="str">
        <f>VLOOKUP(Tabell4[[#This Row],[Nät]],Indexnamn!A:A,1,FALSE)</f>
        <v>Kil</v>
      </c>
      <c r="M159" t="str">
        <f>IF(ISTEXT(Tabell4[[#This Row],[Indexnamn]]),Tabell4[[#This Row],[Indexnamn]],LOOKUP(Tabell4[[#This Row],[Nät]],Tabell5[Nätnamn],#REF!))</f>
        <v>Kil</v>
      </c>
      <c r="N159" t="str">
        <f>IF(Tabell4[[#This Row],[Finns i listan ]]=Tabell4[[#This Row],[Indexnamn]],"","NEJ")</f>
        <v/>
      </c>
    </row>
    <row r="160" spans="1:14" x14ac:dyDescent="0.25">
      <c r="A160" t="s">
        <v>817</v>
      </c>
      <c r="B160" t="s">
        <v>390</v>
      </c>
      <c r="C160">
        <v>200.79400000000001</v>
      </c>
      <c r="D160" t="s">
        <v>806</v>
      </c>
      <c r="E160" t="s">
        <v>806</v>
      </c>
      <c r="F160" t="s">
        <v>806</v>
      </c>
      <c r="G160">
        <f t="shared" si="6"/>
        <v>200.79400000000001</v>
      </c>
      <c r="H160">
        <f t="shared" si="6"/>
        <v>0</v>
      </c>
      <c r="I160">
        <f t="shared" si="6"/>
        <v>0</v>
      </c>
      <c r="J160">
        <f t="shared" si="5"/>
        <v>0</v>
      </c>
      <c r="K160">
        <f t="shared" si="7"/>
        <v>200.79400000000001</v>
      </c>
      <c r="L160" t="str">
        <f>VLOOKUP(Tabell4[[#This Row],[Nät]],Indexnamn!A:A,1,FALSE)</f>
        <v>Kiruna C</v>
      </c>
      <c r="M160" t="str">
        <f>IF(ISTEXT(Tabell4[[#This Row],[Indexnamn]]),Tabell4[[#This Row],[Indexnamn]],LOOKUP(Tabell4[[#This Row],[Nät]],Tabell5[Nätnamn],#REF!))</f>
        <v>Kiruna C</v>
      </c>
      <c r="N160" t="str">
        <f>IF(Tabell4[[#This Row],[Finns i listan ]]=Tabell4[[#This Row],[Indexnamn]],"","NEJ")</f>
        <v/>
      </c>
    </row>
    <row r="161" spans="1:14" x14ac:dyDescent="0.25">
      <c r="A161" t="s">
        <v>817</v>
      </c>
      <c r="B161" t="s">
        <v>305</v>
      </c>
      <c r="C161">
        <v>5.4569999999999999</v>
      </c>
      <c r="D161" t="s">
        <v>806</v>
      </c>
      <c r="E161" t="s">
        <v>806</v>
      </c>
      <c r="F161" t="s">
        <v>806</v>
      </c>
      <c r="G161">
        <f t="shared" si="6"/>
        <v>5.4569999999999999</v>
      </c>
      <c r="H161">
        <f t="shared" si="6"/>
        <v>0</v>
      </c>
      <c r="I161">
        <f t="shared" si="6"/>
        <v>0</v>
      </c>
      <c r="J161">
        <f t="shared" si="5"/>
        <v>0</v>
      </c>
      <c r="K161">
        <f t="shared" si="7"/>
        <v>5.4569999999999999</v>
      </c>
      <c r="L161" t="str">
        <f>VLOOKUP(Tabell4[[#This Row],[Nät]],Indexnamn!A:A,1,FALSE)</f>
        <v>Vittangi</v>
      </c>
      <c r="M161" t="str">
        <f>IF(ISTEXT(Tabell4[[#This Row],[Indexnamn]]),Tabell4[[#This Row],[Indexnamn]],LOOKUP(Tabell4[[#This Row],[Nät]],Tabell5[Nätnamn],#REF!))</f>
        <v>Vittangi</v>
      </c>
      <c r="N161" t="str">
        <f>IF(Tabell4[[#This Row],[Finns i listan ]]=Tabell4[[#This Row],[Indexnamn]],"","NEJ")</f>
        <v/>
      </c>
    </row>
    <row r="162" spans="1:14" x14ac:dyDescent="0.25">
      <c r="A162" t="s">
        <v>786</v>
      </c>
      <c r="B162" t="s">
        <v>787</v>
      </c>
      <c r="C162">
        <v>908</v>
      </c>
      <c r="D162">
        <v>32</v>
      </c>
      <c r="E162">
        <v>19</v>
      </c>
      <c r="F162" t="s">
        <v>806</v>
      </c>
      <c r="G162">
        <f t="shared" si="6"/>
        <v>908</v>
      </c>
      <c r="H162">
        <f t="shared" si="6"/>
        <v>32</v>
      </c>
      <c r="I162">
        <f t="shared" si="6"/>
        <v>19</v>
      </c>
      <c r="J162">
        <f t="shared" si="5"/>
        <v>0</v>
      </c>
      <c r="K162">
        <f t="shared" si="7"/>
        <v>857</v>
      </c>
      <c r="L162" t="str">
        <f>VLOOKUP(Tabell4[[#This Row],[Nät]],Indexnamn!A:A,1,FALSE)</f>
        <v>Eslöv-Lund-Lomma m fl</v>
      </c>
      <c r="M162" t="str">
        <f>IF(ISTEXT(Tabell4[[#This Row],[Indexnamn]]),Tabell4[[#This Row],[Indexnamn]],LOOKUP(Tabell4[[#This Row],[Nät]],Tabell5[Nätnamn],#REF!))</f>
        <v>Eslöv-Lund-Lomma m fl</v>
      </c>
      <c r="N162" t="str">
        <f>IF(Tabell4[[#This Row],[Finns i listan ]]=Tabell4[[#This Row],[Indexnamn]],"","NEJ")</f>
        <v/>
      </c>
    </row>
    <row r="163" spans="1:14" x14ac:dyDescent="0.25">
      <c r="A163" t="s">
        <v>786</v>
      </c>
      <c r="B163" t="s">
        <v>788</v>
      </c>
      <c r="C163">
        <v>55</v>
      </c>
      <c r="D163" t="s">
        <v>806</v>
      </c>
      <c r="E163" t="s">
        <v>806</v>
      </c>
      <c r="F163" t="s">
        <v>806</v>
      </c>
      <c r="G163">
        <f t="shared" si="6"/>
        <v>55</v>
      </c>
      <c r="H163">
        <f t="shared" si="6"/>
        <v>0</v>
      </c>
      <c r="I163">
        <f t="shared" si="6"/>
        <v>0</v>
      </c>
      <c r="J163">
        <f t="shared" si="5"/>
        <v>0</v>
      </c>
      <c r="K163">
        <f t="shared" si="7"/>
        <v>55</v>
      </c>
      <c r="L163" t="str">
        <f>VLOOKUP(Tabell4[[#This Row],[Nät]],Indexnamn!A:A,1,FALSE)</f>
        <v>Klippan-Ljungbyhed-Östra Ljungby</v>
      </c>
      <c r="M163" t="str">
        <f>IF(ISTEXT(Tabell4[[#This Row],[Indexnamn]]),Tabell4[[#This Row],[Indexnamn]],LOOKUP(Tabell4[[#This Row],[Nät]],Tabell5[Nätnamn],#REF!))</f>
        <v>Klippan-Ljungbyhed-Östra Ljungby</v>
      </c>
      <c r="N163" t="str">
        <f>IF(Tabell4[[#This Row],[Finns i listan ]]=Tabell4[[#This Row],[Indexnamn]],"","NEJ")</f>
        <v/>
      </c>
    </row>
    <row r="164" spans="1:14" x14ac:dyDescent="0.25">
      <c r="A164" t="s">
        <v>653</v>
      </c>
      <c r="B164" t="s">
        <v>172</v>
      </c>
      <c r="C164" t="s">
        <v>805</v>
      </c>
      <c r="D164" t="s">
        <v>805</v>
      </c>
      <c r="E164" t="s">
        <v>805</v>
      </c>
      <c r="F164" t="s">
        <v>805</v>
      </c>
      <c r="G164">
        <f t="shared" si="6"/>
        <v>0</v>
      </c>
      <c r="H164">
        <f t="shared" si="6"/>
        <v>0</v>
      </c>
      <c r="I164">
        <f t="shared" si="6"/>
        <v>0</v>
      </c>
      <c r="J164">
        <f t="shared" si="5"/>
        <v>0</v>
      </c>
      <c r="K164">
        <f t="shared" si="7"/>
        <v>0</v>
      </c>
      <c r="L164" t="e">
        <f>VLOOKUP(Tabell4[[#This Row],[Nät]],Indexnamn!A:A,1,FALSE)</f>
        <v>#N/A</v>
      </c>
      <c r="N164" t="e">
        <f>IF(Tabell4[[#This Row],[Finns i listan ]]=Tabell4[[#This Row],[Indexnamn]],"","NEJ")</f>
        <v>#N/A</v>
      </c>
    </row>
    <row r="165" spans="1:14" x14ac:dyDescent="0.25">
      <c r="A165" t="s">
        <v>632</v>
      </c>
      <c r="B165" t="s">
        <v>385</v>
      </c>
      <c r="C165">
        <v>1.06</v>
      </c>
      <c r="D165" t="s">
        <v>806</v>
      </c>
      <c r="E165" t="s">
        <v>806</v>
      </c>
      <c r="F165" t="s">
        <v>806</v>
      </c>
      <c r="G165">
        <f t="shared" si="6"/>
        <v>1.06</v>
      </c>
      <c r="H165">
        <f t="shared" si="6"/>
        <v>0</v>
      </c>
      <c r="I165">
        <f t="shared" si="6"/>
        <v>0</v>
      </c>
      <c r="J165">
        <f t="shared" si="5"/>
        <v>0</v>
      </c>
      <c r="K165">
        <f t="shared" si="7"/>
        <v>1.06</v>
      </c>
      <c r="L165" t="str">
        <f>VLOOKUP(Tabell4[[#This Row],[Nät]],Indexnamn!A:A,1,FALSE)</f>
        <v>HVC Kode</v>
      </c>
      <c r="M165" t="str">
        <f>IF(ISTEXT(Tabell4[[#This Row],[Indexnamn]]),Tabell4[[#This Row],[Indexnamn]],LOOKUP(Tabell4[[#This Row],[Nät]],Tabell5[Nätnamn],#REF!))</f>
        <v>HVC Kode</v>
      </c>
      <c r="N165" t="str">
        <f>IF(Tabell4[[#This Row],[Finns i listan ]]=Tabell4[[#This Row],[Indexnamn]],"","NEJ")</f>
        <v/>
      </c>
    </row>
    <row r="166" spans="1:14" x14ac:dyDescent="0.25">
      <c r="A166" t="s">
        <v>632</v>
      </c>
      <c r="B166" t="s">
        <v>386</v>
      </c>
      <c r="C166">
        <v>0.75</v>
      </c>
      <c r="D166" t="s">
        <v>806</v>
      </c>
      <c r="E166" t="s">
        <v>806</v>
      </c>
      <c r="F166" t="s">
        <v>806</v>
      </c>
      <c r="G166">
        <f t="shared" si="6"/>
        <v>0.75</v>
      </c>
      <c r="H166">
        <f t="shared" si="6"/>
        <v>0</v>
      </c>
      <c r="I166">
        <f t="shared" si="6"/>
        <v>0</v>
      </c>
      <c r="J166">
        <f t="shared" si="5"/>
        <v>0</v>
      </c>
      <c r="K166">
        <f t="shared" si="7"/>
        <v>0.75</v>
      </c>
      <c r="L166" t="str">
        <f>VLOOKUP(Tabell4[[#This Row],[Nät]],Indexnamn!A:A,1,FALSE)</f>
        <v>HVC Kärna</v>
      </c>
      <c r="M166" t="str">
        <f>IF(ISTEXT(Tabell4[[#This Row],[Indexnamn]]),Tabell4[[#This Row],[Indexnamn]],LOOKUP(Tabell4[[#This Row],[Nät]],Tabell5[Nätnamn],#REF!))</f>
        <v>HVC Kärna</v>
      </c>
      <c r="N166" t="str">
        <f>IF(Tabell4[[#This Row],[Finns i listan ]]=Tabell4[[#This Row],[Indexnamn]],"","NEJ")</f>
        <v/>
      </c>
    </row>
    <row r="167" spans="1:14" x14ac:dyDescent="0.25">
      <c r="A167" t="s">
        <v>632</v>
      </c>
      <c r="B167" t="s">
        <v>387</v>
      </c>
      <c r="C167">
        <v>2.9</v>
      </c>
      <c r="D167" t="s">
        <v>806</v>
      </c>
      <c r="E167" t="s">
        <v>806</v>
      </c>
      <c r="F167" t="s">
        <v>806</v>
      </c>
      <c r="G167">
        <f t="shared" si="6"/>
        <v>2.9</v>
      </c>
      <c r="H167">
        <f t="shared" si="6"/>
        <v>0</v>
      </c>
      <c r="I167">
        <f t="shared" si="6"/>
        <v>0</v>
      </c>
      <c r="J167">
        <f t="shared" si="5"/>
        <v>0</v>
      </c>
      <c r="K167">
        <f t="shared" si="7"/>
        <v>2.9</v>
      </c>
      <c r="L167" t="str">
        <f>VLOOKUP(Tabell4[[#This Row],[Nät]],Indexnamn!A:A,1,FALSE)</f>
        <v>HVC Stålkullen</v>
      </c>
      <c r="M167" t="str">
        <f>IF(ISTEXT(Tabell4[[#This Row],[Indexnamn]]),Tabell4[[#This Row],[Indexnamn]],LOOKUP(Tabell4[[#This Row],[Nät]],Tabell5[Nätnamn],#REF!))</f>
        <v>HVC Stålkullen</v>
      </c>
      <c r="N167" t="str">
        <f>IF(Tabell4[[#This Row],[Finns i listan ]]=Tabell4[[#This Row],[Indexnamn]],"","NEJ")</f>
        <v/>
      </c>
    </row>
    <row r="168" spans="1:14" x14ac:dyDescent="0.25">
      <c r="A168" t="s">
        <v>632</v>
      </c>
      <c r="B168" t="s">
        <v>173</v>
      </c>
      <c r="C168">
        <v>113</v>
      </c>
      <c r="D168" t="s">
        <v>806</v>
      </c>
      <c r="E168" t="s">
        <v>806</v>
      </c>
      <c r="F168" t="s">
        <v>806</v>
      </c>
      <c r="G168">
        <f t="shared" si="6"/>
        <v>113</v>
      </c>
      <c r="H168">
        <f t="shared" si="6"/>
        <v>0</v>
      </c>
      <c r="I168">
        <f t="shared" si="6"/>
        <v>0</v>
      </c>
      <c r="J168">
        <f t="shared" si="5"/>
        <v>0</v>
      </c>
      <c r="K168">
        <f t="shared" si="7"/>
        <v>113</v>
      </c>
      <c r="L168" t="str">
        <f>VLOOKUP(Tabell4[[#This Row],[Nät]],Indexnamn!A:A,1,FALSE)</f>
        <v>Kungälv</v>
      </c>
      <c r="M168" t="str">
        <f>IF(ISTEXT(Tabell4[[#This Row],[Indexnamn]]),Tabell4[[#This Row],[Indexnamn]],LOOKUP(Tabell4[[#This Row],[Nät]],Tabell5[Nätnamn],#REF!))</f>
        <v>Kungälv</v>
      </c>
      <c r="N168" t="str">
        <f>IF(Tabell4[[#This Row],[Finns i listan ]]=Tabell4[[#This Row],[Indexnamn]],"","NEJ")</f>
        <v/>
      </c>
    </row>
    <row r="169" spans="1:14" x14ac:dyDescent="0.25">
      <c r="A169" t="s">
        <v>651</v>
      </c>
      <c r="B169" t="s">
        <v>797</v>
      </c>
      <c r="C169" t="s">
        <v>805</v>
      </c>
      <c r="D169" t="s">
        <v>805</v>
      </c>
      <c r="E169" t="s">
        <v>805</v>
      </c>
      <c r="F169" t="s">
        <v>805</v>
      </c>
      <c r="G169">
        <f t="shared" si="6"/>
        <v>0</v>
      </c>
      <c r="H169">
        <f t="shared" si="6"/>
        <v>0</v>
      </c>
      <c r="I169">
        <f t="shared" si="6"/>
        <v>0</v>
      </c>
      <c r="J169">
        <f t="shared" si="5"/>
        <v>0</v>
      </c>
      <c r="K169">
        <f t="shared" si="7"/>
        <v>0</v>
      </c>
      <c r="L169" t="e">
        <f>VLOOKUP(Tabell4[[#This Row],[Nät]],Indexnamn!A:A,1,FALSE)</f>
        <v>#N/A</v>
      </c>
      <c r="N169" t="e">
        <f>IF(Tabell4[[#This Row],[Finns i listan ]]=Tabell4[[#This Row],[Indexnamn]],"","NEJ")</f>
        <v>#N/A</v>
      </c>
    </row>
    <row r="170" spans="1:14" x14ac:dyDescent="0.25">
      <c r="A170" t="s">
        <v>658</v>
      </c>
      <c r="B170" t="s">
        <v>176</v>
      </c>
      <c r="C170">
        <v>303</v>
      </c>
      <c r="D170">
        <v>4.43</v>
      </c>
      <c r="E170">
        <v>27.9</v>
      </c>
      <c r="F170" t="s">
        <v>806</v>
      </c>
      <c r="G170">
        <f t="shared" si="6"/>
        <v>303</v>
      </c>
      <c r="H170">
        <f t="shared" si="6"/>
        <v>4.43</v>
      </c>
      <c r="I170">
        <f t="shared" si="6"/>
        <v>27.9</v>
      </c>
      <c r="J170">
        <f t="shared" si="5"/>
        <v>0</v>
      </c>
      <c r="K170">
        <f t="shared" si="7"/>
        <v>270.67</v>
      </c>
      <c r="L170" t="str">
        <f>VLOOKUP(Tabell4[[#This Row],[Nät]],Indexnamn!A:A,1,FALSE)</f>
        <v>Landskrona</v>
      </c>
      <c r="M170" t="str">
        <f>IF(ISTEXT(Tabell4[[#This Row],[Indexnamn]]),Tabell4[[#This Row],[Indexnamn]],LOOKUP(Tabell4[[#This Row],[Nät]],Tabell5[Nätnamn],#REF!))</f>
        <v>Landskrona</v>
      </c>
      <c r="N170" t="str">
        <f>IF(Tabell4[[#This Row],[Finns i listan ]]=Tabell4[[#This Row],[Indexnamn]],"","NEJ")</f>
        <v/>
      </c>
    </row>
    <row r="171" spans="1:14" x14ac:dyDescent="0.25">
      <c r="A171" t="s">
        <v>568</v>
      </c>
      <c r="B171" t="s">
        <v>178</v>
      </c>
      <c r="C171">
        <v>8.77</v>
      </c>
      <c r="D171" t="s">
        <v>806</v>
      </c>
      <c r="E171" t="s">
        <v>806</v>
      </c>
      <c r="F171" t="s">
        <v>806</v>
      </c>
      <c r="G171">
        <f t="shared" si="6"/>
        <v>8.77</v>
      </c>
      <c r="H171">
        <f t="shared" si="6"/>
        <v>0</v>
      </c>
      <c r="I171">
        <f t="shared" si="6"/>
        <v>0</v>
      </c>
      <c r="J171">
        <f t="shared" si="5"/>
        <v>0</v>
      </c>
      <c r="K171">
        <f t="shared" si="7"/>
        <v>8.77</v>
      </c>
      <c r="L171" t="str">
        <f>VLOOKUP(Tabell4[[#This Row],[Nät]],Indexnamn!A:A,1,FALSE)</f>
        <v>Bjärnum</v>
      </c>
      <c r="M171" t="str">
        <f>IF(ISTEXT(Tabell4[[#This Row],[Indexnamn]]),Tabell4[[#This Row],[Indexnamn]],LOOKUP(Tabell4[[#This Row],[Nät]],Tabell5[Nätnamn],#REF!))</f>
        <v>Bjärnum</v>
      </c>
      <c r="N171" t="str">
        <f>IF(Tabell4[[#This Row],[Finns i listan ]]=Tabell4[[#This Row],[Indexnamn]],"","NEJ")</f>
        <v/>
      </c>
    </row>
    <row r="172" spans="1:14" x14ac:dyDescent="0.25">
      <c r="A172" t="s">
        <v>568</v>
      </c>
      <c r="B172" t="s">
        <v>179</v>
      </c>
      <c r="C172">
        <v>7.34</v>
      </c>
      <c r="D172" t="s">
        <v>806</v>
      </c>
      <c r="E172" t="s">
        <v>806</v>
      </c>
      <c r="F172" t="s">
        <v>806</v>
      </c>
      <c r="G172">
        <f t="shared" si="6"/>
        <v>7.34</v>
      </c>
      <c r="H172">
        <f t="shared" si="6"/>
        <v>0</v>
      </c>
      <c r="I172">
        <f t="shared" si="6"/>
        <v>0</v>
      </c>
      <c r="J172">
        <f t="shared" si="5"/>
        <v>0</v>
      </c>
      <c r="K172">
        <f t="shared" si="7"/>
        <v>7.34</v>
      </c>
      <c r="L172" t="str">
        <f>VLOOKUP(Tabell4[[#This Row],[Nät]],Indexnamn!A:A,1,FALSE)</f>
        <v>Ed</v>
      </c>
      <c r="M172" t="str">
        <f>IF(ISTEXT(Tabell4[[#This Row],[Indexnamn]]),Tabell4[[#This Row],[Indexnamn]],LOOKUP(Tabell4[[#This Row],[Nät]],Tabell5[Nätnamn],#REF!))</f>
        <v>Ed</v>
      </c>
      <c r="N172" t="str">
        <f>IF(Tabell4[[#This Row],[Finns i listan ]]=Tabell4[[#This Row],[Indexnamn]],"","NEJ")</f>
        <v/>
      </c>
    </row>
    <row r="173" spans="1:14" x14ac:dyDescent="0.25">
      <c r="A173" t="s">
        <v>568</v>
      </c>
      <c r="B173" t="s">
        <v>180</v>
      </c>
      <c r="C173">
        <v>10.52</v>
      </c>
      <c r="D173" t="s">
        <v>806</v>
      </c>
      <c r="E173" t="s">
        <v>806</v>
      </c>
      <c r="F173" t="s">
        <v>806</v>
      </c>
      <c r="G173">
        <f t="shared" si="6"/>
        <v>10.52</v>
      </c>
      <c r="H173">
        <f t="shared" si="6"/>
        <v>0</v>
      </c>
      <c r="I173">
        <f t="shared" si="6"/>
        <v>0</v>
      </c>
      <c r="J173">
        <f t="shared" si="5"/>
        <v>0</v>
      </c>
      <c r="K173">
        <f t="shared" si="7"/>
        <v>10.52</v>
      </c>
      <c r="L173" t="str">
        <f>VLOOKUP(Tabell4[[#This Row],[Nät]],Indexnamn!A:A,1,FALSE)</f>
        <v>Grästorp</v>
      </c>
      <c r="M173" t="str">
        <f>IF(ISTEXT(Tabell4[[#This Row],[Indexnamn]]),Tabell4[[#This Row],[Indexnamn]],LOOKUP(Tabell4[[#This Row],[Nät]],Tabell5[Nätnamn],#REF!))</f>
        <v>Grästorp</v>
      </c>
      <c r="N173" t="str">
        <f>IF(Tabell4[[#This Row],[Finns i listan ]]=Tabell4[[#This Row],[Indexnamn]],"","NEJ")</f>
        <v/>
      </c>
    </row>
    <row r="174" spans="1:14" x14ac:dyDescent="0.25">
      <c r="A174" t="s">
        <v>568</v>
      </c>
      <c r="B174" t="s">
        <v>181</v>
      </c>
      <c r="C174">
        <v>5.65</v>
      </c>
      <c r="D174" t="s">
        <v>806</v>
      </c>
      <c r="E174" t="s">
        <v>806</v>
      </c>
      <c r="F174" t="s">
        <v>806</v>
      </c>
      <c r="G174">
        <f t="shared" si="6"/>
        <v>5.65</v>
      </c>
      <c r="H174">
        <f t="shared" si="6"/>
        <v>0</v>
      </c>
      <c r="I174">
        <f t="shared" si="6"/>
        <v>0</v>
      </c>
      <c r="J174">
        <f t="shared" si="5"/>
        <v>0</v>
      </c>
      <c r="K174">
        <f t="shared" si="7"/>
        <v>5.65</v>
      </c>
      <c r="L174" t="str">
        <f>VLOOKUP(Tabell4[[#This Row],[Nät]],Indexnamn!A:A,1,FALSE)</f>
        <v>Horred</v>
      </c>
      <c r="M174" t="str">
        <f>IF(ISTEXT(Tabell4[[#This Row],[Indexnamn]]),Tabell4[[#This Row],[Indexnamn]],LOOKUP(Tabell4[[#This Row],[Nät]],Tabell5[Nätnamn],#REF!))</f>
        <v>Horred</v>
      </c>
      <c r="N174" t="str">
        <f>IF(Tabell4[[#This Row],[Finns i listan ]]=Tabell4[[#This Row],[Indexnamn]],"","NEJ")</f>
        <v/>
      </c>
    </row>
    <row r="175" spans="1:14" x14ac:dyDescent="0.25">
      <c r="A175" t="s">
        <v>568</v>
      </c>
      <c r="B175" t="s">
        <v>182</v>
      </c>
      <c r="C175">
        <v>13.7</v>
      </c>
      <c r="D175" t="s">
        <v>806</v>
      </c>
      <c r="E175" t="s">
        <v>806</v>
      </c>
      <c r="F175" t="s">
        <v>806</v>
      </c>
      <c r="G175">
        <f t="shared" si="6"/>
        <v>13.7</v>
      </c>
      <c r="H175">
        <f t="shared" si="6"/>
        <v>0</v>
      </c>
      <c r="I175">
        <f t="shared" si="6"/>
        <v>0</v>
      </c>
      <c r="J175">
        <f t="shared" si="5"/>
        <v>0</v>
      </c>
      <c r="K175">
        <f t="shared" si="7"/>
        <v>13.7</v>
      </c>
      <c r="L175" t="str">
        <f>VLOOKUP(Tabell4[[#This Row],[Nät]],Indexnamn!A:A,1,FALSE)</f>
        <v>Kvänum</v>
      </c>
      <c r="M175" t="str">
        <f>IF(ISTEXT(Tabell4[[#This Row],[Indexnamn]]),Tabell4[[#This Row],[Indexnamn]],LOOKUP(Tabell4[[#This Row],[Nät]],Tabell5[Nätnamn],#REF!))</f>
        <v>Kvänum</v>
      </c>
      <c r="N175" t="str">
        <f>IF(Tabell4[[#This Row],[Finns i listan ]]=Tabell4[[#This Row],[Indexnamn]],"","NEJ")</f>
        <v/>
      </c>
    </row>
    <row r="176" spans="1:14" x14ac:dyDescent="0.25">
      <c r="A176" t="s">
        <v>568</v>
      </c>
      <c r="B176" t="s">
        <v>183</v>
      </c>
      <c r="C176">
        <v>30.26</v>
      </c>
      <c r="D176" t="s">
        <v>806</v>
      </c>
      <c r="E176" t="s">
        <v>806</v>
      </c>
      <c r="F176" t="s">
        <v>806</v>
      </c>
      <c r="G176">
        <f t="shared" si="6"/>
        <v>30.26</v>
      </c>
      <c r="H176">
        <f t="shared" si="6"/>
        <v>0</v>
      </c>
      <c r="I176">
        <f t="shared" si="6"/>
        <v>0</v>
      </c>
      <c r="J176">
        <f t="shared" si="5"/>
        <v>0</v>
      </c>
      <c r="K176">
        <f t="shared" si="7"/>
        <v>30.26</v>
      </c>
      <c r="L176" t="str">
        <f>VLOOKUP(Tabell4[[#This Row],[Nät]],Indexnamn!A:A,1,FALSE)</f>
        <v>Skurup</v>
      </c>
      <c r="M176" t="str">
        <f>IF(ISTEXT(Tabell4[[#This Row],[Indexnamn]]),Tabell4[[#This Row],[Indexnamn]],LOOKUP(Tabell4[[#This Row],[Nät]],Tabell5[Nätnamn],#REF!))</f>
        <v>Skurup</v>
      </c>
      <c r="N176" t="str">
        <f>IF(Tabell4[[#This Row],[Finns i listan ]]=Tabell4[[#This Row],[Indexnamn]],"","NEJ")</f>
        <v/>
      </c>
    </row>
    <row r="177" spans="1:14" x14ac:dyDescent="0.25">
      <c r="A177" t="s">
        <v>568</v>
      </c>
      <c r="B177" t="s">
        <v>855</v>
      </c>
      <c r="C177">
        <v>7.29</v>
      </c>
      <c r="D177" t="s">
        <v>806</v>
      </c>
      <c r="E177" t="s">
        <v>806</v>
      </c>
      <c r="F177" t="s">
        <v>806</v>
      </c>
      <c r="G177">
        <f t="shared" si="6"/>
        <v>7.29</v>
      </c>
      <c r="H177">
        <f t="shared" si="6"/>
        <v>0</v>
      </c>
      <c r="I177">
        <f t="shared" si="6"/>
        <v>0</v>
      </c>
      <c r="J177">
        <f t="shared" si="5"/>
        <v>0</v>
      </c>
      <c r="K177">
        <f t="shared" si="7"/>
        <v>7.29</v>
      </c>
      <c r="L177" t="str">
        <f>VLOOKUP(Tabell4[[#This Row],[Nät]],Indexnamn!A:A,1,FALSE)</f>
        <v>Vinslöv</v>
      </c>
      <c r="M177" t="str">
        <f>IF(ISTEXT(Tabell4[[#This Row],[Indexnamn]]),Tabell4[[#This Row],[Indexnamn]],LOOKUP(Tabell4[[#This Row],[Nät]],Tabell5[Nätnamn],#REF!))</f>
        <v>Vinslöv</v>
      </c>
      <c r="N177" t="str">
        <f>IF(Tabell4[[#This Row],[Finns i listan ]]=Tabell4[[#This Row],[Indexnamn]],"","NEJ")</f>
        <v/>
      </c>
    </row>
    <row r="178" spans="1:14" x14ac:dyDescent="0.25">
      <c r="A178" t="s">
        <v>568</v>
      </c>
      <c r="B178" t="s">
        <v>177</v>
      </c>
      <c r="C178">
        <v>11.9</v>
      </c>
      <c r="D178" t="s">
        <v>806</v>
      </c>
      <c r="E178" t="s">
        <v>806</v>
      </c>
      <c r="F178" t="s">
        <v>806</v>
      </c>
      <c r="G178">
        <f t="shared" si="6"/>
        <v>11.9</v>
      </c>
      <c r="H178">
        <f t="shared" si="6"/>
        <v>0</v>
      </c>
      <c r="I178">
        <f t="shared" si="6"/>
        <v>0</v>
      </c>
      <c r="J178">
        <f t="shared" si="5"/>
        <v>0</v>
      </c>
      <c r="K178">
        <f t="shared" si="7"/>
        <v>11.9</v>
      </c>
      <c r="L178" t="str">
        <f>VLOOKUP(Tabell4[[#This Row],[Nät]],Indexnamn!A:A,1,FALSE)</f>
        <v>Ödeshög</v>
      </c>
      <c r="M178" t="str">
        <f>IF(ISTEXT(Tabell4[[#This Row],[Indexnamn]]),Tabell4[[#This Row],[Indexnamn]],LOOKUP(Tabell4[[#This Row],[Nät]],Tabell5[Nätnamn],#REF!))</f>
        <v>Ödeshög</v>
      </c>
      <c r="N178" t="str">
        <f>IF(Tabell4[[#This Row],[Finns i listan ]]=Tabell4[[#This Row],[Indexnamn]],"","NEJ")</f>
        <v/>
      </c>
    </row>
    <row r="179" spans="1:14" x14ac:dyDescent="0.25">
      <c r="A179" t="s">
        <v>568</v>
      </c>
      <c r="B179" t="s">
        <v>440</v>
      </c>
      <c r="C179">
        <v>5.43</v>
      </c>
      <c r="D179" t="s">
        <v>806</v>
      </c>
      <c r="E179" t="s">
        <v>806</v>
      </c>
      <c r="F179" t="s">
        <v>806</v>
      </c>
      <c r="G179">
        <f t="shared" si="6"/>
        <v>5.43</v>
      </c>
      <c r="H179">
        <f t="shared" si="6"/>
        <v>0</v>
      </c>
      <c r="I179">
        <f t="shared" si="6"/>
        <v>0</v>
      </c>
      <c r="J179">
        <f t="shared" si="5"/>
        <v>0</v>
      </c>
      <c r="K179">
        <f t="shared" si="7"/>
        <v>5.43</v>
      </c>
      <c r="L179" t="str">
        <f>VLOOKUP(Tabell4[[#This Row],[Nät]],Indexnamn!A:A,1,FALSE)</f>
        <v>Örsundsbro</v>
      </c>
      <c r="M179" t="str">
        <f>IF(ISTEXT(Tabell4[[#This Row],[Indexnamn]]),Tabell4[[#This Row],[Indexnamn]],LOOKUP(Tabell4[[#This Row],[Nät]],Tabell5[Nätnamn],#REF!))</f>
        <v>Örsundsbro</v>
      </c>
      <c r="N179" t="str">
        <f>IF(Tabell4[[#This Row],[Finns i listan ]]=Tabell4[[#This Row],[Indexnamn]],"","NEJ")</f>
        <v/>
      </c>
    </row>
    <row r="180" spans="1:14" x14ac:dyDescent="0.25">
      <c r="A180" t="s">
        <v>659</v>
      </c>
      <c r="B180" t="s">
        <v>184</v>
      </c>
      <c r="C180" t="s">
        <v>805</v>
      </c>
      <c r="D180" t="s">
        <v>806</v>
      </c>
      <c r="E180" t="s">
        <v>806</v>
      </c>
      <c r="F180" t="s">
        <v>806</v>
      </c>
      <c r="G180">
        <f t="shared" si="6"/>
        <v>0</v>
      </c>
      <c r="H180">
        <f t="shared" si="6"/>
        <v>0</v>
      </c>
      <c r="I180">
        <f t="shared" si="6"/>
        <v>0</v>
      </c>
      <c r="J180">
        <f t="shared" si="5"/>
        <v>0</v>
      </c>
      <c r="K180">
        <f t="shared" si="7"/>
        <v>0</v>
      </c>
      <c r="L180" t="str">
        <f>VLOOKUP(Tabell4[[#This Row],[Nät]],Indexnamn!A:A,1,FALSE)</f>
        <v>Laxå</v>
      </c>
      <c r="M180" t="str">
        <f>IF(ISTEXT(Tabell4[[#This Row],[Indexnamn]]),Tabell4[[#This Row],[Indexnamn]],LOOKUP(Tabell4[[#This Row],[Nät]],Tabell5[Nätnamn],#REF!))</f>
        <v>Laxå</v>
      </c>
      <c r="N180" t="str">
        <f>IF(Tabell4[[#This Row],[Finns i listan ]]=Tabell4[[#This Row],[Indexnamn]],"","NEJ")</f>
        <v/>
      </c>
    </row>
    <row r="181" spans="1:14" x14ac:dyDescent="0.25">
      <c r="A181" t="s">
        <v>856</v>
      </c>
      <c r="B181" t="s">
        <v>857</v>
      </c>
      <c r="C181" t="s">
        <v>805</v>
      </c>
      <c r="D181" t="s">
        <v>805</v>
      </c>
      <c r="E181" t="s">
        <v>805</v>
      </c>
      <c r="F181" t="s">
        <v>805</v>
      </c>
      <c r="G181">
        <f t="shared" si="6"/>
        <v>0</v>
      </c>
      <c r="H181">
        <f t="shared" si="6"/>
        <v>0</v>
      </c>
      <c r="I181">
        <f t="shared" si="6"/>
        <v>0</v>
      </c>
      <c r="J181">
        <f t="shared" si="5"/>
        <v>0</v>
      </c>
      <c r="K181">
        <f t="shared" si="7"/>
        <v>0</v>
      </c>
      <c r="L181" t="e">
        <f>VLOOKUP(Tabell4[[#This Row],[Nät]],Indexnamn!A:A,1,FALSE)</f>
        <v>#N/A</v>
      </c>
      <c r="M181" t="e">
        <f>IF(ISTEXT(Tabell4[[#This Row],[Indexnamn]]),Tabell4[[#This Row],[Indexnamn]],LOOKUP(Tabell4[[#This Row],[Nät]],Tabell5[Nätnamn],#REF!))</f>
        <v>#REF!</v>
      </c>
      <c r="N181" t="e">
        <f>IF(Tabell4[[#This Row],[Finns i listan ]]=Tabell4[[#This Row],[Indexnamn]],"","NEJ")</f>
        <v>#REF!</v>
      </c>
    </row>
    <row r="182" spans="1:14" x14ac:dyDescent="0.25">
      <c r="A182" t="s">
        <v>601</v>
      </c>
      <c r="B182" t="s">
        <v>397</v>
      </c>
      <c r="C182">
        <v>8.1999999999999993</v>
      </c>
      <c r="D182" t="s">
        <v>806</v>
      </c>
      <c r="E182" t="s">
        <v>806</v>
      </c>
      <c r="F182" t="s">
        <v>806</v>
      </c>
      <c r="G182">
        <f t="shared" si="6"/>
        <v>8.1999999999999993</v>
      </c>
      <c r="H182">
        <f t="shared" si="6"/>
        <v>0</v>
      </c>
      <c r="I182">
        <f t="shared" si="6"/>
        <v>0</v>
      </c>
      <c r="J182">
        <f t="shared" si="5"/>
        <v>0</v>
      </c>
      <c r="K182">
        <f t="shared" si="7"/>
        <v>8.1999999999999993</v>
      </c>
      <c r="L182" t="str">
        <f>VLOOKUP(Tabell4[[#This Row],[Nät]],Indexnamn!A:A,1,FALSE)</f>
        <v>Floda</v>
      </c>
      <c r="M182" t="str">
        <f>IF(ISTEXT(Tabell4[[#This Row],[Indexnamn]]),Tabell4[[#This Row],[Indexnamn]],LOOKUP(Tabell4[[#This Row],[Nät]],Tabell5[Nätnamn],#REF!))</f>
        <v>Floda</v>
      </c>
      <c r="N182" t="str">
        <f>IF(Tabell4[[#This Row],[Finns i listan ]]=Tabell4[[#This Row],[Indexnamn]],"","NEJ")</f>
        <v/>
      </c>
    </row>
    <row r="183" spans="1:14" x14ac:dyDescent="0.25">
      <c r="A183" t="s">
        <v>601</v>
      </c>
      <c r="B183" t="s">
        <v>185</v>
      </c>
      <c r="C183">
        <v>10</v>
      </c>
      <c r="D183" t="s">
        <v>806</v>
      </c>
      <c r="E183" t="s">
        <v>806</v>
      </c>
      <c r="F183" t="s">
        <v>806</v>
      </c>
      <c r="G183">
        <f t="shared" si="6"/>
        <v>10</v>
      </c>
      <c r="H183">
        <f t="shared" si="6"/>
        <v>0</v>
      </c>
      <c r="I183">
        <f t="shared" si="6"/>
        <v>0</v>
      </c>
      <c r="J183">
        <f t="shared" si="5"/>
        <v>0</v>
      </c>
      <c r="K183">
        <f t="shared" si="7"/>
        <v>10</v>
      </c>
      <c r="L183" t="str">
        <f>VLOOKUP(Tabell4[[#This Row],[Nät]],Indexnamn!A:A,1,FALSE)</f>
        <v>Gråbo</v>
      </c>
      <c r="M183" t="str">
        <f>IF(ISTEXT(Tabell4[[#This Row],[Indexnamn]]),Tabell4[[#This Row],[Indexnamn]],LOOKUP(Tabell4[[#This Row],[Nät]],Tabell5[Nätnamn],#REF!))</f>
        <v>Gråbo</v>
      </c>
      <c r="N183" t="str">
        <f>IF(Tabell4[[#This Row],[Finns i listan ]]=Tabell4[[#This Row],[Indexnamn]],"","NEJ")</f>
        <v/>
      </c>
    </row>
    <row r="184" spans="1:14" x14ac:dyDescent="0.25">
      <c r="A184" t="s">
        <v>601</v>
      </c>
      <c r="B184" t="s">
        <v>186</v>
      </c>
      <c r="C184">
        <v>30</v>
      </c>
      <c r="D184" t="s">
        <v>806</v>
      </c>
      <c r="E184" t="s">
        <v>806</v>
      </c>
      <c r="F184" t="s">
        <v>806</v>
      </c>
      <c r="G184">
        <f t="shared" si="6"/>
        <v>30</v>
      </c>
      <c r="H184">
        <f t="shared" si="6"/>
        <v>0</v>
      </c>
      <c r="I184">
        <f t="shared" si="6"/>
        <v>0</v>
      </c>
      <c r="J184">
        <f t="shared" si="5"/>
        <v>0</v>
      </c>
      <c r="K184">
        <f t="shared" si="7"/>
        <v>30</v>
      </c>
      <c r="L184" t="str">
        <f>VLOOKUP(Tabell4[[#This Row],[Nät]],Indexnamn!A:A,1,FALSE)</f>
        <v>Lerum</v>
      </c>
      <c r="M184" t="str">
        <f>IF(ISTEXT(Tabell4[[#This Row],[Indexnamn]]),Tabell4[[#This Row],[Indexnamn]],LOOKUP(Tabell4[[#This Row],[Nät]],Tabell5[Nätnamn],#REF!))</f>
        <v>Lerum</v>
      </c>
      <c r="N184" t="str">
        <f>IF(Tabell4[[#This Row],[Finns i listan ]]=Tabell4[[#This Row],[Indexnamn]],"","NEJ")</f>
        <v/>
      </c>
    </row>
    <row r="185" spans="1:14" x14ac:dyDescent="0.25">
      <c r="A185" t="s">
        <v>601</v>
      </c>
      <c r="B185" t="s">
        <v>417</v>
      </c>
      <c r="C185">
        <v>3.4</v>
      </c>
      <c r="D185" t="s">
        <v>806</v>
      </c>
      <c r="E185" t="s">
        <v>806</v>
      </c>
      <c r="F185" t="s">
        <v>806</v>
      </c>
      <c r="G185">
        <f t="shared" si="6"/>
        <v>3.4</v>
      </c>
      <c r="H185">
        <f t="shared" si="6"/>
        <v>0</v>
      </c>
      <c r="I185">
        <f t="shared" si="6"/>
        <v>0</v>
      </c>
      <c r="J185">
        <f t="shared" si="5"/>
        <v>0</v>
      </c>
      <c r="K185">
        <f t="shared" si="7"/>
        <v>3.4</v>
      </c>
      <c r="L185" t="str">
        <f>VLOOKUP(Tabell4[[#This Row],[Nät]],Indexnamn!A:A,1,FALSE)</f>
        <v>Stenkullen</v>
      </c>
      <c r="M185" t="str">
        <f>IF(ISTEXT(Tabell4[[#This Row],[Indexnamn]]),Tabell4[[#This Row],[Indexnamn]],LOOKUP(Tabell4[[#This Row],[Nät]],Tabell5[Nätnamn],#REF!))</f>
        <v>Stenkullen</v>
      </c>
      <c r="N185" t="str">
        <f>IF(Tabell4[[#This Row],[Finns i listan ]]=Tabell4[[#This Row],[Indexnamn]],"","NEJ")</f>
        <v/>
      </c>
    </row>
    <row r="186" spans="1:14" x14ac:dyDescent="0.25">
      <c r="A186" t="s">
        <v>858</v>
      </c>
      <c r="B186" t="s">
        <v>515</v>
      </c>
      <c r="C186" t="s">
        <v>805</v>
      </c>
      <c r="D186" t="s">
        <v>805</v>
      </c>
      <c r="E186" t="s">
        <v>805</v>
      </c>
      <c r="F186" t="s">
        <v>805</v>
      </c>
      <c r="G186">
        <f t="shared" si="6"/>
        <v>0</v>
      </c>
      <c r="H186">
        <f t="shared" si="6"/>
        <v>0</v>
      </c>
      <c r="I186">
        <f t="shared" si="6"/>
        <v>0</v>
      </c>
      <c r="J186">
        <f t="shared" si="5"/>
        <v>0</v>
      </c>
      <c r="K186">
        <f t="shared" si="7"/>
        <v>0</v>
      </c>
      <c r="L186" t="e">
        <f>VLOOKUP(Tabell4[[#This Row],[Nät]],Indexnamn!A:A,1,FALSE)</f>
        <v>#N/A</v>
      </c>
      <c r="M186" t="e">
        <f>IF(ISTEXT(Tabell4[[#This Row],[Indexnamn]]),Tabell4[[#This Row],[Indexnamn]],LOOKUP(Tabell4[[#This Row],[Nät]],Tabell5[Nätnamn],#REF!))</f>
        <v>#REF!</v>
      </c>
      <c r="N186" t="e">
        <f>IF(Tabell4[[#This Row],[Finns i listan ]]=Tabell4[[#This Row],[Indexnamn]],"","NEJ")</f>
        <v>#REF!</v>
      </c>
    </row>
    <row r="187" spans="1:14" x14ac:dyDescent="0.25">
      <c r="A187" t="s">
        <v>669</v>
      </c>
      <c r="B187" t="s">
        <v>187</v>
      </c>
      <c r="C187">
        <v>43.564999999999998</v>
      </c>
      <c r="D187" t="s">
        <v>806</v>
      </c>
      <c r="E187" t="s">
        <v>806</v>
      </c>
      <c r="F187" t="s">
        <v>806</v>
      </c>
      <c r="G187">
        <f t="shared" si="6"/>
        <v>43.564999999999998</v>
      </c>
      <c r="H187">
        <f t="shared" si="6"/>
        <v>0</v>
      </c>
      <c r="I187">
        <f t="shared" si="6"/>
        <v>0</v>
      </c>
      <c r="J187">
        <f t="shared" si="5"/>
        <v>0</v>
      </c>
      <c r="K187">
        <f t="shared" si="7"/>
        <v>43.564999999999998</v>
      </c>
      <c r="L187" t="str">
        <f>VLOOKUP(Tabell4[[#This Row],[Nät]],Indexnamn!A:A,1,FALSE)</f>
        <v>Lysekil</v>
      </c>
      <c r="M187" t="str">
        <f>IF(ISTEXT(Tabell4[[#This Row],[Indexnamn]]),Tabell4[[#This Row],[Indexnamn]],LOOKUP(Tabell4[[#This Row],[Nät]],Tabell5[Nätnamn],#REF!))</f>
        <v>Lysekil</v>
      </c>
      <c r="N187" t="str">
        <f>IF(Tabell4[[#This Row],[Finns i listan ]]=Tabell4[[#This Row],[Indexnamn]],"","NEJ")</f>
        <v/>
      </c>
    </row>
    <row r="188" spans="1:14" x14ac:dyDescent="0.25">
      <c r="A188" t="s">
        <v>661</v>
      </c>
      <c r="B188" t="s">
        <v>859</v>
      </c>
      <c r="C188">
        <v>80.421000000000006</v>
      </c>
      <c r="D188" t="s">
        <v>806</v>
      </c>
      <c r="E188" t="s">
        <v>806</v>
      </c>
      <c r="F188" t="s">
        <v>806</v>
      </c>
      <c r="G188">
        <f t="shared" si="6"/>
        <v>80.421000000000006</v>
      </c>
      <c r="H188">
        <f t="shared" si="6"/>
        <v>0</v>
      </c>
      <c r="I188">
        <f t="shared" si="6"/>
        <v>0</v>
      </c>
      <c r="J188">
        <f t="shared" si="5"/>
        <v>0</v>
      </c>
      <c r="K188">
        <f t="shared" si="7"/>
        <v>80.421000000000006</v>
      </c>
      <c r="L188" t="e">
        <f>VLOOKUP(Tabell4[[#This Row],[Nät]],Indexnamn!A:A,1,FALSE)</f>
        <v>#N/A</v>
      </c>
      <c r="N188" t="e">
        <f>IF(Tabell4[[#This Row],[Finns i listan ]]=Tabell4[[#This Row],[Indexnamn]],"","NEJ")</f>
        <v>#N/A</v>
      </c>
    </row>
    <row r="189" spans="1:14" x14ac:dyDescent="0.25">
      <c r="A189" t="s">
        <v>661</v>
      </c>
      <c r="B189" t="s">
        <v>188</v>
      </c>
      <c r="C189">
        <f>219.773+C188</f>
        <v>300.19400000000002</v>
      </c>
      <c r="D189" t="s">
        <v>806</v>
      </c>
      <c r="E189" t="s">
        <v>806</v>
      </c>
      <c r="F189" t="s">
        <v>806</v>
      </c>
      <c r="G189">
        <f t="shared" si="6"/>
        <v>300.19400000000002</v>
      </c>
      <c r="H189">
        <f t="shared" si="6"/>
        <v>0</v>
      </c>
      <c r="I189">
        <f t="shared" si="6"/>
        <v>0</v>
      </c>
      <c r="J189">
        <f t="shared" si="5"/>
        <v>0</v>
      </c>
      <c r="K189">
        <f t="shared" si="7"/>
        <v>300.19400000000002</v>
      </c>
      <c r="L189" t="str">
        <f>VLOOKUP(Tabell4[[#This Row],[Nät]],Indexnamn!A:A,1,FALSE)</f>
        <v>Lidköping</v>
      </c>
      <c r="M189" t="str">
        <f>IF(ISTEXT(Tabell4[[#This Row],[Indexnamn]]),Tabell4[[#This Row],[Indexnamn]],LOOKUP(Tabell4[[#This Row],[Nät]],Tabell5[Nätnamn],#REF!))</f>
        <v>Lidköping</v>
      </c>
      <c r="N189" t="str">
        <f>IF(Tabell4[[#This Row],[Finns i listan ]]=Tabell4[[#This Row],[Indexnamn]],"","NEJ")</f>
        <v/>
      </c>
    </row>
    <row r="190" spans="1:14" x14ac:dyDescent="0.25">
      <c r="A190" t="s">
        <v>662</v>
      </c>
      <c r="B190" t="s">
        <v>189</v>
      </c>
      <c r="C190">
        <v>11.862</v>
      </c>
      <c r="D190" t="s">
        <v>806</v>
      </c>
      <c r="E190" t="s">
        <v>806</v>
      </c>
      <c r="F190" t="s">
        <v>806</v>
      </c>
      <c r="G190">
        <f t="shared" si="6"/>
        <v>11.862</v>
      </c>
      <c r="H190">
        <f t="shared" si="6"/>
        <v>0</v>
      </c>
      <c r="I190">
        <f t="shared" si="6"/>
        <v>0</v>
      </c>
      <c r="J190">
        <f t="shared" si="5"/>
        <v>0</v>
      </c>
      <c r="K190">
        <f t="shared" si="7"/>
        <v>11.862</v>
      </c>
      <c r="L190" t="str">
        <f>VLOOKUP(Tabell4[[#This Row],[Nät]],Indexnamn!A:A,1,FALSE)</f>
        <v>Lilla Edet</v>
      </c>
      <c r="M190" t="str">
        <f>IF(ISTEXT(Tabell4[[#This Row],[Indexnamn]]),Tabell4[[#This Row],[Indexnamn]],LOOKUP(Tabell4[[#This Row],[Nät]],Tabell5[Nätnamn],#REF!))</f>
        <v>Lilla Edet</v>
      </c>
      <c r="N190" t="str">
        <f>IF(Tabell4[[#This Row],[Finns i listan ]]=Tabell4[[#This Row],[Indexnamn]],"","NEJ")</f>
        <v/>
      </c>
    </row>
    <row r="191" spans="1:14" x14ac:dyDescent="0.25">
      <c r="A191" t="s">
        <v>606</v>
      </c>
      <c r="B191" t="s">
        <v>191</v>
      </c>
      <c r="C191">
        <v>13.99</v>
      </c>
      <c r="D191" t="s">
        <v>806</v>
      </c>
      <c r="E191" t="s">
        <v>806</v>
      </c>
      <c r="F191" t="s">
        <v>806</v>
      </c>
      <c r="G191">
        <f t="shared" si="6"/>
        <v>13.99</v>
      </c>
      <c r="H191">
        <f t="shared" si="6"/>
        <v>0</v>
      </c>
      <c r="I191">
        <f t="shared" si="6"/>
        <v>0</v>
      </c>
      <c r="J191">
        <f t="shared" si="5"/>
        <v>0</v>
      </c>
      <c r="K191">
        <f t="shared" si="7"/>
        <v>13.99</v>
      </c>
      <c r="L191" t="str">
        <f>VLOOKUP(Tabell4[[#This Row],[Nät]],Indexnamn!A:A,1,FALSE)</f>
        <v>Frövi</v>
      </c>
      <c r="M191" t="str">
        <f>IF(ISTEXT(Tabell4[[#This Row],[Indexnamn]]),Tabell4[[#This Row],[Indexnamn]],LOOKUP(Tabell4[[#This Row],[Nät]],Tabell5[Nätnamn],#REF!))</f>
        <v>Frövi</v>
      </c>
      <c r="N191" t="str">
        <f>IF(Tabell4[[#This Row],[Finns i listan ]]=Tabell4[[#This Row],[Indexnamn]],"","NEJ")</f>
        <v/>
      </c>
    </row>
    <row r="192" spans="1:14" x14ac:dyDescent="0.25">
      <c r="A192" t="s">
        <v>606</v>
      </c>
      <c r="B192" t="s">
        <v>930</v>
      </c>
      <c r="C192">
        <v>1.3</v>
      </c>
      <c r="D192" t="s">
        <v>806</v>
      </c>
      <c r="E192" t="s">
        <v>806</v>
      </c>
      <c r="F192" t="s">
        <v>806</v>
      </c>
      <c r="G192">
        <f t="shared" si="6"/>
        <v>1.3</v>
      </c>
      <c r="H192">
        <f t="shared" si="6"/>
        <v>0</v>
      </c>
      <c r="I192">
        <f t="shared" si="6"/>
        <v>0</v>
      </c>
      <c r="J192">
        <f t="shared" si="5"/>
        <v>0</v>
      </c>
      <c r="K192">
        <f t="shared" si="7"/>
        <v>1.3</v>
      </c>
      <c r="L192" t="str">
        <f>VLOOKUP(Tabell4[[#This Row],[Nät]],Indexnamn!A:A,1,FALSE)</f>
        <v>Guldsmedhyttan</v>
      </c>
      <c r="M192" t="str">
        <f>IF(ISTEXT(Tabell4[[#This Row],[Indexnamn]]),Tabell4[[#This Row],[Indexnamn]],LOOKUP(Tabell4[[#This Row],[Nät]],Tabell5[Nätnamn],#REF!))</f>
        <v>Guldsmedhyttan</v>
      </c>
      <c r="N192" t="str">
        <f>IF(Tabell4[[#This Row],[Finns i listan ]]=Tabell4[[#This Row],[Indexnamn]],"","NEJ")</f>
        <v/>
      </c>
    </row>
    <row r="193" spans="1:14" x14ac:dyDescent="0.25">
      <c r="A193" t="s">
        <v>606</v>
      </c>
      <c r="B193" t="s">
        <v>190</v>
      </c>
      <c r="C193">
        <v>92.2</v>
      </c>
      <c r="D193" t="s">
        <v>806</v>
      </c>
      <c r="E193" t="s">
        <v>806</v>
      </c>
      <c r="F193" t="s">
        <v>806</v>
      </c>
      <c r="G193">
        <f t="shared" si="6"/>
        <v>92.2</v>
      </c>
      <c r="H193">
        <f t="shared" si="6"/>
        <v>0</v>
      </c>
      <c r="I193">
        <f t="shared" si="6"/>
        <v>0</v>
      </c>
      <c r="J193">
        <f t="shared" si="5"/>
        <v>0</v>
      </c>
      <c r="K193">
        <f t="shared" si="7"/>
        <v>92.2</v>
      </c>
      <c r="L193" t="str">
        <f>VLOOKUP(Tabell4[[#This Row],[Nät]],Indexnamn!A:A,1,FALSE)</f>
        <v>Lindesberg</v>
      </c>
      <c r="M193" t="str">
        <f>IF(ISTEXT(Tabell4[[#This Row],[Indexnamn]]),Tabell4[[#This Row],[Indexnamn]],LOOKUP(Tabell4[[#This Row],[Nät]],Tabell5[Nätnamn],#REF!))</f>
        <v>Lindesberg</v>
      </c>
      <c r="N193" t="str">
        <f>IF(Tabell4[[#This Row],[Finns i listan ]]=Tabell4[[#This Row],[Indexnamn]],"","NEJ")</f>
        <v/>
      </c>
    </row>
    <row r="194" spans="1:14" x14ac:dyDescent="0.25">
      <c r="A194" t="s">
        <v>606</v>
      </c>
      <c r="B194" t="s">
        <v>703</v>
      </c>
      <c r="C194" t="s">
        <v>806</v>
      </c>
      <c r="D194" t="s">
        <v>806</v>
      </c>
      <c r="E194" t="s">
        <v>806</v>
      </c>
      <c r="F194" t="s">
        <v>806</v>
      </c>
      <c r="G194">
        <f t="shared" si="6"/>
        <v>0</v>
      </c>
      <c r="H194">
        <f t="shared" si="6"/>
        <v>0</v>
      </c>
      <c r="I194">
        <f t="shared" si="6"/>
        <v>0</v>
      </c>
      <c r="J194">
        <f t="shared" si="6"/>
        <v>0</v>
      </c>
      <c r="K194">
        <f t="shared" si="7"/>
        <v>0</v>
      </c>
      <c r="L194" t="e">
        <f>VLOOKUP(Tabell4[[#This Row],[Nät]],Indexnamn!A:A,1,FALSE)</f>
        <v>#N/A</v>
      </c>
      <c r="N194" t="e">
        <f>IF(Tabell4[[#This Row],[Finns i listan ]]=Tabell4[[#This Row],[Indexnamn]],"","NEJ")</f>
        <v>#N/A</v>
      </c>
    </row>
    <row r="195" spans="1:14" x14ac:dyDescent="0.25">
      <c r="A195" t="s">
        <v>606</v>
      </c>
      <c r="B195" t="s">
        <v>192</v>
      </c>
      <c r="C195">
        <v>3.7</v>
      </c>
      <c r="D195" t="s">
        <v>806</v>
      </c>
      <c r="E195" t="s">
        <v>806</v>
      </c>
      <c r="F195" t="s">
        <v>806</v>
      </c>
      <c r="G195">
        <f t="shared" ref="G195:J258" si="8">IF(ISTEXT(C195),0,C195)</f>
        <v>3.7</v>
      </c>
      <c r="H195">
        <f t="shared" si="8"/>
        <v>0</v>
      </c>
      <c r="I195">
        <f t="shared" si="8"/>
        <v>0</v>
      </c>
      <c r="J195">
        <f t="shared" si="8"/>
        <v>0</v>
      </c>
      <c r="K195">
        <f t="shared" ref="K195:K258" si="9">G195-H195-I195-J195</f>
        <v>3.7</v>
      </c>
      <c r="L195" t="str">
        <f>VLOOKUP(Tabell4[[#This Row],[Nät]],Indexnamn!A:A,1,FALSE)</f>
        <v>Vedevåg</v>
      </c>
      <c r="M195" t="str">
        <f>IF(ISTEXT(Tabell4[[#This Row],[Indexnamn]]),Tabell4[[#This Row],[Indexnamn]],LOOKUP(Tabell4[[#This Row],[Nät]],Tabell5[Nätnamn],#REF!))</f>
        <v>Vedevåg</v>
      </c>
      <c r="N195" t="str">
        <f>IF(Tabell4[[#This Row],[Finns i listan ]]=Tabell4[[#This Row],[Indexnamn]],"","NEJ")</f>
        <v/>
      </c>
    </row>
    <row r="196" spans="1:14" x14ac:dyDescent="0.25">
      <c r="A196" t="s">
        <v>663</v>
      </c>
      <c r="B196" t="s">
        <v>78</v>
      </c>
      <c r="C196">
        <v>140.9</v>
      </c>
      <c r="D196" t="s">
        <v>806</v>
      </c>
      <c r="E196" t="s">
        <v>806</v>
      </c>
      <c r="F196" t="s">
        <v>806</v>
      </c>
      <c r="G196">
        <f t="shared" si="8"/>
        <v>140.9</v>
      </c>
      <c r="H196">
        <f t="shared" si="8"/>
        <v>0</v>
      </c>
      <c r="I196">
        <f t="shared" si="8"/>
        <v>0</v>
      </c>
      <c r="J196">
        <f t="shared" si="8"/>
        <v>0</v>
      </c>
      <c r="K196">
        <f t="shared" si="9"/>
        <v>140.9</v>
      </c>
      <c r="L196" t="str">
        <f>VLOOKUP(Tabell4[[#This Row],[Nät]],Indexnamn!A:A,1,FALSE)</f>
        <v>Ljungby</v>
      </c>
      <c r="M196" t="str">
        <f>IF(ISTEXT(Tabell4[[#This Row],[Indexnamn]]),Tabell4[[#This Row],[Indexnamn]],LOOKUP(Tabell4[[#This Row],[Nät]],Tabell5[Nätnamn],#REF!))</f>
        <v>Ljungby</v>
      </c>
      <c r="N196" t="str">
        <f>IF(Tabell4[[#This Row],[Finns i listan ]]=Tabell4[[#This Row],[Indexnamn]],"","NEJ")</f>
        <v/>
      </c>
    </row>
    <row r="197" spans="1:14" x14ac:dyDescent="0.25">
      <c r="A197" t="s">
        <v>608</v>
      </c>
      <c r="B197" t="s">
        <v>194</v>
      </c>
      <c r="C197">
        <v>8</v>
      </c>
      <c r="D197" t="s">
        <v>806</v>
      </c>
      <c r="E197" t="s">
        <v>806</v>
      </c>
      <c r="F197" t="s">
        <v>806</v>
      </c>
      <c r="G197">
        <f t="shared" si="8"/>
        <v>8</v>
      </c>
      <c r="H197">
        <f t="shared" si="8"/>
        <v>0</v>
      </c>
      <c r="I197">
        <f t="shared" si="8"/>
        <v>0</v>
      </c>
      <c r="J197">
        <f t="shared" si="8"/>
        <v>0</v>
      </c>
      <c r="K197">
        <f t="shared" si="9"/>
        <v>8</v>
      </c>
      <c r="L197" t="str">
        <f>VLOOKUP(Tabell4[[#This Row],[Nät]],Indexnamn!A:A,1,FALSE)</f>
        <v>Färila</v>
      </c>
      <c r="M197" t="str">
        <f>IF(ISTEXT(Tabell4[[#This Row],[Indexnamn]]),Tabell4[[#This Row],[Indexnamn]],LOOKUP(Tabell4[[#This Row],[Nät]],Tabell5[Nätnamn],#REF!))</f>
        <v>Färila</v>
      </c>
      <c r="N197" t="str">
        <f>IF(Tabell4[[#This Row],[Finns i listan ]]=Tabell4[[#This Row],[Indexnamn]],"","NEJ")</f>
        <v/>
      </c>
    </row>
    <row r="198" spans="1:14" x14ac:dyDescent="0.25">
      <c r="A198" t="s">
        <v>608</v>
      </c>
      <c r="B198" t="s">
        <v>195</v>
      </c>
      <c r="C198">
        <v>10.6</v>
      </c>
      <c r="D198" t="s">
        <v>806</v>
      </c>
      <c r="E198" t="s">
        <v>806</v>
      </c>
      <c r="F198" t="s">
        <v>806</v>
      </c>
      <c r="G198">
        <f t="shared" si="8"/>
        <v>10.6</v>
      </c>
      <c r="H198">
        <f t="shared" si="8"/>
        <v>0</v>
      </c>
      <c r="I198">
        <f t="shared" si="8"/>
        <v>0</v>
      </c>
      <c r="J198">
        <f t="shared" si="8"/>
        <v>0</v>
      </c>
      <c r="K198">
        <f t="shared" si="9"/>
        <v>10.6</v>
      </c>
      <c r="L198" t="str">
        <f>VLOOKUP(Tabell4[[#This Row],[Nät]],Indexnamn!A:A,1,FALSE)</f>
        <v>Järvsö</v>
      </c>
      <c r="M198" t="str">
        <f>IF(ISTEXT(Tabell4[[#This Row],[Indexnamn]]),Tabell4[[#This Row],[Indexnamn]],LOOKUP(Tabell4[[#This Row],[Nät]],Tabell5[Nätnamn],#REF!))</f>
        <v>Järvsö</v>
      </c>
      <c r="N198" t="str">
        <f>IF(Tabell4[[#This Row],[Finns i listan ]]=Tabell4[[#This Row],[Indexnamn]],"","NEJ")</f>
        <v/>
      </c>
    </row>
    <row r="199" spans="1:14" x14ac:dyDescent="0.25">
      <c r="A199" t="s">
        <v>608</v>
      </c>
      <c r="B199" t="s">
        <v>193</v>
      </c>
      <c r="C199">
        <v>64</v>
      </c>
      <c r="D199" t="s">
        <v>806</v>
      </c>
      <c r="E199" t="s">
        <v>806</v>
      </c>
      <c r="F199" t="s">
        <v>806</v>
      </c>
      <c r="G199">
        <f t="shared" si="8"/>
        <v>64</v>
      </c>
      <c r="H199">
        <f t="shared" si="8"/>
        <v>0</v>
      </c>
      <c r="I199">
        <f t="shared" si="8"/>
        <v>0</v>
      </c>
      <c r="J199">
        <f t="shared" si="8"/>
        <v>0</v>
      </c>
      <c r="K199">
        <f t="shared" si="9"/>
        <v>64</v>
      </c>
      <c r="L199" t="str">
        <f>VLOOKUP(Tabell4[[#This Row],[Nät]],Indexnamn!A:A,1,FALSE)</f>
        <v>Ljusdal</v>
      </c>
      <c r="M199" t="str">
        <f>IF(ISTEXT(Tabell4[[#This Row],[Indexnamn]]),Tabell4[[#This Row],[Indexnamn]],LOOKUP(Tabell4[[#This Row],[Nät]],Tabell5[Nätnamn],#REF!))</f>
        <v>Ljusdal</v>
      </c>
      <c r="N199" t="str">
        <f>IF(Tabell4[[#This Row],[Finns i listan ]]=Tabell4[[#This Row],[Indexnamn]],"","NEJ")</f>
        <v/>
      </c>
    </row>
    <row r="200" spans="1:14" x14ac:dyDescent="0.25">
      <c r="A200" t="s">
        <v>667</v>
      </c>
      <c r="B200" t="s">
        <v>196</v>
      </c>
      <c r="C200">
        <f>774.9+C201</f>
        <v>781.1</v>
      </c>
      <c r="D200" t="s">
        <v>806</v>
      </c>
      <c r="E200" t="s">
        <v>806</v>
      </c>
      <c r="F200" t="s">
        <v>806</v>
      </c>
      <c r="G200">
        <f t="shared" si="8"/>
        <v>781.1</v>
      </c>
      <c r="H200">
        <f t="shared" si="8"/>
        <v>0</v>
      </c>
      <c r="I200">
        <f t="shared" si="8"/>
        <v>0</v>
      </c>
      <c r="J200">
        <f t="shared" si="8"/>
        <v>0</v>
      </c>
      <c r="K200">
        <f t="shared" si="9"/>
        <v>781.1</v>
      </c>
      <c r="L200" t="str">
        <f>VLOOKUP(Tabell4[[#This Row],[Nät]],Indexnamn!A:A,1,FALSE)</f>
        <v>Luleå</v>
      </c>
      <c r="M200" t="str">
        <f>IF(ISTEXT(Tabell4[[#This Row],[Indexnamn]]),Tabell4[[#This Row],[Indexnamn]],LOOKUP(Tabell4[[#This Row],[Nät]],Tabell5[Nätnamn],#REF!))</f>
        <v>Luleå</v>
      </c>
      <c r="N200" t="str">
        <f>IF(Tabell4[[#This Row],[Finns i listan ]]=Tabell4[[#This Row],[Indexnamn]],"","NEJ")</f>
        <v/>
      </c>
    </row>
    <row r="201" spans="1:14" x14ac:dyDescent="0.25">
      <c r="A201" t="s">
        <v>667</v>
      </c>
      <c r="B201" t="s">
        <v>860</v>
      </c>
      <c r="C201">
        <v>6.2</v>
      </c>
      <c r="D201" t="s">
        <v>806</v>
      </c>
      <c r="E201" t="s">
        <v>806</v>
      </c>
      <c r="F201" t="s">
        <v>806</v>
      </c>
      <c r="G201">
        <f t="shared" si="8"/>
        <v>6.2</v>
      </c>
      <c r="H201">
        <f t="shared" si="8"/>
        <v>0</v>
      </c>
      <c r="I201">
        <f t="shared" si="8"/>
        <v>0</v>
      </c>
      <c r="J201">
        <f t="shared" si="8"/>
        <v>0</v>
      </c>
      <c r="K201">
        <f t="shared" si="9"/>
        <v>6.2</v>
      </c>
      <c r="L201" t="e">
        <f>VLOOKUP(Tabell4[[#This Row],[Nät]],Indexnamn!A:A,1,FALSE)</f>
        <v>#N/A</v>
      </c>
      <c r="N201" t="e">
        <f>IF(Tabell4[[#This Row],[Finns i listan ]]=Tabell4[[#This Row],[Indexnamn]],"","NEJ")</f>
        <v>#N/A</v>
      </c>
    </row>
    <row r="202" spans="1:14" x14ac:dyDescent="0.25">
      <c r="A202" t="s">
        <v>667</v>
      </c>
      <c r="B202" t="s">
        <v>197</v>
      </c>
      <c r="C202">
        <v>22.7</v>
      </c>
      <c r="D202" t="s">
        <v>806</v>
      </c>
      <c r="E202" t="s">
        <v>806</v>
      </c>
      <c r="F202" t="s">
        <v>806</v>
      </c>
      <c r="G202">
        <f t="shared" si="8"/>
        <v>22.7</v>
      </c>
      <c r="H202">
        <f t="shared" si="8"/>
        <v>0</v>
      </c>
      <c r="I202">
        <f t="shared" si="8"/>
        <v>0</v>
      </c>
      <c r="J202">
        <f t="shared" si="8"/>
        <v>0</v>
      </c>
      <c r="K202">
        <f t="shared" si="9"/>
        <v>22.7</v>
      </c>
      <c r="L202" t="str">
        <f>VLOOKUP(Tabell4[[#This Row],[Nät]],Indexnamn!A:A,1,FALSE)</f>
        <v>Råneå</v>
      </c>
      <c r="M202" t="str">
        <f>IF(ISTEXT(Tabell4[[#This Row],[Indexnamn]]),Tabell4[[#This Row],[Indexnamn]],LOOKUP(Tabell4[[#This Row],[Nät]],Tabell5[Nätnamn],#REF!))</f>
        <v>Råneå</v>
      </c>
      <c r="N202" t="str">
        <f>IF(Tabell4[[#This Row],[Finns i listan ]]=Tabell4[[#This Row],[Indexnamn]],"","NEJ")</f>
        <v/>
      </c>
    </row>
    <row r="203" spans="1:14" x14ac:dyDescent="0.25">
      <c r="A203" t="s">
        <v>671</v>
      </c>
      <c r="B203" t="s">
        <v>201</v>
      </c>
      <c r="C203">
        <v>27.1</v>
      </c>
      <c r="D203" t="s">
        <v>806</v>
      </c>
      <c r="E203" t="s">
        <v>806</v>
      </c>
      <c r="F203" t="s">
        <v>806</v>
      </c>
      <c r="G203">
        <f t="shared" si="8"/>
        <v>27.1</v>
      </c>
      <c r="H203">
        <f t="shared" si="8"/>
        <v>0</v>
      </c>
      <c r="I203">
        <f t="shared" si="8"/>
        <v>0</v>
      </c>
      <c r="J203">
        <f t="shared" si="8"/>
        <v>0</v>
      </c>
      <c r="K203">
        <f t="shared" si="9"/>
        <v>27.1</v>
      </c>
      <c r="L203" t="str">
        <f>VLOOKUP(Tabell4[[#This Row],[Nät]],Indexnamn!A:A,1,FALSE)</f>
        <v>Malung</v>
      </c>
      <c r="M203" t="str">
        <f>IF(ISTEXT(Tabell4[[#This Row],[Indexnamn]]),Tabell4[[#This Row],[Indexnamn]],LOOKUP(Tabell4[[#This Row],[Nät]],Tabell5[Nätnamn],#REF!))</f>
        <v>Malung</v>
      </c>
      <c r="N203" t="str">
        <f>IF(Tabell4[[#This Row],[Finns i listan ]]=Tabell4[[#This Row],[Indexnamn]],"","NEJ")</f>
        <v/>
      </c>
    </row>
    <row r="204" spans="1:14" x14ac:dyDescent="0.25">
      <c r="A204" t="s">
        <v>557</v>
      </c>
      <c r="B204" t="s">
        <v>861</v>
      </c>
      <c r="C204">
        <v>91.42</v>
      </c>
      <c r="D204" t="s">
        <v>806</v>
      </c>
      <c r="E204" t="s">
        <v>806</v>
      </c>
      <c r="F204" t="s">
        <v>806</v>
      </c>
      <c r="G204">
        <f t="shared" si="8"/>
        <v>91.42</v>
      </c>
      <c r="H204">
        <f t="shared" si="8"/>
        <v>0</v>
      </c>
      <c r="I204">
        <f t="shared" si="8"/>
        <v>0</v>
      </c>
      <c r="J204">
        <f t="shared" si="8"/>
        <v>0</v>
      </c>
      <c r="K204">
        <f t="shared" si="9"/>
        <v>91.42</v>
      </c>
      <c r="L204" t="str">
        <f>VLOOKUP(Tabell4[[#This Row],[Nät]],Indexnamn!A:A,1,FALSE)</f>
        <v>Assberg - Fritslanäten</v>
      </c>
      <c r="M204" t="str">
        <f>IF(ISTEXT(Tabell4[[#This Row],[Indexnamn]]),Tabell4[[#This Row],[Indexnamn]],LOOKUP(Tabell4[[#This Row],[Nät]],Tabell5[Nätnamn],#REF!))</f>
        <v>Assberg - Fritslanäten</v>
      </c>
      <c r="N204" t="str">
        <f>IF(Tabell4[[#This Row],[Finns i listan ]]=Tabell4[[#This Row],[Indexnamn]],"","NEJ")</f>
        <v/>
      </c>
    </row>
    <row r="205" spans="1:14" x14ac:dyDescent="0.25">
      <c r="A205" t="s">
        <v>557</v>
      </c>
      <c r="B205" t="s">
        <v>772</v>
      </c>
      <c r="C205">
        <v>1.228</v>
      </c>
      <c r="D205" t="s">
        <v>806</v>
      </c>
      <c r="E205" t="s">
        <v>806</v>
      </c>
      <c r="F205" t="s">
        <v>806</v>
      </c>
      <c r="G205">
        <f t="shared" si="8"/>
        <v>1.228</v>
      </c>
      <c r="H205">
        <f t="shared" si="8"/>
        <v>0</v>
      </c>
      <c r="I205">
        <f t="shared" si="8"/>
        <v>0</v>
      </c>
      <c r="J205">
        <f t="shared" si="8"/>
        <v>0</v>
      </c>
      <c r="K205">
        <f t="shared" si="9"/>
        <v>1.228</v>
      </c>
      <c r="L205" t="str">
        <f>VLOOKUP(Tabell4[[#This Row],[Nät]],Indexnamn!A:A,1,FALSE)</f>
        <v>Hyssna</v>
      </c>
      <c r="M205" t="str">
        <f>IF(ISTEXT(Tabell4[[#This Row],[Indexnamn]]),Tabell4[[#This Row],[Indexnamn]],LOOKUP(Tabell4[[#This Row],[Nät]],Tabell5[Nätnamn],#REF!))</f>
        <v>Hyssna</v>
      </c>
      <c r="N205" t="str">
        <f>IF(Tabell4[[#This Row],[Finns i listan ]]=Tabell4[[#This Row],[Indexnamn]],"","NEJ")</f>
        <v/>
      </c>
    </row>
    <row r="206" spans="1:14" x14ac:dyDescent="0.25">
      <c r="A206" t="s">
        <v>673</v>
      </c>
      <c r="B206" t="s">
        <v>205</v>
      </c>
      <c r="C206">
        <v>175.8</v>
      </c>
      <c r="D206">
        <v>0.71</v>
      </c>
      <c r="E206" t="s">
        <v>806</v>
      </c>
      <c r="F206" t="s">
        <v>806</v>
      </c>
      <c r="G206">
        <f t="shared" si="8"/>
        <v>175.8</v>
      </c>
      <c r="H206">
        <f t="shared" si="8"/>
        <v>0.71</v>
      </c>
      <c r="I206">
        <f t="shared" si="8"/>
        <v>0</v>
      </c>
      <c r="J206">
        <f t="shared" si="8"/>
        <v>0</v>
      </c>
      <c r="K206">
        <f t="shared" si="9"/>
        <v>175.09</v>
      </c>
      <c r="L206" t="str">
        <f>VLOOKUP(Tabell4[[#This Row],[Nät]],Indexnamn!A:A,1,FALSE)</f>
        <v>Mjölby</v>
      </c>
      <c r="M206" t="str">
        <f>IF(ISTEXT(Tabell4[[#This Row],[Indexnamn]]),Tabell4[[#This Row],[Indexnamn]],LOOKUP(Tabell4[[#This Row],[Nät]],Tabell5[Nätnamn],#REF!))</f>
        <v>Mjölby</v>
      </c>
      <c r="N206" t="str">
        <f>IF(Tabell4[[#This Row],[Finns i listan ]]=Tabell4[[#This Row],[Indexnamn]],"","NEJ")</f>
        <v/>
      </c>
    </row>
    <row r="207" spans="1:14" x14ac:dyDescent="0.25">
      <c r="A207" t="s">
        <v>674</v>
      </c>
      <c r="B207" t="s">
        <v>493</v>
      </c>
      <c r="C207">
        <v>17.600000000000001</v>
      </c>
      <c r="D207" t="s">
        <v>806</v>
      </c>
      <c r="E207" t="s">
        <v>806</v>
      </c>
      <c r="F207" t="s">
        <v>806</v>
      </c>
      <c r="G207">
        <f t="shared" si="8"/>
        <v>17.600000000000001</v>
      </c>
      <c r="H207">
        <f t="shared" si="8"/>
        <v>0</v>
      </c>
      <c r="I207">
        <f t="shared" si="8"/>
        <v>0</v>
      </c>
      <c r="J207">
        <f t="shared" si="8"/>
        <v>0</v>
      </c>
      <c r="K207">
        <f t="shared" si="9"/>
        <v>17.600000000000001</v>
      </c>
      <c r="L207" t="str">
        <f>VLOOKUP(Tabell4[[#This Row],[Nät]],Indexnamn!A:A,1,FALSE)</f>
        <v>Mullsjö</v>
      </c>
      <c r="M207" t="str">
        <f>IF(ISTEXT(Tabell4[[#This Row],[Indexnamn]]),Tabell4[[#This Row],[Indexnamn]],LOOKUP(Tabell4[[#This Row],[Nät]],Tabell5[Nätnamn],#REF!))</f>
        <v>Mullsjö</v>
      </c>
      <c r="N207" t="str">
        <f>IF(Tabell4[[#This Row],[Finns i listan ]]=Tabell4[[#This Row],[Indexnamn]],"","NEJ")</f>
        <v/>
      </c>
    </row>
    <row r="208" spans="1:14" x14ac:dyDescent="0.25">
      <c r="A208" t="s">
        <v>675</v>
      </c>
      <c r="B208" t="s">
        <v>206</v>
      </c>
      <c r="C208" t="s">
        <v>805</v>
      </c>
      <c r="D208" t="s">
        <v>805</v>
      </c>
      <c r="E208" t="s">
        <v>805</v>
      </c>
      <c r="F208" t="s">
        <v>805</v>
      </c>
      <c r="G208">
        <f t="shared" si="8"/>
        <v>0</v>
      </c>
      <c r="H208">
        <f t="shared" si="8"/>
        <v>0</v>
      </c>
      <c r="I208">
        <f t="shared" si="8"/>
        <v>0</v>
      </c>
      <c r="J208">
        <f t="shared" si="8"/>
        <v>0</v>
      </c>
      <c r="K208">
        <f t="shared" si="9"/>
        <v>0</v>
      </c>
      <c r="L208" t="str">
        <f>VLOOKUP(Tabell4[[#This Row],[Nät]],Indexnamn!A:A,1,FALSE)</f>
        <v>Munkfors</v>
      </c>
      <c r="M208" t="str">
        <f>IF(ISTEXT(Tabell4[[#This Row],[Indexnamn]]),Tabell4[[#This Row],[Indexnamn]],LOOKUP(Tabell4[[#This Row],[Nät]],Tabell5[Nätnamn],#REF!))</f>
        <v>Munkfors</v>
      </c>
      <c r="N208" t="str">
        <f>IF(Tabell4[[#This Row],[Finns i listan ]]=Tabell4[[#This Row],[Indexnamn]],"","NEJ")</f>
        <v/>
      </c>
    </row>
    <row r="209" spans="1:14" x14ac:dyDescent="0.25">
      <c r="A209" t="s">
        <v>620</v>
      </c>
      <c r="B209" t="s">
        <v>209</v>
      </c>
      <c r="C209">
        <v>38.5</v>
      </c>
      <c r="D209" t="s">
        <v>806</v>
      </c>
      <c r="E209" t="s">
        <v>806</v>
      </c>
      <c r="F209" t="s">
        <v>806</v>
      </c>
      <c r="G209">
        <f t="shared" si="8"/>
        <v>38.5</v>
      </c>
      <c r="H209">
        <f t="shared" si="8"/>
        <v>0</v>
      </c>
      <c r="I209">
        <f t="shared" si="8"/>
        <v>0</v>
      </c>
      <c r="J209">
        <f t="shared" si="8"/>
        <v>0</v>
      </c>
      <c r="K209">
        <f t="shared" si="9"/>
        <v>38.5</v>
      </c>
      <c r="L209" t="str">
        <f>VLOOKUP(Tabell4[[#This Row],[Nät]],Indexnamn!A:A,1,FALSE)</f>
        <v>Kungsör</v>
      </c>
      <c r="M209" t="str">
        <f>IF(ISTEXT(Tabell4[[#This Row],[Indexnamn]]),Tabell4[[#This Row],[Indexnamn]],LOOKUP(Tabell4[[#This Row],[Nät]],Tabell5[Nätnamn],#REF!))</f>
        <v>Kungsör</v>
      </c>
      <c r="N209" t="str">
        <f>IF(Tabell4[[#This Row],[Finns i listan ]]=Tabell4[[#This Row],[Indexnamn]],"","NEJ")</f>
        <v/>
      </c>
    </row>
    <row r="210" spans="1:14" x14ac:dyDescent="0.25">
      <c r="A210" t="s">
        <v>620</v>
      </c>
      <c r="B210" t="s">
        <v>296</v>
      </c>
      <c r="C210" t="s">
        <v>806</v>
      </c>
      <c r="D210" t="s">
        <v>806</v>
      </c>
      <c r="E210" t="s">
        <v>806</v>
      </c>
      <c r="F210" t="s">
        <v>806</v>
      </c>
      <c r="G210">
        <f t="shared" si="8"/>
        <v>0</v>
      </c>
      <c r="H210">
        <f t="shared" si="8"/>
        <v>0</v>
      </c>
      <c r="I210">
        <f t="shared" si="8"/>
        <v>0</v>
      </c>
      <c r="J210">
        <f t="shared" si="8"/>
        <v>0</v>
      </c>
      <c r="K210">
        <f t="shared" si="9"/>
        <v>0</v>
      </c>
      <c r="L210" t="str">
        <f>VLOOKUP(Tabell4[[#This Row],[Nät]],Indexnamn!A:A,1,FALSE)</f>
        <v>Surahammar</v>
      </c>
      <c r="M210" t="str">
        <f>IF(ISTEXT(Tabell4[[#This Row],[Indexnamn]]),Tabell4[[#This Row],[Indexnamn]],LOOKUP(Tabell4[[#This Row],[Nät]],Tabell5[Nätnamn],#REF!))</f>
        <v>Surahammar</v>
      </c>
      <c r="N210" t="str">
        <f>IF(Tabell4[[#This Row],[Finns i listan ]]=Tabell4[[#This Row],[Indexnamn]],"","NEJ")</f>
        <v/>
      </c>
    </row>
    <row r="211" spans="1:14" x14ac:dyDescent="0.25">
      <c r="A211" t="s">
        <v>620</v>
      </c>
      <c r="B211" t="s">
        <v>207</v>
      </c>
      <c r="C211">
        <f>1458.2461+C212</f>
        <v>1473.6401000000001</v>
      </c>
      <c r="D211" t="s">
        <v>806</v>
      </c>
      <c r="E211" t="s">
        <v>806</v>
      </c>
      <c r="F211" t="s">
        <v>806</v>
      </c>
      <c r="G211">
        <f t="shared" si="8"/>
        <v>1473.6401000000001</v>
      </c>
      <c r="H211">
        <f t="shared" si="8"/>
        <v>0</v>
      </c>
      <c r="I211">
        <f t="shared" si="8"/>
        <v>0</v>
      </c>
      <c r="J211">
        <f t="shared" si="8"/>
        <v>0</v>
      </c>
      <c r="K211">
        <f t="shared" si="9"/>
        <v>1473.6401000000001</v>
      </c>
      <c r="L211" t="str">
        <f>VLOOKUP(Tabell4[[#This Row],[Nät]],Indexnamn!A:A,1,FALSE)</f>
        <v>Västerås</v>
      </c>
      <c r="M211" t="str">
        <f>IF(ISTEXT(Tabell4[[#This Row],[Indexnamn]]),Tabell4[[#This Row],[Indexnamn]],LOOKUP(Tabell4[[#This Row],[Nät]],Tabell5[Nätnamn],#REF!))</f>
        <v>Västerås</v>
      </c>
      <c r="N211" t="str">
        <f>IF(Tabell4[[#This Row],[Finns i listan ]]=Tabell4[[#This Row],[Indexnamn]],"","NEJ")</f>
        <v/>
      </c>
    </row>
    <row r="212" spans="1:14" x14ac:dyDescent="0.25">
      <c r="A212" t="s">
        <v>620</v>
      </c>
      <c r="B212" t="s">
        <v>790</v>
      </c>
      <c r="C212">
        <v>15.394</v>
      </c>
      <c r="D212" t="s">
        <v>806</v>
      </c>
      <c r="E212" t="s">
        <v>806</v>
      </c>
      <c r="F212" t="s">
        <v>806</v>
      </c>
      <c r="G212">
        <f t="shared" si="8"/>
        <v>15.394</v>
      </c>
      <c r="H212">
        <f t="shared" si="8"/>
        <v>0</v>
      </c>
      <c r="I212">
        <f t="shared" si="8"/>
        <v>0</v>
      </c>
      <c r="J212">
        <f t="shared" si="8"/>
        <v>0</v>
      </c>
      <c r="K212">
        <f t="shared" si="9"/>
        <v>15.394</v>
      </c>
      <c r="L212" t="e">
        <f>VLOOKUP(Tabell4[[#This Row],[Nät]],Indexnamn!A:A,1,FALSE)</f>
        <v>#N/A</v>
      </c>
      <c r="N212" t="e">
        <f>IF(Tabell4[[#This Row],[Finns i listan ]]=Tabell4[[#This Row],[Indexnamn]],"","NEJ")</f>
        <v>#N/A</v>
      </c>
    </row>
    <row r="213" spans="1:14" x14ac:dyDescent="0.25">
      <c r="A213" t="s">
        <v>676</v>
      </c>
      <c r="B213" t="s">
        <v>210</v>
      </c>
      <c r="C213">
        <f>385.212+C214+C215</f>
        <v>434.56</v>
      </c>
      <c r="D213">
        <v>137.83000000000001</v>
      </c>
      <c r="E213" t="s">
        <v>806</v>
      </c>
      <c r="F213" t="s">
        <v>806</v>
      </c>
      <c r="G213">
        <f t="shared" si="8"/>
        <v>434.56</v>
      </c>
      <c r="H213">
        <f t="shared" si="8"/>
        <v>137.83000000000001</v>
      </c>
      <c r="I213">
        <f t="shared" si="8"/>
        <v>0</v>
      </c>
      <c r="J213">
        <f t="shared" si="8"/>
        <v>0</v>
      </c>
      <c r="K213">
        <f t="shared" si="9"/>
        <v>296.73</v>
      </c>
      <c r="L213" t="str">
        <f>VLOOKUP(Tabell4[[#This Row],[Nät]],Indexnamn!A:A,1,FALSE)</f>
        <v>Mölndal</v>
      </c>
      <c r="M213" t="str">
        <f>IF(ISTEXT(Tabell4[[#This Row],[Indexnamn]]),Tabell4[[#This Row],[Indexnamn]],LOOKUP(Tabell4[[#This Row],[Nät]],Tabell5[Nätnamn],#REF!))</f>
        <v>Mölndal</v>
      </c>
      <c r="N213" t="str">
        <f>IF(Tabell4[[#This Row],[Finns i listan ]]=Tabell4[[#This Row],[Indexnamn]],"","NEJ")</f>
        <v/>
      </c>
    </row>
    <row r="214" spans="1:14" x14ac:dyDescent="0.25">
      <c r="A214" t="s">
        <v>676</v>
      </c>
      <c r="B214" t="s">
        <v>819</v>
      </c>
      <c r="C214">
        <v>31.279</v>
      </c>
      <c r="D214" t="s">
        <v>806</v>
      </c>
      <c r="E214" t="s">
        <v>806</v>
      </c>
      <c r="F214" t="s">
        <v>806</v>
      </c>
      <c r="G214">
        <f t="shared" si="8"/>
        <v>31.279</v>
      </c>
      <c r="H214">
        <f t="shared" si="8"/>
        <v>0</v>
      </c>
      <c r="I214">
        <f t="shared" si="8"/>
        <v>0</v>
      </c>
      <c r="J214">
        <f t="shared" si="8"/>
        <v>0</v>
      </c>
      <c r="K214">
        <f t="shared" si="9"/>
        <v>31.279</v>
      </c>
      <c r="L214" t="e">
        <f>VLOOKUP(Tabell4[[#This Row],[Nät]],Indexnamn!A:A,1,FALSE)</f>
        <v>#N/A</v>
      </c>
      <c r="N214" t="e">
        <f>IF(Tabell4[[#This Row],[Finns i listan ]]=Tabell4[[#This Row],[Indexnamn]],"","NEJ")</f>
        <v>#N/A</v>
      </c>
    </row>
    <row r="215" spans="1:14" x14ac:dyDescent="0.25">
      <c r="A215" t="s">
        <v>676</v>
      </c>
      <c r="B215" t="s">
        <v>677</v>
      </c>
      <c r="C215">
        <v>18.068999999999999</v>
      </c>
      <c r="D215" t="s">
        <v>806</v>
      </c>
      <c r="E215" t="s">
        <v>806</v>
      </c>
      <c r="F215" t="s">
        <v>806</v>
      </c>
      <c r="G215">
        <f t="shared" si="8"/>
        <v>18.068999999999999</v>
      </c>
      <c r="H215">
        <f t="shared" si="8"/>
        <v>0</v>
      </c>
      <c r="I215">
        <f t="shared" si="8"/>
        <v>0</v>
      </c>
      <c r="J215">
        <f t="shared" si="8"/>
        <v>0</v>
      </c>
      <c r="K215">
        <f t="shared" si="9"/>
        <v>18.068999999999999</v>
      </c>
      <c r="L215" t="e">
        <f>VLOOKUP(Tabell4[[#This Row],[Nät]],Indexnamn!A:A,1,FALSE)</f>
        <v>#N/A</v>
      </c>
      <c r="N215" t="e">
        <f>IF(Tabell4[[#This Row],[Finns i listan ]]=Tabell4[[#This Row],[Indexnamn]],"","NEJ")</f>
        <v>#N/A</v>
      </c>
    </row>
    <row r="216" spans="1:14" x14ac:dyDescent="0.25">
      <c r="A216" t="s">
        <v>862</v>
      </c>
      <c r="B216" t="s">
        <v>863</v>
      </c>
      <c r="C216" t="s">
        <v>805</v>
      </c>
      <c r="D216" t="s">
        <v>805</v>
      </c>
      <c r="E216" t="s">
        <v>805</v>
      </c>
      <c r="F216" t="s">
        <v>805</v>
      </c>
      <c r="G216">
        <f t="shared" si="8"/>
        <v>0</v>
      </c>
      <c r="H216">
        <f t="shared" si="8"/>
        <v>0</v>
      </c>
      <c r="I216">
        <f t="shared" si="8"/>
        <v>0</v>
      </c>
      <c r="J216">
        <f t="shared" si="8"/>
        <v>0</v>
      </c>
      <c r="K216">
        <f t="shared" si="9"/>
        <v>0</v>
      </c>
      <c r="L216" t="e">
        <f>VLOOKUP(Tabell4[[#This Row],[Nät]],Indexnamn!A:A,1,FALSE)</f>
        <v>#N/A</v>
      </c>
      <c r="M216" t="e">
        <f>IF(ISTEXT(Tabell4[[#This Row],[Indexnamn]]),Tabell4[[#This Row],[Indexnamn]],LOOKUP(Tabell4[[#This Row],[Nät]],Tabell5[Nätnamn],#REF!))</f>
        <v>#REF!</v>
      </c>
      <c r="N216" t="e">
        <f>IF(Tabell4[[#This Row],[Finns i listan ]]=Tabell4[[#This Row],[Indexnamn]],"","NEJ")</f>
        <v>#REF!</v>
      </c>
    </row>
    <row r="217" spans="1:14" x14ac:dyDescent="0.25">
      <c r="A217" t="s">
        <v>864</v>
      </c>
      <c r="B217" t="s">
        <v>213</v>
      </c>
      <c r="C217" t="s">
        <v>805</v>
      </c>
      <c r="D217" t="s">
        <v>805</v>
      </c>
      <c r="E217" t="s">
        <v>805</v>
      </c>
      <c r="F217" t="s">
        <v>805</v>
      </c>
      <c r="G217">
        <f t="shared" si="8"/>
        <v>0</v>
      </c>
      <c r="H217">
        <f t="shared" si="8"/>
        <v>0</v>
      </c>
      <c r="I217">
        <f t="shared" si="8"/>
        <v>0</v>
      </c>
      <c r="J217">
        <f t="shared" si="8"/>
        <v>0</v>
      </c>
      <c r="K217">
        <f t="shared" si="9"/>
        <v>0</v>
      </c>
      <c r="L217" t="str">
        <f>VLOOKUP(Tabell4[[#This Row],[Nät]],Indexnamn!A:A,1,FALSE)</f>
        <v>Bjuv</v>
      </c>
      <c r="M217" t="str">
        <f>IF(ISTEXT(Tabell4[[#This Row],[Indexnamn]]),Tabell4[[#This Row],[Indexnamn]],LOOKUP(Tabell4[[#This Row],[Nät]],Tabell5[Nätnamn],#REF!))</f>
        <v>Bjuv</v>
      </c>
      <c r="N217" t="str">
        <f>IF(Tabell4[[#This Row],[Finns i listan ]]=Tabell4[[#This Row],[Indexnamn]],"","NEJ")</f>
        <v/>
      </c>
    </row>
    <row r="218" spans="1:14" x14ac:dyDescent="0.25">
      <c r="A218" t="s">
        <v>864</v>
      </c>
      <c r="B218" t="s">
        <v>215</v>
      </c>
      <c r="C218" t="s">
        <v>805</v>
      </c>
      <c r="D218" t="s">
        <v>805</v>
      </c>
      <c r="E218" t="s">
        <v>805</v>
      </c>
      <c r="F218" t="s">
        <v>805</v>
      </c>
      <c r="G218">
        <f t="shared" si="8"/>
        <v>0</v>
      </c>
      <c r="H218">
        <f t="shared" si="8"/>
        <v>0</v>
      </c>
      <c r="I218">
        <f t="shared" si="8"/>
        <v>0</v>
      </c>
      <c r="J218">
        <f t="shared" si="8"/>
        <v>0</v>
      </c>
      <c r="K218">
        <f t="shared" si="9"/>
        <v>0</v>
      </c>
      <c r="L218" t="str">
        <f>VLOOKUP(Tabell4[[#This Row],[Nät]],Indexnamn!A:A,1,FALSE)</f>
        <v>Hultsfred</v>
      </c>
      <c r="M218" t="str">
        <f>IF(ISTEXT(Tabell4[[#This Row],[Indexnamn]]),Tabell4[[#This Row],[Indexnamn]],LOOKUP(Tabell4[[#This Row],[Nät]],Tabell5[Nätnamn],#REF!))</f>
        <v>Hultsfred</v>
      </c>
      <c r="N218" t="str">
        <f>IF(Tabell4[[#This Row],[Finns i listan ]]=Tabell4[[#This Row],[Indexnamn]],"","NEJ")</f>
        <v/>
      </c>
    </row>
    <row r="219" spans="1:14" x14ac:dyDescent="0.25">
      <c r="A219" t="s">
        <v>864</v>
      </c>
      <c r="B219" t="s">
        <v>211</v>
      </c>
      <c r="C219" t="s">
        <v>805</v>
      </c>
      <c r="D219" t="s">
        <v>805</v>
      </c>
      <c r="E219" t="s">
        <v>805</v>
      </c>
      <c r="F219" t="s">
        <v>805</v>
      </c>
      <c r="G219">
        <f t="shared" si="8"/>
        <v>0</v>
      </c>
      <c r="H219">
        <f t="shared" si="8"/>
        <v>0</v>
      </c>
      <c r="I219">
        <f t="shared" si="8"/>
        <v>0</v>
      </c>
      <c r="J219">
        <f t="shared" si="8"/>
        <v>0</v>
      </c>
      <c r="K219">
        <f t="shared" si="9"/>
        <v>0</v>
      </c>
      <c r="L219" t="str">
        <f>VLOOKUP(Tabell4[[#This Row],[Nät]],Indexnamn!A:A,1,FALSE)</f>
        <v>Kramfors</v>
      </c>
      <c r="M219" t="str">
        <f>IF(ISTEXT(Tabell4[[#This Row],[Indexnamn]]),Tabell4[[#This Row],[Indexnamn]],LOOKUP(Tabell4[[#This Row],[Nät]],Tabell5[Nätnamn],#REF!))</f>
        <v>Kramfors</v>
      </c>
      <c r="N219" t="str">
        <f>IF(Tabell4[[#This Row],[Finns i listan ]]=Tabell4[[#This Row],[Indexnamn]],"","NEJ")</f>
        <v/>
      </c>
    </row>
    <row r="220" spans="1:14" x14ac:dyDescent="0.25">
      <c r="A220" t="s">
        <v>864</v>
      </c>
      <c r="B220" t="s">
        <v>931</v>
      </c>
      <c r="C220" t="s">
        <v>805</v>
      </c>
      <c r="D220" t="s">
        <v>805</v>
      </c>
      <c r="E220" t="s">
        <v>805</v>
      </c>
      <c r="F220" t="s">
        <v>805</v>
      </c>
      <c r="G220">
        <f t="shared" si="8"/>
        <v>0</v>
      </c>
      <c r="H220">
        <f t="shared" si="8"/>
        <v>0</v>
      </c>
      <c r="I220">
        <f t="shared" si="8"/>
        <v>0</v>
      </c>
      <c r="J220">
        <f t="shared" si="8"/>
        <v>0</v>
      </c>
      <c r="K220">
        <f t="shared" si="9"/>
        <v>0</v>
      </c>
      <c r="L220" t="str">
        <f>VLOOKUP(Tabell4[[#This Row],[Nät]],Indexnamn!A:A,1,FALSE)</f>
        <v>Smålandsstenar</v>
      </c>
      <c r="M220" t="str">
        <f>IF(ISTEXT(Tabell4[[#This Row],[Indexnamn]]),Tabell4[[#This Row],[Indexnamn]],LOOKUP(Tabell4[[#This Row],[Nät]],Tabell5[Nätnamn],#REF!))</f>
        <v>Smålandsstenar</v>
      </c>
      <c r="N220" t="str">
        <f>IF(Tabell4[[#This Row],[Finns i listan ]]=Tabell4[[#This Row],[Indexnamn]],"","NEJ")</f>
        <v/>
      </c>
    </row>
    <row r="221" spans="1:14" x14ac:dyDescent="0.25">
      <c r="A221" t="s">
        <v>864</v>
      </c>
      <c r="B221" t="s">
        <v>865</v>
      </c>
      <c r="C221" t="s">
        <v>805</v>
      </c>
      <c r="D221" t="s">
        <v>805</v>
      </c>
      <c r="E221" t="s">
        <v>805</v>
      </c>
      <c r="F221" t="s">
        <v>805</v>
      </c>
      <c r="G221">
        <f t="shared" si="8"/>
        <v>0</v>
      </c>
      <c r="H221">
        <f t="shared" si="8"/>
        <v>0</v>
      </c>
      <c r="I221">
        <f t="shared" si="8"/>
        <v>0</v>
      </c>
      <c r="J221">
        <f t="shared" si="8"/>
        <v>0</v>
      </c>
      <c r="K221">
        <f t="shared" si="9"/>
        <v>0</v>
      </c>
      <c r="L221" t="str">
        <f>VLOOKUP(Tabell4[[#This Row],[Nät]],Indexnamn!A:A,1,FALSE)</f>
        <v>Tanum</v>
      </c>
      <c r="M221" t="str">
        <f>IF(ISTEXT(Tabell4[[#This Row],[Indexnamn]]),Tabell4[[#This Row],[Indexnamn]],LOOKUP(Tabell4[[#This Row],[Nät]],Tabell5[Nätnamn],#REF!))</f>
        <v>Tanum</v>
      </c>
      <c r="N221" t="str">
        <f>IF(Tabell4[[#This Row],[Finns i listan ]]=Tabell4[[#This Row],[Indexnamn]],"","NEJ")</f>
        <v/>
      </c>
    </row>
    <row r="222" spans="1:14" x14ac:dyDescent="0.25">
      <c r="A222" t="s">
        <v>864</v>
      </c>
      <c r="B222" t="s">
        <v>216</v>
      </c>
      <c r="C222" t="s">
        <v>805</v>
      </c>
      <c r="D222" t="s">
        <v>805</v>
      </c>
      <c r="E222" t="s">
        <v>805</v>
      </c>
      <c r="F222" t="s">
        <v>805</v>
      </c>
      <c r="G222">
        <f t="shared" si="8"/>
        <v>0</v>
      </c>
      <c r="H222">
        <f t="shared" si="8"/>
        <v>0</v>
      </c>
      <c r="I222">
        <f t="shared" si="8"/>
        <v>0</v>
      </c>
      <c r="J222">
        <f t="shared" si="8"/>
        <v>0</v>
      </c>
      <c r="K222">
        <f t="shared" si="9"/>
        <v>0</v>
      </c>
      <c r="L222" t="str">
        <f>VLOOKUP(Tabell4[[#This Row],[Nät]],Indexnamn!A:A,1,FALSE)</f>
        <v>Tibro</v>
      </c>
      <c r="M222" t="str">
        <f>IF(ISTEXT(Tabell4[[#This Row],[Indexnamn]]),Tabell4[[#This Row],[Indexnamn]],LOOKUP(Tabell4[[#This Row],[Nät]],Tabell5[Nätnamn],#REF!))</f>
        <v>Tibro</v>
      </c>
      <c r="N222" t="str">
        <f>IF(Tabell4[[#This Row],[Finns i listan ]]=Tabell4[[#This Row],[Indexnamn]],"","NEJ")</f>
        <v/>
      </c>
    </row>
    <row r="223" spans="1:14" x14ac:dyDescent="0.25">
      <c r="A223" t="s">
        <v>864</v>
      </c>
      <c r="B223" t="s">
        <v>212</v>
      </c>
      <c r="C223" t="s">
        <v>805</v>
      </c>
      <c r="D223" t="s">
        <v>805</v>
      </c>
      <c r="E223" t="s">
        <v>805</v>
      </c>
      <c r="F223" t="s">
        <v>805</v>
      </c>
      <c r="G223">
        <f t="shared" si="8"/>
        <v>0</v>
      </c>
      <c r="H223">
        <f t="shared" si="8"/>
        <v>0</v>
      </c>
      <c r="I223">
        <f t="shared" si="8"/>
        <v>0</v>
      </c>
      <c r="J223">
        <f t="shared" si="8"/>
        <v>0</v>
      </c>
      <c r="K223">
        <f t="shared" si="9"/>
        <v>0</v>
      </c>
      <c r="L223" t="str">
        <f>VLOOKUP(Tabell4[[#This Row],[Nät]],Indexnamn!A:A,1,FALSE)</f>
        <v>Valdemarsvik</v>
      </c>
      <c r="M223" t="str">
        <f>IF(ISTEXT(Tabell4[[#This Row],[Indexnamn]]),Tabell4[[#This Row],[Indexnamn]],LOOKUP(Tabell4[[#This Row],[Nät]],Tabell5[Nätnamn],#REF!))</f>
        <v>Valdemarsvik</v>
      </c>
      <c r="N223" t="str">
        <f>IF(Tabell4[[#This Row],[Finns i listan ]]=Tabell4[[#This Row],[Indexnamn]],"","NEJ")</f>
        <v/>
      </c>
    </row>
    <row r="224" spans="1:14" x14ac:dyDescent="0.25">
      <c r="A224" t="s">
        <v>864</v>
      </c>
      <c r="B224" t="s">
        <v>217</v>
      </c>
      <c r="C224" t="s">
        <v>805</v>
      </c>
      <c r="D224" t="s">
        <v>805</v>
      </c>
      <c r="E224" t="s">
        <v>805</v>
      </c>
      <c r="F224" t="s">
        <v>805</v>
      </c>
      <c r="G224">
        <f t="shared" si="8"/>
        <v>0</v>
      </c>
      <c r="H224">
        <f t="shared" si="8"/>
        <v>0</v>
      </c>
      <c r="I224">
        <f t="shared" si="8"/>
        <v>0</v>
      </c>
      <c r="J224">
        <f t="shared" si="8"/>
        <v>0</v>
      </c>
      <c r="K224">
        <f t="shared" si="9"/>
        <v>0</v>
      </c>
      <c r="L224" t="str">
        <f>VLOOKUP(Tabell4[[#This Row],[Nät]],Indexnamn!A:A,1,FALSE)</f>
        <v>Årjäng</v>
      </c>
      <c r="M224" t="str">
        <f>IF(ISTEXT(Tabell4[[#This Row],[Indexnamn]]),Tabell4[[#This Row],[Indexnamn]],LOOKUP(Tabell4[[#This Row],[Nät]],Tabell5[Nätnamn],#REF!))</f>
        <v>Årjäng</v>
      </c>
      <c r="N224" t="str">
        <f>IF(Tabell4[[#This Row],[Finns i listan ]]=Tabell4[[#This Row],[Indexnamn]],"","NEJ")</f>
        <v/>
      </c>
    </row>
    <row r="225" spans="1:14" x14ac:dyDescent="0.25">
      <c r="A225" t="s">
        <v>864</v>
      </c>
      <c r="B225" t="s">
        <v>482</v>
      </c>
      <c r="C225" t="s">
        <v>805</v>
      </c>
      <c r="D225" t="s">
        <v>805</v>
      </c>
      <c r="E225" t="s">
        <v>805</v>
      </c>
      <c r="F225" t="s">
        <v>805</v>
      </c>
      <c r="G225">
        <f t="shared" si="8"/>
        <v>0</v>
      </c>
      <c r="H225">
        <f t="shared" si="8"/>
        <v>0</v>
      </c>
      <c r="I225">
        <f t="shared" si="8"/>
        <v>0</v>
      </c>
      <c r="J225">
        <f t="shared" si="8"/>
        <v>0</v>
      </c>
      <c r="K225">
        <f t="shared" si="9"/>
        <v>0</v>
      </c>
      <c r="L225" t="str">
        <f>VLOOKUP(Tabell4[[#This Row],[Nät]],Indexnamn!A:A,1,FALSE)</f>
        <v>Åstorp</v>
      </c>
      <c r="M225" t="str">
        <f>IF(ISTEXT(Tabell4[[#This Row],[Indexnamn]]),Tabell4[[#This Row],[Indexnamn]],LOOKUP(Tabell4[[#This Row],[Nät]],Tabell5[Nätnamn],#REF!))</f>
        <v>Åstorp</v>
      </c>
      <c r="N225" t="str">
        <f>IF(Tabell4[[#This Row],[Finns i listan ]]=Tabell4[[#This Row],[Indexnamn]],"","NEJ")</f>
        <v/>
      </c>
    </row>
    <row r="226" spans="1:14" x14ac:dyDescent="0.25">
      <c r="A226" t="s">
        <v>864</v>
      </c>
      <c r="B226" t="s">
        <v>528</v>
      </c>
      <c r="C226" t="s">
        <v>805</v>
      </c>
      <c r="D226" t="s">
        <v>805</v>
      </c>
      <c r="E226" t="s">
        <v>805</v>
      </c>
      <c r="F226" t="s">
        <v>805</v>
      </c>
      <c r="G226">
        <f t="shared" si="8"/>
        <v>0</v>
      </c>
      <c r="H226">
        <f t="shared" si="8"/>
        <v>0</v>
      </c>
      <c r="I226">
        <f t="shared" si="8"/>
        <v>0</v>
      </c>
      <c r="J226">
        <f t="shared" si="8"/>
        <v>0</v>
      </c>
      <c r="K226">
        <f t="shared" si="9"/>
        <v>0</v>
      </c>
      <c r="L226" t="str">
        <f>VLOOKUP(Tabell4[[#This Row],[Nät]],Indexnamn!A:A,1,FALSE)</f>
        <v>Östhammar</v>
      </c>
      <c r="M226" t="str">
        <f>IF(ISTEXT(Tabell4[[#This Row],[Indexnamn]]),Tabell4[[#This Row],[Indexnamn]],LOOKUP(Tabell4[[#This Row],[Nät]],Tabell5[Nätnamn],#REF!))</f>
        <v>Östhammar</v>
      </c>
      <c r="N226" t="str">
        <f>IF(Tabell4[[#This Row],[Finns i listan ]]=Tabell4[[#This Row],[Indexnamn]],"","NEJ")</f>
        <v/>
      </c>
    </row>
    <row r="227" spans="1:14" x14ac:dyDescent="0.25">
      <c r="A227" t="s">
        <v>866</v>
      </c>
      <c r="B227" t="s">
        <v>300</v>
      </c>
      <c r="C227">
        <v>3.6869999999999998</v>
      </c>
      <c r="D227" t="s">
        <v>806</v>
      </c>
      <c r="E227" t="s">
        <v>806</v>
      </c>
      <c r="F227" t="s">
        <v>806</v>
      </c>
      <c r="G227">
        <f t="shared" si="8"/>
        <v>3.6869999999999998</v>
      </c>
      <c r="H227">
        <f t="shared" si="8"/>
        <v>0</v>
      </c>
      <c r="I227">
        <f t="shared" si="8"/>
        <v>0</v>
      </c>
      <c r="J227">
        <f t="shared" si="8"/>
        <v>0</v>
      </c>
      <c r="K227">
        <f t="shared" si="9"/>
        <v>3.6869999999999998</v>
      </c>
      <c r="L227" t="str">
        <f>VLOOKUP(Tabell4[[#This Row],[Nät]],Indexnamn!A:A,1,FALSE)</f>
        <v>Rörvik</v>
      </c>
      <c r="M227" t="str">
        <f>IF(ISTEXT(Tabell4[[#This Row],[Indexnamn]]),Tabell4[[#This Row],[Indexnamn]],LOOKUP(Tabell4[[#This Row],[Nät]],Tabell5[Nätnamn],#REF!))</f>
        <v>Rörvik</v>
      </c>
      <c r="N227" t="str">
        <f>IF(Tabell4[[#This Row],[Finns i listan ]]=Tabell4[[#This Row],[Indexnamn]],"","NEJ")</f>
        <v/>
      </c>
    </row>
    <row r="228" spans="1:14" x14ac:dyDescent="0.25">
      <c r="A228" t="s">
        <v>866</v>
      </c>
      <c r="B228" t="s">
        <v>299</v>
      </c>
      <c r="C228">
        <v>43.972000000000001</v>
      </c>
      <c r="D228" t="s">
        <v>806</v>
      </c>
      <c r="E228" t="s">
        <v>806</v>
      </c>
      <c r="F228" t="s">
        <v>806</v>
      </c>
      <c r="G228">
        <f t="shared" si="8"/>
        <v>43.972000000000001</v>
      </c>
      <c r="H228">
        <f t="shared" si="8"/>
        <v>0</v>
      </c>
      <c r="I228">
        <f t="shared" si="8"/>
        <v>0</v>
      </c>
      <c r="J228">
        <f t="shared" si="8"/>
        <v>0</v>
      </c>
      <c r="K228">
        <f t="shared" si="9"/>
        <v>43.972000000000001</v>
      </c>
      <c r="L228" t="str">
        <f>VLOOKUP(Tabell4[[#This Row],[Nät]],Indexnamn!A:A,1,FALSE)</f>
        <v>Sävsjö</v>
      </c>
      <c r="M228" t="str">
        <f>IF(ISTEXT(Tabell4[[#This Row],[Indexnamn]]),Tabell4[[#This Row],[Indexnamn]],LOOKUP(Tabell4[[#This Row],[Nät]],Tabell5[Nätnamn],#REF!))</f>
        <v>Sävsjö</v>
      </c>
      <c r="N228" t="str">
        <f>IF(Tabell4[[#This Row],[Finns i listan ]]=Tabell4[[#This Row],[Indexnamn]],"","NEJ")</f>
        <v/>
      </c>
    </row>
    <row r="229" spans="1:14" x14ac:dyDescent="0.25">
      <c r="A229" t="s">
        <v>867</v>
      </c>
      <c r="B229" t="s">
        <v>349</v>
      </c>
      <c r="C229">
        <v>4</v>
      </c>
      <c r="D229" t="s">
        <v>806</v>
      </c>
      <c r="E229" t="s">
        <v>806</v>
      </c>
      <c r="F229" t="s">
        <v>806</v>
      </c>
      <c r="G229">
        <f t="shared" si="8"/>
        <v>4</v>
      </c>
      <c r="H229">
        <f t="shared" si="8"/>
        <v>0</v>
      </c>
      <c r="I229">
        <f t="shared" si="8"/>
        <v>0</v>
      </c>
      <c r="J229">
        <f t="shared" si="8"/>
        <v>0</v>
      </c>
      <c r="K229">
        <f t="shared" si="9"/>
        <v>4</v>
      </c>
      <c r="L229" t="str">
        <f>VLOOKUP(Tabell4[[#This Row],[Nät]],Indexnamn!A:A,1,FALSE)</f>
        <v>Holsby</v>
      </c>
      <c r="M229" t="str">
        <f>IF(ISTEXT(Tabell4[[#This Row],[Indexnamn]]),Tabell4[[#This Row],[Indexnamn]],LOOKUP(Tabell4[[#This Row],[Nät]],Tabell5[Nätnamn],#REF!))</f>
        <v>Holsby</v>
      </c>
      <c r="N229" t="str">
        <f>IF(Tabell4[[#This Row],[Finns i listan ]]=Tabell4[[#This Row],[Indexnamn]],"","NEJ")</f>
        <v/>
      </c>
    </row>
    <row r="230" spans="1:14" x14ac:dyDescent="0.25">
      <c r="A230" t="s">
        <v>867</v>
      </c>
      <c r="B230" t="s">
        <v>348</v>
      </c>
      <c r="C230">
        <v>127.3</v>
      </c>
      <c r="D230" t="s">
        <v>806</v>
      </c>
      <c r="E230" t="s">
        <v>806</v>
      </c>
      <c r="F230" t="s">
        <v>806</v>
      </c>
      <c r="G230">
        <f t="shared" si="8"/>
        <v>127.3</v>
      </c>
      <c r="H230">
        <f t="shared" si="8"/>
        <v>0</v>
      </c>
      <c r="I230">
        <f t="shared" si="8"/>
        <v>0</v>
      </c>
      <c r="J230">
        <f t="shared" si="8"/>
        <v>0</v>
      </c>
      <c r="K230">
        <f t="shared" si="9"/>
        <v>127.3</v>
      </c>
      <c r="L230" t="str">
        <f>VLOOKUP(Tabell4[[#This Row],[Nät]],Indexnamn!A:A,1,FALSE)</f>
        <v>Vetlanda</v>
      </c>
      <c r="M230" t="str">
        <f>IF(ISTEXT(Tabell4[[#This Row],[Indexnamn]]),Tabell4[[#This Row],[Indexnamn]],LOOKUP(Tabell4[[#This Row],[Nät]],Tabell5[Nätnamn],#REF!))</f>
        <v>Vetlanda</v>
      </c>
      <c r="N230" t="str">
        <f>IF(Tabell4[[#This Row],[Finns i listan ]]=Tabell4[[#This Row],[Indexnamn]],"","NEJ")</f>
        <v/>
      </c>
    </row>
    <row r="231" spans="1:14" x14ac:dyDescent="0.25">
      <c r="A231" t="s">
        <v>869</v>
      </c>
      <c r="B231" t="s">
        <v>870</v>
      </c>
      <c r="C231">
        <v>14.5</v>
      </c>
      <c r="D231" t="s">
        <v>806</v>
      </c>
      <c r="E231" t="s">
        <v>806</v>
      </c>
      <c r="F231" t="s">
        <v>806</v>
      </c>
      <c r="G231">
        <f t="shared" si="8"/>
        <v>14.5</v>
      </c>
      <c r="H231">
        <f t="shared" si="8"/>
        <v>0</v>
      </c>
      <c r="I231">
        <f t="shared" si="8"/>
        <v>0</v>
      </c>
      <c r="J231">
        <f t="shared" si="8"/>
        <v>0</v>
      </c>
      <c r="K231">
        <f t="shared" si="9"/>
        <v>14.5</v>
      </c>
      <c r="L231" t="str">
        <f>VLOOKUP(Tabell4[[#This Row],[Nät]],Indexnamn!A:A,1,FALSE)</f>
        <v>Nordanstig</v>
      </c>
      <c r="M231" t="str">
        <f>IF(ISTEXT(Tabell4[[#This Row],[Indexnamn]]),Tabell4[[#This Row],[Indexnamn]],LOOKUP(Tabell4[[#This Row],[Nät]],Tabell5[Nätnamn],#REF!))</f>
        <v>Nordanstig</v>
      </c>
      <c r="N231" t="str">
        <f>IF(Tabell4[[#This Row],[Finns i listan ]]=Tabell4[[#This Row],[Indexnamn]],"","NEJ")</f>
        <v/>
      </c>
    </row>
    <row r="232" spans="1:14" x14ac:dyDescent="0.25">
      <c r="A232" t="s">
        <v>711</v>
      </c>
      <c r="B232" t="s">
        <v>219</v>
      </c>
      <c r="C232">
        <v>997</v>
      </c>
      <c r="D232">
        <v>0.83299999999999996</v>
      </c>
      <c r="E232" t="s">
        <v>806</v>
      </c>
      <c r="F232" t="s">
        <v>806</v>
      </c>
      <c r="G232">
        <f t="shared" si="8"/>
        <v>997</v>
      </c>
      <c r="H232">
        <f t="shared" si="8"/>
        <v>0.83299999999999996</v>
      </c>
      <c r="I232">
        <f t="shared" si="8"/>
        <v>0</v>
      </c>
      <c r="J232">
        <f t="shared" si="8"/>
        <v>0</v>
      </c>
      <c r="K232">
        <f t="shared" si="9"/>
        <v>996.16700000000003</v>
      </c>
      <c r="L232" t="str">
        <f>VLOOKUP(Tabell4[[#This Row],[Nät]],Indexnamn!A:A,1,FALSE)</f>
        <v>Sundbyberg-Solna</v>
      </c>
      <c r="M232" t="str">
        <f>IF(ISTEXT(Tabell4[[#This Row],[Indexnamn]]),Tabell4[[#This Row],[Indexnamn]],LOOKUP(Tabell4[[#This Row],[Nät]],Tabell5[Nätnamn],#REF!))</f>
        <v>Sundbyberg-Solna</v>
      </c>
      <c r="N232" t="str">
        <f>IF(Tabell4[[#This Row],[Finns i listan ]]=Tabell4[[#This Row],[Indexnamn]],"","NEJ")</f>
        <v/>
      </c>
    </row>
    <row r="233" spans="1:14" x14ac:dyDescent="0.25">
      <c r="A233" t="s">
        <v>621</v>
      </c>
      <c r="B233" t="s">
        <v>220</v>
      </c>
      <c r="C233">
        <v>17.117999999999999</v>
      </c>
      <c r="D233" t="s">
        <v>806</v>
      </c>
      <c r="E233" t="s">
        <v>806</v>
      </c>
      <c r="F233" t="s">
        <v>806</v>
      </c>
      <c r="G233">
        <f t="shared" si="8"/>
        <v>17.117999999999999</v>
      </c>
      <c r="H233">
        <f t="shared" si="8"/>
        <v>0</v>
      </c>
      <c r="I233">
        <f t="shared" si="8"/>
        <v>0</v>
      </c>
      <c r="J233">
        <f t="shared" si="8"/>
        <v>0</v>
      </c>
      <c r="K233">
        <f t="shared" si="9"/>
        <v>17.117999999999999</v>
      </c>
      <c r="L233" t="str">
        <f>VLOOKUP(Tabell4[[#This Row],[Nät]],Indexnamn!A:A,1,FALSE)</f>
        <v>Hallstavik</v>
      </c>
      <c r="M233" t="str">
        <f>IF(ISTEXT(Tabell4[[#This Row],[Indexnamn]]),Tabell4[[#This Row],[Indexnamn]],LOOKUP(Tabell4[[#This Row],[Nät]],Tabell5[Nätnamn],#REF!))</f>
        <v>Hallstavik</v>
      </c>
      <c r="N233" t="str">
        <f>IF(Tabell4[[#This Row],[Finns i listan ]]=Tabell4[[#This Row],[Indexnamn]],"","NEJ")</f>
        <v/>
      </c>
    </row>
    <row r="234" spans="1:14" x14ac:dyDescent="0.25">
      <c r="A234" t="s">
        <v>621</v>
      </c>
      <c r="B234" t="s">
        <v>221</v>
      </c>
      <c r="C234">
        <v>125.523</v>
      </c>
      <c r="D234" t="s">
        <v>806</v>
      </c>
      <c r="E234" t="s">
        <v>806</v>
      </c>
      <c r="F234" t="s">
        <v>806</v>
      </c>
      <c r="G234">
        <f t="shared" si="8"/>
        <v>125.523</v>
      </c>
      <c r="H234">
        <f t="shared" si="8"/>
        <v>0</v>
      </c>
      <c r="I234">
        <f t="shared" si="8"/>
        <v>0</v>
      </c>
      <c r="J234">
        <f t="shared" si="8"/>
        <v>0</v>
      </c>
      <c r="K234">
        <f t="shared" si="9"/>
        <v>125.523</v>
      </c>
      <c r="L234" t="str">
        <f>VLOOKUP(Tabell4[[#This Row],[Nät]],Indexnamn!A:A,1,FALSE)</f>
        <v>Norrtälje</v>
      </c>
      <c r="M234" t="str">
        <f>IF(ISTEXT(Tabell4[[#This Row],[Indexnamn]]),Tabell4[[#This Row],[Indexnamn]],LOOKUP(Tabell4[[#This Row],[Nät]],Tabell5[Nätnamn],#REF!))</f>
        <v>Norrtälje</v>
      </c>
      <c r="N234" t="str">
        <f>IF(Tabell4[[#This Row],[Finns i listan ]]=Tabell4[[#This Row],[Indexnamn]],"","NEJ")</f>
        <v/>
      </c>
    </row>
    <row r="235" spans="1:14" x14ac:dyDescent="0.25">
      <c r="A235" t="s">
        <v>621</v>
      </c>
      <c r="B235" t="s">
        <v>222</v>
      </c>
      <c r="C235">
        <v>17.408000000000001</v>
      </c>
      <c r="D235" t="s">
        <v>806</v>
      </c>
      <c r="E235" t="s">
        <v>806</v>
      </c>
      <c r="F235" t="s">
        <v>806</v>
      </c>
      <c r="G235">
        <f t="shared" si="8"/>
        <v>17.408000000000001</v>
      </c>
      <c r="H235">
        <f t="shared" si="8"/>
        <v>0</v>
      </c>
      <c r="I235">
        <f t="shared" si="8"/>
        <v>0</v>
      </c>
      <c r="J235">
        <f t="shared" si="8"/>
        <v>0</v>
      </c>
      <c r="K235">
        <f t="shared" si="9"/>
        <v>17.408000000000001</v>
      </c>
      <c r="L235" t="str">
        <f>VLOOKUP(Tabell4[[#This Row],[Nät]],Indexnamn!A:A,1,FALSE)</f>
        <v>Rimbo</v>
      </c>
      <c r="M235" t="str">
        <f>IF(ISTEXT(Tabell4[[#This Row],[Indexnamn]]),Tabell4[[#This Row],[Indexnamn]],LOOKUP(Tabell4[[#This Row],[Nät]],Tabell5[Nätnamn],#REF!))</f>
        <v>Rimbo</v>
      </c>
      <c r="N235" t="str">
        <f>IF(Tabell4[[#This Row],[Finns i listan ]]=Tabell4[[#This Row],[Indexnamn]],"","NEJ")</f>
        <v/>
      </c>
    </row>
    <row r="236" spans="1:14" x14ac:dyDescent="0.25">
      <c r="A236" t="s">
        <v>871</v>
      </c>
      <c r="B236" t="s">
        <v>872</v>
      </c>
      <c r="C236">
        <v>6.6</v>
      </c>
      <c r="D236" t="s">
        <v>805</v>
      </c>
      <c r="E236" t="s">
        <v>805</v>
      </c>
      <c r="F236" t="s">
        <v>805</v>
      </c>
      <c r="G236">
        <f t="shared" si="8"/>
        <v>6.6</v>
      </c>
      <c r="H236">
        <f t="shared" si="8"/>
        <v>0</v>
      </c>
      <c r="I236">
        <f t="shared" si="8"/>
        <v>0</v>
      </c>
      <c r="J236">
        <f t="shared" si="8"/>
        <v>0</v>
      </c>
      <c r="K236">
        <f t="shared" si="9"/>
        <v>6.6</v>
      </c>
      <c r="L236" t="str">
        <f>VLOOKUP(Tabell4[[#This Row],[Nät]],Indexnamn!A:A,1,FALSE)</f>
        <v>Essunga</v>
      </c>
      <c r="M236" t="str">
        <f>IF(ISTEXT(Tabell4[[#This Row],[Indexnamn]]),Tabell4[[#This Row],[Indexnamn]],LOOKUP(Tabell4[[#This Row],[Nät]],Tabell5[Nätnamn],#REF!))</f>
        <v>Essunga</v>
      </c>
      <c r="N236" t="str">
        <f>IF(Tabell4[[#This Row],[Finns i listan ]]=Tabell4[[#This Row],[Indexnamn]],"","NEJ")</f>
        <v/>
      </c>
    </row>
    <row r="237" spans="1:14" x14ac:dyDescent="0.25">
      <c r="A237" t="s">
        <v>679</v>
      </c>
      <c r="B237" t="s">
        <v>820</v>
      </c>
      <c r="C237">
        <v>141</v>
      </c>
      <c r="D237" t="s">
        <v>806</v>
      </c>
      <c r="E237" t="s">
        <v>806</v>
      </c>
      <c r="F237" t="s">
        <v>806</v>
      </c>
      <c r="G237">
        <f t="shared" si="8"/>
        <v>141</v>
      </c>
      <c r="H237">
        <f t="shared" si="8"/>
        <v>0</v>
      </c>
      <c r="I237">
        <f t="shared" si="8"/>
        <v>0</v>
      </c>
      <c r="J237">
        <f t="shared" si="8"/>
        <v>0</v>
      </c>
      <c r="K237">
        <f t="shared" si="9"/>
        <v>141</v>
      </c>
      <c r="L237" t="str">
        <f>VLOOKUP(Tabell4[[#This Row],[Nät]],Indexnamn!A:A,1,FALSE)</f>
        <v>Nybro stadsnät</v>
      </c>
      <c r="M237" t="str">
        <f>IF(ISTEXT(Tabell4[[#This Row],[Indexnamn]]),Tabell4[[#This Row],[Indexnamn]],LOOKUP(Tabell4[[#This Row],[Nät]],Tabell5[Nätnamn],#REF!))</f>
        <v>Nybro stadsnät</v>
      </c>
      <c r="N237" t="str">
        <f>IF(Tabell4[[#This Row],[Finns i listan ]]=Tabell4[[#This Row],[Indexnamn]],"","NEJ")</f>
        <v/>
      </c>
    </row>
    <row r="238" spans="1:14" x14ac:dyDescent="0.25">
      <c r="A238" t="s">
        <v>551</v>
      </c>
      <c r="B238" t="s">
        <v>224</v>
      </c>
      <c r="C238" t="s">
        <v>805</v>
      </c>
      <c r="D238" t="s">
        <v>805</v>
      </c>
      <c r="E238" t="s">
        <v>805</v>
      </c>
      <c r="F238" t="s">
        <v>805</v>
      </c>
      <c r="G238">
        <f t="shared" si="8"/>
        <v>0</v>
      </c>
      <c r="H238">
        <f t="shared" si="8"/>
        <v>0</v>
      </c>
      <c r="I238">
        <f t="shared" si="8"/>
        <v>0</v>
      </c>
      <c r="J238">
        <f t="shared" si="8"/>
        <v>0</v>
      </c>
      <c r="K238">
        <f t="shared" si="9"/>
        <v>0</v>
      </c>
      <c r="L238" t="str">
        <f>VLOOKUP(Tabell4[[#This Row],[Nät]],Indexnamn!A:A,1,FALSE)</f>
        <v>Anneberg</v>
      </c>
      <c r="M238" t="str">
        <f>IF(ISTEXT(Tabell4[[#This Row],[Indexnamn]]),Tabell4[[#This Row],[Indexnamn]],LOOKUP(Tabell4[[#This Row],[Nät]],Tabell5[Nätnamn],#REF!))</f>
        <v>Anneberg</v>
      </c>
      <c r="N238" t="str">
        <f>IF(Tabell4[[#This Row],[Finns i listan ]]=Tabell4[[#This Row],[Indexnamn]],"","NEJ")</f>
        <v/>
      </c>
    </row>
    <row r="239" spans="1:14" x14ac:dyDescent="0.25">
      <c r="A239" t="s">
        <v>551</v>
      </c>
      <c r="B239" t="s">
        <v>225</v>
      </c>
      <c r="C239" t="s">
        <v>805</v>
      </c>
      <c r="D239" t="s">
        <v>805</v>
      </c>
      <c r="E239" t="s">
        <v>805</v>
      </c>
      <c r="F239" t="s">
        <v>805</v>
      </c>
      <c r="G239">
        <f t="shared" si="8"/>
        <v>0</v>
      </c>
      <c r="H239">
        <f t="shared" si="8"/>
        <v>0</v>
      </c>
      <c r="I239">
        <f t="shared" si="8"/>
        <v>0</v>
      </c>
      <c r="J239">
        <f t="shared" si="8"/>
        <v>0</v>
      </c>
      <c r="K239">
        <f t="shared" si="9"/>
        <v>0</v>
      </c>
      <c r="L239" t="str">
        <f>VLOOKUP(Tabell4[[#This Row],[Nät]],Indexnamn!A:A,1,FALSE)</f>
        <v>Bodafors</v>
      </c>
      <c r="M239" t="str">
        <f>IF(ISTEXT(Tabell4[[#This Row],[Indexnamn]]),Tabell4[[#This Row],[Indexnamn]],LOOKUP(Tabell4[[#This Row],[Nät]],Tabell5[Nätnamn],#REF!))</f>
        <v>Bodafors</v>
      </c>
      <c r="N239" t="str">
        <f>IF(Tabell4[[#This Row],[Finns i listan ]]=Tabell4[[#This Row],[Indexnamn]],"","NEJ")</f>
        <v/>
      </c>
    </row>
    <row r="240" spans="1:14" x14ac:dyDescent="0.25">
      <c r="A240" t="s">
        <v>551</v>
      </c>
      <c r="B240" t="s">
        <v>223</v>
      </c>
      <c r="C240" t="s">
        <v>805</v>
      </c>
      <c r="D240" t="s">
        <v>805</v>
      </c>
      <c r="E240" t="s">
        <v>805</v>
      </c>
      <c r="F240" t="s">
        <v>805</v>
      </c>
      <c r="G240">
        <f t="shared" si="8"/>
        <v>0</v>
      </c>
      <c r="H240">
        <f t="shared" si="8"/>
        <v>0</v>
      </c>
      <c r="I240">
        <f t="shared" si="8"/>
        <v>0</v>
      </c>
      <c r="J240">
        <f t="shared" si="8"/>
        <v>0</v>
      </c>
      <c r="K240">
        <f t="shared" si="9"/>
        <v>0</v>
      </c>
      <c r="L240" t="str">
        <f>VLOOKUP(Tabell4[[#This Row],[Nät]],Indexnamn!A:A,1,FALSE)</f>
        <v>Nässjö</v>
      </c>
      <c r="M240" t="str">
        <f>IF(ISTEXT(Tabell4[[#This Row],[Indexnamn]]),Tabell4[[#This Row],[Indexnamn]],LOOKUP(Tabell4[[#This Row],[Nät]],Tabell5[Nätnamn],#REF!))</f>
        <v>Nässjö</v>
      </c>
      <c r="N240" t="str">
        <f>IF(Tabell4[[#This Row],[Finns i listan ]]=Tabell4[[#This Row],[Indexnamn]],"","NEJ")</f>
        <v/>
      </c>
    </row>
    <row r="241" spans="1:14" x14ac:dyDescent="0.25">
      <c r="A241" t="s">
        <v>683</v>
      </c>
      <c r="B241" t="s">
        <v>226</v>
      </c>
      <c r="C241">
        <v>48.54</v>
      </c>
      <c r="D241" t="s">
        <v>806</v>
      </c>
      <c r="E241" t="s">
        <v>806</v>
      </c>
      <c r="F241" t="s">
        <v>806</v>
      </c>
      <c r="G241">
        <f t="shared" si="8"/>
        <v>48.54</v>
      </c>
      <c r="H241">
        <f t="shared" si="8"/>
        <v>0</v>
      </c>
      <c r="I241">
        <f t="shared" si="8"/>
        <v>0</v>
      </c>
      <c r="J241">
        <f t="shared" si="8"/>
        <v>0</v>
      </c>
      <c r="K241">
        <f t="shared" si="9"/>
        <v>48.54</v>
      </c>
      <c r="L241" t="str">
        <f>VLOOKUP(Tabell4[[#This Row],[Nät]],Indexnamn!A:A,1,FALSE)</f>
        <v>Olofström</v>
      </c>
      <c r="M241" t="str">
        <f>IF(ISTEXT(Tabell4[[#This Row],[Indexnamn]]),Tabell4[[#This Row],[Indexnamn]],LOOKUP(Tabell4[[#This Row],[Nät]],Tabell5[Nätnamn],#REF!))</f>
        <v>Olofström</v>
      </c>
      <c r="N241" t="str">
        <f>IF(Tabell4[[#This Row],[Finns i listan ]]=Tabell4[[#This Row],[Indexnamn]],"","NEJ")</f>
        <v/>
      </c>
    </row>
    <row r="242" spans="1:14" x14ac:dyDescent="0.25">
      <c r="A242" t="s">
        <v>873</v>
      </c>
      <c r="B242" t="s">
        <v>874</v>
      </c>
      <c r="C242" t="s">
        <v>805</v>
      </c>
      <c r="D242" t="s">
        <v>805</v>
      </c>
      <c r="E242" t="s">
        <v>805</v>
      </c>
      <c r="F242" t="s">
        <v>805</v>
      </c>
      <c r="G242">
        <f t="shared" si="8"/>
        <v>0</v>
      </c>
      <c r="H242">
        <f t="shared" si="8"/>
        <v>0</v>
      </c>
      <c r="I242">
        <f t="shared" si="8"/>
        <v>0</v>
      </c>
      <c r="J242">
        <f t="shared" si="8"/>
        <v>0</v>
      </c>
      <c r="K242">
        <f t="shared" si="9"/>
        <v>0</v>
      </c>
      <c r="L242" t="str">
        <f>VLOOKUP(Tabell4[[#This Row],[Nät]],Indexnamn!A:A,1,FALSE)</f>
        <v>Ellös fjärrvärmenät</v>
      </c>
      <c r="M242" t="str">
        <f>IF(ISTEXT(Tabell4[[#This Row],[Indexnamn]]),Tabell4[[#This Row],[Indexnamn]],LOOKUP(Tabell4[[#This Row],[Nät]],Tabell5[Nätnamn],#REF!))</f>
        <v>Ellös fjärrvärmenät</v>
      </c>
      <c r="N242" t="str">
        <f>IF(Tabell4[[#This Row],[Finns i listan ]]=Tabell4[[#This Row],[Indexnamn]],"","NEJ")</f>
        <v/>
      </c>
    </row>
    <row r="243" spans="1:14" x14ac:dyDescent="0.25">
      <c r="A243" t="s">
        <v>873</v>
      </c>
      <c r="B243" t="s">
        <v>875</v>
      </c>
      <c r="C243" t="s">
        <v>805</v>
      </c>
      <c r="D243" t="s">
        <v>805</v>
      </c>
      <c r="E243" t="s">
        <v>805</v>
      </c>
      <c r="F243" t="s">
        <v>805</v>
      </c>
      <c r="G243">
        <f t="shared" si="8"/>
        <v>0</v>
      </c>
      <c r="H243">
        <f t="shared" si="8"/>
        <v>0</v>
      </c>
      <c r="I243">
        <f t="shared" si="8"/>
        <v>0</v>
      </c>
      <c r="J243">
        <f t="shared" si="8"/>
        <v>0</v>
      </c>
      <c r="K243">
        <f t="shared" si="9"/>
        <v>0</v>
      </c>
      <c r="L243" t="str">
        <f>VLOOKUP(Tabell4[[#This Row],[Nät]],Indexnamn!A:A,1,FALSE)</f>
        <v>Henåns fjärrvärmenät</v>
      </c>
      <c r="M243" t="str">
        <f>IF(ISTEXT(Tabell4[[#This Row],[Indexnamn]]),Tabell4[[#This Row],[Indexnamn]],LOOKUP(Tabell4[[#This Row],[Nät]],Tabell5[Nätnamn],#REF!))</f>
        <v>Henåns fjärrvärmenät</v>
      </c>
      <c r="N243" t="str">
        <f>IF(Tabell4[[#This Row],[Finns i listan ]]=Tabell4[[#This Row],[Indexnamn]],"","NEJ")</f>
        <v/>
      </c>
    </row>
    <row r="244" spans="1:14" x14ac:dyDescent="0.25">
      <c r="A244" t="s">
        <v>685</v>
      </c>
      <c r="B244" t="s">
        <v>227</v>
      </c>
      <c r="C244">
        <v>142.80000000000001</v>
      </c>
      <c r="D244" t="s">
        <v>806</v>
      </c>
      <c r="E244" t="s">
        <v>806</v>
      </c>
      <c r="F244" t="s">
        <v>806</v>
      </c>
      <c r="G244">
        <f t="shared" si="8"/>
        <v>142.80000000000001</v>
      </c>
      <c r="H244">
        <f t="shared" si="8"/>
        <v>0</v>
      </c>
      <c r="I244">
        <f t="shared" si="8"/>
        <v>0</v>
      </c>
      <c r="J244">
        <f t="shared" si="8"/>
        <v>0</v>
      </c>
      <c r="K244">
        <f t="shared" si="9"/>
        <v>142.80000000000001</v>
      </c>
      <c r="L244" t="str">
        <f>VLOOKUP(Tabell4[[#This Row],[Nät]],Indexnamn!A:A,1,FALSE)</f>
        <v>Oskarshamn</v>
      </c>
      <c r="M244" t="str">
        <f>IF(ISTEXT(Tabell4[[#This Row],[Indexnamn]]),Tabell4[[#This Row],[Indexnamn]],LOOKUP(Tabell4[[#This Row],[Nät]],Tabell5[Nätnamn],#REF!))</f>
        <v>Oskarshamn</v>
      </c>
      <c r="N244" t="str">
        <f>IF(Tabell4[[#This Row],[Finns i listan ]]=Tabell4[[#This Row],[Indexnamn]],"","NEJ")</f>
        <v/>
      </c>
    </row>
    <row r="245" spans="1:14" x14ac:dyDescent="0.25">
      <c r="A245" t="s">
        <v>686</v>
      </c>
      <c r="B245" t="s">
        <v>228</v>
      </c>
      <c r="C245">
        <v>82.4</v>
      </c>
      <c r="D245" t="s">
        <v>806</v>
      </c>
      <c r="E245" t="s">
        <v>806</v>
      </c>
      <c r="F245" t="s">
        <v>806</v>
      </c>
      <c r="G245">
        <f t="shared" si="8"/>
        <v>82.4</v>
      </c>
      <c r="H245">
        <f t="shared" si="8"/>
        <v>0</v>
      </c>
      <c r="I245">
        <f t="shared" si="8"/>
        <v>0</v>
      </c>
      <c r="J245">
        <f t="shared" si="8"/>
        <v>0</v>
      </c>
      <c r="K245">
        <f t="shared" si="9"/>
        <v>82.4</v>
      </c>
      <c r="L245" t="str">
        <f>VLOOKUP(Tabell4[[#This Row],[Nät]],Indexnamn!A:A,1,FALSE)</f>
        <v>Oxelösund</v>
      </c>
      <c r="M245" t="str">
        <f>IF(ISTEXT(Tabell4[[#This Row],[Indexnamn]]),Tabell4[[#This Row],[Indexnamn]],LOOKUP(Tabell4[[#This Row],[Nät]],Tabell5[Nätnamn],#REF!))</f>
        <v>Oxelösund</v>
      </c>
      <c r="N245" t="str">
        <f>IF(Tabell4[[#This Row],[Finns i listan ]]=Tabell4[[#This Row],[Indexnamn]],"","NEJ")</f>
        <v/>
      </c>
    </row>
    <row r="246" spans="1:14" x14ac:dyDescent="0.25">
      <c r="A246" t="s">
        <v>876</v>
      </c>
      <c r="B246" t="s">
        <v>412</v>
      </c>
      <c r="C246" t="s">
        <v>805</v>
      </c>
      <c r="D246" t="s">
        <v>805</v>
      </c>
      <c r="E246" t="s">
        <v>805</v>
      </c>
      <c r="F246" t="s">
        <v>805</v>
      </c>
      <c r="G246">
        <f t="shared" si="8"/>
        <v>0</v>
      </c>
      <c r="H246">
        <f t="shared" si="8"/>
        <v>0</v>
      </c>
      <c r="I246">
        <f t="shared" si="8"/>
        <v>0</v>
      </c>
      <c r="J246">
        <f t="shared" si="8"/>
        <v>0</v>
      </c>
      <c r="K246">
        <f t="shared" si="9"/>
        <v>0</v>
      </c>
      <c r="L246" t="str">
        <f>VLOOKUP(Tabell4[[#This Row],[Nät]],Indexnamn!A:A,1,FALSE)</f>
        <v>Pajala</v>
      </c>
      <c r="M246" t="str">
        <f>IF(ISTEXT(Tabell4[[#This Row],[Indexnamn]]),Tabell4[[#This Row],[Indexnamn]],LOOKUP(Tabell4[[#This Row],[Nät]],Tabell5[Nätnamn],#REF!))</f>
        <v>Pajala</v>
      </c>
      <c r="N246" t="str">
        <f>IF(Tabell4[[#This Row],[Finns i listan ]]=Tabell4[[#This Row],[Indexnamn]],"","NEJ")</f>
        <v/>
      </c>
    </row>
    <row r="247" spans="1:14" x14ac:dyDescent="0.25">
      <c r="A247" t="s">
        <v>813</v>
      </c>
      <c r="B247" t="s">
        <v>932</v>
      </c>
      <c r="C247" t="s">
        <v>805</v>
      </c>
      <c r="D247" t="s">
        <v>805</v>
      </c>
      <c r="E247" t="s">
        <v>805</v>
      </c>
      <c r="F247" t="s">
        <v>805</v>
      </c>
      <c r="G247">
        <f t="shared" si="8"/>
        <v>0</v>
      </c>
      <c r="H247">
        <f t="shared" si="8"/>
        <v>0</v>
      </c>
      <c r="I247">
        <f t="shared" si="8"/>
        <v>0</v>
      </c>
      <c r="J247">
        <f t="shared" si="8"/>
        <v>0</v>
      </c>
      <c r="K247">
        <f t="shared" si="9"/>
        <v>0</v>
      </c>
      <c r="L247" t="str">
        <f>VLOOKUP(Tabell4[[#This Row],[Nät]],Indexnamn!A:A,1,FALSE)</f>
        <v>Partille</v>
      </c>
      <c r="N247" t="str">
        <f>IF(Tabell4[[#This Row],[Finns i listan ]]=Tabell4[[#This Row],[Indexnamn]],"","NEJ")</f>
        <v>NEJ</v>
      </c>
    </row>
    <row r="248" spans="1:14" x14ac:dyDescent="0.25">
      <c r="A248" t="s">
        <v>735</v>
      </c>
      <c r="B248" t="s">
        <v>797</v>
      </c>
      <c r="C248" t="s">
        <v>805</v>
      </c>
      <c r="D248" t="s">
        <v>805</v>
      </c>
      <c r="E248" t="s">
        <v>805</v>
      </c>
      <c r="F248" t="s">
        <v>805</v>
      </c>
      <c r="G248">
        <f t="shared" si="8"/>
        <v>0</v>
      </c>
      <c r="H248">
        <f t="shared" si="8"/>
        <v>0</v>
      </c>
      <c r="I248">
        <f t="shared" si="8"/>
        <v>0</v>
      </c>
      <c r="J248">
        <f t="shared" si="8"/>
        <v>0</v>
      </c>
      <c r="K248">
        <f t="shared" si="9"/>
        <v>0</v>
      </c>
      <c r="L248" t="e">
        <f>VLOOKUP(Tabell4[[#This Row],[Nät]],Indexnamn!A:A,1,FALSE)</f>
        <v>#N/A</v>
      </c>
      <c r="N248" t="e">
        <f>IF(Tabell4[[#This Row],[Finns i listan ]]=Tabell4[[#This Row],[Indexnamn]],"","NEJ")</f>
        <v>#N/A</v>
      </c>
    </row>
    <row r="249" spans="1:14" x14ac:dyDescent="0.25">
      <c r="A249" t="s">
        <v>877</v>
      </c>
      <c r="B249" t="s">
        <v>496</v>
      </c>
      <c r="C249" t="s">
        <v>804</v>
      </c>
      <c r="D249" t="s">
        <v>806</v>
      </c>
      <c r="E249" t="s">
        <v>806</v>
      </c>
      <c r="F249" t="s">
        <v>806</v>
      </c>
      <c r="G249">
        <f t="shared" si="8"/>
        <v>0</v>
      </c>
      <c r="H249">
        <f t="shared" si="8"/>
        <v>0</v>
      </c>
      <c r="I249">
        <f t="shared" si="8"/>
        <v>0</v>
      </c>
      <c r="J249">
        <f t="shared" si="8"/>
        <v>0</v>
      </c>
      <c r="K249">
        <f t="shared" si="9"/>
        <v>0</v>
      </c>
      <c r="L249" t="str">
        <f>VLOOKUP(Tabell4[[#This Row],[Nät]],Indexnamn!A:A,1,FALSE)</f>
        <v>Bångbro</v>
      </c>
      <c r="M249" t="str">
        <f>IF(ISTEXT(Tabell4[[#This Row],[Indexnamn]]),Tabell4[[#This Row],[Indexnamn]],LOOKUP(Tabell4[[#This Row],[Nät]],Tabell5[Nätnamn],#REF!))</f>
        <v>Bångbro</v>
      </c>
      <c r="N249" t="str">
        <f>IF(Tabell4[[#This Row],[Finns i listan ]]=Tabell4[[#This Row],[Indexnamn]],"","NEJ")</f>
        <v/>
      </c>
    </row>
    <row r="250" spans="1:14" x14ac:dyDescent="0.25">
      <c r="A250" t="s">
        <v>877</v>
      </c>
      <c r="B250" t="s">
        <v>127</v>
      </c>
      <c r="C250" t="s">
        <v>806</v>
      </c>
      <c r="D250" t="s">
        <v>806</v>
      </c>
      <c r="E250" t="s">
        <v>806</v>
      </c>
      <c r="F250" t="s">
        <v>806</v>
      </c>
      <c r="G250">
        <f t="shared" si="8"/>
        <v>0</v>
      </c>
      <c r="H250">
        <f t="shared" si="8"/>
        <v>0</v>
      </c>
      <c r="I250">
        <f t="shared" si="8"/>
        <v>0</v>
      </c>
      <c r="J250">
        <f t="shared" si="8"/>
        <v>0</v>
      </c>
      <c r="K250">
        <f t="shared" si="9"/>
        <v>0</v>
      </c>
      <c r="L250" t="str">
        <f>VLOOKUP(Tabell4[[#This Row],[Nät]],Indexnamn!A:A,1,FALSE)</f>
        <v>Näsviken</v>
      </c>
      <c r="M250" t="str">
        <f>IF(ISTEXT(Tabell4[[#This Row],[Indexnamn]]),Tabell4[[#This Row],[Indexnamn]],LOOKUP(Tabell4[[#This Row],[Nät]],Tabell5[Nätnamn],#REF!))</f>
        <v>Näsviken</v>
      </c>
      <c r="N250" t="str">
        <f>IF(Tabell4[[#This Row],[Finns i listan ]]=Tabell4[[#This Row],[Indexnamn]],"","NEJ")</f>
        <v/>
      </c>
    </row>
    <row r="251" spans="1:14" x14ac:dyDescent="0.25">
      <c r="A251" t="s">
        <v>877</v>
      </c>
      <c r="B251" t="s">
        <v>438</v>
      </c>
      <c r="C251" t="s">
        <v>806</v>
      </c>
      <c r="D251" t="s">
        <v>806</v>
      </c>
      <c r="E251" t="s">
        <v>806</v>
      </c>
      <c r="F251" t="s">
        <v>806</v>
      </c>
      <c r="G251">
        <f t="shared" si="8"/>
        <v>0</v>
      </c>
      <c r="H251">
        <f t="shared" si="8"/>
        <v>0</v>
      </c>
      <c r="I251">
        <f t="shared" si="8"/>
        <v>0</v>
      </c>
      <c r="J251">
        <f t="shared" si="8"/>
        <v>0</v>
      </c>
      <c r="K251">
        <f t="shared" si="9"/>
        <v>0</v>
      </c>
      <c r="L251" t="str">
        <f>VLOOKUP(Tabell4[[#This Row],[Nät]],Indexnamn!A:A,1,FALSE)</f>
        <v>Älvdalen</v>
      </c>
      <c r="M251" t="str">
        <f>IF(ISTEXT(Tabell4[[#This Row],[Indexnamn]]),Tabell4[[#This Row],[Indexnamn]],LOOKUP(Tabell4[[#This Row],[Nät]],Tabell5[Nätnamn],#REF!))</f>
        <v>Älvdalen</v>
      </c>
      <c r="N251" t="str">
        <f>IF(Tabell4[[#This Row],[Finns i listan ]]=Tabell4[[#This Row],[Indexnamn]],"","NEJ")</f>
        <v/>
      </c>
    </row>
    <row r="252" spans="1:14" x14ac:dyDescent="0.25">
      <c r="A252" t="s">
        <v>687</v>
      </c>
      <c r="B252" t="s">
        <v>229</v>
      </c>
      <c r="C252">
        <v>46</v>
      </c>
      <c r="D252" t="s">
        <v>806</v>
      </c>
      <c r="E252" t="s">
        <v>806</v>
      </c>
      <c r="F252" t="s">
        <v>806</v>
      </c>
      <c r="G252">
        <f t="shared" si="8"/>
        <v>46</v>
      </c>
      <c r="H252">
        <f t="shared" si="8"/>
        <v>0</v>
      </c>
      <c r="I252">
        <f t="shared" si="8"/>
        <v>0</v>
      </c>
      <c r="J252">
        <f t="shared" si="8"/>
        <v>0</v>
      </c>
      <c r="K252">
        <f t="shared" si="9"/>
        <v>46</v>
      </c>
      <c r="L252" t="str">
        <f>VLOOKUP(Tabell4[[#This Row],[Nät]],Indexnamn!A:A,1,FALSE)</f>
        <v>Perstorp</v>
      </c>
      <c r="M252" t="str">
        <f>IF(ISTEXT(Tabell4[[#This Row],[Indexnamn]]),Tabell4[[#This Row],[Indexnamn]],LOOKUP(Tabell4[[#This Row],[Nät]],Tabell5[Nätnamn],#REF!))</f>
        <v>Perstorp</v>
      </c>
      <c r="N252" t="str">
        <f>IF(Tabell4[[#This Row],[Finns i listan ]]=Tabell4[[#This Row],[Indexnamn]],"","NEJ")</f>
        <v/>
      </c>
    </row>
    <row r="253" spans="1:14" x14ac:dyDescent="0.25">
      <c r="A253" t="s">
        <v>678</v>
      </c>
      <c r="B253" t="s">
        <v>232</v>
      </c>
      <c r="C253">
        <v>6.0140000000000002</v>
      </c>
      <c r="D253" t="s">
        <v>806</v>
      </c>
      <c r="E253" t="s">
        <v>806</v>
      </c>
      <c r="F253" t="s">
        <v>806</v>
      </c>
      <c r="G253">
        <f t="shared" si="8"/>
        <v>6.0140000000000002</v>
      </c>
      <c r="H253">
        <f t="shared" si="8"/>
        <v>0</v>
      </c>
      <c r="I253">
        <f t="shared" si="8"/>
        <v>0</v>
      </c>
      <c r="J253">
        <f t="shared" si="8"/>
        <v>0</v>
      </c>
      <c r="K253">
        <f t="shared" si="9"/>
        <v>6.0140000000000002</v>
      </c>
      <c r="L253" t="str">
        <f>VLOOKUP(Tabell4[[#This Row],[Nät]],Indexnamn!A:A,1,FALSE)</f>
        <v>Norrfjärden</v>
      </c>
      <c r="M253" t="str">
        <f>IF(ISTEXT(Tabell4[[#This Row],[Indexnamn]]),Tabell4[[#This Row],[Indexnamn]],LOOKUP(Tabell4[[#This Row],[Nät]],Tabell5[Nätnamn],#REF!))</f>
        <v>Norrfjärden</v>
      </c>
      <c r="N253" t="str">
        <f>IF(Tabell4[[#This Row],[Finns i listan ]]=Tabell4[[#This Row],[Indexnamn]],"","NEJ")</f>
        <v/>
      </c>
    </row>
    <row r="254" spans="1:14" x14ac:dyDescent="0.25">
      <c r="A254" t="s">
        <v>678</v>
      </c>
      <c r="B254" t="s">
        <v>230</v>
      </c>
      <c r="C254">
        <v>241</v>
      </c>
      <c r="D254" t="s">
        <v>806</v>
      </c>
      <c r="E254" t="s">
        <v>806</v>
      </c>
      <c r="F254" t="s">
        <v>806</v>
      </c>
      <c r="G254">
        <f t="shared" si="8"/>
        <v>241</v>
      </c>
      <c r="H254">
        <f t="shared" si="8"/>
        <v>0</v>
      </c>
      <c r="I254">
        <f t="shared" si="8"/>
        <v>0</v>
      </c>
      <c r="J254">
        <f t="shared" si="8"/>
        <v>0</v>
      </c>
      <c r="K254">
        <f t="shared" si="9"/>
        <v>241</v>
      </c>
      <c r="L254" t="str">
        <f>VLOOKUP(Tabell4[[#This Row],[Nät]],Indexnamn!A:A,1,FALSE)</f>
        <v>Piteå</v>
      </c>
      <c r="M254" t="str">
        <f>IF(ISTEXT(Tabell4[[#This Row],[Indexnamn]]),Tabell4[[#This Row],[Indexnamn]],LOOKUP(Tabell4[[#This Row],[Nät]],Tabell5[Nätnamn],#REF!))</f>
        <v>Piteå</v>
      </c>
      <c r="N254" t="str">
        <f>IF(Tabell4[[#This Row],[Finns i listan ]]=Tabell4[[#This Row],[Indexnamn]],"","NEJ")</f>
        <v/>
      </c>
    </row>
    <row r="255" spans="1:14" x14ac:dyDescent="0.25">
      <c r="A255" t="s">
        <v>678</v>
      </c>
      <c r="B255" t="s">
        <v>233</v>
      </c>
      <c r="C255">
        <v>1.429</v>
      </c>
      <c r="D255" t="s">
        <v>806</v>
      </c>
      <c r="E255" t="s">
        <v>806</v>
      </c>
      <c r="F255" t="s">
        <v>806</v>
      </c>
      <c r="G255">
        <f t="shared" si="8"/>
        <v>1.429</v>
      </c>
      <c r="H255">
        <f t="shared" si="8"/>
        <v>0</v>
      </c>
      <c r="I255">
        <f t="shared" si="8"/>
        <v>0</v>
      </c>
      <c r="J255">
        <f t="shared" si="8"/>
        <v>0</v>
      </c>
      <c r="K255">
        <f t="shared" si="9"/>
        <v>1.429</v>
      </c>
      <c r="L255" t="str">
        <f>VLOOKUP(Tabell4[[#This Row],[Nät]],Indexnamn!A:A,1,FALSE)</f>
        <v>Rosvik</v>
      </c>
      <c r="M255" t="str">
        <f>IF(ISTEXT(Tabell4[[#This Row],[Indexnamn]]),Tabell4[[#This Row],[Indexnamn]],LOOKUP(Tabell4[[#This Row],[Nät]],Tabell5[Nätnamn],#REF!))</f>
        <v>Rosvik</v>
      </c>
      <c r="N255" t="str">
        <f>IF(Tabell4[[#This Row],[Finns i listan ]]=Tabell4[[#This Row],[Indexnamn]],"","NEJ")</f>
        <v/>
      </c>
    </row>
    <row r="256" spans="1:14" x14ac:dyDescent="0.25">
      <c r="A256" t="s">
        <v>678</v>
      </c>
      <c r="B256" t="s">
        <v>234</v>
      </c>
      <c r="C256">
        <v>1.9390000000000001</v>
      </c>
      <c r="D256" t="s">
        <v>806</v>
      </c>
      <c r="E256" t="s">
        <v>806</v>
      </c>
      <c r="F256" t="s">
        <v>806</v>
      </c>
      <c r="G256">
        <f t="shared" si="8"/>
        <v>1.9390000000000001</v>
      </c>
      <c r="H256">
        <f t="shared" si="8"/>
        <v>0</v>
      </c>
      <c r="I256">
        <f t="shared" si="8"/>
        <v>0</v>
      </c>
      <c r="J256">
        <f t="shared" si="8"/>
        <v>0</v>
      </c>
      <c r="K256">
        <f t="shared" si="9"/>
        <v>1.9390000000000001</v>
      </c>
      <c r="L256" t="str">
        <f>VLOOKUP(Tabell4[[#This Row],[Nät]],Indexnamn!A:A,1,FALSE)</f>
        <v>Sjulnäs</v>
      </c>
      <c r="M256" t="str">
        <f>IF(ISTEXT(Tabell4[[#This Row],[Indexnamn]]),Tabell4[[#This Row],[Indexnamn]],LOOKUP(Tabell4[[#This Row],[Nät]],Tabell5[Nätnamn],#REF!))</f>
        <v>Sjulnäs</v>
      </c>
      <c r="N256" t="str">
        <f>IF(Tabell4[[#This Row],[Finns i listan ]]=Tabell4[[#This Row],[Indexnamn]],"","NEJ")</f>
        <v/>
      </c>
    </row>
    <row r="257" spans="1:14" x14ac:dyDescent="0.25">
      <c r="A257" t="s">
        <v>791</v>
      </c>
      <c r="C257" t="s">
        <v>805</v>
      </c>
      <c r="D257" t="s">
        <v>805</v>
      </c>
      <c r="E257" t="s">
        <v>805</v>
      </c>
      <c r="F257" t="s">
        <v>805</v>
      </c>
      <c r="G257">
        <f t="shared" si="8"/>
        <v>0</v>
      </c>
      <c r="H257">
        <f t="shared" si="8"/>
        <v>0</v>
      </c>
      <c r="I257">
        <f t="shared" si="8"/>
        <v>0</v>
      </c>
      <c r="J257">
        <f t="shared" si="8"/>
        <v>0</v>
      </c>
      <c r="K257">
        <f t="shared" si="9"/>
        <v>0</v>
      </c>
      <c r="L257" t="e">
        <f>VLOOKUP(Tabell4[[#This Row],[Nät]],Indexnamn!A:A,1,FALSE)</f>
        <v>#N/A</v>
      </c>
      <c r="M257" t="e">
        <f>IF(ISTEXT(Tabell4[[#This Row],[Indexnamn]]),Tabell4[[#This Row],[Indexnamn]],LOOKUP(Tabell4[[#This Row],[Nät]],Tabell5[Nätnamn],#REF!))</f>
        <v>#REF!</v>
      </c>
      <c r="N257" t="e">
        <f>IF(Tabell4[[#This Row],[Finns i listan ]]=Tabell4[[#This Row],[Indexnamn]],"","NEJ")</f>
        <v>#REF!</v>
      </c>
    </row>
    <row r="258" spans="1:14" x14ac:dyDescent="0.25">
      <c r="A258" t="s">
        <v>623</v>
      </c>
      <c r="B258" t="s">
        <v>533</v>
      </c>
      <c r="C258">
        <v>10</v>
      </c>
      <c r="D258" t="s">
        <v>806</v>
      </c>
      <c r="E258" t="s">
        <v>806</v>
      </c>
      <c r="F258" t="s">
        <v>806</v>
      </c>
      <c r="G258">
        <f t="shared" si="8"/>
        <v>10</v>
      </c>
      <c r="H258">
        <f t="shared" si="8"/>
        <v>0</v>
      </c>
      <c r="I258">
        <f t="shared" si="8"/>
        <v>0</v>
      </c>
      <c r="J258">
        <f t="shared" ref="J258:J321" si="10">IF(ISTEXT(F258),0,F258)</f>
        <v>0</v>
      </c>
      <c r="K258">
        <f t="shared" si="9"/>
        <v>10</v>
      </c>
      <c r="L258" t="str">
        <f>VLOOKUP(Tabell4[[#This Row],[Nät]],Indexnamn!A:A,1,FALSE)</f>
        <v>Hammarstrand</v>
      </c>
      <c r="M258" t="str">
        <f>IF(ISTEXT(Tabell4[[#This Row],[Indexnamn]]),Tabell4[[#This Row],[Indexnamn]],LOOKUP(Tabell4[[#This Row],[Nät]],Tabell5[Nätnamn],#REF!))</f>
        <v>Hammarstrand</v>
      </c>
      <c r="N258" t="str">
        <f>IF(Tabell4[[#This Row],[Finns i listan ]]=Tabell4[[#This Row],[Indexnamn]],"","NEJ")</f>
        <v/>
      </c>
    </row>
    <row r="259" spans="1:14" x14ac:dyDescent="0.25">
      <c r="A259" t="s">
        <v>598</v>
      </c>
      <c r="B259" t="s">
        <v>246</v>
      </c>
      <c r="C259" t="s">
        <v>805</v>
      </c>
      <c r="D259" t="s">
        <v>805</v>
      </c>
      <c r="E259" t="s">
        <v>805</v>
      </c>
      <c r="F259" t="s">
        <v>805</v>
      </c>
      <c r="G259">
        <f t="shared" ref="G259:J322" si="11">IF(ISTEXT(C259),0,C259)</f>
        <v>0</v>
      </c>
      <c r="H259">
        <f t="shared" si="11"/>
        <v>0</v>
      </c>
      <c r="I259">
        <f t="shared" si="11"/>
        <v>0</v>
      </c>
      <c r="J259">
        <f t="shared" si="10"/>
        <v>0</v>
      </c>
      <c r="K259">
        <f t="shared" ref="K259:K322" si="12">G259-H259-I259-J259</f>
        <v>0</v>
      </c>
      <c r="L259" t="e">
        <f>VLOOKUP(Tabell4[[#This Row],[Nät]],Indexnamn!A:A,1,FALSE)</f>
        <v>#N/A</v>
      </c>
      <c r="M259" t="e">
        <f>IF(ISTEXT(Tabell4[[#This Row],[Indexnamn]]),Tabell4[[#This Row],[Indexnamn]],LOOKUP(Tabell4[[#This Row],[Nät]],Tabell5[Nätnamn],#REF!))</f>
        <v>#REF!</v>
      </c>
      <c r="N259" t="e">
        <f>IF(Tabell4[[#This Row],[Finns i listan ]]=Tabell4[[#This Row],[Indexnamn]],"","NEJ")</f>
        <v>#REF!</v>
      </c>
    </row>
    <row r="260" spans="1:14" x14ac:dyDescent="0.25">
      <c r="A260" t="s">
        <v>598</v>
      </c>
      <c r="B260" t="s">
        <v>239</v>
      </c>
      <c r="C260" t="s">
        <v>806</v>
      </c>
      <c r="D260" t="s">
        <v>806</v>
      </c>
      <c r="E260" t="s">
        <v>806</v>
      </c>
      <c r="F260" t="s">
        <v>806</v>
      </c>
      <c r="G260">
        <f t="shared" si="11"/>
        <v>0</v>
      </c>
      <c r="H260">
        <f t="shared" si="11"/>
        <v>0</v>
      </c>
      <c r="I260">
        <f t="shared" si="11"/>
        <v>0</v>
      </c>
      <c r="J260">
        <f t="shared" si="10"/>
        <v>0</v>
      </c>
      <c r="K260">
        <f t="shared" si="12"/>
        <v>0</v>
      </c>
      <c r="L260" t="e">
        <f>VLOOKUP(Tabell4[[#This Row],[Nät]],Indexnamn!A:A,1,FALSE)</f>
        <v>#N/A</v>
      </c>
      <c r="M260" t="e">
        <f>IF(ISTEXT(Tabell4[[#This Row],[Indexnamn]]),Tabell4[[#This Row],[Indexnamn]],LOOKUP(Tabell4[[#This Row],[Nät]],Tabell5[Nätnamn],#REF!))</f>
        <v>#REF!</v>
      </c>
      <c r="N260" t="e">
        <f>IF(Tabell4[[#This Row],[Finns i listan ]]=Tabell4[[#This Row],[Indexnamn]],"","NEJ")</f>
        <v>#REF!</v>
      </c>
    </row>
    <row r="261" spans="1:14" x14ac:dyDescent="0.25">
      <c r="A261" t="s">
        <v>598</v>
      </c>
      <c r="B261" t="s">
        <v>241</v>
      </c>
      <c r="C261" t="s">
        <v>805</v>
      </c>
      <c r="D261" t="s">
        <v>805</v>
      </c>
      <c r="E261" t="s">
        <v>805</v>
      </c>
      <c r="F261" t="s">
        <v>805</v>
      </c>
      <c r="G261">
        <f t="shared" si="11"/>
        <v>0</v>
      </c>
      <c r="H261">
        <f t="shared" si="11"/>
        <v>0</v>
      </c>
      <c r="I261">
        <f t="shared" si="11"/>
        <v>0</v>
      </c>
      <c r="J261">
        <f t="shared" si="10"/>
        <v>0</v>
      </c>
      <c r="K261">
        <f t="shared" si="12"/>
        <v>0</v>
      </c>
      <c r="L261" t="str">
        <f>VLOOKUP(Tabell4[[#This Row],[Nät]],Indexnamn!A:A,1,FALSE)</f>
        <v>Gnesta</v>
      </c>
      <c r="M261" t="str">
        <f>IF(ISTEXT(Tabell4[[#This Row],[Indexnamn]]),Tabell4[[#This Row],[Indexnamn]],LOOKUP(Tabell4[[#This Row],[Nät]],Tabell5[Nätnamn],#REF!))</f>
        <v>Gnesta</v>
      </c>
      <c r="N261" t="str">
        <f>IF(Tabell4[[#This Row],[Finns i listan ]]=Tabell4[[#This Row],[Indexnamn]],"","NEJ")</f>
        <v/>
      </c>
    </row>
    <row r="262" spans="1:14" x14ac:dyDescent="0.25">
      <c r="A262" t="s">
        <v>598</v>
      </c>
      <c r="B262" t="s">
        <v>242</v>
      </c>
      <c r="C262" t="s">
        <v>805</v>
      </c>
      <c r="D262" t="s">
        <v>805</v>
      </c>
      <c r="E262" t="s">
        <v>805</v>
      </c>
      <c r="F262" t="s">
        <v>805</v>
      </c>
      <c r="G262">
        <f t="shared" si="11"/>
        <v>0</v>
      </c>
      <c r="H262">
        <f t="shared" si="11"/>
        <v>0</v>
      </c>
      <c r="I262">
        <f t="shared" si="11"/>
        <v>0</v>
      </c>
      <c r="J262">
        <f t="shared" si="10"/>
        <v>0</v>
      </c>
      <c r="K262">
        <f t="shared" si="12"/>
        <v>0</v>
      </c>
      <c r="L262" t="str">
        <f>VLOOKUP(Tabell4[[#This Row],[Nät]],Indexnamn!A:A,1,FALSE)</f>
        <v>Hörby</v>
      </c>
      <c r="M262" t="str">
        <f>IF(ISTEXT(Tabell4[[#This Row],[Indexnamn]]),Tabell4[[#This Row],[Indexnamn]],LOOKUP(Tabell4[[#This Row],[Nät]],Tabell5[Nätnamn],#REF!))</f>
        <v>Hörby</v>
      </c>
      <c r="N262" t="str">
        <f>IF(Tabell4[[#This Row],[Finns i listan ]]=Tabell4[[#This Row],[Indexnamn]],"","NEJ")</f>
        <v/>
      </c>
    </row>
    <row r="263" spans="1:14" x14ac:dyDescent="0.25">
      <c r="A263" t="s">
        <v>598</v>
      </c>
      <c r="B263" t="s">
        <v>243</v>
      </c>
      <c r="C263" t="s">
        <v>805</v>
      </c>
      <c r="D263" t="s">
        <v>805</v>
      </c>
      <c r="E263" t="s">
        <v>805</v>
      </c>
      <c r="F263" t="s">
        <v>805</v>
      </c>
      <c r="G263">
        <f t="shared" si="11"/>
        <v>0</v>
      </c>
      <c r="H263">
        <f t="shared" si="11"/>
        <v>0</v>
      </c>
      <c r="I263">
        <f t="shared" si="11"/>
        <v>0</v>
      </c>
      <c r="J263">
        <f t="shared" si="10"/>
        <v>0</v>
      </c>
      <c r="K263">
        <f t="shared" si="12"/>
        <v>0</v>
      </c>
      <c r="L263" t="str">
        <f>VLOOKUP(Tabell4[[#This Row],[Nät]],Indexnamn!A:A,1,FALSE)</f>
        <v>Höör</v>
      </c>
      <c r="M263" t="str">
        <f>IF(ISTEXT(Tabell4[[#This Row],[Indexnamn]]),Tabell4[[#This Row],[Indexnamn]],LOOKUP(Tabell4[[#This Row],[Nät]],Tabell5[Nätnamn],#REF!))</f>
        <v>Höör</v>
      </c>
      <c r="N263" t="str">
        <f>IF(Tabell4[[#This Row],[Finns i listan ]]=Tabell4[[#This Row],[Indexnamn]],"","NEJ")</f>
        <v/>
      </c>
    </row>
    <row r="264" spans="1:14" x14ac:dyDescent="0.25">
      <c r="A264" t="s">
        <v>598</v>
      </c>
      <c r="B264" t="s">
        <v>244</v>
      </c>
      <c r="C264" t="s">
        <v>805</v>
      </c>
      <c r="D264" t="s">
        <v>805</v>
      </c>
      <c r="E264" t="s">
        <v>805</v>
      </c>
      <c r="F264" t="s">
        <v>805</v>
      </c>
      <c r="G264">
        <f t="shared" si="11"/>
        <v>0</v>
      </c>
      <c r="H264">
        <f t="shared" si="11"/>
        <v>0</v>
      </c>
      <c r="I264">
        <f t="shared" si="11"/>
        <v>0</v>
      </c>
      <c r="J264">
        <f t="shared" si="10"/>
        <v>0</v>
      </c>
      <c r="K264">
        <f t="shared" si="12"/>
        <v>0</v>
      </c>
      <c r="L264" t="str">
        <f>VLOOKUP(Tabell4[[#This Row],[Nät]],Indexnamn!A:A,1,FALSE)</f>
        <v>Sjöbo</v>
      </c>
      <c r="M264" t="str">
        <f>IF(ISTEXT(Tabell4[[#This Row],[Indexnamn]]),Tabell4[[#This Row],[Indexnamn]],LOOKUP(Tabell4[[#This Row],[Nät]],Tabell5[Nätnamn],#REF!))</f>
        <v>Sjöbo</v>
      </c>
      <c r="N264" t="str">
        <f>IF(Tabell4[[#This Row],[Finns i listan ]]=Tabell4[[#This Row],[Indexnamn]],"","NEJ")</f>
        <v/>
      </c>
    </row>
    <row r="265" spans="1:14" x14ac:dyDescent="0.25">
      <c r="A265" t="s">
        <v>598</v>
      </c>
      <c r="B265" t="s">
        <v>247</v>
      </c>
      <c r="C265" t="s">
        <v>805</v>
      </c>
      <c r="D265" t="s">
        <v>805</v>
      </c>
      <c r="E265" t="s">
        <v>805</v>
      </c>
      <c r="F265" t="s">
        <v>805</v>
      </c>
      <c r="G265">
        <f t="shared" si="11"/>
        <v>0</v>
      </c>
      <c r="H265">
        <f t="shared" si="11"/>
        <v>0</v>
      </c>
      <c r="I265">
        <f t="shared" si="11"/>
        <v>0</v>
      </c>
      <c r="J265">
        <f t="shared" si="10"/>
        <v>0</v>
      </c>
      <c r="K265">
        <f t="shared" si="12"/>
        <v>0</v>
      </c>
      <c r="L265" t="e">
        <f>VLOOKUP(Tabell4[[#This Row],[Nät]],Indexnamn!A:A,1,FALSE)</f>
        <v>#N/A</v>
      </c>
      <c r="M265" t="e">
        <f>IF(ISTEXT(Tabell4[[#This Row],[Indexnamn]]),Tabell4[[#This Row],[Indexnamn]],LOOKUP(Tabell4[[#This Row],[Nät]],Tabell5[Nätnamn],#REF!))</f>
        <v>#REF!</v>
      </c>
      <c r="N265" t="e">
        <f>IF(Tabell4[[#This Row],[Finns i listan ]]=Tabell4[[#This Row],[Indexnamn]],"","NEJ")</f>
        <v>#REF!</v>
      </c>
    </row>
    <row r="266" spans="1:14" x14ac:dyDescent="0.25">
      <c r="A266" t="s">
        <v>598</v>
      </c>
      <c r="B266" t="s">
        <v>236</v>
      </c>
      <c r="C266" t="s">
        <v>805</v>
      </c>
      <c r="D266" t="s">
        <v>805</v>
      </c>
      <c r="E266" t="s">
        <v>805</v>
      </c>
      <c r="F266" t="s">
        <v>805</v>
      </c>
      <c r="G266">
        <f t="shared" si="11"/>
        <v>0</v>
      </c>
      <c r="H266">
        <f t="shared" si="11"/>
        <v>0</v>
      </c>
      <c r="I266">
        <f t="shared" si="11"/>
        <v>0</v>
      </c>
      <c r="J266">
        <f t="shared" si="10"/>
        <v>0</v>
      </c>
      <c r="K266">
        <f t="shared" si="12"/>
        <v>0</v>
      </c>
      <c r="L266" t="str">
        <f>VLOOKUP(Tabell4[[#This Row],[Nät]],Indexnamn!A:A,1,FALSE)</f>
        <v>Sunne</v>
      </c>
      <c r="M266" t="str">
        <f>IF(ISTEXT(Tabell4[[#This Row],[Indexnamn]]),Tabell4[[#This Row],[Indexnamn]],LOOKUP(Tabell4[[#This Row],[Nät]],Tabell5[Nätnamn],#REF!))</f>
        <v>Sunne</v>
      </c>
      <c r="N266" t="str">
        <f>IF(Tabell4[[#This Row],[Finns i listan ]]=Tabell4[[#This Row],[Indexnamn]],"","NEJ")</f>
        <v/>
      </c>
    </row>
    <row r="267" spans="1:14" x14ac:dyDescent="0.25">
      <c r="A267" t="s">
        <v>598</v>
      </c>
      <c r="B267" t="s">
        <v>245</v>
      </c>
      <c r="C267" t="s">
        <v>805</v>
      </c>
      <c r="D267" t="s">
        <v>805</v>
      </c>
      <c r="E267" t="s">
        <v>805</v>
      </c>
      <c r="F267" t="s">
        <v>805</v>
      </c>
      <c r="G267">
        <f t="shared" si="11"/>
        <v>0</v>
      </c>
      <c r="H267">
        <f t="shared" si="11"/>
        <v>0</v>
      </c>
      <c r="I267">
        <f t="shared" si="11"/>
        <v>0</v>
      </c>
      <c r="J267">
        <f t="shared" si="10"/>
        <v>0</v>
      </c>
      <c r="K267">
        <f t="shared" si="12"/>
        <v>0</v>
      </c>
      <c r="L267" t="str">
        <f>VLOOKUP(Tabell4[[#This Row],[Nät]],Indexnamn!A:A,1,FALSE)</f>
        <v>Tomelilla</v>
      </c>
      <c r="M267" t="str">
        <f>IF(ISTEXT(Tabell4[[#This Row],[Indexnamn]]),Tabell4[[#This Row],[Indexnamn]],LOOKUP(Tabell4[[#This Row],[Nät]],Tabell5[Nätnamn],#REF!))</f>
        <v>Tomelilla</v>
      </c>
      <c r="N267" t="str">
        <f>IF(Tabell4[[#This Row],[Finns i listan ]]=Tabell4[[#This Row],[Indexnamn]],"","NEJ")</f>
        <v/>
      </c>
    </row>
    <row r="268" spans="1:14" x14ac:dyDescent="0.25">
      <c r="A268" t="s">
        <v>598</v>
      </c>
      <c r="B268" t="s">
        <v>238</v>
      </c>
      <c r="C268" t="s">
        <v>805</v>
      </c>
      <c r="D268" t="s">
        <v>805</v>
      </c>
      <c r="E268" t="s">
        <v>805</v>
      </c>
      <c r="F268" t="s">
        <v>805</v>
      </c>
      <c r="G268">
        <f t="shared" si="11"/>
        <v>0</v>
      </c>
      <c r="H268">
        <f t="shared" si="11"/>
        <v>0</v>
      </c>
      <c r="I268">
        <f t="shared" si="11"/>
        <v>0</v>
      </c>
      <c r="J268">
        <f t="shared" si="10"/>
        <v>0</v>
      </c>
      <c r="K268">
        <f t="shared" si="12"/>
        <v>0</v>
      </c>
      <c r="L268" t="str">
        <f>VLOOKUP(Tabell4[[#This Row],[Nät]],Indexnamn!A:A,1,FALSE)</f>
        <v>Vadstena</v>
      </c>
      <c r="M268" t="str">
        <f>IF(ISTEXT(Tabell4[[#This Row],[Indexnamn]]),Tabell4[[#This Row],[Indexnamn]],LOOKUP(Tabell4[[#This Row],[Nät]],Tabell5[Nätnamn],#REF!))</f>
        <v>Vadstena</v>
      </c>
      <c r="N268" t="str">
        <f>IF(Tabell4[[#This Row],[Finns i listan ]]=Tabell4[[#This Row],[Indexnamn]],"","NEJ")</f>
        <v/>
      </c>
    </row>
    <row r="269" spans="1:14" x14ac:dyDescent="0.25">
      <c r="A269" t="s">
        <v>598</v>
      </c>
      <c r="B269" t="s">
        <v>235</v>
      </c>
      <c r="C269" t="s">
        <v>805</v>
      </c>
      <c r="D269" t="s">
        <v>805</v>
      </c>
      <c r="E269" t="s">
        <v>805</v>
      </c>
      <c r="F269" t="s">
        <v>805</v>
      </c>
      <c r="G269">
        <f t="shared" si="11"/>
        <v>0</v>
      </c>
      <c r="H269">
        <f t="shared" si="11"/>
        <v>0</v>
      </c>
      <c r="I269">
        <f t="shared" si="11"/>
        <v>0</v>
      </c>
      <c r="J269">
        <f t="shared" si="10"/>
        <v>0</v>
      </c>
      <c r="K269">
        <f t="shared" si="12"/>
        <v>0</v>
      </c>
      <c r="L269" t="e">
        <f>VLOOKUP(Tabell4[[#This Row],[Nät]],Indexnamn!A:A,1,FALSE)</f>
        <v>#N/A</v>
      </c>
      <c r="M269" t="e">
        <f>IF(ISTEXT(Tabell4[[#This Row],[Indexnamn]]),Tabell4[[#This Row],[Indexnamn]],LOOKUP(Tabell4[[#This Row],[Nät]],Tabell5[Nätnamn],#REF!))</f>
        <v>#REF!</v>
      </c>
      <c r="N269" t="e">
        <f>IF(Tabell4[[#This Row],[Finns i listan ]]=Tabell4[[#This Row],[Indexnamn]],"","NEJ")</f>
        <v>#REF!</v>
      </c>
    </row>
    <row r="270" spans="1:14" x14ac:dyDescent="0.25">
      <c r="A270" t="s">
        <v>598</v>
      </c>
      <c r="B270" t="s">
        <v>240</v>
      </c>
      <c r="C270" t="s">
        <v>805</v>
      </c>
      <c r="D270" t="s">
        <v>805</v>
      </c>
      <c r="E270" t="s">
        <v>805</v>
      </c>
      <c r="F270" t="s">
        <v>805</v>
      </c>
      <c r="G270">
        <f t="shared" si="11"/>
        <v>0</v>
      </c>
      <c r="H270">
        <f t="shared" si="11"/>
        <v>0</v>
      </c>
      <c r="I270">
        <f t="shared" si="11"/>
        <v>0</v>
      </c>
      <c r="J270">
        <f t="shared" si="10"/>
        <v>0</v>
      </c>
      <c r="K270">
        <f t="shared" si="12"/>
        <v>0</v>
      </c>
      <c r="L270" t="str">
        <f>VLOOKUP(Tabell4[[#This Row],[Nät]],Indexnamn!A:A,1,FALSE)</f>
        <v>Vingåker</v>
      </c>
      <c r="M270" t="str">
        <f>IF(ISTEXT(Tabell4[[#This Row],[Indexnamn]]),Tabell4[[#This Row],[Indexnamn]],LOOKUP(Tabell4[[#This Row],[Nät]],Tabell5[Nätnamn],#REF!))</f>
        <v>Vingåker</v>
      </c>
      <c r="N270" t="str">
        <f>IF(Tabell4[[#This Row],[Finns i listan ]]=Tabell4[[#This Row],[Indexnamn]],"","NEJ")</f>
        <v/>
      </c>
    </row>
    <row r="271" spans="1:14" x14ac:dyDescent="0.25">
      <c r="A271" t="s">
        <v>598</v>
      </c>
      <c r="B271" t="s">
        <v>248</v>
      </c>
      <c r="C271" t="s">
        <v>805</v>
      </c>
      <c r="D271" t="s">
        <v>805</v>
      </c>
      <c r="E271" t="s">
        <v>805</v>
      </c>
      <c r="F271" t="s">
        <v>805</v>
      </c>
      <c r="G271">
        <f t="shared" si="11"/>
        <v>0</v>
      </c>
      <c r="H271">
        <f t="shared" si="11"/>
        <v>0</v>
      </c>
      <c r="I271">
        <f t="shared" si="11"/>
        <v>0</v>
      </c>
      <c r="J271">
        <f t="shared" si="10"/>
        <v>0</v>
      </c>
      <c r="K271">
        <f t="shared" si="12"/>
        <v>0</v>
      </c>
      <c r="L271" t="str">
        <f>VLOOKUP(Tabell4[[#This Row],[Nät]],Indexnamn!A:A,1,FALSE)</f>
        <v>Vårgårda</v>
      </c>
      <c r="M271" t="str">
        <f>IF(ISTEXT(Tabell4[[#This Row],[Indexnamn]]),Tabell4[[#This Row],[Indexnamn]],LOOKUP(Tabell4[[#This Row],[Nät]],Tabell5[Nätnamn],#REF!))</f>
        <v>Vårgårda</v>
      </c>
      <c r="N271" t="str">
        <f>IF(Tabell4[[#This Row],[Finns i listan ]]=Tabell4[[#This Row],[Indexnamn]],"","NEJ")</f>
        <v/>
      </c>
    </row>
    <row r="272" spans="1:14" x14ac:dyDescent="0.25">
      <c r="A272" t="s">
        <v>598</v>
      </c>
      <c r="B272" t="s">
        <v>438</v>
      </c>
      <c r="C272" t="s">
        <v>805</v>
      </c>
      <c r="D272" t="s">
        <v>805</v>
      </c>
      <c r="E272" t="s">
        <v>805</v>
      </c>
      <c r="F272" t="s">
        <v>805</v>
      </c>
      <c r="G272">
        <f t="shared" si="11"/>
        <v>0</v>
      </c>
      <c r="H272">
        <f t="shared" si="11"/>
        <v>0</v>
      </c>
      <c r="I272">
        <f t="shared" si="11"/>
        <v>0</v>
      </c>
      <c r="J272">
        <f t="shared" si="10"/>
        <v>0</v>
      </c>
      <c r="K272">
        <f t="shared" si="12"/>
        <v>0</v>
      </c>
      <c r="L272" t="str">
        <f>VLOOKUP(Tabell4[[#This Row],[Nät]],Indexnamn!A:A,1,FALSE)</f>
        <v>Älvdalen</v>
      </c>
      <c r="M272" t="str">
        <f>IF(ISTEXT(Tabell4[[#This Row],[Indexnamn]]),Tabell4[[#This Row],[Indexnamn]],LOOKUP(Tabell4[[#This Row],[Nät]],Tabell5[Nätnamn],#REF!))</f>
        <v>Älvdalen</v>
      </c>
      <c r="N272" t="str">
        <f>IF(Tabell4[[#This Row],[Finns i listan ]]=Tabell4[[#This Row],[Indexnamn]],"","NEJ")</f>
        <v/>
      </c>
    </row>
    <row r="273" spans="1:14" x14ac:dyDescent="0.25">
      <c r="A273" t="s">
        <v>878</v>
      </c>
      <c r="B273" t="s">
        <v>797</v>
      </c>
      <c r="C273" t="s">
        <v>805</v>
      </c>
      <c r="D273" t="s">
        <v>805</v>
      </c>
      <c r="E273" t="s">
        <v>805</v>
      </c>
      <c r="F273" t="s">
        <v>805</v>
      </c>
      <c r="G273">
        <f t="shared" si="11"/>
        <v>0</v>
      </c>
      <c r="H273">
        <f t="shared" si="11"/>
        <v>0</v>
      </c>
      <c r="I273">
        <f t="shared" si="11"/>
        <v>0</v>
      </c>
      <c r="J273">
        <f t="shared" si="10"/>
        <v>0</v>
      </c>
      <c r="K273">
        <f t="shared" si="12"/>
        <v>0</v>
      </c>
      <c r="L273" t="e">
        <f>VLOOKUP(Tabell4[[#This Row],[Nät]],Indexnamn!A:A,1,FALSE)</f>
        <v>#N/A</v>
      </c>
      <c r="N273" t="e">
        <f>IF(Tabell4[[#This Row],[Finns i listan ]]=Tabell4[[#This Row],[Indexnamn]],"","NEJ")</f>
        <v>#N/A</v>
      </c>
    </row>
    <row r="274" spans="1:14" x14ac:dyDescent="0.25">
      <c r="A274" t="s">
        <v>581</v>
      </c>
      <c r="B274" t="s">
        <v>250</v>
      </c>
      <c r="C274">
        <v>14.4</v>
      </c>
      <c r="D274" t="s">
        <v>806</v>
      </c>
      <c r="E274" t="s">
        <v>806</v>
      </c>
      <c r="F274" t="s">
        <v>806</v>
      </c>
      <c r="G274">
        <f t="shared" si="11"/>
        <v>14.4</v>
      </c>
      <c r="H274">
        <f t="shared" si="11"/>
        <v>0</v>
      </c>
      <c r="I274">
        <f t="shared" si="11"/>
        <v>0</v>
      </c>
      <c r="J274">
        <f t="shared" si="10"/>
        <v>0</v>
      </c>
      <c r="K274">
        <f t="shared" si="12"/>
        <v>14.4</v>
      </c>
      <c r="L274" t="str">
        <f>VLOOKUP(Tabell4[[#This Row],[Nät]],Indexnamn!A:A,1,FALSE)</f>
        <v>Bräkne-Hoby</v>
      </c>
      <c r="M274" t="str">
        <f>IF(ISTEXT(Tabell4[[#This Row],[Indexnamn]]),Tabell4[[#This Row],[Indexnamn]],LOOKUP(Tabell4[[#This Row],[Nät]],Tabell5[Nätnamn],#REF!))</f>
        <v>Bräkne-Hoby</v>
      </c>
      <c r="N274" t="str">
        <f>IF(Tabell4[[#This Row],[Finns i listan ]]=Tabell4[[#This Row],[Indexnamn]],"","NEJ")</f>
        <v/>
      </c>
    </row>
    <row r="275" spans="1:14" x14ac:dyDescent="0.25">
      <c r="A275" t="s">
        <v>581</v>
      </c>
      <c r="B275" t="s">
        <v>414</v>
      </c>
      <c r="C275">
        <v>106.2</v>
      </c>
      <c r="D275" t="s">
        <v>806</v>
      </c>
      <c r="E275" t="s">
        <v>806</v>
      </c>
      <c r="F275" t="s">
        <v>806</v>
      </c>
      <c r="G275">
        <f t="shared" si="11"/>
        <v>106.2</v>
      </c>
      <c r="H275">
        <f t="shared" si="11"/>
        <v>0</v>
      </c>
      <c r="I275">
        <f t="shared" si="11"/>
        <v>0</v>
      </c>
      <c r="J275">
        <f t="shared" si="10"/>
        <v>0</v>
      </c>
      <c r="K275">
        <f t="shared" si="12"/>
        <v>106.2</v>
      </c>
      <c r="L275" t="str">
        <f>VLOOKUP(Tabell4[[#This Row],[Nät]],Indexnamn!A:A,1,FALSE)</f>
        <v>Ronneby-Kallinge</v>
      </c>
      <c r="M275" t="str">
        <f>IF(ISTEXT(Tabell4[[#This Row],[Indexnamn]]),Tabell4[[#This Row],[Indexnamn]],LOOKUP(Tabell4[[#This Row],[Nät]],Tabell5[Nätnamn],#REF!))</f>
        <v>Ronneby-Kallinge</v>
      </c>
      <c r="N275" t="str">
        <f>IF(Tabell4[[#This Row],[Finns i listan ]]=Tabell4[[#This Row],[Indexnamn]],"","NEJ")</f>
        <v/>
      </c>
    </row>
    <row r="276" spans="1:14" x14ac:dyDescent="0.25">
      <c r="A276" t="s">
        <v>690</v>
      </c>
      <c r="B276" t="s">
        <v>252</v>
      </c>
      <c r="C276" t="s">
        <v>805</v>
      </c>
      <c r="D276" t="s">
        <v>805</v>
      </c>
      <c r="E276" t="s">
        <v>805</v>
      </c>
      <c r="F276" t="s">
        <v>805</v>
      </c>
      <c r="G276">
        <f t="shared" si="11"/>
        <v>0</v>
      </c>
      <c r="H276">
        <f t="shared" si="11"/>
        <v>0</v>
      </c>
      <c r="I276">
        <f t="shared" si="11"/>
        <v>0</v>
      </c>
      <c r="J276">
        <f t="shared" si="10"/>
        <v>0</v>
      </c>
      <c r="K276">
        <f t="shared" si="12"/>
        <v>0</v>
      </c>
      <c r="L276" t="str">
        <f>VLOOKUP(Tabell4[[#This Row],[Nät]],Indexnamn!A:A,1,FALSE)</f>
        <v>Rättvik</v>
      </c>
      <c r="M276" t="str">
        <f>IF(ISTEXT(Tabell4[[#This Row],[Indexnamn]]),Tabell4[[#This Row],[Indexnamn]],LOOKUP(Tabell4[[#This Row],[Nät]],Tabell5[Nätnamn],#REF!))</f>
        <v>Rättvik</v>
      </c>
      <c r="N276" t="str">
        <f>IF(Tabell4[[#This Row],[Finns i listan ]]=Tabell4[[#This Row],[Indexnamn]],"","NEJ")</f>
        <v/>
      </c>
    </row>
    <row r="277" spans="1:14" x14ac:dyDescent="0.25">
      <c r="A277" t="s">
        <v>625</v>
      </c>
      <c r="B277" t="s">
        <v>693</v>
      </c>
      <c r="C277">
        <v>147.9</v>
      </c>
      <c r="D277" t="s">
        <v>806</v>
      </c>
      <c r="E277" t="s">
        <v>806</v>
      </c>
      <c r="F277" t="s">
        <v>806</v>
      </c>
      <c r="G277">
        <f t="shared" si="11"/>
        <v>147.9</v>
      </c>
      <c r="H277">
        <f t="shared" si="11"/>
        <v>0</v>
      </c>
      <c r="I277">
        <f t="shared" si="11"/>
        <v>0</v>
      </c>
      <c r="J277">
        <f t="shared" si="10"/>
        <v>0</v>
      </c>
      <c r="K277">
        <f t="shared" si="12"/>
        <v>147.9</v>
      </c>
      <c r="L277" t="str">
        <f>VLOOKUP(Tabell4[[#This Row],[Nät]],Indexnamn!A:A,1,FALSE)</f>
        <v>Sala-Heby</v>
      </c>
      <c r="M277" t="str">
        <f>IF(ISTEXT(Tabell4[[#This Row],[Indexnamn]]),Tabell4[[#This Row],[Indexnamn]],LOOKUP(Tabell4[[#This Row],[Nät]],Tabell5[Nätnamn],#REF!))</f>
        <v>Sala-Heby</v>
      </c>
      <c r="N277" t="str">
        <f>IF(Tabell4[[#This Row],[Finns i listan ]]=Tabell4[[#This Row],[Indexnamn]],"","NEJ")</f>
        <v/>
      </c>
    </row>
    <row r="278" spans="1:14" x14ac:dyDescent="0.25">
      <c r="A278" t="s">
        <v>694</v>
      </c>
      <c r="B278" t="s">
        <v>255</v>
      </c>
      <c r="C278">
        <v>228</v>
      </c>
      <c r="D278" t="s">
        <v>806</v>
      </c>
      <c r="E278" t="s">
        <v>806</v>
      </c>
      <c r="F278" t="s">
        <v>806</v>
      </c>
      <c r="G278">
        <f t="shared" si="11"/>
        <v>228</v>
      </c>
      <c r="H278">
        <f t="shared" si="11"/>
        <v>0</v>
      </c>
      <c r="I278">
        <f t="shared" si="11"/>
        <v>0</v>
      </c>
      <c r="J278">
        <f t="shared" si="10"/>
        <v>0</v>
      </c>
      <c r="K278">
        <f t="shared" si="12"/>
        <v>228</v>
      </c>
      <c r="L278" t="str">
        <f>VLOOKUP(Tabell4[[#This Row],[Nät]],Indexnamn!A:A,1,FALSE)</f>
        <v>Sandviken</v>
      </c>
      <c r="M278" t="str">
        <f>IF(ISTEXT(Tabell4[[#This Row],[Indexnamn]]),Tabell4[[#This Row],[Indexnamn]],LOOKUP(Tabell4[[#This Row],[Nät]],Tabell5[Nätnamn],#REF!))</f>
        <v>Sandviken</v>
      </c>
      <c r="N278" t="str">
        <f>IF(Tabell4[[#This Row],[Finns i listan ]]=Tabell4[[#This Row],[Indexnamn]],"","NEJ")</f>
        <v/>
      </c>
    </row>
    <row r="279" spans="1:14" x14ac:dyDescent="0.25">
      <c r="A279" t="s">
        <v>696</v>
      </c>
      <c r="B279" t="s">
        <v>256</v>
      </c>
      <c r="C279">
        <v>88.8</v>
      </c>
      <c r="D279" t="s">
        <v>806</v>
      </c>
      <c r="E279" t="s">
        <v>806</v>
      </c>
      <c r="F279" t="s">
        <v>806</v>
      </c>
      <c r="G279">
        <f t="shared" si="11"/>
        <v>88.8</v>
      </c>
      <c r="H279">
        <f t="shared" si="11"/>
        <v>0</v>
      </c>
      <c r="I279">
        <f t="shared" si="11"/>
        <v>0</v>
      </c>
      <c r="J279">
        <f t="shared" si="10"/>
        <v>0</v>
      </c>
      <c r="K279">
        <f t="shared" si="12"/>
        <v>88.8</v>
      </c>
      <c r="L279" t="str">
        <f>VLOOKUP(Tabell4[[#This Row],[Nät]],Indexnamn!A:A,1,FALSE)</f>
        <v>Skara</v>
      </c>
      <c r="M279" t="str">
        <f>IF(ISTEXT(Tabell4[[#This Row],[Indexnamn]]),Tabell4[[#This Row],[Indexnamn]],LOOKUP(Tabell4[[#This Row],[Nät]],Tabell5[Nätnamn],#REF!))</f>
        <v>Skara</v>
      </c>
      <c r="N279" t="str">
        <f>IF(Tabell4[[#This Row],[Finns i listan ]]=Tabell4[[#This Row],[Indexnamn]],"","NEJ")</f>
        <v/>
      </c>
    </row>
    <row r="280" spans="1:14" x14ac:dyDescent="0.25">
      <c r="A280" t="s">
        <v>571</v>
      </c>
      <c r="B280" t="s">
        <v>263</v>
      </c>
      <c r="C280">
        <v>7.9630000000000001</v>
      </c>
      <c r="D280" t="s">
        <v>806</v>
      </c>
      <c r="E280" t="s">
        <v>806</v>
      </c>
      <c r="F280" t="s">
        <v>806</v>
      </c>
      <c r="G280">
        <f t="shared" si="11"/>
        <v>7.9630000000000001</v>
      </c>
      <c r="H280">
        <f t="shared" si="11"/>
        <v>0</v>
      </c>
      <c r="I280">
        <f t="shared" si="11"/>
        <v>0</v>
      </c>
      <c r="J280">
        <f t="shared" si="10"/>
        <v>0</v>
      </c>
      <c r="K280">
        <f t="shared" si="12"/>
        <v>7.9630000000000001</v>
      </c>
      <c r="L280" t="str">
        <f>VLOOKUP(Tabell4[[#This Row],[Nät]],Indexnamn!A:A,1,FALSE)</f>
        <v>Boliden</v>
      </c>
      <c r="M280" t="str">
        <f>IF(ISTEXT(Tabell4[[#This Row],[Indexnamn]]),Tabell4[[#This Row],[Indexnamn]],LOOKUP(Tabell4[[#This Row],[Nät]],Tabell5[Nätnamn],#REF!))</f>
        <v>Boliden</v>
      </c>
      <c r="N280" t="str">
        <f>IF(Tabell4[[#This Row],[Finns i listan ]]=Tabell4[[#This Row],[Indexnamn]],"","NEJ")</f>
        <v/>
      </c>
    </row>
    <row r="281" spans="1:14" x14ac:dyDescent="0.25">
      <c r="A281" t="s">
        <v>571</v>
      </c>
      <c r="B281" t="s">
        <v>264</v>
      </c>
      <c r="C281">
        <v>8.0190000000000001</v>
      </c>
      <c r="D281" t="s">
        <v>806</v>
      </c>
      <c r="E281" t="s">
        <v>806</v>
      </c>
      <c r="F281" t="s">
        <v>806</v>
      </c>
      <c r="G281">
        <f t="shared" si="11"/>
        <v>8.0190000000000001</v>
      </c>
      <c r="H281">
        <f t="shared" si="11"/>
        <v>0</v>
      </c>
      <c r="I281">
        <f t="shared" si="11"/>
        <v>0</v>
      </c>
      <c r="J281">
        <f t="shared" si="10"/>
        <v>0</v>
      </c>
      <c r="K281">
        <f t="shared" si="12"/>
        <v>8.0190000000000001</v>
      </c>
      <c r="L281" t="str">
        <f>VLOOKUP(Tabell4[[#This Row],[Nät]],Indexnamn!A:A,1,FALSE)</f>
        <v>Bureå</v>
      </c>
      <c r="M281" t="str">
        <f>IF(ISTEXT(Tabell4[[#This Row],[Indexnamn]]),Tabell4[[#This Row],[Indexnamn]],LOOKUP(Tabell4[[#This Row],[Nät]],Tabell5[Nätnamn],#REF!))</f>
        <v>Bureå</v>
      </c>
      <c r="N281" t="str">
        <f>IF(Tabell4[[#This Row],[Finns i listan ]]=Tabell4[[#This Row],[Indexnamn]],"","NEJ")</f>
        <v/>
      </c>
    </row>
    <row r="282" spans="1:14" x14ac:dyDescent="0.25">
      <c r="A282" t="s">
        <v>571</v>
      </c>
      <c r="B282" t="s">
        <v>265</v>
      </c>
      <c r="C282">
        <v>15.135999999999999</v>
      </c>
      <c r="D282" t="s">
        <v>806</v>
      </c>
      <c r="E282" t="s">
        <v>806</v>
      </c>
      <c r="F282" t="s">
        <v>806</v>
      </c>
      <c r="G282">
        <f t="shared" si="11"/>
        <v>15.135999999999999</v>
      </c>
      <c r="H282">
        <f t="shared" si="11"/>
        <v>0</v>
      </c>
      <c r="I282">
        <f t="shared" si="11"/>
        <v>0</v>
      </c>
      <c r="J282">
        <f t="shared" si="10"/>
        <v>0</v>
      </c>
      <c r="K282">
        <f t="shared" si="12"/>
        <v>15.135999999999999</v>
      </c>
      <c r="L282" t="str">
        <f>VLOOKUP(Tabell4[[#This Row],[Nät]],Indexnamn!A:A,1,FALSE)</f>
        <v>Burträsk</v>
      </c>
      <c r="M282" t="str">
        <f>IF(ISTEXT(Tabell4[[#This Row],[Indexnamn]]),Tabell4[[#This Row],[Indexnamn]],LOOKUP(Tabell4[[#This Row],[Nät]],Tabell5[Nätnamn],#REF!))</f>
        <v>Burträsk</v>
      </c>
      <c r="N282" t="str">
        <f>IF(Tabell4[[#This Row],[Finns i listan ]]=Tabell4[[#This Row],[Indexnamn]],"","NEJ")</f>
        <v/>
      </c>
    </row>
    <row r="283" spans="1:14" x14ac:dyDescent="0.25">
      <c r="A283" t="s">
        <v>571</v>
      </c>
      <c r="B283" t="s">
        <v>266</v>
      </c>
      <c r="C283">
        <v>10.656000000000001</v>
      </c>
      <c r="D283" t="s">
        <v>806</v>
      </c>
      <c r="E283" t="s">
        <v>806</v>
      </c>
      <c r="F283" t="s">
        <v>806</v>
      </c>
      <c r="G283">
        <f t="shared" si="11"/>
        <v>10.656000000000001</v>
      </c>
      <c r="H283">
        <f t="shared" si="11"/>
        <v>0</v>
      </c>
      <c r="I283">
        <f t="shared" si="11"/>
        <v>0</v>
      </c>
      <c r="J283">
        <f t="shared" si="10"/>
        <v>0</v>
      </c>
      <c r="K283">
        <f t="shared" si="12"/>
        <v>10.656000000000001</v>
      </c>
      <c r="L283" t="str">
        <f>VLOOKUP(Tabell4[[#This Row],[Nät]],Indexnamn!A:A,1,FALSE)</f>
        <v>Byske</v>
      </c>
      <c r="M283" t="str">
        <f>IF(ISTEXT(Tabell4[[#This Row],[Indexnamn]]),Tabell4[[#This Row],[Indexnamn]],LOOKUP(Tabell4[[#This Row],[Nät]],Tabell5[Nätnamn],#REF!))</f>
        <v>Byske</v>
      </c>
      <c r="N283" t="str">
        <f>IF(Tabell4[[#This Row],[Finns i listan ]]=Tabell4[[#This Row],[Indexnamn]],"","NEJ")</f>
        <v/>
      </c>
    </row>
    <row r="284" spans="1:14" x14ac:dyDescent="0.25">
      <c r="A284" t="s">
        <v>571</v>
      </c>
      <c r="B284" t="s">
        <v>267</v>
      </c>
      <c r="C284">
        <v>6.6070000000000002</v>
      </c>
      <c r="D284" t="s">
        <v>806</v>
      </c>
      <c r="E284" t="s">
        <v>806</v>
      </c>
      <c r="F284" t="s">
        <v>806</v>
      </c>
      <c r="G284">
        <f t="shared" si="11"/>
        <v>6.6070000000000002</v>
      </c>
      <c r="H284">
        <f t="shared" si="11"/>
        <v>0</v>
      </c>
      <c r="I284">
        <f t="shared" si="11"/>
        <v>0</v>
      </c>
      <c r="J284">
        <f t="shared" si="10"/>
        <v>0</v>
      </c>
      <c r="K284">
        <f t="shared" si="12"/>
        <v>6.6070000000000002</v>
      </c>
      <c r="L284" t="str">
        <f>VLOOKUP(Tabell4[[#This Row],[Nät]],Indexnamn!A:A,1,FALSE)</f>
        <v>Jörn</v>
      </c>
      <c r="M284" t="str">
        <f>IF(ISTEXT(Tabell4[[#This Row],[Indexnamn]]),Tabell4[[#This Row],[Indexnamn]],LOOKUP(Tabell4[[#This Row],[Nät]],Tabell5[Nätnamn],#REF!))</f>
        <v>Jörn</v>
      </c>
      <c r="N284" t="str">
        <f>IF(Tabell4[[#This Row],[Finns i listan ]]=Tabell4[[#This Row],[Indexnamn]],"","NEJ")</f>
        <v/>
      </c>
    </row>
    <row r="285" spans="1:14" x14ac:dyDescent="0.25">
      <c r="A285" t="s">
        <v>571</v>
      </c>
      <c r="B285" t="s">
        <v>652</v>
      </c>
      <c r="C285" t="s">
        <v>806</v>
      </c>
      <c r="D285" t="s">
        <v>806</v>
      </c>
      <c r="E285" t="s">
        <v>806</v>
      </c>
      <c r="F285" t="s">
        <v>806</v>
      </c>
      <c r="G285">
        <f t="shared" si="11"/>
        <v>0</v>
      </c>
      <c r="H285">
        <f t="shared" si="11"/>
        <v>0</v>
      </c>
      <c r="I285">
        <f t="shared" si="11"/>
        <v>0</v>
      </c>
      <c r="J285">
        <f t="shared" si="10"/>
        <v>0</v>
      </c>
      <c r="K285">
        <f t="shared" si="12"/>
        <v>0</v>
      </c>
      <c r="L285" t="e">
        <f>VLOOKUP(Tabell4[[#This Row],[Nät]],Indexnamn!A:A,1,FALSE)</f>
        <v>#N/A</v>
      </c>
      <c r="N285" t="e">
        <f>IF(Tabell4[[#This Row],[Finns i listan ]]=Tabell4[[#This Row],[Indexnamn]],"","NEJ")</f>
        <v>#N/A</v>
      </c>
    </row>
    <row r="286" spans="1:14" x14ac:dyDescent="0.25">
      <c r="A286" t="s">
        <v>571</v>
      </c>
      <c r="B286" t="s">
        <v>269</v>
      </c>
      <c r="C286">
        <v>5.29</v>
      </c>
      <c r="D286" t="s">
        <v>806</v>
      </c>
      <c r="E286" t="s">
        <v>806</v>
      </c>
      <c r="F286" t="s">
        <v>806</v>
      </c>
      <c r="G286">
        <f t="shared" si="11"/>
        <v>5.29</v>
      </c>
      <c r="H286">
        <f t="shared" si="11"/>
        <v>0</v>
      </c>
      <c r="I286">
        <f t="shared" si="11"/>
        <v>0</v>
      </c>
      <c r="J286">
        <f t="shared" si="10"/>
        <v>0</v>
      </c>
      <c r="K286">
        <f t="shared" si="12"/>
        <v>5.29</v>
      </c>
      <c r="L286" t="str">
        <f>VLOOKUP(Tabell4[[#This Row],[Nät]],Indexnamn!A:A,1,FALSE)</f>
        <v>Kåge</v>
      </c>
      <c r="M286" t="str">
        <f>IF(ISTEXT(Tabell4[[#This Row],[Indexnamn]]),Tabell4[[#This Row],[Indexnamn]],LOOKUP(Tabell4[[#This Row],[Nät]],Tabell5[Nätnamn],#REF!))</f>
        <v>Kåge</v>
      </c>
      <c r="N286" t="str">
        <f>IF(Tabell4[[#This Row],[Finns i listan ]]=Tabell4[[#This Row],[Indexnamn]],"","NEJ")</f>
        <v/>
      </c>
    </row>
    <row r="287" spans="1:14" x14ac:dyDescent="0.25">
      <c r="A287" t="s">
        <v>571</v>
      </c>
      <c r="B287" t="s">
        <v>270</v>
      </c>
      <c r="C287">
        <v>2.6859999999999999</v>
      </c>
      <c r="D287" t="s">
        <v>806</v>
      </c>
      <c r="E287" t="s">
        <v>806</v>
      </c>
      <c r="F287" t="s">
        <v>806</v>
      </c>
      <c r="G287">
        <f t="shared" si="11"/>
        <v>2.6859999999999999</v>
      </c>
      <c r="H287">
        <f t="shared" si="11"/>
        <v>0</v>
      </c>
      <c r="I287">
        <f t="shared" si="11"/>
        <v>0</v>
      </c>
      <c r="J287">
        <f t="shared" si="10"/>
        <v>0</v>
      </c>
      <c r="K287">
        <f t="shared" si="12"/>
        <v>2.6859999999999999</v>
      </c>
      <c r="L287" t="str">
        <f>VLOOKUP(Tabell4[[#This Row],[Nät]],Indexnamn!A:A,1,FALSE)</f>
        <v>Lidbacken</v>
      </c>
      <c r="M287" t="str">
        <f>IF(ISTEXT(Tabell4[[#This Row],[Indexnamn]]),Tabell4[[#This Row],[Indexnamn]],LOOKUP(Tabell4[[#This Row],[Nät]],Tabell5[Nätnamn],#REF!))</f>
        <v>Lidbacken</v>
      </c>
      <c r="N287" t="str">
        <f>IF(Tabell4[[#This Row],[Finns i listan ]]=Tabell4[[#This Row],[Indexnamn]],"","NEJ")</f>
        <v/>
      </c>
    </row>
    <row r="288" spans="1:14" x14ac:dyDescent="0.25">
      <c r="A288" t="s">
        <v>571</v>
      </c>
      <c r="B288" t="s">
        <v>259</v>
      </c>
      <c r="C288">
        <v>102.57599999999999</v>
      </c>
      <c r="D288" t="s">
        <v>806</v>
      </c>
      <c r="E288" t="s">
        <v>806</v>
      </c>
      <c r="F288" t="s">
        <v>806</v>
      </c>
      <c r="G288">
        <f t="shared" si="11"/>
        <v>102.57599999999999</v>
      </c>
      <c r="H288">
        <f t="shared" si="11"/>
        <v>0</v>
      </c>
      <c r="I288">
        <f t="shared" si="11"/>
        <v>0</v>
      </c>
      <c r="J288">
        <f t="shared" si="10"/>
        <v>0</v>
      </c>
      <c r="K288">
        <f t="shared" si="12"/>
        <v>102.57599999999999</v>
      </c>
      <c r="L288" t="str">
        <f>VLOOKUP(Tabell4[[#This Row],[Nät]],Indexnamn!A:A,1,FALSE)</f>
        <v>Lycksele</v>
      </c>
      <c r="M288" t="str">
        <f>IF(ISTEXT(Tabell4[[#This Row],[Indexnamn]]),Tabell4[[#This Row],[Indexnamn]],LOOKUP(Tabell4[[#This Row],[Nät]],Tabell5[Nätnamn],#REF!))</f>
        <v>Lycksele</v>
      </c>
      <c r="N288" t="str">
        <f>IF(Tabell4[[#This Row],[Finns i listan ]]=Tabell4[[#This Row],[Indexnamn]],"","NEJ")</f>
        <v/>
      </c>
    </row>
    <row r="289" spans="1:14" x14ac:dyDescent="0.25">
      <c r="A289" t="s">
        <v>571</v>
      </c>
      <c r="B289" t="s">
        <v>271</v>
      </c>
      <c r="C289">
        <v>3.2730000000000001</v>
      </c>
      <c r="D289" t="s">
        <v>806</v>
      </c>
      <c r="E289" t="s">
        <v>806</v>
      </c>
      <c r="F289" t="s">
        <v>806</v>
      </c>
      <c r="G289">
        <f t="shared" si="11"/>
        <v>3.2730000000000001</v>
      </c>
      <c r="H289">
        <f t="shared" si="11"/>
        <v>0</v>
      </c>
      <c r="I289">
        <f t="shared" si="11"/>
        <v>0</v>
      </c>
      <c r="J289">
        <f t="shared" si="10"/>
        <v>0</v>
      </c>
      <c r="K289">
        <f t="shared" si="12"/>
        <v>3.2730000000000001</v>
      </c>
      <c r="L289" t="str">
        <f>VLOOKUP(Tabell4[[#This Row],[Nät]],Indexnamn!A:A,1,FALSE)</f>
        <v>Lövånger</v>
      </c>
      <c r="M289" t="str">
        <f>IF(ISTEXT(Tabell4[[#This Row],[Indexnamn]]),Tabell4[[#This Row],[Indexnamn]],LOOKUP(Tabell4[[#This Row],[Nät]],Tabell5[Nätnamn],#REF!))</f>
        <v>Lövånger</v>
      </c>
      <c r="N289" t="str">
        <f>IF(Tabell4[[#This Row],[Finns i listan ]]=Tabell4[[#This Row],[Indexnamn]],"","NEJ")</f>
        <v/>
      </c>
    </row>
    <row r="290" spans="1:14" x14ac:dyDescent="0.25">
      <c r="A290" t="s">
        <v>571</v>
      </c>
      <c r="B290" t="s">
        <v>257</v>
      </c>
      <c r="C290">
        <v>80.331999999999994</v>
      </c>
      <c r="D290" t="s">
        <v>806</v>
      </c>
      <c r="E290" t="s">
        <v>806</v>
      </c>
      <c r="F290" t="s">
        <v>806</v>
      </c>
      <c r="G290">
        <f t="shared" si="11"/>
        <v>80.331999999999994</v>
      </c>
      <c r="H290">
        <f t="shared" si="11"/>
        <v>0</v>
      </c>
      <c r="I290">
        <f t="shared" si="11"/>
        <v>0</v>
      </c>
      <c r="J290">
        <f t="shared" si="10"/>
        <v>0</v>
      </c>
      <c r="K290">
        <f t="shared" si="12"/>
        <v>80.331999999999994</v>
      </c>
      <c r="L290" t="str">
        <f>VLOOKUP(Tabell4[[#This Row],[Nät]],Indexnamn!A:A,1,FALSE)</f>
        <v>Malå</v>
      </c>
      <c r="M290" t="str">
        <f>IF(ISTEXT(Tabell4[[#This Row],[Indexnamn]]),Tabell4[[#This Row],[Indexnamn]],LOOKUP(Tabell4[[#This Row],[Nät]],Tabell5[Nätnamn],#REF!))</f>
        <v>Malå</v>
      </c>
      <c r="N290" t="str">
        <f>IF(Tabell4[[#This Row],[Finns i listan ]]=Tabell4[[#This Row],[Indexnamn]],"","NEJ")</f>
        <v/>
      </c>
    </row>
    <row r="291" spans="1:14" x14ac:dyDescent="0.25">
      <c r="A291" t="s">
        <v>571</v>
      </c>
      <c r="B291" t="s">
        <v>258</v>
      </c>
      <c r="C291">
        <v>13.19</v>
      </c>
      <c r="D291" t="s">
        <v>806</v>
      </c>
      <c r="E291" t="s">
        <v>806</v>
      </c>
      <c r="F291" t="s">
        <v>806</v>
      </c>
      <c r="G291">
        <f t="shared" si="11"/>
        <v>13.19</v>
      </c>
      <c r="H291">
        <f t="shared" si="11"/>
        <v>0</v>
      </c>
      <c r="I291">
        <f t="shared" si="11"/>
        <v>0</v>
      </c>
      <c r="J291">
        <f t="shared" si="10"/>
        <v>0</v>
      </c>
      <c r="K291">
        <f t="shared" si="12"/>
        <v>13.19</v>
      </c>
      <c r="L291" t="str">
        <f>VLOOKUP(Tabell4[[#This Row],[Nät]],Indexnamn!A:A,1,FALSE)</f>
        <v>Norsjö</v>
      </c>
      <c r="M291" t="str">
        <f>IF(ISTEXT(Tabell4[[#This Row],[Indexnamn]]),Tabell4[[#This Row],[Indexnamn]],LOOKUP(Tabell4[[#This Row],[Nät]],Tabell5[Nätnamn],#REF!))</f>
        <v>Norsjö</v>
      </c>
      <c r="N291" t="str">
        <f>IF(Tabell4[[#This Row],[Finns i listan ]]=Tabell4[[#This Row],[Indexnamn]],"","NEJ")</f>
        <v/>
      </c>
    </row>
    <row r="292" spans="1:14" x14ac:dyDescent="0.25">
      <c r="A292" t="s">
        <v>571</v>
      </c>
      <c r="B292" t="s">
        <v>262</v>
      </c>
      <c r="C292">
        <v>10.973000000000001</v>
      </c>
      <c r="D292" t="s">
        <v>806</v>
      </c>
      <c r="E292" t="s">
        <v>806</v>
      </c>
      <c r="F292" t="s">
        <v>806</v>
      </c>
      <c r="G292">
        <f t="shared" si="11"/>
        <v>10.973000000000001</v>
      </c>
      <c r="H292">
        <f t="shared" si="11"/>
        <v>0</v>
      </c>
      <c r="I292">
        <f t="shared" si="11"/>
        <v>0</v>
      </c>
      <c r="J292">
        <f t="shared" si="10"/>
        <v>0</v>
      </c>
      <c r="K292">
        <f t="shared" si="12"/>
        <v>10.973000000000001</v>
      </c>
      <c r="L292" t="str">
        <f>VLOOKUP(Tabell4[[#This Row],[Nät]],Indexnamn!A:A,1,FALSE)</f>
        <v>Robertsfors</v>
      </c>
      <c r="M292" t="str">
        <f>IF(ISTEXT(Tabell4[[#This Row],[Indexnamn]]),Tabell4[[#This Row],[Indexnamn]],LOOKUP(Tabell4[[#This Row],[Nät]],Tabell5[Nätnamn],#REF!))</f>
        <v>Robertsfors</v>
      </c>
      <c r="N292" t="str">
        <f>IF(Tabell4[[#This Row],[Finns i listan ]]=Tabell4[[#This Row],[Indexnamn]],"","NEJ")</f>
        <v/>
      </c>
    </row>
    <row r="293" spans="1:14" x14ac:dyDescent="0.25">
      <c r="A293" t="s">
        <v>571</v>
      </c>
      <c r="B293" t="s">
        <v>261</v>
      </c>
      <c r="C293">
        <v>324.74</v>
      </c>
      <c r="D293" t="s">
        <v>806</v>
      </c>
      <c r="E293" t="s">
        <v>806</v>
      </c>
      <c r="F293" t="s">
        <v>806</v>
      </c>
      <c r="G293">
        <f t="shared" si="11"/>
        <v>324.74</v>
      </c>
      <c r="H293">
        <f t="shared" si="11"/>
        <v>0</v>
      </c>
      <c r="I293">
        <f t="shared" si="11"/>
        <v>0</v>
      </c>
      <c r="J293">
        <f t="shared" si="10"/>
        <v>0</v>
      </c>
      <c r="K293">
        <f t="shared" si="12"/>
        <v>324.74</v>
      </c>
      <c r="L293" t="str">
        <f>VLOOKUP(Tabell4[[#This Row],[Nät]],Indexnamn!A:A,1,FALSE)</f>
        <v>Skellefteå</v>
      </c>
      <c r="M293" t="str">
        <f>IF(ISTEXT(Tabell4[[#This Row],[Indexnamn]]),Tabell4[[#This Row],[Indexnamn]],LOOKUP(Tabell4[[#This Row],[Nät]],Tabell5[Nätnamn],#REF!))</f>
        <v>Skellefteå</v>
      </c>
      <c r="N293" t="str">
        <f>IF(Tabell4[[#This Row],[Finns i listan ]]=Tabell4[[#This Row],[Indexnamn]],"","NEJ")</f>
        <v/>
      </c>
    </row>
    <row r="294" spans="1:14" x14ac:dyDescent="0.25">
      <c r="A294" t="s">
        <v>571</v>
      </c>
      <c r="B294" t="s">
        <v>272</v>
      </c>
      <c r="C294">
        <v>29.978000000000002</v>
      </c>
      <c r="D294" t="s">
        <v>806</v>
      </c>
      <c r="E294" t="s">
        <v>806</v>
      </c>
      <c r="F294" t="s">
        <v>806</v>
      </c>
      <c r="G294">
        <f t="shared" si="11"/>
        <v>29.978000000000002</v>
      </c>
      <c r="H294">
        <f t="shared" si="11"/>
        <v>0</v>
      </c>
      <c r="I294">
        <f t="shared" si="11"/>
        <v>0</v>
      </c>
      <c r="J294">
        <f t="shared" si="10"/>
        <v>0</v>
      </c>
      <c r="K294">
        <f t="shared" si="12"/>
        <v>29.978000000000002</v>
      </c>
      <c r="L294" t="str">
        <f>VLOOKUP(Tabell4[[#This Row],[Nät]],Indexnamn!A:A,1,FALSE)</f>
        <v>Storuman</v>
      </c>
      <c r="M294" t="str">
        <f>IF(ISTEXT(Tabell4[[#This Row],[Indexnamn]]),Tabell4[[#This Row],[Indexnamn]],LOOKUP(Tabell4[[#This Row],[Nät]],Tabell5[Nätnamn],#REF!))</f>
        <v>Storuman</v>
      </c>
      <c r="N294" t="str">
        <f>IF(Tabell4[[#This Row],[Finns i listan ]]=Tabell4[[#This Row],[Indexnamn]],"","NEJ")</f>
        <v/>
      </c>
    </row>
    <row r="295" spans="1:14" x14ac:dyDescent="0.25">
      <c r="A295" t="s">
        <v>571</v>
      </c>
      <c r="B295" t="s">
        <v>273</v>
      </c>
      <c r="C295">
        <v>31.149000000000001</v>
      </c>
      <c r="D295" t="s">
        <v>806</v>
      </c>
      <c r="E295" t="s">
        <v>806</v>
      </c>
      <c r="F295" t="s">
        <v>806</v>
      </c>
      <c r="G295">
        <f t="shared" si="11"/>
        <v>31.149000000000001</v>
      </c>
      <c r="H295">
        <f t="shared" si="11"/>
        <v>0</v>
      </c>
      <c r="I295">
        <f t="shared" si="11"/>
        <v>0</v>
      </c>
      <c r="J295">
        <f t="shared" si="10"/>
        <v>0</v>
      </c>
      <c r="K295">
        <f t="shared" si="12"/>
        <v>31.149000000000001</v>
      </c>
      <c r="L295" t="str">
        <f>VLOOKUP(Tabell4[[#This Row],[Nät]],Indexnamn!A:A,1,FALSE)</f>
        <v>Ursviken-Skelleftehamn</v>
      </c>
      <c r="M295" t="str">
        <f>IF(ISTEXT(Tabell4[[#This Row],[Indexnamn]]),Tabell4[[#This Row],[Indexnamn]],LOOKUP(Tabell4[[#This Row],[Nät]],Tabell5[Nätnamn],#REF!))</f>
        <v>Ursviken-Skelleftehamn</v>
      </c>
      <c r="N295" t="str">
        <f>IF(Tabell4[[#This Row],[Finns i listan ]]=Tabell4[[#This Row],[Indexnamn]],"","NEJ")</f>
        <v/>
      </c>
    </row>
    <row r="296" spans="1:14" x14ac:dyDescent="0.25">
      <c r="A296" t="s">
        <v>571</v>
      </c>
      <c r="B296" t="s">
        <v>260</v>
      </c>
      <c r="C296">
        <v>14.388999999999999</v>
      </c>
      <c r="D296" t="s">
        <v>806</v>
      </c>
      <c r="E296" t="s">
        <v>806</v>
      </c>
      <c r="F296" t="s">
        <v>806</v>
      </c>
      <c r="G296">
        <f t="shared" si="11"/>
        <v>14.388999999999999</v>
      </c>
      <c r="H296">
        <f t="shared" si="11"/>
        <v>0</v>
      </c>
      <c r="I296">
        <f t="shared" si="11"/>
        <v>0</v>
      </c>
      <c r="J296">
        <f t="shared" si="10"/>
        <v>0</v>
      </c>
      <c r="K296">
        <f t="shared" si="12"/>
        <v>14.388999999999999</v>
      </c>
      <c r="L296" t="str">
        <f>VLOOKUP(Tabell4[[#This Row],[Nät]],Indexnamn!A:A,1,FALSE)</f>
        <v>Vindeln</v>
      </c>
      <c r="M296" t="str">
        <f>IF(ISTEXT(Tabell4[[#This Row],[Indexnamn]]),Tabell4[[#This Row],[Indexnamn]],LOOKUP(Tabell4[[#This Row],[Nät]],Tabell5[Nätnamn],#REF!))</f>
        <v>Vindeln</v>
      </c>
      <c r="N296" t="str">
        <f>IF(Tabell4[[#This Row],[Finns i listan ]]=Tabell4[[#This Row],[Indexnamn]],"","NEJ")</f>
        <v/>
      </c>
    </row>
    <row r="297" spans="1:14" x14ac:dyDescent="0.25">
      <c r="A297" t="s">
        <v>571</v>
      </c>
      <c r="B297" t="s">
        <v>274</v>
      </c>
      <c r="C297">
        <v>2.63</v>
      </c>
      <c r="D297" t="s">
        <v>806</v>
      </c>
      <c r="E297" t="s">
        <v>806</v>
      </c>
      <c r="F297" t="s">
        <v>806</v>
      </c>
      <c r="G297">
        <f t="shared" si="11"/>
        <v>2.63</v>
      </c>
      <c r="H297">
        <f t="shared" si="11"/>
        <v>0</v>
      </c>
      <c r="I297">
        <f t="shared" si="11"/>
        <v>0</v>
      </c>
      <c r="J297">
        <f t="shared" si="10"/>
        <v>0</v>
      </c>
      <c r="K297">
        <f t="shared" si="12"/>
        <v>2.63</v>
      </c>
      <c r="L297" t="s">
        <v>274</v>
      </c>
      <c r="M297" t="str">
        <f>IF(ISTEXT(Tabell4[[#This Row],[Indexnamn]]),Tabell4[[#This Row],[Indexnamn]],LOOKUP(Tabell4[[#This Row],[Nät]],Tabell5[Nätnamn],#REF!))</f>
        <v>Ånäset</v>
      </c>
      <c r="N297" t="str">
        <f>IF(Tabell4[[#This Row],[Finns i listan ]]=Tabell4[[#This Row],[Indexnamn]],"","NEJ")</f>
        <v/>
      </c>
    </row>
    <row r="298" spans="1:14" x14ac:dyDescent="0.25">
      <c r="A298" t="s">
        <v>699</v>
      </c>
      <c r="B298" t="s">
        <v>276</v>
      </c>
      <c r="C298">
        <v>9.8672079999999998</v>
      </c>
      <c r="D298" t="s">
        <v>806</v>
      </c>
      <c r="E298" t="s">
        <v>806</v>
      </c>
      <c r="F298" t="s">
        <v>806</v>
      </c>
      <c r="G298">
        <f t="shared" si="11"/>
        <v>9.8672079999999998</v>
      </c>
      <c r="H298">
        <f t="shared" si="11"/>
        <v>0</v>
      </c>
      <c r="I298">
        <f t="shared" si="11"/>
        <v>0</v>
      </c>
      <c r="J298">
        <f t="shared" si="10"/>
        <v>0</v>
      </c>
      <c r="K298">
        <f t="shared" si="12"/>
        <v>9.8672079999999998</v>
      </c>
      <c r="L298" t="str">
        <f>VLOOKUP(Tabell4[[#This Row],[Nät]],Indexnamn!A:A,1,FALSE)</f>
        <v>Skultorp</v>
      </c>
      <c r="M298" t="str">
        <f>IF(ISTEXT(Tabell4[[#This Row],[Indexnamn]]),Tabell4[[#This Row],[Indexnamn]],LOOKUP(Tabell4[[#This Row],[Nät]],Tabell5[Nätnamn],#REF!))</f>
        <v>Skultorp</v>
      </c>
      <c r="N298" t="str">
        <f>IF(Tabell4[[#This Row],[Finns i listan ]]=Tabell4[[#This Row],[Indexnamn]],"","NEJ")</f>
        <v/>
      </c>
    </row>
    <row r="299" spans="1:14" x14ac:dyDescent="0.25">
      <c r="A299" t="s">
        <v>699</v>
      </c>
      <c r="B299" t="s">
        <v>275</v>
      </c>
      <c r="C299">
        <v>342.63099999999997</v>
      </c>
      <c r="D299" t="s">
        <v>806</v>
      </c>
      <c r="E299" t="s">
        <v>806</v>
      </c>
      <c r="F299" t="s">
        <v>806</v>
      </c>
      <c r="G299">
        <f t="shared" si="11"/>
        <v>342.63099999999997</v>
      </c>
      <c r="H299">
        <f t="shared" si="11"/>
        <v>0</v>
      </c>
      <c r="I299">
        <f t="shared" si="11"/>
        <v>0</v>
      </c>
      <c r="J299">
        <f t="shared" si="10"/>
        <v>0</v>
      </c>
      <c r="K299">
        <f t="shared" si="12"/>
        <v>342.63099999999997</v>
      </c>
      <c r="L299" t="str">
        <f>VLOOKUP(Tabell4[[#This Row],[Nät]],Indexnamn!A:A,1,FALSE)</f>
        <v>Skövde</v>
      </c>
      <c r="M299" t="str">
        <f>IF(ISTEXT(Tabell4[[#This Row],[Indexnamn]]),Tabell4[[#This Row],[Indexnamn]],LOOKUP(Tabell4[[#This Row],[Nät]],Tabell5[Nätnamn],#REF!))</f>
        <v>Skövde</v>
      </c>
      <c r="N299" t="str">
        <f>IF(Tabell4[[#This Row],[Finns i listan ]]=Tabell4[[#This Row],[Indexnamn]],"","NEJ")</f>
        <v/>
      </c>
    </row>
    <row r="300" spans="1:14" x14ac:dyDescent="0.25">
      <c r="A300" t="s">
        <v>699</v>
      </c>
      <c r="B300" t="s">
        <v>277</v>
      </c>
      <c r="C300">
        <v>4.4372439999999997</v>
      </c>
      <c r="D300" t="s">
        <v>806</v>
      </c>
      <c r="E300" t="s">
        <v>806</v>
      </c>
      <c r="F300" t="s">
        <v>806</v>
      </c>
      <c r="G300">
        <f t="shared" si="11"/>
        <v>4.4372439999999997</v>
      </c>
      <c r="H300">
        <f t="shared" si="11"/>
        <v>0</v>
      </c>
      <c r="I300">
        <f t="shared" si="11"/>
        <v>0</v>
      </c>
      <c r="J300">
        <f t="shared" si="10"/>
        <v>0</v>
      </c>
      <c r="K300">
        <f t="shared" si="12"/>
        <v>4.4372439999999997</v>
      </c>
      <c r="L300" t="str">
        <f>VLOOKUP(Tabell4[[#This Row],[Nät]],Indexnamn!A:A,1,FALSE)</f>
        <v>Stöpen</v>
      </c>
      <c r="M300" t="str">
        <f>IF(ISTEXT(Tabell4[[#This Row],[Indexnamn]]),Tabell4[[#This Row],[Indexnamn]],LOOKUP(Tabell4[[#This Row],[Nät]],Tabell5[Nätnamn],#REF!))</f>
        <v>Stöpen</v>
      </c>
      <c r="N300" t="str">
        <f>IF(Tabell4[[#This Row],[Finns i listan ]]=Tabell4[[#This Row],[Indexnamn]],"","NEJ")</f>
        <v/>
      </c>
    </row>
    <row r="301" spans="1:14" x14ac:dyDescent="0.25">
      <c r="A301" t="s">
        <v>699</v>
      </c>
      <c r="B301" t="s">
        <v>719</v>
      </c>
      <c r="C301">
        <v>2.0640000000000001</v>
      </c>
      <c r="D301" t="s">
        <v>806</v>
      </c>
      <c r="E301" t="s">
        <v>806</v>
      </c>
      <c r="F301" t="s">
        <v>806</v>
      </c>
      <c r="G301">
        <f t="shared" si="11"/>
        <v>2.0640000000000001</v>
      </c>
      <c r="H301">
        <f t="shared" si="11"/>
        <v>0</v>
      </c>
      <c r="I301">
        <f t="shared" si="11"/>
        <v>0</v>
      </c>
      <c r="J301">
        <f t="shared" si="10"/>
        <v>0</v>
      </c>
      <c r="K301">
        <f t="shared" si="12"/>
        <v>2.0640000000000001</v>
      </c>
      <c r="L301" t="str">
        <f>VLOOKUP(Tabell4[[#This Row],[Nät]],Indexnamn!A:A,1,FALSE)</f>
        <v>Tidan</v>
      </c>
      <c r="M301" t="str">
        <f>IF(ISTEXT(Tabell4[[#This Row],[Indexnamn]]),Tabell4[[#This Row],[Indexnamn]],LOOKUP(Tabell4[[#This Row],[Nät]],Tabell5[Nätnamn],#REF!))</f>
        <v>Tidan</v>
      </c>
      <c r="N301" t="str">
        <f>IF(Tabell4[[#This Row],[Finns i listan ]]=Tabell4[[#This Row],[Indexnamn]],"","NEJ")</f>
        <v/>
      </c>
    </row>
    <row r="302" spans="1:14" x14ac:dyDescent="0.25">
      <c r="A302" t="s">
        <v>699</v>
      </c>
      <c r="B302" t="s">
        <v>428</v>
      </c>
      <c r="C302">
        <v>3.0190000000000001</v>
      </c>
      <c r="D302" t="s">
        <v>806</v>
      </c>
      <c r="E302" t="s">
        <v>806</v>
      </c>
      <c r="F302" t="s">
        <v>806</v>
      </c>
      <c r="G302">
        <f t="shared" si="11"/>
        <v>3.0190000000000001</v>
      </c>
      <c r="H302">
        <f t="shared" si="11"/>
        <v>0</v>
      </c>
      <c r="I302">
        <f t="shared" si="11"/>
        <v>0</v>
      </c>
      <c r="J302">
        <f t="shared" si="10"/>
        <v>0</v>
      </c>
      <c r="K302">
        <f t="shared" si="12"/>
        <v>3.0190000000000001</v>
      </c>
      <c r="L302" t="str">
        <f>VLOOKUP(Tabell4[[#This Row],[Nät]],Indexnamn!A:A,1,FALSE)</f>
        <v>Timmersdala</v>
      </c>
      <c r="M302" t="str">
        <f>IF(ISTEXT(Tabell4[[#This Row],[Indexnamn]]),Tabell4[[#This Row],[Indexnamn]],LOOKUP(Tabell4[[#This Row],[Nät]],Tabell5[Nätnamn],#REF!))</f>
        <v>Timmersdala</v>
      </c>
      <c r="N302" t="str">
        <f>IF(Tabell4[[#This Row],[Finns i listan ]]=Tabell4[[#This Row],[Indexnamn]],"","NEJ")</f>
        <v/>
      </c>
    </row>
    <row r="303" spans="1:14" x14ac:dyDescent="0.25">
      <c r="A303" t="s">
        <v>701</v>
      </c>
      <c r="B303" t="s">
        <v>278</v>
      </c>
      <c r="C303">
        <v>42.728000000000002</v>
      </c>
      <c r="D303" t="s">
        <v>806</v>
      </c>
      <c r="E303" t="s">
        <v>806</v>
      </c>
      <c r="F303" t="s">
        <v>806</v>
      </c>
      <c r="G303">
        <f t="shared" si="11"/>
        <v>42.728000000000002</v>
      </c>
      <c r="H303">
        <f t="shared" si="11"/>
        <v>0</v>
      </c>
      <c r="I303">
        <f t="shared" si="11"/>
        <v>0</v>
      </c>
      <c r="J303">
        <f t="shared" si="10"/>
        <v>0</v>
      </c>
      <c r="K303">
        <f t="shared" si="12"/>
        <v>42.728000000000002</v>
      </c>
      <c r="L303" t="str">
        <f>VLOOKUP(Tabell4[[#This Row],[Nät]],Indexnamn!A:A,1,FALSE)</f>
        <v>Smedjebacken</v>
      </c>
      <c r="M303" t="str">
        <f>IF(ISTEXT(Tabell4[[#This Row],[Indexnamn]]),Tabell4[[#This Row],[Indexnamn]],LOOKUP(Tabell4[[#This Row],[Nät]],Tabell5[Nätnamn],#REF!))</f>
        <v>Smedjebacken</v>
      </c>
      <c r="N303" t="str">
        <f>IF(Tabell4[[#This Row],[Finns i listan ]]=Tabell4[[#This Row],[Indexnamn]],"","NEJ")</f>
        <v/>
      </c>
    </row>
    <row r="304" spans="1:14" x14ac:dyDescent="0.25">
      <c r="A304" t="s">
        <v>701</v>
      </c>
      <c r="B304" t="s">
        <v>279</v>
      </c>
      <c r="C304">
        <v>4.431</v>
      </c>
      <c r="D304" t="s">
        <v>806</v>
      </c>
      <c r="E304" t="s">
        <v>806</v>
      </c>
      <c r="F304" t="s">
        <v>806</v>
      </c>
      <c r="G304">
        <f t="shared" si="11"/>
        <v>4.431</v>
      </c>
      <c r="H304">
        <f t="shared" si="11"/>
        <v>0</v>
      </c>
      <c r="I304">
        <f t="shared" si="11"/>
        <v>0</v>
      </c>
      <c r="J304">
        <f t="shared" si="10"/>
        <v>0</v>
      </c>
      <c r="K304">
        <f t="shared" si="12"/>
        <v>4.431</v>
      </c>
      <c r="L304" t="str">
        <f>VLOOKUP(Tabell4[[#This Row],[Nät]],Indexnamn!A:A,1,FALSE)</f>
        <v>Söderbärke</v>
      </c>
      <c r="M304" t="str">
        <f>IF(ISTEXT(Tabell4[[#This Row],[Indexnamn]]),Tabell4[[#This Row],[Indexnamn]],LOOKUP(Tabell4[[#This Row],[Nät]],Tabell5[Nätnamn],#REF!))</f>
        <v>Söderbärke</v>
      </c>
      <c r="N304" t="str">
        <f>IF(Tabell4[[#This Row],[Finns i listan ]]=Tabell4[[#This Row],[Indexnamn]],"","NEJ")</f>
        <v/>
      </c>
    </row>
    <row r="305" spans="1:14" x14ac:dyDescent="0.25">
      <c r="A305" t="s">
        <v>879</v>
      </c>
      <c r="B305" t="s">
        <v>280</v>
      </c>
      <c r="C305">
        <v>307</v>
      </c>
      <c r="D305" t="s">
        <v>806</v>
      </c>
      <c r="E305" t="s">
        <v>806</v>
      </c>
      <c r="F305" t="s">
        <v>806</v>
      </c>
      <c r="G305">
        <f t="shared" si="11"/>
        <v>307</v>
      </c>
      <c r="H305">
        <f t="shared" si="11"/>
        <v>0</v>
      </c>
      <c r="I305">
        <f t="shared" si="11"/>
        <v>0</v>
      </c>
      <c r="J305">
        <f t="shared" si="10"/>
        <v>0</v>
      </c>
      <c r="K305">
        <f t="shared" si="12"/>
        <v>307</v>
      </c>
      <c r="L305" t="str">
        <f>VLOOKUP(Tabell4[[#This Row],[Nät]],Indexnamn!A:A,1,FALSE)</f>
        <v>Sollentuna</v>
      </c>
      <c r="M305" t="str">
        <f>IF(ISTEXT(Tabell4[[#This Row],[Indexnamn]]),Tabell4[[#This Row],[Indexnamn]],LOOKUP(Tabell4[[#This Row],[Nät]],Tabell5[Nätnamn],#REF!))</f>
        <v>Sollentuna</v>
      </c>
      <c r="N305" t="str">
        <f>IF(Tabell4[[#This Row],[Finns i listan ]]=Tabell4[[#This Row],[Indexnamn]],"","NEJ")</f>
        <v/>
      </c>
    </row>
    <row r="306" spans="1:14" x14ac:dyDescent="0.25">
      <c r="A306" t="s">
        <v>880</v>
      </c>
      <c r="B306" t="s">
        <v>46</v>
      </c>
      <c r="C306" t="s">
        <v>805</v>
      </c>
      <c r="D306" t="s">
        <v>805</v>
      </c>
      <c r="E306" t="s">
        <v>805</v>
      </c>
      <c r="F306" t="s">
        <v>805</v>
      </c>
      <c r="G306">
        <f t="shared" si="11"/>
        <v>0</v>
      </c>
      <c r="H306">
        <f t="shared" si="11"/>
        <v>0</v>
      </c>
      <c r="I306">
        <f t="shared" si="11"/>
        <v>0</v>
      </c>
      <c r="J306">
        <f t="shared" si="10"/>
        <v>0</v>
      </c>
      <c r="K306">
        <f t="shared" si="12"/>
        <v>0</v>
      </c>
      <c r="L306" t="str">
        <f>VLOOKUP(Tabell4[[#This Row],[Nät]],Indexnamn!A:A,1,FALSE)</f>
        <v>Dorotea</v>
      </c>
      <c r="M306" t="str">
        <f>IF(ISTEXT(Tabell4[[#This Row],[Indexnamn]]),Tabell4[[#This Row],[Indexnamn]],LOOKUP(Tabell4[[#This Row],[Nät]],Tabell5[Nätnamn],#REF!))</f>
        <v>Dorotea</v>
      </c>
      <c r="N306" t="str">
        <f>IF(Tabell4[[#This Row],[Finns i listan ]]=Tabell4[[#This Row],[Indexnamn]],"","NEJ")</f>
        <v/>
      </c>
    </row>
    <row r="307" spans="1:14" x14ac:dyDescent="0.25">
      <c r="A307" t="s">
        <v>880</v>
      </c>
      <c r="B307" t="s">
        <v>881</v>
      </c>
      <c r="C307" t="s">
        <v>805</v>
      </c>
      <c r="D307" t="s">
        <v>805</v>
      </c>
      <c r="E307" t="s">
        <v>805</v>
      </c>
      <c r="F307" t="s">
        <v>805</v>
      </c>
      <c r="G307">
        <f t="shared" si="11"/>
        <v>0</v>
      </c>
      <c r="H307">
        <f t="shared" si="11"/>
        <v>0</v>
      </c>
      <c r="I307">
        <f t="shared" si="11"/>
        <v>0</v>
      </c>
      <c r="J307">
        <f t="shared" si="10"/>
        <v>0</v>
      </c>
      <c r="K307">
        <f t="shared" si="12"/>
        <v>0</v>
      </c>
      <c r="L307" t="e">
        <f>VLOOKUP(Tabell4[[#This Row],[Nät]],Indexnamn!A:A,1,FALSE)</f>
        <v>#N/A</v>
      </c>
      <c r="M307" t="e">
        <f>IF(ISTEXT(Tabell4[[#This Row],[Indexnamn]]),Tabell4[[#This Row],[Indexnamn]],LOOKUP(Tabell4[[#This Row],[Nät]],Tabell5[Nätnamn],#REF!))</f>
        <v>#REF!</v>
      </c>
      <c r="N307" t="e">
        <f>IF(Tabell4[[#This Row],[Finns i listan ]]=Tabell4[[#This Row],[Indexnamn]],"","NEJ")</f>
        <v>#REF!</v>
      </c>
    </row>
    <row r="308" spans="1:14" x14ac:dyDescent="0.25">
      <c r="A308" t="s">
        <v>880</v>
      </c>
      <c r="B308" t="s">
        <v>882</v>
      </c>
      <c r="C308" t="s">
        <v>805</v>
      </c>
      <c r="D308" t="s">
        <v>805</v>
      </c>
      <c r="E308" t="s">
        <v>805</v>
      </c>
      <c r="F308" t="s">
        <v>805</v>
      </c>
      <c r="G308">
        <f t="shared" si="11"/>
        <v>0</v>
      </c>
      <c r="H308">
        <f t="shared" si="11"/>
        <v>0</v>
      </c>
      <c r="I308">
        <f t="shared" si="11"/>
        <v>0</v>
      </c>
      <c r="J308">
        <f t="shared" si="10"/>
        <v>0</v>
      </c>
      <c r="K308">
        <f t="shared" si="12"/>
        <v>0</v>
      </c>
      <c r="L308" t="e">
        <f>VLOOKUP(Tabell4[[#This Row],[Nät]],Indexnamn!A:A,1,FALSE)</f>
        <v>#N/A</v>
      </c>
      <c r="M308" t="e">
        <f>IF(ISTEXT(Tabell4[[#This Row],[Indexnamn]]),Tabell4[[#This Row],[Indexnamn]],LOOKUP(Tabell4[[#This Row],[Nät]],Tabell5[Nätnamn],#REF!))</f>
        <v>#REF!</v>
      </c>
      <c r="N308" t="e">
        <f>IF(Tabell4[[#This Row],[Finns i listan ]]=Tabell4[[#This Row],[Indexnamn]],"","NEJ")</f>
        <v>#REF!</v>
      </c>
    </row>
    <row r="309" spans="1:14" x14ac:dyDescent="0.25">
      <c r="A309" t="s">
        <v>880</v>
      </c>
      <c r="B309" t="s">
        <v>82</v>
      </c>
      <c r="C309" t="s">
        <v>805</v>
      </c>
      <c r="D309" t="s">
        <v>805</v>
      </c>
      <c r="E309" t="s">
        <v>805</v>
      </c>
      <c r="F309" t="s">
        <v>805</v>
      </c>
      <c r="G309">
        <f t="shared" si="11"/>
        <v>0</v>
      </c>
      <c r="H309">
        <f t="shared" si="11"/>
        <v>0</v>
      </c>
      <c r="I309">
        <f t="shared" si="11"/>
        <v>0</v>
      </c>
      <c r="J309">
        <f t="shared" si="10"/>
        <v>0</v>
      </c>
      <c r="K309">
        <f t="shared" si="12"/>
        <v>0</v>
      </c>
      <c r="L309" t="str">
        <f>VLOOKUP(Tabell4[[#This Row],[Nät]],Indexnamn!A:A,1,FALSE)</f>
        <v>Markaryd</v>
      </c>
      <c r="M309" t="str">
        <f>IF(ISTEXT(Tabell4[[#This Row],[Indexnamn]]),Tabell4[[#This Row],[Indexnamn]],LOOKUP(Tabell4[[#This Row],[Nät]],Tabell5[Nätnamn],#REF!))</f>
        <v>Markaryd</v>
      </c>
      <c r="N309" t="str">
        <f>IF(Tabell4[[#This Row],[Finns i listan ]]=Tabell4[[#This Row],[Indexnamn]],"","NEJ")</f>
        <v/>
      </c>
    </row>
    <row r="310" spans="1:14" x14ac:dyDescent="0.25">
      <c r="A310" t="s">
        <v>880</v>
      </c>
      <c r="B310" t="s">
        <v>80</v>
      </c>
      <c r="C310" t="s">
        <v>805</v>
      </c>
      <c r="D310" t="s">
        <v>805</v>
      </c>
      <c r="E310" t="s">
        <v>805</v>
      </c>
      <c r="F310" t="s">
        <v>805</v>
      </c>
      <c r="G310">
        <f t="shared" si="11"/>
        <v>0</v>
      </c>
      <c r="H310">
        <f t="shared" si="11"/>
        <v>0</v>
      </c>
      <c r="I310">
        <f t="shared" si="11"/>
        <v>0</v>
      </c>
      <c r="J310">
        <f t="shared" si="10"/>
        <v>0</v>
      </c>
      <c r="K310">
        <f t="shared" si="12"/>
        <v>0</v>
      </c>
      <c r="L310" t="str">
        <f>VLOOKUP(Tabell4[[#This Row],[Nät]],Indexnamn!A:A,1,FALSE)</f>
        <v>Mönsterås</v>
      </c>
      <c r="M310" t="str">
        <f>IF(ISTEXT(Tabell4[[#This Row],[Indexnamn]]),Tabell4[[#This Row],[Indexnamn]],LOOKUP(Tabell4[[#This Row],[Nät]],Tabell5[Nätnamn],#REF!))</f>
        <v>Mönsterås</v>
      </c>
      <c r="N310" t="str">
        <f>IF(Tabell4[[#This Row],[Finns i listan ]]=Tabell4[[#This Row],[Indexnamn]],"","NEJ")</f>
        <v/>
      </c>
    </row>
    <row r="311" spans="1:14" x14ac:dyDescent="0.25">
      <c r="A311" t="s">
        <v>880</v>
      </c>
      <c r="B311" t="s">
        <v>70</v>
      </c>
      <c r="C311" t="s">
        <v>805</v>
      </c>
      <c r="D311" t="s">
        <v>805</v>
      </c>
      <c r="E311" t="s">
        <v>805</v>
      </c>
      <c r="F311" t="s">
        <v>805</v>
      </c>
      <c r="G311">
        <f t="shared" si="11"/>
        <v>0</v>
      </c>
      <c r="H311">
        <f t="shared" si="11"/>
        <v>0</v>
      </c>
      <c r="I311">
        <f t="shared" si="11"/>
        <v>0</v>
      </c>
      <c r="J311">
        <f t="shared" si="10"/>
        <v>0</v>
      </c>
      <c r="K311">
        <f t="shared" si="12"/>
        <v>0</v>
      </c>
      <c r="L311" t="str">
        <f>VLOOKUP(Tabell4[[#This Row],[Nät]],Indexnamn!A:A,1,FALSE)</f>
        <v>Nora</v>
      </c>
      <c r="M311" t="str">
        <f>IF(ISTEXT(Tabell4[[#This Row],[Indexnamn]]),Tabell4[[#This Row],[Indexnamn]],LOOKUP(Tabell4[[#This Row],[Nät]],Tabell5[Nätnamn],#REF!))</f>
        <v>Nora</v>
      </c>
      <c r="N311" t="str">
        <f>IF(Tabell4[[#This Row],[Finns i listan ]]=Tabell4[[#This Row],[Indexnamn]],"","NEJ")</f>
        <v/>
      </c>
    </row>
    <row r="312" spans="1:14" x14ac:dyDescent="0.25">
      <c r="A312" t="s">
        <v>880</v>
      </c>
      <c r="B312" t="s">
        <v>51</v>
      </c>
      <c r="C312" t="s">
        <v>805</v>
      </c>
      <c r="D312" t="s">
        <v>805</v>
      </c>
      <c r="E312" t="s">
        <v>805</v>
      </c>
      <c r="F312" t="s">
        <v>805</v>
      </c>
      <c r="G312">
        <f t="shared" si="11"/>
        <v>0</v>
      </c>
      <c r="H312">
        <f t="shared" si="11"/>
        <v>0</v>
      </c>
      <c r="I312">
        <f t="shared" si="11"/>
        <v>0</v>
      </c>
      <c r="J312">
        <f t="shared" si="10"/>
        <v>0</v>
      </c>
      <c r="K312">
        <f t="shared" si="12"/>
        <v>0</v>
      </c>
      <c r="L312" t="str">
        <f>VLOOKUP(Tabell4[[#This Row],[Nät]],Indexnamn!A:A,1,FALSE)</f>
        <v>Nordmaling</v>
      </c>
      <c r="M312" t="str">
        <f>IF(ISTEXT(Tabell4[[#This Row],[Indexnamn]]),Tabell4[[#This Row],[Indexnamn]],LOOKUP(Tabell4[[#This Row],[Nät]],Tabell5[Nätnamn],#REF!))</f>
        <v>Nordmaling</v>
      </c>
      <c r="N312" t="str">
        <f>IF(Tabell4[[#This Row],[Finns i listan ]]=Tabell4[[#This Row],[Indexnamn]],"","NEJ")</f>
        <v/>
      </c>
    </row>
    <row r="313" spans="1:14" x14ac:dyDescent="0.25">
      <c r="A313" t="s">
        <v>880</v>
      </c>
      <c r="B313" t="s">
        <v>42</v>
      </c>
      <c r="C313" t="s">
        <v>805</v>
      </c>
      <c r="D313" t="s">
        <v>805</v>
      </c>
      <c r="E313" t="s">
        <v>805</v>
      </c>
      <c r="F313" t="s">
        <v>805</v>
      </c>
      <c r="G313">
        <f t="shared" si="11"/>
        <v>0</v>
      </c>
      <c r="H313">
        <f t="shared" si="11"/>
        <v>0</v>
      </c>
      <c r="I313">
        <f t="shared" si="11"/>
        <v>0</v>
      </c>
      <c r="J313">
        <f t="shared" si="10"/>
        <v>0</v>
      </c>
      <c r="K313">
        <f t="shared" si="12"/>
        <v>0</v>
      </c>
      <c r="L313" t="str">
        <f>VLOOKUP(Tabell4[[#This Row],[Nät]],Indexnamn!A:A,1,FALSE)</f>
        <v>Svalöv</v>
      </c>
      <c r="M313" t="str">
        <f>IF(ISTEXT(Tabell4[[#This Row],[Indexnamn]]),Tabell4[[#This Row],[Indexnamn]],LOOKUP(Tabell4[[#This Row],[Nät]],Tabell5[Nätnamn],#REF!))</f>
        <v>Svalöv</v>
      </c>
      <c r="N313" t="str">
        <f>IF(Tabell4[[#This Row],[Finns i listan ]]=Tabell4[[#This Row],[Indexnamn]],"","NEJ")</f>
        <v/>
      </c>
    </row>
    <row r="314" spans="1:14" x14ac:dyDescent="0.25">
      <c r="A314" t="s">
        <v>880</v>
      </c>
      <c r="B314" t="s">
        <v>48</v>
      </c>
      <c r="C314" t="s">
        <v>805</v>
      </c>
      <c r="D314" t="s">
        <v>805</v>
      </c>
      <c r="E314" t="s">
        <v>805</v>
      </c>
      <c r="F314" t="s">
        <v>805</v>
      </c>
      <c r="G314">
        <f t="shared" si="11"/>
        <v>0</v>
      </c>
      <c r="H314">
        <f t="shared" si="11"/>
        <v>0</v>
      </c>
      <c r="I314">
        <f t="shared" si="11"/>
        <v>0</v>
      </c>
      <c r="J314">
        <f t="shared" si="10"/>
        <v>0</v>
      </c>
      <c r="K314">
        <f t="shared" si="12"/>
        <v>0</v>
      </c>
      <c r="L314" t="str">
        <f>VLOOKUP(Tabell4[[#This Row],[Nät]],Indexnamn!A:A,1,FALSE)</f>
        <v>Sveg</v>
      </c>
      <c r="M314" t="str">
        <f>IF(ISTEXT(Tabell4[[#This Row],[Indexnamn]]),Tabell4[[#This Row],[Indexnamn]],LOOKUP(Tabell4[[#This Row],[Nät]],Tabell5[Nätnamn],#REF!))</f>
        <v>Sveg</v>
      </c>
      <c r="N314" t="str">
        <f>IF(Tabell4[[#This Row],[Finns i listan ]]=Tabell4[[#This Row],[Indexnamn]],"","NEJ")</f>
        <v/>
      </c>
    </row>
    <row r="315" spans="1:14" x14ac:dyDescent="0.25">
      <c r="A315" t="s">
        <v>880</v>
      </c>
      <c r="B315" t="s">
        <v>45</v>
      </c>
      <c r="C315" t="s">
        <v>805</v>
      </c>
      <c r="D315" t="s">
        <v>805</v>
      </c>
      <c r="E315" t="s">
        <v>805</v>
      </c>
      <c r="F315" t="s">
        <v>805</v>
      </c>
      <c r="G315">
        <f t="shared" si="11"/>
        <v>0</v>
      </c>
      <c r="H315">
        <f t="shared" si="11"/>
        <v>0</v>
      </c>
      <c r="I315">
        <f t="shared" si="11"/>
        <v>0</v>
      </c>
      <c r="J315">
        <f t="shared" si="10"/>
        <v>0</v>
      </c>
      <c r="K315">
        <f t="shared" si="12"/>
        <v>0</v>
      </c>
      <c r="L315" t="str">
        <f>VLOOKUP(Tabell4[[#This Row],[Nät]],Indexnamn!A:A,1,FALSE)</f>
        <v>Vilhelmina</v>
      </c>
      <c r="M315" t="str">
        <f>IF(ISTEXT(Tabell4[[#This Row],[Indexnamn]]),Tabell4[[#This Row],[Indexnamn]],LOOKUP(Tabell4[[#This Row],[Nät]],Tabell5[Nätnamn],#REF!))</f>
        <v>Vilhelmina</v>
      </c>
      <c r="N315" t="str">
        <f>IF(Tabell4[[#This Row],[Finns i listan ]]=Tabell4[[#This Row],[Indexnamn]],"","NEJ")</f>
        <v/>
      </c>
    </row>
    <row r="316" spans="1:14" x14ac:dyDescent="0.25">
      <c r="A316" t="s">
        <v>880</v>
      </c>
      <c r="B316" t="s">
        <v>50</v>
      </c>
      <c r="C316" t="s">
        <v>805</v>
      </c>
      <c r="D316" t="s">
        <v>805</v>
      </c>
      <c r="E316" t="s">
        <v>805</v>
      </c>
      <c r="F316" t="s">
        <v>805</v>
      </c>
      <c r="G316">
        <f t="shared" si="11"/>
        <v>0</v>
      </c>
      <c r="H316">
        <f t="shared" si="11"/>
        <v>0</v>
      </c>
      <c r="I316">
        <f t="shared" si="11"/>
        <v>0</v>
      </c>
      <c r="J316">
        <f t="shared" si="10"/>
        <v>0</v>
      </c>
      <c r="K316">
        <f t="shared" si="12"/>
        <v>0</v>
      </c>
      <c r="L316" t="str">
        <f>VLOOKUP(Tabell4[[#This Row],[Nät]],Indexnamn!A:A,1,FALSE)</f>
        <v>Vännäs</v>
      </c>
      <c r="M316" t="str">
        <f>IF(ISTEXT(Tabell4[[#This Row],[Indexnamn]]),Tabell4[[#This Row],[Indexnamn]],LOOKUP(Tabell4[[#This Row],[Nät]],Tabell5[Nätnamn],#REF!))</f>
        <v>Vännäs</v>
      </c>
      <c r="N316" t="str">
        <f>IF(Tabell4[[#This Row],[Finns i listan ]]=Tabell4[[#This Row],[Indexnamn]],"","NEJ")</f>
        <v/>
      </c>
    </row>
    <row r="317" spans="1:14" x14ac:dyDescent="0.25">
      <c r="A317" t="s">
        <v>713</v>
      </c>
      <c r="B317" t="s">
        <v>298</v>
      </c>
      <c r="C317">
        <v>36.49</v>
      </c>
      <c r="D317" t="s">
        <v>806</v>
      </c>
      <c r="E317" t="s">
        <v>806</v>
      </c>
      <c r="F317" t="s">
        <v>806</v>
      </c>
      <c r="G317">
        <f t="shared" si="11"/>
        <v>36.49</v>
      </c>
      <c r="H317">
        <f t="shared" si="11"/>
        <v>0</v>
      </c>
      <c r="I317">
        <f t="shared" si="11"/>
        <v>0</v>
      </c>
      <c r="J317">
        <f t="shared" si="10"/>
        <v>0</v>
      </c>
      <c r="K317">
        <f t="shared" si="12"/>
        <v>36.49</v>
      </c>
      <c r="L317" t="str">
        <f>VLOOKUP(Tabell4[[#This Row],[Nät]],Indexnamn!A:A,1,FALSE)</f>
        <v>Svenljunga</v>
      </c>
      <c r="M317" t="str">
        <f>IF(ISTEXT(Tabell4[[#This Row],[Indexnamn]]),Tabell4[[#This Row],[Indexnamn]],LOOKUP(Tabell4[[#This Row],[Nät]],Tabell5[Nätnamn],#REF!))</f>
        <v>Svenljunga</v>
      </c>
      <c r="N317" t="str">
        <f>IF(Tabell4[[#This Row],[Finns i listan ]]=Tabell4[[#This Row],[Indexnamn]],"","NEJ")</f>
        <v/>
      </c>
    </row>
    <row r="318" spans="1:14" x14ac:dyDescent="0.25">
      <c r="A318" t="s">
        <v>883</v>
      </c>
      <c r="B318" t="s">
        <v>538</v>
      </c>
      <c r="C318" t="s">
        <v>805</v>
      </c>
      <c r="D318" t="s">
        <v>805</v>
      </c>
      <c r="E318" t="s">
        <v>805</v>
      </c>
      <c r="F318" t="s">
        <v>805</v>
      </c>
      <c r="G318">
        <f t="shared" si="11"/>
        <v>0</v>
      </c>
      <c r="H318">
        <f t="shared" si="11"/>
        <v>0</v>
      </c>
      <c r="I318">
        <f t="shared" si="11"/>
        <v>0</v>
      </c>
      <c r="J318">
        <f t="shared" si="10"/>
        <v>0</v>
      </c>
      <c r="K318">
        <f t="shared" si="12"/>
        <v>0</v>
      </c>
      <c r="L318" t="e">
        <f>VLOOKUP(Tabell4[[#This Row],[Nät]],Indexnamn!A:A,1,FALSE)</f>
        <v>#N/A</v>
      </c>
      <c r="M318" t="e">
        <f>IF(ISTEXT(Tabell4[[#This Row],[Indexnamn]]),Tabell4[[#This Row],[Indexnamn]],LOOKUP(Tabell4[[#This Row],[Nät]],Tabell5[Nätnamn],#REF!))</f>
        <v>#REF!</v>
      </c>
      <c r="N318" t="e">
        <f>IF(Tabell4[[#This Row],[Finns i listan ]]=Tabell4[[#This Row],[Indexnamn]],"","NEJ")</f>
        <v>#REF!</v>
      </c>
    </row>
    <row r="319" spans="1:14" x14ac:dyDescent="0.25">
      <c r="A319" t="s">
        <v>655</v>
      </c>
      <c r="B319" t="s">
        <v>283</v>
      </c>
      <c r="C319">
        <v>118.4</v>
      </c>
      <c r="D319" t="s">
        <v>806</v>
      </c>
      <c r="E319" t="s">
        <v>806</v>
      </c>
      <c r="F319" t="s">
        <v>806</v>
      </c>
      <c r="G319">
        <f t="shared" si="11"/>
        <v>118.4</v>
      </c>
      <c r="H319">
        <f t="shared" si="11"/>
        <v>0</v>
      </c>
      <c r="I319">
        <f t="shared" si="11"/>
        <v>0</v>
      </c>
      <c r="J319">
        <f t="shared" si="10"/>
        <v>0</v>
      </c>
      <c r="K319">
        <f t="shared" si="12"/>
        <v>118.4</v>
      </c>
      <c r="L319" t="str">
        <f>VLOOKUP(Tabell4[[#This Row],[Nät]],Indexnamn!A:A,1,FALSE)</f>
        <v>Kungsbacka</v>
      </c>
      <c r="M319" t="str">
        <f>IF(ISTEXT(Tabell4[[#This Row],[Indexnamn]]),Tabell4[[#This Row],[Indexnamn]],LOOKUP(Tabell4[[#This Row],[Nät]],Tabell5[Nätnamn],#REF!))</f>
        <v>Kungsbacka</v>
      </c>
      <c r="N319" t="str">
        <f>IF(Tabell4[[#This Row],[Finns i listan ]]=Tabell4[[#This Row],[Indexnamn]],"","NEJ")</f>
        <v/>
      </c>
    </row>
    <row r="320" spans="1:14" x14ac:dyDescent="0.25">
      <c r="A320" t="s">
        <v>655</v>
      </c>
      <c r="B320" t="s">
        <v>282</v>
      </c>
      <c r="C320">
        <v>20.86</v>
      </c>
      <c r="D320" t="s">
        <v>806</v>
      </c>
      <c r="E320" t="s">
        <v>806</v>
      </c>
      <c r="F320" t="s">
        <v>806</v>
      </c>
      <c r="G320">
        <f t="shared" si="11"/>
        <v>20.86</v>
      </c>
      <c r="H320">
        <f t="shared" si="11"/>
        <v>0</v>
      </c>
      <c r="I320">
        <f t="shared" si="11"/>
        <v>0</v>
      </c>
      <c r="J320">
        <f t="shared" si="10"/>
        <v>0</v>
      </c>
      <c r="K320">
        <f t="shared" si="12"/>
        <v>20.86</v>
      </c>
      <c r="L320" t="str">
        <f>VLOOKUP(Tabell4[[#This Row],[Nät]],Indexnamn!A:A,1,FALSE)</f>
        <v>Trosa</v>
      </c>
      <c r="M320" t="str">
        <f>IF(ISTEXT(Tabell4[[#This Row],[Indexnamn]]),Tabell4[[#This Row],[Indexnamn]],LOOKUP(Tabell4[[#This Row],[Nät]],Tabell5[Nätnamn],#REF!))</f>
        <v>Trosa</v>
      </c>
      <c r="N320" t="str">
        <f>IF(Tabell4[[#This Row],[Finns i listan ]]=Tabell4[[#This Row],[Indexnamn]],"","NEJ")</f>
        <v/>
      </c>
    </row>
    <row r="321" spans="1:17" x14ac:dyDescent="0.25">
      <c r="A321" t="s">
        <v>655</v>
      </c>
      <c r="B321" t="s">
        <v>284</v>
      </c>
      <c r="C321">
        <v>8.91</v>
      </c>
      <c r="D321" t="s">
        <v>806</v>
      </c>
      <c r="E321" t="s">
        <v>806</v>
      </c>
      <c r="F321" t="s">
        <v>806</v>
      </c>
      <c r="G321">
        <f t="shared" si="11"/>
        <v>8.91</v>
      </c>
      <c r="H321">
        <f t="shared" si="11"/>
        <v>0</v>
      </c>
      <c r="I321">
        <f t="shared" si="11"/>
        <v>0</v>
      </c>
      <c r="J321">
        <f t="shared" si="10"/>
        <v>0</v>
      </c>
      <c r="K321">
        <f t="shared" si="12"/>
        <v>8.91</v>
      </c>
      <c r="L321" t="str">
        <f>VLOOKUP(Tabell4[[#This Row],[Nät]],Indexnamn!A:A,1,FALSE)</f>
        <v>Vagnhärad</v>
      </c>
      <c r="M321" t="str">
        <f>IF(ISTEXT(Tabell4[[#This Row],[Indexnamn]]),Tabell4[[#This Row],[Indexnamn]],LOOKUP(Tabell4[[#This Row],[Nät]],Tabell5[Nätnamn],#REF!))</f>
        <v>Vagnhärad</v>
      </c>
      <c r="N321" t="str">
        <f>IF(Tabell4[[#This Row],[Finns i listan ]]=Tabell4[[#This Row],[Indexnamn]],"","NEJ")</f>
        <v/>
      </c>
    </row>
    <row r="322" spans="1:17" x14ac:dyDescent="0.25">
      <c r="A322" t="s">
        <v>655</v>
      </c>
      <c r="B322" t="s">
        <v>281</v>
      </c>
      <c r="C322">
        <v>41.34</v>
      </c>
      <c r="D322" t="s">
        <v>806</v>
      </c>
      <c r="E322" t="s">
        <v>806</v>
      </c>
      <c r="F322" t="s">
        <v>806</v>
      </c>
      <c r="G322">
        <f t="shared" si="11"/>
        <v>41.34</v>
      </c>
      <c r="H322">
        <f t="shared" si="11"/>
        <v>0</v>
      </c>
      <c r="I322">
        <f t="shared" si="11"/>
        <v>0</v>
      </c>
      <c r="J322">
        <f t="shared" si="11"/>
        <v>0</v>
      </c>
      <c r="K322">
        <f t="shared" si="12"/>
        <v>41.34</v>
      </c>
      <c r="L322" t="str">
        <f>VLOOKUP(Tabell4[[#This Row],[Nät]],Indexnamn!A:A,1,FALSE)</f>
        <v>Åmål</v>
      </c>
      <c r="M322" t="str">
        <f>IF(ISTEXT(Tabell4[[#This Row],[Indexnamn]]),Tabell4[[#This Row],[Indexnamn]],LOOKUP(Tabell4[[#This Row],[Nät]],Tabell5[Nätnamn],#REF!))</f>
        <v>Åmål</v>
      </c>
      <c r="N322" t="str">
        <f>IF(Tabell4[[#This Row],[Finns i listan ]]=Tabell4[[#This Row],[Indexnamn]],"","NEJ")</f>
        <v/>
      </c>
    </row>
    <row r="323" spans="1:17" x14ac:dyDescent="0.25">
      <c r="A323" t="s">
        <v>706</v>
      </c>
      <c r="B323" t="s">
        <v>418</v>
      </c>
      <c r="C323">
        <v>75.900000000000006</v>
      </c>
      <c r="D323" t="s">
        <v>806</v>
      </c>
      <c r="E323" t="s">
        <v>806</v>
      </c>
      <c r="F323" t="s">
        <v>806</v>
      </c>
      <c r="G323">
        <f t="shared" ref="G323:J386" si="13">IF(ISTEXT(C323),0,C323)</f>
        <v>75.900000000000006</v>
      </c>
      <c r="H323">
        <f t="shared" si="13"/>
        <v>0</v>
      </c>
      <c r="I323">
        <f t="shared" si="13"/>
        <v>0</v>
      </c>
      <c r="J323">
        <f t="shared" si="13"/>
        <v>0</v>
      </c>
      <c r="K323">
        <f t="shared" ref="K323:K386" si="14">G323-H323-I323-J323</f>
        <v>75.900000000000006</v>
      </c>
      <c r="L323" t="str">
        <f>VLOOKUP(Tabell4[[#This Row],[Nät]],Indexnamn!A:A,1,FALSE)</f>
        <v>Stenungsund</v>
      </c>
      <c r="M323" t="str">
        <f>IF(ISTEXT(Tabell4[[#This Row],[Indexnamn]]),Tabell4[[#This Row],[Indexnamn]],LOOKUP(Tabell4[[#This Row],[Nät]],Tabell5[Nätnamn],#REF!))</f>
        <v>Stenungsund</v>
      </c>
      <c r="N323" t="str">
        <f>IF(Tabell4[[#This Row],[Finns i listan ]]=Tabell4[[#This Row],[Indexnamn]],"","NEJ")</f>
        <v/>
      </c>
    </row>
    <row r="324" spans="1:17" x14ac:dyDescent="0.25">
      <c r="A324" t="s">
        <v>706</v>
      </c>
      <c r="B324" t="s">
        <v>421</v>
      </c>
      <c r="C324">
        <v>0.90400000000000003</v>
      </c>
      <c r="D324" t="s">
        <v>806</v>
      </c>
      <c r="E324" t="s">
        <v>806</v>
      </c>
      <c r="F324" t="s">
        <v>806</v>
      </c>
      <c r="G324">
        <f t="shared" si="13"/>
        <v>0.90400000000000003</v>
      </c>
      <c r="H324">
        <f t="shared" si="13"/>
        <v>0</v>
      </c>
      <c r="I324">
        <f t="shared" si="13"/>
        <v>0</v>
      </c>
      <c r="J324">
        <f t="shared" si="13"/>
        <v>0</v>
      </c>
      <c r="K324">
        <f t="shared" si="14"/>
        <v>0.90400000000000003</v>
      </c>
      <c r="L324" t="str">
        <f>VLOOKUP(Tabell4[[#This Row],[Nät]],Indexnamn!A:A,1,FALSE)</f>
        <v>Stora Höga</v>
      </c>
      <c r="M324" t="str">
        <f>IF(ISTEXT(Tabell4[[#This Row],[Indexnamn]]),Tabell4[[#This Row],[Indexnamn]],LOOKUP(Tabell4[[#This Row],[Nät]],Tabell5[Nätnamn],#REF!))</f>
        <v>Stora Höga</v>
      </c>
      <c r="N324" t="str">
        <f>IF(Tabell4[[#This Row],[Finns i listan ]]=Tabell4[[#This Row],[Indexnamn]],"","NEJ")</f>
        <v/>
      </c>
    </row>
    <row r="325" spans="1:17" x14ac:dyDescent="0.25">
      <c r="A325" t="s">
        <v>884</v>
      </c>
      <c r="B325" t="s">
        <v>885</v>
      </c>
      <c r="C325" t="s">
        <v>805</v>
      </c>
      <c r="D325" t="s">
        <v>805</v>
      </c>
      <c r="E325" t="s">
        <v>805</v>
      </c>
      <c r="F325" t="s">
        <v>805</v>
      </c>
      <c r="G325">
        <f t="shared" si="13"/>
        <v>0</v>
      </c>
      <c r="H325">
        <f t="shared" si="13"/>
        <v>0</v>
      </c>
      <c r="I325">
        <f t="shared" si="13"/>
        <v>0</v>
      </c>
      <c r="J325">
        <f t="shared" si="13"/>
        <v>0</v>
      </c>
      <c r="K325">
        <f t="shared" si="14"/>
        <v>0</v>
      </c>
      <c r="L325" t="e">
        <f>VLOOKUP(Tabell4[[#This Row],[Nät]],Indexnamn!A:A,1,FALSE)</f>
        <v>#N/A</v>
      </c>
      <c r="N325" t="e">
        <f>IF(Tabell4[[#This Row],[Finns i listan ]]=Tabell4[[#This Row],[Indexnamn]],"","NEJ")</f>
        <v>#N/A</v>
      </c>
    </row>
    <row r="326" spans="1:17" x14ac:dyDescent="0.25">
      <c r="A326" t="s">
        <v>884</v>
      </c>
      <c r="B326" t="s">
        <v>886</v>
      </c>
      <c r="C326" t="s">
        <v>805</v>
      </c>
      <c r="D326" t="s">
        <v>805</v>
      </c>
      <c r="E326" t="s">
        <v>805</v>
      </c>
      <c r="F326" t="s">
        <v>805</v>
      </c>
      <c r="G326">
        <f t="shared" si="13"/>
        <v>0</v>
      </c>
      <c r="H326">
        <f t="shared" si="13"/>
        <v>0</v>
      </c>
      <c r="I326">
        <f t="shared" si="13"/>
        <v>0</v>
      </c>
      <c r="J326">
        <f t="shared" si="13"/>
        <v>0</v>
      </c>
      <c r="K326">
        <f t="shared" si="14"/>
        <v>0</v>
      </c>
      <c r="L326" t="e">
        <f>VLOOKUP(Tabell4[[#This Row],[Nät]],Indexnamn!A:A,1,FALSE)</f>
        <v>#N/A</v>
      </c>
      <c r="N326" t="e">
        <f>IF(Tabell4[[#This Row],[Finns i listan ]]=Tabell4[[#This Row],[Indexnamn]],"","NEJ")</f>
        <v>#N/A</v>
      </c>
    </row>
    <row r="327" spans="1:17" x14ac:dyDescent="0.25">
      <c r="A327" t="s">
        <v>884</v>
      </c>
      <c r="B327" t="s">
        <v>887</v>
      </c>
      <c r="C327" t="s">
        <v>805</v>
      </c>
      <c r="D327" t="s">
        <v>805</v>
      </c>
      <c r="E327" t="s">
        <v>805</v>
      </c>
      <c r="F327" t="s">
        <v>805</v>
      </c>
      <c r="G327">
        <f t="shared" si="13"/>
        <v>0</v>
      </c>
      <c r="H327">
        <f t="shared" si="13"/>
        <v>0</v>
      </c>
      <c r="I327">
        <f t="shared" si="13"/>
        <v>0</v>
      </c>
      <c r="J327">
        <f t="shared" si="13"/>
        <v>0</v>
      </c>
      <c r="K327">
        <f t="shared" si="14"/>
        <v>0</v>
      </c>
      <c r="L327" t="e">
        <f>VLOOKUP(Tabell4[[#This Row],[Nät]],Indexnamn!A:A,1,FALSE)</f>
        <v>#N/A</v>
      </c>
      <c r="N327" t="e">
        <f>IF(Tabell4[[#This Row],[Finns i listan ]]=Tabell4[[#This Row],[Indexnamn]],"","NEJ")</f>
        <v>#N/A</v>
      </c>
    </row>
    <row r="328" spans="1:17" x14ac:dyDescent="0.25">
      <c r="A328" t="s">
        <v>884</v>
      </c>
      <c r="B328" t="s">
        <v>420</v>
      </c>
      <c r="C328">
        <v>8153.6</v>
      </c>
      <c r="D328">
        <v>782.87</v>
      </c>
      <c r="E328">
        <v>116.2</v>
      </c>
      <c r="F328">
        <v>56.6</v>
      </c>
      <c r="G328">
        <f t="shared" si="13"/>
        <v>8153.6</v>
      </c>
      <c r="H328">
        <f t="shared" si="13"/>
        <v>782.87</v>
      </c>
      <c r="I328">
        <f t="shared" si="13"/>
        <v>116.2</v>
      </c>
      <c r="J328">
        <f t="shared" si="13"/>
        <v>56.6</v>
      </c>
      <c r="K328">
        <f t="shared" si="14"/>
        <v>7197.93</v>
      </c>
      <c r="L328" t="str">
        <f>VLOOKUP(Tabell4[[#This Row],[Nät]],Indexnamn!A:A,1,FALSE)</f>
        <v>Stockholm</v>
      </c>
      <c r="M328" t="str">
        <f>IF(ISTEXT(Tabell4[[#This Row],[Indexnamn]]),Tabell4[[#This Row],[Indexnamn]],LOOKUP(Tabell4[[#This Row],[Nät]],Tabell5[Nätnamn],#REF!))</f>
        <v>Stockholm</v>
      </c>
      <c r="N328" t="str">
        <f>IF(Tabell4[[#This Row],[Finns i listan ]]=Tabell4[[#This Row],[Indexnamn]],"","NEJ")</f>
        <v/>
      </c>
    </row>
    <row r="329" spans="1:17" x14ac:dyDescent="0.25">
      <c r="A329" t="s">
        <v>884</v>
      </c>
      <c r="B329" t="s">
        <v>888</v>
      </c>
      <c r="C329" t="s">
        <v>805</v>
      </c>
      <c r="D329" t="s">
        <v>805</v>
      </c>
      <c r="E329" t="s">
        <v>805</v>
      </c>
      <c r="F329" t="s">
        <v>805</v>
      </c>
      <c r="G329">
        <f t="shared" si="13"/>
        <v>0</v>
      </c>
      <c r="H329">
        <f t="shared" si="13"/>
        <v>0</v>
      </c>
      <c r="I329">
        <f t="shared" si="13"/>
        <v>0</v>
      </c>
      <c r="J329">
        <f t="shared" si="13"/>
        <v>0</v>
      </c>
      <c r="K329">
        <f t="shared" si="14"/>
        <v>0</v>
      </c>
      <c r="L329" t="e">
        <f>VLOOKUP(Tabell4[[#This Row],[Nät]],Indexnamn!A:A,1,FALSE)</f>
        <v>#N/A</v>
      </c>
      <c r="N329" t="e">
        <f>IF(Tabell4[[#This Row],[Finns i listan ]]=Tabell4[[#This Row],[Indexnamn]],"","NEJ")</f>
        <v>#N/A</v>
      </c>
    </row>
    <row r="330" spans="1:17" x14ac:dyDescent="0.25">
      <c r="A330" t="s">
        <v>884</v>
      </c>
      <c r="B330" t="s">
        <v>933</v>
      </c>
      <c r="C330" t="s">
        <v>805</v>
      </c>
      <c r="D330" t="s">
        <v>805</v>
      </c>
      <c r="E330" t="s">
        <v>805</v>
      </c>
      <c r="F330" t="s">
        <v>805</v>
      </c>
      <c r="G330">
        <f t="shared" si="13"/>
        <v>0</v>
      </c>
      <c r="H330">
        <f t="shared" si="13"/>
        <v>0</v>
      </c>
      <c r="I330">
        <f t="shared" si="13"/>
        <v>0</v>
      </c>
      <c r="J330">
        <f t="shared" si="13"/>
        <v>0</v>
      </c>
      <c r="K330">
        <f t="shared" si="14"/>
        <v>0</v>
      </c>
      <c r="L330" t="e">
        <f>VLOOKUP(Tabell4[[#This Row],[Nät]],Indexnamn!A:A,1,FALSE)</f>
        <v>#N/A</v>
      </c>
      <c r="N330" t="e">
        <f>IF(Tabell4[[#This Row],[Finns i listan ]]=Tabell4[[#This Row],[Indexnamn]],"","NEJ")</f>
        <v>#N/A</v>
      </c>
    </row>
    <row r="331" spans="1:17" x14ac:dyDescent="0.25">
      <c r="A331" t="s">
        <v>884</v>
      </c>
      <c r="B331" t="s">
        <v>934</v>
      </c>
      <c r="C331" t="s">
        <v>805</v>
      </c>
      <c r="D331" t="s">
        <v>805</v>
      </c>
      <c r="E331" t="s">
        <v>805</v>
      </c>
      <c r="F331" t="s">
        <v>805</v>
      </c>
      <c r="G331">
        <f t="shared" si="13"/>
        <v>0</v>
      </c>
      <c r="H331">
        <f t="shared" si="13"/>
        <v>0</v>
      </c>
      <c r="I331">
        <f t="shared" si="13"/>
        <v>0</v>
      </c>
      <c r="J331">
        <f t="shared" si="13"/>
        <v>0</v>
      </c>
      <c r="K331">
        <f t="shared" si="14"/>
        <v>0</v>
      </c>
      <c r="L331" t="e">
        <f>VLOOKUP(Tabell4[[#This Row],[Nät]],Indexnamn!A:A,1,FALSE)</f>
        <v>#N/A</v>
      </c>
      <c r="N331" t="e">
        <f>IF(Tabell4[[#This Row],[Finns i listan ]]=Tabell4[[#This Row],[Indexnamn]],"","NEJ")</f>
        <v>#N/A</v>
      </c>
    </row>
    <row r="332" spans="1:17" x14ac:dyDescent="0.25">
      <c r="A332" t="s">
        <v>884</v>
      </c>
      <c r="B332" t="s">
        <v>889</v>
      </c>
      <c r="C332" t="s">
        <v>805</v>
      </c>
      <c r="D332" t="s">
        <v>805</v>
      </c>
      <c r="E332" t="s">
        <v>805</v>
      </c>
      <c r="F332" t="s">
        <v>805</v>
      </c>
      <c r="G332">
        <f t="shared" si="13"/>
        <v>0</v>
      </c>
      <c r="H332">
        <f t="shared" si="13"/>
        <v>0</v>
      </c>
      <c r="I332">
        <f t="shared" si="13"/>
        <v>0</v>
      </c>
      <c r="J332">
        <f t="shared" si="13"/>
        <v>0</v>
      </c>
      <c r="K332">
        <f t="shared" si="14"/>
        <v>0</v>
      </c>
      <c r="L332" t="e">
        <f>VLOOKUP(Tabell4[[#This Row],[Nät]],Indexnamn!A:A,1,FALSE)</f>
        <v>#N/A</v>
      </c>
      <c r="N332" t="e">
        <f>IF(Tabell4[[#This Row],[Finns i listan ]]=Tabell4[[#This Row],[Indexnamn]],"","NEJ")</f>
        <v>#N/A</v>
      </c>
    </row>
    <row r="333" spans="1:17" x14ac:dyDescent="0.25">
      <c r="A333" t="s">
        <v>884</v>
      </c>
      <c r="B333" t="s">
        <v>890</v>
      </c>
      <c r="C333" t="s">
        <v>805</v>
      </c>
      <c r="D333" t="s">
        <v>805</v>
      </c>
      <c r="E333" t="s">
        <v>805</v>
      </c>
      <c r="F333" t="s">
        <v>805</v>
      </c>
      <c r="G333">
        <f t="shared" si="13"/>
        <v>0</v>
      </c>
      <c r="H333">
        <f t="shared" si="13"/>
        <v>0</v>
      </c>
      <c r="I333">
        <f t="shared" si="13"/>
        <v>0</v>
      </c>
      <c r="J333">
        <f t="shared" si="13"/>
        <v>0</v>
      </c>
      <c r="K333">
        <f t="shared" si="14"/>
        <v>0</v>
      </c>
      <c r="L333" t="e">
        <f>VLOOKUP(Tabell4[[#This Row],[Nät]],Indexnamn!A:A,1,FALSE)</f>
        <v>#N/A</v>
      </c>
      <c r="N333" t="e">
        <f>IF(Tabell4[[#This Row],[Finns i listan ]]=Tabell4[[#This Row],[Indexnamn]],"","NEJ")</f>
        <v>#N/A</v>
      </c>
    </row>
    <row r="334" spans="1:17" x14ac:dyDescent="0.25">
      <c r="A334" t="s">
        <v>884</v>
      </c>
      <c r="B334" t="s">
        <v>935</v>
      </c>
      <c r="C334" t="s">
        <v>805</v>
      </c>
      <c r="D334" t="s">
        <v>805</v>
      </c>
      <c r="E334" t="s">
        <v>805</v>
      </c>
      <c r="F334" t="s">
        <v>805</v>
      </c>
      <c r="G334">
        <f t="shared" si="13"/>
        <v>0</v>
      </c>
      <c r="H334">
        <f t="shared" si="13"/>
        <v>0</v>
      </c>
      <c r="I334">
        <f t="shared" si="13"/>
        <v>0</v>
      </c>
      <c r="J334">
        <f t="shared" si="13"/>
        <v>0</v>
      </c>
      <c r="K334">
        <f t="shared" si="14"/>
        <v>0</v>
      </c>
      <c r="L334" t="e">
        <f>VLOOKUP(Tabell4[[#This Row],[Nät]],Indexnamn!A:A,1,FALSE)</f>
        <v>#N/A</v>
      </c>
      <c r="N334" t="e">
        <f>IF(Tabell4[[#This Row],[Finns i listan ]]=Tabell4[[#This Row],[Indexnamn]],"","NEJ")</f>
        <v>#N/A</v>
      </c>
    </row>
    <row r="335" spans="1:17" x14ac:dyDescent="0.25">
      <c r="A335" t="s">
        <v>884</v>
      </c>
      <c r="B335" t="s">
        <v>442</v>
      </c>
      <c r="C335">
        <v>62.601999999999997</v>
      </c>
      <c r="D335" t="s">
        <v>806</v>
      </c>
      <c r="E335" t="s">
        <v>806</v>
      </c>
      <c r="F335" t="s">
        <v>806</v>
      </c>
      <c r="G335">
        <f t="shared" si="13"/>
        <v>62.601999999999997</v>
      </c>
      <c r="H335">
        <f t="shared" si="13"/>
        <v>0</v>
      </c>
      <c r="I335">
        <f t="shared" si="13"/>
        <v>0</v>
      </c>
      <c r="J335">
        <f t="shared" si="13"/>
        <v>0</v>
      </c>
      <c r="K335">
        <f t="shared" si="14"/>
        <v>62.601999999999997</v>
      </c>
      <c r="L335" t="str">
        <f>VLOOKUP(Tabell4[[#This Row],[Nät]],Indexnamn!A:A,1,FALSE)</f>
        <v>Täby</v>
      </c>
      <c r="M335" t="str">
        <f>IF(ISTEXT(Tabell4[[#This Row],[Indexnamn]]),Tabell4[[#This Row],[Indexnamn]],LOOKUP(Tabell4[[#This Row],[Nät]],Tabell5[Nätnamn],#REF!))</f>
        <v>Täby</v>
      </c>
      <c r="N335" t="str">
        <f>IF(Tabell4[[#This Row],[Finns i listan ]]=Tabell4[[#This Row],[Indexnamn]],"","NEJ")</f>
        <v/>
      </c>
      <c r="Q335">
        <v>69.5</v>
      </c>
    </row>
    <row r="336" spans="1:17" x14ac:dyDescent="0.25">
      <c r="A336" t="s">
        <v>884</v>
      </c>
      <c r="B336" t="s">
        <v>891</v>
      </c>
      <c r="C336" t="s">
        <v>805</v>
      </c>
      <c r="D336" t="s">
        <v>805</v>
      </c>
      <c r="E336" t="s">
        <v>805</v>
      </c>
      <c r="F336" t="s">
        <v>805</v>
      </c>
      <c r="G336">
        <f t="shared" si="13"/>
        <v>0</v>
      </c>
      <c r="H336">
        <f t="shared" si="13"/>
        <v>0</v>
      </c>
      <c r="I336">
        <f t="shared" si="13"/>
        <v>0</v>
      </c>
      <c r="J336">
        <f t="shared" si="13"/>
        <v>0</v>
      </c>
      <c r="K336">
        <f t="shared" si="14"/>
        <v>0</v>
      </c>
      <c r="L336" t="e">
        <f>VLOOKUP(Tabell4[[#This Row],[Nät]],Indexnamn!A:A,1,FALSE)</f>
        <v>#N/A</v>
      </c>
      <c r="N336" t="e">
        <f>IF(Tabell4[[#This Row],[Finns i listan ]]=Tabell4[[#This Row],[Indexnamn]],"","NEJ")</f>
        <v>#N/A</v>
      </c>
      <c r="Q336">
        <f>Q335+K335</f>
        <v>132.102</v>
      </c>
    </row>
    <row r="337" spans="1:14" x14ac:dyDescent="0.25">
      <c r="A337" t="s">
        <v>709</v>
      </c>
      <c r="B337" t="s">
        <v>285</v>
      </c>
      <c r="C337">
        <v>128.99299999999999</v>
      </c>
      <c r="D337" t="s">
        <v>806</v>
      </c>
      <c r="E337" t="s">
        <v>806</v>
      </c>
      <c r="F337" t="s">
        <v>806</v>
      </c>
      <c r="G337">
        <f t="shared" si="13"/>
        <v>128.99299999999999</v>
      </c>
      <c r="H337">
        <f t="shared" si="13"/>
        <v>0</v>
      </c>
      <c r="I337">
        <f t="shared" si="13"/>
        <v>0</v>
      </c>
      <c r="J337">
        <f t="shared" si="13"/>
        <v>0</v>
      </c>
      <c r="K337">
        <f t="shared" si="14"/>
        <v>128.99299999999999</v>
      </c>
      <c r="L337" t="str">
        <f>VLOOKUP(Tabell4[[#This Row],[Nät]],Indexnamn!A:A,1,FALSE)</f>
        <v>Strängnäs</v>
      </c>
      <c r="M337" t="str">
        <f>IF(ISTEXT(Tabell4[[#This Row],[Indexnamn]]),Tabell4[[#This Row],[Indexnamn]],LOOKUP(Tabell4[[#This Row],[Nät]],Tabell5[Nätnamn],#REF!))</f>
        <v>Strängnäs</v>
      </c>
      <c r="N337" t="str">
        <f>IF(Tabell4[[#This Row],[Finns i listan ]]=Tabell4[[#This Row],[Indexnamn]],"","NEJ")</f>
        <v/>
      </c>
    </row>
    <row r="338" spans="1:14" x14ac:dyDescent="0.25">
      <c r="A338" t="s">
        <v>892</v>
      </c>
      <c r="B338" t="s">
        <v>512</v>
      </c>
      <c r="C338" t="s">
        <v>805</v>
      </c>
      <c r="D338" t="s">
        <v>805</v>
      </c>
      <c r="E338" t="s">
        <v>805</v>
      </c>
      <c r="F338" t="s">
        <v>805</v>
      </c>
      <c r="G338">
        <f t="shared" si="13"/>
        <v>0</v>
      </c>
      <c r="H338">
        <f t="shared" si="13"/>
        <v>0</v>
      </c>
      <c r="I338">
        <f t="shared" si="13"/>
        <v>0</v>
      </c>
      <c r="J338">
        <f t="shared" si="13"/>
        <v>0</v>
      </c>
      <c r="K338">
        <f t="shared" si="14"/>
        <v>0</v>
      </c>
      <c r="L338" t="e">
        <f>VLOOKUP(Tabell4[[#This Row],[Nät]],Indexnamn!A:A,1,FALSE)</f>
        <v>#N/A</v>
      </c>
      <c r="M338" t="e">
        <f>IF(ISTEXT(Tabell4[[#This Row],[Indexnamn]]),Tabell4[[#This Row],[Indexnamn]],LOOKUP(Tabell4[[#This Row],[Nät]],Tabell5[Nätnamn],#REF!))</f>
        <v>#REF!</v>
      </c>
      <c r="N338" t="e">
        <f>IF(Tabell4[[#This Row],[Finns i listan ]]=Tabell4[[#This Row],[Indexnamn]],"","NEJ")</f>
        <v>#REF!</v>
      </c>
    </row>
    <row r="339" spans="1:14" x14ac:dyDescent="0.25">
      <c r="A339" t="s">
        <v>657</v>
      </c>
      <c r="B339" t="s">
        <v>291</v>
      </c>
      <c r="C339">
        <v>22.17</v>
      </c>
      <c r="D339" t="s">
        <v>806</v>
      </c>
      <c r="E339" t="s">
        <v>806</v>
      </c>
      <c r="F339" t="s">
        <v>806</v>
      </c>
      <c r="G339">
        <f t="shared" si="13"/>
        <v>22.17</v>
      </c>
      <c r="H339">
        <f t="shared" si="13"/>
        <v>0</v>
      </c>
      <c r="I339">
        <f t="shared" si="13"/>
        <v>0</v>
      </c>
      <c r="J339">
        <f t="shared" si="13"/>
        <v>0</v>
      </c>
      <c r="K339">
        <f t="shared" si="14"/>
        <v>22.17</v>
      </c>
      <c r="L339" t="str">
        <f>VLOOKUP(Tabell4[[#This Row],[Nät]],Indexnamn!A:A,1,FALSE)</f>
        <v>Kvissleby</v>
      </c>
      <c r="M339" t="str">
        <f>IF(ISTEXT(Tabell4[[#This Row],[Indexnamn]]),Tabell4[[#This Row],[Indexnamn]],LOOKUP(Tabell4[[#This Row],[Nät]],Tabell5[Nätnamn],#REF!))</f>
        <v>Kvissleby</v>
      </c>
      <c r="N339" t="str">
        <f>IF(Tabell4[[#This Row],[Finns i listan ]]=Tabell4[[#This Row],[Indexnamn]],"","NEJ")</f>
        <v/>
      </c>
    </row>
    <row r="340" spans="1:14" x14ac:dyDescent="0.25">
      <c r="A340" t="s">
        <v>657</v>
      </c>
      <c r="B340" t="s">
        <v>294</v>
      </c>
      <c r="C340">
        <v>15.388999999999999</v>
      </c>
      <c r="D340" t="s">
        <v>806</v>
      </c>
      <c r="E340" t="s">
        <v>806</v>
      </c>
      <c r="F340" t="s">
        <v>806</v>
      </c>
      <c r="G340">
        <f t="shared" si="13"/>
        <v>15.388999999999999</v>
      </c>
      <c r="H340">
        <f t="shared" si="13"/>
        <v>0</v>
      </c>
      <c r="I340">
        <f t="shared" si="13"/>
        <v>0</v>
      </c>
      <c r="J340">
        <f t="shared" si="13"/>
        <v>0</v>
      </c>
      <c r="K340">
        <f t="shared" si="14"/>
        <v>15.388999999999999</v>
      </c>
      <c r="L340" t="str">
        <f>VLOOKUP(Tabell4[[#This Row],[Nät]],Indexnamn!A:A,1,FALSE)</f>
        <v>Matfors</v>
      </c>
      <c r="M340" t="str">
        <f>IF(ISTEXT(Tabell4[[#This Row],[Indexnamn]]),Tabell4[[#This Row],[Indexnamn]],LOOKUP(Tabell4[[#This Row],[Nät]],Tabell5[Nätnamn],#REF!))</f>
        <v>Matfors</v>
      </c>
      <c r="N340" t="str">
        <f>IF(Tabell4[[#This Row],[Finns i listan ]]=Tabell4[[#This Row],[Indexnamn]],"","NEJ")</f>
        <v/>
      </c>
    </row>
    <row r="341" spans="1:14" x14ac:dyDescent="0.25">
      <c r="A341" t="s">
        <v>657</v>
      </c>
      <c r="B341" t="s">
        <v>288</v>
      </c>
      <c r="C341">
        <f>525.179+C343</f>
        <v>531.61699999999996</v>
      </c>
      <c r="D341" t="s">
        <v>806</v>
      </c>
      <c r="E341" t="s">
        <v>806</v>
      </c>
      <c r="F341" t="s">
        <v>806</v>
      </c>
      <c r="G341">
        <f t="shared" si="13"/>
        <v>531.61699999999996</v>
      </c>
      <c r="H341">
        <f t="shared" si="13"/>
        <v>0</v>
      </c>
      <c r="I341">
        <f t="shared" si="13"/>
        <v>0</v>
      </c>
      <c r="J341">
        <f t="shared" si="13"/>
        <v>0</v>
      </c>
      <c r="K341">
        <f t="shared" si="14"/>
        <v>531.61699999999996</v>
      </c>
      <c r="L341" t="str">
        <f>VLOOKUP(Tabell4[[#This Row],[Nät]],Indexnamn!A:A,1,FALSE)</f>
        <v>Sundsvall</v>
      </c>
      <c r="M341" t="str">
        <f>IF(ISTEXT(Tabell4[[#This Row],[Indexnamn]]),Tabell4[[#This Row],[Indexnamn]],LOOKUP(Tabell4[[#This Row],[Nät]],Tabell5[Nätnamn],#REF!))</f>
        <v>Sundsvall</v>
      </c>
      <c r="N341" t="str">
        <f>IF(Tabell4[[#This Row],[Finns i listan ]]=Tabell4[[#This Row],[Indexnamn]],"","NEJ")</f>
        <v/>
      </c>
    </row>
    <row r="342" spans="1:14" x14ac:dyDescent="0.25">
      <c r="A342" t="s">
        <v>657</v>
      </c>
      <c r="B342" t="s">
        <v>727</v>
      </c>
      <c r="C342">
        <v>127.43300000000001</v>
      </c>
      <c r="D342" t="s">
        <v>806</v>
      </c>
      <c r="E342" t="s">
        <v>806</v>
      </c>
      <c r="F342" t="s">
        <v>806</v>
      </c>
      <c r="G342">
        <f t="shared" si="13"/>
        <v>127.43300000000001</v>
      </c>
      <c r="H342">
        <f t="shared" si="13"/>
        <v>0</v>
      </c>
      <c r="I342">
        <f t="shared" si="13"/>
        <v>0</v>
      </c>
      <c r="J342">
        <f t="shared" si="13"/>
        <v>0</v>
      </c>
      <c r="K342">
        <f t="shared" si="14"/>
        <v>127.43300000000001</v>
      </c>
      <c r="L342" t="str">
        <f>VLOOKUP(Tabell4[[#This Row],[Nät]],Indexnamn!A:A,1,FALSE)</f>
        <v>Tunadal</v>
      </c>
      <c r="M342" t="str">
        <f>IF(ISTEXT(Tabell4[[#This Row],[Indexnamn]]),Tabell4[[#This Row],[Indexnamn]],LOOKUP(Tabell4[[#This Row],[Nät]],Tabell5[Nätnamn],#REF!))</f>
        <v>Tunadal</v>
      </c>
      <c r="N342" t="str">
        <f>IF(Tabell4[[#This Row],[Finns i listan ]]=Tabell4[[#This Row],[Indexnamn]],"","NEJ")</f>
        <v/>
      </c>
    </row>
    <row r="343" spans="1:14" x14ac:dyDescent="0.25">
      <c r="A343" t="s">
        <v>657</v>
      </c>
      <c r="B343" t="s">
        <v>742</v>
      </c>
      <c r="C343">
        <v>6.4379999999999997</v>
      </c>
      <c r="D343" t="s">
        <v>806</v>
      </c>
      <c r="E343" t="s">
        <v>806</v>
      </c>
      <c r="F343" t="s">
        <v>806</v>
      </c>
      <c r="G343">
        <f t="shared" si="13"/>
        <v>6.4379999999999997</v>
      </c>
      <c r="H343">
        <f t="shared" si="13"/>
        <v>0</v>
      </c>
      <c r="I343">
        <f t="shared" si="13"/>
        <v>0</v>
      </c>
      <c r="J343">
        <f t="shared" si="13"/>
        <v>0</v>
      </c>
      <c r="K343">
        <f t="shared" si="14"/>
        <v>6.4379999999999997</v>
      </c>
      <c r="L343" t="e">
        <f>VLOOKUP(Tabell4[[#This Row],[Nät]],Indexnamn!A:A,1,FALSE)</f>
        <v>#N/A</v>
      </c>
      <c r="N343" t="e">
        <f>IF(Tabell4[[#This Row],[Finns i listan ]]=Tabell4[[#This Row],[Indexnamn]],"","NEJ")</f>
        <v>#N/A</v>
      </c>
    </row>
    <row r="344" spans="1:14" x14ac:dyDescent="0.25">
      <c r="A344" t="s">
        <v>893</v>
      </c>
      <c r="B344" t="s">
        <v>894</v>
      </c>
      <c r="C344">
        <v>1000</v>
      </c>
      <c r="D344" t="s">
        <v>805</v>
      </c>
      <c r="E344" t="s">
        <v>805</v>
      </c>
      <c r="F344" t="s">
        <v>805</v>
      </c>
      <c r="G344">
        <f t="shared" si="13"/>
        <v>1000</v>
      </c>
      <c r="H344">
        <f t="shared" si="13"/>
        <v>0</v>
      </c>
      <c r="I344">
        <f t="shared" si="13"/>
        <v>0</v>
      </c>
      <c r="J344">
        <f t="shared" si="13"/>
        <v>0</v>
      </c>
      <c r="K344">
        <f t="shared" si="14"/>
        <v>1000</v>
      </c>
      <c r="L344" t="e">
        <f>VLOOKUP(Tabell4[[#This Row],[Nät]],Indexnamn!A:A,1,FALSE)</f>
        <v>#N/A</v>
      </c>
      <c r="N344" t="e">
        <f>IF(Tabell4[[#This Row],[Finns i listan ]]=Tabell4[[#This Row],[Indexnamn]],"","NEJ")</f>
        <v>#N/A</v>
      </c>
    </row>
    <row r="345" spans="1:14" x14ac:dyDescent="0.25">
      <c r="A345" t="s">
        <v>893</v>
      </c>
      <c r="B345" t="s">
        <v>936</v>
      </c>
      <c r="C345">
        <v>1000</v>
      </c>
      <c r="D345" t="s">
        <v>806</v>
      </c>
      <c r="E345" t="s">
        <v>806</v>
      </c>
      <c r="F345" t="s">
        <v>806</v>
      </c>
      <c r="G345">
        <f t="shared" si="13"/>
        <v>1000</v>
      </c>
      <c r="H345">
        <f t="shared" si="13"/>
        <v>0</v>
      </c>
      <c r="I345">
        <f t="shared" si="13"/>
        <v>0</v>
      </c>
      <c r="J345">
        <f t="shared" si="13"/>
        <v>0</v>
      </c>
      <c r="K345">
        <f t="shared" si="14"/>
        <v>1000</v>
      </c>
      <c r="L345" t="e">
        <f>VLOOKUP(Tabell4[[#This Row],[Nät]],Indexnamn!A:A,1,FALSE)</f>
        <v>#N/A</v>
      </c>
      <c r="N345" t="e">
        <f>IF(Tabell4[[#This Row],[Finns i listan ]]=Tabell4[[#This Row],[Indexnamn]],"","NEJ")</f>
        <v>#N/A</v>
      </c>
    </row>
    <row r="346" spans="1:14" x14ac:dyDescent="0.25">
      <c r="A346" t="s">
        <v>893</v>
      </c>
      <c r="B346" t="s">
        <v>895</v>
      </c>
      <c r="C346" t="s">
        <v>805</v>
      </c>
      <c r="D346" t="s">
        <v>805</v>
      </c>
      <c r="E346" t="s">
        <v>805</v>
      </c>
      <c r="F346" t="s">
        <v>805</v>
      </c>
      <c r="G346">
        <f t="shared" si="13"/>
        <v>0</v>
      </c>
      <c r="H346">
        <f t="shared" si="13"/>
        <v>0</v>
      </c>
      <c r="I346">
        <f t="shared" si="13"/>
        <v>0</v>
      </c>
      <c r="J346">
        <f t="shared" si="13"/>
        <v>0</v>
      </c>
      <c r="K346">
        <f t="shared" si="14"/>
        <v>0</v>
      </c>
      <c r="L346" t="e">
        <f>VLOOKUP(Tabell4[[#This Row],[Nät]],Indexnamn!A:A,1,FALSE)</f>
        <v>#N/A</v>
      </c>
      <c r="N346" t="e">
        <f>IF(Tabell4[[#This Row],[Finns i listan ]]=Tabell4[[#This Row],[Indexnamn]],"","NEJ")</f>
        <v>#N/A</v>
      </c>
    </row>
    <row r="347" spans="1:14" x14ac:dyDescent="0.25">
      <c r="A347" t="s">
        <v>893</v>
      </c>
      <c r="B347" t="s">
        <v>896</v>
      </c>
      <c r="C347">
        <v>48285</v>
      </c>
      <c r="D347" t="s">
        <v>805</v>
      </c>
      <c r="E347" t="s">
        <v>805</v>
      </c>
      <c r="F347" t="s">
        <v>805</v>
      </c>
      <c r="G347">
        <f t="shared" si="13"/>
        <v>48285</v>
      </c>
      <c r="H347">
        <f t="shared" si="13"/>
        <v>0</v>
      </c>
      <c r="I347">
        <f t="shared" si="13"/>
        <v>0</v>
      </c>
      <c r="J347">
        <f t="shared" si="13"/>
        <v>0</v>
      </c>
      <c r="K347">
        <f t="shared" si="14"/>
        <v>48285</v>
      </c>
      <c r="L347" t="e">
        <f>VLOOKUP(Tabell4[[#This Row],[Nät]],Indexnamn!A:A,1,FALSE)</f>
        <v>#N/A</v>
      </c>
      <c r="N347" t="e">
        <f>IF(Tabell4[[#This Row],[Finns i listan ]]=Tabell4[[#This Row],[Indexnamn]],"","NEJ")</f>
        <v>#N/A</v>
      </c>
    </row>
    <row r="348" spans="1:14" x14ac:dyDescent="0.25">
      <c r="A348" t="s">
        <v>715</v>
      </c>
      <c r="B348" t="s">
        <v>716</v>
      </c>
      <c r="C348" t="s">
        <v>805</v>
      </c>
      <c r="D348" t="s">
        <v>805</v>
      </c>
      <c r="E348" t="s">
        <v>805</v>
      </c>
      <c r="F348" t="s">
        <v>805</v>
      </c>
      <c r="G348">
        <f t="shared" si="13"/>
        <v>0</v>
      </c>
      <c r="H348">
        <f t="shared" si="13"/>
        <v>0</v>
      </c>
      <c r="I348">
        <f t="shared" si="13"/>
        <v>0</v>
      </c>
      <c r="J348">
        <f t="shared" si="13"/>
        <v>0</v>
      </c>
      <c r="K348">
        <f t="shared" si="14"/>
        <v>0</v>
      </c>
      <c r="L348" t="e">
        <f>VLOOKUP(Tabell4[[#This Row],[Nät]],Indexnamn!A:A,1,FALSE)</f>
        <v>#N/A</v>
      </c>
      <c r="M348" t="e">
        <f>IF(ISTEXT(Tabell4[[#This Row],[Indexnamn]]),Tabell4[[#This Row],[Indexnamn]],LOOKUP(Tabell4[[#This Row],[Nät]],Tabell5[Nätnamn],#REF!))</f>
        <v>#REF!</v>
      </c>
      <c r="N348" t="e">
        <f>IF(Tabell4[[#This Row],[Finns i listan ]]=Tabell4[[#This Row],[Indexnamn]],"","NEJ")</f>
        <v>#REF!</v>
      </c>
    </row>
    <row r="349" spans="1:14" x14ac:dyDescent="0.25">
      <c r="A349" t="s">
        <v>666</v>
      </c>
      <c r="B349" t="s">
        <v>302</v>
      </c>
      <c r="C349">
        <v>9.657</v>
      </c>
      <c r="D349" t="s">
        <v>806</v>
      </c>
      <c r="E349" t="s">
        <v>806</v>
      </c>
      <c r="F349" t="s">
        <v>806</v>
      </c>
      <c r="G349">
        <f t="shared" si="13"/>
        <v>9.657</v>
      </c>
      <c r="H349">
        <f t="shared" si="13"/>
        <v>0</v>
      </c>
      <c r="I349">
        <f t="shared" si="13"/>
        <v>0</v>
      </c>
      <c r="J349">
        <f t="shared" si="13"/>
        <v>0</v>
      </c>
      <c r="K349">
        <f t="shared" si="14"/>
        <v>9.657</v>
      </c>
      <c r="L349" t="str">
        <f>VLOOKUP(Tabell4[[#This Row],[Nät]],Indexnamn!A:A,1,FALSE)</f>
        <v>Ljusne</v>
      </c>
      <c r="M349" t="str">
        <f>IF(ISTEXT(Tabell4[[#This Row],[Indexnamn]]),Tabell4[[#This Row],[Indexnamn]],LOOKUP(Tabell4[[#This Row],[Nät]],Tabell5[Nätnamn],#REF!))</f>
        <v>Ljusne</v>
      </c>
      <c r="N349" t="str">
        <f>IF(Tabell4[[#This Row],[Finns i listan ]]=Tabell4[[#This Row],[Indexnamn]],"","NEJ")</f>
        <v/>
      </c>
    </row>
    <row r="350" spans="1:14" x14ac:dyDescent="0.25">
      <c r="A350" t="s">
        <v>666</v>
      </c>
      <c r="B350" t="s">
        <v>795</v>
      </c>
      <c r="C350" t="s">
        <v>806</v>
      </c>
      <c r="D350" t="s">
        <v>806</v>
      </c>
      <c r="E350" t="s">
        <v>806</v>
      </c>
      <c r="F350" t="s">
        <v>806</v>
      </c>
      <c r="G350">
        <f t="shared" si="13"/>
        <v>0</v>
      </c>
      <c r="H350">
        <f t="shared" si="13"/>
        <v>0</v>
      </c>
      <c r="I350">
        <f t="shared" si="13"/>
        <v>0</v>
      </c>
      <c r="J350">
        <f t="shared" si="13"/>
        <v>0</v>
      </c>
      <c r="K350">
        <f t="shared" si="14"/>
        <v>0</v>
      </c>
      <c r="L350" t="str">
        <f>VLOOKUP(Tabell4[[#This Row],[Nät]],Indexnamn!A:A,1,FALSE)</f>
        <v>Mohed</v>
      </c>
      <c r="M350" t="str">
        <f>IF(ISTEXT(Tabell4[[#This Row],[Indexnamn]]),Tabell4[[#This Row],[Indexnamn]],LOOKUP(Tabell4[[#This Row],[Nät]],Tabell5[Nätnamn],#REF!))</f>
        <v>Mohed</v>
      </c>
      <c r="N350" t="str">
        <f>IF(Tabell4[[#This Row],[Finns i listan ]]=Tabell4[[#This Row],[Indexnamn]],"","NEJ")</f>
        <v/>
      </c>
    </row>
    <row r="351" spans="1:14" x14ac:dyDescent="0.25">
      <c r="A351" t="s">
        <v>666</v>
      </c>
      <c r="B351" t="s">
        <v>796</v>
      </c>
      <c r="C351">
        <v>3.0710000000000002</v>
      </c>
      <c r="D351" t="s">
        <v>806</v>
      </c>
      <c r="E351" t="s">
        <v>806</v>
      </c>
      <c r="F351" t="s">
        <v>806</v>
      </c>
      <c r="G351">
        <f t="shared" si="13"/>
        <v>3.0710000000000002</v>
      </c>
      <c r="H351">
        <f t="shared" si="13"/>
        <v>0</v>
      </c>
      <c r="I351">
        <f t="shared" si="13"/>
        <v>0</v>
      </c>
      <c r="J351">
        <f t="shared" si="13"/>
        <v>0</v>
      </c>
      <c r="K351">
        <f t="shared" si="14"/>
        <v>3.0710000000000002</v>
      </c>
      <c r="L351" t="str">
        <f>VLOOKUP(Tabell4[[#This Row],[Nät]],Indexnamn!A:A,1,FALSE)</f>
        <v>Sandarne</v>
      </c>
      <c r="M351" t="str">
        <f>IF(ISTEXT(Tabell4[[#This Row],[Indexnamn]]),Tabell4[[#This Row],[Indexnamn]],LOOKUP(Tabell4[[#This Row],[Nät]],Tabell5[Nätnamn],#REF!))</f>
        <v>Sandarne</v>
      </c>
      <c r="N351" t="str">
        <f>IF(Tabell4[[#This Row],[Finns i listan ]]=Tabell4[[#This Row],[Indexnamn]],"","NEJ")</f>
        <v/>
      </c>
    </row>
    <row r="352" spans="1:14" x14ac:dyDescent="0.25">
      <c r="A352" t="s">
        <v>666</v>
      </c>
      <c r="B352" t="s">
        <v>301</v>
      </c>
      <c r="C352">
        <v>127.768</v>
      </c>
      <c r="D352" t="s">
        <v>806</v>
      </c>
      <c r="E352" t="s">
        <v>806</v>
      </c>
      <c r="F352" t="s">
        <v>806</v>
      </c>
      <c r="G352">
        <f t="shared" si="13"/>
        <v>127.768</v>
      </c>
      <c r="H352">
        <f t="shared" si="13"/>
        <v>0</v>
      </c>
      <c r="I352">
        <f t="shared" si="13"/>
        <v>0</v>
      </c>
      <c r="J352">
        <f t="shared" si="13"/>
        <v>0</v>
      </c>
      <c r="K352">
        <f t="shared" si="14"/>
        <v>127.768</v>
      </c>
      <c r="L352" t="str">
        <f>VLOOKUP(Tabell4[[#This Row],[Nät]],Indexnamn!A:A,1,FALSE)</f>
        <v>Söderhamn</v>
      </c>
      <c r="M352" t="str">
        <f>IF(ISTEXT(Tabell4[[#This Row],[Indexnamn]]),Tabell4[[#This Row],[Indexnamn]],LOOKUP(Tabell4[[#This Row],[Nät]],Tabell5[Nätnamn],#REF!))</f>
        <v>Söderhamn</v>
      </c>
      <c r="N352" t="str">
        <f>IF(Tabell4[[#This Row],[Finns i listan ]]=Tabell4[[#This Row],[Indexnamn]],"","NEJ")</f>
        <v/>
      </c>
    </row>
    <row r="353" spans="1:14" x14ac:dyDescent="0.25">
      <c r="A353" t="s">
        <v>717</v>
      </c>
      <c r="B353" t="s">
        <v>304</v>
      </c>
      <c r="C353">
        <v>975.86599999999999</v>
      </c>
      <c r="D353" t="s">
        <v>806</v>
      </c>
      <c r="E353" t="s">
        <v>806</v>
      </c>
      <c r="F353" t="s">
        <v>806</v>
      </c>
      <c r="G353">
        <f t="shared" si="13"/>
        <v>975.86599999999999</v>
      </c>
      <c r="H353">
        <f t="shared" si="13"/>
        <v>0</v>
      </c>
      <c r="I353">
        <f t="shared" si="13"/>
        <v>0</v>
      </c>
      <c r="J353">
        <f t="shared" si="13"/>
        <v>0</v>
      </c>
      <c r="K353">
        <f t="shared" si="14"/>
        <v>975.86599999999999</v>
      </c>
      <c r="L353" t="str">
        <f>VLOOKUP(Tabell4[[#This Row],[Nät]],Indexnamn!A:A,1,FALSE)</f>
        <v>Södertörn Fjärrvärme Totalt</v>
      </c>
      <c r="M353" t="str">
        <f>IF(ISTEXT(Tabell4[[#This Row],[Indexnamn]]),Tabell4[[#This Row],[Indexnamn]],LOOKUP(Tabell4[[#This Row],[Nät]],Tabell5[Nätnamn],#REF!))</f>
        <v>Södertörn Fjärrvärme Totalt</v>
      </c>
      <c r="N353" t="str">
        <f>IF(Tabell4[[#This Row],[Finns i listan ]]=Tabell4[[#This Row],[Indexnamn]],"","NEJ")</f>
        <v/>
      </c>
    </row>
    <row r="354" spans="1:14" x14ac:dyDescent="0.25">
      <c r="A354" t="s">
        <v>897</v>
      </c>
      <c r="B354" t="s">
        <v>463</v>
      </c>
      <c r="C354" t="s">
        <v>805</v>
      </c>
      <c r="D354" t="s">
        <v>805</v>
      </c>
      <c r="E354" t="s">
        <v>805</v>
      </c>
      <c r="F354" t="s">
        <v>805</v>
      </c>
      <c r="G354">
        <f t="shared" si="13"/>
        <v>0</v>
      </c>
      <c r="H354">
        <f t="shared" si="13"/>
        <v>0</v>
      </c>
      <c r="I354">
        <f t="shared" si="13"/>
        <v>0</v>
      </c>
      <c r="J354">
        <f t="shared" si="13"/>
        <v>0</v>
      </c>
      <c r="K354">
        <f t="shared" si="14"/>
        <v>0</v>
      </c>
      <c r="L354" t="str">
        <f>VLOOKUP(Tabell4[[#This Row],[Nät]],Indexnamn!A:A,1,FALSE)</f>
        <v>Sölvesborg</v>
      </c>
      <c r="M354" t="str">
        <f>IF(ISTEXT(Tabell4[[#This Row],[Indexnamn]]),Tabell4[[#This Row],[Indexnamn]],LOOKUP(Tabell4[[#This Row],[Nät]],Tabell5[Nätnamn],#REF!))</f>
        <v>Sölvesborg</v>
      </c>
      <c r="N354" t="str">
        <f>IF(Tabell4[[#This Row],[Finns i listan ]]=Tabell4[[#This Row],[Indexnamn]],"","NEJ")</f>
        <v/>
      </c>
    </row>
    <row r="355" spans="1:14" x14ac:dyDescent="0.25">
      <c r="A355" t="s">
        <v>573</v>
      </c>
      <c r="B355" t="s">
        <v>306</v>
      </c>
      <c r="C355">
        <v>11.1</v>
      </c>
      <c r="D355" t="s">
        <v>806</v>
      </c>
      <c r="E355" t="s">
        <v>806</v>
      </c>
      <c r="F355" t="s">
        <v>806</v>
      </c>
      <c r="G355">
        <f t="shared" si="13"/>
        <v>11.1</v>
      </c>
      <c r="H355">
        <f t="shared" si="13"/>
        <v>0</v>
      </c>
      <c r="I355">
        <f t="shared" si="13"/>
        <v>0</v>
      </c>
      <c r="J355">
        <f t="shared" si="13"/>
        <v>0</v>
      </c>
      <c r="K355">
        <f t="shared" si="14"/>
        <v>11.1</v>
      </c>
      <c r="L355" t="str">
        <f>VLOOKUP(Tabell4[[#This Row],[Nät]],Indexnamn!A:A,1,FALSE)</f>
        <v>Borensberg</v>
      </c>
      <c r="M355" t="str">
        <f>IF(ISTEXT(Tabell4[[#This Row],[Indexnamn]]),Tabell4[[#This Row],[Indexnamn]],LOOKUP(Tabell4[[#This Row],[Nät]],Tabell5[Nätnamn],#REF!))</f>
        <v>Borensberg</v>
      </c>
      <c r="N355" t="str">
        <f>IF(Tabell4[[#This Row],[Finns i listan ]]=Tabell4[[#This Row],[Indexnamn]],"","NEJ")</f>
        <v/>
      </c>
    </row>
    <row r="356" spans="1:14" x14ac:dyDescent="0.25">
      <c r="A356" t="s">
        <v>573</v>
      </c>
      <c r="B356" t="s">
        <v>168</v>
      </c>
      <c r="C356">
        <v>169.2</v>
      </c>
      <c r="D356" t="s">
        <v>806</v>
      </c>
      <c r="E356" t="s">
        <v>806</v>
      </c>
      <c r="F356" t="s">
        <v>806</v>
      </c>
      <c r="G356">
        <f t="shared" si="13"/>
        <v>169.2</v>
      </c>
      <c r="H356">
        <f t="shared" si="13"/>
        <v>0</v>
      </c>
      <c r="I356">
        <f t="shared" si="13"/>
        <v>0</v>
      </c>
      <c r="J356">
        <f t="shared" si="13"/>
        <v>0</v>
      </c>
      <c r="K356">
        <f t="shared" si="14"/>
        <v>169.2</v>
      </c>
      <c r="L356" t="str">
        <f>VLOOKUP(Tabell4[[#This Row],[Nät]],Indexnamn!A:A,1,FALSE)</f>
        <v>Katrineholm</v>
      </c>
      <c r="M356" t="str">
        <f>IF(ISTEXT(Tabell4[[#This Row],[Indexnamn]]),Tabell4[[#This Row],[Indexnamn]],LOOKUP(Tabell4[[#This Row],[Nät]],Tabell5[Nätnamn],#REF!))</f>
        <v>Katrineholm</v>
      </c>
      <c r="N356" t="str">
        <f>IF(Tabell4[[#This Row],[Finns i listan ]]=Tabell4[[#This Row],[Indexnamn]],"","NEJ")</f>
        <v/>
      </c>
    </row>
    <row r="357" spans="1:14" x14ac:dyDescent="0.25">
      <c r="A357" t="s">
        <v>573</v>
      </c>
      <c r="B357" t="s">
        <v>307</v>
      </c>
      <c r="C357">
        <v>18.5</v>
      </c>
      <c r="D357" t="s">
        <v>806</v>
      </c>
      <c r="E357" t="s">
        <v>806</v>
      </c>
      <c r="F357" t="s">
        <v>806</v>
      </c>
      <c r="G357">
        <f t="shared" si="13"/>
        <v>18.5</v>
      </c>
      <c r="H357">
        <f t="shared" si="13"/>
        <v>0</v>
      </c>
      <c r="I357">
        <f t="shared" si="13"/>
        <v>0</v>
      </c>
      <c r="J357">
        <f t="shared" si="13"/>
        <v>0</v>
      </c>
      <c r="K357">
        <f t="shared" si="14"/>
        <v>18.5</v>
      </c>
      <c r="L357" t="str">
        <f>VLOOKUP(Tabell4[[#This Row],[Nät]],Indexnamn!A:A,1,FALSE)</f>
        <v>Kisa</v>
      </c>
      <c r="M357" t="str">
        <f>IF(ISTEXT(Tabell4[[#This Row],[Indexnamn]]),Tabell4[[#This Row],[Indexnamn]],LOOKUP(Tabell4[[#This Row],[Nät]],Tabell5[Nätnamn],#REF!))</f>
        <v>Kisa</v>
      </c>
      <c r="N357" t="str">
        <f>IF(Tabell4[[#This Row],[Finns i listan ]]=Tabell4[[#This Row],[Indexnamn]],"","NEJ")</f>
        <v/>
      </c>
    </row>
    <row r="358" spans="1:14" x14ac:dyDescent="0.25">
      <c r="A358" t="s">
        <v>573</v>
      </c>
      <c r="B358" t="s">
        <v>308</v>
      </c>
      <c r="C358">
        <v>1307.4000000000001</v>
      </c>
      <c r="D358">
        <v>86</v>
      </c>
      <c r="E358" t="s">
        <v>806</v>
      </c>
      <c r="F358" t="s">
        <v>806</v>
      </c>
      <c r="G358">
        <f t="shared" si="13"/>
        <v>1307.4000000000001</v>
      </c>
      <c r="H358">
        <f t="shared" si="13"/>
        <v>86</v>
      </c>
      <c r="I358">
        <f t="shared" si="13"/>
        <v>0</v>
      </c>
      <c r="J358">
        <f t="shared" si="13"/>
        <v>0</v>
      </c>
      <c r="K358">
        <f t="shared" si="14"/>
        <v>1221.4000000000001</v>
      </c>
      <c r="L358" t="str">
        <f>VLOOKUP(Tabell4[[#This Row],[Nät]],Indexnamn!A:A,1,FALSE)</f>
        <v>Linköping</v>
      </c>
      <c r="M358" t="str">
        <f>IF(ISTEXT(Tabell4[[#This Row],[Indexnamn]]),Tabell4[[#This Row],[Indexnamn]],LOOKUP(Tabell4[[#This Row],[Nät]],Tabell5[Nätnamn],#REF!))</f>
        <v>Linköping</v>
      </c>
      <c r="N358" t="str">
        <f>IF(Tabell4[[#This Row],[Finns i listan ]]=Tabell4[[#This Row],[Indexnamn]],"","NEJ")</f>
        <v/>
      </c>
    </row>
    <row r="359" spans="1:14" x14ac:dyDescent="0.25">
      <c r="A359" t="s">
        <v>573</v>
      </c>
      <c r="B359" t="s">
        <v>309</v>
      </c>
      <c r="C359">
        <v>16.899999999999999</v>
      </c>
      <c r="D359" t="s">
        <v>806</v>
      </c>
      <c r="E359" t="s">
        <v>806</v>
      </c>
      <c r="F359" t="s">
        <v>806</v>
      </c>
      <c r="G359">
        <f t="shared" si="13"/>
        <v>16.899999999999999</v>
      </c>
      <c r="H359">
        <f t="shared" si="13"/>
        <v>0</v>
      </c>
      <c r="I359">
        <f t="shared" si="13"/>
        <v>0</v>
      </c>
      <c r="J359">
        <f t="shared" si="13"/>
        <v>0</v>
      </c>
      <c r="K359">
        <f t="shared" si="14"/>
        <v>16.899999999999999</v>
      </c>
      <c r="L359" t="str">
        <f>VLOOKUP(Tabell4[[#This Row],[Nät]],Indexnamn!A:A,1,FALSE)</f>
        <v>Skärblacka</v>
      </c>
      <c r="M359" t="str">
        <f>IF(ISTEXT(Tabell4[[#This Row],[Indexnamn]]),Tabell4[[#This Row],[Indexnamn]],LOOKUP(Tabell4[[#This Row],[Nät]],Tabell5[Nätnamn],#REF!))</f>
        <v>Skärblacka</v>
      </c>
      <c r="N359" t="str">
        <f>IF(Tabell4[[#This Row],[Finns i listan ]]=Tabell4[[#This Row],[Indexnamn]],"","NEJ")</f>
        <v/>
      </c>
    </row>
    <row r="360" spans="1:14" x14ac:dyDescent="0.25">
      <c r="A360" t="s">
        <v>573</v>
      </c>
      <c r="B360" t="s">
        <v>310</v>
      </c>
      <c r="C360">
        <v>30.5</v>
      </c>
      <c r="D360" t="s">
        <v>806</v>
      </c>
      <c r="E360" t="s">
        <v>806</v>
      </c>
      <c r="F360" t="s">
        <v>806</v>
      </c>
      <c r="G360">
        <f t="shared" si="13"/>
        <v>30.5</v>
      </c>
      <c r="H360">
        <f t="shared" si="13"/>
        <v>0</v>
      </c>
      <c r="I360">
        <f t="shared" si="13"/>
        <v>0</v>
      </c>
      <c r="J360">
        <f t="shared" si="13"/>
        <v>0</v>
      </c>
      <c r="K360">
        <f t="shared" si="14"/>
        <v>30.5</v>
      </c>
      <c r="L360" t="str">
        <f>VLOOKUP(Tabell4[[#This Row],[Nät]],Indexnamn!A:A,1,FALSE)</f>
        <v>Åtvidaberg</v>
      </c>
      <c r="M360" t="str">
        <f>IF(ISTEXT(Tabell4[[#This Row],[Indexnamn]]),Tabell4[[#This Row],[Indexnamn]],LOOKUP(Tabell4[[#This Row],[Nät]],Tabell5[Nätnamn],#REF!))</f>
        <v>Åtvidaberg</v>
      </c>
      <c r="N360" t="str">
        <f>IF(Tabell4[[#This Row],[Finns i listan ]]=Tabell4[[#This Row],[Indexnamn]],"","NEJ")</f>
        <v/>
      </c>
    </row>
    <row r="361" spans="1:14" x14ac:dyDescent="0.25">
      <c r="A361" t="s">
        <v>641</v>
      </c>
      <c r="B361" t="s">
        <v>312</v>
      </c>
      <c r="C361">
        <v>43.9</v>
      </c>
      <c r="D361" t="s">
        <v>806</v>
      </c>
      <c r="E361" t="s">
        <v>806</v>
      </c>
      <c r="F361" t="s">
        <v>806</v>
      </c>
      <c r="G361">
        <f t="shared" si="13"/>
        <v>43.9</v>
      </c>
      <c r="H361">
        <f t="shared" si="13"/>
        <v>0</v>
      </c>
      <c r="I361">
        <f t="shared" si="13"/>
        <v>0</v>
      </c>
      <c r="J361">
        <f t="shared" si="13"/>
        <v>0</v>
      </c>
      <c r="K361">
        <f t="shared" si="14"/>
        <v>43.9</v>
      </c>
      <c r="L361" t="str">
        <f>VLOOKUP(Tabell4[[#This Row],[Nät]],Indexnamn!A:A,1,FALSE)</f>
        <v>Järna</v>
      </c>
      <c r="M361" t="str">
        <f>IF(ISTEXT(Tabell4[[#This Row],[Indexnamn]]),Tabell4[[#This Row],[Indexnamn]],LOOKUP(Tabell4[[#This Row],[Nät]],Tabell5[Nätnamn],#REF!))</f>
        <v>Järna</v>
      </c>
      <c r="N361" t="str">
        <f>IF(Tabell4[[#This Row],[Finns i listan ]]=Tabell4[[#This Row],[Indexnamn]],"","NEJ")</f>
        <v/>
      </c>
    </row>
    <row r="362" spans="1:14" x14ac:dyDescent="0.25">
      <c r="A362" t="s">
        <v>641</v>
      </c>
      <c r="B362" t="s">
        <v>898</v>
      </c>
      <c r="C362" t="s">
        <v>805</v>
      </c>
      <c r="D362" t="s">
        <v>805</v>
      </c>
      <c r="E362" t="s">
        <v>805</v>
      </c>
      <c r="F362" t="s">
        <v>805</v>
      </c>
      <c r="G362">
        <f t="shared" si="13"/>
        <v>0</v>
      </c>
      <c r="H362">
        <f t="shared" si="13"/>
        <v>0</v>
      </c>
      <c r="I362">
        <f t="shared" si="13"/>
        <v>0</v>
      </c>
      <c r="J362">
        <f t="shared" si="13"/>
        <v>0</v>
      </c>
      <c r="K362">
        <f t="shared" si="14"/>
        <v>0</v>
      </c>
      <c r="L362" t="e">
        <f>VLOOKUP(Tabell4[[#This Row],[Nät]],Indexnamn!A:A,1,FALSE)</f>
        <v>#N/A</v>
      </c>
      <c r="N362" t="e">
        <f>IF(Tabell4[[#This Row],[Finns i listan ]]=Tabell4[[#This Row],[Indexnamn]],"","NEJ")</f>
        <v>#N/A</v>
      </c>
    </row>
    <row r="363" spans="1:14" x14ac:dyDescent="0.25">
      <c r="A363" t="s">
        <v>641</v>
      </c>
      <c r="B363" t="s">
        <v>311</v>
      </c>
      <c r="C363">
        <v>674</v>
      </c>
      <c r="D363" t="s">
        <v>806</v>
      </c>
      <c r="E363" t="s">
        <v>806</v>
      </c>
      <c r="F363" t="s">
        <v>806</v>
      </c>
      <c r="G363">
        <f t="shared" si="13"/>
        <v>674</v>
      </c>
      <c r="H363">
        <f t="shared" si="13"/>
        <v>0</v>
      </c>
      <c r="I363">
        <f t="shared" si="13"/>
        <v>0</v>
      </c>
      <c r="J363">
        <f t="shared" si="13"/>
        <v>0</v>
      </c>
      <c r="K363">
        <f t="shared" si="14"/>
        <v>674</v>
      </c>
      <c r="L363" t="str">
        <f>VLOOKUP(Tabell4[[#This Row],[Nät]],Indexnamn!A:A,1,FALSE)</f>
        <v>Södertälje</v>
      </c>
      <c r="M363" t="str">
        <f>IF(ISTEXT(Tabell4[[#This Row],[Indexnamn]]),Tabell4[[#This Row],[Indexnamn]],LOOKUP(Tabell4[[#This Row],[Nät]],Tabell5[Nätnamn],#REF!))</f>
        <v>Södertälje</v>
      </c>
      <c r="N363" t="str">
        <f>IF(Tabell4[[#This Row],[Finns i listan ]]=Tabell4[[#This Row],[Indexnamn]],"","NEJ")</f>
        <v/>
      </c>
    </row>
    <row r="364" spans="1:14" x14ac:dyDescent="0.25">
      <c r="A364" t="s">
        <v>718</v>
      </c>
      <c r="B364" t="s">
        <v>314</v>
      </c>
      <c r="C364">
        <v>52.008000000000003</v>
      </c>
      <c r="D364" t="s">
        <v>806</v>
      </c>
      <c r="E364" t="s">
        <v>806</v>
      </c>
      <c r="F364" t="s">
        <v>806</v>
      </c>
      <c r="G364">
        <f t="shared" si="13"/>
        <v>52.008000000000003</v>
      </c>
      <c r="H364">
        <f t="shared" si="13"/>
        <v>0</v>
      </c>
      <c r="I364">
        <f t="shared" si="13"/>
        <v>0</v>
      </c>
      <c r="J364">
        <f t="shared" si="13"/>
        <v>0</v>
      </c>
      <c r="K364">
        <f t="shared" si="14"/>
        <v>52.008000000000003</v>
      </c>
      <c r="L364" t="str">
        <f>VLOOKUP(Tabell4[[#This Row],[Nät]],Indexnamn!A:A,1,FALSE)</f>
        <v>Tidaholm</v>
      </c>
      <c r="M364" t="str">
        <f>IF(ISTEXT(Tabell4[[#This Row],[Indexnamn]]),Tabell4[[#This Row],[Indexnamn]],LOOKUP(Tabell4[[#This Row],[Nät]],Tabell5[Nätnamn],#REF!))</f>
        <v>Tidaholm</v>
      </c>
      <c r="N364" t="str">
        <f>IF(Tabell4[[#This Row],[Finns i listan ]]=Tabell4[[#This Row],[Indexnamn]],"","NEJ")</f>
        <v/>
      </c>
    </row>
    <row r="365" spans="1:14" x14ac:dyDescent="0.25">
      <c r="A365" t="s">
        <v>720</v>
      </c>
      <c r="B365" t="s">
        <v>315</v>
      </c>
      <c r="C365">
        <v>59.192</v>
      </c>
      <c r="D365" t="s">
        <v>806</v>
      </c>
      <c r="E365" t="s">
        <v>806</v>
      </c>
      <c r="F365" t="s">
        <v>806</v>
      </c>
      <c r="G365">
        <f t="shared" si="13"/>
        <v>59.192</v>
      </c>
      <c r="H365">
        <f t="shared" si="13"/>
        <v>0</v>
      </c>
      <c r="I365">
        <f t="shared" si="13"/>
        <v>0</v>
      </c>
      <c r="J365">
        <f t="shared" si="13"/>
        <v>0</v>
      </c>
      <c r="K365">
        <f t="shared" si="14"/>
        <v>59.192</v>
      </c>
      <c r="L365" t="str">
        <f>VLOOKUP(Tabell4[[#This Row],[Nät]],Indexnamn!A:A,1,FALSE)</f>
        <v>Tierp</v>
      </c>
      <c r="M365" t="str">
        <f>IF(ISTEXT(Tabell4[[#This Row],[Indexnamn]]),Tabell4[[#This Row],[Indexnamn]],LOOKUP(Tabell4[[#This Row],[Nät]],Tabell5[Nätnamn],#REF!))</f>
        <v>Tierp</v>
      </c>
      <c r="N365" t="str">
        <f>IF(Tabell4[[#This Row],[Finns i listan ]]=Tabell4[[#This Row],[Indexnamn]],"","NEJ")</f>
        <v/>
      </c>
    </row>
    <row r="366" spans="1:14" x14ac:dyDescent="0.25">
      <c r="A366" t="s">
        <v>720</v>
      </c>
      <c r="B366" t="s">
        <v>439</v>
      </c>
      <c r="C366" t="s">
        <v>805</v>
      </c>
      <c r="D366" t="s">
        <v>805</v>
      </c>
      <c r="E366" t="s">
        <v>805</v>
      </c>
      <c r="F366" t="s">
        <v>805</v>
      </c>
      <c r="G366">
        <f t="shared" si="13"/>
        <v>0</v>
      </c>
      <c r="H366">
        <f t="shared" si="13"/>
        <v>0</v>
      </c>
      <c r="I366">
        <f t="shared" si="13"/>
        <v>0</v>
      </c>
      <c r="J366">
        <f t="shared" si="13"/>
        <v>0</v>
      </c>
      <c r="K366">
        <f t="shared" si="14"/>
        <v>0</v>
      </c>
      <c r="L366" t="str">
        <f>VLOOKUP(Tabell4[[#This Row],[Nät]],Indexnamn!A:A,1,FALSE)</f>
        <v>Örbyhus</v>
      </c>
      <c r="M366" t="str">
        <f>IF(ISTEXT(Tabell4[[#This Row],[Indexnamn]]),Tabell4[[#This Row],[Indexnamn]],LOOKUP(Tabell4[[#This Row],[Nät]],Tabell5[Nätnamn],#REF!))</f>
        <v>Örbyhus</v>
      </c>
      <c r="N366" t="str">
        <f>IF(Tabell4[[#This Row],[Finns i listan ]]=Tabell4[[#This Row],[Indexnamn]],"","NEJ")</f>
        <v/>
      </c>
    </row>
    <row r="367" spans="1:14" x14ac:dyDescent="0.25">
      <c r="A367" t="s">
        <v>899</v>
      </c>
      <c r="B367" t="s">
        <v>464</v>
      </c>
      <c r="C367" t="s">
        <v>805</v>
      </c>
      <c r="D367" t="s">
        <v>805</v>
      </c>
      <c r="E367" t="s">
        <v>805</v>
      </c>
      <c r="F367" t="s">
        <v>805</v>
      </c>
      <c r="G367">
        <f t="shared" si="13"/>
        <v>0</v>
      </c>
      <c r="H367">
        <f t="shared" si="13"/>
        <v>0</v>
      </c>
      <c r="I367">
        <f t="shared" si="13"/>
        <v>0</v>
      </c>
      <c r="J367">
        <f t="shared" si="13"/>
        <v>0</v>
      </c>
      <c r="K367">
        <f t="shared" si="14"/>
        <v>0</v>
      </c>
      <c r="L367" t="e">
        <f>VLOOKUP(Tabell4[[#This Row],[Nät]],Indexnamn!A:A,1,FALSE)</f>
        <v>#N/A</v>
      </c>
      <c r="M367" t="e">
        <f>IF(ISTEXT(Tabell4[[#This Row],[Indexnamn]]),Tabell4[[#This Row],[Indexnamn]],LOOKUP(Tabell4[[#This Row],[Nät]],Tabell5[Nätnamn],#REF!))</f>
        <v>#REF!</v>
      </c>
      <c r="N367" t="e">
        <f>IF(Tabell4[[#This Row],[Finns i listan ]]=Tabell4[[#This Row],[Indexnamn]],"","NEJ")</f>
        <v>#REF!</v>
      </c>
    </row>
    <row r="368" spans="1:14" x14ac:dyDescent="0.25">
      <c r="A368" t="s">
        <v>777</v>
      </c>
      <c r="B368" t="s">
        <v>777</v>
      </c>
      <c r="C368">
        <v>2.536</v>
      </c>
      <c r="D368" t="s">
        <v>806</v>
      </c>
      <c r="E368" t="s">
        <v>806</v>
      </c>
      <c r="F368" t="s">
        <v>806</v>
      </c>
      <c r="G368">
        <f t="shared" si="13"/>
        <v>2.536</v>
      </c>
      <c r="H368">
        <f t="shared" si="13"/>
        <v>0</v>
      </c>
      <c r="I368">
        <f t="shared" si="13"/>
        <v>0</v>
      </c>
      <c r="J368">
        <f t="shared" si="13"/>
        <v>0</v>
      </c>
      <c r="K368">
        <f t="shared" si="14"/>
        <v>2.536</v>
      </c>
      <c r="L368" t="e">
        <f>VLOOKUP(Tabell4[[#This Row],[Nät]],Indexnamn!A:A,1,FALSE)</f>
        <v>#N/A</v>
      </c>
      <c r="M368" t="e">
        <f>IF(ISTEXT(Tabell4[[#This Row],[Indexnamn]]),Tabell4[[#This Row],[Indexnamn]],LOOKUP(Tabell4[[#This Row],[Nät]],Tabell5[Nätnamn],#REF!))</f>
        <v>#REF!</v>
      </c>
      <c r="N368" t="e">
        <f>IF(Tabell4[[#This Row],[Finns i listan ]]=Tabell4[[#This Row],[Indexnamn]],"","NEJ")</f>
        <v>#REF!</v>
      </c>
    </row>
    <row r="369" spans="1:14" x14ac:dyDescent="0.25">
      <c r="A369" t="s">
        <v>721</v>
      </c>
      <c r="B369" t="s">
        <v>514</v>
      </c>
      <c r="C369" t="s">
        <v>805</v>
      </c>
      <c r="D369" t="s">
        <v>805</v>
      </c>
      <c r="E369" t="s">
        <v>805</v>
      </c>
      <c r="F369" t="s">
        <v>805</v>
      </c>
      <c r="G369">
        <f t="shared" si="13"/>
        <v>0</v>
      </c>
      <c r="H369">
        <f t="shared" si="13"/>
        <v>0</v>
      </c>
      <c r="I369">
        <f t="shared" si="13"/>
        <v>0</v>
      </c>
      <c r="J369">
        <f t="shared" si="13"/>
        <v>0</v>
      </c>
      <c r="K369">
        <f t="shared" si="14"/>
        <v>0</v>
      </c>
      <c r="L369" t="str">
        <f>VLOOKUP(Tabell4[[#This Row],[Nät]],Indexnamn!A:A,1,FALSE)</f>
        <v>Torsås</v>
      </c>
      <c r="M369" t="str">
        <f>IF(ISTEXT(Tabell4[[#This Row],[Indexnamn]]),Tabell4[[#This Row],[Indexnamn]],LOOKUP(Tabell4[[#This Row],[Nät]],Tabell5[Nätnamn],#REF!))</f>
        <v>Torsås</v>
      </c>
      <c r="N369" t="str">
        <f>IF(Tabell4[[#This Row],[Finns i listan ]]=Tabell4[[#This Row],[Indexnamn]],"","NEJ")</f>
        <v/>
      </c>
    </row>
    <row r="370" spans="1:14" x14ac:dyDescent="0.25">
      <c r="A370" t="s">
        <v>900</v>
      </c>
      <c r="B370" t="s">
        <v>901</v>
      </c>
      <c r="C370" t="s">
        <v>805</v>
      </c>
      <c r="D370" t="s">
        <v>805</v>
      </c>
      <c r="E370" t="s">
        <v>805</v>
      </c>
      <c r="F370" t="s">
        <v>805</v>
      </c>
      <c r="G370">
        <f t="shared" si="13"/>
        <v>0</v>
      </c>
      <c r="H370">
        <f t="shared" si="13"/>
        <v>0</v>
      </c>
      <c r="I370">
        <f t="shared" si="13"/>
        <v>0</v>
      </c>
      <c r="J370">
        <f t="shared" si="13"/>
        <v>0</v>
      </c>
      <c r="K370">
        <f t="shared" si="14"/>
        <v>0</v>
      </c>
      <c r="L370" t="e">
        <f>VLOOKUP(Tabell4[[#This Row],[Nät]],Indexnamn!A:A,1,FALSE)</f>
        <v>#N/A</v>
      </c>
      <c r="M370" t="e">
        <f>IF(ISTEXT(Tabell4[[#This Row],[Indexnamn]]),Tabell4[[#This Row],[Indexnamn]],LOOKUP(Tabell4[[#This Row],[Nät]],Tabell5[Nätnamn],#REF!))</f>
        <v>#REF!</v>
      </c>
      <c r="N370" t="e">
        <f>IF(Tabell4[[#This Row],[Finns i listan ]]=Tabell4[[#This Row],[Indexnamn]],"","NEJ")</f>
        <v>#REF!</v>
      </c>
    </row>
    <row r="371" spans="1:14" x14ac:dyDescent="0.25">
      <c r="A371" t="s">
        <v>722</v>
      </c>
      <c r="B371" t="s">
        <v>316</v>
      </c>
      <c r="C371">
        <v>125</v>
      </c>
      <c r="D371" t="s">
        <v>806</v>
      </c>
      <c r="E371" t="s">
        <v>806</v>
      </c>
      <c r="F371" t="s">
        <v>806</v>
      </c>
      <c r="G371">
        <f t="shared" si="13"/>
        <v>125</v>
      </c>
      <c r="H371">
        <f t="shared" si="13"/>
        <v>0</v>
      </c>
      <c r="I371">
        <f t="shared" si="13"/>
        <v>0</v>
      </c>
      <c r="J371">
        <f t="shared" si="13"/>
        <v>0</v>
      </c>
      <c r="K371">
        <f t="shared" si="14"/>
        <v>125</v>
      </c>
      <c r="L371" t="str">
        <f>VLOOKUP(Tabell4[[#This Row],[Nät]],Indexnamn!A:A,1,FALSE)</f>
        <v>Tranås</v>
      </c>
      <c r="M371" t="str">
        <f>IF(ISTEXT(Tabell4[[#This Row],[Indexnamn]]),Tabell4[[#This Row],[Indexnamn]],LOOKUP(Tabell4[[#This Row],[Nät]],Tabell5[Nätnamn],#REF!))</f>
        <v>Tranås</v>
      </c>
      <c r="N371" t="str">
        <f>IF(Tabell4[[#This Row],[Finns i listan ]]=Tabell4[[#This Row],[Indexnamn]],"","NEJ")</f>
        <v/>
      </c>
    </row>
    <row r="372" spans="1:14" x14ac:dyDescent="0.25">
      <c r="A372" t="s">
        <v>723</v>
      </c>
      <c r="B372" t="s">
        <v>317</v>
      </c>
      <c r="C372">
        <v>90.3</v>
      </c>
      <c r="D372" t="s">
        <v>806</v>
      </c>
      <c r="E372" t="s">
        <v>806</v>
      </c>
      <c r="F372" t="s">
        <v>806</v>
      </c>
      <c r="G372">
        <f t="shared" si="13"/>
        <v>90.3</v>
      </c>
      <c r="H372">
        <f t="shared" si="13"/>
        <v>0</v>
      </c>
      <c r="I372">
        <f t="shared" si="13"/>
        <v>0</v>
      </c>
      <c r="J372">
        <f t="shared" si="13"/>
        <v>0</v>
      </c>
      <c r="K372">
        <f t="shared" si="14"/>
        <v>90.3</v>
      </c>
      <c r="L372" t="str">
        <f>VLOOKUP(Tabell4[[#This Row],[Nät]],Indexnamn!A:A,1,FALSE)</f>
        <v>Trelleborg</v>
      </c>
      <c r="M372" t="str">
        <f>IF(ISTEXT(Tabell4[[#This Row],[Indexnamn]]),Tabell4[[#This Row],[Indexnamn]],LOOKUP(Tabell4[[#This Row],[Nät]],Tabell5[Nätnamn],#REF!))</f>
        <v>Trelleborg</v>
      </c>
      <c r="N372" t="str">
        <f>IF(Tabell4[[#This Row],[Finns i listan ]]=Tabell4[[#This Row],[Indexnamn]],"","NEJ")</f>
        <v/>
      </c>
    </row>
    <row r="373" spans="1:14" x14ac:dyDescent="0.25">
      <c r="A373" t="s">
        <v>725</v>
      </c>
      <c r="B373" t="s">
        <v>318</v>
      </c>
      <c r="C373">
        <v>342.6</v>
      </c>
      <c r="D373">
        <v>0</v>
      </c>
      <c r="E373">
        <v>0</v>
      </c>
      <c r="F373">
        <v>0</v>
      </c>
      <c r="G373">
        <f t="shared" si="13"/>
        <v>342.6</v>
      </c>
      <c r="H373">
        <f t="shared" si="13"/>
        <v>0</v>
      </c>
      <c r="I373">
        <f t="shared" si="13"/>
        <v>0</v>
      </c>
      <c r="J373">
        <f t="shared" si="13"/>
        <v>0</v>
      </c>
      <c r="K373">
        <f t="shared" si="14"/>
        <v>342.6</v>
      </c>
      <c r="L373" t="str">
        <f>VLOOKUP(Tabell4[[#This Row],[Nät]],Indexnamn!A:A,1,FALSE)</f>
        <v>Trollhättan</v>
      </c>
      <c r="M373" t="str">
        <f>IF(ISTEXT(Tabell4[[#This Row],[Indexnamn]]),Tabell4[[#This Row],[Indexnamn]],LOOKUP(Tabell4[[#This Row],[Nät]],Tabell5[Nätnamn],#REF!))</f>
        <v>Trollhättan</v>
      </c>
      <c r="N373" t="str">
        <f>IF(Tabell4[[#This Row],[Finns i listan ]]=Tabell4[[#This Row],[Indexnamn]],"","NEJ")</f>
        <v/>
      </c>
    </row>
    <row r="374" spans="1:14" x14ac:dyDescent="0.25">
      <c r="A374" t="s">
        <v>902</v>
      </c>
      <c r="B374" t="s">
        <v>797</v>
      </c>
      <c r="C374" t="s">
        <v>805</v>
      </c>
      <c r="D374" t="s">
        <v>805</v>
      </c>
      <c r="E374" t="s">
        <v>805</v>
      </c>
      <c r="F374" t="s">
        <v>805</v>
      </c>
      <c r="G374">
        <f t="shared" si="13"/>
        <v>0</v>
      </c>
      <c r="H374">
        <f t="shared" si="13"/>
        <v>0</v>
      </c>
      <c r="I374">
        <f t="shared" si="13"/>
        <v>0</v>
      </c>
      <c r="J374">
        <f t="shared" si="13"/>
        <v>0</v>
      </c>
      <c r="K374">
        <f t="shared" si="14"/>
        <v>0</v>
      </c>
      <c r="L374" t="e">
        <f>VLOOKUP(Tabell4[[#This Row],[Nät]],Indexnamn!A:A,1,FALSE)</f>
        <v>#N/A</v>
      </c>
      <c r="N374" t="e">
        <f>IF(Tabell4[[#This Row],[Finns i listan ]]=Tabell4[[#This Row],[Indexnamn]],"","NEJ")</f>
        <v>#N/A</v>
      </c>
    </row>
    <row r="375" spans="1:14" x14ac:dyDescent="0.25">
      <c r="A375" t="s">
        <v>665</v>
      </c>
      <c r="B375" t="s">
        <v>404</v>
      </c>
      <c r="C375">
        <v>4.1669999999999998</v>
      </c>
      <c r="D375" t="s">
        <v>806</v>
      </c>
      <c r="E375" t="s">
        <v>806</v>
      </c>
      <c r="F375" t="s">
        <v>806</v>
      </c>
      <c r="G375">
        <f t="shared" si="13"/>
        <v>4.1669999999999998</v>
      </c>
      <c r="H375">
        <f t="shared" si="13"/>
        <v>0</v>
      </c>
      <c r="I375">
        <f t="shared" si="13"/>
        <v>0</v>
      </c>
      <c r="J375">
        <f t="shared" si="13"/>
        <v>0</v>
      </c>
      <c r="K375">
        <f t="shared" si="14"/>
        <v>4.1669999999999998</v>
      </c>
      <c r="L375" t="str">
        <f>VLOOKUP(Tabell4[[#This Row],[Nät]],Indexnamn!A:A,1,FALSE)</f>
        <v>Ljungskile</v>
      </c>
      <c r="M375" t="str">
        <f>IF(ISTEXT(Tabell4[[#This Row],[Indexnamn]]),Tabell4[[#This Row],[Indexnamn]],LOOKUP(Tabell4[[#This Row],[Nät]],Tabell5[Nätnamn],#REF!))</f>
        <v>Ljungskile</v>
      </c>
      <c r="N375" t="str">
        <f>IF(Tabell4[[#This Row],[Finns i listan ]]=Tabell4[[#This Row],[Indexnamn]],"","NEJ")</f>
        <v/>
      </c>
    </row>
    <row r="376" spans="1:14" x14ac:dyDescent="0.25">
      <c r="A376" t="s">
        <v>665</v>
      </c>
      <c r="B376" t="s">
        <v>319</v>
      </c>
      <c r="C376">
        <v>6.9720000000000004</v>
      </c>
      <c r="D376" t="s">
        <v>806</v>
      </c>
      <c r="E376" t="s">
        <v>806</v>
      </c>
      <c r="F376" t="s">
        <v>806</v>
      </c>
      <c r="G376">
        <f t="shared" si="13"/>
        <v>6.9720000000000004</v>
      </c>
      <c r="H376">
        <f t="shared" si="13"/>
        <v>0</v>
      </c>
      <c r="I376">
        <f t="shared" si="13"/>
        <v>0</v>
      </c>
      <c r="J376">
        <f t="shared" si="13"/>
        <v>0</v>
      </c>
      <c r="K376">
        <f t="shared" si="14"/>
        <v>6.9720000000000004</v>
      </c>
      <c r="L376" t="str">
        <f>VLOOKUP(Tabell4[[#This Row],[Nät]],Indexnamn!A:A,1,FALSE)</f>
        <v>Munkedal</v>
      </c>
      <c r="M376" t="str">
        <f>IF(ISTEXT(Tabell4[[#This Row],[Indexnamn]]),Tabell4[[#This Row],[Indexnamn]],LOOKUP(Tabell4[[#This Row],[Nät]],Tabell5[Nätnamn],#REF!))</f>
        <v>Munkedal</v>
      </c>
      <c r="N376" t="str">
        <f>IF(Tabell4[[#This Row],[Finns i listan ]]=Tabell4[[#This Row],[Indexnamn]],"","NEJ")</f>
        <v/>
      </c>
    </row>
    <row r="377" spans="1:14" x14ac:dyDescent="0.25">
      <c r="A377" t="s">
        <v>665</v>
      </c>
      <c r="B377" t="s">
        <v>320</v>
      </c>
      <c r="C377">
        <v>286.56</v>
      </c>
      <c r="D377" t="s">
        <v>806</v>
      </c>
      <c r="E377" t="s">
        <v>806</v>
      </c>
      <c r="F377" t="s">
        <v>806</v>
      </c>
      <c r="G377">
        <f t="shared" si="13"/>
        <v>286.56</v>
      </c>
      <c r="H377">
        <f t="shared" si="13"/>
        <v>0</v>
      </c>
      <c r="I377">
        <f t="shared" si="13"/>
        <v>0</v>
      </c>
      <c r="J377">
        <f t="shared" si="13"/>
        <v>0</v>
      </c>
      <c r="K377">
        <f t="shared" si="14"/>
        <v>286.56</v>
      </c>
      <c r="L377" t="str">
        <f>VLOOKUP(Tabell4[[#This Row],[Nät]],Indexnamn!A:A,1,FALSE)</f>
        <v>Uddevalla</v>
      </c>
      <c r="M377" t="str">
        <f>IF(ISTEXT(Tabell4[[#This Row],[Indexnamn]]),Tabell4[[#This Row],[Indexnamn]],LOOKUP(Tabell4[[#This Row],[Nät]],Tabell5[Nätnamn],#REF!))</f>
        <v>Uddevalla</v>
      </c>
      <c r="N377" t="str">
        <f>IF(Tabell4[[#This Row],[Finns i listan ]]=Tabell4[[#This Row],[Indexnamn]],"","NEJ")</f>
        <v/>
      </c>
    </row>
    <row r="378" spans="1:14" x14ac:dyDescent="0.25">
      <c r="A378" t="s">
        <v>614</v>
      </c>
      <c r="B378" t="s">
        <v>322</v>
      </c>
      <c r="C378">
        <v>2.2490000000000001</v>
      </c>
      <c r="D378" t="s">
        <v>806</v>
      </c>
      <c r="E378" t="s">
        <v>806</v>
      </c>
      <c r="F378" t="s">
        <v>806</v>
      </c>
      <c r="G378">
        <f t="shared" si="13"/>
        <v>2.2490000000000001</v>
      </c>
      <c r="H378">
        <f t="shared" si="13"/>
        <v>0</v>
      </c>
      <c r="I378">
        <f t="shared" si="13"/>
        <v>0</v>
      </c>
      <c r="J378">
        <f t="shared" si="13"/>
        <v>0</v>
      </c>
      <c r="K378">
        <f t="shared" si="14"/>
        <v>2.2490000000000001</v>
      </c>
      <c r="L378" t="str">
        <f>VLOOKUP(Tabell4[[#This Row],[Nät]],Indexnamn!A:A,1,FALSE)</f>
        <v>Gällstad</v>
      </c>
      <c r="M378" t="str">
        <f>IF(ISTEXT(Tabell4[[#This Row],[Indexnamn]]),Tabell4[[#This Row],[Indexnamn]],LOOKUP(Tabell4[[#This Row],[Nät]],Tabell5[Nätnamn],#REF!))</f>
        <v>Gällstad</v>
      </c>
      <c r="N378" t="str">
        <f>IF(Tabell4[[#This Row],[Finns i listan ]]=Tabell4[[#This Row],[Indexnamn]],"","NEJ")</f>
        <v/>
      </c>
    </row>
    <row r="379" spans="1:14" x14ac:dyDescent="0.25">
      <c r="A379" t="s">
        <v>614</v>
      </c>
      <c r="B379" t="s">
        <v>798</v>
      </c>
      <c r="C379">
        <v>0.82099999999999995</v>
      </c>
      <c r="D379" t="s">
        <v>806</v>
      </c>
      <c r="E379" t="s">
        <v>806</v>
      </c>
      <c r="F379" t="s">
        <v>806</v>
      </c>
      <c r="G379">
        <f t="shared" si="13"/>
        <v>0.82099999999999995</v>
      </c>
      <c r="H379">
        <f t="shared" si="13"/>
        <v>0</v>
      </c>
      <c r="I379">
        <f t="shared" si="13"/>
        <v>0</v>
      </c>
      <c r="J379">
        <f t="shared" si="13"/>
        <v>0</v>
      </c>
      <c r="K379">
        <f t="shared" si="14"/>
        <v>0.82099999999999995</v>
      </c>
      <c r="L379" t="str">
        <f>VLOOKUP(Tabell4[[#This Row],[Nät]],Indexnamn!A:A,1,FALSE)</f>
        <v>Timmele</v>
      </c>
      <c r="M379" t="str">
        <f>IF(ISTEXT(Tabell4[[#This Row],[Indexnamn]]),Tabell4[[#This Row],[Indexnamn]],LOOKUP(Tabell4[[#This Row],[Nät]],Tabell5[Nätnamn],#REF!))</f>
        <v>Timmele</v>
      </c>
      <c r="N379" t="str">
        <f>IF(Tabell4[[#This Row],[Finns i listan ]]=Tabell4[[#This Row],[Indexnamn]],"","NEJ")</f>
        <v/>
      </c>
    </row>
    <row r="380" spans="1:14" x14ac:dyDescent="0.25">
      <c r="A380" t="s">
        <v>614</v>
      </c>
      <c r="B380" t="s">
        <v>321</v>
      </c>
      <c r="C380">
        <v>47.639000000000003</v>
      </c>
      <c r="D380" t="s">
        <v>806</v>
      </c>
      <c r="E380" t="s">
        <v>806</v>
      </c>
      <c r="F380" t="s">
        <v>806</v>
      </c>
      <c r="G380">
        <f t="shared" si="13"/>
        <v>47.639000000000003</v>
      </c>
      <c r="H380">
        <f t="shared" si="13"/>
        <v>0</v>
      </c>
      <c r="I380">
        <f t="shared" si="13"/>
        <v>0</v>
      </c>
      <c r="J380">
        <f t="shared" si="13"/>
        <v>0</v>
      </c>
      <c r="K380">
        <f t="shared" si="14"/>
        <v>47.639000000000003</v>
      </c>
      <c r="L380" t="str">
        <f>VLOOKUP(Tabell4[[#This Row],[Nät]],Indexnamn!A:A,1,FALSE)</f>
        <v>Ulricehamn</v>
      </c>
      <c r="M380" t="str">
        <f>IF(ISTEXT(Tabell4[[#This Row],[Indexnamn]]),Tabell4[[#This Row],[Indexnamn]],LOOKUP(Tabell4[[#This Row],[Nät]],Tabell5[Nätnamn],#REF!))</f>
        <v>Ulricehamn</v>
      </c>
      <c r="N380" t="str">
        <f>IF(Tabell4[[#This Row],[Finns i listan ]]=Tabell4[[#This Row],[Indexnamn]],"","NEJ")</f>
        <v/>
      </c>
    </row>
    <row r="381" spans="1:14" x14ac:dyDescent="0.25">
      <c r="A381" t="s">
        <v>566</v>
      </c>
      <c r="B381" t="s">
        <v>323</v>
      </c>
      <c r="C381">
        <v>7.73</v>
      </c>
      <c r="D381" t="s">
        <v>806</v>
      </c>
      <c r="E381" t="s">
        <v>806</v>
      </c>
      <c r="F381" t="s">
        <v>806</v>
      </c>
      <c r="G381">
        <f t="shared" si="13"/>
        <v>7.73</v>
      </c>
      <c r="H381">
        <f t="shared" si="13"/>
        <v>0</v>
      </c>
      <c r="I381">
        <f t="shared" si="13"/>
        <v>0</v>
      </c>
      <c r="J381">
        <f t="shared" si="13"/>
        <v>0</v>
      </c>
      <c r="K381">
        <f t="shared" si="14"/>
        <v>7.73</v>
      </c>
      <c r="L381" t="str">
        <f>VLOOKUP(Tabell4[[#This Row],[Nät]],Indexnamn!A:A,1,FALSE)</f>
        <v>Bjurholm</v>
      </c>
      <c r="M381" t="str">
        <f>IF(ISTEXT(Tabell4[[#This Row],[Indexnamn]]),Tabell4[[#This Row],[Indexnamn]],LOOKUP(Tabell4[[#This Row],[Nät]],Tabell5[Nätnamn],#REF!))</f>
        <v>Bjurholm</v>
      </c>
      <c r="N381" t="str">
        <f>IF(Tabell4[[#This Row],[Finns i listan ]]=Tabell4[[#This Row],[Indexnamn]],"","NEJ")</f>
        <v/>
      </c>
    </row>
    <row r="382" spans="1:14" x14ac:dyDescent="0.25">
      <c r="A382" t="s">
        <v>566</v>
      </c>
      <c r="B382" t="s">
        <v>326</v>
      </c>
      <c r="C382">
        <v>7.38</v>
      </c>
      <c r="D382" t="s">
        <v>806</v>
      </c>
      <c r="E382" t="s">
        <v>806</v>
      </c>
      <c r="F382" t="s">
        <v>806</v>
      </c>
      <c r="G382">
        <f t="shared" si="13"/>
        <v>7.38</v>
      </c>
      <c r="H382">
        <f t="shared" si="13"/>
        <v>0</v>
      </c>
      <c r="I382">
        <f t="shared" si="13"/>
        <v>0</v>
      </c>
      <c r="J382">
        <f t="shared" si="13"/>
        <v>0</v>
      </c>
      <c r="K382">
        <f t="shared" si="14"/>
        <v>7.38</v>
      </c>
      <c r="L382" t="str">
        <f>VLOOKUP(Tabell4[[#This Row],[Nät]],Indexnamn!A:A,1,FALSE)</f>
        <v>Hörnefors</v>
      </c>
      <c r="M382" t="str">
        <f>IF(ISTEXT(Tabell4[[#This Row],[Indexnamn]]),Tabell4[[#This Row],[Indexnamn]],LOOKUP(Tabell4[[#This Row],[Nät]],Tabell5[Nätnamn],#REF!))</f>
        <v>Hörnefors</v>
      </c>
      <c r="N382" t="str">
        <f>IF(Tabell4[[#This Row],[Finns i listan ]]=Tabell4[[#This Row],[Indexnamn]],"","NEJ")</f>
        <v/>
      </c>
    </row>
    <row r="383" spans="1:14" x14ac:dyDescent="0.25">
      <c r="A383" t="s">
        <v>566</v>
      </c>
      <c r="B383" t="s">
        <v>327</v>
      </c>
      <c r="C383">
        <v>7.65</v>
      </c>
      <c r="D383" t="s">
        <v>806</v>
      </c>
      <c r="E383" t="s">
        <v>806</v>
      </c>
      <c r="F383" t="s">
        <v>806</v>
      </c>
      <c r="G383">
        <f t="shared" si="13"/>
        <v>7.65</v>
      </c>
      <c r="H383">
        <f t="shared" si="13"/>
        <v>0</v>
      </c>
      <c r="I383">
        <f t="shared" si="13"/>
        <v>0</v>
      </c>
      <c r="J383">
        <f t="shared" si="13"/>
        <v>0</v>
      </c>
      <c r="K383">
        <f t="shared" si="14"/>
        <v>7.65</v>
      </c>
      <c r="L383" t="str">
        <f>VLOOKUP(Tabell4[[#This Row],[Nät]],Indexnamn!A:A,1,FALSE)</f>
        <v>Sävar</v>
      </c>
      <c r="M383" t="str">
        <f>IF(ISTEXT(Tabell4[[#This Row],[Indexnamn]]),Tabell4[[#This Row],[Indexnamn]],LOOKUP(Tabell4[[#This Row],[Nät]],Tabell5[Nätnamn],#REF!))</f>
        <v>Sävar</v>
      </c>
      <c r="N383" t="str">
        <f>IF(Tabell4[[#This Row],[Finns i listan ]]=Tabell4[[#This Row],[Indexnamn]],"","NEJ")</f>
        <v/>
      </c>
    </row>
    <row r="384" spans="1:14" x14ac:dyDescent="0.25">
      <c r="A384" t="s">
        <v>566</v>
      </c>
      <c r="B384" t="s">
        <v>324</v>
      </c>
      <c r="C384">
        <v>848.08</v>
      </c>
      <c r="D384" t="s">
        <v>806</v>
      </c>
      <c r="E384" t="s">
        <v>806</v>
      </c>
      <c r="F384" t="s">
        <v>806</v>
      </c>
      <c r="G384">
        <f t="shared" si="13"/>
        <v>848.08</v>
      </c>
      <c r="H384">
        <f t="shared" si="13"/>
        <v>0</v>
      </c>
      <c r="I384">
        <f t="shared" si="13"/>
        <v>0</v>
      </c>
      <c r="J384">
        <f t="shared" si="13"/>
        <v>0</v>
      </c>
      <c r="K384">
        <f t="shared" si="14"/>
        <v>848.08</v>
      </c>
      <c r="L384" t="str">
        <f>VLOOKUP(Tabell4[[#This Row],[Nät]],Indexnamn!A:A,1,FALSE)</f>
        <v>Umeå</v>
      </c>
      <c r="M384" t="str">
        <f>IF(ISTEXT(Tabell4[[#This Row],[Indexnamn]]),Tabell4[[#This Row],[Indexnamn]],LOOKUP(Tabell4[[#This Row],[Nät]],Tabell5[Nätnamn],#REF!))</f>
        <v>Umeå</v>
      </c>
      <c r="N384" t="str">
        <f>IF(Tabell4[[#This Row],[Finns i listan ]]=Tabell4[[#This Row],[Indexnamn]],"","NEJ")</f>
        <v/>
      </c>
    </row>
    <row r="385" spans="1:14" x14ac:dyDescent="0.25">
      <c r="A385" t="s">
        <v>697</v>
      </c>
      <c r="B385" t="s">
        <v>329</v>
      </c>
      <c r="C385">
        <v>21.738</v>
      </c>
      <c r="D385" t="s">
        <v>806</v>
      </c>
      <c r="E385" t="s">
        <v>806</v>
      </c>
      <c r="F385" t="s">
        <v>806</v>
      </c>
      <c r="G385">
        <f t="shared" si="13"/>
        <v>21.738</v>
      </c>
      <c r="H385">
        <f t="shared" si="13"/>
        <v>0</v>
      </c>
      <c r="I385">
        <f t="shared" si="13"/>
        <v>0</v>
      </c>
      <c r="J385">
        <f t="shared" si="13"/>
        <v>0</v>
      </c>
      <c r="K385">
        <f t="shared" si="14"/>
        <v>21.738</v>
      </c>
      <c r="L385" t="str">
        <f>VLOOKUP(Tabell4[[#This Row],[Nät]],Indexnamn!A:A,1,FALSE)</f>
        <v>Skillingaryd</v>
      </c>
      <c r="M385" t="str">
        <f>IF(ISTEXT(Tabell4[[#This Row],[Indexnamn]]),Tabell4[[#This Row],[Indexnamn]],LOOKUP(Tabell4[[#This Row],[Nät]],Tabell5[Nätnamn],#REF!))</f>
        <v>Skillingaryd</v>
      </c>
      <c r="N385" t="str">
        <f>IF(Tabell4[[#This Row],[Finns i listan ]]=Tabell4[[#This Row],[Indexnamn]],"","NEJ")</f>
        <v/>
      </c>
    </row>
    <row r="386" spans="1:14" x14ac:dyDescent="0.25">
      <c r="A386" t="s">
        <v>697</v>
      </c>
      <c r="B386" t="s">
        <v>328</v>
      </c>
      <c r="C386">
        <v>29.06</v>
      </c>
      <c r="D386" t="s">
        <v>806</v>
      </c>
      <c r="E386" t="s">
        <v>806</v>
      </c>
      <c r="F386" t="s">
        <v>806</v>
      </c>
      <c r="G386">
        <f t="shared" si="13"/>
        <v>29.06</v>
      </c>
      <c r="H386">
        <f t="shared" si="13"/>
        <v>0</v>
      </c>
      <c r="I386">
        <f t="shared" si="13"/>
        <v>0</v>
      </c>
      <c r="J386">
        <f t="shared" ref="J386:J449" si="15">IF(ISTEXT(F386),0,F386)</f>
        <v>0</v>
      </c>
      <c r="K386">
        <f t="shared" si="14"/>
        <v>29.06</v>
      </c>
      <c r="L386" t="str">
        <f>VLOOKUP(Tabell4[[#This Row],[Nät]],Indexnamn!A:A,1,FALSE)</f>
        <v>Vaggeryd</v>
      </c>
      <c r="M386" t="str">
        <f>IF(ISTEXT(Tabell4[[#This Row],[Indexnamn]]),Tabell4[[#This Row],[Indexnamn]],LOOKUP(Tabell4[[#This Row],[Nät]],Tabell5[Nätnamn],#REF!))</f>
        <v>Vaggeryd</v>
      </c>
      <c r="N386" t="str">
        <f>IF(Tabell4[[#This Row],[Finns i listan ]]=Tabell4[[#This Row],[Indexnamn]],"","NEJ")</f>
        <v/>
      </c>
    </row>
    <row r="387" spans="1:14" x14ac:dyDescent="0.25">
      <c r="A387" t="s">
        <v>799</v>
      </c>
      <c r="B387" t="s">
        <v>330</v>
      </c>
      <c r="C387">
        <v>38.03</v>
      </c>
      <c r="D387" t="s">
        <v>806</v>
      </c>
      <c r="E387" t="s">
        <v>806</v>
      </c>
      <c r="F387" t="s">
        <v>806</v>
      </c>
      <c r="G387">
        <f t="shared" ref="G387:J450" si="16">IF(ISTEXT(C387),0,C387)</f>
        <v>38.03</v>
      </c>
      <c r="H387">
        <f t="shared" si="16"/>
        <v>0</v>
      </c>
      <c r="I387">
        <f t="shared" si="16"/>
        <v>0</v>
      </c>
      <c r="J387">
        <f t="shared" si="15"/>
        <v>0</v>
      </c>
      <c r="K387">
        <f t="shared" ref="K387:K450" si="17">G387-H387-I387-J387</f>
        <v>38.03</v>
      </c>
      <c r="L387" t="str">
        <f>VLOOKUP(Tabell4[[#This Row],[Nät]],Indexnamn!A:A,1,FALSE)</f>
        <v>Vara</v>
      </c>
      <c r="M387" t="str">
        <f>IF(ISTEXT(Tabell4[[#This Row],[Indexnamn]]),Tabell4[[#This Row],[Indexnamn]],LOOKUP(Tabell4[[#This Row],[Nät]],Tabell5[Nätnamn],#REF!))</f>
        <v>Vara</v>
      </c>
      <c r="N387" t="str">
        <f>IF(Tabell4[[#This Row],[Finns i listan ]]=Tabell4[[#This Row],[Indexnamn]],"","NEJ")</f>
        <v/>
      </c>
    </row>
    <row r="388" spans="1:14" x14ac:dyDescent="0.25">
      <c r="A388" t="s">
        <v>726</v>
      </c>
      <c r="B388" t="s">
        <v>429</v>
      </c>
      <c r="C388">
        <v>4.1100000000000003</v>
      </c>
      <c r="D388" t="s">
        <v>806</v>
      </c>
      <c r="E388" t="s">
        <v>806</v>
      </c>
      <c r="F388" t="s">
        <v>806</v>
      </c>
      <c r="G388">
        <f t="shared" si="16"/>
        <v>4.1100000000000003</v>
      </c>
      <c r="H388">
        <f t="shared" si="16"/>
        <v>0</v>
      </c>
      <c r="I388">
        <f t="shared" si="16"/>
        <v>0</v>
      </c>
      <c r="J388">
        <f t="shared" si="15"/>
        <v>0</v>
      </c>
      <c r="K388">
        <f t="shared" si="17"/>
        <v>4.1100000000000003</v>
      </c>
      <c r="L388" t="str">
        <f>VLOOKUP(Tabell4[[#This Row],[Nät]],Indexnamn!A:A,1,FALSE)</f>
        <v>Tvååker (Närv)</v>
      </c>
      <c r="M388" t="str">
        <f>IF(ISTEXT(Tabell4[[#This Row],[Indexnamn]]),Tabell4[[#This Row],[Indexnamn]],LOOKUP(Tabell4[[#This Row],[Nät]],Tabell5[Nätnamn],#REF!))</f>
        <v>Tvååker (Närv)</v>
      </c>
      <c r="N388" t="str">
        <f>IF(Tabell4[[#This Row],[Finns i listan ]]=Tabell4[[#This Row],[Indexnamn]],"","NEJ")</f>
        <v/>
      </c>
    </row>
    <row r="389" spans="1:14" x14ac:dyDescent="0.25">
      <c r="A389" t="s">
        <v>726</v>
      </c>
      <c r="B389" t="s">
        <v>332</v>
      </c>
      <c r="C389">
        <v>150.11500000000001</v>
      </c>
      <c r="D389" t="s">
        <v>806</v>
      </c>
      <c r="E389" t="s">
        <v>806</v>
      </c>
      <c r="F389" t="s">
        <v>806</v>
      </c>
      <c r="G389">
        <f t="shared" si="16"/>
        <v>150.11500000000001</v>
      </c>
      <c r="H389">
        <f t="shared" si="16"/>
        <v>0</v>
      </c>
      <c r="I389">
        <f t="shared" si="16"/>
        <v>0</v>
      </c>
      <c r="J389">
        <f t="shared" si="15"/>
        <v>0</v>
      </c>
      <c r="K389">
        <f t="shared" si="17"/>
        <v>150.11500000000001</v>
      </c>
      <c r="L389" t="str">
        <f>VLOOKUP(Tabell4[[#This Row],[Nät]],Indexnamn!A:A,1,FALSE)</f>
        <v>Varberg (Fjv)</v>
      </c>
      <c r="M389" t="str">
        <f>IF(ISTEXT(Tabell4[[#This Row],[Indexnamn]]),Tabell4[[#This Row],[Indexnamn]],LOOKUP(Tabell4[[#This Row],[Nät]],Tabell5[Nätnamn],#REF!))</f>
        <v>Varberg (Fjv)</v>
      </c>
      <c r="N389" t="str">
        <f>IF(Tabell4[[#This Row],[Finns i listan ]]=Tabell4[[#This Row],[Indexnamn]],"","NEJ")</f>
        <v/>
      </c>
    </row>
    <row r="390" spans="1:14" x14ac:dyDescent="0.25">
      <c r="A390" t="s">
        <v>726</v>
      </c>
      <c r="B390" t="s">
        <v>333</v>
      </c>
      <c r="C390">
        <v>3.847</v>
      </c>
      <c r="D390" t="s">
        <v>806</v>
      </c>
      <c r="E390" t="s">
        <v>806</v>
      </c>
      <c r="F390" t="s">
        <v>806</v>
      </c>
      <c r="G390">
        <f t="shared" si="16"/>
        <v>3.847</v>
      </c>
      <c r="H390">
        <f t="shared" si="16"/>
        <v>0</v>
      </c>
      <c r="I390">
        <f t="shared" si="16"/>
        <v>0</v>
      </c>
      <c r="J390">
        <f t="shared" si="15"/>
        <v>0</v>
      </c>
      <c r="K390">
        <f t="shared" si="17"/>
        <v>3.847</v>
      </c>
      <c r="L390" t="str">
        <f>VLOOKUP(Tabell4[[#This Row],[Nät]],Indexnamn!A:A,1,FALSE)</f>
        <v>Veddige</v>
      </c>
      <c r="M390" t="str">
        <f>IF(ISTEXT(Tabell4[[#This Row],[Indexnamn]]),Tabell4[[#This Row],[Indexnamn]],LOOKUP(Tabell4[[#This Row],[Nät]],Tabell5[Nätnamn],#REF!))</f>
        <v>Veddige</v>
      </c>
      <c r="N390" t="str">
        <f>IF(Tabell4[[#This Row],[Finns i listan ]]=Tabell4[[#This Row],[Indexnamn]],"","NEJ")</f>
        <v/>
      </c>
    </row>
    <row r="391" spans="1:14" x14ac:dyDescent="0.25">
      <c r="A391" t="s">
        <v>800</v>
      </c>
      <c r="B391" t="s">
        <v>95</v>
      </c>
      <c r="C391">
        <v>19.661000000000001</v>
      </c>
      <c r="D391" t="s">
        <v>806</v>
      </c>
      <c r="E391" t="s">
        <v>806</v>
      </c>
      <c r="F391" t="s">
        <v>806</v>
      </c>
      <c r="G391">
        <f t="shared" si="16"/>
        <v>19.661000000000001</v>
      </c>
      <c r="H391">
        <f t="shared" si="16"/>
        <v>0</v>
      </c>
      <c r="I391">
        <f t="shared" si="16"/>
        <v>0</v>
      </c>
      <c r="J391">
        <f t="shared" si="15"/>
        <v>0</v>
      </c>
      <c r="K391">
        <f t="shared" si="17"/>
        <v>19.661000000000001</v>
      </c>
      <c r="L391" t="str">
        <f>VLOOKUP(Tabell4[[#This Row],[Nät]],Indexnamn!A:A,1,FALSE)</f>
        <v>Alfta</v>
      </c>
      <c r="M391" t="str">
        <f>IF(ISTEXT(Tabell4[[#This Row],[Indexnamn]]),Tabell4[[#This Row],[Indexnamn]],LOOKUP(Tabell4[[#This Row],[Nät]],Tabell5[Nätnamn],#REF!))</f>
        <v>Alfta</v>
      </c>
      <c r="N391" t="str">
        <f>IF(Tabell4[[#This Row],[Finns i listan ]]=Tabell4[[#This Row],[Indexnamn]],"","NEJ")</f>
        <v/>
      </c>
    </row>
    <row r="392" spans="1:14" x14ac:dyDescent="0.25">
      <c r="A392" t="s">
        <v>800</v>
      </c>
      <c r="B392" t="s">
        <v>96</v>
      </c>
      <c r="C392">
        <v>30.535</v>
      </c>
      <c r="D392" t="s">
        <v>806</v>
      </c>
      <c r="E392" t="s">
        <v>806</v>
      </c>
      <c r="F392" t="s">
        <v>806</v>
      </c>
      <c r="G392">
        <f t="shared" si="16"/>
        <v>30.535</v>
      </c>
      <c r="H392">
        <f t="shared" si="16"/>
        <v>0</v>
      </c>
      <c r="I392">
        <f t="shared" si="16"/>
        <v>0</v>
      </c>
      <c r="J392">
        <f t="shared" si="15"/>
        <v>0</v>
      </c>
      <c r="K392">
        <f t="shared" si="17"/>
        <v>30.535</v>
      </c>
      <c r="L392" t="str">
        <f>VLOOKUP(Tabell4[[#This Row],[Nät]],Indexnamn!A:A,1,FALSE)</f>
        <v>Edsbyn</v>
      </c>
      <c r="M392" t="str">
        <f>IF(ISTEXT(Tabell4[[#This Row],[Indexnamn]]),Tabell4[[#This Row],[Indexnamn]],LOOKUP(Tabell4[[#This Row],[Nät]],Tabell5[Nätnamn],#REF!))</f>
        <v>Edsbyn</v>
      </c>
      <c r="N392" t="str">
        <f>IF(Tabell4[[#This Row],[Finns i listan ]]=Tabell4[[#This Row],[Indexnamn]],"","NEJ")</f>
        <v/>
      </c>
    </row>
    <row r="393" spans="1:14" x14ac:dyDescent="0.25">
      <c r="A393" t="s">
        <v>800</v>
      </c>
      <c r="B393" t="s">
        <v>346</v>
      </c>
      <c r="C393">
        <v>106.01</v>
      </c>
      <c r="D393" t="s">
        <v>806</v>
      </c>
      <c r="E393" t="s">
        <v>806</v>
      </c>
      <c r="F393" t="s">
        <v>806</v>
      </c>
      <c r="G393">
        <f t="shared" si="16"/>
        <v>106.01</v>
      </c>
      <c r="H393">
        <f t="shared" si="16"/>
        <v>0</v>
      </c>
      <c r="I393">
        <f t="shared" si="16"/>
        <v>0</v>
      </c>
      <c r="J393">
        <f t="shared" si="15"/>
        <v>0</v>
      </c>
      <c r="K393">
        <f t="shared" si="17"/>
        <v>106.01</v>
      </c>
      <c r="L393" t="str">
        <f>VLOOKUP(Tabell4[[#This Row],[Nät]],Indexnamn!A:A,1,FALSE)</f>
        <v>Kalix</v>
      </c>
      <c r="M393" t="str">
        <f>IF(ISTEXT(Tabell4[[#This Row],[Indexnamn]]),Tabell4[[#This Row],[Indexnamn]],LOOKUP(Tabell4[[#This Row],[Nät]],Tabell5[Nätnamn],#REF!))</f>
        <v>Kalix</v>
      </c>
      <c r="N393" t="str">
        <f>IF(Tabell4[[#This Row],[Finns i listan ]]=Tabell4[[#This Row],[Indexnamn]],"","NEJ")</f>
        <v/>
      </c>
    </row>
    <row r="394" spans="1:14" x14ac:dyDescent="0.25">
      <c r="A394" t="s">
        <v>800</v>
      </c>
      <c r="B394" t="s">
        <v>801</v>
      </c>
      <c r="C394">
        <v>2.2480000000000002</v>
      </c>
      <c r="D394" t="s">
        <v>806</v>
      </c>
      <c r="E394" t="s">
        <v>806</v>
      </c>
      <c r="F394" t="s">
        <v>806</v>
      </c>
      <c r="G394">
        <f t="shared" si="16"/>
        <v>2.2480000000000002</v>
      </c>
      <c r="H394">
        <f t="shared" si="16"/>
        <v>0</v>
      </c>
      <c r="I394">
        <f t="shared" si="16"/>
        <v>0</v>
      </c>
      <c r="J394">
        <f t="shared" si="15"/>
        <v>0</v>
      </c>
      <c r="K394">
        <f t="shared" si="17"/>
        <v>2.2480000000000002</v>
      </c>
      <c r="L394" t="str">
        <f>VLOOKUP(Tabell4[[#This Row],[Nät]],Indexnamn!A:A,1,FALSE)</f>
        <v>Krokek</v>
      </c>
      <c r="M394" t="str">
        <f>IF(ISTEXT(Tabell4[[#This Row],[Indexnamn]]),Tabell4[[#This Row],[Indexnamn]],LOOKUP(Tabell4[[#This Row],[Nät]],Tabell5[Nätnamn],#REF!))</f>
        <v>Krokek</v>
      </c>
      <c r="N394" t="str">
        <f>IF(Tabell4[[#This Row],[Finns i listan ]]=Tabell4[[#This Row],[Indexnamn]],"","NEJ")</f>
        <v/>
      </c>
    </row>
    <row r="395" spans="1:14" x14ac:dyDescent="0.25">
      <c r="A395" t="s">
        <v>800</v>
      </c>
      <c r="B395" t="s">
        <v>200</v>
      </c>
      <c r="C395">
        <v>14.914</v>
      </c>
      <c r="D395" t="s">
        <v>806</v>
      </c>
      <c r="E395" t="s">
        <v>806</v>
      </c>
      <c r="F395" t="s">
        <v>806</v>
      </c>
      <c r="G395">
        <f t="shared" si="16"/>
        <v>14.914</v>
      </c>
      <c r="H395">
        <f t="shared" si="16"/>
        <v>0</v>
      </c>
      <c r="I395">
        <f t="shared" si="16"/>
        <v>0</v>
      </c>
      <c r="J395">
        <f t="shared" si="15"/>
        <v>0</v>
      </c>
      <c r="K395">
        <f t="shared" si="17"/>
        <v>14.914</v>
      </c>
      <c r="L395" t="str">
        <f>VLOOKUP(Tabell4[[#This Row],[Nät]],Indexnamn!A:A,1,FALSE)</f>
        <v>Malmköping</v>
      </c>
      <c r="M395" t="str">
        <f>IF(ISTEXT(Tabell4[[#This Row],[Indexnamn]]),Tabell4[[#This Row],[Indexnamn]],LOOKUP(Tabell4[[#This Row],[Nät]],Tabell5[Nätnamn],#REF!))</f>
        <v>Malmköping</v>
      </c>
      <c r="N395" t="str">
        <f>IF(Tabell4[[#This Row],[Finns i listan ]]=Tabell4[[#This Row],[Indexnamn]],"","NEJ")</f>
        <v/>
      </c>
    </row>
    <row r="396" spans="1:14" x14ac:dyDescent="0.25">
      <c r="A396" t="s">
        <v>556</v>
      </c>
      <c r="B396" t="s">
        <v>334</v>
      </c>
      <c r="C396">
        <v>18.503</v>
      </c>
      <c r="D396" t="s">
        <v>806</v>
      </c>
      <c r="E396" t="s">
        <v>806</v>
      </c>
      <c r="F396" t="s">
        <v>806</v>
      </c>
      <c r="G396">
        <f t="shared" si="16"/>
        <v>18.503</v>
      </c>
      <c r="H396">
        <f t="shared" si="16"/>
        <v>0</v>
      </c>
      <c r="I396">
        <f t="shared" si="16"/>
        <v>0</v>
      </c>
      <c r="J396">
        <f t="shared" si="15"/>
        <v>0</v>
      </c>
      <c r="K396">
        <f t="shared" si="17"/>
        <v>18.503</v>
      </c>
      <c r="L396" t="str">
        <f>VLOOKUP(Tabell4[[#This Row],[Nät]],Indexnamn!A:A,1,FALSE)</f>
        <v>Askersund</v>
      </c>
      <c r="M396" t="str">
        <f>IF(ISTEXT(Tabell4[[#This Row],[Indexnamn]]),Tabell4[[#This Row],[Indexnamn]],LOOKUP(Tabell4[[#This Row],[Nät]],Tabell5[Nätnamn],#REF!))</f>
        <v>Askersund</v>
      </c>
      <c r="N396" t="str">
        <f>IF(Tabell4[[#This Row],[Finns i listan ]]=Tabell4[[#This Row],[Indexnamn]],"","NEJ")</f>
        <v/>
      </c>
    </row>
    <row r="397" spans="1:14" x14ac:dyDescent="0.25">
      <c r="A397" t="s">
        <v>556</v>
      </c>
      <c r="B397" t="s">
        <v>339</v>
      </c>
      <c r="C397">
        <v>478.3</v>
      </c>
      <c r="D397" t="s">
        <v>806</v>
      </c>
      <c r="E397" t="s">
        <v>806</v>
      </c>
      <c r="F397" t="s">
        <v>806</v>
      </c>
      <c r="G397">
        <f t="shared" si="16"/>
        <v>478.3</v>
      </c>
      <c r="H397">
        <f t="shared" si="16"/>
        <v>0</v>
      </c>
      <c r="I397">
        <f t="shared" si="16"/>
        <v>0</v>
      </c>
      <c r="J397">
        <f t="shared" si="15"/>
        <v>0</v>
      </c>
      <c r="K397">
        <f t="shared" si="17"/>
        <v>478.3</v>
      </c>
      <c r="L397" t="str">
        <f>VLOOKUP(Tabell4[[#This Row],[Nät]],Indexnamn!A:A,1,FALSE)</f>
        <v>Drefviken</v>
      </c>
      <c r="M397" t="str">
        <f>IF(ISTEXT(Tabell4[[#This Row],[Indexnamn]]),Tabell4[[#This Row],[Indexnamn]],LOOKUP(Tabell4[[#This Row],[Nät]],Tabell5[Nätnamn],#REF!))</f>
        <v>Drefviken</v>
      </c>
      <c r="N397" t="str">
        <f>IF(Tabell4[[#This Row],[Finns i listan ]]=Tabell4[[#This Row],[Indexnamn]],"","NEJ")</f>
        <v/>
      </c>
    </row>
    <row r="398" spans="1:14" x14ac:dyDescent="0.25">
      <c r="A398" t="s">
        <v>556</v>
      </c>
      <c r="B398" t="s">
        <v>340</v>
      </c>
      <c r="C398">
        <v>63.7</v>
      </c>
      <c r="D398" t="s">
        <v>806</v>
      </c>
      <c r="E398" t="s">
        <v>806</v>
      </c>
      <c r="F398" t="s">
        <v>806</v>
      </c>
      <c r="G398">
        <f t="shared" si="16"/>
        <v>63.7</v>
      </c>
      <c r="H398">
        <f t="shared" si="16"/>
        <v>0</v>
      </c>
      <c r="I398">
        <f t="shared" si="16"/>
        <v>0</v>
      </c>
      <c r="J398">
        <f t="shared" si="15"/>
        <v>0</v>
      </c>
      <c r="K398">
        <f t="shared" si="17"/>
        <v>63.7</v>
      </c>
      <c r="L398" t="str">
        <f>VLOOKUP(Tabell4[[#This Row],[Nät]],Indexnamn!A:A,1,FALSE)</f>
        <v>Gustavsberg</v>
      </c>
      <c r="M398" t="str">
        <f>IF(ISTEXT(Tabell4[[#This Row],[Indexnamn]]),Tabell4[[#This Row],[Indexnamn]],LOOKUP(Tabell4[[#This Row],[Nät]],Tabell5[Nätnamn],#REF!))</f>
        <v>Gustavsberg</v>
      </c>
      <c r="N398" t="str">
        <f>IF(Tabell4[[#This Row],[Finns i listan ]]=Tabell4[[#This Row],[Indexnamn]],"","NEJ")</f>
        <v/>
      </c>
    </row>
    <row r="399" spans="1:14" x14ac:dyDescent="0.25">
      <c r="A399" t="s">
        <v>556</v>
      </c>
      <c r="B399" t="s">
        <v>341</v>
      </c>
      <c r="C399">
        <v>52.8</v>
      </c>
      <c r="D399">
        <v>4.8</v>
      </c>
      <c r="E399" t="s">
        <v>806</v>
      </c>
      <c r="F399" t="s">
        <v>806</v>
      </c>
      <c r="G399">
        <f t="shared" si="16"/>
        <v>52.8</v>
      </c>
      <c r="H399">
        <f t="shared" si="16"/>
        <v>4.8</v>
      </c>
      <c r="I399">
        <f t="shared" si="16"/>
        <v>0</v>
      </c>
      <c r="J399">
        <f t="shared" si="15"/>
        <v>0</v>
      </c>
      <c r="K399">
        <f t="shared" si="17"/>
        <v>48</v>
      </c>
      <c r="L399" t="e">
        <f>VLOOKUP(Tabell4[[#This Row],[Nät]],Indexnamn!A:A,1,FALSE)</f>
        <v>#N/A</v>
      </c>
      <c r="M399" t="e">
        <f>IF(ISTEXT(Tabell4[[#This Row],[Indexnamn]]),Tabell4[[#This Row],[Indexnamn]],LOOKUP(Tabell4[[#This Row],[Nät]],Tabell5[Nätnamn],#REF!))</f>
        <v>#REF!</v>
      </c>
      <c r="N399" t="e">
        <f>IF(Tabell4[[#This Row],[Finns i listan ]]=Tabell4[[#This Row],[Indexnamn]],"","NEJ")</f>
        <v>#REF!</v>
      </c>
    </row>
    <row r="400" spans="1:14" x14ac:dyDescent="0.25">
      <c r="A400" t="s">
        <v>556</v>
      </c>
      <c r="B400" t="s">
        <v>336</v>
      </c>
      <c r="C400">
        <v>149.9</v>
      </c>
      <c r="D400" t="s">
        <v>806</v>
      </c>
      <c r="E400" t="s">
        <v>806</v>
      </c>
      <c r="F400" t="s">
        <v>806</v>
      </c>
      <c r="G400">
        <f t="shared" si="16"/>
        <v>149.9</v>
      </c>
      <c r="H400">
        <f t="shared" si="16"/>
        <v>0</v>
      </c>
      <c r="I400">
        <f t="shared" si="16"/>
        <v>0</v>
      </c>
      <c r="J400">
        <f t="shared" si="15"/>
        <v>0</v>
      </c>
      <c r="K400">
        <f t="shared" si="17"/>
        <v>149.9</v>
      </c>
      <c r="L400" t="str">
        <f>VLOOKUP(Tabell4[[#This Row],[Nät]],Indexnamn!A:A,1,FALSE)</f>
        <v>Motala</v>
      </c>
      <c r="M400" t="str">
        <f>IF(ISTEXT(Tabell4[[#This Row],[Indexnamn]]),Tabell4[[#This Row],[Indexnamn]],LOOKUP(Tabell4[[#This Row],[Nät]],Tabell5[Nätnamn],#REF!))</f>
        <v>Motala</v>
      </c>
      <c r="N400" t="str">
        <f>IF(Tabell4[[#This Row],[Finns i listan ]]=Tabell4[[#This Row],[Indexnamn]],"","NEJ")</f>
        <v/>
      </c>
    </row>
    <row r="401" spans="1:14" x14ac:dyDescent="0.25">
      <c r="A401" t="s">
        <v>556</v>
      </c>
      <c r="B401" t="s">
        <v>337</v>
      </c>
      <c r="C401">
        <v>269.5</v>
      </c>
      <c r="D401" t="s">
        <v>806</v>
      </c>
      <c r="E401" t="s">
        <v>806</v>
      </c>
      <c r="F401" t="s">
        <v>806</v>
      </c>
      <c r="G401">
        <f t="shared" si="16"/>
        <v>269.5</v>
      </c>
      <c r="H401">
        <f t="shared" si="16"/>
        <v>0</v>
      </c>
      <c r="I401">
        <f t="shared" si="16"/>
        <v>0</v>
      </c>
      <c r="J401">
        <f t="shared" si="15"/>
        <v>0</v>
      </c>
      <c r="K401">
        <f t="shared" si="17"/>
        <v>269.5</v>
      </c>
      <c r="L401" t="str">
        <f>VLOOKUP(Tabell4[[#This Row],[Nät]],Indexnamn!A:A,1,FALSE)</f>
        <v>Nyköping</v>
      </c>
      <c r="M401" t="str">
        <f>IF(ISTEXT(Tabell4[[#This Row],[Indexnamn]]),Tabell4[[#This Row],[Indexnamn]],LOOKUP(Tabell4[[#This Row],[Nät]],Tabell5[Nätnamn],#REF!))</f>
        <v>Nyköping</v>
      </c>
      <c r="N401" t="str">
        <f>IF(Tabell4[[#This Row],[Finns i listan ]]=Tabell4[[#This Row],[Indexnamn]],"","NEJ")</f>
        <v/>
      </c>
    </row>
    <row r="402" spans="1:14" x14ac:dyDescent="0.25">
      <c r="A402" t="s">
        <v>556</v>
      </c>
      <c r="B402" t="s">
        <v>342</v>
      </c>
      <c r="C402">
        <v>27.7</v>
      </c>
      <c r="D402" t="s">
        <v>806</v>
      </c>
      <c r="E402" t="s">
        <v>806</v>
      </c>
      <c r="F402" t="s">
        <v>806</v>
      </c>
      <c r="G402">
        <f t="shared" si="16"/>
        <v>27.7</v>
      </c>
      <c r="H402">
        <f t="shared" si="16"/>
        <v>0</v>
      </c>
      <c r="I402">
        <f t="shared" si="16"/>
        <v>0</v>
      </c>
      <c r="J402">
        <f t="shared" si="15"/>
        <v>0</v>
      </c>
      <c r="K402">
        <f t="shared" si="17"/>
        <v>27.7</v>
      </c>
      <c r="L402" t="str">
        <f>VLOOKUP(Tabell4[[#This Row],[Nät]],Indexnamn!A:A,1,FALSE)</f>
        <v>Saltsjöbaden</v>
      </c>
      <c r="M402" t="str">
        <f>IF(ISTEXT(Tabell4[[#This Row],[Indexnamn]]),Tabell4[[#This Row],[Indexnamn]],LOOKUP(Tabell4[[#This Row],[Nät]],Tabell5[Nätnamn],#REF!))</f>
        <v>Saltsjöbaden</v>
      </c>
      <c r="N402" t="str">
        <f>IF(Tabell4[[#This Row],[Finns i listan ]]=Tabell4[[#This Row],[Indexnamn]],"","NEJ")</f>
        <v/>
      </c>
    </row>
    <row r="403" spans="1:14" x14ac:dyDescent="0.25">
      <c r="A403" t="s">
        <v>556</v>
      </c>
      <c r="B403" t="s">
        <v>343</v>
      </c>
      <c r="C403">
        <v>14</v>
      </c>
      <c r="D403" t="s">
        <v>806</v>
      </c>
      <c r="E403" t="s">
        <v>806</v>
      </c>
      <c r="F403" t="s">
        <v>806</v>
      </c>
      <c r="G403">
        <f t="shared" si="16"/>
        <v>14</v>
      </c>
      <c r="H403">
        <f t="shared" si="16"/>
        <v>0</v>
      </c>
      <c r="I403">
        <f t="shared" si="16"/>
        <v>0</v>
      </c>
      <c r="J403">
        <f t="shared" si="15"/>
        <v>0</v>
      </c>
      <c r="K403">
        <f t="shared" si="17"/>
        <v>14</v>
      </c>
      <c r="L403" t="str">
        <f>VLOOKUP(Tabell4[[#This Row],[Nät]],Indexnamn!A:A,1,FALSE)</f>
        <v>Storvreta</v>
      </c>
      <c r="M403" t="str">
        <f>IF(ISTEXT(Tabell4[[#This Row],[Indexnamn]]),Tabell4[[#This Row],[Indexnamn]],LOOKUP(Tabell4[[#This Row],[Nät]],Tabell5[Nätnamn],#REF!))</f>
        <v>Storvreta</v>
      </c>
      <c r="N403" t="str">
        <f>IF(Tabell4[[#This Row],[Finns i listan ]]=Tabell4[[#This Row],[Indexnamn]],"","NEJ")</f>
        <v/>
      </c>
    </row>
    <row r="404" spans="1:14" x14ac:dyDescent="0.25">
      <c r="A404" t="s">
        <v>556</v>
      </c>
      <c r="B404" t="s">
        <v>335</v>
      </c>
      <c r="C404">
        <v>1429.4</v>
      </c>
      <c r="D404" t="s">
        <v>806</v>
      </c>
      <c r="E404" t="s">
        <v>806</v>
      </c>
      <c r="F404" t="s">
        <v>806</v>
      </c>
      <c r="G404">
        <f t="shared" si="16"/>
        <v>1429.4</v>
      </c>
      <c r="H404">
        <f t="shared" si="16"/>
        <v>0</v>
      </c>
      <c r="I404">
        <f t="shared" si="16"/>
        <v>0</v>
      </c>
      <c r="J404">
        <f t="shared" si="15"/>
        <v>0</v>
      </c>
      <c r="K404">
        <f t="shared" si="17"/>
        <v>1429.4</v>
      </c>
      <c r="L404" t="str">
        <f>VLOOKUP(Tabell4[[#This Row],[Nät]],Indexnamn!A:A,1,FALSE)</f>
        <v>Uppsala</v>
      </c>
      <c r="M404" t="str">
        <f>IF(ISTEXT(Tabell4[[#This Row],[Indexnamn]]),Tabell4[[#This Row],[Indexnamn]],LOOKUP(Tabell4[[#This Row],[Nät]],Tabell5[Nätnamn],#REF!))</f>
        <v>Uppsala</v>
      </c>
      <c r="N404" t="str">
        <f>IF(Tabell4[[#This Row],[Finns i listan ]]=Tabell4[[#This Row],[Indexnamn]],"","NEJ")</f>
        <v/>
      </c>
    </row>
    <row r="405" spans="1:14" x14ac:dyDescent="0.25">
      <c r="A405" t="s">
        <v>556</v>
      </c>
      <c r="B405" t="s">
        <v>338</v>
      </c>
      <c r="C405">
        <v>134.5</v>
      </c>
      <c r="D405" t="s">
        <v>806</v>
      </c>
      <c r="E405" t="s">
        <v>806</v>
      </c>
      <c r="F405" t="s">
        <v>806</v>
      </c>
      <c r="G405">
        <f t="shared" si="16"/>
        <v>134.5</v>
      </c>
      <c r="H405">
        <f t="shared" si="16"/>
        <v>0</v>
      </c>
      <c r="I405">
        <f t="shared" si="16"/>
        <v>0</v>
      </c>
      <c r="J405">
        <f t="shared" si="15"/>
        <v>0</v>
      </c>
      <c r="K405">
        <f t="shared" si="17"/>
        <v>134.5</v>
      </c>
      <c r="L405" t="str">
        <f>VLOOKUP(Tabell4[[#This Row],[Nät]],Indexnamn!A:A,1,FALSE)</f>
        <v>Vänersborg</v>
      </c>
      <c r="M405" t="str">
        <f>IF(ISTEXT(Tabell4[[#This Row],[Indexnamn]]),Tabell4[[#This Row],[Indexnamn]],LOOKUP(Tabell4[[#This Row],[Nät]],Tabell5[Nätnamn],#REF!))</f>
        <v>Vänersborg</v>
      </c>
      <c r="N405" t="str">
        <f>IF(Tabell4[[#This Row],[Finns i listan ]]=Tabell4[[#This Row],[Indexnamn]],"","NEJ")</f>
        <v/>
      </c>
    </row>
    <row r="406" spans="1:14" x14ac:dyDescent="0.25">
      <c r="A406" t="s">
        <v>904</v>
      </c>
      <c r="B406" t="s">
        <v>905</v>
      </c>
      <c r="C406">
        <v>5.3</v>
      </c>
      <c r="D406" t="s">
        <v>806</v>
      </c>
      <c r="E406" t="s">
        <v>806</v>
      </c>
      <c r="F406" t="s">
        <v>806</v>
      </c>
      <c r="G406">
        <f t="shared" si="16"/>
        <v>5.3</v>
      </c>
      <c r="H406">
        <f t="shared" si="16"/>
        <v>0</v>
      </c>
      <c r="I406">
        <f t="shared" si="16"/>
        <v>0</v>
      </c>
      <c r="J406">
        <f t="shared" si="15"/>
        <v>0</v>
      </c>
      <c r="K406">
        <f t="shared" si="17"/>
        <v>5.3</v>
      </c>
      <c r="L406" t="str">
        <f>VLOOKUP(Tabell4[[#This Row],[Nät]],Indexnamn!A:A,1,FALSE)</f>
        <v>Ekerö</v>
      </c>
      <c r="M406" t="str">
        <f>IF(ISTEXT(Tabell4[[#This Row],[Indexnamn]]),Tabell4[[#This Row],[Indexnamn]],LOOKUP(Tabell4[[#This Row],[Nät]],Tabell5[Nätnamn],#REF!))</f>
        <v>Ekerö</v>
      </c>
      <c r="N406" t="str">
        <f>IF(Tabell4[[#This Row],[Finns i listan ]]=Tabell4[[#This Row],[Indexnamn]],"","NEJ")</f>
        <v/>
      </c>
    </row>
    <row r="407" spans="1:14" x14ac:dyDescent="0.25">
      <c r="A407" t="s">
        <v>904</v>
      </c>
      <c r="B407" t="s">
        <v>341</v>
      </c>
      <c r="C407">
        <v>4.13</v>
      </c>
      <c r="D407" t="s">
        <v>806</v>
      </c>
      <c r="E407" t="s">
        <v>806</v>
      </c>
      <c r="F407" t="s">
        <v>806</v>
      </c>
      <c r="G407">
        <f t="shared" si="16"/>
        <v>4.13</v>
      </c>
      <c r="H407">
        <f t="shared" si="16"/>
        <v>0</v>
      </c>
      <c r="I407">
        <f t="shared" si="16"/>
        <v>0</v>
      </c>
      <c r="J407">
        <f t="shared" si="15"/>
        <v>0</v>
      </c>
      <c r="K407">
        <f t="shared" si="17"/>
        <v>4.13</v>
      </c>
      <c r="L407" t="e">
        <f>VLOOKUP(Tabell4[[#This Row],[Nät]],Indexnamn!A:A,1,FALSE)</f>
        <v>#N/A</v>
      </c>
      <c r="M407" t="e">
        <f>IF(ISTEXT(Tabell4[[#This Row],[Indexnamn]]),Tabell4[[#This Row],[Indexnamn]],LOOKUP(Tabell4[[#This Row],[Nät]],Tabell5[Nätnamn],#REF!))</f>
        <v>#REF!</v>
      </c>
      <c r="N407" t="e">
        <f>IF(Tabell4[[#This Row],[Finns i listan ]]=Tabell4[[#This Row],[Indexnamn]],"","NEJ")</f>
        <v>#REF!</v>
      </c>
    </row>
    <row r="408" spans="1:14" x14ac:dyDescent="0.25">
      <c r="A408" t="s">
        <v>605</v>
      </c>
      <c r="B408" t="s">
        <v>351</v>
      </c>
      <c r="C408">
        <v>4.7409999999999997</v>
      </c>
      <c r="D408" t="s">
        <v>806</v>
      </c>
      <c r="E408" t="s">
        <v>806</v>
      </c>
      <c r="F408" t="s">
        <v>806</v>
      </c>
      <c r="G408">
        <f t="shared" si="16"/>
        <v>4.7409999999999997</v>
      </c>
      <c r="H408">
        <f t="shared" si="16"/>
        <v>0</v>
      </c>
      <c r="I408">
        <f t="shared" si="16"/>
        <v>0</v>
      </c>
      <c r="J408">
        <f t="shared" si="15"/>
        <v>0</v>
      </c>
      <c r="K408">
        <f t="shared" si="17"/>
        <v>4.7409999999999997</v>
      </c>
      <c r="L408" t="str">
        <f>VLOOKUP(Tabell4[[#This Row],[Nät]],Indexnamn!A:A,1,FALSE)</f>
        <v>Frödinge</v>
      </c>
      <c r="M408" t="str">
        <f>IF(ISTEXT(Tabell4[[#This Row],[Indexnamn]]),Tabell4[[#This Row],[Indexnamn]],LOOKUP(Tabell4[[#This Row],[Nät]],Tabell5[Nätnamn],#REF!))</f>
        <v>Frödinge</v>
      </c>
      <c r="N408" t="str">
        <f>IF(Tabell4[[#This Row],[Finns i listan ]]=Tabell4[[#This Row],[Indexnamn]],"","NEJ")</f>
        <v/>
      </c>
    </row>
    <row r="409" spans="1:14" x14ac:dyDescent="0.25">
      <c r="A409" t="s">
        <v>605</v>
      </c>
      <c r="B409" t="s">
        <v>352</v>
      </c>
      <c r="C409">
        <v>4.016</v>
      </c>
      <c r="D409" t="s">
        <v>806</v>
      </c>
      <c r="E409" t="s">
        <v>806</v>
      </c>
      <c r="F409" t="s">
        <v>806</v>
      </c>
      <c r="G409">
        <f t="shared" si="16"/>
        <v>4.016</v>
      </c>
      <c r="H409">
        <f t="shared" si="16"/>
        <v>0</v>
      </c>
      <c r="I409">
        <f t="shared" si="16"/>
        <v>0</v>
      </c>
      <c r="J409">
        <f t="shared" si="15"/>
        <v>0</v>
      </c>
      <c r="K409">
        <f t="shared" si="17"/>
        <v>4.016</v>
      </c>
      <c r="L409" t="str">
        <f>VLOOKUP(Tabell4[[#This Row],[Nät]],Indexnamn!A:A,1,FALSE)</f>
        <v>Gullringen</v>
      </c>
      <c r="M409" t="str">
        <f>IF(ISTEXT(Tabell4[[#This Row],[Indexnamn]]),Tabell4[[#This Row],[Indexnamn]],LOOKUP(Tabell4[[#This Row],[Nät]],Tabell5[Nätnamn],#REF!))</f>
        <v>Gullringen</v>
      </c>
      <c r="N409" t="str">
        <f>IF(Tabell4[[#This Row],[Finns i listan ]]=Tabell4[[#This Row],[Indexnamn]],"","NEJ")</f>
        <v/>
      </c>
    </row>
    <row r="410" spans="1:14" x14ac:dyDescent="0.25">
      <c r="A410" t="s">
        <v>605</v>
      </c>
      <c r="B410" t="s">
        <v>353</v>
      </c>
      <c r="C410">
        <v>6.8170000000000002</v>
      </c>
      <c r="D410" t="s">
        <v>806</v>
      </c>
      <c r="E410" t="s">
        <v>806</v>
      </c>
      <c r="F410" t="s">
        <v>806</v>
      </c>
      <c r="G410">
        <f t="shared" si="16"/>
        <v>6.8170000000000002</v>
      </c>
      <c r="H410">
        <f t="shared" si="16"/>
        <v>0</v>
      </c>
      <c r="I410">
        <f t="shared" si="16"/>
        <v>0</v>
      </c>
      <c r="J410">
        <f t="shared" si="15"/>
        <v>0</v>
      </c>
      <c r="K410">
        <f t="shared" si="17"/>
        <v>6.8170000000000002</v>
      </c>
      <c r="L410" t="str">
        <f>VLOOKUP(Tabell4[[#This Row],[Nät]],Indexnamn!A:A,1,FALSE)</f>
        <v>Storebro</v>
      </c>
      <c r="M410" t="str">
        <f>IF(ISTEXT(Tabell4[[#This Row],[Indexnamn]]),Tabell4[[#This Row],[Indexnamn]],LOOKUP(Tabell4[[#This Row],[Nät]],Tabell5[Nätnamn],#REF!))</f>
        <v>Storebro</v>
      </c>
      <c r="N410" t="str">
        <f>IF(Tabell4[[#This Row],[Finns i listan ]]=Tabell4[[#This Row],[Indexnamn]],"","NEJ")</f>
        <v/>
      </c>
    </row>
    <row r="411" spans="1:14" x14ac:dyDescent="0.25">
      <c r="A411" t="s">
        <v>605</v>
      </c>
      <c r="B411" t="s">
        <v>391</v>
      </c>
      <c r="C411">
        <v>12.039</v>
      </c>
      <c r="D411" t="s">
        <v>806</v>
      </c>
      <c r="E411" t="s">
        <v>806</v>
      </c>
      <c r="F411" t="s">
        <v>806</v>
      </c>
      <c r="G411">
        <f t="shared" si="16"/>
        <v>12.039</v>
      </c>
      <c r="H411">
        <f t="shared" si="16"/>
        <v>0</v>
      </c>
      <c r="I411">
        <f t="shared" si="16"/>
        <v>0</v>
      </c>
      <c r="J411">
        <f t="shared" si="15"/>
        <v>0</v>
      </c>
      <c r="K411">
        <f t="shared" si="17"/>
        <v>12.039</v>
      </c>
      <c r="L411" t="str">
        <f>VLOOKUP(Tabell4[[#This Row],[Nät]],Indexnamn!A:A,1,FALSE)</f>
        <v>Södra Vi</v>
      </c>
      <c r="M411" t="str">
        <f>IF(ISTEXT(Tabell4[[#This Row],[Indexnamn]]),Tabell4[[#This Row],[Indexnamn]],LOOKUP(Tabell4[[#This Row],[Nät]],Tabell5[Nätnamn],#REF!))</f>
        <v>Södra Vi</v>
      </c>
      <c r="N411" t="str">
        <f>IF(Tabell4[[#This Row],[Finns i listan ]]=Tabell4[[#This Row],[Indexnamn]],"","NEJ")</f>
        <v/>
      </c>
    </row>
    <row r="412" spans="1:14" x14ac:dyDescent="0.25">
      <c r="A412" t="s">
        <v>605</v>
      </c>
      <c r="B412" t="s">
        <v>350</v>
      </c>
      <c r="C412">
        <v>105.078</v>
      </c>
      <c r="D412" t="s">
        <v>806</v>
      </c>
      <c r="E412" t="s">
        <v>806</v>
      </c>
      <c r="F412" t="s">
        <v>806</v>
      </c>
      <c r="G412">
        <f t="shared" si="16"/>
        <v>105.078</v>
      </c>
      <c r="H412">
        <f t="shared" si="16"/>
        <v>0</v>
      </c>
      <c r="I412">
        <f t="shared" si="16"/>
        <v>0</v>
      </c>
      <c r="J412">
        <f t="shared" si="15"/>
        <v>0</v>
      </c>
      <c r="K412">
        <f t="shared" si="17"/>
        <v>105.078</v>
      </c>
      <c r="L412" t="str">
        <f>VLOOKUP(Tabell4[[#This Row],[Nät]],Indexnamn!A:A,1,FALSE)</f>
        <v>Vimmerby</v>
      </c>
      <c r="M412" t="str">
        <f>IF(ISTEXT(Tabell4[[#This Row],[Indexnamn]]),Tabell4[[#This Row],[Indexnamn]],LOOKUP(Tabell4[[#This Row],[Nät]],Tabell5[Nätnamn],#REF!))</f>
        <v>Vimmerby</v>
      </c>
      <c r="N412" t="str">
        <f>IF(Tabell4[[#This Row],[Finns i listan ]]=Tabell4[[#This Row],[Indexnamn]],"","NEJ")</f>
        <v/>
      </c>
    </row>
    <row r="413" spans="1:14" x14ac:dyDescent="0.25">
      <c r="A413" t="s">
        <v>668</v>
      </c>
      <c r="B413" t="s">
        <v>405</v>
      </c>
      <c r="C413">
        <v>2.15</v>
      </c>
      <c r="D413" t="s">
        <v>806</v>
      </c>
      <c r="E413" t="s">
        <v>806</v>
      </c>
      <c r="F413" t="s">
        <v>806</v>
      </c>
      <c r="G413">
        <f t="shared" si="16"/>
        <v>2.15</v>
      </c>
      <c r="H413">
        <f t="shared" si="16"/>
        <v>0</v>
      </c>
      <c r="I413">
        <f t="shared" si="16"/>
        <v>0</v>
      </c>
      <c r="J413">
        <f t="shared" si="15"/>
        <v>0</v>
      </c>
      <c r="K413">
        <f t="shared" si="17"/>
        <v>2.15</v>
      </c>
      <c r="L413" t="str">
        <f>VLOOKUP(Tabell4[[#This Row],[Nät]],Indexnamn!A:A,1,FALSE)</f>
        <v>Lyrestad</v>
      </c>
      <c r="M413" t="str">
        <f>IF(ISTEXT(Tabell4[[#This Row],[Indexnamn]]),Tabell4[[#This Row],[Indexnamn]],LOOKUP(Tabell4[[#This Row],[Nät]],Tabell5[Nätnamn],#REF!))</f>
        <v>Lyrestad</v>
      </c>
      <c r="N413" t="str">
        <f>IF(Tabell4[[#This Row],[Finns i listan ]]=Tabell4[[#This Row],[Indexnamn]],"","NEJ")</f>
        <v/>
      </c>
    </row>
    <row r="414" spans="1:14" x14ac:dyDescent="0.25">
      <c r="A414" t="s">
        <v>668</v>
      </c>
      <c r="B414" t="s">
        <v>202</v>
      </c>
      <c r="C414">
        <v>124.956</v>
      </c>
      <c r="D414" t="s">
        <v>806</v>
      </c>
      <c r="E414" t="s">
        <v>806</v>
      </c>
      <c r="F414" t="s">
        <v>806</v>
      </c>
      <c r="G414">
        <f t="shared" si="16"/>
        <v>124.956</v>
      </c>
      <c r="H414">
        <f t="shared" si="16"/>
        <v>0</v>
      </c>
      <c r="I414">
        <f t="shared" si="16"/>
        <v>0</v>
      </c>
      <c r="J414">
        <f t="shared" si="15"/>
        <v>0</v>
      </c>
      <c r="K414">
        <f t="shared" si="17"/>
        <v>124.956</v>
      </c>
      <c r="L414" t="str">
        <f>VLOOKUP(Tabell4[[#This Row],[Nät]],Indexnamn!A:A,1,FALSE)</f>
        <v>Mariestad</v>
      </c>
      <c r="M414" t="str">
        <f>IF(ISTEXT(Tabell4[[#This Row],[Indexnamn]]),Tabell4[[#This Row],[Indexnamn]],LOOKUP(Tabell4[[#This Row],[Nät]],Tabell5[Nätnamn],#REF!))</f>
        <v>Mariestad</v>
      </c>
      <c r="N414" t="str">
        <f>IF(Tabell4[[#This Row],[Finns i listan ]]=Tabell4[[#This Row],[Indexnamn]],"","NEJ")</f>
        <v/>
      </c>
    </row>
    <row r="415" spans="1:14" x14ac:dyDescent="0.25">
      <c r="A415" t="s">
        <v>668</v>
      </c>
      <c r="B415" t="s">
        <v>430</v>
      </c>
      <c r="C415">
        <v>25.542000000000002</v>
      </c>
      <c r="D415" t="s">
        <v>806</v>
      </c>
      <c r="E415" t="s">
        <v>806</v>
      </c>
      <c r="F415" t="s">
        <v>806</v>
      </c>
      <c r="G415">
        <f t="shared" si="16"/>
        <v>25.542000000000002</v>
      </c>
      <c r="H415">
        <f t="shared" si="16"/>
        <v>0</v>
      </c>
      <c r="I415">
        <f t="shared" si="16"/>
        <v>0</v>
      </c>
      <c r="J415">
        <f t="shared" si="15"/>
        <v>0</v>
      </c>
      <c r="K415">
        <f t="shared" si="17"/>
        <v>25.542000000000002</v>
      </c>
      <c r="L415" t="str">
        <f>VLOOKUP(Tabell4[[#This Row],[Nät]],Indexnamn!A:A,1,FALSE)</f>
        <v>Töreboda</v>
      </c>
      <c r="M415" t="str">
        <f>IF(ISTEXT(Tabell4[[#This Row],[Indexnamn]]),Tabell4[[#This Row],[Indexnamn]],LOOKUP(Tabell4[[#This Row],[Nät]],Tabell5[Nätnamn],#REF!))</f>
        <v>Töreboda</v>
      </c>
      <c r="N415" t="str">
        <f>IF(Tabell4[[#This Row],[Finns i listan ]]=Tabell4[[#This Row],[Indexnamn]],"","NEJ")</f>
        <v/>
      </c>
    </row>
    <row r="416" spans="1:14" x14ac:dyDescent="0.25">
      <c r="A416" t="s">
        <v>558</v>
      </c>
      <c r="B416" t="s">
        <v>805</v>
      </c>
      <c r="C416" t="s">
        <v>805</v>
      </c>
      <c r="D416" t="s">
        <v>805</v>
      </c>
      <c r="E416" t="s">
        <v>805</v>
      </c>
      <c r="F416" t="s">
        <v>805</v>
      </c>
      <c r="G416">
        <f t="shared" si="16"/>
        <v>0</v>
      </c>
      <c r="H416">
        <f t="shared" si="16"/>
        <v>0</v>
      </c>
      <c r="I416">
        <f t="shared" si="16"/>
        <v>0</v>
      </c>
      <c r="J416">
        <f t="shared" si="15"/>
        <v>0</v>
      </c>
      <c r="K416">
        <f t="shared" si="17"/>
        <v>0</v>
      </c>
      <c r="L416" t="e">
        <f>VLOOKUP(Tabell4[[#This Row],[Nät]],Indexnamn!A:A,1,FALSE)</f>
        <v>#N/A</v>
      </c>
      <c r="N416" t="e">
        <f>IF(Tabell4[[#This Row],[Finns i listan ]]=Tabell4[[#This Row],[Indexnamn]],"","NEJ")</f>
        <v>#N/A</v>
      </c>
    </row>
    <row r="417" spans="1:16" x14ac:dyDescent="0.25">
      <c r="A417" t="s">
        <v>558</v>
      </c>
      <c r="B417" t="s">
        <v>805</v>
      </c>
      <c r="C417" t="s">
        <v>805</v>
      </c>
      <c r="D417" t="s">
        <v>805</v>
      </c>
      <c r="E417" t="s">
        <v>805</v>
      </c>
      <c r="F417" t="s">
        <v>805</v>
      </c>
      <c r="G417">
        <f t="shared" si="16"/>
        <v>0</v>
      </c>
      <c r="H417">
        <f t="shared" si="16"/>
        <v>0</v>
      </c>
      <c r="I417">
        <f t="shared" si="16"/>
        <v>0</v>
      </c>
      <c r="J417">
        <f t="shared" si="15"/>
        <v>0</v>
      </c>
      <c r="K417">
        <f t="shared" si="17"/>
        <v>0</v>
      </c>
      <c r="L417" t="e">
        <f>VLOOKUP(Tabell4[[#This Row],[Nät]],Indexnamn!A:A,1,FALSE)</f>
        <v>#N/A</v>
      </c>
      <c r="N417" t="e">
        <f>IF(Tabell4[[#This Row],[Finns i listan ]]=Tabell4[[#This Row],[Indexnamn]],"","NEJ")</f>
        <v>#N/A</v>
      </c>
    </row>
    <row r="418" spans="1:16" x14ac:dyDescent="0.25">
      <c r="A418" t="s">
        <v>558</v>
      </c>
      <c r="B418" t="s">
        <v>118</v>
      </c>
      <c r="C418">
        <v>214.83799999999999</v>
      </c>
      <c r="D418" t="s">
        <v>806</v>
      </c>
      <c r="E418" t="s">
        <v>806</v>
      </c>
      <c r="F418" t="s">
        <v>806</v>
      </c>
      <c r="G418">
        <f t="shared" si="16"/>
        <v>214.83799999999999</v>
      </c>
      <c r="H418">
        <f t="shared" si="16"/>
        <v>0</v>
      </c>
      <c r="I418">
        <f t="shared" si="16"/>
        <v>0</v>
      </c>
      <c r="J418">
        <f t="shared" si="15"/>
        <v>0</v>
      </c>
      <c r="K418">
        <f t="shared" si="17"/>
        <v>214.83799999999999</v>
      </c>
      <c r="L418" t="str">
        <f>VLOOKUP(Tabell4[[#This Row],[Nät]],Indexnamn!A:A,1,FALSE)</f>
        <v>Avesta</v>
      </c>
      <c r="M418" t="str">
        <f>IF(ISTEXT(Tabell4[[#This Row],[Indexnamn]]),Tabell4[[#This Row],[Indexnamn]],LOOKUP(Tabell4[[#This Row],[Nät]],Tabell5[Nätnamn],#REF!))</f>
        <v>Avesta</v>
      </c>
      <c r="N418" t="str">
        <f>IF(Tabell4[[#This Row],[Finns i listan ]]=Tabell4[[#This Row],[Indexnamn]],"","NEJ")</f>
        <v/>
      </c>
    </row>
    <row r="419" spans="1:16" x14ac:dyDescent="0.25">
      <c r="A419" t="s">
        <v>558</v>
      </c>
      <c r="B419" t="s">
        <v>115</v>
      </c>
      <c r="C419">
        <v>14.494999999999999</v>
      </c>
      <c r="D419" t="s">
        <v>806</v>
      </c>
      <c r="E419" t="s">
        <v>806</v>
      </c>
      <c r="F419" t="s">
        <v>806</v>
      </c>
      <c r="G419">
        <f t="shared" si="16"/>
        <v>14.494999999999999</v>
      </c>
      <c r="H419">
        <f t="shared" si="16"/>
        <v>0</v>
      </c>
      <c r="I419">
        <f t="shared" si="16"/>
        <v>0</v>
      </c>
      <c r="J419">
        <f t="shared" si="15"/>
        <v>0</v>
      </c>
      <c r="K419">
        <f t="shared" si="17"/>
        <v>14.494999999999999</v>
      </c>
      <c r="L419" t="str">
        <f>VLOOKUP(Tabell4[[#This Row],[Nät]],Indexnamn!A:A,1,FALSE)</f>
        <v>Delsbo</v>
      </c>
      <c r="M419" t="str">
        <f>IF(ISTEXT(Tabell4[[#This Row],[Indexnamn]]),Tabell4[[#This Row],[Indexnamn]],LOOKUP(Tabell4[[#This Row],[Nät]],Tabell5[Nätnamn],#REF!))</f>
        <v>Delsbo</v>
      </c>
      <c r="N419" t="str">
        <f>IF(Tabell4[[#This Row],[Finns i listan ]]=Tabell4[[#This Row],[Indexnamn]],"","NEJ")</f>
        <v/>
      </c>
    </row>
    <row r="420" spans="1:16" x14ac:dyDescent="0.25">
      <c r="A420" t="s">
        <v>558</v>
      </c>
      <c r="B420" t="s">
        <v>123</v>
      </c>
      <c r="C420">
        <v>21.808</v>
      </c>
      <c r="D420" t="s">
        <v>806</v>
      </c>
      <c r="E420" t="s">
        <v>806</v>
      </c>
      <c r="F420" t="s">
        <v>806</v>
      </c>
      <c r="G420">
        <f t="shared" si="16"/>
        <v>21.808</v>
      </c>
      <c r="H420">
        <f t="shared" si="16"/>
        <v>0</v>
      </c>
      <c r="I420">
        <f t="shared" si="16"/>
        <v>0</v>
      </c>
      <c r="J420">
        <f t="shared" si="15"/>
        <v>0</v>
      </c>
      <c r="K420">
        <f t="shared" si="17"/>
        <v>21.808</v>
      </c>
      <c r="L420" t="str">
        <f>VLOOKUP(Tabell4[[#This Row],[Nät]],Indexnamn!A:A,1,FALSE)</f>
        <v>Grums</v>
      </c>
      <c r="M420" t="str">
        <f>IF(ISTEXT(Tabell4[[#This Row],[Indexnamn]]),Tabell4[[#This Row],[Indexnamn]],LOOKUP(Tabell4[[#This Row],[Nät]],Tabell5[Nätnamn],#REF!))</f>
        <v>Grums</v>
      </c>
      <c r="N420" t="str">
        <f>IF(Tabell4[[#This Row],[Finns i listan ]]=Tabell4[[#This Row],[Indexnamn]],"","NEJ")</f>
        <v/>
      </c>
    </row>
    <row r="421" spans="1:16" x14ac:dyDescent="0.25">
      <c r="A421" t="s">
        <v>558</v>
      </c>
      <c r="B421" t="s">
        <v>124</v>
      </c>
      <c r="C421">
        <v>5.9489999999999998</v>
      </c>
      <c r="D421" t="s">
        <v>806</v>
      </c>
      <c r="E421" t="s">
        <v>806</v>
      </c>
      <c r="F421" t="s">
        <v>806</v>
      </c>
      <c r="G421">
        <f t="shared" si="16"/>
        <v>5.9489999999999998</v>
      </c>
      <c r="H421">
        <f t="shared" si="16"/>
        <v>0</v>
      </c>
      <c r="I421">
        <f t="shared" si="16"/>
        <v>0</v>
      </c>
      <c r="J421">
        <f t="shared" si="15"/>
        <v>0</v>
      </c>
      <c r="K421">
        <f t="shared" si="17"/>
        <v>5.9489999999999998</v>
      </c>
      <c r="L421" t="str">
        <f>VLOOKUP(Tabell4[[#This Row],[Nät]],Indexnamn!A:A,1,FALSE)</f>
        <v>Grythyttan</v>
      </c>
      <c r="M421" t="str">
        <f>IF(ISTEXT(Tabell4[[#This Row],[Indexnamn]]),Tabell4[[#This Row],[Indexnamn]],LOOKUP(Tabell4[[#This Row],[Nät]],Tabell5[Nätnamn],#REF!))</f>
        <v>Grythyttan</v>
      </c>
      <c r="N421" t="str">
        <f>IF(Tabell4[[#This Row],[Finns i listan ]]=Tabell4[[#This Row],[Indexnamn]],"","NEJ")</f>
        <v/>
      </c>
    </row>
    <row r="422" spans="1:16" x14ac:dyDescent="0.25">
      <c r="A422" t="s">
        <v>558</v>
      </c>
      <c r="B422" t="s">
        <v>629</v>
      </c>
      <c r="C422">
        <v>66.292000000000002</v>
      </c>
      <c r="D422" t="s">
        <v>806</v>
      </c>
      <c r="E422" t="s">
        <v>806</v>
      </c>
      <c r="F422" t="s">
        <v>806</v>
      </c>
      <c r="G422">
        <f t="shared" si="16"/>
        <v>66.292000000000002</v>
      </c>
      <c r="H422">
        <f t="shared" si="16"/>
        <v>0</v>
      </c>
      <c r="I422">
        <f t="shared" si="16"/>
        <v>0</v>
      </c>
      <c r="J422">
        <f t="shared" si="15"/>
        <v>0</v>
      </c>
      <c r="K422">
        <f t="shared" si="17"/>
        <v>66.292000000000002</v>
      </c>
      <c r="L422" t="str">
        <f>VLOOKUP(Tabell4[[#This Row],[Nät]],Indexnamn!A:A,1,FALSE)</f>
        <v>Hofors(Värmevärden)</v>
      </c>
      <c r="M422" t="str">
        <f>IF(ISTEXT(Tabell4[[#This Row],[Indexnamn]]),Tabell4[[#This Row],[Indexnamn]],LOOKUP(Tabell4[[#This Row],[Nät]],Tabell5[Nätnamn],#REF!))</f>
        <v>Hofors(Värmevärden)</v>
      </c>
      <c r="N422" t="str">
        <f>IF(Tabell4[[#This Row],[Finns i listan ]]=Tabell4[[#This Row],[Indexnamn]],"","NEJ")</f>
        <v/>
      </c>
    </row>
    <row r="423" spans="1:16" x14ac:dyDescent="0.25">
      <c r="A423" t="s">
        <v>558</v>
      </c>
      <c r="B423" t="s">
        <v>117</v>
      </c>
      <c r="C423">
        <v>117.779</v>
      </c>
      <c r="D423" t="s">
        <v>806</v>
      </c>
      <c r="E423" t="s">
        <v>806</v>
      </c>
      <c r="F423" t="s">
        <v>806</v>
      </c>
      <c r="G423">
        <f t="shared" si="16"/>
        <v>117.779</v>
      </c>
      <c r="H423">
        <f t="shared" si="16"/>
        <v>0</v>
      </c>
      <c r="I423">
        <f t="shared" si="16"/>
        <v>0</v>
      </c>
      <c r="J423">
        <f t="shared" si="15"/>
        <v>0</v>
      </c>
      <c r="K423">
        <f t="shared" si="17"/>
        <v>117.779</v>
      </c>
      <c r="L423" t="str">
        <f>VLOOKUP(Tabell4[[#This Row],[Nät]],Indexnamn!A:A,1,FALSE)</f>
        <v>Hudiksvall</v>
      </c>
      <c r="M423" t="str">
        <f>IF(ISTEXT(Tabell4[[#This Row],[Indexnamn]]),Tabell4[[#This Row],[Indexnamn]],LOOKUP(Tabell4[[#This Row],[Nät]],Tabell5[Nätnamn],#REF!))</f>
        <v>Hudiksvall</v>
      </c>
      <c r="N423" t="str">
        <f>IF(Tabell4[[#This Row],[Finns i listan ]]=Tabell4[[#This Row],[Indexnamn]],"","NEJ")</f>
        <v/>
      </c>
    </row>
    <row r="424" spans="1:16" x14ac:dyDescent="0.25">
      <c r="A424" t="s">
        <v>558</v>
      </c>
      <c r="B424" t="s">
        <v>125</v>
      </c>
      <c r="C424">
        <v>33.713000000000001</v>
      </c>
      <c r="D424" t="s">
        <v>806</v>
      </c>
      <c r="E424" t="s">
        <v>806</v>
      </c>
      <c r="F424" t="s">
        <v>806</v>
      </c>
      <c r="G424">
        <f t="shared" si="16"/>
        <v>33.713000000000001</v>
      </c>
      <c r="H424">
        <f t="shared" si="16"/>
        <v>0</v>
      </c>
      <c r="I424">
        <f t="shared" si="16"/>
        <v>0</v>
      </c>
      <c r="J424">
        <f t="shared" si="15"/>
        <v>0</v>
      </c>
      <c r="K424">
        <f t="shared" si="17"/>
        <v>33.713000000000001</v>
      </c>
      <c r="L424" t="str">
        <f>VLOOKUP(Tabell4[[#This Row],[Nät]],Indexnamn!A:A,1,FALSE)</f>
        <v>Hällefors</v>
      </c>
      <c r="M424" t="str">
        <f>IF(ISTEXT(Tabell4[[#This Row],[Indexnamn]]),Tabell4[[#This Row],[Indexnamn]],LOOKUP(Tabell4[[#This Row],[Nät]],Tabell5[Nätnamn],#REF!))</f>
        <v>Hällefors</v>
      </c>
      <c r="N424" t="str">
        <f>IF(Tabell4[[#This Row],[Finns i listan ]]=Tabell4[[#This Row],[Indexnamn]],"","NEJ")</f>
        <v/>
      </c>
    </row>
    <row r="425" spans="1:16" x14ac:dyDescent="0.25">
      <c r="A425" t="s">
        <v>558</v>
      </c>
      <c r="B425" t="s">
        <v>489</v>
      </c>
      <c r="C425">
        <v>17.253</v>
      </c>
      <c r="D425" t="s">
        <v>806</v>
      </c>
      <c r="E425" t="s">
        <v>806</v>
      </c>
      <c r="F425" t="s">
        <v>806</v>
      </c>
      <c r="G425">
        <f t="shared" si="16"/>
        <v>17.253</v>
      </c>
      <c r="H425">
        <f t="shared" si="16"/>
        <v>0</v>
      </c>
      <c r="I425">
        <f t="shared" si="16"/>
        <v>0</v>
      </c>
      <c r="J425">
        <f t="shared" si="15"/>
        <v>0</v>
      </c>
      <c r="K425">
        <f t="shared" si="17"/>
        <v>17.253</v>
      </c>
      <c r="L425" t="str">
        <f>VLOOKUP(Tabell4[[#This Row],[Nät]],Indexnamn!A:A,1,FALSE)</f>
        <v>Iggesund</v>
      </c>
      <c r="M425" t="str">
        <f>IF(ISTEXT(Tabell4[[#This Row],[Indexnamn]]),Tabell4[[#This Row],[Indexnamn]],LOOKUP(Tabell4[[#This Row],[Nät]],Tabell5[Nätnamn],#REF!))</f>
        <v>Iggesund</v>
      </c>
      <c r="N425" t="str">
        <f>IF(Tabell4[[#This Row],[Finns i listan ]]=Tabell4[[#This Row],[Indexnamn]],"","NEJ")</f>
        <v/>
      </c>
    </row>
    <row r="426" spans="1:16" x14ac:dyDescent="0.25">
      <c r="A426" t="s">
        <v>558</v>
      </c>
      <c r="B426" t="s">
        <v>126</v>
      </c>
      <c r="C426">
        <v>11.238</v>
      </c>
      <c r="D426" t="s">
        <v>806</v>
      </c>
      <c r="E426" t="s">
        <v>806</v>
      </c>
      <c r="F426" t="s">
        <v>806</v>
      </c>
      <c r="G426">
        <f t="shared" si="16"/>
        <v>11.238</v>
      </c>
      <c r="H426">
        <f t="shared" si="16"/>
        <v>0</v>
      </c>
      <c r="I426">
        <f t="shared" si="16"/>
        <v>0</v>
      </c>
      <c r="J426">
        <f t="shared" si="15"/>
        <v>0</v>
      </c>
      <c r="K426">
        <f t="shared" si="17"/>
        <v>11.238</v>
      </c>
      <c r="L426" t="str">
        <f>VLOOKUP(Tabell4[[#This Row],[Nät]],Indexnamn!A:A,1,FALSE)</f>
        <v>Kopparberg</v>
      </c>
      <c r="M426" t="str">
        <f>IF(ISTEXT(Tabell4[[#This Row],[Indexnamn]]),Tabell4[[#This Row],[Indexnamn]],LOOKUP(Tabell4[[#This Row],[Nät]],Tabell5[Nätnamn],#REF!))</f>
        <v>Kopparberg</v>
      </c>
      <c r="N426" t="str">
        <f>IF(Tabell4[[#This Row],[Finns i listan ]]=Tabell4[[#This Row],[Indexnamn]],"","NEJ")</f>
        <v/>
      </c>
    </row>
    <row r="427" spans="1:16" x14ac:dyDescent="0.25">
      <c r="A427" t="s">
        <v>558</v>
      </c>
      <c r="B427" t="s">
        <v>654</v>
      </c>
      <c r="C427">
        <v>93.522999999999996</v>
      </c>
      <c r="D427" t="s">
        <v>806</v>
      </c>
      <c r="E427" t="s">
        <v>806</v>
      </c>
      <c r="F427" t="s">
        <v>806</v>
      </c>
      <c r="G427">
        <f t="shared" si="16"/>
        <v>93.522999999999996</v>
      </c>
      <c r="H427">
        <f t="shared" si="16"/>
        <v>0</v>
      </c>
      <c r="I427">
        <f t="shared" si="16"/>
        <v>0</v>
      </c>
      <c r="J427">
        <f t="shared" si="15"/>
        <v>0</v>
      </c>
      <c r="K427">
        <f t="shared" si="17"/>
        <v>93.522999999999996</v>
      </c>
      <c r="L427" t="str">
        <f>VLOOKUP(Tabell4[[#This Row],[Nät]],Indexnamn!A:A,1,FALSE)</f>
        <v>Kristinehamn(Värmevärden)</v>
      </c>
      <c r="M427" t="str">
        <f>IF(ISTEXT(Tabell4[[#This Row],[Indexnamn]]),Tabell4[[#This Row],[Indexnamn]],LOOKUP(Tabell4[[#This Row],[Nät]],Tabell5[Nätnamn],#REF!))</f>
        <v>Kristinehamn(Värmevärden)</v>
      </c>
      <c r="N427" t="str">
        <f>IF(Tabell4[[#This Row],[Finns i listan ]]=Tabell4[[#This Row],[Indexnamn]],"","NEJ")</f>
        <v/>
      </c>
    </row>
    <row r="428" spans="1:16" x14ac:dyDescent="0.25">
      <c r="A428" t="s">
        <v>558</v>
      </c>
      <c r="B428" t="s">
        <v>121</v>
      </c>
      <c r="C428">
        <v>212.739</v>
      </c>
      <c r="D428" t="s">
        <v>806</v>
      </c>
      <c r="E428" t="s">
        <v>806</v>
      </c>
      <c r="F428" t="s">
        <v>806</v>
      </c>
      <c r="G428">
        <f t="shared" si="16"/>
        <v>212.739</v>
      </c>
      <c r="H428">
        <f t="shared" si="16"/>
        <v>0</v>
      </c>
      <c r="I428">
        <f t="shared" si="16"/>
        <v>0</v>
      </c>
      <c r="J428">
        <f t="shared" si="15"/>
        <v>0</v>
      </c>
      <c r="K428">
        <f t="shared" si="17"/>
        <v>212.739</v>
      </c>
      <c r="L428" t="str">
        <f>VLOOKUP(Tabell4[[#This Row],[Nät]],Indexnamn!A:A,1,FALSE)</f>
        <v>Nynäshamn</v>
      </c>
      <c r="M428" t="str">
        <f>IF(ISTEXT(Tabell4[[#This Row],[Indexnamn]]),Tabell4[[#This Row],[Indexnamn]],LOOKUP(Tabell4[[#This Row],[Nät]],Tabell5[Nätnamn],#REF!))</f>
        <v>Nynäshamn</v>
      </c>
      <c r="N428" t="str">
        <f>IF(Tabell4[[#This Row],[Finns i listan ]]=Tabell4[[#This Row],[Indexnamn]],"","NEJ")</f>
        <v/>
      </c>
    </row>
    <row r="429" spans="1:16" x14ac:dyDescent="0.25">
      <c r="A429" t="s">
        <v>558</v>
      </c>
      <c r="B429" t="s">
        <v>128</v>
      </c>
      <c r="C429">
        <v>1.7210000000000001</v>
      </c>
      <c r="D429" t="s">
        <v>806</v>
      </c>
      <c r="E429" t="s">
        <v>806</v>
      </c>
      <c r="F429" t="s">
        <v>806</v>
      </c>
      <c r="G429">
        <f t="shared" si="16"/>
        <v>1.7210000000000001</v>
      </c>
      <c r="H429">
        <f t="shared" si="16"/>
        <v>0</v>
      </c>
      <c r="I429">
        <f t="shared" si="16"/>
        <v>0</v>
      </c>
      <c r="J429">
        <f t="shared" si="15"/>
        <v>0</v>
      </c>
      <c r="K429">
        <f t="shared" si="17"/>
        <v>1.7210000000000001</v>
      </c>
      <c r="L429" t="str">
        <f>VLOOKUP(Tabell4[[#This Row],[Nät]],Indexnamn!A:A,1,FALSE)</f>
        <v>Stöllet</v>
      </c>
      <c r="M429" t="str">
        <f>IF(ISTEXT(Tabell4[[#This Row],[Indexnamn]]),Tabell4[[#This Row],[Indexnamn]],LOOKUP(Tabell4[[#This Row],[Nät]],Tabell5[Nätnamn],#REF!))</f>
        <v>Stöllet</v>
      </c>
      <c r="N429" t="str">
        <f>IF(Tabell4[[#This Row],[Finns i listan ]]=Tabell4[[#This Row],[Indexnamn]],"","NEJ")</f>
        <v/>
      </c>
    </row>
    <row r="430" spans="1:16" x14ac:dyDescent="0.25">
      <c r="A430" t="s">
        <v>558</v>
      </c>
      <c r="B430" t="s">
        <v>714</v>
      </c>
      <c r="C430">
        <v>48.39</v>
      </c>
      <c r="D430" t="s">
        <v>806</v>
      </c>
      <c r="E430" t="s">
        <v>806</v>
      </c>
      <c r="F430" t="s">
        <v>806</v>
      </c>
      <c r="G430">
        <f t="shared" si="16"/>
        <v>48.39</v>
      </c>
      <c r="H430">
        <f t="shared" si="16"/>
        <v>0</v>
      </c>
      <c r="I430">
        <f t="shared" si="16"/>
        <v>0</v>
      </c>
      <c r="J430">
        <f t="shared" si="15"/>
        <v>0</v>
      </c>
      <c r="K430">
        <f t="shared" si="17"/>
        <v>48.39</v>
      </c>
      <c r="L430" t="str">
        <f>VLOOKUP(Tabell4[[#This Row],[Nät]],Indexnamn!A:A,1,FALSE)</f>
        <v xml:space="preserve">Säffle </v>
      </c>
      <c r="M430" t="str">
        <f>IF(ISTEXT(Tabell4[[#This Row],[Indexnamn]]),Tabell4[[#This Row],[Indexnamn]],LOOKUP(Tabell4[[#This Row],[Nät]],Tabell5[Nätnamn],#REF!))</f>
        <v xml:space="preserve">Säffle </v>
      </c>
      <c r="N430" t="str">
        <f>IF(Tabell4[[#This Row],[Finns i listan ]]=Tabell4[[#This Row],[Indexnamn]],"","NEJ")</f>
        <v/>
      </c>
    </row>
    <row r="431" spans="1:16" x14ac:dyDescent="0.25">
      <c r="A431" t="s">
        <v>558</v>
      </c>
      <c r="B431" t="s">
        <v>129</v>
      </c>
      <c r="C431">
        <v>7.0090000000000003</v>
      </c>
      <c r="D431" t="s">
        <v>806</v>
      </c>
      <c r="E431" t="s">
        <v>806</v>
      </c>
      <c r="F431" t="s">
        <v>806</v>
      </c>
      <c r="G431">
        <f t="shared" si="16"/>
        <v>7.0090000000000003</v>
      </c>
      <c r="H431">
        <f t="shared" si="16"/>
        <v>0</v>
      </c>
      <c r="I431">
        <f t="shared" si="16"/>
        <v>0</v>
      </c>
      <c r="J431">
        <f t="shared" si="15"/>
        <v>0</v>
      </c>
      <c r="K431">
        <f t="shared" si="17"/>
        <v>7.0090000000000003</v>
      </c>
      <c r="L431" t="str">
        <f>VLOOKUP(Tabell4[[#This Row],[Nät]],Indexnamn!A:A,1,FALSE)</f>
        <v>Sörforsa</v>
      </c>
      <c r="M431" t="str">
        <f>IF(ISTEXT(Tabell4[[#This Row],[Indexnamn]]),Tabell4[[#This Row],[Indexnamn]],LOOKUP(Tabell4[[#This Row],[Nät]],Tabell5[Nätnamn],#REF!))</f>
        <v>Sörforsa</v>
      </c>
      <c r="N431" t="str">
        <f>IF(Tabell4[[#This Row],[Finns i listan ]]=Tabell4[[#This Row],[Indexnamn]],"","NEJ")</f>
        <v/>
      </c>
      <c r="P431">
        <v>2.536</v>
      </c>
    </row>
    <row r="432" spans="1:16" x14ac:dyDescent="0.25">
      <c r="A432" t="s">
        <v>558</v>
      </c>
      <c r="B432" t="s">
        <v>130</v>
      </c>
      <c r="C432">
        <v>88.465999999999994</v>
      </c>
      <c r="D432" t="s">
        <v>806</v>
      </c>
      <c r="E432" t="s">
        <v>806</v>
      </c>
      <c r="F432" t="s">
        <v>806</v>
      </c>
      <c r="G432">
        <f t="shared" si="16"/>
        <v>88.465999999999994</v>
      </c>
      <c r="H432">
        <f t="shared" si="16"/>
        <v>0</v>
      </c>
      <c r="I432">
        <f t="shared" si="16"/>
        <v>0</v>
      </c>
      <c r="J432">
        <f t="shared" si="15"/>
        <v>0</v>
      </c>
      <c r="K432">
        <f t="shared" si="17"/>
        <v>88.465999999999994</v>
      </c>
      <c r="L432" t="str">
        <f>VLOOKUP(Tabell4[[#This Row],[Nät]],Indexnamn!A:A,1,FALSE)</f>
        <v>Torsby</v>
      </c>
      <c r="M432" t="str">
        <f>IF(ISTEXT(Tabell4[[#This Row],[Indexnamn]]),Tabell4[[#This Row],[Indexnamn]],LOOKUP(Tabell4[[#This Row],[Nät]],Tabell5[Nätnamn],#REF!))</f>
        <v>Torsby</v>
      </c>
      <c r="N432" t="str">
        <f>IF(Tabell4[[#This Row],[Finns i listan ]]=Tabell4[[#This Row],[Indexnamn]],"","NEJ")</f>
        <v/>
      </c>
      <c r="P432">
        <f>P431+Tabell4[[#This Row],[Leveranser till eget nät]]</f>
        <v>91.001999999999995</v>
      </c>
    </row>
    <row r="433" spans="1:14" x14ac:dyDescent="0.25">
      <c r="A433" t="s">
        <v>558</v>
      </c>
      <c r="B433" t="s">
        <v>743</v>
      </c>
      <c r="C433" t="s">
        <v>806</v>
      </c>
      <c r="D433" t="s">
        <v>806</v>
      </c>
      <c r="E433" t="s">
        <v>806</v>
      </c>
      <c r="F433" t="s">
        <v>806</v>
      </c>
      <c r="G433">
        <f t="shared" si="16"/>
        <v>0</v>
      </c>
      <c r="H433">
        <f t="shared" si="16"/>
        <v>0</v>
      </c>
      <c r="I433">
        <f t="shared" si="16"/>
        <v>0</v>
      </c>
      <c r="J433">
        <f t="shared" si="15"/>
        <v>0</v>
      </c>
      <c r="K433">
        <f t="shared" si="17"/>
        <v>0</v>
      </c>
      <c r="L433" t="e">
        <f>VLOOKUP(Tabell4[[#This Row],[Nät]],Indexnamn!A:A,1,FALSE)</f>
        <v>#N/A</v>
      </c>
      <c r="N433" t="e">
        <f>IF(Tabell4[[#This Row],[Finns i listan ]]=Tabell4[[#This Row],[Indexnamn]],"","NEJ")</f>
        <v>#N/A</v>
      </c>
    </row>
    <row r="434" spans="1:14" x14ac:dyDescent="0.25">
      <c r="A434" t="s">
        <v>689</v>
      </c>
      <c r="B434" t="s">
        <v>354</v>
      </c>
      <c r="C434">
        <v>9.2149999999999999</v>
      </c>
      <c r="D434" t="s">
        <v>806</v>
      </c>
      <c r="E434" t="s">
        <v>806</v>
      </c>
      <c r="F434" t="s">
        <v>806</v>
      </c>
      <c r="G434">
        <f t="shared" si="16"/>
        <v>9.2149999999999999</v>
      </c>
      <c r="H434">
        <f t="shared" si="16"/>
        <v>0</v>
      </c>
      <c r="I434">
        <f t="shared" si="16"/>
        <v>0</v>
      </c>
      <c r="J434">
        <f t="shared" si="15"/>
        <v>0</v>
      </c>
      <c r="K434">
        <f t="shared" si="17"/>
        <v>9.2149999999999999</v>
      </c>
      <c r="L434" t="str">
        <f>VLOOKUP(Tabell4[[#This Row],[Nät]],Indexnamn!A:A,1,FALSE)</f>
        <v>Rydaholm</v>
      </c>
      <c r="M434" t="str">
        <f>IF(ISTEXT(Tabell4[[#This Row],[Indexnamn]]),Tabell4[[#This Row],[Indexnamn]],LOOKUP(Tabell4[[#This Row],[Nät]],Tabell5[Nätnamn],#REF!))</f>
        <v>Rydaholm</v>
      </c>
      <c r="N434" t="str">
        <f>IF(Tabell4[[#This Row],[Finns i listan ]]=Tabell4[[#This Row],[Indexnamn]],"","NEJ")</f>
        <v/>
      </c>
    </row>
    <row r="435" spans="1:14" x14ac:dyDescent="0.25">
      <c r="A435" t="s">
        <v>689</v>
      </c>
      <c r="B435" t="s">
        <v>355</v>
      </c>
      <c r="C435">
        <v>153.68899999999999</v>
      </c>
      <c r="D435" t="s">
        <v>806</v>
      </c>
      <c r="E435" t="s">
        <v>806</v>
      </c>
      <c r="F435" t="s">
        <v>806</v>
      </c>
      <c r="G435">
        <f t="shared" si="16"/>
        <v>153.68899999999999</v>
      </c>
      <c r="H435">
        <f t="shared" si="16"/>
        <v>0</v>
      </c>
      <c r="I435">
        <f t="shared" si="16"/>
        <v>0</v>
      </c>
      <c r="J435">
        <f t="shared" si="15"/>
        <v>0</v>
      </c>
      <c r="K435">
        <f t="shared" si="17"/>
        <v>153.68899999999999</v>
      </c>
      <c r="L435" t="str">
        <f>VLOOKUP(Tabell4[[#This Row],[Nät]],Indexnamn!A:A,1,FALSE)</f>
        <v>Värnamo</v>
      </c>
      <c r="M435" t="str">
        <f>IF(ISTEXT(Tabell4[[#This Row],[Indexnamn]]),Tabell4[[#This Row],[Indexnamn]],LOOKUP(Tabell4[[#This Row],[Nät]],Tabell5[Nätnamn],#REF!))</f>
        <v>Värnamo</v>
      </c>
      <c r="N435" t="str">
        <f>IF(Tabell4[[#This Row],[Finns i listan ]]=Tabell4[[#This Row],[Indexnamn]],"","NEJ")</f>
        <v/>
      </c>
    </row>
    <row r="436" spans="1:14" x14ac:dyDescent="0.25">
      <c r="A436" t="s">
        <v>595</v>
      </c>
      <c r="B436" t="s">
        <v>357</v>
      </c>
      <c r="C436">
        <v>93.858000000000004</v>
      </c>
      <c r="D436" t="s">
        <v>806</v>
      </c>
      <c r="E436" t="s">
        <v>806</v>
      </c>
      <c r="F436" t="s">
        <v>806</v>
      </c>
      <c r="G436">
        <f t="shared" si="16"/>
        <v>93.858000000000004</v>
      </c>
      <c r="H436">
        <f t="shared" si="16"/>
        <v>0</v>
      </c>
      <c r="I436">
        <f t="shared" si="16"/>
        <v>0</v>
      </c>
      <c r="J436">
        <f t="shared" si="15"/>
        <v>0</v>
      </c>
      <c r="K436">
        <f t="shared" si="17"/>
        <v>93.858000000000004</v>
      </c>
      <c r="L436" t="str">
        <f>VLOOKUP(Tabell4[[#This Row],[Nät]],Indexnamn!A:A,1,FALSE)</f>
        <v>Fagersta</v>
      </c>
      <c r="M436" t="str">
        <f>IF(ISTEXT(Tabell4[[#This Row],[Indexnamn]]),Tabell4[[#This Row],[Indexnamn]],LOOKUP(Tabell4[[#This Row],[Nät]],Tabell5[Nätnamn],#REF!))</f>
        <v>Fagersta</v>
      </c>
      <c r="N436" t="str">
        <f>IF(Tabell4[[#This Row],[Finns i listan ]]=Tabell4[[#This Row],[Indexnamn]],"","NEJ")</f>
        <v/>
      </c>
    </row>
    <row r="437" spans="1:14" x14ac:dyDescent="0.25">
      <c r="A437" t="s">
        <v>595</v>
      </c>
      <c r="B437" t="s">
        <v>358</v>
      </c>
      <c r="C437">
        <v>11.9</v>
      </c>
      <c r="D437" t="s">
        <v>806</v>
      </c>
      <c r="E437" t="s">
        <v>806</v>
      </c>
      <c r="F437" t="s">
        <v>806</v>
      </c>
      <c r="G437">
        <f t="shared" si="16"/>
        <v>11.9</v>
      </c>
      <c r="H437">
        <f t="shared" si="16"/>
        <v>0</v>
      </c>
      <c r="I437">
        <f t="shared" si="16"/>
        <v>0</v>
      </c>
      <c r="J437">
        <f t="shared" si="15"/>
        <v>0</v>
      </c>
      <c r="K437">
        <f t="shared" si="17"/>
        <v>11.9</v>
      </c>
      <c r="L437" t="str">
        <f>VLOOKUP(Tabell4[[#This Row],[Nät]],Indexnamn!A:A,1,FALSE)</f>
        <v>Grängesberg</v>
      </c>
      <c r="M437" t="str">
        <f>IF(ISTEXT(Tabell4[[#This Row],[Indexnamn]]),Tabell4[[#This Row],[Indexnamn]],LOOKUP(Tabell4[[#This Row],[Nät]],Tabell5[Nätnamn],#REF!))</f>
        <v>Grängesberg</v>
      </c>
      <c r="N437" t="str">
        <f>IF(Tabell4[[#This Row],[Finns i listan ]]=Tabell4[[#This Row],[Indexnamn]],"","NEJ")</f>
        <v/>
      </c>
    </row>
    <row r="438" spans="1:14" x14ac:dyDescent="0.25">
      <c r="A438" t="s">
        <v>595</v>
      </c>
      <c r="B438" t="s">
        <v>359</v>
      </c>
      <c r="C438">
        <v>103.77800000000001</v>
      </c>
      <c r="D438" t="s">
        <v>806</v>
      </c>
      <c r="E438" t="s">
        <v>806</v>
      </c>
      <c r="F438" t="s">
        <v>806</v>
      </c>
      <c r="G438">
        <f t="shared" si="16"/>
        <v>103.77800000000001</v>
      </c>
      <c r="H438">
        <f t="shared" si="16"/>
        <v>0</v>
      </c>
      <c r="I438">
        <f t="shared" si="16"/>
        <v>0</v>
      </c>
      <c r="J438">
        <f t="shared" si="15"/>
        <v>0</v>
      </c>
      <c r="K438">
        <f t="shared" si="17"/>
        <v>103.77800000000001</v>
      </c>
      <c r="L438" t="str">
        <f>VLOOKUP(Tabell4[[#This Row],[Nät]],Indexnamn!A:A,1,FALSE)</f>
        <v>Ludvika</v>
      </c>
      <c r="M438" t="str">
        <f>IF(ISTEXT(Tabell4[[#This Row],[Indexnamn]]),Tabell4[[#This Row],[Indexnamn]],LOOKUP(Tabell4[[#This Row],[Nät]],Tabell5[Nätnamn],#REF!))</f>
        <v>Ludvika</v>
      </c>
      <c r="N438" t="str">
        <f>IF(Tabell4[[#This Row],[Finns i listan ]]=Tabell4[[#This Row],[Indexnamn]],"","NEJ")</f>
        <v/>
      </c>
    </row>
    <row r="439" spans="1:14" x14ac:dyDescent="0.25">
      <c r="A439" t="s">
        <v>595</v>
      </c>
      <c r="B439" t="s">
        <v>356</v>
      </c>
      <c r="C439">
        <v>18.187999999999999</v>
      </c>
      <c r="D439" t="s">
        <v>806</v>
      </c>
      <c r="E439" t="s">
        <v>806</v>
      </c>
      <c r="F439" t="s">
        <v>806</v>
      </c>
      <c r="G439">
        <f t="shared" si="16"/>
        <v>18.187999999999999</v>
      </c>
      <c r="H439">
        <f t="shared" si="16"/>
        <v>0</v>
      </c>
      <c r="I439">
        <f t="shared" si="16"/>
        <v>0</v>
      </c>
      <c r="J439">
        <f t="shared" si="15"/>
        <v>0</v>
      </c>
      <c r="K439">
        <f t="shared" si="17"/>
        <v>18.187999999999999</v>
      </c>
      <c r="L439" t="str">
        <f>VLOOKUP(Tabell4[[#This Row],[Nät]],Indexnamn!A:A,1,FALSE)</f>
        <v>Norberg</v>
      </c>
      <c r="M439" t="str">
        <f>IF(ISTEXT(Tabell4[[#This Row],[Indexnamn]]),Tabell4[[#This Row],[Indexnamn]],LOOKUP(Tabell4[[#This Row],[Nät]],Tabell5[Nätnamn],#REF!))</f>
        <v>Norberg</v>
      </c>
      <c r="N439" t="str">
        <f>IF(Tabell4[[#This Row],[Finns i listan ]]=Tabell4[[#This Row],[Indexnamn]],"","NEJ")</f>
        <v/>
      </c>
    </row>
    <row r="440" spans="1:14" x14ac:dyDescent="0.25">
      <c r="A440" t="s">
        <v>550</v>
      </c>
      <c r="B440" t="s">
        <v>360</v>
      </c>
      <c r="C440">
        <v>6.4</v>
      </c>
      <c r="D440" t="s">
        <v>806</v>
      </c>
      <c r="E440" t="s">
        <v>806</v>
      </c>
      <c r="F440" t="s">
        <v>806</v>
      </c>
      <c r="G440">
        <f t="shared" si="16"/>
        <v>6.4</v>
      </c>
      <c r="H440">
        <f t="shared" si="16"/>
        <v>0</v>
      </c>
      <c r="I440">
        <f t="shared" si="16"/>
        <v>0</v>
      </c>
      <c r="J440">
        <f t="shared" si="15"/>
        <v>0</v>
      </c>
      <c r="K440">
        <f t="shared" si="17"/>
        <v>6.4</v>
      </c>
      <c r="L440" t="str">
        <f>VLOOKUP(Tabell4[[#This Row],[Nät]],Indexnamn!A:A,1,FALSE)</f>
        <v>Ankarsrum</v>
      </c>
      <c r="M440" t="str">
        <f>IF(ISTEXT(Tabell4[[#This Row],[Indexnamn]]),Tabell4[[#This Row],[Indexnamn]],LOOKUP(Tabell4[[#This Row],[Nät]],Tabell5[Nätnamn],#REF!))</f>
        <v>Ankarsrum</v>
      </c>
      <c r="N440" t="str">
        <f>IF(Tabell4[[#This Row],[Finns i listan ]]=Tabell4[[#This Row],[Indexnamn]],"","NEJ")</f>
        <v/>
      </c>
    </row>
    <row r="441" spans="1:14" x14ac:dyDescent="0.25">
      <c r="A441" t="s">
        <v>550</v>
      </c>
      <c r="B441" t="s">
        <v>361</v>
      </c>
      <c r="C441">
        <v>25.1</v>
      </c>
      <c r="D441" t="s">
        <v>806</v>
      </c>
      <c r="E441" t="s">
        <v>806</v>
      </c>
      <c r="F441" t="s">
        <v>806</v>
      </c>
      <c r="G441">
        <f t="shared" si="16"/>
        <v>25.1</v>
      </c>
      <c r="H441">
        <f t="shared" si="16"/>
        <v>0</v>
      </c>
      <c r="I441">
        <f t="shared" si="16"/>
        <v>0</v>
      </c>
      <c r="J441">
        <f t="shared" si="15"/>
        <v>0</v>
      </c>
      <c r="K441">
        <f t="shared" si="17"/>
        <v>25.1</v>
      </c>
      <c r="L441" t="str">
        <f>VLOOKUP(Tabell4[[#This Row],[Nät]],Indexnamn!A:A,1,FALSE)</f>
        <v>Gamleby</v>
      </c>
      <c r="M441" t="str">
        <f>IF(ISTEXT(Tabell4[[#This Row],[Indexnamn]]),Tabell4[[#This Row],[Indexnamn]],LOOKUP(Tabell4[[#This Row],[Nät]],Tabell5[Nätnamn],#REF!))</f>
        <v>Gamleby</v>
      </c>
      <c r="N441" t="str">
        <f>IF(Tabell4[[#This Row],[Finns i listan ]]=Tabell4[[#This Row],[Indexnamn]],"","NEJ")</f>
        <v/>
      </c>
    </row>
    <row r="442" spans="1:14" x14ac:dyDescent="0.25">
      <c r="A442" t="s">
        <v>550</v>
      </c>
      <c r="B442" t="s">
        <v>362</v>
      </c>
      <c r="C442">
        <v>177.6</v>
      </c>
      <c r="D442" t="s">
        <v>806</v>
      </c>
      <c r="E442" t="s">
        <v>806</v>
      </c>
      <c r="F442" t="s">
        <v>806</v>
      </c>
      <c r="G442">
        <f t="shared" si="16"/>
        <v>177.6</v>
      </c>
      <c r="H442">
        <f t="shared" si="16"/>
        <v>0</v>
      </c>
      <c r="I442">
        <f t="shared" si="16"/>
        <v>0</v>
      </c>
      <c r="J442">
        <f t="shared" si="15"/>
        <v>0</v>
      </c>
      <c r="K442">
        <f t="shared" si="17"/>
        <v>177.6</v>
      </c>
      <c r="L442" t="str">
        <f>VLOOKUP(Tabell4[[#This Row],[Nät]],Indexnamn!A:A,1,FALSE)</f>
        <v>Västervik</v>
      </c>
      <c r="M442" t="str">
        <f>IF(ISTEXT(Tabell4[[#This Row],[Indexnamn]]),Tabell4[[#This Row],[Indexnamn]],LOOKUP(Tabell4[[#This Row],[Nät]],Tabell5[Nätnamn],#REF!))</f>
        <v>Västervik</v>
      </c>
      <c r="N442" t="str">
        <f>IF(Tabell4[[#This Row],[Finns i listan ]]=Tabell4[[#This Row],[Indexnamn]],"","NEJ")</f>
        <v/>
      </c>
    </row>
    <row r="443" spans="1:14" x14ac:dyDescent="0.25">
      <c r="A443" t="s">
        <v>937</v>
      </c>
      <c r="B443" t="s">
        <v>938</v>
      </c>
      <c r="C443">
        <v>302</v>
      </c>
      <c r="D443" t="s">
        <v>805</v>
      </c>
      <c r="E443" t="s">
        <v>805</v>
      </c>
      <c r="F443" t="s">
        <v>805</v>
      </c>
      <c r="G443">
        <f t="shared" si="16"/>
        <v>302</v>
      </c>
      <c r="H443">
        <f t="shared" si="16"/>
        <v>0</v>
      </c>
      <c r="I443">
        <f t="shared" si="16"/>
        <v>0</v>
      </c>
      <c r="J443">
        <f t="shared" si="15"/>
        <v>0</v>
      </c>
      <c r="K443">
        <f t="shared" si="17"/>
        <v>302</v>
      </c>
      <c r="L443" t="str">
        <f>VLOOKUP(Tabell4[[#This Row],[Nät]],Indexnamn!A:A,1,FALSE)</f>
        <v>Arboga - Köping</v>
      </c>
      <c r="M443" t="str">
        <f>IF(ISTEXT(Tabell4[[#This Row],[Indexnamn]]),Tabell4[[#This Row],[Indexnamn]],LOOKUP(Tabell4[[#This Row],[Nät]],Tabell5[Nätnamn],#REF!))</f>
        <v>Arboga - Köping</v>
      </c>
      <c r="N443" t="str">
        <f>IF(Tabell4[[#This Row],[Finns i listan ]]=Tabell4[[#This Row],[Indexnamn]],"","NEJ")</f>
        <v/>
      </c>
    </row>
    <row r="444" spans="1:14" x14ac:dyDescent="0.25">
      <c r="A444" t="s">
        <v>937</v>
      </c>
      <c r="B444" t="s">
        <v>939</v>
      </c>
      <c r="C444" t="s">
        <v>805</v>
      </c>
      <c r="D444" t="s">
        <v>805</v>
      </c>
      <c r="E444" t="s">
        <v>805</v>
      </c>
      <c r="F444" t="s">
        <v>805</v>
      </c>
      <c r="G444">
        <f t="shared" si="16"/>
        <v>0</v>
      </c>
      <c r="H444">
        <f t="shared" si="16"/>
        <v>0</v>
      </c>
      <c r="I444">
        <f t="shared" si="16"/>
        <v>0</v>
      </c>
      <c r="J444">
        <f t="shared" si="15"/>
        <v>0</v>
      </c>
      <c r="K444">
        <f t="shared" si="17"/>
        <v>0</v>
      </c>
      <c r="L444" t="e">
        <f>VLOOKUP(Tabell4[[#This Row],[Nät]],Indexnamn!A:A,1,FALSE)</f>
        <v>#N/A</v>
      </c>
      <c r="N444" t="e">
        <f>IF(Tabell4[[#This Row],[Finns i listan ]]=Tabell4[[#This Row],[Indexnamn]],"","NEJ")</f>
        <v>#N/A</v>
      </c>
    </row>
    <row r="445" spans="1:14" x14ac:dyDescent="0.25">
      <c r="A445" t="s">
        <v>937</v>
      </c>
      <c r="B445" t="s">
        <v>175</v>
      </c>
      <c r="C445" t="s">
        <v>805</v>
      </c>
      <c r="D445" t="s">
        <v>805</v>
      </c>
      <c r="E445" t="s">
        <v>805</v>
      </c>
      <c r="F445" t="s">
        <v>805</v>
      </c>
      <c r="G445">
        <f t="shared" si="16"/>
        <v>0</v>
      </c>
      <c r="H445">
        <f t="shared" si="16"/>
        <v>0</v>
      </c>
      <c r="I445">
        <f t="shared" si="16"/>
        <v>0</v>
      </c>
      <c r="J445">
        <f t="shared" si="15"/>
        <v>0</v>
      </c>
      <c r="K445">
        <f t="shared" si="17"/>
        <v>0</v>
      </c>
      <c r="L445" t="str">
        <f>VLOOKUP(Tabell4[[#This Row],[Nät]],Indexnamn!A:A,1,FALSE)</f>
        <v>Kolsva</v>
      </c>
      <c r="M445" t="str">
        <f>IF(ISTEXT(Tabell4[[#This Row],[Indexnamn]]),Tabell4[[#This Row],[Indexnamn]],LOOKUP(Tabell4[[#This Row],[Nät]],Tabell5[Nätnamn],#REF!))</f>
        <v>Kolsva</v>
      </c>
      <c r="N445" t="str">
        <f>IF(Tabell4[[#This Row],[Finns i listan ]]=Tabell4[[#This Row],[Indexnamn]],"","NEJ")</f>
        <v/>
      </c>
    </row>
    <row r="446" spans="1:14" x14ac:dyDescent="0.25">
      <c r="A446" t="s">
        <v>937</v>
      </c>
      <c r="B446" t="s">
        <v>940</v>
      </c>
      <c r="C446" t="s">
        <v>805</v>
      </c>
      <c r="D446" t="s">
        <v>805</v>
      </c>
      <c r="E446" t="s">
        <v>805</v>
      </c>
      <c r="F446" t="s">
        <v>805</v>
      </c>
      <c r="G446">
        <f t="shared" si="16"/>
        <v>0</v>
      </c>
      <c r="H446">
        <f t="shared" si="16"/>
        <v>0</v>
      </c>
      <c r="I446">
        <f t="shared" si="16"/>
        <v>0</v>
      </c>
      <c r="J446">
        <f t="shared" si="15"/>
        <v>0</v>
      </c>
      <c r="K446">
        <f t="shared" si="17"/>
        <v>0</v>
      </c>
      <c r="L446" t="e">
        <f>VLOOKUP(Tabell4[[#This Row],[Nät]],Indexnamn!A:A,1,FALSE)</f>
        <v>#N/A</v>
      </c>
      <c r="N446" t="e">
        <f>IF(Tabell4[[#This Row],[Finns i listan ]]=Tabell4[[#This Row],[Indexnamn]],"","NEJ")</f>
        <v>#N/A</v>
      </c>
    </row>
    <row r="447" spans="1:14" x14ac:dyDescent="0.25">
      <c r="A447" t="s">
        <v>577</v>
      </c>
      <c r="B447" t="s">
        <v>364</v>
      </c>
      <c r="C447">
        <v>13.175000000000001</v>
      </c>
      <c r="D447" t="s">
        <v>806</v>
      </c>
      <c r="E447" t="s">
        <v>806</v>
      </c>
      <c r="F447" t="s">
        <v>806</v>
      </c>
      <c r="G447">
        <f t="shared" si="16"/>
        <v>13.175000000000001</v>
      </c>
      <c r="H447">
        <f t="shared" si="16"/>
        <v>0</v>
      </c>
      <c r="I447">
        <f t="shared" si="16"/>
        <v>0</v>
      </c>
      <c r="J447">
        <f t="shared" si="15"/>
        <v>0</v>
      </c>
      <c r="K447">
        <f t="shared" si="17"/>
        <v>13.175000000000001</v>
      </c>
      <c r="L447" t="str">
        <f>VLOOKUP(Tabell4[[#This Row],[Nät]],Indexnamn!A:A,1,FALSE)</f>
        <v>Braås</v>
      </c>
      <c r="M447" t="str">
        <f>IF(ISTEXT(Tabell4[[#This Row],[Indexnamn]]),Tabell4[[#This Row],[Indexnamn]],LOOKUP(Tabell4[[#This Row],[Nät]],Tabell5[Nätnamn],#REF!))</f>
        <v>Braås</v>
      </c>
      <c r="N447" t="str">
        <f>IF(Tabell4[[#This Row],[Finns i listan ]]=Tabell4[[#This Row],[Indexnamn]],"","NEJ")</f>
        <v/>
      </c>
    </row>
    <row r="448" spans="1:14" x14ac:dyDescent="0.25">
      <c r="A448" t="s">
        <v>577</v>
      </c>
      <c r="B448" t="s">
        <v>365</v>
      </c>
      <c r="C448">
        <v>7.7009999999999996</v>
      </c>
      <c r="D448" t="s">
        <v>806</v>
      </c>
      <c r="E448" t="s">
        <v>806</v>
      </c>
      <c r="F448" t="s">
        <v>806</v>
      </c>
      <c r="G448">
        <f t="shared" si="16"/>
        <v>7.7009999999999996</v>
      </c>
      <c r="H448">
        <f t="shared" si="16"/>
        <v>0</v>
      </c>
      <c r="I448">
        <f t="shared" si="16"/>
        <v>0</v>
      </c>
      <c r="J448">
        <f t="shared" si="15"/>
        <v>0</v>
      </c>
      <c r="K448">
        <f t="shared" si="17"/>
        <v>7.7009999999999996</v>
      </c>
      <c r="L448" t="str">
        <f>VLOOKUP(Tabell4[[#This Row],[Nät]],Indexnamn!A:A,1,FALSE)</f>
        <v>Ingelstad</v>
      </c>
      <c r="M448" t="str">
        <f>IF(ISTEXT(Tabell4[[#This Row],[Indexnamn]]),Tabell4[[#This Row],[Indexnamn]],LOOKUP(Tabell4[[#This Row],[Nät]],Tabell5[Nätnamn],#REF!))</f>
        <v>Ingelstad</v>
      </c>
      <c r="N448" t="str">
        <f>IF(Tabell4[[#This Row],[Finns i listan ]]=Tabell4[[#This Row],[Indexnamn]],"","NEJ")</f>
        <v/>
      </c>
    </row>
    <row r="449" spans="1:14" x14ac:dyDescent="0.25">
      <c r="A449" t="s">
        <v>577</v>
      </c>
      <c r="B449" t="s">
        <v>366</v>
      </c>
      <c r="C449">
        <v>10.417</v>
      </c>
      <c r="D449" t="s">
        <v>806</v>
      </c>
      <c r="E449" t="s">
        <v>806</v>
      </c>
      <c r="F449" t="s">
        <v>806</v>
      </c>
      <c r="G449">
        <f t="shared" si="16"/>
        <v>10.417</v>
      </c>
      <c r="H449">
        <f t="shared" si="16"/>
        <v>0</v>
      </c>
      <c r="I449">
        <f t="shared" si="16"/>
        <v>0</v>
      </c>
      <c r="J449">
        <f t="shared" si="15"/>
        <v>0</v>
      </c>
      <c r="K449">
        <f t="shared" si="17"/>
        <v>10.417</v>
      </c>
      <c r="L449" t="str">
        <f>VLOOKUP(Tabell4[[#This Row],[Nät]],Indexnamn!A:A,1,FALSE)</f>
        <v>Rottne</v>
      </c>
      <c r="M449" t="str">
        <f>IF(ISTEXT(Tabell4[[#This Row],[Indexnamn]]),Tabell4[[#This Row],[Indexnamn]],LOOKUP(Tabell4[[#This Row],[Nät]],Tabell5[Nätnamn],#REF!))</f>
        <v>Rottne</v>
      </c>
      <c r="N449" t="str">
        <f>IF(Tabell4[[#This Row],[Finns i listan ]]=Tabell4[[#This Row],[Indexnamn]],"","NEJ")</f>
        <v/>
      </c>
    </row>
    <row r="450" spans="1:14" x14ac:dyDescent="0.25">
      <c r="A450" t="s">
        <v>577</v>
      </c>
      <c r="B450" t="s">
        <v>906</v>
      </c>
      <c r="C450">
        <v>11.363</v>
      </c>
      <c r="D450" t="s">
        <v>806</v>
      </c>
      <c r="E450" t="s">
        <v>806</v>
      </c>
      <c r="F450" t="s">
        <v>806</v>
      </c>
      <c r="G450">
        <f t="shared" si="16"/>
        <v>11.363</v>
      </c>
      <c r="H450">
        <f t="shared" si="16"/>
        <v>0</v>
      </c>
      <c r="I450">
        <f t="shared" si="16"/>
        <v>0</v>
      </c>
      <c r="J450">
        <f t="shared" si="16"/>
        <v>0</v>
      </c>
      <c r="K450">
        <f t="shared" si="17"/>
        <v>11.363</v>
      </c>
      <c r="L450" t="e">
        <f>VLOOKUP(Tabell4[[#This Row],[Nät]],Indexnamn!A:A,1,FALSE)</f>
        <v>#N/A</v>
      </c>
      <c r="N450" t="e">
        <f>IF(Tabell4[[#This Row],[Finns i listan ]]=Tabell4[[#This Row],[Indexnamn]],"","NEJ")</f>
        <v>#N/A</v>
      </c>
    </row>
    <row r="451" spans="1:14" x14ac:dyDescent="0.25">
      <c r="A451" t="s">
        <v>577</v>
      </c>
      <c r="B451" t="s">
        <v>907</v>
      </c>
      <c r="C451">
        <f>538.602+C452</f>
        <v>557.10599999999999</v>
      </c>
      <c r="D451" t="s">
        <v>806</v>
      </c>
      <c r="E451" t="s">
        <v>806</v>
      </c>
      <c r="F451" t="s">
        <v>806</v>
      </c>
      <c r="G451">
        <f t="shared" ref="G451:J474" si="18">IF(ISTEXT(C451),0,C451)</f>
        <v>557.10599999999999</v>
      </c>
      <c r="H451">
        <f t="shared" si="18"/>
        <v>0</v>
      </c>
      <c r="I451">
        <f t="shared" si="18"/>
        <v>0</v>
      </c>
      <c r="J451">
        <f t="shared" si="18"/>
        <v>0</v>
      </c>
      <c r="K451">
        <f t="shared" ref="K451:K474" si="19">G451-H451-I451-J451</f>
        <v>557.10599999999999</v>
      </c>
      <c r="L451" t="str">
        <f>VLOOKUP(Tabell4[[#This Row],[Nät]],Indexnamn!A:A,1,FALSE)</f>
        <v>Växjö fjärrvärme</v>
      </c>
      <c r="M451" t="str">
        <f>IF(ISTEXT(Tabell4[[#This Row],[Indexnamn]]),Tabell4[[#This Row],[Indexnamn]],LOOKUP(Tabell4[[#This Row],[Nät]],Tabell5[Nätnamn],#REF!))</f>
        <v>Växjö fjärrvärme</v>
      </c>
      <c r="N451" t="str">
        <f>IF(Tabell4[[#This Row],[Finns i listan ]]=Tabell4[[#This Row],[Indexnamn]],"","NEJ")</f>
        <v/>
      </c>
    </row>
    <row r="452" spans="1:14" x14ac:dyDescent="0.25">
      <c r="A452" t="s">
        <v>577</v>
      </c>
      <c r="B452" t="s">
        <v>908</v>
      </c>
      <c r="C452">
        <v>18.504000000000001</v>
      </c>
      <c r="D452" t="s">
        <v>806</v>
      </c>
      <c r="E452" t="s">
        <v>806</v>
      </c>
      <c r="F452" t="s">
        <v>806</v>
      </c>
      <c r="G452">
        <f t="shared" si="18"/>
        <v>18.504000000000001</v>
      </c>
      <c r="H452">
        <f t="shared" si="18"/>
        <v>0</v>
      </c>
      <c r="I452">
        <f t="shared" si="18"/>
        <v>0</v>
      </c>
      <c r="J452">
        <f t="shared" si="18"/>
        <v>0</v>
      </c>
      <c r="K452">
        <f t="shared" si="19"/>
        <v>18.504000000000001</v>
      </c>
      <c r="L452" t="e">
        <f>VLOOKUP(Tabell4[[#This Row],[Nät]],Indexnamn!A:A,1,FALSE)</f>
        <v>#N/A</v>
      </c>
      <c r="N452" t="e">
        <f>IF(Tabell4[[#This Row],[Finns i listan ]]=Tabell4[[#This Row],[Indexnamn]],"","NEJ")</f>
        <v>#N/A</v>
      </c>
    </row>
    <row r="453" spans="1:14" x14ac:dyDescent="0.25">
      <c r="A453" t="s">
        <v>909</v>
      </c>
      <c r="B453" t="s">
        <v>910</v>
      </c>
      <c r="C453" t="s">
        <v>805</v>
      </c>
      <c r="D453" t="s">
        <v>805</v>
      </c>
      <c r="E453" t="s">
        <v>805</v>
      </c>
      <c r="F453" t="s">
        <v>805</v>
      </c>
      <c r="G453">
        <f t="shared" si="18"/>
        <v>0</v>
      </c>
      <c r="H453">
        <f t="shared" si="18"/>
        <v>0</v>
      </c>
      <c r="I453">
        <f t="shared" si="18"/>
        <v>0</v>
      </c>
      <c r="J453">
        <f t="shared" si="18"/>
        <v>0</v>
      </c>
      <c r="K453">
        <f t="shared" si="19"/>
        <v>0</v>
      </c>
      <c r="L453" t="e">
        <f>VLOOKUP(Tabell4[[#This Row],[Nät]],Indexnamn!A:A,1,FALSE)</f>
        <v>#N/A</v>
      </c>
      <c r="M453" t="e">
        <f>IF(ISTEXT(Tabell4[[#This Row],[Indexnamn]]),Tabell4[[#This Row],[Indexnamn]],LOOKUP(Tabell4[[#This Row],[Nät]],Tabell5[Nätnamn],#REF!))</f>
        <v>#REF!</v>
      </c>
      <c r="N453" t="e">
        <f>IF(Tabell4[[#This Row],[Finns i listan ]]=Tabell4[[#This Row],[Indexnamn]],"","NEJ")</f>
        <v>#REF!</v>
      </c>
    </row>
    <row r="454" spans="1:14" x14ac:dyDescent="0.25">
      <c r="A454" t="s">
        <v>734</v>
      </c>
      <c r="B454" t="s">
        <v>367</v>
      </c>
      <c r="C454">
        <v>134.52000000000001</v>
      </c>
      <c r="D454" t="s">
        <v>806</v>
      </c>
      <c r="E454" t="s">
        <v>806</v>
      </c>
      <c r="F454" t="s">
        <v>806</v>
      </c>
      <c r="G454">
        <f t="shared" si="18"/>
        <v>134.52000000000001</v>
      </c>
      <c r="H454">
        <f t="shared" si="18"/>
        <v>0</v>
      </c>
      <c r="I454">
        <f t="shared" si="18"/>
        <v>0</v>
      </c>
      <c r="J454">
        <f t="shared" si="18"/>
        <v>0</v>
      </c>
      <c r="K454">
        <f t="shared" si="19"/>
        <v>134.52000000000001</v>
      </c>
      <c r="L454" t="str">
        <f>VLOOKUP(Tabell4[[#This Row],[Nät]],Indexnamn!A:A,1,FALSE)</f>
        <v>Ystad</v>
      </c>
      <c r="M454" t="str">
        <f>IF(ISTEXT(Tabell4[[#This Row],[Indexnamn]]),Tabell4[[#This Row],[Indexnamn]],LOOKUP(Tabell4[[#This Row],[Nät]],Tabell5[Nätnamn],#REF!))</f>
        <v>Ystad</v>
      </c>
      <c r="N454" t="str">
        <f>IF(Tabell4[[#This Row],[Finns i listan ]]=Tabell4[[#This Row],[Indexnamn]],"","NEJ")</f>
        <v/>
      </c>
    </row>
    <row r="455" spans="1:14" x14ac:dyDescent="0.25">
      <c r="A455" t="s">
        <v>604</v>
      </c>
      <c r="B455" t="s">
        <v>368</v>
      </c>
      <c r="C455">
        <v>6.8</v>
      </c>
      <c r="D455" t="s">
        <v>806</v>
      </c>
      <c r="E455" t="s">
        <v>806</v>
      </c>
      <c r="F455" t="s">
        <v>806</v>
      </c>
      <c r="G455">
        <f t="shared" si="18"/>
        <v>6.8</v>
      </c>
      <c r="H455">
        <f t="shared" si="18"/>
        <v>0</v>
      </c>
      <c r="I455">
        <f t="shared" si="18"/>
        <v>0</v>
      </c>
      <c r="J455">
        <f t="shared" si="18"/>
        <v>0</v>
      </c>
      <c r="K455">
        <f t="shared" si="19"/>
        <v>6.8</v>
      </c>
      <c r="L455" t="str">
        <f>VLOOKUP(Tabell4[[#This Row],[Nät]],Indexnamn!A:A,1,FALSE)</f>
        <v>Fränsta</v>
      </c>
      <c r="M455" t="str">
        <f>IF(ISTEXT(Tabell4[[#This Row],[Indexnamn]]),Tabell4[[#This Row],[Indexnamn]],LOOKUP(Tabell4[[#This Row],[Nät]],Tabell5[Nätnamn],#REF!))</f>
        <v>Fränsta</v>
      </c>
      <c r="N455" t="str">
        <f>IF(Tabell4[[#This Row],[Finns i listan ]]=Tabell4[[#This Row],[Indexnamn]],"","NEJ")</f>
        <v/>
      </c>
    </row>
    <row r="456" spans="1:14" x14ac:dyDescent="0.25">
      <c r="A456" t="s">
        <v>604</v>
      </c>
      <c r="B456" t="s">
        <v>369</v>
      </c>
      <c r="C456" t="s">
        <v>806</v>
      </c>
      <c r="D456" t="s">
        <v>806</v>
      </c>
      <c r="E456" t="s">
        <v>806</v>
      </c>
      <c r="F456" t="s">
        <v>806</v>
      </c>
      <c r="G456">
        <f t="shared" si="18"/>
        <v>0</v>
      </c>
      <c r="H456">
        <f t="shared" si="18"/>
        <v>0</v>
      </c>
      <c r="I456">
        <f t="shared" si="18"/>
        <v>0</v>
      </c>
      <c r="J456">
        <f t="shared" si="18"/>
        <v>0</v>
      </c>
      <c r="K456">
        <f t="shared" si="19"/>
        <v>0</v>
      </c>
      <c r="L456" t="e">
        <f>VLOOKUP(Tabell4[[#This Row],[Nät]],Indexnamn!A:A,1,FALSE)</f>
        <v>#N/A</v>
      </c>
      <c r="M456" t="e">
        <f>IF(ISTEXT(Tabell4[[#This Row],[Indexnamn]]),Tabell4[[#This Row],[Indexnamn]],LOOKUP(Tabell4[[#This Row],[Nät]],Tabell5[Nätnamn],#REF!))</f>
        <v>#REF!</v>
      </c>
      <c r="N456" t="e">
        <f>IF(Tabell4[[#This Row],[Finns i listan ]]=Tabell4[[#This Row],[Indexnamn]],"","NEJ")</f>
        <v>#REF!</v>
      </c>
    </row>
    <row r="457" spans="1:14" x14ac:dyDescent="0.25">
      <c r="A457" t="s">
        <v>604</v>
      </c>
      <c r="B457" t="s">
        <v>370</v>
      </c>
      <c r="C457">
        <v>23.01</v>
      </c>
      <c r="D457" t="s">
        <v>806</v>
      </c>
      <c r="E457" t="s">
        <v>806</v>
      </c>
      <c r="F457" t="s">
        <v>806</v>
      </c>
      <c r="G457">
        <f t="shared" si="18"/>
        <v>23.01</v>
      </c>
      <c r="H457">
        <f t="shared" si="18"/>
        <v>0</v>
      </c>
      <c r="I457">
        <f t="shared" si="18"/>
        <v>0</v>
      </c>
      <c r="J457">
        <f t="shared" si="18"/>
        <v>0</v>
      </c>
      <c r="K457">
        <f t="shared" si="19"/>
        <v>23.01</v>
      </c>
      <c r="L457" t="str">
        <f>VLOOKUP(Tabell4[[#This Row],[Nät]],Indexnamn!A:A,1,FALSE)</f>
        <v>Ånge</v>
      </c>
      <c r="M457" t="str">
        <f>IF(ISTEXT(Tabell4[[#This Row],[Indexnamn]]),Tabell4[[#This Row],[Indexnamn]],LOOKUP(Tabell4[[#This Row],[Nät]],Tabell5[Nätnamn],#REF!))</f>
        <v>Ånge</v>
      </c>
      <c r="N457" t="str">
        <f>IF(Tabell4[[#This Row],[Finns i listan ]]=Tabell4[[#This Row],[Indexnamn]],"","NEJ")</f>
        <v/>
      </c>
    </row>
    <row r="458" spans="1:14" x14ac:dyDescent="0.25">
      <c r="A458" t="s">
        <v>911</v>
      </c>
      <c r="B458" t="s">
        <v>912</v>
      </c>
      <c r="C458" t="s">
        <v>805</v>
      </c>
      <c r="D458" t="s">
        <v>805</v>
      </c>
      <c r="E458" t="s">
        <v>805</v>
      </c>
      <c r="F458" t="s">
        <v>805</v>
      </c>
      <c r="G458">
        <f t="shared" si="18"/>
        <v>0</v>
      </c>
      <c r="H458">
        <f t="shared" si="18"/>
        <v>0</v>
      </c>
      <c r="I458">
        <f t="shared" si="18"/>
        <v>0</v>
      </c>
      <c r="J458">
        <f t="shared" si="18"/>
        <v>0</v>
      </c>
      <c r="K458">
        <f t="shared" si="19"/>
        <v>0</v>
      </c>
      <c r="L458" t="e">
        <f>VLOOKUP(Tabell4[[#This Row],[Nät]],Indexnamn!A:A,1,FALSE)</f>
        <v>#N/A</v>
      </c>
      <c r="M458" t="e">
        <f>IF(ISTEXT(Tabell4[[#This Row],[Indexnamn]]),Tabell4[[#This Row],[Indexnamn]],LOOKUP(Tabell4[[#This Row],[Nät]],Tabell5[Nätnamn],#REF!))</f>
        <v>#REF!</v>
      </c>
      <c r="N458" t="e">
        <f>IF(Tabell4[[#This Row],[Finns i listan ]]=Tabell4[[#This Row],[Indexnamn]],"","NEJ")</f>
        <v>#REF!</v>
      </c>
    </row>
    <row r="459" spans="1:14" x14ac:dyDescent="0.25">
      <c r="A459" t="s">
        <v>913</v>
      </c>
      <c r="B459" t="s">
        <v>371</v>
      </c>
      <c r="C459" t="s">
        <v>805</v>
      </c>
      <c r="D459" t="s">
        <v>805</v>
      </c>
      <c r="E459" t="s">
        <v>805</v>
      </c>
      <c r="F459" t="s">
        <v>805</v>
      </c>
      <c r="G459">
        <f t="shared" si="18"/>
        <v>0</v>
      </c>
      <c r="H459">
        <f t="shared" si="18"/>
        <v>0</v>
      </c>
      <c r="I459">
        <f t="shared" si="18"/>
        <v>0</v>
      </c>
      <c r="J459">
        <f t="shared" si="18"/>
        <v>0</v>
      </c>
      <c r="K459">
        <f t="shared" si="19"/>
        <v>0</v>
      </c>
      <c r="L459" t="e">
        <f>VLOOKUP(Tabell4[[#This Row],[Nät]],Indexnamn!A:A,1,FALSE)</f>
        <v>#N/A</v>
      </c>
      <c r="M459" t="e">
        <f>IF(ISTEXT(Tabell4[[#This Row],[Indexnamn]]),Tabell4[[#This Row],[Indexnamn]],LOOKUP(Tabell4[[#This Row],[Nät]],Tabell5[Nätnamn],#REF!))</f>
        <v>#REF!</v>
      </c>
      <c r="N459" t="e">
        <f>IF(Tabell4[[#This Row],[Finns i listan ]]=Tabell4[[#This Row],[Indexnamn]],"","NEJ")</f>
        <v>#REF!</v>
      </c>
    </row>
    <row r="460" spans="1:14" x14ac:dyDescent="0.25">
      <c r="A460" t="s">
        <v>626</v>
      </c>
      <c r="B460" t="s">
        <v>373</v>
      </c>
      <c r="C460">
        <v>995.62599999999998</v>
      </c>
      <c r="D460">
        <v>22.2</v>
      </c>
      <c r="E460">
        <v>86.2</v>
      </c>
      <c r="F460" t="s">
        <v>806</v>
      </c>
      <c r="G460">
        <f t="shared" si="18"/>
        <v>995.62599999999998</v>
      </c>
      <c r="H460">
        <f t="shared" si="18"/>
        <v>22.2</v>
      </c>
      <c r="I460">
        <f t="shared" si="18"/>
        <v>86.2</v>
      </c>
      <c r="J460">
        <f t="shared" si="18"/>
        <v>0</v>
      </c>
      <c r="K460">
        <f t="shared" si="19"/>
        <v>887.22599999999989</v>
      </c>
      <c r="L460" t="str">
        <f>VLOOKUP(Tabell4[[#This Row],[Nät]],Indexnamn!A:A,1,FALSE)</f>
        <v>Helsingborg</v>
      </c>
      <c r="M460" t="str">
        <f>IF(ISTEXT(Tabell4[[#This Row],[Indexnamn]]),Tabell4[[#This Row],[Indexnamn]],LOOKUP(Tabell4[[#This Row],[Nät]],Tabell5[Nätnamn],#REF!))</f>
        <v>Helsingborg</v>
      </c>
      <c r="N460" t="str">
        <f>IF(Tabell4[[#This Row],[Finns i listan ]]=Tabell4[[#This Row],[Indexnamn]],"","NEJ")</f>
        <v/>
      </c>
    </row>
    <row r="461" spans="1:14" x14ac:dyDescent="0.25">
      <c r="A461" t="s">
        <v>626</v>
      </c>
      <c r="B461" t="s">
        <v>400</v>
      </c>
      <c r="C461">
        <v>1.76</v>
      </c>
      <c r="D461" t="s">
        <v>806</v>
      </c>
      <c r="E461" t="s">
        <v>806</v>
      </c>
      <c r="F461" t="s">
        <v>806</v>
      </c>
      <c r="G461">
        <f t="shared" si="18"/>
        <v>1.76</v>
      </c>
      <c r="H461">
        <f t="shared" si="18"/>
        <v>0</v>
      </c>
      <c r="I461">
        <f t="shared" si="18"/>
        <v>0</v>
      </c>
      <c r="J461">
        <f t="shared" si="18"/>
        <v>0</v>
      </c>
      <c r="K461">
        <f t="shared" si="19"/>
        <v>1.76</v>
      </c>
      <c r="L461" t="str">
        <f>VLOOKUP(Tabell4[[#This Row],[Nät]],Indexnamn!A:A,1,FALSE)</f>
        <v>Hjärnarp</v>
      </c>
      <c r="M461" t="str">
        <f>IF(ISTEXT(Tabell4[[#This Row],[Indexnamn]]),Tabell4[[#This Row],[Indexnamn]],LOOKUP(Tabell4[[#This Row],[Nät]],Tabell5[Nätnamn],#REF!))</f>
        <v>Hjärnarp</v>
      </c>
      <c r="N461" t="str">
        <f>IF(Tabell4[[#This Row],[Finns i listan ]]=Tabell4[[#This Row],[Indexnamn]],"","NEJ")</f>
        <v/>
      </c>
    </row>
    <row r="462" spans="1:14" x14ac:dyDescent="0.25">
      <c r="A462" t="s">
        <v>626</v>
      </c>
      <c r="B462" t="s">
        <v>431</v>
      </c>
      <c r="C462">
        <v>9.2829999999999995</v>
      </c>
      <c r="D462" t="s">
        <v>806</v>
      </c>
      <c r="E462" t="s">
        <v>806</v>
      </c>
      <c r="F462" t="s">
        <v>806</v>
      </c>
      <c r="G462">
        <f t="shared" si="18"/>
        <v>9.2829999999999995</v>
      </c>
      <c r="H462">
        <f t="shared" si="18"/>
        <v>0</v>
      </c>
      <c r="I462">
        <f t="shared" si="18"/>
        <v>0</v>
      </c>
      <c r="J462">
        <f t="shared" si="18"/>
        <v>0</v>
      </c>
      <c r="K462">
        <f t="shared" si="19"/>
        <v>9.2829999999999995</v>
      </c>
      <c r="L462" t="str">
        <f>VLOOKUP(Tabell4[[#This Row],[Nät]],Indexnamn!A:A,1,FALSE)</f>
        <v>Vejbystrand</v>
      </c>
      <c r="M462" t="str">
        <f>IF(ISTEXT(Tabell4[[#This Row],[Indexnamn]]),Tabell4[[#This Row],[Indexnamn]],LOOKUP(Tabell4[[#This Row],[Nät]],Tabell5[Nätnamn],#REF!))</f>
        <v>Vejbystrand</v>
      </c>
      <c r="N462" t="str">
        <f>IF(Tabell4[[#This Row],[Finns i listan ]]=Tabell4[[#This Row],[Indexnamn]],"","NEJ")</f>
        <v/>
      </c>
    </row>
    <row r="463" spans="1:14" x14ac:dyDescent="0.25">
      <c r="A463" t="s">
        <v>626</v>
      </c>
      <c r="B463" t="s">
        <v>372</v>
      </c>
      <c r="C463">
        <v>176.86</v>
      </c>
      <c r="D463" t="s">
        <v>806</v>
      </c>
      <c r="E463" t="s">
        <v>806</v>
      </c>
      <c r="F463" t="s">
        <v>806</v>
      </c>
      <c r="G463">
        <f t="shared" si="18"/>
        <v>176.86</v>
      </c>
      <c r="H463">
        <f t="shared" si="18"/>
        <v>0</v>
      </c>
      <c r="I463">
        <f t="shared" si="18"/>
        <v>0</v>
      </c>
      <c r="J463">
        <f t="shared" si="18"/>
        <v>0</v>
      </c>
      <c r="K463">
        <f t="shared" si="19"/>
        <v>176.86</v>
      </c>
      <c r="L463" t="str">
        <f>VLOOKUP(Tabell4[[#This Row],[Nät]],Indexnamn!A:A,1,FALSE)</f>
        <v>Ängelholm</v>
      </c>
      <c r="M463" t="str">
        <f>IF(ISTEXT(Tabell4[[#This Row],[Indexnamn]]),Tabell4[[#This Row],[Indexnamn]],LOOKUP(Tabell4[[#This Row],[Nät]],Tabell5[Nätnamn],#REF!))</f>
        <v>Ängelholm</v>
      </c>
      <c r="N463" t="str">
        <f>IF(Tabell4[[#This Row],[Finns i listan ]]=Tabell4[[#This Row],[Indexnamn]],"","NEJ")</f>
        <v/>
      </c>
    </row>
    <row r="464" spans="1:14" x14ac:dyDescent="0.25">
      <c r="A464" t="s">
        <v>740</v>
      </c>
      <c r="B464" t="s">
        <v>374</v>
      </c>
      <c r="C464">
        <v>27.7</v>
      </c>
      <c r="D464" t="s">
        <v>806</v>
      </c>
      <c r="E464" t="s">
        <v>806</v>
      </c>
      <c r="F464" t="s">
        <v>806</v>
      </c>
      <c r="G464">
        <f t="shared" si="18"/>
        <v>27.7</v>
      </c>
      <c r="H464">
        <f t="shared" si="18"/>
        <v>0</v>
      </c>
      <c r="I464">
        <f t="shared" si="18"/>
        <v>0</v>
      </c>
      <c r="J464">
        <f t="shared" si="18"/>
        <v>0</v>
      </c>
      <c r="K464">
        <f t="shared" si="19"/>
        <v>27.7</v>
      </c>
      <c r="L464" t="str">
        <f>VLOOKUP(Tabell4[[#This Row],[Nät]],Indexnamn!A:A,1,FALSE)</f>
        <v>Örkelljunga</v>
      </c>
      <c r="M464" t="str">
        <f>IF(ISTEXT(Tabell4[[#This Row],[Indexnamn]]),Tabell4[[#This Row],[Indexnamn]],LOOKUP(Tabell4[[#This Row],[Nät]],Tabell5[Nätnamn],#REF!))</f>
        <v>Örkelljunga</v>
      </c>
      <c r="N464" t="str">
        <f>IF(Tabell4[[#This Row],[Finns i listan ]]=Tabell4[[#This Row],[Indexnamn]],"","NEJ")</f>
        <v/>
      </c>
    </row>
    <row r="465" spans="1:14" x14ac:dyDescent="0.25">
      <c r="A465" t="s">
        <v>695</v>
      </c>
      <c r="B465" t="s">
        <v>375</v>
      </c>
      <c r="C465">
        <v>48.1</v>
      </c>
      <c r="D465" t="s">
        <v>806</v>
      </c>
      <c r="E465" t="s">
        <v>806</v>
      </c>
      <c r="F465" t="s">
        <v>806</v>
      </c>
      <c r="G465">
        <f t="shared" si="18"/>
        <v>48.1</v>
      </c>
      <c r="H465">
        <f t="shared" si="18"/>
        <v>0</v>
      </c>
      <c r="I465">
        <f t="shared" si="18"/>
        <v>0</v>
      </c>
      <c r="J465">
        <f t="shared" si="18"/>
        <v>0</v>
      </c>
      <c r="K465">
        <f t="shared" si="19"/>
        <v>48.1</v>
      </c>
      <c r="L465" t="str">
        <f>VLOOKUP(Tabell4[[#This Row],[Nät]],Indexnamn!A:A,1,FALSE)</f>
        <v>Simrishamn</v>
      </c>
      <c r="M465" t="str">
        <f>IF(ISTEXT(Tabell4[[#This Row],[Indexnamn]]),Tabell4[[#This Row],[Indexnamn]],LOOKUP(Tabell4[[#This Row],[Nät]],Tabell5[Nätnamn],#REF!))</f>
        <v>Simrishamn</v>
      </c>
      <c r="N465" t="str">
        <f>IF(Tabell4[[#This Row],[Finns i listan ]]=Tabell4[[#This Row],[Indexnamn]],"","NEJ")</f>
        <v/>
      </c>
    </row>
    <row r="466" spans="1:14" x14ac:dyDescent="0.25">
      <c r="A466" t="s">
        <v>914</v>
      </c>
      <c r="B466" t="s">
        <v>344</v>
      </c>
      <c r="C466" t="s">
        <v>805</v>
      </c>
      <c r="D466" t="s">
        <v>805</v>
      </c>
      <c r="E466" t="s">
        <v>805</v>
      </c>
      <c r="F466" t="s">
        <v>805</v>
      </c>
      <c r="G466">
        <f t="shared" si="18"/>
        <v>0</v>
      </c>
      <c r="H466">
        <f t="shared" si="18"/>
        <v>0</v>
      </c>
      <c r="I466">
        <f t="shared" si="18"/>
        <v>0</v>
      </c>
      <c r="J466">
        <f t="shared" si="18"/>
        <v>0</v>
      </c>
      <c r="K466">
        <f t="shared" si="19"/>
        <v>0</v>
      </c>
      <c r="L466" t="e">
        <f>VLOOKUP(Tabell4[[#This Row],[Nät]],Indexnamn!A:A,1,FALSE)</f>
        <v>#N/A</v>
      </c>
      <c r="M466" t="e">
        <f>IF(ISTEXT(Tabell4[[#This Row],[Indexnamn]]),Tabell4[[#This Row],[Indexnamn]],LOOKUP(Tabell4[[#This Row],[Nät]],Tabell5[Nätnamn],#REF!))</f>
        <v>#REF!</v>
      </c>
      <c r="N466" t="e">
        <f>IF(Tabell4[[#This Row],[Finns i listan ]]=Tabell4[[#This Row],[Indexnamn]],"","NEJ")</f>
        <v>#REF!</v>
      </c>
    </row>
    <row r="467" spans="1:14" x14ac:dyDescent="0.25">
      <c r="A467" t="s">
        <v>941</v>
      </c>
      <c r="B467" t="s">
        <v>347</v>
      </c>
      <c r="C467" t="s">
        <v>805</v>
      </c>
      <c r="D467" t="s">
        <v>805</v>
      </c>
      <c r="E467" t="s">
        <v>805</v>
      </c>
      <c r="F467" t="s">
        <v>805</v>
      </c>
      <c r="G467">
        <f t="shared" si="18"/>
        <v>0</v>
      </c>
      <c r="H467">
        <f t="shared" si="18"/>
        <v>0</v>
      </c>
      <c r="I467">
        <f t="shared" si="18"/>
        <v>0</v>
      </c>
      <c r="J467">
        <f t="shared" si="18"/>
        <v>0</v>
      </c>
      <c r="K467">
        <f t="shared" si="19"/>
        <v>0</v>
      </c>
      <c r="L467" t="str">
        <f>VLOOKUP(Tabell4[[#This Row],[Nät]],Indexnamn!A:A,1,FALSE)</f>
        <v>Övertorneå</v>
      </c>
      <c r="M467" t="str">
        <f>IF(ISTEXT(Tabell4[[#This Row],[Indexnamn]]),Tabell4[[#This Row],[Indexnamn]],LOOKUP(Tabell4[[#This Row],[Nät]],Tabell5[Nätnamn],#REF!))</f>
        <v>Övertorneå</v>
      </c>
      <c r="N467" t="str">
        <f>IF(Tabell4[[#This Row],[Finns i listan ]]=Tabell4[[#This Row],[Indexnamn]],"","NEJ")</f>
        <v/>
      </c>
    </row>
    <row r="468" spans="1:14" x14ac:dyDescent="0.25">
      <c r="A468" t="s">
        <v>916</v>
      </c>
      <c r="B468" t="s">
        <v>347</v>
      </c>
      <c r="C468" t="s">
        <v>805</v>
      </c>
      <c r="D468" t="s">
        <v>805</v>
      </c>
      <c r="E468" t="s">
        <v>805</v>
      </c>
      <c r="F468" t="s">
        <v>805</v>
      </c>
      <c r="G468">
        <f t="shared" si="18"/>
        <v>0</v>
      </c>
      <c r="H468">
        <f t="shared" si="18"/>
        <v>0</v>
      </c>
      <c r="I468">
        <f t="shared" si="18"/>
        <v>0</v>
      </c>
      <c r="J468">
        <f t="shared" si="18"/>
        <v>0</v>
      </c>
      <c r="K468">
        <f t="shared" si="19"/>
        <v>0</v>
      </c>
      <c r="L468" t="str">
        <f>VLOOKUP(Tabell4[[#This Row],[Nät]],Indexnamn!A:A,1,FALSE)</f>
        <v>Övertorneå</v>
      </c>
      <c r="M468" t="str">
        <f>IF(ISTEXT(Tabell4[[#This Row],[Indexnamn]]),Tabell4[[#This Row],[Indexnamn]],LOOKUP(Tabell4[[#This Row],[Nät]],Tabell5[Nätnamn],#REF!))</f>
        <v>Övertorneå</v>
      </c>
      <c r="N468" t="str">
        <f>IF(Tabell4[[#This Row],[Finns i listan ]]=Tabell4[[#This Row],[Indexnamn]],"","NEJ")</f>
        <v/>
      </c>
    </row>
    <row r="469" spans="1:14" x14ac:dyDescent="0.25">
      <c r="A469" t="s">
        <v>569</v>
      </c>
      <c r="B469" t="s">
        <v>377</v>
      </c>
      <c r="C469">
        <v>7.19</v>
      </c>
      <c r="D469" t="s">
        <v>806</v>
      </c>
      <c r="E469" t="s">
        <v>806</v>
      </c>
      <c r="F469" t="s">
        <v>806</v>
      </c>
      <c r="G469">
        <f t="shared" si="18"/>
        <v>7.19</v>
      </c>
      <c r="H469">
        <f t="shared" si="18"/>
        <v>0</v>
      </c>
      <c r="I469">
        <f t="shared" si="18"/>
        <v>0</v>
      </c>
      <c r="J469">
        <f t="shared" si="18"/>
        <v>0</v>
      </c>
      <c r="K469">
        <f t="shared" si="19"/>
        <v>7.19</v>
      </c>
      <c r="L469" t="str">
        <f>VLOOKUP(Tabell4[[#This Row],[Nät]],Indexnamn!A:A,1,FALSE)</f>
        <v>Bjästa</v>
      </c>
      <c r="M469" t="str">
        <f>IF(ISTEXT(Tabell4[[#This Row],[Indexnamn]]),Tabell4[[#This Row],[Indexnamn]],LOOKUP(Tabell4[[#This Row],[Nät]],Tabell5[Nätnamn],#REF!))</f>
        <v>Bjästa</v>
      </c>
      <c r="N469" t="str">
        <f>IF(Tabell4[[#This Row],[Finns i listan ]]=Tabell4[[#This Row],[Indexnamn]],"","NEJ")</f>
        <v/>
      </c>
    </row>
    <row r="470" spans="1:14" x14ac:dyDescent="0.25">
      <c r="A470" t="s">
        <v>569</v>
      </c>
      <c r="B470" t="s">
        <v>378</v>
      </c>
      <c r="C470">
        <v>5.4290000000000003</v>
      </c>
      <c r="D470" t="s">
        <v>806</v>
      </c>
      <c r="E470" t="s">
        <v>806</v>
      </c>
      <c r="F470" t="s">
        <v>806</v>
      </c>
      <c r="G470">
        <f t="shared" si="18"/>
        <v>5.4290000000000003</v>
      </c>
      <c r="H470">
        <f t="shared" si="18"/>
        <v>0</v>
      </c>
      <c r="I470">
        <f t="shared" si="18"/>
        <v>0</v>
      </c>
      <c r="J470">
        <f t="shared" si="18"/>
        <v>0</v>
      </c>
      <c r="K470">
        <f t="shared" si="19"/>
        <v>5.4290000000000003</v>
      </c>
      <c r="L470" t="str">
        <f>VLOOKUP(Tabell4[[#This Row],[Nät]],Indexnamn!A:A,1,FALSE)</f>
        <v>Bredbyn</v>
      </c>
      <c r="M470" t="str">
        <f>IF(ISTEXT(Tabell4[[#This Row],[Indexnamn]]),Tabell4[[#This Row],[Indexnamn]],LOOKUP(Tabell4[[#This Row],[Nät]],Tabell5[Nätnamn],#REF!))</f>
        <v>Bredbyn</v>
      </c>
      <c r="N470" t="str">
        <f>IF(Tabell4[[#This Row],[Finns i listan ]]=Tabell4[[#This Row],[Indexnamn]],"","NEJ")</f>
        <v/>
      </c>
    </row>
    <row r="471" spans="1:14" x14ac:dyDescent="0.25">
      <c r="A471" t="s">
        <v>569</v>
      </c>
      <c r="B471" t="s">
        <v>379</v>
      </c>
      <c r="C471">
        <v>6.9189999999999996</v>
      </c>
      <c r="D471" t="s">
        <v>806</v>
      </c>
      <c r="E471" t="s">
        <v>806</v>
      </c>
      <c r="F471" t="s">
        <v>806</v>
      </c>
      <c r="G471">
        <f t="shared" si="18"/>
        <v>6.9189999999999996</v>
      </c>
      <c r="H471">
        <f t="shared" si="18"/>
        <v>0</v>
      </c>
      <c r="I471">
        <f t="shared" si="18"/>
        <v>0</v>
      </c>
      <c r="J471">
        <f t="shared" si="18"/>
        <v>0</v>
      </c>
      <c r="K471">
        <f t="shared" si="19"/>
        <v>6.9189999999999996</v>
      </c>
      <c r="L471" t="str">
        <f>VLOOKUP(Tabell4[[#This Row],[Nät]],Indexnamn!A:A,1,FALSE)</f>
        <v>Husum</v>
      </c>
      <c r="M471" t="str">
        <f>IF(ISTEXT(Tabell4[[#This Row],[Indexnamn]]),Tabell4[[#This Row],[Indexnamn]],LOOKUP(Tabell4[[#This Row],[Nät]],Tabell5[Nätnamn],#REF!))</f>
        <v>Husum</v>
      </c>
      <c r="N471" t="str">
        <f>IF(Tabell4[[#This Row],[Finns i listan ]]=Tabell4[[#This Row],[Indexnamn]],"","NEJ")</f>
        <v/>
      </c>
    </row>
    <row r="472" spans="1:14" x14ac:dyDescent="0.25">
      <c r="A472" t="s">
        <v>569</v>
      </c>
      <c r="B472" t="s">
        <v>491</v>
      </c>
      <c r="C472">
        <v>0.59499999999999997</v>
      </c>
      <c r="D472" t="s">
        <v>806</v>
      </c>
      <c r="E472" t="s">
        <v>806</v>
      </c>
      <c r="F472" t="s">
        <v>806</v>
      </c>
      <c r="G472">
        <f t="shared" si="18"/>
        <v>0.59499999999999997</v>
      </c>
      <c r="H472">
        <f t="shared" si="18"/>
        <v>0</v>
      </c>
      <c r="I472">
        <f t="shared" si="18"/>
        <v>0</v>
      </c>
      <c r="J472">
        <f t="shared" si="18"/>
        <v>0</v>
      </c>
      <c r="K472">
        <f t="shared" si="19"/>
        <v>0.59499999999999997</v>
      </c>
      <c r="L472" t="str">
        <f>VLOOKUP(Tabell4[[#This Row],[Nät]],Indexnamn!A:A,1,FALSE)</f>
        <v>Moliden</v>
      </c>
      <c r="M472" t="str">
        <f>IF(ISTEXT(Tabell4[[#This Row],[Indexnamn]]),Tabell4[[#This Row],[Indexnamn]],LOOKUP(Tabell4[[#This Row],[Nät]],Tabell5[Nätnamn],#REF!))</f>
        <v>Moliden</v>
      </c>
      <c r="N472" t="str">
        <f>IF(Tabell4[[#This Row],[Finns i listan ]]=Tabell4[[#This Row],[Indexnamn]],"","NEJ")</f>
        <v/>
      </c>
    </row>
    <row r="473" spans="1:14" x14ac:dyDescent="0.25">
      <c r="A473" t="s">
        <v>569</v>
      </c>
      <c r="B473" t="s">
        <v>802</v>
      </c>
      <c r="C473">
        <v>269.60000000000002</v>
      </c>
      <c r="D473" t="s">
        <v>806</v>
      </c>
      <c r="E473" t="s">
        <v>806</v>
      </c>
      <c r="F473" t="s">
        <v>806</v>
      </c>
      <c r="G473">
        <f t="shared" si="18"/>
        <v>269.60000000000002</v>
      </c>
      <c r="H473">
        <f t="shared" si="18"/>
        <v>0</v>
      </c>
      <c r="I473">
        <f t="shared" si="18"/>
        <v>0</v>
      </c>
      <c r="J473">
        <f t="shared" si="18"/>
        <v>0</v>
      </c>
      <c r="K473">
        <f t="shared" si="19"/>
        <v>269.60000000000002</v>
      </c>
      <c r="L473" t="e">
        <f>VLOOKUP(Tabell4[[#This Row],[Nät]],Indexnamn!A:A,1,FALSE)</f>
        <v>#N/A</v>
      </c>
      <c r="N473" t="e">
        <f>IF(Tabell4[[#This Row],[Finns i listan ]]=Tabell4[[#This Row],[Indexnamn]],"","NEJ")</f>
        <v>#N/A</v>
      </c>
    </row>
    <row r="474" spans="1:14" x14ac:dyDescent="0.25">
      <c r="A474" t="s">
        <v>569</v>
      </c>
      <c r="B474" t="s">
        <v>376</v>
      </c>
      <c r="C474">
        <v>229.161</v>
      </c>
      <c r="D474" t="s">
        <v>806</v>
      </c>
      <c r="E474" t="s">
        <v>806</v>
      </c>
      <c r="F474" t="s">
        <v>806</v>
      </c>
      <c r="G474">
        <f t="shared" si="18"/>
        <v>229.161</v>
      </c>
      <c r="H474">
        <f t="shared" si="18"/>
        <v>0</v>
      </c>
      <c r="I474">
        <f t="shared" si="18"/>
        <v>0</v>
      </c>
      <c r="J474">
        <f t="shared" si="18"/>
        <v>0</v>
      </c>
      <c r="K474">
        <f t="shared" si="19"/>
        <v>229.161</v>
      </c>
      <c r="L474" t="str">
        <f>VLOOKUP(Tabell4[[#This Row],[Nät]],Indexnamn!A:A,1,FALSE)</f>
        <v>Örnsköldsvik</v>
      </c>
      <c r="M474" t="str">
        <f>IF(ISTEXT(Tabell4[[#This Row],[Indexnamn]]),Tabell4[[#This Row],[Indexnamn]],LOOKUP(Tabell4[[#This Row],[Nät]],Tabell5[Nätnamn],#REF!))</f>
        <v>Örnsköldsvik</v>
      </c>
      <c r="N474" t="str">
        <f>IF(Tabell4[[#This Row],[Finns i listan ]]=Tabell4[[#This Row],[Indexnamn]],"","NEJ")</f>
        <v/>
      </c>
    </row>
  </sheetData>
  <pageMargins left="0.7" right="0.7" top="0.75" bottom="0.75" header="0.3" footer="0.3"/>
  <legacyDrawing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2:M471"/>
  <sheetViews>
    <sheetView topLeftCell="A412" workbookViewId="0">
      <selection activeCell="B153" sqref="B153"/>
    </sheetView>
  </sheetViews>
  <sheetFormatPr defaultRowHeight="15" x14ac:dyDescent="0.25"/>
  <cols>
    <col min="1" max="1" width="31.85546875" customWidth="1"/>
    <col min="2" max="2" width="31.28515625" customWidth="1"/>
    <col min="3" max="3" width="13.42578125" customWidth="1"/>
    <col min="4" max="4" width="9.85546875" bestFit="1" customWidth="1"/>
    <col min="5" max="6" width="9.85546875" customWidth="1"/>
    <col min="7" max="7" width="12.42578125" customWidth="1"/>
  </cols>
  <sheetData>
    <row r="2" spans="1:7" x14ac:dyDescent="0.25">
      <c r="A2" t="s">
        <v>543</v>
      </c>
      <c r="B2" t="s">
        <v>544</v>
      </c>
      <c r="C2" t="s">
        <v>822</v>
      </c>
      <c r="D2" t="s">
        <v>752</v>
      </c>
      <c r="E2" t="s">
        <v>836</v>
      </c>
      <c r="F2" t="s">
        <v>837</v>
      </c>
      <c r="G2" t="s">
        <v>821</v>
      </c>
    </row>
    <row r="3" spans="1:7" x14ac:dyDescent="0.25">
      <c r="A3" t="s">
        <v>809</v>
      </c>
      <c r="B3" t="s">
        <v>60</v>
      </c>
      <c r="C3" t="s">
        <v>60</v>
      </c>
      <c r="D3">
        <v>5.2</v>
      </c>
      <c r="F3">
        <f>IFERROR(Levererat_2016[[#This Row],[Leveranser:]]-Levererat_2016[[#This Row],[Leveranser till annat fjärrvärmebolag]],"")</f>
        <v>5.2</v>
      </c>
      <c r="G3" t="str">
        <f>VLOOKUP(Levererat_2016[[#This Row],[Indexnamn]],'Leveranser per nät'!$A$4:$A$526,1,FALSE)</f>
        <v>Bollstabruk</v>
      </c>
    </row>
    <row r="4" spans="1:7" x14ac:dyDescent="0.25">
      <c r="A4" t="s">
        <v>809</v>
      </c>
      <c r="B4" t="s">
        <v>31</v>
      </c>
      <c r="C4" t="s">
        <v>31</v>
      </c>
      <c r="D4">
        <v>16.2</v>
      </c>
      <c r="F4">
        <f>IFERROR(Levererat_2016[[#This Row],[Leveranser:]]-Levererat_2016[[#This Row],[Leveranser till annat fjärrvärmebolag]],"")</f>
        <v>16.2</v>
      </c>
      <c r="G4" t="str">
        <f>VLOOKUP(Levererat_2016[[#This Row],[Indexnamn]],'Leveranser per nät'!$A$4:$A$526,1,FALSE)</f>
        <v>Bräcke</v>
      </c>
    </row>
    <row r="5" spans="1:7" x14ac:dyDescent="0.25">
      <c r="A5" t="s">
        <v>809</v>
      </c>
      <c r="B5" t="s">
        <v>603</v>
      </c>
      <c r="C5" t="s">
        <v>603</v>
      </c>
      <c r="D5">
        <v>3.3</v>
      </c>
      <c r="F5">
        <f>IFERROR(Levererat_2016[[#This Row],[Leveranser:]]-Levererat_2016[[#This Row],[Leveranser till annat fjärrvärmebolag]],"")</f>
        <v>3.3</v>
      </c>
      <c r="G5" t="str">
        <f>VLOOKUP(Levererat_2016[[#This Row],[Indexnamn]],'Leveranser per nät'!$A$4:$A$526,1,FALSE)</f>
        <v>Friggesund</v>
      </c>
    </row>
    <row r="6" spans="1:7" x14ac:dyDescent="0.25">
      <c r="A6" t="s">
        <v>809</v>
      </c>
      <c r="B6" t="s">
        <v>607</v>
      </c>
      <c r="C6" t="s">
        <v>607</v>
      </c>
      <c r="D6">
        <v>5.8</v>
      </c>
      <c r="F6">
        <f>IFERROR(Levererat_2016[[#This Row],[Leveranser:]]-Levererat_2016[[#This Row],[Leveranser till annat fjärrvärmebolag]],"")</f>
        <v>5.8</v>
      </c>
      <c r="G6" t="str">
        <f>VLOOKUP(Levererat_2016[[#This Row],[Indexnamn]],'Leveranser per nät'!$A$4:$A$526,1,FALSE)</f>
        <v>Funäsdalen</v>
      </c>
    </row>
    <row r="7" spans="1:7" x14ac:dyDescent="0.25">
      <c r="A7" t="s">
        <v>809</v>
      </c>
      <c r="B7" t="s">
        <v>64</v>
      </c>
      <c r="C7" t="s">
        <v>64</v>
      </c>
      <c r="D7">
        <v>7.6</v>
      </c>
      <c r="F7">
        <f>IFERROR(Levererat_2016[[#This Row],[Leveranser:]]-Levererat_2016[[#This Row],[Leveranser till annat fjärrvärmebolag]],"")</f>
        <v>7.6</v>
      </c>
      <c r="G7" t="str">
        <f>VLOOKUP(Levererat_2016[[#This Row],[Indexnamn]],'Leveranser per nät'!$A$4:$A$526,1,FALSE)</f>
        <v>Hede</v>
      </c>
    </row>
    <row r="8" spans="1:7" x14ac:dyDescent="0.25">
      <c r="A8" t="s">
        <v>809</v>
      </c>
      <c r="B8" t="s">
        <v>69</v>
      </c>
      <c r="C8" t="s">
        <v>69</v>
      </c>
      <c r="D8">
        <v>4.2</v>
      </c>
      <c r="F8">
        <f>IFERROR(Levererat_2016[[#This Row],[Leveranser:]]-Levererat_2016[[#This Row],[Leveranser till annat fjärrvärmebolag]],"")</f>
        <v>4.2</v>
      </c>
      <c r="G8" t="str">
        <f>VLOOKUP(Levererat_2016[[#This Row],[Indexnamn]],'Leveranser per nät'!$A$4:$A$526,1,FALSE)</f>
        <v>Långsele</v>
      </c>
    </row>
    <row r="9" spans="1:7" x14ac:dyDescent="0.25">
      <c r="A9" t="s">
        <v>809</v>
      </c>
      <c r="B9" t="s">
        <v>71</v>
      </c>
      <c r="C9" t="s">
        <v>71</v>
      </c>
      <c r="D9">
        <v>1.9</v>
      </c>
      <c r="F9">
        <f>IFERROR(Levererat_2016[[#This Row],[Leveranser:]]-Levererat_2016[[#This Row],[Leveranser till annat fjärrvärmebolag]],"")</f>
        <v>1.9</v>
      </c>
      <c r="G9" t="str">
        <f>VLOOKUP(Levererat_2016[[#This Row],[Indexnamn]],'Leveranser per nät'!$A$4:$A$526,1,FALSE)</f>
        <v>Näsåker</v>
      </c>
    </row>
    <row r="10" spans="1:7" x14ac:dyDescent="0.25">
      <c r="A10" t="s">
        <v>809</v>
      </c>
      <c r="B10" t="s">
        <v>72</v>
      </c>
      <c r="C10" t="s">
        <v>72</v>
      </c>
      <c r="D10">
        <v>5.4</v>
      </c>
      <c r="F10">
        <f>IFERROR(Levererat_2016[[#This Row],[Leveranser:]]-Levererat_2016[[#This Row],[Leveranser till annat fjärrvärmebolag]],"")</f>
        <v>5.4</v>
      </c>
      <c r="G10" t="str">
        <f>VLOOKUP(Levererat_2016[[#This Row],[Indexnamn]],'Leveranser per nät'!$A$4:$A$526,1,FALSE)</f>
        <v>Ramsele</v>
      </c>
    </row>
    <row r="11" spans="1:7" x14ac:dyDescent="0.25">
      <c r="A11" t="s">
        <v>639</v>
      </c>
      <c r="B11" t="s">
        <v>838</v>
      </c>
      <c r="C11" t="s">
        <v>838</v>
      </c>
      <c r="D11">
        <v>0.34</v>
      </c>
      <c r="F11">
        <f>IFERROR(Levererat_2016[[#This Row],[Leveranser:]]-Levererat_2016[[#This Row],[Leveranser till annat fjärrvärmebolag]],"")</f>
        <v>0.34</v>
      </c>
      <c r="G11" t="str">
        <f>VLOOKUP(Levererat_2016[[#This Row],[Indexnamn]],'Leveranser per nät'!$A$4:$A$526,1,FALSE)</f>
        <v>Fridlevstad</v>
      </c>
    </row>
    <row r="12" spans="1:7" x14ac:dyDescent="0.25">
      <c r="A12" t="s">
        <v>639</v>
      </c>
      <c r="B12" t="s">
        <v>640</v>
      </c>
      <c r="C12" t="s">
        <v>640</v>
      </c>
      <c r="D12">
        <v>4.5999999999999996</v>
      </c>
      <c r="F12">
        <f>IFERROR(Levererat_2016[[#This Row],[Leveranser:]]-Levererat_2016[[#This Row],[Leveranser till annat fjärrvärmebolag]],"")</f>
        <v>4.5999999999999996</v>
      </c>
      <c r="G12" t="str">
        <f>VLOOKUP(Levererat_2016[[#This Row],[Indexnamn]],'Leveranser per nät'!$A$4:$A$526,1,FALSE)</f>
        <v>Jämjö</v>
      </c>
    </row>
    <row r="13" spans="1:7" x14ac:dyDescent="0.25">
      <c r="A13" t="s">
        <v>639</v>
      </c>
      <c r="B13" t="s">
        <v>0</v>
      </c>
      <c r="C13" t="s">
        <v>0</v>
      </c>
      <c r="D13">
        <v>228.1</v>
      </c>
      <c r="F13">
        <f>IFERROR(Levererat_2016[[#This Row],[Leveranser:]]-Levererat_2016[[#This Row],[Leveranser till annat fjärrvärmebolag]],"")</f>
        <v>228.1</v>
      </c>
      <c r="G13" t="str">
        <f>VLOOKUP(Levererat_2016[[#This Row],[Indexnamn]],'Leveranser per nät'!$A$4:$A$526,1,FALSE)</f>
        <v>Karlskrona</v>
      </c>
    </row>
    <row r="14" spans="1:7" x14ac:dyDescent="0.25">
      <c r="A14" t="s">
        <v>639</v>
      </c>
      <c r="B14" t="s">
        <v>682</v>
      </c>
      <c r="C14" t="s">
        <v>682</v>
      </c>
      <c r="D14">
        <v>4</v>
      </c>
      <c r="F14">
        <f>IFERROR(Levererat_2016[[#This Row],[Leveranser:]]-Levererat_2016[[#This Row],[Leveranser till annat fjärrvärmebolag]],"")</f>
        <v>4</v>
      </c>
      <c r="G14" t="str">
        <f>VLOOKUP(Levererat_2016[[#This Row],[Indexnamn]],'Leveranser per nät'!$A$4:$A$526,1,FALSE)</f>
        <v>Nättraby</v>
      </c>
    </row>
    <row r="15" spans="1:7" x14ac:dyDescent="0.25">
      <c r="A15" t="s">
        <v>639</v>
      </c>
      <c r="B15" t="s">
        <v>710</v>
      </c>
      <c r="C15" t="s">
        <v>710</v>
      </c>
      <c r="D15">
        <v>0.75</v>
      </c>
      <c r="F15">
        <f>IFERROR(Levererat_2016[[#This Row],[Leveranser:]]-Levererat_2016[[#This Row],[Leveranser till annat fjärrvärmebolag]],"")</f>
        <v>0.75</v>
      </c>
      <c r="G15" t="str">
        <f>VLOOKUP(Levererat_2016[[#This Row],[Indexnamn]],'Leveranser per nät'!$A$4:$A$526,1,FALSE)</f>
        <v>Sturkö</v>
      </c>
    </row>
    <row r="16" spans="1:7" x14ac:dyDescent="0.25">
      <c r="A16" t="s">
        <v>548</v>
      </c>
      <c r="B16" t="s">
        <v>1</v>
      </c>
      <c r="C16" t="s">
        <v>1</v>
      </c>
      <c r="D16">
        <v>121.6</v>
      </c>
      <c r="F16">
        <f>IFERROR(Levererat_2016[[#This Row],[Leveranser:]]-Levererat_2016[[#This Row],[Leveranser till annat fjärrvärmebolag]],"")</f>
        <v>121.6</v>
      </c>
      <c r="G16" t="str">
        <f>VLOOKUP(Levererat_2016[[#This Row],[Indexnamn]],'Leveranser per nät'!$A$4:$A$526,1,FALSE)</f>
        <v>Alingsås</v>
      </c>
    </row>
    <row r="17" spans="1:7" x14ac:dyDescent="0.25">
      <c r="A17" t="s">
        <v>549</v>
      </c>
      <c r="B17" t="s">
        <v>2</v>
      </c>
      <c r="C17" t="s">
        <v>2</v>
      </c>
      <c r="D17">
        <v>56.3</v>
      </c>
      <c r="F17">
        <f>IFERROR(Levererat_2016[[#This Row],[Leveranser:]]-Levererat_2016[[#This Row],[Leveranser till annat fjärrvärmebolag]],"")</f>
        <v>56.3</v>
      </c>
      <c r="G17" t="str">
        <f>VLOOKUP(Levererat_2016[[#This Row],[Indexnamn]],'Leveranser per nät'!$A$4:$A$526,1,FALSE)</f>
        <v>Alvesta</v>
      </c>
    </row>
    <row r="18" spans="1:7" x14ac:dyDescent="0.25">
      <c r="A18" t="s">
        <v>549</v>
      </c>
      <c r="B18" t="s">
        <v>3</v>
      </c>
      <c r="C18" t="s">
        <v>3</v>
      </c>
      <c r="D18">
        <v>11.27</v>
      </c>
      <c r="F18">
        <f>IFERROR(Levererat_2016[[#This Row],[Leveranser:]]-Levererat_2016[[#This Row],[Leveranser till annat fjärrvärmebolag]],"")</f>
        <v>11.27</v>
      </c>
      <c r="G18" t="str">
        <f>VLOOKUP(Levererat_2016[[#This Row],[Indexnamn]],'Leveranser per nät'!$A$4:$A$526,1,FALSE)</f>
        <v>Moheda</v>
      </c>
    </row>
    <row r="19" spans="1:7" x14ac:dyDescent="0.25">
      <c r="A19" t="s">
        <v>549</v>
      </c>
      <c r="B19" t="s">
        <v>4</v>
      </c>
      <c r="C19" t="s">
        <v>4</v>
      </c>
      <c r="D19">
        <v>19.62</v>
      </c>
      <c r="F19">
        <f>IFERROR(Levererat_2016[[#This Row],[Leveranser:]]-Levererat_2016[[#This Row],[Leveranser till annat fjärrvärmebolag]],"")</f>
        <v>19.62</v>
      </c>
      <c r="G19" t="str">
        <f>VLOOKUP(Levererat_2016[[#This Row],[Indexnamn]],'Leveranser per nät'!$A$4:$A$526,1,FALSE)</f>
        <v>Vislanda</v>
      </c>
    </row>
    <row r="20" spans="1:7" x14ac:dyDescent="0.25">
      <c r="A20" t="s">
        <v>784</v>
      </c>
      <c r="B20" t="s">
        <v>792</v>
      </c>
      <c r="C20" t="s">
        <v>792</v>
      </c>
      <c r="D20">
        <v>24.77</v>
      </c>
      <c r="F20">
        <f>IFERROR(Levererat_2016[[#This Row],[Leveranser:]]-Levererat_2016[[#This Row],[Leveranser till annat fjärrvärmebolag]],"")</f>
        <v>24.77</v>
      </c>
      <c r="G20" t="str">
        <f>VLOOKUP(Levererat_2016[[#This Row],[Indexnamn]],'Leveranser per nät'!$A$4:$A$526,1,FALSE)</f>
        <v>Aneby</v>
      </c>
    </row>
    <row r="21" spans="1:7" x14ac:dyDescent="0.25">
      <c r="A21" t="s">
        <v>552</v>
      </c>
      <c r="B21" t="s">
        <v>5</v>
      </c>
      <c r="C21" t="s">
        <v>5</v>
      </c>
      <c r="D21">
        <v>96</v>
      </c>
      <c r="F21">
        <f>IFERROR(Levererat_2016[[#This Row],[Leveranser:]]-Levererat_2016[[#This Row],[Leveranser till annat fjärrvärmebolag]],"")</f>
        <v>96</v>
      </c>
      <c r="G21" t="str">
        <f>VLOOKUP(Levererat_2016[[#This Row],[Indexnamn]],'Leveranser per nät'!$A$4:$A$526,1,FALSE)</f>
        <v>Arboga</v>
      </c>
    </row>
    <row r="22" spans="1:7" x14ac:dyDescent="0.25">
      <c r="A22" t="s">
        <v>839</v>
      </c>
      <c r="B22" t="s">
        <v>449</v>
      </c>
      <c r="C22" t="s">
        <v>449</v>
      </c>
      <c r="D22">
        <v>14.6</v>
      </c>
      <c r="F22">
        <f>IFERROR(Levererat_2016[[#This Row],[Leveranser:]]-Levererat_2016[[#This Row],[Leveranser till annat fjärrvärmebolag]],"")</f>
        <v>14.6</v>
      </c>
      <c r="G22" t="str">
        <f>VLOOKUP(Levererat_2016[[#This Row],[Indexnamn]],'Leveranser per nät'!$A$4:$A$526,1,FALSE)</f>
        <v>Arjeplog</v>
      </c>
    </row>
    <row r="23" spans="1:7" x14ac:dyDescent="0.25">
      <c r="A23" t="s">
        <v>840</v>
      </c>
      <c r="B23" t="s">
        <v>6</v>
      </c>
      <c r="C23" t="s">
        <v>6</v>
      </c>
      <c r="D23" t="s">
        <v>805</v>
      </c>
      <c r="F23" t="str">
        <f>IFERROR(Levererat_2016[[#This Row],[Leveranser:]]-Levererat_2016[[#This Row],[Leveranser till annat fjärrvärmebolag]],"")</f>
        <v/>
      </c>
      <c r="G23" t="str">
        <f>VLOOKUP(Levererat_2016[[#This Row],[Indexnamn]],'Leveranser per nät'!$A$4:$A$526,1,FALSE)</f>
        <v>Arvidsjaur</v>
      </c>
    </row>
    <row r="24" spans="1:7" x14ac:dyDescent="0.25">
      <c r="A24" t="s">
        <v>555</v>
      </c>
      <c r="B24" t="s">
        <v>119</v>
      </c>
      <c r="C24" t="s">
        <v>119</v>
      </c>
      <c r="D24">
        <v>108.4</v>
      </c>
      <c r="F24">
        <f>IFERROR(Levererat_2016[[#This Row],[Leveranser:]]-Levererat_2016[[#This Row],[Leveranser till annat fjärrvärmebolag]],"")</f>
        <v>108.4</v>
      </c>
      <c r="G24" t="str">
        <f>VLOOKUP(Levererat_2016[[#This Row],[Indexnamn]],'Leveranser per nät'!$A$4:$A$526,1,FALSE)</f>
        <v>Arvika</v>
      </c>
    </row>
    <row r="25" spans="1:7" x14ac:dyDescent="0.25">
      <c r="A25" t="s">
        <v>562</v>
      </c>
      <c r="B25" t="s">
        <v>7</v>
      </c>
      <c r="C25" t="s">
        <v>7</v>
      </c>
      <c r="D25">
        <v>8.6999999999999993</v>
      </c>
      <c r="F25">
        <f>IFERROR(Levererat_2016[[#This Row],[Leveranser:]]-Levererat_2016[[#This Row],[Leveranser till annat fjärrvärmebolag]],"")</f>
        <v>8.6999999999999993</v>
      </c>
      <c r="G25" t="str">
        <f>VLOOKUP(Levererat_2016[[#This Row],[Indexnamn]],'Leveranser per nät'!$A$4:$A$526,1,FALSE)</f>
        <v>Bengtsfors</v>
      </c>
    </row>
    <row r="26" spans="1:7" x14ac:dyDescent="0.25">
      <c r="A26" t="s">
        <v>563</v>
      </c>
      <c r="B26" t="s">
        <v>9</v>
      </c>
      <c r="C26" t="s">
        <v>9</v>
      </c>
      <c r="D26">
        <v>3.4689999999999999</v>
      </c>
      <c r="F26">
        <f>IFERROR(Levererat_2016[[#This Row],[Leveranser:]]-Levererat_2016[[#This Row],[Leveranser till annat fjärrvärmebolag]],"")</f>
        <v>3.4689999999999999</v>
      </c>
      <c r="G26" t="str">
        <f>VLOOKUP(Levererat_2016[[#This Row],[Indexnamn]],'Leveranser per nät'!$A$4:$A$526,1,FALSE)</f>
        <v>Bergby</v>
      </c>
    </row>
    <row r="27" spans="1:7" x14ac:dyDescent="0.25">
      <c r="A27" t="s">
        <v>563</v>
      </c>
      <c r="B27" t="s">
        <v>828</v>
      </c>
      <c r="C27" t="s">
        <v>828</v>
      </c>
      <c r="D27">
        <v>1.752</v>
      </c>
      <c r="F27">
        <f>IFERROR(Levererat_2016[[#This Row],[Leveranser:]]-Levererat_2016[[#This Row],[Leveranser till annat fjärrvärmebolag]],"")</f>
        <v>1.752</v>
      </c>
      <c r="G27" t="str">
        <f>VLOOKUP(Levererat_2016[[#This Row],[Indexnamn]],'Leveranser per nät'!$A$4:$A$526,1,FALSE)</f>
        <v>Bälinge</v>
      </c>
    </row>
    <row r="28" spans="1:7" x14ac:dyDescent="0.25">
      <c r="A28" t="s">
        <v>563</v>
      </c>
      <c r="B28" t="s">
        <v>10</v>
      </c>
      <c r="C28" t="s">
        <v>10</v>
      </c>
      <c r="D28">
        <v>7.7190000000000003</v>
      </c>
      <c r="F28">
        <f>IFERROR(Levererat_2016[[#This Row],[Leveranser:]]-Levererat_2016[[#This Row],[Leveranser till annat fjärrvärmebolag]],"")</f>
        <v>7.7190000000000003</v>
      </c>
      <c r="G28" t="str">
        <f>VLOOKUP(Levererat_2016[[#This Row],[Indexnamn]],'Leveranser per nät'!$A$4:$A$526,1,FALSE)</f>
        <v>Forsbacka</v>
      </c>
    </row>
    <row r="29" spans="1:7" x14ac:dyDescent="0.25">
      <c r="A29" t="s">
        <v>563</v>
      </c>
      <c r="B29" t="s">
        <v>16</v>
      </c>
      <c r="C29" t="s">
        <v>16</v>
      </c>
      <c r="D29">
        <v>3.3959999999999999</v>
      </c>
      <c r="F29">
        <f>IFERROR(Levererat_2016[[#This Row],[Leveranser:]]-Levererat_2016[[#This Row],[Leveranser till annat fjärrvärmebolag]],"")</f>
        <v>3.3959999999999999</v>
      </c>
      <c r="G29" t="str">
        <f>VLOOKUP(Levererat_2016[[#This Row],[Indexnamn]],'Leveranser per nät'!$A$4:$A$526,1,FALSE)</f>
        <v>Hedesunda</v>
      </c>
    </row>
    <row r="30" spans="1:7" x14ac:dyDescent="0.25">
      <c r="A30" t="s">
        <v>563</v>
      </c>
      <c r="B30" t="s">
        <v>494</v>
      </c>
      <c r="C30" t="s">
        <v>494</v>
      </c>
      <c r="D30">
        <v>3.468</v>
      </c>
      <c r="F30">
        <f>IFERROR(Levererat_2016[[#This Row],[Leveranser:]]-Levererat_2016[[#This Row],[Leveranser till annat fjärrvärmebolag]],"")</f>
        <v>3.468</v>
      </c>
      <c r="G30" t="str">
        <f>VLOOKUP(Levererat_2016[[#This Row],[Indexnamn]],'Leveranser per nät'!$A$4:$A$526,1,FALSE)</f>
        <v>Norrsundet</v>
      </c>
    </row>
    <row r="31" spans="1:7" x14ac:dyDescent="0.25">
      <c r="A31" t="s">
        <v>563</v>
      </c>
      <c r="B31" t="s">
        <v>8</v>
      </c>
      <c r="C31" t="s">
        <v>8</v>
      </c>
      <c r="D31">
        <v>22.245000000000001</v>
      </c>
      <c r="F31">
        <f>IFERROR(Levererat_2016[[#This Row],[Leveranser:]]-Levererat_2016[[#This Row],[Leveranser till annat fjärrvärmebolag]],"")</f>
        <v>22.245000000000001</v>
      </c>
      <c r="G31" t="str">
        <f>VLOOKUP(Levererat_2016[[#This Row],[Indexnamn]],'Leveranser per nät'!$A$4:$A$526,1,FALSE)</f>
        <v>Ockelbo</v>
      </c>
    </row>
    <row r="32" spans="1:7" x14ac:dyDescent="0.25">
      <c r="A32" t="s">
        <v>563</v>
      </c>
      <c r="B32" t="s">
        <v>15</v>
      </c>
      <c r="C32" t="s">
        <v>15</v>
      </c>
      <c r="D32">
        <v>26.55</v>
      </c>
      <c r="F32">
        <f>IFERROR(Levererat_2016[[#This Row],[Leveranser:]]-Levererat_2016[[#This Row],[Leveranser till annat fjärrvärmebolag]],"")</f>
        <v>26.55</v>
      </c>
      <c r="G32" t="str">
        <f>VLOOKUP(Levererat_2016[[#This Row],[Indexnamn]],'Leveranser per nät'!$A$4:$A$526,1,FALSE)</f>
        <v>Skutskär</v>
      </c>
    </row>
    <row r="33" spans="1:7" x14ac:dyDescent="0.25">
      <c r="A33" t="s">
        <v>563</v>
      </c>
      <c r="B33" t="s">
        <v>17</v>
      </c>
      <c r="C33" t="s">
        <v>17</v>
      </c>
      <c r="D33">
        <v>6.6970000000000001</v>
      </c>
      <c r="F33">
        <f>IFERROR(Levererat_2016[[#This Row],[Leveranser:]]-Levererat_2016[[#This Row],[Leveranser till annat fjärrvärmebolag]],"")</f>
        <v>6.6970000000000001</v>
      </c>
      <c r="G33" t="str">
        <f>VLOOKUP(Levererat_2016[[#This Row],[Indexnamn]],'Leveranser per nät'!$A$4:$A$526,1,FALSE)</f>
        <v>Söderfors</v>
      </c>
    </row>
    <row r="34" spans="1:7" x14ac:dyDescent="0.25">
      <c r="A34" t="s">
        <v>563</v>
      </c>
      <c r="B34" t="s">
        <v>435</v>
      </c>
      <c r="C34" t="s">
        <v>435</v>
      </c>
      <c r="D34">
        <v>2.3860000000000001</v>
      </c>
      <c r="F34">
        <f>IFERROR(Levererat_2016[[#This Row],[Leveranser:]]-Levererat_2016[[#This Row],[Leveranser till annat fjärrvärmebolag]],"")</f>
        <v>2.3860000000000001</v>
      </c>
      <c r="G34" t="str">
        <f>VLOOKUP(Levererat_2016[[#This Row],[Indexnamn]],'Leveranser per nät'!$A$4:$A$526,1,FALSE)</f>
        <v>Vänge</v>
      </c>
    </row>
    <row r="35" spans="1:7" x14ac:dyDescent="0.25">
      <c r="A35" t="s">
        <v>563</v>
      </c>
      <c r="B35" t="s">
        <v>737</v>
      </c>
      <c r="C35" t="s">
        <v>737</v>
      </c>
      <c r="D35">
        <v>3.077</v>
      </c>
      <c r="F35">
        <f>IFERROR(Levererat_2016[[#This Row],[Leveranser:]]-Levererat_2016[[#This Row],[Leveranser till annat fjärrvärmebolag]],"")</f>
        <v>3.077</v>
      </c>
      <c r="G35" t="str">
        <f>VLOOKUP(Levererat_2016[[#This Row],[Indexnamn]],'Leveranser per nät'!$A$4:$A$526,1,FALSE)</f>
        <v>Älvkarleby</v>
      </c>
    </row>
    <row r="36" spans="1:7" x14ac:dyDescent="0.25">
      <c r="A36" t="s">
        <v>841</v>
      </c>
      <c r="B36" t="s">
        <v>19</v>
      </c>
      <c r="C36" t="s">
        <v>19</v>
      </c>
      <c r="D36" t="s">
        <v>805</v>
      </c>
      <c r="F36" t="str">
        <f>IFERROR(Levererat_2016[[#This Row],[Leveranser:]]-Levererat_2016[[#This Row],[Leveranser till annat fjärrvärmebolag]],"")</f>
        <v/>
      </c>
      <c r="G36" t="str">
        <f>VLOOKUP(Levererat_2016[[#This Row],[Indexnamn]],'Leveranser per nät'!$A$4:$A$526,1,FALSE)</f>
        <v>Boden</v>
      </c>
    </row>
    <row r="37" spans="1:7" x14ac:dyDescent="0.25">
      <c r="A37" t="s">
        <v>553</v>
      </c>
      <c r="B37" t="s">
        <v>20</v>
      </c>
      <c r="C37" t="s">
        <v>20</v>
      </c>
      <c r="D37">
        <v>16.440000000000001</v>
      </c>
      <c r="F37">
        <f>IFERROR(Levererat_2016[[#This Row],[Leveranser:]]-Levererat_2016[[#This Row],[Leveranser till annat fjärrvärmebolag]],"")</f>
        <v>16.440000000000001</v>
      </c>
      <c r="G37" t="str">
        <f>VLOOKUP(Levererat_2016[[#This Row],[Indexnamn]],'Leveranser per nät'!$A$4:$A$526,1,FALSE)</f>
        <v>Arbrå</v>
      </c>
    </row>
    <row r="38" spans="1:7" x14ac:dyDescent="0.25">
      <c r="A38" t="s">
        <v>553</v>
      </c>
      <c r="B38" t="s">
        <v>21</v>
      </c>
      <c r="C38" t="s">
        <v>21</v>
      </c>
      <c r="D38">
        <v>123.122</v>
      </c>
      <c r="F38">
        <f>IFERROR(Levererat_2016[[#This Row],[Leveranser:]]-Levererat_2016[[#This Row],[Leveranser till annat fjärrvärmebolag]],"")</f>
        <v>123.122</v>
      </c>
      <c r="G38" t="str">
        <f>VLOOKUP(Levererat_2016[[#This Row],[Indexnamn]],'Leveranser per nät'!$A$4:$A$526,1,FALSE)</f>
        <v>Bollnäs</v>
      </c>
    </row>
    <row r="39" spans="1:7" x14ac:dyDescent="0.25">
      <c r="A39" t="s">
        <v>553</v>
      </c>
      <c r="B39" t="s">
        <v>22</v>
      </c>
      <c r="C39" t="s">
        <v>22</v>
      </c>
      <c r="D39">
        <v>20.97</v>
      </c>
      <c r="F39">
        <f>IFERROR(Levererat_2016[[#This Row],[Leveranser:]]-Levererat_2016[[#This Row],[Leveranser till annat fjärrvärmebolag]],"")</f>
        <v>20.97</v>
      </c>
      <c r="G39" t="str">
        <f>VLOOKUP(Levererat_2016[[#This Row],[Indexnamn]],'Leveranser per nät'!$A$4:$A$526,1,FALSE)</f>
        <v>Kilafors</v>
      </c>
    </row>
    <row r="40" spans="1:7" x14ac:dyDescent="0.25">
      <c r="A40" t="s">
        <v>574</v>
      </c>
      <c r="B40" t="s">
        <v>23</v>
      </c>
      <c r="C40" t="s">
        <v>23</v>
      </c>
      <c r="D40">
        <v>25.77</v>
      </c>
      <c r="F40">
        <f>IFERROR(Levererat_2016[[#This Row],[Leveranser:]]-Levererat_2016[[#This Row],[Leveranser till annat fjärrvärmebolag]],"")</f>
        <v>25.77</v>
      </c>
      <c r="G40" t="str">
        <f>VLOOKUP(Levererat_2016[[#This Row],[Indexnamn]],'Leveranser per nät'!$A$4:$A$526,1,FALSE)</f>
        <v>Borgholm</v>
      </c>
    </row>
    <row r="41" spans="1:7" x14ac:dyDescent="0.25">
      <c r="A41" t="s">
        <v>574</v>
      </c>
      <c r="B41" t="s">
        <v>24</v>
      </c>
      <c r="C41" t="s">
        <v>24</v>
      </c>
      <c r="D41">
        <v>1.8959999999999999</v>
      </c>
      <c r="F41">
        <f>IFERROR(Levererat_2016[[#This Row],[Leveranser:]]-Levererat_2016[[#This Row],[Leveranser till annat fjärrvärmebolag]],"")</f>
        <v>1.8959999999999999</v>
      </c>
      <c r="G41" t="str">
        <f>VLOOKUP(Levererat_2016[[#This Row],[Indexnamn]],'Leveranser per nät'!$A$4:$A$526,1,FALSE)</f>
        <v>Löttorp</v>
      </c>
    </row>
    <row r="42" spans="1:7" x14ac:dyDescent="0.25">
      <c r="A42" t="s">
        <v>575</v>
      </c>
      <c r="B42" t="s">
        <v>25</v>
      </c>
      <c r="C42" t="s">
        <v>25</v>
      </c>
      <c r="D42">
        <v>415.24099999999999</v>
      </c>
      <c r="E42">
        <v>43.7</v>
      </c>
      <c r="F42">
        <f>IFERROR(Levererat_2016[[#This Row],[Leveranser:]]-Levererat_2016[[#This Row],[Leveranser till annat fjärrvärmebolag]],"")</f>
        <v>371.541</v>
      </c>
      <c r="G42" t="str">
        <f>VLOOKUP(Levererat_2016[[#This Row],[Indexnamn]],'Leveranser per nät'!$A$4:$A$526,1,FALSE)</f>
        <v>Borlänge</v>
      </c>
    </row>
    <row r="43" spans="1:7" x14ac:dyDescent="0.25">
      <c r="A43" t="s">
        <v>575</v>
      </c>
      <c r="B43" t="s">
        <v>26</v>
      </c>
      <c r="C43" t="s">
        <v>26</v>
      </c>
      <c r="D43">
        <v>1.8680000000000001</v>
      </c>
      <c r="F43">
        <f>IFERROR(Levererat_2016[[#This Row],[Leveranser:]]-Levererat_2016[[#This Row],[Leveranser till annat fjärrvärmebolag]],"")</f>
        <v>1.8680000000000001</v>
      </c>
      <c r="G43" t="str">
        <f>VLOOKUP(Levererat_2016[[#This Row],[Indexnamn]],'Leveranser per nät'!$A$4:$A$526,1,FALSE)</f>
        <v>Ornäs</v>
      </c>
    </row>
    <row r="44" spans="1:7" x14ac:dyDescent="0.25">
      <c r="A44" t="s">
        <v>575</v>
      </c>
      <c r="B44" t="s">
        <v>27</v>
      </c>
      <c r="C44" t="s">
        <v>27</v>
      </c>
      <c r="D44">
        <v>2.8180000000000001</v>
      </c>
      <c r="F44">
        <f>IFERROR(Levererat_2016[[#This Row],[Leveranser:]]-Levererat_2016[[#This Row],[Leveranser till annat fjärrvärmebolag]],"")</f>
        <v>2.8180000000000001</v>
      </c>
      <c r="G44" t="str">
        <f>VLOOKUP(Levererat_2016[[#This Row],[Indexnamn]],'Leveranser per nät'!$A$4:$A$526,1,FALSE)</f>
        <v>Torsång</v>
      </c>
    </row>
    <row r="45" spans="1:7" x14ac:dyDescent="0.25">
      <c r="A45" t="s">
        <v>576</v>
      </c>
      <c r="B45" t="s">
        <v>29</v>
      </c>
      <c r="C45" t="s">
        <v>29</v>
      </c>
      <c r="D45">
        <v>607.60299999999995</v>
      </c>
      <c r="F45">
        <f>IFERROR(Levererat_2016[[#This Row],[Leveranser:]]-Levererat_2016[[#This Row],[Leveranser till annat fjärrvärmebolag]],"")</f>
        <v>607.60299999999995</v>
      </c>
      <c r="G45" t="str">
        <f>VLOOKUP(Levererat_2016[[#This Row],[Indexnamn]],'Leveranser per nät'!$A$4:$A$526,1,FALSE)</f>
        <v>Borås</v>
      </c>
    </row>
    <row r="46" spans="1:7" x14ac:dyDescent="0.25">
      <c r="A46" t="s">
        <v>576</v>
      </c>
      <c r="B46" t="s">
        <v>28</v>
      </c>
      <c r="C46" t="s">
        <v>28</v>
      </c>
      <c r="D46">
        <v>19.433</v>
      </c>
      <c r="F46">
        <f>IFERROR(Levererat_2016[[#This Row],[Leveranser:]]-Levererat_2016[[#This Row],[Leveranser till annat fjärrvärmebolag]],"")</f>
        <v>19.433</v>
      </c>
      <c r="G46" t="str">
        <f>VLOOKUP(Levererat_2016[[#This Row],[Indexnamn]],'Leveranser per nät'!$A$4:$A$526,1,FALSE)</f>
        <v>Fristad</v>
      </c>
    </row>
    <row r="47" spans="1:7" x14ac:dyDescent="0.25">
      <c r="A47" t="s">
        <v>842</v>
      </c>
      <c r="B47" t="s">
        <v>843</v>
      </c>
      <c r="C47" t="s">
        <v>843</v>
      </c>
      <c r="D47" t="s">
        <v>805</v>
      </c>
      <c r="F47" t="str">
        <f>IFERROR(Levererat_2016[[#This Row],[Leveranser:]]-Levererat_2016[[#This Row],[Leveranser till annat fjärrvärmebolag]],"")</f>
        <v/>
      </c>
      <c r="G47" t="e">
        <f>VLOOKUP(Levererat_2016[[#This Row],[Indexnamn]],'Leveranser per nät'!$A$4:$A$526,1,FALSE)</f>
        <v>#N/A</v>
      </c>
    </row>
    <row r="48" spans="1:7" x14ac:dyDescent="0.25">
      <c r="A48" t="s">
        <v>578</v>
      </c>
      <c r="B48" t="s">
        <v>30</v>
      </c>
      <c r="C48" t="s">
        <v>30</v>
      </c>
      <c r="D48">
        <v>35.5</v>
      </c>
      <c r="F48">
        <f>IFERROR(Levererat_2016[[#This Row],[Leveranser:]]-Levererat_2016[[#This Row],[Leveranser till annat fjärrvärmebolag]],"")</f>
        <v>35.5</v>
      </c>
      <c r="G48" t="str">
        <f>VLOOKUP(Levererat_2016[[#This Row],[Indexnamn]],'Leveranser per nät'!$A$4:$A$526,1,FALSE)</f>
        <v>Bromölla</v>
      </c>
    </row>
    <row r="49" spans="1:7" x14ac:dyDescent="0.25">
      <c r="A49" t="s">
        <v>844</v>
      </c>
      <c r="B49" t="s">
        <v>845</v>
      </c>
      <c r="C49" t="s">
        <v>845</v>
      </c>
      <c r="D49" t="s">
        <v>805</v>
      </c>
      <c r="F49" t="str">
        <f>IFERROR(Levererat_2016[[#This Row],[Leveranser:]]-Levererat_2016[[#This Row],[Leveranser till annat fjärrvärmebolag]],"")</f>
        <v/>
      </c>
      <c r="G49" t="str">
        <f>VLOOKUP(Levererat_2016[[#This Row],[Indexnamn]],'Leveranser per nät'!$A$4:$A$526,1,FALSE)</f>
        <v>Berg</v>
      </c>
    </row>
    <row r="50" spans="1:7" x14ac:dyDescent="0.25">
      <c r="A50" t="s">
        <v>600</v>
      </c>
      <c r="B50" t="s">
        <v>33</v>
      </c>
      <c r="C50" t="s">
        <v>33</v>
      </c>
      <c r="D50">
        <v>4.5990000000000002</v>
      </c>
      <c r="F50">
        <f>IFERROR(Levererat_2016[[#This Row],[Leveranser:]]-Levererat_2016[[#This Row],[Leveranser till annat fjärrvärmebolag]],"")</f>
        <v>4.5990000000000002</v>
      </c>
      <c r="G50" t="str">
        <f>VLOOKUP(Levererat_2016[[#This Row],[Indexnamn]],'Leveranser per nät'!$A$4:$A$526,1,FALSE)</f>
        <v>Fjälkinge</v>
      </c>
    </row>
    <row r="51" spans="1:7" x14ac:dyDescent="0.25">
      <c r="A51" t="s">
        <v>600</v>
      </c>
      <c r="B51" t="s">
        <v>34</v>
      </c>
      <c r="C51" t="s">
        <v>34</v>
      </c>
      <c r="D51">
        <v>359.197</v>
      </c>
      <c r="F51">
        <f>IFERROR(Levererat_2016[[#This Row],[Leveranser:]]-Levererat_2016[[#This Row],[Leveranser till annat fjärrvärmebolag]],"")</f>
        <v>359.197</v>
      </c>
      <c r="G51" t="str">
        <f>VLOOKUP(Levererat_2016[[#This Row],[Indexnamn]],'Leveranser per nät'!$A$4:$A$526,1,FALSE)</f>
        <v>Kristianstad</v>
      </c>
    </row>
    <row r="52" spans="1:7" x14ac:dyDescent="0.25">
      <c r="A52" t="s">
        <v>636</v>
      </c>
      <c r="B52" t="s">
        <v>37</v>
      </c>
      <c r="C52" t="s">
        <v>37</v>
      </c>
      <c r="D52">
        <v>8.6170000000000009</v>
      </c>
      <c r="F52">
        <f>IFERROR(Levererat_2016[[#This Row],[Leveranser:]]-Levererat_2016[[#This Row],[Leveranser till annat fjärrvärmebolag]],"")</f>
        <v>8.6170000000000009</v>
      </c>
      <c r="G52" t="str">
        <f>VLOOKUP(Levererat_2016[[#This Row],[Indexnamn]],'Leveranser per nät'!$A$4:$A$526,1,FALSE)</f>
        <v>Insjön</v>
      </c>
    </row>
    <row r="53" spans="1:7" x14ac:dyDescent="0.25">
      <c r="A53" t="s">
        <v>636</v>
      </c>
      <c r="B53" t="s">
        <v>38</v>
      </c>
      <c r="C53" t="s">
        <v>38</v>
      </c>
      <c r="D53">
        <v>32.17</v>
      </c>
      <c r="F53">
        <f>IFERROR(Levererat_2016[[#This Row],[Leveranser:]]-Levererat_2016[[#This Row],[Leveranser till annat fjärrvärmebolag]],"")</f>
        <v>32.17</v>
      </c>
      <c r="G53" t="str">
        <f>VLOOKUP(Levererat_2016[[#This Row],[Indexnamn]],'Leveranser per nät'!$A$4:$A$526,1,FALSE)</f>
        <v>Leksand</v>
      </c>
    </row>
    <row r="54" spans="1:7" x14ac:dyDescent="0.25">
      <c r="A54" t="s">
        <v>630</v>
      </c>
      <c r="B54" t="s">
        <v>631</v>
      </c>
      <c r="C54" t="s">
        <v>631</v>
      </c>
      <c r="D54">
        <v>33.549999999999997</v>
      </c>
      <c r="F54">
        <f>IFERROR(Levererat_2016[[#This Row],[Leveranser:]]-Levererat_2016[[#This Row],[Leveranser till annat fjärrvärmebolag]],"")</f>
        <v>33.549999999999997</v>
      </c>
      <c r="G54" t="str">
        <f>VLOOKUP(Levererat_2016[[#This Row],[Indexnamn]],'Leveranser per nät'!$A$4:$A$526,1,FALSE)</f>
        <v>HVC Degerfors</v>
      </c>
    </row>
    <row r="55" spans="1:7" x14ac:dyDescent="0.25">
      <c r="A55" t="s">
        <v>630</v>
      </c>
      <c r="B55" t="s">
        <v>656</v>
      </c>
      <c r="C55" t="s">
        <v>656</v>
      </c>
      <c r="D55">
        <v>2.57</v>
      </c>
      <c r="F55">
        <f>IFERROR(Levererat_2016[[#This Row],[Leveranser:]]-Levererat_2016[[#This Row],[Leveranser till annat fjärrvärmebolag]],"")</f>
        <v>2.57</v>
      </c>
      <c r="G55" t="str">
        <f>VLOOKUP(Levererat_2016[[#This Row],[Indexnamn]],'Leveranser per nät'!$A$4:$A$526,1,FALSE)</f>
        <v>Kvarnberg</v>
      </c>
    </row>
    <row r="56" spans="1:7" x14ac:dyDescent="0.25">
      <c r="A56" t="s">
        <v>630</v>
      </c>
      <c r="B56" t="s">
        <v>39</v>
      </c>
      <c r="C56" t="s">
        <v>39</v>
      </c>
      <c r="D56">
        <v>1.86</v>
      </c>
      <c r="F56">
        <f>IFERROR(Levererat_2016[[#This Row],[Leveranser:]]-Levererat_2016[[#This Row],[Leveranser till annat fjärrvärmebolag]],"")</f>
        <v>1.86</v>
      </c>
      <c r="G56" t="str">
        <f>VLOOKUP(Levererat_2016[[#This Row],[Indexnamn]],'Leveranser per nät'!$A$4:$A$526,1,FALSE)</f>
        <v>Svartå</v>
      </c>
    </row>
    <row r="57" spans="1:7" x14ac:dyDescent="0.25">
      <c r="A57" t="s">
        <v>630</v>
      </c>
      <c r="B57" t="s">
        <v>40</v>
      </c>
      <c r="C57" t="s">
        <v>40</v>
      </c>
      <c r="D57">
        <v>0.56000000000000005</v>
      </c>
      <c r="F57">
        <f>IFERROR(Levererat_2016[[#This Row],[Leveranser:]]-Levererat_2016[[#This Row],[Leveranser till annat fjärrvärmebolag]],"")</f>
        <v>0.56000000000000005</v>
      </c>
      <c r="G57" t="str">
        <f>VLOOKUP(Levererat_2016[[#This Row],[Indexnamn]],'Leveranser per nät'!$A$4:$A$526,1,FALSE)</f>
        <v>Åtorp</v>
      </c>
    </row>
    <row r="58" spans="1:7" x14ac:dyDescent="0.25">
      <c r="A58" t="s">
        <v>561</v>
      </c>
      <c r="B58" t="s">
        <v>85</v>
      </c>
      <c r="C58" t="s">
        <v>85</v>
      </c>
      <c r="D58">
        <v>7.6</v>
      </c>
      <c r="F58">
        <f>IFERROR(Levererat_2016[[#This Row],[Leveranser:]]-Levererat_2016[[#This Row],[Leveranser till annat fjärrvärmebolag]],"")</f>
        <v>7.6</v>
      </c>
      <c r="G58" t="str">
        <f>VLOOKUP(Levererat_2016[[#This Row],[Indexnamn]],'Leveranser per nät'!$A$4:$A$526,1,FALSE)</f>
        <v>Bara</v>
      </c>
    </row>
    <row r="59" spans="1:7" x14ac:dyDescent="0.25">
      <c r="A59" t="s">
        <v>561</v>
      </c>
      <c r="B59" t="s">
        <v>41</v>
      </c>
      <c r="C59" t="s">
        <v>41</v>
      </c>
      <c r="D59">
        <v>43.3</v>
      </c>
      <c r="F59">
        <f>IFERROR(Levererat_2016[[#This Row],[Leveranser:]]-Levererat_2016[[#This Row],[Leveranser till annat fjärrvärmebolag]],"")</f>
        <v>43.3</v>
      </c>
      <c r="G59" t="str">
        <f>VLOOKUP(Levererat_2016[[#This Row],[Indexnamn]],'Leveranser per nät'!$A$4:$A$526,1,FALSE)</f>
        <v>Boxholm</v>
      </c>
    </row>
    <row r="60" spans="1:7" x14ac:dyDescent="0.25">
      <c r="A60" t="s">
        <v>561</v>
      </c>
      <c r="B60" t="s">
        <v>61</v>
      </c>
      <c r="C60" t="s">
        <v>61</v>
      </c>
      <c r="D60">
        <v>26</v>
      </c>
      <c r="F60">
        <f>IFERROR(Levererat_2016[[#This Row],[Leveranser:]]-Levererat_2016[[#This Row],[Leveranser till annat fjärrvärmebolag]],"")</f>
        <v>26</v>
      </c>
      <c r="G60" t="str">
        <f>VLOOKUP(Levererat_2016[[#This Row],[Indexnamn]],'Leveranser per nät'!$A$4:$A$526,1,FALSE)</f>
        <v>Bro</v>
      </c>
    </row>
    <row r="61" spans="1:7" x14ac:dyDescent="0.25">
      <c r="A61" t="s">
        <v>561</v>
      </c>
      <c r="B61" t="s">
        <v>62</v>
      </c>
      <c r="C61" t="s">
        <v>62</v>
      </c>
      <c r="D61">
        <v>32.200000000000003</v>
      </c>
      <c r="F61">
        <f>IFERROR(Levererat_2016[[#This Row],[Leveranser:]]-Levererat_2016[[#This Row],[Leveranser till annat fjärrvärmebolag]],"")</f>
        <v>32.200000000000003</v>
      </c>
      <c r="G61" t="str">
        <f>VLOOKUP(Levererat_2016[[#This Row],[Indexnamn]],'Leveranser per nät'!$A$4:$A$526,1,FALSE)</f>
        <v>Bålsta</v>
      </c>
    </row>
    <row r="62" spans="1:7" x14ac:dyDescent="0.25">
      <c r="A62" t="s">
        <v>561</v>
      </c>
      <c r="B62" t="s">
        <v>583</v>
      </c>
      <c r="C62" t="s">
        <v>583</v>
      </c>
      <c r="D62">
        <v>15.8</v>
      </c>
      <c r="F62">
        <f>IFERROR(Levererat_2016[[#This Row],[Leveranser:]]-Levererat_2016[[#This Row],[Leveranser till annat fjärrvärmebolag]],"")</f>
        <v>15.8</v>
      </c>
      <c r="G62" t="e">
        <f>VLOOKUP(Levererat_2016[[#This Row],[Indexnamn]],'Leveranser per nät'!$A$4:$A$526,1,FALSE)</f>
        <v>#N/A</v>
      </c>
    </row>
    <row r="63" spans="1:7" x14ac:dyDescent="0.25">
      <c r="A63" t="s">
        <v>561</v>
      </c>
      <c r="B63" t="s">
        <v>89</v>
      </c>
      <c r="C63" t="s">
        <v>1064</v>
      </c>
      <c r="D63">
        <v>1014.336</v>
      </c>
      <c r="F63">
        <f>IFERROR(Levererat_2016[[#This Row],[Leveranser:]]-Levererat_2016[[#This Row],[Leveranser till annat fjärrvärmebolag]],"")</f>
        <v>1014.336</v>
      </c>
      <c r="G63" t="str">
        <f>VLOOKUP(Levererat_2016[[#This Row],[Indexnamn]],'Leveranser per nät'!$A$4:$A$526,1,FALSE)</f>
        <v>Hallsberg- Örebro- Kumla</v>
      </c>
    </row>
    <row r="64" spans="1:7" x14ac:dyDescent="0.25">
      <c r="A64" t="s">
        <v>561</v>
      </c>
      <c r="B64" t="s">
        <v>66</v>
      </c>
      <c r="C64" t="s">
        <v>66</v>
      </c>
      <c r="D64">
        <v>285.39999999999998</v>
      </c>
      <c r="E64">
        <v>22.6</v>
      </c>
      <c r="F64">
        <f>IFERROR(Levererat_2016[[#This Row],[Leveranser:]]-Levererat_2016[[#This Row],[Leveranser till annat fjärrvärmebolag]],"")</f>
        <v>262.79999999999995</v>
      </c>
      <c r="G64" t="str">
        <f>VLOOKUP(Levererat_2016[[#This Row],[Indexnamn]],'Leveranser per nät'!$A$4:$A$526,1,FALSE)</f>
        <v>Järfälla</v>
      </c>
    </row>
    <row r="65" spans="1:7" x14ac:dyDescent="0.25">
      <c r="A65" t="s">
        <v>561</v>
      </c>
      <c r="B65" t="s">
        <v>68</v>
      </c>
      <c r="C65" t="s">
        <v>68</v>
      </c>
      <c r="D65">
        <v>48.9</v>
      </c>
      <c r="F65">
        <f>IFERROR(Levererat_2016[[#This Row],[Leveranser:]]-Levererat_2016[[#This Row],[Leveranser till annat fjärrvärmebolag]],"")</f>
        <v>48.9</v>
      </c>
      <c r="G65" t="str">
        <f>VLOOKUP(Levererat_2016[[#This Row],[Indexnamn]],'Leveranser per nät'!$A$4:$A$526,1,FALSE)</f>
        <v>Kungsängen</v>
      </c>
    </row>
    <row r="66" spans="1:7" x14ac:dyDescent="0.25">
      <c r="A66" t="s">
        <v>561</v>
      </c>
      <c r="B66" t="s">
        <v>43</v>
      </c>
      <c r="C66" t="s">
        <v>43</v>
      </c>
      <c r="D66">
        <v>2129</v>
      </c>
      <c r="F66">
        <f>IFERROR(Levererat_2016[[#This Row],[Leveranser:]]-Levererat_2016[[#This Row],[Leveranser till annat fjärrvärmebolag]],"")</f>
        <v>2129</v>
      </c>
      <c r="G66" t="str">
        <f>VLOOKUP(Levererat_2016[[#This Row],[Indexnamn]],'Leveranser per nät'!$A$4:$A$526,1,FALSE)</f>
        <v>Malmö</v>
      </c>
    </row>
    <row r="67" spans="1:7" x14ac:dyDescent="0.25">
      <c r="A67" t="s">
        <v>561</v>
      </c>
      <c r="B67" t="s">
        <v>52</v>
      </c>
      <c r="C67" t="s">
        <v>52</v>
      </c>
      <c r="D67">
        <v>105</v>
      </c>
      <c r="F67">
        <f>IFERROR(Levererat_2016[[#This Row],[Leveranser:]]-Levererat_2016[[#This Row],[Leveranser till annat fjärrvärmebolag]],"")</f>
        <v>105</v>
      </c>
      <c r="G67" t="str">
        <f>VLOOKUP(Levererat_2016[[#This Row],[Indexnamn]],'Leveranser per nät'!$A$4:$A$526,1,FALSE)</f>
        <v>Mora</v>
      </c>
    </row>
    <row r="68" spans="1:7" x14ac:dyDescent="0.25">
      <c r="A68" t="s">
        <v>561</v>
      </c>
      <c r="B68" t="s">
        <v>88</v>
      </c>
      <c r="C68" t="s">
        <v>88</v>
      </c>
      <c r="D68">
        <v>916</v>
      </c>
      <c r="F68">
        <f>IFERROR(Levererat_2016[[#This Row],[Leveranser:]]-Levererat_2016[[#This Row],[Leveranser till annat fjärrvärmebolag]],"")</f>
        <v>916</v>
      </c>
      <c r="G68" t="str">
        <f>VLOOKUP(Levererat_2016[[#This Row],[Indexnamn]],'Leveranser per nät'!$A$4:$A$526,1,FALSE)</f>
        <v>Norrköping</v>
      </c>
    </row>
    <row r="69" spans="1:7" x14ac:dyDescent="0.25">
      <c r="A69" t="s">
        <v>561</v>
      </c>
      <c r="B69" t="s">
        <v>53</v>
      </c>
      <c r="C69" t="s">
        <v>53</v>
      </c>
      <c r="D69">
        <v>24</v>
      </c>
      <c r="F69">
        <f>IFERROR(Levererat_2016[[#This Row],[Leveranser:]]-Levererat_2016[[#This Row],[Leveranser till annat fjärrvärmebolag]],"")</f>
        <v>24</v>
      </c>
      <c r="G69" t="str">
        <f>VLOOKUP(Levererat_2016[[#This Row],[Indexnamn]],'Leveranser per nät'!$A$4:$A$526,1,FALSE)</f>
        <v>Orsa</v>
      </c>
    </row>
    <row r="70" spans="1:7" x14ac:dyDescent="0.25">
      <c r="A70" t="s">
        <v>561</v>
      </c>
      <c r="B70" t="s">
        <v>49</v>
      </c>
      <c r="C70" t="s">
        <v>49</v>
      </c>
      <c r="D70">
        <v>60.7</v>
      </c>
      <c r="F70">
        <f>IFERROR(Levererat_2016[[#This Row],[Leveranser:]]-Levererat_2016[[#This Row],[Leveranser till annat fjärrvärmebolag]],"")</f>
        <v>60.7</v>
      </c>
      <c r="G70" t="str">
        <f>VLOOKUP(Levererat_2016[[#This Row],[Indexnamn]],'Leveranser per nät'!$A$4:$A$526,1,FALSE)</f>
        <v>Sollefteå</v>
      </c>
    </row>
    <row r="71" spans="1:7" x14ac:dyDescent="0.25">
      <c r="A71" t="s">
        <v>561</v>
      </c>
      <c r="B71" t="s">
        <v>44</v>
      </c>
      <c r="C71" t="s">
        <v>44</v>
      </c>
      <c r="D71">
        <v>24</v>
      </c>
      <c r="F71">
        <f>IFERROR(Levererat_2016[[#This Row],[Leveranser:]]-Levererat_2016[[#This Row],[Leveranser till annat fjärrvärmebolag]],"")</f>
        <v>24</v>
      </c>
      <c r="G71" t="str">
        <f>VLOOKUP(Levererat_2016[[#This Row],[Indexnamn]],'Leveranser per nät'!$A$4:$A$526,1,FALSE)</f>
        <v>Staffanstorp</v>
      </c>
    </row>
    <row r="72" spans="1:7" x14ac:dyDescent="0.25">
      <c r="A72" t="s">
        <v>561</v>
      </c>
      <c r="B72" t="s">
        <v>54</v>
      </c>
      <c r="C72" t="s">
        <v>54</v>
      </c>
      <c r="D72">
        <v>64</v>
      </c>
      <c r="F72">
        <f>IFERROR(Levererat_2016[[#This Row],[Leveranser:]]-Levererat_2016[[#This Row],[Leveranser till annat fjärrvärmebolag]],"")</f>
        <v>64</v>
      </c>
      <c r="G72" t="str">
        <f>VLOOKUP(Levererat_2016[[#This Row],[Indexnamn]],'Leveranser per nät'!$A$4:$A$526,1,FALSE)</f>
        <v>Timrå</v>
      </c>
    </row>
    <row r="73" spans="1:7" x14ac:dyDescent="0.25">
      <c r="A73" t="s">
        <v>561</v>
      </c>
      <c r="B73" t="s">
        <v>785</v>
      </c>
      <c r="C73" t="s">
        <v>442</v>
      </c>
      <c r="D73">
        <v>53.128999999999998</v>
      </c>
      <c r="F73">
        <f>IFERROR(Levererat_2016[[#This Row],[Leveranser:]]-Levererat_2016[[#This Row],[Leveranser till annat fjärrvärmebolag]],"")</f>
        <v>53.128999999999998</v>
      </c>
      <c r="G73" t="str">
        <f>VLOOKUP(Levererat_2016[[#This Row],[Indexnamn]],'Leveranser per nät'!$A$4:$A$526,1,FALSE)</f>
        <v>Täby</v>
      </c>
    </row>
    <row r="74" spans="1:7" x14ac:dyDescent="0.25">
      <c r="A74" t="s">
        <v>561</v>
      </c>
      <c r="B74" t="s">
        <v>59</v>
      </c>
      <c r="C74" t="s">
        <v>59</v>
      </c>
      <c r="D74">
        <v>58.9</v>
      </c>
      <c r="F74">
        <f>IFERROR(Levererat_2016[[#This Row],[Leveranser:]]-Levererat_2016[[#This Row],[Leveranser till annat fjärrvärmebolag]],"")</f>
        <v>58.9</v>
      </c>
      <c r="G74" t="str">
        <f>VLOOKUP(Levererat_2016[[#This Row],[Indexnamn]],'Leveranser per nät'!$A$4:$A$526,1,FALSE)</f>
        <v>Vallentuna</v>
      </c>
    </row>
    <row r="75" spans="1:7" x14ac:dyDescent="0.25">
      <c r="A75" t="s">
        <v>561</v>
      </c>
      <c r="B75" t="s">
        <v>58</v>
      </c>
      <c r="C75" t="s">
        <v>58</v>
      </c>
      <c r="D75">
        <v>25.1</v>
      </c>
      <c r="F75">
        <f>IFERROR(Levererat_2016[[#This Row],[Leveranser:]]-Levererat_2016[[#This Row],[Leveranser till annat fjärrvärmebolag]],"")</f>
        <v>25.1</v>
      </c>
      <c r="G75" t="str">
        <f>VLOOKUP(Levererat_2016[[#This Row],[Indexnamn]],'Leveranser per nät'!$A$4:$A$526,1,FALSE)</f>
        <v>Vaxholm</v>
      </c>
    </row>
    <row r="76" spans="1:7" x14ac:dyDescent="0.25">
      <c r="A76" t="s">
        <v>561</v>
      </c>
      <c r="B76" t="s">
        <v>79</v>
      </c>
      <c r="C76" t="s">
        <v>79</v>
      </c>
      <c r="D76">
        <v>87</v>
      </c>
      <c r="F76">
        <f>IFERROR(Levererat_2016[[#This Row],[Leveranser:]]-Levererat_2016[[#This Row],[Leveranser till annat fjärrvärmebolag]],"")</f>
        <v>87</v>
      </c>
      <c r="G76" t="str">
        <f>VLOOKUP(Levererat_2016[[#This Row],[Indexnamn]],'Leveranser per nät'!$A$4:$A$526,1,FALSE)</f>
        <v>Älmhult</v>
      </c>
    </row>
    <row r="77" spans="1:7" x14ac:dyDescent="0.25">
      <c r="A77" t="s">
        <v>561</v>
      </c>
      <c r="B77" t="s">
        <v>57</v>
      </c>
      <c r="C77" t="s">
        <v>57</v>
      </c>
      <c r="D77">
        <v>65.7</v>
      </c>
      <c r="F77">
        <f>IFERROR(Levererat_2016[[#This Row],[Leveranser:]]-Levererat_2016[[#This Row],[Leveranser till annat fjärrvärmebolag]],"")</f>
        <v>65.7</v>
      </c>
      <c r="G77" t="str">
        <f>VLOOKUP(Levererat_2016[[#This Row],[Indexnamn]],'Leveranser per nät'!$A$4:$A$526,1,FALSE)</f>
        <v>Österåker</v>
      </c>
    </row>
    <row r="78" spans="1:7" x14ac:dyDescent="0.25">
      <c r="A78" t="s">
        <v>561</v>
      </c>
      <c r="B78" t="s">
        <v>846</v>
      </c>
      <c r="C78" t="s">
        <v>846</v>
      </c>
      <c r="D78" t="s">
        <v>805</v>
      </c>
      <c r="F78" t="str">
        <f>IFERROR(Levererat_2016[[#This Row],[Leveranser:]]-Levererat_2016[[#This Row],[Leveranser till annat fjärrvärmebolag]],"")</f>
        <v/>
      </c>
      <c r="G78" t="e">
        <f>VLOOKUP(Levererat_2016[[#This Row],[Indexnamn]],'Leveranser per nät'!$A$4:$A$526,1,FALSE)</f>
        <v>#N/A</v>
      </c>
    </row>
    <row r="79" spans="1:7" x14ac:dyDescent="0.25">
      <c r="A79" t="s">
        <v>584</v>
      </c>
      <c r="B79" t="s">
        <v>90</v>
      </c>
      <c r="C79" t="s">
        <v>90</v>
      </c>
      <c r="D79">
        <v>7.9</v>
      </c>
      <c r="F79">
        <f>IFERROR(Levererat_2016[[#This Row],[Leveranser:]]-Levererat_2016[[#This Row],[Leveranser till annat fjärrvärmebolag]],"")</f>
        <v>7.9</v>
      </c>
      <c r="G79" t="str">
        <f>VLOOKUP(Levererat_2016[[#This Row],[Indexnamn]],'Leveranser per nät'!$A$4:$A$526,1,FALSE)</f>
        <v>Eda</v>
      </c>
    </row>
    <row r="80" spans="1:7" x14ac:dyDescent="0.25">
      <c r="A80" t="s">
        <v>589</v>
      </c>
      <c r="B80" t="s">
        <v>91</v>
      </c>
      <c r="C80" t="s">
        <v>91</v>
      </c>
      <c r="D80">
        <v>105.55200000000001</v>
      </c>
      <c r="F80">
        <f>IFERROR(Levererat_2016[[#This Row],[Leveranser:]]-Levererat_2016[[#This Row],[Leveranser till annat fjärrvärmebolag]],"")</f>
        <v>105.55200000000001</v>
      </c>
      <c r="G80" t="str">
        <f>VLOOKUP(Levererat_2016[[#This Row],[Indexnamn]],'Leveranser per nät'!$A$4:$A$526,1,FALSE)</f>
        <v>Eksjö</v>
      </c>
    </row>
    <row r="81" spans="1:7" x14ac:dyDescent="0.25">
      <c r="A81" t="s">
        <v>589</v>
      </c>
      <c r="B81" t="s">
        <v>92</v>
      </c>
      <c r="C81" t="s">
        <v>92</v>
      </c>
      <c r="D81">
        <v>2.89</v>
      </c>
      <c r="F81">
        <f>IFERROR(Levererat_2016[[#This Row],[Leveranser:]]-Levererat_2016[[#This Row],[Leveranser till annat fjärrvärmebolag]],"")</f>
        <v>2.89</v>
      </c>
      <c r="G81" t="str">
        <f>VLOOKUP(Levererat_2016[[#This Row],[Indexnamn]],'Leveranser per nät'!$A$4:$A$526,1,FALSE)</f>
        <v>Ingatorp</v>
      </c>
    </row>
    <row r="82" spans="1:7" x14ac:dyDescent="0.25">
      <c r="A82" t="s">
        <v>589</v>
      </c>
      <c r="B82" t="s">
        <v>93</v>
      </c>
      <c r="C82" t="s">
        <v>93</v>
      </c>
      <c r="D82">
        <v>14.476000000000001</v>
      </c>
      <c r="F82">
        <f>IFERROR(Levererat_2016[[#This Row],[Leveranser:]]-Levererat_2016[[#This Row],[Leveranser till annat fjärrvärmebolag]],"")</f>
        <v>14.476000000000001</v>
      </c>
      <c r="G82" t="str">
        <f>VLOOKUP(Levererat_2016[[#This Row],[Indexnamn]],'Leveranser per nät'!$A$4:$A$526,1,FALSE)</f>
        <v>Mariannelund</v>
      </c>
    </row>
    <row r="83" spans="1:7" x14ac:dyDescent="0.25">
      <c r="A83" t="s">
        <v>590</v>
      </c>
      <c r="B83" t="s">
        <v>94</v>
      </c>
      <c r="C83" t="s">
        <v>94</v>
      </c>
      <c r="D83">
        <v>30.029</v>
      </c>
      <c r="F83">
        <f>IFERROR(Levererat_2016[[#This Row],[Leveranser:]]-Levererat_2016[[#This Row],[Leveranser till annat fjärrvärmebolag]],"")</f>
        <v>30.029</v>
      </c>
      <c r="G83" t="str">
        <f>VLOOKUP(Levererat_2016[[#This Row],[Indexnamn]],'Leveranser per nät'!$A$4:$A$526,1,FALSE)</f>
        <v>Eksta</v>
      </c>
    </row>
    <row r="84" spans="1:7" x14ac:dyDescent="0.25">
      <c r="A84" t="s">
        <v>545</v>
      </c>
      <c r="B84" t="s">
        <v>95</v>
      </c>
      <c r="C84" t="s">
        <v>95</v>
      </c>
      <c r="D84">
        <v>18.303000000000001</v>
      </c>
      <c r="F84">
        <f>IFERROR(Levererat_2016[[#This Row],[Leveranser:]]-Levererat_2016[[#This Row],[Leveranser till annat fjärrvärmebolag]],"")</f>
        <v>18.303000000000001</v>
      </c>
      <c r="G84" t="str">
        <f>VLOOKUP(Levererat_2016[[#This Row],[Indexnamn]],'Leveranser per nät'!$A$4:$A$526,1,FALSE)</f>
        <v>Alfta</v>
      </c>
    </row>
    <row r="85" spans="1:7" x14ac:dyDescent="0.25">
      <c r="A85" t="s">
        <v>545</v>
      </c>
      <c r="B85" t="s">
        <v>96</v>
      </c>
      <c r="C85" t="s">
        <v>96</v>
      </c>
      <c r="D85">
        <v>31.611999999999998</v>
      </c>
      <c r="F85">
        <f>IFERROR(Levererat_2016[[#This Row],[Leveranser:]]-Levererat_2016[[#This Row],[Leveranser till annat fjärrvärmebolag]],"")</f>
        <v>31.611999999999998</v>
      </c>
      <c r="G85" t="str">
        <f>VLOOKUP(Levererat_2016[[#This Row],[Indexnamn]],'Leveranser per nät'!$A$4:$A$526,1,FALSE)</f>
        <v>Edsbyn</v>
      </c>
    </row>
    <row r="86" spans="1:7" x14ac:dyDescent="0.25">
      <c r="A86" t="s">
        <v>546</v>
      </c>
      <c r="B86" t="s">
        <v>98</v>
      </c>
      <c r="C86" t="s">
        <v>98</v>
      </c>
      <c r="D86">
        <v>46</v>
      </c>
      <c r="F86">
        <f>IFERROR(Levererat_2016[[#This Row],[Leveranser:]]-Levererat_2016[[#This Row],[Leveranser till annat fjärrvärmebolag]],"")</f>
        <v>46</v>
      </c>
      <c r="G86" t="str">
        <f>VLOOKUP(Levererat_2016[[#This Row],[Indexnamn]],'Leveranser per nät'!$A$4:$A$526,1,FALSE)</f>
        <v>Emmaboda</v>
      </c>
    </row>
    <row r="87" spans="1:7" x14ac:dyDescent="0.25">
      <c r="A87" t="s">
        <v>591</v>
      </c>
      <c r="B87" t="s">
        <v>101</v>
      </c>
      <c r="C87" t="s">
        <v>101</v>
      </c>
      <c r="D87">
        <v>210</v>
      </c>
      <c r="F87">
        <f>IFERROR(Levererat_2016[[#This Row],[Leveranser:]]-Levererat_2016[[#This Row],[Leveranser till annat fjärrvärmebolag]],"")</f>
        <v>210</v>
      </c>
      <c r="G87" t="str">
        <f>VLOOKUP(Levererat_2016[[#This Row],[Indexnamn]],'Leveranser per nät'!$A$4:$A$526,1,FALSE)</f>
        <v>Enköping</v>
      </c>
    </row>
    <row r="88" spans="1:7" x14ac:dyDescent="0.25">
      <c r="A88" t="s">
        <v>592</v>
      </c>
      <c r="B88" t="s">
        <v>102</v>
      </c>
      <c r="C88" t="s">
        <v>102</v>
      </c>
      <c r="D88">
        <v>647.93600000000004</v>
      </c>
      <c r="F88">
        <f>IFERROR(Levererat_2016[[#This Row],[Leveranser:]]-Levererat_2016[[#This Row],[Leveranser till annat fjärrvärmebolag]],"")</f>
        <v>647.93600000000004</v>
      </c>
      <c r="G88" t="str">
        <f>VLOOKUP(Levererat_2016[[#This Row],[Indexnamn]],'Leveranser per nät'!$A$4:$A$526,1,FALSE)</f>
        <v>Eskilstuna-Torshälla</v>
      </c>
    </row>
    <row r="89" spans="1:7" x14ac:dyDescent="0.25">
      <c r="A89" t="s">
        <v>592</v>
      </c>
      <c r="B89" t="s">
        <v>104</v>
      </c>
      <c r="C89" t="s">
        <v>104</v>
      </c>
      <c r="D89">
        <v>0.8</v>
      </c>
      <c r="F89">
        <f>IFERROR(Levererat_2016[[#This Row],[Leveranser:]]-Levererat_2016[[#This Row],[Leveranser till annat fjärrvärmebolag]],"")</f>
        <v>0.8</v>
      </c>
      <c r="G89" t="str">
        <f>VLOOKUP(Levererat_2016[[#This Row],[Indexnamn]],'Leveranser per nät'!$A$4:$A$526,1,FALSE)</f>
        <v>Kvicksund</v>
      </c>
    </row>
    <row r="90" spans="1:7" x14ac:dyDescent="0.25">
      <c r="A90" t="s">
        <v>592</v>
      </c>
      <c r="B90" t="s">
        <v>105</v>
      </c>
      <c r="C90" t="s">
        <v>105</v>
      </c>
      <c r="D90">
        <v>5.7</v>
      </c>
      <c r="F90">
        <f>IFERROR(Levererat_2016[[#This Row],[Leveranser:]]-Levererat_2016[[#This Row],[Leveranser till annat fjärrvärmebolag]],"")</f>
        <v>5.7</v>
      </c>
      <c r="G90" t="str">
        <f>VLOOKUP(Levererat_2016[[#This Row],[Indexnamn]],'Leveranser per nät'!$A$4:$A$526,1,FALSE)</f>
        <v>Ärla</v>
      </c>
    </row>
    <row r="91" spans="1:7" x14ac:dyDescent="0.25">
      <c r="A91" t="s">
        <v>597</v>
      </c>
      <c r="B91" t="s">
        <v>106</v>
      </c>
      <c r="C91" t="s">
        <v>106</v>
      </c>
      <c r="D91">
        <v>106.7</v>
      </c>
      <c r="F91">
        <f>IFERROR(Levererat_2016[[#This Row],[Leveranser:]]-Levererat_2016[[#This Row],[Leveranser till annat fjärrvärmebolag]],"")</f>
        <v>106.7</v>
      </c>
      <c r="G91" t="str">
        <f>VLOOKUP(Levererat_2016[[#This Row],[Indexnamn]],'Leveranser per nät'!$A$4:$A$526,1,FALSE)</f>
        <v>Falköping</v>
      </c>
    </row>
    <row r="92" spans="1:7" x14ac:dyDescent="0.25">
      <c r="A92" t="s">
        <v>597</v>
      </c>
      <c r="B92" t="s">
        <v>107</v>
      </c>
      <c r="C92" t="s">
        <v>107</v>
      </c>
      <c r="D92">
        <v>10.7</v>
      </c>
      <c r="F92">
        <f>IFERROR(Levererat_2016[[#This Row],[Leveranser:]]-Levererat_2016[[#This Row],[Leveranser till annat fjärrvärmebolag]],"")</f>
        <v>10.7</v>
      </c>
      <c r="G92" t="str">
        <f>VLOOKUP(Levererat_2016[[#This Row],[Indexnamn]],'Leveranser per nät'!$A$4:$A$526,1,FALSE)</f>
        <v>Floby</v>
      </c>
    </row>
    <row r="93" spans="1:7" x14ac:dyDescent="0.25">
      <c r="A93" t="s">
        <v>597</v>
      </c>
      <c r="B93" t="s">
        <v>705</v>
      </c>
      <c r="C93" t="s">
        <v>705</v>
      </c>
      <c r="D93">
        <v>4.5</v>
      </c>
      <c r="F93">
        <f>IFERROR(Levererat_2016[[#This Row],[Leveranser:]]-Levererat_2016[[#This Row],[Leveranser till annat fjärrvärmebolag]],"")</f>
        <v>4.5</v>
      </c>
      <c r="G93" t="str">
        <f>VLOOKUP(Levererat_2016[[#This Row],[Indexnamn]],'Leveranser per nät'!$A$4:$A$526,1,FALSE)</f>
        <v>Stenstorp</v>
      </c>
    </row>
    <row r="94" spans="1:7" x14ac:dyDescent="0.25">
      <c r="A94" t="s">
        <v>596</v>
      </c>
      <c r="B94" t="s">
        <v>108</v>
      </c>
      <c r="C94" t="s">
        <v>108</v>
      </c>
      <c r="D94">
        <v>61.244999999999997</v>
      </c>
      <c r="F94">
        <f>IFERROR(Levererat_2016[[#This Row],[Leveranser:]]-Levererat_2016[[#This Row],[Leveranser till annat fjärrvärmebolag]],"")</f>
        <v>61.244999999999997</v>
      </c>
      <c r="G94" t="str">
        <f>VLOOKUP(Levererat_2016[[#This Row],[Indexnamn]],'Leveranser per nät'!$A$4:$A$526,1,FALSE)</f>
        <v>Falkenberg</v>
      </c>
    </row>
    <row r="95" spans="1:7" x14ac:dyDescent="0.25">
      <c r="A95" t="s">
        <v>596</v>
      </c>
      <c r="B95" t="s">
        <v>383</v>
      </c>
      <c r="C95" t="s">
        <v>383</v>
      </c>
      <c r="D95">
        <v>2.4729999999999999</v>
      </c>
      <c r="F95">
        <f>IFERROR(Levererat_2016[[#This Row],[Leveranser:]]-Levererat_2016[[#This Row],[Leveranser till annat fjärrvärmebolag]],"")</f>
        <v>2.4729999999999999</v>
      </c>
      <c r="G95" t="str">
        <f>VLOOKUP(Levererat_2016[[#This Row],[Indexnamn]],'Leveranser per nät'!$A$4:$A$526,1,FALSE)</f>
        <v>Ullared-närvärme</v>
      </c>
    </row>
    <row r="96" spans="1:7" x14ac:dyDescent="0.25">
      <c r="A96" t="s">
        <v>596</v>
      </c>
      <c r="B96" t="s">
        <v>729</v>
      </c>
      <c r="C96" t="s">
        <v>729</v>
      </c>
      <c r="D96">
        <v>3.6560000000000001</v>
      </c>
      <c r="F96">
        <f>IFERROR(Levererat_2016[[#This Row],[Leveranser:]]-Levererat_2016[[#This Row],[Leveranser till annat fjärrvärmebolag]],"")</f>
        <v>3.6560000000000001</v>
      </c>
      <c r="G96" t="str">
        <f>VLOOKUP(Levererat_2016[[#This Row],[Indexnamn]],'Leveranser per nät'!$A$4:$A$526,1,FALSE)</f>
        <v>Vessigebro-närvärme</v>
      </c>
    </row>
    <row r="97" spans="1:7" x14ac:dyDescent="0.25">
      <c r="A97" t="s">
        <v>567</v>
      </c>
      <c r="B97" t="s">
        <v>109</v>
      </c>
      <c r="C97" t="s">
        <v>109</v>
      </c>
      <c r="D97">
        <v>3.67</v>
      </c>
      <c r="F97">
        <f>IFERROR(Levererat_2016[[#This Row],[Leveranser:]]-Levererat_2016[[#This Row],[Leveranser till annat fjärrvärmebolag]],"")</f>
        <v>3.67</v>
      </c>
      <c r="G97" t="str">
        <f>VLOOKUP(Levererat_2016[[#This Row],[Indexnamn]],'Leveranser per nät'!$A$4:$A$526,1,FALSE)</f>
        <v>Bjursås</v>
      </c>
    </row>
    <row r="98" spans="1:7" x14ac:dyDescent="0.25">
      <c r="A98" t="s">
        <v>567</v>
      </c>
      <c r="B98" t="s">
        <v>110</v>
      </c>
      <c r="C98" t="s">
        <v>110</v>
      </c>
      <c r="D98">
        <v>352.9</v>
      </c>
      <c r="E98">
        <v>5.7</v>
      </c>
      <c r="F98">
        <f>IFERROR(Levererat_2016[[#This Row],[Leveranser:]]-Levererat_2016[[#This Row],[Leveranser till annat fjärrvärmebolag]],"")</f>
        <v>347.2</v>
      </c>
      <c r="G98" t="str">
        <f>VLOOKUP(Levererat_2016[[#This Row],[Indexnamn]],'Leveranser per nät'!$A$4:$A$526,1,FALSE)</f>
        <v>Falun</v>
      </c>
    </row>
    <row r="99" spans="1:7" x14ac:dyDescent="0.25">
      <c r="A99" t="s">
        <v>567</v>
      </c>
      <c r="B99" t="s">
        <v>111</v>
      </c>
      <c r="C99" t="s">
        <v>111</v>
      </c>
      <c r="D99">
        <v>4.74</v>
      </c>
      <c r="F99">
        <f>IFERROR(Levererat_2016[[#This Row],[Leveranser:]]-Levererat_2016[[#This Row],[Leveranser till annat fjärrvärmebolag]],"")</f>
        <v>4.74</v>
      </c>
      <c r="G99" t="str">
        <f>VLOOKUP(Levererat_2016[[#This Row],[Indexnamn]],'Leveranser per nät'!$A$4:$A$526,1,FALSE)</f>
        <v>Grycksbo</v>
      </c>
    </row>
    <row r="100" spans="1:7" x14ac:dyDescent="0.25">
      <c r="A100" t="s">
        <v>567</v>
      </c>
      <c r="B100" t="s">
        <v>112</v>
      </c>
      <c r="C100" t="s">
        <v>112</v>
      </c>
      <c r="D100">
        <v>4.62</v>
      </c>
      <c r="F100">
        <f>IFERROR(Levererat_2016[[#This Row],[Leveranser:]]-Levererat_2016[[#This Row],[Leveranser till annat fjärrvärmebolag]],"")</f>
        <v>4.62</v>
      </c>
      <c r="G100" t="str">
        <f>VLOOKUP(Levererat_2016[[#This Row],[Indexnamn]],'Leveranser per nät'!$A$4:$A$526,1,FALSE)</f>
        <v>Svärdsjö</v>
      </c>
    </row>
    <row r="101" spans="1:7" x14ac:dyDescent="0.25">
      <c r="A101" t="s">
        <v>599</v>
      </c>
      <c r="B101" t="s">
        <v>113</v>
      </c>
      <c r="C101" t="s">
        <v>113</v>
      </c>
      <c r="D101">
        <v>112</v>
      </c>
      <c r="F101">
        <f>IFERROR(Levererat_2016[[#This Row],[Leveranser:]]-Levererat_2016[[#This Row],[Leveranser till annat fjärrvärmebolag]],"")</f>
        <v>112</v>
      </c>
      <c r="G101" t="str">
        <f>VLOOKUP(Levererat_2016[[#This Row],[Indexnamn]],'Leveranser per nät'!$A$4:$A$526,1,FALSE)</f>
        <v>Finspång</v>
      </c>
    </row>
    <row r="102" spans="1:7" x14ac:dyDescent="0.25">
      <c r="A102" t="s">
        <v>847</v>
      </c>
      <c r="B102" t="s">
        <v>114</v>
      </c>
      <c r="C102" t="s">
        <v>114</v>
      </c>
      <c r="D102" t="s">
        <v>805</v>
      </c>
      <c r="F102" t="str">
        <f>IFERROR(Levererat_2016[[#This Row],[Leveranser:]]-Levererat_2016[[#This Row],[Leveranser till annat fjärrvärmebolag]],"")</f>
        <v/>
      </c>
      <c r="G102" t="str">
        <f>VLOOKUP(Levererat_2016[[#This Row],[Indexnamn]],'Leveranser per nät'!$A$4:$A$526,1,FALSE)</f>
        <v>Osby</v>
      </c>
    </row>
    <row r="103" spans="1:7" x14ac:dyDescent="0.25">
      <c r="A103" t="s">
        <v>848</v>
      </c>
      <c r="B103" t="s">
        <v>849</v>
      </c>
      <c r="C103" t="s">
        <v>849</v>
      </c>
      <c r="D103" t="s">
        <v>805</v>
      </c>
      <c r="F103" t="str">
        <f>IFERROR(Levererat_2016[[#This Row],[Leveranser:]]-Levererat_2016[[#This Row],[Leveranser till annat fjärrvärmebolag]],"")</f>
        <v/>
      </c>
      <c r="G103" t="e">
        <f>VLOOKUP(Levererat_2016[[#This Row],[Indexnamn]],'Leveranser per nät'!$A$4:$A$526,1,FALSE)</f>
        <v>#N/A</v>
      </c>
    </row>
    <row r="104" spans="1:7" x14ac:dyDescent="0.25">
      <c r="A104" t="s">
        <v>564</v>
      </c>
      <c r="B104" t="s">
        <v>565</v>
      </c>
      <c r="C104" t="s">
        <v>565</v>
      </c>
      <c r="D104">
        <v>0</v>
      </c>
      <c r="F104">
        <f>IFERROR(Levererat_2016[[#This Row],[Leveranser:]]-Levererat_2016[[#This Row],[Leveranser till annat fjärrvärmebolag]],"")</f>
        <v>0</v>
      </c>
      <c r="G104" t="e">
        <f>VLOOKUP(Levererat_2016[[#This Row],[Indexnamn]],'Leveranser per nät'!$A$4:$A$526,1,FALSE)</f>
        <v>#N/A</v>
      </c>
    </row>
    <row r="105" spans="1:7" x14ac:dyDescent="0.25">
      <c r="A105" t="s">
        <v>564</v>
      </c>
      <c r="B105" t="s">
        <v>570</v>
      </c>
      <c r="C105" t="s">
        <v>570</v>
      </c>
      <c r="D105">
        <v>0.8</v>
      </c>
      <c r="F105">
        <f>IFERROR(Levererat_2016[[#This Row],[Leveranser:]]-Levererat_2016[[#This Row],[Leveranser till annat fjärrvärmebolag]],"")</f>
        <v>0.8</v>
      </c>
      <c r="G105" t="str">
        <f>VLOOKUP(Levererat_2016[[#This Row],[Indexnamn]],'Leveranser per nät'!$A$4:$A$526,1,FALSE)</f>
        <v>Björkvik</v>
      </c>
    </row>
    <row r="106" spans="1:7" x14ac:dyDescent="0.25">
      <c r="A106" t="s">
        <v>564</v>
      </c>
      <c r="B106" t="s">
        <v>602</v>
      </c>
      <c r="C106" t="s">
        <v>602</v>
      </c>
      <c r="D106">
        <v>0.3</v>
      </c>
      <c r="F106">
        <f>IFERROR(Levererat_2016[[#This Row],[Leveranser:]]-Levererat_2016[[#This Row],[Leveranser till annat fjärrvärmebolag]],"")</f>
        <v>0.3</v>
      </c>
      <c r="G106" t="str">
        <f>VLOOKUP(Levererat_2016[[#This Row],[Indexnamn]],'Leveranser per nät'!$A$4:$A$526,1,FALSE)</f>
        <v>Forssjö</v>
      </c>
    </row>
    <row r="107" spans="1:7" x14ac:dyDescent="0.25">
      <c r="A107" t="s">
        <v>564</v>
      </c>
      <c r="B107" t="s">
        <v>638</v>
      </c>
      <c r="C107" t="s">
        <v>638</v>
      </c>
      <c r="D107">
        <v>5.5</v>
      </c>
      <c r="F107">
        <f>IFERROR(Levererat_2016[[#This Row],[Leveranser:]]-Levererat_2016[[#This Row],[Leveranser till annat fjärrvärmebolag]],"")</f>
        <v>5.5</v>
      </c>
      <c r="G107" t="str">
        <f>VLOOKUP(Levererat_2016[[#This Row],[Indexnamn]],'Leveranser per nät'!$A$4:$A$526,1,FALSE)</f>
        <v>Julita</v>
      </c>
    </row>
    <row r="108" spans="1:7" x14ac:dyDescent="0.25">
      <c r="A108" t="s">
        <v>564</v>
      </c>
      <c r="B108" t="s">
        <v>700</v>
      </c>
      <c r="C108" t="s">
        <v>700</v>
      </c>
      <c r="D108">
        <v>0.5</v>
      </c>
      <c r="F108">
        <f>IFERROR(Levererat_2016[[#This Row],[Leveranser:]]-Levererat_2016[[#This Row],[Leveranser till annat fjärrvärmebolag]],"")</f>
        <v>0.5</v>
      </c>
      <c r="G108" t="str">
        <f>VLOOKUP(Levererat_2016[[#This Row],[Indexnamn]],'Leveranser per nät'!$A$4:$A$526,1,FALSE)</f>
        <v>Sköldinge</v>
      </c>
    </row>
    <row r="109" spans="1:7" x14ac:dyDescent="0.25">
      <c r="A109" t="s">
        <v>564</v>
      </c>
      <c r="B109" t="s">
        <v>708</v>
      </c>
      <c r="C109" t="s">
        <v>708</v>
      </c>
      <c r="D109">
        <v>0</v>
      </c>
      <c r="F109">
        <f>IFERROR(Levererat_2016[[#This Row],[Leveranser:]]-Levererat_2016[[#This Row],[Leveranser till annat fjärrvärmebolag]],"")</f>
        <v>0</v>
      </c>
      <c r="G109" t="e">
        <f>VLOOKUP(Levererat_2016[[#This Row],[Indexnamn]],'Leveranser per nät'!$A$4:$A$526,1,FALSE)</f>
        <v>#N/A</v>
      </c>
    </row>
    <row r="110" spans="1:7" x14ac:dyDescent="0.25">
      <c r="A110" t="s">
        <v>564</v>
      </c>
      <c r="B110" t="s">
        <v>169</v>
      </c>
      <c r="C110" t="s">
        <v>169</v>
      </c>
      <c r="D110">
        <v>12.7</v>
      </c>
      <c r="F110">
        <f>IFERROR(Levererat_2016[[#This Row],[Leveranser:]]-Levererat_2016[[#This Row],[Leveranser till annat fjärrvärmebolag]],"")</f>
        <v>12.7</v>
      </c>
      <c r="G110" t="str">
        <f>VLOOKUP(Levererat_2016[[#This Row],[Indexnamn]],'Leveranser per nät'!$A$4:$A$526,1,FALSE)</f>
        <v>Valla</v>
      </c>
    </row>
    <row r="111" spans="1:7" x14ac:dyDescent="0.25">
      <c r="A111" t="s">
        <v>610</v>
      </c>
      <c r="B111" t="s">
        <v>443</v>
      </c>
      <c r="C111" t="s">
        <v>443</v>
      </c>
      <c r="D111">
        <v>26.135000000000002</v>
      </c>
      <c r="F111">
        <f>IFERROR(Levererat_2016[[#This Row],[Leveranser:]]-Levererat_2016[[#This Row],[Leveranser till annat fjärrvärmebolag]],"")</f>
        <v>26.135000000000002</v>
      </c>
      <c r="G111" t="str">
        <f>VLOOKUP(Levererat_2016[[#This Row],[Indexnamn]],'Leveranser per nät'!$A$4:$A$526,1,FALSE)</f>
        <v>Gislaved</v>
      </c>
    </row>
    <row r="112" spans="1:7" x14ac:dyDescent="0.25">
      <c r="A112" t="s">
        <v>610</v>
      </c>
      <c r="B112" t="s">
        <v>132</v>
      </c>
      <c r="C112" t="s">
        <v>132</v>
      </c>
      <c r="D112">
        <v>4.3209999999999997</v>
      </c>
      <c r="F112">
        <f>IFERROR(Levererat_2016[[#This Row],[Leveranser:]]-Levererat_2016[[#This Row],[Leveranser till annat fjärrvärmebolag]],"")</f>
        <v>4.3209999999999997</v>
      </c>
      <c r="G112" t="str">
        <f>VLOOKUP(Levererat_2016[[#This Row],[Indexnamn]],'Leveranser per nät'!$A$4:$A$526,1,FALSE)</f>
        <v>Hestra</v>
      </c>
    </row>
    <row r="113" spans="1:7" x14ac:dyDescent="0.25">
      <c r="A113" t="s">
        <v>610</v>
      </c>
      <c r="B113" t="s">
        <v>413</v>
      </c>
      <c r="C113" t="s">
        <v>413</v>
      </c>
      <c r="D113">
        <v>2.1190000000000002</v>
      </c>
      <c r="F113">
        <f>IFERROR(Levererat_2016[[#This Row],[Leveranser:]]-Levererat_2016[[#This Row],[Leveranser till annat fjärrvärmebolag]],"")</f>
        <v>2.1190000000000002</v>
      </c>
      <c r="G113" t="str">
        <f>VLOOKUP(Levererat_2016[[#This Row],[Indexnamn]],'Leveranser per nät'!$A$4:$A$526,1,FALSE)</f>
        <v>Reftele</v>
      </c>
    </row>
    <row r="114" spans="1:7" x14ac:dyDescent="0.25">
      <c r="A114" t="s">
        <v>627</v>
      </c>
      <c r="B114" t="s">
        <v>134</v>
      </c>
      <c r="C114" t="s">
        <v>134</v>
      </c>
      <c r="D114">
        <v>11.87</v>
      </c>
      <c r="F114">
        <f>IFERROR(Levererat_2016[[#This Row],[Leveranser:]]-Levererat_2016[[#This Row],[Leveranser till annat fjärrvärmebolag]],"")</f>
        <v>11.87</v>
      </c>
      <c r="G114" t="str">
        <f>VLOOKUP(Levererat_2016[[#This Row],[Indexnamn]],'Leveranser per nät'!$A$4:$A$526,1,FALSE)</f>
        <v>Hemse</v>
      </c>
    </row>
    <row r="115" spans="1:7" x14ac:dyDescent="0.25">
      <c r="A115" t="s">
        <v>627</v>
      </c>
      <c r="B115" t="s">
        <v>135</v>
      </c>
      <c r="C115" t="s">
        <v>135</v>
      </c>
      <c r="D115">
        <v>7.73</v>
      </c>
      <c r="F115">
        <f>IFERROR(Levererat_2016[[#This Row],[Leveranser:]]-Levererat_2016[[#This Row],[Leveranser till annat fjärrvärmebolag]],"")</f>
        <v>7.73</v>
      </c>
      <c r="G115" t="str">
        <f>VLOOKUP(Levererat_2016[[#This Row],[Indexnamn]],'Leveranser per nät'!$A$4:$A$526,1,FALSE)</f>
        <v>Klintehamn</v>
      </c>
    </row>
    <row r="116" spans="1:7" x14ac:dyDescent="0.25">
      <c r="A116" t="s">
        <v>627</v>
      </c>
      <c r="B116" t="s">
        <v>136</v>
      </c>
      <c r="C116" t="s">
        <v>136</v>
      </c>
      <c r="D116">
        <v>16.22</v>
      </c>
      <c r="F116">
        <f>IFERROR(Levererat_2016[[#This Row],[Leveranser:]]-Levererat_2016[[#This Row],[Leveranser till annat fjärrvärmebolag]],"")</f>
        <v>16.22</v>
      </c>
      <c r="G116" t="str">
        <f>VLOOKUP(Levererat_2016[[#This Row],[Indexnamn]],'Leveranser per nät'!$A$4:$A$526,1,FALSE)</f>
        <v>Slite</v>
      </c>
    </row>
    <row r="117" spans="1:7" x14ac:dyDescent="0.25">
      <c r="A117" t="s">
        <v>627</v>
      </c>
      <c r="B117" t="s">
        <v>133</v>
      </c>
      <c r="C117" t="s">
        <v>133</v>
      </c>
      <c r="D117">
        <v>172.3</v>
      </c>
      <c r="F117">
        <f>IFERROR(Levererat_2016[[#This Row],[Leveranser:]]-Levererat_2016[[#This Row],[Leveranser till annat fjärrvärmebolag]],"")</f>
        <v>172.3</v>
      </c>
      <c r="G117" t="str">
        <f>VLOOKUP(Levererat_2016[[#This Row],[Indexnamn]],'Leveranser per nät'!$A$4:$A$526,1,FALSE)</f>
        <v>Visby</v>
      </c>
    </row>
    <row r="118" spans="1:7" x14ac:dyDescent="0.25">
      <c r="A118" t="s">
        <v>613</v>
      </c>
      <c r="B118" t="s">
        <v>137</v>
      </c>
      <c r="C118" t="s">
        <v>137</v>
      </c>
      <c r="D118">
        <v>157</v>
      </c>
      <c r="F118">
        <f>IFERROR(Levererat_2016[[#This Row],[Leveranser:]]-Levererat_2016[[#This Row],[Leveranser till annat fjärrvärmebolag]],"")</f>
        <v>157</v>
      </c>
      <c r="G118" t="str">
        <f>VLOOKUP(Levererat_2016[[#This Row],[Indexnamn]],'Leveranser per nät'!$A$4:$A$526,1,FALSE)</f>
        <v>Gällivare-Malmberget</v>
      </c>
    </row>
    <row r="119" spans="1:7" x14ac:dyDescent="0.25">
      <c r="A119" t="s">
        <v>615</v>
      </c>
      <c r="B119" t="s">
        <v>138</v>
      </c>
      <c r="C119" t="s">
        <v>138</v>
      </c>
      <c r="D119">
        <v>688.8</v>
      </c>
      <c r="F119">
        <f>IFERROR(Levererat_2016[[#This Row],[Leveranser:]]-Levererat_2016[[#This Row],[Leveranser till annat fjärrvärmebolag]],"")</f>
        <v>688.8</v>
      </c>
      <c r="G119" t="str">
        <f>VLOOKUP(Levererat_2016[[#This Row],[Indexnamn]],'Leveranser per nät'!$A$4:$A$526,1,FALSE)</f>
        <v>Gävle</v>
      </c>
    </row>
    <row r="120" spans="1:7" x14ac:dyDescent="0.25">
      <c r="A120" t="s">
        <v>616</v>
      </c>
      <c r="B120" t="s">
        <v>810</v>
      </c>
      <c r="C120" t="s">
        <v>810</v>
      </c>
      <c r="D120" t="s">
        <v>806</v>
      </c>
      <c r="F120" t="str">
        <f>IFERROR(Levererat_2016[[#This Row],[Leveranser:]]-Levererat_2016[[#This Row],[Leveranser till annat fjärrvärmebolag]],"")</f>
        <v/>
      </c>
      <c r="G120" t="e">
        <f>VLOOKUP(Levererat_2016[[#This Row],[Indexnamn]],'Leveranser per nät'!$A$4:$A$526,1,FALSE)</f>
        <v>#N/A</v>
      </c>
    </row>
    <row r="121" spans="1:7" x14ac:dyDescent="0.25">
      <c r="A121" t="s">
        <v>616</v>
      </c>
      <c r="B121" t="s">
        <v>811</v>
      </c>
      <c r="C121" t="s">
        <v>811</v>
      </c>
      <c r="D121">
        <v>3413.3</v>
      </c>
      <c r="E121">
        <v>81.2</v>
      </c>
      <c r="F121">
        <f>IFERROR(Levererat_2016[[#This Row],[Leveranser:]]-Levererat_2016[[#This Row],[Leveranser till annat fjärrvärmebolag]],"")</f>
        <v>3332.1000000000004</v>
      </c>
      <c r="G121" t="e">
        <f>VLOOKUP(Levererat_2016[[#This Row],[Indexnamn]],'Leveranser per nät'!$A$4:$A$526,1,FALSE)</f>
        <v>#N/A</v>
      </c>
    </row>
    <row r="122" spans="1:7" x14ac:dyDescent="0.25">
      <c r="A122" t="s">
        <v>616</v>
      </c>
      <c r="B122" t="s">
        <v>812</v>
      </c>
      <c r="C122" t="s">
        <v>812</v>
      </c>
      <c r="D122">
        <v>148.24</v>
      </c>
      <c r="F122">
        <f>IFERROR(Levererat_2016[[#This Row],[Leveranser:]]-Levererat_2016[[#This Row],[Leveranser till annat fjärrvärmebolag]],"")</f>
        <v>148.24</v>
      </c>
      <c r="G122" t="e">
        <f>VLOOKUP(Levererat_2016[[#This Row],[Indexnamn]],'Leveranser per nät'!$A$4:$A$526,1,FALSE)</f>
        <v>#N/A</v>
      </c>
    </row>
    <row r="123" spans="1:7" x14ac:dyDescent="0.25">
      <c r="A123" t="s">
        <v>616</v>
      </c>
      <c r="B123" t="s">
        <v>616</v>
      </c>
      <c r="C123" t="s">
        <v>616</v>
      </c>
      <c r="D123" t="s">
        <v>806</v>
      </c>
      <c r="F123" t="str">
        <f>IFERROR(Levererat_2016[[#This Row],[Leveranser:]]-Levererat_2016[[#This Row],[Leveranser till annat fjärrvärmebolag]],"")</f>
        <v/>
      </c>
      <c r="G123" t="e">
        <f>VLOOKUP(Levererat_2016[[#This Row],[Indexnamn]],'Leveranser per nät'!$A$4:$A$526,1,FALSE)</f>
        <v>#N/A</v>
      </c>
    </row>
    <row r="124" spans="1:7" x14ac:dyDescent="0.25">
      <c r="A124" t="s">
        <v>616</v>
      </c>
      <c r="B124" t="s">
        <v>813</v>
      </c>
      <c r="C124" t="s">
        <v>813</v>
      </c>
      <c r="D124" t="s">
        <v>806</v>
      </c>
      <c r="F124" t="str">
        <f>IFERROR(Levererat_2016[[#This Row],[Leveranser:]]-Levererat_2016[[#This Row],[Leveranser till annat fjärrvärmebolag]],"")</f>
        <v/>
      </c>
      <c r="G124" t="e">
        <f>VLOOKUP(Levererat_2016[[#This Row],[Indexnamn]],'Leveranser per nät'!$A$4:$A$526,1,FALSE)</f>
        <v>#N/A</v>
      </c>
    </row>
    <row r="125" spans="1:7" x14ac:dyDescent="0.25">
      <c r="A125" t="s">
        <v>616</v>
      </c>
      <c r="B125" t="s">
        <v>814</v>
      </c>
      <c r="C125" t="s">
        <v>814</v>
      </c>
      <c r="D125" t="s">
        <v>806</v>
      </c>
      <c r="F125" t="str">
        <f>IFERROR(Levererat_2016[[#This Row],[Leveranser:]]-Levererat_2016[[#This Row],[Leveranser till annat fjärrvärmebolag]],"")</f>
        <v/>
      </c>
      <c r="G125" t="e">
        <f>VLOOKUP(Levererat_2016[[#This Row],[Indexnamn]],'Leveranser per nät'!$A$4:$A$526,1,FALSE)</f>
        <v>#N/A</v>
      </c>
    </row>
    <row r="126" spans="1:7" x14ac:dyDescent="0.25">
      <c r="A126" t="s">
        <v>616</v>
      </c>
      <c r="B126" t="s">
        <v>815</v>
      </c>
      <c r="C126" t="s">
        <v>815</v>
      </c>
      <c r="D126" t="s">
        <v>806</v>
      </c>
      <c r="F126" t="str">
        <f>IFERROR(Levererat_2016[[#This Row],[Leveranser:]]-Levererat_2016[[#This Row],[Leveranser till annat fjärrvärmebolag]],"")</f>
        <v/>
      </c>
      <c r="G126" t="e">
        <f>VLOOKUP(Levererat_2016[[#This Row],[Indexnamn]],'Leveranser per nät'!$A$4:$A$526,1,FALSE)</f>
        <v>#N/A</v>
      </c>
    </row>
    <row r="127" spans="1:7" x14ac:dyDescent="0.25">
      <c r="A127" t="s">
        <v>618</v>
      </c>
      <c r="B127" t="s">
        <v>139</v>
      </c>
      <c r="C127" t="s">
        <v>139</v>
      </c>
      <c r="D127">
        <v>119.2</v>
      </c>
      <c r="F127">
        <f>IFERROR(Levererat_2016[[#This Row],[Leveranser:]]-Levererat_2016[[#This Row],[Leveranser till annat fjärrvärmebolag]],"")</f>
        <v>119.2</v>
      </c>
      <c r="G127" t="str">
        <f>VLOOKUP(Levererat_2016[[#This Row],[Indexnamn]],'Leveranser per nät'!$A$4:$A$526,1,FALSE)</f>
        <v>Götene</v>
      </c>
    </row>
    <row r="128" spans="1:7" x14ac:dyDescent="0.25">
      <c r="A128" t="s">
        <v>618</v>
      </c>
      <c r="B128" t="s">
        <v>140</v>
      </c>
      <c r="C128" t="s">
        <v>140</v>
      </c>
      <c r="D128">
        <v>2.7</v>
      </c>
      <c r="F128">
        <f>IFERROR(Levererat_2016[[#This Row],[Leveranser:]]-Levererat_2016[[#This Row],[Leveranser till annat fjärrvärmebolag]],"")</f>
        <v>2.7</v>
      </c>
      <c r="G128" t="str">
        <f>VLOOKUP(Levererat_2016[[#This Row],[Indexnamn]],'Leveranser per nät'!$A$4:$A$526,1,FALSE)</f>
        <v>Hällekis</v>
      </c>
    </row>
    <row r="129" spans="1:7" x14ac:dyDescent="0.25">
      <c r="A129" t="s">
        <v>619</v>
      </c>
      <c r="B129" t="s">
        <v>141</v>
      </c>
      <c r="C129" t="s">
        <v>141</v>
      </c>
      <c r="D129">
        <v>20.2</v>
      </c>
      <c r="F129">
        <f>IFERROR(Levererat_2016[[#This Row],[Leveranser:]]-Levererat_2016[[#This Row],[Leveranser till annat fjärrvärmebolag]],"")</f>
        <v>20.2</v>
      </c>
      <c r="G129" t="str">
        <f>VLOOKUP(Levererat_2016[[#This Row],[Indexnamn]],'Leveranser per nät'!$A$4:$A$526,1,FALSE)</f>
        <v>Habo</v>
      </c>
    </row>
    <row r="130" spans="1:7" x14ac:dyDescent="0.25">
      <c r="A130" t="s">
        <v>587</v>
      </c>
      <c r="B130" t="s">
        <v>588</v>
      </c>
      <c r="C130" t="s">
        <v>588</v>
      </c>
      <c r="D130">
        <v>12.108000000000001</v>
      </c>
      <c r="E130">
        <v>0.54300000000000004</v>
      </c>
      <c r="F130">
        <f>IFERROR(Levererat_2016[[#This Row],[Leveranser:]]-Levererat_2016[[#This Row],[Leveranser till annat fjärrvärmebolag]],"")</f>
        <v>11.565000000000001</v>
      </c>
      <c r="G130" t="str">
        <f>VLOOKUP(Levererat_2016[[#This Row],[Indexnamn]],'Leveranser per nät'!$A$4:$A$526,1,FALSE)</f>
        <v>Ekshärad</v>
      </c>
    </row>
    <row r="131" spans="1:7" x14ac:dyDescent="0.25">
      <c r="A131" t="s">
        <v>587</v>
      </c>
      <c r="B131" t="s">
        <v>520</v>
      </c>
      <c r="C131" t="s">
        <v>520</v>
      </c>
      <c r="D131">
        <v>50.8</v>
      </c>
      <c r="F131">
        <f>IFERROR(Levererat_2016[[#This Row],[Leveranser:]]-Levererat_2016[[#This Row],[Leveranser till annat fjärrvärmebolag]],"")</f>
        <v>50.8</v>
      </c>
      <c r="G131" t="str">
        <f>VLOOKUP(Levererat_2016[[#This Row],[Indexnamn]],'Leveranser per nät'!$A$4:$A$526,1,FALSE)</f>
        <v>Hagfors</v>
      </c>
    </row>
    <row r="132" spans="1:7" x14ac:dyDescent="0.25">
      <c r="A132" t="s">
        <v>587</v>
      </c>
      <c r="B132" t="s">
        <v>712</v>
      </c>
      <c r="C132" t="s">
        <v>712</v>
      </c>
      <c r="D132">
        <v>0.248</v>
      </c>
      <c r="F132">
        <f>IFERROR(Levererat_2016[[#This Row],[Leveranser:]]-Levererat_2016[[#This Row],[Leveranser till annat fjärrvärmebolag]],"")</f>
        <v>0.248</v>
      </c>
      <c r="G132" t="str">
        <f>VLOOKUP(Levererat_2016[[#This Row],[Indexnamn]],'Leveranser per nät'!$A$4:$A$526,1,FALSE)</f>
        <v>Sunnemo</v>
      </c>
    </row>
    <row r="133" spans="1:7" x14ac:dyDescent="0.25">
      <c r="A133" t="s">
        <v>622</v>
      </c>
      <c r="B133" t="s">
        <v>142</v>
      </c>
      <c r="C133" t="s">
        <v>142</v>
      </c>
      <c r="D133">
        <v>572</v>
      </c>
      <c r="F133">
        <f>IFERROR(Levererat_2016[[#This Row],[Leveranser:]]-Levererat_2016[[#This Row],[Leveranser till annat fjärrvärmebolag]],"")</f>
        <v>572</v>
      </c>
      <c r="G133" t="str">
        <f>VLOOKUP(Levererat_2016[[#This Row],[Indexnamn]],'Leveranser per nät'!$A$4:$A$526,1,FALSE)</f>
        <v>Halmstad</v>
      </c>
    </row>
    <row r="134" spans="1:7" x14ac:dyDescent="0.25">
      <c r="A134" t="s">
        <v>698</v>
      </c>
      <c r="B134" t="s">
        <v>143</v>
      </c>
      <c r="C134" t="s">
        <v>143</v>
      </c>
      <c r="D134">
        <v>48.9</v>
      </c>
      <c r="F134">
        <f>IFERROR(Levererat_2016[[#This Row],[Leveranser:]]-Levererat_2016[[#This Row],[Leveranser till annat fjärrvärmebolag]],"")</f>
        <v>48.9</v>
      </c>
      <c r="G134" t="str">
        <f>VLOOKUP(Levererat_2016[[#This Row],[Indexnamn]],'Leveranser per nät'!$A$4:$A$526,1,FALSE)</f>
        <v>Skoghall</v>
      </c>
    </row>
    <row r="135" spans="1:7" x14ac:dyDescent="0.25">
      <c r="A135" t="s">
        <v>611</v>
      </c>
      <c r="B135" t="s">
        <v>145</v>
      </c>
      <c r="C135" t="s">
        <v>145</v>
      </c>
      <c r="D135">
        <v>60.2</v>
      </c>
      <c r="F135">
        <f>IFERROR(Levererat_2016[[#This Row],[Leveranser:]]-Levererat_2016[[#This Row],[Leveranser till annat fjärrvärmebolag]],"")</f>
        <v>60.2</v>
      </c>
      <c r="G135" t="str">
        <f>VLOOKUP(Levererat_2016[[#This Row],[Indexnamn]],'Leveranser per nät'!$A$4:$A$526,1,FALSE)</f>
        <v>Hedemora</v>
      </c>
    </row>
    <row r="136" spans="1:7" x14ac:dyDescent="0.25">
      <c r="A136" t="s">
        <v>611</v>
      </c>
      <c r="B136" t="s">
        <v>147</v>
      </c>
      <c r="C136" t="s">
        <v>147</v>
      </c>
      <c r="D136">
        <v>6.77</v>
      </c>
      <c r="F136">
        <f>IFERROR(Levererat_2016[[#This Row],[Leveranser:]]-Levererat_2016[[#This Row],[Leveranser till annat fjärrvärmebolag]],"")</f>
        <v>6.77</v>
      </c>
      <c r="G136" t="str">
        <f>VLOOKUP(Levererat_2016[[#This Row],[Indexnamn]],'Leveranser per nät'!$A$4:$A$526,1,FALSE)</f>
        <v>Långshyttan</v>
      </c>
    </row>
    <row r="137" spans="1:7" x14ac:dyDescent="0.25">
      <c r="A137" t="s">
        <v>611</v>
      </c>
      <c r="B137" t="s">
        <v>416</v>
      </c>
      <c r="C137" t="s">
        <v>416</v>
      </c>
      <c r="D137">
        <v>2.2200000000000002</v>
      </c>
      <c r="F137">
        <f>IFERROR(Levererat_2016[[#This Row],[Leveranser:]]-Levererat_2016[[#This Row],[Leveranser till annat fjärrvärmebolag]],"")</f>
        <v>2.2200000000000002</v>
      </c>
      <c r="G137" t="str">
        <f>VLOOKUP(Levererat_2016[[#This Row],[Indexnamn]],'Leveranser per nät'!$A$4:$A$526,1,FALSE)</f>
        <v>St Skedvi</v>
      </c>
    </row>
    <row r="138" spans="1:7" x14ac:dyDescent="0.25">
      <c r="A138" t="s">
        <v>611</v>
      </c>
      <c r="B138" t="s">
        <v>144</v>
      </c>
      <c r="C138" t="s">
        <v>144</v>
      </c>
      <c r="D138">
        <v>51.17</v>
      </c>
      <c r="F138">
        <f>IFERROR(Levererat_2016[[#This Row],[Leveranser:]]-Levererat_2016[[#This Row],[Leveranser till annat fjärrvärmebolag]],"")</f>
        <v>51.17</v>
      </c>
      <c r="G138" t="str">
        <f>VLOOKUP(Levererat_2016[[#This Row],[Indexnamn]],'Leveranser per nät'!$A$4:$A$526,1,FALSE)</f>
        <v>Säter</v>
      </c>
    </row>
    <row r="139" spans="1:7" x14ac:dyDescent="0.25">
      <c r="A139" t="s">
        <v>850</v>
      </c>
      <c r="B139" t="s">
        <v>446</v>
      </c>
      <c r="C139" t="s">
        <v>446</v>
      </c>
      <c r="D139" t="s">
        <v>805</v>
      </c>
      <c r="F139" t="str">
        <f>IFERROR(Levererat_2016[[#This Row],[Leveranser:]]-Levererat_2016[[#This Row],[Leveranser till annat fjärrvärmebolag]],"")</f>
        <v/>
      </c>
      <c r="G139" t="str">
        <f>VLOOKUP(Levererat_2016[[#This Row],[Indexnamn]],'Leveranser per nät'!$A$4:$A$526,1,FALSE)</f>
        <v>Herrljunga</v>
      </c>
    </row>
    <row r="140" spans="1:7" x14ac:dyDescent="0.25">
      <c r="A140" t="s">
        <v>628</v>
      </c>
      <c r="B140" t="s">
        <v>148</v>
      </c>
      <c r="C140" t="s">
        <v>148</v>
      </c>
      <c r="D140">
        <v>33.771999999999998</v>
      </c>
      <c r="F140">
        <f>IFERROR(Levererat_2016[[#This Row],[Leveranser:]]-Levererat_2016[[#This Row],[Leveranser till annat fjärrvärmebolag]],"")</f>
        <v>33.771999999999998</v>
      </c>
      <c r="G140" t="str">
        <f>VLOOKUP(Levererat_2016[[#This Row],[Indexnamn]],'Leveranser per nät'!$A$4:$A$526,1,FALSE)</f>
        <v>Hjo</v>
      </c>
    </row>
    <row r="141" spans="1:7" x14ac:dyDescent="0.25">
      <c r="A141" t="s">
        <v>851</v>
      </c>
      <c r="B141" t="s">
        <v>843</v>
      </c>
      <c r="C141" t="s">
        <v>843</v>
      </c>
      <c r="D141" t="s">
        <v>805</v>
      </c>
      <c r="F141" t="str">
        <f>IFERROR(Levererat_2016[[#This Row],[Leveranser:]]-Levererat_2016[[#This Row],[Leveranser till annat fjärrvärmebolag]],"")</f>
        <v/>
      </c>
      <c r="G141" t="e">
        <f>VLOOKUP(Levererat_2016[[#This Row],[Indexnamn]],'Leveranser per nät'!$A$4:$A$526,1,FALSE)</f>
        <v>#N/A</v>
      </c>
    </row>
    <row r="142" spans="1:7" x14ac:dyDescent="0.25">
      <c r="A142" t="s">
        <v>633</v>
      </c>
      <c r="B142" t="s">
        <v>150</v>
      </c>
      <c r="C142" t="s">
        <v>150</v>
      </c>
      <c r="D142">
        <v>176.6</v>
      </c>
      <c r="F142">
        <f>IFERROR(Levererat_2016[[#This Row],[Leveranser:]]-Levererat_2016[[#This Row],[Leveranser till annat fjärrvärmebolag]],"")</f>
        <v>176.6</v>
      </c>
      <c r="G142" t="str">
        <f>VLOOKUP(Levererat_2016[[#This Row],[Indexnamn]],'Leveranser per nät'!$A$4:$A$526,1,FALSE)</f>
        <v>Härnösand</v>
      </c>
    </row>
    <row r="143" spans="1:7" x14ac:dyDescent="0.25">
      <c r="A143" t="s">
        <v>634</v>
      </c>
      <c r="B143" t="s">
        <v>151</v>
      </c>
      <c r="C143" t="s">
        <v>151</v>
      </c>
      <c r="D143">
        <v>182.2</v>
      </c>
      <c r="F143">
        <f>IFERROR(Levererat_2016[[#This Row],[Leveranser:]]-Levererat_2016[[#This Row],[Leveranser till annat fjärrvärmebolag]],"")</f>
        <v>182.2</v>
      </c>
      <c r="G143" t="str">
        <f>VLOOKUP(Levererat_2016[[#This Row],[Indexnamn]],'Leveranser per nät'!$A$4:$A$526,1,FALSE)</f>
        <v>Hässleholm</v>
      </c>
    </row>
    <row r="144" spans="1:7" x14ac:dyDescent="0.25">
      <c r="A144" t="s">
        <v>634</v>
      </c>
      <c r="B144" t="s">
        <v>152</v>
      </c>
      <c r="C144" t="s">
        <v>152</v>
      </c>
      <c r="D144">
        <v>17</v>
      </c>
      <c r="F144">
        <f>IFERROR(Levererat_2016[[#This Row],[Leveranser:]]-Levererat_2016[[#This Row],[Leveranser till annat fjärrvärmebolag]],"")</f>
        <v>17</v>
      </c>
      <c r="G144" t="str">
        <f>VLOOKUP(Levererat_2016[[#This Row],[Indexnamn]],'Leveranser per nät'!$A$4:$A$526,1,FALSE)</f>
        <v>Tyringe</v>
      </c>
    </row>
    <row r="145" spans="1:7" x14ac:dyDescent="0.25">
      <c r="A145" t="s">
        <v>635</v>
      </c>
      <c r="B145" t="s">
        <v>153</v>
      </c>
      <c r="C145" t="s">
        <v>153</v>
      </c>
      <c r="D145">
        <v>44.883000000000003</v>
      </c>
      <c r="E145">
        <v>5.2750000000000004</v>
      </c>
      <c r="F145">
        <f>IFERROR(Levererat_2016[[#This Row],[Leveranser:]]-Levererat_2016[[#This Row],[Leveranser till annat fjärrvärmebolag]],"")</f>
        <v>39.608000000000004</v>
      </c>
      <c r="G145" t="str">
        <f>VLOOKUP(Levererat_2016[[#This Row],[Indexnamn]],'Leveranser per nät'!$A$4:$A$526,1,FALSE)</f>
        <v>Höganäs</v>
      </c>
    </row>
    <row r="146" spans="1:7" x14ac:dyDescent="0.25">
      <c r="A146" t="s">
        <v>637</v>
      </c>
      <c r="B146" t="s">
        <v>154</v>
      </c>
      <c r="C146" t="s">
        <v>154</v>
      </c>
      <c r="D146">
        <v>34</v>
      </c>
      <c r="F146">
        <f>IFERROR(Levererat_2016[[#This Row],[Leveranser:]]-Levererat_2016[[#This Row],[Leveranser till annat fjärrvärmebolag]],"")</f>
        <v>34</v>
      </c>
      <c r="G146" t="str">
        <f>VLOOKUP(Levererat_2016[[#This Row],[Indexnamn]],'Leveranser per nät'!$A$4:$A$526,1,FALSE)</f>
        <v>Jokkmokk</v>
      </c>
    </row>
    <row r="147" spans="1:7" x14ac:dyDescent="0.25">
      <c r="A147" t="s">
        <v>579</v>
      </c>
      <c r="B147" t="s">
        <v>393</v>
      </c>
      <c r="C147" t="s">
        <v>393</v>
      </c>
      <c r="D147" t="s">
        <v>806</v>
      </c>
      <c r="F147" t="str">
        <f>IFERROR(Levererat_2016[[#This Row],[Leveranser:]]-Levererat_2016[[#This Row],[Leveranser till annat fjärrvärmebolag]],"")</f>
        <v/>
      </c>
      <c r="G147" t="str">
        <f>VLOOKUP(Levererat_2016[[#This Row],[Indexnamn]],'Leveranser per nät'!$A$4:$A$526,1,FALSE)</f>
        <v>Brunflo</v>
      </c>
    </row>
    <row r="148" spans="1:7" x14ac:dyDescent="0.25">
      <c r="A148" t="s">
        <v>579</v>
      </c>
      <c r="B148" t="s">
        <v>155</v>
      </c>
      <c r="C148" t="s">
        <v>155</v>
      </c>
      <c r="D148">
        <v>18.53</v>
      </c>
      <c r="F148">
        <f>IFERROR(Levererat_2016[[#This Row],[Leveranser:]]-Levererat_2016[[#This Row],[Leveranser till annat fjärrvärmebolag]],"")</f>
        <v>18.53</v>
      </c>
      <c r="G148" t="str">
        <f>VLOOKUP(Levererat_2016[[#This Row],[Indexnamn]],'Leveranser per nät'!$A$4:$A$526,1,FALSE)</f>
        <v>Krokom</v>
      </c>
    </row>
    <row r="149" spans="1:7" x14ac:dyDescent="0.25">
      <c r="A149" t="s">
        <v>579</v>
      </c>
      <c r="B149" t="s">
        <v>156</v>
      </c>
      <c r="C149" t="s">
        <v>156</v>
      </c>
      <c r="D149">
        <v>54.68</v>
      </c>
      <c r="F149">
        <f>IFERROR(Levererat_2016[[#This Row],[Leveranser:]]-Levererat_2016[[#This Row],[Leveranser till annat fjärrvärmebolag]],"")</f>
        <v>54.68</v>
      </c>
      <c r="G149" t="str">
        <f>VLOOKUP(Levererat_2016[[#This Row],[Indexnamn]],'Leveranser per nät'!$A$4:$A$526,1,FALSE)</f>
        <v>Åre</v>
      </c>
    </row>
    <row r="150" spans="1:7" x14ac:dyDescent="0.25">
      <c r="A150" t="s">
        <v>579</v>
      </c>
      <c r="B150" t="s">
        <v>157</v>
      </c>
      <c r="C150" t="s">
        <v>157</v>
      </c>
      <c r="D150">
        <v>539.73</v>
      </c>
      <c r="F150">
        <f>IFERROR(Levererat_2016[[#This Row],[Leveranser:]]-Levererat_2016[[#This Row],[Leveranser till annat fjärrvärmebolag]],"")</f>
        <v>539.73</v>
      </c>
      <c r="G150" t="str">
        <f>VLOOKUP(Levererat_2016[[#This Row],[Indexnamn]],'Leveranser per nät'!$A$4:$A$526,1,FALSE)</f>
        <v>Östersund</v>
      </c>
    </row>
    <row r="151" spans="1:7" x14ac:dyDescent="0.25">
      <c r="A151" t="s">
        <v>852</v>
      </c>
      <c r="B151" t="s">
        <v>466</v>
      </c>
      <c r="C151" t="s">
        <v>466</v>
      </c>
      <c r="D151" t="s">
        <v>805</v>
      </c>
      <c r="F151" t="str">
        <f>IFERROR(Levererat_2016[[#This Row],[Leveranser:]]-Levererat_2016[[#This Row],[Leveranser till annat fjärrvärmebolag]],"")</f>
        <v/>
      </c>
      <c r="G151" t="str">
        <f>VLOOKUP(Levererat_2016[[#This Row],[Indexnamn]],'Leveranser per nät'!$A$4:$A$526,1,FALSE)</f>
        <v>Strömsund</v>
      </c>
    </row>
    <row r="152" spans="1:7" x14ac:dyDescent="0.25">
      <c r="A152" t="s">
        <v>559</v>
      </c>
      <c r="B152" t="s">
        <v>159</v>
      </c>
      <c r="C152" t="s">
        <v>159</v>
      </c>
      <c r="D152">
        <v>12.343999999999999</v>
      </c>
      <c r="F152">
        <f>IFERROR(Levererat_2016[[#This Row],[Leveranser:]]-Levererat_2016[[#This Row],[Leveranser till annat fjärrvärmebolag]],"")</f>
        <v>12.343999999999999</v>
      </c>
      <c r="G152" t="str">
        <f>VLOOKUP(Levererat_2016[[#This Row],[Indexnamn]],'Leveranser per nät'!$A$4:$A$526,1,FALSE)</f>
        <v>Gränna</v>
      </c>
    </row>
    <row r="153" spans="1:7" x14ac:dyDescent="0.25">
      <c r="A153" t="s">
        <v>559</v>
      </c>
      <c r="B153" t="s">
        <v>160</v>
      </c>
      <c r="C153" t="s">
        <v>160</v>
      </c>
      <c r="D153">
        <v>703.62</v>
      </c>
      <c r="F153">
        <f>IFERROR(Levererat_2016[[#This Row],[Leveranser:]]-Levererat_2016[[#This Row],[Leveranser till annat fjärrvärmebolag]],"")</f>
        <v>703.62</v>
      </c>
      <c r="G153" t="str">
        <f>VLOOKUP(Levererat_2016[[#This Row],[Indexnamn]],'Leveranser per nät'!$A$4:$A$526,1,FALSE)</f>
        <v>Jönköping</v>
      </c>
    </row>
    <row r="154" spans="1:7" x14ac:dyDescent="0.25">
      <c r="A154" t="s">
        <v>559</v>
      </c>
      <c r="B154" t="s">
        <v>704</v>
      </c>
      <c r="C154" t="s">
        <v>704</v>
      </c>
      <c r="D154" t="s">
        <v>805</v>
      </c>
      <c r="F154" t="str">
        <f>IFERROR(Levererat_2016[[#This Row],[Leveranser:]]-Levererat_2016[[#This Row],[Leveranser till annat fjärrvärmebolag]],"")</f>
        <v/>
      </c>
      <c r="G154" t="str">
        <f>VLOOKUP(Levererat_2016[[#This Row],[Indexnamn]],'Leveranser per nät'!$A$4:$A$526,1,FALSE)</f>
        <v>Stensholm</v>
      </c>
    </row>
    <row r="155" spans="1:7" x14ac:dyDescent="0.25">
      <c r="A155" t="s">
        <v>559</v>
      </c>
      <c r="B155" t="s">
        <v>816</v>
      </c>
      <c r="C155" t="s">
        <v>816</v>
      </c>
      <c r="D155">
        <v>0.66</v>
      </c>
      <c r="F155">
        <f>IFERROR(Levererat_2016[[#This Row],[Leveranser:]]-Levererat_2016[[#This Row],[Leveranser till annat fjärrvärmebolag]],"")</f>
        <v>0.66</v>
      </c>
      <c r="G155" t="str">
        <f>VLOOKUP(Levererat_2016[[#This Row],[Indexnamn]],'Leveranser per nät'!$A$4:$A$526,1,FALSE)</f>
        <v>Stigamo</v>
      </c>
    </row>
    <row r="156" spans="1:7" x14ac:dyDescent="0.25">
      <c r="A156" t="s">
        <v>643</v>
      </c>
      <c r="B156" t="s">
        <v>162</v>
      </c>
      <c r="C156" t="s">
        <v>162</v>
      </c>
      <c r="D156">
        <v>365</v>
      </c>
      <c r="F156">
        <f>IFERROR(Levererat_2016[[#This Row],[Leveranser:]]-Levererat_2016[[#This Row],[Leveranser till annat fjärrvärmebolag]],"")</f>
        <v>365</v>
      </c>
      <c r="G156" t="str">
        <f>VLOOKUP(Levererat_2016[[#This Row],[Indexnamn]],'Leveranser per nät'!$A$4:$A$526,1,FALSE)</f>
        <v>Kalmar</v>
      </c>
    </row>
    <row r="157" spans="1:7" x14ac:dyDescent="0.25">
      <c r="A157" t="s">
        <v>853</v>
      </c>
      <c r="B157" t="s">
        <v>237</v>
      </c>
      <c r="C157" t="s">
        <v>237</v>
      </c>
      <c r="D157" t="s">
        <v>805</v>
      </c>
      <c r="F157" t="str">
        <f>IFERROR(Levererat_2016[[#This Row],[Leveranser:]]-Levererat_2016[[#This Row],[Leveranser till annat fjärrvärmebolag]],"")</f>
        <v/>
      </c>
      <c r="G157" t="str">
        <f>VLOOKUP(Levererat_2016[[#This Row],[Indexnamn]],'Leveranser per nät'!$A$4:$A$526,1,FALSE)</f>
        <v>Karlsborg</v>
      </c>
    </row>
    <row r="158" spans="1:7" x14ac:dyDescent="0.25">
      <c r="A158" t="s">
        <v>645</v>
      </c>
      <c r="B158" t="s">
        <v>164</v>
      </c>
      <c r="C158" t="s">
        <v>164</v>
      </c>
      <c r="D158">
        <v>171.88499999999999</v>
      </c>
      <c r="F158">
        <f>IFERROR(Levererat_2016[[#This Row],[Leveranser:]]-Levererat_2016[[#This Row],[Leveranser till annat fjärrvärmebolag]],"")</f>
        <v>171.88499999999999</v>
      </c>
      <c r="G158" t="str">
        <f>VLOOKUP(Levererat_2016[[#This Row],[Indexnamn]],'Leveranser per nät'!$A$4:$A$526,1,FALSE)</f>
        <v>Karlshamn</v>
      </c>
    </row>
    <row r="159" spans="1:7" x14ac:dyDescent="0.25">
      <c r="A159" t="s">
        <v>854</v>
      </c>
      <c r="B159" t="s">
        <v>165</v>
      </c>
      <c r="C159" t="s">
        <v>165</v>
      </c>
      <c r="D159">
        <v>321.5</v>
      </c>
      <c r="F159">
        <f>IFERROR(Levererat_2016[[#This Row],[Leveranser:]]-Levererat_2016[[#This Row],[Leveranser till annat fjärrvärmebolag]],"")</f>
        <v>321.5</v>
      </c>
      <c r="G159" t="str">
        <f>VLOOKUP(Levererat_2016[[#This Row],[Indexnamn]],'Leveranser per nät'!$A$4:$A$526,1,FALSE)</f>
        <v>Karlskoga</v>
      </c>
    </row>
    <row r="160" spans="1:7" x14ac:dyDescent="0.25">
      <c r="A160" t="s">
        <v>854</v>
      </c>
      <c r="B160" t="s">
        <v>165</v>
      </c>
      <c r="C160" t="s">
        <v>165</v>
      </c>
      <c r="D160" t="s">
        <v>805</v>
      </c>
      <c r="F160" t="str">
        <f>IFERROR(Levererat_2016[[#This Row],[Leveranser:]]-Levererat_2016[[#This Row],[Leveranser till annat fjärrvärmebolag]],"")</f>
        <v/>
      </c>
      <c r="G160" t="str">
        <f>VLOOKUP(Levererat_2016[[#This Row],[Indexnamn]],'Leveranser per nät'!$A$4:$A$526,1,FALSE)</f>
        <v>Karlskoga</v>
      </c>
    </row>
    <row r="161" spans="1:7" x14ac:dyDescent="0.25">
      <c r="A161" t="s">
        <v>646</v>
      </c>
      <c r="B161" t="s">
        <v>166</v>
      </c>
      <c r="C161" t="s">
        <v>166</v>
      </c>
      <c r="D161">
        <v>578.79999999999995</v>
      </c>
      <c r="E161">
        <v>75.3</v>
      </c>
      <c r="F161">
        <f>IFERROR(Levererat_2016[[#This Row],[Leveranser:]]-Levererat_2016[[#This Row],[Leveranser till annat fjärrvärmebolag]],"")</f>
        <v>503.49999999999994</v>
      </c>
      <c r="G161" t="str">
        <f>VLOOKUP(Levererat_2016[[#This Row],[Indexnamn]],'Leveranser per nät'!$A$4:$A$526,1,FALSE)</f>
        <v>Karlstad</v>
      </c>
    </row>
    <row r="162" spans="1:7" x14ac:dyDescent="0.25">
      <c r="A162" t="s">
        <v>647</v>
      </c>
      <c r="B162" t="s">
        <v>648</v>
      </c>
      <c r="C162" t="s">
        <v>648</v>
      </c>
      <c r="D162" t="s">
        <v>805</v>
      </c>
      <c r="F162" t="str">
        <f>IFERROR(Levererat_2016[[#This Row],[Leveranser:]]-Levererat_2016[[#This Row],[Leveranser till annat fjärrvärmebolag]],"")</f>
        <v/>
      </c>
      <c r="G162" t="e">
        <f>VLOOKUP(Levererat_2016[[#This Row],[Indexnamn]],'Leveranser per nät'!$A$4:$A$526,1,FALSE)</f>
        <v>#N/A</v>
      </c>
    </row>
    <row r="163" spans="1:7" x14ac:dyDescent="0.25">
      <c r="A163" t="s">
        <v>649</v>
      </c>
      <c r="B163" t="s">
        <v>170</v>
      </c>
      <c r="C163" t="s">
        <v>170</v>
      </c>
      <c r="D163">
        <v>36.6</v>
      </c>
      <c r="F163">
        <f>IFERROR(Levererat_2016[[#This Row],[Leveranser:]]-Levererat_2016[[#This Row],[Leveranser till annat fjärrvärmebolag]],"")</f>
        <v>36.6</v>
      </c>
      <c r="G163" t="str">
        <f>VLOOKUP(Levererat_2016[[#This Row],[Indexnamn]],'Leveranser per nät'!$A$4:$A$526,1,FALSE)</f>
        <v>Kil</v>
      </c>
    </row>
    <row r="164" spans="1:7" x14ac:dyDescent="0.25">
      <c r="A164" t="s">
        <v>817</v>
      </c>
      <c r="B164" t="s">
        <v>390</v>
      </c>
      <c r="C164" t="s">
        <v>390</v>
      </c>
      <c r="D164">
        <v>191.22</v>
      </c>
      <c r="F164">
        <f>IFERROR(Levererat_2016[[#This Row],[Leveranser:]]-Levererat_2016[[#This Row],[Leveranser till annat fjärrvärmebolag]],"")</f>
        <v>191.22</v>
      </c>
      <c r="G164" t="str">
        <f>VLOOKUP(Levererat_2016[[#This Row],[Indexnamn]],'Leveranser per nät'!$A$4:$A$526,1,FALSE)</f>
        <v>Kiruna C</v>
      </c>
    </row>
    <row r="165" spans="1:7" x14ac:dyDescent="0.25">
      <c r="A165" t="s">
        <v>817</v>
      </c>
      <c r="B165" t="s">
        <v>305</v>
      </c>
      <c r="C165" t="s">
        <v>305</v>
      </c>
      <c r="D165">
        <v>5.4340000000000002</v>
      </c>
      <c r="F165">
        <f>IFERROR(Levererat_2016[[#This Row],[Leveranser:]]-Levererat_2016[[#This Row],[Leveranser till annat fjärrvärmebolag]],"")</f>
        <v>5.4340000000000002</v>
      </c>
      <c r="G165" t="str">
        <f>VLOOKUP(Levererat_2016[[#This Row],[Indexnamn]],'Leveranser per nät'!$A$4:$A$526,1,FALSE)</f>
        <v>Vittangi</v>
      </c>
    </row>
    <row r="166" spans="1:7" x14ac:dyDescent="0.25">
      <c r="A166" t="s">
        <v>786</v>
      </c>
      <c r="B166" t="s">
        <v>787</v>
      </c>
      <c r="C166" t="s">
        <v>787</v>
      </c>
      <c r="D166">
        <v>861</v>
      </c>
      <c r="F166">
        <f>IFERROR(Levererat_2016[[#This Row],[Leveranser:]]-Levererat_2016[[#This Row],[Leveranser till annat fjärrvärmebolag]],"")</f>
        <v>861</v>
      </c>
      <c r="G166" t="str">
        <f>VLOOKUP(Levererat_2016[[#This Row],[Indexnamn]],'Leveranser per nät'!$A$4:$A$526,1,FALSE)</f>
        <v>Eslöv-Lund-Lomma m fl</v>
      </c>
    </row>
    <row r="167" spans="1:7" x14ac:dyDescent="0.25">
      <c r="A167" t="s">
        <v>786</v>
      </c>
      <c r="B167" t="s">
        <v>788</v>
      </c>
      <c r="C167" t="s">
        <v>788</v>
      </c>
      <c r="D167">
        <v>56</v>
      </c>
      <c r="F167">
        <f>IFERROR(Levererat_2016[[#This Row],[Leveranser:]]-Levererat_2016[[#This Row],[Leveranser till annat fjärrvärmebolag]],"")</f>
        <v>56</v>
      </c>
      <c r="G167" t="str">
        <f>VLOOKUP(Levererat_2016[[#This Row],[Indexnamn]],'Leveranser per nät'!$A$4:$A$526,1,FALSE)</f>
        <v>Klippan-Ljungbyhed-Östra Ljungby</v>
      </c>
    </row>
    <row r="168" spans="1:7" x14ac:dyDescent="0.25">
      <c r="A168" t="s">
        <v>653</v>
      </c>
      <c r="B168" t="s">
        <v>172</v>
      </c>
      <c r="C168" t="s">
        <v>172</v>
      </c>
      <c r="D168" t="s">
        <v>805</v>
      </c>
      <c r="F168" t="str">
        <f>IFERROR(Levererat_2016[[#This Row],[Leveranser:]]-Levererat_2016[[#This Row],[Leveranser till annat fjärrvärmebolag]],"")</f>
        <v/>
      </c>
      <c r="G168" t="str">
        <f>VLOOKUP(Levererat_2016[[#This Row],[Indexnamn]],'Leveranser per nät'!$A$4:$A$526,1,FALSE)</f>
        <v>Kristinehamn</v>
      </c>
    </row>
    <row r="169" spans="1:7" x14ac:dyDescent="0.25">
      <c r="A169" t="s">
        <v>632</v>
      </c>
      <c r="B169" t="s">
        <v>385</v>
      </c>
      <c r="C169" t="s">
        <v>385</v>
      </c>
      <c r="D169">
        <v>1.1499999999999999</v>
      </c>
      <c r="F169">
        <f>IFERROR(Levererat_2016[[#This Row],[Leveranser:]]-Levererat_2016[[#This Row],[Leveranser till annat fjärrvärmebolag]],"")</f>
        <v>1.1499999999999999</v>
      </c>
      <c r="G169" t="str">
        <f>VLOOKUP(Levererat_2016[[#This Row],[Indexnamn]],'Leveranser per nät'!$A$4:$A$526,1,FALSE)</f>
        <v>HVC Kode</v>
      </c>
    </row>
    <row r="170" spans="1:7" x14ac:dyDescent="0.25">
      <c r="A170" t="s">
        <v>632</v>
      </c>
      <c r="B170" t="s">
        <v>386</v>
      </c>
      <c r="C170" t="s">
        <v>386</v>
      </c>
      <c r="D170">
        <v>0.89</v>
      </c>
      <c r="F170">
        <f>IFERROR(Levererat_2016[[#This Row],[Leveranser:]]-Levererat_2016[[#This Row],[Leveranser till annat fjärrvärmebolag]],"")</f>
        <v>0.89</v>
      </c>
      <c r="G170" t="str">
        <f>VLOOKUP(Levererat_2016[[#This Row],[Indexnamn]],'Leveranser per nät'!$A$4:$A$526,1,FALSE)</f>
        <v>HVC Kärna</v>
      </c>
    </row>
    <row r="171" spans="1:7" x14ac:dyDescent="0.25">
      <c r="A171" t="s">
        <v>632</v>
      </c>
      <c r="B171" t="s">
        <v>387</v>
      </c>
      <c r="C171" t="s">
        <v>387</v>
      </c>
      <c r="D171">
        <v>2.9</v>
      </c>
      <c r="F171">
        <f>IFERROR(Levererat_2016[[#This Row],[Leveranser:]]-Levererat_2016[[#This Row],[Leveranser till annat fjärrvärmebolag]],"")</f>
        <v>2.9</v>
      </c>
      <c r="G171" t="str">
        <f>VLOOKUP(Levererat_2016[[#This Row],[Indexnamn]],'Leveranser per nät'!$A$4:$A$526,1,FALSE)</f>
        <v>HVC Stålkullen</v>
      </c>
    </row>
    <row r="172" spans="1:7" x14ac:dyDescent="0.25">
      <c r="A172" t="s">
        <v>632</v>
      </c>
      <c r="B172" t="s">
        <v>173</v>
      </c>
      <c r="C172" t="s">
        <v>173</v>
      </c>
      <c r="D172">
        <v>115</v>
      </c>
      <c r="F172">
        <f>IFERROR(Levererat_2016[[#This Row],[Leveranser:]]-Levererat_2016[[#This Row],[Leveranser till annat fjärrvärmebolag]],"")</f>
        <v>115</v>
      </c>
      <c r="G172" t="str">
        <f>VLOOKUP(Levererat_2016[[#This Row],[Indexnamn]],'Leveranser per nät'!$A$4:$A$526,1,FALSE)</f>
        <v>Kungälv</v>
      </c>
    </row>
    <row r="173" spans="1:7" x14ac:dyDescent="0.25">
      <c r="A173" t="s">
        <v>651</v>
      </c>
      <c r="B173" t="s">
        <v>175</v>
      </c>
      <c r="C173" t="s">
        <v>175</v>
      </c>
      <c r="D173">
        <v>13.786</v>
      </c>
      <c r="F173">
        <f>IFERROR(Levererat_2016[[#This Row],[Leveranser:]]-Levererat_2016[[#This Row],[Leveranser till annat fjärrvärmebolag]],"")</f>
        <v>13.786</v>
      </c>
      <c r="G173" t="str">
        <f>VLOOKUP(Levererat_2016[[#This Row],[Indexnamn]],'Leveranser per nät'!$A$4:$A$526,1,FALSE)</f>
        <v>Kolsva</v>
      </c>
    </row>
    <row r="174" spans="1:7" x14ac:dyDescent="0.25">
      <c r="A174" t="s">
        <v>651</v>
      </c>
      <c r="B174" t="s">
        <v>174</v>
      </c>
      <c r="C174" t="s">
        <v>174</v>
      </c>
      <c r="D174">
        <v>196.21700000000001</v>
      </c>
      <c r="F174">
        <f>IFERROR(Levererat_2016[[#This Row],[Leveranser:]]-Levererat_2016[[#This Row],[Leveranser till annat fjärrvärmebolag]],"")</f>
        <v>196.21700000000001</v>
      </c>
      <c r="G174" t="str">
        <f>VLOOKUP(Levererat_2016[[#This Row],[Indexnamn]],'Leveranser per nät'!$A$4:$A$526,1,FALSE)</f>
        <v>Köping</v>
      </c>
    </row>
    <row r="175" spans="1:7" x14ac:dyDescent="0.25">
      <c r="A175" t="s">
        <v>658</v>
      </c>
      <c r="B175" t="s">
        <v>176</v>
      </c>
      <c r="C175" t="s">
        <v>176</v>
      </c>
      <c r="D175">
        <v>271.017</v>
      </c>
      <c r="E175">
        <v>17.600000000000001</v>
      </c>
      <c r="F175">
        <f>IFERROR(Levererat_2016[[#This Row],[Leveranser:]]-Levererat_2016[[#This Row],[Leveranser till annat fjärrvärmebolag]],"")</f>
        <v>253.417</v>
      </c>
      <c r="G175" t="str">
        <f>VLOOKUP(Levererat_2016[[#This Row],[Indexnamn]],'Leveranser per nät'!$A$4:$A$526,1,FALSE)</f>
        <v>Landskrona</v>
      </c>
    </row>
    <row r="176" spans="1:7" x14ac:dyDescent="0.25">
      <c r="A176" t="s">
        <v>568</v>
      </c>
      <c r="B176" t="s">
        <v>178</v>
      </c>
      <c r="C176" t="s">
        <v>178</v>
      </c>
      <c r="D176">
        <v>9.1620000000000008</v>
      </c>
      <c r="F176">
        <f>IFERROR(Levererat_2016[[#This Row],[Leveranser:]]-Levererat_2016[[#This Row],[Leveranser till annat fjärrvärmebolag]],"")</f>
        <v>9.1620000000000008</v>
      </c>
      <c r="G176" t="str">
        <f>VLOOKUP(Levererat_2016[[#This Row],[Indexnamn]],'Leveranser per nät'!$A$4:$A$526,1,FALSE)</f>
        <v>Bjärnum</v>
      </c>
    </row>
    <row r="177" spans="1:7" x14ac:dyDescent="0.25">
      <c r="A177" t="s">
        <v>568</v>
      </c>
      <c r="B177" t="s">
        <v>179</v>
      </c>
      <c r="C177" t="s">
        <v>179</v>
      </c>
      <c r="D177">
        <v>7.4820000000000002</v>
      </c>
      <c r="F177">
        <f>IFERROR(Levererat_2016[[#This Row],[Leveranser:]]-Levererat_2016[[#This Row],[Leveranser till annat fjärrvärmebolag]],"")</f>
        <v>7.4820000000000002</v>
      </c>
      <c r="G177" t="str">
        <f>VLOOKUP(Levererat_2016[[#This Row],[Indexnamn]],'Leveranser per nät'!$A$4:$A$526,1,FALSE)</f>
        <v>Ed</v>
      </c>
    </row>
    <row r="178" spans="1:7" x14ac:dyDescent="0.25">
      <c r="A178" t="s">
        <v>568</v>
      </c>
      <c r="B178" t="s">
        <v>180</v>
      </c>
      <c r="C178" t="s">
        <v>180</v>
      </c>
      <c r="D178">
        <v>11.081</v>
      </c>
      <c r="F178">
        <f>IFERROR(Levererat_2016[[#This Row],[Leveranser:]]-Levererat_2016[[#This Row],[Leveranser till annat fjärrvärmebolag]],"")</f>
        <v>11.081</v>
      </c>
      <c r="G178" t="str">
        <f>VLOOKUP(Levererat_2016[[#This Row],[Indexnamn]],'Leveranser per nät'!$A$4:$A$526,1,FALSE)</f>
        <v>Grästorp</v>
      </c>
    </row>
    <row r="179" spans="1:7" x14ac:dyDescent="0.25">
      <c r="A179" t="s">
        <v>568</v>
      </c>
      <c r="B179" t="s">
        <v>181</v>
      </c>
      <c r="C179" t="s">
        <v>181</v>
      </c>
      <c r="D179">
        <v>5.8639999999999999</v>
      </c>
      <c r="F179">
        <f>IFERROR(Levererat_2016[[#This Row],[Leveranser:]]-Levererat_2016[[#This Row],[Leveranser till annat fjärrvärmebolag]],"")</f>
        <v>5.8639999999999999</v>
      </c>
      <c r="G179" t="str">
        <f>VLOOKUP(Levererat_2016[[#This Row],[Indexnamn]],'Leveranser per nät'!$A$4:$A$526,1,FALSE)</f>
        <v>Horred</v>
      </c>
    </row>
    <row r="180" spans="1:7" x14ac:dyDescent="0.25">
      <c r="A180" t="s">
        <v>568</v>
      </c>
      <c r="B180" t="s">
        <v>182</v>
      </c>
      <c r="C180" t="s">
        <v>182</v>
      </c>
      <c r="D180">
        <v>12.9</v>
      </c>
      <c r="F180">
        <f>IFERROR(Levererat_2016[[#This Row],[Leveranser:]]-Levererat_2016[[#This Row],[Leveranser till annat fjärrvärmebolag]],"")</f>
        <v>12.9</v>
      </c>
      <c r="G180" t="str">
        <f>VLOOKUP(Levererat_2016[[#This Row],[Indexnamn]],'Leveranser per nät'!$A$4:$A$526,1,FALSE)</f>
        <v>Kvänum</v>
      </c>
    </row>
    <row r="181" spans="1:7" x14ac:dyDescent="0.25">
      <c r="A181" t="s">
        <v>568</v>
      </c>
      <c r="B181" t="s">
        <v>183</v>
      </c>
      <c r="C181" t="s">
        <v>183</v>
      </c>
      <c r="D181">
        <v>28.012</v>
      </c>
      <c r="F181">
        <f>IFERROR(Levererat_2016[[#This Row],[Leveranser:]]-Levererat_2016[[#This Row],[Leveranser till annat fjärrvärmebolag]],"")</f>
        <v>28.012</v>
      </c>
      <c r="G181" t="str">
        <f>VLOOKUP(Levererat_2016[[#This Row],[Indexnamn]],'Leveranser per nät'!$A$4:$A$526,1,FALSE)</f>
        <v>Skurup</v>
      </c>
    </row>
    <row r="182" spans="1:7" x14ac:dyDescent="0.25">
      <c r="A182" t="s">
        <v>568</v>
      </c>
      <c r="B182" t="s">
        <v>855</v>
      </c>
      <c r="C182" t="s">
        <v>855</v>
      </c>
      <c r="D182" t="s">
        <v>805</v>
      </c>
      <c r="F182" t="str">
        <f>IFERROR(Levererat_2016[[#This Row],[Leveranser:]]-Levererat_2016[[#This Row],[Leveranser till annat fjärrvärmebolag]],"")</f>
        <v/>
      </c>
      <c r="G182" t="str">
        <f>VLOOKUP(Levererat_2016[[#This Row],[Indexnamn]],'Leveranser per nät'!$A$4:$A$526,1,FALSE)</f>
        <v>Vinslöv</v>
      </c>
    </row>
    <row r="183" spans="1:7" x14ac:dyDescent="0.25">
      <c r="A183" t="s">
        <v>568</v>
      </c>
      <c r="B183" t="s">
        <v>177</v>
      </c>
      <c r="C183" t="s">
        <v>177</v>
      </c>
      <c r="D183">
        <v>12.29</v>
      </c>
      <c r="F183">
        <f>IFERROR(Levererat_2016[[#This Row],[Leveranser:]]-Levererat_2016[[#This Row],[Leveranser till annat fjärrvärmebolag]],"")</f>
        <v>12.29</v>
      </c>
      <c r="G183" t="str">
        <f>VLOOKUP(Levererat_2016[[#This Row],[Indexnamn]],'Leveranser per nät'!$A$4:$A$526,1,FALSE)</f>
        <v>Ödeshög</v>
      </c>
    </row>
    <row r="184" spans="1:7" x14ac:dyDescent="0.25">
      <c r="A184" t="s">
        <v>568</v>
      </c>
      <c r="B184" t="s">
        <v>440</v>
      </c>
      <c r="C184" t="s">
        <v>440</v>
      </c>
      <c r="D184">
        <v>5.12</v>
      </c>
      <c r="F184">
        <f>IFERROR(Levererat_2016[[#This Row],[Leveranser:]]-Levererat_2016[[#This Row],[Leveranser till annat fjärrvärmebolag]],"")</f>
        <v>5.12</v>
      </c>
      <c r="G184" t="str">
        <f>VLOOKUP(Levererat_2016[[#This Row],[Indexnamn]],'Leveranser per nät'!$A$4:$A$526,1,FALSE)</f>
        <v>Örsundsbro</v>
      </c>
    </row>
    <row r="185" spans="1:7" x14ac:dyDescent="0.25">
      <c r="A185" t="s">
        <v>659</v>
      </c>
      <c r="B185" t="s">
        <v>184</v>
      </c>
      <c r="C185" t="s">
        <v>184</v>
      </c>
      <c r="D185">
        <v>29.68</v>
      </c>
      <c r="F185">
        <f>IFERROR(Levererat_2016[[#This Row],[Leveranser:]]-Levererat_2016[[#This Row],[Leveranser till annat fjärrvärmebolag]],"")</f>
        <v>29.68</v>
      </c>
      <c r="G185" t="str">
        <f>VLOOKUP(Levererat_2016[[#This Row],[Indexnamn]],'Leveranser per nät'!$A$4:$A$526,1,FALSE)</f>
        <v>Laxå</v>
      </c>
    </row>
    <row r="186" spans="1:7" x14ac:dyDescent="0.25">
      <c r="A186" t="s">
        <v>856</v>
      </c>
      <c r="B186" t="s">
        <v>857</v>
      </c>
      <c r="C186" t="s">
        <v>857</v>
      </c>
      <c r="D186" t="s">
        <v>805</v>
      </c>
      <c r="F186" t="str">
        <f>IFERROR(Levererat_2016[[#This Row],[Leveranser:]]-Levererat_2016[[#This Row],[Leveranser till annat fjärrvärmebolag]],"")</f>
        <v/>
      </c>
      <c r="G186" t="e">
        <f>VLOOKUP(Levererat_2016[[#This Row],[Indexnamn]],'Leveranser per nät'!$A$4:$A$526,1,FALSE)</f>
        <v>#N/A</v>
      </c>
    </row>
    <row r="187" spans="1:7" x14ac:dyDescent="0.25">
      <c r="A187" t="s">
        <v>601</v>
      </c>
      <c r="B187" t="s">
        <v>397</v>
      </c>
      <c r="C187" t="s">
        <v>397</v>
      </c>
      <c r="D187">
        <v>8.3000000000000007</v>
      </c>
      <c r="F187">
        <f>IFERROR(Levererat_2016[[#This Row],[Leveranser:]]-Levererat_2016[[#This Row],[Leveranser till annat fjärrvärmebolag]],"")</f>
        <v>8.3000000000000007</v>
      </c>
      <c r="G187" t="str">
        <f>VLOOKUP(Levererat_2016[[#This Row],[Indexnamn]],'Leveranser per nät'!$A$4:$A$526,1,FALSE)</f>
        <v>Floda</v>
      </c>
    </row>
    <row r="188" spans="1:7" x14ac:dyDescent="0.25">
      <c r="A188" t="s">
        <v>601</v>
      </c>
      <c r="B188" t="s">
        <v>185</v>
      </c>
      <c r="C188" t="s">
        <v>185</v>
      </c>
      <c r="D188">
        <v>9.6</v>
      </c>
      <c r="F188">
        <f>IFERROR(Levererat_2016[[#This Row],[Leveranser:]]-Levererat_2016[[#This Row],[Leveranser till annat fjärrvärmebolag]],"")</f>
        <v>9.6</v>
      </c>
      <c r="G188" t="str">
        <f>VLOOKUP(Levererat_2016[[#This Row],[Indexnamn]],'Leveranser per nät'!$A$4:$A$526,1,FALSE)</f>
        <v>Gråbo</v>
      </c>
    </row>
    <row r="189" spans="1:7" x14ac:dyDescent="0.25">
      <c r="A189" t="s">
        <v>601</v>
      </c>
      <c r="B189" t="s">
        <v>186</v>
      </c>
      <c r="C189" t="s">
        <v>186</v>
      </c>
      <c r="D189">
        <v>31</v>
      </c>
      <c r="F189">
        <f>IFERROR(Levererat_2016[[#This Row],[Leveranser:]]-Levererat_2016[[#This Row],[Leveranser till annat fjärrvärmebolag]],"")</f>
        <v>31</v>
      </c>
      <c r="G189" t="str">
        <f>VLOOKUP(Levererat_2016[[#This Row],[Indexnamn]],'Leveranser per nät'!$A$4:$A$526,1,FALSE)</f>
        <v>Lerum</v>
      </c>
    </row>
    <row r="190" spans="1:7" x14ac:dyDescent="0.25">
      <c r="A190" t="s">
        <v>601</v>
      </c>
      <c r="B190" t="s">
        <v>417</v>
      </c>
      <c r="C190" t="s">
        <v>417</v>
      </c>
      <c r="D190">
        <v>2.4</v>
      </c>
      <c r="F190">
        <f>IFERROR(Levererat_2016[[#This Row],[Leveranser:]]-Levererat_2016[[#This Row],[Leveranser till annat fjärrvärmebolag]],"")</f>
        <v>2.4</v>
      </c>
      <c r="G190" t="str">
        <f>VLOOKUP(Levererat_2016[[#This Row],[Indexnamn]],'Leveranser per nät'!$A$4:$A$526,1,FALSE)</f>
        <v>Stenkullen</v>
      </c>
    </row>
    <row r="191" spans="1:7" x14ac:dyDescent="0.25">
      <c r="A191" t="s">
        <v>858</v>
      </c>
      <c r="B191" t="s">
        <v>515</v>
      </c>
      <c r="C191" t="s">
        <v>515</v>
      </c>
      <c r="D191" t="s">
        <v>805</v>
      </c>
      <c r="F191" t="str">
        <f>IFERROR(Levererat_2016[[#This Row],[Leveranser:]]-Levererat_2016[[#This Row],[Leveranser till annat fjärrvärmebolag]],"")</f>
        <v/>
      </c>
      <c r="G191" t="e">
        <f>VLOOKUP(Levererat_2016[[#This Row],[Indexnamn]],'Leveranser per nät'!$A$4:$A$526,1,FALSE)</f>
        <v>#N/A</v>
      </c>
    </row>
    <row r="192" spans="1:7" x14ac:dyDescent="0.25">
      <c r="A192" t="s">
        <v>669</v>
      </c>
      <c r="B192" t="s">
        <v>187</v>
      </c>
      <c r="C192" t="s">
        <v>187</v>
      </c>
      <c r="D192">
        <v>43.5</v>
      </c>
      <c r="F192">
        <f>IFERROR(Levererat_2016[[#This Row],[Leveranser:]]-Levererat_2016[[#This Row],[Leveranser till annat fjärrvärmebolag]],"")</f>
        <v>43.5</v>
      </c>
      <c r="G192" t="str">
        <f>VLOOKUP(Levererat_2016[[#This Row],[Indexnamn]],'Leveranser per nät'!$A$4:$A$526,1,FALSE)</f>
        <v>Lysekil</v>
      </c>
    </row>
    <row r="193" spans="1:7" x14ac:dyDescent="0.25">
      <c r="A193" t="s">
        <v>661</v>
      </c>
      <c r="B193" t="s">
        <v>859</v>
      </c>
      <c r="C193" t="s">
        <v>859</v>
      </c>
      <c r="D193" t="s">
        <v>805</v>
      </c>
      <c r="F193" t="str">
        <f>IFERROR(Levererat_2016[[#This Row],[Leveranser:]]-Levererat_2016[[#This Row],[Leveranser till annat fjärrvärmebolag]],"")</f>
        <v/>
      </c>
      <c r="G193" t="e">
        <f>VLOOKUP(Levererat_2016[[#This Row],[Indexnamn]],'Leveranser per nät'!$A$4:$A$526,1,FALSE)</f>
        <v>#N/A</v>
      </c>
    </row>
    <row r="194" spans="1:7" x14ac:dyDescent="0.25">
      <c r="A194" t="s">
        <v>661</v>
      </c>
      <c r="B194" t="s">
        <v>188</v>
      </c>
      <c r="C194" t="s">
        <v>188</v>
      </c>
      <c r="D194">
        <v>297.53699999999998</v>
      </c>
      <c r="F194">
        <f>IFERROR(Levererat_2016[[#This Row],[Leveranser:]]-Levererat_2016[[#This Row],[Leveranser till annat fjärrvärmebolag]],"")</f>
        <v>297.53699999999998</v>
      </c>
      <c r="G194" t="str">
        <f>VLOOKUP(Levererat_2016[[#This Row],[Indexnamn]],'Leveranser per nät'!$A$4:$A$526,1,FALSE)</f>
        <v>Lidköping</v>
      </c>
    </row>
    <row r="195" spans="1:7" x14ac:dyDescent="0.25">
      <c r="A195" t="s">
        <v>662</v>
      </c>
      <c r="B195" t="s">
        <v>189</v>
      </c>
      <c r="C195" t="s">
        <v>189</v>
      </c>
      <c r="D195">
        <v>11.895</v>
      </c>
      <c r="F195">
        <f>IFERROR(Levererat_2016[[#This Row],[Leveranser:]]-Levererat_2016[[#This Row],[Leveranser till annat fjärrvärmebolag]],"")</f>
        <v>11.895</v>
      </c>
      <c r="G195" t="str">
        <f>VLOOKUP(Levererat_2016[[#This Row],[Indexnamn]],'Leveranser per nät'!$A$4:$A$526,1,FALSE)</f>
        <v>Lilla Edet</v>
      </c>
    </row>
    <row r="196" spans="1:7" x14ac:dyDescent="0.25">
      <c r="A196" t="s">
        <v>606</v>
      </c>
      <c r="B196" t="s">
        <v>191</v>
      </c>
      <c r="C196" t="s">
        <v>191</v>
      </c>
      <c r="D196">
        <v>14.45</v>
      </c>
      <c r="F196">
        <f>IFERROR(Levererat_2016[[#This Row],[Leveranser:]]-Levererat_2016[[#This Row],[Leveranser till annat fjärrvärmebolag]],"")</f>
        <v>14.45</v>
      </c>
      <c r="G196" t="str">
        <f>VLOOKUP(Levererat_2016[[#This Row],[Indexnamn]],'Leveranser per nät'!$A$4:$A$526,1,FALSE)</f>
        <v>Frövi</v>
      </c>
    </row>
    <row r="197" spans="1:7" x14ac:dyDescent="0.25">
      <c r="A197" t="s">
        <v>606</v>
      </c>
      <c r="B197" t="s">
        <v>190</v>
      </c>
      <c r="C197" t="s">
        <v>190</v>
      </c>
      <c r="D197">
        <v>92.6</v>
      </c>
      <c r="F197">
        <f>IFERROR(Levererat_2016[[#This Row],[Leveranser:]]-Levererat_2016[[#This Row],[Leveranser till annat fjärrvärmebolag]],"")</f>
        <v>92.6</v>
      </c>
      <c r="G197" t="str">
        <f>VLOOKUP(Levererat_2016[[#This Row],[Indexnamn]],'Leveranser per nät'!$A$4:$A$526,1,FALSE)</f>
        <v>Lindesberg</v>
      </c>
    </row>
    <row r="198" spans="1:7" x14ac:dyDescent="0.25">
      <c r="A198" t="s">
        <v>606</v>
      </c>
      <c r="B198" t="s">
        <v>703</v>
      </c>
      <c r="C198" t="s">
        <v>703</v>
      </c>
      <c r="D198" t="s">
        <v>806</v>
      </c>
      <c r="F198" t="str">
        <f>IFERROR(Levererat_2016[[#This Row],[Leveranser:]]-Levererat_2016[[#This Row],[Leveranser till annat fjärrvärmebolag]],"")</f>
        <v/>
      </c>
      <c r="G198" t="e">
        <f>VLOOKUP(Levererat_2016[[#This Row],[Indexnamn]],'Leveranser per nät'!$A$4:$A$526,1,FALSE)</f>
        <v>#N/A</v>
      </c>
    </row>
    <row r="199" spans="1:7" x14ac:dyDescent="0.25">
      <c r="A199" t="s">
        <v>606</v>
      </c>
      <c r="B199" t="s">
        <v>192</v>
      </c>
      <c r="C199" t="s">
        <v>192</v>
      </c>
      <c r="D199">
        <v>3.5</v>
      </c>
      <c r="F199">
        <f>IFERROR(Levererat_2016[[#This Row],[Leveranser:]]-Levererat_2016[[#This Row],[Leveranser till annat fjärrvärmebolag]],"")</f>
        <v>3.5</v>
      </c>
      <c r="G199" t="str">
        <f>VLOOKUP(Levererat_2016[[#This Row],[Indexnamn]],'Leveranser per nät'!$A$4:$A$526,1,FALSE)</f>
        <v>Vedevåg</v>
      </c>
    </row>
    <row r="200" spans="1:7" x14ac:dyDescent="0.25">
      <c r="A200" t="s">
        <v>663</v>
      </c>
      <c r="B200" t="s">
        <v>78</v>
      </c>
      <c r="C200" t="s">
        <v>78</v>
      </c>
      <c r="D200">
        <v>142</v>
      </c>
      <c r="F200">
        <f>IFERROR(Levererat_2016[[#This Row],[Leveranser:]]-Levererat_2016[[#This Row],[Leveranser till annat fjärrvärmebolag]],"")</f>
        <v>142</v>
      </c>
      <c r="G200" t="str">
        <f>VLOOKUP(Levererat_2016[[#This Row],[Indexnamn]],'Leveranser per nät'!$A$4:$A$526,1,FALSE)</f>
        <v>Ljungby</v>
      </c>
    </row>
    <row r="201" spans="1:7" x14ac:dyDescent="0.25">
      <c r="A201" t="s">
        <v>608</v>
      </c>
      <c r="B201" t="s">
        <v>194</v>
      </c>
      <c r="C201" t="s">
        <v>194</v>
      </c>
      <c r="D201">
        <v>8</v>
      </c>
      <c r="F201">
        <f>IFERROR(Levererat_2016[[#This Row],[Leveranser:]]-Levererat_2016[[#This Row],[Leveranser till annat fjärrvärmebolag]],"")</f>
        <v>8</v>
      </c>
      <c r="G201" t="str">
        <f>VLOOKUP(Levererat_2016[[#This Row],[Indexnamn]],'Leveranser per nät'!$A$4:$A$526,1,FALSE)</f>
        <v>Färila</v>
      </c>
    </row>
    <row r="202" spans="1:7" x14ac:dyDescent="0.25">
      <c r="A202" t="s">
        <v>608</v>
      </c>
      <c r="B202" t="s">
        <v>195</v>
      </c>
      <c r="C202" t="s">
        <v>195</v>
      </c>
      <c r="D202">
        <v>10.7</v>
      </c>
      <c r="F202">
        <f>IFERROR(Levererat_2016[[#This Row],[Leveranser:]]-Levererat_2016[[#This Row],[Leveranser till annat fjärrvärmebolag]],"")</f>
        <v>10.7</v>
      </c>
      <c r="G202" t="str">
        <f>VLOOKUP(Levererat_2016[[#This Row],[Indexnamn]],'Leveranser per nät'!$A$4:$A$526,1,FALSE)</f>
        <v>Järvsö</v>
      </c>
    </row>
    <row r="203" spans="1:7" x14ac:dyDescent="0.25">
      <c r="A203" t="s">
        <v>608</v>
      </c>
      <c r="B203" t="s">
        <v>193</v>
      </c>
      <c r="C203" t="s">
        <v>193</v>
      </c>
      <c r="D203">
        <v>63.3</v>
      </c>
      <c r="F203">
        <f>IFERROR(Levererat_2016[[#This Row],[Leveranser:]]-Levererat_2016[[#This Row],[Leveranser till annat fjärrvärmebolag]],"")</f>
        <v>63.3</v>
      </c>
      <c r="G203" t="str">
        <f>VLOOKUP(Levererat_2016[[#This Row],[Indexnamn]],'Leveranser per nät'!$A$4:$A$526,1,FALSE)</f>
        <v>Ljusdal</v>
      </c>
    </row>
    <row r="204" spans="1:7" x14ac:dyDescent="0.25">
      <c r="A204" t="s">
        <v>667</v>
      </c>
      <c r="B204" t="s">
        <v>196</v>
      </c>
      <c r="C204" t="s">
        <v>196</v>
      </c>
      <c r="D204">
        <v>773.4</v>
      </c>
      <c r="F204">
        <f>IFERROR(Levererat_2016[[#This Row],[Leveranser:]]-Levererat_2016[[#This Row],[Leveranser till annat fjärrvärmebolag]],"")</f>
        <v>773.4</v>
      </c>
      <c r="G204" t="str">
        <f>VLOOKUP(Levererat_2016[[#This Row],[Indexnamn]],'Leveranser per nät'!$A$4:$A$526,1,FALSE)</f>
        <v>Luleå</v>
      </c>
    </row>
    <row r="205" spans="1:7" x14ac:dyDescent="0.25">
      <c r="A205" t="s">
        <v>667</v>
      </c>
      <c r="B205" t="s">
        <v>860</v>
      </c>
      <c r="C205" t="s">
        <v>860</v>
      </c>
      <c r="D205">
        <v>4.67</v>
      </c>
      <c r="F205">
        <f>IFERROR(Levererat_2016[[#This Row],[Leveranser:]]-Levererat_2016[[#This Row],[Leveranser till annat fjärrvärmebolag]],"")</f>
        <v>4.67</v>
      </c>
      <c r="G205" t="e">
        <f>VLOOKUP(Levererat_2016[[#This Row],[Indexnamn]],'Leveranser per nät'!$A$4:$A$526,1,FALSE)</f>
        <v>#N/A</v>
      </c>
    </row>
    <row r="206" spans="1:7" x14ac:dyDescent="0.25">
      <c r="A206" t="s">
        <v>667</v>
      </c>
      <c r="B206" t="s">
        <v>197</v>
      </c>
      <c r="C206" t="s">
        <v>197</v>
      </c>
      <c r="D206">
        <v>22.2</v>
      </c>
      <c r="F206">
        <f>IFERROR(Levererat_2016[[#This Row],[Leveranser:]]-Levererat_2016[[#This Row],[Leveranser till annat fjärrvärmebolag]],"")</f>
        <v>22.2</v>
      </c>
      <c r="G206" t="str">
        <f>VLOOKUP(Levererat_2016[[#This Row],[Indexnamn]],'Leveranser per nät'!$A$4:$A$526,1,FALSE)</f>
        <v>Råneå</v>
      </c>
    </row>
    <row r="207" spans="1:7" x14ac:dyDescent="0.25">
      <c r="A207" t="s">
        <v>671</v>
      </c>
      <c r="B207" t="s">
        <v>201</v>
      </c>
      <c r="C207" t="s">
        <v>201</v>
      </c>
      <c r="D207">
        <v>27.6</v>
      </c>
      <c r="F207">
        <f>IFERROR(Levererat_2016[[#This Row],[Leveranser:]]-Levererat_2016[[#This Row],[Leveranser till annat fjärrvärmebolag]],"")</f>
        <v>27.6</v>
      </c>
      <c r="G207" t="str">
        <f>VLOOKUP(Levererat_2016[[#This Row],[Indexnamn]],'Leveranser per nät'!$A$4:$A$526,1,FALSE)</f>
        <v>Malung</v>
      </c>
    </row>
    <row r="208" spans="1:7" x14ac:dyDescent="0.25">
      <c r="A208" t="s">
        <v>557</v>
      </c>
      <c r="B208" t="s">
        <v>861</v>
      </c>
      <c r="C208" t="s">
        <v>861</v>
      </c>
      <c r="D208" t="s">
        <v>805</v>
      </c>
      <c r="F208" t="str">
        <f>IFERROR(Levererat_2016[[#This Row],[Leveranser:]]-Levererat_2016[[#This Row],[Leveranser till annat fjärrvärmebolag]],"")</f>
        <v/>
      </c>
      <c r="G208" t="str">
        <f>VLOOKUP(Levererat_2016[[#This Row],[Indexnamn]],'Leveranser per nät'!$A$4:$A$526,1,FALSE)</f>
        <v>Assberg - Fritslanäten</v>
      </c>
    </row>
    <row r="209" spans="1:7" x14ac:dyDescent="0.25">
      <c r="A209" t="s">
        <v>557</v>
      </c>
      <c r="B209" t="s">
        <v>392</v>
      </c>
      <c r="C209" t="s">
        <v>392</v>
      </c>
      <c r="D209">
        <v>85.4</v>
      </c>
      <c r="F209">
        <f>IFERROR(Levererat_2016[[#This Row],[Leveranser:]]-Levererat_2016[[#This Row],[Leveranser till annat fjärrvärmebolag]],"")</f>
        <v>85.4</v>
      </c>
      <c r="G209" t="str">
        <f>VLOOKUP(Levererat_2016[[#This Row],[Indexnamn]],'Leveranser per nät'!$A$4:$A$526,1,FALSE)</f>
        <v>Assbergs nätet</v>
      </c>
    </row>
    <row r="210" spans="1:7" x14ac:dyDescent="0.25">
      <c r="A210" t="s">
        <v>557</v>
      </c>
      <c r="B210" t="s">
        <v>204</v>
      </c>
      <c r="C210" t="s">
        <v>204</v>
      </c>
      <c r="D210">
        <v>8</v>
      </c>
      <c r="F210">
        <f>IFERROR(Levererat_2016[[#This Row],[Leveranser:]]-Levererat_2016[[#This Row],[Leveranser till annat fjärrvärmebolag]],"")</f>
        <v>8</v>
      </c>
      <c r="G210" t="str">
        <f>VLOOKUP(Levererat_2016[[#This Row],[Indexnamn]],'Leveranser per nät'!$A$4:$A$526,1,FALSE)</f>
        <v>Fritsla</v>
      </c>
    </row>
    <row r="211" spans="1:7" x14ac:dyDescent="0.25">
      <c r="A211" t="s">
        <v>557</v>
      </c>
      <c r="B211" t="s">
        <v>772</v>
      </c>
      <c r="C211" t="s">
        <v>772</v>
      </c>
      <c r="D211">
        <v>1.23</v>
      </c>
      <c r="F211">
        <f>IFERROR(Levererat_2016[[#This Row],[Leveranser:]]-Levererat_2016[[#This Row],[Leveranser till annat fjärrvärmebolag]],"")</f>
        <v>1.23</v>
      </c>
      <c r="G211" t="str">
        <f>VLOOKUP(Levererat_2016[[#This Row],[Indexnamn]],'Leveranser per nät'!$A$4:$A$526,1,FALSE)</f>
        <v>Hyssna</v>
      </c>
    </row>
    <row r="212" spans="1:7" x14ac:dyDescent="0.25">
      <c r="A212" t="s">
        <v>673</v>
      </c>
      <c r="B212" t="s">
        <v>205</v>
      </c>
      <c r="C212" t="s">
        <v>205</v>
      </c>
      <c r="D212">
        <v>176.8</v>
      </c>
      <c r="E212">
        <v>0.26</v>
      </c>
      <c r="F212">
        <f>IFERROR(Levererat_2016[[#This Row],[Leveranser:]]-Levererat_2016[[#This Row],[Leveranser till annat fjärrvärmebolag]],"")</f>
        <v>176.54000000000002</v>
      </c>
      <c r="G212" t="str">
        <f>VLOOKUP(Levererat_2016[[#This Row],[Indexnamn]],'Leveranser per nät'!$A$4:$A$526,1,FALSE)</f>
        <v>Mjölby</v>
      </c>
    </row>
    <row r="213" spans="1:7" x14ac:dyDescent="0.25">
      <c r="A213" t="s">
        <v>674</v>
      </c>
      <c r="B213" t="s">
        <v>493</v>
      </c>
      <c r="C213" t="s">
        <v>493</v>
      </c>
      <c r="D213">
        <v>17.899999999999999</v>
      </c>
      <c r="F213">
        <f>IFERROR(Levererat_2016[[#This Row],[Leveranser:]]-Levererat_2016[[#This Row],[Leveranser till annat fjärrvärmebolag]],"")</f>
        <v>17.899999999999999</v>
      </c>
      <c r="G213" t="str">
        <f>VLOOKUP(Levererat_2016[[#This Row],[Indexnamn]],'Leveranser per nät'!$A$4:$A$526,1,FALSE)</f>
        <v>Mullsjö</v>
      </c>
    </row>
    <row r="214" spans="1:7" x14ac:dyDescent="0.25">
      <c r="A214" t="s">
        <v>675</v>
      </c>
      <c r="B214" t="s">
        <v>206</v>
      </c>
      <c r="C214" t="s">
        <v>206</v>
      </c>
      <c r="D214" t="s">
        <v>805</v>
      </c>
      <c r="F214" t="str">
        <f>IFERROR(Levererat_2016[[#This Row],[Leveranser:]]-Levererat_2016[[#This Row],[Leveranser till annat fjärrvärmebolag]],"")</f>
        <v/>
      </c>
      <c r="G214" t="str">
        <f>VLOOKUP(Levererat_2016[[#This Row],[Indexnamn]],'Leveranser per nät'!$A$4:$A$526,1,FALSE)</f>
        <v>Munkfors</v>
      </c>
    </row>
    <row r="215" spans="1:7" x14ac:dyDescent="0.25">
      <c r="A215" t="s">
        <v>620</v>
      </c>
      <c r="B215" t="s">
        <v>209</v>
      </c>
      <c r="C215" t="s">
        <v>209</v>
      </c>
      <c r="D215">
        <v>37.6</v>
      </c>
      <c r="F215">
        <f>IFERROR(Levererat_2016[[#This Row],[Leveranser:]]-Levererat_2016[[#This Row],[Leveranser till annat fjärrvärmebolag]],"")</f>
        <v>37.6</v>
      </c>
      <c r="G215" t="str">
        <f>VLOOKUP(Levererat_2016[[#This Row],[Indexnamn]],'Leveranser per nät'!$A$4:$A$526,1,FALSE)</f>
        <v>Kungsör</v>
      </c>
    </row>
    <row r="216" spans="1:7" x14ac:dyDescent="0.25">
      <c r="A216" t="s">
        <v>620</v>
      </c>
      <c r="B216" t="s">
        <v>296</v>
      </c>
      <c r="C216" t="s">
        <v>296</v>
      </c>
      <c r="D216">
        <v>27.8</v>
      </c>
      <c r="F216">
        <f>IFERROR(Levererat_2016[[#This Row],[Leveranser:]]-Levererat_2016[[#This Row],[Leveranser till annat fjärrvärmebolag]],"")</f>
        <v>27.8</v>
      </c>
      <c r="G216" t="str">
        <f>VLOOKUP(Levererat_2016[[#This Row],[Indexnamn]],'Leveranser per nät'!$A$4:$A$526,1,FALSE)</f>
        <v>Surahammar</v>
      </c>
    </row>
    <row r="217" spans="1:7" x14ac:dyDescent="0.25">
      <c r="A217" t="s">
        <v>620</v>
      </c>
      <c r="B217" t="s">
        <v>207</v>
      </c>
      <c r="C217" t="s">
        <v>207</v>
      </c>
      <c r="D217">
        <v>1445.8</v>
      </c>
      <c r="F217">
        <f>IFERROR(Levererat_2016[[#This Row],[Leveranser:]]-Levererat_2016[[#This Row],[Leveranser till annat fjärrvärmebolag]],"")</f>
        <v>1445.8</v>
      </c>
      <c r="G217" t="str">
        <f>VLOOKUP(Levererat_2016[[#This Row],[Indexnamn]],'Leveranser per nät'!$A$4:$A$526,1,FALSE)</f>
        <v>Västerås</v>
      </c>
    </row>
    <row r="218" spans="1:7" x14ac:dyDescent="0.25">
      <c r="A218" t="s">
        <v>620</v>
      </c>
      <c r="B218" t="s">
        <v>790</v>
      </c>
      <c r="C218" t="s">
        <v>790</v>
      </c>
      <c r="D218">
        <v>16.372</v>
      </c>
      <c r="F218">
        <f>IFERROR(Levererat_2016[[#This Row],[Leveranser:]]-Levererat_2016[[#This Row],[Leveranser till annat fjärrvärmebolag]],"")</f>
        <v>16.372</v>
      </c>
      <c r="G218" t="e">
        <f>VLOOKUP(Levererat_2016[[#This Row],[Indexnamn]],'Leveranser per nät'!$A$4:$A$526,1,FALSE)</f>
        <v>#N/A</v>
      </c>
    </row>
    <row r="219" spans="1:7" x14ac:dyDescent="0.25">
      <c r="A219" t="s">
        <v>676</v>
      </c>
      <c r="B219" t="s">
        <v>210</v>
      </c>
      <c r="C219" t="s">
        <v>210</v>
      </c>
      <c r="D219">
        <v>330.23</v>
      </c>
      <c r="E219">
        <v>75.63</v>
      </c>
      <c r="F219">
        <f>IFERROR(Levererat_2016[[#This Row],[Leveranser:]]-Levererat_2016[[#This Row],[Leveranser till annat fjärrvärmebolag]],"")</f>
        <v>254.60000000000002</v>
      </c>
      <c r="G219" t="str">
        <f>VLOOKUP(Levererat_2016[[#This Row],[Indexnamn]],'Leveranser per nät'!$A$4:$A$526,1,FALSE)</f>
        <v>Mölndal</v>
      </c>
    </row>
    <row r="220" spans="1:7" x14ac:dyDescent="0.25">
      <c r="A220" t="s">
        <v>676</v>
      </c>
      <c r="B220" t="s">
        <v>819</v>
      </c>
      <c r="C220" t="s">
        <v>819</v>
      </c>
      <c r="D220">
        <v>33.14</v>
      </c>
      <c r="F220">
        <f>IFERROR(Levererat_2016[[#This Row],[Leveranser:]]-Levererat_2016[[#This Row],[Leveranser till annat fjärrvärmebolag]],"")</f>
        <v>33.14</v>
      </c>
      <c r="G220" t="e">
        <f>VLOOKUP(Levererat_2016[[#This Row],[Indexnamn]],'Leveranser per nät'!$A$4:$A$526,1,FALSE)</f>
        <v>#N/A</v>
      </c>
    </row>
    <row r="221" spans="1:7" x14ac:dyDescent="0.25">
      <c r="A221" t="s">
        <v>676</v>
      </c>
      <c r="B221" t="s">
        <v>677</v>
      </c>
      <c r="C221" t="s">
        <v>677</v>
      </c>
      <c r="D221">
        <v>14.07</v>
      </c>
      <c r="F221">
        <f>IFERROR(Levererat_2016[[#This Row],[Leveranser:]]-Levererat_2016[[#This Row],[Leveranser till annat fjärrvärmebolag]],"")</f>
        <v>14.07</v>
      </c>
      <c r="G221" t="e">
        <f>VLOOKUP(Levererat_2016[[#This Row],[Indexnamn]],'Leveranser per nät'!$A$4:$A$526,1,FALSE)</f>
        <v>#N/A</v>
      </c>
    </row>
    <row r="222" spans="1:7" x14ac:dyDescent="0.25">
      <c r="A222" t="s">
        <v>862</v>
      </c>
      <c r="B222" t="s">
        <v>863</v>
      </c>
      <c r="C222" t="s">
        <v>863</v>
      </c>
      <c r="D222" t="s">
        <v>805</v>
      </c>
      <c r="F222" t="str">
        <f>IFERROR(Levererat_2016[[#This Row],[Leveranser:]]-Levererat_2016[[#This Row],[Leveranser till annat fjärrvärmebolag]],"")</f>
        <v/>
      </c>
      <c r="G222" t="e">
        <f>VLOOKUP(Levererat_2016[[#This Row],[Indexnamn]],'Leveranser per nät'!$A$4:$A$526,1,FALSE)</f>
        <v>#N/A</v>
      </c>
    </row>
    <row r="223" spans="1:7" x14ac:dyDescent="0.25">
      <c r="A223" t="s">
        <v>864</v>
      </c>
      <c r="B223" t="s">
        <v>213</v>
      </c>
      <c r="C223" t="s">
        <v>213</v>
      </c>
      <c r="D223" t="s">
        <v>805</v>
      </c>
      <c r="F223" t="str">
        <f>IFERROR(Levererat_2016[[#This Row],[Leveranser:]]-Levererat_2016[[#This Row],[Leveranser till annat fjärrvärmebolag]],"")</f>
        <v/>
      </c>
      <c r="G223" t="str">
        <f>VLOOKUP(Levererat_2016[[#This Row],[Indexnamn]],'Leveranser per nät'!$A$4:$A$526,1,FALSE)</f>
        <v>Bjuv</v>
      </c>
    </row>
    <row r="224" spans="1:7" x14ac:dyDescent="0.25">
      <c r="A224" t="s">
        <v>864</v>
      </c>
      <c r="B224" t="s">
        <v>215</v>
      </c>
      <c r="C224" t="s">
        <v>215</v>
      </c>
      <c r="D224" t="s">
        <v>805</v>
      </c>
      <c r="F224" t="str">
        <f>IFERROR(Levererat_2016[[#This Row],[Leveranser:]]-Levererat_2016[[#This Row],[Leveranser till annat fjärrvärmebolag]],"")</f>
        <v/>
      </c>
      <c r="G224" t="str">
        <f>VLOOKUP(Levererat_2016[[#This Row],[Indexnamn]],'Leveranser per nät'!$A$4:$A$526,1,FALSE)</f>
        <v>Hultsfred</v>
      </c>
    </row>
    <row r="225" spans="1:7" x14ac:dyDescent="0.25">
      <c r="A225" t="s">
        <v>864</v>
      </c>
      <c r="B225" t="s">
        <v>211</v>
      </c>
      <c r="C225" t="s">
        <v>211</v>
      </c>
      <c r="D225" t="s">
        <v>805</v>
      </c>
      <c r="F225" t="str">
        <f>IFERROR(Levererat_2016[[#This Row],[Leveranser:]]-Levererat_2016[[#This Row],[Leveranser till annat fjärrvärmebolag]],"")</f>
        <v/>
      </c>
      <c r="G225" t="str">
        <f>VLOOKUP(Levererat_2016[[#This Row],[Indexnamn]],'Leveranser per nät'!$A$4:$A$526,1,FALSE)</f>
        <v>Kramfors</v>
      </c>
    </row>
    <row r="226" spans="1:7" x14ac:dyDescent="0.25">
      <c r="A226" t="s">
        <v>864</v>
      </c>
      <c r="B226" t="s">
        <v>865</v>
      </c>
      <c r="C226" t="s">
        <v>865</v>
      </c>
      <c r="D226" t="s">
        <v>805</v>
      </c>
      <c r="F226" t="str">
        <f>IFERROR(Levererat_2016[[#This Row],[Leveranser:]]-Levererat_2016[[#This Row],[Leveranser till annat fjärrvärmebolag]],"")</f>
        <v/>
      </c>
      <c r="G226" t="e">
        <f>VLOOKUP(Levererat_2016[[#This Row],[Indexnamn]],'Leveranser per nät'!$A$4:$A$526,1,FALSE)</f>
        <v>#N/A</v>
      </c>
    </row>
    <row r="227" spans="1:7" x14ac:dyDescent="0.25">
      <c r="A227" t="s">
        <v>864</v>
      </c>
      <c r="B227" t="s">
        <v>216</v>
      </c>
      <c r="C227" t="s">
        <v>216</v>
      </c>
      <c r="D227" t="s">
        <v>805</v>
      </c>
      <c r="F227" t="str">
        <f>IFERROR(Levererat_2016[[#This Row],[Leveranser:]]-Levererat_2016[[#This Row],[Leveranser till annat fjärrvärmebolag]],"")</f>
        <v/>
      </c>
      <c r="G227" t="str">
        <f>VLOOKUP(Levererat_2016[[#This Row],[Indexnamn]],'Leveranser per nät'!$A$4:$A$526,1,FALSE)</f>
        <v>Tibro</v>
      </c>
    </row>
    <row r="228" spans="1:7" x14ac:dyDescent="0.25">
      <c r="A228" t="s">
        <v>864</v>
      </c>
      <c r="B228" t="s">
        <v>212</v>
      </c>
      <c r="C228" t="s">
        <v>212</v>
      </c>
      <c r="D228" t="s">
        <v>805</v>
      </c>
      <c r="F228" t="str">
        <f>IFERROR(Levererat_2016[[#This Row],[Leveranser:]]-Levererat_2016[[#This Row],[Leveranser till annat fjärrvärmebolag]],"")</f>
        <v/>
      </c>
      <c r="G228" t="str">
        <f>VLOOKUP(Levererat_2016[[#This Row],[Indexnamn]],'Leveranser per nät'!$A$4:$A$526,1,FALSE)</f>
        <v>Valdemarsvik</v>
      </c>
    </row>
    <row r="229" spans="1:7" x14ac:dyDescent="0.25">
      <c r="A229" t="s">
        <v>864</v>
      </c>
      <c r="B229" t="s">
        <v>217</v>
      </c>
      <c r="C229" t="s">
        <v>217</v>
      </c>
      <c r="D229" t="s">
        <v>805</v>
      </c>
      <c r="F229" t="str">
        <f>IFERROR(Levererat_2016[[#This Row],[Leveranser:]]-Levererat_2016[[#This Row],[Leveranser till annat fjärrvärmebolag]],"")</f>
        <v/>
      </c>
      <c r="G229" t="str">
        <f>VLOOKUP(Levererat_2016[[#This Row],[Indexnamn]],'Leveranser per nät'!$A$4:$A$526,1,FALSE)</f>
        <v>Årjäng</v>
      </c>
    </row>
    <row r="230" spans="1:7" x14ac:dyDescent="0.25">
      <c r="A230" t="s">
        <v>864</v>
      </c>
      <c r="B230" t="s">
        <v>482</v>
      </c>
      <c r="C230" t="s">
        <v>482</v>
      </c>
      <c r="D230" t="s">
        <v>805</v>
      </c>
      <c r="F230" t="str">
        <f>IFERROR(Levererat_2016[[#This Row],[Leveranser:]]-Levererat_2016[[#This Row],[Leveranser till annat fjärrvärmebolag]],"")</f>
        <v/>
      </c>
      <c r="G230" t="str">
        <f>VLOOKUP(Levererat_2016[[#This Row],[Indexnamn]],'Leveranser per nät'!$A$4:$A$526,1,FALSE)</f>
        <v>Åstorp</v>
      </c>
    </row>
    <row r="231" spans="1:7" x14ac:dyDescent="0.25">
      <c r="A231" t="s">
        <v>864</v>
      </c>
      <c r="B231" t="s">
        <v>528</v>
      </c>
      <c r="C231" t="s">
        <v>528</v>
      </c>
      <c r="D231" t="s">
        <v>805</v>
      </c>
      <c r="F231" t="str">
        <f>IFERROR(Levererat_2016[[#This Row],[Leveranser:]]-Levererat_2016[[#This Row],[Leveranser till annat fjärrvärmebolag]],"")</f>
        <v/>
      </c>
      <c r="G231" t="str">
        <f>VLOOKUP(Levererat_2016[[#This Row],[Indexnamn]],'Leveranser per nät'!$A$4:$A$526,1,FALSE)</f>
        <v>Östhammar</v>
      </c>
    </row>
    <row r="232" spans="1:7" x14ac:dyDescent="0.25">
      <c r="A232" t="s">
        <v>866</v>
      </c>
      <c r="B232" t="s">
        <v>300</v>
      </c>
      <c r="C232" t="s">
        <v>300</v>
      </c>
      <c r="D232">
        <v>3.7</v>
      </c>
      <c r="F232">
        <f>IFERROR(Levererat_2016[[#This Row],[Leveranser:]]-Levererat_2016[[#This Row],[Leveranser till annat fjärrvärmebolag]],"")</f>
        <v>3.7</v>
      </c>
      <c r="G232" t="str">
        <f>VLOOKUP(Levererat_2016[[#This Row],[Indexnamn]],'Leveranser per nät'!$A$4:$A$526,1,FALSE)</f>
        <v>Rörvik</v>
      </c>
    </row>
    <row r="233" spans="1:7" x14ac:dyDescent="0.25">
      <c r="A233" t="s">
        <v>866</v>
      </c>
      <c r="B233" t="s">
        <v>299</v>
      </c>
      <c r="C233" t="s">
        <v>299</v>
      </c>
      <c r="D233">
        <v>43.6</v>
      </c>
      <c r="F233">
        <f>IFERROR(Levererat_2016[[#This Row],[Leveranser:]]-Levererat_2016[[#This Row],[Leveranser till annat fjärrvärmebolag]],"")</f>
        <v>43.6</v>
      </c>
      <c r="G233" t="str">
        <f>VLOOKUP(Levererat_2016[[#This Row],[Indexnamn]],'Leveranser per nät'!$A$4:$A$526,1,FALSE)</f>
        <v>Sävsjö</v>
      </c>
    </row>
    <row r="234" spans="1:7" x14ac:dyDescent="0.25">
      <c r="A234" t="s">
        <v>867</v>
      </c>
      <c r="B234" t="s">
        <v>868</v>
      </c>
      <c r="C234" t="s">
        <v>868</v>
      </c>
      <c r="D234" t="s">
        <v>805</v>
      </c>
      <c r="F234" t="str">
        <f>IFERROR(Levererat_2016[[#This Row],[Leveranser:]]-Levererat_2016[[#This Row],[Leveranser till annat fjärrvärmebolag]],"")</f>
        <v/>
      </c>
      <c r="G234" t="e">
        <f>VLOOKUP(Levererat_2016[[#This Row],[Indexnamn]],'Leveranser per nät'!$A$4:$A$526,1,FALSE)</f>
        <v>#N/A</v>
      </c>
    </row>
    <row r="235" spans="1:7" x14ac:dyDescent="0.25">
      <c r="A235" t="s">
        <v>867</v>
      </c>
      <c r="B235" t="s">
        <v>349</v>
      </c>
      <c r="C235" t="s">
        <v>349</v>
      </c>
      <c r="D235">
        <v>3.9</v>
      </c>
      <c r="F235">
        <f>IFERROR(Levererat_2016[[#This Row],[Leveranser:]]-Levererat_2016[[#This Row],[Leveranser till annat fjärrvärmebolag]],"")</f>
        <v>3.9</v>
      </c>
      <c r="G235" t="str">
        <f>VLOOKUP(Levererat_2016[[#This Row],[Indexnamn]],'Leveranser per nät'!$A$4:$A$526,1,FALSE)</f>
        <v>Holsby</v>
      </c>
    </row>
    <row r="236" spans="1:7" x14ac:dyDescent="0.25">
      <c r="A236" t="s">
        <v>867</v>
      </c>
      <c r="B236" t="s">
        <v>348</v>
      </c>
      <c r="C236" t="s">
        <v>348</v>
      </c>
      <c r="D236">
        <v>125.7</v>
      </c>
      <c r="F236">
        <f>IFERROR(Levererat_2016[[#This Row],[Leveranser:]]-Levererat_2016[[#This Row],[Leveranser till annat fjärrvärmebolag]],"")</f>
        <v>125.7</v>
      </c>
      <c r="G236" t="str">
        <f>VLOOKUP(Levererat_2016[[#This Row],[Indexnamn]],'Leveranser per nät'!$A$4:$A$526,1,FALSE)</f>
        <v>Vetlanda</v>
      </c>
    </row>
    <row r="237" spans="1:7" x14ac:dyDescent="0.25">
      <c r="A237" t="s">
        <v>869</v>
      </c>
      <c r="B237" t="s">
        <v>870</v>
      </c>
      <c r="C237" t="s">
        <v>870</v>
      </c>
      <c r="D237" t="s">
        <v>805</v>
      </c>
      <c r="F237" t="str">
        <f>IFERROR(Levererat_2016[[#This Row],[Leveranser:]]-Levererat_2016[[#This Row],[Leveranser till annat fjärrvärmebolag]],"")</f>
        <v/>
      </c>
      <c r="G237" t="str">
        <f>VLOOKUP(Levererat_2016[[#This Row],[Indexnamn]],'Leveranser per nät'!$A$4:$A$526,1,FALSE)</f>
        <v>Nordanstig</v>
      </c>
    </row>
    <row r="238" spans="1:7" x14ac:dyDescent="0.25">
      <c r="A238" t="s">
        <v>711</v>
      </c>
      <c r="B238" t="s">
        <v>219</v>
      </c>
      <c r="C238" t="s">
        <v>219</v>
      </c>
      <c r="D238">
        <v>1021</v>
      </c>
      <c r="E238">
        <v>0.4</v>
      </c>
      <c r="F238">
        <f>IFERROR(Levererat_2016[[#This Row],[Leveranser:]]-Levererat_2016[[#This Row],[Leveranser till annat fjärrvärmebolag]],"")</f>
        <v>1020.6</v>
      </c>
      <c r="G238" t="str">
        <f>VLOOKUP(Levererat_2016[[#This Row],[Indexnamn]],'Leveranser per nät'!$A$4:$A$526,1,FALSE)</f>
        <v>Sundbyberg-Solna</v>
      </c>
    </row>
    <row r="239" spans="1:7" x14ac:dyDescent="0.25">
      <c r="A239" t="s">
        <v>621</v>
      </c>
      <c r="B239" t="s">
        <v>220</v>
      </c>
      <c r="C239" t="s">
        <v>220</v>
      </c>
      <c r="D239">
        <v>17.007999999999999</v>
      </c>
      <c r="F239">
        <f>IFERROR(Levererat_2016[[#This Row],[Leveranser:]]-Levererat_2016[[#This Row],[Leveranser till annat fjärrvärmebolag]],"")</f>
        <v>17.007999999999999</v>
      </c>
      <c r="G239" t="str">
        <f>VLOOKUP(Levererat_2016[[#This Row],[Indexnamn]],'Leveranser per nät'!$A$4:$A$526,1,FALSE)</f>
        <v>Hallstavik</v>
      </c>
    </row>
    <row r="240" spans="1:7" x14ac:dyDescent="0.25">
      <c r="A240" t="s">
        <v>621</v>
      </c>
      <c r="B240" t="s">
        <v>221</v>
      </c>
      <c r="C240" t="s">
        <v>221</v>
      </c>
      <c r="D240">
        <v>122.11499999999999</v>
      </c>
      <c r="F240">
        <f>IFERROR(Levererat_2016[[#This Row],[Leveranser:]]-Levererat_2016[[#This Row],[Leveranser till annat fjärrvärmebolag]],"")</f>
        <v>122.11499999999999</v>
      </c>
      <c r="G240" t="str">
        <f>VLOOKUP(Levererat_2016[[#This Row],[Indexnamn]],'Leveranser per nät'!$A$4:$A$526,1,FALSE)</f>
        <v>Norrtälje</v>
      </c>
    </row>
    <row r="241" spans="1:7" x14ac:dyDescent="0.25">
      <c r="A241" t="s">
        <v>621</v>
      </c>
      <c r="B241" t="s">
        <v>222</v>
      </c>
      <c r="C241" t="s">
        <v>222</v>
      </c>
      <c r="D241">
        <v>17.367000000000001</v>
      </c>
      <c r="F241">
        <f>IFERROR(Levererat_2016[[#This Row],[Leveranser:]]-Levererat_2016[[#This Row],[Leveranser till annat fjärrvärmebolag]],"")</f>
        <v>17.367000000000001</v>
      </c>
      <c r="G241" t="str">
        <f>VLOOKUP(Levererat_2016[[#This Row],[Indexnamn]],'Leveranser per nät'!$A$4:$A$526,1,FALSE)</f>
        <v>Rimbo</v>
      </c>
    </row>
    <row r="242" spans="1:7" x14ac:dyDescent="0.25">
      <c r="A242" t="s">
        <v>871</v>
      </c>
      <c r="B242" t="s">
        <v>872</v>
      </c>
      <c r="C242" t="s">
        <v>872</v>
      </c>
      <c r="D242">
        <v>7.6</v>
      </c>
      <c r="F242">
        <f>IFERROR(Levererat_2016[[#This Row],[Leveranser:]]-Levererat_2016[[#This Row],[Leveranser till annat fjärrvärmebolag]],"")</f>
        <v>7.6</v>
      </c>
      <c r="G242" t="str">
        <f>VLOOKUP(Levererat_2016[[#This Row],[Indexnamn]],'Leveranser per nät'!$A$4:$A$526,1,FALSE)</f>
        <v>Essunga</v>
      </c>
    </row>
    <row r="243" spans="1:7" x14ac:dyDescent="0.25">
      <c r="A243" t="s">
        <v>679</v>
      </c>
      <c r="B243" t="s">
        <v>820</v>
      </c>
      <c r="C243" t="s">
        <v>163</v>
      </c>
      <c r="D243">
        <v>148.6</v>
      </c>
      <c r="F243">
        <f>IFERROR(Levererat_2016[[#This Row],[Leveranser:]]-Levererat_2016[[#This Row],[Leveranser till annat fjärrvärmebolag]],"")</f>
        <v>148.6</v>
      </c>
      <c r="G243" t="str">
        <f>VLOOKUP(Levererat_2016[[#This Row],[Indexnamn]],'Leveranser per nät'!$A$4:$A$526,1,FALSE)</f>
        <v>Nybro</v>
      </c>
    </row>
    <row r="244" spans="1:7" x14ac:dyDescent="0.25">
      <c r="A244" t="s">
        <v>551</v>
      </c>
      <c r="B244" t="s">
        <v>224</v>
      </c>
      <c r="C244" t="s">
        <v>224</v>
      </c>
      <c r="D244">
        <v>1.64</v>
      </c>
      <c r="F244">
        <f>IFERROR(Levererat_2016[[#This Row],[Leveranser:]]-Levererat_2016[[#This Row],[Leveranser till annat fjärrvärmebolag]],"")</f>
        <v>1.64</v>
      </c>
      <c r="G244" t="str">
        <f>VLOOKUP(Levererat_2016[[#This Row],[Indexnamn]],'Leveranser per nät'!$A$4:$A$526,1,FALSE)</f>
        <v>Anneberg</v>
      </c>
    </row>
    <row r="245" spans="1:7" x14ac:dyDescent="0.25">
      <c r="A245" t="s">
        <v>551</v>
      </c>
      <c r="B245" t="s">
        <v>225</v>
      </c>
      <c r="C245" t="s">
        <v>225</v>
      </c>
      <c r="D245">
        <v>11.096</v>
      </c>
      <c r="F245">
        <f>IFERROR(Levererat_2016[[#This Row],[Leveranser:]]-Levererat_2016[[#This Row],[Leveranser till annat fjärrvärmebolag]],"")</f>
        <v>11.096</v>
      </c>
      <c r="G245" t="str">
        <f>VLOOKUP(Levererat_2016[[#This Row],[Indexnamn]],'Leveranser per nät'!$A$4:$A$526,1,FALSE)</f>
        <v>Bodafors</v>
      </c>
    </row>
    <row r="246" spans="1:7" x14ac:dyDescent="0.25">
      <c r="A246" t="s">
        <v>551</v>
      </c>
      <c r="B246" t="s">
        <v>223</v>
      </c>
      <c r="C246" t="s">
        <v>223</v>
      </c>
      <c r="D246">
        <v>151.4</v>
      </c>
      <c r="F246">
        <f>IFERROR(Levererat_2016[[#This Row],[Leveranser:]]-Levererat_2016[[#This Row],[Leveranser till annat fjärrvärmebolag]],"")</f>
        <v>151.4</v>
      </c>
      <c r="G246" t="str">
        <f>VLOOKUP(Levererat_2016[[#This Row],[Indexnamn]],'Leveranser per nät'!$A$4:$A$526,1,FALSE)</f>
        <v>Nässjö</v>
      </c>
    </row>
    <row r="247" spans="1:7" x14ac:dyDescent="0.25">
      <c r="A247" t="s">
        <v>683</v>
      </c>
      <c r="B247" t="s">
        <v>226</v>
      </c>
      <c r="C247" t="s">
        <v>226</v>
      </c>
      <c r="D247">
        <v>49.66</v>
      </c>
      <c r="F247">
        <f>IFERROR(Levererat_2016[[#This Row],[Leveranser:]]-Levererat_2016[[#This Row],[Leveranser till annat fjärrvärmebolag]],"")</f>
        <v>49.66</v>
      </c>
      <c r="G247" t="str">
        <f>VLOOKUP(Levererat_2016[[#This Row],[Indexnamn]],'Leveranser per nät'!$A$4:$A$526,1,FALSE)</f>
        <v>Olofström</v>
      </c>
    </row>
    <row r="248" spans="1:7" x14ac:dyDescent="0.25">
      <c r="A248" t="s">
        <v>873</v>
      </c>
      <c r="B248" t="s">
        <v>874</v>
      </c>
      <c r="C248" t="s">
        <v>874</v>
      </c>
      <c r="D248">
        <v>5.7</v>
      </c>
      <c r="F248">
        <f>IFERROR(Levererat_2016[[#This Row],[Leveranser:]]-Levererat_2016[[#This Row],[Leveranser till annat fjärrvärmebolag]],"")</f>
        <v>5.7</v>
      </c>
      <c r="G248" t="e">
        <f>VLOOKUP(Levererat_2016[[#This Row],[Indexnamn]],'Leveranser per nät'!$A$4:$A$526,1,FALSE)</f>
        <v>#N/A</v>
      </c>
    </row>
    <row r="249" spans="1:7" x14ac:dyDescent="0.25">
      <c r="A249" t="s">
        <v>873</v>
      </c>
      <c r="B249" t="s">
        <v>875</v>
      </c>
      <c r="C249" t="s">
        <v>875</v>
      </c>
      <c r="D249">
        <v>3.7</v>
      </c>
      <c r="F249">
        <f>IFERROR(Levererat_2016[[#This Row],[Leveranser:]]-Levererat_2016[[#This Row],[Leveranser till annat fjärrvärmebolag]],"")</f>
        <v>3.7</v>
      </c>
      <c r="G249" t="e">
        <f>VLOOKUP(Levererat_2016[[#This Row],[Indexnamn]],'Leveranser per nät'!$A$4:$A$526,1,FALSE)</f>
        <v>#N/A</v>
      </c>
    </row>
    <row r="250" spans="1:7" x14ac:dyDescent="0.25">
      <c r="A250" t="s">
        <v>685</v>
      </c>
      <c r="B250" t="s">
        <v>227</v>
      </c>
      <c r="C250" t="s">
        <v>227</v>
      </c>
      <c r="D250">
        <v>142.5</v>
      </c>
      <c r="F250">
        <f>IFERROR(Levererat_2016[[#This Row],[Leveranser:]]-Levererat_2016[[#This Row],[Leveranser till annat fjärrvärmebolag]],"")</f>
        <v>142.5</v>
      </c>
      <c r="G250" t="str">
        <f>VLOOKUP(Levererat_2016[[#This Row],[Indexnamn]],'Leveranser per nät'!$A$4:$A$526,1,FALSE)</f>
        <v>Oskarshamn</v>
      </c>
    </row>
    <row r="251" spans="1:7" x14ac:dyDescent="0.25">
      <c r="A251" t="s">
        <v>686</v>
      </c>
      <c r="B251" t="s">
        <v>228</v>
      </c>
      <c r="C251" t="s">
        <v>228</v>
      </c>
      <c r="D251">
        <v>81.7</v>
      </c>
      <c r="F251">
        <f>IFERROR(Levererat_2016[[#This Row],[Leveranser:]]-Levererat_2016[[#This Row],[Leveranser till annat fjärrvärmebolag]],"")</f>
        <v>81.7</v>
      </c>
      <c r="G251" t="str">
        <f>VLOOKUP(Levererat_2016[[#This Row],[Indexnamn]],'Leveranser per nät'!$A$4:$A$526,1,FALSE)</f>
        <v>Oxelösund</v>
      </c>
    </row>
    <row r="252" spans="1:7" x14ac:dyDescent="0.25">
      <c r="A252" t="s">
        <v>876</v>
      </c>
      <c r="B252" t="s">
        <v>412</v>
      </c>
      <c r="C252" t="s">
        <v>412</v>
      </c>
      <c r="D252" t="s">
        <v>805</v>
      </c>
      <c r="F252" t="str">
        <f>IFERROR(Levererat_2016[[#This Row],[Leveranser:]]-Levererat_2016[[#This Row],[Leveranser till annat fjärrvärmebolag]],"")</f>
        <v/>
      </c>
      <c r="G252" t="str">
        <f>VLOOKUP(Levererat_2016[[#This Row],[Indexnamn]],'Leveranser per nät'!$A$4:$A$526,1,FALSE)</f>
        <v>Pajala</v>
      </c>
    </row>
    <row r="253" spans="1:7" x14ac:dyDescent="0.25">
      <c r="A253" t="s">
        <v>735</v>
      </c>
      <c r="B253" t="s">
        <v>797</v>
      </c>
      <c r="C253" t="s">
        <v>797</v>
      </c>
      <c r="D253" t="s">
        <v>805</v>
      </c>
      <c r="F253" t="str">
        <f>IFERROR(Levererat_2016[[#This Row],[Leveranser:]]-Levererat_2016[[#This Row],[Leveranser till annat fjärrvärmebolag]],"")</f>
        <v/>
      </c>
      <c r="G253" t="e">
        <f>VLOOKUP(Levererat_2016[[#This Row],[Indexnamn]],'Leveranser per nät'!$A$4:$A$526,1,FALSE)</f>
        <v>#N/A</v>
      </c>
    </row>
    <row r="254" spans="1:7" x14ac:dyDescent="0.25">
      <c r="A254" t="s">
        <v>877</v>
      </c>
      <c r="B254" t="s">
        <v>496</v>
      </c>
      <c r="C254" t="s">
        <v>496</v>
      </c>
      <c r="D254" t="s">
        <v>805</v>
      </c>
      <c r="F254" t="str">
        <f>IFERROR(Levererat_2016[[#This Row],[Leveranser:]]-Levererat_2016[[#This Row],[Leveranser till annat fjärrvärmebolag]],"")</f>
        <v/>
      </c>
      <c r="G254" t="str">
        <f>VLOOKUP(Levererat_2016[[#This Row],[Indexnamn]],'Leveranser per nät'!$A$4:$A$526,1,FALSE)</f>
        <v>Bångbro</v>
      </c>
    </row>
    <row r="255" spans="1:7" x14ac:dyDescent="0.25">
      <c r="A255" t="s">
        <v>877</v>
      </c>
      <c r="B255" t="s">
        <v>127</v>
      </c>
      <c r="C255" t="s">
        <v>127</v>
      </c>
      <c r="D255" t="s">
        <v>805</v>
      </c>
      <c r="F255" t="str">
        <f>IFERROR(Levererat_2016[[#This Row],[Leveranser:]]-Levererat_2016[[#This Row],[Leveranser till annat fjärrvärmebolag]],"")</f>
        <v/>
      </c>
      <c r="G255" t="str">
        <f>VLOOKUP(Levererat_2016[[#This Row],[Indexnamn]],'Leveranser per nät'!$A$4:$A$526,1,FALSE)</f>
        <v>Näsviken</v>
      </c>
    </row>
    <row r="256" spans="1:7" x14ac:dyDescent="0.25">
      <c r="A256" t="s">
        <v>877</v>
      </c>
      <c r="B256" t="s">
        <v>438</v>
      </c>
      <c r="C256" t="s">
        <v>438</v>
      </c>
      <c r="D256" t="s">
        <v>805</v>
      </c>
      <c r="F256" t="str">
        <f>IFERROR(Levererat_2016[[#This Row],[Leveranser:]]-Levererat_2016[[#This Row],[Leveranser till annat fjärrvärmebolag]],"")</f>
        <v/>
      </c>
      <c r="G256" t="str">
        <f>VLOOKUP(Levererat_2016[[#This Row],[Indexnamn]],'Leveranser per nät'!$A$4:$A$526,1,FALSE)</f>
        <v>Älvdalen</v>
      </c>
    </row>
    <row r="257" spans="1:7" x14ac:dyDescent="0.25">
      <c r="A257" t="s">
        <v>687</v>
      </c>
      <c r="B257" t="s">
        <v>229</v>
      </c>
      <c r="C257" t="s">
        <v>229</v>
      </c>
      <c r="D257">
        <v>46</v>
      </c>
      <c r="F257">
        <f>IFERROR(Levererat_2016[[#This Row],[Leveranser:]]-Levererat_2016[[#This Row],[Leveranser till annat fjärrvärmebolag]],"")</f>
        <v>46</v>
      </c>
      <c r="G257" t="str">
        <f>VLOOKUP(Levererat_2016[[#This Row],[Indexnamn]],'Leveranser per nät'!$A$4:$A$526,1,FALSE)</f>
        <v>Perstorp</v>
      </c>
    </row>
    <row r="258" spans="1:7" x14ac:dyDescent="0.25">
      <c r="A258" t="s">
        <v>678</v>
      </c>
      <c r="B258" t="s">
        <v>232</v>
      </c>
      <c r="C258" t="s">
        <v>232</v>
      </c>
      <c r="D258">
        <v>6.05</v>
      </c>
      <c r="F258">
        <f>IFERROR(Levererat_2016[[#This Row],[Leveranser:]]-Levererat_2016[[#This Row],[Leveranser till annat fjärrvärmebolag]],"")</f>
        <v>6.05</v>
      </c>
      <c r="G258" t="str">
        <f>VLOOKUP(Levererat_2016[[#This Row],[Indexnamn]],'Leveranser per nät'!$A$4:$A$526,1,FALSE)</f>
        <v>Norrfjärden</v>
      </c>
    </row>
    <row r="259" spans="1:7" x14ac:dyDescent="0.25">
      <c r="A259" t="s">
        <v>678</v>
      </c>
      <c r="B259" t="s">
        <v>230</v>
      </c>
      <c r="C259" t="s">
        <v>230</v>
      </c>
      <c r="D259">
        <v>238.1</v>
      </c>
      <c r="F259">
        <f>IFERROR(Levererat_2016[[#This Row],[Leveranser:]]-Levererat_2016[[#This Row],[Leveranser till annat fjärrvärmebolag]],"")</f>
        <v>238.1</v>
      </c>
      <c r="G259" t="str">
        <f>VLOOKUP(Levererat_2016[[#This Row],[Indexnamn]],'Leveranser per nät'!$A$4:$A$526,1,FALSE)</f>
        <v>Piteå</v>
      </c>
    </row>
    <row r="260" spans="1:7" x14ac:dyDescent="0.25">
      <c r="A260" t="s">
        <v>678</v>
      </c>
      <c r="B260" t="s">
        <v>233</v>
      </c>
      <c r="C260" t="s">
        <v>233</v>
      </c>
      <c r="D260">
        <v>1.42</v>
      </c>
      <c r="F260">
        <f>IFERROR(Levererat_2016[[#This Row],[Leveranser:]]-Levererat_2016[[#This Row],[Leveranser till annat fjärrvärmebolag]],"")</f>
        <v>1.42</v>
      </c>
      <c r="G260" t="str">
        <f>VLOOKUP(Levererat_2016[[#This Row],[Indexnamn]],'Leveranser per nät'!$A$4:$A$526,1,FALSE)</f>
        <v>Rosvik</v>
      </c>
    </row>
    <row r="261" spans="1:7" x14ac:dyDescent="0.25">
      <c r="A261" t="s">
        <v>678</v>
      </c>
      <c r="B261" t="s">
        <v>234</v>
      </c>
      <c r="C261" t="s">
        <v>234</v>
      </c>
      <c r="D261">
        <v>1.85</v>
      </c>
      <c r="F261">
        <f>IFERROR(Levererat_2016[[#This Row],[Leveranser:]]-Levererat_2016[[#This Row],[Leveranser till annat fjärrvärmebolag]],"")</f>
        <v>1.85</v>
      </c>
      <c r="G261" t="str">
        <f>VLOOKUP(Levererat_2016[[#This Row],[Indexnamn]],'Leveranser per nät'!$A$4:$A$526,1,FALSE)</f>
        <v>Sjulnäs</v>
      </c>
    </row>
    <row r="262" spans="1:7" x14ac:dyDescent="0.25">
      <c r="A262" t="s">
        <v>791</v>
      </c>
      <c r="B262" t="s">
        <v>792</v>
      </c>
      <c r="C262" t="s">
        <v>792</v>
      </c>
      <c r="D262" t="s">
        <v>805</v>
      </c>
      <c r="F262" t="str">
        <f>IFERROR(Levererat_2016[[#This Row],[Leveranser:]]-Levererat_2016[[#This Row],[Leveranser till annat fjärrvärmebolag]],"")</f>
        <v/>
      </c>
      <c r="G262" t="str">
        <f>VLOOKUP(Levererat_2016[[#This Row],[Indexnamn]],'Leveranser per nät'!$A$4:$A$526,1,FALSE)</f>
        <v>Aneby</v>
      </c>
    </row>
    <row r="263" spans="1:7" x14ac:dyDescent="0.25">
      <c r="A263" t="s">
        <v>623</v>
      </c>
      <c r="B263" t="s">
        <v>533</v>
      </c>
      <c r="C263" t="s">
        <v>533</v>
      </c>
      <c r="D263">
        <v>10</v>
      </c>
      <c r="F263">
        <f>IFERROR(Levererat_2016[[#This Row],[Leveranser:]]-Levererat_2016[[#This Row],[Leveranser till annat fjärrvärmebolag]],"")</f>
        <v>10</v>
      </c>
      <c r="G263" t="str">
        <f>VLOOKUP(Levererat_2016[[#This Row],[Indexnamn]],'Leveranser per nät'!$A$4:$A$526,1,FALSE)</f>
        <v>Hammarstrand</v>
      </c>
    </row>
    <row r="264" spans="1:7" x14ac:dyDescent="0.25">
      <c r="A264" t="s">
        <v>598</v>
      </c>
      <c r="B264" t="s">
        <v>246</v>
      </c>
      <c r="C264" t="s">
        <v>246</v>
      </c>
      <c r="D264" t="s">
        <v>805</v>
      </c>
      <c r="F264" t="str">
        <f>IFERROR(Levererat_2016[[#This Row],[Leveranser:]]-Levererat_2016[[#This Row],[Leveranser till annat fjärrvärmebolag]],"")</f>
        <v/>
      </c>
      <c r="G264" t="str">
        <f>VLOOKUP(Levererat_2016[[#This Row],[Indexnamn]],'Leveranser per nät'!$A$4:$A$526,1,FALSE)</f>
        <v>Filipstad</v>
      </c>
    </row>
    <row r="265" spans="1:7" x14ac:dyDescent="0.25">
      <c r="A265" t="s">
        <v>598</v>
      </c>
      <c r="B265" t="s">
        <v>239</v>
      </c>
      <c r="C265" t="s">
        <v>239</v>
      </c>
      <c r="D265">
        <v>48</v>
      </c>
      <c r="F265">
        <f>IFERROR(Levererat_2016[[#This Row],[Leveranser:]]-Levererat_2016[[#This Row],[Leveranser till annat fjärrvärmebolag]],"")</f>
        <v>48</v>
      </c>
      <c r="G265" t="str">
        <f>VLOOKUP(Levererat_2016[[#This Row],[Indexnamn]],'Leveranser per nät'!$A$4:$A$526,1,FALSE)</f>
        <v>Flen</v>
      </c>
    </row>
    <row r="266" spans="1:7" x14ac:dyDescent="0.25">
      <c r="A266" t="s">
        <v>598</v>
      </c>
      <c r="B266" t="s">
        <v>241</v>
      </c>
      <c r="C266" t="s">
        <v>241</v>
      </c>
      <c r="D266">
        <v>19</v>
      </c>
      <c r="F266">
        <f>IFERROR(Levererat_2016[[#This Row],[Leveranser:]]-Levererat_2016[[#This Row],[Leveranser till annat fjärrvärmebolag]],"")</f>
        <v>19</v>
      </c>
      <c r="G266" t="str">
        <f>VLOOKUP(Levererat_2016[[#This Row],[Indexnamn]],'Leveranser per nät'!$A$4:$A$526,1,FALSE)</f>
        <v>Gnesta</v>
      </c>
    </row>
    <row r="267" spans="1:7" x14ac:dyDescent="0.25">
      <c r="A267" t="s">
        <v>598</v>
      </c>
      <c r="B267" t="s">
        <v>242</v>
      </c>
      <c r="C267" t="s">
        <v>242</v>
      </c>
      <c r="D267">
        <v>26.9</v>
      </c>
      <c r="F267">
        <f>IFERROR(Levererat_2016[[#This Row],[Leveranser:]]-Levererat_2016[[#This Row],[Leveranser till annat fjärrvärmebolag]],"")</f>
        <v>26.9</v>
      </c>
      <c r="G267" t="str">
        <f>VLOOKUP(Levererat_2016[[#This Row],[Indexnamn]],'Leveranser per nät'!$A$4:$A$526,1,FALSE)</f>
        <v>Hörby</v>
      </c>
    </row>
    <row r="268" spans="1:7" x14ac:dyDescent="0.25">
      <c r="A268" t="s">
        <v>598</v>
      </c>
      <c r="B268" t="s">
        <v>243</v>
      </c>
      <c r="C268" t="s">
        <v>243</v>
      </c>
      <c r="D268">
        <v>22.8</v>
      </c>
      <c r="F268">
        <f>IFERROR(Levererat_2016[[#This Row],[Leveranser:]]-Levererat_2016[[#This Row],[Leveranser till annat fjärrvärmebolag]],"")</f>
        <v>22.8</v>
      </c>
      <c r="G268" t="str">
        <f>VLOOKUP(Levererat_2016[[#This Row],[Indexnamn]],'Leveranser per nät'!$A$4:$A$526,1,FALSE)</f>
        <v>Höör</v>
      </c>
    </row>
    <row r="269" spans="1:7" x14ac:dyDescent="0.25">
      <c r="A269" t="s">
        <v>598</v>
      </c>
      <c r="B269" t="s">
        <v>244</v>
      </c>
      <c r="C269" t="s">
        <v>244</v>
      </c>
      <c r="D269">
        <v>26.3</v>
      </c>
      <c r="F269">
        <f>IFERROR(Levererat_2016[[#This Row],[Leveranser:]]-Levererat_2016[[#This Row],[Leveranser till annat fjärrvärmebolag]],"")</f>
        <v>26.3</v>
      </c>
      <c r="G269" t="str">
        <f>VLOOKUP(Levererat_2016[[#This Row],[Indexnamn]],'Leveranser per nät'!$A$4:$A$526,1,FALSE)</f>
        <v>Sjöbo</v>
      </c>
    </row>
    <row r="270" spans="1:7" x14ac:dyDescent="0.25">
      <c r="A270" t="s">
        <v>598</v>
      </c>
      <c r="B270" t="s">
        <v>247</v>
      </c>
      <c r="C270" t="s">
        <v>247</v>
      </c>
      <c r="D270" t="s">
        <v>805</v>
      </c>
      <c r="F270" t="str">
        <f>IFERROR(Levererat_2016[[#This Row],[Leveranser:]]-Levererat_2016[[#This Row],[Leveranser till annat fjärrvärmebolag]],"")</f>
        <v/>
      </c>
      <c r="G270" t="str">
        <f>VLOOKUP(Levererat_2016[[#This Row],[Indexnamn]],'Leveranser per nät'!$A$4:$A$526,1,FALSE)</f>
        <v>Storfors</v>
      </c>
    </row>
    <row r="271" spans="1:7" x14ac:dyDescent="0.25">
      <c r="A271" t="s">
        <v>598</v>
      </c>
      <c r="B271" t="s">
        <v>236</v>
      </c>
      <c r="C271" t="s">
        <v>236</v>
      </c>
      <c r="D271" t="s">
        <v>805</v>
      </c>
      <c r="F271" t="str">
        <f>IFERROR(Levererat_2016[[#This Row],[Leveranser:]]-Levererat_2016[[#This Row],[Leveranser till annat fjärrvärmebolag]],"")</f>
        <v/>
      </c>
      <c r="G271" t="str">
        <f>VLOOKUP(Levererat_2016[[#This Row],[Indexnamn]],'Leveranser per nät'!$A$4:$A$526,1,FALSE)</f>
        <v>Sunne</v>
      </c>
    </row>
    <row r="272" spans="1:7" x14ac:dyDescent="0.25">
      <c r="A272" t="s">
        <v>598</v>
      </c>
      <c r="B272" t="s">
        <v>245</v>
      </c>
      <c r="C272" t="s">
        <v>245</v>
      </c>
      <c r="D272">
        <v>30.7</v>
      </c>
      <c r="F272">
        <f>IFERROR(Levererat_2016[[#This Row],[Leveranser:]]-Levererat_2016[[#This Row],[Leveranser till annat fjärrvärmebolag]],"")</f>
        <v>30.7</v>
      </c>
      <c r="G272" t="str">
        <f>VLOOKUP(Levererat_2016[[#This Row],[Indexnamn]],'Leveranser per nät'!$A$4:$A$526,1,FALSE)</f>
        <v>Tomelilla</v>
      </c>
    </row>
    <row r="273" spans="1:7" x14ac:dyDescent="0.25">
      <c r="A273" t="s">
        <v>598</v>
      </c>
      <c r="B273" t="s">
        <v>238</v>
      </c>
      <c r="C273" t="s">
        <v>238</v>
      </c>
      <c r="D273">
        <v>38</v>
      </c>
      <c r="F273">
        <f>IFERROR(Levererat_2016[[#This Row],[Leveranser:]]-Levererat_2016[[#This Row],[Leveranser till annat fjärrvärmebolag]],"")</f>
        <v>38</v>
      </c>
      <c r="G273" t="str">
        <f>VLOOKUP(Levererat_2016[[#This Row],[Indexnamn]],'Leveranser per nät'!$A$4:$A$526,1,FALSE)</f>
        <v>Vadstena</v>
      </c>
    </row>
    <row r="274" spans="1:7" x14ac:dyDescent="0.25">
      <c r="A274" t="s">
        <v>598</v>
      </c>
      <c r="B274" t="s">
        <v>235</v>
      </c>
      <c r="C274" t="s">
        <v>235</v>
      </c>
      <c r="D274" t="s">
        <v>805</v>
      </c>
      <c r="F274" t="str">
        <f>IFERROR(Levererat_2016[[#This Row],[Leveranser:]]-Levererat_2016[[#This Row],[Leveranser till annat fjärrvärmebolag]],"")</f>
        <v/>
      </c>
      <c r="G274" t="str">
        <f>VLOOKUP(Levererat_2016[[#This Row],[Indexnamn]],'Leveranser per nät'!$A$4:$A$526,1,FALSE)</f>
        <v>Vansbro</v>
      </c>
    </row>
    <row r="275" spans="1:7" x14ac:dyDescent="0.25">
      <c r="A275" t="s">
        <v>598</v>
      </c>
      <c r="B275" t="s">
        <v>240</v>
      </c>
      <c r="C275" t="s">
        <v>240</v>
      </c>
      <c r="D275">
        <v>22</v>
      </c>
      <c r="F275">
        <f>IFERROR(Levererat_2016[[#This Row],[Leveranser:]]-Levererat_2016[[#This Row],[Leveranser till annat fjärrvärmebolag]],"")</f>
        <v>22</v>
      </c>
      <c r="G275" t="str">
        <f>VLOOKUP(Levererat_2016[[#This Row],[Indexnamn]],'Leveranser per nät'!$A$4:$A$526,1,FALSE)</f>
        <v>Vingåker</v>
      </c>
    </row>
    <row r="276" spans="1:7" x14ac:dyDescent="0.25">
      <c r="A276" t="s">
        <v>598</v>
      </c>
      <c r="B276" t="s">
        <v>248</v>
      </c>
      <c r="C276" t="s">
        <v>248</v>
      </c>
      <c r="D276" t="s">
        <v>805</v>
      </c>
      <c r="F276" t="str">
        <f>IFERROR(Levererat_2016[[#This Row],[Leveranser:]]-Levererat_2016[[#This Row],[Leveranser till annat fjärrvärmebolag]],"")</f>
        <v/>
      </c>
      <c r="G276" t="str">
        <f>VLOOKUP(Levererat_2016[[#This Row],[Indexnamn]],'Leveranser per nät'!$A$4:$A$526,1,FALSE)</f>
        <v>Vårgårda</v>
      </c>
    </row>
    <row r="277" spans="1:7" x14ac:dyDescent="0.25">
      <c r="A277" t="s">
        <v>598</v>
      </c>
      <c r="B277" t="s">
        <v>438</v>
      </c>
      <c r="C277" t="s">
        <v>438</v>
      </c>
      <c r="D277" t="s">
        <v>805</v>
      </c>
      <c r="F277" t="str">
        <f>IFERROR(Levererat_2016[[#This Row],[Leveranser:]]-Levererat_2016[[#This Row],[Leveranser till annat fjärrvärmebolag]],"")</f>
        <v/>
      </c>
      <c r="G277" t="str">
        <f>VLOOKUP(Levererat_2016[[#This Row],[Indexnamn]],'Leveranser per nät'!$A$4:$A$526,1,FALSE)</f>
        <v>Älvdalen</v>
      </c>
    </row>
    <row r="278" spans="1:7" x14ac:dyDescent="0.25">
      <c r="A278" t="s">
        <v>878</v>
      </c>
      <c r="B278" t="s">
        <v>797</v>
      </c>
      <c r="C278" t="s">
        <v>797</v>
      </c>
      <c r="D278" t="s">
        <v>805</v>
      </c>
      <c r="F278" t="str">
        <f>IFERROR(Levererat_2016[[#This Row],[Leveranser:]]-Levererat_2016[[#This Row],[Leveranser till annat fjärrvärmebolag]],"")</f>
        <v/>
      </c>
      <c r="G278" t="e">
        <f>VLOOKUP(Levererat_2016[[#This Row],[Indexnamn]],'Leveranser per nät'!$A$4:$A$526,1,FALSE)</f>
        <v>#N/A</v>
      </c>
    </row>
    <row r="279" spans="1:7" x14ac:dyDescent="0.25">
      <c r="A279" t="s">
        <v>581</v>
      </c>
      <c r="B279" t="s">
        <v>250</v>
      </c>
      <c r="C279" t="s">
        <v>250</v>
      </c>
      <c r="D279">
        <v>14.3</v>
      </c>
      <c r="F279">
        <f>IFERROR(Levererat_2016[[#This Row],[Leveranser:]]-Levererat_2016[[#This Row],[Leveranser till annat fjärrvärmebolag]],"")</f>
        <v>14.3</v>
      </c>
      <c r="G279" t="str">
        <f>VLOOKUP(Levererat_2016[[#This Row],[Indexnamn]],'Leveranser per nät'!$A$4:$A$526,1,FALSE)</f>
        <v>Bräkne-Hoby</v>
      </c>
    </row>
    <row r="280" spans="1:7" x14ac:dyDescent="0.25">
      <c r="A280" t="s">
        <v>581</v>
      </c>
      <c r="B280" t="s">
        <v>414</v>
      </c>
      <c r="C280" t="s">
        <v>414</v>
      </c>
      <c r="D280">
        <v>105.1</v>
      </c>
      <c r="F280">
        <f>IFERROR(Levererat_2016[[#This Row],[Leveranser:]]-Levererat_2016[[#This Row],[Leveranser till annat fjärrvärmebolag]],"")</f>
        <v>105.1</v>
      </c>
      <c r="G280" t="str">
        <f>VLOOKUP(Levererat_2016[[#This Row],[Indexnamn]],'Leveranser per nät'!$A$4:$A$526,1,FALSE)</f>
        <v>Ronneby-Kallinge</v>
      </c>
    </row>
    <row r="281" spans="1:7" x14ac:dyDescent="0.25">
      <c r="A281" t="s">
        <v>690</v>
      </c>
      <c r="B281" t="s">
        <v>252</v>
      </c>
      <c r="C281" t="s">
        <v>252</v>
      </c>
      <c r="D281">
        <v>44.5</v>
      </c>
      <c r="F281">
        <f>IFERROR(Levererat_2016[[#This Row],[Leveranser:]]-Levererat_2016[[#This Row],[Leveranser till annat fjärrvärmebolag]],"")</f>
        <v>44.5</v>
      </c>
      <c r="G281" t="str">
        <f>VLOOKUP(Levererat_2016[[#This Row],[Indexnamn]],'Leveranser per nät'!$A$4:$A$526,1,FALSE)</f>
        <v>Rättvik</v>
      </c>
    </row>
    <row r="282" spans="1:7" x14ac:dyDescent="0.25">
      <c r="A282" t="s">
        <v>625</v>
      </c>
      <c r="B282" t="s">
        <v>693</v>
      </c>
      <c r="C282" t="s">
        <v>693</v>
      </c>
      <c r="D282">
        <v>148.6</v>
      </c>
      <c r="F282">
        <f>IFERROR(Levererat_2016[[#This Row],[Leveranser:]]-Levererat_2016[[#This Row],[Leveranser till annat fjärrvärmebolag]],"")</f>
        <v>148.6</v>
      </c>
      <c r="G282" t="str">
        <f>VLOOKUP(Levererat_2016[[#This Row],[Indexnamn]],'Leveranser per nät'!$A$4:$A$526,1,FALSE)</f>
        <v>Sala-Heby</v>
      </c>
    </row>
    <row r="283" spans="1:7" x14ac:dyDescent="0.25">
      <c r="A283" t="s">
        <v>694</v>
      </c>
      <c r="B283" t="s">
        <v>255</v>
      </c>
      <c r="C283" t="s">
        <v>255</v>
      </c>
      <c r="D283">
        <v>228.3</v>
      </c>
      <c r="F283">
        <f>IFERROR(Levererat_2016[[#This Row],[Leveranser:]]-Levererat_2016[[#This Row],[Leveranser till annat fjärrvärmebolag]],"")</f>
        <v>228.3</v>
      </c>
      <c r="G283" t="str">
        <f>VLOOKUP(Levererat_2016[[#This Row],[Indexnamn]],'Leveranser per nät'!$A$4:$A$526,1,FALSE)</f>
        <v>Sandviken</v>
      </c>
    </row>
    <row r="284" spans="1:7" x14ac:dyDescent="0.25">
      <c r="A284" t="s">
        <v>696</v>
      </c>
      <c r="B284" t="s">
        <v>256</v>
      </c>
      <c r="C284" t="s">
        <v>256</v>
      </c>
      <c r="D284">
        <v>90.2</v>
      </c>
      <c r="F284">
        <f>IFERROR(Levererat_2016[[#This Row],[Leveranser:]]-Levererat_2016[[#This Row],[Leveranser till annat fjärrvärmebolag]],"")</f>
        <v>90.2</v>
      </c>
      <c r="G284" t="str">
        <f>VLOOKUP(Levererat_2016[[#This Row],[Indexnamn]],'Leveranser per nät'!$A$4:$A$526,1,FALSE)</f>
        <v>Skara</v>
      </c>
    </row>
    <row r="285" spans="1:7" x14ac:dyDescent="0.25">
      <c r="A285" t="s">
        <v>571</v>
      </c>
      <c r="B285" t="s">
        <v>263</v>
      </c>
      <c r="C285" t="s">
        <v>263</v>
      </c>
      <c r="D285">
        <v>8.0709999999999997</v>
      </c>
      <c r="F285">
        <f>IFERROR(Levererat_2016[[#This Row],[Leveranser:]]-Levererat_2016[[#This Row],[Leveranser till annat fjärrvärmebolag]],"")</f>
        <v>8.0709999999999997</v>
      </c>
      <c r="G285" t="str">
        <f>VLOOKUP(Levererat_2016[[#This Row],[Indexnamn]],'Leveranser per nät'!$A$4:$A$526,1,FALSE)</f>
        <v>Boliden</v>
      </c>
    </row>
    <row r="286" spans="1:7" x14ac:dyDescent="0.25">
      <c r="A286" t="s">
        <v>571</v>
      </c>
      <c r="B286" t="s">
        <v>264</v>
      </c>
      <c r="C286" t="s">
        <v>264</v>
      </c>
      <c r="D286">
        <v>7.7930000000000001</v>
      </c>
      <c r="F286">
        <f>IFERROR(Levererat_2016[[#This Row],[Leveranser:]]-Levererat_2016[[#This Row],[Leveranser till annat fjärrvärmebolag]],"")</f>
        <v>7.7930000000000001</v>
      </c>
      <c r="G286" t="str">
        <f>VLOOKUP(Levererat_2016[[#This Row],[Indexnamn]],'Leveranser per nät'!$A$4:$A$526,1,FALSE)</f>
        <v>Bureå</v>
      </c>
    </row>
    <row r="287" spans="1:7" x14ac:dyDescent="0.25">
      <c r="A287" t="s">
        <v>571</v>
      </c>
      <c r="B287" t="s">
        <v>265</v>
      </c>
      <c r="C287" t="s">
        <v>265</v>
      </c>
      <c r="D287">
        <v>14.366</v>
      </c>
      <c r="F287">
        <f>IFERROR(Levererat_2016[[#This Row],[Leveranser:]]-Levererat_2016[[#This Row],[Leveranser till annat fjärrvärmebolag]],"")</f>
        <v>14.366</v>
      </c>
      <c r="G287" t="str">
        <f>VLOOKUP(Levererat_2016[[#This Row],[Indexnamn]],'Leveranser per nät'!$A$4:$A$526,1,FALSE)</f>
        <v>Burträsk</v>
      </c>
    </row>
    <row r="288" spans="1:7" x14ac:dyDescent="0.25">
      <c r="A288" t="s">
        <v>571</v>
      </c>
      <c r="B288" t="s">
        <v>266</v>
      </c>
      <c r="C288" t="s">
        <v>266</v>
      </c>
      <c r="D288">
        <v>11.364000000000001</v>
      </c>
      <c r="F288">
        <f>IFERROR(Levererat_2016[[#This Row],[Leveranser:]]-Levererat_2016[[#This Row],[Leveranser till annat fjärrvärmebolag]],"")</f>
        <v>11.364000000000001</v>
      </c>
      <c r="G288" t="str">
        <f>VLOOKUP(Levererat_2016[[#This Row],[Indexnamn]],'Leveranser per nät'!$A$4:$A$526,1,FALSE)</f>
        <v>Byske</v>
      </c>
    </row>
    <row r="289" spans="1:7" x14ac:dyDescent="0.25">
      <c r="A289" t="s">
        <v>571</v>
      </c>
      <c r="B289" t="s">
        <v>267</v>
      </c>
      <c r="C289" t="s">
        <v>267</v>
      </c>
      <c r="D289">
        <v>6.61</v>
      </c>
      <c r="F289">
        <f>IFERROR(Levererat_2016[[#This Row],[Leveranser:]]-Levererat_2016[[#This Row],[Leveranser till annat fjärrvärmebolag]],"")</f>
        <v>6.61</v>
      </c>
      <c r="G289" t="str">
        <f>VLOOKUP(Levererat_2016[[#This Row],[Indexnamn]],'Leveranser per nät'!$A$4:$A$526,1,FALSE)</f>
        <v>Jörn</v>
      </c>
    </row>
    <row r="290" spans="1:7" x14ac:dyDescent="0.25">
      <c r="A290" t="s">
        <v>571</v>
      </c>
      <c r="B290" t="s">
        <v>652</v>
      </c>
      <c r="C290" t="s">
        <v>652</v>
      </c>
      <c r="D290" t="s">
        <v>806</v>
      </c>
      <c r="F290" t="str">
        <f>IFERROR(Levererat_2016[[#This Row],[Leveranser:]]-Levererat_2016[[#This Row],[Leveranser till annat fjärrvärmebolag]],"")</f>
        <v/>
      </c>
      <c r="G290" t="e">
        <f>VLOOKUP(Levererat_2016[[#This Row],[Indexnamn]],'Leveranser per nät'!$A$4:$A$526,1,FALSE)</f>
        <v>#N/A</v>
      </c>
    </row>
    <row r="291" spans="1:7" x14ac:dyDescent="0.25">
      <c r="A291" t="s">
        <v>571</v>
      </c>
      <c r="B291" t="s">
        <v>269</v>
      </c>
      <c r="C291" t="s">
        <v>269</v>
      </c>
      <c r="D291">
        <v>5.1639999999999997</v>
      </c>
      <c r="F291">
        <f>IFERROR(Levererat_2016[[#This Row],[Leveranser:]]-Levererat_2016[[#This Row],[Leveranser till annat fjärrvärmebolag]],"")</f>
        <v>5.1639999999999997</v>
      </c>
      <c r="G291" t="str">
        <f>VLOOKUP(Levererat_2016[[#This Row],[Indexnamn]],'Leveranser per nät'!$A$4:$A$526,1,FALSE)</f>
        <v>Kåge</v>
      </c>
    </row>
    <row r="292" spans="1:7" x14ac:dyDescent="0.25">
      <c r="A292" t="s">
        <v>571</v>
      </c>
      <c r="B292" t="s">
        <v>270</v>
      </c>
      <c r="C292" t="s">
        <v>270</v>
      </c>
      <c r="D292">
        <v>2.8359999999999999</v>
      </c>
      <c r="F292">
        <f>IFERROR(Levererat_2016[[#This Row],[Leveranser:]]-Levererat_2016[[#This Row],[Leveranser till annat fjärrvärmebolag]],"")</f>
        <v>2.8359999999999999</v>
      </c>
      <c r="G292" t="str">
        <f>VLOOKUP(Levererat_2016[[#This Row],[Indexnamn]],'Leveranser per nät'!$A$4:$A$526,1,FALSE)</f>
        <v>Lidbacken</v>
      </c>
    </row>
    <row r="293" spans="1:7" x14ac:dyDescent="0.25">
      <c r="A293" t="s">
        <v>571</v>
      </c>
      <c r="B293" t="s">
        <v>259</v>
      </c>
      <c r="C293" t="s">
        <v>259</v>
      </c>
      <c r="D293">
        <v>102.982</v>
      </c>
      <c r="F293">
        <f>IFERROR(Levererat_2016[[#This Row],[Leveranser:]]-Levererat_2016[[#This Row],[Leveranser till annat fjärrvärmebolag]],"")</f>
        <v>102.982</v>
      </c>
      <c r="G293" t="str">
        <f>VLOOKUP(Levererat_2016[[#This Row],[Indexnamn]],'Leveranser per nät'!$A$4:$A$526,1,FALSE)</f>
        <v>Lycksele</v>
      </c>
    </row>
    <row r="294" spans="1:7" x14ac:dyDescent="0.25">
      <c r="A294" t="s">
        <v>571</v>
      </c>
      <c r="B294" t="s">
        <v>271</v>
      </c>
      <c r="C294" t="s">
        <v>271</v>
      </c>
      <c r="D294">
        <v>3.1749999999999998</v>
      </c>
      <c r="F294">
        <f>IFERROR(Levererat_2016[[#This Row],[Leveranser:]]-Levererat_2016[[#This Row],[Leveranser till annat fjärrvärmebolag]],"")</f>
        <v>3.1749999999999998</v>
      </c>
      <c r="G294" t="str">
        <f>VLOOKUP(Levererat_2016[[#This Row],[Indexnamn]],'Leveranser per nät'!$A$4:$A$526,1,FALSE)</f>
        <v>Lövånger</v>
      </c>
    </row>
    <row r="295" spans="1:7" x14ac:dyDescent="0.25">
      <c r="A295" t="s">
        <v>571</v>
      </c>
      <c r="B295" t="s">
        <v>257</v>
      </c>
      <c r="C295" t="s">
        <v>257</v>
      </c>
      <c r="D295">
        <v>74.350999999999999</v>
      </c>
      <c r="F295">
        <f>IFERROR(Levererat_2016[[#This Row],[Leveranser:]]-Levererat_2016[[#This Row],[Leveranser till annat fjärrvärmebolag]],"")</f>
        <v>74.350999999999999</v>
      </c>
      <c r="G295" t="str">
        <f>VLOOKUP(Levererat_2016[[#This Row],[Indexnamn]],'Leveranser per nät'!$A$4:$A$526,1,FALSE)</f>
        <v>Malå</v>
      </c>
    </row>
    <row r="296" spans="1:7" x14ac:dyDescent="0.25">
      <c r="A296" t="s">
        <v>571</v>
      </c>
      <c r="B296" t="s">
        <v>258</v>
      </c>
      <c r="C296" t="s">
        <v>258</v>
      </c>
      <c r="D296">
        <v>12.27</v>
      </c>
      <c r="F296">
        <f>IFERROR(Levererat_2016[[#This Row],[Leveranser:]]-Levererat_2016[[#This Row],[Leveranser till annat fjärrvärmebolag]],"")</f>
        <v>12.27</v>
      </c>
      <c r="G296" t="str">
        <f>VLOOKUP(Levererat_2016[[#This Row],[Indexnamn]],'Leveranser per nät'!$A$4:$A$526,1,FALSE)</f>
        <v>Norsjö</v>
      </c>
    </row>
    <row r="297" spans="1:7" x14ac:dyDescent="0.25">
      <c r="A297" t="s">
        <v>571</v>
      </c>
      <c r="B297" t="s">
        <v>262</v>
      </c>
      <c r="C297" t="s">
        <v>262</v>
      </c>
      <c r="D297">
        <v>11.132</v>
      </c>
      <c r="F297">
        <f>IFERROR(Levererat_2016[[#This Row],[Leveranser:]]-Levererat_2016[[#This Row],[Leveranser till annat fjärrvärmebolag]],"")</f>
        <v>11.132</v>
      </c>
      <c r="G297" t="str">
        <f>VLOOKUP(Levererat_2016[[#This Row],[Indexnamn]],'Leveranser per nät'!$A$4:$A$526,1,FALSE)</f>
        <v>Robertsfors</v>
      </c>
    </row>
    <row r="298" spans="1:7" x14ac:dyDescent="0.25">
      <c r="A298" t="s">
        <v>571</v>
      </c>
      <c r="B298" t="s">
        <v>261</v>
      </c>
      <c r="C298" t="s">
        <v>261</v>
      </c>
      <c r="D298">
        <v>322.60000000000002</v>
      </c>
      <c r="F298">
        <f>IFERROR(Levererat_2016[[#This Row],[Leveranser:]]-Levererat_2016[[#This Row],[Leveranser till annat fjärrvärmebolag]],"")</f>
        <v>322.60000000000002</v>
      </c>
      <c r="G298" t="str">
        <f>VLOOKUP(Levererat_2016[[#This Row],[Indexnamn]],'Leveranser per nät'!$A$4:$A$526,1,FALSE)</f>
        <v>Skellefteå</v>
      </c>
    </row>
    <row r="299" spans="1:7" x14ac:dyDescent="0.25">
      <c r="A299" t="s">
        <v>571</v>
      </c>
      <c r="B299" t="s">
        <v>272</v>
      </c>
      <c r="C299" t="s">
        <v>272</v>
      </c>
      <c r="D299">
        <v>30.12</v>
      </c>
      <c r="F299">
        <f>IFERROR(Levererat_2016[[#This Row],[Leveranser:]]-Levererat_2016[[#This Row],[Leveranser till annat fjärrvärmebolag]],"")</f>
        <v>30.12</v>
      </c>
      <c r="G299" t="str">
        <f>VLOOKUP(Levererat_2016[[#This Row],[Indexnamn]],'Leveranser per nät'!$A$4:$A$526,1,FALSE)</f>
        <v>Storuman</v>
      </c>
    </row>
    <row r="300" spans="1:7" x14ac:dyDescent="0.25">
      <c r="A300" t="s">
        <v>571</v>
      </c>
      <c r="B300" t="s">
        <v>273</v>
      </c>
      <c r="C300" t="s">
        <v>273</v>
      </c>
      <c r="D300">
        <v>30.007000000000001</v>
      </c>
      <c r="F300">
        <f>IFERROR(Levererat_2016[[#This Row],[Leveranser:]]-Levererat_2016[[#This Row],[Leveranser till annat fjärrvärmebolag]],"")</f>
        <v>30.007000000000001</v>
      </c>
      <c r="G300" t="str">
        <f>VLOOKUP(Levererat_2016[[#This Row],[Indexnamn]],'Leveranser per nät'!$A$4:$A$526,1,FALSE)</f>
        <v>Ursviken-Skelleftehamn</v>
      </c>
    </row>
    <row r="301" spans="1:7" x14ac:dyDescent="0.25">
      <c r="A301" t="s">
        <v>571</v>
      </c>
      <c r="B301" t="s">
        <v>260</v>
      </c>
      <c r="C301" t="s">
        <v>260</v>
      </c>
      <c r="D301">
        <v>14.85</v>
      </c>
      <c r="F301">
        <f>IFERROR(Levererat_2016[[#This Row],[Leveranser:]]-Levererat_2016[[#This Row],[Leveranser till annat fjärrvärmebolag]],"")</f>
        <v>14.85</v>
      </c>
      <c r="G301" t="str">
        <f>VLOOKUP(Levererat_2016[[#This Row],[Indexnamn]],'Leveranser per nät'!$A$4:$A$526,1,FALSE)</f>
        <v>Vindeln</v>
      </c>
    </row>
    <row r="302" spans="1:7" x14ac:dyDescent="0.25">
      <c r="A302" t="s">
        <v>571</v>
      </c>
      <c r="B302" t="s">
        <v>274</v>
      </c>
      <c r="C302" t="s">
        <v>274</v>
      </c>
      <c r="D302">
        <v>2.5550000000000002</v>
      </c>
      <c r="F302">
        <f>IFERROR(Levererat_2016[[#This Row],[Leveranser:]]-Levererat_2016[[#This Row],[Leveranser till annat fjärrvärmebolag]],"")</f>
        <v>2.5550000000000002</v>
      </c>
      <c r="G302" t="str">
        <f>VLOOKUP(Levererat_2016[[#This Row],[Indexnamn]],'Leveranser per nät'!$A$4:$A$526,1,FALSE)</f>
        <v>Ånäset</v>
      </c>
    </row>
    <row r="303" spans="1:7" x14ac:dyDescent="0.25">
      <c r="A303" t="s">
        <v>699</v>
      </c>
      <c r="B303" t="s">
        <v>276</v>
      </c>
      <c r="C303" t="s">
        <v>276</v>
      </c>
      <c r="D303">
        <v>9.5824020000000001</v>
      </c>
      <c r="F303">
        <f>IFERROR(Levererat_2016[[#This Row],[Leveranser:]]-Levererat_2016[[#This Row],[Leveranser till annat fjärrvärmebolag]],"")</f>
        <v>9.5824020000000001</v>
      </c>
      <c r="G303" t="str">
        <f>VLOOKUP(Levererat_2016[[#This Row],[Indexnamn]],'Leveranser per nät'!$A$4:$A$526,1,FALSE)</f>
        <v>Skultorp</v>
      </c>
    </row>
    <row r="304" spans="1:7" x14ac:dyDescent="0.25">
      <c r="A304" t="s">
        <v>699</v>
      </c>
      <c r="B304" t="s">
        <v>275</v>
      </c>
      <c r="C304" t="s">
        <v>275</v>
      </c>
      <c r="D304">
        <v>374.39600000000002</v>
      </c>
      <c r="F304">
        <f>IFERROR(Levererat_2016[[#This Row],[Leveranser:]]-Levererat_2016[[#This Row],[Leveranser till annat fjärrvärmebolag]],"")</f>
        <v>374.39600000000002</v>
      </c>
      <c r="G304" t="str">
        <f>VLOOKUP(Levererat_2016[[#This Row],[Indexnamn]],'Leveranser per nät'!$A$4:$A$526,1,FALSE)</f>
        <v>Skövde</v>
      </c>
    </row>
    <row r="305" spans="1:7" x14ac:dyDescent="0.25">
      <c r="A305" t="s">
        <v>699</v>
      </c>
      <c r="B305" t="s">
        <v>277</v>
      </c>
      <c r="C305" t="s">
        <v>277</v>
      </c>
      <c r="D305">
        <v>4.5446489999999997</v>
      </c>
      <c r="F305">
        <f>IFERROR(Levererat_2016[[#This Row],[Leveranser:]]-Levererat_2016[[#This Row],[Leveranser till annat fjärrvärmebolag]],"")</f>
        <v>4.5446489999999997</v>
      </c>
      <c r="G305" t="str">
        <f>VLOOKUP(Levererat_2016[[#This Row],[Indexnamn]],'Leveranser per nät'!$A$4:$A$526,1,FALSE)</f>
        <v>Stöpen</v>
      </c>
    </row>
    <row r="306" spans="1:7" x14ac:dyDescent="0.25">
      <c r="A306" t="s">
        <v>699</v>
      </c>
      <c r="B306" t="s">
        <v>719</v>
      </c>
      <c r="C306" t="s">
        <v>719</v>
      </c>
      <c r="D306">
        <v>2.0470000000000002</v>
      </c>
      <c r="F306">
        <f>IFERROR(Levererat_2016[[#This Row],[Leveranser:]]-Levererat_2016[[#This Row],[Leveranser till annat fjärrvärmebolag]],"")</f>
        <v>2.0470000000000002</v>
      </c>
      <c r="G306" t="str">
        <f>VLOOKUP(Levererat_2016[[#This Row],[Indexnamn]],'Leveranser per nät'!$A$4:$A$526,1,FALSE)</f>
        <v>Tidan</v>
      </c>
    </row>
    <row r="307" spans="1:7" x14ac:dyDescent="0.25">
      <c r="A307" t="s">
        <v>699</v>
      </c>
      <c r="B307" t="s">
        <v>428</v>
      </c>
      <c r="C307" t="s">
        <v>428</v>
      </c>
      <c r="D307">
        <v>3.051812</v>
      </c>
      <c r="F307">
        <f>IFERROR(Levererat_2016[[#This Row],[Leveranser:]]-Levererat_2016[[#This Row],[Leveranser till annat fjärrvärmebolag]],"")</f>
        <v>3.051812</v>
      </c>
      <c r="G307" t="str">
        <f>VLOOKUP(Levererat_2016[[#This Row],[Indexnamn]],'Leveranser per nät'!$A$4:$A$526,1,FALSE)</f>
        <v>Timmersdala</v>
      </c>
    </row>
    <row r="308" spans="1:7" x14ac:dyDescent="0.25">
      <c r="A308" t="s">
        <v>701</v>
      </c>
      <c r="B308" t="s">
        <v>278</v>
      </c>
      <c r="C308" t="s">
        <v>278</v>
      </c>
      <c r="D308">
        <v>42.985999999999997</v>
      </c>
      <c r="F308">
        <f>IFERROR(Levererat_2016[[#This Row],[Leveranser:]]-Levererat_2016[[#This Row],[Leveranser till annat fjärrvärmebolag]],"")</f>
        <v>42.985999999999997</v>
      </c>
      <c r="G308" t="str">
        <f>VLOOKUP(Levererat_2016[[#This Row],[Indexnamn]],'Leveranser per nät'!$A$4:$A$526,1,FALSE)</f>
        <v>Smedjebacken</v>
      </c>
    </row>
    <row r="309" spans="1:7" x14ac:dyDescent="0.25">
      <c r="A309" t="s">
        <v>701</v>
      </c>
      <c r="B309" t="s">
        <v>279</v>
      </c>
      <c r="C309" t="s">
        <v>279</v>
      </c>
      <c r="D309">
        <v>4.6109999999999998</v>
      </c>
      <c r="F309">
        <f>IFERROR(Levererat_2016[[#This Row],[Leveranser:]]-Levererat_2016[[#This Row],[Leveranser till annat fjärrvärmebolag]],"")</f>
        <v>4.6109999999999998</v>
      </c>
      <c r="G309" t="str">
        <f>VLOOKUP(Levererat_2016[[#This Row],[Indexnamn]],'Leveranser per nät'!$A$4:$A$526,1,FALSE)</f>
        <v>Söderbärke</v>
      </c>
    </row>
    <row r="310" spans="1:7" x14ac:dyDescent="0.25">
      <c r="A310" t="s">
        <v>879</v>
      </c>
      <c r="B310" t="s">
        <v>280</v>
      </c>
      <c r="C310" t="s">
        <v>280</v>
      </c>
      <c r="D310">
        <v>314</v>
      </c>
      <c r="F310">
        <f>IFERROR(Levererat_2016[[#This Row],[Leveranser:]]-Levererat_2016[[#This Row],[Leveranser till annat fjärrvärmebolag]],"")</f>
        <v>314</v>
      </c>
      <c r="G310" t="str">
        <f>VLOOKUP(Levererat_2016[[#This Row],[Indexnamn]],'Leveranser per nät'!$A$4:$A$526,1,FALSE)</f>
        <v>Sollentuna</v>
      </c>
    </row>
    <row r="311" spans="1:7" x14ac:dyDescent="0.25">
      <c r="A311" t="s">
        <v>880</v>
      </c>
      <c r="B311" t="s">
        <v>46</v>
      </c>
      <c r="C311" t="s">
        <v>46</v>
      </c>
      <c r="D311" t="s">
        <v>805</v>
      </c>
      <c r="F311" t="str">
        <f>IFERROR(Levererat_2016[[#This Row],[Leveranser:]]-Levererat_2016[[#This Row],[Leveranser till annat fjärrvärmebolag]],"")</f>
        <v/>
      </c>
      <c r="G311" t="str">
        <f>VLOOKUP(Levererat_2016[[#This Row],[Indexnamn]],'Leveranser per nät'!$A$4:$A$526,1,FALSE)</f>
        <v>Dorotea</v>
      </c>
    </row>
    <row r="312" spans="1:7" x14ac:dyDescent="0.25">
      <c r="A312" t="s">
        <v>880</v>
      </c>
      <c r="B312" t="s">
        <v>881</v>
      </c>
      <c r="C312" t="s">
        <v>881</v>
      </c>
      <c r="D312" t="s">
        <v>805</v>
      </c>
      <c r="F312" t="str">
        <f>IFERROR(Levererat_2016[[#This Row],[Leveranser:]]-Levererat_2016[[#This Row],[Leveranser till annat fjärrvärmebolag]],"")</f>
        <v/>
      </c>
      <c r="G312" t="e">
        <f>VLOOKUP(Levererat_2016[[#This Row],[Indexnamn]],'Leveranser per nät'!$A$4:$A$526,1,FALSE)</f>
        <v>#N/A</v>
      </c>
    </row>
    <row r="313" spans="1:7" x14ac:dyDescent="0.25">
      <c r="A313" t="s">
        <v>880</v>
      </c>
      <c r="B313" t="s">
        <v>882</v>
      </c>
      <c r="C313" t="s">
        <v>882</v>
      </c>
      <c r="D313" t="s">
        <v>805</v>
      </c>
      <c r="F313" t="str">
        <f>IFERROR(Levererat_2016[[#This Row],[Leveranser:]]-Levererat_2016[[#This Row],[Leveranser till annat fjärrvärmebolag]],"")</f>
        <v/>
      </c>
      <c r="G313" t="e">
        <f>VLOOKUP(Levererat_2016[[#This Row],[Indexnamn]],'Leveranser per nät'!$A$4:$A$526,1,FALSE)</f>
        <v>#N/A</v>
      </c>
    </row>
    <row r="314" spans="1:7" x14ac:dyDescent="0.25">
      <c r="A314" t="s">
        <v>880</v>
      </c>
      <c r="B314" t="s">
        <v>82</v>
      </c>
      <c r="C314" t="s">
        <v>82</v>
      </c>
      <c r="D314" t="s">
        <v>805</v>
      </c>
      <c r="F314" t="str">
        <f>IFERROR(Levererat_2016[[#This Row],[Leveranser:]]-Levererat_2016[[#This Row],[Leveranser till annat fjärrvärmebolag]],"")</f>
        <v/>
      </c>
      <c r="G314" t="str">
        <f>VLOOKUP(Levererat_2016[[#This Row],[Indexnamn]],'Leveranser per nät'!$A$4:$A$526,1,FALSE)</f>
        <v>Markaryd</v>
      </c>
    </row>
    <row r="315" spans="1:7" x14ac:dyDescent="0.25">
      <c r="A315" t="s">
        <v>880</v>
      </c>
      <c r="B315" t="s">
        <v>80</v>
      </c>
      <c r="C315" t="s">
        <v>80</v>
      </c>
      <c r="D315" t="s">
        <v>805</v>
      </c>
      <c r="F315" t="str">
        <f>IFERROR(Levererat_2016[[#This Row],[Leveranser:]]-Levererat_2016[[#This Row],[Leveranser till annat fjärrvärmebolag]],"")</f>
        <v/>
      </c>
      <c r="G315" t="str">
        <f>VLOOKUP(Levererat_2016[[#This Row],[Indexnamn]],'Leveranser per nät'!$A$4:$A$526,1,FALSE)</f>
        <v>Mönsterås</v>
      </c>
    </row>
    <row r="316" spans="1:7" x14ac:dyDescent="0.25">
      <c r="A316" t="s">
        <v>880</v>
      </c>
      <c r="B316" t="s">
        <v>70</v>
      </c>
      <c r="C316" t="s">
        <v>70</v>
      </c>
      <c r="D316" t="s">
        <v>805</v>
      </c>
      <c r="F316" t="str">
        <f>IFERROR(Levererat_2016[[#This Row],[Leveranser:]]-Levererat_2016[[#This Row],[Leveranser till annat fjärrvärmebolag]],"")</f>
        <v/>
      </c>
      <c r="G316" t="str">
        <f>VLOOKUP(Levererat_2016[[#This Row],[Indexnamn]],'Leveranser per nät'!$A$4:$A$526,1,FALSE)</f>
        <v>Nora</v>
      </c>
    </row>
    <row r="317" spans="1:7" x14ac:dyDescent="0.25">
      <c r="A317" t="s">
        <v>880</v>
      </c>
      <c r="B317" t="s">
        <v>51</v>
      </c>
      <c r="C317" t="s">
        <v>51</v>
      </c>
      <c r="D317" t="s">
        <v>805</v>
      </c>
      <c r="F317" t="str">
        <f>IFERROR(Levererat_2016[[#This Row],[Leveranser:]]-Levererat_2016[[#This Row],[Leveranser till annat fjärrvärmebolag]],"")</f>
        <v/>
      </c>
      <c r="G317" t="str">
        <f>VLOOKUP(Levererat_2016[[#This Row],[Indexnamn]],'Leveranser per nät'!$A$4:$A$526,1,FALSE)</f>
        <v>Nordmaling</v>
      </c>
    </row>
    <row r="318" spans="1:7" x14ac:dyDescent="0.25">
      <c r="A318" t="s">
        <v>880</v>
      </c>
      <c r="B318" t="s">
        <v>42</v>
      </c>
      <c r="C318" t="s">
        <v>42</v>
      </c>
      <c r="D318" t="s">
        <v>805</v>
      </c>
      <c r="F318" t="str">
        <f>IFERROR(Levererat_2016[[#This Row],[Leveranser:]]-Levererat_2016[[#This Row],[Leveranser till annat fjärrvärmebolag]],"")</f>
        <v/>
      </c>
      <c r="G318" t="str">
        <f>VLOOKUP(Levererat_2016[[#This Row],[Indexnamn]],'Leveranser per nät'!$A$4:$A$526,1,FALSE)</f>
        <v>Svalöv</v>
      </c>
    </row>
    <row r="319" spans="1:7" x14ac:dyDescent="0.25">
      <c r="A319" t="s">
        <v>880</v>
      </c>
      <c r="B319" t="s">
        <v>48</v>
      </c>
      <c r="C319" t="s">
        <v>48</v>
      </c>
      <c r="D319" t="s">
        <v>805</v>
      </c>
      <c r="F319" t="str">
        <f>IFERROR(Levererat_2016[[#This Row],[Leveranser:]]-Levererat_2016[[#This Row],[Leveranser till annat fjärrvärmebolag]],"")</f>
        <v/>
      </c>
      <c r="G319" t="str">
        <f>VLOOKUP(Levererat_2016[[#This Row],[Indexnamn]],'Leveranser per nät'!$A$4:$A$526,1,FALSE)</f>
        <v>Sveg</v>
      </c>
    </row>
    <row r="320" spans="1:7" x14ac:dyDescent="0.25">
      <c r="A320" t="s">
        <v>880</v>
      </c>
      <c r="B320" t="s">
        <v>45</v>
      </c>
      <c r="C320" t="s">
        <v>45</v>
      </c>
      <c r="D320" t="s">
        <v>805</v>
      </c>
      <c r="F320" t="str">
        <f>IFERROR(Levererat_2016[[#This Row],[Leveranser:]]-Levererat_2016[[#This Row],[Leveranser till annat fjärrvärmebolag]],"")</f>
        <v/>
      </c>
      <c r="G320" t="str">
        <f>VLOOKUP(Levererat_2016[[#This Row],[Indexnamn]],'Leveranser per nät'!$A$4:$A$526,1,FALSE)</f>
        <v>Vilhelmina</v>
      </c>
    </row>
    <row r="321" spans="1:7" x14ac:dyDescent="0.25">
      <c r="A321" t="s">
        <v>880</v>
      </c>
      <c r="B321" t="s">
        <v>50</v>
      </c>
      <c r="C321" t="s">
        <v>50</v>
      </c>
      <c r="D321" t="s">
        <v>805</v>
      </c>
      <c r="F321" t="str">
        <f>IFERROR(Levererat_2016[[#This Row],[Leveranser:]]-Levererat_2016[[#This Row],[Leveranser till annat fjärrvärmebolag]],"")</f>
        <v/>
      </c>
      <c r="G321" t="str">
        <f>VLOOKUP(Levererat_2016[[#This Row],[Indexnamn]],'Leveranser per nät'!$A$4:$A$526,1,FALSE)</f>
        <v>Vännäs</v>
      </c>
    </row>
    <row r="322" spans="1:7" x14ac:dyDescent="0.25">
      <c r="A322" t="s">
        <v>713</v>
      </c>
      <c r="B322" t="s">
        <v>298</v>
      </c>
      <c r="C322" t="s">
        <v>298</v>
      </c>
      <c r="D322">
        <v>38.99</v>
      </c>
      <c r="F322">
        <f>IFERROR(Levererat_2016[[#This Row],[Leveranser:]]-Levererat_2016[[#This Row],[Leveranser till annat fjärrvärmebolag]],"")</f>
        <v>38.99</v>
      </c>
      <c r="G322" t="str">
        <f>VLOOKUP(Levererat_2016[[#This Row],[Indexnamn]],'Leveranser per nät'!$A$4:$A$526,1,FALSE)</f>
        <v>Svenljunga</v>
      </c>
    </row>
    <row r="323" spans="1:7" x14ac:dyDescent="0.25">
      <c r="A323" t="s">
        <v>883</v>
      </c>
      <c r="B323" t="s">
        <v>538</v>
      </c>
      <c r="C323" t="s">
        <v>538</v>
      </c>
      <c r="D323" t="s">
        <v>805</v>
      </c>
      <c r="F323" t="str">
        <f>IFERROR(Levererat_2016[[#This Row],[Leveranser:]]-Levererat_2016[[#This Row],[Leveranser till annat fjärrvärmebolag]],"")</f>
        <v/>
      </c>
      <c r="G323" t="e">
        <f>VLOOKUP(Levererat_2016[[#This Row],[Indexnamn]],'Leveranser per nät'!$A$4:$A$526,1,FALSE)</f>
        <v>#N/A</v>
      </c>
    </row>
    <row r="324" spans="1:7" x14ac:dyDescent="0.25">
      <c r="A324" t="s">
        <v>655</v>
      </c>
      <c r="B324" t="s">
        <v>283</v>
      </c>
      <c r="C324" t="s">
        <v>283</v>
      </c>
      <c r="D324">
        <v>118.5</v>
      </c>
      <c r="F324">
        <f>IFERROR(Levererat_2016[[#This Row],[Leveranser:]]-Levererat_2016[[#This Row],[Leveranser till annat fjärrvärmebolag]],"")</f>
        <v>118.5</v>
      </c>
      <c r="G324" t="str">
        <f>VLOOKUP(Levererat_2016[[#This Row],[Indexnamn]],'Leveranser per nät'!$A$4:$A$526,1,FALSE)</f>
        <v>Kungsbacka</v>
      </c>
    </row>
    <row r="325" spans="1:7" x14ac:dyDescent="0.25">
      <c r="A325" t="s">
        <v>655</v>
      </c>
      <c r="B325" t="s">
        <v>282</v>
      </c>
      <c r="C325" t="s">
        <v>282</v>
      </c>
      <c r="D325">
        <v>21.21</v>
      </c>
      <c r="F325">
        <f>IFERROR(Levererat_2016[[#This Row],[Leveranser:]]-Levererat_2016[[#This Row],[Leveranser till annat fjärrvärmebolag]],"")</f>
        <v>21.21</v>
      </c>
      <c r="G325" t="str">
        <f>VLOOKUP(Levererat_2016[[#This Row],[Indexnamn]],'Leveranser per nät'!$A$4:$A$526,1,FALSE)</f>
        <v>Trosa</v>
      </c>
    </row>
    <row r="326" spans="1:7" x14ac:dyDescent="0.25">
      <c r="A326" t="s">
        <v>655</v>
      </c>
      <c r="B326" t="s">
        <v>284</v>
      </c>
      <c r="C326" t="s">
        <v>284</v>
      </c>
      <c r="D326">
        <v>8.5399999999999991</v>
      </c>
      <c r="F326">
        <f>IFERROR(Levererat_2016[[#This Row],[Leveranser:]]-Levererat_2016[[#This Row],[Leveranser till annat fjärrvärmebolag]],"")</f>
        <v>8.5399999999999991</v>
      </c>
      <c r="G326" t="str">
        <f>VLOOKUP(Levererat_2016[[#This Row],[Indexnamn]],'Leveranser per nät'!$A$4:$A$526,1,FALSE)</f>
        <v>Vagnhärad</v>
      </c>
    </row>
    <row r="327" spans="1:7" x14ac:dyDescent="0.25">
      <c r="A327" t="s">
        <v>655</v>
      </c>
      <c r="B327" t="s">
        <v>281</v>
      </c>
      <c r="C327" t="s">
        <v>281</v>
      </c>
      <c r="D327">
        <v>43.3</v>
      </c>
      <c r="F327">
        <f>IFERROR(Levererat_2016[[#This Row],[Leveranser:]]-Levererat_2016[[#This Row],[Leveranser till annat fjärrvärmebolag]],"")</f>
        <v>43.3</v>
      </c>
      <c r="G327" t="str">
        <f>VLOOKUP(Levererat_2016[[#This Row],[Indexnamn]],'Leveranser per nät'!$A$4:$A$526,1,FALSE)</f>
        <v>Åmål</v>
      </c>
    </row>
    <row r="328" spans="1:7" x14ac:dyDescent="0.25">
      <c r="A328" t="s">
        <v>706</v>
      </c>
      <c r="B328" t="s">
        <v>418</v>
      </c>
      <c r="C328" t="s">
        <v>418</v>
      </c>
      <c r="D328">
        <v>77</v>
      </c>
      <c r="F328">
        <f>IFERROR(Levererat_2016[[#This Row],[Leveranser:]]-Levererat_2016[[#This Row],[Leveranser till annat fjärrvärmebolag]],"")</f>
        <v>77</v>
      </c>
      <c r="G328" t="str">
        <f>VLOOKUP(Levererat_2016[[#This Row],[Indexnamn]],'Leveranser per nät'!$A$4:$A$526,1,FALSE)</f>
        <v>Stenungsund</v>
      </c>
    </row>
    <row r="329" spans="1:7" x14ac:dyDescent="0.25">
      <c r="A329" t="s">
        <v>706</v>
      </c>
      <c r="B329" t="s">
        <v>421</v>
      </c>
      <c r="C329" t="s">
        <v>421</v>
      </c>
      <c r="D329">
        <v>0.88700000000000001</v>
      </c>
      <c r="F329">
        <f>IFERROR(Levererat_2016[[#This Row],[Leveranser:]]-Levererat_2016[[#This Row],[Leveranser till annat fjärrvärmebolag]],"")</f>
        <v>0.88700000000000001</v>
      </c>
      <c r="G329" t="str">
        <f>VLOOKUP(Levererat_2016[[#This Row],[Indexnamn]],'Leveranser per nät'!$A$4:$A$526,1,FALSE)</f>
        <v>Stora Höga</v>
      </c>
    </row>
    <row r="330" spans="1:7" x14ac:dyDescent="0.25">
      <c r="A330" t="s">
        <v>884</v>
      </c>
      <c r="B330" t="s">
        <v>885</v>
      </c>
      <c r="C330" t="s">
        <v>885</v>
      </c>
      <c r="D330" t="s">
        <v>805</v>
      </c>
      <c r="F330" t="str">
        <f>IFERROR(Levererat_2016[[#This Row],[Leveranser:]]-Levererat_2016[[#This Row],[Leveranser till annat fjärrvärmebolag]],"")</f>
        <v/>
      </c>
      <c r="G330" t="e">
        <f>VLOOKUP(Levererat_2016[[#This Row],[Indexnamn]],'Leveranser per nät'!$A$4:$A$526,1,FALSE)</f>
        <v>#N/A</v>
      </c>
    </row>
    <row r="331" spans="1:7" x14ac:dyDescent="0.25">
      <c r="A331" t="s">
        <v>884</v>
      </c>
      <c r="B331" t="s">
        <v>886</v>
      </c>
      <c r="C331" t="s">
        <v>886</v>
      </c>
      <c r="D331" t="s">
        <v>805</v>
      </c>
      <c r="F331" t="str">
        <f>IFERROR(Levererat_2016[[#This Row],[Leveranser:]]-Levererat_2016[[#This Row],[Leveranser till annat fjärrvärmebolag]],"")</f>
        <v/>
      </c>
      <c r="G331" t="e">
        <f>VLOOKUP(Levererat_2016[[#This Row],[Indexnamn]],'Leveranser per nät'!$A$4:$A$526,1,FALSE)</f>
        <v>#N/A</v>
      </c>
    </row>
    <row r="332" spans="1:7" x14ac:dyDescent="0.25">
      <c r="A332" t="s">
        <v>884</v>
      </c>
      <c r="B332" t="s">
        <v>887</v>
      </c>
      <c r="C332" t="s">
        <v>887</v>
      </c>
      <c r="D332" t="s">
        <v>805</v>
      </c>
      <c r="F332" t="str">
        <f>IFERROR(Levererat_2016[[#This Row],[Leveranser:]]-Levererat_2016[[#This Row],[Leveranser till annat fjärrvärmebolag]],"")</f>
        <v/>
      </c>
      <c r="G332" t="e">
        <f>VLOOKUP(Levererat_2016[[#This Row],[Indexnamn]],'Leveranser per nät'!$A$4:$A$526,1,FALSE)</f>
        <v>#N/A</v>
      </c>
    </row>
    <row r="333" spans="1:7" x14ac:dyDescent="0.25">
      <c r="A333" t="s">
        <v>884</v>
      </c>
      <c r="B333" t="s">
        <v>420</v>
      </c>
      <c r="C333" t="s">
        <v>420</v>
      </c>
      <c r="D333">
        <v>8159.6549999999997</v>
      </c>
      <c r="E333">
        <v>815.71699999999998</v>
      </c>
      <c r="F333">
        <f>IFERROR(Levererat_2016[[#This Row],[Leveranser:]]-Levererat_2016[[#This Row],[Leveranser till annat fjärrvärmebolag]],"")</f>
        <v>7343.9380000000001</v>
      </c>
      <c r="G333" t="str">
        <f>VLOOKUP(Levererat_2016[[#This Row],[Indexnamn]],'Leveranser per nät'!$A$4:$A$526,1,FALSE)</f>
        <v>Stockholm</v>
      </c>
    </row>
    <row r="334" spans="1:7" x14ac:dyDescent="0.25">
      <c r="A334" t="s">
        <v>884</v>
      </c>
      <c r="B334" t="s">
        <v>888</v>
      </c>
      <c r="C334" t="s">
        <v>888</v>
      </c>
      <c r="D334" t="s">
        <v>805</v>
      </c>
      <c r="F334" t="str">
        <f>IFERROR(Levererat_2016[[#This Row],[Leveranser:]]-Levererat_2016[[#This Row],[Leveranser till annat fjärrvärmebolag]],"")</f>
        <v/>
      </c>
      <c r="G334" t="e">
        <f>VLOOKUP(Levererat_2016[[#This Row],[Indexnamn]],'Leveranser per nät'!$A$4:$A$526,1,FALSE)</f>
        <v>#N/A</v>
      </c>
    </row>
    <row r="335" spans="1:7" x14ac:dyDescent="0.25">
      <c r="A335" t="s">
        <v>884</v>
      </c>
      <c r="B335" t="s">
        <v>889</v>
      </c>
      <c r="C335" t="s">
        <v>889</v>
      </c>
      <c r="D335" t="s">
        <v>805</v>
      </c>
      <c r="F335" t="str">
        <f>IFERROR(Levererat_2016[[#This Row],[Leveranser:]]-Levererat_2016[[#This Row],[Leveranser till annat fjärrvärmebolag]],"")</f>
        <v/>
      </c>
      <c r="G335" t="e">
        <f>VLOOKUP(Levererat_2016[[#This Row],[Indexnamn]],'Leveranser per nät'!$A$4:$A$526,1,FALSE)</f>
        <v>#N/A</v>
      </c>
    </row>
    <row r="336" spans="1:7" x14ac:dyDescent="0.25">
      <c r="A336" t="s">
        <v>884</v>
      </c>
      <c r="B336" t="s">
        <v>890</v>
      </c>
      <c r="C336" t="s">
        <v>890</v>
      </c>
      <c r="D336" t="s">
        <v>805</v>
      </c>
      <c r="F336" t="str">
        <f>IFERROR(Levererat_2016[[#This Row],[Leveranser:]]-Levererat_2016[[#This Row],[Leveranser till annat fjärrvärmebolag]],"")</f>
        <v/>
      </c>
      <c r="G336" t="e">
        <f>VLOOKUP(Levererat_2016[[#This Row],[Indexnamn]],'Leveranser per nät'!$A$4:$A$526,1,FALSE)</f>
        <v>#N/A</v>
      </c>
    </row>
    <row r="337" spans="1:11" x14ac:dyDescent="0.25">
      <c r="A337" t="s">
        <v>884</v>
      </c>
      <c r="B337" t="s">
        <v>442</v>
      </c>
      <c r="C337" t="s">
        <v>442</v>
      </c>
      <c r="D337">
        <v>72.665999999999997</v>
      </c>
      <c r="F337">
        <f>IFERROR(Levererat_2016[[#This Row],[Leveranser:]]-Levererat_2016[[#This Row],[Leveranser till annat fjärrvärmebolag]],"")</f>
        <v>72.665999999999997</v>
      </c>
      <c r="G337" t="str">
        <f>VLOOKUP(Levererat_2016[[#This Row],[Indexnamn]],'Leveranser per nät'!$A$4:$A$526,1,FALSE)</f>
        <v>Täby</v>
      </c>
      <c r="J337" s="44">
        <v>53.128999999999998</v>
      </c>
      <c r="K337">
        <f>J337+Levererat_2016[[#This Row],[Leveranser till eget nät]]</f>
        <v>125.79499999999999</v>
      </c>
    </row>
    <row r="338" spans="1:11" x14ac:dyDescent="0.25">
      <c r="A338" t="s">
        <v>884</v>
      </c>
      <c r="B338" t="s">
        <v>891</v>
      </c>
      <c r="C338" t="s">
        <v>891</v>
      </c>
      <c r="D338" t="s">
        <v>805</v>
      </c>
      <c r="F338" t="str">
        <f>IFERROR(Levererat_2016[[#This Row],[Leveranser:]]-Levererat_2016[[#This Row],[Leveranser till annat fjärrvärmebolag]],"")</f>
        <v/>
      </c>
      <c r="G338" t="e">
        <f>VLOOKUP(Levererat_2016[[#This Row],[Indexnamn]],'Leveranser per nät'!$A$4:$A$526,1,FALSE)</f>
        <v>#N/A</v>
      </c>
    </row>
    <row r="339" spans="1:11" x14ac:dyDescent="0.25">
      <c r="A339" t="s">
        <v>709</v>
      </c>
      <c r="B339" t="s">
        <v>285</v>
      </c>
      <c r="C339" t="s">
        <v>285</v>
      </c>
      <c r="D339">
        <v>148.15</v>
      </c>
      <c r="F339">
        <f>IFERROR(Levererat_2016[[#This Row],[Leveranser:]]-Levererat_2016[[#This Row],[Leveranser till annat fjärrvärmebolag]],"")</f>
        <v>148.15</v>
      </c>
      <c r="G339" t="str">
        <f>VLOOKUP(Levererat_2016[[#This Row],[Indexnamn]],'Leveranser per nät'!$A$4:$A$526,1,FALSE)</f>
        <v>Strängnäs</v>
      </c>
    </row>
    <row r="340" spans="1:11" x14ac:dyDescent="0.25">
      <c r="A340" t="s">
        <v>892</v>
      </c>
      <c r="B340" t="s">
        <v>512</v>
      </c>
      <c r="C340" t="s">
        <v>512</v>
      </c>
      <c r="D340" t="s">
        <v>805</v>
      </c>
      <c r="F340" t="str">
        <f>IFERROR(Levererat_2016[[#This Row],[Leveranser:]]-Levererat_2016[[#This Row],[Leveranser till annat fjärrvärmebolag]],"")</f>
        <v/>
      </c>
      <c r="G340" t="e">
        <f>VLOOKUP(Levererat_2016[[#This Row],[Indexnamn]],'Leveranser per nät'!$A$4:$A$526,1,FALSE)</f>
        <v>#N/A</v>
      </c>
    </row>
    <row r="341" spans="1:11" x14ac:dyDescent="0.25">
      <c r="A341" t="s">
        <v>657</v>
      </c>
      <c r="B341" t="s">
        <v>291</v>
      </c>
      <c r="C341" t="s">
        <v>291</v>
      </c>
      <c r="D341">
        <v>22.416</v>
      </c>
      <c r="F341">
        <f>IFERROR(Levererat_2016[[#This Row],[Leveranser:]]-Levererat_2016[[#This Row],[Leveranser till annat fjärrvärmebolag]],"")</f>
        <v>22.416</v>
      </c>
      <c r="G341" t="str">
        <f>VLOOKUP(Levererat_2016[[#This Row],[Indexnamn]],'Leveranser per nät'!$A$4:$A$526,1,FALSE)</f>
        <v>Kvissleby</v>
      </c>
    </row>
    <row r="342" spans="1:11" x14ac:dyDescent="0.25">
      <c r="A342" t="s">
        <v>657</v>
      </c>
      <c r="B342" t="s">
        <v>294</v>
      </c>
      <c r="C342" t="s">
        <v>294</v>
      </c>
      <c r="D342">
        <v>18.888000000000002</v>
      </c>
      <c r="F342">
        <f>IFERROR(Levererat_2016[[#This Row],[Leveranser:]]-Levererat_2016[[#This Row],[Leveranser till annat fjärrvärmebolag]],"")</f>
        <v>18.888000000000002</v>
      </c>
      <c r="G342" t="str">
        <f>VLOOKUP(Levererat_2016[[#This Row],[Indexnamn]],'Leveranser per nät'!$A$4:$A$526,1,FALSE)</f>
        <v>Matfors</v>
      </c>
    </row>
    <row r="343" spans="1:11" x14ac:dyDescent="0.25">
      <c r="A343" t="s">
        <v>657</v>
      </c>
      <c r="B343" t="s">
        <v>288</v>
      </c>
      <c r="C343" t="s">
        <v>288</v>
      </c>
      <c r="D343">
        <v>534.6</v>
      </c>
      <c r="F343">
        <f>IFERROR(Levererat_2016[[#This Row],[Leveranser:]]-Levererat_2016[[#This Row],[Leveranser till annat fjärrvärmebolag]],"")</f>
        <v>534.6</v>
      </c>
      <c r="G343" t="str">
        <f>VLOOKUP(Levererat_2016[[#This Row],[Indexnamn]],'Leveranser per nät'!$A$4:$A$526,1,FALSE)</f>
        <v>Sundsvall</v>
      </c>
    </row>
    <row r="344" spans="1:11" x14ac:dyDescent="0.25">
      <c r="A344" t="s">
        <v>657</v>
      </c>
      <c r="B344" t="s">
        <v>727</v>
      </c>
      <c r="C344" t="s">
        <v>727</v>
      </c>
      <c r="D344">
        <v>109.252</v>
      </c>
      <c r="F344">
        <f>IFERROR(Levererat_2016[[#This Row],[Leveranser:]]-Levererat_2016[[#This Row],[Leveranser till annat fjärrvärmebolag]],"")</f>
        <v>109.252</v>
      </c>
      <c r="G344" t="str">
        <f>VLOOKUP(Levererat_2016[[#This Row],[Indexnamn]],'Leveranser per nät'!$A$4:$A$526,1,FALSE)</f>
        <v>Tunadal</v>
      </c>
    </row>
    <row r="345" spans="1:11" x14ac:dyDescent="0.25">
      <c r="A345" t="s">
        <v>657</v>
      </c>
      <c r="B345" t="s">
        <v>742</v>
      </c>
      <c r="C345" t="s">
        <v>742</v>
      </c>
      <c r="D345">
        <v>6.3719999999999999</v>
      </c>
      <c r="F345">
        <f>IFERROR(Levererat_2016[[#This Row],[Leveranser:]]-Levererat_2016[[#This Row],[Leveranser till annat fjärrvärmebolag]],"")</f>
        <v>6.3719999999999999</v>
      </c>
      <c r="G345" t="e">
        <f>VLOOKUP(Levererat_2016[[#This Row],[Indexnamn]],'Leveranser per nät'!$A$4:$A$526,1,FALSE)</f>
        <v>#N/A</v>
      </c>
    </row>
    <row r="346" spans="1:11" x14ac:dyDescent="0.25">
      <c r="A346" t="s">
        <v>893</v>
      </c>
      <c r="B346" t="s">
        <v>894</v>
      </c>
      <c r="C346" t="s">
        <v>894</v>
      </c>
      <c r="D346">
        <v>100</v>
      </c>
      <c r="F346">
        <f>IFERROR(Levererat_2016[[#This Row],[Leveranser:]]-Levererat_2016[[#This Row],[Leveranser till annat fjärrvärmebolag]],"")</f>
        <v>100</v>
      </c>
      <c r="G346" t="e">
        <f>VLOOKUP(Levererat_2016[[#This Row],[Indexnamn]],'Leveranser per nät'!$A$4:$A$526,1,FALSE)</f>
        <v>#N/A</v>
      </c>
    </row>
    <row r="347" spans="1:11" x14ac:dyDescent="0.25">
      <c r="A347" t="s">
        <v>893</v>
      </c>
      <c r="B347" t="s">
        <v>895</v>
      </c>
      <c r="C347" t="s">
        <v>895</v>
      </c>
      <c r="D347">
        <v>48900.22</v>
      </c>
      <c r="F347">
        <f>IFERROR(Levererat_2016[[#This Row],[Leveranser:]]-Levererat_2016[[#This Row],[Leveranser till annat fjärrvärmebolag]],"")</f>
        <v>48900.22</v>
      </c>
      <c r="G347" t="e">
        <f>VLOOKUP(Levererat_2016[[#This Row],[Indexnamn]],'Leveranser per nät'!$A$4:$A$526,1,FALSE)</f>
        <v>#N/A</v>
      </c>
    </row>
    <row r="348" spans="1:11" x14ac:dyDescent="0.25">
      <c r="A348" t="s">
        <v>893</v>
      </c>
      <c r="B348" t="s">
        <v>896</v>
      </c>
      <c r="C348" t="s">
        <v>896</v>
      </c>
      <c r="D348" t="s">
        <v>805</v>
      </c>
      <c r="F348" t="str">
        <f>IFERROR(Levererat_2016[[#This Row],[Leveranser:]]-Levererat_2016[[#This Row],[Leveranser till annat fjärrvärmebolag]],"")</f>
        <v/>
      </c>
      <c r="G348" t="e">
        <f>VLOOKUP(Levererat_2016[[#This Row],[Indexnamn]],'Leveranser per nät'!$A$4:$A$526,1,FALSE)</f>
        <v>#N/A</v>
      </c>
    </row>
    <row r="349" spans="1:11" x14ac:dyDescent="0.25">
      <c r="A349" t="s">
        <v>715</v>
      </c>
      <c r="B349" t="s">
        <v>716</v>
      </c>
      <c r="C349" t="s">
        <v>716</v>
      </c>
      <c r="D349" t="s">
        <v>805</v>
      </c>
      <c r="F349" t="str">
        <f>IFERROR(Levererat_2016[[#This Row],[Leveranser:]]-Levererat_2016[[#This Row],[Leveranser till annat fjärrvärmebolag]],"")</f>
        <v/>
      </c>
      <c r="G349" t="e">
        <f>VLOOKUP(Levererat_2016[[#This Row],[Indexnamn]],'Leveranser per nät'!$A$4:$A$526,1,FALSE)</f>
        <v>#N/A</v>
      </c>
    </row>
    <row r="350" spans="1:11" x14ac:dyDescent="0.25">
      <c r="A350" t="s">
        <v>666</v>
      </c>
      <c r="B350" t="s">
        <v>302</v>
      </c>
      <c r="C350" t="s">
        <v>302</v>
      </c>
      <c r="D350">
        <v>9.9640000000000004</v>
      </c>
      <c r="F350">
        <f>IFERROR(Levererat_2016[[#This Row],[Leveranser:]]-Levererat_2016[[#This Row],[Leveranser till annat fjärrvärmebolag]],"")</f>
        <v>9.9640000000000004</v>
      </c>
      <c r="G350" t="str">
        <f>VLOOKUP(Levererat_2016[[#This Row],[Indexnamn]],'Leveranser per nät'!$A$4:$A$526,1,FALSE)</f>
        <v>Ljusne</v>
      </c>
    </row>
    <row r="351" spans="1:11" x14ac:dyDescent="0.25">
      <c r="A351" t="s">
        <v>666</v>
      </c>
      <c r="B351" t="s">
        <v>795</v>
      </c>
      <c r="C351" t="s">
        <v>795</v>
      </c>
      <c r="D351">
        <v>0.47699999999999998</v>
      </c>
      <c r="F351">
        <f>IFERROR(Levererat_2016[[#This Row],[Leveranser:]]-Levererat_2016[[#This Row],[Leveranser till annat fjärrvärmebolag]],"")</f>
        <v>0.47699999999999998</v>
      </c>
      <c r="G351" t="str">
        <f>VLOOKUP(Levererat_2016[[#This Row],[Indexnamn]],'Leveranser per nät'!$A$4:$A$526,1,FALSE)</f>
        <v>Mohed</v>
      </c>
    </row>
    <row r="352" spans="1:11" x14ac:dyDescent="0.25">
      <c r="A352" t="s">
        <v>666</v>
      </c>
      <c r="B352" t="s">
        <v>796</v>
      </c>
      <c r="C352" t="s">
        <v>796</v>
      </c>
      <c r="D352">
        <v>3.089</v>
      </c>
      <c r="F352">
        <f>IFERROR(Levererat_2016[[#This Row],[Leveranser:]]-Levererat_2016[[#This Row],[Leveranser till annat fjärrvärmebolag]],"")</f>
        <v>3.089</v>
      </c>
      <c r="G352" t="str">
        <f>VLOOKUP(Levererat_2016[[#This Row],[Indexnamn]],'Leveranser per nät'!$A$4:$A$526,1,FALSE)</f>
        <v>Sandarne</v>
      </c>
    </row>
    <row r="353" spans="1:7" x14ac:dyDescent="0.25">
      <c r="A353" t="s">
        <v>666</v>
      </c>
      <c r="B353" t="s">
        <v>301</v>
      </c>
      <c r="C353" t="s">
        <v>301</v>
      </c>
      <c r="D353">
        <v>127.962</v>
      </c>
      <c r="F353">
        <f>IFERROR(Levererat_2016[[#This Row],[Leveranser:]]-Levererat_2016[[#This Row],[Leveranser till annat fjärrvärmebolag]],"")</f>
        <v>127.962</v>
      </c>
      <c r="G353" t="str">
        <f>VLOOKUP(Levererat_2016[[#This Row],[Indexnamn]],'Leveranser per nät'!$A$4:$A$526,1,FALSE)</f>
        <v>Söderhamn</v>
      </c>
    </row>
    <row r="354" spans="1:7" x14ac:dyDescent="0.25">
      <c r="A354" t="s">
        <v>717</v>
      </c>
      <c r="B354" t="s">
        <v>304</v>
      </c>
      <c r="C354" t="s">
        <v>304</v>
      </c>
      <c r="D354">
        <v>981</v>
      </c>
      <c r="F354">
        <f>IFERROR(Levererat_2016[[#This Row],[Leveranser:]]-Levererat_2016[[#This Row],[Leveranser till annat fjärrvärmebolag]],"")</f>
        <v>981</v>
      </c>
      <c r="G354" t="str">
        <f>VLOOKUP(Levererat_2016[[#This Row],[Indexnamn]],'Leveranser per nät'!$A$4:$A$526,1,FALSE)</f>
        <v>Södertörn Fjärrvärme Totalt</v>
      </c>
    </row>
    <row r="355" spans="1:7" x14ac:dyDescent="0.25">
      <c r="A355" t="s">
        <v>897</v>
      </c>
      <c r="B355" t="s">
        <v>463</v>
      </c>
      <c r="C355" t="s">
        <v>463</v>
      </c>
      <c r="D355" t="s">
        <v>805</v>
      </c>
      <c r="F355" t="str">
        <f>IFERROR(Levererat_2016[[#This Row],[Leveranser:]]-Levererat_2016[[#This Row],[Leveranser till annat fjärrvärmebolag]],"")</f>
        <v/>
      </c>
      <c r="G355" t="str">
        <f>VLOOKUP(Levererat_2016[[#This Row],[Indexnamn]],'Leveranser per nät'!$A$4:$A$526,1,FALSE)</f>
        <v>Sölvesborg</v>
      </c>
    </row>
    <row r="356" spans="1:7" x14ac:dyDescent="0.25">
      <c r="A356" t="s">
        <v>573</v>
      </c>
      <c r="B356" t="s">
        <v>306</v>
      </c>
      <c r="C356" t="s">
        <v>306</v>
      </c>
      <c r="D356">
        <v>11.3</v>
      </c>
      <c r="F356">
        <f>IFERROR(Levererat_2016[[#This Row],[Leveranser:]]-Levererat_2016[[#This Row],[Leveranser till annat fjärrvärmebolag]],"")</f>
        <v>11.3</v>
      </c>
      <c r="G356" t="str">
        <f>VLOOKUP(Levererat_2016[[#This Row],[Indexnamn]],'Leveranser per nät'!$A$4:$A$526,1,FALSE)</f>
        <v>Borensberg</v>
      </c>
    </row>
    <row r="357" spans="1:7" x14ac:dyDescent="0.25">
      <c r="A357" t="s">
        <v>573</v>
      </c>
      <c r="B357" t="s">
        <v>168</v>
      </c>
      <c r="C357" t="s">
        <v>168</v>
      </c>
      <c r="D357">
        <v>175.6</v>
      </c>
      <c r="F357">
        <f>IFERROR(Levererat_2016[[#This Row],[Leveranser:]]-Levererat_2016[[#This Row],[Leveranser till annat fjärrvärmebolag]],"")</f>
        <v>175.6</v>
      </c>
      <c r="G357" t="str">
        <f>VLOOKUP(Levererat_2016[[#This Row],[Indexnamn]],'Leveranser per nät'!$A$4:$A$526,1,FALSE)</f>
        <v>Katrineholm</v>
      </c>
    </row>
    <row r="358" spans="1:7" x14ac:dyDescent="0.25">
      <c r="A358" t="s">
        <v>573</v>
      </c>
      <c r="B358" t="s">
        <v>307</v>
      </c>
      <c r="C358" t="s">
        <v>307</v>
      </c>
      <c r="D358">
        <v>18.399999999999999</v>
      </c>
      <c r="F358">
        <f>IFERROR(Levererat_2016[[#This Row],[Leveranser:]]-Levererat_2016[[#This Row],[Leveranser till annat fjärrvärmebolag]],"")</f>
        <v>18.399999999999999</v>
      </c>
      <c r="G358" t="str">
        <f>VLOOKUP(Levererat_2016[[#This Row],[Indexnamn]],'Leveranser per nät'!$A$4:$A$526,1,FALSE)</f>
        <v>Kisa</v>
      </c>
    </row>
    <row r="359" spans="1:7" x14ac:dyDescent="0.25">
      <c r="A359" t="s">
        <v>573</v>
      </c>
      <c r="B359" t="s">
        <v>308</v>
      </c>
      <c r="C359" t="s">
        <v>308</v>
      </c>
      <c r="D359">
        <v>1306</v>
      </c>
      <c r="E359">
        <v>69</v>
      </c>
      <c r="F359">
        <f>IFERROR(Levererat_2016[[#This Row],[Leveranser:]]-Levererat_2016[[#This Row],[Leveranser till annat fjärrvärmebolag]],"")</f>
        <v>1237</v>
      </c>
      <c r="G359" t="str">
        <f>VLOOKUP(Levererat_2016[[#This Row],[Indexnamn]],'Leveranser per nät'!$A$4:$A$526,1,FALSE)</f>
        <v>Linköping</v>
      </c>
    </row>
    <row r="360" spans="1:7" x14ac:dyDescent="0.25">
      <c r="A360" t="s">
        <v>573</v>
      </c>
      <c r="B360" t="s">
        <v>309</v>
      </c>
      <c r="C360" t="s">
        <v>309</v>
      </c>
      <c r="D360">
        <v>17</v>
      </c>
      <c r="F360">
        <f>IFERROR(Levererat_2016[[#This Row],[Leveranser:]]-Levererat_2016[[#This Row],[Leveranser till annat fjärrvärmebolag]],"")</f>
        <v>17</v>
      </c>
      <c r="G360" t="str">
        <f>VLOOKUP(Levererat_2016[[#This Row],[Indexnamn]],'Leveranser per nät'!$A$4:$A$526,1,FALSE)</f>
        <v>Skärblacka</v>
      </c>
    </row>
    <row r="361" spans="1:7" x14ac:dyDescent="0.25">
      <c r="A361" t="s">
        <v>573</v>
      </c>
      <c r="B361" t="s">
        <v>310</v>
      </c>
      <c r="C361" t="s">
        <v>310</v>
      </c>
      <c r="D361">
        <v>31.5</v>
      </c>
      <c r="F361">
        <f>IFERROR(Levererat_2016[[#This Row],[Leveranser:]]-Levererat_2016[[#This Row],[Leveranser till annat fjärrvärmebolag]],"")</f>
        <v>31.5</v>
      </c>
      <c r="G361" t="str">
        <f>VLOOKUP(Levererat_2016[[#This Row],[Indexnamn]],'Leveranser per nät'!$A$4:$A$526,1,FALSE)</f>
        <v>Åtvidaberg</v>
      </c>
    </row>
    <row r="362" spans="1:7" x14ac:dyDescent="0.25">
      <c r="A362" t="s">
        <v>641</v>
      </c>
      <c r="B362" t="s">
        <v>312</v>
      </c>
      <c r="C362" t="s">
        <v>312</v>
      </c>
      <c r="D362">
        <v>44</v>
      </c>
      <c r="F362">
        <f>IFERROR(Levererat_2016[[#This Row],[Leveranser:]]-Levererat_2016[[#This Row],[Leveranser till annat fjärrvärmebolag]],"")</f>
        <v>44</v>
      </c>
      <c r="G362" t="str">
        <f>VLOOKUP(Levererat_2016[[#This Row],[Indexnamn]],'Leveranser per nät'!$A$4:$A$526,1,FALSE)</f>
        <v>Järna</v>
      </c>
    </row>
    <row r="363" spans="1:7" x14ac:dyDescent="0.25">
      <c r="A363" t="s">
        <v>641</v>
      </c>
      <c r="B363" t="s">
        <v>898</v>
      </c>
      <c r="C363" t="s">
        <v>898</v>
      </c>
      <c r="D363" t="s">
        <v>806</v>
      </c>
      <c r="F363" t="str">
        <f>IFERROR(Levererat_2016[[#This Row],[Leveranser:]]-Levererat_2016[[#This Row],[Leveranser till annat fjärrvärmebolag]],"")</f>
        <v/>
      </c>
      <c r="G363" t="e">
        <f>VLOOKUP(Levererat_2016[[#This Row],[Indexnamn]],'Leveranser per nät'!$A$4:$A$526,1,FALSE)</f>
        <v>#N/A</v>
      </c>
    </row>
    <row r="364" spans="1:7" x14ac:dyDescent="0.25">
      <c r="A364" t="s">
        <v>641</v>
      </c>
      <c r="B364" t="s">
        <v>311</v>
      </c>
      <c r="C364" t="s">
        <v>311</v>
      </c>
      <c r="D364">
        <v>682</v>
      </c>
      <c r="F364">
        <f>IFERROR(Levererat_2016[[#This Row],[Leveranser:]]-Levererat_2016[[#This Row],[Leveranser till annat fjärrvärmebolag]],"")</f>
        <v>682</v>
      </c>
      <c r="G364" t="str">
        <f>VLOOKUP(Levererat_2016[[#This Row],[Indexnamn]],'Leveranser per nät'!$A$4:$A$526,1,FALSE)</f>
        <v>Södertälje</v>
      </c>
    </row>
    <row r="365" spans="1:7" x14ac:dyDescent="0.25">
      <c r="A365" t="s">
        <v>718</v>
      </c>
      <c r="B365" t="s">
        <v>314</v>
      </c>
      <c r="C365" t="s">
        <v>314</v>
      </c>
      <c r="D365">
        <v>52.838999999999999</v>
      </c>
      <c r="F365">
        <f>IFERROR(Levererat_2016[[#This Row],[Leveranser:]]-Levererat_2016[[#This Row],[Leveranser till annat fjärrvärmebolag]],"")</f>
        <v>52.838999999999999</v>
      </c>
      <c r="G365" t="str">
        <f>VLOOKUP(Levererat_2016[[#This Row],[Indexnamn]],'Leveranser per nät'!$A$4:$A$526,1,FALSE)</f>
        <v>Tidaholm</v>
      </c>
    </row>
    <row r="366" spans="1:7" x14ac:dyDescent="0.25">
      <c r="A366" t="s">
        <v>720</v>
      </c>
      <c r="B366" t="s">
        <v>315</v>
      </c>
      <c r="C366" t="s">
        <v>315</v>
      </c>
      <c r="D366">
        <v>52.591999999999999</v>
      </c>
      <c r="F366">
        <f>IFERROR(Levererat_2016[[#This Row],[Leveranser:]]-Levererat_2016[[#This Row],[Leveranser till annat fjärrvärmebolag]],"")</f>
        <v>52.591999999999999</v>
      </c>
      <c r="G366" t="str">
        <f>VLOOKUP(Levererat_2016[[#This Row],[Indexnamn]],'Leveranser per nät'!$A$4:$A$526,1,FALSE)</f>
        <v>Tierp</v>
      </c>
    </row>
    <row r="367" spans="1:7" x14ac:dyDescent="0.25">
      <c r="A367" t="s">
        <v>720</v>
      </c>
      <c r="B367" t="s">
        <v>439</v>
      </c>
      <c r="C367" t="s">
        <v>439</v>
      </c>
      <c r="D367" t="s">
        <v>806</v>
      </c>
      <c r="F367" t="str">
        <f>IFERROR(Levererat_2016[[#This Row],[Leveranser:]]-Levererat_2016[[#This Row],[Leveranser till annat fjärrvärmebolag]],"")</f>
        <v/>
      </c>
      <c r="G367" t="str">
        <f>VLOOKUP(Levererat_2016[[#This Row],[Indexnamn]],'Leveranser per nät'!$A$4:$A$526,1,FALSE)</f>
        <v>Örbyhus</v>
      </c>
    </row>
    <row r="368" spans="1:7" x14ac:dyDescent="0.25">
      <c r="A368" t="s">
        <v>899</v>
      </c>
      <c r="B368" t="s">
        <v>464</v>
      </c>
      <c r="C368" t="s">
        <v>464</v>
      </c>
      <c r="D368" t="s">
        <v>805</v>
      </c>
      <c r="F368" t="str">
        <f>IFERROR(Levererat_2016[[#This Row],[Leveranser:]]-Levererat_2016[[#This Row],[Leveranser till annat fjärrvärmebolag]],"")</f>
        <v/>
      </c>
      <c r="G368" t="e">
        <f>VLOOKUP(Levererat_2016[[#This Row],[Indexnamn]],'Leveranser per nät'!$A$4:$A$526,1,FALSE)</f>
        <v>#N/A</v>
      </c>
    </row>
    <row r="369" spans="1:7" x14ac:dyDescent="0.25">
      <c r="A369" t="s">
        <v>777</v>
      </c>
      <c r="B369" t="s">
        <v>777</v>
      </c>
      <c r="C369" t="s">
        <v>777</v>
      </c>
      <c r="D369">
        <v>3.02</v>
      </c>
      <c r="F369">
        <f>IFERROR(Levererat_2016[[#This Row],[Leveranser:]]-Levererat_2016[[#This Row],[Leveranser till annat fjärrvärmebolag]],"")</f>
        <v>3.02</v>
      </c>
      <c r="G369" t="e">
        <f>VLOOKUP(Levererat_2016[[#This Row],[Indexnamn]],'Leveranser per nät'!$A$4:$A$526,1,FALSE)</f>
        <v>#N/A</v>
      </c>
    </row>
    <row r="370" spans="1:7" x14ac:dyDescent="0.25">
      <c r="A370" t="s">
        <v>721</v>
      </c>
      <c r="B370" t="s">
        <v>514</v>
      </c>
      <c r="C370" t="s">
        <v>514</v>
      </c>
      <c r="D370">
        <v>12</v>
      </c>
      <c r="F370">
        <f>IFERROR(Levererat_2016[[#This Row],[Leveranser:]]-Levererat_2016[[#This Row],[Leveranser till annat fjärrvärmebolag]],"")</f>
        <v>12</v>
      </c>
      <c r="G370" t="str">
        <f>VLOOKUP(Levererat_2016[[#This Row],[Indexnamn]],'Leveranser per nät'!$A$4:$A$526,1,FALSE)</f>
        <v>Torsås</v>
      </c>
    </row>
    <row r="371" spans="1:7" x14ac:dyDescent="0.25">
      <c r="A371" t="s">
        <v>900</v>
      </c>
      <c r="B371" t="s">
        <v>901</v>
      </c>
      <c r="C371" t="s">
        <v>901</v>
      </c>
      <c r="D371" t="s">
        <v>806</v>
      </c>
      <c r="F371" t="str">
        <f>IFERROR(Levererat_2016[[#This Row],[Leveranser:]]-Levererat_2016[[#This Row],[Leveranser till annat fjärrvärmebolag]],"")</f>
        <v/>
      </c>
      <c r="G371" t="e">
        <f>VLOOKUP(Levererat_2016[[#This Row],[Indexnamn]],'Leveranser per nät'!$A$4:$A$526,1,FALSE)</f>
        <v>#N/A</v>
      </c>
    </row>
    <row r="372" spans="1:7" x14ac:dyDescent="0.25">
      <c r="A372" t="s">
        <v>722</v>
      </c>
      <c r="B372" t="s">
        <v>316</v>
      </c>
      <c r="C372" t="s">
        <v>316</v>
      </c>
      <c r="D372">
        <v>123</v>
      </c>
      <c r="F372">
        <f>IFERROR(Levererat_2016[[#This Row],[Leveranser:]]-Levererat_2016[[#This Row],[Leveranser till annat fjärrvärmebolag]],"")</f>
        <v>123</v>
      </c>
      <c r="G372" t="str">
        <f>VLOOKUP(Levererat_2016[[#This Row],[Indexnamn]],'Leveranser per nät'!$A$4:$A$526,1,FALSE)</f>
        <v>Tranås</v>
      </c>
    </row>
    <row r="373" spans="1:7" x14ac:dyDescent="0.25">
      <c r="A373" t="s">
        <v>723</v>
      </c>
      <c r="B373" t="s">
        <v>317</v>
      </c>
      <c r="C373" t="s">
        <v>317</v>
      </c>
      <c r="D373">
        <v>87.5</v>
      </c>
      <c r="F373">
        <f>IFERROR(Levererat_2016[[#This Row],[Leveranser:]]-Levererat_2016[[#This Row],[Leveranser till annat fjärrvärmebolag]],"")</f>
        <v>87.5</v>
      </c>
      <c r="G373" t="str">
        <f>VLOOKUP(Levererat_2016[[#This Row],[Indexnamn]],'Leveranser per nät'!$A$4:$A$526,1,FALSE)</f>
        <v>Trelleborg</v>
      </c>
    </row>
    <row r="374" spans="1:7" x14ac:dyDescent="0.25">
      <c r="A374" t="s">
        <v>725</v>
      </c>
      <c r="B374" t="s">
        <v>318</v>
      </c>
      <c r="C374" t="s">
        <v>318</v>
      </c>
      <c r="D374">
        <v>347</v>
      </c>
      <c r="F374">
        <f>IFERROR(Levererat_2016[[#This Row],[Leveranser:]]-Levererat_2016[[#This Row],[Leveranser till annat fjärrvärmebolag]],"")</f>
        <v>347</v>
      </c>
      <c r="G374" t="str">
        <f>VLOOKUP(Levererat_2016[[#This Row],[Indexnamn]],'Leveranser per nät'!$A$4:$A$526,1,FALSE)</f>
        <v>Trollhättan</v>
      </c>
    </row>
    <row r="375" spans="1:7" x14ac:dyDescent="0.25">
      <c r="A375" t="s">
        <v>902</v>
      </c>
      <c r="B375" t="s">
        <v>797</v>
      </c>
      <c r="C375" t="s">
        <v>797</v>
      </c>
      <c r="D375" t="s">
        <v>805</v>
      </c>
      <c r="F375" t="str">
        <f>IFERROR(Levererat_2016[[#This Row],[Leveranser:]]-Levererat_2016[[#This Row],[Leveranser till annat fjärrvärmebolag]],"")</f>
        <v/>
      </c>
      <c r="G375" t="e">
        <f>VLOOKUP(Levererat_2016[[#This Row],[Indexnamn]],'Leveranser per nät'!$A$4:$A$526,1,FALSE)</f>
        <v>#N/A</v>
      </c>
    </row>
    <row r="376" spans="1:7" x14ac:dyDescent="0.25">
      <c r="A376" t="s">
        <v>665</v>
      </c>
      <c r="B376" t="s">
        <v>404</v>
      </c>
      <c r="C376" t="s">
        <v>404</v>
      </c>
      <c r="D376">
        <v>4.17</v>
      </c>
      <c r="F376">
        <f>IFERROR(Levererat_2016[[#This Row],[Leveranser:]]-Levererat_2016[[#This Row],[Leveranser till annat fjärrvärmebolag]],"")</f>
        <v>4.17</v>
      </c>
      <c r="G376" t="str">
        <f>VLOOKUP(Levererat_2016[[#This Row],[Indexnamn]],'Leveranser per nät'!$A$4:$A$526,1,FALSE)</f>
        <v>Ljungskile</v>
      </c>
    </row>
    <row r="377" spans="1:7" x14ac:dyDescent="0.25">
      <c r="A377" t="s">
        <v>665</v>
      </c>
      <c r="B377" t="s">
        <v>319</v>
      </c>
      <c r="C377" t="s">
        <v>319</v>
      </c>
      <c r="D377">
        <v>6.95</v>
      </c>
      <c r="F377">
        <f>IFERROR(Levererat_2016[[#This Row],[Leveranser:]]-Levererat_2016[[#This Row],[Leveranser till annat fjärrvärmebolag]],"")</f>
        <v>6.95</v>
      </c>
      <c r="G377" t="str">
        <f>VLOOKUP(Levererat_2016[[#This Row],[Indexnamn]],'Leveranser per nät'!$A$4:$A$526,1,FALSE)</f>
        <v>Munkedal</v>
      </c>
    </row>
    <row r="378" spans="1:7" x14ac:dyDescent="0.25">
      <c r="A378" t="s">
        <v>665</v>
      </c>
      <c r="B378" t="s">
        <v>320</v>
      </c>
      <c r="C378" t="s">
        <v>320</v>
      </c>
      <c r="D378">
        <v>287.63</v>
      </c>
      <c r="F378">
        <f>IFERROR(Levererat_2016[[#This Row],[Leveranser:]]-Levererat_2016[[#This Row],[Leveranser till annat fjärrvärmebolag]],"")</f>
        <v>287.63</v>
      </c>
      <c r="G378" t="str">
        <f>VLOOKUP(Levererat_2016[[#This Row],[Indexnamn]],'Leveranser per nät'!$A$4:$A$526,1,FALSE)</f>
        <v>Uddevalla</v>
      </c>
    </row>
    <row r="379" spans="1:7" x14ac:dyDescent="0.25">
      <c r="A379" t="s">
        <v>614</v>
      </c>
      <c r="B379" t="s">
        <v>322</v>
      </c>
      <c r="C379" t="s">
        <v>322</v>
      </c>
      <c r="D379">
        <v>2.3250000000000002</v>
      </c>
      <c r="F379">
        <f>IFERROR(Levererat_2016[[#This Row],[Leveranser:]]-Levererat_2016[[#This Row],[Leveranser till annat fjärrvärmebolag]],"")</f>
        <v>2.3250000000000002</v>
      </c>
      <c r="G379" t="str">
        <f>VLOOKUP(Levererat_2016[[#This Row],[Indexnamn]],'Leveranser per nät'!$A$4:$A$526,1,FALSE)</f>
        <v>Gällstad</v>
      </c>
    </row>
    <row r="380" spans="1:7" x14ac:dyDescent="0.25">
      <c r="A380" t="s">
        <v>614</v>
      </c>
      <c r="B380" t="s">
        <v>798</v>
      </c>
      <c r="C380" t="s">
        <v>798</v>
      </c>
      <c r="D380">
        <v>0.83799999999999997</v>
      </c>
      <c r="F380">
        <f>IFERROR(Levererat_2016[[#This Row],[Leveranser:]]-Levererat_2016[[#This Row],[Leveranser till annat fjärrvärmebolag]],"")</f>
        <v>0.83799999999999997</v>
      </c>
      <c r="G380" t="str">
        <f>VLOOKUP(Levererat_2016[[#This Row],[Indexnamn]],'Leveranser per nät'!$A$4:$A$526,1,FALSE)</f>
        <v>Timmele</v>
      </c>
    </row>
    <row r="381" spans="1:7" x14ac:dyDescent="0.25">
      <c r="A381" t="s">
        <v>614</v>
      </c>
      <c r="B381" t="s">
        <v>321</v>
      </c>
      <c r="C381" t="s">
        <v>321</v>
      </c>
      <c r="D381">
        <v>47.862000000000002</v>
      </c>
      <c r="F381">
        <f>IFERROR(Levererat_2016[[#This Row],[Leveranser:]]-Levererat_2016[[#This Row],[Leveranser till annat fjärrvärmebolag]],"")</f>
        <v>47.862000000000002</v>
      </c>
      <c r="G381" t="str">
        <f>VLOOKUP(Levererat_2016[[#This Row],[Indexnamn]],'Leveranser per nät'!$A$4:$A$526,1,FALSE)</f>
        <v>Ulricehamn</v>
      </c>
    </row>
    <row r="382" spans="1:7" x14ac:dyDescent="0.25">
      <c r="A382" t="s">
        <v>566</v>
      </c>
      <c r="B382" t="s">
        <v>323</v>
      </c>
      <c r="C382" t="s">
        <v>323</v>
      </c>
      <c r="D382">
        <v>7.633</v>
      </c>
      <c r="F382">
        <f>IFERROR(Levererat_2016[[#This Row],[Leveranser:]]-Levererat_2016[[#This Row],[Leveranser till annat fjärrvärmebolag]],"")</f>
        <v>7.633</v>
      </c>
      <c r="G382" t="str">
        <f>VLOOKUP(Levererat_2016[[#This Row],[Indexnamn]],'Leveranser per nät'!$A$4:$A$526,1,FALSE)</f>
        <v>Bjurholm</v>
      </c>
    </row>
    <row r="383" spans="1:7" x14ac:dyDescent="0.25">
      <c r="A383" t="s">
        <v>566</v>
      </c>
      <c r="B383" t="s">
        <v>326</v>
      </c>
      <c r="C383" t="s">
        <v>326</v>
      </c>
      <c r="D383">
        <v>7.2080000000000002</v>
      </c>
      <c r="F383">
        <f>IFERROR(Levererat_2016[[#This Row],[Leveranser:]]-Levererat_2016[[#This Row],[Leveranser till annat fjärrvärmebolag]],"")</f>
        <v>7.2080000000000002</v>
      </c>
      <c r="G383" t="str">
        <f>VLOOKUP(Levererat_2016[[#This Row],[Indexnamn]],'Leveranser per nät'!$A$4:$A$526,1,FALSE)</f>
        <v>Hörnefors</v>
      </c>
    </row>
    <row r="384" spans="1:7" x14ac:dyDescent="0.25">
      <c r="A384" t="s">
        <v>566</v>
      </c>
      <c r="B384" t="s">
        <v>327</v>
      </c>
      <c r="C384" t="s">
        <v>327</v>
      </c>
      <c r="D384">
        <v>7.6760000000000002</v>
      </c>
      <c r="F384">
        <f>IFERROR(Levererat_2016[[#This Row],[Leveranser:]]-Levererat_2016[[#This Row],[Leveranser till annat fjärrvärmebolag]],"")</f>
        <v>7.6760000000000002</v>
      </c>
      <c r="G384" t="str">
        <f>VLOOKUP(Levererat_2016[[#This Row],[Indexnamn]],'Leveranser per nät'!$A$4:$A$526,1,FALSE)</f>
        <v>Sävar</v>
      </c>
    </row>
    <row r="385" spans="1:7" x14ac:dyDescent="0.25">
      <c r="A385" t="s">
        <v>566</v>
      </c>
      <c r="B385" t="s">
        <v>324</v>
      </c>
      <c r="C385" t="s">
        <v>324</v>
      </c>
      <c r="D385">
        <v>839.721</v>
      </c>
      <c r="F385">
        <f>IFERROR(Levererat_2016[[#This Row],[Leveranser:]]-Levererat_2016[[#This Row],[Leveranser till annat fjärrvärmebolag]],"")</f>
        <v>839.721</v>
      </c>
      <c r="G385" t="str">
        <f>VLOOKUP(Levererat_2016[[#This Row],[Indexnamn]],'Leveranser per nät'!$A$4:$A$526,1,FALSE)</f>
        <v>Umeå</v>
      </c>
    </row>
    <row r="386" spans="1:7" x14ac:dyDescent="0.25">
      <c r="A386" t="s">
        <v>697</v>
      </c>
      <c r="B386" t="s">
        <v>329</v>
      </c>
      <c r="C386" t="s">
        <v>329</v>
      </c>
      <c r="D386">
        <v>21.585999999999999</v>
      </c>
      <c r="F386">
        <f>IFERROR(Levererat_2016[[#This Row],[Leveranser:]]-Levererat_2016[[#This Row],[Leveranser till annat fjärrvärmebolag]],"")</f>
        <v>21.585999999999999</v>
      </c>
      <c r="G386" t="str">
        <f>VLOOKUP(Levererat_2016[[#This Row],[Indexnamn]],'Leveranser per nät'!$A$4:$A$526,1,FALSE)</f>
        <v>Skillingaryd</v>
      </c>
    </row>
    <row r="387" spans="1:7" x14ac:dyDescent="0.25">
      <c r="A387" t="s">
        <v>697</v>
      </c>
      <c r="B387" t="s">
        <v>328</v>
      </c>
      <c r="C387" t="s">
        <v>328</v>
      </c>
      <c r="D387">
        <v>29.574999999999999</v>
      </c>
      <c r="F387">
        <f>IFERROR(Levererat_2016[[#This Row],[Leveranser:]]-Levererat_2016[[#This Row],[Leveranser till annat fjärrvärmebolag]],"")</f>
        <v>29.574999999999999</v>
      </c>
      <c r="G387" t="str">
        <f>VLOOKUP(Levererat_2016[[#This Row],[Indexnamn]],'Leveranser per nät'!$A$4:$A$526,1,FALSE)</f>
        <v>Vaggeryd</v>
      </c>
    </row>
    <row r="388" spans="1:7" x14ac:dyDescent="0.25">
      <c r="A388" t="s">
        <v>799</v>
      </c>
      <c r="B388" t="s">
        <v>330</v>
      </c>
      <c r="C388" t="s">
        <v>330</v>
      </c>
      <c r="D388">
        <v>35.68</v>
      </c>
      <c r="F388">
        <f>IFERROR(Levererat_2016[[#This Row],[Leveranser:]]-Levererat_2016[[#This Row],[Leveranser till annat fjärrvärmebolag]],"")</f>
        <v>35.68</v>
      </c>
      <c r="G388" t="str">
        <f>VLOOKUP(Levererat_2016[[#This Row],[Indexnamn]],'Leveranser per nät'!$A$4:$A$526,1,FALSE)</f>
        <v>Vara</v>
      </c>
    </row>
    <row r="389" spans="1:7" x14ac:dyDescent="0.25">
      <c r="A389" t="s">
        <v>726</v>
      </c>
      <c r="B389" t="s">
        <v>429</v>
      </c>
      <c r="C389" t="s">
        <v>429</v>
      </c>
      <c r="D389">
        <v>3.976</v>
      </c>
      <c r="F389">
        <f>IFERROR(Levererat_2016[[#This Row],[Leveranser:]]-Levererat_2016[[#This Row],[Leveranser till annat fjärrvärmebolag]],"")</f>
        <v>3.976</v>
      </c>
      <c r="G389" t="str">
        <f>VLOOKUP(Levererat_2016[[#This Row],[Indexnamn]],'Leveranser per nät'!$A$4:$A$526,1,FALSE)</f>
        <v>Tvååker (Närv)</v>
      </c>
    </row>
    <row r="390" spans="1:7" x14ac:dyDescent="0.25">
      <c r="A390" t="s">
        <v>726</v>
      </c>
      <c r="B390" t="s">
        <v>332</v>
      </c>
      <c r="C390" t="s">
        <v>332</v>
      </c>
      <c r="D390">
        <v>150.43100000000001</v>
      </c>
      <c r="F390">
        <f>IFERROR(Levererat_2016[[#This Row],[Leveranser:]]-Levererat_2016[[#This Row],[Leveranser till annat fjärrvärmebolag]],"")</f>
        <v>150.43100000000001</v>
      </c>
      <c r="G390" t="str">
        <f>VLOOKUP(Levererat_2016[[#This Row],[Indexnamn]],'Leveranser per nät'!$A$4:$A$526,1,FALSE)</f>
        <v>Varberg (Fjv)</v>
      </c>
    </row>
    <row r="391" spans="1:7" x14ac:dyDescent="0.25">
      <c r="A391" t="s">
        <v>726</v>
      </c>
      <c r="B391" t="s">
        <v>333</v>
      </c>
      <c r="C391" t="s">
        <v>333</v>
      </c>
      <c r="D391">
        <v>3.8</v>
      </c>
      <c r="F391">
        <f>IFERROR(Levererat_2016[[#This Row],[Leveranser:]]-Levererat_2016[[#This Row],[Leveranser till annat fjärrvärmebolag]],"")</f>
        <v>3.8</v>
      </c>
      <c r="G391" t="str">
        <f>VLOOKUP(Levererat_2016[[#This Row],[Indexnamn]],'Leveranser per nät'!$A$4:$A$526,1,FALSE)</f>
        <v>Veddige</v>
      </c>
    </row>
    <row r="392" spans="1:7" x14ac:dyDescent="0.25">
      <c r="A392" t="s">
        <v>800</v>
      </c>
      <c r="B392" t="s">
        <v>346</v>
      </c>
      <c r="C392" t="s">
        <v>346</v>
      </c>
      <c r="D392">
        <v>98.3</v>
      </c>
      <c r="F392">
        <f>IFERROR(Levererat_2016[[#This Row],[Leveranser:]]-Levererat_2016[[#This Row],[Leveranser till annat fjärrvärmebolag]],"")</f>
        <v>98.3</v>
      </c>
      <c r="G392" t="str">
        <f>VLOOKUP(Levererat_2016[[#This Row],[Indexnamn]],'Leveranser per nät'!$A$4:$A$526,1,FALSE)</f>
        <v>Kalix</v>
      </c>
    </row>
    <row r="393" spans="1:7" x14ac:dyDescent="0.25">
      <c r="A393" t="s">
        <v>800</v>
      </c>
      <c r="B393" t="s">
        <v>801</v>
      </c>
      <c r="C393" t="s">
        <v>801</v>
      </c>
      <c r="D393">
        <v>2.1309999999999998</v>
      </c>
      <c r="F393">
        <f>IFERROR(Levererat_2016[[#This Row],[Leveranser:]]-Levererat_2016[[#This Row],[Leveranser till annat fjärrvärmebolag]],"")</f>
        <v>2.1309999999999998</v>
      </c>
      <c r="G393" t="str">
        <f>VLOOKUP(Levererat_2016[[#This Row],[Indexnamn]],'Leveranser per nät'!$A$4:$A$526,1,FALSE)</f>
        <v>Krokek</v>
      </c>
    </row>
    <row r="394" spans="1:7" x14ac:dyDescent="0.25">
      <c r="A394" t="s">
        <v>800</v>
      </c>
      <c r="B394" t="s">
        <v>200</v>
      </c>
      <c r="C394" t="s">
        <v>200</v>
      </c>
      <c r="D394">
        <v>14.6</v>
      </c>
      <c r="F394">
        <f>IFERROR(Levererat_2016[[#This Row],[Leveranser:]]-Levererat_2016[[#This Row],[Leveranser till annat fjärrvärmebolag]],"")</f>
        <v>14.6</v>
      </c>
      <c r="G394" t="str">
        <f>VLOOKUP(Levererat_2016[[#This Row],[Indexnamn]],'Leveranser per nät'!$A$4:$A$526,1,FALSE)</f>
        <v>Malmköping</v>
      </c>
    </row>
    <row r="395" spans="1:7" x14ac:dyDescent="0.25">
      <c r="A395" t="s">
        <v>556</v>
      </c>
      <c r="B395" t="s">
        <v>334</v>
      </c>
      <c r="C395" t="s">
        <v>334</v>
      </c>
      <c r="D395">
        <v>19.239999999999998</v>
      </c>
      <c r="F395">
        <f>IFERROR(Levererat_2016[[#This Row],[Leveranser:]]-Levererat_2016[[#This Row],[Leveranser till annat fjärrvärmebolag]],"")</f>
        <v>19.239999999999998</v>
      </c>
      <c r="G395" t="str">
        <f>VLOOKUP(Levererat_2016[[#This Row],[Indexnamn]],'Leveranser per nät'!$A$4:$A$526,1,FALSE)</f>
        <v>Askersund</v>
      </c>
    </row>
    <row r="396" spans="1:7" x14ac:dyDescent="0.25">
      <c r="A396" t="s">
        <v>556</v>
      </c>
      <c r="B396" t="s">
        <v>339</v>
      </c>
      <c r="C396" t="s">
        <v>339</v>
      </c>
      <c r="D396">
        <v>477.26</v>
      </c>
      <c r="F396">
        <f>IFERROR(Levererat_2016[[#This Row],[Leveranser:]]-Levererat_2016[[#This Row],[Leveranser till annat fjärrvärmebolag]],"")</f>
        <v>477.26</v>
      </c>
      <c r="G396" t="str">
        <f>VLOOKUP(Levererat_2016[[#This Row],[Indexnamn]],'Leveranser per nät'!$A$4:$A$526,1,FALSE)</f>
        <v>Drefviken</v>
      </c>
    </row>
    <row r="397" spans="1:7" x14ac:dyDescent="0.25">
      <c r="A397" t="s">
        <v>556</v>
      </c>
      <c r="B397" t="s">
        <v>340</v>
      </c>
      <c r="C397" t="s">
        <v>340</v>
      </c>
      <c r="D397">
        <v>54.45</v>
      </c>
      <c r="F397">
        <f>IFERROR(Levererat_2016[[#This Row],[Leveranser:]]-Levererat_2016[[#This Row],[Leveranser till annat fjärrvärmebolag]],"")</f>
        <v>54.45</v>
      </c>
      <c r="G397" t="str">
        <f>VLOOKUP(Levererat_2016[[#This Row],[Indexnamn]],'Leveranser per nät'!$A$4:$A$526,1,FALSE)</f>
        <v>Gustavsberg</v>
      </c>
    </row>
    <row r="398" spans="1:7" x14ac:dyDescent="0.25">
      <c r="A398" t="s">
        <v>556</v>
      </c>
      <c r="B398" t="s">
        <v>903</v>
      </c>
      <c r="C398" t="s">
        <v>903</v>
      </c>
      <c r="D398">
        <v>57.8</v>
      </c>
      <c r="F398">
        <f>IFERROR(Levererat_2016[[#This Row],[Leveranser:]]-Levererat_2016[[#This Row],[Leveranser till annat fjärrvärmebolag]],"")</f>
        <v>57.8</v>
      </c>
      <c r="G398" t="e">
        <f>VLOOKUP(Levererat_2016[[#This Row],[Indexnamn]],'Leveranser per nät'!$A$4:$A$526,1,FALSE)</f>
        <v>#N/A</v>
      </c>
    </row>
    <row r="399" spans="1:7" x14ac:dyDescent="0.25">
      <c r="A399" t="s">
        <v>556</v>
      </c>
      <c r="B399" t="s">
        <v>341</v>
      </c>
      <c r="C399" t="s">
        <v>341</v>
      </c>
      <c r="D399">
        <v>48.26</v>
      </c>
      <c r="F399">
        <f>IFERROR(Levererat_2016[[#This Row],[Leveranser:]]-Levererat_2016[[#This Row],[Leveranser till annat fjärrvärmebolag]],"")</f>
        <v>48.26</v>
      </c>
      <c r="G399" t="str">
        <f>VLOOKUP(Levererat_2016[[#This Row],[Indexnamn]],'Leveranser per nät'!$A$4:$A$526,1,FALSE)</f>
        <v>Knivsta</v>
      </c>
    </row>
    <row r="400" spans="1:7" x14ac:dyDescent="0.25">
      <c r="A400" t="s">
        <v>556</v>
      </c>
      <c r="B400" t="s">
        <v>336</v>
      </c>
      <c r="C400" t="s">
        <v>336</v>
      </c>
      <c r="D400">
        <v>154.97</v>
      </c>
      <c r="F400">
        <f>IFERROR(Levererat_2016[[#This Row],[Leveranser:]]-Levererat_2016[[#This Row],[Leveranser till annat fjärrvärmebolag]],"")</f>
        <v>154.97</v>
      </c>
      <c r="G400" t="str">
        <f>VLOOKUP(Levererat_2016[[#This Row],[Indexnamn]],'Leveranser per nät'!$A$4:$A$526,1,FALSE)</f>
        <v>Motala</v>
      </c>
    </row>
    <row r="401" spans="1:7" x14ac:dyDescent="0.25">
      <c r="A401" t="s">
        <v>556</v>
      </c>
      <c r="B401" t="s">
        <v>337</v>
      </c>
      <c r="C401" t="s">
        <v>337</v>
      </c>
      <c r="D401">
        <v>283.41000000000003</v>
      </c>
      <c r="F401">
        <f>IFERROR(Levererat_2016[[#This Row],[Leveranser:]]-Levererat_2016[[#This Row],[Leveranser till annat fjärrvärmebolag]],"")</f>
        <v>283.41000000000003</v>
      </c>
      <c r="G401" t="str">
        <f>VLOOKUP(Levererat_2016[[#This Row],[Indexnamn]],'Leveranser per nät'!$A$4:$A$526,1,FALSE)</f>
        <v>Nyköping</v>
      </c>
    </row>
    <row r="402" spans="1:7" x14ac:dyDescent="0.25">
      <c r="A402" t="s">
        <v>556</v>
      </c>
      <c r="B402" t="s">
        <v>342</v>
      </c>
      <c r="C402" t="s">
        <v>342</v>
      </c>
      <c r="D402">
        <v>28.04</v>
      </c>
      <c r="F402">
        <f>IFERROR(Levererat_2016[[#This Row],[Leveranser:]]-Levererat_2016[[#This Row],[Leveranser till annat fjärrvärmebolag]],"")</f>
        <v>28.04</v>
      </c>
      <c r="G402" t="str">
        <f>VLOOKUP(Levererat_2016[[#This Row],[Indexnamn]],'Leveranser per nät'!$A$4:$A$526,1,FALSE)</f>
        <v>Saltsjöbaden</v>
      </c>
    </row>
    <row r="403" spans="1:7" x14ac:dyDescent="0.25">
      <c r="A403" t="s">
        <v>556</v>
      </c>
      <c r="B403" t="s">
        <v>343</v>
      </c>
      <c r="C403" t="s">
        <v>343</v>
      </c>
      <c r="D403">
        <v>13.89</v>
      </c>
      <c r="F403">
        <f>IFERROR(Levererat_2016[[#This Row],[Leveranser:]]-Levererat_2016[[#This Row],[Leveranser till annat fjärrvärmebolag]],"")</f>
        <v>13.89</v>
      </c>
      <c r="G403" t="str">
        <f>VLOOKUP(Levererat_2016[[#This Row],[Indexnamn]],'Leveranser per nät'!$A$4:$A$526,1,FALSE)</f>
        <v>Storvreta</v>
      </c>
    </row>
    <row r="404" spans="1:7" x14ac:dyDescent="0.25">
      <c r="A404" t="s">
        <v>556</v>
      </c>
      <c r="B404" t="s">
        <v>335</v>
      </c>
      <c r="C404" t="s">
        <v>335</v>
      </c>
      <c r="D404">
        <v>1437.25</v>
      </c>
      <c r="F404">
        <f>IFERROR(Levererat_2016[[#This Row],[Leveranser:]]-Levererat_2016[[#This Row],[Leveranser till annat fjärrvärmebolag]],"")</f>
        <v>1437.25</v>
      </c>
      <c r="G404" t="str">
        <f>VLOOKUP(Levererat_2016[[#This Row],[Indexnamn]],'Leveranser per nät'!$A$4:$A$526,1,FALSE)</f>
        <v>Uppsala</v>
      </c>
    </row>
    <row r="405" spans="1:7" x14ac:dyDescent="0.25">
      <c r="A405" t="s">
        <v>556</v>
      </c>
      <c r="B405" t="s">
        <v>338</v>
      </c>
      <c r="C405" t="s">
        <v>338</v>
      </c>
      <c r="D405">
        <v>131.43</v>
      </c>
      <c r="F405">
        <f>IFERROR(Levererat_2016[[#This Row],[Leveranser:]]-Levererat_2016[[#This Row],[Leveranser till annat fjärrvärmebolag]],"")</f>
        <v>131.43</v>
      </c>
      <c r="G405" t="str">
        <f>VLOOKUP(Levererat_2016[[#This Row],[Indexnamn]],'Leveranser per nät'!$A$4:$A$526,1,FALSE)</f>
        <v>Vänersborg</v>
      </c>
    </row>
    <row r="406" spans="1:7" x14ac:dyDescent="0.25">
      <c r="A406" t="s">
        <v>904</v>
      </c>
      <c r="B406" t="s">
        <v>905</v>
      </c>
      <c r="C406" t="s">
        <v>905</v>
      </c>
      <c r="D406">
        <v>5.39</v>
      </c>
      <c r="F406">
        <f>IFERROR(Levererat_2016[[#This Row],[Leveranser:]]-Levererat_2016[[#This Row],[Leveranser till annat fjärrvärmebolag]],"")</f>
        <v>5.39</v>
      </c>
      <c r="G406" t="str">
        <f>VLOOKUP(Levererat_2016[[#This Row],[Indexnamn]],'Leveranser per nät'!$A$4:$A$526,1,FALSE)</f>
        <v>Ekerö</v>
      </c>
    </row>
    <row r="407" spans="1:7" x14ac:dyDescent="0.25">
      <c r="A407" t="s">
        <v>904</v>
      </c>
      <c r="B407" t="s">
        <v>341</v>
      </c>
      <c r="C407" t="s">
        <v>341</v>
      </c>
      <c r="D407">
        <v>4.16</v>
      </c>
      <c r="F407">
        <f>IFERROR(Levererat_2016[[#This Row],[Leveranser:]]-Levererat_2016[[#This Row],[Leveranser till annat fjärrvärmebolag]],"")</f>
        <v>4.16</v>
      </c>
      <c r="G407" t="str">
        <f>VLOOKUP(Levererat_2016[[#This Row],[Indexnamn]],'Leveranser per nät'!$A$4:$A$526,1,FALSE)</f>
        <v>Knivsta</v>
      </c>
    </row>
    <row r="408" spans="1:7" x14ac:dyDescent="0.25">
      <c r="A408" t="s">
        <v>605</v>
      </c>
      <c r="B408" t="s">
        <v>351</v>
      </c>
      <c r="C408" t="s">
        <v>351</v>
      </c>
      <c r="D408">
        <v>5.048</v>
      </c>
      <c r="F408">
        <f>IFERROR(Levererat_2016[[#This Row],[Leveranser:]]-Levererat_2016[[#This Row],[Leveranser till annat fjärrvärmebolag]],"")</f>
        <v>5.048</v>
      </c>
      <c r="G408" t="str">
        <f>VLOOKUP(Levererat_2016[[#This Row],[Indexnamn]],'Leveranser per nät'!$A$4:$A$526,1,FALSE)</f>
        <v>Frödinge</v>
      </c>
    </row>
    <row r="409" spans="1:7" x14ac:dyDescent="0.25">
      <c r="A409" t="s">
        <v>605</v>
      </c>
      <c r="B409" t="s">
        <v>352</v>
      </c>
      <c r="C409" t="s">
        <v>352</v>
      </c>
      <c r="D409">
        <v>4.1260000000000003</v>
      </c>
      <c r="F409">
        <f>IFERROR(Levererat_2016[[#This Row],[Leveranser:]]-Levererat_2016[[#This Row],[Leveranser till annat fjärrvärmebolag]],"")</f>
        <v>4.1260000000000003</v>
      </c>
      <c r="G409" t="str">
        <f>VLOOKUP(Levererat_2016[[#This Row],[Indexnamn]],'Leveranser per nät'!$A$4:$A$526,1,FALSE)</f>
        <v>Gullringen</v>
      </c>
    </row>
    <row r="410" spans="1:7" x14ac:dyDescent="0.25">
      <c r="A410" t="s">
        <v>605</v>
      </c>
      <c r="B410" t="s">
        <v>353</v>
      </c>
      <c r="C410" t="s">
        <v>353</v>
      </c>
      <c r="D410">
        <v>6.4850000000000003</v>
      </c>
      <c r="F410">
        <f>IFERROR(Levererat_2016[[#This Row],[Leveranser:]]-Levererat_2016[[#This Row],[Leveranser till annat fjärrvärmebolag]],"")</f>
        <v>6.4850000000000003</v>
      </c>
      <c r="G410" t="str">
        <f>VLOOKUP(Levererat_2016[[#This Row],[Indexnamn]],'Leveranser per nät'!$A$4:$A$526,1,FALSE)</f>
        <v>Storebro</v>
      </c>
    </row>
    <row r="411" spans="1:7" x14ac:dyDescent="0.25">
      <c r="A411" t="s">
        <v>605</v>
      </c>
      <c r="B411" t="s">
        <v>391</v>
      </c>
      <c r="C411" t="s">
        <v>391</v>
      </c>
      <c r="D411">
        <v>11.076000000000001</v>
      </c>
      <c r="F411">
        <f>IFERROR(Levererat_2016[[#This Row],[Leveranser:]]-Levererat_2016[[#This Row],[Leveranser till annat fjärrvärmebolag]],"")</f>
        <v>11.076000000000001</v>
      </c>
      <c r="G411" t="str">
        <f>VLOOKUP(Levererat_2016[[#This Row],[Indexnamn]],'Leveranser per nät'!$A$4:$A$526,1,FALSE)</f>
        <v>Södra Vi</v>
      </c>
    </row>
    <row r="412" spans="1:7" x14ac:dyDescent="0.25">
      <c r="A412" t="s">
        <v>605</v>
      </c>
      <c r="B412" t="s">
        <v>350</v>
      </c>
      <c r="C412" t="s">
        <v>350</v>
      </c>
      <c r="D412">
        <v>109.283</v>
      </c>
      <c r="F412">
        <f>IFERROR(Levererat_2016[[#This Row],[Leveranser:]]-Levererat_2016[[#This Row],[Leveranser till annat fjärrvärmebolag]],"")</f>
        <v>109.283</v>
      </c>
      <c r="G412" t="str">
        <f>VLOOKUP(Levererat_2016[[#This Row],[Indexnamn]],'Leveranser per nät'!$A$4:$A$526,1,FALSE)</f>
        <v>Vimmerby</v>
      </c>
    </row>
    <row r="413" spans="1:7" x14ac:dyDescent="0.25">
      <c r="A413" t="s">
        <v>668</v>
      </c>
      <c r="B413" t="s">
        <v>405</v>
      </c>
      <c r="C413" t="s">
        <v>405</v>
      </c>
      <c r="D413">
        <v>2.31</v>
      </c>
      <c r="F413">
        <f>IFERROR(Levererat_2016[[#This Row],[Leveranser:]]-Levererat_2016[[#This Row],[Leveranser till annat fjärrvärmebolag]],"")</f>
        <v>2.31</v>
      </c>
      <c r="G413" t="str">
        <f>VLOOKUP(Levererat_2016[[#This Row],[Indexnamn]],'Leveranser per nät'!$A$4:$A$526,1,FALSE)</f>
        <v>Lyrestad</v>
      </c>
    </row>
    <row r="414" spans="1:7" x14ac:dyDescent="0.25">
      <c r="A414" t="s">
        <v>668</v>
      </c>
      <c r="B414" t="s">
        <v>202</v>
      </c>
      <c r="C414" t="s">
        <v>202</v>
      </c>
      <c r="D414">
        <v>128.6</v>
      </c>
      <c r="F414">
        <f>IFERROR(Levererat_2016[[#This Row],[Leveranser:]]-Levererat_2016[[#This Row],[Leveranser till annat fjärrvärmebolag]],"")</f>
        <v>128.6</v>
      </c>
      <c r="G414" t="str">
        <f>VLOOKUP(Levererat_2016[[#This Row],[Indexnamn]],'Leveranser per nät'!$A$4:$A$526,1,FALSE)</f>
        <v>Mariestad</v>
      </c>
    </row>
    <row r="415" spans="1:7" x14ac:dyDescent="0.25">
      <c r="A415" t="s">
        <v>668</v>
      </c>
      <c r="B415" t="s">
        <v>430</v>
      </c>
      <c r="C415" t="s">
        <v>430</v>
      </c>
      <c r="D415">
        <v>25.6</v>
      </c>
      <c r="F415">
        <f>IFERROR(Levererat_2016[[#This Row],[Leveranser:]]-Levererat_2016[[#This Row],[Leveranser till annat fjärrvärmebolag]],"")</f>
        <v>25.6</v>
      </c>
      <c r="G415" t="str">
        <f>VLOOKUP(Levererat_2016[[#This Row],[Indexnamn]],'Leveranser per nät'!$A$4:$A$526,1,FALSE)</f>
        <v>Töreboda</v>
      </c>
    </row>
    <row r="416" spans="1:7" x14ac:dyDescent="0.25">
      <c r="A416" t="s">
        <v>558</v>
      </c>
      <c r="B416" t="s">
        <v>805</v>
      </c>
      <c r="C416" t="s">
        <v>805</v>
      </c>
      <c r="D416" t="s">
        <v>805</v>
      </c>
      <c r="F416" t="str">
        <f>IFERROR(Levererat_2016[[#This Row],[Leveranser:]]-Levererat_2016[[#This Row],[Leveranser till annat fjärrvärmebolag]],"")</f>
        <v/>
      </c>
      <c r="G416" t="e">
        <f>VLOOKUP(Levererat_2016[[#This Row],[Indexnamn]],'Leveranser per nät'!$A$4:$A$526,1,FALSE)</f>
        <v>#N/A</v>
      </c>
    </row>
    <row r="417" spans="1:9" x14ac:dyDescent="0.25">
      <c r="A417" t="s">
        <v>558</v>
      </c>
      <c r="B417" t="s">
        <v>805</v>
      </c>
      <c r="C417" t="s">
        <v>805</v>
      </c>
      <c r="D417" t="s">
        <v>805</v>
      </c>
      <c r="F417" t="str">
        <f>IFERROR(Levererat_2016[[#This Row],[Leveranser:]]-Levererat_2016[[#This Row],[Leveranser till annat fjärrvärmebolag]],"")</f>
        <v/>
      </c>
      <c r="G417" t="e">
        <f>VLOOKUP(Levererat_2016[[#This Row],[Indexnamn]],'Leveranser per nät'!$A$4:$A$526,1,FALSE)</f>
        <v>#N/A</v>
      </c>
    </row>
    <row r="418" spans="1:9" x14ac:dyDescent="0.25">
      <c r="A418" t="s">
        <v>558</v>
      </c>
      <c r="B418" t="s">
        <v>118</v>
      </c>
      <c r="C418" t="s">
        <v>118</v>
      </c>
      <c r="D418">
        <v>222.572</v>
      </c>
      <c r="F418">
        <f>IFERROR(Levererat_2016[[#This Row],[Leveranser:]]-Levererat_2016[[#This Row],[Leveranser till annat fjärrvärmebolag]],"")</f>
        <v>222.572</v>
      </c>
      <c r="G418" t="str">
        <f>VLOOKUP(Levererat_2016[[#This Row],[Indexnamn]],'Leveranser per nät'!$A$4:$A$526,1,FALSE)</f>
        <v>Avesta</v>
      </c>
    </row>
    <row r="419" spans="1:9" x14ac:dyDescent="0.25">
      <c r="A419" t="s">
        <v>558</v>
      </c>
      <c r="B419" t="s">
        <v>115</v>
      </c>
      <c r="C419" t="s">
        <v>115</v>
      </c>
      <c r="D419">
        <v>14.346</v>
      </c>
      <c r="F419">
        <f>IFERROR(Levererat_2016[[#This Row],[Leveranser:]]-Levererat_2016[[#This Row],[Leveranser till annat fjärrvärmebolag]],"")</f>
        <v>14.346</v>
      </c>
      <c r="G419" t="str">
        <f>VLOOKUP(Levererat_2016[[#This Row],[Indexnamn]],'Leveranser per nät'!$A$4:$A$526,1,FALSE)</f>
        <v>Delsbo</v>
      </c>
    </row>
    <row r="420" spans="1:9" x14ac:dyDescent="0.25">
      <c r="A420" t="s">
        <v>558</v>
      </c>
      <c r="B420" t="s">
        <v>123</v>
      </c>
      <c r="C420" t="s">
        <v>123</v>
      </c>
      <c r="D420">
        <v>22.568999999999999</v>
      </c>
      <c r="F420">
        <f>IFERROR(Levererat_2016[[#This Row],[Leveranser:]]-Levererat_2016[[#This Row],[Leveranser till annat fjärrvärmebolag]],"")</f>
        <v>22.568999999999999</v>
      </c>
      <c r="G420" t="str">
        <f>VLOOKUP(Levererat_2016[[#This Row],[Indexnamn]],'Leveranser per nät'!$A$4:$A$526,1,FALSE)</f>
        <v>Grums</v>
      </c>
    </row>
    <row r="421" spans="1:9" x14ac:dyDescent="0.25">
      <c r="A421" t="s">
        <v>558</v>
      </c>
      <c r="B421" t="s">
        <v>124</v>
      </c>
      <c r="C421" t="s">
        <v>124</v>
      </c>
      <c r="D421">
        <v>5.3769999999999998</v>
      </c>
      <c r="F421">
        <f>IFERROR(Levererat_2016[[#This Row],[Leveranser:]]-Levererat_2016[[#This Row],[Leveranser till annat fjärrvärmebolag]],"")</f>
        <v>5.3769999999999998</v>
      </c>
      <c r="G421" t="str">
        <f>VLOOKUP(Levererat_2016[[#This Row],[Indexnamn]],'Leveranser per nät'!$A$4:$A$526,1,FALSE)</f>
        <v>Grythyttan</v>
      </c>
    </row>
    <row r="422" spans="1:9" x14ac:dyDescent="0.25">
      <c r="A422" t="s">
        <v>558</v>
      </c>
      <c r="B422" t="s">
        <v>629</v>
      </c>
      <c r="C422" t="s">
        <v>629</v>
      </c>
      <c r="D422">
        <v>67.998000000000005</v>
      </c>
      <c r="F422">
        <f>IFERROR(Levererat_2016[[#This Row],[Leveranser:]]-Levererat_2016[[#This Row],[Leveranser till annat fjärrvärmebolag]],"")</f>
        <v>67.998000000000005</v>
      </c>
      <c r="G422" t="e">
        <f>VLOOKUP(Levererat_2016[[#This Row],[Indexnamn]],'Leveranser per nät'!$A$4:$A$526,1,FALSE)</f>
        <v>#N/A</v>
      </c>
    </row>
    <row r="423" spans="1:9" x14ac:dyDescent="0.25">
      <c r="A423" t="s">
        <v>558</v>
      </c>
      <c r="B423" t="s">
        <v>117</v>
      </c>
      <c r="C423" t="s">
        <v>117</v>
      </c>
      <c r="D423">
        <v>118.759</v>
      </c>
      <c r="F423">
        <f>IFERROR(Levererat_2016[[#This Row],[Leveranser:]]-Levererat_2016[[#This Row],[Leveranser till annat fjärrvärmebolag]],"")</f>
        <v>118.759</v>
      </c>
      <c r="G423" t="str">
        <f>VLOOKUP(Levererat_2016[[#This Row],[Indexnamn]],'Leveranser per nät'!$A$4:$A$526,1,FALSE)</f>
        <v>Hudiksvall</v>
      </c>
    </row>
    <row r="424" spans="1:9" x14ac:dyDescent="0.25">
      <c r="A424" t="s">
        <v>558</v>
      </c>
      <c r="B424" t="s">
        <v>125</v>
      </c>
      <c r="C424" t="s">
        <v>125</v>
      </c>
      <c r="D424">
        <v>37.362000000000002</v>
      </c>
      <c r="F424">
        <f>IFERROR(Levererat_2016[[#This Row],[Leveranser:]]-Levererat_2016[[#This Row],[Leveranser till annat fjärrvärmebolag]],"")</f>
        <v>37.362000000000002</v>
      </c>
      <c r="G424" t="str">
        <f>VLOOKUP(Levererat_2016[[#This Row],[Indexnamn]],'Leveranser per nät'!$A$4:$A$526,1,FALSE)</f>
        <v>Hällefors</v>
      </c>
    </row>
    <row r="425" spans="1:9" x14ac:dyDescent="0.25">
      <c r="A425" t="s">
        <v>558</v>
      </c>
      <c r="B425" t="s">
        <v>489</v>
      </c>
      <c r="C425" t="s">
        <v>489</v>
      </c>
      <c r="D425">
        <v>15.933999999999999</v>
      </c>
      <c r="F425">
        <f>IFERROR(Levererat_2016[[#This Row],[Leveranser:]]-Levererat_2016[[#This Row],[Leveranser till annat fjärrvärmebolag]],"")</f>
        <v>15.933999999999999</v>
      </c>
      <c r="G425" t="str">
        <f>VLOOKUP(Levererat_2016[[#This Row],[Indexnamn]],'Leveranser per nät'!$A$4:$A$526,1,FALSE)</f>
        <v>Iggesund</v>
      </c>
    </row>
    <row r="426" spans="1:9" x14ac:dyDescent="0.25">
      <c r="A426" t="s">
        <v>558</v>
      </c>
      <c r="B426" t="s">
        <v>126</v>
      </c>
      <c r="C426" t="s">
        <v>126</v>
      </c>
      <c r="D426">
        <v>11.57</v>
      </c>
      <c r="F426">
        <f>IFERROR(Levererat_2016[[#This Row],[Leveranser:]]-Levererat_2016[[#This Row],[Leveranser till annat fjärrvärmebolag]],"")</f>
        <v>11.57</v>
      </c>
      <c r="G426" t="str">
        <f>VLOOKUP(Levererat_2016[[#This Row],[Indexnamn]],'Leveranser per nät'!$A$4:$A$526,1,FALSE)</f>
        <v>Kopparberg</v>
      </c>
    </row>
    <row r="427" spans="1:9" x14ac:dyDescent="0.25">
      <c r="A427" t="s">
        <v>558</v>
      </c>
      <c r="B427" t="s">
        <v>654</v>
      </c>
      <c r="C427" t="s">
        <v>654</v>
      </c>
      <c r="D427">
        <v>107.248</v>
      </c>
      <c r="E427">
        <v>107.248</v>
      </c>
      <c r="F427">
        <f>IFERROR(Levererat_2016[[#This Row],[Leveranser:]]-Levererat_2016[[#This Row],[Leveranser till annat fjärrvärmebolag]],"")</f>
        <v>0</v>
      </c>
      <c r="G427" t="e">
        <f>VLOOKUP(Levererat_2016[[#This Row],[Indexnamn]],'Leveranser per nät'!$A$4:$A$526,1,FALSE)</f>
        <v>#N/A</v>
      </c>
    </row>
    <row r="428" spans="1:9" x14ac:dyDescent="0.25">
      <c r="A428" t="s">
        <v>558</v>
      </c>
      <c r="B428" t="s">
        <v>121</v>
      </c>
      <c r="C428" t="s">
        <v>121</v>
      </c>
      <c r="D428">
        <v>58.087000000000003</v>
      </c>
      <c r="F428">
        <f>IFERROR(Levererat_2016[[#This Row],[Leveranser:]]-Levererat_2016[[#This Row],[Leveranser till annat fjärrvärmebolag]],"")</f>
        <v>58.087000000000003</v>
      </c>
      <c r="G428" t="str">
        <f>VLOOKUP(Levererat_2016[[#This Row],[Indexnamn]],'Leveranser per nät'!$A$4:$A$526,1,FALSE)</f>
        <v>Nynäshamn</v>
      </c>
    </row>
    <row r="429" spans="1:9" x14ac:dyDescent="0.25">
      <c r="A429" t="s">
        <v>558</v>
      </c>
      <c r="B429" t="s">
        <v>128</v>
      </c>
      <c r="C429" t="s">
        <v>128</v>
      </c>
      <c r="D429">
        <v>1.671</v>
      </c>
      <c r="F429">
        <f>IFERROR(Levererat_2016[[#This Row],[Leveranser:]]-Levererat_2016[[#This Row],[Leveranser till annat fjärrvärmebolag]],"")</f>
        <v>1.671</v>
      </c>
      <c r="G429" t="str">
        <f>VLOOKUP(Levererat_2016[[#This Row],[Indexnamn]],'Leveranser per nät'!$A$4:$A$526,1,FALSE)</f>
        <v>Stöllet</v>
      </c>
    </row>
    <row r="430" spans="1:9" x14ac:dyDescent="0.25">
      <c r="A430" t="s">
        <v>558</v>
      </c>
      <c r="B430" t="s">
        <v>120</v>
      </c>
      <c r="C430" t="s">
        <v>120</v>
      </c>
      <c r="D430">
        <v>50.42</v>
      </c>
      <c r="F430">
        <f>IFERROR(Levererat_2016[[#This Row],[Leveranser:]]-Levererat_2016[[#This Row],[Leveranser till annat fjärrvärmebolag]],"")</f>
        <v>50.42</v>
      </c>
      <c r="G430" t="str">
        <f>VLOOKUP(Levererat_2016[[#This Row],[Indexnamn]],'Leveranser per nät'!$A$4:$A$526,1,FALSE)</f>
        <v>Säffle</v>
      </c>
    </row>
    <row r="431" spans="1:9" x14ac:dyDescent="0.25">
      <c r="A431" t="s">
        <v>558</v>
      </c>
      <c r="B431" t="s">
        <v>129</v>
      </c>
      <c r="C431" t="s">
        <v>129</v>
      </c>
      <c r="D431">
        <v>7.1289999999999996</v>
      </c>
      <c r="F431">
        <f>IFERROR(Levererat_2016[[#This Row],[Leveranser:]]-Levererat_2016[[#This Row],[Leveranser till annat fjärrvärmebolag]],"")</f>
        <v>7.1289999999999996</v>
      </c>
      <c r="G431" t="str">
        <f>VLOOKUP(Levererat_2016[[#This Row],[Indexnamn]],'Leveranser per nät'!$A$4:$A$526,1,FALSE)</f>
        <v>Sörforsa</v>
      </c>
      <c r="I431" s="44">
        <f>IFERROR(Levererat_2016[[#This Row],[Leveranser:]]-Levererat_2016[[#This Row],[Leveranser till annat fjärrvärmebolag]],"")</f>
        <v>7.1289999999999996</v>
      </c>
    </row>
    <row r="432" spans="1:9" x14ac:dyDescent="0.25">
      <c r="A432" t="s">
        <v>558</v>
      </c>
      <c r="B432" t="s">
        <v>130</v>
      </c>
      <c r="C432" t="s">
        <v>130</v>
      </c>
      <c r="D432">
        <v>88.088999999999999</v>
      </c>
      <c r="F432">
        <f>IFERROR(Levererat_2016[[#This Row],[Leveranser:]]-Levererat_2016[[#This Row],[Leveranser till annat fjärrvärmebolag]],"")</f>
        <v>88.088999999999999</v>
      </c>
      <c r="G432" t="str">
        <f>VLOOKUP(Levererat_2016[[#This Row],[Indexnamn]],'Leveranser per nät'!$A$4:$A$526,1,FALSE)</f>
        <v>Torsby</v>
      </c>
    </row>
    <row r="433" spans="1:13" x14ac:dyDescent="0.25">
      <c r="A433" t="s">
        <v>558</v>
      </c>
      <c r="B433" t="s">
        <v>743</v>
      </c>
      <c r="C433" t="s">
        <v>743</v>
      </c>
      <c r="D433" t="s">
        <v>806</v>
      </c>
      <c r="F433" t="str">
        <f>IFERROR(Levererat_2016[[#This Row],[Leveranser:]]-Levererat_2016[[#This Row],[Leveranser till annat fjärrvärmebolag]],"")</f>
        <v/>
      </c>
      <c r="G433" t="e">
        <f>VLOOKUP(Levererat_2016[[#This Row],[Indexnamn]],'Leveranser per nät'!$A$4:$A$526,1,FALSE)</f>
        <v>#N/A</v>
      </c>
    </row>
    <row r="434" spans="1:13" x14ac:dyDescent="0.25">
      <c r="A434" t="s">
        <v>689</v>
      </c>
      <c r="B434" t="s">
        <v>354</v>
      </c>
      <c r="C434" t="s">
        <v>354</v>
      </c>
      <c r="D434">
        <v>9.0839999999999996</v>
      </c>
      <c r="F434">
        <f>IFERROR(Levererat_2016[[#This Row],[Leveranser:]]-Levererat_2016[[#This Row],[Leveranser till annat fjärrvärmebolag]],"")</f>
        <v>9.0839999999999996</v>
      </c>
      <c r="G434" t="str">
        <f>VLOOKUP(Levererat_2016[[#This Row],[Indexnamn]],'Leveranser per nät'!$A$4:$A$526,1,FALSE)</f>
        <v>Rydaholm</v>
      </c>
    </row>
    <row r="435" spans="1:13" x14ac:dyDescent="0.25">
      <c r="A435" t="s">
        <v>689</v>
      </c>
      <c r="B435" t="s">
        <v>355</v>
      </c>
      <c r="C435" t="s">
        <v>355</v>
      </c>
      <c r="D435">
        <v>149.369</v>
      </c>
      <c r="F435">
        <f>IFERROR(Levererat_2016[[#This Row],[Leveranser:]]-Levererat_2016[[#This Row],[Leveranser till annat fjärrvärmebolag]],"")</f>
        <v>149.369</v>
      </c>
      <c r="G435" t="str">
        <f>VLOOKUP(Levererat_2016[[#This Row],[Indexnamn]],'Leveranser per nät'!$A$4:$A$526,1,FALSE)</f>
        <v>Värnamo</v>
      </c>
    </row>
    <row r="436" spans="1:13" x14ac:dyDescent="0.25">
      <c r="A436" t="s">
        <v>595</v>
      </c>
      <c r="B436" t="s">
        <v>357</v>
      </c>
      <c r="C436" t="s">
        <v>357</v>
      </c>
      <c r="D436">
        <v>94.56</v>
      </c>
      <c r="F436">
        <f>IFERROR(Levererat_2016[[#This Row],[Leveranser:]]-Levererat_2016[[#This Row],[Leveranser till annat fjärrvärmebolag]],"")</f>
        <v>94.56</v>
      </c>
      <c r="G436" t="str">
        <f>VLOOKUP(Levererat_2016[[#This Row],[Indexnamn]],'Leveranser per nät'!$A$4:$A$526,1,FALSE)</f>
        <v>Fagersta</v>
      </c>
    </row>
    <row r="437" spans="1:13" x14ac:dyDescent="0.25">
      <c r="A437" t="s">
        <v>595</v>
      </c>
      <c r="B437" t="s">
        <v>358</v>
      </c>
      <c r="C437" t="s">
        <v>358</v>
      </c>
      <c r="D437">
        <v>11.263999999999999</v>
      </c>
      <c r="F437">
        <f>IFERROR(Levererat_2016[[#This Row],[Leveranser:]]-Levererat_2016[[#This Row],[Leveranser till annat fjärrvärmebolag]],"")</f>
        <v>11.263999999999999</v>
      </c>
      <c r="G437" t="str">
        <f>VLOOKUP(Levererat_2016[[#This Row],[Indexnamn]],'Leveranser per nät'!$A$4:$A$526,1,FALSE)</f>
        <v>Grängesberg</v>
      </c>
    </row>
    <row r="438" spans="1:13" x14ac:dyDescent="0.25">
      <c r="A438" t="s">
        <v>595</v>
      </c>
      <c r="B438" t="s">
        <v>359</v>
      </c>
      <c r="C438" t="s">
        <v>359</v>
      </c>
      <c r="D438">
        <v>105.03100000000001</v>
      </c>
      <c r="F438">
        <f>IFERROR(Levererat_2016[[#This Row],[Leveranser:]]-Levererat_2016[[#This Row],[Leveranser till annat fjärrvärmebolag]],"")</f>
        <v>105.03100000000001</v>
      </c>
      <c r="G438" t="str">
        <f>VLOOKUP(Levererat_2016[[#This Row],[Indexnamn]],'Leveranser per nät'!$A$4:$A$526,1,FALSE)</f>
        <v>Ludvika</v>
      </c>
      <c r="M438" s="44" t="str">
        <f>IFERROR(Levererat_2015[[#This Row],[Leveranser:]]-Levererat_2015[[#This Row],[Leveranser till annat fjärrvärmebolag]],"")</f>
        <v/>
      </c>
    </row>
    <row r="439" spans="1:13" x14ac:dyDescent="0.25">
      <c r="A439" t="s">
        <v>595</v>
      </c>
      <c r="B439" t="s">
        <v>356</v>
      </c>
      <c r="C439" t="s">
        <v>356</v>
      </c>
      <c r="D439">
        <v>18.331</v>
      </c>
      <c r="F439">
        <f>IFERROR(Levererat_2016[[#This Row],[Leveranser:]]-Levererat_2016[[#This Row],[Leveranser till annat fjärrvärmebolag]],"")</f>
        <v>18.331</v>
      </c>
      <c r="G439" t="str">
        <f>VLOOKUP(Levererat_2016[[#This Row],[Indexnamn]],'Leveranser per nät'!$A$4:$A$526,1,FALSE)</f>
        <v>Norberg</v>
      </c>
    </row>
    <row r="440" spans="1:13" x14ac:dyDescent="0.25">
      <c r="A440" t="s">
        <v>550</v>
      </c>
      <c r="B440" t="s">
        <v>360</v>
      </c>
      <c r="C440" t="s">
        <v>360</v>
      </c>
      <c r="D440">
        <v>6.181</v>
      </c>
      <c r="F440">
        <f>IFERROR(Levererat_2016[[#This Row],[Leveranser:]]-Levererat_2016[[#This Row],[Leveranser till annat fjärrvärmebolag]],"")</f>
        <v>6.181</v>
      </c>
      <c r="G440" t="str">
        <f>VLOOKUP(Levererat_2016[[#This Row],[Indexnamn]],'Leveranser per nät'!$A$4:$A$526,1,FALSE)</f>
        <v>Ankarsrum</v>
      </c>
    </row>
    <row r="441" spans="1:13" x14ac:dyDescent="0.25">
      <c r="A441" t="s">
        <v>550</v>
      </c>
      <c r="B441" t="s">
        <v>361</v>
      </c>
      <c r="C441" t="s">
        <v>361</v>
      </c>
      <c r="D441">
        <v>25.184999999999999</v>
      </c>
      <c r="F441">
        <f>IFERROR(Levererat_2016[[#This Row],[Leveranser:]]-Levererat_2016[[#This Row],[Leveranser till annat fjärrvärmebolag]],"")</f>
        <v>25.184999999999999</v>
      </c>
      <c r="G441" t="str">
        <f>VLOOKUP(Levererat_2016[[#This Row],[Indexnamn]],'Leveranser per nät'!$A$4:$A$526,1,FALSE)</f>
        <v>Gamleby</v>
      </c>
    </row>
    <row r="442" spans="1:13" x14ac:dyDescent="0.25">
      <c r="A442" t="s">
        <v>550</v>
      </c>
      <c r="B442" t="s">
        <v>362</v>
      </c>
      <c r="C442" t="s">
        <v>362</v>
      </c>
      <c r="D442">
        <v>181.09899999999999</v>
      </c>
      <c r="F442">
        <f>IFERROR(Levererat_2016[[#This Row],[Leveranser:]]-Levererat_2016[[#This Row],[Leveranser till annat fjärrvärmebolag]],"")</f>
        <v>181.09899999999999</v>
      </c>
      <c r="G442" t="str">
        <f>VLOOKUP(Levererat_2016[[#This Row],[Indexnamn]],'Leveranser per nät'!$A$4:$A$526,1,FALSE)</f>
        <v>Västervik</v>
      </c>
    </row>
    <row r="443" spans="1:13" x14ac:dyDescent="0.25">
      <c r="A443" t="s">
        <v>577</v>
      </c>
      <c r="B443" t="s">
        <v>364</v>
      </c>
      <c r="C443" t="s">
        <v>364</v>
      </c>
      <c r="D443">
        <v>14.83</v>
      </c>
      <c r="F443">
        <f>IFERROR(Levererat_2016[[#This Row],[Leveranser:]]-Levererat_2016[[#This Row],[Leveranser till annat fjärrvärmebolag]],"")</f>
        <v>14.83</v>
      </c>
      <c r="G443" t="str">
        <f>VLOOKUP(Levererat_2016[[#This Row],[Indexnamn]],'Leveranser per nät'!$A$4:$A$526,1,FALSE)</f>
        <v>Braås</v>
      </c>
    </row>
    <row r="444" spans="1:13" x14ac:dyDescent="0.25">
      <c r="A444" t="s">
        <v>577</v>
      </c>
      <c r="B444" t="s">
        <v>365</v>
      </c>
      <c r="C444" t="s">
        <v>365</v>
      </c>
      <c r="D444">
        <v>7.7130000000000001</v>
      </c>
      <c r="F444">
        <f>IFERROR(Levererat_2016[[#This Row],[Leveranser:]]-Levererat_2016[[#This Row],[Leveranser till annat fjärrvärmebolag]],"")</f>
        <v>7.7130000000000001</v>
      </c>
      <c r="G444" t="str">
        <f>VLOOKUP(Levererat_2016[[#This Row],[Indexnamn]],'Leveranser per nät'!$A$4:$A$526,1,FALSE)</f>
        <v>Ingelstad</v>
      </c>
    </row>
    <row r="445" spans="1:13" x14ac:dyDescent="0.25">
      <c r="A445" t="s">
        <v>577</v>
      </c>
      <c r="B445" t="s">
        <v>366</v>
      </c>
      <c r="C445" t="s">
        <v>366</v>
      </c>
      <c r="D445">
        <v>10.760999999999999</v>
      </c>
      <c r="F445">
        <f>IFERROR(Levererat_2016[[#This Row],[Leveranser:]]-Levererat_2016[[#This Row],[Leveranser till annat fjärrvärmebolag]],"")</f>
        <v>10.760999999999999</v>
      </c>
      <c r="G445" t="str">
        <f>VLOOKUP(Levererat_2016[[#This Row],[Indexnamn]],'Leveranser per nät'!$A$4:$A$526,1,FALSE)</f>
        <v>Rottne</v>
      </c>
    </row>
    <row r="446" spans="1:13" x14ac:dyDescent="0.25">
      <c r="A446" t="s">
        <v>577</v>
      </c>
      <c r="B446" t="s">
        <v>906</v>
      </c>
      <c r="C446" t="s">
        <v>906</v>
      </c>
      <c r="D446" t="s">
        <v>805</v>
      </c>
      <c r="F446" t="str">
        <f>IFERROR(Levererat_2016[[#This Row],[Leveranser:]]-Levererat_2016[[#This Row],[Leveranser till annat fjärrvärmebolag]],"")</f>
        <v/>
      </c>
      <c r="G446" t="e">
        <f>VLOOKUP(Levererat_2016[[#This Row],[Indexnamn]],'Leveranser per nät'!$A$4:$A$526,1,FALSE)</f>
        <v>#N/A</v>
      </c>
    </row>
    <row r="447" spans="1:13" x14ac:dyDescent="0.25">
      <c r="A447" t="s">
        <v>577</v>
      </c>
      <c r="B447" t="s">
        <v>907</v>
      </c>
      <c r="C447" t="s">
        <v>363</v>
      </c>
      <c r="D447">
        <v>538.08699999999999</v>
      </c>
      <c r="F447">
        <f>IFERROR(Levererat_2016[[#This Row],[Leveranser:]]-Levererat_2016[[#This Row],[Leveranser till annat fjärrvärmebolag]],"")</f>
        <v>538.08699999999999</v>
      </c>
      <c r="G447" t="str">
        <f>VLOOKUP(Levererat_2016[[#This Row],[Indexnamn]],'Leveranser per nät'!$A$4:$A$526,1,FALSE)</f>
        <v>Växjö</v>
      </c>
    </row>
    <row r="448" spans="1:13" x14ac:dyDescent="0.25">
      <c r="A448" t="s">
        <v>577</v>
      </c>
      <c r="B448" t="s">
        <v>908</v>
      </c>
      <c r="C448" t="s">
        <v>908</v>
      </c>
      <c r="D448" t="s">
        <v>805</v>
      </c>
      <c r="F448" t="str">
        <f>IFERROR(Levererat_2016[[#This Row],[Leveranser:]]-Levererat_2016[[#This Row],[Leveranser till annat fjärrvärmebolag]],"")</f>
        <v/>
      </c>
      <c r="G448" t="e">
        <f>VLOOKUP(Levererat_2016[[#This Row],[Indexnamn]],'Leveranser per nät'!$A$4:$A$526,1,FALSE)</f>
        <v>#N/A</v>
      </c>
    </row>
    <row r="449" spans="1:7" x14ac:dyDescent="0.25">
      <c r="A449" t="s">
        <v>909</v>
      </c>
      <c r="B449" t="s">
        <v>910</v>
      </c>
      <c r="C449" t="s">
        <v>910</v>
      </c>
      <c r="D449" t="s">
        <v>805</v>
      </c>
      <c r="F449" t="str">
        <f>IFERROR(Levererat_2016[[#This Row],[Leveranser:]]-Levererat_2016[[#This Row],[Leveranser till annat fjärrvärmebolag]],"")</f>
        <v/>
      </c>
      <c r="G449" t="e">
        <f>VLOOKUP(Levererat_2016[[#This Row],[Indexnamn]],'Leveranser per nät'!$A$4:$A$526,1,FALSE)</f>
        <v>#N/A</v>
      </c>
    </row>
    <row r="450" spans="1:7" x14ac:dyDescent="0.25">
      <c r="A450" t="s">
        <v>734</v>
      </c>
      <c r="B450" t="s">
        <v>367</v>
      </c>
      <c r="C450" t="s">
        <v>367</v>
      </c>
      <c r="D450">
        <v>131.964</v>
      </c>
      <c r="F450">
        <f>IFERROR(Levererat_2016[[#This Row],[Leveranser:]]-Levererat_2016[[#This Row],[Leveranser till annat fjärrvärmebolag]],"")</f>
        <v>131.964</v>
      </c>
      <c r="G450" t="str">
        <f>VLOOKUP(Levererat_2016[[#This Row],[Indexnamn]],'Leveranser per nät'!$A$4:$A$526,1,FALSE)</f>
        <v>Ystad</v>
      </c>
    </row>
    <row r="451" spans="1:7" x14ac:dyDescent="0.25">
      <c r="A451" t="s">
        <v>604</v>
      </c>
      <c r="B451" t="s">
        <v>368</v>
      </c>
      <c r="C451" t="s">
        <v>368</v>
      </c>
      <c r="D451">
        <v>6.9</v>
      </c>
      <c r="F451">
        <f>IFERROR(Levererat_2016[[#This Row],[Leveranser:]]-Levererat_2016[[#This Row],[Leveranser till annat fjärrvärmebolag]],"")</f>
        <v>6.9</v>
      </c>
      <c r="G451" t="str">
        <f>VLOOKUP(Levererat_2016[[#This Row],[Indexnamn]],'Leveranser per nät'!$A$4:$A$526,1,FALSE)</f>
        <v>Fränsta</v>
      </c>
    </row>
    <row r="452" spans="1:7" x14ac:dyDescent="0.25">
      <c r="A452" t="s">
        <v>604</v>
      </c>
      <c r="B452" t="s">
        <v>369</v>
      </c>
      <c r="C452" t="s">
        <v>369</v>
      </c>
      <c r="D452" t="s">
        <v>806</v>
      </c>
      <c r="F452" t="str">
        <f>IFERROR(Levererat_2016[[#This Row],[Leveranser:]]-Levererat_2016[[#This Row],[Leveranser till annat fjärrvärmebolag]],"")</f>
        <v/>
      </c>
      <c r="G452" t="str">
        <f>VLOOKUP(Levererat_2016[[#This Row],[Indexnamn]],'Leveranser per nät'!$A$4:$A$526,1,FALSE)</f>
        <v>Ljungaverk</v>
      </c>
    </row>
    <row r="453" spans="1:7" x14ac:dyDescent="0.25">
      <c r="A453" t="s">
        <v>604</v>
      </c>
      <c r="B453" t="s">
        <v>370</v>
      </c>
      <c r="C453" t="s">
        <v>370</v>
      </c>
      <c r="D453">
        <v>22.411000000000001</v>
      </c>
      <c r="F453">
        <f>IFERROR(Levererat_2016[[#This Row],[Leveranser:]]-Levererat_2016[[#This Row],[Leveranser till annat fjärrvärmebolag]],"")</f>
        <v>22.411000000000001</v>
      </c>
      <c r="G453" t="str">
        <f>VLOOKUP(Levererat_2016[[#This Row],[Indexnamn]],'Leveranser per nät'!$A$4:$A$526,1,FALSE)</f>
        <v>Ånge</v>
      </c>
    </row>
    <row r="454" spans="1:7" x14ac:dyDescent="0.25">
      <c r="A454" t="s">
        <v>911</v>
      </c>
      <c r="B454" t="s">
        <v>912</v>
      </c>
      <c r="C454" t="s">
        <v>912</v>
      </c>
      <c r="D454" t="s">
        <v>805</v>
      </c>
      <c r="F454" t="str">
        <f>IFERROR(Levererat_2016[[#This Row],[Leveranser:]]-Levererat_2016[[#This Row],[Leveranser till annat fjärrvärmebolag]],"")</f>
        <v/>
      </c>
      <c r="G454" t="e">
        <f>VLOOKUP(Levererat_2016[[#This Row],[Indexnamn]],'Leveranser per nät'!$A$4:$A$526,1,FALSE)</f>
        <v>#N/A</v>
      </c>
    </row>
    <row r="455" spans="1:7" x14ac:dyDescent="0.25">
      <c r="A455" t="s">
        <v>913</v>
      </c>
      <c r="B455" t="s">
        <v>371</v>
      </c>
      <c r="C455" t="s">
        <v>371</v>
      </c>
      <c r="D455" t="s">
        <v>805</v>
      </c>
      <c r="F455" t="str">
        <f>IFERROR(Levererat_2016[[#This Row],[Leveranser:]]-Levererat_2016[[#This Row],[Leveranser till annat fjärrvärmebolag]],"")</f>
        <v/>
      </c>
      <c r="G455" t="str">
        <f>VLOOKUP(Levererat_2016[[#This Row],[Indexnamn]],'Leveranser per nät'!$A$4:$A$526,1,FALSE)</f>
        <v>Älvsbyn</v>
      </c>
    </row>
    <row r="456" spans="1:7" x14ac:dyDescent="0.25">
      <c r="A456" t="s">
        <v>626</v>
      </c>
      <c r="B456" t="s">
        <v>373</v>
      </c>
      <c r="C456" t="s">
        <v>373</v>
      </c>
      <c r="D456">
        <v>982.5</v>
      </c>
      <c r="E456">
        <v>108.5</v>
      </c>
      <c r="F456">
        <f>IFERROR(Levererat_2016[[#This Row],[Leveranser:]]-Levererat_2016[[#This Row],[Leveranser till annat fjärrvärmebolag]],"")</f>
        <v>874</v>
      </c>
      <c r="G456" t="str">
        <f>VLOOKUP(Levererat_2016[[#This Row],[Indexnamn]],'Leveranser per nät'!$A$4:$A$526,1,FALSE)</f>
        <v>Helsingborg</v>
      </c>
    </row>
    <row r="457" spans="1:7" x14ac:dyDescent="0.25">
      <c r="A457" t="s">
        <v>626</v>
      </c>
      <c r="B457" t="s">
        <v>400</v>
      </c>
      <c r="C457" t="s">
        <v>400</v>
      </c>
      <c r="D457">
        <v>1.754</v>
      </c>
      <c r="F457">
        <f>IFERROR(Levererat_2016[[#This Row],[Leveranser:]]-Levererat_2016[[#This Row],[Leveranser till annat fjärrvärmebolag]],"")</f>
        <v>1.754</v>
      </c>
      <c r="G457" t="str">
        <f>VLOOKUP(Levererat_2016[[#This Row],[Indexnamn]],'Leveranser per nät'!$A$4:$A$526,1,FALSE)</f>
        <v>Hjärnarp</v>
      </c>
    </row>
    <row r="458" spans="1:7" x14ac:dyDescent="0.25">
      <c r="A458" t="s">
        <v>626</v>
      </c>
      <c r="B458" t="s">
        <v>431</v>
      </c>
      <c r="C458" t="s">
        <v>431</v>
      </c>
      <c r="D458">
        <v>9.1999999999999993</v>
      </c>
      <c r="F458">
        <f>IFERROR(Levererat_2016[[#This Row],[Leveranser:]]-Levererat_2016[[#This Row],[Leveranser till annat fjärrvärmebolag]],"")</f>
        <v>9.1999999999999993</v>
      </c>
      <c r="G458" t="str">
        <f>VLOOKUP(Levererat_2016[[#This Row],[Indexnamn]],'Leveranser per nät'!$A$4:$A$526,1,FALSE)</f>
        <v>Vejbystrand</v>
      </c>
    </row>
    <row r="459" spans="1:7" x14ac:dyDescent="0.25">
      <c r="A459" t="s">
        <v>626</v>
      </c>
      <c r="B459" t="s">
        <v>372</v>
      </c>
      <c r="C459" t="s">
        <v>372</v>
      </c>
      <c r="D459">
        <v>176.101</v>
      </c>
      <c r="F459">
        <f>IFERROR(Levererat_2016[[#This Row],[Leveranser:]]-Levererat_2016[[#This Row],[Leveranser till annat fjärrvärmebolag]],"")</f>
        <v>176.101</v>
      </c>
      <c r="G459" t="str">
        <f>VLOOKUP(Levererat_2016[[#This Row],[Indexnamn]],'Leveranser per nät'!$A$4:$A$526,1,FALSE)</f>
        <v>Ängelholm</v>
      </c>
    </row>
    <row r="460" spans="1:7" x14ac:dyDescent="0.25">
      <c r="A460" t="s">
        <v>740</v>
      </c>
      <c r="B460" t="s">
        <v>374</v>
      </c>
      <c r="C460" t="s">
        <v>374</v>
      </c>
      <c r="D460">
        <v>28.6</v>
      </c>
      <c r="F460">
        <f>IFERROR(Levererat_2016[[#This Row],[Leveranser:]]-Levererat_2016[[#This Row],[Leveranser till annat fjärrvärmebolag]],"")</f>
        <v>28.6</v>
      </c>
      <c r="G460" t="str">
        <f>VLOOKUP(Levererat_2016[[#This Row],[Indexnamn]],'Leveranser per nät'!$A$4:$A$526,1,FALSE)</f>
        <v>Örkelljunga</v>
      </c>
    </row>
    <row r="461" spans="1:7" x14ac:dyDescent="0.25">
      <c r="A461" t="s">
        <v>695</v>
      </c>
      <c r="B461" t="s">
        <v>375</v>
      </c>
      <c r="C461" t="s">
        <v>375</v>
      </c>
      <c r="D461">
        <v>48.2</v>
      </c>
      <c r="F461">
        <f>IFERROR(Levererat_2016[[#This Row],[Leveranser:]]-Levererat_2016[[#This Row],[Leveranser till annat fjärrvärmebolag]],"")</f>
        <v>48.2</v>
      </c>
      <c r="G461" t="str">
        <f>VLOOKUP(Levererat_2016[[#This Row],[Indexnamn]],'Leveranser per nät'!$A$4:$A$526,1,FALSE)</f>
        <v>Simrishamn</v>
      </c>
    </row>
    <row r="462" spans="1:7" x14ac:dyDescent="0.25">
      <c r="A462" t="s">
        <v>914</v>
      </c>
      <c r="B462" t="s">
        <v>344</v>
      </c>
      <c r="C462" t="s">
        <v>344</v>
      </c>
      <c r="D462" t="s">
        <v>805</v>
      </c>
      <c r="F462" t="str">
        <f>IFERROR(Levererat_2016[[#This Row],[Leveranser:]]-Levererat_2016[[#This Row],[Leveranser till annat fjärrvärmebolag]],"")</f>
        <v/>
      </c>
      <c r="G462" t="str">
        <f>VLOOKUP(Levererat_2016[[#This Row],[Indexnamn]],'Leveranser per nät'!$A$4:$A$526,1,FALSE)</f>
        <v>Överkalix</v>
      </c>
    </row>
    <row r="463" spans="1:7" x14ac:dyDescent="0.25">
      <c r="A463" t="s">
        <v>915</v>
      </c>
      <c r="B463" t="s">
        <v>347</v>
      </c>
      <c r="C463" t="s">
        <v>347</v>
      </c>
      <c r="D463" t="s">
        <v>805</v>
      </c>
      <c r="F463" t="str">
        <f>IFERROR(Levererat_2016[[#This Row],[Leveranser:]]-Levererat_2016[[#This Row],[Leveranser till annat fjärrvärmebolag]],"")</f>
        <v/>
      </c>
      <c r="G463" t="str">
        <f>VLOOKUP(Levererat_2016[[#This Row],[Indexnamn]],'Leveranser per nät'!$A$4:$A$526,1,FALSE)</f>
        <v>Övertorneå</v>
      </c>
    </row>
    <row r="464" spans="1:7" x14ac:dyDescent="0.25">
      <c r="A464" t="s">
        <v>916</v>
      </c>
      <c r="B464" t="s">
        <v>347</v>
      </c>
      <c r="C464" t="s">
        <v>347</v>
      </c>
      <c r="D464" t="s">
        <v>805</v>
      </c>
      <c r="F464" t="str">
        <f>IFERROR(Levererat_2016[[#This Row],[Leveranser:]]-Levererat_2016[[#This Row],[Leveranser till annat fjärrvärmebolag]],"")</f>
        <v/>
      </c>
      <c r="G464" t="str">
        <f>VLOOKUP(Levererat_2016[[#This Row],[Indexnamn]],'Leveranser per nät'!$A$4:$A$526,1,FALSE)</f>
        <v>Övertorneå</v>
      </c>
    </row>
    <row r="465" spans="1:7" x14ac:dyDescent="0.25">
      <c r="A465" t="s">
        <v>569</v>
      </c>
      <c r="B465" t="s">
        <v>377</v>
      </c>
      <c r="C465" t="s">
        <v>377</v>
      </c>
      <c r="D465">
        <v>7.343</v>
      </c>
      <c r="F465">
        <f>IFERROR(Levererat_2016[[#This Row],[Leveranser:]]-Levererat_2016[[#This Row],[Leveranser till annat fjärrvärmebolag]],"")</f>
        <v>7.343</v>
      </c>
      <c r="G465" t="str">
        <f>VLOOKUP(Levererat_2016[[#This Row],[Indexnamn]],'Leveranser per nät'!$A$4:$A$526,1,FALSE)</f>
        <v>Bjästa</v>
      </c>
    </row>
    <row r="466" spans="1:7" x14ac:dyDescent="0.25">
      <c r="A466" t="s">
        <v>569</v>
      </c>
      <c r="B466" t="s">
        <v>378</v>
      </c>
      <c r="C466" t="s">
        <v>378</v>
      </c>
      <c r="D466">
        <v>5.4939999999999998</v>
      </c>
      <c r="F466">
        <f>IFERROR(Levererat_2016[[#This Row],[Leveranser:]]-Levererat_2016[[#This Row],[Leveranser till annat fjärrvärmebolag]],"")</f>
        <v>5.4939999999999998</v>
      </c>
      <c r="G466" t="str">
        <f>VLOOKUP(Levererat_2016[[#This Row],[Indexnamn]],'Leveranser per nät'!$A$4:$A$526,1,FALSE)</f>
        <v>Bredbyn</v>
      </c>
    </row>
    <row r="467" spans="1:7" x14ac:dyDescent="0.25">
      <c r="A467" t="s">
        <v>569</v>
      </c>
      <c r="B467" t="s">
        <v>917</v>
      </c>
      <c r="C467" t="s">
        <v>917</v>
      </c>
      <c r="D467" t="s">
        <v>806</v>
      </c>
      <c r="F467" t="str">
        <f>IFERROR(Levererat_2016[[#This Row],[Leveranser:]]-Levererat_2016[[#This Row],[Leveranser till annat fjärrvärmebolag]],"")</f>
        <v/>
      </c>
      <c r="G467" t="e">
        <f>VLOOKUP(Levererat_2016[[#This Row],[Indexnamn]],'Leveranser per nät'!$A$4:$A$526,1,FALSE)</f>
        <v>#N/A</v>
      </c>
    </row>
    <row r="468" spans="1:7" x14ac:dyDescent="0.25">
      <c r="A468" t="s">
        <v>569</v>
      </c>
      <c r="B468" t="s">
        <v>379</v>
      </c>
      <c r="C468" t="s">
        <v>379</v>
      </c>
      <c r="D468">
        <v>6.931</v>
      </c>
      <c r="F468">
        <f>IFERROR(Levererat_2016[[#This Row],[Leveranser:]]-Levererat_2016[[#This Row],[Leveranser till annat fjärrvärmebolag]],"")</f>
        <v>6.931</v>
      </c>
      <c r="G468" t="str">
        <f>VLOOKUP(Levererat_2016[[#This Row],[Indexnamn]],'Leveranser per nät'!$A$4:$A$526,1,FALSE)</f>
        <v>Husum</v>
      </c>
    </row>
    <row r="469" spans="1:7" x14ac:dyDescent="0.25">
      <c r="A469" t="s">
        <v>569</v>
      </c>
      <c r="B469" t="s">
        <v>491</v>
      </c>
      <c r="C469" t="s">
        <v>491</v>
      </c>
      <c r="D469">
        <v>0.58499999999999996</v>
      </c>
      <c r="F469">
        <f>IFERROR(Levererat_2016[[#This Row],[Leveranser:]]-Levererat_2016[[#This Row],[Leveranser till annat fjärrvärmebolag]],"")</f>
        <v>0.58499999999999996</v>
      </c>
      <c r="G469" t="str">
        <f>VLOOKUP(Levererat_2016[[#This Row],[Indexnamn]],'Leveranser per nät'!$A$4:$A$526,1,FALSE)</f>
        <v>Moliden</v>
      </c>
    </row>
    <row r="470" spans="1:7" x14ac:dyDescent="0.25">
      <c r="A470" t="s">
        <v>569</v>
      </c>
      <c r="B470" t="s">
        <v>802</v>
      </c>
      <c r="C470" t="s">
        <v>802</v>
      </c>
      <c r="D470">
        <v>266.63</v>
      </c>
      <c r="F470">
        <f>IFERROR(Levererat_2016[[#This Row],[Leveranser:]]-Levererat_2016[[#This Row],[Leveranser till annat fjärrvärmebolag]],"")</f>
        <v>266.63</v>
      </c>
      <c r="G470" t="e">
        <f>VLOOKUP(Levererat_2016[[#This Row],[Indexnamn]],'Leveranser per nät'!$A$4:$A$526,1,FALSE)</f>
        <v>#N/A</v>
      </c>
    </row>
    <row r="471" spans="1:7" x14ac:dyDescent="0.25">
      <c r="A471" t="s">
        <v>569</v>
      </c>
      <c r="B471" t="s">
        <v>376</v>
      </c>
      <c r="C471" t="s">
        <v>376</v>
      </c>
      <c r="D471">
        <v>232.59800000000001</v>
      </c>
      <c r="F471">
        <f>IFERROR(Levererat_2016[[#This Row],[Leveranser:]]-Levererat_2016[[#This Row],[Leveranser till annat fjärrvärmebolag]],"")</f>
        <v>232.59800000000001</v>
      </c>
      <c r="G471" t="str">
        <f>VLOOKUP(Levererat_2016[[#This Row],[Indexnamn]],'Leveranser per nät'!$A$4:$A$526,1,FALSE)</f>
        <v>Örnsköldsvik</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2:K395"/>
  <sheetViews>
    <sheetView topLeftCell="A351" workbookViewId="0">
      <selection activeCell="B153" sqref="B153"/>
    </sheetView>
  </sheetViews>
  <sheetFormatPr defaultRowHeight="15" x14ac:dyDescent="0.25"/>
  <cols>
    <col min="1" max="1" width="31.85546875" customWidth="1"/>
    <col min="2" max="2" width="31.28515625" customWidth="1"/>
    <col min="3" max="3" width="13.42578125" customWidth="1"/>
    <col min="4" max="4" width="22.28515625" customWidth="1"/>
    <col min="5" max="5" width="30.28515625" customWidth="1"/>
    <col min="6" max="6" width="31" customWidth="1"/>
    <col min="7" max="7" width="12.42578125" customWidth="1"/>
  </cols>
  <sheetData>
    <row r="2" spans="1:7" x14ac:dyDescent="0.25">
      <c r="A2" t="s">
        <v>543</v>
      </c>
      <c r="B2" t="s">
        <v>544</v>
      </c>
      <c r="C2" t="s">
        <v>822</v>
      </c>
      <c r="D2" t="s">
        <v>752</v>
      </c>
      <c r="E2" t="s">
        <v>836</v>
      </c>
      <c r="F2" t="s">
        <v>837</v>
      </c>
      <c r="G2" t="s">
        <v>821</v>
      </c>
    </row>
    <row r="3" spans="1:7" x14ac:dyDescent="0.25">
      <c r="A3" t="s">
        <v>616</v>
      </c>
      <c r="B3" t="s">
        <v>810</v>
      </c>
      <c r="D3" t="s">
        <v>779</v>
      </c>
      <c r="E3">
        <v>0</v>
      </c>
      <c r="F3" t="str">
        <f>IFERROR(Levererat_2015[[#This Row],[Leveranser:]]-Levererat_2015[[#This Row],[Leveranser till annat fjärrvärmebolag]],"")</f>
        <v/>
      </c>
    </row>
    <row r="4" spans="1:7" x14ac:dyDescent="0.25">
      <c r="A4" t="s">
        <v>545</v>
      </c>
      <c r="B4" t="s">
        <v>95</v>
      </c>
      <c r="C4" t="s">
        <v>95</v>
      </c>
      <c r="D4">
        <v>17.48</v>
      </c>
      <c r="E4">
        <v>0</v>
      </c>
      <c r="F4">
        <f>IFERROR(Levererat_2015[[#This Row],[Leveranser:]]-Levererat_2015[[#This Row],[Leveranser till annat fjärrvärmebolag]],"")</f>
        <v>17.48</v>
      </c>
      <c r="G4" t="str">
        <f>VLOOKUP(Levererat_2015[[#This Row],[Indexnamn]],'Leveranser per nät'!$A$4:$A$514,1,FALSE)</f>
        <v>Alfta</v>
      </c>
    </row>
    <row r="5" spans="1:7" x14ac:dyDescent="0.25">
      <c r="A5" t="s">
        <v>548</v>
      </c>
      <c r="B5" t="s">
        <v>1</v>
      </c>
      <c r="C5" t="s">
        <v>1</v>
      </c>
      <c r="D5">
        <v>112.4</v>
      </c>
      <c r="E5">
        <v>0</v>
      </c>
      <c r="F5">
        <f>IFERROR(Levererat_2015[[#This Row],[Leveranser:]]-Levererat_2015[[#This Row],[Leveranser till annat fjärrvärmebolag]],"")</f>
        <v>112.4</v>
      </c>
      <c r="G5" t="str">
        <f>VLOOKUP(Levererat_2015[[#This Row],[Indexnamn]],'Leveranser per nät'!$A$4:$A$514,1,FALSE)</f>
        <v>Alingsås</v>
      </c>
    </row>
    <row r="6" spans="1:7" x14ac:dyDescent="0.25">
      <c r="A6" t="s">
        <v>549</v>
      </c>
      <c r="B6" t="s">
        <v>2</v>
      </c>
      <c r="C6" t="s">
        <v>2</v>
      </c>
      <c r="D6" t="s">
        <v>779</v>
      </c>
      <c r="E6">
        <v>0</v>
      </c>
      <c r="F6" t="str">
        <f>IFERROR(Levererat_2015[[#This Row],[Leveranser:]]-Levererat_2015[[#This Row],[Leveranser till annat fjärrvärmebolag]],"")</f>
        <v/>
      </c>
      <c r="G6" t="str">
        <f>VLOOKUP(Levererat_2015[[#This Row],[Indexnamn]],'Leveranser per nät'!$A$4:$A$514,1,FALSE)</f>
        <v>Alvesta</v>
      </c>
    </row>
    <row r="7" spans="1:7" x14ac:dyDescent="0.25">
      <c r="A7" t="s">
        <v>784</v>
      </c>
      <c r="B7" t="s">
        <v>792</v>
      </c>
      <c r="C7" t="s">
        <v>792</v>
      </c>
      <c r="D7">
        <v>22.36</v>
      </c>
      <c r="E7">
        <v>0</v>
      </c>
      <c r="F7">
        <f>IFERROR(Levererat_2015[[#This Row],[Leveranser:]]-Levererat_2015[[#This Row],[Leveranser till annat fjärrvärmebolag]],"")</f>
        <v>22.36</v>
      </c>
      <c r="G7" t="str">
        <f>VLOOKUP(Levererat_2015[[#This Row],[Indexnamn]],'Leveranser per nät'!$A$4:$A$514,1,FALSE)</f>
        <v>Aneby</v>
      </c>
    </row>
    <row r="8" spans="1:7" x14ac:dyDescent="0.25">
      <c r="A8" t="s">
        <v>791</v>
      </c>
      <c r="B8" t="s">
        <v>792</v>
      </c>
      <c r="D8" t="s">
        <v>779</v>
      </c>
      <c r="E8">
        <v>0</v>
      </c>
      <c r="F8" t="str">
        <f>IFERROR(Levererat_2015[[#This Row],[Leveranser:]]-Levererat_2015[[#This Row],[Leveranser till annat fjärrvärmebolag]],"")</f>
        <v/>
      </c>
      <c r="G8" t="e">
        <f>VLOOKUP(Levererat_2015[[#This Row],[Indexnamn]],'Leveranser per nät'!$A$4:$A$514,1,FALSE)</f>
        <v>#N/A</v>
      </c>
    </row>
    <row r="9" spans="1:7" x14ac:dyDescent="0.25">
      <c r="A9" t="s">
        <v>550</v>
      </c>
      <c r="B9" t="s">
        <v>360</v>
      </c>
      <c r="C9" t="s">
        <v>360</v>
      </c>
      <c r="D9">
        <v>5.9</v>
      </c>
      <c r="E9">
        <v>0</v>
      </c>
      <c r="F9">
        <f>IFERROR(Levererat_2015[[#This Row],[Leveranser:]]-Levererat_2015[[#This Row],[Leveranser till annat fjärrvärmebolag]],"")</f>
        <v>5.9</v>
      </c>
      <c r="G9" t="str">
        <f>VLOOKUP(Levererat_2015[[#This Row],[Indexnamn]],'Leveranser per nät'!$A$4:$A$514,1,FALSE)</f>
        <v>Ankarsrum</v>
      </c>
    </row>
    <row r="10" spans="1:7" x14ac:dyDescent="0.25">
      <c r="A10" t="s">
        <v>551</v>
      </c>
      <c r="B10" t="s">
        <v>224</v>
      </c>
      <c r="C10" t="s">
        <v>224</v>
      </c>
      <c r="D10">
        <v>1.7749999999999999</v>
      </c>
      <c r="E10">
        <v>0</v>
      </c>
      <c r="F10">
        <f>IFERROR(Levererat_2015[[#This Row],[Leveranser:]]-Levererat_2015[[#This Row],[Leveranser till annat fjärrvärmebolag]],"")</f>
        <v>1.7749999999999999</v>
      </c>
      <c r="G10" t="str">
        <f>VLOOKUP(Levererat_2015[[#This Row],[Indexnamn]],'Leveranser per nät'!$A$4:$A$514,1,FALSE)</f>
        <v>Anneberg</v>
      </c>
    </row>
    <row r="11" spans="1:7" x14ac:dyDescent="0.25">
      <c r="A11" t="s">
        <v>552</v>
      </c>
      <c r="B11" t="s">
        <v>5</v>
      </c>
      <c r="C11" t="s">
        <v>5</v>
      </c>
      <c r="D11">
        <v>89.6</v>
      </c>
      <c r="E11">
        <v>0</v>
      </c>
      <c r="F11">
        <f>IFERROR(Levererat_2015[[#This Row],[Leveranser:]]-Levererat_2015[[#This Row],[Leveranser till annat fjärrvärmebolag]],"")</f>
        <v>89.6</v>
      </c>
      <c r="G11" t="str">
        <f>VLOOKUP(Levererat_2015[[#This Row],[Indexnamn]],'Leveranser per nät'!$A$4:$A$514,1,FALSE)</f>
        <v>Arboga</v>
      </c>
    </row>
    <row r="12" spans="1:7" x14ac:dyDescent="0.25">
      <c r="A12" t="s">
        <v>553</v>
      </c>
      <c r="B12" t="s">
        <v>20</v>
      </c>
      <c r="C12" t="s">
        <v>20</v>
      </c>
      <c r="D12">
        <v>14.587</v>
      </c>
      <c r="E12">
        <v>0</v>
      </c>
      <c r="F12">
        <f>IFERROR(Levererat_2015[[#This Row],[Leveranser:]]-Levererat_2015[[#This Row],[Leveranser till annat fjärrvärmebolag]],"")</f>
        <v>14.587</v>
      </c>
      <c r="G12" t="str">
        <f>VLOOKUP(Levererat_2015[[#This Row],[Indexnamn]],'Leveranser per nät'!$A$4:$A$514,1,FALSE)</f>
        <v>Arbrå</v>
      </c>
    </row>
    <row r="13" spans="1:7" x14ac:dyDescent="0.25">
      <c r="A13" t="s">
        <v>555</v>
      </c>
      <c r="B13" t="s">
        <v>119</v>
      </c>
      <c r="C13" t="s">
        <v>119</v>
      </c>
      <c r="D13">
        <v>98.9</v>
      </c>
      <c r="E13">
        <v>0</v>
      </c>
      <c r="F13">
        <f>IFERROR(Levererat_2015[[#This Row],[Leveranser:]]-Levererat_2015[[#This Row],[Leveranser till annat fjärrvärmebolag]],"")</f>
        <v>98.9</v>
      </c>
      <c r="G13" t="str">
        <f>VLOOKUP(Levererat_2015[[#This Row],[Indexnamn]],'Leveranser per nät'!$A$4:$A$514,1,FALSE)</f>
        <v>Arvika</v>
      </c>
    </row>
    <row r="14" spans="1:7" x14ac:dyDescent="0.25">
      <c r="A14" t="s">
        <v>556</v>
      </c>
      <c r="B14" t="s">
        <v>334</v>
      </c>
      <c r="C14" t="s">
        <v>334</v>
      </c>
      <c r="D14">
        <v>17.3</v>
      </c>
      <c r="E14">
        <v>0</v>
      </c>
      <c r="F14">
        <f>IFERROR(Levererat_2015[[#This Row],[Leveranser:]]-Levererat_2015[[#This Row],[Leveranser till annat fjärrvärmebolag]],"")</f>
        <v>17.3</v>
      </c>
      <c r="G14" t="str">
        <f>VLOOKUP(Levererat_2015[[#This Row],[Indexnamn]],'Leveranser per nät'!$A$4:$A$514,1,FALSE)</f>
        <v>Askersund</v>
      </c>
    </row>
    <row r="15" spans="1:7" x14ac:dyDescent="0.25">
      <c r="A15" t="s">
        <v>557</v>
      </c>
      <c r="B15" t="s">
        <v>392</v>
      </c>
      <c r="C15" t="s">
        <v>392</v>
      </c>
      <c r="D15">
        <v>82.8</v>
      </c>
      <c r="E15">
        <v>0</v>
      </c>
      <c r="F15">
        <f>IFERROR(Levererat_2015[[#This Row],[Leveranser:]]-Levererat_2015[[#This Row],[Leveranser till annat fjärrvärmebolag]],"")</f>
        <v>82.8</v>
      </c>
      <c r="G15" t="str">
        <f>VLOOKUP(Levererat_2015[[#This Row],[Indexnamn]],'Leveranser per nät'!$A$4:$A$514,1,FALSE)</f>
        <v>Assbergs nätet</v>
      </c>
    </row>
    <row r="16" spans="1:7" x14ac:dyDescent="0.25">
      <c r="A16" t="s">
        <v>558</v>
      </c>
      <c r="B16" t="s">
        <v>118</v>
      </c>
      <c r="C16" t="s">
        <v>118</v>
      </c>
      <c r="D16">
        <v>209.69399999999999</v>
      </c>
      <c r="E16">
        <v>0</v>
      </c>
      <c r="F16">
        <f>IFERROR(Levererat_2015[[#This Row],[Leveranser:]]-Levererat_2015[[#This Row],[Leveranser till annat fjärrvärmebolag]],"")</f>
        <v>209.69399999999999</v>
      </c>
      <c r="G16" t="str">
        <f>VLOOKUP(Levererat_2015[[#This Row],[Indexnamn]],'Leveranser per nät'!$A$4:$A$514,1,FALSE)</f>
        <v>Avesta</v>
      </c>
    </row>
    <row r="17" spans="1:7" x14ac:dyDescent="0.25">
      <c r="A17" t="s">
        <v>561</v>
      </c>
      <c r="B17" t="s">
        <v>85</v>
      </c>
      <c r="C17" t="s">
        <v>85</v>
      </c>
      <c r="D17">
        <v>7.18</v>
      </c>
      <c r="E17">
        <v>0</v>
      </c>
      <c r="F17">
        <f>IFERROR(Levererat_2015[[#This Row],[Leveranser:]]-Levererat_2015[[#This Row],[Leveranser till annat fjärrvärmebolag]],"")</f>
        <v>7.18</v>
      </c>
      <c r="G17" t="str">
        <f>VLOOKUP(Levererat_2015[[#This Row],[Indexnamn]],'Leveranser per nät'!$A$4:$A$514,1,FALSE)</f>
        <v>Bara</v>
      </c>
    </row>
    <row r="18" spans="1:7" x14ac:dyDescent="0.25">
      <c r="A18" t="s">
        <v>562</v>
      </c>
      <c r="B18" t="s">
        <v>7</v>
      </c>
      <c r="C18" t="s">
        <v>7</v>
      </c>
      <c r="D18">
        <v>7.9</v>
      </c>
      <c r="E18">
        <v>0</v>
      </c>
      <c r="F18">
        <f>IFERROR(Levererat_2015[[#This Row],[Leveranser:]]-Levererat_2015[[#This Row],[Leveranser till annat fjärrvärmebolag]],"")</f>
        <v>7.9</v>
      </c>
      <c r="G18" t="str">
        <f>VLOOKUP(Levererat_2015[[#This Row],[Indexnamn]],'Leveranser per nät'!$A$4:$A$514,1,FALSE)</f>
        <v>Bengtsfors</v>
      </c>
    </row>
    <row r="19" spans="1:7" x14ac:dyDescent="0.25">
      <c r="A19" t="s">
        <v>563</v>
      </c>
      <c r="B19" t="s">
        <v>9</v>
      </c>
      <c r="C19" t="s">
        <v>9</v>
      </c>
      <c r="D19">
        <v>3.2959999999999998</v>
      </c>
      <c r="E19">
        <v>0</v>
      </c>
      <c r="F19">
        <f>IFERROR(Levererat_2015[[#This Row],[Leveranser:]]-Levererat_2015[[#This Row],[Leveranser till annat fjärrvärmebolag]],"")</f>
        <v>3.2959999999999998</v>
      </c>
      <c r="G19" t="str">
        <f>VLOOKUP(Levererat_2015[[#This Row],[Indexnamn]],'Leveranser per nät'!$A$4:$A$514,1,FALSE)</f>
        <v>Bergby</v>
      </c>
    </row>
    <row r="20" spans="1:7" x14ac:dyDescent="0.25">
      <c r="A20" t="s">
        <v>564</v>
      </c>
      <c r="B20" t="s">
        <v>565</v>
      </c>
      <c r="D20" t="s">
        <v>779</v>
      </c>
      <c r="E20">
        <v>0</v>
      </c>
      <c r="F20" t="str">
        <f>IFERROR(Levererat_2015[[#This Row],[Leveranser:]]-Levererat_2015[[#This Row],[Leveranser till annat fjärrvärmebolag]],"")</f>
        <v/>
      </c>
      <c r="G20" t="e">
        <f>VLOOKUP(Levererat_2015[[#This Row],[Indexnamn]],'Leveranser per nät'!$A$4:$A$514,1,FALSE)</f>
        <v>#N/A</v>
      </c>
    </row>
    <row r="21" spans="1:7" x14ac:dyDescent="0.25">
      <c r="A21" t="s">
        <v>566</v>
      </c>
      <c r="B21" t="s">
        <v>323</v>
      </c>
      <c r="C21" t="s">
        <v>323</v>
      </c>
      <c r="D21">
        <v>7.0940000000000003</v>
      </c>
      <c r="E21">
        <v>0</v>
      </c>
      <c r="F21">
        <f>IFERROR(Levererat_2015[[#This Row],[Leveranser:]]-Levererat_2015[[#This Row],[Leveranser till annat fjärrvärmebolag]],"")</f>
        <v>7.0940000000000003</v>
      </c>
      <c r="G21" t="str">
        <f>VLOOKUP(Levererat_2015[[#This Row],[Indexnamn]],'Leveranser per nät'!$A$4:$A$514,1,FALSE)</f>
        <v>Bjurholm</v>
      </c>
    </row>
    <row r="22" spans="1:7" x14ac:dyDescent="0.25">
      <c r="A22" t="s">
        <v>567</v>
      </c>
      <c r="B22" t="s">
        <v>109</v>
      </c>
      <c r="C22" t="s">
        <v>109</v>
      </c>
      <c r="D22">
        <v>4.54</v>
      </c>
      <c r="E22">
        <v>0</v>
      </c>
      <c r="F22">
        <f>IFERROR(Levererat_2015[[#This Row],[Leveranser:]]-Levererat_2015[[#This Row],[Leveranser till annat fjärrvärmebolag]],"")</f>
        <v>4.54</v>
      </c>
      <c r="G22" t="str">
        <f>VLOOKUP(Levererat_2015[[#This Row],[Indexnamn]],'Leveranser per nät'!$A$4:$A$514,1,FALSE)</f>
        <v>Bjursås</v>
      </c>
    </row>
    <row r="23" spans="1:7" x14ac:dyDescent="0.25">
      <c r="A23" t="s">
        <v>568</v>
      </c>
      <c r="B23" t="s">
        <v>178</v>
      </c>
      <c r="C23" t="s">
        <v>178</v>
      </c>
      <c r="D23">
        <v>8.1</v>
      </c>
      <c r="E23">
        <v>0</v>
      </c>
      <c r="F23">
        <f>IFERROR(Levererat_2015[[#This Row],[Leveranser:]]-Levererat_2015[[#This Row],[Leveranser till annat fjärrvärmebolag]],"")</f>
        <v>8.1</v>
      </c>
      <c r="G23" t="str">
        <f>VLOOKUP(Levererat_2015[[#This Row],[Indexnamn]],'Leveranser per nät'!$A$4:$A$514,1,FALSE)</f>
        <v>Bjärnum</v>
      </c>
    </row>
    <row r="24" spans="1:7" x14ac:dyDescent="0.25">
      <c r="A24" t="s">
        <v>569</v>
      </c>
      <c r="B24" t="s">
        <v>377</v>
      </c>
      <c r="C24" t="s">
        <v>377</v>
      </c>
      <c r="D24">
        <v>6.6630000000000003</v>
      </c>
      <c r="E24">
        <v>0</v>
      </c>
      <c r="F24">
        <f>IFERROR(Levererat_2015[[#This Row],[Leveranser:]]-Levererat_2015[[#This Row],[Leveranser till annat fjärrvärmebolag]],"")</f>
        <v>6.6630000000000003</v>
      </c>
      <c r="G24" t="str">
        <f>VLOOKUP(Levererat_2015[[#This Row],[Indexnamn]],'Leveranser per nät'!$A$4:$A$514,1,FALSE)</f>
        <v>Bjästa</v>
      </c>
    </row>
    <row r="25" spans="1:7" x14ac:dyDescent="0.25">
      <c r="A25" t="s">
        <v>564</v>
      </c>
      <c r="B25" t="s">
        <v>570</v>
      </c>
      <c r="C25" t="s">
        <v>570</v>
      </c>
      <c r="D25">
        <v>0.8</v>
      </c>
      <c r="E25">
        <v>0</v>
      </c>
      <c r="F25">
        <f>IFERROR(Levererat_2015[[#This Row],[Leveranser:]]-Levererat_2015[[#This Row],[Leveranser till annat fjärrvärmebolag]],"")</f>
        <v>0.8</v>
      </c>
      <c r="G25" t="str">
        <f>VLOOKUP(Levererat_2015[[#This Row],[Indexnamn]],'Leveranser per nät'!$A$4:$A$514,1,FALSE)</f>
        <v>Björkvik</v>
      </c>
    </row>
    <row r="26" spans="1:7" x14ac:dyDescent="0.25">
      <c r="A26" t="s">
        <v>551</v>
      </c>
      <c r="B26" t="s">
        <v>225</v>
      </c>
      <c r="C26" t="s">
        <v>225</v>
      </c>
      <c r="D26">
        <v>10.31</v>
      </c>
      <c r="E26">
        <v>0</v>
      </c>
      <c r="F26">
        <f>IFERROR(Levererat_2015[[#This Row],[Leveranser:]]-Levererat_2015[[#This Row],[Leveranser till annat fjärrvärmebolag]],"")</f>
        <v>10.31</v>
      </c>
      <c r="G26" t="str">
        <f>VLOOKUP(Levererat_2015[[#This Row],[Indexnamn]],'Leveranser per nät'!$A$4:$A$514,1,FALSE)</f>
        <v>Bodafors</v>
      </c>
    </row>
    <row r="27" spans="1:7" x14ac:dyDescent="0.25">
      <c r="A27" t="s">
        <v>571</v>
      </c>
      <c r="B27" t="s">
        <v>263</v>
      </c>
      <c r="C27" t="s">
        <v>263</v>
      </c>
      <c r="D27">
        <v>7.7149999999999999</v>
      </c>
      <c r="E27">
        <v>0</v>
      </c>
      <c r="F27">
        <f>IFERROR(Levererat_2015[[#This Row],[Leveranser:]]-Levererat_2015[[#This Row],[Leveranser till annat fjärrvärmebolag]],"")</f>
        <v>7.7149999999999999</v>
      </c>
      <c r="G27" t="str">
        <f>VLOOKUP(Levererat_2015[[#This Row],[Indexnamn]],'Leveranser per nät'!$A$4:$A$514,1,FALSE)</f>
        <v>Boliden</v>
      </c>
    </row>
    <row r="28" spans="1:7" x14ac:dyDescent="0.25">
      <c r="A28" t="s">
        <v>553</v>
      </c>
      <c r="B28" t="s">
        <v>21</v>
      </c>
      <c r="C28" t="s">
        <v>21</v>
      </c>
      <c r="D28">
        <v>117.59399999999999</v>
      </c>
      <c r="E28">
        <v>0</v>
      </c>
      <c r="F28">
        <f>IFERROR(Levererat_2015[[#This Row],[Leveranser:]]-Levererat_2015[[#This Row],[Leveranser till annat fjärrvärmebolag]],"")</f>
        <v>117.59399999999999</v>
      </c>
      <c r="G28" t="str">
        <f>VLOOKUP(Levererat_2015[[#This Row],[Indexnamn]],'Leveranser per nät'!$A$4:$A$514,1,FALSE)</f>
        <v>Bollnäs</v>
      </c>
    </row>
    <row r="29" spans="1:7" x14ac:dyDescent="0.25">
      <c r="A29" t="s">
        <v>809</v>
      </c>
      <c r="B29" t="s">
        <v>60</v>
      </c>
      <c r="C29" t="s">
        <v>60</v>
      </c>
      <c r="D29">
        <v>4.5999999999999996</v>
      </c>
      <c r="E29">
        <v>0</v>
      </c>
      <c r="F29">
        <f>IFERROR(Levererat_2015[[#This Row],[Leveranser:]]-Levererat_2015[[#This Row],[Leveranser till annat fjärrvärmebolag]],"")</f>
        <v>4.5999999999999996</v>
      </c>
      <c r="G29" t="str">
        <f>VLOOKUP(Levererat_2015[[#This Row],[Indexnamn]],'Leveranser per nät'!$A$4:$A$514,1,FALSE)</f>
        <v>Bollstabruk</v>
      </c>
    </row>
    <row r="30" spans="1:7" x14ac:dyDescent="0.25">
      <c r="A30" t="s">
        <v>573</v>
      </c>
      <c r="B30" t="s">
        <v>306</v>
      </c>
      <c r="C30" t="s">
        <v>306</v>
      </c>
      <c r="D30">
        <v>10.9</v>
      </c>
      <c r="E30">
        <v>0</v>
      </c>
      <c r="F30">
        <f>IFERROR(Levererat_2015[[#This Row],[Leveranser:]]-Levererat_2015[[#This Row],[Leveranser till annat fjärrvärmebolag]],"")</f>
        <v>10.9</v>
      </c>
      <c r="G30" t="str">
        <f>VLOOKUP(Levererat_2015[[#This Row],[Indexnamn]],'Leveranser per nät'!$A$4:$A$514,1,FALSE)</f>
        <v>Borensberg</v>
      </c>
    </row>
    <row r="31" spans="1:7" x14ac:dyDescent="0.25">
      <c r="A31" t="s">
        <v>574</v>
      </c>
      <c r="B31" t="s">
        <v>23</v>
      </c>
      <c r="C31" t="s">
        <v>23</v>
      </c>
      <c r="D31">
        <v>24.138999999999999</v>
      </c>
      <c r="E31">
        <v>0</v>
      </c>
      <c r="F31">
        <f>IFERROR(Levererat_2015[[#This Row],[Leveranser:]]-Levererat_2015[[#This Row],[Leveranser till annat fjärrvärmebolag]],"")</f>
        <v>24.138999999999999</v>
      </c>
      <c r="G31" t="str">
        <f>VLOOKUP(Levererat_2015[[#This Row],[Indexnamn]],'Leveranser per nät'!$A$4:$A$514,1,FALSE)</f>
        <v>Borgholm</v>
      </c>
    </row>
    <row r="32" spans="1:7" x14ac:dyDescent="0.25">
      <c r="A32" t="s">
        <v>575</v>
      </c>
      <c r="B32" t="s">
        <v>25</v>
      </c>
      <c r="C32" t="s">
        <v>25</v>
      </c>
      <c r="D32">
        <v>387.5</v>
      </c>
      <c r="E32">
        <v>31.366</v>
      </c>
      <c r="F32">
        <f>IFERROR(Levererat_2015[[#This Row],[Leveranser:]]-Levererat_2015[[#This Row],[Leveranser till annat fjärrvärmebolag]],"")</f>
        <v>356.13400000000001</v>
      </c>
      <c r="G32" t="str">
        <f>VLOOKUP(Levererat_2015[[#This Row],[Indexnamn]],'Leveranser per nät'!$A$4:$A$514,1,FALSE)</f>
        <v>Borlänge</v>
      </c>
    </row>
    <row r="33" spans="1:7" x14ac:dyDescent="0.25">
      <c r="A33" t="s">
        <v>576</v>
      </c>
      <c r="B33" t="s">
        <v>29</v>
      </c>
      <c r="C33" t="s">
        <v>29</v>
      </c>
      <c r="D33">
        <v>573.59799999999996</v>
      </c>
      <c r="E33">
        <v>0</v>
      </c>
      <c r="F33">
        <f>IFERROR(Levererat_2015[[#This Row],[Leveranser:]]-Levererat_2015[[#This Row],[Leveranser till annat fjärrvärmebolag]],"")</f>
        <v>573.59799999999996</v>
      </c>
      <c r="G33" t="str">
        <f>VLOOKUP(Levererat_2015[[#This Row],[Indexnamn]],'Leveranser per nät'!$A$4:$A$514,1,FALSE)</f>
        <v>Borås</v>
      </c>
    </row>
    <row r="34" spans="1:7" x14ac:dyDescent="0.25">
      <c r="A34" t="s">
        <v>561</v>
      </c>
      <c r="B34" t="s">
        <v>41</v>
      </c>
      <c r="C34" t="s">
        <v>41</v>
      </c>
      <c r="D34">
        <v>58.777000000000001</v>
      </c>
      <c r="E34">
        <v>0</v>
      </c>
      <c r="F34">
        <f>IFERROR(Levererat_2015[[#This Row],[Leveranser:]]-Levererat_2015[[#This Row],[Leveranser till annat fjärrvärmebolag]],"")</f>
        <v>58.777000000000001</v>
      </c>
      <c r="G34" t="str">
        <f>VLOOKUP(Levererat_2015[[#This Row],[Indexnamn]],'Leveranser per nät'!$A$4:$A$514,1,FALSE)</f>
        <v>Boxholm</v>
      </c>
    </row>
    <row r="35" spans="1:7" x14ac:dyDescent="0.25">
      <c r="A35" t="s">
        <v>577</v>
      </c>
      <c r="B35" t="s">
        <v>364</v>
      </c>
      <c r="C35" t="s">
        <v>364</v>
      </c>
      <c r="D35">
        <v>14.526</v>
      </c>
      <c r="E35">
        <v>0</v>
      </c>
      <c r="F35">
        <f>IFERROR(Levererat_2015[[#This Row],[Leveranser:]]-Levererat_2015[[#This Row],[Leveranser till annat fjärrvärmebolag]],"")</f>
        <v>14.526</v>
      </c>
      <c r="G35" t="str">
        <f>VLOOKUP(Levererat_2015[[#This Row],[Indexnamn]],'Leveranser per nät'!$A$4:$A$514,1,FALSE)</f>
        <v>Braås</v>
      </c>
    </row>
    <row r="36" spans="1:7" x14ac:dyDescent="0.25">
      <c r="A36" t="s">
        <v>569</v>
      </c>
      <c r="B36" t="s">
        <v>378</v>
      </c>
      <c r="C36" t="s">
        <v>378</v>
      </c>
      <c r="D36">
        <v>5.1539999999999999</v>
      </c>
      <c r="E36">
        <v>0</v>
      </c>
      <c r="F36">
        <f>IFERROR(Levererat_2015[[#This Row],[Leveranser:]]-Levererat_2015[[#This Row],[Leveranser till annat fjärrvärmebolag]],"")</f>
        <v>5.1539999999999999</v>
      </c>
      <c r="G36" t="str">
        <f>VLOOKUP(Levererat_2015[[#This Row],[Indexnamn]],'Leveranser per nät'!$A$4:$A$514,1,FALSE)</f>
        <v>Bredbyn</v>
      </c>
    </row>
    <row r="37" spans="1:7" x14ac:dyDescent="0.25">
      <c r="A37" t="s">
        <v>561</v>
      </c>
      <c r="B37" t="s">
        <v>61</v>
      </c>
      <c r="C37" t="s">
        <v>61</v>
      </c>
      <c r="D37">
        <v>28.2</v>
      </c>
      <c r="E37">
        <v>0</v>
      </c>
      <c r="F37">
        <f>IFERROR(Levererat_2015[[#This Row],[Leveranser:]]-Levererat_2015[[#This Row],[Leveranser till annat fjärrvärmebolag]],"")</f>
        <v>28.2</v>
      </c>
      <c r="G37" t="str">
        <f>VLOOKUP(Levererat_2015[[#This Row],[Indexnamn]],'Leveranser per nät'!$A$4:$A$514,1,FALSE)</f>
        <v>Bro</v>
      </c>
    </row>
    <row r="38" spans="1:7" x14ac:dyDescent="0.25">
      <c r="A38" t="s">
        <v>578</v>
      </c>
      <c r="B38" t="s">
        <v>30</v>
      </c>
      <c r="C38" t="s">
        <v>30</v>
      </c>
      <c r="D38">
        <v>33.799999999999997</v>
      </c>
      <c r="E38">
        <v>0</v>
      </c>
      <c r="F38">
        <f>IFERROR(Levererat_2015[[#This Row],[Leveranser:]]-Levererat_2015[[#This Row],[Leveranser till annat fjärrvärmebolag]],"")</f>
        <v>33.799999999999997</v>
      </c>
      <c r="G38" t="str">
        <f>VLOOKUP(Levererat_2015[[#This Row],[Indexnamn]],'Leveranser per nät'!$A$4:$A$514,1,FALSE)</f>
        <v>Bromölla</v>
      </c>
    </row>
    <row r="39" spans="1:7" x14ac:dyDescent="0.25">
      <c r="A39" t="s">
        <v>579</v>
      </c>
      <c r="B39" t="s">
        <v>393</v>
      </c>
      <c r="D39" t="s">
        <v>779</v>
      </c>
      <c r="E39">
        <v>0</v>
      </c>
      <c r="F39" t="str">
        <f>IFERROR(Levererat_2015[[#This Row],[Leveranser:]]-Levererat_2015[[#This Row],[Leveranser till annat fjärrvärmebolag]],"")</f>
        <v/>
      </c>
    </row>
    <row r="40" spans="1:7" x14ac:dyDescent="0.25">
      <c r="A40" t="s">
        <v>809</v>
      </c>
      <c r="B40" t="s">
        <v>31</v>
      </c>
      <c r="C40" t="s">
        <v>31</v>
      </c>
      <c r="D40">
        <v>14.7</v>
      </c>
      <c r="E40">
        <v>0</v>
      </c>
      <c r="F40">
        <f>IFERROR(Levererat_2015[[#This Row],[Leveranser:]]-Levererat_2015[[#This Row],[Leveranser till annat fjärrvärmebolag]],"")</f>
        <v>14.7</v>
      </c>
      <c r="G40" t="str">
        <f>VLOOKUP(Levererat_2015[[#This Row],[Indexnamn]],'Leveranser per nät'!$A$4:$A$514,1,FALSE)</f>
        <v>Bräcke</v>
      </c>
    </row>
    <row r="41" spans="1:7" x14ac:dyDescent="0.25">
      <c r="A41" t="s">
        <v>581</v>
      </c>
      <c r="B41" t="s">
        <v>250</v>
      </c>
      <c r="C41" t="s">
        <v>250</v>
      </c>
      <c r="D41">
        <v>12.2</v>
      </c>
      <c r="E41">
        <v>0</v>
      </c>
      <c r="F41">
        <f>IFERROR(Levererat_2015[[#This Row],[Leveranser:]]-Levererat_2015[[#This Row],[Leveranser till annat fjärrvärmebolag]],"")</f>
        <v>12.2</v>
      </c>
      <c r="G41" t="str">
        <f>VLOOKUP(Levererat_2015[[#This Row],[Indexnamn]],'Leveranser per nät'!$A$4:$A$514,1,FALSE)</f>
        <v>Bräkne-Hoby</v>
      </c>
    </row>
    <row r="42" spans="1:7" x14ac:dyDescent="0.25">
      <c r="A42" t="s">
        <v>571</v>
      </c>
      <c r="B42" t="s">
        <v>264</v>
      </c>
      <c r="C42" t="s">
        <v>264</v>
      </c>
      <c r="D42">
        <v>7.06</v>
      </c>
      <c r="E42">
        <v>0</v>
      </c>
      <c r="F42">
        <f>IFERROR(Levererat_2015[[#This Row],[Leveranser:]]-Levererat_2015[[#This Row],[Leveranser till annat fjärrvärmebolag]],"")</f>
        <v>7.06</v>
      </c>
      <c r="G42" t="str">
        <f>VLOOKUP(Levererat_2015[[#This Row],[Indexnamn]],'Leveranser per nät'!$A$4:$A$514,1,FALSE)</f>
        <v>Bureå</v>
      </c>
    </row>
    <row r="43" spans="1:7" x14ac:dyDescent="0.25">
      <c r="A43" t="s">
        <v>571</v>
      </c>
      <c r="B43" t="s">
        <v>265</v>
      </c>
      <c r="C43" t="s">
        <v>265</v>
      </c>
      <c r="D43">
        <v>12.5</v>
      </c>
      <c r="E43">
        <v>0</v>
      </c>
      <c r="F43">
        <f>IFERROR(Levererat_2015[[#This Row],[Leveranser:]]-Levererat_2015[[#This Row],[Leveranser till annat fjärrvärmebolag]],"")</f>
        <v>12.5</v>
      </c>
      <c r="G43" t="str">
        <f>VLOOKUP(Levererat_2015[[#This Row],[Indexnamn]],'Leveranser per nät'!$A$4:$A$514,1,FALSE)</f>
        <v>Burträsk</v>
      </c>
    </row>
    <row r="44" spans="1:7" x14ac:dyDescent="0.25">
      <c r="A44" t="s">
        <v>571</v>
      </c>
      <c r="B44" t="s">
        <v>266</v>
      </c>
      <c r="C44" t="s">
        <v>266</v>
      </c>
      <c r="D44">
        <v>9.6669999999999998</v>
      </c>
      <c r="E44">
        <v>0</v>
      </c>
      <c r="F44">
        <f>IFERROR(Levererat_2015[[#This Row],[Leveranser:]]-Levererat_2015[[#This Row],[Leveranser till annat fjärrvärmebolag]],"")</f>
        <v>9.6669999999999998</v>
      </c>
      <c r="G44" t="str">
        <f>VLOOKUP(Levererat_2015[[#This Row],[Indexnamn]],'Leveranser per nät'!$A$4:$A$514,1,FALSE)</f>
        <v>Byske</v>
      </c>
    </row>
    <row r="45" spans="1:7" x14ac:dyDescent="0.25">
      <c r="A45" t="s">
        <v>561</v>
      </c>
      <c r="B45" t="s">
        <v>62</v>
      </c>
      <c r="C45" t="s">
        <v>62</v>
      </c>
      <c r="D45">
        <v>29.9</v>
      </c>
      <c r="E45">
        <v>0</v>
      </c>
      <c r="F45">
        <f>IFERROR(Levererat_2015[[#This Row],[Leveranser:]]-Levererat_2015[[#This Row],[Leveranser till annat fjärrvärmebolag]],"")</f>
        <v>29.9</v>
      </c>
      <c r="G45" t="str">
        <f>VLOOKUP(Levererat_2015[[#This Row],[Indexnamn]],'Leveranser per nät'!$A$4:$A$514,1,FALSE)</f>
        <v>Bålsta</v>
      </c>
    </row>
    <row r="46" spans="1:7" x14ac:dyDescent="0.25">
      <c r="A46" t="s">
        <v>558</v>
      </c>
      <c r="B46" t="s">
        <v>496</v>
      </c>
      <c r="C46" t="s">
        <v>496</v>
      </c>
      <c r="D46">
        <v>2.5910000000000002</v>
      </c>
      <c r="E46">
        <v>0</v>
      </c>
      <c r="F46">
        <f>IFERROR(Levererat_2015[[#This Row],[Leveranser:]]-Levererat_2015[[#This Row],[Leveranser till annat fjärrvärmebolag]],"")</f>
        <v>2.5910000000000002</v>
      </c>
      <c r="G46" t="str">
        <f>VLOOKUP(Levererat_2015[[#This Row],[Indexnamn]],'Leveranser per nät'!$A$4:$A$514,1,FALSE)</f>
        <v>Bångbro</v>
      </c>
    </row>
    <row r="47" spans="1:7" x14ac:dyDescent="0.25">
      <c r="A47" t="s">
        <v>563</v>
      </c>
      <c r="B47" t="s">
        <v>582</v>
      </c>
      <c r="C47" t="s">
        <v>828</v>
      </c>
      <c r="D47">
        <v>1.833</v>
      </c>
      <c r="E47">
        <v>0</v>
      </c>
      <c r="F47">
        <f>IFERROR(Levererat_2015[[#This Row],[Leveranser:]]-Levererat_2015[[#This Row],[Leveranser till annat fjärrvärmebolag]],"")</f>
        <v>1.833</v>
      </c>
      <c r="G47" t="str">
        <f>VLOOKUP(Levererat_2015[[#This Row],[Indexnamn]],'Leveranser per nät'!$A$4:$A$514,1,FALSE)</f>
        <v>Bälinge</v>
      </c>
    </row>
    <row r="48" spans="1:7" x14ac:dyDescent="0.25">
      <c r="A48" t="s">
        <v>561</v>
      </c>
      <c r="B48" t="s">
        <v>583</v>
      </c>
      <c r="D48">
        <v>11.9</v>
      </c>
      <c r="E48">
        <v>0</v>
      </c>
      <c r="F48">
        <f>IFERROR(Levererat_2015[[#This Row],[Leveranser:]]-Levererat_2015[[#This Row],[Leveranser till annat fjärrvärmebolag]],"")</f>
        <v>11.9</v>
      </c>
      <c r="G48" t="e">
        <f>VLOOKUP(Levererat_2015[[#This Row],[Indexnamn]],'Leveranser per nät'!$A$4:$A$514,1,FALSE)</f>
        <v>#N/A</v>
      </c>
    </row>
    <row r="49" spans="1:7" x14ac:dyDescent="0.25">
      <c r="A49" t="s">
        <v>558</v>
      </c>
      <c r="B49" t="s">
        <v>115</v>
      </c>
      <c r="C49" t="s">
        <v>115</v>
      </c>
      <c r="D49">
        <v>13.726000000000001</v>
      </c>
      <c r="E49">
        <v>0</v>
      </c>
      <c r="F49">
        <f>IFERROR(Levererat_2015[[#This Row],[Leveranser:]]-Levererat_2015[[#This Row],[Leveranser till annat fjärrvärmebolag]],"")</f>
        <v>13.726000000000001</v>
      </c>
      <c r="G49" t="str">
        <f>VLOOKUP(Levererat_2015[[#This Row],[Indexnamn]],'Leveranser per nät'!$A$4:$A$514,1,FALSE)</f>
        <v>Delsbo</v>
      </c>
    </row>
    <row r="50" spans="1:7" x14ac:dyDescent="0.25">
      <c r="A50" t="s">
        <v>556</v>
      </c>
      <c r="B50" t="s">
        <v>339</v>
      </c>
      <c r="C50" t="s">
        <v>339</v>
      </c>
      <c r="D50">
        <v>446.6</v>
      </c>
      <c r="E50">
        <v>0</v>
      </c>
      <c r="F50">
        <f>IFERROR(Levererat_2015[[#This Row],[Leveranser:]]-Levererat_2015[[#This Row],[Leveranser till annat fjärrvärmebolag]],"")</f>
        <v>446.6</v>
      </c>
      <c r="G50" t="str">
        <f>VLOOKUP(Levererat_2015[[#This Row],[Indexnamn]],'Leveranser per nät'!$A$4:$A$514,1,FALSE)</f>
        <v>Drefviken</v>
      </c>
    </row>
    <row r="51" spans="1:7" x14ac:dyDescent="0.25">
      <c r="A51" t="s">
        <v>568</v>
      </c>
      <c r="B51" t="s">
        <v>179</v>
      </c>
      <c r="C51" t="s">
        <v>179</v>
      </c>
      <c r="D51">
        <v>7</v>
      </c>
      <c r="E51">
        <v>0</v>
      </c>
      <c r="F51">
        <f>IFERROR(Levererat_2015[[#This Row],[Leveranser:]]-Levererat_2015[[#This Row],[Leveranser till annat fjärrvärmebolag]],"")</f>
        <v>7</v>
      </c>
      <c r="G51" t="str">
        <f>VLOOKUP(Levererat_2015[[#This Row],[Indexnamn]],'Leveranser per nät'!$A$4:$A$514,1,FALSE)</f>
        <v>Ed</v>
      </c>
    </row>
    <row r="52" spans="1:7" x14ac:dyDescent="0.25">
      <c r="A52" t="s">
        <v>584</v>
      </c>
      <c r="B52" t="s">
        <v>90</v>
      </c>
      <c r="C52" t="s">
        <v>90</v>
      </c>
      <c r="D52">
        <v>7.359</v>
      </c>
      <c r="E52">
        <v>0</v>
      </c>
      <c r="F52">
        <f>IFERROR(Levererat_2015[[#This Row],[Leveranser:]]-Levererat_2015[[#This Row],[Leveranser till annat fjärrvärmebolag]],"")</f>
        <v>7.359</v>
      </c>
      <c r="G52" t="str">
        <f>VLOOKUP(Levererat_2015[[#This Row],[Indexnamn]],'Leveranser per nät'!$A$4:$A$514,1,FALSE)</f>
        <v>Eda</v>
      </c>
    </row>
    <row r="53" spans="1:7" x14ac:dyDescent="0.25">
      <c r="A53" t="s">
        <v>545</v>
      </c>
      <c r="B53" t="s">
        <v>96</v>
      </c>
      <c r="C53" t="s">
        <v>96</v>
      </c>
      <c r="D53">
        <v>30.053999999999998</v>
      </c>
      <c r="E53">
        <v>0</v>
      </c>
      <c r="F53">
        <f>IFERROR(Levererat_2015[[#This Row],[Leveranser:]]-Levererat_2015[[#This Row],[Leveranser till annat fjärrvärmebolag]],"")</f>
        <v>30.053999999999998</v>
      </c>
      <c r="G53" t="str">
        <f>VLOOKUP(Levererat_2015[[#This Row],[Indexnamn]],'Leveranser per nät'!$A$4:$A$514,1,FALSE)</f>
        <v>Edsbyn</v>
      </c>
    </row>
    <row r="54" spans="1:7" x14ac:dyDescent="0.25">
      <c r="A54" t="s">
        <v>585</v>
      </c>
      <c r="B54" t="s">
        <v>586</v>
      </c>
      <c r="C54" t="s">
        <v>586</v>
      </c>
      <c r="D54">
        <v>4.9000000000000004</v>
      </c>
      <c r="E54">
        <v>0</v>
      </c>
      <c r="F54">
        <f>IFERROR(Levererat_2015[[#This Row],[Leveranser:]]-Levererat_2015[[#This Row],[Leveranser till annat fjärrvärmebolag]],"")</f>
        <v>4.9000000000000004</v>
      </c>
      <c r="G54" t="str">
        <f>VLOOKUP(Levererat_2015[[#This Row],[Indexnamn]],'Leveranser per nät'!$A$4:$A$514,1,FALSE)</f>
        <v>Ekenäs sjön</v>
      </c>
    </row>
    <row r="55" spans="1:7" x14ac:dyDescent="0.25">
      <c r="A55" t="s">
        <v>587</v>
      </c>
      <c r="B55" t="s">
        <v>588</v>
      </c>
      <c r="C55" t="s">
        <v>588</v>
      </c>
      <c r="D55">
        <v>11.45</v>
      </c>
      <c r="E55">
        <v>0</v>
      </c>
      <c r="F55">
        <f>IFERROR(Levererat_2015[[#This Row],[Leveranser:]]-Levererat_2015[[#This Row],[Leveranser till annat fjärrvärmebolag]],"")</f>
        <v>11.45</v>
      </c>
      <c r="G55" t="str">
        <f>VLOOKUP(Levererat_2015[[#This Row],[Indexnamn]],'Leveranser per nät'!$A$4:$A$514,1,FALSE)</f>
        <v>Ekshärad</v>
      </c>
    </row>
    <row r="56" spans="1:7" x14ac:dyDescent="0.25">
      <c r="A56" t="s">
        <v>589</v>
      </c>
      <c r="B56" t="s">
        <v>91</v>
      </c>
      <c r="C56" t="s">
        <v>91</v>
      </c>
      <c r="D56">
        <v>101.02</v>
      </c>
      <c r="E56">
        <v>0</v>
      </c>
      <c r="F56">
        <f>IFERROR(Levererat_2015[[#This Row],[Leveranser:]]-Levererat_2015[[#This Row],[Leveranser till annat fjärrvärmebolag]],"")</f>
        <v>101.02</v>
      </c>
      <c r="G56" t="str">
        <f>VLOOKUP(Levererat_2015[[#This Row],[Indexnamn]],'Leveranser per nät'!$A$4:$A$514,1,FALSE)</f>
        <v>Eksjö</v>
      </c>
    </row>
    <row r="57" spans="1:7" x14ac:dyDescent="0.25">
      <c r="A57" t="s">
        <v>590</v>
      </c>
      <c r="B57" t="s">
        <v>94</v>
      </c>
      <c r="C57" t="s">
        <v>94</v>
      </c>
      <c r="D57">
        <v>31.344000000000001</v>
      </c>
      <c r="E57">
        <v>0</v>
      </c>
      <c r="F57">
        <f>IFERROR(Levererat_2015[[#This Row],[Leveranser:]]-Levererat_2015[[#This Row],[Leveranser till annat fjärrvärmebolag]],"")</f>
        <v>31.344000000000001</v>
      </c>
      <c r="G57" t="str">
        <f>VLOOKUP(Levererat_2015[[#This Row],[Indexnamn]],'Leveranser per nät'!$A$4:$A$514,1,FALSE)</f>
        <v>Eksta</v>
      </c>
    </row>
    <row r="58" spans="1:7" x14ac:dyDescent="0.25">
      <c r="A58" t="s">
        <v>546</v>
      </c>
      <c r="B58" t="s">
        <v>98</v>
      </c>
      <c r="C58" t="s">
        <v>98</v>
      </c>
      <c r="D58">
        <v>43</v>
      </c>
      <c r="E58">
        <v>0</v>
      </c>
      <c r="F58">
        <f>IFERROR(Levererat_2015[[#This Row],[Leveranser:]]-Levererat_2015[[#This Row],[Leveranser till annat fjärrvärmebolag]],"")</f>
        <v>43</v>
      </c>
      <c r="G58" t="str">
        <f>VLOOKUP(Levererat_2015[[#This Row],[Indexnamn]],'Leveranser per nät'!$A$4:$A$514,1,FALSE)</f>
        <v>Emmaboda</v>
      </c>
    </row>
    <row r="59" spans="1:7" x14ac:dyDescent="0.25">
      <c r="A59" t="s">
        <v>591</v>
      </c>
      <c r="B59" t="s">
        <v>101</v>
      </c>
      <c r="C59" t="s">
        <v>101</v>
      </c>
      <c r="D59">
        <v>197</v>
      </c>
      <c r="E59">
        <v>0</v>
      </c>
      <c r="F59">
        <f>IFERROR(Levererat_2015[[#This Row],[Leveranser:]]-Levererat_2015[[#This Row],[Leveranser till annat fjärrvärmebolag]],"")</f>
        <v>197</v>
      </c>
      <c r="G59" t="str">
        <f>VLOOKUP(Levererat_2015[[#This Row],[Indexnamn]],'Leveranser per nät'!$A$4:$A$514,1,FALSE)</f>
        <v>Enköping</v>
      </c>
    </row>
    <row r="60" spans="1:7" x14ac:dyDescent="0.25">
      <c r="A60" t="s">
        <v>592</v>
      </c>
      <c r="B60" t="s">
        <v>102</v>
      </c>
      <c r="C60" t="s">
        <v>102</v>
      </c>
      <c r="D60">
        <v>603.85699999999997</v>
      </c>
      <c r="E60">
        <v>0</v>
      </c>
      <c r="F60">
        <f>IFERROR(Levererat_2015[[#This Row],[Leveranser:]]-Levererat_2015[[#This Row],[Leveranser till annat fjärrvärmebolag]],"")</f>
        <v>603.85699999999997</v>
      </c>
      <c r="G60" t="str">
        <f>VLOOKUP(Levererat_2015[[#This Row],[Indexnamn]],'Leveranser per nät'!$A$4:$A$514,1,FALSE)</f>
        <v>Eskilstuna-Torshälla</v>
      </c>
    </row>
    <row r="61" spans="1:7" x14ac:dyDescent="0.25">
      <c r="A61" t="s">
        <v>786</v>
      </c>
      <c r="B61" t="s">
        <v>787</v>
      </c>
      <c r="C61" t="s">
        <v>787</v>
      </c>
      <c r="D61">
        <v>831.6</v>
      </c>
      <c r="E61">
        <v>0</v>
      </c>
      <c r="F61">
        <f>IFERROR(Levererat_2015[[#This Row],[Leveranser:]]-Levererat_2015[[#This Row],[Leveranser till annat fjärrvärmebolag]],"")</f>
        <v>831.6</v>
      </c>
      <c r="G61" t="str">
        <f>VLOOKUP(Levererat_2015[[#This Row],[Indexnamn]],'Leveranser per nät'!$A$4:$A$514,1,FALSE)</f>
        <v>Eslöv-Lund-Lomma m fl</v>
      </c>
    </row>
    <row r="62" spans="1:7" x14ac:dyDescent="0.25">
      <c r="A62" t="s">
        <v>595</v>
      </c>
      <c r="B62" t="s">
        <v>357</v>
      </c>
      <c r="C62" t="s">
        <v>357</v>
      </c>
      <c r="D62">
        <v>90.768000000000001</v>
      </c>
      <c r="E62">
        <v>0</v>
      </c>
      <c r="F62">
        <f>IFERROR(Levererat_2015[[#This Row],[Leveranser:]]-Levererat_2015[[#This Row],[Leveranser till annat fjärrvärmebolag]],"")</f>
        <v>90.768000000000001</v>
      </c>
      <c r="G62" t="str">
        <f>VLOOKUP(Levererat_2015[[#This Row],[Indexnamn]],'Leveranser per nät'!$A$4:$A$514,1,FALSE)</f>
        <v>Fagersta</v>
      </c>
    </row>
    <row r="63" spans="1:7" x14ac:dyDescent="0.25">
      <c r="A63" t="s">
        <v>596</v>
      </c>
      <c r="B63" t="s">
        <v>108</v>
      </c>
      <c r="C63" t="s">
        <v>108</v>
      </c>
      <c r="D63">
        <v>57.997</v>
      </c>
      <c r="E63">
        <v>0</v>
      </c>
      <c r="F63">
        <f>IFERROR(Levererat_2015[[#This Row],[Leveranser:]]-Levererat_2015[[#This Row],[Leveranser till annat fjärrvärmebolag]],"")</f>
        <v>57.997</v>
      </c>
      <c r="G63" t="str">
        <f>VLOOKUP(Levererat_2015[[#This Row],[Indexnamn]],'Leveranser per nät'!$A$4:$A$514,1,FALSE)</f>
        <v>Falkenberg</v>
      </c>
    </row>
    <row r="64" spans="1:7" x14ac:dyDescent="0.25">
      <c r="A64" t="s">
        <v>597</v>
      </c>
      <c r="B64" t="s">
        <v>106</v>
      </c>
      <c r="C64" t="s">
        <v>106</v>
      </c>
      <c r="D64">
        <v>104.4</v>
      </c>
      <c r="E64">
        <v>0</v>
      </c>
      <c r="F64">
        <f>IFERROR(Levererat_2015[[#This Row],[Leveranser:]]-Levererat_2015[[#This Row],[Leveranser till annat fjärrvärmebolag]],"")</f>
        <v>104.4</v>
      </c>
      <c r="G64" t="str">
        <f>VLOOKUP(Levererat_2015[[#This Row],[Indexnamn]],'Leveranser per nät'!$A$4:$A$514,1,FALSE)</f>
        <v>Falköping</v>
      </c>
    </row>
    <row r="65" spans="1:11" x14ac:dyDescent="0.25">
      <c r="A65" t="s">
        <v>567</v>
      </c>
      <c r="B65" t="s">
        <v>110</v>
      </c>
      <c r="C65" t="s">
        <v>110</v>
      </c>
      <c r="D65">
        <v>339.95</v>
      </c>
      <c r="E65">
        <v>7.6</v>
      </c>
      <c r="F65">
        <f>IFERROR(Levererat_2015[[#This Row],[Leveranser:]]-Levererat_2015[[#This Row],[Leveranser till annat fjärrvärmebolag]],"")</f>
        <v>332.34999999999997</v>
      </c>
      <c r="G65" t="str">
        <f>VLOOKUP(Levererat_2015[[#This Row],[Indexnamn]],'Leveranser per nät'!$A$4:$A$514,1,FALSE)</f>
        <v>Falun</v>
      </c>
    </row>
    <row r="66" spans="1:11" x14ac:dyDescent="0.25">
      <c r="A66" t="s">
        <v>598</v>
      </c>
      <c r="B66" t="s">
        <v>246</v>
      </c>
      <c r="C66" t="s">
        <v>246</v>
      </c>
      <c r="D66">
        <v>39.218000000000004</v>
      </c>
      <c r="E66">
        <v>0</v>
      </c>
      <c r="F66">
        <f>IFERROR(Levererat_2015[[#This Row],[Leveranser:]]-Levererat_2015[[#This Row],[Leveranser till annat fjärrvärmebolag]],"")</f>
        <v>39.218000000000004</v>
      </c>
      <c r="G66" t="str">
        <f>VLOOKUP(Levererat_2015[[#This Row],[Indexnamn]],'Leveranser per nät'!$A$4:$A$514,1,FALSE)</f>
        <v>Filipstad</v>
      </c>
    </row>
    <row r="67" spans="1:11" x14ac:dyDescent="0.25">
      <c r="A67" t="s">
        <v>599</v>
      </c>
      <c r="B67" t="s">
        <v>113</v>
      </c>
      <c r="C67" t="s">
        <v>113</v>
      </c>
      <c r="D67">
        <v>103</v>
      </c>
      <c r="E67">
        <v>0</v>
      </c>
      <c r="F67">
        <f>IFERROR(Levererat_2015[[#This Row],[Leveranser:]]-Levererat_2015[[#This Row],[Leveranser till annat fjärrvärmebolag]],"")</f>
        <v>103</v>
      </c>
      <c r="G67" t="str">
        <f>VLOOKUP(Levererat_2015[[#This Row],[Indexnamn]],'Leveranser per nät'!$A$4:$A$514,1,FALSE)</f>
        <v>Finspång</v>
      </c>
    </row>
    <row r="68" spans="1:11" x14ac:dyDescent="0.25">
      <c r="A68" t="s">
        <v>600</v>
      </c>
      <c r="B68" t="s">
        <v>33</v>
      </c>
      <c r="C68" t="s">
        <v>33</v>
      </c>
      <c r="D68">
        <v>4.2450000000000001</v>
      </c>
      <c r="E68">
        <v>0</v>
      </c>
      <c r="F68">
        <f>IFERROR(Levererat_2015[[#This Row],[Leveranser:]]-Levererat_2015[[#This Row],[Leveranser till annat fjärrvärmebolag]],"")</f>
        <v>4.2450000000000001</v>
      </c>
      <c r="G68" t="str">
        <f>VLOOKUP(Levererat_2015[[#This Row],[Indexnamn]],'Leveranser per nät'!$A$4:$A$514,1,FALSE)</f>
        <v>Fjälkinge</v>
      </c>
    </row>
    <row r="69" spans="1:11" x14ac:dyDescent="0.25">
      <c r="A69" t="s">
        <v>598</v>
      </c>
      <c r="B69" t="s">
        <v>239</v>
      </c>
      <c r="C69" t="s">
        <v>239</v>
      </c>
      <c r="D69">
        <v>45</v>
      </c>
      <c r="E69">
        <v>0</v>
      </c>
      <c r="F69">
        <f>IFERROR(Levererat_2015[[#This Row],[Leveranser:]]-Levererat_2015[[#This Row],[Leveranser till annat fjärrvärmebolag]],"")</f>
        <v>45</v>
      </c>
      <c r="G69" t="str">
        <f>VLOOKUP(Levererat_2015[[#This Row],[Indexnamn]],'Leveranser per nät'!$A$4:$A$514,1,FALSE)</f>
        <v>Flen</v>
      </c>
    </row>
    <row r="70" spans="1:11" x14ac:dyDescent="0.25">
      <c r="A70" t="s">
        <v>597</v>
      </c>
      <c r="B70" t="s">
        <v>107</v>
      </c>
      <c r="C70" t="s">
        <v>107</v>
      </c>
      <c r="D70">
        <v>9.6999999999999993</v>
      </c>
      <c r="E70">
        <v>0</v>
      </c>
      <c r="F70">
        <f>IFERROR(Levererat_2015[[#This Row],[Leveranser:]]-Levererat_2015[[#This Row],[Leveranser till annat fjärrvärmebolag]],"")</f>
        <v>9.6999999999999993</v>
      </c>
      <c r="G70" t="str">
        <f>VLOOKUP(Levererat_2015[[#This Row],[Indexnamn]],'Leveranser per nät'!$A$4:$A$514,1,FALSE)</f>
        <v>Floby</v>
      </c>
    </row>
    <row r="71" spans="1:11" x14ac:dyDescent="0.25">
      <c r="A71" t="s">
        <v>601</v>
      </c>
      <c r="B71" t="s">
        <v>397</v>
      </c>
      <c r="C71" t="s">
        <v>397</v>
      </c>
      <c r="D71">
        <v>8.1</v>
      </c>
      <c r="E71">
        <v>0</v>
      </c>
      <c r="F71">
        <f>IFERROR(Levererat_2015[[#This Row],[Leveranser:]]-Levererat_2015[[#This Row],[Leveranser till annat fjärrvärmebolag]],"")</f>
        <v>8.1</v>
      </c>
      <c r="G71" t="str">
        <f>VLOOKUP(Levererat_2015[[#This Row],[Indexnamn]],'Leveranser per nät'!$A$4:$A$514,1,FALSE)</f>
        <v>Floda</v>
      </c>
    </row>
    <row r="72" spans="1:11" x14ac:dyDescent="0.25">
      <c r="A72" t="s">
        <v>563</v>
      </c>
      <c r="B72" t="s">
        <v>10</v>
      </c>
      <c r="C72" t="s">
        <v>10</v>
      </c>
      <c r="D72">
        <v>7.41</v>
      </c>
      <c r="E72">
        <v>0</v>
      </c>
      <c r="F72">
        <f>IFERROR(Levererat_2015[[#This Row],[Leveranser:]]-Levererat_2015[[#This Row],[Leveranser till annat fjärrvärmebolag]],"")</f>
        <v>7.41</v>
      </c>
      <c r="G72" t="str">
        <f>VLOOKUP(Levererat_2015[[#This Row],[Indexnamn]],'Leveranser per nät'!$A$4:$A$514,1,FALSE)</f>
        <v>Forsbacka</v>
      </c>
    </row>
    <row r="73" spans="1:11" x14ac:dyDescent="0.25">
      <c r="A73" t="s">
        <v>564</v>
      </c>
      <c r="B73" t="s">
        <v>602</v>
      </c>
      <c r="C73" t="s">
        <v>602</v>
      </c>
      <c r="D73">
        <v>0.3</v>
      </c>
      <c r="E73">
        <v>0</v>
      </c>
      <c r="F73">
        <f>IFERROR(Levererat_2015[[#This Row],[Leveranser:]]-Levererat_2015[[#This Row],[Leveranser till annat fjärrvärmebolag]],"")</f>
        <v>0.3</v>
      </c>
      <c r="G73" t="str">
        <f>VLOOKUP(Levererat_2015[[#This Row],[Indexnamn]],'Leveranser per nät'!$A$4:$A$514,1,FALSE)</f>
        <v>Forssjö</v>
      </c>
    </row>
    <row r="74" spans="1:11" x14ac:dyDescent="0.25">
      <c r="A74" t="s">
        <v>809</v>
      </c>
      <c r="B74" t="s">
        <v>603</v>
      </c>
      <c r="C74" t="s">
        <v>603</v>
      </c>
      <c r="D74">
        <v>3.2</v>
      </c>
      <c r="E74">
        <v>0</v>
      </c>
      <c r="F74">
        <f>IFERROR(Levererat_2015[[#This Row],[Leveranser:]]-Levererat_2015[[#This Row],[Leveranser till annat fjärrvärmebolag]],"")</f>
        <v>3.2</v>
      </c>
      <c r="G74" t="str">
        <f>VLOOKUP(Levererat_2015[[#This Row],[Indexnamn]],'Leveranser per nät'!$A$4:$A$514,1,FALSE)</f>
        <v>Friggesund</v>
      </c>
    </row>
    <row r="75" spans="1:11" x14ac:dyDescent="0.25">
      <c r="A75" t="s">
        <v>576</v>
      </c>
      <c r="B75" t="s">
        <v>28</v>
      </c>
      <c r="C75" t="s">
        <v>28</v>
      </c>
      <c r="D75">
        <v>18.294</v>
      </c>
      <c r="E75">
        <v>0</v>
      </c>
      <c r="F75">
        <f>IFERROR(Levererat_2015[[#This Row],[Leveranser:]]-Levererat_2015[[#This Row],[Leveranser till annat fjärrvärmebolag]],"")</f>
        <v>18.294</v>
      </c>
      <c r="G75" t="str">
        <f>VLOOKUP(Levererat_2015[[#This Row],[Indexnamn]],'Leveranser per nät'!$A$4:$A$514,1,FALSE)</f>
        <v>Fristad</v>
      </c>
    </row>
    <row r="76" spans="1:11" x14ac:dyDescent="0.25">
      <c r="A76" t="s">
        <v>557</v>
      </c>
      <c r="B76" t="s">
        <v>204</v>
      </c>
      <c r="C76" t="s">
        <v>204</v>
      </c>
      <c r="D76">
        <v>7.55</v>
      </c>
      <c r="E76">
        <v>0</v>
      </c>
      <c r="F76">
        <f>IFERROR(Levererat_2015[[#This Row],[Leveranser:]]-Levererat_2015[[#This Row],[Leveranser till annat fjärrvärmebolag]],"")</f>
        <v>7.55</v>
      </c>
      <c r="G76" t="str">
        <f>VLOOKUP(Levererat_2015[[#This Row],[Indexnamn]],'Leveranser per nät'!$A$4:$A$514,1,FALSE)</f>
        <v>Fritsla</v>
      </c>
    </row>
    <row r="77" spans="1:11" x14ac:dyDescent="0.25">
      <c r="A77" t="s">
        <v>604</v>
      </c>
      <c r="B77" t="s">
        <v>368</v>
      </c>
      <c r="C77" t="s">
        <v>368</v>
      </c>
      <c r="D77">
        <v>6.6</v>
      </c>
      <c r="E77">
        <v>0</v>
      </c>
      <c r="F77">
        <f>IFERROR(Levererat_2015[[#This Row],[Leveranser:]]-Levererat_2015[[#This Row],[Leveranser till annat fjärrvärmebolag]],"")</f>
        <v>6.6</v>
      </c>
      <c r="G77" t="str">
        <f>VLOOKUP(Levererat_2015[[#This Row],[Indexnamn]],'Leveranser per nät'!$A$4:$A$514,1,FALSE)</f>
        <v>Fränsta</v>
      </c>
      <c r="J77">
        <v>0.92</v>
      </c>
      <c r="K77">
        <f>Levererat_2015[[#This Row],[Leveranser till eget nät]]*J77</f>
        <v>6.0720000000000001</v>
      </c>
    </row>
    <row r="78" spans="1:11" x14ac:dyDescent="0.25">
      <c r="A78" t="s">
        <v>605</v>
      </c>
      <c r="B78" t="s">
        <v>351</v>
      </c>
      <c r="C78" t="s">
        <v>351</v>
      </c>
      <c r="D78">
        <v>4.9000000000000004</v>
      </c>
      <c r="E78">
        <v>0</v>
      </c>
      <c r="F78">
        <f>IFERROR(Levererat_2015[[#This Row],[Leveranser:]]-Levererat_2015[[#This Row],[Leveranser till annat fjärrvärmebolag]],"")</f>
        <v>4.9000000000000004</v>
      </c>
      <c r="G78" t="str">
        <f>VLOOKUP(Levererat_2015[[#This Row],[Indexnamn]],'Leveranser per nät'!$A$4:$A$514,1,FALSE)</f>
        <v>Frödinge</v>
      </c>
    </row>
    <row r="79" spans="1:11" x14ac:dyDescent="0.25">
      <c r="A79" t="s">
        <v>606</v>
      </c>
      <c r="B79" t="s">
        <v>191</v>
      </c>
      <c r="C79" t="s">
        <v>191</v>
      </c>
      <c r="D79">
        <v>13.6</v>
      </c>
      <c r="E79">
        <v>0</v>
      </c>
      <c r="F79">
        <f>IFERROR(Levererat_2015[[#This Row],[Leveranser:]]-Levererat_2015[[#This Row],[Leveranser till annat fjärrvärmebolag]],"")</f>
        <v>13.6</v>
      </c>
      <c r="G79" t="str">
        <f>VLOOKUP(Levererat_2015[[#This Row],[Indexnamn]],'Leveranser per nät'!$A$4:$A$514,1,FALSE)</f>
        <v>Frövi</v>
      </c>
    </row>
    <row r="80" spans="1:11" x14ac:dyDescent="0.25">
      <c r="A80" t="s">
        <v>809</v>
      </c>
      <c r="B80" t="s">
        <v>607</v>
      </c>
      <c r="C80" t="s">
        <v>607</v>
      </c>
      <c r="D80">
        <v>5.2</v>
      </c>
      <c r="E80">
        <v>0</v>
      </c>
      <c r="F80">
        <f>IFERROR(Levererat_2015[[#This Row],[Leveranser:]]-Levererat_2015[[#This Row],[Leveranser till annat fjärrvärmebolag]],"")</f>
        <v>5.2</v>
      </c>
      <c r="G80" t="str">
        <f>VLOOKUP(Levererat_2015[[#This Row],[Indexnamn]],'Leveranser per nät'!$A$4:$A$514,1,FALSE)</f>
        <v>Funäsdalen</v>
      </c>
    </row>
    <row r="81" spans="1:7" x14ac:dyDescent="0.25">
      <c r="A81" t="s">
        <v>608</v>
      </c>
      <c r="B81" t="s">
        <v>194</v>
      </c>
      <c r="C81" t="s">
        <v>194</v>
      </c>
      <c r="D81">
        <v>7.8</v>
      </c>
      <c r="E81">
        <v>0</v>
      </c>
      <c r="F81">
        <f>IFERROR(Levererat_2015[[#This Row],[Leveranser:]]-Levererat_2015[[#This Row],[Leveranser till annat fjärrvärmebolag]],"")</f>
        <v>7.8</v>
      </c>
      <c r="G81" t="str">
        <f>VLOOKUP(Levererat_2015[[#This Row],[Indexnamn]],'Leveranser per nät'!$A$4:$A$514,1,FALSE)</f>
        <v>Färila</v>
      </c>
    </row>
    <row r="82" spans="1:7" x14ac:dyDescent="0.25">
      <c r="A82" t="s">
        <v>550</v>
      </c>
      <c r="B82" t="s">
        <v>361</v>
      </c>
      <c r="C82" t="s">
        <v>361</v>
      </c>
      <c r="D82">
        <v>23.9</v>
      </c>
      <c r="E82">
        <v>0</v>
      </c>
      <c r="F82">
        <f>IFERROR(Levererat_2015[[#This Row],[Leveranser:]]-Levererat_2015[[#This Row],[Leveranser till annat fjärrvärmebolag]],"")</f>
        <v>23.9</v>
      </c>
      <c r="G82" t="str">
        <f>VLOOKUP(Levererat_2015[[#This Row],[Indexnamn]],'Leveranser per nät'!$A$4:$A$514,1,FALSE)</f>
        <v>Gamleby</v>
      </c>
    </row>
    <row r="83" spans="1:7" x14ac:dyDescent="0.25">
      <c r="A83" t="s">
        <v>610</v>
      </c>
      <c r="B83" t="s">
        <v>443</v>
      </c>
      <c r="C83" t="s">
        <v>443</v>
      </c>
      <c r="D83">
        <v>23.420999999999999</v>
      </c>
      <c r="E83">
        <v>0</v>
      </c>
      <c r="F83">
        <f>IFERROR(Levererat_2015[[#This Row],[Leveranser:]]-Levererat_2015[[#This Row],[Leveranser till annat fjärrvärmebolag]],"")</f>
        <v>23.420999999999999</v>
      </c>
      <c r="G83" t="str">
        <f>VLOOKUP(Levererat_2015[[#This Row],[Indexnamn]],'Leveranser per nät'!$A$4:$A$514,1,FALSE)</f>
        <v>Gislaved</v>
      </c>
    </row>
    <row r="84" spans="1:7" x14ac:dyDescent="0.25">
      <c r="A84" t="s">
        <v>598</v>
      </c>
      <c r="B84" t="s">
        <v>241</v>
      </c>
      <c r="C84" t="s">
        <v>241</v>
      </c>
      <c r="D84">
        <v>17</v>
      </c>
      <c r="E84">
        <v>0</v>
      </c>
      <c r="F84">
        <f>IFERROR(Levererat_2015[[#This Row],[Leveranser:]]-Levererat_2015[[#This Row],[Leveranser till annat fjärrvärmebolag]],"")</f>
        <v>17</v>
      </c>
      <c r="G84" t="str">
        <f>VLOOKUP(Levererat_2015[[#This Row],[Indexnamn]],'Leveranser per nät'!$A$4:$A$514,1,FALSE)</f>
        <v>Gnesta</v>
      </c>
    </row>
    <row r="85" spans="1:7" x14ac:dyDescent="0.25">
      <c r="A85" t="s">
        <v>558</v>
      </c>
      <c r="B85" t="s">
        <v>123</v>
      </c>
      <c r="C85" t="s">
        <v>123</v>
      </c>
      <c r="D85">
        <v>21.375</v>
      </c>
      <c r="E85">
        <v>0</v>
      </c>
      <c r="F85">
        <f>IFERROR(Levererat_2015[[#This Row],[Leveranser:]]-Levererat_2015[[#This Row],[Leveranser till annat fjärrvärmebolag]],"")</f>
        <v>21.375</v>
      </c>
      <c r="G85" t="str">
        <f>VLOOKUP(Levererat_2015[[#This Row],[Indexnamn]],'Leveranser per nät'!$A$4:$A$514,1,FALSE)</f>
        <v>Grums</v>
      </c>
    </row>
    <row r="86" spans="1:7" x14ac:dyDescent="0.25">
      <c r="A86" t="s">
        <v>567</v>
      </c>
      <c r="B86" t="s">
        <v>111</v>
      </c>
      <c r="C86" t="s">
        <v>111</v>
      </c>
      <c r="D86">
        <v>4.7</v>
      </c>
      <c r="E86">
        <v>0</v>
      </c>
      <c r="F86">
        <f>IFERROR(Levererat_2015[[#This Row],[Leveranser:]]-Levererat_2015[[#This Row],[Leveranser till annat fjärrvärmebolag]],"")</f>
        <v>4.7</v>
      </c>
      <c r="G86" t="str">
        <f>VLOOKUP(Levererat_2015[[#This Row],[Indexnamn]],'Leveranser per nät'!$A$4:$A$514,1,FALSE)</f>
        <v>Grycksbo</v>
      </c>
    </row>
    <row r="87" spans="1:7" x14ac:dyDescent="0.25">
      <c r="A87" t="s">
        <v>558</v>
      </c>
      <c r="B87" t="s">
        <v>124</v>
      </c>
      <c r="C87" t="s">
        <v>124</v>
      </c>
      <c r="D87">
        <v>5.5469999999999997</v>
      </c>
      <c r="E87">
        <v>0</v>
      </c>
      <c r="F87">
        <f>IFERROR(Levererat_2015[[#This Row],[Leveranser:]]-Levererat_2015[[#This Row],[Leveranser till annat fjärrvärmebolag]],"")</f>
        <v>5.5469999999999997</v>
      </c>
      <c r="G87" t="str">
        <f>VLOOKUP(Levererat_2015[[#This Row],[Indexnamn]],'Leveranser per nät'!$A$4:$A$514,1,FALSE)</f>
        <v>Grythyttan</v>
      </c>
    </row>
    <row r="88" spans="1:7" x14ac:dyDescent="0.25">
      <c r="A88" t="s">
        <v>601</v>
      </c>
      <c r="B88" t="s">
        <v>185</v>
      </c>
      <c r="C88" t="s">
        <v>185</v>
      </c>
      <c r="D88">
        <v>9.1</v>
      </c>
      <c r="E88">
        <v>0</v>
      </c>
      <c r="F88">
        <f>IFERROR(Levererat_2015[[#This Row],[Leveranser:]]-Levererat_2015[[#This Row],[Leveranser till annat fjärrvärmebolag]],"")</f>
        <v>9.1</v>
      </c>
      <c r="G88" t="str">
        <f>VLOOKUP(Levererat_2015[[#This Row],[Indexnamn]],'Leveranser per nät'!$A$4:$A$514,1,FALSE)</f>
        <v>Gråbo</v>
      </c>
    </row>
    <row r="89" spans="1:7" x14ac:dyDescent="0.25">
      <c r="A89" t="s">
        <v>595</v>
      </c>
      <c r="B89" t="s">
        <v>358</v>
      </c>
      <c r="C89" t="s">
        <v>358</v>
      </c>
      <c r="D89">
        <v>10.457000000000001</v>
      </c>
      <c r="E89">
        <v>0</v>
      </c>
      <c r="F89">
        <f>IFERROR(Levererat_2015[[#This Row],[Leveranser:]]-Levererat_2015[[#This Row],[Leveranser till annat fjärrvärmebolag]],"")</f>
        <v>10.457000000000001</v>
      </c>
      <c r="G89" t="str">
        <f>VLOOKUP(Levererat_2015[[#This Row],[Indexnamn]],'Leveranser per nät'!$A$4:$A$514,1,FALSE)</f>
        <v>Grängesberg</v>
      </c>
    </row>
    <row r="90" spans="1:7" x14ac:dyDescent="0.25">
      <c r="A90" t="s">
        <v>559</v>
      </c>
      <c r="B90" t="s">
        <v>159</v>
      </c>
      <c r="C90" t="s">
        <v>159</v>
      </c>
      <c r="D90">
        <v>11.76</v>
      </c>
      <c r="E90">
        <v>0</v>
      </c>
      <c r="F90">
        <f>IFERROR(Levererat_2015[[#This Row],[Leveranser:]]-Levererat_2015[[#This Row],[Leveranser till annat fjärrvärmebolag]],"")</f>
        <v>11.76</v>
      </c>
      <c r="G90" t="str">
        <f>VLOOKUP(Levererat_2015[[#This Row],[Indexnamn]],'Leveranser per nät'!$A$4:$A$514,1,FALSE)</f>
        <v>Gränna</v>
      </c>
    </row>
    <row r="91" spans="1:7" x14ac:dyDescent="0.25">
      <c r="A91" t="s">
        <v>568</v>
      </c>
      <c r="B91" t="s">
        <v>180</v>
      </c>
      <c r="C91" t="s">
        <v>180</v>
      </c>
      <c r="D91">
        <v>10.478</v>
      </c>
      <c r="E91">
        <v>0</v>
      </c>
      <c r="F91">
        <f>IFERROR(Levererat_2015[[#This Row],[Leveranser:]]-Levererat_2015[[#This Row],[Leveranser till annat fjärrvärmebolag]],"")</f>
        <v>10.478</v>
      </c>
      <c r="G91" t="str">
        <f>VLOOKUP(Levererat_2015[[#This Row],[Indexnamn]],'Leveranser per nät'!$A$4:$A$514,1,FALSE)</f>
        <v>Grästorp</v>
      </c>
    </row>
    <row r="92" spans="1:7" x14ac:dyDescent="0.25">
      <c r="A92" t="s">
        <v>605</v>
      </c>
      <c r="B92" t="s">
        <v>352</v>
      </c>
      <c r="C92" t="s">
        <v>352</v>
      </c>
      <c r="D92">
        <v>3.8250000000000002</v>
      </c>
      <c r="E92">
        <v>0</v>
      </c>
      <c r="F92">
        <f>IFERROR(Levererat_2015[[#This Row],[Leveranser:]]-Levererat_2015[[#This Row],[Leveranser till annat fjärrvärmebolag]],"")</f>
        <v>3.8250000000000002</v>
      </c>
      <c r="G92" t="str">
        <f>VLOOKUP(Levererat_2015[[#This Row],[Indexnamn]],'Leveranser per nät'!$A$4:$A$514,1,FALSE)</f>
        <v>Gullringen</v>
      </c>
    </row>
    <row r="93" spans="1:7" x14ac:dyDescent="0.25">
      <c r="A93" t="s">
        <v>556</v>
      </c>
      <c r="B93" t="s">
        <v>340</v>
      </c>
      <c r="C93" t="s">
        <v>340</v>
      </c>
      <c r="D93">
        <v>46.1</v>
      </c>
      <c r="E93">
        <v>0</v>
      </c>
      <c r="F93">
        <f>IFERROR(Levererat_2015[[#This Row],[Leveranser:]]-Levererat_2015[[#This Row],[Leveranser till annat fjärrvärmebolag]],"")</f>
        <v>46.1</v>
      </c>
      <c r="G93" t="str">
        <f>VLOOKUP(Levererat_2015[[#This Row],[Indexnamn]],'Leveranser per nät'!$A$4:$A$514,1,FALSE)</f>
        <v>Gustavsberg</v>
      </c>
    </row>
    <row r="94" spans="1:7" x14ac:dyDescent="0.25">
      <c r="A94" t="s">
        <v>613</v>
      </c>
      <c r="B94" t="s">
        <v>137</v>
      </c>
      <c r="C94" t="s">
        <v>137</v>
      </c>
      <c r="D94">
        <v>152.80000000000001</v>
      </c>
      <c r="E94">
        <v>0</v>
      </c>
      <c r="F94">
        <f>IFERROR(Levererat_2015[[#This Row],[Leveranser:]]-Levererat_2015[[#This Row],[Leveranser till annat fjärrvärmebolag]],"")</f>
        <v>152.80000000000001</v>
      </c>
      <c r="G94" t="str">
        <f>VLOOKUP(Levererat_2015[[#This Row],[Indexnamn]],'Leveranser per nät'!$A$4:$A$514,1,FALSE)</f>
        <v>Gällivare-Malmberget</v>
      </c>
    </row>
    <row r="95" spans="1:7" x14ac:dyDescent="0.25">
      <c r="A95" t="s">
        <v>614</v>
      </c>
      <c r="B95" t="s">
        <v>322</v>
      </c>
      <c r="C95" t="s">
        <v>322</v>
      </c>
      <c r="D95">
        <v>2.2759999999999998</v>
      </c>
      <c r="E95">
        <v>0</v>
      </c>
      <c r="F95">
        <f>IFERROR(Levererat_2015[[#This Row],[Leveranser:]]-Levererat_2015[[#This Row],[Leveranser till annat fjärrvärmebolag]],"")</f>
        <v>2.2759999999999998</v>
      </c>
      <c r="G95" t="str">
        <f>VLOOKUP(Levererat_2015[[#This Row],[Indexnamn]],'Leveranser per nät'!$A$4:$A$514,1,FALSE)</f>
        <v>Gällstad</v>
      </c>
    </row>
    <row r="96" spans="1:7" x14ac:dyDescent="0.25">
      <c r="A96" t="s">
        <v>615</v>
      </c>
      <c r="B96" t="s">
        <v>138</v>
      </c>
      <c r="C96" t="s">
        <v>138</v>
      </c>
      <c r="D96">
        <v>647.70000000000005</v>
      </c>
      <c r="E96">
        <v>0</v>
      </c>
      <c r="F96">
        <f>IFERROR(Levererat_2015[[#This Row],[Leveranser:]]-Levererat_2015[[#This Row],[Leveranser till annat fjärrvärmebolag]],"")</f>
        <v>647.70000000000005</v>
      </c>
      <c r="G96" t="str">
        <f>VLOOKUP(Levererat_2015[[#This Row],[Indexnamn]],'Leveranser per nät'!$A$4:$A$514,1,FALSE)</f>
        <v>Gävle</v>
      </c>
    </row>
    <row r="97" spans="1:7" x14ac:dyDescent="0.25">
      <c r="A97" t="s">
        <v>616</v>
      </c>
      <c r="B97" t="s">
        <v>811</v>
      </c>
      <c r="C97" t="s">
        <v>811</v>
      </c>
      <c r="D97">
        <v>3302.5</v>
      </c>
      <c r="E97">
        <v>50.07</v>
      </c>
      <c r="F97">
        <f>IFERROR(Levererat_2015[[#This Row],[Leveranser:]]-Levererat_2015[[#This Row],[Leveranser till annat fjärrvärmebolag]],"")</f>
        <v>3252.43</v>
      </c>
      <c r="G97" t="e">
        <f>VLOOKUP(Levererat_2015[[#This Row],[Indexnamn]],'Leveranser per nät'!$A$4:$A$514,1,FALSE)</f>
        <v>#N/A</v>
      </c>
    </row>
    <row r="98" spans="1:7" x14ac:dyDescent="0.25">
      <c r="A98" t="s">
        <v>616</v>
      </c>
      <c r="B98" t="s">
        <v>812</v>
      </c>
      <c r="D98">
        <v>118.92</v>
      </c>
      <c r="E98">
        <v>0</v>
      </c>
      <c r="F98">
        <f>IFERROR(Levererat_2015[[#This Row],[Leveranser:]]-Levererat_2015[[#This Row],[Leveranser till annat fjärrvärmebolag]],"")</f>
        <v>118.92</v>
      </c>
      <c r="G98" t="e">
        <f>VLOOKUP(Levererat_2015[[#This Row],[Indexnamn]],'Leveranser per nät'!$A$4:$A$514,1,FALSE)</f>
        <v>#N/A</v>
      </c>
    </row>
    <row r="99" spans="1:7" x14ac:dyDescent="0.25">
      <c r="A99" t="s">
        <v>616</v>
      </c>
      <c r="B99" t="s">
        <v>616</v>
      </c>
      <c r="D99" t="s">
        <v>779</v>
      </c>
      <c r="E99">
        <v>0</v>
      </c>
      <c r="F99" t="str">
        <f>IFERROR(Levererat_2015[[#This Row],[Leveranser:]]-Levererat_2015[[#This Row],[Leveranser till annat fjärrvärmebolag]],"")</f>
        <v/>
      </c>
    </row>
    <row r="100" spans="1:7" x14ac:dyDescent="0.25">
      <c r="A100" t="s">
        <v>618</v>
      </c>
      <c r="B100" t="s">
        <v>139</v>
      </c>
      <c r="C100" t="s">
        <v>139</v>
      </c>
      <c r="D100">
        <v>117</v>
      </c>
      <c r="E100">
        <v>0</v>
      </c>
      <c r="F100">
        <f>IFERROR(Levererat_2015[[#This Row],[Leveranser:]]-Levererat_2015[[#This Row],[Leveranser till annat fjärrvärmebolag]],"")</f>
        <v>117</v>
      </c>
      <c r="G100" t="str">
        <f>VLOOKUP(Levererat_2015[[#This Row],[Indexnamn]],'Leveranser per nät'!$A$4:$A$514,1,FALSE)</f>
        <v>Götene</v>
      </c>
    </row>
    <row r="101" spans="1:7" x14ac:dyDescent="0.25">
      <c r="A101" t="s">
        <v>619</v>
      </c>
      <c r="B101" t="s">
        <v>141</v>
      </c>
      <c r="C101" t="s">
        <v>141</v>
      </c>
      <c r="D101">
        <v>20</v>
      </c>
      <c r="E101">
        <v>0</v>
      </c>
      <c r="F101">
        <f>IFERROR(Levererat_2015[[#This Row],[Leveranser:]]-Levererat_2015[[#This Row],[Leveranser till annat fjärrvärmebolag]],"")</f>
        <v>20</v>
      </c>
      <c r="G101" t="str">
        <f>VLOOKUP(Levererat_2015[[#This Row],[Indexnamn]],'Leveranser per nät'!$A$4:$A$514,1,FALSE)</f>
        <v>Habo</v>
      </c>
    </row>
    <row r="102" spans="1:7" x14ac:dyDescent="0.25">
      <c r="A102" t="s">
        <v>587</v>
      </c>
      <c r="B102" t="s">
        <v>520</v>
      </c>
      <c r="C102" t="s">
        <v>520</v>
      </c>
      <c r="D102">
        <v>47.65</v>
      </c>
      <c r="E102">
        <v>0</v>
      </c>
      <c r="F102">
        <f>IFERROR(Levererat_2015[[#This Row],[Leveranser:]]-Levererat_2015[[#This Row],[Leveranser till annat fjärrvärmebolag]],"")</f>
        <v>47.65</v>
      </c>
      <c r="G102" t="str">
        <f>VLOOKUP(Levererat_2015[[#This Row],[Indexnamn]],'Leveranser per nät'!$A$4:$A$514,1,FALSE)</f>
        <v>Hagfors</v>
      </c>
    </row>
    <row r="103" spans="1:7" x14ac:dyDescent="0.25">
      <c r="A103" t="s">
        <v>621</v>
      </c>
      <c r="B103" t="s">
        <v>220</v>
      </c>
      <c r="C103" t="s">
        <v>220</v>
      </c>
      <c r="D103">
        <v>15.855</v>
      </c>
      <c r="E103">
        <v>0</v>
      </c>
      <c r="F103">
        <f>IFERROR(Levererat_2015[[#This Row],[Leveranser:]]-Levererat_2015[[#This Row],[Leveranser till annat fjärrvärmebolag]],"")</f>
        <v>15.855</v>
      </c>
      <c r="G103" t="str">
        <f>VLOOKUP(Levererat_2015[[#This Row],[Indexnamn]],'Leveranser per nät'!$A$4:$A$514,1,FALSE)</f>
        <v>Hallstavik</v>
      </c>
    </row>
    <row r="104" spans="1:7" x14ac:dyDescent="0.25">
      <c r="A104" t="s">
        <v>622</v>
      </c>
      <c r="B104" t="s">
        <v>142</v>
      </c>
      <c r="C104" t="s">
        <v>142</v>
      </c>
      <c r="D104">
        <v>543</v>
      </c>
      <c r="E104">
        <v>0</v>
      </c>
      <c r="F104">
        <f>IFERROR(Levererat_2015[[#This Row],[Leveranser:]]-Levererat_2015[[#This Row],[Leveranser till annat fjärrvärmebolag]],"")</f>
        <v>543</v>
      </c>
      <c r="G104" t="str">
        <f>VLOOKUP(Levererat_2015[[#This Row],[Indexnamn]],'Leveranser per nät'!$A$4:$A$514,1,FALSE)</f>
        <v>Halmstad</v>
      </c>
    </row>
    <row r="105" spans="1:7" x14ac:dyDescent="0.25">
      <c r="A105" t="s">
        <v>623</v>
      </c>
      <c r="B105" t="s">
        <v>533</v>
      </c>
      <c r="D105" t="s">
        <v>779</v>
      </c>
      <c r="E105">
        <v>0</v>
      </c>
      <c r="F105" t="str">
        <f>IFERROR(Levererat_2015[[#This Row],[Leveranser:]]-Levererat_2015[[#This Row],[Leveranser till annat fjärrvärmebolag]],"")</f>
        <v/>
      </c>
      <c r="G105" t="e">
        <f>VLOOKUP(Levererat_2015[[#This Row],[Indexnamn]],'Leveranser per nät'!$A$4:$A$514,1,FALSE)</f>
        <v>#N/A</v>
      </c>
    </row>
    <row r="106" spans="1:7" x14ac:dyDescent="0.25">
      <c r="A106" t="s">
        <v>569</v>
      </c>
      <c r="B106" t="s">
        <v>624</v>
      </c>
      <c r="D106">
        <v>1.216</v>
      </c>
      <c r="E106">
        <v>0</v>
      </c>
      <c r="F106">
        <f>IFERROR(Levererat_2015[[#This Row],[Leveranser:]]-Levererat_2015[[#This Row],[Leveranser till annat fjärrvärmebolag]],"")</f>
        <v>1.216</v>
      </c>
      <c r="G106" t="e">
        <f>VLOOKUP(Levererat_2015[[#This Row],[Indexnamn]],'Leveranser per nät'!$A$4:$A$514,1,FALSE)</f>
        <v>#N/A</v>
      </c>
    </row>
    <row r="107" spans="1:7" x14ac:dyDescent="0.25">
      <c r="A107" t="s">
        <v>556</v>
      </c>
      <c r="B107" t="s">
        <v>345</v>
      </c>
      <c r="C107" t="s">
        <v>345</v>
      </c>
      <c r="D107">
        <v>52.3</v>
      </c>
      <c r="E107">
        <v>0</v>
      </c>
      <c r="F107">
        <f>IFERROR(Levererat_2015[[#This Row],[Leveranser:]]-Levererat_2015[[#This Row],[Leveranser till annat fjärrvärmebolag]],"")</f>
        <v>52.3</v>
      </c>
      <c r="G107" t="str">
        <f>VLOOKUP(Levererat_2015[[#This Row],[Indexnamn]],'Leveranser per nät'!$A$4:$A$514,1,FALSE)</f>
        <v>Haparanda</v>
      </c>
    </row>
    <row r="108" spans="1:7" x14ac:dyDescent="0.25">
      <c r="A108" t="s">
        <v>809</v>
      </c>
      <c r="B108" t="s">
        <v>64</v>
      </c>
      <c r="C108" t="s">
        <v>64</v>
      </c>
      <c r="D108">
        <v>7.3</v>
      </c>
      <c r="E108">
        <v>0</v>
      </c>
      <c r="F108">
        <f>IFERROR(Levererat_2015[[#This Row],[Leveranser:]]-Levererat_2015[[#This Row],[Leveranser till annat fjärrvärmebolag]],"")</f>
        <v>7.3</v>
      </c>
      <c r="G108" t="str">
        <f>VLOOKUP(Levererat_2015[[#This Row],[Indexnamn]],'Leveranser per nät'!$A$4:$A$514,1,FALSE)</f>
        <v>Hede</v>
      </c>
    </row>
    <row r="109" spans="1:7" x14ac:dyDescent="0.25">
      <c r="A109" t="s">
        <v>611</v>
      </c>
      <c r="B109" t="s">
        <v>145</v>
      </c>
      <c r="C109" t="s">
        <v>145</v>
      </c>
      <c r="D109">
        <v>56.4</v>
      </c>
      <c r="E109">
        <v>0</v>
      </c>
      <c r="F109">
        <f>IFERROR(Levererat_2015[[#This Row],[Leveranser:]]-Levererat_2015[[#This Row],[Leveranser till annat fjärrvärmebolag]],"")</f>
        <v>56.4</v>
      </c>
      <c r="G109" t="str">
        <f>VLOOKUP(Levererat_2015[[#This Row],[Indexnamn]],'Leveranser per nät'!$A$4:$A$514,1,FALSE)</f>
        <v>Hedemora</v>
      </c>
    </row>
    <row r="110" spans="1:7" x14ac:dyDescent="0.25">
      <c r="A110" t="s">
        <v>563</v>
      </c>
      <c r="B110" t="s">
        <v>16</v>
      </c>
      <c r="C110" t="s">
        <v>16</v>
      </c>
      <c r="D110">
        <v>3.3740000000000001</v>
      </c>
      <c r="E110">
        <v>0</v>
      </c>
      <c r="F110">
        <f>IFERROR(Levererat_2015[[#This Row],[Leveranser:]]-Levererat_2015[[#This Row],[Leveranser till annat fjärrvärmebolag]],"")</f>
        <v>3.3740000000000001</v>
      </c>
      <c r="G110" t="str">
        <f>VLOOKUP(Levererat_2015[[#This Row],[Indexnamn]],'Leveranser per nät'!$A$4:$A$514,1,FALSE)</f>
        <v>Hedesunda</v>
      </c>
    </row>
    <row r="111" spans="1:7" x14ac:dyDescent="0.25">
      <c r="A111" t="s">
        <v>626</v>
      </c>
      <c r="B111" t="s">
        <v>373</v>
      </c>
      <c r="C111" t="s">
        <v>373</v>
      </c>
      <c r="D111">
        <v>877.80899999999997</v>
      </c>
      <c r="E111">
        <v>46.87</v>
      </c>
      <c r="F111">
        <f>IFERROR(Levererat_2015[[#This Row],[Leveranser:]]-Levererat_2015[[#This Row],[Leveranser till annat fjärrvärmebolag]],"")</f>
        <v>830.93899999999996</v>
      </c>
      <c r="G111" t="str">
        <f>VLOOKUP(Levererat_2015[[#This Row],[Indexnamn]],'Leveranser per nät'!$A$4:$A$514,1,FALSE)</f>
        <v>Helsingborg</v>
      </c>
    </row>
    <row r="112" spans="1:7" x14ac:dyDescent="0.25">
      <c r="A112" t="s">
        <v>627</v>
      </c>
      <c r="B112" t="s">
        <v>134</v>
      </c>
      <c r="C112" t="s">
        <v>134</v>
      </c>
      <c r="D112">
        <v>11.4</v>
      </c>
      <c r="E112">
        <v>0</v>
      </c>
      <c r="F112">
        <f>IFERROR(Levererat_2015[[#This Row],[Leveranser:]]-Levererat_2015[[#This Row],[Leveranser till annat fjärrvärmebolag]],"")</f>
        <v>11.4</v>
      </c>
      <c r="G112" t="str">
        <f>VLOOKUP(Levererat_2015[[#This Row],[Indexnamn]],'Leveranser per nät'!$A$4:$A$514,1,FALSE)</f>
        <v>Hemse</v>
      </c>
    </row>
    <row r="113" spans="1:7" x14ac:dyDescent="0.25">
      <c r="A113" t="s">
        <v>610</v>
      </c>
      <c r="B113" t="s">
        <v>132</v>
      </c>
      <c r="C113" t="s">
        <v>132</v>
      </c>
      <c r="D113">
        <v>3.984</v>
      </c>
      <c r="E113">
        <v>0</v>
      </c>
      <c r="F113">
        <f>IFERROR(Levererat_2015[[#This Row],[Leveranser:]]-Levererat_2015[[#This Row],[Leveranser till annat fjärrvärmebolag]],"")</f>
        <v>3.984</v>
      </c>
      <c r="G113" t="str">
        <f>VLOOKUP(Levererat_2015[[#This Row],[Indexnamn]],'Leveranser per nät'!$A$4:$A$514,1,FALSE)</f>
        <v>Hestra</v>
      </c>
    </row>
    <row r="114" spans="1:7" x14ac:dyDescent="0.25">
      <c r="A114" t="s">
        <v>628</v>
      </c>
      <c r="B114" t="s">
        <v>148</v>
      </c>
      <c r="C114" t="s">
        <v>148</v>
      </c>
      <c r="D114">
        <v>31.198</v>
      </c>
      <c r="E114">
        <v>0</v>
      </c>
      <c r="F114">
        <f>IFERROR(Levererat_2015[[#This Row],[Leveranser:]]-Levererat_2015[[#This Row],[Leveranser till annat fjärrvärmebolag]],"")</f>
        <v>31.198</v>
      </c>
      <c r="G114" t="str">
        <f>VLOOKUP(Levererat_2015[[#This Row],[Indexnamn]],'Leveranser per nät'!$A$4:$A$514,1,FALSE)</f>
        <v>Hjo</v>
      </c>
    </row>
    <row r="115" spans="1:7" x14ac:dyDescent="0.25">
      <c r="A115" t="s">
        <v>626</v>
      </c>
      <c r="B115" t="s">
        <v>400</v>
      </c>
      <c r="C115" t="s">
        <v>400</v>
      </c>
      <c r="D115">
        <v>1.7</v>
      </c>
      <c r="E115">
        <v>0</v>
      </c>
      <c r="F115">
        <f>IFERROR(Levererat_2015[[#This Row],[Leveranser:]]-Levererat_2015[[#This Row],[Leveranser till annat fjärrvärmebolag]],"")</f>
        <v>1.7</v>
      </c>
      <c r="G115" t="str">
        <f>VLOOKUP(Levererat_2015[[#This Row],[Indexnamn]],'Leveranser per nät'!$A$4:$A$514,1,FALSE)</f>
        <v>Hjärnarp</v>
      </c>
    </row>
    <row r="116" spans="1:7" x14ac:dyDescent="0.25">
      <c r="A116" t="s">
        <v>558</v>
      </c>
      <c r="B116" t="s">
        <v>629</v>
      </c>
      <c r="C116" t="s">
        <v>629</v>
      </c>
      <c r="D116">
        <v>64.525000000000006</v>
      </c>
      <c r="E116">
        <v>0</v>
      </c>
      <c r="F116">
        <f>IFERROR(Levererat_2015[[#This Row],[Leveranser:]]-Levererat_2015[[#This Row],[Leveranser till annat fjärrvärmebolag]],"")</f>
        <v>64.525000000000006</v>
      </c>
      <c r="G116" t="e">
        <f>VLOOKUP(Levererat_2015[[#This Row],[Indexnamn]],'Leveranser per nät'!$A$4:$A$514,1,FALSE)</f>
        <v>#N/A</v>
      </c>
    </row>
    <row r="117" spans="1:7" x14ac:dyDescent="0.25">
      <c r="A117" t="s">
        <v>585</v>
      </c>
      <c r="B117" t="s">
        <v>349</v>
      </c>
      <c r="C117" t="s">
        <v>349</v>
      </c>
      <c r="D117">
        <v>3.8</v>
      </c>
      <c r="E117">
        <v>0</v>
      </c>
      <c r="F117">
        <f>IFERROR(Levererat_2015[[#This Row],[Leveranser:]]-Levererat_2015[[#This Row],[Leveranser till annat fjärrvärmebolag]],"")</f>
        <v>3.8</v>
      </c>
      <c r="G117" t="str">
        <f>VLOOKUP(Levererat_2015[[#This Row],[Indexnamn]],'Leveranser per nät'!$A$4:$A$514,1,FALSE)</f>
        <v>Holsby</v>
      </c>
    </row>
    <row r="118" spans="1:7" x14ac:dyDescent="0.25">
      <c r="A118" t="s">
        <v>568</v>
      </c>
      <c r="B118" t="s">
        <v>181</v>
      </c>
      <c r="C118" t="s">
        <v>181</v>
      </c>
      <c r="D118">
        <v>5.7140000000000004</v>
      </c>
      <c r="E118">
        <v>0</v>
      </c>
      <c r="F118">
        <f>IFERROR(Levererat_2015[[#This Row],[Leveranser:]]-Levererat_2015[[#This Row],[Leveranser till annat fjärrvärmebolag]],"")</f>
        <v>5.7140000000000004</v>
      </c>
      <c r="G118" t="str">
        <f>VLOOKUP(Levererat_2015[[#This Row],[Indexnamn]],'Leveranser per nät'!$A$4:$A$514,1,FALSE)</f>
        <v>Horred</v>
      </c>
    </row>
    <row r="119" spans="1:7" x14ac:dyDescent="0.25">
      <c r="A119" t="s">
        <v>558</v>
      </c>
      <c r="B119" t="s">
        <v>117</v>
      </c>
      <c r="C119" t="s">
        <v>117</v>
      </c>
      <c r="D119">
        <v>112.843</v>
      </c>
      <c r="E119">
        <v>0</v>
      </c>
      <c r="F119">
        <f>IFERROR(Levererat_2015[[#This Row],[Leveranser:]]-Levererat_2015[[#This Row],[Leveranser till annat fjärrvärmebolag]],"")</f>
        <v>112.843</v>
      </c>
      <c r="G119" t="str">
        <f>VLOOKUP(Levererat_2015[[#This Row],[Indexnamn]],'Leveranser per nät'!$A$4:$A$514,1,FALSE)</f>
        <v>Hudiksvall</v>
      </c>
    </row>
    <row r="120" spans="1:7" x14ac:dyDescent="0.25">
      <c r="A120" t="s">
        <v>569</v>
      </c>
      <c r="B120" t="s">
        <v>379</v>
      </c>
      <c r="C120" t="s">
        <v>379</v>
      </c>
      <c r="D120">
        <v>6.2869999999999999</v>
      </c>
      <c r="E120">
        <v>0</v>
      </c>
      <c r="F120">
        <f>IFERROR(Levererat_2015[[#This Row],[Leveranser:]]-Levererat_2015[[#This Row],[Leveranser till annat fjärrvärmebolag]],"")</f>
        <v>6.2869999999999999</v>
      </c>
      <c r="G120" t="str">
        <f>VLOOKUP(Levererat_2015[[#This Row],[Indexnamn]],'Leveranser per nät'!$A$4:$A$514,1,FALSE)</f>
        <v>Husum</v>
      </c>
    </row>
    <row r="121" spans="1:7" x14ac:dyDescent="0.25">
      <c r="A121" t="s">
        <v>630</v>
      </c>
      <c r="B121" t="s">
        <v>631</v>
      </c>
      <c r="C121" t="s">
        <v>631</v>
      </c>
      <c r="D121">
        <v>31.568000000000001</v>
      </c>
      <c r="E121">
        <v>0</v>
      </c>
      <c r="F121">
        <f>IFERROR(Levererat_2015[[#This Row],[Leveranser:]]-Levererat_2015[[#This Row],[Leveranser till annat fjärrvärmebolag]],"")</f>
        <v>31.568000000000001</v>
      </c>
      <c r="G121" t="str">
        <f>VLOOKUP(Levererat_2015[[#This Row],[Indexnamn]],'Leveranser per nät'!$A$4:$A$514,1,FALSE)</f>
        <v>HVC Degerfors</v>
      </c>
    </row>
    <row r="122" spans="1:7" x14ac:dyDescent="0.25">
      <c r="A122" t="s">
        <v>632</v>
      </c>
      <c r="B122" t="s">
        <v>385</v>
      </c>
      <c r="C122" t="s">
        <v>385</v>
      </c>
      <c r="D122">
        <v>1.17</v>
      </c>
      <c r="E122">
        <v>0</v>
      </c>
      <c r="F122">
        <f>IFERROR(Levererat_2015[[#This Row],[Leveranser:]]-Levererat_2015[[#This Row],[Leveranser till annat fjärrvärmebolag]],"")</f>
        <v>1.17</v>
      </c>
      <c r="G122" t="str">
        <f>VLOOKUP(Levererat_2015[[#This Row],[Indexnamn]],'Leveranser per nät'!$A$4:$A$514,1,FALSE)</f>
        <v>HVC Kode</v>
      </c>
    </row>
    <row r="123" spans="1:7" x14ac:dyDescent="0.25">
      <c r="A123" t="s">
        <v>632</v>
      </c>
      <c r="B123" t="s">
        <v>386</v>
      </c>
      <c r="C123" t="s">
        <v>386</v>
      </c>
      <c r="D123">
        <v>0.77</v>
      </c>
      <c r="E123">
        <v>0</v>
      </c>
      <c r="F123">
        <f>IFERROR(Levererat_2015[[#This Row],[Leveranser:]]-Levererat_2015[[#This Row],[Leveranser till annat fjärrvärmebolag]],"")</f>
        <v>0.77</v>
      </c>
      <c r="G123" t="str">
        <f>VLOOKUP(Levererat_2015[[#This Row],[Indexnamn]],'Leveranser per nät'!$A$4:$A$514,1,FALSE)</f>
        <v>HVC Kärna</v>
      </c>
    </row>
    <row r="124" spans="1:7" x14ac:dyDescent="0.25">
      <c r="A124" t="s">
        <v>632</v>
      </c>
      <c r="B124" t="s">
        <v>387</v>
      </c>
      <c r="C124" t="s">
        <v>387</v>
      </c>
      <c r="D124">
        <v>2.8</v>
      </c>
      <c r="E124">
        <v>0</v>
      </c>
      <c r="F124">
        <f>IFERROR(Levererat_2015[[#This Row],[Leveranser:]]-Levererat_2015[[#This Row],[Leveranser till annat fjärrvärmebolag]],"")</f>
        <v>2.8</v>
      </c>
      <c r="G124" t="str">
        <f>VLOOKUP(Levererat_2015[[#This Row],[Indexnamn]],'Leveranser per nät'!$A$4:$A$514,1,FALSE)</f>
        <v>HVC Stålkullen</v>
      </c>
    </row>
    <row r="125" spans="1:7" x14ac:dyDescent="0.25">
      <c r="A125" t="s">
        <v>557</v>
      </c>
      <c r="B125" t="s">
        <v>772</v>
      </c>
      <c r="D125">
        <v>1.0780000000000001</v>
      </c>
      <c r="E125">
        <v>0</v>
      </c>
      <c r="F125">
        <f>IFERROR(Levererat_2015[[#This Row],[Leveranser:]]-Levererat_2015[[#This Row],[Leveranser till annat fjärrvärmebolag]],"")</f>
        <v>1.0780000000000001</v>
      </c>
      <c r="G125" t="e">
        <f>VLOOKUP(Levererat_2015[[#This Row],[Indexnamn]],'Leveranser per nät'!$A$4:$A$514,1,FALSE)</f>
        <v>#N/A</v>
      </c>
    </row>
    <row r="126" spans="1:7" x14ac:dyDescent="0.25">
      <c r="A126" t="s">
        <v>558</v>
      </c>
      <c r="B126" t="s">
        <v>125</v>
      </c>
      <c r="C126" t="s">
        <v>125</v>
      </c>
      <c r="D126">
        <v>36.692</v>
      </c>
      <c r="E126">
        <v>0</v>
      </c>
      <c r="F126">
        <f>IFERROR(Levererat_2015[[#This Row],[Leveranser:]]-Levererat_2015[[#This Row],[Leveranser till annat fjärrvärmebolag]],"")</f>
        <v>36.692</v>
      </c>
      <c r="G126" t="str">
        <f>VLOOKUP(Levererat_2015[[#This Row],[Indexnamn]],'Leveranser per nät'!$A$4:$A$514,1,FALSE)</f>
        <v>Hällefors</v>
      </c>
    </row>
    <row r="127" spans="1:7" x14ac:dyDescent="0.25">
      <c r="A127" t="s">
        <v>618</v>
      </c>
      <c r="B127" t="s">
        <v>140</v>
      </c>
      <c r="C127" t="s">
        <v>140</v>
      </c>
      <c r="D127">
        <v>2.6</v>
      </c>
      <c r="E127">
        <v>0</v>
      </c>
      <c r="F127">
        <f>IFERROR(Levererat_2015[[#This Row],[Leveranser:]]-Levererat_2015[[#This Row],[Leveranser till annat fjärrvärmebolag]],"")</f>
        <v>2.6</v>
      </c>
      <c r="G127" t="str">
        <f>VLOOKUP(Levererat_2015[[#This Row],[Indexnamn]],'Leveranser per nät'!$A$4:$A$514,1,FALSE)</f>
        <v>Hällekis</v>
      </c>
    </row>
    <row r="128" spans="1:7" x14ac:dyDescent="0.25">
      <c r="A128" t="s">
        <v>633</v>
      </c>
      <c r="B128" t="s">
        <v>150</v>
      </c>
      <c r="C128" t="s">
        <v>150</v>
      </c>
      <c r="D128">
        <v>165</v>
      </c>
      <c r="E128">
        <v>0</v>
      </c>
      <c r="F128">
        <f>IFERROR(Levererat_2015[[#This Row],[Leveranser:]]-Levererat_2015[[#This Row],[Leveranser till annat fjärrvärmebolag]],"")</f>
        <v>165</v>
      </c>
      <c r="G128" t="str">
        <f>VLOOKUP(Levererat_2015[[#This Row],[Indexnamn]],'Leveranser per nät'!$A$4:$A$514,1,FALSE)</f>
        <v>Härnösand</v>
      </c>
    </row>
    <row r="129" spans="1:7" x14ac:dyDescent="0.25">
      <c r="A129" t="s">
        <v>634</v>
      </c>
      <c r="B129" t="s">
        <v>151</v>
      </c>
      <c r="C129" t="s">
        <v>151</v>
      </c>
      <c r="D129">
        <v>173</v>
      </c>
      <c r="E129">
        <v>0</v>
      </c>
      <c r="F129">
        <f>IFERROR(Levererat_2015[[#This Row],[Leveranser:]]-Levererat_2015[[#This Row],[Leveranser till annat fjärrvärmebolag]],"")</f>
        <v>173</v>
      </c>
      <c r="G129" t="str">
        <f>VLOOKUP(Levererat_2015[[#This Row],[Indexnamn]],'Leveranser per nät'!$A$4:$A$514,1,FALSE)</f>
        <v>Hässleholm</v>
      </c>
    </row>
    <row r="130" spans="1:7" x14ac:dyDescent="0.25">
      <c r="A130" t="s">
        <v>635</v>
      </c>
      <c r="B130" t="s">
        <v>153</v>
      </c>
      <c r="C130" t="s">
        <v>153</v>
      </c>
      <c r="D130">
        <v>46.598999999999997</v>
      </c>
      <c r="E130">
        <v>0</v>
      </c>
      <c r="F130">
        <f>IFERROR(Levererat_2015[[#This Row],[Leveranser:]]-Levererat_2015[[#This Row],[Leveranser till annat fjärrvärmebolag]],"")</f>
        <v>46.598999999999997</v>
      </c>
      <c r="G130" t="str">
        <f>VLOOKUP(Levererat_2015[[#This Row],[Indexnamn]],'Leveranser per nät'!$A$4:$A$514,1,FALSE)</f>
        <v>Höganäs</v>
      </c>
    </row>
    <row r="131" spans="1:7" x14ac:dyDescent="0.25">
      <c r="A131" t="s">
        <v>561</v>
      </c>
      <c r="B131" t="s">
        <v>89</v>
      </c>
      <c r="C131" t="s">
        <v>1064</v>
      </c>
      <c r="D131">
        <v>986.65800000000002</v>
      </c>
      <c r="E131">
        <v>0</v>
      </c>
      <c r="F131">
        <f>IFERROR(Levererat_2015[[#This Row],[Leveranser:]]-Levererat_2015[[#This Row],[Leveranser till annat fjärrvärmebolag]],"")</f>
        <v>986.65800000000002</v>
      </c>
      <c r="G131" t="str">
        <f>VLOOKUP(Levererat_2015[[#This Row],[Indexnamn]],'Leveranser per nät'!$A$4:$A$514,1,FALSE)</f>
        <v>Hallsberg- Örebro- Kumla</v>
      </c>
    </row>
    <row r="132" spans="1:7" x14ac:dyDescent="0.25">
      <c r="A132" t="s">
        <v>598</v>
      </c>
      <c r="B132" t="s">
        <v>242</v>
      </c>
      <c r="C132" t="s">
        <v>242</v>
      </c>
      <c r="D132">
        <v>26.4</v>
      </c>
      <c r="E132">
        <v>0</v>
      </c>
      <c r="F132">
        <f>IFERROR(Levererat_2015[[#This Row],[Leveranser:]]-Levererat_2015[[#This Row],[Leveranser till annat fjärrvärmebolag]],"")</f>
        <v>26.4</v>
      </c>
      <c r="G132" t="str">
        <f>VLOOKUP(Levererat_2015[[#This Row],[Indexnamn]],'Leveranser per nät'!$A$4:$A$514,1,FALSE)</f>
        <v>Hörby</v>
      </c>
    </row>
    <row r="133" spans="1:7" x14ac:dyDescent="0.25">
      <c r="A133" t="s">
        <v>566</v>
      </c>
      <c r="B133" t="s">
        <v>326</v>
      </c>
      <c r="C133" t="s">
        <v>326</v>
      </c>
      <c r="D133">
        <v>6.6710000000000003</v>
      </c>
      <c r="E133">
        <v>0</v>
      </c>
      <c r="F133">
        <f>IFERROR(Levererat_2015[[#This Row],[Leveranser:]]-Levererat_2015[[#This Row],[Leveranser till annat fjärrvärmebolag]],"")</f>
        <v>6.6710000000000003</v>
      </c>
      <c r="G133" t="str">
        <f>VLOOKUP(Levererat_2015[[#This Row],[Indexnamn]],'Leveranser per nät'!$A$4:$A$514,1,FALSE)</f>
        <v>Hörnefors</v>
      </c>
    </row>
    <row r="134" spans="1:7" x14ac:dyDescent="0.25">
      <c r="A134" t="s">
        <v>598</v>
      </c>
      <c r="B134" t="s">
        <v>243</v>
      </c>
      <c r="C134" t="s">
        <v>243</v>
      </c>
      <c r="D134">
        <v>22.4</v>
      </c>
      <c r="E134">
        <v>0</v>
      </c>
      <c r="F134">
        <f>IFERROR(Levererat_2015[[#This Row],[Leveranser:]]-Levererat_2015[[#This Row],[Leveranser till annat fjärrvärmebolag]],"")</f>
        <v>22.4</v>
      </c>
      <c r="G134" t="str">
        <f>VLOOKUP(Levererat_2015[[#This Row],[Indexnamn]],'Leveranser per nät'!$A$4:$A$514,1,FALSE)</f>
        <v>Höör</v>
      </c>
    </row>
    <row r="135" spans="1:7" x14ac:dyDescent="0.25">
      <c r="A135" t="s">
        <v>558</v>
      </c>
      <c r="B135" t="s">
        <v>489</v>
      </c>
      <c r="C135" t="s">
        <v>489</v>
      </c>
      <c r="D135">
        <v>15.802</v>
      </c>
      <c r="E135">
        <v>0</v>
      </c>
      <c r="F135">
        <f>IFERROR(Levererat_2015[[#This Row],[Leveranser:]]-Levererat_2015[[#This Row],[Leveranser till annat fjärrvärmebolag]],"")</f>
        <v>15.802</v>
      </c>
      <c r="G135" t="str">
        <f>VLOOKUP(Levererat_2015[[#This Row],[Indexnamn]],'Leveranser per nät'!$A$4:$A$514,1,FALSE)</f>
        <v>Iggesund</v>
      </c>
    </row>
    <row r="136" spans="1:7" x14ac:dyDescent="0.25">
      <c r="A136" t="s">
        <v>589</v>
      </c>
      <c r="B136" t="s">
        <v>92</v>
      </c>
      <c r="C136" t="s">
        <v>92</v>
      </c>
      <c r="D136">
        <v>2.7770000000000001</v>
      </c>
      <c r="E136">
        <v>0</v>
      </c>
      <c r="F136">
        <f>IFERROR(Levererat_2015[[#This Row],[Leveranser:]]-Levererat_2015[[#This Row],[Leveranser till annat fjärrvärmebolag]],"")</f>
        <v>2.7770000000000001</v>
      </c>
      <c r="G136" t="str">
        <f>VLOOKUP(Levererat_2015[[#This Row],[Indexnamn]],'Leveranser per nät'!$A$4:$A$514,1,FALSE)</f>
        <v>Ingatorp</v>
      </c>
    </row>
    <row r="137" spans="1:7" x14ac:dyDescent="0.25">
      <c r="A137" t="s">
        <v>577</v>
      </c>
      <c r="B137" t="s">
        <v>365</v>
      </c>
      <c r="C137" t="s">
        <v>365</v>
      </c>
      <c r="D137">
        <v>7.4279999999999999</v>
      </c>
      <c r="E137">
        <v>0</v>
      </c>
      <c r="F137">
        <f>IFERROR(Levererat_2015[[#This Row],[Leveranser:]]-Levererat_2015[[#This Row],[Leveranser till annat fjärrvärmebolag]],"")</f>
        <v>7.4279999999999999</v>
      </c>
      <c r="G137" t="str">
        <f>VLOOKUP(Levererat_2015[[#This Row],[Indexnamn]],'Leveranser per nät'!$A$4:$A$514,1,FALSE)</f>
        <v>Ingelstad</v>
      </c>
    </row>
    <row r="138" spans="1:7" x14ac:dyDescent="0.25">
      <c r="A138" t="s">
        <v>636</v>
      </c>
      <c r="B138" t="s">
        <v>37</v>
      </c>
      <c r="C138" t="s">
        <v>37</v>
      </c>
      <c r="D138">
        <v>8.0519999999999996</v>
      </c>
      <c r="E138">
        <v>0</v>
      </c>
      <c r="F138">
        <f>IFERROR(Levererat_2015[[#This Row],[Leveranser:]]-Levererat_2015[[#This Row],[Leveranser till annat fjärrvärmebolag]],"")</f>
        <v>8.0519999999999996</v>
      </c>
      <c r="G138" t="str">
        <f>VLOOKUP(Levererat_2015[[#This Row],[Indexnamn]],'Leveranser per nät'!$A$4:$A$514,1,FALSE)</f>
        <v>Insjön</v>
      </c>
    </row>
    <row r="139" spans="1:7" x14ac:dyDescent="0.25">
      <c r="A139" t="s">
        <v>637</v>
      </c>
      <c r="B139" t="s">
        <v>154</v>
      </c>
      <c r="C139" t="s">
        <v>154</v>
      </c>
      <c r="D139">
        <v>31.5</v>
      </c>
      <c r="E139">
        <v>0</v>
      </c>
      <c r="F139">
        <f>IFERROR(Levererat_2015[[#This Row],[Leveranser:]]-Levererat_2015[[#This Row],[Leveranser till annat fjärrvärmebolag]],"")</f>
        <v>31.5</v>
      </c>
      <c r="G139" t="str">
        <f>VLOOKUP(Levererat_2015[[#This Row],[Indexnamn]],'Leveranser per nät'!$A$4:$A$514,1,FALSE)</f>
        <v>Jokkmokk</v>
      </c>
    </row>
    <row r="140" spans="1:7" x14ac:dyDescent="0.25">
      <c r="A140" t="s">
        <v>564</v>
      </c>
      <c r="B140" t="s">
        <v>638</v>
      </c>
      <c r="C140" t="s">
        <v>638</v>
      </c>
      <c r="D140">
        <v>5.2</v>
      </c>
      <c r="E140">
        <v>0</v>
      </c>
      <c r="F140">
        <f>IFERROR(Levererat_2015[[#This Row],[Leveranser:]]-Levererat_2015[[#This Row],[Leveranser till annat fjärrvärmebolag]],"")</f>
        <v>5.2</v>
      </c>
      <c r="G140" t="str">
        <f>VLOOKUP(Levererat_2015[[#This Row],[Indexnamn]],'Leveranser per nät'!$A$4:$A$514,1,FALSE)</f>
        <v>Julita</v>
      </c>
    </row>
    <row r="141" spans="1:7" x14ac:dyDescent="0.25">
      <c r="A141" t="s">
        <v>639</v>
      </c>
      <c r="B141" t="s">
        <v>640</v>
      </c>
      <c r="C141" t="s">
        <v>640</v>
      </c>
      <c r="D141">
        <v>2.2999999999999998</v>
      </c>
      <c r="E141">
        <v>0</v>
      </c>
      <c r="F141">
        <f>IFERROR(Levererat_2015[[#This Row],[Leveranser:]]-Levererat_2015[[#This Row],[Leveranser till annat fjärrvärmebolag]],"")</f>
        <v>2.2999999999999998</v>
      </c>
      <c r="G141" t="str">
        <f>VLOOKUP(Levererat_2015[[#This Row],[Indexnamn]],'Leveranser per nät'!$A$4:$A$514,1,FALSE)</f>
        <v>Jämjö</v>
      </c>
    </row>
    <row r="142" spans="1:7" x14ac:dyDescent="0.25">
      <c r="A142" t="s">
        <v>561</v>
      </c>
      <c r="B142" t="s">
        <v>66</v>
      </c>
      <c r="C142" t="s">
        <v>66</v>
      </c>
      <c r="D142">
        <v>268.2</v>
      </c>
      <c r="E142">
        <v>15.382</v>
      </c>
      <c r="F142">
        <f>IFERROR(Levererat_2015[[#This Row],[Leveranser:]]-Levererat_2015[[#This Row],[Leveranser till annat fjärrvärmebolag]],"")</f>
        <v>252.81799999999998</v>
      </c>
      <c r="G142" t="str">
        <f>VLOOKUP(Levererat_2015[[#This Row],[Indexnamn]],'Leveranser per nät'!$A$4:$A$514,1,FALSE)</f>
        <v>Järfälla</v>
      </c>
    </row>
    <row r="143" spans="1:7" x14ac:dyDescent="0.25">
      <c r="A143" t="s">
        <v>641</v>
      </c>
      <c r="B143" t="s">
        <v>312</v>
      </c>
      <c r="C143" t="s">
        <v>312</v>
      </c>
      <c r="D143">
        <v>41.8</v>
      </c>
      <c r="E143">
        <v>0</v>
      </c>
      <c r="F143">
        <f>IFERROR(Levererat_2015[[#This Row],[Leveranser:]]-Levererat_2015[[#This Row],[Leveranser till annat fjärrvärmebolag]],"")</f>
        <v>41.8</v>
      </c>
      <c r="G143" t="str">
        <f>VLOOKUP(Levererat_2015[[#This Row],[Indexnamn]],'Leveranser per nät'!$A$4:$A$514,1,FALSE)</f>
        <v>Järna</v>
      </c>
    </row>
    <row r="144" spans="1:7" x14ac:dyDescent="0.25">
      <c r="A144" t="s">
        <v>608</v>
      </c>
      <c r="B144" t="s">
        <v>195</v>
      </c>
      <c r="C144" t="s">
        <v>195</v>
      </c>
      <c r="D144">
        <v>9.6</v>
      </c>
      <c r="E144">
        <v>0</v>
      </c>
      <c r="F144">
        <f>IFERROR(Levererat_2015[[#This Row],[Leveranser:]]-Levererat_2015[[#This Row],[Leveranser till annat fjärrvärmebolag]],"")</f>
        <v>9.6</v>
      </c>
      <c r="G144" t="str">
        <f>VLOOKUP(Levererat_2015[[#This Row],[Indexnamn]],'Leveranser per nät'!$A$4:$A$514,1,FALSE)</f>
        <v>Järvsö</v>
      </c>
    </row>
    <row r="145" spans="1:7" x14ac:dyDescent="0.25">
      <c r="A145" t="s">
        <v>559</v>
      </c>
      <c r="B145" t="s">
        <v>160</v>
      </c>
      <c r="C145" t="s">
        <v>160</v>
      </c>
      <c r="D145">
        <v>631.38900000000001</v>
      </c>
      <c r="E145">
        <v>0</v>
      </c>
      <c r="F145">
        <f>IFERROR(Levererat_2015[[#This Row],[Leveranser:]]-Levererat_2015[[#This Row],[Leveranser till annat fjärrvärmebolag]],"")</f>
        <v>631.38900000000001</v>
      </c>
      <c r="G145" t="str">
        <f>VLOOKUP(Levererat_2015[[#This Row],[Indexnamn]],'Leveranser per nät'!$A$4:$A$514,1,FALSE)</f>
        <v>Jönköping</v>
      </c>
    </row>
    <row r="146" spans="1:7" x14ac:dyDescent="0.25">
      <c r="A146" t="s">
        <v>571</v>
      </c>
      <c r="B146" t="s">
        <v>267</v>
      </c>
      <c r="C146" t="s">
        <v>267</v>
      </c>
      <c r="D146">
        <v>6.141</v>
      </c>
      <c r="E146">
        <v>0</v>
      </c>
      <c r="F146">
        <f>IFERROR(Levererat_2015[[#This Row],[Leveranser:]]-Levererat_2015[[#This Row],[Leveranser till annat fjärrvärmebolag]],"")</f>
        <v>6.141</v>
      </c>
      <c r="G146" t="str">
        <f>VLOOKUP(Levererat_2015[[#This Row],[Indexnamn]],'Leveranser per nät'!$A$4:$A$514,1,FALSE)</f>
        <v>Jörn</v>
      </c>
    </row>
    <row r="147" spans="1:7" x14ac:dyDescent="0.25">
      <c r="A147" t="s">
        <v>800</v>
      </c>
      <c r="B147" t="s">
        <v>346</v>
      </c>
      <c r="C147" t="s">
        <v>346</v>
      </c>
      <c r="D147">
        <v>95.099000000000004</v>
      </c>
      <c r="E147">
        <v>0</v>
      </c>
      <c r="F147">
        <f>IFERROR(Levererat_2015[[#This Row],[Leveranser:]]-Levererat_2015[[#This Row],[Leveranser till annat fjärrvärmebolag]],"")</f>
        <v>95.099000000000004</v>
      </c>
      <c r="G147" t="str">
        <f>VLOOKUP(Levererat_2015[[#This Row],[Indexnamn]],'Leveranser per nät'!$A$4:$A$514,1,FALSE)</f>
        <v>Kalix</v>
      </c>
    </row>
    <row r="148" spans="1:7" x14ac:dyDescent="0.25">
      <c r="A148" t="s">
        <v>643</v>
      </c>
      <c r="B148" t="s">
        <v>162</v>
      </c>
      <c r="C148" t="s">
        <v>162</v>
      </c>
      <c r="D148">
        <v>343.6</v>
      </c>
      <c r="E148">
        <v>0</v>
      </c>
      <c r="F148">
        <f>IFERROR(Levererat_2015[[#This Row],[Leveranser:]]-Levererat_2015[[#This Row],[Leveranser till annat fjärrvärmebolag]],"")</f>
        <v>343.6</v>
      </c>
      <c r="G148" t="str">
        <f>VLOOKUP(Levererat_2015[[#This Row],[Indexnamn]],'Leveranser per nät'!$A$4:$A$514,1,FALSE)</f>
        <v>Kalmar</v>
      </c>
    </row>
    <row r="149" spans="1:7" x14ac:dyDescent="0.25">
      <c r="A149" t="s">
        <v>645</v>
      </c>
      <c r="B149" t="s">
        <v>164</v>
      </c>
      <c r="C149" t="s">
        <v>164</v>
      </c>
      <c r="D149">
        <v>164.2</v>
      </c>
      <c r="E149">
        <v>0</v>
      </c>
      <c r="F149">
        <f>IFERROR(Levererat_2015[[#This Row],[Leveranser:]]-Levererat_2015[[#This Row],[Leveranser till annat fjärrvärmebolag]],"")</f>
        <v>164.2</v>
      </c>
      <c r="G149" t="str">
        <f>VLOOKUP(Levererat_2015[[#This Row],[Indexnamn]],'Leveranser per nät'!$A$4:$A$514,1,FALSE)</f>
        <v>Karlshamn</v>
      </c>
    </row>
    <row r="150" spans="1:7" x14ac:dyDescent="0.25">
      <c r="A150" t="s">
        <v>639</v>
      </c>
      <c r="B150" t="s">
        <v>0</v>
      </c>
      <c r="C150" t="s">
        <v>0</v>
      </c>
      <c r="D150">
        <v>212.06</v>
      </c>
      <c r="E150">
        <v>0</v>
      </c>
      <c r="F150">
        <f>IFERROR(Levererat_2015[[#This Row],[Leveranser:]]-Levererat_2015[[#This Row],[Leveranser till annat fjärrvärmebolag]],"")</f>
        <v>212.06</v>
      </c>
      <c r="G150" t="str">
        <f>VLOOKUP(Levererat_2015[[#This Row],[Indexnamn]],'Leveranser per nät'!$A$4:$A$514,1,FALSE)</f>
        <v>Karlskrona</v>
      </c>
    </row>
    <row r="151" spans="1:7" x14ac:dyDescent="0.25">
      <c r="A151" t="s">
        <v>646</v>
      </c>
      <c r="B151" t="s">
        <v>166</v>
      </c>
      <c r="C151" t="s">
        <v>166</v>
      </c>
      <c r="D151">
        <v>537.86199999999997</v>
      </c>
      <c r="E151">
        <v>53.588000000000001</v>
      </c>
      <c r="F151">
        <f>IFERROR(Levererat_2015[[#This Row],[Leveranser:]]-Levererat_2015[[#This Row],[Leveranser till annat fjärrvärmebolag]],"")</f>
        <v>484.27399999999994</v>
      </c>
      <c r="G151" t="str">
        <f>VLOOKUP(Levererat_2015[[#This Row],[Indexnamn]],'Leveranser per nät'!$A$4:$A$514,1,FALSE)</f>
        <v>Karlstad</v>
      </c>
    </row>
    <row r="152" spans="1:7" x14ac:dyDescent="0.25">
      <c r="A152" t="s">
        <v>647</v>
      </c>
      <c r="B152" t="s">
        <v>648</v>
      </c>
      <c r="D152">
        <v>137</v>
      </c>
      <c r="E152">
        <v>0</v>
      </c>
      <c r="F152">
        <f>IFERROR(Levererat_2015[[#This Row],[Leveranser:]]-Levererat_2015[[#This Row],[Leveranser till annat fjärrvärmebolag]],"")</f>
        <v>137</v>
      </c>
      <c r="G152" t="e">
        <f>VLOOKUP(Levererat_2015[[#This Row],[Indexnamn]],'Leveranser per nät'!$A$4:$A$514,1,FALSE)</f>
        <v>#N/A</v>
      </c>
    </row>
    <row r="153" spans="1:7" x14ac:dyDescent="0.25">
      <c r="A153" t="s">
        <v>573</v>
      </c>
      <c r="B153" t="s">
        <v>168</v>
      </c>
      <c r="C153" t="s">
        <v>168</v>
      </c>
      <c r="D153">
        <v>162</v>
      </c>
      <c r="E153">
        <v>0</v>
      </c>
      <c r="F153">
        <f>IFERROR(Levererat_2015[[#This Row],[Leveranser:]]-Levererat_2015[[#This Row],[Leveranser till annat fjärrvärmebolag]],"")</f>
        <v>162</v>
      </c>
      <c r="G153" t="str">
        <f>VLOOKUP(Levererat_2015[[#This Row],[Indexnamn]],'Leveranser per nät'!$A$4:$A$514,1,FALSE)</f>
        <v>Katrineholm</v>
      </c>
    </row>
    <row r="154" spans="1:7" x14ac:dyDescent="0.25">
      <c r="A154" t="s">
        <v>649</v>
      </c>
      <c r="B154" t="s">
        <v>170</v>
      </c>
      <c r="C154" t="s">
        <v>170</v>
      </c>
      <c r="D154">
        <v>33.6</v>
      </c>
      <c r="E154">
        <v>0</v>
      </c>
      <c r="F154">
        <f>IFERROR(Levererat_2015[[#This Row],[Leveranser:]]-Levererat_2015[[#This Row],[Leveranser till annat fjärrvärmebolag]],"")</f>
        <v>33.6</v>
      </c>
      <c r="G154" t="str">
        <f>VLOOKUP(Levererat_2015[[#This Row],[Indexnamn]],'Leveranser per nät'!$A$4:$A$514,1,FALSE)</f>
        <v>Kil</v>
      </c>
    </row>
    <row r="155" spans="1:7" x14ac:dyDescent="0.25">
      <c r="A155" t="s">
        <v>553</v>
      </c>
      <c r="B155" t="s">
        <v>22</v>
      </c>
      <c r="C155" t="s">
        <v>22</v>
      </c>
      <c r="D155">
        <v>17.306000000000001</v>
      </c>
      <c r="E155">
        <v>0</v>
      </c>
      <c r="F155">
        <f>IFERROR(Levererat_2015[[#This Row],[Leveranser:]]-Levererat_2015[[#This Row],[Leveranser till annat fjärrvärmebolag]],"")</f>
        <v>17.306000000000001</v>
      </c>
      <c r="G155" t="str">
        <f>VLOOKUP(Levererat_2015[[#This Row],[Indexnamn]],'Leveranser per nät'!$A$4:$A$514,1,FALSE)</f>
        <v>Kilafors</v>
      </c>
    </row>
    <row r="156" spans="1:7" x14ac:dyDescent="0.25">
      <c r="A156" t="s">
        <v>817</v>
      </c>
      <c r="B156" t="s">
        <v>390</v>
      </c>
      <c r="C156" t="s">
        <v>390</v>
      </c>
      <c r="D156">
        <v>195.50700000000001</v>
      </c>
      <c r="E156">
        <v>0</v>
      </c>
      <c r="F156">
        <f>IFERROR(Levererat_2015[[#This Row],[Leveranser:]]-Levererat_2015[[#This Row],[Leveranser till annat fjärrvärmebolag]],"")</f>
        <v>195.50700000000001</v>
      </c>
      <c r="G156" t="str">
        <f>VLOOKUP(Levererat_2015[[#This Row],[Indexnamn]],'Leveranser per nät'!$A$4:$A$514,1,FALSE)</f>
        <v>Kiruna C</v>
      </c>
    </row>
    <row r="157" spans="1:7" x14ac:dyDescent="0.25">
      <c r="A157" t="s">
        <v>573</v>
      </c>
      <c r="B157" t="s">
        <v>307</v>
      </c>
      <c r="C157" t="s">
        <v>307</v>
      </c>
      <c r="D157">
        <v>17.399999999999999</v>
      </c>
      <c r="E157">
        <v>0</v>
      </c>
      <c r="F157">
        <f>IFERROR(Levererat_2015[[#This Row],[Leveranser:]]-Levererat_2015[[#This Row],[Leveranser till annat fjärrvärmebolag]],"")</f>
        <v>17.399999999999999</v>
      </c>
      <c r="G157" t="str">
        <f>VLOOKUP(Levererat_2015[[#This Row],[Indexnamn]],'Leveranser per nät'!$A$4:$A$514,1,FALSE)</f>
        <v>Kisa</v>
      </c>
    </row>
    <row r="158" spans="1:7" x14ac:dyDescent="0.25">
      <c r="A158" t="s">
        <v>627</v>
      </c>
      <c r="B158" t="s">
        <v>135</v>
      </c>
      <c r="C158" t="s">
        <v>135</v>
      </c>
      <c r="D158">
        <v>7.3</v>
      </c>
      <c r="E158">
        <v>0</v>
      </c>
      <c r="F158">
        <f>IFERROR(Levererat_2015[[#This Row],[Leveranser:]]-Levererat_2015[[#This Row],[Leveranser till annat fjärrvärmebolag]],"")</f>
        <v>7.3</v>
      </c>
      <c r="G158" t="str">
        <f>VLOOKUP(Levererat_2015[[#This Row],[Indexnamn]],'Leveranser per nät'!$A$4:$A$514,1,FALSE)</f>
        <v>Klintehamn</v>
      </c>
    </row>
    <row r="159" spans="1:7" x14ac:dyDescent="0.25">
      <c r="A159" t="s">
        <v>786</v>
      </c>
      <c r="B159" t="s">
        <v>788</v>
      </c>
      <c r="C159" t="s">
        <v>788</v>
      </c>
      <c r="D159">
        <v>53</v>
      </c>
      <c r="E159">
        <v>0</v>
      </c>
      <c r="F159">
        <f>IFERROR(Levererat_2015[[#This Row],[Leveranser:]]-Levererat_2015[[#This Row],[Leveranser till annat fjärrvärmebolag]],"")</f>
        <v>53</v>
      </c>
      <c r="G159" t="str">
        <f>VLOOKUP(Levererat_2015[[#This Row],[Indexnamn]],'Leveranser per nät'!$A$4:$A$514,1,FALSE)</f>
        <v>Klippan-Ljungbyhed-Östra Ljungby</v>
      </c>
    </row>
    <row r="160" spans="1:7" x14ac:dyDescent="0.25">
      <c r="A160" t="s">
        <v>556</v>
      </c>
      <c r="B160" t="s">
        <v>341</v>
      </c>
      <c r="C160" t="s">
        <v>341</v>
      </c>
      <c r="D160">
        <v>45.4</v>
      </c>
      <c r="E160">
        <v>0</v>
      </c>
      <c r="F160">
        <f>IFERROR(Levererat_2015[[#This Row],[Leveranser:]]-Levererat_2015[[#This Row],[Leveranser till annat fjärrvärmebolag]],"")</f>
        <v>45.4</v>
      </c>
      <c r="G160" t="str">
        <f>VLOOKUP(Levererat_2015[[#This Row],[Indexnamn]],'Leveranser per nät'!$A$4:$A$514,1,FALSE)</f>
        <v>Knivsta</v>
      </c>
    </row>
    <row r="161" spans="1:7" x14ac:dyDescent="0.25">
      <c r="A161" t="s">
        <v>651</v>
      </c>
      <c r="B161" t="s">
        <v>175</v>
      </c>
      <c r="C161" t="s">
        <v>175</v>
      </c>
      <c r="D161">
        <v>12.885999999999999</v>
      </c>
      <c r="E161">
        <v>0</v>
      </c>
      <c r="F161">
        <f>IFERROR(Levererat_2015[[#This Row],[Leveranser:]]-Levererat_2015[[#This Row],[Leveranser till annat fjärrvärmebolag]],"")</f>
        <v>12.885999999999999</v>
      </c>
      <c r="G161" t="str">
        <f>VLOOKUP(Levererat_2015[[#This Row],[Indexnamn]],'Leveranser per nät'!$A$4:$A$514,1,FALSE)</f>
        <v>Kolsva</v>
      </c>
    </row>
    <row r="162" spans="1:7" x14ac:dyDescent="0.25">
      <c r="A162" t="s">
        <v>558</v>
      </c>
      <c r="B162" t="s">
        <v>126</v>
      </c>
      <c r="C162" t="s">
        <v>126</v>
      </c>
      <c r="D162">
        <v>11.252000000000001</v>
      </c>
      <c r="E162">
        <v>0</v>
      </c>
      <c r="F162">
        <f>IFERROR(Levererat_2015[[#This Row],[Leveranser:]]-Levererat_2015[[#This Row],[Leveranser till annat fjärrvärmebolag]],"")</f>
        <v>11.252000000000001</v>
      </c>
      <c r="G162" t="str">
        <f>VLOOKUP(Levererat_2015[[#This Row],[Indexnamn]],'Leveranser per nät'!$A$4:$A$514,1,FALSE)</f>
        <v>Kopparberg</v>
      </c>
    </row>
    <row r="163" spans="1:7" x14ac:dyDescent="0.25">
      <c r="A163" t="s">
        <v>600</v>
      </c>
      <c r="B163" t="s">
        <v>34</v>
      </c>
      <c r="C163" t="s">
        <v>34</v>
      </c>
      <c r="D163">
        <v>336.51900000000001</v>
      </c>
      <c r="E163">
        <v>0</v>
      </c>
      <c r="F163">
        <f>IFERROR(Levererat_2015[[#This Row],[Leveranser:]]-Levererat_2015[[#This Row],[Leveranser till annat fjärrvärmebolag]],"")</f>
        <v>336.51900000000001</v>
      </c>
      <c r="G163" t="str">
        <f>VLOOKUP(Levererat_2015[[#This Row],[Indexnamn]],'Leveranser per nät'!$A$4:$A$514,1,FALSE)</f>
        <v>Kristianstad</v>
      </c>
    </row>
    <row r="164" spans="1:7" x14ac:dyDescent="0.25">
      <c r="A164" t="s">
        <v>571</v>
      </c>
      <c r="B164" t="s">
        <v>652</v>
      </c>
      <c r="D164">
        <v>0.24299999999999999</v>
      </c>
      <c r="E164">
        <v>0</v>
      </c>
      <c r="F164">
        <f>IFERROR(Levererat_2015[[#This Row],[Leveranser:]]-Levererat_2015[[#This Row],[Leveranser till annat fjärrvärmebolag]],"")</f>
        <v>0.24299999999999999</v>
      </c>
      <c r="G164" t="e">
        <f>VLOOKUP(Levererat_2015[[#This Row],[Indexnamn]],'Leveranser per nät'!$A$4:$A$514,1,FALSE)</f>
        <v>#N/A</v>
      </c>
    </row>
    <row r="165" spans="1:7" x14ac:dyDescent="0.25">
      <c r="A165" t="s">
        <v>653</v>
      </c>
      <c r="B165" t="s">
        <v>172</v>
      </c>
      <c r="C165" t="s">
        <v>172</v>
      </c>
      <c r="D165">
        <v>89</v>
      </c>
      <c r="E165">
        <v>0</v>
      </c>
      <c r="F165">
        <f>IFERROR(Levererat_2015[[#This Row],[Leveranser:]]-Levererat_2015[[#This Row],[Leveranser till annat fjärrvärmebolag]],"")</f>
        <v>89</v>
      </c>
      <c r="G165" t="str">
        <f>VLOOKUP(Levererat_2015[[#This Row],[Indexnamn]],'Leveranser per nät'!$A$4:$A$514,1,FALSE)</f>
        <v>Kristinehamn</v>
      </c>
    </row>
    <row r="166" spans="1:7" x14ac:dyDescent="0.25">
      <c r="A166" t="s">
        <v>558</v>
      </c>
      <c r="B166" t="s">
        <v>654</v>
      </c>
      <c r="C166" t="s">
        <v>172</v>
      </c>
      <c r="D166">
        <v>102.199</v>
      </c>
      <c r="E166">
        <v>0</v>
      </c>
      <c r="F166">
        <f>IFERROR(Levererat_2015[[#This Row],[Leveranser:]]-Levererat_2015[[#This Row],[Leveranser till annat fjärrvärmebolag]],"")</f>
        <v>102.199</v>
      </c>
      <c r="G166" t="str">
        <f>VLOOKUP(Levererat_2015[[#This Row],[Indexnamn]],'Leveranser per nät'!$A$4:$A$514,1,FALSE)</f>
        <v>Kristinehamn</v>
      </c>
    </row>
    <row r="167" spans="1:7" x14ac:dyDescent="0.25">
      <c r="A167" t="s">
        <v>800</v>
      </c>
      <c r="B167" t="s">
        <v>801</v>
      </c>
      <c r="D167">
        <v>2.1549999999999998</v>
      </c>
      <c r="E167">
        <v>0</v>
      </c>
      <c r="F167">
        <f>IFERROR(Levererat_2015[[#This Row],[Leveranser:]]-Levererat_2015[[#This Row],[Leveranser till annat fjärrvärmebolag]],"")</f>
        <v>2.1549999999999998</v>
      </c>
      <c r="G167" t="e">
        <f>VLOOKUP(Levererat_2015[[#This Row],[Indexnamn]],'Leveranser per nät'!$A$4:$A$514,1,FALSE)</f>
        <v>#N/A</v>
      </c>
    </row>
    <row r="168" spans="1:7" x14ac:dyDescent="0.25">
      <c r="A168" t="s">
        <v>579</v>
      </c>
      <c r="B168" t="s">
        <v>155</v>
      </c>
      <c r="C168" t="s">
        <v>155</v>
      </c>
      <c r="D168">
        <v>17.989999999999998</v>
      </c>
      <c r="E168">
        <v>0</v>
      </c>
      <c r="F168">
        <f>IFERROR(Levererat_2015[[#This Row],[Leveranser:]]-Levererat_2015[[#This Row],[Leveranser till annat fjärrvärmebolag]],"")</f>
        <v>17.989999999999998</v>
      </c>
      <c r="G168" t="str">
        <f>VLOOKUP(Levererat_2015[[#This Row],[Indexnamn]],'Leveranser per nät'!$A$4:$A$514,1,FALSE)</f>
        <v>Krokom</v>
      </c>
    </row>
    <row r="169" spans="1:7" x14ac:dyDescent="0.25">
      <c r="A169" t="s">
        <v>655</v>
      </c>
      <c r="B169" t="s">
        <v>283</v>
      </c>
      <c r="C169" t="s">
        <v>283</v>
      </c>
      <c r="D169">
        <v>110.74</v>
      </c>
      <c r="E169">
        <v>0</v>
      </c>
      <c r="F169">
        <f>IFERROR(Levererat_2015[[#This Row],[Leveranser:]]-Levererat_2015[[#This Row],[Leveranser till annat fjärrvärmebolag]],"")</f>
        <v>110.74</v>
      </c>
      <c r="G169" t="str">
        <f>VLOOKUP(Levererat_2015[[#This Row],[Indexnamn]],'Leveranser per nät'!$A$4:$A$514,1,FALSE)</f>
        <v>Kungsbacka</v>
      </c>
    </row>
    <row r="170" spans="1:7" x14ac:dyDescent="0.25">
      <c r="A170" t="s">
        <v>561</v>
      </c>
      <c r="B170" t="s">
        <v>68</v>
      </c>
      <c r="C170" t="s">
        <v>68</v>
      </c>
      <c r="D170">
        <v>46.6</v>
      </c>
      <c r="E170">
        <v>0</v>
      </c>
      <c r="F170">
        <f>IFERROR(Levererat_2015[[#This Row],[Leveranser:]]-Levererat_2015[[#This Row],[Leveranser till annat fjärrvärmebolag]],"")</f>
        <v>46.6</v>
      </c>
      <c r="G170" t="str">
        <f>VLOOKUP(Levererat_2015[[#This Row],[Indexnamn]],'Leveranser per nät'!$A$4:$A$514,1,FALSE)</f>
        <v>Kungsängen</v>
      </c>
    </row>
    <row r="171" spans="1:7" x14ac:dyDescent="0.25">
      <c r="A171" t="s">
        <v>620</v>
      </c>
      <c r="B171" t="s">
        <v>209</v>
      </c>
      <c r="C171" t="s">
        <v>209</v>
      </c>
      <c r="D171">
        <v>34.4</v>
      </c>
      <c r="E171">
        <v>0</v>
      </c>
      <c r="F171">
        <f>IFERROR(Levererat_2015[[#This Row],[Leveranser:]]-Levererat_2015[[#This Row],[Leveranser till annat fjärrvärmebolag]],"")</f>
        <v>34.4</v>
      </c>
      <c r="G171" t="str">
        <f>VLOOKUP(Levererat_2015[[#This Row],[Indexnamn]],'Leveranser per nät'!$A$4:$A$514,1,FALSE)</f>
        <v>Kungsör</v>
      </c>
    </row>
    <row r="172" spans="1:7" x14ac:dyDescent="0.25">
      <c r="A172" t="s">
        <v>632</v>
      </c>
      <c r="B172" t="s">
        <v>173</v>
      </c>
      <c r="C172" t="s">
        <v>173</v>
      </c>
      <c r="D172">
        <v>115.7</v>
      </c>
      <c r="E172">
        <v>0</v>
      </c>
      <c r="F172">
        <f>IFERROR(Levererat_2015[[#This Row],[Leveranser:]]-Levererat_2015[[#This Row],[Leveranser till annat fjärrvärmebolag]],"")</f>
        <v>115.7</v>
      </c>
      <c r="G172" t="str">
        <f>VLOOKUP(Levererat_2015[[#This Row],[Indexnamn]],'Leveranser per nät'!$A$4:$A$514,1,FALSE)</f>
        <v>Kungälv</v>
      </c>
    </row>
    <row r="173" spans="1:7" x14ac:dyDescent="0.25">
      <c r="A173" t="s">
        <v>630</v>
      </c>
      <c r="B173" t="s">
        <v>656</v>
      </c>
      <c r="C173" t="s">
        <v>656</v>
      </c>
      <c r="D173">
        <v>2.3199999999999998</v>
      </c>
      <c r="E173">
        <v>0</v>
      </c>
      <c r="F173">
        <f>IFERROR(Levererat_2015[[#This Row],[Leveranser:]]-Levererat_2015[[#This Row],[Leveranser till annat fjärrvärmebolag]],"")</f>
        <v>2.3199999999999998</v>
      </c>
      <c r="G173" t="str">
        <f>VLOOKUP(Levererat_2015[[#This Row],[Indexnamn]],'Leveranser per nät'!$A$4:$A$514,1,FALSE)</f>
        <v>Kvarnberg</v>
      </c>
    </row>
    <row r="174" spans="1:7" x14ac:dyDescent="0.25">
      <c r="A174" t="s">
        <v>592</v>
      </c>
      <c r="B174" t="s">
        <v>104</v>
      </c>
      <c r="C174" t="s">
        <v>104</v>
      </c>
      <c r="D174">
        <v>0.8</v>
      </c>
      <c r="E174">
        <v>0</v>
      </c>
      <c r="F174">
        <f>IFERROR(Levererat_2015[[#This Row],[Leveranser:]]-Levererat_2015[[#This Row],[Leveranser till annat fjärrvärmebolag]],"")</f>
        <v>0.8</v>
      </c>
      <c r="G174" t="str">
        <f>VLOOKUP(Levererat_2015[[#This Row],[Indexnamn]],'Leveranser per nät'!$A$4:$A$514,1,FALSE)</f>
        <v>Kvicksund</v>
      </c>
    </row>
    <row r="175" spans="1:7" x14ac:dyDescent="0.25">
      <c r="A175" t="s">
        <v>657</v>
      </c>
      <c r="B175" t="s">
        <v>291</v>
      </c>
      <c r="C175" t="s">
        <v>291</v>
      </c>
      <c r="D175">
        <v>21.366</v>
      </c>
      <c r="E175">
        <v>0</v>
      </c>
      <c r="F175">
        <f>IFERROR(Levererat_2015[[#This Row],[Leveranser:]]-Levererat_2015[[#This Row],[Leveranser till annat fjärrvärmebolag]],"")</f>
        <v>21.366</v>
      </c>
      <c r="G175" t="str">
        <f>VLOOKUP(Levererat_2015[[#This Row],[Indexnamn]],'Leveranser per nät'!$A$4:$A$514,1,FALSE)</f>
        <v>Kvissleby</v>
      </c>
    </row>
    <row r="176" spans="1:7" x14ac:dyDescent="0.25">
      <c r="A176" t="s">
        <v>568</v>
      </c>
      <c r="B176" t="s">
        <v>182</v>
      </c>
      <c r="C176" t="s">
        <v>182</v>
      </c>
      <c r="D176">
        <v>12.781000000000001</v>
      </c>
      <c r="E176">
        <v>0</v>
      </c>
      <c r="F176">
        <f>IFERROR(Levererat_2015[[#This Row],[Leveranser:]]-Levererat_2015[[#This Row],[Leveranser till annat fjärrvärmebolag]],"")</f>
        <v>12.781000000000001</v>
      </c>
      <c r="G176" t="str">
        <f>VLOOKUP(Levererat_2015[[#This Row],[Indexnamn]],'Leveranser per nät'!$A$4:$A$514,1,FALSE)</f>
        <v>Kvänum</v>
      </c>
    </row>
    <row r="177" spans="1:7" x14ac:dyDescent="0.25">
      <c r="A177" t="s">
        <v>571</v>
      </c>
      <c r="B177" t="s">
        <v>269</v>
      </c>
      <c r="C177" t="s">
        <v>269</v>
      </c>
      <c r="D177">
        <v>4.6079999999999997</v>
      </c>
      <c r="E177">
        <v>0</v>
      </c>
      <c r="F177">
        <f>IFERROR(Levererat_2015[[#This Row],[Leveranser:]]-Levererat_2015[[#This Row],[Leveranser till annat fjärrvärmebolag]],"")</f>
        <v>4.6079999999999997</v>
      </c>
      <c r="G177" t="str">
        <f>VLOOKUP(Levererat_2015[[#This Row],[Indexnamn]],'Leveranser per nät'!$A$4:$A$514,1,FALSE)</f>
        <v>Kåge</v>
      </c>
    </row>
    <row r="178" spans="1:7" x14ac:dyDescent="0.25">
      <c r="A178" t="s">
        <v>651</v>
      </c>
      <c r="B178" t="s">
        <v>174</v>
      </c>
      <c r="C178" t="s">
        <v>174</v>
      </c>
      <c r="D178">
        <v>188.227</v>
      </c>
      <c r="E178">
        <v>0</v>
      </c>
      <c r="F178">
        <f>IFERROR(Levererat_2015[[#This Row],[Leveranser:]]-Levererat_2015[[#This Row],[Leveranser till annat fjärrvärmebolag]],"")</f>
        <v>188.227</v>
      </c>
      <c r="G178" t="str">
        <f>VLOOKUP(Levererat_2015[[#This Row],[Indexnamn]],'Leveranser per nät'!$A$4:$A$514,1,FALSE)</f>
        <v>Köping</v>
      </c>
    </row>
    <row r="179" spans="1:7" x14ac:dyDescent="0.25">
      <c r="A179" t="s">
        <v>658</v>
      </c>
      <c r="B179" t="s">
        <v>176</v>
      </c>
      <c r="C179" t="s">
        <v>176</v>
      </c>
      <c r="D179">
        <v>258.60000000000002</v>
      </c>
      <c r="E179">
        <v>14.2</v>
      </c>
      <c r="F179">
        <f>IFERROR(Levererat_2015[[#This Row],[Leveranser:]]-Levererat_2015[[#This Row],[Leveranser till annat fjärrvärmebolag]],"")</f>
        <v>244.40000000000003</v>
      </c>
      <c r="G179" t="str">
        <f>VLOOKUP(Levererat_2015[[#This Row],[Indexnamn]],'Leveranser per nät'!$A$4:$A$514,1,FALSE)</f>
        <v>Landskrona</v>
      </c>
    </row>
    <row r="180" spans="1:7" x14ac:dyDescent="0.25">
      <c r="A180" t="s">
        <v>659</v>
      </c>
      <c r="B180" t="s">
        <v>184</v>
      </c>
      <c r="C180" t="s">
        <v>184</v>
      </c>
      <c r="D180">
        <v>27.234999999999999</v>
      </c>
      <c r="E180">
        <v>0</v>
      </c>
      <c r="F180">
        <f>IFERROR(Levererat_2015[[#This Row],[Leveranser:]]-Levererat_2015[[#This Row],[Leveranser till annat fjärrvärmebolag]],"")</f>
        <v>27.234999999999999</v>
      </c>
      <c r="G180" t="str">
        <f>VLOOKUP(Levererat_2015[[#This Row],[Indexnamn]],'Leveranser per nät'!$A$4:$A$514,1,FALSE)</f>
        <v>Laxå</v>
      </c>
    </row>
    <row r="181" spans="1:7" x14ac:dyDescent="0.25">
      <c r="A181" t="s">
        <v>636</v>
      </c>
      <c r="B181" t="s">
        <v>38</v>
      </c>
      <c r="C181" t="s">
        <v>38</v>
      </c>
      <c r="D181">
        <v>30.277999999999999</v>
      </c>
      <c r="E181">
        <v>0</v>
      </c>
      <c r="F181">
        <f>IFERROR(Levererat_2015[[#This Row],[Leveranser:]]-Levererat_2015[[#This Row],[Leveranser till annat fjärrvärmebolag]],"")</f>
        <v>30.277999999999999</v>
      </c>
      <c r="G181" t="str">
        <f>VLOOKUP(Levererat_2015[[#This Row],[Indexnamn]],'Leveranser per nät'!$A$4:$A$514,1,FALSE)</f>
        <v>Leksand</v>
      </c>
    </row>
    <row r="182" spans="1:7" x14ac:dyDescent="0.25">
      <c r="A182" t="s">
        <v>601</v>
      </c>
      <c r="B182" t="s">
        <v>186</v>
      </c>
      <c r="C182" t="s">
        <v>186</v>
      </c>
      <c r="D182">
        <v>28.3</v>
      </c>
      <c r="E182">
        <v>0</v>
      </c>
      <c r="F182">
        <f>IFERROR(Levererat_2015[[#This Row],[Leveranser:]]-Levererat_2015[[#This Row],[Leveranser till annat fjärrvärmebolag]],"")</f>
        <v>28.3</v>
      </c>
      <c r="G182" t="str">
        <f>VLOOKUP(Levererat_2015[[#This Row],[Indexnamn]],'Leveranser per nät'!$A$4:$A$514,1,FALSE)</f>
        <v>Lerum</v>
      </c>
    </row>
    <row r="183" spans="1:7" x14ac:dyDescent="0.25">
      <c r="A183" t="s">
        <v>660</v>
      </c>
      <c r="B183" t="s">
        <v>515</v>
      </c>
      <c r="D183" t="s">
        <v>779</v>
      </c>
      <c r="E183">
        <v>0</v>
      </c>
      <c r="F183" t="str">
        <f>IFERROR(Levererat_2015[[#This Row],[Leveranser:]]-Levererat_2015[[#This Row],[Leveranser till annat fjärrvärmebolag]],"")</f>
        <v/>
      </c>
      <c r="G183" t="e">
        <f>VLOOKUP(Levererat_2015[[#This Row],[Indexnamn]],'Leveranser per nät'!$A$4:$A$514,1,FALSE)</f>
        <v>#N/A</v>
      </c>
    </row>
    <row r="184" spans="1:7" x14ac:dyDescent="0.25">
      <c r="A184" t="s">
        <v>571</v>
      </c>
      <c r="B184" t="s">
        <v>270</v>
      </c>
      <c r="C184" t="s">
        <v>270</v>
      </c>
      <c r="D184">
        <v>2.4849999999999999</v>
      </c>
      <c r="E184">
        <v>0</v>
      </c>
      <c r="F184">
        <f>IFERROR(Levererat_2015[[#This Row],[Leveranser:]]-Levererat_2015[[#This Row],[Leveranser till annat fjärrvärmebolag]],"")</f>
        <v>2.4849999999999999</v>
      </c>
      <c r="G184" t="str">
        <f>VLOOKUP(Levererat_2015[[#This Row],[Indexnamn]],'Leveranser per nät'!$A$4:$A$514,1,FALSE)</f>
        <v>Lidbacken</v>
      </c>
    </row>
    <row r="185" spans="1:7" x14ac:dyDescent="0.25">
      <c r="A185" t="s">
        <v>661</v>
      </c>
      <c r="B185" t="s">
        <v>188</v>
      </c>
      <c r="C185" t="s">
        <v>188</v>
      </c>
      <c r="D185">
        <v>285.99</v>
      </c>
      <c r="E185">
        <v>0</v>
      </c>
      <c r="F185">
        <f>IFERROR(Levererat_2015[[#This Row],[Leveranser:]]-Levererat_2015[[#This Row],[Leveranser till annat fjärrvärmebolag]],"")</f>
        <v>285.99</v>
      </c>
      <c r="G185" t="str">
        <f>VLOOKUP(Levererat_2015[[#This Row],[Indexnamn]],'Leveranser per nät'!$A$4:$A$514,1,FALSE)</f>
        <v>Lidköping</v>
      </c>
    </row>
    <row r="186" spans="1:7" x14ac:dyDescent="0.25">
      <c r="A186" t="s">
        <v>662</v>
      </c>
      <c r="B186" t="s">
        <v>189</v>
      </c>
      <c r="C186" t="s">
        <v>189</v>
      </c>
      <c r="D186">
        <v>10.364000000000001</v>
      </c>
      <c r="E186">
        <v>0</v>
      </c>
      <c r="F186">
        <f>IFERROR(Levererat_2015[[#This Row],[Leveranser:]]-Levererat_2015[[#This Row],[Leveranser till annat fjärrvärmebolag]],"")</f>
        <v>10.364000000000001</v>
      </c>
      <c r="G186" t="str">
        <f>VLOOKUP(Levererat_2015[[#This Row],[Indexnamn]],'Leveranser per nät'!$A$4:$A$514,1,FALSE)</f>
        <v>Lilla Edet</v>
      </c>
    </row>
    <row r="187" spans="1:7" x14ac:dyDescent="0.25">
      <c r="A187" t="s">
        <v>606</v>
      </c>
      <c r="B187" t="s">
        <v>190</v>
      </c>
      <c r="C187" t="s">
        <v>190</v>
      </c>
      <c r="D187">
        <v>84.4</v>
      </c>
      <c r="E187">
        <v>0</v>
      </c>
      <c r="F187">
        <f>IFERROR(Levererat_2015[[#This Row],[Leveranser:]]-Levererat_2015[[#This Row],[Leveranser till annat fjärrvärmebolag]],"")</f>
        <v>84.4</v>
      </c>
      <c r="G187" t="str">
        <f>VLOOKUP(Levererat_2015[[#This Row],[Indexnamn]],'Leveranser per nät'!$A$4:$A$514,1,FALSE)</f>
        <v>Lindesberg</v>
      </c>
    </row>
    <row r="188" spans="1:7" x14ac:dyDescent="0.25">
      <c r="A188" t="s">
        <v>573</v>
      </c>
      <c r="B188" t="s">
        <v>308</v>
      </c>
      <c r="C188" t="s">
        <v>308</v>
      </c>
      <c r="D188">
        <v>1326</v>
      </c>
      <c r="E188">
        <v>79.900000000000006</v>
      </c>
      <c r="F188">
        <f>IFERROR(Levererat_2015[[#This Row],[Leveranser:]]-Levererat_2015[[#This Row],[Leveranser till annat fjärrvärmebolag]],"")</f>
        <v>1246.0999999999999</v>
      </c>
      <c r="G188" t="str">
        <f>VLOOKUP(Levererat_2015[[#This Row],[Indexnamn]],'Leveranser per nät'!$A$4:$A$514,1,FALSE)</f>
        <v>Linköping</v>
      </c>
    </row>
    <row r="189" spans="1:7" x14ac:dyDescent="0.25">
      <c r="A189" t="s">
        <v>604</v>
      </c>
      <c r="B189" t="s">
        <v>369</v>
      </c>
      <c r="C189" t="s">
        <v>369</v>
      </c>
      <c r="D189">
        <v>0.5</v>
      </c>
      <c r="E189">
        <v>0</v>
      </c>
      <c r="F189">
        <f>IFERROR(Levererat_2015[[#This Row],[Leveranser:]]-Levererat_2015[[#This Row],[Leveranser till annat fjärrvärmebolag]],"")</f>
        <v>0.5</v>
      </c>
      <c r="G189" t="str">
        <f>VLOOKUP(Levererat_2015[[#This Row],[Indexnamn]],'Leveranser per nät'!$A$4:$A$514,1,FALSE)</f>
        <v>Ljungaverk</v>
      </c>
    </row>
    <row r="190" spans="1:7" x14ac:dyDescent="0.25">
      <c r="A190" t="s">
        <v>663</v>
      </c>
      <c r="B190" t="s">
        <v>78</v>
      </c>
      <c r="C190" t="s">
        <v>78</v>
      </c>
      <c r="D190">
        <v>133.80000000000001</v>
      </c>
      <c r="E190">
        <v>0</v>
      </c>
      <c r="F190">
        <f>IFERROR(Levererat_2015[[#This Row],[Leveranser:]]-Levererat_2015[[#This Row],[Leveranser till annat fjärrvärmebolag]],"")</f>
        <v>133.80000000000001</v>
      </c>
      <c r="G190" t="str">
        <f>VLOOKUP(Levererat_2015[[#This Row],[Indexnamn]],'Leveranser per nät'!$A$4:$A$514,1,FALSE)</f>
        <v>Ljungby</v>
      </c>
    </row>
    <row r="191" spans="1:7" x14ac:dyDescent="0.25">
      <c r="A191" t="s">
        <v>665</v>
      </c>
      <c r="B191" t="s">
        <v>404</v>
      </c>
      <c r="C191" t="s">
        <v>404</v>
      </c>
      <c r="D191">
        <v>3.93</v>
      </c>
      <c r="E191">
        <v>0</v>
      </c>
      <c r="F191">
        <f>IFERROR(Levererat_2015[[#This Row],[Leveranser:]]-Levererat_2015[[#This Row],[Leveranser till annat fjärrvärmebolag]],"")</f>
        <v>3.93</v>
      </c>
      <c r="G191" t="str">
        <f>VLOOKUP(Levererat_2015[[#This Row],[Indexnamn]],'Leveranser per nät'!$A$4:$A$514,1,FALSE)</f>
        <v>Ljungskile</v>
      </c>
    </row>
    <row r="192" spans="1:7" x14ac:dyDescent="0.25">
      <c r="A192" t="s">
        <v>608</v>
      </c>
      <c r="B192" t="s">
        <v>193</v>
      </c>
      <c r="C192" t="s">
        <v>193</v>
      </c>
      <c r="D192">
        <v>59.1</v>
      </c>
      <c r="E192">
        <v>0</v>
      </c>
      <c r="F192">
        <f>IFERROR(Levererat_2015[[#This Row],[Leveranser:]]-Levererat_2015[[#This Row],[Leveranser till annat fjärrvärmebolag]],"")</f>
        <v>59.1</v>
      </c>
      <c r="G192" t="str">
        <f>VLOOKUP(Levererat_2015[[#This Row],[Indexnamn]],'Leveranser per nät'!$A$4:$A$514,1,FALSE)</f>
        <v>Ljusdal</v>
      </c>
    </row>
    <row r="193" spans="1:7" x14ac:dyDescent="0.25">
      <c r="A193" t="s">
        <v>666</v>
      </c>
      <c r="B193" t="s">
        <v>302</v>
      </c>
      <c r="C193" t="s">
        <v>302</v>
      </c>
      <c r="D193">
        <v>10.371</v>
      </c>
      <c r="E193">
        <v>0</v>
      </c>
      <c r="F193">
        <f>IFERROR(Levererat_2015[[#This Row],[Leveranser:]]-Levererat_2015[[#This Row],[Leveranser till annat fjärrvärmebolag]],"")</f>
        <v>10.371</v>
      </c>
      <c r="G193" t="str">
        <f>VLOOKUP(Levererat_2015[[#This Row],[Indexnamn]],'Leveranser per nät'!$A$4:$A$514,1,FALSE)</f>
        <v>Ljusne</v>
      </c>
    </row>
    <row r="194" spans="1:7" x14ac:dyDescent="0.25">
      <c r="A194" t="s">
        <v>595</v>
      </c>
      <c r="B194" t="s">
        <v>359</v>
      </c>
      <c r="C194" t="s">
        <v>359</v>
      </c>
      <c r="D194">
        <v>96.805999999999997</v>
      </c>
      <c r="E194">
        <v>0</v>
      </c>
      <c r="F194">
        <f>IFERROR(Levererat_2015[[#This Row],[Leveranser:]]-Levererat_2015[[#This Row],[Leveranser till annat fjärrvärmebolag]],"")</f>
        <v>96.805999999999997</v>
      </c>
      <c r="G194" t="str">
        <f>VLOOKUP(Levererat_2015[[#This Row],[Indexnamn]],'Leveranser per nät'!$A$4:$A$514,1,FALSE)</f>
        <v>Ludvika</v>
      </c>
    </row>
    <row r="195" spans="1:7" x14ac:dyDescent="0.25">
      <c r="A195" t="s">
        <v>667</v>
      </c>
      <c r="B195" t="s">
        <v>196</v>
      </c>
      <c r="C195" t="s">
        <v>196</v>
      </c>
      <c r="D195">
        <v>714.8</v>
      </c>
      <c r="E195">
        <v>0</v>
      </c>
      <c r="F195">
        <f>IFERROR(Levererat_2015[[#This Row],[Leveranser:]]-Levererat_2015[[#This Row],[Leveranser till annat fjärrvärmebolag]],"")</f>
        <v>714.8</v>
      </c>
      <c r="G195" t="str">
        <f>VLOOKUP(Levererat_2015[[#This Row],[Indexnamn]],'Leveranser per nät'!$A$4:$A$514,1,FALSE)</f>
        <v>Luleå</v>
      </c>
    </row>
    <row r="196" spans="1:7" x14ac:dyDescent="0.25">
      <c r="A196" t="s">
        <v>571</v>
      </c>
      <c r="B196" t="s">
        <v>259</v>
      </c>
      <c r="C196" t="s">
        <v>259</v>
      </c>
      <c r="D196">
        <v>94.522000000000006</v>
      </c>
      <c r="E196">
        <v>0</v>
      </c>
      <c r="F196">
        <f>IFERROR(Levererat_2015[[#This Row],[Leveranser:]]-Levererat_2015[[#This Row],[Leveranser till annat fjärrvärmebolag]],"")</f>
        <v>94.522000000000006</v>
      </c>
      <c r="G196" t="str">
        <f>VLOOKUP(Levererat_2015[[#This Row],[Indexnamn]],'Leveranser per nät'!$A$4:$A$514,1,FALSE)</f>
        <v>Lycksele</v>
      </c>
    </row>
    <row r="197" spans="1:7" x14ac:dyDescent="0.25">
      <c r="A197" t="s">
        <v>668</v>
      </c>
      <c r="B197" t="s">
        <v>405</v>
      </c>
      <c r="C197" t="s">
        <v>405</v>
      </c>
      <c r="D197">
        <v>2.1</v>
      </c>
      <c r="E197">
        <v>0</v>
      </c>
      <c r="F197">
        <f>IFERROR(Levererat_2015[[#This Row],[Leveranser:]]-Levererat_2015[[#This Row],[Leveranser till annat fjärrvärmebolag]],"")</f>
        <v>2.1</v>
      </c>
      <c r="G197" t="str">
        <f>VLOOKUP(Levererat_2015[[#This Row],[Indexnamn]],'Leveranser per nät'!$A$4:$A$514,1,FALSE)</f>
        <v>Lyrestad</v>
      </c>
    </row>
    <row r="198" spans="1:7" x14ac:dyDescent="0.25">
      <c r="A198" t="s">
        <v>669</v>
      </c>
      <c r="B198" t="s">
        <v>187</v>
      </c>
      <c r="C198" t="s">
        <v>187</v>
      </c>
      <c r="D198">
        <v>40.548999999999999</v>
      </c>
      <c r="E198">
        <v>0</v>
      </c>
      <c r="F198">
        <f>IFERROR(Levererat_2015[[#This Row],[Leveranser:]]-Levererat_2015[[#This Row],[Leveranser till annat fjärrvärmebolag]],"")</f>
        <v>40.548999999999999</v>
      </c>
      <c r="G198" t="str">
        <f>VLOOKUP(Levererat_2015[[#This Row],[Indexnamn]],'Leveranser per nät'!$A$4:$A$514,1,FALSE)</f>
        <v>Lysekil</v>
      </c>
    </row>
    <row r="199" spans="1:7" x14ac:dyDescent="0.25">
      <c r="A199" t="s">
        <v>809</v>
      </c>
      <c r="B199" t="s">
        <v>69</v>
      </c>
      <c r="C199" t="s">
        <v>69</v>
      </c>
      <c r="D199">
        <v>3.8</v>
      </c>
      <c r="E199">
        <v>0</v>
      </c>
      <c r="F199">
        <f>IFERROR(Levererat_2015[[#This Row],[Leveranser:]]-Levererat_2015[[#This Row],[Leveranser till annat fjärrvärmebolag]],"")</f>
        <v>3.8</v>
      </c>
      <c r="G199" t="str">
        <f>VLOOKUP(Levererat_2015[[#This Row],[Indexnamn]],'Leveranser per nät'!$A$4:$A$514,1,FALSE)</f>
        <v>Långsele</v>
      </c>
    </row>
    <row r="200" spans="1:7" x14ac:dyDescent="0.25">
      <c r="A200" t="s">
        <v>611</v>
      </c>
      <c r="B200" t="s">
        <v>147</v>
      </c>
      <c r="C200" t="s">
        <v>147</v>
      </c>
      <c r="D200">
        <v>6.6</v>
      </c>
      <c r="E200">
        <v>0</v>
      </c>
      <c r="F200">
        <f>IFERROR(Levererat_2015[[#This Row],[Leveranser:]]-Levererat_2015[[#This Row],[Leveranser till annat fjärrvärmebolag]],"")</f>
        <v>6.6</v>
      </c>
      <c r="G200" t="str">
        <f>VLOOKUP(Levererat_2015[[#This Row],[Indexnamn]],'Leveranser per nät'!$A$4:$A$514,1,FALSE)</f>
        <v>Långshyttan</v>
      </c>
    </row>
    <row r="201" spans="1:7" x14ac:dyDescent="0.25">
      <c r="A201" t="s">
        <v>574</v>
      </c>
      <c r="B201" t="s">
        <v>24</v>
      </c>
      <c r="C201" t="s">
        <v>24</v>
      </c>
      <c r="D201">
        <v>2.0819999999999999</v>
      </c>
      <c r="E201">
        <v>0</v>
      </c>
      <c r="F201">
        <f>IFERROR(Levererat_2015[[#This Row],[Leveranser:]]-Levererat_2015[[#This Row],[Leveranser till annat fjärrvärmebolag]],"")</f>
        <v>2.0819999999999999</v>
      </c>
      <c r="G201" t="str">
        <f>VLOOKUP(Levererat_2015[[#This Row],[Indexnamn]],'Leveranser per nät'!$A$4:$A$514,1,FALSE)</f>
        <v>Löttorp</v>
      </c>
    </row>
    <row r="202" spans="1:7" x14ac:dyDescent="0.25">
      <c r="A202" t="s">
        <v>571</v>
      </c>
      <c r="B202" t="s">
        <v>271</v>
      </c>
      <c r="C202" t="s">
        <v>271</v>
      </c>
      <c r="D202">
        <v>2.3530000000000002</v>
      </c>
      <c r="E202">
        <v>0</v>
      </c>
      <c r="F202">
        <f>IFERROR(Levererat_2015[[#This Row],[Leveranser:]]-Levererat_2015[[#This Row],[Leveranser till annat fjärrvärmebolag]],"")</f>
        <v>2.3530000000000002</v>
      </c>
      <c r="G202" t="str">
        <f>VLOOKUP(Levererat_2015[[#This Row],[Indexnamn]],'Leveranser per nät'!$A$4:$A$514,1,FALSE)</f>
        <v>Lövånger</v>
      </c>
    </row>
    <row r="203" spans="1:7" x14ac:dyDescent="0.25">
      <c r="A203" t="s">
        <v>670</v>
      </c>
      <c r="B203" t="s">
        <v>818</v>
      </c>
      <c r="D203" t="s">
        <v>779</v>
      </c>
      <c r="E203">
        <v>0</v>
      </c>
      <c r="F203" t="str">
        <f>IFERROR(Levererat_2015[[#This Row],[Leveranser:]]-Levererat_2015[[#This Row],[Leveranser till annat fjärrvärmebolag]],"")</f>
        <v/>
      </c>
      <c r="G203" t="e">
        <f>VLOOKUP(Levererat_2015[[#This Row],[Indexnamn]],'Leveranser per nät'!$A$4:$A$514,1,FALSE)</f>
        <v>#N/A</v>
      </c>
    </row>
    <row r="204" spans="1:7" x14ac:dyDescent="0.25">
      <c r="A204" t="s">
        <v>800</v>
      </c>
      <c r="B204" t="s">
        <v>200</v>
      </c>
      <c r="C204" t="s">
        <v>200</v>
      </c>
      <c r="D204">
        <v>13.595000000000001</v>
      </c>
      <c r="E204">
        <v>0</v>
      </c>
      <c r="F204">
        <f>IFERROR(Levererat_2015[[#This Row],[Leveranser:]]-Levererat_2015[[#This Row],[Leveranser till annat fjärrvärmebolag]],"")</f>
        <v>13.595000000000001</v>
      </c>
      <c r="G204" t="str">
        <f>VLOOKUP(Levererat_2015[[#This Row],[Indexnamn]],'Leveranser per nät'!$A$4:$A$514,1,FALSE)</f>
        <v>Malmköping</v>
      </c>
    </row>
    <row r="205" spans="1:7" x14ac:dyDescent="0.25">
      <c r="A205" t="s">
        <v>561</v>
      </c>
      <c r="B205" t="s">
        <v>43</v>
      </c>
      <c r="C205" t="s">
        <v>43</v>
      </c>
      <c r="D205">
        <v>2052</v>
      </c>
      <c r="E205">
        <v>0</v>
      </c>
      <c r="F205">
        <f>IFERROR(Levererat_2015[[#This Row],[Leveranser:]]-Levererat_2015[[#This Row],[Leveranser till annat fjärrvärmebolag]],"")</f>
        <v>2052</v>
      </c>
      <c r="G205" t="str">
        <f>VLOOKUP(Levererat_2015[[#This Row],[Indexnamn]],'Leveranser per nät'!$A$4:$A$514,1,FALSE)</f>
        <v>Malmö</v>
      </c>
    </row>
    <row r="206" spans="1:7" x14ac:dyDescent="0.25">
      <c r="A206" t="s">
        <v>671</v>
      </c>
      <c r="B206" t="s">
        <v>201</v>
      </c>
      <c r="C206" t="s">
        <v>201</v>
      </c>
      <c r="D206">
        <v>28.8</v>
      </c>
      <c r="E206">
        <v>0</v>
      </c>
      <c r="F206">
        <f>IFERROR(Levererat_2015[[#This Row],[Leveranser:]]-Levererat_2015[[#This Row],[Leveranser till annat fjärrvärmebolag]],"")</f>
        <v>28.8</v>
      </c>
      <c r="G206" t="str">
        <f>VLOOKUP(Levererat_2015[[#This Row],[Indexnamn]],'Leveranser per nät'!$A$4:$A$514,1,FALSE)</f>
        <v>Malung</v>
      </c>
    </row>
    <row r="207" spans="1:7" x14ac:dyDescent="0.25">
      <c r="A207" t="s">
        <v>571</v>
      </c>
      <c r="B207" t="s">
        <v>257</v>
      </c>
      <c r="C207" t="s">
        <v>257</v>
      </c>
      <c r="D207">
        <v>67.852999999999994</v>
      </c>
      <c r="E207">
        <v>0</v>
      </c>
      <c r="F207">
        <f>IFERROR(Levererat_2015[[#This Row],[Leveranser:]]-Levererat_2015[[#This Row],[Leveranser till annat fjärrvärmebolag]],"")</f>
        <v>67.852999999999994</v>
      </c>
      <c r="G207" t="str">
        <f>VLOOKUP(Levererat_2015[[#This Row],[Indexnamn]],'Leveranser per nät'!$A$4:$A$514,1,FALSE)</f>
        <v>Malå</v>
      </c>
    </row>
    <row r="208" spans="1:7" x14ac:dyDescent="0.25">
      <c r="A208" t="s">
        <v>589</v>
      </c>
      <c r="B208" t="s">
        <v>93</v>
      </c>
      <c r="C208" t="s">
        <v>93</v>
      </c>
      <c r="D208">
        <v>13.257</v>
      </c>
      <c r="E208">
        <v>0</v>
      </c>
      <c r="F208">
        <f>IFERROR(Levererat_2015[[#This Row],[Leveranser:]]-Levererat_2015[[#This Row],[Leveranser till annat fjärrvärmebolag]],"")</f>
        <v>13.257</v>
      </c>
      <c r="G208" t="str">
        <f>VLOOKUP(Levererat_2015[[#This Row],[Indexnamn]],'Leveranser per nät'!$A$4:$A$514,1,FALSE)</f>
        <v>Mariannelund</v>
      </c>
    </row>
    <row r="209" spans="1:7" x14ac:dyDescent="0.25">
      <c r="A209" t="s">
        <v>668</v>
      </c>
      <c r="B209" t="s">
        <v>202</v>
      </c>
      <c r="C209" t="s">
        <v>202</v>
      </c>
      <c r="D209">
        <v>119.6</v>
      </c>
      <c r="E209">
        <v>0</v>
      </c>
      <c r="F209">
        <f>IFERROR(Levererat_2015[[#This Row],[Leveranser:]]-Levererat_2015[[#This Row],[Leveranser till annat fjärrvärmebolag]],"")</f>
        <v>119.6</v>
      </c>
      <c r="G209" t="str">
        <f>VLOOKUP(Levererat_2015[[#This Row],[Indexnamn]],'Leveranser per nät'!$A$4:$A$514,1,FALSE)</f>
        <v>Mariestad</v>
      </c>
    </row>
    <row r="210" spans="1:7" x14ac:dyDescent="0.25">
      <c r="A210" t="s">
        <v>657</v>
      </c>
      <c r="B210" t="s">
        <v>294</v>
      </c>
      <c r="C210" t="s">
        <v>294</v>
      </c>
      <c r="D210">
        <v>14.74</v>
      </c>
      <c r="E210">
        <v>0</v>
      </c>
      <c r="F210">
        <f>IFERROR(Levererat_2015[[#This Row],[Leveranser:]]-Levererat_2015[[#This Row],[Leveranser till annat fjärrvärmebolag]],"")</f>
        <v>14.74</v>
      </c>
      <c r="G210" t="str">
        <f>VLOOKUP(Levererat_2015[[#This Row],[Indexnamn]],'Leveranser per nät'!$A$4:$A$514,1,FALSE)</f>
        <v>Matfors</v>
      </c>
    </row>
    <row r="211" spans="1:7" x14ac:dyDescent="0.25">
      <c r="A211" t="s">
        <v>673</v>
      </c>
      <c r="B211" t="s">
        <v>205</v>
      </c>
      <c r="C211" t="s">
        <v>205</v>
      </c>
      <c r="D211">
        <v>165.3</v>
      </c>
      <c r="E211">
        <v>1.07</v>
      </c>
      <c r="F211">
        <f>IFERROR(Levererat_2015[[#This Row],[Leveranser:]]-Levererat_2015[[#This Row],[Leveranser till annat fjärrvärmebolag]],"")</f>
        <v>164.23000000000002</v>
      </c>
      <c r="G211" t="str">
        <f>VLOOKUP(Levererat_2015[[#This Row],[Indexnamn]],'Leveranser per nät'!$A$4:$A$514,1,FALSE)</f>
        <v>Mjölby</v>
      </c>
    </row>
    <row r="212" spans="1:7" x14ac:dyDescent="0.25">
      <c r="A212" t="s">
        <v>666</v>
      </c>
      <c r="B212" t="s">
        <v>795</v>
      </c>
      <c r="D212">
        <v>0.78900000000000003</v>
      </c>
      <c r="E212">
        <v>0</v>
      </c>
      <c r="F212">
        <f>IFERROR(Levererat_2015[[#This Row],[Leveranser:]]-Levererat_2015[[#This Row],[Leveranser till annat fjärrvärmebolag]],"")</f>
        <v>0.78900000000000003</v>
      </c>
      <c r="G212" t="e">
        <f>VLOOKUP(Levererat_2015[[#This Row],[Indexnamn]],'Leveranser per nät'!$A$4:$A$514,1,FALSE)</f>
        <v>#N/A</v>
      </c>
    </row>
    <row r="213" spans="1:7" x14ac:dyDescent="0.25">
      <c r="A213" t="s">
        <v>549</v>
      </c>
      <c r="B213" t="s">
        <v>3</v>
      </c>
      <c r="C213" t="s">
        <v>3</v>
      </c>
      <c r="D213" t="s">
        <v>779</v>
      </c>
      <c r="E213">
        <v>0</v>
      </c>
      <c r="F213" t="str">
        <f>IFERROR(Levererat_2015[[#This Row],[Leveranser:]]-Levererat_2015[[#This Row],[Leveranser till annat fjärrvärmebolag]],"")</f>
        <v/>
      </c>
      <c r="G213" t="str">
        <f>VLOOKUP(Levererat_2015[[#This Row],[Indexnamn]],'Leveranser per nät'!$A$4:$A$514,1,FALSE)</f>
        <v>Moheda</v>
      </c>
    </row>
    <row r="214" spans="1:7" x14ac:dyDescent="0.25">
      <c r="A214" t="s">
        <v>569</v>
      </c>
      <c r="B214" t="s">
        <v>491</v>
      </c>
      <c r="C214" t="s">
        <v>491</v>
      </c>
      <c r="D214">
        <v>0.56200000000000006</v>
      </c>
      <c r="E214">
        <v>0</v>
      </c>
      <c r="F214">
        <f>IFERROR(Levererat_2015[[#This Row],[Leveranser:]]-Levererat_2015[[#This Row],[Leveranser till annat fjärrvärmebolag]],"")</f>
        <v>0.56200000000000006</v>
      </c>
      <c r="G214" t="str">
        <f>VLOOKUP(Levererat_2015[[#This Row],[Indexnamn]],'Leveranser per nät'!$A$4:$A$514,1,FALSE)</f>
        <v>Moliden</v>
      </c>
    </row>
    <row r="215" spans="1:7" x14ac:dyDescent="0.25">
      <c r="A215" t="s">
        <v>561</v>
      </c>
      <c r="B215" t="s">
        <v>52</v>
      </c>
      <c r="C215" t="s">
        <v>52</v>
      </c>
      <c r="D215">
        <v>99.8</v>
      </c>
      <c r="E215">
        <v>0</v>
      </c>
      <c r="F215">
        <f>IFERROR(Levererat_2015[[#This Row],[Leveranser:]]-Levererat_2015[[#This Row],[Leveranser till annat fjärrvärmebolag]],"")</f>
        <v>99.8</v>
      </c>
      <c r="G215" t="str">
        <f>VLOOKUP(Levererat_2015[[#This Row],[Indexnamn]],'Leveranser per nät'!$A$4:$A$514,1,FALSE)</f>
        <v>Mora</v>
      </c>
    </row>
    <row r="216" spans="1:7" x14ac:dyDescent="0.25">
      <c r="A216" t="s">
        <v>556</v>
      </c>
      <c r="B216" t="s">
        <v>336</v>
      </c>
      <c r="C216" t="s">
        <v>336</v>
      </c>
      <c r="D216">
        <v>148.30000000000001</v>
      </c>
      <c r="E216">
        <v>0</v>
      </c>
      <c r="F216">
        <f>IFERROR(Levererat_2015[[#This Row],[Leveranser:]]-Levererat_2015[[#This Row],[Leveranser till annat fjärrvärmebolag]],"")</f>
        <v>148.30000000000001</v>
      </c>
      <c r="G216" t="str">
        <f>VLOOKUP(Levererat_2015[[#This Row],[Indexnamn]],'Leveranser per nät'!$A$4:$A$514,1,FALSE)</f>
        <v>Motala</v>
      </c>
    </row>
    <row r="217" spans="1:7" x14ac:dyDescent="0.25">
      <c r="A217" t="s">
        <v>674</v>
      </c>
      <c r="B217" t="s">
        <v>493</v>
      </c>
      <c r="C217" t="s">
        <v>493</v>
      </c>
      <c r="D217">
        <v>17.298999999999999</v>
      </c>
      <c r="E217">
        <v>0</v>
      </c>
      <c r="F217">
        <f>IFERROR(Levererat_2015[[#This Row],[Leveranser:]]-Levererat_2015[[#This Row],[Leveranser till annat fjärrvärmebolag]],"")</f>
        <v>17.298999999999999</v>
      </c>
      <c r="G217" t="str">
        <f>VLOOKUP(Levererat_2015[[#This Row],[Indexnamn]],'Leveranser per nät'!$A$4:$A$514,1,FALSE)</f>
        <v>Mullsjö</v>
      </c>
    </row>
    <row r="218" spans="1:7" x14ac:dyDescent="0.25">
      <c r="A218" t="s">
        <v>665</v>
      </c>
      <c r="B218" t="s">
        <v>319</v>
      </c>
      <c r="C218" t="s">
        <v>319</v>
      </c>
      <c r="D218">
        <v>6.2</v>
      </c>
      <c r="E218">
        <v>0</v>
      </c>
      <c r="F218">
        <f>IFERROR(Levererat_2015[[#This Row],[Leveranser:]]-Levererat_2015[[#This Row],[Leveranser till annat fjärrvärmebolag]],"")</f>
        <v>6.2</v>
      </c>
      <c r="G218" t="str">
        <f>VLOOKUP(Levererat_2015[[#This Row],[Indexnamn]],'Leveranser per nät'!$A$4:$A$514,1,FALSE)</f>
        <v>Munkedal</v>
      </c>
    </row>
    <row r="219" spans="1:7" x14ac:dyDescent="0.25">
      <c r="A219" t="s">
        <v>675</v>
      </c>
      <c r="B219" t="s">
        <v>206</v>
      </c>
      <c r="C219" t="s">
        <v>206</v>
      </c>
      <c r="D219" t="s">
        <v>779</v>
      </c>
      <c r="E219">
        <v>0</v>
      </c>
      <c r="F219" t="str">
        <f>IFERROR(Levererat_2015[[#This Row],[Leveranser:]]-Levererat_2015[[#This Row],[Leveranser till annat fjärrvärmebolag]],"")</f>
        <v/>
      </c>
      <c r="G219" t="str">
        <f>VLOOKUP(Levererat_2015[[#This Row],[Indexnamn]],'Leveranser per nät'!$A$4:$A$514,1,FALSE)</f>
        <v>Munkfors</v>
      </c>
    </row>
    <row r="220" spans="1:7" x14ac:dyDescent="0.25">
      <c r="A220" t="s">
        <v>676</v>
      </c>
      <c r="B220" t="s">
        <v>210</v>
      </c>
      <c r="C220" t="s">
        <v>210</v>
      </c>
      <c r="D220">
        <v>343.95</v>
      </c>
      <c r="E220">
        <v>106.268</v>
      </c>
      <c r="F220">
        <f>IFERROR(Levererat_2015[[#This Row],[Leveranser:]]-Levererat_2015[[#This Row],[Leveranser till annat fjärrvärmebolag]],"")</f>
        <v>237.68199999999999</v>
      </c>
      <c r="G220" t="str">
        <f>VLOOKUP(Levererat_2015[[#This Row],[Indexnamn]],'Leveranser per nät'!$A$4:$A$514,1,FALSE)</f>
        <v>Mölndal</v>
      </c>
    </row>
    <row r="221" spans="1:7" x14ac:dyDescent="0.25">
      <c r="A221" t="s">
        <v>676</v>
      </c>
      <c r="B221" t="s">
        <v>819</v>
      </c>
      <c r="D221">
        <v>32.939</v>
      </c>
      <c r="E221">
        <v>0</v>
      </c>
      <c r="F221">
        <f>IFERROR(Levererat_2015[[#This Row],[Leveranser:]]-Levererat_2015[[#This Row],[Leveranser till annat fjärrvärmebolag]],"")</f>
        <v>32.939</v>
      </c>
      <c r="G221" t="e">
        <f>VLOOKUP(Levererat_2015[[#This Row],[Indexnamn]],'Leveranser per nät'!$A$4:$A$514,1,FALSE)</f>
        <v>#N/A</v>
      </c>
    </row>
    <row r="222" spans="1:7" x14ac:dyDescent="0.25">
      <c r="A222" t="s">
        <v>676</v>
      </c>
      <c r="B222" t="s">
        <v>677</v>
      </c>
      <c r="D222">
        <v>13.396000000000001</v>
      </c>
      <c r="E222">
        <v>0</v>
      </c>
      <c r="F222">
        <f>IFERROR(Levererat_2015[[#This Row],[Leveranser:]]-Levererat_2015[[#This Row],[Leveranser till annat fjärrvärmebolag]],"")</f>
        <v>13.396000000000001</v>
      </c>
      <c r="G222" t="e">
        <f>VLOOKUP(Levererat_2015[[#This Row],[Indexnamn]],'Leveranser per nät'!$A$4:$A$514,1,FALSE)</f>
        <v>#N/A</v>
      </c>
    </row>
    <row r="223" spans="1:7" x14ac:dyDescent="0.25">
      <c r="A223" t="s">
        <v>595</v>
      </c>
      <c r="B223" t="s">
        <v>356</v>
      </c>
      <c r="C223" t="s">
        <v>356</v>
      </c>
      <c r="D223">
        <v>17.452999999999999</v>
      </c>
      <c r="E223">
        <v>0</v>
      </c>
      <c r="F223">
        <f>IFERROR(Levererat_2015[[#This Row],[Leveranser:]]-Levererat_2015[[#This Row],[Leveranser till annat fjärrvärmebolag]],"")</f>
        <v>17.452999999999999</v>
      </c>
      <c r="G223" t="str">
        <f>VLOOKUP(Levererat_2015[[#This Row],[Indexnamn]],'Leveranser per nät'!$A$4:$A$514,1,FALSE)</f>
        <v>Norberg</v>
      </c>
    </row>
    <row r="224" spans="1:7" x14ac:dyDescent="0.25">
      <c r="A224" t="s">
        <v>678</v>
      </c>
      <c r="B224" t="s">
        <v>232</v>
      </c>
      <c r="C224" t="s">
        <v>232</v>
      </c>
      <c r="D224">
        <v>5.65</v>
      </c>
      <c r="E224">
        <v>0</v>
      </c>
      <c r="F224">
        <f>IFERROR(Levererat_2015[[#This Row],[Leveranser:]]-Levererat_2015[[#This Row],[Leveranser till annat fjärrvärmebolag]],"")</f>
        <v>5.65</v>
      </c>
      <c r="G224" t="str">
        <f>VLOOKUP(Levererat_2015[[#This Row],[Indexnamn]],'Leveranser per nät'!$A$4:$A$514,1,FALSE)</f>
        <v>Norrfjärden</v>
      </c>
    </row>
    <row r="225" spans="1:7" x14ac:dyDescent="0.25">
      <c r="A225" t="s">
        <v>561</v>
      </c>
      <c r="B225" t="s">
        <v>88</v>
      </c>
      <c r="C225" t="s">
        <v>88</v>
      </c>
      <c r="D225">
        <v>867</v>
      </c>
      <c r="E225">
        <v>0</v>
      </c>
      <c r="F225">
        <f>IFERROR(Levererat_2015[[#This Row],[Leveranser:]]-Levererat_2015[[#This Row],[Leveranser till annat fjärrvärmebolag]],"")</f>
        <v>867</v>
      </c>
      <c r="G225" t="str">
        <f>VLOOKUP(Levererat_2015[[#This Row],[Indexnamn]],'Leveranser per nät'!$A$4:$A$514,1,FALSE)</f>
        <v>Norrköping</v>
      </c>
    </row>
    <row r="226" spans="1:7" x14ac:dyDescent="0.25">
      <c r="A226" t="s">
        <v>563</v>
      </c>
      <c r="B226" t="s">
        <v>494</v>
      </c>
      <c r="C226" t="s">
        <v>494</v>
      </c>
      <c r="D226">
        <v>3.306</v>
      </c>
      <c r="E226">
        <v>0</v>
      </c>
      <c r="F226">
        <f>IFERROR(Levererat_2015[[#This Row],[Leveranser:]]-Levererat_2015[[#This Row],[Leveranser till annat fjärrvärmebolag]],"")</f>
        <v>3.306</v>
      </c>
      <c r="G226" t="str">
        <f>VLOOKUP(Levererat_2015[[#This Row],[Indexnamn]],'Leveranser per nät'!$A$4:$A$514,1,FALSE)</f>
        <v>Norrsundet</v>
      </c>
    </row>
    <row r="227" spans="1:7" x14ac:dyDescent="0.25">
      <c r="A227" t="s">
        <v>621</v>
      </c>
      <c r="B227" t="s">
        <v>221</v>
      </c>
      <c r="C227" t="s">
        <v>221</v>
      </c>
      <c r="D227">
        <v>114.63500000000001</v>
      </c>
      <c r="E227">
        <v>0</v>
      </c>
      <c r="F227">
        <f>IFERROR(Levererat_2015[[#This Row],[Leveranser:]]-Levererat_2015[[#This Row],[Leveranser till annat fjärrvärmebolag]],"")</f>
        <v>114.63500000000001</v>
      </c>
      <c r="G227" t="str">
        <f>VLOOKUP(Levererat_2015[[#This Row],[Indexnamn]],'Leveranser per nät'!$A$4:$A$514,1,FALSE)</f>
        <v>Norrtälje</v>
      </c>
    </row>
    <row r="228" spans="1:7" x14ac:dyDescent="0.25">
      <c r="A228" t="s">
        <v>571</v>
      </c>
      <c r="B228" t="s">
        <v>258</v>
      </c>
      <c r="C228" t="s">
        <v>258</v>
      </c>
      <c r="D228">
        <v>11.77</v>
      </c>
      <c r="E228">
        <v>0</v>
      </c>
      <c r="F228">
        <f>IFERROR(Levererat_2015[[#This Row],[Leveranser:]]-Levererat_2015[[#This Row],[Leveranser till annat fjärrvärmebolag]],"")</f>
        <v>11.77</v>
      </c>
      <c r="G228" t="str">
        <f>VLOOKUP(Levererat_2015[[#This Row],[Indexnamn]],'Leveranser per nät'!$A$4:$A$514,1,FALSE)</f>
        <v>Norsjö</v>
      </c>
    </row>
    <row r="229" spans="1:7" x14ac:dyDescent="0.25">
      <c r="A229" t="s">
        <v>679</v>
      </c>
      <c r="B229" t="s">
        <v>820</v>
      </c>
      <c r="C229" t="s">
        <v>163</v>
      </c>
      <c r="D229">
        <v>130.5</v>
      </c>
      <c r="E229">
        <v>0</v>
      </c>
      <c r="F229">
        <f>IFERROR(Levererat_2015[[#This Row],[Leveranser:]]-Levererat_2015[[#This Row],[Leveranser till annat fjärrvärmebolag]],"")</f>
        <v>130.5</v>
      </c>
      <c r="G229" t="str">
        <f>VLOOKUP(Levererat_2015[[#This Row],[Indexnamn]],'Leveranser per nät'!$A$4:$A$514,1,FALSE)</f>
        <v>Nybro</v>
      </c>
    </row>
    <row r="230" spans="1:7" x14ac:dyDescent="0.25">
      <c r="A230" t="s">
        <v>556</v>
      </c>
      <c r="B230" t="s">
        <v>337</v>
      </c>
      <c r="C230" t="s">
        <v>337</v>
      </c>
      <c r="D230">
        <v>256.2</v>
      </c>
      <c r="E230">
        <v>0</v>
      </c>
      <c r="F230">
        <f>IFERROR(Levererat_2015[[#This Row],[Leveranser:]]-Levererat_2015[[#This Row],[Leveranser till annat fjärrvärmebolag]],"")</f>
        <v>256.2</v>
      </c>
      <c r="G230" t="str">
        <f>VLOOKUP(Levererat_2015[[#This Row],[Indexnamn]],'Leveranser per nät'!$A$4:$A$514,1,FALSE)</f>
        <v>Nyköping</v>
      </c>
    </row>
    <row r="231" spans="1:7" x14ac:dyDescent="0.25">
      <c r="A231" t="s">
        <v>558</v>
      </c>
      <c r="B231" t="s">
        <v>121</v>
      </c>
      <c r="C231" t="s">
        <v>121</v>
      </c>
      <c r="D231">
        <v>53.823999999999998</v>
      </c>
      <c r="E231">
        <v>0</v>
      </c>
      <c r="F231">
        <f>IFERROR(Levererat_2015[[#This Row],[Leveranser:]]-Levererat_2015[[#This Row],[Leveranser till annat fjärrvärmebolag]],"")</f>
        <v>53.823999999999998</v>
      </c>
      <c r="G231" t="str">
        <f>VLOOKUP(Levererat_2015[[#This Row],[Indexnamn]],'Leveranser per nät'!$A$4:$A$514,1,FALSE)</f>
        <v>Nynäshamn</v>
      </c>
    </row>
    <row r="232" spans="1:7" x14ac:dyDescent="0.25">
      <c r="A232" t="s">
        <v>551</v>
      </c>
      <c r="B232" t="s">
        <v>223</v>
      </c>
      <c r="C232" t="s">
        <v>223</v>
      </c>
      <c r="D232">
        <v>146.80199999999999</v>
      </c>
      <c r="E232">
        <v>0</v>
      </c>
      <c r="F232">
        <f>IFERROR(Levererat_2015[[#This Row],[Leveranser:]]-Levererat_2015[[#This Row],[Leveranser till annat fjärrvärmebolag]],"")</f>
        <v>146.80199999999999</v>
      </c>
      <c r="G232" t="str">
        <f>VLOOKUP(Levererat_2015[[#This Row],[Indexnamn]],'Leveranser per nät'!$A$4:$A$514,1,FALSE)</f>
        <v>Nässjö</v>
      </c>
    </row>
    <row r="233" spans="1:7" x14ac:dyDescent="0.25">
      <c r="A233" t="s">
        <v>558</v>
      </c>
      <c r="B233" t="s">
        <v>127</v>
      </c>
      <c r="C233" t="s">
        <v>127</v>
      </c>
      <c r="D233">
        <v>1.591</v>
      </c>
      <c r="E233">
        <v>0</v>
      </c>
      <c r="F233">
        <f>IFERROR(Levererat_2015[[#This Row],[Leveranser:]]-Levererat_2015[[#This Row],[Leveranser till annat fjärrvärmebolag]],"")</f>
        <v>1.591</v>
      </c>
      <c r="G233" t="str">
        <f>VLOOKUP(Levererat_2015[[#This Row],[Indexnamn]],'Leveranser per nät'!$A$4:$A$514,1,FALSE)</f>
        <v>Näsviken</v>
      </c>
    </row>
    <row r="234" spans="1:7" x14ac:dyDescent="0.25">
      <c r="A234" t="s">
        <v>809</v>
      </c>
      <c r="B234" t="s">
        <v>71</v>
      </c>
      <c r="C234" t="s">
        <v>71</v>
      </c>
      <c r="D234">
        <v>1.7</v>
      </c>
      <c r="E234">
        <v>0</v>
      </c>
      <c r="F234">
        <f>IFERROR(Levererat_2015[[#This Row],[Leveranser:]]-Levererat_2015[[#This Row],[Leveranser till annat fjärrvärmebolag]],"")</f>
        <v>1.7</v>
      </c>
      <c r="G234" t="str">
        <f>VLOOKUP(Levererat_2015[[#This Row],[Indexnamn]],'Leveranser per nät'!$A$4:$A$514,1,FALSE)</f>
        <v>Näsåker</v>
      </c>
    </row>
    <row r="235" spans="1:7" x14ac:dyDescent="0.25">
      <c r="A235" t="s">
        <v>639</v>
      </c>
      <c r="B235" t="s">
        <v>682</v>
      </c>
      <c r="C235" t="s">
        <v>682</v>
      </c>
      <c r="D235">
        <v>3.5</v>
      </c>
      <c r="E235">
        <v>0</v>
      </c>
      <c r="F235">
        <f>IFERROR(Levererat_2015[[#This Row],[Leveranser:]]-Levererat_2015[[#This Row],[Leveranser till annat fjärrvärmebolag]],"")</f>
        <v>3.5</v>
      </c>
      <c r="G235" t="str">
        <f>VLOOKUP(Levererat_2015[[#This Row],[Indexnamn]],'Leveranser per nät'!$A$4:$A$514,1,FALSE)</f>
        <v>Nättraby</v>
      </c>
    </row>
    <row r="236" spans="1:7" x14ac:dyDescent="0.25">
      <c r="A236" t="s">
        <v>563</v>
      </c>
      <c r="B236" t="s">
        <v>8</v>
      </c>
      <c r="C236" t="s">
        <v>8</v>
      </c>
      <c r="D236">
        <v>22.541</v>
      </c>
      <c r="E236">
        <v>0</v>
      </c>
      <c r="F236">
        <f>IFERROR(Levererat_2015[[#This Row],[Leveranser:]]-Levererat_2015[[#This Row],[Leveranser till annat fjärrvärmebolag]],"")</f>
        <v>22.541</v>
      </c>
      <c r="G236" t="str">
        <f>VLOOKUP(Levererat_2015[[#This Row],[Indexnamn]],'Leveranser per nät'!$A$4:$A$514,1,FALSE)</f>
        <v>Ockelbo</v>
      </c>
    </row>
    <row r="237" spans="1:7" x14ac:dyDescent="0.25">
      <c r="A237" t="s">
        <v>683</v>
      </c>
      <c r="B237" t="s">
        <v>226</v>
      </c>
      <c r="C237" t="s">
        <v>226</v>
      </c>
      <c r="D237">
        <v>42.54</v>
      </c>
      <c r="E237">
        <v>0</v>
      </c>
      <c r="F237">
        <f>IFERROR(Levererat_2015[[#This Row],[Leveranser:]]-Levererat_2015[[#This Row],[Leveranser till annat fjärrvärmebolag]],"")</f>
        <v>42.54</v>
      </c>
      <c r="G237" t="str">
        <f>VLOOKUP(Levererat_2015[[#This Row],[Indexnamn]],'Leveranser per nät'!$A$4:$A$514,1,FALSE)</f>
        <v>Olofström</v>
      </c>
    </row>
    <row r="238" spans="1:7" x14ac:dyDescent="0.25">
      <c r="A238" t="s">
        <v>575</v>
      </c>
      <c r="B238" t="s">
        <v>26</v>
      </c>
      <c r="C238" t="s">
        <v>26</v>
      </c>
      <c r="D238">
        <v>1.621</v>
      </c>
      <c r="E238">
        <v>0</v>
      </c>
      <c r="F238">
        <f>IFERROR(Levererat_2015[[#This Row],[Leveranser:]]-Levererat_2015[[#This Row],[Leveranser till annat fjärrvärmebolag]],"")</f>
        <v>1.621</v>
      </c>
      <c r="G238" t="str">
        <f>VLOOKUP(Levererat_2015[[#This Row],[Indexnamn]],'Leveranser per nät'!$A$4:$A$514,1,FALSE)</f>
        <v>Ornäs</v>
      </c>
    </row>
    <row r="239" spans="1:7" x14ac:dyDescent="0.25">
      <c r="A239" t="s">
        <v>561</v>
      </c>
      <c r="B239" t="s">
        <v>53</v>
      </c>
      <c r="C239" t="s">
        <v>53</v>
      </c>
      <c r="D239">
        <v>22.66</v>
      </c>
      <c r="E239">
        <v>0</v>
      </c>
      <c r="F239">
        <f>IFERROR(Levererat_2015[[#This Row],[Leveranser:]]-Levererat_2015[[#This Row],[Leveranser till annat fjärrvärmebolag]],"")</f>
        <v>22.66</v>
      </c>
      <c r="G239" t="str">
        <f>VLOOKUP(Levererat_2015[[#This Row],[Indexnamn]],'Leveranser per nät'!$A$4:$A$514,1,FALSE)</f>
        <v>Orsa</v>
      </c>
    </row>
    <row r="240" spans="1:7" x14ac:dyDescent="0.25">
      <c r="A240" t="s">
        <v>684</v>
      </c>
      <c r="B240" t="s">
        <v>114</v>
      </c>
      <c r="C240" t="s">
        <v>114</v>
      </c>
      <c r="D240" t="s">
        <v>779</v>
      </c>
      <c r="E240">
        <v>0</v>
      </c>
      <c r="F240" t="str">
        <f>IFERROR(Levererat_2015[[#This Row],[Leveranser:]]-Levererat_2015[[#This Row],[Leveranser till annat fjärrvärmebolag]],"")</f>
        <v/>
      </c>
      <c r="G240" t="str">
        <f>VLOOKUP(Levererat_2015[[#This Row],[Indexnamn]],'Leveranser per nät'!$A$4:$A$514,1,FALSE)</f>
        <v>Osby</v>
      </c>
    </row>
    <row r="241" spans="1:7" x14ac:dyDescent="0.25">
      <c r="A241" t="s">
        <v>685</v>
      </c>
      <c r="B241" t="s">
        <v>227</v>
      </c>
      <c r="C241" t="s">
        <v>227</v>
      </c>
      <c r="D241">
        <v>126.2</v>
      </c>
      <c r="E241">
        <v>0</v>
      </c>
      <c r="F241">
        <f>IFERROR(Levererat_2015[[#This Row],[Leveranser:]]-Levererat_2015[[#This Row],[Leveranser till annat fjärrvärmebolag]],"")</f>
        <v>126.2</v>
      </c>
      <c r="G241" t="str">
        <f>VLOOKUP(Levererat_2015[[#This Row],[Indexnamn]],'Leveranser per nät'!$A$4:$A$514,1,FALSE)</f>
        <v>Oskarshamn</v>
      </c>
    </row>
    <row r="242" spans="1:7" x14ac:dyDescent="0.25">
      <c r="A242" t="s">
        <v>686</v>
      </c>
      <c r="B242" t="s">
        <v>228</v>
      </c>
      <c r="C242" t="s">
        <v>228</v>
      </c>
      <c r="D242">
        <v>76.8</v>
      </c>
      <c r="E242">
        <v>0</v>
      </c>
      <c r="F242">
        <f>IFERROR(Levererat_2015[[#This Row],[Leveranser:]]-Levererat_2015[[#This Row],[Leveranser till annat fjärrvärmebolag]],"")</f>
        <v>76.8</v>
      </c>
      <c r="G242" t="str">
        <f>VLOOKUP(Levererat_2015[[#This Row],[Indexnamn]],'Leveranser per nät'!$A$4:$A$514,1,FALSE)</f>
        <v>Oxelösund</v>
      </c>
    </row>
    <row r="243" spans="1:7" x14ac:dyDescent="0.25">
      <c r="A243" t="s">
        <v>616</v>
      </c>
      <c r="B243" t="s">
        <v>813</v>
      </c>
      <c r="D243" t="s">
        <v>779</v>
      </c>
      <c r="E243">
        <v>0</v>
      </c>
      <c r="F243" t="str">
        <f>IFERROR(Levererat_2015[[#This Row],[Leveranser:]]-Levererat_2015[[#This Row],[Leveranser till annat fjärrvärmebolag]],"")</f>
        <v/>
      </c>
    </row>
    <row r="244" spans="1:7" x14ac:dyDescent="0.25">
      <c r="A244" t="s">
        <v>687</v>
      </c>
      <c r="B244" t="s">
        <v>229</v>
      </c>
      <c r="C244" t="s">
        <v>229</v>
      </c>
      <c r="D244">
        <v>44.1</v>
      </c>
      <c r="E244">
        <v>0</v>
      </c>
      <c r="F244">
        <f>IFERROR(Levererat_2015[[#This Row],[Leveranser:]]-Levererat_2015[[#This Row],[Leveranser till annat fjärrvärmebolag]],"")</f>
        <v>44.1</v>
      </c>
      <c r="G244" t="str">
        <f>VLOOKUP(Levererat_2015[[#This Row],[Indexnamn]],'Leveranser per nät'!$A$4:$A$514,1,FALSE)</f>
        <v>Perstorp</v>
      </c>
    </row>
    <row r="245" spans="1:7" x14ac:dyDescent="0.25">
      <c r="A245" t="s">
        <v>678</v>
      </c>
      <c r="B245" t="s">
        <v>230</v>
      </c>
      <c r="C245" t="s">
        <v>230</v>
      </c>
      <c r="D245">
        <v>212.5</v>
      </c>
      <c r="E245">
        <v>0</v>
      </c>
      <c r="F245">
        <f>IFERROR(Levererat_2015[[#This Row],[Leveranser:]]-Levererat_2015[[#This Row],[Leveranser till annat fjärrvärmebolag]],"")</f>
        <v>212.5</v>
      </c>
      <c r="G245" t="str">
        <f>VLOOKUP(Levererat_2015[[#This Row],[Indexnamn]],'Leveranser per nät'!$A$4:$A$514,1,FALSE)</f>
        <v>Piteå</v>
      </c>
    </row>
    <row r="246" spans="1:7" x14ac:dyDescent="0.25">
      <c r="A246" t="s">
        <v>569</v>
      </c>
      <c r="B246" t="s">
        <v>802</v>
      </c>
      <c r="D246">
        <v>230.83</v>
      </c>
      <c r="E246">
        <v>0</v>
      </c>
      <c r="F246">
        <f>IFERROR(Levererat_2015[[#This Row],[Leveranser:]]-Levererat_2015[[#This Row],[Leveranser till annat fjärrvärmebolag]],"")</f>
        <v>230.83</v>
      </c>
      <c r="G246" t="e">
        <f>VLOOKUP(Levererat_2015[[#This Row],[Indexnamn]],'Leveranser per nät'!$A$4:$A$514,1,FALSE)</f>
        <v>#N/A</v>
      </c>
    </row>
    <row r="247" spans="1:7" x14ac:dyDescent="0.25">
      <c r="A247" t="s">
        <v>809</v>
      </c>
      <c r="B247" t="s">
        <v>72</v>
      </c>
      <c r="C247" t="s">
        <v>72</v>
      </c>
      <c r="D247">
        <v>5</v>
      </c>
      <c r="E247">
        <v>0</v>
      </c>
      <c r="F247">
        <f>IFERROR(Levererat_2015[[#This Row],[Leveranser:]]-Levererat_2015[[#This Row],[Leveranser till annat fjärrvärmebolag]],"")</f>
        <v>5</v>
      </c>
      <c r="G247" t="str">
        <f>VLOOKUP(Levererat_2015[[#This Row],[Indexnamn]],'Leveranser per nät'!$A$4:$A$514,1,FALSE)</f>
        <v>Ramsele</v>
      </c>
    </row>
    <row r="248" spans="1:7" x14ac:dyDescent="0.25">
      <c r="A248" t="s">
        <v>610</v>
      </c>
      <c r="B248" t="s">
        <v>413</v>
      </c>
      <c r="C248" t="s">
        <v>413</v>
      </c>
      <c r="D248">
        <v>2.0230000000000001</v>
      </c>
      <c r="E248">
        <v>0</v>
      </c>
      <c r="F248">
        <f>IFERROR(Levererat_2015[[#This Row],[Leveranser:]]-Levererat_2015[[#This Row],[Leveranser till annat fjärrvärmebolag]],"")</f>
        <v>2.0230000000000001</v>
      </c>
      <c r="G248" t="str">
        <f>VLOOKUP(Levererat_2015[[#This Row],[Indexnamn]],'Leveranser per nät'!$A$4:$A$514,1,FALSE)</f>
        <v>Reftele</v>
      </c>
    </row>
    <row r="249" spans="1:7" x14ac:dyDescent="0.25">
      <c r="A249" t="s">
        <v>621</v>
      </c>
      <c r="B249" t="s">
        <v>222</v>
      </c>
      <c r="C249" t="s">
        <v>222</v>
      </c>
      <c r="D249">
        <v>19.408999999999999</v>
      </c>
      <c r="E249">
        <v>0</v>
      </c>
      <c r="F249">
        <f>IFERROR(Levererat_2015[[#This Row],[Leveranser:]]-Levererat_2015[[#This Row],[Leveranser till annat fjärrvärmebolag]],"")</f>
        <v>19.408999999999999</v>
      </c>
      <c r="G249" t="str">
        <f>VLOOKUP(Levererat_2015[[#This Row],[Indexnamn]],'Leveranser per nät'!$A$4:$A$514,1,FALSE)</f>
        <v>Rimbo</v>
      </c>
    </row>
    <row r="250" spans="1:7" x14ac:dyDescent="0.25">
      <c r="A250" t="s">
        <v>571</v>
      </c>
      <c r="B250" t="s">
        <v>262</v>
      </c>
      <c r="C250" t="s">
        <v>262</v>
      </c>
      <c r="D250">
        <v>9.2639999999999993</v>
      </c>
      <c r="E250">
        <v>0</v>
      </c>
      <c r="F250">
        <f>IFERROR(Levererat_2015[[#This Row],[Leveranser:]]-Levererat_2015[[#This Row],[Leveranser till annat fjärrvärmebolag]],"")</f>
        <v>9.2639999999999993</v>
      </c>
      <c r="G250" t="str">
        <f>VLOOKUP(Levererat_2015[[#This Row],[Indexnamn]],'Leveranser per nät'!$A$4:$A$514,1,FALSE)</f>
        <v>Robertsfors</v>
      </c>
    </row>
    <row r="251" spans="1:7" x14ac:dyDescent="0.25">
      <c r="A251" t="s">
        <v>581</v>
      </c>
      <c r="B251" t="s">
        <v>414</v>
      </c>
      <c r="C251" t="s">
        <v>414</v>
      </c>
      <c r="D251">
        <v>91.3</v>
      </c>
      <c r="E251">
        <v>0</v>
      </c>
      <c r="F251">
        <f>IFERROR(Levererat_2015[[#This Row],[Leveranser:]]-Levererat_2015[[#This Row],[Leveranser till annat fjärrvärmebolag]],"")</f>
        <v>91.3</v>
      </c>
      <c r="G251" t="str">
        <f>VLOOKUP(Levererat_2015[[#This Row],[Indexnamn]],'Leveranser per nät'!$A$4:$A$514,1,FALSE)</f>
        <v>Ronneby-Kallinge</v>
      </c>
    </row>
    <row r="252" spans="1:7" x14ac:dyDescent="0.25">
      <c r="A252" t="s">
        <v>678</v>
      </c>
      <c r="B252" t="s">
        <v>233</v>
      </c>
      <c r="C252" t="s">
        <v>233</v>
      </c>
      <c r="D252">
        <v>1.28</v>
      </c>
      <c r="E252">
        <v>0</v>
      </c>
      <c r="F252">
        <f>IFERROR(Levererat_2015[[#This Row],[Leveranser:]]-Levererat_2015[[#This Row],[Leveranser till annat fjärrvärmebolag]],"")</f>
        <v>1.28</v>
      </c>
      <c r="G252" t="str">
        <f>VLOOKUP(Levererat_2015[[#This Row],[Indexnamn]],'Leveranser per nät'!$A$4:$A$514,1,FALSE)</f>
        <v>Rosvik</v>
      </c>
    </row>
    <row r="253" spans="1:7" x14ac:dyDescent="0.25">
      <c r="A253" t="s">
        <v>577</v>
      </c>
      <c r="B253" t="s">
        <v>366</v>
      </c>
      <c r="C253" t="s">
        <v>366</v>
      </c>
      <c r="D253">
        <v>9.9659999999999993</v>
      </c>
      <c r="E253">
        <v>0</v>
      </c>
      <c r="F253">
        <f>IFERROR(Levererat_2015[[#This Row],[Leveranser:]]-Levererat_2015[[#This Row],[Leveranser till annat fjärrvärmebolag]],"")</f>
        <v>9.9659999999999993</v>
      </c>
      <c r="G253" t="str">
        <f>VLOOKUP(Levererat_2015[[#This Row],[Indexnamn]],'Leveranser per nät'!$A$4:$A$514,1,FALSE)</f>
        <v>Rottne</v>
      </c>
    </row>
    <row r="254" spans="1:7" x14ac:dyDescent="0.25">
      <c r="A254" t="s">
        <v>689</v>
      </c>
      <c r="B254" t="s">
        <v>354</v>
      </c>
      <c r="C254" t="s">
        <v>354</v>
      </c>
      <c r="D254">
        <v>8.5047689999999996</v>
      </c>
      <c r="E254">
        <v>0</v>
      </c>
      <c r="F254">
        <f>IFERROR(Levererat_2015[[#This Row],[Leveranser:]]-Levererat_2015[[#This Row],[Leveranser till annat fjärrvärmebolag]],"")</f>
        <v>8.5047689999999996</v>
      </c>
      <c r="G254" t="str">
        <f>VLOOKUP(Levererat_2015[[#This Row],[Indexnamn]],'Leveranser per nät'!$A$4:$A$514,1,FALSE)</f>
        <v>Rydaholm</v>
      </c>
    </row>
    <row r="255" spans="1:7" x14ac:dyDescent="0.25">
      <c r="A255" t="s">
        <v>667</v>
      </c>
      <c r="B255" t="s">
        <v>197</v>
      </c>
      <c r="C255" t="s">
        <v>197</v>
      </c>
      <c r="D255">
        <v>20.5</v>
      </c>
      <c r="E255">
        <v>0</v>
      </c>
      <c r="F255">
        <f>IFERROR(Levererat_2015[[#This Row],[Leveranser:]]-Levererat_2015[[#This Row],[Leveranser till annat fjärrvärmebolag]],"")</f>
        <v>20.5</v>
      </c>
      <c r="G255" t="str">
        <f>VLOOKUP(Levererat_2015[[#This Row],[Indexnamn]],'Leveranser per nät'!$A$4:$A$514,1,FALSE)</f>
        <v>Råneå</v>
      </c>
    </row>
    <row r="256" spans="1:7" x14ac:dyDescent="0.25">
      <c r="A256" t="s">
        <v>690</v>
      </c>
      <c r="B256" t="s">
        <v>252</v>
      </c>
      <c r="C256" t="s">
        <v>252</v>
      </c>
      <c r="D256">
        <v>42.9</v>
      </c>
      <c r="E256">
        <v>0</v>
      </c>
      <c r="F256">
        <f>IFERROR(Levererat_2015[[#This Row],[Leveranser:]]-Levererat_2015[[#This Row],[Leveranser till annat fjärrvärmebolag]],"")</f>
        <v>42.9</v>
      </c>
      <c r="G256" t="str">
        <f>VLOOKUP(Levererat_2015[[#This Row],[Indexnamn]],'Leveranser per nät'!$A$4:$A$514,1,FALSE)</f>
        <v>Rättvik</v>
      </c>
    </row>
    <row r="257" spans="1:7" x14ac:dyDescent="0.25">
      <c r="A257" t="s">
        <v>692</v>
      </c>
      <c r="B257" t="s">
        <v>300</v>
      </c>
      <c r="C257" t="s">
        <v>300</v>
      </c>
      <c r="D257">
        <v>3.34</v>
      </c>
      <c r="E257">
        <v>0</v>
      </c>
      <c r="F257">
        <f>IFERROR(Levererat_2015[[#This Row],[Leveranser:]]-Levererat_2015[[#This Row],[Leveranser till annat fjärrvärmebolag]],"")</f>
        <v>3.34</v>
      </c>
      <c r="G257" t="str">
        <f>VLOOKUP(Levererat_2015[[#This Row],[Indexnamn]],'Leveranser per nät'!$A$4:$A$514,1,FALSE)</f>
        <v>Rörvik</v>
      </c>
    </row>
    <row r="258" spans="1:7" x14ac:dyDescent="0.25">
      <c r="A258" t="s">
        <v>625</v>
      </c>
      <c r="B258" t="s">
        <v>693</v>
      </c>
      <c r="C258" t="s">
        <v>693</v>
      </c>
      <c r="D258">
        <v>135.5</v>
      </c>
      <c r="E258">
        <v>0</v>
      </c>
      <c r="F258">
        <f>IFERROR(Levererat_2015[[#This Row],[Leveranser:]]-Levererat_2015[[#This Row],[Leveranser till annat fjärrvärmebolag]],"")</f>
        <v>135.5</v>
      </c>
      <c r="G258" t="str">
        <f>VLOOKUP(Levererat_2015[[#This Row],[Indexnamn]],'Leveranser per nät'!$A$4:$A$514,1,FALSE)</f>
        <v>Sala-Heby</v>
      </c>
    </row>
    <row r="259" spans="1:7" x14ac:dyDescent="0.25">
      <c r="A259" t="s">
        <v>556</v>
      </c>
      <c r="B259" t="s">
        <v>342</v>
      </c>
      <c r="C259" t="s">
        <v>342</v>
      </c>
      <c r="D259">
        <v>27.1</v>
      </c>
      <c r="E259">
        <v>0</v>
      </c>
      <c r="F259">
        <f>IFERROR(Levererat_2015[[#This Row],[Leveranser:]]-Levererat_2015[[#This Row],[Leveranser till annat fjärrvärmebolag]],"")</f>
        <v>27.1</v>
      </c>
      <c r="G259" t="str">
        <f>VLOOKUP(Levererat_2015[[#This Row],[Indexnamn]],'Leveranser per nät'!$A$4:$A$514,1,FALSE)</f>
        <v>Saltsjöbaden</v>
      </c>
    </row>
    <row r="260" spans="1:7" x14ac:dyDescent="0.25">
      <c r="A260" t="s">
        <v>666</v>
      </c>
      <c r="B260" t="s">
        <v>796</v>
      </c>
      <c r="C260" t="s">
        <v>796</v>
      </c>
      <c r="D260">
        <v>3.0339999999999998</v>
      </c>
      <c r="E260">
        <v>0</v>
      </c>
      <c r="F260">
        <f>IFERROR(Levererat_2015[[#This Row],[Leveranser:]]-Levererat_2015[[#This Row],[Leveranser till annat fjärrvärmebolag]],"")</f>
        <v>3.0339999999999998</v>
      </c>
      <c r="G260" t="str">
        <f>VLOOKUP(Levererat_2015[[#This Row],[Indexnamn]],'Leveranser per nät'!$A$4:$A$514,1,FALSE)</f>
        <v>Sandarne</v>
      </c>
    </row>
    <row r="261" spans="1:7" x14ac:dyDescent="0.25">
      <c r="A261" t="s">
        <v>694</v>
      </c>
      <c r="B261" t="s">
        <v>255</v>
      </c>
      <c r="C261" t="s">
        <v>255</v>
      </c>
      <c r="D261">
        <v>215.2</v>
      </c>
      <c r="E261">
        <v>0</v>
      </c>
      <c r="F261">
        <f>IFERROR(Levererat_2015[[#This Row],[Leveranser:]]-Levererat_2015[[#This Row],[Leveranser till annat fjärrvärmebolag]],"")</f>
        <v>215.2</v>
      </c>
      <c r="G261" t="str">
        <f>VLOOKUP(Levererat_2015[[#This Row],[Indexnamn]],'Leveranser per nät'!$A$4:$A$514,1,FALSE)</f>
        <v>Sandviken</v>
      </c>
    </row>
    <row r="262" spans="1:7" x14ac:dyDescent="0.25">
      <c r="A262" t="s">
        <v>695</v>
      </c>
      <c r="B262" t="s">
        <v>375</v>
      </c>
      <c r="C262" t="s">
        <v>375</v>
      </c>
      <c r="D262">
        <v>46.5</v>
      </c>
      <c r="E262">
        <v>0</v>
      </c>
      <c r="F262">
        <f>IFERROR(Levererat_2015[[#This Row],[Leveranser:]]-Levererat_2015[[#This Row],[Leveranser till annat fjärrvärmebolag]],"")</f>
        <v>46.5</v>
      </c>
      <c r="G262" t="str">
        <f>VLOOKUP(Levererat_2015[[#This Row],[Indexnamn]],'Leveranser per nät'!$A$4:$A$514,1,FALSE)</f>
        <v>Simrishamn</v>
      </c>
    </row>
    <row r="263" spans="1:7" x14ac:dyDescent="0.25">
      <c r="A263" t="s">
        <v>678</v>
      </c>
      <c r="B263" t="s">
        <v>234</v>
      </c>
      <c r="C263" t="s">
        <v>234</v>
      </c>
      <c r="D263">
        <v>1.84</v>
      </c>
      <c r="E263">
        <v>0</v>
      </c>
      <c r="F263">
        <f>IFERROR(Levererat_2015[[#This Row],[Leveranser:]]-Levererat_2015[[#This Row],[Leveranser till annat fjärrvärmebolag]],"")</f>
        <v>1.84</v>
      </c>
      <c r="G263" t="str">
        <f>VLOOKUP(Levererat_2015[[#This Row],[Indexnamn]],'Leveranser per nät'!$A$4:$A$514,1,FALSE)</f>
        <v>Sjulnäs</v>
      </c>
    </row>
    <row r="264" spans="1:7" x14ac:dyDescent="0.25">
      <c r="A264" t="s">
        <v>598</v>
      </c>
      <c r="B264" t="s">
        <v>244</v>
      </c>
      <c r="C264" t="s">
        <v>244</v>
      </c>
      <c r="D264">
        <v>24.1</v>
      </c>
      <c r="E264">
        <v>0</v>
      </c>
      <c r="F264">
        <f>IFERROR(Levererat_2015[[#This Row],[Leveranser:]]-Levererat_2015[[#This Row],[Leveranser till annat fjärrvärmebolag]],"")</f>
        <v>24.1</v>
      </c>
      <c r="G264" t="str">
        <f>VLOOKUP(Levererat_2015[[#This Row],[Indexnamn]],'Leveranser per nät'!$A$4:$A$514,1,FALSE)</f>
        <v>Sjöbo</v>
      </c>
    </row>
    <row r="265" spans="1:7" x14ac:dyDescent="0.25">
      <c r="A265" t="s">
        <v>696</v>
      </c>
      <c r="B265" t="s">
        <v>256</v>
      </c>
      <c r="C265" t="s">
        <v>256</v>
      </c>
      <c r="D265">
        <v>83.7</v>
      </c>
      <c r="E265">
        <v>0</v>
      </c>
      <c r="F265">
        <f>IFERROR(Levererat_2015[[#This Row],[Leveranser:]]-Levererat_2015[[#This Row],[Leveranser till annat fjärrvärmebolag]],"")</f>
        <v>83.7</v>
      </c>
      <c r="G265" t="str">
        <f>VLOOKUP(Levererat_2015[[#This Row],[Indexnamn]],'Leveranser per nät'!$A$4:$A$514,1,FALSE)</f>
        <v>Skara</v>
      </c>
    </row>
    <row r="266" spans="1:7" x14ac:dyDescent="0.25">
      <c r="A266" t="s">
        <v>616</v>
      </c>
      <c r="B266" t="s">
        <v>814</v>
      </c>
      <c r="D266" t="s">
        <v>779</v>
      </c>
      <c r="E266">
        <v>0</v>
      </c>
      <c r="F266" t="str">
        <f>IFERROR(Levererat_2015[[#This Row],[Leveranser:]]-Levererat_2015[[#This Row],[Leveranser till annat fjärrvärmebolag]],"")</f>
        <v/>
      </c>
    </row>
    <row r="267" spans="1:7" x14ac:dyDescent="0.25">
      <c r="A267" t="s">
        <v>571</v>
      </c>
      <c r="B267" t="s">
        <v>261</v>
      </c>
      <c r="C267" t="s">
        <v>261</v>
      </c>
      <c r="D267">
        <v>293.30099999999999</v>
      </c>
      <c r="E267">
        <v>0</v>
      </c>
      <c r="F267">
        <f>IFERROR(Levererat_2015[[#This Row],[Leveranser:]]-Levererat_2015[[#This Row],[Leveranser till annat fjärrvärmebolag]],"")</f>
        <v>293.30099999999999</v>
      </c>
      <c r="G267" t="str">
        <f>VLOOKUP(Levererat_2015[[#This Row],[Indexnamn]],'Leveranser per nät'!$A$4:$A$514,1,FALSE)</f>
        <v>Skellefteå</v>
      </c>
    </row>
    <row r="268" spans="1:7" x14ac:dyDescent="0.25">
      <c r="A268" t="s">
        <v>697</v>
      </c>
      <c r="B268" t="s">
        <v>329</v>
      </c>
      <c r="C268" t="s">
        <v>329</v>
      </c>
      <c r="D268">
        <v>19.687999999999999</v>
      </c>
      <c r="E268">
        <v>0</v>
      </c>
      <c r="F268">
        <f>IFERROR(Levererat_2015[[#This Row],[Leveranser:]]-Levererat_2015[[#This Row],[Leveranser till annat fjärrvärmebolag]],"")</f>
        <v>19.687999999999999</v>
      </c>
      <c r="G268" t="str">
        <f>VLOOKUP(Levererat_2015[[#This Row],[Indexnamn]],'Leveranser per nät'!$A$4:$A$514,1,FALSE)</f>
        <v>Skillingaryd</v>
      </c>
    </row>
    <row r="269" spans="1:7" x14ac:dyDescent="0.25">
      <c r="A269" t="s">
        <v>698</v>
      </c>
      <c r="B269" t="s">
        <v>143</v>
      </c>
      <c r="C269" t="s">
        <v>143</v>
      </c>
      <c r="D269">
        <v>43.6</v>
      </c>
      <c r="E269">
        <v>0</v>
      </c>
      <c r="F269">
        <f>IFERROR(Levererat_2015[[#This Row],[Leveranser:]]-Levererat_2015[[#This Row],[Leveranser till annat fjärrvärmebolag]],"")</f>
        <v>43.6</v>
      </c>
      <c r="G269" t="str">
        <f>VLOOKUP(Levererat_2015[[#This Row],[Indexnamn]],'Leveranser per nät'!$A$4:$A$514,1,FALSE)</f>
        <v>Skoghall</v>
      </c>
    </row>
    <row r="270" spans="1:7" x14ac:dyDescent="0.25">
      <c r="A270" t="s">
        <v>699</v>
      </c>
      <c r="B270" t="s">
        <v>276</v>
      </c>
      <c r="C270" t="s">
        <v>276</v>
      </c>
      <c r="D270">
        <v>8.7810000000000006</v>
      </c>
      <c r="E270">
        <v>0</v>
      </c>
      <c r="F270">
        <f>IFERROR(Levererat_2015[[#This Row],[Leveranser:]]-Levererat_2015[[#This Row],[Leveranser till annat fjärrvärmebolag]],"")</f>
        <v>8.7810000000000006</v>
      </c>
      <c r="G270" t="str">
        <f>VLOOKUP(Levererat_2015[[#This Row],[Indexnamn]],'Leveranser per nät'!$A$4:$A$514,1,FALSE)</f>
        <v>Skultorp</v>
      </c>
    </row>
    <row r="271" spans="1:7" x14ac:dyDescent="0.25">
      <c r="A271" t="s">
        <v>568</v>
      </c>
      <c r="B271" t="s">
        <v>183</v>
      </c>
      <c r="C271" t="s">
        <v>183</v>
      </c>
      <c r="D271">
        <v>26.956</v>
      </c>
      <c r="E271">
        <v>0</v>
      </c>
      <c r="F271">
        <f>IFERROR(Levererat_2015[[#This Row],[Leveranser:]]-Levererat_2015[[#This Row],[Leveranser till annat fjärrvärmebolag]],"")</f>
        <v>26.956</v>
      </c>
      <c r="G271" t="str">
        <f>VLOOKUP(Levererat_2015[[#This Row],[Indexnamn]],'Leveranser per nät'!$A$4:$A$514,1,FALSE)</f>
        <v>Skurup</v>
      </c>
    </row>
    <row r="272" spans="1:7" x14ac:dyDescent="0.25">
      <c r="A272" t="s">
        <v>563</v>
      </c>
      <c r="B272" t="s">
        <v>15</v>
      </c>
      <c r="C272" t="s">
        <v>15</v>
      </c>
      <c r="D272">
        <v>24.847000000000001</v>
      </c>
      <c r="E272">
        <v>0</v>
      </c>
      <c r="F272">
        <f>IFERROR(Levererat_2015[[#This Row],[Leveranser:]]-Levererat_2015[[#This Row],[Leveranser till annat fjärrvärmebolag]],"")</f>
        <v>24.847000000000001</v>
      </c>
      <c r="G272" t="str">
        <f>VLOOKUP(Levererat_2015[[#This Row],[Indexnamn]],'Leveranser per nät'!$A$4:$A$514,1,FALSE)</f>
        <v>Skutskär</v>
      </c>
    </row>
    <row r="273" spans="1:7" x14ac:dyDescent="0.25">
      <c r="A273" t="s">
        <v>573</v>
      </c>
      <c r="B273" t="s">
        <v>309</v>
      </c>
      <c r="C273" t="s">
        <v>309</v>
      </c>
      <c r="D273">
        <v>16.3</v>
      </c>
      <c r="E273">
        <v>0</v>
      </c>
      <c r="F273">
        <f>IFERROR(Levererat_2015[[#This Row],[Leveranser:]]-Levererat_2015[[#This Row],[Leveranser till annat fjärrvärmebolag]],"")</f>
        <v>16.3</v>
      </c>
      <c r="G273" t="str">
        <f>VLOOKUP(Levererat_2015[[#This Row],[Indexnamn]],'Leveranser per nät'!$A$4:$A$514,1,FALSE)</f>
        <v>Skärblacka</v>
      </c>
    </row>
    <row r="274" spans="1:7" x14ac:dyDescent="0.25">
      <c r="A274" t="s">
        <v>564</v>
      </c>
      <c r="B274" t="s">
        <v>700</v>
      </c>
      <c r="C274" t="s">
        <v>700</v>
      </c>
      <c r="D274">
        <v>0.5</v>
      </c>
      <c r="E274">
        <v>0</v>
      </c>
      <c r="F274">
        <f>IFERROR(Levererat_2015[[#This Row],[Leveranser:]]-Levererat_2015[[#This Row],[Leveranser till annat fjärrvärmebolag]],"")</f>
        <v>0.5</v>
      </c>
      <c r="G274" t="str">
        <f>VLOOKUP(Levererat_2015[[#This Row],[Indexnamn]],'Leveranser per nät'!$A$4:$A$514,1,FALSE)</f>
        <v>Sköldinge</v>
      </c>
    </row>
    <row r="275" spans="1:7" x14ac:dyDescent="0.25">
      <c r="A275" t="s">
        <v>699</v>
      </c>
      <c r="B275" t="s">
        <v>275</v>
      </c>
      <c r="C275" t="s">
        <v>275</v>
      </c>
      <c r="D275">
        <v>338.62400000000002</v>
      </c>
      <c r="E275">
        <v>0</v>
      </c>
      <c r="F275">
        <f>IFERROR(Levererat_2015[[#This Row],[Leveranser:]]-Levererat_2015[[#This Row],[Leveranser till annat fjärrvärmebolag]],"")</f>
        <v>338.62400000000002</v>
      </c>
      <c r="G275" t="str">
        <f>VLOOKUP(Levererat_2015[[#This Row],[Indexnamn]],'Leveranser per nät'!$A$4:$A$514,1,FALSE)</f>
        <v>Skövde</v>
      </c>
    </row>
    <row r="276" spans="1:7" x14ac:dyDescent="0.25">
      <c r="A276" t="s">
        <v>627</v>
      </c>
      <c r="B276" t="s">
        <v>136</v>
      </c>
      <c r="C276" t="s">
        <v>136</v>
      </c>
      <c r="D276">
        <v>15.5</v>
      </c>
      <c r="E276">
        <v>0</v>
      </c>
      <c r="F276">
        <f>IFERROR(Levererat_2015[[#This Row],[Leveranser:]]-Levererat_2015[[#This Row],[Leveranser till annat fjärrvärmebolag]],"")</f>
        <v>15.5</v>
      </c>
      <c r="G276" t="str">
        <f>VLOOKUP(Levererat_2015[[#This Row],[Indexnamn]],'Leveranser per nät'!$A$4:$A$514,1,FALSE)</f>
        <v>Slite</v>
      </c>
    </row>
    <row r="277" spans="1:7" x14ac:dyDescent="0.25">
      <c r="A277" t="s">
        <v>701</v>
      </c>
      <c r="B277" t="s">
        <v>278</v>
      </c>
      <c r="C277" t="s">
        <v>278</v>
      </c>
      <c r="D277">
        <v>39.445</v>
      </c>
      <c r="E277">
        <v>0</v>
      </c>
      <c r="F277">
        <f>IFERROR(Levererat_2015[[#This Row],[Leveranser:]]-Levererat_2015[[#This Row],[Leveranser till annat fjärrvärmebolag]],"")</f>
        <v>39.445</v>
      </c>
      <c r="G277" t="str">
        <f>VLOOKUP(Levererat_2015[[#This Row],[Indexnamn]],'Leveranser per nät'!$A$4:$A$514,1,FALSE)</f>
        <v>Smedjebacken</v>
      </c>
    </row>
    <row r="278" spans="1:7" x14ac:dyDescent="0.25">
      <c r="A278" t="s">
        <v>561</v>
      </c>
      <c r="B278" t="s">
        <v>49</v>
      </c>
      <c r="C278" t="s">
        <v>49</v>
      </c>
      <c r="D278">
        <v>55</v>
      </c>
      <c r="E278">
        <v>0</v>
      </c>
      <c r="F278">
        <f>IFERROR(Levererat_2015[[#This Row],[Leveranser:]]-Levererat_2015[[#This Row],[Leveranser till annat fjärrvärmebolag]],"")</f>
        <v>55</v>
      </c>
      <c r="G278" t="str">
        <f>VLOOKUP(Levererat_2015[[#This Row],[Indexnamn]],'Leveranser per nät'!$A$4:$A$514,1,FALSE)</f>
        <v>Sollefteå</v>
      </c>
    </row>
    <row r="279" spans="1:7" x14ac:dyDescent="0.25">
      <c r="A279" t="s">
        <v>702</v>
      </c>
      <c r="B279" t="s">
        <v>280</v>
      </c>
      <c r="C279" t="s">
        <v>280</v>
      </c>
      <c r="D279">
        <v>334</v>
      </c>
      <c r="E279">
        <v>0</v>
      </c>
      <c r="F279">
        <f>IFERROR(Levererat_2015[[#This Row],[Leveranser:]]-Levererat_2015[[#This Row],[Leveranser till annat fjärrvärmebolag]],"")</f>
        <v>334</v>
      </c>
      <c r="G279" t="str">
        <f>VLOOKUP(Levererat_2015[[#This Row],[Indexnamn]],'Leveranser per nät'!$A$4:$A$514,1,FALSE)</f>
        <v>Sollentuna</v>
      </c>
    </row>
    <row r="280" spans="1:7" x14ac:dyDescent="0.25">
      <c r="A280" t="s">
        <v>606</v>
      </c>
      <c r="B280" t="s">
        <v>703</v>
      </c>
      <c r="D280" t="s">
        <v>779</v>
      </c>
      <c r="E280">
        <v>0</v>
      </c>
      <c r="F280" t="str">
        <f>IFERROR(Levererat_2015[[#This Row],[Leveranser:]]-Levererat_2015[[#This Row],[Leveranser till annat fjärrvärmebolag]],"")</f>
        <v/>
      </c>
      <c r="G280" t="e">
        <f>VLOOKUP(Levererat_2015[[#This Row],[Indexnamn]],'Leveranser per nät'!$A$4:$A$514,1,FALSE)</f>
        <v>#N/A</v>
      </c>
    </row>
    <row r="281" spans="1:7" x14ac:dyDescent="0.25">
      <c r="A281" t="s">
        <v>611</v>
      </c>
      <c r="B281" t="s">
        <v>416</v>
      </c>
      <c r="C281" t="s">
        <v>416</v>
      </c>
      <c r="D281">
        <v>2.2000000000000002</v>
      </c>
      <c r="E281">
        <v>0</v>
      </c>
      <c r="F281">
        <f>IFERROR(Levererat_2015[[#This Row],[Leveranser:]]-Levererat_2015[[#This Row],[Leveranser till annat fjärrvärmebolag]],"")</f>
        <v>2.2000000000000002</v>
      </c>
      <c r="G281" t="str">
        <f>VLOOKUP(Levererat_2015[[#This Row],[Indexnamn]],'Leveranser per nät'!$A$4:$A$514,1,FALSE)</f>
        <v>St Skedvi</v>
      </c>
    </row>
    <row r="282" spans="1:7" x14ac:dyDescent="0.25">
      <c r="A282" t="s">
        <v>561</v>
      </c>
      <c r="B282" t="s">
        <v>44</v>
      </c>
      <c r="C282" t="s">
        <v>44</v>
      </c>
      <c r="D282">
        <v>22.74</v>
      </c>
      <c r="E282">
        <v>0</v>
      </c>
      <c r="F282">
        <f>IFERROR(Levererat_2015[[#This Row],[Leveranser:]]-Levererat_2015[[#This Row],[Leveranser till annat fjärrvärmebolag]],"")</f>
        <v>22.74</v>
      </c>
      <c r="G282" t="str">
        <f>VLOOKUP(Levererat_2015[[#This Row],[Indexnamn]],'Leveranser per nät'!$A$4:$A$514,1,FALSE)</f>
        <v>Staffanstorp</v>
      </c>
    </row>
    <row r="283" spans="1:7" x14ac:dyDescent="0.25">
      <c r="A283" t="s">
        <v>601</v>
      </c>
      <c r="B283" t="s">
        <v>417</v>
      </c>
      <c r="C283" t="s">
        <v>417</v>
      </c>
      <c r="D283">
        <v>1.5</v>
      </c>
      <c r="E283">
        <v>0</v>
      </c>
      <c r="F283">
        <f>IFERROR(Levererat_2015[[#This Row],[Leveranser:]]-Levererat_2015[[#This Row],[Leveranser till annat fjärrvärmebolag]],"")</f>
        <v>1.5</v>
      </c>
      <c r="G283" t="str">
        <f>VLOOKUP(Levererat_2015[[#This Row],[Indexnamn]],'Leveranser per nät'!$A$4:$A$514,1,FALSE)</f>
        <v>Stenkullen</v>
      </c>
    </row>
    <row r="284" spans="1:7" x14ac:dyDescent="0.25">
      <c r="A284" t="s">
        <v>559</v>
      </c>
      <c r="B284" t="s">
        <v>704</v>
      </c>
      <c r="C284" t="s">
        <v>704</v>
      </c>
      <c r="D284">
        <v>2.88</v>
      </c>
      <c r="E284">
        <v>0</v>
      </c>
      <c r="F284">
        <f>IFERROR(Levererat_2015[[#This Row],[Leveranser:]]-Levererat_2015[[#This Row],[Leveranser till annat fjärrvärmebolag]],"")</f>
        <v>2.88</v>
      </c>
      <c r="G284" t="str">
        <f>VLOOKUP(Levererat_2015[[#This Row],[Indexnamn]],'Leveranser per nät'!$A$4:$A$514,1,FALSE)</f>
        <v>Stensholm</v>
      </c>
    </row>
    <row r="285" spans="1:7" x14ac:dyDescent="0.25">
      <c r="A285" t="s">
        <v>597</v>
      </c>
      <c r="B285" t="s">
        <v>705</v>
      </c>
      <c r="C285" t="s">
        <v>705</v>
      </c>
      <c r="D285">
        <v>4.8</v>
      </c>
      <c r="E285">
        <v>0</v>
      </c>
      <c r="F285">
        <f>IFERROR(Levererat_2015[[#This Row],[Leveranser:]]-Levererat_2015[[#This Row],[Leveranser till annat fjärrvärmebolag]],"")</f>
        <v>4.8</v>
      </c>
      <c r="G285" t="str">
        <f>VLOOKUP(Levererat_2015[[#This Row],[Indexnamn]],'Leveranser per nät'!$A$4:$A$514,1,FALSE)</f>
        <v>Stenstorp</v>
      </c>
    </row>
    <row r="286" spans="1:7" x14ac:dyDescent="0.25">
      <c r="A286" t="s">
        <v>706</v>
      </c>
      <c r="B286" t="s">
        <v>418</v>
      </c>
      <c r="C286" t="s">
        <v>418</v>
      </c>
      <c r="D286">
        <v>71</v>
      </c>
      <c r="E286">
        <v>0</v>
      </c>
      <c r="F286">
        <f>IFERROR(Levererat_2015[[#This Row],[Leveranser:]]-Levererat_2015[[#This Row],[Leveranser till annat fjärrvärmebolag]],"")</f>
        <v>71</v>
      </c>
      <c r="G286" t="str">
        <f>VLOOKUP(Levererat_2015[[#This Row],[Indexnamn]],'Leveranser per nät'!$A$4:$A$514,1,FALSE)</f>
        <v>Stenungsund</v>
      </c>
    </row>
    <row r="287" spans="1:7" x14ac:dyDescent="0.25">
      <c r="A287" t="s">
        <v>559</v>
      </c>
      <c r="B287" t="s">
        <v>816</v>
      </c>
      <c r="C287" t="s">
        <v>816</v>
      </c>
      <c r="D287">
        <v>0.09</v>
      </c>
      <c r="E287">
        <v>0</v>
      </c>
      <c r="F287">
        <f>IFERROR(Levererat_2015[[#This Row],[Leveranser:]]-Levererat_2015[[#This Row],[Leveranser till annat fjärrvärmebolag]],"")</f>
        <v>0.09</v>
      </c>
      <c r="G287" t="str">
        <f>VLOOKUP(Levererat_2015[[#This Row],[Indexnamn]],'Leveranser per nät'!$A$4:$A$514,1,FALSE)</f>
        <v>Stigamo</v>
      </c>
    </row>
    <row r="288" spans="1:7" x14ac:dyDescent="0.25">
      <c r="A288" t="s">
        <v>707</v>
      </c>
      <c r="B288" t="s">
        <v>420</v>
      </c>
      <c r="C288" t="s">
        <v>420</v>
      </c>
      <c r="D288">
        <v>7356.7280000000001</v>
      </c>
      <c r="E288">
        <v>620.70699999999999</v>
      </c>
      <c r="F288">
        <f>IFERROR(Levererat_2015[[#This Row],[Leveranser:]]-Levererat_2015[[#This Row],[Leveranser till annat fjärrvärmebolag]],"")</f>
        <v>6736.0209999999997</v>
      </c>
      <c r="G288" t="str">
        <f>VLOOKUP(Levererat_2015[[#This Row],[Indexnamn]],'Leveranser per nät'!$A$4:$A$514,1,FALSE)</f>
        <v>Stockholm</v>
      </c>
    </row>
    <row r="289" spans="1:7" x14ac:dyDescent="0.25">
      <c r="A289" t="s">
        <v>706</v>
      </c>
      <c r="B289" t="s">
        <v>421</v>
      </c>
      <c r="C289" t="s">
        <v>421</v>
      </c>
      <c r="D289">
        <v>0.84299999999999997</v>
      </c>
      <c r="E289">
        <v>0</v>
      </c>
      <c r="F289">
        <f>IFERROR(Levererat_2015[[#This Row],[Leveranser:]]-Levererat_2015[[#This Row],[Leveranser till annat fjärrvärmebolag]],"")</f>
        <v>0.84299999999999997</v>
      </c>
      <c r="G289" t="str">
        <f>VLOOKUP(Levererat_2015[[#This Row],[Indexnamn]],'Leveranser per nät'!$A$4:$A$514,1,FALSE)</f>
        <v>Stora Höga</v>
      </c>
    </row>
    <row r="290" spans="1:7" x14ac:dyDescent="0.25">
      <c r="A290" t="s">
        <v>605</v>
      </c>
      <c r="B290" t="s">
        <v>353</v>
      </c>
      <c r="C290" t="s">
        <v>353</v>
      </c>
      <c r="D290">
        <v>6.3410000000000002</v>
      </c>
      <c r="E290">
        <v>0</v>
      </c>
      <c r="F290">
        <f>IFERROR(Levererat_2015[[#This Row],[Leveranser:]]-Levererat_2015[[#This Row],[Leveranser till annat fjärrvärmebolag]],"")</f>
        <v>6.3410000000000002</v>
      </c>
      <c r="G290" t="str">
        <f>VLOOKUP(Levererat_2015[[#This Row],[Indexnamn]],'Leveranser per nät'!$A$4:$A$514,1,FALSE)</f>
        <v>Storebro</v>
      </c>
    </row>
    <row r="291" spans="1:7" x14ac:dyDescent="0.25">
      <c r="A291" t="s">
        <v>598</v>
      </c>
      <c r="B291" t="s">
        <v>247</v>
      </c>
      <c r="C291" t="s">
        <v>247</v>
      </c>
      <c r="D291">
        <v>13.973000000000001</v>
      </c>
      <c r="E291">
        <v>0</v>
      </c>
      <c r="F291">
        <f>IFERROR(Levererat_2015[[#This Row],[Leveranser:]]-Levererat_2015[[#This Row],[Leveranser till annat fjärrvärmebolag]],"")</f>
        <v>13.973000000000001</v>
      </c>
      <c r="G291" t="str">
        <f>VLOOKUP(Levererat_2015[[#This Row],[Indexnamn]],'Leveranser per nät'!$A$4:$A$514,1,FALSE)</f>
        <v>Storfors</v>
      </c>
    </row>
    <row r="292" spans="1:7" x14ac:dyDescent="0.25">
      <c r="A292" t="s">
        <v>571</v>
      </c>
      <c r="B292" t="s">
        <v>272</v>
      </c>
      <c r="C292" t="s">
        <v>272</v>
      </c>
      <c r="D292">
        <v>28.841999999999999</v>
      </c>
      <c r="E292">
        <v>0</v>
      </c>
      <c r="F292">
        <f>IFERROR(Levererat_2015[[#This Row],[Leveranser:]]-Levererat_2015[[#This Row],[Leveranser till annat fjärrvärmebolag]],"")</f>
        <v>28.841999999999999</v>
      </c>
      <c r="G292" t="str">
        <f>VLOOKUP(Levererat_2015[[#This Row],[Indexnamn]],'Leveranser per nät'!$A$4:$A$514,1,FALSE)</f>
        <v>Storuman</v>
      </c>
    </row>
    <row r="293" spans="1:7" x14ac:dyDescent="0.25">
      <c r="A293" t="s">
        <v>556</v>
      </c>
      <c r="B293" t="s">
        <v>343</v>
      </c>
      <c r="C293" t="s">
        <v>343</v>
      </c>
      <c r="D293">
        <v>13.5</v>
      </c>
      <c r="E293">
        <v>0</v>
      </c>
      <c r="F293">
        <f>IFERROR(Levererat_2015[[#This Row],[Leveranser:]]-Levererat_2015[[#This Row],[Leveranser till annat fjärrvärmebolag]],"")</f>
        <v>13.5</v>
      </c>
      <c r="G293" t="str">
        <f>VLOOKUP(Levererat_2015[[#This Row],[Indexnamn]],'Leveranser per nät'!$A$4:$A$514,1,FALSE)</f>
        <v>Storvreta</v>
      </c>
    </row>
    <row r="294" spans="1:7" x14ac:dyDescent="0.25">
      <c r="A294" t="s">
        <v>564</v>
      </c>
      <c r="B294" t="s">
        <v>708</v>
      </c>
      <c r="D294" t="s">
        <v>779</v>
      </c>
      <c r="E294">
        <v>0</v>
      </c>
      <c r="F294" t="str">
        <f>IFERROR(Levererat_2015[[#This Row],[Leveranser:]]-Levererat_2015[[#This Row],[Leveranser till annat fjärrvärmebolag]],"")</f>
        <v/>
      </c>
      <c r="G294" t="e">
        <f>VLOOKUP(Levererat_2015[[#This Row],[Indexnamn]],'Leveranser per nät'!$A$4:$A$514,1,FALSE)</f>
        <v>#N/A</v>
      </c>
    </row>
    <row r="295" spans="1:7" x14ac:dyDescent="0.25">
      <c r="A295" t="s">
        <v>709</v>
      </c>
      <c r="B295" t="s">
        <v>285</v>
      </c>
      <c r="C295" t="s">
        <v>285</v>
      </c>
      <c r="D295">
        <v>120.9</v>
      </c>
      <c r="E295">
        <v>0</v>
      </c>
      <c r="F295">
        <f>IFERROR(Levererat_2015[[#This Row],[Leveranser:]]-Levererat_2015[[#This Row],[Leveranser till annat fjärrvärmebolag]],"")</f>
        <v>120.9</v>
      </c>
      <c r="G295" t="str">
        <f>VLOOKUP(Levererat_2015[[#This Row],[Indexnamn]],'Leveranser per nät'!$A$4:$A$514,1,FALSE)</f>
        <v>Strängnäs</v>
      </c>
    </row>
    <row r="296" spans="1:7" x14ac:dyDescent="0.25">
      <c r="A296" t="s">
        <v>639</v>
      </c>
      <c r="B296" t="s">
        <v>710</v>
      </c>
      <c r="C296" t="s">
        <v>710</v>
      </c>
      <c r="D296">
        <v>0.75800000000000001</v>
      </c>
      <c r="E296">
        <v>0</v>
      </c>
      <c r="F296">
        <f>IFERROR(Levererat_2015[[#This Row],[Leveranser:]]-Levererat_2015[[#This Row],[Leveranser till annat fjärrvärmebolag]],"")</f>
        <v>0.75800000000000001</v>
      </c>
      <c r="G296" t="str">
        <f>VLOOKUP(Levererat_2015[[#This Row],[Indexnamn]],'Leveranser per nät'!$A$4:$A$514,1,FALSE)</f>
        <v>Sturkö</v>
      </c>
    </row>
    <row r="297" spans="1:7" x14ac:dyDescent="0.25">
      <c r="A297" t="s">
        <v>558</v>
      </c>
      <c r="B297" t="s">
        <v>128</v>
      </c>
      <c r="C297" t="s">
        <v>128</v>
      </c>
      <c r="D297">
        <v>1.5429999999999999</v>
      </c>
      <c r="E297">
        <v>0</v>
      </c>
      <c r="F297">
        <f>IFERROR(Levererat_2015[[#This Row],[Leveranser:]]-Levererat_2015[[#This Row],[Leveranser till annat fjärrvärmebolag]],"")</f>
        <v>1.5429999999999999</v>
      </c>
      <c r="G297" t="str">
        <f>VLOOKUP(Levererat_2015[[#This Row],[Indexnamn]],'Leveranser per nät'!$A$4:$A$514,1,FALSE)</f>
        <v>Stöllet</v>
      </c>
    </row>
    <row r="298" spans="1:7" x14ac:dyDescent="0.25">
      <c r="A298" t="s">
        <v>699</v>
      </c>
      <c r="B298" t="s">
        <v>277</v>
      </c>
      <c r="C298" t="s">
        <v>277</v>
      </c>
      <c r="D298">
        <v>4.2640000000000002</v>
      </c>
      <c r="E298">
        <v>0</v>
      </c>
      <c r="F298">
        <f>IFERROR(Levererat_2015[[#This Row],[Leveranser:]]-Levererat_2015[[#This Row],[Leveranser till annat fjärrvärmebolag]],"")</f>
        <v>4.2640000000000002</v>
      </c>
      <c r="G298" t="str">
        <f>VLOOKUP(Levererat_2015[[#This Row],[Indexnamn]],'Leveranser per nät'!$A$4:$A$514,1,FALSE)</f>
        <v>Stöpen</v>
      </c>
    </row>
    <row r="299" spans="1:7" x14ac:dyDescent="0.25">
      <c r="A299" t="s">
        <v>711</v>
      </c>
      <c r="B299" t="s">
        <v>219</v>
      </c>
      <c r="C299" t="s">
        <v>219</v>
      </c>
      <c r="D299">
        <v>936.97500000000002</v>
      </c>
      <c r="E299">
        <v>1.554</v>
      </c>
      <c r="F299">
        <f>IFERROR(Levererat_2015[[#This Row],[Leveranser:]]-Levererat_2015[[#This Row],[Leveranser till annat fjärrvärmebolag]],"")</f>
        <v>935.42100000000005</v>
      </c>
      <c r="G299" t="str">
        <f>VLOOKUP(Levererat_2015[[#This Row],[Indexnamn]],'Leveranser per nät'!$A$4:$A$514,1,FALSE)</f>
        <v>Sundbyberg-Solna</v>
      </c>
    </row>
    <row r="300" spans="1:7" x14ac:dyDescent="0.25">
      <c r="A300" t="s">
        <v>657</v>
      </c>
      <c r="B300" t="s">
        <v>288</v>
      </c>
      <c r="C300" t="s">
        <v>288</v>
      </c>
      <c r="D300">
        <v>512</v>
      </c>
      <c r="E300">
        <v>0</v>
      </c>
      <c r="F300">
        <f>IFERROR(Levererat_2015[[#This Row],[Leveranser:]]-Levererat_2015[[#This Row],[Leveranser till annat fjärrvärmebolag]],"")</f>
        <v>512</v>
      </c>
      <c r="G300" t="str">
        <f>VLOOKUP(Levererat_2015[[#This Row],[Indexnamn]],'Leveranser per nät'!$A$4:$A$514,1,FALSE)</f>
        <v>Sundsvall</v>
      </c>
    </row>
    <row r="301" spans="1:7" x14ac:dyDescent="0.25">
      <c r="A301" t="s">
        <v>598</v>
      </c>
      <c r="B301" t="s">
        <v>236</v>
      </c>
      <c r="C301" t="s">
        <v>236</v>
      </c>
      <c r="D301">
        <v>32.924999999999997</v>
      </c>
      <c r="E301">
        <v>0</v>
      </c>
      <c r="F301">
        <f>IFERROR(Levererat_2015[[#This Row],[Leveranser:]]-Levererat_2015[[#This Row],[Leveranser till annat fjärrvärmebolag]],"")</f>
        <v>32.924999999999997</v>
      </c>
      <c r="G301" t="str">
        <f>VLOOKUP(Levererat_2015[[#This Row],[Indexnamn]],'Leveranser per nät'!$A$4:$A$514,1,FALSE)</f>
        <v>Sunne</v>
      </c>
    </row>
    <row r="302" spans="1:7" x14ac:dyDescent="0.25">
      <c r="A302" t="s">
        <v>587</v>
      </c>
      <c r="B302" t="s">
        <v>712</v>
      </c>
      <c r="C302" t="s">
        <v>712</v>
      </c>
      <c r="D302">
        <v>0.23300000000000001</v>
      </c>
      <c r="E302">
        <v>0</v>
      </c>
      <c r="F302">
        <f>IFERROR(Levererat_2015[[#This Row],[Leveranser:]]-Levererat_2015[[#This Row],[Leveranser till annat fjärrvärmebolag]],"")</f>
        <v>0.23300000000000001</v>
      </c>
      <c r="G302" t="str">
        <f>VLOOKUP(Levererat_2015[[#This Row],[Indexnamn]],'Leveranser per nät'!$A$4:$A$514,1,FALSE)</f>
        <v>Sunnemo</v>
      </c>
    </row>
    <row r="303" spans="1:7" x14ac:dyDescent="0.25">
      <c r="A303" t="s">
        <v>620</v>
      </c>
      <c r="B303" t="s">
        <v>296</v>
      </c>
      <c r="C303" t="s">
        <v>296</v>
      </c>
      <c r="D303">
        <v>40.4</v>
      </c>
      <c r="E303">
        <v>0</v>
      </c>
      <c r="F303">
        <f>IFERROR(Levererat_2015[[#This Row],[Leveranser:]]-Levererat_2015[[#This Row],[Leveranser till annat fjärrvärmebolag]],"")</f>
        <v>40.4</v>
      </c>
      <c r="G303" t="str">
        <f>VLOOKUP(Levererat_2015[[#This Row],[Indexnamn]],'Leveranser per nät'!$A$4:$A$514,1,FALSE)</f>
        <v>Surahammar</v>
      </c>
    </row>
    <row r="304" spans="1:7" x14ac:dyDescent="0.25">
      <c r="A304" t="s">
        <v>630</v>
      </c>
      <c r="B304" t="s">
        <v>39</v>
      </c>
      <c r="C304" t="s">
        <v>39</v>
      </c>
      <c r="D304">
        <v>2.15</v>
      </c>
      <c r="E304">
        <v>0</v>
      </c>
      <c r="F304">
        <f>IFERROR(Levererat_2015[[#This Row],[Leveranser:]]-Levererat_2015[[#This Row],[Leveranser till annat fjärrvärmebolag]],"")</f>
        <v>2.15</v>
      </c>
      <c r="G304" t="str">
        <f>VLOOKUP(Levererat_2015[[#This Row],[Indexnamn]],'Leveranser per nät'!$A$4:$A$514,1,FALSE)</f>
        <v>Svartå</v>
      </c>
    </row>
    <row r="305" spans="1:7" x14ac:dyDescent="0.25">
      <c r="A305" t="s">
        <v>713</v>
      </c>
      <c r="B305" t="s">
        <v>298</v>
      </c>
      <c r="C305" t="s">
        <v>298</v>
      </c>
      <c r="D305">
        <v>34.524000000000001</v>
      </c>
      <c r="E305">
        <v>0</v>
      </c>
      <c r="F305">
        <f>IFERROR(Levererat_2015[[#This Row],[Leveranser:]]-Levererat_2015[[#This Row],[Leveranser till annat fjärrvärmebolag]],"")</f>
        <v>34.524000000000001</v>
      </c>
      <c r="G305" t="str">
        <f>VLOOKUP(Levererat_2015[[#This Row],[Indexnamn]],'Leveranser per nät'!$A$4:$A$514,1,FALSE)</f>
        <v>Svenljunga</v>
      </c>
    </row>
    <row r="306" spans="1:7" x14ac:dyDescent="0.25">
      <c r="A306" t="s">
        <v>567</v>
      </c>
      <c r="B306" t="s">
        <v>112</v>
      </c>
      <c r="C306" t="s">
        <v>112</v>
      </c>
      <c r="D306">
        <v>4.49</v>
      </c>
      <c r="E306">
        <v>0</v>
      </c>
      <c r="F306">
        <f>IFERROR(Levererat_2015[[#This Row],[Leveranser:]]-Levererat_2015[[#This Row],[Leveranser till annat fjärrvärmebolag]],"")</f>
        <v>4.49</v>
      </c>
      <c r="G306" t="str">
        <f>VLOOKUP(Levererat_2015[[#This Row],[Indexnamn]],'Leveranser per nät'!$A$4:$A$514,1,FALSE)</f>
        <v>Svärdsjö</v>
      </c>
    </row>
    <row r="307" spans="1:7" x14ac:dyDescent="0.25">
      <c r="A307" t="s">
        <v>558</v>
      </c>
      <c r="B307" t="s">
        <v>714</v>
      </c>
      <c r="C307" t="s">
        <v>120</v>
      </c>
      <c r="D307">
        <v>48.253</v>
      </c>
      <c r="E307">
        <v>0</v>
      </c>
      <c r="F307">
        <f>IFERROR(Levererat_2015[[#This Row],[Leveranser:]]-Levererat_2015[[#This Row],[Leveranser till annat fjärrvärmebolag]],"")</f>
        <v>48.253</v>
      </c>
      <c r="G307" t="str">
        <f>VLOOKUP(Levererat_2015[[#This Row],[Indexnamn]],'Leveranser per nät'!$A$4:$A$514,1,FALSE)</f>
        <v>Säffle</v>
      </c>
    </row>
    <row r="308" spans="1:7" x14ac:dyDescent="0.25">
      <c r="A308" t="s">
        <v>611</v>
      </c>
      <c r="B308" t="s">
        <v>144</v>
      </c>
      <c r="C308" t="s">
        <v>144</v>
      </c>
      <c r="D308">
        <v>49</v>
      </c>
      <c r="E308">
        <v>0</v>
      </c>
      <c r="F308">
        <f>IFERROR(Levererat_2015[[#This Row],[Leveranser:]]-Levererat_2015[[#This Row],[Leveranser till annat fjärrvärmebolag]],"")</f>
        <v>49</v>
      </c>
      <c r="G308" t="str">
        <f>VLOOKUP(Levererat_2015[[#This Row],[Indexnamn]],'Leveranser per nät'!$A$4:$A$514,1,FALSE)</f>
        <v>Säter</v>
      </c>
    </row>
    <row r="309" spans="1:7" x14ac:dyDescent="0.25">
      <c r="A309" t="s">
        <v>566</v>
      </c>
      <c r="B309" t="s">
        <v>327</v>
      </c>
      <c r="C309" t="s">
        <v>327</v>
      </c>
      <c r="D309">
        <v>6.96</v>
      </c>
      <c r="E309">
        <v>0</v>
      </c>
      <c r="F309">
        <f>IFERROR(Levererat_2015[[#This Row],[Leveranser:]]-Levererat_2015[[#This Row],[Leveranser till annat fjärrvärmebolag]],"")</f>
        <v>6.96</v>
      </c>
      <c r="G309" t="str">
        <f>VLOOKUP(Levererat_2015[[#This Row],[Indexnamn]],'Leveranser per nät'!$A$4:$A$514,1,FALSE)</f>
        <v>Sävar</v>
      </c>
    </row>
    <row r="310" spans="1:7" x14ac:dyDescent="0.25">
      <c r="A310" t="s">
        <v>692</v>
      </c>
      <c r="B310" t="s">
        <v>299</v>
      </c>
      <c r="C310" t="s">
        <v>299</v>
      </c>
      <c r="D310">
        <v>41.7</v>
      </c>
      <c r="E310">
        <v>0</v>
      </c>
      <c r="F310">
        <f>IFERROR(Levererat_2015[[#This Row],[Leveranser:]]-Levererat_2015[[#This Row],[Leveranser till annat fjärrvärmebolag]],"")</f>
        <v>41.7</v>
      </c>
      <c r="G310" t="str">
        <f>VLOOKUP(Levererat_2015[[#This Row],[Indexnamn]],'Leveranser per nät'!$A$4:$A$514,1,FALSE)</f>
        <v>Sävsjö</v>
      </c>
    </row>
    <row r="311" spans="1:7" x14ac:dyDescent="0.25">
      <c r="A311" t="s">
        <v>701</v>
      </c>
      <c r="B311" t="s">
        <v>279</v>
      </c>
      <c r="C311" t="s">
        <v>279</v>
      </c>
      <c r="D311">
        <v>4.2359999999999998</v>
      </c>
      <c r="E311">
        <v>0</v>
      </c>
      <c r="F311">
        <f>IFERROR(Levererat_2015[[#This Row],[Leveranser:]]-Levererat_2015[[#This Row],[Leveranser till annat fjärrvärmebolag]],"")</f>
        <v>4.2359999999999998</v>
      </c>
      <c r="G311" t="str">
        <f>VLOOKUP(Levererat_2015[[#This Row],[Indexnamn]],'Leveranser per nät'!$A$4:$A$514,1,FALSE)</f>
        <v>Söderbärke</v>
      </c>
    </row>
    <row r="312" spans="1:7" x14ac:dyDescent="0.25">
      <c r="A312" t="s">
        <v>715</v>
      </c>
      <c r="B312" t="s">
        <v>716</v>
      </c>
      <c r="D312" t="s">
        <v>779</v>
      </c>
      <c r="E312">
        <v>0</v>
      </c>
      <c r="F312" t="str">
        <f>IFERROR(Levererat_2015[[#This Row],[Leveranser:]]-Levererat_2015[[#This Row],[Leveranser till annat fjärrvärmebolag]],"")</f>
        <v/>
      </c>
      <c r="G312" t="e">
        <f>VLOOKUP(Levererat_2015[[#This Row],[Indexnamn]],'Leveranser per nät'!$A$4:$A$514,1,FALSE)</f>
        <v>#N/A</v>
      </c>
    </row>
    <row r="313" spans="1:7" x14ac:dyDescent="0.25">
      <c r="A313" t="s">
        <v>563</v>
      </c>
      <c r="B313" t="s">
        <v>17</v>
      </c>
      <c r="C313" t="s">
        <v>17</v>
      </c>
      <c r="D313">
        <v>5.8159999999999998</v>
      </c>
      <c r="E313">
        <v>0</v>
      </c>
      <c r="F313">
        <f>IFERROR(Levererat_2015[[#This Row],[Leveranser:]]-Levererat_2015[[#This Row],[Leveranser till annat fjärrvärmebolag]],"")</f>
        <v>5.8159999999999998</v>
      </c>
      <c r="G313" t="str">
        <f>VLOOKUP(Levererat_2015[[#This Row],[Indexnamn]],'Leveranser per nät'!$A$4:$A$514,1,FALSE)</f>
        <v>Söderfors</v>
      </c>
    </row>
    <row r="314" spans="1:7" x14ac:dyDescent="0.25">
      <c r="A314" t="s">
        <v>666</v>
      </c>
      <c r="B314" t="s">
        <v>301</v>
      </c>
      <c r="C314" t="s">
        <v>301</v>
      </c>
      <c r="D314">
        <v>121.227</v>
      </c>
      <c r="E314">
        <v>0</v>
      </c>
      <c r="F314">
        <f>IFERROR(Levererat_2015[[#This Row],[Leveranser:]]-Levererat_2015[[#This Row],[Leveranser till annat fjärrvärmebolag]],"")</f>
        <v>121.227</v>
      </c>
      <c r="G314" t="str">
        <f>VLOOKUP(Levererat_2015[[#This Row],[Indexnamn]],'Leveranser per nät'!$A$4:$A$514,1,FALSE)</f>
        <v>Söderhamn</v>
      </c>
    </row>
    <row r="315" spans="1:7" x14ac:dyDescent="0.25">
      <c r="A315" t="s">
        <v>641</v>
      </c>
      <c r="B315" t="s">
        <v>311</v>
      </c>
      <c r="C315" t="s">
        <v>311</v>
      </c>
      <c r="D315">
        <v>633</v>
      </c>
      <c r="E315">
        <v>0</v>
      </c>
      <c r="F315">
        <f>IFERROR(Levererat_2015[[#This Row],[Leveranser:]]-Levererat_2015[[#This Row],[Leveranser till annat fjärrvärmebolag]],"")</f>
        <v>633</v>
      </c>
      <c r="G315" t="str">
        <f>VLOOKUP(Levererat_2015[[#This Row],[Indexnamn]],'Leveranser per nät'!$A$4:$A$514,1,FALSE)</f>
        <v>Södertälje</v>
      </c>
    </row>
    <row r="316" spans="1:7" x14ac:dyDescent="0.25">
      <c r="A316" t="s">
        <v>717</v>
      </c>
      <c r="B316" t="s">
        <v>304</v>
      </c>
      <c r="C316" t="s">
        <v>304</v>
      </c>
      <c r="D316">
        <v>918.7</v>
      </c>
      <c r="E316">
        <v>0</v>
      </c>
      <c r="F316">
        <f>IFERROR(Levererat_2015[[#This Row],[Leveranser:]]-Levererat_2015[[#This Row],[Leveranser till annat fjärrvärmebolag]],"")</f>
        <v>918.7</v>
      </c>
      <c r="G316" t="str">
        <f>VLOOKUP(Levererat_2015[[#This Row],[Indexnamn]],'Leveranser per nät'!$A$4:$A$514,1,FALSE)</f>
        <v>Södertörn Fjärrvärme Totalt</v>
      </c>
    </row>
    <row r="317" spans="1:7" x14ac:dyDescent="0.25">
      <c r="A317" t="s">
        <v>605</v>
      </c>
      <c r="B317" t="s">
        <v>391</v>
      </c>
      <c r="C317" t="s">
        <v>391</v>
      </c>
      <c r="D317">
        <v>8.4309999999999992</v>
      </c>
      <c r="E317">
        <v>0</v>
      </c>
      <c r="F317">
        <f>IFERROR(Levererat_2015[[#This Row],[Leveranser:]]-Levererat_2015[[#This Row],[Leveranser till annat fjärrvärmebolag]],"")</f>
        <v>8.4309999999999992</v>
      </c>
      <c r="G317" t="str">
        <f>VLOOKUP(Levererat_2015[[#This Row],[Indexnamn]],'Leveranser per nät'!$A$4:$A$514,1,FALSE)</f>
        <v>Södra Vi</v>
      </c>
    </row>
    <row r="318" spans="1:7" x14ac:dyDescent="0.25">
      <c r="A318" t="s">
        <v>558</v>
      </c>
      <c r="B318" t="s">
        <v>129</v>
      </c>
      <c r="C318" t="s">
        <v>129</v>
      </c>
      <c r="D318">
        <v>6.9610000000000003</v>
      </c>
      <c r="E318">
        <v>0</v>
      </c>
      <c r="F318">
        <f>IFERROR(Levererat_2015[[#This Row],[Leveranser:]]-Levererat_2015[[#This Row],[Leveranser till annat fjärrvärmebolag]],"")</f>
        <v>6.9610000000000003</v>
      </c>
      <c r="G318" t="str">
        <f>VLOOKUP(Levererat_2015[[#This Row],[Indexnamn]],'Leveranser per nät'!$A$4:$A$514,1,FALSE)</f>
        <v>Sörforsa</v>
      </c>
    </row>
    <row r="319" spans="1:7" x14ac:dyDescent="0.25">
      <c r="A319" t="s">
        <v>616</v>
      </c>
      <c r="B319" t="s">
        <v>815</v>
      </c>
      <c r="D319" t="s">
        <v>779</v>
      </c>
      <c r="E319">
        <v>0</v>
      </c>
      <c r="F319" t="str">
        <f>IFERROR(Levererat_2015[[#This Row],[Leveranser:]]-Levererat_2015[[#This Row],[Leveranser till annat fjärrvärmebolag]],"")</f>
        <v/>
      </c>
    </row>
    <row r="320" spans="1:7" x14ac:dyDescent="0.25">
      <c r="A320" t="s">
        <v>718</v>
      </c>
      <c r="B320" t="s">
        <v>314</v>
      </c>
      <c r="C320" t="s">
        <v>314</v>
      </c>
      <c r="D320">
        <v>48.65</v>
      </c>
      <c r="E320">
        <v>0</v>
      </c>
      <c r="F320">
        <f>IFERROR(Levererat_2015[[#This Row],[Leveranser:]]-Levererat_2015[[#This Row],[Leveranser till annat fjärrvärmebolag]],"")</f>
        <v>48.65</v>
      </c>
      <c r="G320" t="str">
        <f>VLOOKUP(Levererat_2015[[#This Row],[Indexnamn]],'Leveranser per nät'!$A$4:$A$514,1,FALSE)</f>
        <v>Tidaholm</v>
      </c>
    </row>
    <row r="321" spans="1:7" x14ac:dyDescent="0.25">
      <c r="A321" t="s">
        <v>699</v>
      </c>
      <c r="B321" t="s">
        <v>719</v>
      </c>
      <c r="D321">
        <v>1.7789999999999999</v>
      </c>
      <c r="E321">
        <v>0</v>
      </c>
      <c r="F321">
        <f>IFERROR(Levererat_2015[[#This Row],[Leveranser:]]-Levererat_2015[[#This Row],[Leveranser till annat fjärrvärmebolag]],"")</f>
        <v>1.7789999999999999</v>
      </c>
      <c r="G321" t="e">
        <f>VLOOKUP(Levererat_2015[[#This Row],[Indexnamn]],'Leveranser per nät'!$A$4:$A$514,1,FALSE)</f>
        <v>#N/A</v>
      </c>
    </row>
    <row r="322" spans="1:7" x14ac:dyDescent="0.25">
      <c r="A322" t="s">
        <v>720</v>
      </c>
      <c r="B322" t="s">
        <v>315</v>
      </c>
      <c r="C322" t="s">
        <v>315</v>
      </c>
      <c r="D322">
        <v>44.058999999999997</v>
      </c>
      <c r="E322">
        <v>0</v>
      </c>
      <c r="F322">
        <f>IFERROR(Levererat_2015[[#This Row],[Leveranser:]]-Levererat_2015[[#This Row],[Leveranser till annat fjärrvärmebolag]],"")</f>
        <v>44.058999999999997</v>
      </c>
      <c r="G322" t="str">
        <f>VLOOKUP(Levererat_2015[[#This Row],[Indexnamn]],'Leveranser per nät'!$A$4:$A$514,1,FALSE)</f>
        <v>Tierp</v>
      </c>
    </row>
    <row r="323" spans="1:7" x14ac:dyDescent="0.25">
      <c r="A323" t="s">
        <v>614</v>
      </c>
      <c r="B323" t="s">
        <v>798</v>
      </c>
      <c r="D323">
        <v>0.745</v>
      </c>
      <c r="E323">
        <v>0</v>
      </c>
      <c r="F323">
        <f>IFERROR(Levererat_2015[[#This Row],[Leveranser:]]-Levererat_2015[[#This Row],[Leveranser till annat fjärrvärmebolag]],"")</f>
        <v>0.745</v>
      </c>
      <c r="G323" t="e">
        <f>VLOOKUP(Levererat_2015[[#This Row],[Indexnamn]],'Leveranser per nät'!$A$4:$A$514,1,FALSE)</f>
        <v>#N/A</v>
      </c>
    </row>
    <row r="324" spans="1:7" x14ac:dyDescent="0.25">
      <c r="A324" t="s">
        <v>699</v>
      </c>
      <c r="B324" t="s">
        <v>428</v>
      </c>
      <c r="C324" t="s">
        <v>428</v>
      </c>
      <c r="D324">
        <v>2.919</v>
      </c>
      <c r="E324">
        <v>0</v>
      </c>
      <c r="F324">
        <f>IFERROR(Levererat_2015[[#This Row],[Leveranser:]]-Levererat_2015[[#This Row],[Leveranser till annat fjärrvärmebolag]],"")</f>
        <v>2.919</v>
      </c>
      <c r="G324" t="str">
        <f>VLOOKUP(Levererat_2015[[#This Row],[Indexnamn]],'Leveranser per nät'!$A$4:$A$514,1,FALSE)</f>
        <v>Timmersdala</v>
      </c>
    </row>
    <row r="325" spans="1:7" x14ac:dyDescent="0.25">
      <c r="A325" t="s">
        <v>561</v>
      </c>
      <c r="B325" t="s">
        <v>54</v>
      </c>
      <c r="C325" t="s">
        <v>54</v>
      </c>
      <c r="D325">
        <v>62</v>
      </c>
      <c r="E325">
        <v>0</v>
      </c>
      <c r="F325">
        <f>IFERROR(Levererat_2015[[#This Row],[Leveranser:]]-Levererat_2015[[#This Row],[Leveranser till annat fjärrvärmebolag]],"")</f>
        <v>62</v>
      </c>
      <c r="G325" t="str">
        <f>VLOOKUP(Levererat_2015[[#This Row],[Indexnamn]],'Leveranser per nät'!$A$4:$A$514,1,FALSE)</f>
        <v>Timrå</v>
      </c>
    </row>
    <row r="326" spans="1:7" x14ac:dyDescent="0.25">
      <c r="A326" t="s">
        <v>598</v>
      </c>
      <c r="B326" t="s">
        <v>245</v>
      </c>
      <c r="C326" t="s">
        <v>245</v>
      </c>
      <c r="D326">
        <v>29.3</v>
      </c>
      <c r="E326">
        <v>0</v>
      </c>
      <c r="F326">
        <f>IFERROR(Levererat_2015[[#This Row],[Leveranser:]]-Levererat_2015[[#This Row],[Leveranser till annat fjärrvärmebolag]],"")</f>
        <v>29.3</v>
      </c>
      <c r="G326" t="str">
        <f>VLOOKUP(Levererat_2015[[#This Row],[Indexnamn]],'Leveranser per nät'!$A$4:$A$514,1,FALSE)</f>
        <v>Tomelilla</v>
      </c>
    </row>
    <row r="327" spans="1:7" x14ac:dyDescent="0.25">
      <c r="A327" t="s">
        <v>558</v>
      </c>
      <c r="B327" t="s">
        <v>130</v>
      </c>
      <c r="C327" t="s">
        <v>130</v>
      </c>
      <c r="D327">
        <v>86.739000000000004</v>
      </c>
      <c r="E327">
        <v>0</v>
      </c>
      <c r="F327">
        <f>IFERROR(Levererat_2015[[#This Row],[Leveranser:]]-Levererat_2015[[#This Row],[Leveranser till annat fjärrvärmebolag]],"")</f>
        <v>86.739000000000004</v>
      </c>
      <c r="G327" t="str">
        <f>VLOOKUP(Levererat_2015[[#This Row],[Indexnamn]],'Leveranser per nät'!$A$4:$A$514,1,FALSE)</f>
        <v>Torsby</v>
      </c>
    </row>
    <row r="328" spans="1:7" x14ac:dyDescent="0.25">
      <c r="A328" t="s">
        <v>777</v>
      </c>
      <c r="B328" t="s">
        <v>777</v>
      </c>
      <c r="D328">
        <v>0.74919999999999998</v>
      </c>
      <c r="E328">
        <v>0</v>
      </c>
      <c r="F328">
        <f>IFERROR(Levererat_2015[[#This Row],[Leveranser:]]-Levererat_2015[[#This Row],[Leveranser till annat fjärrvärmebolag]],"")</f>
        <v>0.74919999999999998</v>
      </c>
      <c r="G328" t="e">
        <f>VLOOKUP(Levererat_2015[[#This Row],[Indexnamn]],'Leveranser per nät'!$A$4:$A$514,1,FALSE)</f>
        <v>#N/A</v>
      </c>
    </row>
    <row r="329" spans="1:7" x14ac:dyDescent="0.25">
      <c r="A329" t="s">
        <v>575</v>
      </c>
      <c r="B329" t="s">
        <v>27</v>
      </c>
      <c r="C329" t="s">
        <v>27</v>
      </c>
      <c r="D329">
        <v>2.7490000000000001</v>
      </c>
      <c r="E329">
        <v>0</v>
      </c>
      <c r="F329">
        <f>IFERROR(Levererat_2015[[#This Row],[Leveranser:]]-Levererat_2015[[#This Row],[Leveranser till annat fjärrvärmebolag]],"")</f>
        <v>2.7490000000000001</v>
      </c>
      <c r="G329" t="str">
        <f>VLOOKUP(Levererat_2015[[#This Row],[Indexnamn]],'Leveranser per nät'!$A$4:$A$514,1,FALSE)</f>
        <v>Torsång</v>
      </c>
    </row>
    <row r="330" spans="1:7" x14ac:dyDescent="0.25">
      <c r="A330" t="s">
        <v>721</v>
      </c>
      <c r="B330" t="s">
        <v>514</v>
      </c>
      <c r="D330">
        <v>13.4</v>
      </c>
      <c r="E330">
        <v>0</v>
      </c>
      <c r="F330">
        <f>IFERROR(Levererat_2015[[#This Row],[Leveranser:]]-Levererat_2015[[#This Row],[Leveranser till annat fjärrvärmebolag]],"")</f>
        <v>13.4</v>
      </c>
      <c r="G330" t="e">
        <f>VLOOKUP(Levererat_2015[[#This Row],[Indexnamn]],'Leveranser per nät'!$A$4:$A$514,1,FALSE)</f>
        <v>#N/A</v>
      </c>
    </row>
    <row r="331" spans="1:7" x14ac:dyDescent="0.25">
      <c r="A331" t="s">
        <v>722</v>
      </c>
      <c r="B331" t="s">
        <v>316</v>
      </c>
      <c r="C331" t="s">
        <v>316</v>
      </c>
      <c r="D331">
        <v>116</v>
      </c>
      <c r="E331">
        <v>0</v>
      </c>
      <c r="F331">
        <f>IFERROR(Levererat_2015[[#This Row],[Leveranser:]]-Levererat_2015[[#This Row],[Leveranser till annat fjärrvärmebolag]],"")</f>
        <v>116</v>
      </c>
      <c r="G331" t="str">
        <f>VLOOKUP(Levererat_2015[[#This Row],[Indexnamn]],'Leveranser per nät'!$A$4:$A$514,1,FALSE)</f>
        <v>Tranås</v>
      </c>
    </row>
    <row r="332" spans="1:7" x14ac:dyDescent="0.25">
      <c r="A332" t="s">
        <v>723</v>
      </c>
      <c r="B332" t="s">
        <v>317</v>
      </c>
      <c r="C332" t="s">
        <v>317</v>
      </c>
      <c r="D332">
        <v>84</v>
      </c>
      <c r="E332">
        <v>0</v>
      </c>
      <c r="F332">
        <f>IFERROR(Levererat_2015[[#This Row],[Leveranser:]]-Levererat_2015[[#This Row],[Leveranser till annat fjärrvärmebolag]],"")</f>
        <v>84</v>
      </c>
      <c r="G332" t="str">
        <f>VLOOKUP(Levererat_2015[[#This Row],[Indexnamn]],'Leveranser per nät'!$A$4:$A$514,1,FALSE)</f>
        <v>Trelleborg</v>
      </c>
    </row>
    <row r="333" spans="1:7" x14ac:dyDescent="0.25">
      <c r="A333" t="s">
        <v>725</v>
      </c>
      <c r="B333" t="s">
        <v>318</v>
      </c>
      <c r="C333" t="s">
        <v>318</v>
      </c>
      <c r="D333">
        <v>321</v>
      </c>
      <c r="E333">
        <v>0</v>
      </c>
      <c r="F333">
        <f>IFERROR(Levererat_2015[[#This Row],[Leveranser:]]-Levererat_2015[[#This Row],[Leveranser till annat fjärrvärmebolag]],"")</f>
        <v>321</v>
      </c>
      <c r="G333" t="str">
        <f>VLOOKUP(Levererat_2015[[#This Row],[Indexnamn]],'Leveranser per nät'!$A$4:$A$514,1,FALSE)</f>
        <v>Trollhättan</v>
      </c>
    </row>
    <row r="334" spans="1:7" x14ac:dyDescent="0.25">
      <c r="A334" t="s">
        <v>655</v>
      </c>
      <c r="B334" t="s">
        <v>282</v>
      </c>
      <c r="C334" t="s">
        <v>282</v>
      </c>
      <c r="D334">
        <v>19.02</v>
      </c>
      <c r="E334">
        <v>0</v>
      </c>
      <c r="F334">
        <f>IFERROR(Levererat_2015[[#This Row],[Leveranser:]]-Levererat_2015[[#This Row],[Leveranser till annat fjärrvärmebolag]],"")</f>
        <v>19.02</v>
      </c>
      <c r="G334" t="str">
        <f>VLOOKUP(Levererat_2015[[#This Row],[Indexnamn]],'Leveranser per nät'!$A$4:$A$514,1,FALSE)</f>
        <v>Trosa</v>
      </c>
    </row>
    <row r="335" spans="1:7" x14ac:dyDescent="0.25">
      <c r="A335" t="s">
        <v>657</v>
      </c>
      <c r="B335" t="s">
        <v>727</v>
      </c>
      <c r="C335" t="s">
        <v>727</v>
      </c>
      <c r="D335">
        <v>101.971</v>
      </c>
      <c r="E335">
        <v>0</v>
      </c>
      <c r="F335">
        <f>IFERROR(Levererat_2015[[#This Row],[Leveranser:]]-Levererat_2015[[#This Row],[Leveranser till annat fjärrvärmebolag]],"")</f>
        <v>101.971</v>
      </c>
      <c r="G335" t="str">
        <f>VLOOKUP(Levererat_2015[[#This Row],[Indexnamn]],'Leveranser per nät'!$A$4:$A$514,1,FALSE)</f>
        <v>Tunadal</v>
      </c>
    </row>
    <row r="336" spans="1:7" x14ac:dyDescent="0.25">
      <c r="A336" t="s">
        <v>726</v>
      </c>
      <c r="B336" t="s">
        <v>429</v>
      </c>
      <c r="C336" t="s">
        <v>429</v>
      </c>
      <c r="D336">
        <v>3.7989999999999999</v>
      </c>
      <c r="E336">
        <v>0</v>
      </c>
      <c r="F336">
        <f>IFERROR(Levererat_2015[[#This Row],[Leveranser:]]-Levererat_2015[[#This Row],[Leveranser till annat fjärrvärmebolag]],"")</f>
        <v>3.7989999999999999</v>
      </c>
      <c r="G336" t="str">
        <f>VLOOKUP(Levererat_2015[[#This Row],[Indexnamn]],'Leveranser per nät'!$A$4:$A$514,1,FALSE)</f>
        <v>Tvååker (Närv)</v>
      </c>
    </row>
    <row r="337" spans="1:7" x14ac:dyDescent="0.25">
      <c r="A337" t="s">
        <v>634</v>
      </c>
      <c r="B337" t="s">
        <v>152</v>
      </c>
      <c r="C337" t="s">
        <v>152</v>
      </c>
      <c r="D337">
        <v>17</v>
      </c>
      <c r="E337">
        <v>0</v>
      </c>
      <c r="F337">
        <f>IFERROR(Levererat_2015[[#This Row],[Leveranser:]]-Levererat_2015[[#This Row],[Leveranser till annat fjärrvärmebolag]],"")</f>
        <v>17</v>
      </c>
      <c r="G337" t="str">
        <f>VLOOKUP(Levererat_2015[[#This Row],[Indexnamn]],'Leveranser per nät'!$A$4:$A$514,1,FALSE)</f>
        <v>Tyringe</v>
      </c>
    </row>
    <row r="338" spans="1:7" x14ac:dyDescent="0.25">
      <c r="A338" t="s">
        <v>826</v>
      </c>
      <c r="B338" t="s">
        <v>442</v>
      </c>
      <c r="C338" t="s">
        <v>442</v>
      </c>
      <c r="D338">
        <v>84.281000000000006</v>
      </c>
      <c r="E338">
        <v>0</v>
      </c>
      <c r="F338">
        <f>IFERROR(Levererat_2015[[#This Row],[Leveranser:]]-Levererat_2015[[#This Row],[Leveranser till annat fjärrvärmebolag]],"")</f>
        <v>84.281000000000006</v>
      </c>
      <c r="G338" t="str">
        <f>VLOOKUP(Levererat_2015[[#This Row],[Indexnamn]],'Leveranser per nät'!$A$4:$A$514,1,FALSE)</f>
        <v>Täby</v>
      </c>
    </row>
    <row r="339" spans="1:7" x14ac:dyDescent="0.25">
      <c r="A339" t="s">
        <v>561</v>
      </c>
      <c r="B339" t="s">
        <v>785</v>
      </c>
      <c r="C339" t="s">
        <v>827</v>
      </c>
      <c r="D339">
        <v>36.799999999999997</v>
      </c>
      <c r="E339">
        <v>0</v>
      </c>
      <c r="F339">
        <f>IFERROR(Levererat_2015[[#This Row],[Leveranser:]]-Levererat_2015[[#This Row],[Leveranser till annat fjärrvärmebolag]],"")</f>
        <v>36.799999999999997</v>
      </c>
      <c r="G339" t="e">
        <f>VLOOKUP(Levererat_2015[[#This Row],[Indexnamn]],'Leveranser per nät'!$A$4:$A$514,1,FALSE)</f>
        <v>#N/A</v>
      </c>
    </row>
    <row r="340" spans="1:7" x14ac:dyDescent="0.25">
      <c r="A340" t="s">
        <v>707</v>
      </c>
      <c r="B340" t="s">
        <v>825</v>
      </c>
      <c r="C340" t="s">
        <v>827</v>
      </c>
      <c r="D340">
        <v>47.481000000000002</v>
      </c>
      <c r="E340">
        <v>0</v>
      </c>
      <c r="F340">
        <f>IFERROR(Levererat_2015[[#This Row],[Leveranser:]]-Levererat_2015[[#This Row],[Leveranser till annat fjärrvärmebolag]],"")</f>
        <v>47.481000000000002</v>
      </c>
      <c r="G340" t="e">
        <f>VLOOKUP(Levererat_2015[[#This Row],[Indexnamn]],'Leveranser per nät'!$A$4:$A$514,1,FALSE)</f>
        <v>#N/A</v>
      </c>
    </row>
    <row r="341" spans="1:7" x14ac:dyDescent="0.25">
      <c r="A341" t="s">
        <v>668</v>
      </c>
      <c r="B341" t="s">
        <v>430</v>
      </c>
      <c r="C341" t="s">
        <v>430</v>
      </c>
      <c r="D341">
        <v>22.1</v>
      </c>
      <c r="E341">
        <v>0</v>
      </c>
      <c r="F341">
        <f>IFERROR(Levererat_2015[[#This Row],[Leveranser:]]-Levererat_2015[[#This Row],[Leveranser till annat fjärrvärmebolag]],"")</f>
        <v>22.1</v>
      </c>
      <c r="G341" t="str">
        <f>VLOOKUP(Levererat_2015[[#This Row],[Indexnamn]],'Leveranser per nät'!$A$4:$A$514,1,FALSE)</f>
        <v>Töreboda</v>
      </c>
    </row>
    <row r="342" spans="1:7" x14ac:dyDescent="0.25">
      <c r="A342" t="s">
        <v>665</v>
      </c>
      <c r="B342" t="s">
        <v>320</v>
      </c>
      <c r="C342" t="s">
        <v>320</v>
      </c>
      <c r="D342">
        <v>252</v>
      </c>
      <c r="E342">
        <v>0</v>
      </c>
      <c r="F342">
        <f>IFERROR(Levererat_2015[[#This Row],[Leveranser:]]-Levererat_2015[[#This Row],[Leveranser till annat fjärrvärmebolag]],"")</f>
        <v>252</v>
      </c>
      <c r="G342" t="str">
        <f>VLOOKUP(Levererat_2015[[#This Row],[Indexnamn]],'Leveranser per nät'!$A$4:$A$514,1,FALSE)</f>
        <v>Uddevalla</v>
      </c>
    </row>
    <row r="343" spans="1:7" x14ac:dyDescent="0.25">
      <c r="A343" t="s">
        <v>596</v>
      </c>
      <c r="B343" t="s">
        <v>383</v>
      </c>
      <c r="C343" t="s">
        <v>383</v>
      </c>
      <c r="D343">
        <v>2.1480000000000001</v>
      </c>
      <c r="E343">
        <v>0</v>
      </c>
      <c r="F343">
        <f>IFERROR(Levererat_2015[[#This Row],[Leveranser:]]-Levererat_2015[[#This Row],[Leveranser till annat fjärrvärmebolag]],"")</f>
        <v>2.1480000000000001</v>
      </c>
      <c r="G343" t="str">
        <f>VLOOKUP(Levererat_2015[[#This Row],[Indexnamn]],'Leveranser per nät'!$A$4:$A$514,1,FALSE)</f>
        <v>Ullared-närvärme</v>
      </c>
    </row>
    <row r="344" spans="1:7" x14ac:dyDescent="0.25">
      <c r="A344" t="s">
        <v>614</v>
      </c>
      <c r="B344" t="s">
        <v>321</v>
      </c>
      <c r="C344" t="s">
        <v>321</v>
      </c>
      <c r="D344">
        <v>47.430999999999997</v>
      </c>
      <c r="E344">
        <v>0</v>
      </c>
      <c r="F344">
        <f>IFERROR(Levererat_2015[[#This Row],[Leveranser:]]-Levererat_2015[[#This Row],[Leveranser till annat fjärrvärmebolag]],"")</f>
        <v>47.430999999999997</v>
      </c>
      <c r="G344" t="str">
        <f>VLOOKUP(Levererat_2015[[#This Row],[Indexnamn]],'Leveranser per nät'!$A$4:$A$514,1,FALSE)</f>
        <v>Ulricehamn</v>
      </c>
    </row>
    <row r="345" spans="1:7" x14ac:dyDescent="0.25">
      <c r="A345" t="s">
        <v>566</v>
      </c>
      <c r="B345" t="s">
        <v>324</v>
      </c>
      <c r="C345" t="s">
        <v>324</v>
      </c>
      <c r="D345">
        <v>761.05499999999995</v>
      </c>
      <c r="E345">
        <v>0</v>
      </c>
      <c r="F345">
        <f>IFERROR(Levererat_2015[[#This Row],[Leveranser:]]-Levererat_2015[[#This Row],[Leveranser till annat fjärrvärmebolag]],"")</f>
        <v>761.05499999999995</v>
      </c>
      <c r="G345" t="str">
        <f>VLOOKUP(Levererat_2015[[#This Row],[Indexnamn]],'Leveranser per nät'!$A$4:$A$514,1,FALSE)</f>
        <v>Umeå</v>
      </c>
    </row>
    <row r="346" spans="1:7" x14ac:dyDescent="0.25">
      <c r="A346" t="s">
        <v>556</v>
      </c>
      <c r="B346" t="s">
        <v>335</v>
      </c>
      <c r="C346" t="s">
        <v>335</v>
      </c>
      <c r="D346">
        <v>1357.5</v>
      </c>
      <c r="E346">
        <v>0</v>
      </c>
      <c r="F346">
        <f>IFERROR(Levererat_2015[[#This Row],[Leveranser:]]-Levererat_2015[[#This Row],[Leveranser till annat fjärrvärmebolag]],"")</f>
        <v>1357.5</v>
      </c>
      <c r="G346" t="str">
        <f>VLOOKUP(Levererat_2015[[#This Row],[Indexnamn]],'Leveranser per nät'!$A$4:$A$514,1,FALSE)</f>
        <v>Uppsala</v>
      </c>
    </row>
    <row r="347" spans="1:7" x14ac:dyDescent="0.25">
      <c r="A347" t="s">
        <v>571</v>
      </c>
      <c r="B347" t="s">
        <v>273</v>
      </c>
      <c r="C347" t="s">
        <v>273</v>
      </c>
      <c r="D347">
        <v>27.04</v>
      </c>
      <c r="E347">
        <v>0</v>
      </c>
      <c r="F347">
        <f>IFERROR(Levererat_2015[[#This Row],[Leveranser:]]-Levererat_2015[[#This Row],[Leveranser till annat fjärrvärmebolag]],"")</f>
        <v>27.04</v>
      </c>
      <c r="G347" t="str">
        <f>VLOOKUP(Levererat_2015[[#This Row],[Indexnamn]],'Leveranser per nät'!$A$4:$A$514,1,FALSE)</f>
        <v>Ursviken-Skelleftehamn</v>
      </c>
    </row>
    <row r="348" spans="1:7" x14ac:dyDescent="0.25">
      <c r="A348" t="s">
        <v>598</v>
      </c>
      <c r="B348" t="s">
        <v>238</v>
      </c>
      <c r="C348" t="s">
        <v>238</v>
      </c>
      <c r="D348">
        <v>34.9</v>
      </c>
      <c r="E348">
        <v>0</v>
      </c>
      <c r="F348">
        <f>IFERROR(Levererat_2015[[#This Row],[Leveranser:]]-Levererat_2015[[#This Row],[Leveranser till annat fjärrvärmebolag]],"")</f>
        <v>34.9</v>
      </c>
      <c r="G348" t="str">
        <f>VLOOKUP(Levererat_2015[[#This Row],[Indexnamn]],'Leveranser per nät'!$A$4:$A$514,1,FALSE)</f>
        <v>Vadstena</v>
      </c>
    </row>
    <row r="349" spans="1:7" x14ac:dyDescent="0.25">
      <c r="A349" t="s">
        <v>697</v>
      </c>
      <c r="B349" t="s">
        <v>328</v>
      </c>
      <c r="C349" t="s">
        <v>328</v>
      </c>
      <c r="D349">
        <v>27.3</v>
      </c>
      <c r="E349">
        <v>0</v>
      </c>
      <c r="F349">
        <f>IFERROR(Levererat_2015[[#This Row],[Leveranser:]]-Levererat_2015[[#This Row],[Leveranser till annat fjärrvärmebolag]],"")</f>
        <v>27.3</v>
      </c>
      <c r="G349" t="str">
        <f>VLOOKUP(Levererat_2015[[#This Row],[Indexnamn]],'Leveranser per nät'!$A$4:$A$514,1,FALSE)</f>
        <v>Vaggeryd</v>
      </c>
    </row>
    <row r="350" spans="1:7" x14ac:dyDescent="0.25">
      <c r="A350" t="s">
        <v>655</v>
      </c>
      <c r="B350" t="s">
        <v>284</v>
      </c>
      <c r="C350" t="s">
        <v>284</v>
      </c>
      <c r="D350">
        <v>7.44</v>
      </c>
      <c r="E350">
        <v>0</v>
      </c>
      <c r="F350">
        <f>IFERROR(Levererat_2015[[#This Row],[Leveranser:]]-Levererat_2015[[#This Row],[Leveranser till annat fjärrvärmebolag]],"")</f>
        <v>7.44</v>
      </c>
      <c r="G350" t="str">
        <f>VLOOKUP(Levererat_2015[[#This Row],[Indexnamn]],'Leveranser per nät'!$A$4:$A$514,1,FALSE)</f>
        <v>Vagnhärad</v>
      </c>
    </row>
    <row r="351" spans="1:7" x14ac:dyDescent="0.25">
      <c r="A351" t="s">
        <v>564</v>
      </c>
      <c r="B351" t="s">
        <v>169</v>
      </c>
      <c r="C351" t="s">
        <v>169</v>
      </c>
      <c r="D351">
        <v>8.5</v>
      </c>
      <c r="E351">
        <v>0</v>
      </c>
      <c r="F351">
        <f>IFERROR(Levererat_2015[[#This Row],[Leveranser:]]-Levererat_2015[[#This Row],[Leveranser till annat fjärrvärmebolag]],"")</f>
        <v>8.5</v>
      </c>
      <c r="G351" t="str">
        <f>VLOOKUP(Levererat_2015[[#This Row],[Indexnamn]],'Leveranser per nät'!$A$4:$A$514,1,FALSE)</f>
        <v>Valla</v>
      </c>
    </row>
    <row r="352" spans="1:7" x14ac:dyDescent="0.25">
      <c r="A352" t="s">
        <v>561</v>
      </c>
      <c r="B352" t="s">
        <v>59</v>
      </c>
      <c r="C352" t="s">
        <v>59</v>
      </c>
      <c r="D352">
        <v>55.6</v>
      </c>
      <c r="E352">
        <v>0</v>
      </c>
      <c r="F352">
        <f>IFERROR(Levererat_2015[[#This Row],[Leveranser:]]-Levererat_2015[[#This Row],[Leveranser till annat fjärrvärmebolag]],"")</f>
        <v>55.6</v>
      </c>
      <c r="G352" t="str">
        <f>VLOOKUP(Levererat_2015[[#This Row],[Indexnamn]],'Leveranser per nät'!$A$4:$A$514,1,FALSE)</f>
        <v>Vallentuna</v>
      </c>
    </row>
    <row r="353" spans="1:7" x14ac:dyDescent="0.25">
      <c r="A353" t="s">
        <v>598</v>
      </c>
      <c r="B353" t="s">
        <v>235</v>
      </c>
      <c r="C353" t="s">
        <v>235</v>
      </c>
      <c r="D353">
        <v>17.041</v>
      </c>
      <c r="E353">
        <v>0</v>
      </c>
      <c r="F353">
        <f>IFERROR(Levererat_2015[[#This Row],[Leveranser:]]-Levererat_2015[[#This Row],[Leveranser till annat fjärrvärmebolag]],"")</f>
        <v>17.041</v>
      </c>
      <c r="G353" t="str">
        <f>VLOOKUP(Levererat_2015[[#This Row],[Indexnamn]],'Leveranser per nät'!$A$4:$A$514,1,FALSE)</f>
        <v>Vansbro</v>
      </c>
    </row>
    <row r="354" spans="1:7" x14ac:dyDescent="0.25">
      <c r="A354" t="s">
        <v>799</v>
      </c>
      <c r="B354" t="s">
        <v>330</v>
      </c>
      <c r="C354" t="s">
        <v>330</v>
      </c>
      <c r="D354">
        <v>37.76</v>
      </c>
      <c r="E354">
        <v>0</v>
      </c>
      <c r="F354">
        <f>IFERROR(Levererat_2015[[#This Row],[Leveranser:]]-Levererat_2015[[#This Row],[Leveranser till annat fjärrvärmebolag]],"")</f>
        <v>37.76</v>
      </c>
      <c r="G354" t="str">
        <f>VLOOKUP(Levererat_2015[[#This Row],[Indexnamn]],'Leveranser per nät'!$A$4:$A$514,1,FALSE)</f>
        <v>Vara</v>
      </c>
    </row>
    <row r="355" spans="1:7" x14ac:dyDescent="0.25">
      <c r="A355" t="s">
        <v>726</v>
      </c>
      <c r="B355" t="s">
        <v>332</v>
      </c>
      <c r="C355" t="s">
        <v>332</v>
      </c>
      <c r="D355">
        <v>139.10400000000001</v>
      </c>
      <c r="E355">
        <v>0</v>
      </c>
      <c r="F355">
        <f>IFERROR(Levererat_2015[[#This Row],[Leveranser:]]-Levererat_2015[[#This Row],[Leveranser till annat fjärrvärmebolag]],"")</f>
        <v>139.10400000000001</v>
      </c>
      <c r="G355" t="str">
        <f>VLOOKUP(Levererat_2015[[#This Row],[Indexnamn]],'Leveranser per nät'!$A$4:$A$514,1,FALSE)</f>
        <v>Varberg (Fjv)</v>
      </c>
    </row>
    <row r="356" spans="1:7" x14ac:dyDescent="0.25">
      <c r="A356" t="s">
        <v>561</v>
      </c>
      <c r="B356" t="s">
        <v>58</v>
      </c>
      <c r="C356" t="s">
        <v>58</v>
      </c>
      <c r="D356">
        <v>22.6</v>
      </c>
      <c r="E356">
        <v>0</v>
      </c>
      <c r="F356">
        <f>IFERROR(Levererat_2015[[#This Row],[Leveranser:]]-Levererat_2015[[#This Row],[Leveranser till annat fjärrvärmebolag]],"")</f>
        <v>22.6</v>
      </c>
      <c r="G356" t="str">
        <f>VLOOKUP(Levererat_2015[[#This Row],[Indexnamn]],'Leveranser per nät'!$A$4:$A$514,1,FALSE)</f>
        <v>Vaxholm</v>
      </c>
    </row>
    <row r="357" spans="1:7" x14ac:dyDescent="0.25">
      <c r="A357" t="s">
        <v>726</v>
      </c>
      <c r="B357" t="s">
        <v>333</v>
      </c>
      <c r="C357" t="s">
        <v>333</v>
      </c>
      <c r="D357">
        <v>3.5270000000000001</v>
      </c>
      <c r="E357">
        <v>0</v>
      </c>
      <c r="F357">
        <f>IFERROR(Levererat_2015[[#This Row],[Leveranser:]]-Levererat_2015[[#This Row],[Leveranser till annat fjärrvärmebolag]],"")</f>
        <v>3.5270000000000001</v>
      </c>
      <c r="G357" t="str">
        <f>VLOOKUP(Levererat_2015[[#This Row],[Indexnamn]],'Leveranser per nät'!$A$4:$A$514,1,FALSE)</f>
        <v>Veddige</v>
      </c>
    </row>
    <row r="358" spans="1:7" x14ac:dyDescent="0.25">
      <c r="A358" t="s">
        <v>606</v>
      </c>
      <c r="B358" t="s">
        <v>192</v>
      </c>
      <c r="C358" t="s">
        <v>192</v>
      </c>
      <c r="D358">
        <v>3.6</v>
      </c>
      <c r="E358">
        <v>0</v>
      </c>
      <c r="F358">
        <f>IFERROR(Levererat_2015[[#This Row],[Leveranser:]]-Levererat_2015[[#This Row],[Leveranser till annat fjärrvärmebolag]],"")</f>
        <v>3.6</v>
      </c>
      <c r="G358" t="str">
        <f>VLOOKUP(Levererat_2015[[#This Row],[Indexnamn]],'Leveranser per nät'!$A$4:$A$514,1,FALSE)</f>
        <v>Vedevåg</v>
      </c>
    </row>
    <row r="359" spans="1:7" x14ac:dyDescent="0.25">
      <c r="A359" t="s">
        <v>626</v>
      </c>
      <c r="B359" t="s">
        <v>431</v>
      </c>
      <c r="C359" t="s">
        <v>431</v>
      </c>
      <c r="D359">
        <v>9</v>
      </c>
      <c r="E359">
        <v>0</v>
      </c>
      <c r="F359">
        <f>IFERROR(Levererat_2015[[#This Row],[Leveranser:]]-Levererat_2015[[#This Row],[Leveranser till annat fjärrvärmebolag]],"")</f>
        <v>9</v>
      </c>
      <c r="G359" t="str">
        <f>VLOOKUP(Levererat_2015[[#This Row],[Indexnamn]],'Leveranser per nät'!$A$4:$A$514,1,FALSE)</f>
        <v>Vejbystrand</v>
      </c>
    </row>
    <row r="360" spans="1:7" x14ac:dyDescent="0.25">
      <c r="A360" t="s">
        <v>596</v>
      </c>
      <c r="B360" t="s">
        <v>729</v>
      </c>
      <c r="C360" t="s">
        <v>729</v>
      </c>
      <c r="D360">
        <v>3.2469999999999999</v>
      </c>
      <c r="E360">
        <v>0</v>
      </c>
      <c r="F360">
        <f>IFERROR(Levererat_2015[[#This Row],[Leveranser:]]-Levererat_2015[[#This Row],[Leveranser till annat fjärrvärmebolag]],"")</f>
        <v>3.2469999999999999</v>
      </c>
      <c r="G360" t="str">
        <f>VLOOKUP(Levererat_2015[[#This Row],[Indexnamn]],'Leveranser per nät'!$A$4:$A$514,1,FALSE)</f>
        <v>Vessigebro-närvärme</v>
      </c>
    </row>
    <row r="361" spans="1:7" x14ac:dyDescent="0.25">
      <c r="A361" t="s">
        <v>585</v>
      </c>
      <c r="B361" t="s">
        <v>348</v>
      </c>
      <c r="C361" t="s">
        <v>348</v>
      </c>
      <c r="D361">
        <v>113.5</v>
      </c>
      <c r="E361">
        <v>0</v>
      </c>
      <c r="F361">
        <f>IFERROR(Levererat_2015[[#This Row],[Leveranser:]]-Levererat_2015[[#This Row],[Leveranser till annat fjärrvärmebolag]],"")</f>
        <v>113.5</v>
      </c>
      <c r="G361" t="str">
        <f>VLOOKUP(Levererat_2015[[#This Row],[Indexnamn]],'Leveranser per nät'!$A$4:$A$514,1,FALSE)</f>
        <v>Vetlanda</v>
      </c>
    </row>
    <row r="362" spans="1:7" x14ac:dyDescent="0.25">
      <c r="A362" t="s">
        <v>605</v>
      </c>
      <c r="B362" t="s">
        <v>350</v>
      </c>
      <c r="C362" t="s">
        <v>350</v>
      </c>
      <c r="D362">
        <v>97.671000000000006</v>
      </c>
      <c r="E362">
        <v>0</v>
      </c>
      <c r="F362">
        <f>IFERROR(Levererat_2015[[#This Row],[Leveranser:]]-Levererat_2015[[#This Row],[Leveranser till annat fjärrvärmebolag]],"")</f>
        <v>97.671000000000006</v>
      </c>
      <c r="G362" t="str">
        <f>VLOOKUP(Levererat_2015[[#This Row],[Indexnamn]],'Leveranser per nät'!$A$4:$A$514,1,FALSE)</f>
        <v>Vimmerby</v>
      </c>
    </row>
    <row r="363" spans="1:7" x14ac:dyDescent="0.25">
      <c r="A363" t="s">
        <v>571</v>
      </c>
      <c r="B363" t="s">
        <v>260</v>
      </c>
      <c r="C363" t="s">
        <v>260</v>
      </c>
      <c r="D363">
        <v>13.901</v>
      </c>
      <c r="E363">
        <v>0</v>
      </c>
      <c r="F363">
        <f>IFERROR(Levererat_2015[[#This Row],[Leveranser:]]-Levererat_2015[[#This Row],[Leveranser till annat fjärrvärmebolag]],"")</f>
        <v>13.901</v>
      </c>
      <c r="G363" t="str">
        <f>VLOOKUP(Levererat_2015[[#This Row],[Indexnamn]],'Leveranser per nät'!$A$4:$A$514,1,FALSE)</f>
        <v>Vindeln</v>
      </c>
    </row>
    <row r="364" spans="1:7" x14ac:dyDescent="0.25">
      <c r="A364" t="s">
        <v>598</v>
      </c>
      <c r="B364" t="s">
        <v>240</v>
      </c>
      <c r="C364" t="s">
        <v>240</v>
      </c>
      <c r="D364">
        <v>21</v>
      </c>
      <c r="E364">
        <v>0</v>
      </c>
      <c r="F364">
        <f>IFERROR(Levererat_2015[[#This Row],[Leveranser:]]-Levererat_2015[[#This Row],[Leveranser till annat fjärrvärmebolag]],"")</f>
        <v>21</v>
      </c>
      <c r="G364" t="str">
        <f>VLOOKUP(Levererat_2015[[#This Row],[Indexnamn]],'Leveranser per nät'!$A$4:$A$514,1,FALSE)</f>
        <v>Vingåker</v>
      </c>
    </row>
    <row r="365" spans="1:7" x14ac:dyDescent="0.25">
      <c r="A365" t="s">
        <v>627</v>
      </c>
      <c r="B365" t="s">
        <v>133</v>
      </c>
      <c r="C365" t="s">
        <v>133</v>
      </c>
      <c r="D365">
        <v>161.30000000000001</v>
      </c>
      <c r="E365">
        <v>0</v>
      </c>
      <c r="F365">
        <f>IFERROR(Levererat_2015[[#This Row],[Leveranser:]]-Levererat_2015[[#This Row],[Leveranser till annat fjärrvärmebolag]],"")</f>
        <v>161.30000000000001</v>
      </c>
      <c r="G365" t="str">
        <f>VLOOKUP(Levererat_2015[[#This Row],[Indexnamn]],'Leveranser per nät'!$A$4:$A$514,1,FALSE)</f>
        <v>Visby</v>
      </c>
    </row>
    <row r="366" spans="1:7" x14ac:dyDescent="0.25">
      <c r="A366" t="s">
        <v>549</v>
      </c>
      <c r="B366" t="s">
        <v>4</v>
      </c>
      <c r="C366" t="s">
        <v>4</v>
      </c>
      <c r="D366" t="s">
        <v>779</v>
      </c>
      <c r="E366">
        <v>0</v>
      </c>
      <c r="F366" t="str">
        <f>IFERROR(Levererat_2015[[#This Row],[Leveranser:]]-Levererat_2015[[#This Row],[Leveranser till annat fjärrvärmebolag]],"")</f>
        <v/>
      </c>
      <c r="G366" t="str">
        <f>VLOOKUP(Levererat_2015[[#This Row],[Indexnamn]],'Leveranser per nät'!$A$4:$A$514,1,FALSE)</f>
        <v>Vislanda</v>
      </c>
    </row>
    <row r="367" spans="1:7" x14ac:dyDescent="0.25">
      <c r="A367" t="s">
        <v>817</v>
      </c>
      <c r="B367" t="s">
        <v>305</v>
      </c>
      <c r="C367" t="s">
        <v>305</v>
      </c>
      <c r="D367">
        <v>5.3719999999999999</v>
      </c>
      <c r="E367">
        <v>0</v>
      </c>
      <c r="F367">
        <f>IFERROR(Levererat_2015[[#This Row],[Leveranser:]]-Levererat_2015[[#This Row],[Leveranser till annat fjärrvärmebolag]],"")</f>
        <v>5.3719999999999999</v>
      </c>
      <c r="G367" t="str">
        <f>VLOOKUP(Levererat_2015[[#This Row],[Indexnamn]],'Leveranser per nät'!$A$4:$A$514,1,FALSE)</f>
        <v>Vittangi</v>
      </c>
    </row>
    <row r="368" spans="1:7" x14ac:dyDescent="0.25">
      <c r="A368" t="s">
        <v>598</v>
      </c>
      <c r="B368" t="s">
        <v>248</v>
      </c>
      <c r="C368" t="s">
        <v>248</v>
      </c>
      <c r="D368">
        <v>35.700000000000003</v>
      </c>
      <c r="E368">
        <v>0</v>
      </c>
      <c r="F368">
        <f>IFERROR(Levererat_2015[[#This Row],[Leveranser:]]-Levererat_2015[[#This Row],[Leveranser till annat fjärrvärmebolag]],"")</f>
        <v>35.700000000000003</v>
      </c>
      <c r="G368" t="str">
        <f>VLOOKUP(Levererat_2015[[#This Row],[Indexnamn]],'Leveranser per nät'!$A$4:$A$514,1,FALSE)</f>
        <v>Vårgårda</v>
      </c>
    </row>
    <row r="369" spans="1:7" x14ac:dyDescent="0.25">
      <c r="A369" t="s">
        <v>556</v>
      </c>
      <c r="B369" t="s">
        <v>338</v>
      </c>
      <c r="C369" t="s">
        <v>338</v>
      </c>
      <c r="D369">
        <v>129.69999999999999</v>
      </c>
      <c r="E369">
        <v>0</v>
      </c>
      <c r="F369">
        <f>IFERROR(Levererat_2015[[#This Row],[Leveranser:]]-Levererat_2015[[#This Row],[Leveranser till annat fjärrvärmebolag]],"")</f>
        <v>129.69999999999999</v>
      </c>
      <c r="G369" t="str">
        <f>VLOOKUP(Levererat_2015[[#This Row],[Indexnamn]],'Leveranser per nät'!$A$4:$A$514,1,FALSE)</f>
        <v>Vänersborg</v>
      </c>
    </row>
    <row r="370" spans="1:7" x14ac:dyDescent="0.25">
      <c r="A370" t="s">
        <v>563</v>
      </c>
      <c r="B370" t="s">
        <v>435</v>
      </c>
      <c r="C370" t="s">
        <v>435</v>
      </c>
      <c r="D370">
        <v>2.1779999999999999</v>
      </c>
      <c r="E370">
        <v>0</v>
      </c>
      <c r="F370">
        <f>IFERROR(Levererat_2015[[#This Row],[Leveranser:]]-Levererat_2015[[#This Row],[Leveranser till annat fjärrvärmebolag]],"")</f>
        <v>2.1779999999999999</v>
      </c>
      <c r="G370" t="str">
        <f>VLOOKUP(Levererat_2015[[#This Row],[Indexnamn]],'Leveranser per nät'!$A$4:$A$514,1,FALSE)</f>
        <v>Vänge</v>
      </c>
    </row>
    <row r="371" spans="1:7" x14ac:dyDescent="0.25">
      <c r="A371" t="s">
        <v>689</v>
      </c>
      <c r="B371" t="s">
        <v>355</v>
      </c>
      <c r="C371" t="s">
        <v>355</v>
      </c>
      <c r="D371">
        <v>142.86080100000001</v>
      </c>
      <c r="E371">
        <v>0</v>
      </c>
      <c r="F371">
        <f>IFERROR(Levererat_2015[[#This Row],[Leveranser:]]-Levererat_2015[[#This Row],[Leveranser till annat fjärrvärmebolag]],"")</f>
        <v>142.86080100000001</v>
      </c>
      <c r="G371" t="str">
        <f>VLOOKUP(Levererat_2015[[#This Row],[Indexnamn]],'Leveranser per nät'!$A$4:$A$514,1,FALSE)</f>
        <v>Värnamo</v>
      </c>
    </row>
    <row r="372" spans="1:7" x14ac:dyDescent="0.25">
      <c r="A372" t="s">
        <v>550</v>
      </c>
      <c r="B372" t="s">
        <v>362</v>
      </c>
      <c r="C372" t="s">
        <v>362</v>
      </c>
      <c r="D372">
        <v>167.3</v>
      </c>
      <c r="E372">
        <v>0</v>
      </c>
      <c r="F372">
        <f>IFERROR(Levererat_2015[[#This Row],[Leveranser:]]-Levererat_2015[[#This Row],[Leveranser till annat fjärrvärmebolag]],"")</f>
        <v>167.3</v>
      </c>
      <c r="G372" t="str">
        <f>VLOOKUP(Levererat_2015[[#This Row],[Indexnamn]],'Leveranser per nät'!$A$4:$A$514,1,FALSE)</f>
        <v>Västervik</v>
      </c>
    </row>
    <row r="373" spans="1:7" x14ac:dyDescent="0.25">
      <c r="A373" t="s">
        <v>620</v>
      </c>
      <c r="B373" t="s">
        <v>207</v>
      </c>
      <c r="C373" t="s">
        <v>207</v>
      </c>
      <c r="D373">
        <v>1347.9</v>
      </c>
      <c r="E373">
        <v>0</v>
      </c>
      <c r="F373">
        <f>IFERROR(Levererat_2015[[#This Row],[Leveranser:]]-Levererat_2015[[#This Row],[Leveranser till annat fjärrvärmebolag]],"")</f>
        <v>1347.9</v>
      </c>
      <c r="G373" t="str">
        <f>VLOOKUP(Levererat_2015[[#This Row],[Indexnamn]],'Leveranser per nät'!$A$4:$A$514,1,FALSE)</f>
        <v>Västerås</v>
      </c>
    </row>
    <row r="374" spans="1:7" x14ac:dyDescent="0.25">
      <c r="A374" t="s">
        <v>620</v>
      </c>
      <c r="B374" t="s">
        <v>790</v>
      </c>
      <c r="D374">
        <v>0.109</v>
      </c>
      <c r="E374">
        <v>0</v>
      </c>
      <c r="F374">
        <f>IFERROR(Levererat_2015[[#This Row],[Leveranser:]]-Levererat_2015[[#This Row],[Leveranser till annat fjärrvärmebolag]],"")</f>
        <v>0.109</v>
      </c>
      <c r="G374" t="e">
        <f>VLOOKUP(Levererat_2015[[#This Row],[Indexnamn]],'Leveranser per nät'!$A$4:$A$514,1,FALSE)</f>
        <v>#N/A</v>
      </c>
    </row>
    <row r="375" spans="1:7" x14ac:dyDescent="0.25">
      <c r="A375" t="s">
        <v>577</v>
      </c>
      <c r="B375" t="s">
        <v>363</v>
      </c>
      <c r="C375" t="s">
        <v>363</v>
      </c>
      <c r="D375">
        <v>509.45299999999997</v>
      </c>
      <c r="E375">
        <v>0</v>
      </c>
      <c r="F375">
        <f>IFERROR(Levererat_2015[[#This Row],[Leveranser:]]-Levererat_2015[[#This Row],[Leveranser till annat fjärrvärmebolag]],"")</f>
        <v>509.45299999999997</v>
      </c>
      <c r="G375" t="str">
        <f>VLOOKUP(Levererat_2015[[#This Row],[Indexnamn]],'Leveranser per nät'!$A$4:$A$514,1,FALSE)</f>
        <v>Växjö</v>
      </c>
    </row>
    <row r="376" spans="1:7" x14ac:dyDescent="0.25">
      <c r="A376" t="s">
        <v>734</v>
      </c>
      <c r="B376" t="s">
        <v>367</v>
      </c>
      <c r="C376" t="s">
        <v>367</v>
      </c>
      <c r="D376">
        <v>127.248</v>
      </c>
      <c r="E376">
        <v>0</v>
      </c>
      <c r="F376">
        <f>IFERROR(Levererat_2015[[#This Row],[Leveranser:]]-Levererat_2015[[#This Row],[Leveranser till annat fjärrvärmebolag]],"")</f>
        <v>127.248</v>
      </c>
      <c r="G376" t="str">
        <f>VLOOKUP(Levererat_2015[[#This Row],[Indexnamn]],'Leveranser per nät'!$A$4:$A$514,1,FALSE)</f>
        <v>Ystad</v>
      </c>
    </row>
    <row r="377" spans="1:7" x14ac:dyDescent="0.25">
      <c r="A377" t="s">
        <v>655</v>
      </c>
      <c r="B377" t="s">
        <v>281</v>
      </c>
      <c r="C377" t="s">
        <v>281</v>
      </c>
      <c r="D377">
        <v>38.46</v>
      </c>
      <c r="E377">
        <v>0</v>
      </c>
      <c r="F377">
        <f>IFERROR(Levererat_2015[[#This Row],[Leveranser:]]-Levererat_2015[[#This Row],[Leveranser till annat fjärrvärmebolag]],"")</f>
        <v>38.46</v>
      </c>
      <c r="G377" t="str">
        <f>VLOOKUP(Levererat_2015[[#This Row],[Indexnamn]],'Leveranser per nät'!$A$4:$A$514,1,FALSE)</f>
        <v>Åmål</v>
      </c>
    </row>
    <row r="378" spans="1:7" x14ac:dyDescent="0.25">
      <c r="A378" t="s">
        <v>604</v>
      </c>
      <c r="B378" t="s">
        <v>370</v>
      </c>
      <c r="C378" t="s">
        <v>370</v>
      </c>
      <c r="D378">
        <v>20.7</v>
      </c>
      <c r="E378">
        <v>0</v>
      </c>
      <c r="F378">
        <f>IFERROR(Levererat_2015[[#This Row],[Leveranser:]]-Levererat_2015[[#This Row],[Leveranser till annat fjärrvärmebolag]],"")</f>
        <v>20.7</v>
      </c>
      <c r="G378" t="str">
        <f>VLOOKUP(Levererat_2015[[#This Row],[Indexnamn]],'Leveranser per nät'!$A$4:$A$514,1,FALSE)</f>
        <v>Ånge</v>
      </c>
    </row>
    <row r="379" spans="1:7" x14ac:dyDescent="0.25">
      <c r="A379" t="s">
        <v>571</v>
      </c>
      <c r="B379" t="s">
        <v>274</v>
      </c>
      <c r="C379" t="s">
        <v>274</v>
      </c>
      <c r="D379">
        <v>2.3050000000000002</v>
      </c>
      <c r="E379">
        <v>0</v>
      </c>
      <c r="F379">
        <f>IFERROR(Levererat_2015[[#This Row],[Leveranser:]]-Levererat_2015[[#This Row],[Leveranser till annat fjärrvärmebolag]],"")</f>
        <v>2.3050000000000002</v>
      </c>
      <c r="G379" t="str">
        <f>VLOOKUP(Levererat_2015[[#This Row],[Indexnamn]],'Leveranser per nät'!$A$4:$A$514,1,FALSE)</f>
        <v>Ånäset</v>
      </c>
    </row>
    <row r="380" spans="1:7" x14ac:dyDescent="0.25">
      <c r="A380" t="s">
        <v>579</v>
      </c>
      <c r="B380" t="s">
        <v>156</v>
      </c>
      <c r="C380" t="s">
        <v>156</v>
      </c>
      <c r="D380">
        <v>51.56</v>
      </c>
      <c r="E380">
        <v>0</v>
      </c>
      <c r="F380">
        <f>IFERROR(Levererat_2015[[#This Row],[Leveranser:]]-Levererat_2015[[#This Row],[Leveranser till annat fjärrvärmebolag]],"")</f>
        <v>51.56</v>
      </c>
      <c r="G380" t="str">
        <f>VLOOKUP(Levererat_2015[[#This Row],[Indexnamn]],'Leveranser per nät'!$A$4:$A$514,1,FALSE)</f>
        <v>Åre</v>
      </c>
    </row>
    <row r="381" spans="1:7" x14ac:dyDescent="0.25">
      <c r="A381" t="s">
        <v>630</v>
      </c>
      <c r="B381" t="s">
        <v>40</v>
      </c>
      <c r="C381" t="s">
        <v>40</v>
      </c>
      <c r="D381" t="s">
        <v>779</v>
      </c>
      <c r="E381">
        <v>0</v>
      </c>
      <c r="F381" t="str">
        <f>IFERROR(Levererat_2015[[#This Row],[Leveranser:]]-Levererat_2015[[#This Row],[Leveranser till annat fjärrvärmebolag]],"")</f>
        <v/>
      </c>
      <c r="G381" t="str">
        <f>VLOOKUP(Levererat_2015[[#This Row],[Indexnamn]],'Leveranser per nät'!$A$4:$A$514,1,FALSE)</f>
        <v>Åtorp</v>
      </c>
    </row>
    <row r="382" spans="1:7" x14ac:dyDescent="0.25">
      <c r="A382" t="s">
        <v>573</v>
      </c>
      <c r="B382" t="s">
        <v>310</v>
      </c>
      <c r="C382" t="s">
        <v>310</v>
      </c>
      <c r="D382">
        <v>29.3</v>
      </c>
      <c r="E382">
        <v>0</v>
      </c>
      <c r="F382">
        <f>IFERROR(Levererat_2015[[#This Row],[Leveranser:]]-Levererat_2015[[#This Row],[Leveranser till annat fjärrvärmebolag]],"")</f>
        <v>29.3</v>
      </c>
      <c r="G382" t="str">
        <f>VLOOKUP(Levererat_2015[[#This Row],[Indexnamn]],'Leveranser per nät'!$A$4:$A$514,1,FALSE)</f>
        <v>Åtvidaberg</v>
      </c>
    </row>
    <row r="383" spans="1:7" x14ac:dyDescent="0.25">
      <c r="A383" t="s">
        <v>561</v>
      </c>
      <c r="B383" t="s">
        <v>79</v>
      </c>
      <c r="C383" t="s">
        <v>79</v>
      </c>
      <c r="D383">
        <v>80.75</v>
      </c>
      <c r="E383">
        <v>0</v>
      </c>
      <c r="F383">
        <f>IFERROR(Levererat_2015[[#This Row],[Leveranser:]]-Levererat_2015[[#This Row],[Leveranser till annat fjärrvärmebolag]],"")</f>
        <v>80.75</v>
      </c>
      <c r="G383" t="str">
        <f>VLOOKUP(Levererat_2015[[#This Row],[Indexnamn]],'Leveranser per nät'!$A$4:$A$514,1,FALSE)</f>
        <v>Älmhult</v>
      </c>
    </row>
    <row r="384" spans="1:7" x14ac:dyDescent="0.25">
      <c r="A384" t="s">
        <v>563</v>
      </c>
      <c r="B384" t="s">
        <v>737</v>
      </c>
      <c r="C384" t="s">
        <v>737</v>
      </c>
      <c r="D384">
        <v>2.835</v>
      </c>
      <c r="E384">
        <v>0</v>
      </c>
      <c r="F384">
        <f>IFERROR(Levererat_2015[[#This Row],[Leveranser:]]-Levererat_2015[[#This Row],[Leveranser till annat fjärrvärmebolag]],"")</f>
        <v>2.835</v>
      </c>
      <c r="G384" t="str">
        <f>VLOOKUP(Levererat_2015[[#This Row],[Indexnamn]],'Leveranser per nät'!$A$4:$A$514,1,FALSE)</f>
        <v>Älvkarleby</v>
      </c>
    </row>
    <row r="385" spans="1:7" x14ac:dyDescent="0.25">
      <c r="A385" t="s">
        <v>626</v>
      </c>
      <c r="B385" t="s">
        <v>372</v>
      </c>
      <c r="C385" t="s">
        <v>372</v>
      </c>
      <c r="D385">
        <v>168.25800000000001</v>
      </c>
      <c r="E385">
        <v>0</v>
      </c>
      <c r="F385">
        <f>IFERROR(Levererat_2015[[#This Row],[Leveranser:]]-Levererat_2015[[#This Row],[Leveranser till annat fjärrvärmebolag]],"")</f>
        <v>168.25800000000001</v>
      </c>
      <c r="G385" t="str">
        <f>VLOOKUP(Levererat_2015[[#This Row],[Indexnamn]],'Leveranser per nät'!$A$4:$A$514,1,FALSE)</f>
        <v>Ängelholm</v>
      </c>
    </row>
    <row r="386" spans="1:7" x14ac:dyDescent="0.25">
      <c r="A386" t="s">
        <v>592</v>
      </c>
      <c r="B386" t="s">
        <v>105</v>
      </c>
      <c r="C386" t="s">
        <v>105</v>
      </c>
      <c r="D386">
        <v>3.95</v>
      </c>
      <c r="E386">
        <v>0</v>
      </c>
      <c r="F386">
        <f>IFERROR(Levererat_2015[[#This Row],[Leveranser:]]-Levererat_2015[[#This Row],[Leveranser till annat fjärrvärmebolag]],"")</f>
        <v>3.95</v>
      </c>
      <c r="G386" t="str">
        <f>VLOOKUP(Levererat_2015[[#This Row],[Indexnamn]],'Leveranser per nät'!$A$4:$A$514,1,FALSE)</f>
        <v>Ärla</v>
      </c>
    </row>
    <row r="387" spans="1:7" x14ac:dyDescent="0.25">
      <c r="A387" t="s">
        <v>568</v>
      </c>
      <c r="B387" t="s">
        <v>177</v>
      </c>
      <c r="C387" t="s">
        <v>177</v>
      </c>
      <c r="D387">
        <v>11.563000000000001</v>
      </c>
      <c r="E387">
        <v>0</v>
      </c>
      <c r="F387">
        <f>IFERROR(Levererat_2015[[#This Row],[Leveranser:]]-Levererat_2015[[#This Row],[Leveranser till annat fjärrvärmebolag]],"")</f>
        <v>11.563000000000001</v>
      </c>
      <c r="G387" t="str">
        <f>VLOOKUP(Levererat_2015[[#This Row],[Indexnamn]],'Leveranser per nät'!$A$4:$A$514,1,FALSE)</f>
        <v>Ödeshög</v>
      </c>
    </row>
    <row r="388" spans="1:7" x14ac:dyDescent="0.25">
      <c r="A388" t="s">
        <v>720</v>
      </c>
      <c r="B388" t="s">
        <v>439</v>
      </c>
      <c r="C388" t="s">
        <v>439</v>
      </c>
      <c r="D388">
        <v>7.343</v>
      </c>
      <c r="E388">
        <v>0</v>
      </c>
      <c r="F388">
        <f>IFERROR(Levererat_2015[[#This Row],[Leveranser:]]-Levererat_2015[[#This Row],[Leveranser till annat fjärrvärmebolag]],"")</f>
        <v>7.343</v>
      </c>
      <c r="G388" t="str">
        <f>VLOOKUP(Levererat_2015[[#This Row],[Indexnamn]],'Leveranser per nät'!$A$4:$A$514,1,FALSE)</f>
        <v>Örbyhus</v>
      </c>
    </row>
    <row r="389" spans="1:7" x14ac:dyDescent="0.25">
      <c r="A389" t="s">
        <v>740</v>
      </c>
      <c r="B389" t="s">
        <v>374</v>
      </c>
      <c r="C389" t="s">
        <v>374</v>
      </c>
      <c r="D389">
        <v>27.1</v>
      </c>
      <c r="E389">
        <v>0</v>
      </c>
      <c r="F389">
        <f>IFERROR(Levererat_2015[[#This Row],[Leveranser:]]-Levererat_2015[[#This Row],[Leveranser till annat fjärrvärmebolag]],"")</f>
        <v>27.1</v>
      </c>
      <c r="G389" t="e">
        <f>VLOOKUP(Levererat_2015[[#This Row],[Indexnamn]],'Leveranser per nät'!$A$4:$A$514,1,FALSE)</f>
        <v>#N/A</v>
      </c>
    </row>
    <row r="390" spans="1:7" x14ac:dyDescent="0.25">
      <c r="A390" t="s">
        <v>569</v>
      </c>
      <c r="B390" t="s">
        <v>376</v>
      </c>
      <c r="C390" t="s">
        <v>376</v>
      </c>
      <c r="D390">
        <v>212.696</v>
      </c>
      <c r="E390">
        <v>0</v>
      </c>
      <c r="F390">
        <f>IFERROR(Levererat_2015[[#This Row],[Leveranser:]]-Levererat_2015[[#This Row],[Leveranser till annat fjärrvärmebolag]],"")</f>
        <v>212.696</v>
      </c>
      <c r="G390" t="e">
        <f>VLOOKUP(Levererat_2015[[#This Row],[Indexnamn]],'Leveranser per nät'!$A$4:$A$514,1,FALSE)</f>
        <v>#N/A</v>
      </c>
    </row>
    <row r="391" spans="1:7" x14ac:dyDescent="0.25">
      <c r="A391" t="s">
        <v>568</v>
      </c>
      <c r="B391" t="s">
        <v>440</v>
      </c>
      <c r="C391" t="s">
        <v>440</v>
      </c>
      <c r="D391">
        <v>5.0949999999999998</v>
      </c>
      <c r="E391">
        <v>0</v>
      </c>
      <c r="F391">
        <f>IFERROR(Levererat_2015[[#This Row],[Leveranser:]]-Levererat_2015[[#This Row],[Leveranser till annat fjärrvärmebolag]],"")</f>
        <v>5.0949999999999998</v>
      </c>
      <c r="G391" t="e">
        <f>VLOOKUP(Levererat_2015[[#This Row],[Indexnamn]],'Leveranser per nät'!$A$4:$A$514,1,FALSE)</f>
        <v>#N/A</v>
      </c>
    </row>
    <row r="392" spans="1:7" x14ac:dyDescent="0.25">
      <c r="A392" t="s">
        <v>579</v>
      </c>
      <c r="B392" t="s">
        <v>157</v>
      </c>
      <c r="C392" t="s">
        <v>157</v>
      </c>
      <c r="D392">
        <v>514.15</v>
      </c>
      <c r="E392">
        <v>0</v>
      </c>
      <c r="F392">
        <f>IFERROR(Levererat_2015[[#This Row],[Leveranser:]]-Levererat_2015[[#This Row],[Leveranser till annat fjärrvärmebolag]],"")</f>
        <v>514.15</v>
      </c>
      <c r="G392" t="e">
        <f>VLOOKUP(Levererat_2015[[#This Row],[Indexnamn]],'Leveranser per nät'!$A$4:$A$514,1,FALSE)</f>
        <v>#N/A</v>
      </c>
    </row>
    <row r="393" spans="1:7" x14ac:dyDescent="0.25">
      <c r="A393" t="s">
        <v>561</v>
      </c>
      <c r="B393" t="s">
        <v>57</v>
      </c>
      <c r="C393" t="s">
        <v>57</v>
      </c>
      <c r="D393">
        <v>61.2</v>
      </c>
      <c r="E393">
        <v>0</v>
      </c>
      <c r="F393">
        <f>IFERROR(Levererat_2015[[#This Row],[Leveranser:]]-Levererat_2015[[#This Row],[Leveranser till annat fjärrvärmebolag]],"")</f>
        <v>61.2</v>
      </c>
      <c r="G393" t="e">
        <f>VLOOKUP(Levererat_2015[[#This Row],[Indexnamn]],'Leveranser per nät'!$A$4:$A$514,1,FALSE)</f>
        <v>#N/A</v>
      </c>
    </row>
    <row r="394" spans="1:7" x14ac:dyDescent="0.25">
      <c r="A394" t="s">
        <v>657</v>
      </c>
      <c r="B394" t="s">
        <v>742</v>
      </c>
      <c r="C394" t="s">
        <v>742</v>
      </c>
      <c r="D394">
        <v>6.1219999999999999</v>
      </c>
      <c r="E394">
        <v>0</v>
      </c>
      <c r="F394">
        <f>IFERROR(Levererat_2015[[#This Row],[Leveranser:]]-Levererat_2015[[#This Row],[Leveranser till annat fjärrvärmebolag]],"")</f>
        <v>6.1219999999999999</v>
      </c>
      <c r="G394" t="e">
        <f>VLOOKUP(Levererat_2015[[#This Row],[Indexnamn]],'Leveranser per nät'!$A$4:$A$514,1,FALSE)</f>
        <v>#N/A</v>
      </c>
    </row>
    <row r="395" spans="1:7" x14ac:dyDescent="0.25">
      <c r="A395" t="s">
        <v>558</v>
      </c>
      <c r="B395" t="s">
        <v>743</v>
      </c>
      <c r="D395" t="s">
        <v>779</v>
      </c>
      <c r="E395">
        <v>0</v>
      </c>
      <c r="F395" t="str">
        <f>IFERROR(Levererat_2015[[#This Row],[Leveranser:]]-Levererat_2015[[#This Row],[Leveranser till annat fjärrvärmebolag]],"")</f>
        <v/>
      </c>
      <c r="G395" t="e">
        <f>VLOOKUP(Levererat_2015[[#This Row],[Indexnamn]],'Leveranser per nät'!$A$4:$A$514,1,FALSE)</f>
        <v>#N/A</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E436"/>
  <sheetViews>
    <sheetView topLeftCell="A221" workbookViewId="0">
      <selection activeCell="B153" sqref="B153"/>
    </sheetView>
  </sheetViews>
  <sheetFormatPr defaultRowHeight="15" x14ac:dyDescent="0.25"/>
  <cols>
    <col min="1" max="1" width="37.28515625" bestFit="1" customWidth="1"/>
    <col min="2" max="2" width="15.140625" customWidth="1"/>
    <col min="3" max="3" width="20.140625" style="8" customWidth="1"/>
    <col min="4" max="4" width="9.85546875" bestFit="1" customWidth="1"/>
  </cols>
  <sheetData>
    <row r="1" spans="1:5" ht="15.75" thickBot="1" x14ac:dyDescent="0.3">
      <c r="A1" s="39" t="s">
        <v>783</v>
      </c>
      <c r="B1" s="39" t="s">
        <v>544</v>
      </c>
      <c r="C1" s="40" t="s">
        <v>803</v>
      </c>
      <c r="D1" t="s">
        <v>834</v>
      </c>
      <c r="E1" t="s">
        <v>835</v>
      </c>
    </row>
    <row r="2" spans="1:5" x14ac:dyDescent="0.25">
      <c r="A2" t="s">
        <v>777</v>
      </c>
      <c r="B2" t="s">
        <v>797</v>
      </c>
      <c r="C2" s="8" t="s">
        <v>805</v>
      </c>
      <c r="D2" t="str">
        <f>_xlfn.IFNA(VLOOKUP($B2,$J$2:$L$408,3,FALSE),"")</f>
        <v/>
      </c>
      <c r="E2" t="str">
        <f>IFERROR(C2-D2,"")</f>
        <v/>
      </c>
    </row>
    <row r="3" spans="1:5" x14ac:dyDescent="0.25">
      <c r="A3" t="s">
        <v>778</v>
      </c>
      <c r="B3" t="s">
        <v>797</v>
      </c>
      <c r="C3" s="8" t="s">
        <v>805</v>
      </c>
      <c r="D3" t="str">
        <f>_xlfn.IFNA(VLOOKUP($B3,$J$2:$L$408,3,FALSE),"")</f>
        <v/>
      </c>
      <c r="E3" t="str">
        <f t="shared" ref="E3" si="0">IFERROR(C3-D3,"")</f>
        <v/>
      </c>
    </row>
    <row r="4" spans="1:5" x14ac:dyDescent="0.25">
      <c r="A4" t="s">
        <v>545</v>
      </c>
      <c r="B4" t="s">
        <v>95</v>
      </c>
      <c r="C4" s="8">
        <v>15.928000000000001</v>
      </c>
      <c r="D4">
        <v>0</v>
      </c>
      <c r="E4">
        <v>15.928000000000001</v>
      </c>
    </row>
    <row r="5" spans="1:5" x14ac:dyDescent="0.25">
      <c r="A5" t="s">
        <v>548</v>
      </c>
      <c r="B5" t="s">
        <v>1</v>
      </c>
      <c r="C5" s="8">
        <v>107.5</v>
      </c>
      <c r="D5">
        <v>0</v>
      </c>
      <c r="E5">
        <v>107.5</v>
      </c>
    </row>
    <row r="6" spans="1:5" x14ac:dyDescent="0.25">
      <c r="A6" t="s">
        <v>549</v>
      </c>
      <c r="B6" t="s">
        <v>2</v>
      </c>
      <c r="D6">
        <v>0</v>
      </c>
      <c r="E6">
        <v>0</v>
      </c>
    </row>
    <row r="7" spans="1:5" x14ac:dyDescent="0.25">
      <c r="A7" t="s">
        <v>784</v>
      </c>
      <c r="B7" t="s">
        <v>792</v>
      </c>
      <c r="C7" s="8">
        <v>21.15</v>
      </c>
      <c r="D7">
        <v>0</v>
      </c>
      <c r="E7">
        <v>21.15</v>
      </c>
    </row>
    <row r="8" spans="1:5" x14ac:dyDescent="0.25">
      <c r="A8" t="s">
        <v>550</v>
      </c>
      <c r="B8" t="s">
        <v>360</v>
      </c>
      <c r="C8" s="8">
        <v>5.8</v>
      </c>
      <c r="D8">
        <v>0</v>
      </c>
      <c r="E8">
        <v>5.8</v>
      </c>
    </row>
    <row r="9" spans="1:5" x14ac:dyDescent="0.25">
      <c r="A9" t="s">
        <v>551</v>
      </c>
      <c r="B9" t="s">
        <v>224</v>
      </c>
      <c r="C9" s="8">
        <v>1.8129999999999999</v>
      </c>
      <c r="D9">
        <v>0</v>
      </c>
      <c r="E9">
        <v>1.8129999999999999</v>
      </c>
    </row>
    <row r="10" spans="1:5" x14ac:dyDescent="0.25">
      <c r="A10" t="s">
        <v>552</v>
      </c>
      <c r="B10" t="s">
        <v>5</v>
      </c>
      <c r="C10" s="8">
        <v>88.1</v>
      </c>
      <c r="D10">
        <v>0</v>
      </c>
      <c r="E10">
        <v>88.1</v>
      </c>
    </row>
    <row r="11" spans="1:5" x14ac:dyDescent="0.25">
      <c r="A11" t="s">
        <v>553</v>
      </c>
      <c r="B11" t="s">
        <v>20</v>
      </c>
      <c r="C11" s="8">
        <v>13.773999999999999</v>
      </c>
      <c r="D11">
        <v>0</v>
      </c>
      <c r="E11">
        <v>13.773999999999999</v>
      </c>
    </row>
    <row r="12" spans="1:5" x14ac:dyDescent="0.25">
      <c r="A12" t="s">
        <v>554</v>
      </c>
      <c r="B12" t="s">
        <v>6</v>
      </c>
      <c r="C12" s="8" t="s">
        <v>805</v>
      </c>
      <c r="D12">
        <v>0</v>
      </c>
      <c r="E12" t="s">
        <v>779</v>
      </c>
    </row>
    <row r="13" spans="1:5" x14ac:dyDescent="0.25">
      <c r="A13" t="s">
        <v>555</v>
      </c>
      <c r="B13" t="s">
        <v>119</v>
      </c>
      <c r="C13" s="8">
        <v>99.6</v>
      </c>
      <c r="D13">
        <v>0</v>
      </c>
      <c r="E13">
        <v>99.6</v>
      </c>
    </row>
    <row r="14" spans="1:5" x14ac:dyDescent="0.25">
      <c r="A14" t="s">
        <v>556</v>
      </c>
      <c r="B14" t="s">
        <v>334</v>
      </c>
      <c r="C14" s="8">
        <v>16.93</v>
      </c>
      <c r="D14">
        <v>0</v>
      </c>
      <c r="E14">
        <v>16.93</v>
      </c>
    </row>
    <row r="15" spans="1:5" x14ac:dyDescent="0.25">
      <c r="A15" t="s">
        <v>557</v>
      </c>
      <c r="B15" t="s">
        <v>392</v>
      </c>
      <c r="C15" s="8">
        <v>69.8</v>
      </c>
      <c r="D15">
        <v>0</v>
      </c>
      <c r="E15">
        <v>69.8</v>
      </c>
    </row>
    <row r="16" spans="1:5" x14ac:dyDescent="0.25">
      <c r="A16" t="s">
        <v>558</v>
      </c>
      <c r="B16" t="s">
        <v>118</v>
      </c>
      <c r="C16" s="8">
        <v>205.21799999999999</v>
      </c>
      <c r="D16">
        <v>0</v>
      </c>
      <c r="E16">
        <v>205.21799999999999</v>
      </c>
    </row>
    <row r="17" spans="1:5" x14ac:dyDescent="0.25">
      <c r="A17" t="s">
        <v>559</v>
      </c>
      <c r="B17" t="s">
        <v>560</v>
      </c>
      <c r="C17" s="8">
        <v>2.9</v>
      </c>
      <c r="D17">
        <v>0</v>
      </c>
      <c r="E17">
        <v>2.9</v>
      </c>
    </row>
    <row r="18" spans="1:5" x14ac:dyDescent="0.25">
      <c r="A18" t="s">
        <v>559</v>
      </c>
      <c r="B18" t="s">
        <v>158</v>
      </c>
      <c r="D18">
        <v>0</v>
      </c>
      <c r="E18">
        <v>0</v>
      </c>
    </row>
    <row r="19" spans="1:5" x14ac:dyDescent="0.25">
      <c r="A19" t="s">
        <v>561</v>
      </c>
      <c r="B19" t="s">
        <v>85</v>
      </c>
      <c r="C19" s="8">
        <v>6.95</v>
      </c>
      <c r="D19">
        <v>0</v>
      </c>
      <c r="E19">
        <v>6.95</v>
      </c>
    </row>
    <row r="20" spans="1:5" x14ac:dyDescent="0.25">
      <c r="A20" t="s">
        <v>562</v>
      </c>
      <c r="B20" t="s">
        <v>7</v>
      </c>
      <c r="C20" s="8">
        <v>7.5</v>
      </c>
      <c r="D20">
        <v>0</v>
      </c>
      <c r="E20">
        <v>7.5</v>
      </c>
    </row>
    <row r="21" spans="1:5" x14ac:dyDescent="0.25">
      <c r="A21" t="s">
        <v>563</v>
      </c>
      <c r="B21" t="s">
        <v>9</v>
      </c>
      <c r="C21" s="8">
        <v>3.2</v>
      </c>
      <c r="D21">
        <v>0</v>
      </c>
      <c r="E21">
        <v>3.2</v>
      </c>
    </row>
    <row r="22" spans="1:5" x14ac:dyDescent="0.25">
      <c r="A22" t="s">
        <v>564</v>
      </c>
      <c r="B22" t="s">
        <v>565</v>
      </c>
      <c r="C22" s="8">
        <v>0</v>
      </c>
      <c r="D22">
        <v>0</v>
      </c>
      <c r="E22">
        <v>0</v>
      </c>
    </row>
    <row r="23" spans="1:5" x14ac:dyDescent="0.25">
      <c r="A23" t="s">
        <v>566</v>
      </c>
      <c r="B23" t="s">
        <v>323</v>
      </c>
      <c r="C23" s="8">
        <v>7.5430000000000001</v>
      </c>
      <c r="D23">
        <v>0</v>
      </c>
      <c r="E23">
        <v>7.5430000000000001</v>
      </c>
    </row>
    <row r="24" spans="1:5" x14ac:dyDescent="0.25">
      <c r="A24" t="s">
        <v>567</v>
      </c>
      <c r="B24" t="s">
        <v>109</v>
      </c>
      <c r="C24" s="8">
        <v>4.43</v>
      </c>
      <c r="D24">
        <v>0</v>
      </c>
      <c r="E24">
        <v>4.43</v>
      </c>
    </row>
    <row r="25" spans="1:5" x14ac:dyDescent="0.25">
      <c r="A25" t="s">
        <v>568</v>
      </c>
      <c r="B25" t="s">
        <v>178</v>
      </c>
      <c r="C25" s="8">
        <v>8.1340000000000003</v>
      </c>
      <c r="D25">
        <v>0</v>
      </c>
      <c r="E25">
        <v>8.1340000000000003</v>
      </c>
    </row>
    <row r="26" spans="1:5" x14ac:dyDescent="0.25">
      <c r="A26" t="s">
        <v>569</v>
      </c>
      <c r="B26" t="s">
        <v>377</v>
      </c>
      <c r="C26" s="8">
        <v>6.9749999999999996</v>
      </c>
      <c r="D26">
        <v>0</v>
      </c>
      <c r="E26">
        <v>6.9749999999999996</v>
      </c>
    </row>
    <row r="27" spans="1:5" x14ac:dyDescent="0.25">
      <c r="A27" t="s">
        <v>564</v>
      </c>
      <c r="B27" t="s">
        <v>570</v>
      </c>
      <c r="C27" s="8">
        <v>0</v>
      </c>
      <c r="D27">
        <v>0</v>
      </c>
      <c r="E27">
        <v>0</v>
      </c>
    </row>
    <row r="28" spans="1:5" x14ac:dyDescent="0.25">
      <c r="A28" t="s">
        <v>561</v>
      </c>
      <c r="B28" t="s">
        <v>485</v>
      </c>
      <c r="C28" s="8" t="s">
        <v>805</v>
      </c>
      <c r="D28">
        <v>0</v>
      </c>
      <c r="E28" t="s">
        <v>779</v>
      </c>
    </row>
    <row r="29" spans="1:5" x14ac:dyDescent="0.25">
      <c r="A29" t="s">
        <v>551</v>
      </c>
      <c r="B29" t="s">
        <v>225</v>
      </c>
      <c r="C29" s="8">
        <v>9.7029999999999994</v>
      </c>
      <c r="D29">
        <v>0</v>
      </c>
      <c r="E29">
        <v>9.7029999999999994</v>
      </c>
    </row>
    <row r="30" spans="1:5" x14ac:dyDescent="0.25">
      <c r="A30" t="s">
        <v>571</v>
      </c>
      <c r="B30" t="s">
        <v>263</v>
      </c>
      <c r="C30" s="8">
        <v>7.851</v>
      </c>
      <c r="D30">
        <v>0</v>
      </c>
      <c r="E30">
        <v>7.851</v>
      </c>
    </row>
    <row r="31" spans="1:5" x14ac:dyDescent="0.25">
      <c r="A31" t="s">
        <v>553</v>
      </c>
      <c r="B31" t="s">
        <v>21</v>
      </c>
      <c r="C31" s="8">
        <v>116.577</v>
      </c>
      <c r="D31">
        <v>0</v>
      </c>
      <c r="E31">
        <v>116.577</v>
      </c>
    </row>
    <row r="32" spans="1:5" x14ac:dyDescent="0.25">
      <c r="A32" t="s">
        <v>572</v>
      </c>
      <c r="B32" t="s">
        <v>60</v>
      </c>
      <c r="C32" s="8" t="s">
        <v>805</v>
      </c>
      <c r="D32">
        <v>0</v>
      </c>
      <c r="E32" t="s">
        <v>779</v>
      </c>
    </row>
    <row r="33" spans="1:5" x14ac:dyDescent="0.25">
      <c r="A33" t="s">
        <v>573</v>
      </c>
      <c r="B33" t="s">
        <v>306</v>
      </c>
      <c r="C33" s="8">
        <v>10.9</v>
      </c>
      <c r="D33">
        <v>0</v>
      </c>
      <c r="E33">
        <v>10.9</v>
      </c>
    </row>
    <row r="34" spans="1:5" x14ac:dyDescent="0.25">
      <c r="A34" t="s">
        <v>574</v>
      </c>
      <c r="B34" t="s">
        <v>23</v>
      </c>
      <c r="C34" s="8">
        <v>24.24</v>
      </c>
      <c r="D34">
        <v>0</v>
      </c>
      <c r="E34">
        <v>24.24</v>
      </c>
    </row>
    <row r="35" spans="1:5" x14ac:dyDescent="0.25">
      <c r="A35" t="s">
        <v>575</v>
      </c>
      <c r="B35" t="s">
        <v>25</v>
      </c>
      <c r="C35" s="8">
        <v>355.608</v>
      </c>
      <c r="D35">
        <v>5.8339999999999996</v>
      </c>
      <c r="E35">
        <v>349.774</v>
      </c>
    </row>
    <row r="36" spans="1:5" x14ac:dyDescent="0.25">
      <c r="A36" t="s">
        <v>576</v>
      </c>
      <c r="B36" t="s">
        <v>29</v>
      </c>
      <c r="C36" s="8">
        <v>550.18899999999996</v>
      </c>
      <c r="D36">
        <v>0</v>
      </c>
      <c r="E36">
        <v>550.18899999999996</v>
      </c>
    </row>
    <row r="37" spans="1:5" x14ac:dyDescent="0.25">
      <c r="A37" t="s">
        <v>561</v>
      </c>
      <c r="B37" t="s">
        <v>41</v>
      </c>
      <c r="C37" s="8">
        <v>54.47</v>
      </c>
      <c r="D37">
        <v>0</v>
      </c>
      <c r="E37">
        <v>54.47</v>
      </c>
    </row>
    <row r="38" spans="1:5" x14ac:dyDescent="0.25">
      <c r="A38" t="s">
        <v>577</v>
      </c>
      <c r="B38" t="s">
        <v>364</v>
      </c>
      <c r="C38" s="8">
        <v>15.46</v>
      </c>
      <c r="D38">
        <v>0</v>
      </c>
      <c r="E38">
        <v>15.46</v>
      </c>
    </row>
    <row r="39" spans="1:5" x14ac:dyDescent="0.25">
      <c r="A39" t="s">
        <v>569</v>
      </c>
      <c r="B39" t="s">
        <v>378</v>
      </c>
      <c r="C39" s="8">
        <v>4.6550000000000002</v>
      </c>
      <c r="D39">
        <v>0</v>
      </c>
      <c r="E39">
        <v>4.6550000000000002</v>
      </c>
    </row>
    <row r="40" spans="1:5" x14ac:dyDescent="0.25">
      <c r="A40" t="s">
        <v>561</v>
      </c>
      <c r="B40" t="s">
        <v>61</v>
      </c>
      <c r="C40" s="8">
        <v>27.039000000000001</v>
      </c>
      <c r="D40">
        <v>0</v>
      </c>
      <c r="E40">
        <v>27.039000000000001</v>
      </c>
    </row>
    <row r="41" spans="1:5" x14ac:dyDescent="0.25">
      <c r="A41" t="s">
        <v>578</v>
      </c>
      <c r="B41" t="s">
        <v>30</v>
      </c>
      <c r="C41" s="8">
        <v>34.799999999999997</v>
      </c>
      <c r="D41">
        <v>0</v>
      </c>
      <c r="E41">
        <v>34.799999999999997</v>
      </c>
    </row>
    <row r="42" spans="1:5" x14ac:dyDescent="0.25">
      <c r="A42" t="s">
        <v>579</v>
      </c>
      <c r="B42" t="s">
        <v>393</v>
      </c>
      <c r="D42">
        <v>0</v>
      </c>
      <c r="E42">
        <v>0</v>
      </c>
    </row>
    <row r="43" spans="1:5" x14ac:dyDescent="0.25">
      <c r="A43" t="s">
        <v>580</v>
      </c>
      <c r="B43" t="s">
        <v>31</v>
      </c>
      <c r="C43" s="8" t="s">
        <v>805</v>
      </c>
      <c r="D43">
        <v>0</v>
      </c>
      <c r="E43" t="s">
        <v>779</v>
      </c>
    </row>
    <row r="44" spans="1:5" x14ac:dyDescent="0.25">
      <c r="A44" t="s">
        <v>581</v>
      </c>
      <c r="B44" t="s">
        <v>250</v>
      </c>
      <c r="C44" s="8">
        <v>13.2</v>
      </c>
      <c r="D44">
        <v>0</v>
      </c>
      <c r="E44">
        <v>13.2</v>
      </c>
    </row>
    <row r="45" spans="1:5" x14ac:dyDescent="0.25">
      <c r="A45" t="s">
        <v>571</v>
      </c>
      <c r="B45" t="s">
        <v>264</v>
      </c>
      <c r="C45" s="8">
        <v>7.5919999999999996</v>
      </c>
      <c r="D45">
        <v>0</v>
      </c>
      <c r="E45">
        <v>7.5919999999999996</v>
      </c>
    </row>
    <row r="46" spans="1:5" x14ac:dyDescent="0.25">
      <c r="A46" t="s">
        <v>571</v>
      </c>
      <c r="B46" t="s">
        <v>265</v>
      </c>
      <c r="C46" s="8">
        <v>13.845000000000001</v>
      </c>
      <c r="D46">
        <v>0</v>
      </c>
      <c r="E46">
        <v>13.845000000000001</v>
      </c>
    </row>
    <row r="47" spans="1:5" x14ac:dyDescent="0.25">
      <c r="A47" t="s">
        <v>766</v>
      </c>
      <c r="B47" t="s">
        <v>767</v>
      </c>
      <c r="C47" s="8">
        <v>6</v>
      </c>
      <c r="D47">
        <v>0</v>
      </c>
      <c r="E47">
        <v>6</v>
      </c>
    </row>
    <row r="48" spans="1:5" x14ac:dyDescent="0.25">
      <c r="A48" t="s">
        <v>571</v>
      </c>
      <c r="B48" t="s">
        <v>266</v>
      </c>
      <c r="C48" s="8">
        <v>9.6989999999999998</v>
      </c>
      <c r="D48">
        <v>0</v>
      </c>
      <c r="E48">
        <v>9.6989999999999998</v>
      </c>
    </row>
    <row r="49" spans="1:5" x14ac:dyDescent="0.25">
      <c r="A49" t="s">
        <v>561</v>
      </c>
      <c r="B49" t="s">
        <v>62</v>
      </c>
      <c r="C49" s="8">
        <v>26.3</v>
      </c>
      <c r="D49">
        <v>0</v>
      </c>
      <c r="E49">
        <v>26.3</v>
      </c>
    </row>
    <row r="50" spans="1:5" x14ac:dyDescent="0.25">
      <c r="A50" t="s">
        <v>558</v>
      </c>
      <c r="B50" t="s">
        <v>496</v>
      </c>
      <c r="C50" s="8">
        <v>2.133</v>
      </c>
      <c r="D50">
        <v>0</v>
      </c>
      <c r="E50">
        <v>2.133</v>
      </c>
    </row>
    <row r="51" spans="1:5" x14ac:dyDescent="0.25">
      <c r="A51" t="s">
        <v>563</v>
      </c>
      <c r="B51" t="s">
        <v>582</v>
      </c>
      <c r="C51" s="8">
        <v>1.8520000000000001</v>
      </c>
      <c r="D51">
        <v>0</v>
      </c>
      <c r="E51">
        <v>1.8520000000000001</v>
      </c>
    </row>
    <row r="52" spans="1:5" x14ac:dyDescent="0.25">
      <c r="A52" t="s">
        <v>561</v>
      </c>
      <c r="B52" t="s">
        <v>63</v>
      </c>
      <c r="C52" s="8">
        <v>0</v>
      </c>
      <c r="D52">
        <v>0</v>
      </c>
      <c r="E52">
        <v>0</v>
      </c>
    </row>
    <row r="53" spans="1:5" x14ac:dyDescent="0.25">
      <c r="A53" t="s">
        <v>561</v>
      </c>
      <c r="B53" t="s">
        <v>583</v>
      </c>
      <c r="C53" s="8">
        <v>14.2</v>
      </c>
      <c r="D53">
        <v>0</v>
      </c>
      <c r="E53">
        <v>14.2</v>
      </c>
    </row>
    <row r="54" spans="1:5" x14ac:dyDescent="0.25">
      <c r="A54" t="s">
        <v>558</v>
      </c>
      <c r="B54" t="s">
        <v>115</v>
      </c>
      <c r="C54" s="8">
        <v>13.263999999999999</v>
      </c>
      <c r="D54">
        <v>0</v>
      </c>
      <c r="E54">
        <v>13.263999999999999</v>
      </c>
    </row>
    <row r="55" spans="1:5" x14ac:dyDescent="0.25">
      <c r="A55" t="s">
        <v>556</v>
      </c>
      <c r="B55" t="s">
        <v>339</v>
      </c>
      <c r="C55" s="8">
        <v>451.9</v>
      </c>
      <c r="D55">
        <v>0</v>
      </c>
      <c r="E55">
        <v>451.9</v>
      </c>
    </row>
    <row r="56" spans="1:5" x14ac:dyDescent="0.25">
      <c r="A56" t="s">
        <v>568</v>
      </c>
      <c r="B56" t="s">
        <v>179</v>
      </c>
      <c r="C56" s="8">
        <v>6.7670000000000003</v>
      </c>
      <c r="D56">
        <v>0</v>
      </c>
      <c r="E56">
        <v>6.7670000000000003</v>
      </c>
    </row>
    <row r="57" spans="1:5" x14ac:dyDescent="0.25">
      <c r="A57" t="s">
        <v>584</v>
      </c>
      <c r="B57" t="s">
        <v>90</v>
      </c>
      <c r="C57" s="8">
        <v>7.1</v>
      </c>
      <c r="D57">
        <v>0</v>
      </c>
      <c r="E57">
        <v>7.1</v>
      </c>
    </row>
    <row r="58" spans="1:5" x14ac:dyDescent="0.25">
      <c r="A58" t="s">
        <v>545</v>
      </c>
      <c r="B58" t="s">
        <v>96</v>
      </c>
      <c r="C58" s="8">
        <v>29.317</v>
      </c>
      <c r="D58">
        <v>0</v>
      </c>
      <c r="E58">
        <v>29.317</v>
      </c>
    </row>
    <row r="59" spans="1:5" x14ac:dyDescent="0.25">
      <c r="A59" t="s">
        <v>666</v>
      </c>
      <c r="B59" t="s">
        <v>794</v>
      </c>
      <c r="D59">
        <v>0</v>
      </c>
      <c r="E59">
        <v>0</v>
      </c>
    </row>
    <row r="60" spans="1:5" x14ac:dyDescent="0.25">
      <c r="A60" t="s">
        <v>585</v>
      </c>
      <c r="B60" t="s">
        <v>586</v>
      </c>
      <c r="C60" s="8">
        <v>3.9</v>
      </c>
      <c r="D60">
        <v>0</v>
      </c>
      <c r="E60">
        <v>3.9</v>
      </c>
    </row>
    <row r="61" spans="1:5" x14ac:dyDescent="0.25">
      <c r="A61" t="s">
        <v>587</v>
      </c>
      <c r="B61" t="s">
        <v>588</v>
      </c>
      <c r="C61" s="8">
        <v>10.49</v>
      </c>
      <c r="D61">
        <v>0</v>
      </c>
      <c r="E61">
        <v>10.49</v>
      </c>
    </row>
    <row r="62" spans="1:5" x14ac:dyDescent="0.25">
      <c r="A62" t="s">
        <v>589</v>
      </c>
      <c r="B62" t="s">
        <v>91</v>
      </c>
      <c r="C62" s="8">
        <v>98.885999999999996</v>
      </c>
      <c r="D62">
        <v>0</v>
      </c>
      <c r="E62">
        <v>98.885999999999996</v>
      </c>
    </row>
    <row r="63" spans="1:5" x14ac:dyDescent="0.25">
      <c r="A63" t="s">
        <v>590</v>
      </c>
      <c r="B63" t="s">
        <v>94</v>
      </c>
      <c r="C63" s="8">
        <v>16.306000000000001</v>
      </c>
      <c r="D63">
        <v>0</v>
      </c>
      <c r="E63">
        <v>16.306000000000001</v>
      </c>
    </row>
    <row r="64" spans="1:5" x14ac:dyDescent="0.25">
      <c r="A64" t="s">
        <v>546</v>
      </c>
      <c r="B64" t="s">
        <v>98</v>
      </c>
      <c r="C64" s="8">
        <v>41.4</v>
      </c>
      <c r="D64">
        <v>0</v>
      </c>
      <c r="E64">
        <v>41.4</v>
      </c>
    </row>
    <row r="65" spans="1:5" x14ac:dyDescent="0.25">
      <c r="A65" t="s">
        <v>591</v>
      </c>
      <c r="B65" t="s">
        <v>101</v>
      </c>
      <c r="C65" s="8">
        <v>195</v>
      </c>
      <c r="D65">
        <v>0</v>
      </c>
      <c r="E65">
        <v>195</v>
      </c>
    </row>
    <row r="66" spans="1:5" x14ac:dyDescent="0.25">
      <c r="A66" t="s">
        <v>592</v>
      </c>
      <c r="B66" t="s">
        <v>102</v>
      </c>
      <c r="C66" s="8">
        <v>623.6</v>
      </c>
      <c r="D66">
        <v>0</v>
      </c>
      <c r="E66">
        <v>623.6</v>
      </c>
    </row>
    <row r="67" spans="1:5" x14ac:dyDescent="0.25">
      <c r="A67" t="s">
        <v>786</v>
      </c>
      <c r="B67" s="43" t="s">
        <v>787</v>
      </c>
      <c r="C67" s="8">
        <v>788</v>
      </c>
      <c r="D67">
        <v>0</v>
      </c>
      <c r="E67">
        <v>788</v>
      </c>
    </row>
    <row r="68" spans="1:5" x14ac:dyDescent="0.25">
      <c r="A68" t="s">
        <v>595</v>
      </c>
      <c r="B68" t="s">
        <v>357</v>
      </c>
      <c r="C68" s="8">
        <v>90.245999999999995</v>
      </c>
      <c r="D68">
        <v>0</v>
      </c>
      <c r="E68">
        <v>90.245999999999995</v>
      </c>
    </row>
    <row r="69" spans="1:5" x14ac:dyDescent="0.25">
      <c r="A69" t="s">
        <v>596</v>
      </c>
      <c r="B69" t="s">
        <v>108</v>
      </c>
      <c r="C69" s="8">
        <v>55.631</v>
      </c>
      <c r="D69">
        <v>0</v>
      </c>
      <c r="E69">
        <v>55.631</v>
      </c>
    </row>
    <row r="70" spans="1:5" x14ac:dyDescent="0.25">
      <c r="A70" t="s">
        <v>597</v>
      </c>
      <c r="B70" t="s">
        <v>106</v>
      </c>
      <c r="C70" s="8">
        <v>100.4</v>
      </c>
      <c r="D70">
        <v>0</v>
      </c>
      <c r="E70">
        <v>100.4</v>
      </c>
    </row>
    <row r="71" spans="1:5" x14ac:dyDescent="0.25">
      <c r="A71" t="s">
        <v>567</v>
      </c>
      <c r="B71" t="s">
        <v>110</v>
      </c>
      <c r="C71" s="8">
        <v>320.49</v>
      </c>
      <c r="D71">
        <v>48.91</v>
      </c>
      <c r="E71">
        <v>271.58000000000004</v>
      </c>
    </row>
    <row r="72" spans="1:5" x14ac:dyDescent="0.25">
      <c r="A72" t="s">
        <v>598</v>
      </c>
      <c r="B72" t="s">
        <v>246</v>
      </c>
      <c r="C72" s="8">
        <v>38.555</v>
      </c>
      <c r="D72">
        <v>0</v>
      </c>
      <c r="E72">
        <v>38.555</v>
      </c>
    </row>
    <row r="73" spans="1:5" x14ac:dyDescent="0.25">
      <c r="A73" t="s">
        <v>599</v>
      </c>
      <c r="B73" t="s">
        <v>113</v>
      </c>
      <c r="C73" s="8">
        <v>105</v>
      </c>
      <c r="D73">
        <v>0</v>
      </c>
      <c r="E73">
        <v>105</v>
      </c>
    </row>
    <row r="74" spans="1:5" x14ac:dyDescent="0.25">
      <c r="A74" t="s">
        <v>600</v>
      </c>
      <c r="B74" t="s">
        <v>33</v>
      </c>
      <c r="C74" s="8">
        <v>4.0190000000000001</v>
      </c>
      <c r="D74">
        <v>0</v>
      </c>
      <c r="E74">
        <v>4.0190000000000001</v>
      </c>
    </row>
    <row r="75" spans="1:5" x14ac:dyDescent="0.25">
      <c r="A75" t="s">
        <v>598</v>
      </c>
      <c r="B75" t="s">
        <v>239</v>
      </c>
      <c r="C75" s="8">
        <v>45.4</v>
      </c>
      <c r="D75">
        <v>0</v>
      </c>
      <c r="E75">
        <v>45.4</v>
      </c>
    </row>
    <row r="76" spans="1:5" x14ac:dyDescent="0.25">
      <c r="A76" t="s">
        <v>597</v>
      </c>
      <c r="B76" t="s">
        <v>107</v>
      </c>
      <c r="C76" s="8">
        <v>9.1999999999999993</v>
      </c>
      <c r="D76">
        <v>0</v>
      </c>
      <c r="E76">
        <v>9.1999999999999993</v>
      </c>
    </row>
    <row r="77" spans="1:5" x14ac:dyDescent="0.25">
      <c r="A77" t="s">
        <v>564</v>
      </c>
      <c r="B77" t="s">
        <v>397</v>
      </c>
      <c r="C77" s="8" t="s">
        <v>805</v>
      </c>
      <c r="D77">
        <v>0</v>
      </c>
      <c r="E77" t="s">
        <v>779</v>
      </c>
    </row>
    <row r="78" spans="1:5" x14ac:dyDescent="0.25">
      <c r="A78" t="s">
        <v>601</v>
      </c>
      <c r="B78" t="s">
        <v>397</v>
      </c>
      <c r="C78" s="8">
        <v>7.7</v>
      </c>
      <c r="D78">
        <v>0</v>
      </c>
      <c r="E78">
        <v>7.7</v>
      </c>
    </row>
    <row r="79" spans="1:5" x14ac:dyDescent="0.25">
      <c r="A79" t="s">
        <v>563</v>
      </c>
      <c r="B79" t="s">
        <v>10</v>
      </c>
      <c r="C79" s="8">
        <v>7.3579999999999997</v>
      </c>
      <c r="D79">
        <v>0</v>
      </c>
      <c r="E79">
        <v>7.3579999999999997</v>
      </c>
    </row>
    <row r="80" spans="1:5" x14ac:dyDescent="0.25">
      <c r="A80" t="s">
        <v>564</v>
      </c>
      <c r="B80" t="s">
        <v>602</v>
      </c>
      <c r="C80" s="8">
        <v>0</v>
      </c>
      <c r="D80">
        <v>0</v>
      </c>
      <c r="E80">
        <v>0</v>
      </c>
    </row>
    <row r="81" spans="1:5" x14ac:dyDescent="0.25">
      <c r="A81" t="s">
        <v>572</v>
      </c>
      <c r="B81" t="s">
        <v>603</v>
      </c>
      <c r="C81" s="8" t="s">
        <v>805</v>
      </c>
      <c r="D81">
        <v>0</v>
      </c>
      <c r="E81" t="s">
        <v>779</v>
      </c>
    </row>
    <row r="82" spans="1:5" x14ac:dyDescent="0.25">
      <c r="A82" t="s">
        <v>576</v>
      </c>
      <c r="B82" t="s">
        <v>28</v>
      </c>
      <c r="C82" s="8">
        <v>17.352</v>
      </c>
      <c r="D82">
        <v>0</v>
      </c>
      <c r="E82">
        <v>17.352</v>
      </c>
    </row>
    <row r="83" spans="1:5" x14ac:dyDescent="0.25">
      <c r="A83" t="s">
        <v>557</v>
      </c>
      <c r="B83" t="s">
        <v>204</v>
      </c>
      <c r="C83" s="8">
        <v>7.19</v>
      </c>
      <c r="D83">
        <v>0</v>
      </c>
      <c r="E83">
        <v>7.19</v>
      </c>
    </row>
    <row r="84" spans="1:5" x14ac:dyDescent="0.25">
      <c r="A84" t="s">
        <v>604</v>
      </c>
      <c r="B84" t="s">
        <v>368</v>
      </c>
      <c r="C84" s="8">
        <v>6.8</v>
      </c>
      <c r="D84">
        <v>0</v>
      </c>
      <c r="E84">
        <v>6.8</v>
      </c>
    </row>
    <row r="85" spans="1:5" x14ac:dyDescent="0.25">
      <c r="A85" t="s">
        <v>605</v>
      </c>
      <c r="B85" t="s">
        <v>351</v>
      </c>
      <c r="C85" s="8">
        <v>4.399</v>
      </c>
      <c r="D85">
        <v>0</v>
      </c>
      <c r="E85">
        <v>4.399</v>
      </c>
    </row>
    <row r="86" spans="1:5" x14ac:dyDescent="0.25">
      <c r="A86" t="s">
        <v>606</v>
      </c>
      <c r="B86" t="s">
        <v>191</v>
      </c>
      <c r="C86" s="8">
        <v>13.4</v>
      </c>
      <c r="D86">
        <v>0</v>
      </c>
      <c r="E86">
        <v>13.4</v>
      </c>
    </row>
    <row r="87" spans="1:5" x14ac:dyDescent="0.25">
      <c r="A87" t="s">
        <v>572</v>
      </c>
      <c r="B87" t="s">
        <v>607</v>
      </c>
      <c r="C87" s="8" t="s">
        <v>805</v>
      </c>
      <c r="D87">
        <v>0</v>
      </c>
      <c r="E87" t="s">
        <v>779</v>
      </c>
    </row>
    <row r="88" spans="1:5" x14ac:dyDescent="0.25">
      <c r="A88" t="s">
        <v>608</v>
      </c>
      <c r="B88" t="s">
        <v>194</v>
      </c>
      <c r="C88" s="8">
        <v>7</v>
      </c>
      <c r="D88">
        <v>0</v>
      </c>
      <c r="E88">
        <v>7</v>
      </c>
    </row>
    <row r="89" spans="1:5" x14ac:dyDescent="0.25">
      <c r="A89" t="s">
        <v>550</v>
      </c>
      <c r="B89" t="s">
        <v>361</v>
      </c>
      <c r="C89" s="8">
        <v>23.9</v>
      </c>
      <c r="D89">
        <v>0</v>
      </c>
      <c r="E89">
        <v>23.9</v>
      </c>
    </row>
    <row r="90" spans="1:5" x14ac:dyDescent="0.25">
      <c r="A90" t="s">
        <v>610</v>
      </c>
      <c r="B90" t="s">
        <v>443</v>
      </c>
      <c r="C90" s="8">
        <v>21.509</v>
      </c>
      <c r="D90">
        <v>0</v>
      </c>
      <c r="E90">
        <v>21.509</v>
      </c>
    </row>
    <row r="91" spans="1:5" x14ac:dyDescent="0.25">
      <c r="A91" t="s">
        <v>598</v>
      </c>
      <c r="B91" t="s">
        <v>241</v>
      </c>
      <c r="C91" s="8">
        <v>17.100000000000001</v>
      </c>
      <c r="D91">
        <v>0</v>
      </c>
      <c r="E91">
        <v>17.100000000000001</v>
      </c>
    </row>
    <row r="92" spans="1:5" x14ac:dyDescent="0.25">
      <c r="A92" t="s">
        <v>558</v>
      </c>
      <c r="B92" t="s">
        <v>123</v>
      </c>
      <c r="C92" s="8">
        <v>21.56</v>
      </c>
      <c r="D92">
        <v>0</v>
      </c>
      <c r="E92">
        <v>21.56</v>
      </c>
    </row>
    <row r="93" spans="1:5" x14ac:dyDescent="0.25">
      <c r="A93" t="s">
        <v>567</v>
      </c>
      <c r="B93" t="s">
        <v>111</v>
      </c>
      <c r="C93" s="8">
        <v>4.3</v>
      </c>
      <c r="D93">
        <v>0</v>
      </c>
      <c r="E93">
        <v>4.3</v>
      </c>
    </row>
    <row r="94" spans="1:5" x14ac:dyDescent="0.25">
      <c r="A94" t="s">
        <v>558</v>
      </c>
      <c r="B94" t="s">
        <v>124</v>
      </c>
      <c r="C94" s="8">
        <v>5.6680000000000001</v>
      </c>
      <c r="D94">
        <v>0</v>
      </c>
      <c r="E94">
        <v>5.6680000000000001</v>
      </c>
    </row>
    <row r="95" spans="1:5" x14ac:dyDescent="0.25">
      <c r="A95" t="s">
        <v>601</v>
      </c>
      <c r="B95" t="s">
        <v>185</v>
      </c>
      <c r="C95" s="8">
        <v>9</v>
      </c>
      <c r="D95">
        <v>0</v>
      </c>
      <c r="E95">
        <v>9</v>
      </c>
    </row>
    <row r="96" spans="1:5" x14ac:dyDescent="0.25">
      <c r="A96" t="s">
        <v>595</v>
      </c>
      <c r="B96" t="s">
        <v>358</v>
      </c>
      <c r="C96" s="8">
        <v>10.625999999999999</v>
      </c>
      <c r="D96">
        <v>0</v>
      </c>
      <c r="E96">
        <v>10.625999999999999</v>
      </c>
    </row>
    <row r="97" spans="1:5" x14ac:dyDescent="0.25">
      <c r="A97" t="s">
        <v>559</v>
      </c>
      <c r="B97" t="s">
        <v>159</v>
      </c>
      <c r="C97" s="8">
        <v>11.72</v>
      </c>
      <c r="D97">
        <v>0</v>
      </c>
      <c r="E97">
        <v>11.72</v>
      </c>
    </row>
    <row r="98" spans="1:5" x14ac:dyDescent="0.25">
      <c r="A98" t="s">
        <v>568</v>
      </c>
      <c r="B98" t="s">
        <v>180</v>
      </c>
      <c r="C98" s="8">
        <v>10.448</v>
      </c>
      <c r="D98">
        <v>0</v>
      </c>
      <c r="E98">
        <v>10.448</v>
      </c>
    </row>
    <row r="99" spans="1:5" x14ac:dyDescent="0.25">
      <c r="A99" t="s">
        <v>605</v>
      </c>
      <c r="B99" t="s">
        <v>352</v>
      </c>
      <c r="C99" s="8">
        <v>4.226</v>
      </c>
      <c r="D99">
        <v>0</v>
      </c>
      <c r="E99">
        <v>4.226</v>
      </c>
    </row>
    <row r="100" spans="1:5" x14ac:dyDescent="0.25">
      <c r="A100" t="s">
        <v>558</v>
      </c>
      <c r="B100" t="s">
        <v>399</v>
      </c>
      <c r="C100" s="8">
        <v>1.841</v>
      </c>
      <c r="D100">
        <v>0</v>
      </c>
      <c r="E100">
        <v>1.841</v>
      </c>
    </row>
    <row r="101" spans="1:5" x14ac:dyDescent="0.25">
      <c r="A101" t="s">
        <v>611</v>
      </c>
      <c r="B101" t="s">
        <v>612</v>
      </c>
      <c r="C101" s="8" t="s">
        <v>805</v>
      </c>
      <c r="D101">
        <v>0</v>
      </c>
      <c r="E101" t="s">
        <v>779</v>
      </c>
    </row>
    <row r="102" spans="1:5" x14ac:dyDescent="0.25">
      <c r="A102" t="s">
        <v>556</v>
      </c>
      <c r="B102" t="s">
        <v>340</v>
      </c>
      <c r="C102" s="8">
        <v>49.6</v>
      </c>
      <c r="D102">
        <v>0</v>
      </c>
      <c r="E102">
        <v>49.6</v>
      </c>
    </row>
    <row r="103" spans="1:5" x14ac:dyDescent="0.25">
      <c r="A103" t="s">
        <v>613</v>
      </c>
      <c r="B103" t="s">
        <v>137</v>
      </c>
      <c r="C103" s="8">
        <v>155</v>
      </c>
      <c r="D103">
        <v>0</v>
      </c>
      <c r="E103">
        <v>155</v>
      </c>
    </row>
    <row r="104" spans="1:5" x14ac:dyDescent="0.25">
      <c r="A104" t="s">
        <v>614</v>
      </c>
      <c r="B104" t="s">
        <v>322</v>
      </c>
      <c r="C104" s="8">
        <v>2.1389999999999998</v>
      </c>
      <c r="D104">
        <v>0</v>
      </c>
      <c r="E104">
        <v>2.1389999999999998</v>
      </c>
    </row>
    <row r="105" spans="1:5" x14ac:dyDescent="0.25">
      <c r="A105" t="s">
        <v>615</v>
      </c>
      <c r="B105" t="s">
        <v>138</v>
      </c>
      <c r="C105" s="8">
        <v>650.6</v>
      </c>
      <c r="D105">
        <v>0</v>
      </c>
      <c r="E105">
        <v>650.6</v>
      </c>
    </row>
    <row r="106" spans="1:5" x14ac:dyDescent="0.25">
      <c r="A106" t="s">
        <v>616</v>
      </c>
      <c r="B106" s="45" t="s">
        <v>811</v>
      </c>
      <c r="C106" s="8">
        <v>3176.9430000000002</v>
      </c>
      <c r="D106">
        <v>78.5</v>
      </c>
      <c r="E106">
        <v>3098.4430000000002</v>
      </c>
    </row>
    <row r="107" spans="1:5" x14ac:dyDescent="0.25">
      <c r="A107" t="s">
        <v>616</v>
      </c>
      <c r="B107" t="s">
        <v>617</v>
      </c>
      <c r="C107" s="8">
        <v>116.473</v>
      </c>
      <c r="D107">
        <v>0</v>
      </c>
      <c r="E107">
        <v>116.473</v>
      </c>
    </row>
    <row r="108" spans="1:5" x14ac:dyDescent="0.25">
      <c r="A108" t="s">
        <v>618</v>
      </c>
      <c r="B108" t="s">
        <v>139</v>
      </c>
      <c r="C108" s="8">
        <v>114.6</v>
      </c>
      <c r="D108">
        <v>0</v>
      </c>
      <c r="E108">
        <v>114.6</v>
      </c>
    </row>
    <row r="109" spans="1:5" x14ac:dyDescent="0.25">
      <c r="A109" t="s">
        <v>619</v>
      </c>
      <c r="B109" t="s">
        <v>141</v>
      </c>
      <c r="C109" s="8">
        <v>18.8</v>
      </c>
      <c r="D109">
        <v>0</v>
      </c>
      <c r="E109">
        <v>18.8</v>
      </c>
    </row>
    <row r="110" spans="1:5" x14ac:dyDescent="0.25">
      <c r="A110" t="s">
        <v>587</v>
      </c>
      <c r="B110" t="s">
        <v>520</v>
      </c>
      <c r="C110" s="8">
        <v>45.3</v>
      </c>
      <c r="D110">
        <v>0</v>
      </c>
      <c r="E110">
        <v>45.3</v>
      </c>
    </row>
    <row r="111" spans="1:5" x14ac:dyDescent="0.25">
      <c r="A111" t="s">
        <v>620</v>
      </c>
      <c r="B111" t="s">
        <v>208</v>
      </c>
      <c r="C111" s="8" t="s">
        <v>806</v>
      </c>
      <c r="D111">
        <v>0</v>
      </c>
      <c r="E111" t="s">
        <v>779</v>
      </c>
    </row>
    <row r="112" spans="1:5" x14ac:dyDescent="0.25">
      <c r="A112" t="s">
        <v>621</v>
      </c>
      <c r="B112" t="s">
        <v>220</v>
      </c>
      <c r="C112" s="8">
        <v>14.896000000000001</v>
      </c>
      <c r="D112">
        <v>0</v>
      </c>
      <c r="E112">
        <v>14.896000000000001</v>
      </c>
    </row>
    <row r="113" spans="1:5" x14ac:dyDescent="0.25">
      <c r="A113" t="s">
        <v>622</v>
      </c>
      <c r="B113" t="s">
        <v>142</v>
      </c>
      <c r="C113" s="8">
        <v>524</v>
      </c>
      <c r="D113">
        <v>0</v>
      </c>
      <c r="E113">
        <v>524</v>
      </c>
    </row>
    <row r="114" spans="1:5" x14ac:dyDescent="0.25">
      <c r="A114" t="s">
        <v>623</v>
      </c>
      <c r="B114" t="s">
        <v>533</v>
      </c>
      <c r="C114" s="8" t="s">
        <v>805</v>
      </c>
      <c r="D114">
        <v>0</v>
      </c>
      <c r="E114" t="s">
        <v>779</v>
      </c>
    </row>
    <row r="115" spans="1:5" x14ac:dyDescent="0.25">
      <c r="A115" t="s">
        <v>569</v>
      </c>
      <c r="B115" t="s">
        <v>624</v>
      </c>
      <c r="C115" s="8">
        <v>1.167</v>
      </c>
      <c r="D115">
        <v>0</v>
      </c>
      <c r="E115">
        <v>1.167</v>
      </c>
    </row>
    <row r="116" spans="1:5" x14ac:dyDescent="0.25">
      <c r="A116" t="s">
        <v>556</v>
      </c>
      <c r="B116" t="s">
        <v>345</v>
      </c>
      <c r="C116" s="8">
        <v>54.03</v>
      </c>
      <c r="D116">
        <v>0</v>
      </c>
      <c r="E116">
        <v>54.03</v>
      </c>
    </row>
    <row r="117" spans="1:5" x14ac:dyDescent="0.25">
      <c r="A117" t="s">
        <v>625</v>
      </c>
      <c r="B117" t="s">
        <v>254</v>
      </c>
      <c r="C117" s="8" t="s">
        <v>805</v>
      </c>
      <c r="D117">
        <v>0</v>
      </c>
      <c r="E117" t="s">
        <v>779</v>
      </c>
    </row>
    <row r="118" spans="1:5" x14ac:dyDescent="0.25">
      <c r="A118" t="s">
        <v>572</v>
      </c>
      <c r="B118" t="s">
        <v>64</v>
      </c>
      <c r="C118" s="8" t="s">
        <v>805</v>
      </c>
      <c r="D118">
        <v>0</v>
      </c>
      <c r="E118" t="s">
        <v>779</v>
      </c>
    </row>
    <row r="119" spans="1:5" x14ac:dyDescent="0.25">
      <c r="A119" t="s">
        <v>611</v>
      </c>
      <c r="B119" t="s">
        <v>145</v>
      </c>
      <c r="C119" s="8">
        <v>55.8</v>
      </c>
      <c r="D119">
        <v>0</v>
      </c>
      <c r="E119">
        <v>55.8</v>
      </c>
    </row>
    <row r="120" spans="1:5" x14ac:dyDescent="0.25">
      <c r="A120" t="s">
        <v>563</v>
      </c>
      <c r="B120" t="s">
        <v>16</v>
      </c>
      <c r="C120" s="8">
        <v>3.42</v>
      </c>
      <c r="D120">
        <v>0</v>
      </c>
      <c r="E120">
        <v>3.42</v>
      </c>
    </row>
    <row r="121" spans="1:5" x14ac:dyDescent="0.25">
      <c r="A121" t="s">
        <v>626</v>
      </c>
      <c r="B121" t="s">
        <v>373</v>
      </c>
      <c r="C121" s="8">
        <v>832.44</v>
      </c>
      <c r="D121">
        <v>45.572000000000003</v>
      </c>
      <c r="E121">
        <v>786.86800000000005</v>
      </c>
    </row>
    <row r="122" spans="1:5" x14ac:dyDescent="0.25">
      <c r="A122" t="s">
        <v>627</v>
      </c>
      <c r="B122" t="s">
        <v>134</v>
      </c>
      <c r="C122" s="8">
        <v>11.5</v>
      </c>
      <c r="D122">
        <v>0</v>
      </c>
      <c r="E122">
        <v>11.5</v>
      </c>
    </row>
    <row r="123" spans="1:5" x14ac:dyDescent="0.25">
      <c r="A123" t="s">
        <v>610</v>
      </c>
      <c r="B123" t="s">
        <v>132</v>
      </c>
      <c r="C123" s="8">
        <v>3.976</v>
      </c>
      <c r="D123">
        <v>0</v>
      </c>
      <c r="E123">
        <v>3.976</v>
      </c>
    </row>
    <row r="124" spans="1:5" x14ac:dyDescent="0.25">
      <c r="A124" t="s">
        <v>628</v>
      </c>
      <c r="B124" t="s">
        <v>148</v>
      </c>
      <c r="C124" s="8">
        <v>30.33</v>
      </c>
      <c r="D124">
        <v>0</v>
      </c>
      <c r="E124">
        <v>30.33</v>
      </c>
    </row>
    <row r="125" spans="1:5" x14ac:dyDescent="0.25">
      <c r="A125" t="s">
        <v>626</v>
      </c>
      <c r="B125" t="s">
        <v>400</v>
      </c>
      <c r="C125" s="8">
        <v>1.58</v>
      </c>
      <c r="D125">
        <v>0</v>
      </c>
      <c r="E125">
        <v>1.58</v>
      </c>
    </row>
    <row r="126" spans="1:5" x14ac:dyDescent="0.25">
      <c r="A126" t="s">
        <v>558</v>
      </c>
      <c r="B126" t="s">
        <v>629</v>
      </c>
      <c r="C126" s="8">
        <v>67.715000000000003</v>
      </c>
      <c r="D126">
        <v>0</v>
      </c>
      <c r="E126">
        <v>67.715000000000003</v>
      </c>
    </row>
    <row r="127" spans="1:5" x14ac:dyDescent="0.25">
      <c r="A127" t="s">
        <v>566</v>
      </c>
      <c r="B127" t="s">
        <v>325</v>
      </c>
      <c r="C127" s="8" t="s">
        <v>806</v>
      </c>
      <c r="D127">
        <v>0</v>
      </c>
      <c r="E127" t="s">
        <v>779</v>
      </c>
    </row>
    <row r="128" spans="1:5" x14ac:dyDescent="0.25">
      <c r="A128" t="s">
        <v>585</v>
      </c>
      <c r="B128" t="s">
        <v>349</v>
      </c>
      <c r="C128" s="8">
        <v>3.3</v>
      </c>
      <c r="D128">
        <v>0</v>
      </c>
      <c r="E128">
        <v>3.3</v>
      </c>
    </row>
    <row r="129" spans="1:5" x14ac:dyDescent="0.25">
      <c r="A129" t="s">
        <v>568</v>
      </c>
      <c r="B129" t="s">
        <v>181</v>
      </c>
      <c r="C129" s="8">
        <v>6.5030000000000001</v>
      </c>
      <c r="D129">
        <v>0</v>
      </c>
      <c r="E129">
        <v>6.5030000000000001</v>
      </c>
    </row>
    <row r="130" spans="1:5" x14ac:dyDescent="0.25">
      <c r="A130" t="s">
        <v>558</v>
      </c>
      <c r="B130" t="s">
        <v>117</v>
      </c>
      <c r="C130" s="8">
        <v>117.197</v>
      </c>
      <c r="D130">
        <v>0</v>
      </c>
      <c r="E130">
        <v>117.197</v>
      </c>
    </row>
    <row r="131" spans="1:5" x14ac:dyDescent="0.25">
      <c r="A131" t="s">
        <v>569</v>
      </c>
      <c r="B131" t="s">
        <v>379</v>
      </c>
      <c r="C131" s="8">
        <v>6.1459999999999999</v>
      </c>
      <c r="D131">
        <v>0</v>
      </c>
      <c r="E131">
        <v>6.1459999999999999</v>
      </c>
    </row>
    <row r="132" spans="1:5" x14ac:dyDescent="0.25">
      <c r="A132" t="s">
        <v>630</v>
      </c>
      <c r="B132" s="46" t="s">
        <v>631</v>
      </c>
      <c r="C132" s="8">
        <v>30.693000000000001</v>
      </c>
      <c r="D132">
        <v>0</v>
      </c>
      <c r="E132">
        <v>30.693000000000001</v>
      </c>
    </row>
    <row r="133" spans="1:5" x14ac:dyDescent="0.25">
      <c r="A133" t="s">
        <v>632</v>
      </c>
      <c r="B133" t="s">
        <v>385</v>
      </c>
      <c r="C133" s="8">
        <v>1.1399999999999999</v>
      </c>
      <c r="D133">
        <v>0</v>
      </c>
      <c r="E133">
        <v>1.1399999999999999</v>
      </c>
    </row>
    <row r="134" spans="1:5" x14ac:dyDescent="0.25">
      <c r="A134" t="s">
        <v>632</v>
      </c>
      <c r="B134" t="s">
        <v>386</v>
      </c>
      <c r="C134" s="8">
        <v>0.75600000000000001</v>
      </c>
      <c r="D134">
        <v>0</v>
      </c>
      <c r="E134">
        <v>0.75600000000000001</v>
      </c>
    </row>
    <row r="135" spans="1:5" x14ac:dyDescent="0.25">
      <c r="A135" t="s">
        <v>632</v>
      </c>
      <c r="B135" t="s">
        <v>387</v>
      </c>
      <c r="C135" s="8">
        <v>2.76</v>
      </c>
      <c r="D135">
        <v>0</v>
      </c>
      <c r="E135">
        <v>2.76</v>
      </c>
    </row>
    <row r="136" spans="1:5" x14ac:dyDescent="0.25">
      <c r="A136" t="s">
        <v>557</v>
      </c>
      <c r="B136" t="s">
        <v>772</v>
      </c>
      <c r="C136" s="8">
        <v>1.0549999999999999</v>
      </c>
      <c r="D136">
        <v>0</v>
      </c>
      <c r="E136">
        <v>1.0549999999999999</v>
      </c>
    </row>
    <row r="137" spans="1:5" x14ac:dyDescent="0.25">
      <c r="A137" t="s">
        <v>561</v>
      </c>
      <c r="B137" t="s">
        <v>65</v>
      </c>
      <c r="C137" s="8" t="s">
        <v>806</v>
      </c>
      <c r="D137">
        <v>0</v>
      </c>
      <c r="E137" t="s">
        <v>779</v>
      </c>
    </row>
    <row r="138" spans="1:5" x14ac:dyDescent="0.25">
      <c r="A138" t="s">
        <v>592</v>
      </c>
      <c r="B138" t="s">
        <v>103</v>
      </c>
      <c r="C138" s="8" t="s">
        <v>806</v>
      </c>
      <c r="D138">
        <v>0</v>
      </c>
      <c r="E138" t="s">
        <v>779</v>
      </c>
    </row>
    <row r="139" spans="1:5" x14ac:dyDescent="0.25">
      <c r="A139" t="s">
        <v>558</v>
      </c>
      <c r="B139" t="s">
        <v>125</v>
      </c>
      <c r="C139" s="8">
        <v>37.344999999999999</v>
      </c>
      <c r="D139">
        <v>0</v>
      </c>
      <c r="E139">
        <v>37.344999999999999</v>
      </c>
    </row>
    <row r="140" spans="1:5" x14ac:dyDescent="0.25">
      <c r="A140" t="s">
        <v>618</v>
      </c>
      <c r="B140" t="s">
        <v>140</v>
      </c>
      <c r="C140" s="8">
        <v>2.5</v>
      </c>
      <c r="D140">
        <v>0</v>
      </c>
      <c r="E140">
        <v>2.5</v>
      </c>
    </row>
    <row r="141" spans="1:5" x14ac:dyDescent="0.25">
      <c r="A141" t="s">
        <v>633</v>
      </c>
      <c r="B141" t="s">
        <v>150</v>
      </c>
      <c r="C141" s="8">
        <v>164</v>
      </c>
      <c r="D141">
        <v>0</v>
      </c>
      <c r="E141">
        <v>164</v>
      </c>
    </row>
    <row r="142" spans="1:5" x14ac:dyDescent="0.25">
      <c r="A142" t="s">
        <v>634</v>
      </c>
      <c r="B142" t="s">
        <v>151</v>
      </c>
      <c r="C142" s="8">
        <v>165</v>
      </c>
      <c r="D142">
        <v>0</v>
      </c>
      <c r="E142">
        <v>165</v>
      </c>
    </row>
    <row r="143" spans="1:5" x14ac:dyDescent="0.25">
      <c r="A143" t="s">
        <v>635</v>
      </c>
      <c r="B143" t="s">
        <v>153</v>
      </c>
      <c r="C143" s="8">
        <v>42.039000000000001</v>
      </c>
      <c r="D143">
        <v>0</v>
      </c>
      <c r="E143">
        <v>42.039000000000001</v>
      </c>
    </row>
    <row r="144" spans="1:5" x14ac:dyDescent="0.25">
      <c r="A144" t="s">
        <v>561</v>
      </c>
      <c r="B144" t="s">
        <v>89</v>
      </c>
      <c r="C144" s="8">
        <v>959.51300000000003</v>
      </c>
      <c r="D144">
        <v>0</v>
      </c>
      <c r="E144">
        <v>959.51300000000003</v>
      </c>
    </row>
    <row r="145" spans="1:5" x14ac:dyDescent="0.25">
      <c r="A145" t="s">
        <v>598</v>
      </c>
      <c r="B145" t="s">
        <v>242</v>
      </c>
      <c r="C145" s="8">
        <v>25.3</v>
      </c>
      <c r="D145">
        <v>0</v>
      </c>
      <c r="E145">
        <v>25.3</v>
      </c>
    </row>
    <row r="146" spans="1:5" x14ac:dyDescent="0.25">
      <c r="A146" t="s">
        <v>566</v>
      </c>
      <c r="B146" t="s">
        <v>326</v>
      </c>
      <c r="C146" s="8">
        <v>7.7160000000000002</v>
      </c>
      <c r="D146">
        <v>0</v>
      </c>
      <c r="E146">
        <v>7.7160000000000002</v>
      </c>
    </row>
    <row r="147" spans="1:5" x14ac:dyDescent="0.25">
      <c r="A147" t="s">
        <v>598</v>
      </c>
      <c r="B147" t="s">
        <v>243</v>
      </c>
      <c r="C147" s="8">
        <v>20.9</v>
      </c>
      <c r="D147">
        <v>0</v>
      </c>
      <c r="E147">
        <v>20.9</v>
      </c>
    </row>
    <row r="148" spans="1:5" x14ac:dyDescent="0.25">
      <c r="A148" t="s">
        <v>558</v>
      </c>
      <c r="B148" t="s">
        <v>489</v>
      </c>
      <c r="C148" s="8">
        <v>15.29</v>
      </c>
      <c r="D148">
        <v>0</v>
      </c>
      <c r="E148">
        <v>15.29</v>
      </c>
    </row>
    <row r="149" spans="1:5" x14ac:dyDescent="0.25">
      <c r="A149" t="s">
        <v>589</v>
      </c>
      <c r="B149" t="s">
        <v>92</v>
      </c>
      <c r="C149" s="8">
        <v>2.637</v>
      </c>
      <c r="D149">
        <v>0</v>
      </c>
      <c r="E149">
        <v>2.637</v>
      </c>
    </row>
    <row r="150" spans="1:5" x14ac:dyDescent="0.25">
      <c r="A150" t="s">
        <v>577</v>
      </c>
      <c r="B150" t="s">
        <v>365</v>
      </c>
      <c r="C150" s="8">
        <v>7.585</v>
      </c>
      <c r="D150">
        <v>0</v>
      </c>
      <c r="E150">
        <v>7.585</v>
      </c>
    </row>
    <row r="151" spans="1:5" x14ac:dyDescent="0.25">
      <c r="A151" t="s">
        <v>636</v>
      </c>
      <c r="B151" t="s">
        <v>37</v>
      </c>
      <c r="C151" s="8">
        <v>8.2460000000000004</v>
      </c>
      <c r="D151">
        <v>0</v>
      </c>
      <c r="E151">
        <v>8.2460000000000004</v>
      </c>
    </row>
    <row r="152" spans="1:5" x14ac:dyDescent="0.25">
      <c r="A152" t="s">
        <v>637</v>
      </c>
      <c r="B152" t="s">
        <v>154</v>
      </c>
      <c r="C152" s="8">
        <v>34</v>
      </c>
      <c r="D152">
        <v>0</v>
      </c>
      <c r="E152">
        <v>34</v>
      </c>
    </row>
    <row r="153" spans="1:5" x14ac:dyDescent="0.25">
      <c r="A153" t="s">
        <v>564</v>
      </c>
      <c r="B153" t="s">
        <v>638</v>
      </c>
      <c r="C153" s="8">
        <v>0</v>
      </c>
      <c r="D153">
        <v>0</v>
      </c>
      <c r="E153">
        <v>0</v>
      </c>
    </row>
    <row r="154" spans="1:5" x14ac:dyDescent="0.25">
      <c r="A154" t="s">
        <v>561</v>
      </c>
      <c r="B154" t="s">
        <v>47</v>
      </c>
      <c r="C154" s="8" t="s">
        <v>806</v>
      </c>
      <c r="D154">
        <v>0</v>
      </c>
      <c r="E154" t="s">
        <v>779</v>
      </c>
    </row>
    <row r="155" spans="1:5" x14ac:dyDescent="0.25">
      <c r="A155" t="s">
        <v>639</v>
      </c>
      <c r="B155" t="s">
        <v>640</v>
      </c>
      <c r="C155" s="8">
        <v>0.36</v>
      </c>
      <c r="D155">
        <v>0</v>
      </c>
      <c r="E155">
        <v>0.36</v>
      </c>
    </row>
    <row r="156" spans="1:5" x14ac:dyDescent="0.25">
      <c r="A156" t="s">
        <v>561</v>
      </c>
      <c r="B156" t="s">
        <v>66</v>
      </c>
      <c r="C156" s="8">
        <v>278.8</v>
      </c>
      <c r="D156">
        <v>19.7</v>
      </c>
      <c r="E156">
        <v>259.10000000000002</v>
      </c>
    </row>
    <row r="157" spans="1:5" x14ac:dyDescent="0.25">
      <c r="A157" t="s">
        <v>641</v>
      </c>
      <c r="B157" t="s">
        <v>642</v>
      </c>
      <c r="C157" s="8" t="s">
        <v>805</v>
      </c>
      <c r="D157">
        <v>0</v>
      </c>
      <c r="E157" t="s">
        <v>779</v>
      </c>
    </row>
    <row r="158" spans="1:5" x14ac:dyDescent="0.25">
      <c r="A158" t="s">
        <v>608</v>
      </c>
      <c r="B158" t="s">
        <v>195</v>
      </c>
      <c r="C158" s="8">
        <v>8.6999999999999993</v>
      </c>
      <c r="D158">
        <v>0</v>
      </c>
      <c r="E158">
        <v>8.6999999999999993</v>
      </c>
    </row>
    <row r="159" spans="1:5" x14ac:dyDescent="0.25">
      <c r="A159" t="s">
        <v>559</v>
      </c>
      <c r="B159" t="s">
        <v>160</v>
      </c>
      <c r="C159" s="8">
        <v>619.51</v>
      </c>
      <c r="D159">
        <v>0</v>
      </c>
      <c r="E159">
        <v>619.51</v>
      </c>
    </row>
    <row r="160" spans="1:5" x14ac:dyDescent="0.25">
      <c r="A160" t="s">
        <v>571</v>
      </c>
      <c r="B160" t="s">
        <v>267</v>
      </c>
      <c r="C160" s="8">
        <v>6.3259999999999996</v>
      </c>
      <c r="D160">
        <v>0</v>
      </c>
      <c r="E160">
        <v>6.3259999999999996</v>
      </c>
    </row>
    <row r="161" spans="1:5" x14ac:dyDescent="0.25">
      <c r="A161" t="s">
        <v>800</v>
      </c>
      <c r="B161" t="s">
        <v>346</v>
      </c>
      <c r="C161" s="8">
        <v>93.7</v>
      </c>
      <c r="D161">
        <v>0</v>
      </c>
      <c r="E161">
        <v>93.7</v>
      </c>
    </row>
    <row r="162" spans="1:5" x14ac:dyDescent="0.25">
      <c r="A162" t="s">
        <v>643</v>
      </c>
      <c r="B162" t="s">
        <v>162</v>
      </c>
      <c r="C162" s="8">
        <v>347</v>
      </c>
      <c r="D162">
        <v>0</v>
      </c>
      <c r="E162">
        <v>347</v>
      </c>
    </row>
    <row r="163" spans="1:5" x14ac:dyDescent="0.25">
      <c r="A163" t="s">
        <v>561</v>
      </c>
      <c r="B163" t="s">
        <v>67</v>
      </c>
      <c r="C163" s="8" t="s">
        <v>806</v>
      </c>
      <c r="D163">
        <v>0</v>
      </c>
      <c r="E163" t="s">
        <v>779</v>
      </c>
    </row>
    <row r="164" spans="1:5" x14ac:dyDescent="0.25">
      <c r="A164" t="s">
        <v>598</v>
      </c>
      <c r="B164" t="s">
        <v>644</v>
      </c>
      <c r="C164" s="8" t="s">
        <v>805</v>
      </c>
      <c r="D164">
        <v>0</v>
      </c>
      <c r="E164" t="s">
        <v>779</v>
      </c>
    </row>
    <row r="165" spans="1:5" x14ac:dyDescent="0.25">
      <c r="A165" t="s">
        <v>645</v>
      </c>
      <c r="B165" t="s">
        <v>164</v>
      </c>
      <c r="C165" s="8">
        <v>157</v>
      </c>
      <c r="D165">
        <v>0</v>
      </c>
      <c r="E165">
        <v>157</v>
      </c>
    </row>
    <row r="166" spans="1:5" x14ac:dyDescent="0.25">
      <c r="A166" t="s">
        <v>639</v>
      </c>
      <c r="B166" t="s">
        <v>0</v>
      </c>
      <c r="C166" s="8">
        <v>212.73</v>
      </c>
      <c r="D166">
        <v>0</v>
      </c>
      <c r="E166">
        <v>212.73</v>
      </c>
    </row>
    <row r="167" spans="1:5" x14ac:dyDescent="0.25">
      <c r="A167" t="s">
        <v>646</v>
      </c>
      <c r="B167" t="s">
        <v>166</v>
      </c>
      <c r="C167" s="8">
        <v>544.4</v>
      </c>
      <c r="D167">
        <v>54.646000000000001</v>
      </c>
      <c r="E167">
        <v>489.75399999999996</v>
      </c>
    </row>
    <row r="168" spans="1:5" x14ac:dyDescent="0.25">
      <c r="A168" t="s">
        <v>647</v>
      </c>
      <c r="B168" t="s">
        <v>648</v>
      </c>
      <c r="C168" s="8" t="s">
        <v>805</v>
      </c>
      <c r="D168">
        <v>0</v>
      </c>
      <c r="E168" t="s">
        <v>779</v>
      </c>
    </row>
    <row r="169" spans="1:5" x14ac:dyDescent="0.25">
      <c r="A169" t="s">
        <v>573</v>
      </c>
      <c r="B169" t="s">
        <v>168</v>
      </c>
      <c r="C169" s="8">
        <v>168.6</v>
      </c>
      <c r="D169">
        <v>0</v>
      </c>
      <c r="E169">
        <v>168.6</v>
      </c>
    </row>
    <row r="170" spans="1:5" x14ac:dyDescent="0.25">
      <c r="A170" t="s">
        <v>649</v>
      </c>
      <c r="B170" t="s">
        <v>170</v>
      </c>
      <c r="C170" s="8">
        <v>35.1</v>
      </c>
      <c r="D170">
        <v>0</v>
      </c>
      <c r="E170">
        <v>35.1</v>
      </c>
    </row>
    <row r="171" spans="1:5" x14ac:dyDescent="0.25">
      <c r="A171" t="s">
        <v>553</v>
      </c>
      <c r="B171" t="s">
        <v>22</v>
      </c>
      <c r="C171" s="8">
        <v>16.312000000000001</v>
      </c>
      <c r="D171">
        <v>0</v>
      </c>
      <c r="E171">
        <v>16.312000000000001</v>
      </c>
    </row>
    <row r="172" spans="1:5" x14ac:dyDescent="0.25">
      <c r="A172" t="s">
        <v>650</v>
      </c>
      <c r="B172" t="s">
        <v>390</v>
      </c>
      <c r="C172" s="8">
        <v>198.25700000000001</v>
      </c>
      <c r="D172">
        <v>0</v>
      </c>
      <c r="E172">
        <v>198.25700000000001</v>
      </c>
    </row>
    <row r="173" spans="1:5" x14ac:dyDescent="0.25">
      <c r="A173" t="s">
        <v>573</v>
      </c>
      <c r="B173" t="s">
        <v>307</v>
      </c>
      <c r="C173" s="8">
        <v>16.899999999999999</v>
      </c>
      <c r="D173">
        <v>0</v>
      </c>
      <c r="E173">
        <v>16.899999999999999</v>
      </c>
    </row>
    <row r="174" spans="1:5" x14ac:dyDescent="0.25">
      <c r="A174" t="s">
        <v>627</v>
      </c>
      <c r="B174" t="s">
        <v>135</v>
      </c>
      <c r="C174" s="8">
        <v>7.6</v>
      </c>
      <c r="D174">
        <v>0</v>
      </c>
      <c r="E174">
        <v>7.6</v>
      </c>
    </row>
    <row r="175" spans="1:5" x14ac:dyDescent="0.25">
      <c r="A175" t="s">
        <v>786</v>
      </c>
      <c r="B175" t="s">
        <v>788</v>
      </c>
      <c r="C175" s="8">
        <v>50.2</v>
      </c>
      <c r="D175">
        <v>0</v>
      </c>
      <c r="E175">
        <v>50.2</v>
      </c>
    </row>
    <row r="176" spans="1:5" x14ac:dyDescent="0.25">
      <c r="A176" t="s">
        <v>556</v>
      </c>
      <c r="B176" t="s">
        <v>341</v>
      </c>
      <c r="C176" s="8">
        <v>44.3</v>
      </c>
      <c r="D176">
        <v>0</v>
      </c>
      <c r="E176">
        <v>44.3</v>
      </c>
    </row>
    <row r="177" spans="1:5" x14ac:dyDescent="0.25">
      <c r="A177" t="s">
        <v>651</v>
      </c>
      <c r="B177" t="s">
        <v>175</v>
      </c>
      <c r="C177" s="8">
        <v>12.881</v>
      </c>
      <c r="D177">
        <v>0</v>
      </c>
      <c r="E177">
        <v>12.881</v>
      </c>
    </row>
    <row r="178" spans="1:5" x14ac:dyDescent="0.25">
      <c r="A178" t="s">
        <v>558</v>
      </c>
      <c r="B178" t="s">
        <v>126</v>
      </c>
      <c r="C178" s="8">
        <v>11.204000000000001</v>
      </c>
      <c r="D178">
        <v>0</v>
      </c>
      <c r="E178">
        <v>11.204000000000001</v>
      </c>
    </row>
    <row r="179" spans="1:5" x14ac:dyDescent="0.25">
      <c r="A179" t="s">
        <v>600</v>
      </c>
      <c r="B179" t="s">
        <v>34</v>
      </c>
      <c r="C179" s="8">
        <v>321.67599999999999</v>
      </c>
      <c r="D179">
        <v>0</v>
      </c>
      <c r="E179">
        <v>321.67599999999999</v>
      </c>
    </row>
    <row r="180" spans="1:5" x14ac:dyDescent="0.25">
      <c r="A180" t="s">
        <v>571</v>
      </c>
      <c r="B180" t="s">
        <v>652</v>
      </c>
      <c r="C180" s="8">
        <v>0.5</v>
      </c>
      <c r="D180">
        <v>0</v>
      </c>
      <c r="E180">
        <v>0.5</v>
      </c>
    </row>
    <row r="181" spans="1:5" x14ac:dyDescent="0.25">
      <c r="A181" t="s">
        <v>653</v>
      </c>
      <c r="B181" t="s">
        <v>172</v>
      </c>
      <c r="C181" s="8">
        <v>89</v>
      </c>
      <c r="D181">
        <v>0</v>
      </c>
      <c r="E181">
        <v>89</v>
      </c>
    </row>
    <row r="182" spans="1:5" x14ac:dyDescent="0.25">
      <c r="A182" t="s">
        <v>558</v>
      </c>
      <c r="B182" t="s">
        <v>654</v>
      </c>
      <c r="C182" s="8">
        <v>104.422</v>
      </c>
      <c r="D182">
        <v>101.93</v>
      </c>
      <c r="E182">
        <v>2.4919999999999902</v>
      </c>
    </row>
    <row r="183" spans="1:5" x14ac:dyDescent="0.25">
      <c r="A183" t="s">
        <v>800</v>
      </c>
      <c r="B183" t="s">
        <v>801</v>
      </c>
      <c r="C183" s="8" t="s">
        <v>805</v>
      </c>
      <c r="D183">
        <v>0</v>
      </c>
      <c r="E183" t="s">
        <v>779</v>
      </c>
    </row>
    <row r="184" spans="1:5" x14ac:dyDescent="0.25">
      <c r="A184" t="s">
        <v>579</v>
      </c>
      <c r="B184" t="s">
        <v>155</v>
      </c>
      <c r="C184" s="8">
        <v>18.78</v>
      </c>
      <c r="D184">
        <v>0</v>
      </c>
      <c r="E184">
        <v>18.78</v>
      </c>
    </row>
    <row r="185" spans="1:5" x14ac:dyDescent="0.25">
      <c r="A185" t="s">
        <v>655</v>
      </c>
      <c r="B185" t="s">
        <v>283</v>
      </c>
      <c r="C185" s="8">
        <v>106.19</v>
      </c>
      <c r="D185">
        <v>0</v>
      </c>
      <c r="E185">
        <v>106.19</v>
      </c>
    </row>
    <row r="186" spans="1:5" x14ac:dyDescent="0.25">
      <c r="A186" t="s">
        <v>561</v>
      </c>
      <c r="B186" t="s">
        <v>68</v>
      </c>
      <c r="C186" s="8">
        <v>46.5</v>
      </c>
      <c r="D186">
        <v>0</v>
      </c>
      <c r="E186">
        <v>46.5</v>
      </c>
    </row>
    <row r="187" spans="1:5" x14ac:dyDescent="0.25">
      <c r="A187" t="s">
        <v>620</v>
      </c>
      <c r="B187" t="s">
        <v>209</v>
      </c>
      <c r="C187" s="8">
        <v>34.4</v>
      </c>
      <c r="D187">
        <v>0</v>
      </c>
      <c r="E187">
        <v>34.4</v>
      </c>
    </row>
    <row r="188" spans="1:5" x14ac:dyDescent="0.25">
      <c r="A188" t="s">
        <v>632</v>
      </c>
      <c r="B188" t="s">
        <v>173</v>
      </c>
      <c r="C188" s="8">
        <v>107</v>
      </c>
      <c r="D188">
        <v>0</v>
      </c>
      <c r="E188">
        <v>107</v>
      </c>
    </row>
    <row r="189" spans="1:5" x14ac:dyDescent="0.25">
      <c r="A189" t="s">
        <v>630</v>
      </c>
      <c r="B189" t="s">
        <v>656</v>
      </c>
      <c r="C189" s="8">
        <v>2.33</v>
      </c>
      <c r="D189">
        <v>0</v>
      </c>
      <c r="E189">
        <v>2.33</v>
      </c>
    </row>
    <row r="190" spans="1:5" x14ac:dyDescent="0.25">
      <c r="A190" t="s">
        <v>592</v>
      </c>
      <c r="B190" t="s">
        <v>104</v>
      </c>
      <c r="C190" s="8">
        <v>0.8</v>
      </c>
      <c r="D190">
        <v>0</v>
      </c>
      <c r="E190">
        <v>0.8</v>
      </c>
    </row>
    <row r="191" spans="1:5" x14ac:dyDescent="0.25">
      <c r="A191" t="s">
        <v>657</v>
      </c>
      <c r="B191" t="s">
        <v>291</v>
      </c>
      <c r="C191" s="8">
        <v>21.4</v>
      </c>
      <c r="D191">
        <v>0</v>
      </c>
      <c r="E191">
        <v>21.4</v>
      </c>
    </row>
    <row r="192" spans="1:5" x14ac:dyDescent="0.25">
      <c r="A192" t="s">
        <v>568</v>
      </c>
      <c r="B192" t="s">
        <v>182</v>
      </c>
      <c r="C192" s="8">
        <v>11.792999999999999</v>
      </c>
      <c r="D192">
        <v>0</v>
      </c>
      <c r="E192">
        <v>11.792999999999999</v>
      </c>
    </row>
    <row r="193" spans="1:5" x14ac:dyDescent="0.25">
      <c r="A193" t="s">
        <v>571</v>
      </c>
      <c r="B193" t="s">
        <v>269</v>
      </c>
      <c r="C193" s="8">
        <v>4.8730000000000002</v>
      </c>
      <c r="D193">
        <v>0</v>
      </c>
      <c r="E193">
        <v>4.8730000000000002</v>
      </c>
    </row>
    <row r="194" spans="1:5" x14ac:dyDescent="0.25">
      <c r="A194" t="s">
        <v>580</v>
      </c>
      <c r="B194" t="s">
        <v>32</v>
      </c>
      <c r="C194" s="8" t="s">
        <v>805</v>
      </c>
      <c r="D194">
        <v>0</v>
      </c>
      <c r="E194" t="s">
        <v>779</v>
      </c>
    </row>
    <row r="195" spans="1:5" x14ac:dyDescent="0.25">
      <c r="A195" t="s">
        <v>651</v>
      </c>
      <c r="B195" t="s">
        <v>174</v>
      </c>
      <c r="C195" s="8">
        <v>184.899</v>
      </c>
      <c r="D195">
        <v>0</v>
      </c>
      <c r="E195">
        <v>184.899</v>
      </c>
    </row>
    <row r="196" spans="1:5" x14ac:dyDescent="0.25">
      <c r="A196" t="s">
        <v>658</v>
      </c>
      <c r="B196" t="s">
        <v>176</v>
      </c>
      <c r="C196" s="8">
        <v>242</v>
      </c>
      <c r="D196">
        <v>32.015999999999998</v>
      </c>
      <c r="E196">
        <v>209.98400000000001</v>
      </c>
    </row>
    <row r="197" spans="1:5" x14ac:dyDescent="0.25">
      <c r="A197" t="s">
        <v>659</v>
      </c>
      <c r="B197" t="s">
        <v>184</v>
      </c>
      <c r="C197" s="8">
        <v>27.425999999999998</v>
      </c>
      <c r="D197">
        <v>0</v>
      </c>
      <c r="E197">
        <v>27.425999999999998</v>
      </c>
    </row>
    <row r="198" spans="1:5" x14ac:dyDescent="0.25">
      <c r="A198" t="s">
        <v>636</v>
      </c>
      <c r="B198" t="s">
        <v>38</v>
      </c>
      <c r="C198" s="8">
        <v>30.108000000000001</v>
      </c>
      <c r="D198">
        <v>0</v>
      </c>
      <c r="E198">
        <v>30.108000000000001</v>
      </c>
    </row>
    <row r="199" spans="1:5" x14ac:dyDescent="0.25">
      <c r="A199" t="s">
        <v>601</v>
      </c>
      <c r="B199" t="s">
        <v>186</v>
      </c>
      <c r="C199" s="8">
        <v>27</v>
      </c>
      <c r="D199">
        <v>0</v>
      </c>
      <c r="E199">
        <v>27</v>
      </c>
    </row>
    <row r="200" spans="1:5" x14ac:dyDescent="0.25">
      <c r="A200" t="s">
        <v>660</v>
      </c>
      <c r="B200" t="s">
        <v>515</v>
      </c>
      <c r="C200" s="8" t="s">
        <v>805</v>
      </c>
      <c r="D200">
        <v>0</v>
      </c>
      <c r="E200" t="s">
        <v>779</v>
      </c>
    </row>
    <row r="201" spans="1:5" x14ac:dyDescent="0.25">
      <c r="A201" t="s">
        <v>571</v>
      </c>
      <c r="B201" t="s">
        <v>270</v>
      </c>
      <c r="C201" s="8">
        <v>2.6659999999999999</v>
      </c>
      <c r="D201">
        <v>0</v>
      </c>
      <c r="E201">
        <v>2.6659999999999999</v>
      </c>
    </row>
    <row r="202" spans="1:5" x14ac:dyDescent="0.25">
      <c r="A202" t="s">
        <v>661</v>
      </c>
      <c r="B202" t="s">
        <v>188</v>
      </c>
      <c r="C202" s="8">
        <v>276.94</v>
      </c>
      <c r="D202">
        <v>0</v>
      </c>
      <c r="E202">
        <v>276.94</v>
      </c>
    </row>
    <row r="203" spans="1:5" x14ac:dyDescent="0.25">
      <c r="A203" t="s">
        <v>662</v>
      </c>
      <c r="B203" t="s">
        <v>189</v>
      </c>
      <c r="C203" s="8">
        <v>10.331</v>
      </c>
      <c r="D203">
        <v>0</v>
      </c>
      <c r="E203">
        <v>10.331</v>
      </c>
    </row>
    <row r="204" spans="1:5" x14ac:dyDescent="0.25">
      <c r="A204" t="s">
        <v>606</v>
      </c>
      <c r="B204" t="s">
        <v>190</v>
      </c>
      <c r="C204" s="8">
        <v>81</v>
      </c>
      <c r="D204">
        <v>0</v>
      </c>
      <c r="E204">
        <v>81</v>
      </c>
    </row>
    <row r="205" spans="1:5" x14ac:dyDescent="0.25">
      <c r="A205" t="s">
        <v>573</v>
      </c>
      <c r="B205" t="s">
        <v>308</v>
      </c>
      <c r="C205" s="8">
        <v>1312</v>
      </c>
      <c r="D205">
        <v>90.8</v>
      </c>
      <c r="E205">
        <v>1221.2</v>
      </c>
    </row>
    <row r="206" spans="1:5" x14ac:dyDescent="0.25">
      <c r="A206" t="s">
        <v>604</v>
      </c>
      <c r="B206" t="s">
        <v>369</v>
      </c>
      <c r="C206" s="8">
        <v>0.8</v>
      </c>
      <c r="D206">
        <v>0</v>
      </c>
      <c r="E206">
        <v>0.8</v>
      </c>
    </row>
    <row r="207" spans="1:5" x14ac:dyDescent="0.25">
      <c r="A207" t="s">
        <v>663</v>
      </c>
      <c r="B207" t="s">
        <v>78</v>
      </c>
      <c r="C207" s="8">
        <v>128.9</v>
      </c>
      <c r="D207">
        <v>0</v>
      </c>
      <c r="E207">
        <v>128.9</v>
      </c>
    </row>
    <row r="208" spans="1:5" x14ac:dyDescent="0.25">
      <c r="A208" t="s">
        <v>561</v>
      </c>
      <c r="B208" t="s">
        <v>664</v>
      </c>
      <c r="C208" s="8" t="s">
        <v>806</v>
      </c>
      <c r="D208">
        <v>0</v>
      </c>
      <c r="E208" t="s">
        <v>779</v>
      </c>
    </row>
    <row r="209" spans="1:5" x14ac:dyDescent="0.25">
      <c r="A209" t="s">
        <v>665</v>
      </c>
      <c r="B209" t="s">
        <v>404</v>
      </c>
      <c r="C209" s="8">
        <v>3.72</v>
      </c>
      <c r="D209">
        <v>0</v>
      </c>
      <c r="E209">
        <v>3.72</v>
      </c>
    </row>
    <row r="210" spans="1:5" x14ac:dyDescent="0.25">
      <c r="A210" t="s">
        <v>608</v>
      </c>
      <c r="B210" t="s">
        <v>193</v>
      </c>
      <c r="C210" s="8">
        <v>52</v>
      </c>
      <c r="D210">
        <v>0</v>
      </c>
      <c r="E210">
        <v>52</v>
      </c>
    </row>
    <row r="211" spans="1:5" x14ac:dyDescent="0.25">
      <c r="A211" t="s">
        <v>666</v>
      </c>
      <c r="B211" t="s">
        <v>302</v>
      </c>
      <c r="C211" s="8">
        <v>10.45514</v>
      </c>
      <c r="D211">
        <v>0</v>
      </c>
      <c r="E211">
        <v>10.45514</v>
      </c>
    </row>
    <row r="212" spans="1:5" x14ac:dyDescent="0.25">
      <c r="A212" t="s">
        <v>595</v>
      </c>
      <c r="B212" t="s">
        <v>359</v>
      </c>
      <c r="C212" s="8">
        <v>96.010999999999996</v>
      </c>
      <c r="D212">
        <v>0</v>
      </c>
      <c r="E212">
        <v>96.010999999999996</v>
      </c>
    </row>
    <row r="213" spans="1:5" x14ac:dyDescent="0.25">
      <c r="A213" t="s">
        <v>667</v>
      </c>
      <c r="B213" t="s">
        <v>196</v>
      </c>
      <c r="C213" s="8">
        <v>743.5</v>
      </c>
      <c r="D213">
        <v>0</v>
      </c>
      <c r="E213">
        <v>743.5</v>
      </c>
    </row>
    <row r="214" spans="1:5" x14ac:dyDescent="0.25">
      <c r="A214" t="s">
        <v>571</v>
      </c>
      <c r="B214" t="s">
        <v>259</v>
      </c>
      <c r="C214" s="8">
        <v>97.12</v>
      </c>
      <c r="D214">
        <v>0</v>
      </c>
      <c r="E214">
        <v>97.12</v>
      </c>
    </row>
    <row r="215" spans="1:5" x14ac:dyDescent="0.25">
      <c r="A215" t="s">
        <v>668</v>
      </c>
      <c r="B215" t="s">
        <v>405</v>
      </c>
      <c r="C215" s="8">
        <v>2.1</v>
      </c>
      <c r="D215">
        <v>0</v>
      </c>
      <c r="E215">
        <v>2.1</v>
      </c>
    </row>
    <row r="216" spans="1:5" x14ac:dyDescent="0.25">
      <c r="A216" t="s">
        <v>669</v>
      </c>
      <c r="B216" t="s">
        <v>187</v>
      </c>
      <c r="C216" s="8">
        <v>39.554000000000002</v>
      </c>
      <c r="D216">
        <v>0</v>
      </c>
      <c r="E216">
        <v>39.554000000000002</v>
      </c>
    </row>
    <row r="217" spans="1:5" x14ac:dyDescent="0.25">
      <c r="A217" t="s">
        <v>572</v>
      </c>
      <c r="B217" t="s">
        <v>69</v>
      </c>
      <c r="C217" s="8" t="s">
        <v>805</v>
      </c>
      <c r="D217">
        <v>0</v>
      </c>
      <c r="E217" t="s">
        <v>779</v>
      </c>
    </row>
    <row r="218" spans="1:5" x14ac:dyDescent="0.25">
      <c r="A218" t="s">
        <v>611</v>
      </c>
      <c r="B218" t="s">
        <v>147</v>
      </c>
      <c r="C218" s="8">
        <v>6.1</v>
      </c>
      <c r="D218">
        <v>0</v>
      </c>
      <c r="E218">
        <v>6.1</v>
      </c>
    </row>
    <row r="219" spans="1:5" x14ac:dyDescent="0.25">
      <c r="A219" t="s">
        <v>574</v>
      </c>
      <c r="B219" t="s">
        <v>24</v>
      </c>
      <c r="C219" s="8">
        <v>2.06</v>
      </c>
      <c r="D219">
        <v>0</v>
      </c>
      <c r="E219">
        <v>2.06</v>
      </c>
    </row>
    <row r="220" spans="1:5" x14ac:dyDescent="0.25">
      <c r="A220" t="s">
        <v>571</v>
      </c>
      <c r="B220" t="s">
        <v>271</v>
      </c>
      <c r="C220" s="8">
        <v>2.3929999999999998</v>
      </c>
      <c r="D220">
        <v>0</v>
      </c>
      <c r="E220">
        <v>2.3929999999999998</v>
      </c>
    </row>
    <row r="221" spans="1:5" x14ac:dyDescent="0.25">
      <c r="A221" t="s">
        <v>670</v>
      </c>
      <c r="B221" t="s">
        <v>200</v>
      </c>
      <c r="C221" s="8" t="s">
        <v>805</v>
      </c>
      <c r="D221">
        <v>0</v>
      </c>
      <c r="E221" t="s">
        <v>779</v>
      </c>
    </row>
    <row r="222" spans="1:5" x14ac:dyDescent="0.25">
      <c r="A222" t="s">
        <v>800</v>
      </c>
      <c r="B222" t="s">
        <v>200</v>
      </c>
      <c r="C222" s="8">
        <v>13.5</v>
      </c>
      <c r="D222">
        <v>0</v>
      </c>
      <c r="E222">
        <v>13.5</v>
      </c>
    </row>
    <row r="223" spans="1:5" x14ac:dyDescent="0.25">
      <c r="A223" t="s">
        <v>561</v>
      </c>
      <c r="B223" t="s">
        <v>43</v>
      </c>
      <c r="C223" s="8">
        <v>1940</v>
      </c>
      <c r="D223">
        <v>0</v>
      </c>
      <c r="E223">
        <v>1940</v>
      </c>
    </row>
    <row r="224" spans="1:5" x14ac:dyDescent="0.25">
      <c r="A224" t="s">
        <v>671</v>
      </c>
      <c r="B224" t="s">
        <v>201</v>
      </c>
      <c r="C224" s="8">
        <v>22.3</v>
      </c>
      <c r="D224">
        <v>0</v>
      </c>
      <c r="E224">
        <v>22.3</v>
      </c>
    </row>
    <row r="225" spans="1:5" x14ac:dyDescent="0.25">
      <c r="A225" t="s">
        <v>571</v>
      </c>
      <c r="B225" t="s">
        <v>257</v>
      </c>
      <c r="C225" s="8">
        <v>74.183999999999997</v>
      </c>
      <c r="D225">
        <v>0</v>
      </c>
      <c r="E225">
        <v>74.183999999999997</v>
      </c>
    </row>
    <row r="226" spans="1:5" x14ac:dyDescent="0.25">
      <c r="A226" t="s">
        <v>589</v>
      </c>
      <c r="B226" t="s">
        <v>93</v>
      </c>
      <c r="C226" s="8">
        <v>13.115</v>
      </c>
      <c r="D226">
        <v>0</v>
      </c>
      <c r="E226">
        <v>13.115</v>
      </c>
    </row>
    <row r="227" spans="1:5" x14ac:dyDescent="0.25">
      <c r="A227" t="s">
        <v>668</v>
      </c>
      <c r="B227" t="s">
        <v>202</v>
      </c>
      <c r="C227" s="8">
        <v>118.5</v>
      </c>
      <c r="D227">
        <v>0</v>
      </c>
      <c r="E227">
        <v>118.5</v>
      </c>
    </row>
    <row r="228" spans="1:5" x14ac:dyDescent="0.25">
      <c r="A228" t="s">
        <v>657</v>
      </c>
      <c r="B228" t="s">
        <v>294</v>
      </c>
      <c r="C228" s="8">
        <v>14.4</v>
      </c>
      <c r="D228">
        <v>0</v>
      </c>
      <c r="E228">
        <v>14.4</v>
      </c>
    </row>
    <row r="229" spans="1:5" x14ac:dyDescent="0.25">
      <c r="A229" t="s">
        <v>672</v>
      </c>
      <c r="B229" t="s">
        <v>511</v>
      </c>
      <c r="C229" s="8">
        <v>14.1</v>
      </c>
      <c r="D229">
        <v>0</v>
      </c>
      <c r="E229">
        <v>14.1</v>
      </c>
    </row>
    <row r="230" spans="1:5" x14ac:dyDescent="0.25">
      <c r="A230" t="s">
        <v>673</v>
      </c>
      <c r="B230" t="s">
        <v>205</v>
      </c>
      <c r="C230" s="8">
        <v>164.5</v>
      </c>
      <c r="D230">
        <v>0</v>
      </c>
      <c r="E230">
        <v>164.5</v>
      </c>
    </row>
    <row r="231" spans="1:5" x14ac:dyDescent="0.25">
      <c r="A231" t="s">
        <v>666</v>
      </c>
      <c r="B231" t="s">
        <v>795</v>
      </c>
      <c r="C231" s="8">
        <v>0.79830800000000002</v>
      </c>
      <c r="D231">
        <v>0</v>
      </c>
      <c r="E231">
        <v>0.79830800000000002</v>
      </c>
    </row>
    <row r="232" spans="1:5" x14ac:dyDescent="0.25">
      <c r="A232" t="s">
        <v>549</v>
      </c>
      <c r="B232" t="s">
        <v>3</v>
      </c>
      <c r="C232" s="8" t="s">
        <v>804</v>
      </c>
      <c r="D232">
        <v>0</v>
      </c>
      <c r="E232" t="s">
        <v>779</v>
      </c>
    </row>
    <row r="233" spans="1:5" x14ac:dyDescent="0.25">
      <c r="A233" t="s">
        <v>569</v>
      </c>
      <c r="B233" t="s">
        <v>491</v>
      </c>
      <c r="C233" s="8">
        <v>0.53100000000000003</v>
      </c>
      <c r="D233">
        <v>0</v>
      </c>
      <c r="E233">
        <v>0.53100000000000003</v>
      </c>
    </row>
    <row r="234" spans="1:5" x14ac:dyDescent="0.25">
      <c r="A234" t="s">
        <v>561</v>
      </c>
      <c r="B234" t="s">
        <v>52</v>
      </c>
      <c r="C234" s="8">
        <v>99.132000000000005</v>
      </c>
      <c r="D234">
        <v>0</v>
      </c>
      <c r="E234">
        <v>99.132000000000005</v>
      </c>
    </row>
    <row r="235" spans="1:5" x14ac:dyDescent="0.25">
      <c r="A235" t="s">
        <v>625</v>
      </c>
      <c r="B235" t="s">
        <v>492</v>
      </c>
      <c r="C235" s="8" t="s">
        <v>805</v>
      </c>
      <c r="D235">
        <v>0</v>
      </c>
      <c r="E235" t="s">
        <v>779</v>
      </c>
    </row>
    <row r="236" spans="1:5" x14ac:dyDescent="0.25">
      <c r="A236" t="s">
        <v>556</v>
      </c>
      <c r="B236" t="s">
        <v>336</v>
      </c>
      <c r="C236" s="8">
        <v>145.69999999999999</v>
      </c>
      <c r="D236">
        <v>0</v>
      </c>
      <c r="E236">
        <v>145.69999999999999</v>
      </c>
    </row>
    <row r="237" spans="1:5" x14ac:dyDescent="0.25">
      <c r="A237" t="s">
        <v>674</v>
      </c>
      <c r="B237" t="s">
        <v>493</v>
      </c>
      <c r="C237" s="8">
        <v>15.5</v>
      </c>
      <c r="D237">
        <v>0</v>
      </c>
      <c r="E237">
        <v>15.5</v>
      </c>
    </row>
    <row r="238" spans="1:5" x14ac:dyDescent="0.25">
      <c r="A238" t="s">
        <v>665</v>
      </c>
      <c r="B238" t="s">
        <v>319</v>
      </c>
      <c r="C238" s="8">
        <v>6.06</v>
      </c>
      <c r="D238">
        <v>0</v>
      </c>
      <c r="E238">
        <v>6.06</v>
      </c>
    </row>
    <row r="239" spans="1:5" x14ac:dyDescent="0.25">
      <c r="A239" t="s">
        <v>675</v>
      </c>
      <c r="B239" t="s">
        <v>206</v>
      </c>
      <c r="C239" s="8" t="s">
        <v>805</v>
      </c>
      <c r="D239">
        <v>0</v>
      </c>
      <c r="E239" t="s">
        <v>779</v>
      </c>
    </row>
    <row r="240" spans="1:5" x14ac:dyDescent="0.25">
      <c r="A240" t="s">
        <v>676</v>
      </c>
      <c r="B240" t="s">
        <v>210</v>
      </c>
      <c r="C240" s="8">
        <v>382.19200000000001</v>
      </c>
      <c r="D240">
        <v>128.81100000000001</v>
      </c>
      <c r="E240">
        <v>253.381</v>
      </c>
    </row>
    <row r="241" spans="1:5" x14ac:dyDescent="0.25">
      <c r="A241" t="s">
        <v>676</v>
      </c>
      <c r="B241" t="s">
        <v>677</v>
      </c>
      <c r="C241" s="8">
        <v>12.811999999999999</v>
      </c>
      <c r="D241">
        <v>0</v>
      </c>
      <c r="E241">
        <v>12.811999999999999</v>
      </c>
    </row>
    <row r="242" spans="1:5" x14ac:dyDescent="0.25">
      <c r="A242" t="s">
        <v>561</v>
      </c>
      <c r="B242" t="s">
        <v>80</v>
      </c>
      <c r="C242" s="8" t="s">
        <v>805</v>
      </c>
      <c r="D242">
        <v>0</v>
      </c>
      <c r="E242" t="s">
        <v>779</v>
      </c>
    </row>
    <row r="243" spans="1:5" x14ac:dyDescent="0.25">
      <c r="A243" t="s">
        <v>595</v>
      </c>
      <c r="B243" t="s">
        <v>356</v>
      </c>
      <c r="C243" s="8">
        <v>17.329000000000001</v>
      </c>
      <c r="D243">
        <v>0</v>
      </c>
      <c r="E243">
        <v>17.329000000000001</v>
      </c>
    </row>
    <row r="244" spans="1:5" x14ac:dyDescent="0.25">
      <c r="A244" t="s">
        <v>559</v>
      </c>
      <c r="B244" t="s">
        <v>161</v>
      </c>
      <c r="C244" s="8" t="s">
        <v>806</v>
      </c>
      <c r="D244">
        <v>0</v>
      </c>
      <c r="E244" t="s">
        <v>779</v>
      </c>
    </row>
    <row r="245" spans="1:5" x14ac:dyDescent="0.25">
      <c r="A245" t="s">
        <v>678</v>
      </c>
      <c r="B245" t="s">
        <v>232</v>
      </c>
      <c r="C245" s="8">
        <v>5.89</v>
      </c>
      <c r="D245">
        <v>0</v>
      </c>
      <c r="E245">
        <v>5.89</v>
      </c>
    </row>
    <row r="246" spans="1:5" x14ac:dyDescent="0.25">
      <c r="A246" t="s">
        <v>561</v>
      </c>
      <c r="B246" s="44" t="s">
        <v>88</v>
      </c>
      <c r="C246" s="8">
        <v>870.2</v>
      </c>
      <c r="D246">
        <v>0</v>
      </c>
      <c r="E246">
        <v>870.2</v>
      </c>
    </row>
    <row r="247" spans="1:5" x14ac:dyDescent="0.25">
      <c r="A247" t="s">
        <v>563</v>
      </c>
      <c r="B247" t="s">
        <v>494</v>
      </c>
      <c r="C247" s="8">
        <v>3.2280000000000002</v>
      </c>
      <c r="D247">
        <v>0</v>
      </c>
      <c r="E247">
        <v>3.2280000000000002</v>
      </c>
    </row>
    <row r="248" spans="1:5" x14ac:dyDescent="0.25">
      <c r="A248" t="s">
        <v>621</v>
      </c>
      <c r="B248" t="s">
        <v>221</v>
      </c>
      <c r="C248" s="8">
        <v>115.727</v>
      </c>
      <c r="D248">
        <v>0</v>
      </c>
      <c r="E248">
        <v>115.727</v>
      </c>
    </row>
    <row r="249" spans="1:5" x14ac:dyDescent="0.25">
      <c r="A249" t="s">
        <v>571</v>
      </c>
      <c r="B249" t="s">
        <v>258</v>
      </c>
      <c r="C249" s="8">
        <v>12.15</v>
      </c>
      <c r="D249">
        <v>0</v>
      </c>
      <c r="E249">
        <v>12.15</v>
      </c>
    </row>
    <row r="250" spans="1:5" x14ac:dyDescent="0.25">
      <c r="A250" t="s">
        <v>679</v>
      </c>
      <c r="B250" t="s">
        <v>163</v>
      </c>
      <c r="C250" s="8">
        <v>120.3</v>
      </c>
      <c r="D250">
        <v>0</v>
      </c>
      <c r="E250">
        <v>120.3</v>
      </c>
    </row>
    <row r="251" spans="1:5" x14ac:dyDescent="0.25">
      <c r="A251" t="s">
        <v>643</v>
      </c>
      <c r="B251" t="s">
        <v>680</v>
      </c>
      <c r="C251" s="8" t="s">
        <v>805</v>
      </c>
      <c r="D251">
        <v>0</v>
      </c>
      <c r="E251" t="s">
        <v>779</v>
      </c>
    </row>
    <row r="252" spans="1:5" x14ac:dyDescent="0.25">
      <c r="A252" t="s">
        <v>641</v>
      </c>
      <c r="B252" t="s">
        <v>681</v>
      </c>
      <c r="C252" s="8" t="s">
        <v>805</v>
      </c>
      <c r="D252">
        <v>0</v>
      </c>
      <c r="E252" t="s">
        <v>779</v>
      </c>
    </row>
    <row r="253" spans="1:5" x14ac:dyDescent="0.25">
      <c r="A253" t="s">
        <v>556</v>
      </c>
      <c r="B253" t="s">
        <v>337</v>
      </c>
      <c r="C253" s="8">
        <v>259.2</v>
      </c>
      <c r="D253">
        <v>0</v>
      </c>
      <c r="E253">
        <v>259.2</v>
      </c>
    </row>
    <row r="254" spans="1:5" x14ac:dyDescent="0.25">
      <c r="A254" t="s">
        <v>558</v>
      </c>
      <c r="B254" t="s">
        <v>121</v>
      </c>
      <c r="C254" s="8">
        <v>55.302</v>
      </c>
      <c r="D254">
        <v>0</v>
      </c>
      <c r="E254">
        <v>55.302</v>
      </c>
    </row>
    <row r="255" spans="1:5" x14ac:dyDescent="0.25">
      <c r="A255" t="s">
        <v>551</v>
      </c>
      <c r="B255" t="s">
        <v>223</v>
      </c>
      <c r="C255" s="8">
        <v>143.143</v>
      </c>
      <c r="D255">
        <v>0</v>
      </c>
      <c r="E255">
        <v>143.143</v>
      </c>
    </row>
    <row r="256" spans="1:5" x14ac:dyDescent="0.25">
      <c r="A256" t="s">
        <v>558</v>
      </c>
      <c r="B256" t="s">
        <v>127</v>
      </c>
      <c r="C256" s="8">
        <v>1.627</v>
      </c>
      <c r="D256">
        <v>0</v>
      </c>
      <c r="E256">
        <v>1.627</v>
      </c>
    </row>
    <row r="257" spans="1:5" x14ac:dyDescent="0.25">
      <c r="A257" t="s">
        <v>572</v>
      </c>
      <c r="B257" t="s">
        <v>71</v>
      </c>
      <c r="C257" s="8" t="s">
        <v>805</v>
      </c>
      <c r="D257">
        <v>0</v>
      </c>
      <c r="E257" t="s">
        <v>779</v>
      </c>
    </row>
    <row r="258" spans="1:5" x14ac:dyDescent="0.25">
      <c r="A258" t="s">
        <v>639</v>
      </c>
      <c r="B258" t="s">
        <v>682</v>
      </c>
      <c r="C258" s="8">
        <v>3.21</v>
      </c>
      <c r="D258">
        <v>0</v>
      </c>
      <c r="E258">
        <v>3.21</v>
      </c>
    </row>
    <row r="259" spans="1:5" x14ac:dyDescent="0.25">
      <c r="A259" t="s">
        <v>563</v>
      </c>
      <c r="B259" t="s">
        <v>8</v>
      </c>
      <c r="C259" s="8">
        <v>21.513999999999999</v>
      </c>
      <c r="D259">
        <v>0</v>
      </c>
      <c r="E259">
        <v>21.513999999999999</v>
      </c>
    </row>
    <row r="260" spans="1:5" x14ac:dyDescent="0.25">
      <c r="A260" t="s">
        <v>683</v>
      </c>
      <c r="B260" t="s">
        <v>226</v>
      </c>
      <c r="C260" s="8">
        <v>38.241</v>
      </c>
      <c r="D260">
        <v>0</v>
      </c>
      <c r="E260">
        <v>38.241</v>
      </c>
    </row>
    <row r="261" spans="1:5" x14ac:dyDescent="0.25">
      <c r="A261" t="s">
        <v>575</v>
      </c>
      <c r="B261" t="s">
        <v>26</v>
      </c>
      <c r="C261" s="8">
        <v>1.7909999999999999</v>
      </c>
      <c r="D261">
        <v>0</v>
      </c>
      <c r="E261">
        <v>1.7909999999999999</v>
      </c>
    </row>
    <row r="262" spans="1:5" x14ac:dyDescent="0.25">
      <c r="A262" t="s">
        <v>561</v>
      </c>
      <c r="B262" t="s">
        <v>53</v>
      </c>
      <c r="C262" s="8">
        <v>22.065999999999999</v>
      </c>
      <c r="D262">
        <v>0</v>
      </c>
      <c r="E262">
        <v>22.065999999999999</v>
      </c>
    </row>
    <row r="263" spans="1:5" x14ac:dyDescent="0.25">
      <c r="A263" t="s">
        <v>684</v>
      </c>
      <c r="B263" t="s">
        <v>114</v>
      </c>
      <c r="C263" s="8" t="s">
        <v>805</v>
      </c>
      <c r="D263">
        <v>0</v>
      </c>
      <c r="E263" t="s">
        <v>779</v>
      </c>
    </row>
    <row r="264" spans="1:5" x14ac:dyDescent="0.25">
      <c r="A264" t="s">
        <v>685</v>
      </c>
      <c r="B264" t="s">
        <v>227</v>
      </c>
      <c r="C264" s="8">
        <v>120.6</v>
      </c>
      <c r="D264">
        <v>0</v>
      </c>
      <c r="E264">
        <v>120.6</v>
      </c>
    </row>
    <row r="265" spans="1:5" x14ac:dyDescent="0.25">
      <c r="A265" t="s">
        <v>686</v>
      </c>
      <c r="B265" t="s">
        <v>228</v>
      </c>
      <c r="C265" s="8">
        <v>77.8</v>
      </c>
      <c r="D265">
        <v>0</v>
      </c>
      <c r="E265">
        <v>77.8</v>
      </c>
    </row>
    <row r="266" spans="1:5" x14ac:dyDescent="0.25">
      <c r="A266" t="s">
        <v>687</v>
      </c>
      <c r="B266" t="s">
        <v>229</v>
      </c>
      <c r="C266" s="8">
        <v>41.8</v>
      </c>
      <c r="D266">
        <v>0</v>
      </c>
      <c r="E266">
        <v>41.8</v>
      </c>
    </row>
    <row r="267" spans="1:5" x14ac:dyDescent="0.25">
      <c r="A267" t="s">
        <v>678</v>
      </c>
      <c r="B267" t="s">
        <v>230</v>
      </c>
      <c r="C267" s="8">
        <v>217.47</v>
      </c>
      <c r="D267">
        <v>0</v>
      </c>
      <c r="E267">
        <v>217.47</v>
      </c>
    </row>
    <row r="268" spans="1:5" x14ac:dyDescent="0.25">
      <c r="A268" t="s">
        <v>569</v>
      </c>
      <c r="B268" t="s">
        <v>802</v>
      </c>
      <c r="C268" s="8">
        <v>247</v>
      </c>
      <c r="D268">
        <v>0</v>
      </c>
      <c r="E268">
        <v>247</v>
      </c>
    </row>
    <row r="269" spans="1:5" x14ac:dyDescent="0.25">
      <c r="A269" t="s">
        <v>688</v>
      </c>
      <c r="B269" t="s">
        <v>295</v>
      </c>
      <c r="C269" s="8" t="s">
        <v>805</v>
      </c>
      <c r="D269">
        <v>0</v>
      </c>
      <c r="E269" t="s">
        <v>779</v>
      </c>
    </row>
    <row r="270" spans="1:5" x14ac:dyDescent="0.25">
      <c r="A270" t="s">
        <v>572</v>
      </c>
      <c r="B270" t="s">
        <v>72</v>
      </c>
      <c r="C270" s="8" t="s">
        <v>805</v>
      </c>
      <c r="D270">
        <v>0</v>
      </c>
      <c r="E270" t="s">
        <v>779</v>
      </c>
    </row>
    <row r="271" spans="1:5" x14ac:dyDescent="0.25">
      <c r="A271" t="s">
        <v>610</v>
      </c>
      <c r="B271" t="s">
        <v>413</v>
      </c>
      <c r="C271" s="8">
        <v>1.9670000000000001</v>
      </c>
      <c r="D271">
        <v>0</v>
      </c>
      <c r="E271">
        <v>1.9670000000000001</v>
      </c>
    </row>
    <row r="272" spans="1:5" x14ac:dyDescent="0.25">
      <c r="A272" t="s">
        <v>621</v>
      </c>
      <c r="B272" t="s">
        <v>222</v>
      </c>
      <c r="C272" s="8">
        <v>18.050999999999998</v>
      </c>
      <c r="D272">
        <v>0</v>
      </c>
      <c r="E272">
        <v>18.050999999999998</v>
      </c>
    </row>
    <row r="273" spans="1:5" x14ac:dyDescent="0.25">
      <c r="A273" t="s">
        <v>571</v>
      </c>
      <c r="B273" t="s">
        <v>262</v>
      </c>
      <c r="C273" s="8">
        <v>8.91</v>
      </c>
      <c r="D273">
        <v>0</v>
      </c>
      <c r="E273">
        <v>8.91</v>
      </c>
    </row>
    <row r="274" spans="1:5" x14ac:dyDescent="0.25">
      <c r="A274" t="s">
        <v>581</v>
      </c>
      <c r="B274" t="s">
        <v>414</v>
      </c>
      <c r="C274" s="8">
        <v>82.9</v>
      </c>
      <c r="D274">
        <v>0</v>
      </c>
      <c r="E274">
        <v>82.9</v>
      </c>
    </row>
    <row r="275" spans="1:5" x14ac:dyDescent="0.25">
      <c r="A275" t="s">
        <v>678</v>
      </c>
      <c r="B275" t="s">
        <v>233</v>
      </c>
      <c r="C275" s="8">
        <v>1.32</v>
      </c>
      <c r="D275">
        <v>0</v>
      </c>
      <c r="E275">
        <v>1.32</v>
      </c>
    </row>
    <row r="276" spans="1:5" x14ac:dyDescent="0.25">
      <c r="A276" t="s">
        <v>577</v>
      </c>
      <c r="B276" t="s">
        <v>366</v>
      </c>
      <c r="C276" s="8">
        <v>10.375999999999999</v>
      </c>
      <c r="D276">
        <v>0</v>
      </c>
      <c r="E276">
        <v>10.375999999999999</v>
      </c>
    </row>
    <row r="277" spans="1:5" x14ac:dyDescent="0.25">
      <c r="A277" t="s">
        <v>689</v>
      </c>
      <c r="B277" t="s">
        <v>354</v>
      </c>
      <c r="C277" s="8">
        <v>8.2639999999999993</v>
      </c>
      <c r="D277">
        <v>0</v>
      </c>
      <c r="E277">
        <v>8.2639999999999993</v>
      </c>
    </row>
    <row r="278" spans="1:5" x14ac:dyDescent="0.25">
      <c r="A278" t="s">
        <v>667</v>
      </c>
      <c r="B278" t="s">
        <v>197</v>
      </c>
      <c r="C278" s="8">
        <v>21.1</v>
      </c>
      <c r="D278">
        <v>0</v>
      </c>
      <c r="E278">
        <v>21.1</v>
      </c>
    </row>
    <row r="279" spans="1:5" x14ac:dyDescent="0.25">
      <c r="A279" t="s">
        <v>690</v>
      </c>
      <c r="B279" t="s">
        <v>252</v>
      </c>
      <c r="C279" s="8">
        <v>43.1</v>
      </c>
      <c r="D279">
        <v>0</v>
      </c>
      <c r="E279">
        <v>43.1</v>
      </c>
    </row>
    <row r="280" spans="1:5" x14ac:dyDescent="0.25">
      <c r="A280" t="s">
        <v>692</v>
      </c>
      <c r="B280" t="s">
        <v>300</v>
      </c>
      <c r="C280" s="8">
        <v>3.1</v>
      </c>
      <c r="D280">
        <v>0</v>
      </c>
      <c r="E280">
        <v>3.1</v>
      </c>
    </row>
    <row r="281" spans="1:5" x14ac:dyDescent="0.25">
      <c r="A281" t="s">
        <v>625</v>
      </c>
      <c r="B281" t="s">
        <v>693</v>
      </c>
      <c r="C281" s="8">
        <v>137.43</v>
      </c>
      <c r="D281">
        <v>0</v>
      </c>
      <c r="E281">
        <v>137.43</v>
      </c>
    </row>
    <row r="282" spans="1:5" x14ac:dyDescent="0.25">
      <c r="A282" t="s">
        <v>556</v>
      </c>
      <c r="B282" t="s">
        <v>342</v>
      </c>
      <c r="C282" s="8">
        <v>27.2</v>
      </c>
      <c r="D282">
        <v>0</v>
      </c>
      <c r="E282">
        <v>27.2</v>
      </c>
    </row>
    <row r="283" spans="1:5" x14ac:dyDescent="0.25">
      <c r="A283" t="s">
        <v>666</v>
      </c>
      <c r="B283" t="s">
        <v>796</v>
      </c>
      <c r="C283" s="8">
        <v>3.0086210000000002</v>
      </c>
      <c r="D283">
        <v>0</v>
      </c>
      <c r="E283">
        <v>3.0086210000000002</v>
      </c>
    </row>
    <row r="284" spans="1:5" x14ac:dyDescent="0.25">
      <c r="A284" t="s">
        <v>694</v>
      </c>
      <c r="B284" t="s">
        <v>255</v>
      </c>
      <c r="C284" s="8">
        <v>213.6</v>
      </c>
      <c r="D284">
        <v>0</v>
      </c>
      <c r="E284">
        <v>213.6</v>
      </c>
    </row>
    <row r="285" spans="1:5" x14ac:dyDescent="0.25">
      <c r="A285" t="s">
        <v>695</v>
      </c>
      <c r="B285" t="s">
        <v>375</v>
      </c>
      <c r="C285" s="8">
        <v>43.6</v>
      </c>
      <c r="D285">
        <v>0</v>
      </c>
      <c r="E285">
        <v>43.6</v>
      </c>
    </row>
    <row r="286" spans="1:5" x14ac:dyDescent="0.25">
      <c r="A286" t="s">
        <v>678</v>
      </c>
      <c r="B286" t="s">
        <v>234</v>
      </c>
      <c r="C286" s="8">
        <v>1.94</v>
      </c>
      <c r="D286">
        <v>0</v>
      </c>
      <c r="E286">
        <v>1.94</v>
      </c>
    </row>
    <row r="287" spans="1:5" x14ac:dyDescent="0.25">
      <c r="A287" t="s">
        <v>598</v>
      </c>
      <c r="B287" t="s">
        <v>244</v>
      </c>
      <c r="C287" s="8">
        <v>22.5</v>
      </c>
      <c r="D287">
        <v>0</v>
      </c>
      <c r="E287">
        <v>22.5</v>
      </c>
    </row>
    <row r="288" spans="1:5" x14ac:dyDescent="0.25">
      <c r="A288" t="s">
        <v>715</v>
      </c>
      <c r="B288" t="s">
        <v>793</v>
      </c>
      <c r="C288" s="8" t="s">
        <v>805</v>
      </c>
      <c r="D288">
        <v>0</v>
      </c>
      <c r="E288" t="s">
        <v>779</v>
      </c>
    </row>
    <row r="289" spans="1:5" x14ac:dyDescent="0.25">
      <c r="A289" t="s">
        <v>696</v>
      </c>
      <c r="B289" t="s">
        <v>256</v>
      </c>
      <c r="C289" s="8">
        <v>84.94</v>
      </c>
      <c r="D289">
        <v>0</v>
      </c>
      <c r="E289">
        <v>84.94</v>
      </c>
    </row>
    <row r="290" spans="1:5" x14ac:dyDescent="0.25">
      <c r="A290" t="s">
        <v>571</v>
      </c>
      <c r="B290" t="s">
        <v>261</v>
      </c>
      <c r="C290" s="8">
        <v>304.428</v>
      </c>
      <c r="D290">
        <v>0</v>
      </c>
      <c r="E290">
        <v>304.428</v>
      </c>
    </row>
    <row r="291" spans="1:5" x14ac:dyDescent="0.25">
      <c r="A291" t="s">
        <v>697</v>
      </c>
      <c r="B291" t="s">
        <v>329</v>
      </c>
      <c r="C291" s="8" t="s">
        <v>805</v>
      </c>
      <c r="D291">
        <v>0</v>
      </c>
      <c r="E291" t="s">
        <v>779</v>
      </c>
    </row>
    <row r="292" spans="1:5" x14ac:dyDescent="0.25">
      <c r="A292" t="s">
        <v>698</v>
      </c>
      <c r="B292" t="s">
        <v>143</v>
      </c>
      <c r="C292" s="8">
        <v>43.2</v>
      </c>
      <c r="D292">
        <v>0</v>
      </c>
      <c r="E292">
        <v>43.2</v>
      </c>
    </row>
    <row r="293" spans="1:5" x14ac:dyDescent="0.25">
      <c r="A293" t="s">
        <v>699</v>
      </c>
      <c r="B293" t="s">
        <v>276</v>
      </c>
      <c r="C293" s="8">
        <v>7.9370000000000003</v>
      </c>
      <c r="D293">
        <v>0</v>
      </c>
      <c r="E293">
        <v>7.9370000000000003</v>
      </c>
    </row>
    <row r="294" spans="1:5" x14ac:dyDescent="0.25">
      <c r="A294" t="s">
        <v>568</v>
      </c>
      <c r="B294" t="s">
        <v>183</v>
      </c>
      <c r="C294" s="8">
        <v>24.687000000000001</v>
      </c>
      <c r="D294">
        <v>0</v>
      </c>
      <c r="E294">
        <v>24.687000000000001</v>
      </c>
    </row>
    <row r="295" spans="1:5" x14ac:dyDescent="0.25">
      <c r="A295" t="s">
        <v>563</v>
      </c>
      <c r="B295" t="s">
        <v>15</v>
      </c>
      <c r="C295" s="8">
        <v>23.940999999999999</v>
      </c>
      <c r="D295">
        <v>0</v>
      </c>
      <c r="E295">
        <v>23.940999999999999</v>
      </c>
    </row>
    <row r="296" spans="1:5" x14ac:dyDescent="0.25">
      <c r="A296" t="s">
        <v>561</v>
      </c>
      <c r="B296" t="s">
        <v>481</v>
      </c>
      <c r="C296" s="8" t="s">
        <v>805</v>
      </c>
      <c r="D296">
        <v>0</v>
      </c>
      <c r="E296" t="s">
        <v>779</v>
      </c>
    </row>
    <row r="297" spans="1:5" x14ac:dyDescent="0.25">
      <c r="A297" t="s">
        <v>573</v>
      </c>
      <c r="B297" t="s">
        <v>309</v>
      </c>
      <c r="C297" s="8">
        <v>16</v>
      </c>
      <c r="D297">
        <v>0</v>
      </c>
      <c r="E297">
        <v>16</v>
      </c>
    </row>
    <row r="298" spans="1:5" x14ac:dyDescent="0.25">
      <c r="A298" t="s">
        <v>564</v>
      </c>
      <c r="B298" t="s">
        <v>700</v>
      </c>
      <c r="C298" s="8">
        <v>0</v>
      </c>
      <c r="D298">
        <v>0</v>
      </c>
      <c r="E298">
        <v>0</v>
      </c>
    </row>
    <row r="299" spans="1:5" x14ac:dyDescent="0.25">
      <c r="A299" t="s">
        <v>699</v>
      </c>
      <c r="B299" t="s">
        <v>275</v>
      </c>
      <c r="C299" s="8">
        <v>315.59300000000002</v>
      </c>
      <c r="D299">
        <v>0</v>
      </c>
      <c r="E299">
        <v>315.59300000000002</v>
      </c>
    </row>
    <row r="300" spans="1:5" x14ac:dyDescent="0.25">
      <c r="A300" t="s">
        <v>627</v>
      </c>
      <c r="B300" t="s">
        <v>136</v>
      </c>
      <c r="C300" s="8">
        <v>16.100000000000001</v>
      </c>
      <c r="D300">
        <v>0</v>
      </c>
      <c r="E300">
        <v>16.100000000000001</v>
      </c>
    </row>
    <row r="301" spans="1:5" x14ac:dyDescent="0.25">
      <c r="A301" t="s">
        <v>701</v>
      </c>
      <c r="B301" t="s">
        <v>278</v>
      </c>
      <c r="C301" s="8">
        <v>39.286999999999999</v>
      </c>
      <c r="D301">
        <v>0</v>
      </c>
      <c r="E301">
        <v>39.286999999999999</v>
      </c>
    </row>
    <row r="302" spans="1:5" x14ac:dyDescent="0.25">
      <c r="A302" t="s">
        <v>561</v>
      </c>
      <c r="B302" t="s">
        <v>49</v>
      </c>
      <c r="C302" s="8">
        <v>55.043999999999997</v>
      </c>
      <c r="D302">
        <v>0</v>
      </c>
      <c r="E302">
        <v>55.043999999999997</v>
      </c>
    </row>
    <row r="303" spans="1:5" x14ac:dyDescent="0.25">
      <c r="A303" t="s">
        <v>702</v>
      </c>
      <c r="B303" t="s">
        <v>280</v>
      </c>
      <c r="C303" s="8">
        <v>294</v>
      </c>
      <c r="D303">
        <v>0</v>
      </c>
      <c r="E303">
        <v>294</v>
      </c>
    </row>
    <row r="304" spans="1:5" x14ac:dyDescent="0.25">
      <c r="A304" t="s">
        <v>606</v>
      </c>
      <c r="B304" t="s">
        <v>703</v>
      </c>
      <c r="C304" s="8" t="s">
        <v>806</v>
      </c>
      <c r="D304">
        <v>0</v>
      </c>
      <c r="E304" t="s">
        <v>779</v>
      </c>
    </row>
    <row r="305" spans="1:5" x14ac:dyDescent="0.25">
      <c r="A305" t="s">
        <v>611</v>
      </c>
      <c r="B305" t="s">
        <v>416</v>
      </c>
      <c r="C305" s="8">
        <v>1.9750000000000001</v>
      </c>
      <c r="D305">
        <v>0</v>
      </c>
      <c r="E305">
        <v>1.9750000000000001</v>
      </c>
    </row>
    <row r="306" spans="1:5" x14ac:dyDescent="0.25">
      <c r="A306" t="s">
        <v>561</v>
      </c>
      <c r="B306" t="s">
        <v>44</v>
      </c>
      <c r="C306" s="8">
        <v>27.52</v>
      </c>
      <c r="D306">
        <v>0</v>
      </c>
      <c r="E306">
        <v>27.52</v>
      </c>
    </row>
    <row r="307" spans="1:5" x14ac:dyDescent="0.25">
      <c r="A307" t="s">
        <v>601</v>
      </c>
      <c r="B307" t="s">
        <v>417</v>
      </c>
      <c r="C307" s="8">
        <v>1.4</v>
      </c>
      <c r="D307">
        <v>0</v>
      </c>
      <c r="E307">
        <v>1.4</v>
      </c>
    </row>
    <row r="308" spans="1:5" x14ac:dyDescent="0.25">
      <c r="A308" t="s">
        <v>559</v>
      </c>
      <c r="B308" t="s">
        <v>704</v>
      </c>
      <c r="C308" s="8">
        <v>2.91</v>
      </c>
      <c r="D308">
        <v>0</v>
      </c>
      <c r="E308">
        <v>2.91</v>
      </c>
    </row>
    <row r="309" spans="1:5" x14ac:dyDescent="0.25">
      <c r="A309" t="s">
        <v>597</v>
      </c>
      <c r="B309" t="s">
        <v>705</v>
      </c>
      <c r="C309" s="8">
        <v>4.4000000000000004</v>
      </c>
      <c r="D309">
        <v>0</v>
      </c>
      <c r="E309">
        <v>4.4000000000000004</v>
      </c>
    </row>
    <row r="310" spans="1:5" x14ac:dyDescent="0.25">
      <c r="A310" t="s">
        <v>706</v>
      </c>
      <c r="B310" t="s">
        <v>418</v>
      </c>
      <c r="C310" s="8">
        <v>69</v>
      </c>
      <c r="D310">
        <v>0</v>
      </c>
      <c r="E310">
        <v>69</v>
      </c>
    </row>
    <row r="311" spans="1:5" x14ac:dyDescent="0.25">
      <c r="A311" t="s">
        <v>707</v>
      </c>
      <c r="B311" t="s">
        <v>420</v>
      </c>
      <c r="C311" s="8">
        <v>7504.6790000000001</v>
      </c>
      <c r="D311">
        <v>583</v>
      </c>
      <c r="E311">
        <v>6921.6790000000001</v>
      </c>
    </row>
    <row r="312" spans="1:5" x14ac:dyDescent="0.25">
      <c r="A312" t="s">
        <v>706</v>
      </c>
      <c r="B312" t="s">
        <v>421</v>
      </c>
      <c r="C312" s="8">
        <v>0.84</v>
      </c>
      <c r="D312">
        <v>0</v>
      </c>
      <c r="E312">
        <v>0.84</v>
      </c>
    </row>
    <row r="313" spans="1:5" x14ac:dyDescent="0.25">
      <c r="A313" t="s">
        <v>605</v>
      </c>
      <c r="B313" t="s">
        <v>353</v>
      </c>
      <c r="C313" s="8">
        <v>6.0860000000000003</v>
      </c>
      <c r="D313">
        <v>0</v>
      </c>
      <c r="E313">
        <v>6.0860000000000003</v>
      </c>
    </row>
    <row r="314" spans="1:5" x14ac:dyDescent="0.25">
      <c r="A314" t="s">
        <v>598</v>
      </c>
      <c r="B314" t="s">
        <v>247</v>
      </c>
      <c r="C314" s="8">
        <v>14.084</v>
      </c>
      <c r="D314">
        <v>0</v>
      </c>
      <c r="E314">
        <v>14.084</v>
      </c>
    </row>
    <row r="315" spans="1:5" x14ac:dyDescent="0.25">
      <c r="A315" t="s">
        <v>571</v>
      </c>
      <c r="B315" t="s">
        <v>272</v>
      </c>
      <c r="C315" s="8">
        <v>28.03</v>
      </c>
      <c r="D315">
        <v>0</v>
      </c>
      <c r="E315">
        <v>28.03</v>
      </c>
    </row>
    <row r="316" spans="1:5" x14ac:dyDescent="0.25">
      <c r="A316" t="s">
        <v>556</v>
      </c>
      <c r="B316" t="s">
        <v>343</v>
      </c>
      <c r="C316" s="8">
        <v>13.65</v>
      </c>
      <c r="D316">
        <v>0</v>
      </c>
      <c r="E316">
        <v>13.65</v>
      </c>
    </row>
    <row r="317" spans="1:5" x14ac:dyDescent="0.25">
      <c r="A317" t="s">
        <v>564</v>
      </c>
      <c r="B317" t="s">
        <v>708</v>
      </c>
      <c r="C317" s="8">
        <v>0</v>
      </c>
      <c r="D317">
        <v>0</v>
      </c>
      <c r="E317">
        <v>0</v>
      </c>
    </row>
    <row r="318" spans="1:5" x14ac:dyDescent="0.25">
      <c r="A318" t="s">
        <v>709</v>
      </c>
      <c r="B318" t="s">
        <v>285</v>
      </c>
      <c r="C318" s="8">
        <v>136.19999999999999</v>
      </c>
      <c r="D318">
        <v>0</v>
      </c>
      <c r="E318">
        <v>136.19999999999999</v>
      </c>
    </row>
    <row r="319" spans="1:5" x14ac:dyDescent="0.25">
      <c r="A319" t="s">
        <v>639</v>
      </c>
      <c r="B319" t="s">
        <v>710</v>
      </c>
      <c r="C319" s="8">
        <v>0.67</v>
      </c>
      <c r="D319">
        <v>0</v>
      </c>
      <c r="E319">
        <v>0.67</v>
      </c>
    </row>
    <row r="320" spans="1:5" x14ac:dyDescent="0.25">
      <c r="A320" t="s">
        <v>558</v>
      </c>
      <c r="B320" t="s">
        <v>128</v>
      </c>
      <c r="C320" s="8">
        <v>1.5740000000000001</v>
      </c>
      <c r="D320">
        <v>0</v>
      </c>
      <c r="E320">
        <v>1.5740000000000001</v>
      </c>
    </row>
    <row r="321" spans="1:5" x14ac:dyDescent="0.25">
      <c r="A321" t="s">
        <v>699</v>
      </c>
      <c r="B321" t="s">
        <v>277</v>
      </c>
      <c r="C321" s="8">
        <v>3.9649999999999999</v>
      </c>
      <c r="D321">
        <v>0</v>
      </c>
      <c r="E321">
        <v>3.9649999999999999</v>
      </c>
    </row>
    <row r="322" spans="1:5" x14ac:dyDescent="0.25">
      <c r="A322" t="s">
        <v>711</v>
      </c>
      <c r="B322" t="s">
        <v>219</v>
      </c>
      <c r="C322" s="8">
        <v>957.62</v>
      </c>
      <c r="D322">
        <v>5.8109999999999999</v>
      </c>
      <c r="E322">
        <v>951.80899999999997</v>
      </c>
    </row>
    <row r="323" spans="1:5" x14ac:dyDescent="0.25">
      <c r="A323" t="s">
        <v>657</v>
      </c>
      <c r="B323" t="s">
        <v>288</v>
      </c>
      <c r="C323" s="8">
        <v>505</v>
      </c>
      <c r="D323">
        <v>0</v>
      </c>
      <c r="E323">
        <v>505</v>
      </c>
    </row>
    <row r="324" spans="1:5" x14ac:dyDescent="0.25">
      <c r="A324" t="s">
        <v>598</v>
      </c>
      <c r="B324" t="s">
        <v>236</v>
      </c>
      <c r="C324" s="8">
        <v>32.165999999999997</v>
      </c>
      <c r="D324">
        <v>0</v>
      </c>
      <c r="E324">
        <v>32.165999999999997</v>
      </c>
    </row>
    <row r="325" spans="1:5" x14ac:dyDescent="0.25">
      <c r="A325" t="s">
        <v>587</v>
      </c>
      <c r="B325" t="s">
        <v>712</v>
      </c>
      <c r="C325" s="8">
        <v>0.23400000000000001</v>
      </c>
      <c r="D325">
        <v>0</v>
      </c>
      <c r="E325">
        <v>0.23400000000000001</v>
      </c>
    </row>
    <row r="326" spans="1:5" x14ac:dyDescent="0.25">
      <c r="A326" t="s">
        <v>688</v>
      </c>
      <c r="B326" t="s">
        <v>296</v>
      </c>
      <c r="C326" s="8" t="s">
        <v>805</v>
      </c>
      <c r="D326">
        <v>0</v>
      </c>
      <c r="E326" t="s">
        <v>779</v>
      </c>
    </row>
    <row r="327" spans="1:5" x14ac:dyDescent="0.25">
      <c r="A327" t="s">
        <v>620</v>
      </c>
      <c r="B327" t="s">
        <v>789</v>
      </c>
      <c r="C327" s="8">
        <v>40.5</v>
      </c>
      <c r="D327">
        <v>0</v>
      </c>
      <c r="E327">
        <v>40.5</v>
      </c>
    </row>
    <row r="328" spans="1:5" x14ac:dyDescent="0.25">
      <c r="A328" t="s">
        <v>630</v>
      </c>
      <c r="B328" t="s">
        <v>39</v>
      </c>
      <c r="C328" s="8">
        <v>2.1859999999999999</v>
      </c>
      <c r="D328">
        <v>0</v>
      </c>
      <c r="E328">
        <v>2.1859999999999999</v>
      </c>
    </row>
    <row r="329" spans="1:5" x14ac:dyDescent="0.25">
      <c r="A329" t="s">
        <v>713</v>
      </c>
      <c r="B329" t="s">
        <v>298</v>
      </c>
      <c r="C329" s="8">
        <v>32.981000000000002</v>
      </c>
      <c r="D329">
        <v>0</v>
      </c>
      <c r="E329">
        <v>32.981000000000002</v>
      </c>
    </row>
    <row r="330" spans="1:5" x14ac:dyDescent="0.25">
      <c r="A330" t="s">
        <v>567</v>
      </c>
      <c r="B330" t="s">
        <v>112</v>
      </c>
      <c r="C330" s="8">
        <v>4.4400000000000004</v>
      </c>
      <c r="D330">
        <v>0</v>
      </c>
      <c r="E330">
        <v>4.4400000000000004</v>
      </c>
    </row>
    <row r="331" spans="1:5" x14ac:dyDescent="0.25">
      <c r="A331" t="s">
        <v>558</v>
      </c>
      <c r="B331" t="s">
        <v>120</v>
      </c>
      <c r="C331" s="8">
        <v>47.688000000000002</v>
      </c>
      <c r="D331">
        <v>0</v>
      </c>
      <c r="E331">
        <v>47.688000000000002</v>
      </c>
    </row>
    <row r="332" spans="1:5" x14ac:dyDescent="0.25">
      <c r="A332" t="s">
        <v>611</v>
      </c>
      <c r="B332" t="s">
        <v>144</v>
      </c>
      <c r="C332" s="8">
        <v>49</v>
      </c>
      <c r="D332">
        <v>0</v>
      </c>
      <c r="E332">
        <v>49</v>
      </c>
    </row>
    <row r="333" spans="1:5" x14ac:dyDescent="0.25">
      <c r="A333" t="s">
        <v>566</v>
      </c>
      <c r="B333" t="s">
        <v>327</v>
      </c>
      <c r="C333" s="8">
        <v>7.64</v>
      </c>
      <c r="D333">
        <v>0</v>
      </c>
      <c r="E333">
        <v>7.64</v>
      </c>
    </row>
    <row r="334" spans="1:5" x14ac:dyDescent="0.25">
      <c r="A334" t="s">
        <v>692</v>
      </c>
      <c r="B334" t="s">
        <v>299</v>
      </c>
      <c r="C334" s="8">
        <v>39.6</v>
      </c>
      <c r="D334">
        <v>0</v>
      </c>
      <c r="E334">
        <v>39.6</v>
      </c>
    </row>
    <row r="335" spans="1:5" x14ac:dyDescent="0.25">
      <c r="A335" t="s">
        <v>701</v>
      </c>
      <c r="B335" t="s">
        <v>279</v>
      </c>
      <c r="C335" s="8">
        <v>4.2370000000000001</v>
      </c>
      <c r="D335">
        <v>0</v>
      </c>
      <c r="E335">
        <v>4.2370000000000001</v>
      </c>
    </row>
    <row r="336" spans="1:5" x14ac:dyDescent="0.25">
      <c r="A336" t="s">
        <v>715</v>
      </c>
      <c r="B336" t="s">
        <v>716</v>
      </c>
      <c r="C336" s="8">
        <v>2396</v>
      </c>
      <c r="D336">
        <v>2396</v>
      </c>
      <c r="E336">
        <v>0</v>
      </c>
    </row>
    <row r="337" spans="1:5" x14ac:dyDescent="0.25">
      <c r="A337" t="s">
        <v>563</v>
      </c>
      <c r="B337" t="s">
        <v>17</v>
      </c>
      <c r="C337" s="8">
        <v>5.5449999999999999</v>
      </c>
      <c r="D337">
        <v>0</v>
      </c>
      <c r="E337">
        <v>5.5449999999999999</v>
      </c>
    </row>
    <row r="338" spans="1:5" x14ac:dyDescent="0.25">
      <c r="A338" t="s">
        <v>666</v>
      </c>
      <c r="B338" t="s">
        <v>301</v>
      </c>
      <c r="C338" s="8">
        <v>118.904269</v>
      </c>
      <c r="D338">
        <v>0</v>
      </c>
      <c r="E338">
        <v>118.904269</v>
      </c>
    </row>
    <row r="339" spans="1:5" x14ac:dyDescent="0.25">
      <c r="A339" t="s">
        <v>561</v>
      </c>
      <c r="B339" t="s">
        <v>75</v>
      </c>
      <c r="C339" s="8" t="s">
        <v>806</v>
      </c>
      <c r="D339">
        <v>0</v>
      </c>
      <c r="E339" t="s">
        <v>779</v>
      </c>
    </row>
    <row r="340" spans="1:5" x14ac:dyDescent="0.25">
      <c r="A340" t="s">
        <v>641</v>
      </c>
      <c r="B340" t="s">
        <v>311</v>
      </c>
      <c r="C340" s="8">
        <v>605</v>
      </c>
      <c r="D340">
        <v>0</v>
      </c>
      <c r="E340">
        <v>605</v>
      </c>
    </row>
    <row r="341" spans="1:5" x14ac:dyDescent="0.25">
      <c r="A341" t="s">
        <v>717</v>
      </c>
      <c r="B341" t="s">
        <v>304</v>
      </c>
      <c r="C341" s="8">
        <v>936.6</v>
      </c>
      <c r="D341">
        <v>0</v>
      </c>
      <c r="E341">
        <v>936.6</v>
      </c>
    </row>
    <row r="342" spans="1:5" x14ac:dyDescent="0.25">
      <c r="A342" t="s">
        <v>605</v>
      </c>
      <c r="B342" t="s">
        <v>391</v>
      </c>
      <c r="C342" s="8">
        <v>8.4969999999999999</v>
      </c>
      <c r="D342">
        <v>0</v>
      </c>
      <c r="E342">
        <v>8.4969999999999999</v>
      </c>
    </row>
    <row r="343" spans="1:5" x14ac:dyDescent="0.25">
      <c r="A343" t="s">
        <v>558</v>
      </c>
      <c r="B343" t="s">
        <v>129</v>
      </c>
      <c r="C343" s="8">
        <v>6.484</v>
      </c>
      <c r="D343">
        <v>0</v>
      </c>
      <c r="E343">
        <v>6.484</v>
      </c>
    </row>
    <row r="344" spans="1:5" x14ac:dyDescent="0.25">
      <c r="A344" t="s">
        <v>718</v>
      </c>
      <c r="B344" t="s">
        <v>314</v>
      </c>
      <c r="C344" s="8">
        <v>49.759</v>
      </c>
      <c r="D344">
        <v>0</v>
      </c>
      <c r="E344">
        <v>49.759</v>
      </c>
    </row>
    <row r="345" spans="1:5" x14ac:dyDescent="0.25">
      <c r="A345" t="s">
        <v>699</v>
      </c>
      <c r="B345" t="s">
        <v>719</v>
      </c>
      <c r="C345" s="8">
        <v>1.704</v>
      </c>
      <c r="D345">
        <v>0</v>
      </c>
      <c r="E345">
        <v>1.704</v>
      </c>
    </row>
    <row r="346" spans="1:5" x14ac:dyDescent="0.25">
      <c r="A346" t="s">
        <v>720</v>
      </c>
      <c r="B346" t="s">
        <v>315</v>
      </c>
      <c r="C346" s="8">
        <v>43.046999999999997</v>
      </c>
      <c r="D346">
        <v>0</v>
      </c>
      <c r="E346">
        <v>43.046999999999997</v>
      </c>
    </row>
    <row r="347" spans="1:5" x14ac:dyDescent="0.25">
      <c r="A347" t="s">
        <v>614</v>
      </c>
      <c r="B347" t="s">
        <v>798</v>
      </c>
      <c r="C347" s="8">
        <v>0.82099999999999995</v>
      </c>
      <c r="D347">
        <v>0</v>
      </c>
      <c r="E347">
        <v>0.82099999999999995</v>
      </c>
    </row>
    <row r="348" spans="1:5" x14ac:dyDescent="0.25">
      <c r="A348" t="s">
        <v>699</v>
      </c>
      <c r="B348" t="s">
        <v>428</v>
      </c>
      <c r="C348" s="8">
        <v>2.8079999999999998</v>
      </c>
      <c r="D348">
        <v>0</v>
      </c>
      <c r="E348">
        <v>2.8079999999999998</v>
      </c>
    </row>
    <row r="349" spans="1:5" x14ac:dyDescent="0.25">
      <c r="A349" t="s">
        <v>561</v>
      </c>
      <c r="B349" t="s">
        <v>54</v>
      </c>
      <c r="C349" s="8">
        <v>63.171999999999997</v>
      </c>
      <c r="D349">
        <v>0</v>
      </c>
      <c r="E349">
        <v>63.171999999999997</v>
      </c>
    </row>
    <row r="350" spans="1:5" x14ac:dyDescent="0.25">
      <c r="A350" t="s">
        <v>600</v>
      </c>
      <c r="B350" t="s">
        <v>35</v>
      </c>
      <c r="C350" s="8" t="s">
        <v>806</v>
      </c>
      <c r="D350">
        <v>0</v>
      </c>
      <c r="E350" t="s">
        <v>779</v>
      </c>
    </row>
    <row r="351" spans="1:5" x14ac:dyDescent="0.25">
      <c r="A351" t="s">
        <v>598</v>
      </c>
      <c r="B351" t="s">
        <v>245</v>
      </c>
      <c r="C351" s="8">
        <v>28.4</v>
      </c>
      <c r="D351">
        <v>0</v>
      </c>
      <c r="E351">
        <v>28.4</v>
      </c>
    </row>
    <row r="352" spans="1:5" x14ac:dyDescent="0.25">
      <c r="A352" t="s">
        <v>558</v>
      </c>
      <c r="B352" t="s">
        <v>130</v>
      </c>
      <c r="C352" s="8">
        <v>85.637</v>
      </c>
      <c r="D352">
        <v>0</v>
      </c>
      <c r="E352">
        <v>85.637</v>
      </c>
    </row>
    <row r="353" spans="1:5" x14ac:dyDescent="0.25">
      <c r="A353" t="s">
        <v>575</v>
      </c>
      <c r="B353" t="s">
        <v>27</v>
      </c>
      <c r="C353" s="8">
        <v>2.39</v>
      </c>
      <c r="D353">
        <v>0</v>
      </c>
      <c r="E353">
        <v>2.39</v>
      </c>
    </row>
    <row r="354" spans="1:5" x14ac:dyDescent="0.25">
      <c r="A354" t="s">
        <v>721</v>
      </c>
      <c r="B354" t="s">
        <v>514</v>
      </c>
      <c r="C354" s="8">
        <v>0.12</v>
      </c>
      <c r="D354">
        <v>0</v>
      </c>
      <c r="E354">
        <v>0.12</v>
      </c>
    </row>
    <row r="355" spans="1:5" x14ac:dyDescent="0.25">
      <c r="A355" t="s">
        <v>722</v>
      </c>
      <c r="B355" t="s">
        <v>316</v>
      </c>
      <c r="C355" s="8">
        <v>114</v>
      </c>
      <c r="D355">
        <v>0</v>
      </c>
      <c r="E355">
        <v>114</v>
      </c>
    </row>
    <row r="356" spans="1:5" x14ac:dyDescent="0.25">
      <c r="A356" t="s">
        <v>723</v>
      </c>
      <c r="B356" t="s">
        <v>724</v>
      </c>
      <c r="C356" s="8">
        <v>79</v>
      </c>
      <c r="D356">
        <v>0</v>
      </c>
      <c r="E356">
        <v>79</v>
      </c>
    </row>
    <row r="357" spans="1:5" x14ac:dyDescent="0.25">
      <c r="A357" t="s">
        <v>725</v>
      </c>
      <c r="B357" t="s">
        <v>318</v>
      </c>
      <c r="C357" s="8">
        <v>321</v>
      </c>
      <c r="D357">
        <v>0</v>
      </c>
      <c r="E357">
        <v>321</v>
      </c>
    </row>
    <row r="358" spans="1:5" x14ac:dyDescent="0.25">
      <c r="A358" t="s">
        <v>655</v>
      </c>
      <c r="B358" t="s">
        <v>282</v>
      </c>
      <c r="C358" s="8">
        <v>18.87</v>
      </c>
      <c r="D358">
        <v>0</v>
      </c>
      <c r="E358">
        <v>18.87</v>
      </c>
    </row>
    <row r="359" spans="1:5" x14ac:dyDescent="0.25">
      <c r="A359" t="s">
        <v>726</v>
      </c>
      <c r="B359" t="s">
        <v>331</v>
      </c>
      <c r="C359" s="8">
        <v>0.95699999999999996</v>
      </c>
      <c r="D359">
        <v>0</v>
      </c>
      <c r="E359">
        <v>0.95699999999999996</v>
      </c>
    </row>
    <row r="360" spans="1:5" x14ac:dyDescent="0.25">
      <c r="A360" t="s">
        <v>657</v>
      </c>
      <c r="B360" t="s">
        <v>727</v>
      </c>
      <c r="C360" s="8">
        <v>100.3</v>
      </c>
      <c r="D360">
        <v>0</v>
      </c>
      <c r="E360">
        <v>100.3</v>
      </c>
    </row>
    <row r="361" spans="1:5" x14ac:dyDescent="0.25">
      <c r="A361" t="s">
        <v>726</v>
      </c>
      <c r="B361" t="s">
        <v>429</v>
      </c>
      <c r="C361" s="8">
        <v>3.5790000000000002</v>
      </c>
      <c r="D361">
        <v>0</v>
      </c>
      <c r="E361">
        <v>3.5790000000000002</v>
      </c>
    </row>
    <row r="362" spans="1:5" x14ac:dyDescent="0.25">
      <c r="A362" t="s">
        <v>634</v>
      </c>
      <c r="B362" t="s">
        <v>152</v>
      </c>
      <c r="C362" s="8">
        <v>15</v>
      </c>
      <c r="D362">
        <v>0</v>
      </c>
      <c r="E362">
        <v>15</v>
      </c>
    </row>
    <row r="363" spans="1:5" x14ac:dyDescent="0.25">
      <c r="A363" t="s">
        <v>707</v>
      </c>
      <c r="B363" t="s">
        <v>824</v>
      </c>
      <c r="C363" s="8">
        <v>55.81</v>
      </c>
      <c r="D363">
        <v>0</v>
      </c>
      <c r="E363">
        <v>55.81</v>
      </c>
    </row>
    <row r="364" spans="1:5" x14ac:dyDescent="0.25">
      <c r="A364" t="s">
        <v>561</v>
      </c>
      <c r="B364" t="s">
        <v>785</v>
      </c>
      <c r="C364" s="8">
        <v>27.4</v>
      </c>
      <c r="D364">
        <v>0</v>
      </c>
      <c r="E364">
        <v>27.4</v>
      </c>
    </row>
    <row r="365" spans="1:5" x14ac:dyDescent="0.25">
      <c r="A365" t="s">
        <v>823</v>
      </c>
      <c r="B365" t="s">
        <v>442</v>
      </c>
      <c r="C365" s="8">
        <v>83.210000000000008</v>
      </c>
      <c r="D365">
        <v>0</v>
      </c>
      <c r="E365">
        <v>83.210000000000008</v>
      </c>
    </row>
    <row r="366" spans="1:5" x14ac:dyDescent="0.25">
      <c r="A366" t="s">
        <v>625</v>
      </c>
      <c r="B366" t="s">
        <v>527</v>
      </c>
      <c r="C366" s="8" t="s">
        <v>805</v>
      </c>
      <c r="D366">
        <v>0</v>
      </c>
      <c r="E366" t="s">
        <v>779</v>
      </c>
    </row>
    <row r="367" spans="1:5" x14ac:dyDescent="0.25">
      <c r="A367" t="s">
        <v>668</v>
      </c>
      <c r="B367" t="s">
        <v>430</v>
      </c>
      <c r="C367" s="8">
        <v>20.2</v>
      </c>
      <c r="D367">
        <v>0</v>
      </c>
      <c r="E367">
        <v>20.2</v>
      </c>
    </row>
    <row r="368" spans="1:5" x14ac:dyDescent="0.25">
      <c r="A368" t="s">
        <v>665</v>
      </c>
      <c r="B368" t="s">
        <v>320</v>
      </c>
      <c r="C368" s="8">
        <v>229</v>
      </c>
      <c r="D368">
        <v>0</v>
      </c>
      <c r="E368">
        <v>229</v>
      </c>
    </row>
    <row r="369" spans="1:5" x14ac:dyDescent="0.25">
      <c r="A369" t="s">
        <v>596</v>
      </c>
      <c r="B369" t="s">
        <v>383</v>
      </c>
      <c r="C369" s="8">
        <v>1.893</v>
      </c>
      <c r="D369">
        <v>0</v>
      </c>
      <c r="E369">
        <v>1.893</v>
      </c>
    </row>
    <row r="370" spans="1:5" x14ac:dyDescent="0.25">
      <c r="A370" t="s">
        <v>614</v>
      </c>
      <c r="B370" t="s">
        <v>321</v>
      </c>
      <c r="C370" s="8">
        <v>42.433</v>
      </c>
      <c r="D370">
        <v>0</v>
      </c>
      <c r="E370">
        <v>42.433</v>
      </c>
    </row>
    <row r="371" spans="1:5" x14ac:dyDescent="0.25">
      <c r="A371" t="s">
        <v>566</v>
      </c>
      <c r="B371" t="s">
        <v>324</v>
      </c>
      <c r="C371" s="8">
        <v>788.96299999999997</v>
      </c>
      <c r="D371">
        <v>0</v>
      </c>
      <c r="E371">
        <v>788.96299999999997</v>
      </c>
    </row>
    <row r="372" spans="1:5" x14ac:dyDescent="0.25">
      <c r="A372" t="s">
        <v>556</v>
      </c>
      <c r="B372" t="s">
        <v>335</v>
      </c>
      <c r="C372" s="8">
        <v>1357.7</v>
      </c>
      <c r="D372">
        <v>0</v>
      </c>
      <c r="E372">
        <v>1357.7</v>
      </c>
    </row>
    <row r="373" spans="1:5" x14ac:dyDescent="0.25">
      <c r="A373" t="s">
        <v>571</v>
      </c>
      <c r="B373" t="s">
        <v>273</v>
      </c>
      <c r="C373" s="8">
        <v>28.052</v>
      </c>
      <c r="D373">
        <v>0</v>
      </c>
      <c r="E373">
        <v>28.052</v>
      </c>
    </row>
    <row r="374" spans="1:5" x14ac:dyDescent="0.25">
      <c r="A374" t="s">
        <v>598</v>
      </c>
      <c r="B374" t="s">
        <v>238</v>
      </c>
      <c r="C374" s="8">
        <v>33.799999999999997</v>
      </c>
      <c r="D374">
        <v>0</v>
      </c>
      <c r="E374">
        <v>33.799999999999997</v>
      </c>
    </row>
    <row r="375" spans="1:5" x14ac:dyDescent="0.25">
      <c r="A375" t="s">
        <v>697</v>
      </c>
      <c r="B375" t="s">
        <v>328</v>
      </c>
      <c r="C375" s="8" t="s">
        <v>805</v>
      </c>
      <c r="D375">
        <v>0</v>
      </c>
      <c r="E375" t="s">
        <v>779</v>
      </c>
    </row>
    <row r="376" spans="1:5" x14ac:dyDescent="0.25">
      <c r="A376" t="s">
        <v>655</v>
      </c>
      <c r="B376" t="s">
        <v>284</v>
      </c>
      <c r="C376" s="8">
        <v>6.64</v>
      </c>
      <c r="D376">
        <v>0</v>
      </c>
      <c r="E376">
        <v>6.64</v>
      </c>
    </row>
    <row r="377" spans="1:5" x14ac:dyDescent="0.25">
      <c r="A377" t="s">
        <v>564</v>
      </c>
      <c r="B377" t="s">
        <v>169</v>
      </c>
      <c r="C377" s="8" t="s">
        <v>804</v>
      </c>
      <c r="D377">
        <v>0</v>
      </c>
      <c r="E377" t="s">
        <v>779</v>
      </c>
    </row>
    <row r="378" spans="1:5" x14ac:dyDescent="0.25">
      <c r="A378" t="s">
        <v>561</v>
      </c>
      <c r="B378" t="s">
        <v>59</v>
      </c>
      <c r="C378" s="8">
        <v>55.6</v>
      </c>
      <c r="D378">
        <v>0</v>
      </c>
      <c r="E378">
        <v>55.6</v>
      </c>
    </row>
    <row r="379" spans="1:5" x14ac:dyDescent="0.25">
      <c r="A379" t="s">
        <v>598</v>
      </c>
      <c r="B379" t="s">
        <v>235</v>
      </c>
      <c r="C379" s="8">
        <v>16.536000000000001</v>
      </c>
      <c r="D379">
        <v>0</v>
      </c>
      <c r="E379">
        <v>16.536000000000001</v>
      </c>
    </row>
    <row r="380" spans="1:5" x14ac:dyDescent="0.25">
      <c r="A380" t="s">
        <v>799</v>
      </c>
      <c r="B380" t="s">
        <v>330</v>
      </c>
      <c r="C380" s="8">
        <v>35.74</v>
      </c>
      <c r="D380">
        <v>0</v>
      </c>
      <c r="E380">
        <v>35.74</v>
      </c>
    </row>
    <row r="381" spans="1:5" x14ac:dyDescent="0.25">
      <c r="A381" t="s">
        <v>726</v>
      </c>
      <c r="B381" t="s">
        <v>332</v>
      </c>
      <c r="C381" s="8">
        <v>134.76</v>
      </c>
      <c r="D381">
        <v>0</v>
      </c>
      <c r="E381">
        <v>134.76</v>
      </c>
    </row>
    <row r="382" spans="1:5" x14ac:dyDescent="0.25">
      <c r="A382" t="s">
        <v>561</v>
      </c>
      <c r="B382" t="s">
        <v>58</v>
      </c>
      <c r="C382" s="8">
        <v>22.2</v>
      </c>
      <c r="D382">
        <v>0</v>
      </c>
      <c r="E382">
        <v>22.2</v>
      </c>
    </row>
    <row r="383" spans="1:5" x14ac:dyDescent="0.25">
      <c r="A383" t="s">
        <v>726</v>
      </c>
      <c r="B383" t="s">
        <v>333</v>
      </c>
      <c r="C383" s="8">
        <v>2.7250000000000001</v>
      </c>
      <c r="D383">
        <v>0</v>
      </c>
      <c r="E383">
        <v>2.7250000000000001</v>
      </c>
    </row>
    <row r="384" spans="1:5" x14ac:dyDescent="0.25">
      <c r="A384" t="s">
        <v>606</v>
      </c>
      <c r="B384" t="s">
        <v>192</v>
      </c>
      <c r="C384" s="8">
        <v>3.319</v>
      </c>
      <c r="D384">
        <v>0</v>
      </c>
      <c r="E384">
        <v>3.319</v>
      </c>
    </row>
    <row r="385" spans="1:5" x14ac:dyDescent="0.25">
      <c r="A385" t="s">
        <v>626</v>
      </c>
      <c r="B385" t="s">
        <v>431</v>
      </c>
      <c r="C385" s="8">
        <v>8.58</v>
      </c>
      <c r="D385">
        <v>0</v>
      </c>
      <c r="E385">
        <v>8.58</v>
      </c>
    </row>
    <row r="386" spans="1:5" x14ac:dyDescent="0.25">
      <c r="A386" t="s">
        <v>596</v>
      </c>
      <c r="B386" t="s">
        <v>729</v>
      </c>
      <c r="C386" s="8">
        <v>3.0760000000000001</v>
      </c>
      <c r="D386">
        <v>0</v>
      </c>
      <c r="E386">
        <v>3.0760000000000001</v>
      </c>
    </row>
    <row r="387" spans="1:5" x14ac:dyDescent="0.25">
      <c r="A387" t="s">
        <v>585</v>
      </c>
      <c r="B387" t="s">
        <v>348</v>
      </c>
      <c r="C387" s="8">
        <v>111</v>
      </c>
      <c r="D387">
        <v>0</v>
      </c>
      <c r="E387">
        <v>111</v>
      </c>
    </row>
    <row r="388" spans="1:5" x14ac:dyDescent="0.25">
      <c r="A388" t="s">
        <v>605</v>
      </c>
      <c r="B388" t="s">
        <v>350</v>
      </c>
      <c r="C388" s="8">
        <v>76.347999999999999</v>
      </c>
      <c r="D388">
        <v>0</v>
      </c>
      <c r="E388">
        <v>76.347999999999999</v>
      </c>
    </row>
    <row r="389" spans="1:5" x14ac:dyDescent="0.25">
      <c r="A389" t="s">
        <v>571</v>
      </c>
      <c r="B389" t="s">
        <v>260</v>
      </c>
      <c r="C389" s="8">
        <v>14.253</v>
      </c>
      <c r="D389">
        <v>0</v>
      </c>
      <c r="E389">
        <v>14.253</v>
      </c>
    </row>
    <row r="390" spans="1:5" x14ac:dyDescent="0.25">
      <c r="A390" t="s">
        <v>598</v>
      </c>
      <c r="B390" t="s">
        <v>240</v>
      </c>
      <c r="C390" s="8">
        <v>21.6</v>
      </c>
      <c r="D390">
        <v>0</v>
      </c>
      <c r="E390">
        <v>21.6</v>
      </c>
    </row>
    <row r="391" spans="1:5" x14ac:dyDescent="0.25">
      <c r="A391" t="s">
        <v>688</v>
      </c>
      <c r="B391" t="s">
        <v>297</v>
      </c>
      <c r="C391" s="8" t="s">
        <v>805</v>
      </c>
      <c r="D391">
        <v>0</v>
      </c>
      <c r="E391" t="s">
        <v>779</v>
      </c>
    </row>
    <row r="392" spans="1:5" x14ac:dyDescent="0.25">
      <c r="A392" t="s">
        <v>627</v>
      </c>
      <c r="B392" t="s">
        <v>133</v>
      </c>
      <c r="C392" s="8">
        <v>165.9</v>
      </c>
      <c r="D392">
        <v>0</v>
      </c>
      <c r="E392">
        <v>165.9</v>
      </c>
    </row>
    <row r="393" spans="1:5" x14ac:dyDescent="0.25">
      <c r="A393" t="s">
        <v>549</v>
      </c>
      <c r="B393" t="s">
        <v>4</v>
      </c>
      <c r="C393" s="8" t="s">
        <v>804</v>
      </c>
      <c r="D393">
        <v>0</v>
      </c>
      <c r="E393" t="s">
        <v>779</v>
      </c>
    </row>
    <row r="394" spans="1:5" x14ac:dyDescent="0.25">
      <c r="A394" t="s">
        <v>650</v>
      </c>
      <c r="B394" t="s">
        <v>305</v>
      </c>
      <c r="C394" s="8">
        <v>5.8079999999999998</v>
      </c>
      <c r="D394">
        <v>0</v>
      </c>
      <c r="E394">
        <v>5.8079999999999998</v>
      </c>
    </row>
    <row r="395" spans="1:5" x14ac:dyDescent="0.25">
      <c r="A395" t="s">
        <v>598</v>
      </c>
      <c r="B395" t="s">
        <v>248</v>
      </c>
      <c r="C395" s="8" t="s">
        <v>805</v>
      </c>
      <c r="D395">
        <v>0</v>
      </c>
      <c r="E395" t="s">
        <v>779</v>
      </c>
    </row>
    <row r="396" spans="1:5" x14ac:dyDescent="0.25">
      <c r="A396" t="s">
        <v>556</v>
      </c>
      <c r="B396" t="s">
        <v>338</v>
      </c>
      <c r="C396" s="8">
        <v>126.6</v>
      </c>
      <c r="D396">
        <v>0</v>
      </c>
      <c r="E396">
        <v>126.6</v>
      </c>
    </row>
    <row r="397" spans="1:5" x14ac:dyDescent="0.25">
      <c r="A397" t="s">
        <v>563</v>
      </c>
      <c r="B397" t="s">
        <v>435</v>
      </c>
      <c r="C397" s="8">
        <v>2.19</v>
      </c>
      <c r="D397">
        <v>0</v>
      </c>
      <c r="E397">
        <v>2.19</v>
      </c>
    </row>
    <row r="398" spans="1:5" x14ac:dyDescent="0.25">
      <c r="A398" t="s">
        <v>561</v>
      </c>
      <c r="B398" t="s">
        <v>730</v>
      </c>
      <c r="C398" s="8">
        <v>2.3109999999999999</v>
      </c>
      <c r="D398">
        <v>0</v>
      </c>
      <c r="E398">
        <v>2.3109999999999999</v>
      </c>
    </row>
    <row r="399" spans="1:5" x14ac:dyDescent="0.25">
      <c r="A399" t="s">
        <v>561</v>
      </c>
      <c r="B399" t="s">
        <v>731</v>
      </c>
      <c r="C399" s="8" t="s">
        <v>806</v>
      </c>
      <c r="D399">
        <v>0</v>
      </c>
      <c r="E399" t="s">
        <v>779</v>
      </c>
    </row>
    <row r="400" spans="1:5" x14ac:dyDescent="0.25">
      <c r="A400" t="s">
        <v>689</v>
      </c>
      <c r="B400" t="s">
        <v>355</v>
      </c>
      <c r="C400" s="8">
        <v>134.1</v>
      </c>
      <c r="D400">
        <v>0</v>
      </c>
      <c r="E400">
        <v>134.1</v>
      </c>
    </row>
    <row r="401" spans="1:5" x14ac:dyDescent="0.25">
      <c r="A401" t="s">
        <v>598</v>
      </c>
      <c r="B401" t="s">
        <v>732</v>
      </c>
      <c r="C401" s="8" t="s">
        <v>805</v>
      </c>
      <c r="D401">
        <v>0</v>
      </c>
      <c r="E401" t="s">
        <v>779</v>
      </c>
    </row>
    <row r="402" spans="1:5" x14ac:dyDescent="0.25">
      <c r="A402" t="s">
        <v>561</v>
      </c>
      <c r="B402" t="s">
        <v>74</v>
      </c>
      <c r="C402" s="8">
        <v>1.22</v>
      </c>
      <c r="D402">
        <v>0</v>
      </c>
      <c r="E402">
        <v>1.22</v>
      </c>
    </row>
    <row r="403" spans="1:5" x14ac:dyDescent="0.25">
      <c r="A403" t="s">
        <v>550</v>
      </c>
      <c r="B403" t="s">
        <v>362</v>
      </c>
      <c r="C403" s="8">
        <v>168.3</v>
      </c>
      <c r="D403">
        <v>0</v>
      </c>
      <c r="E403">
        <v>168.3</v>
      </c>
    </row>
    <row r="404" spans="1:5" x14ac:dyDescent="0.25">
      <c r="A404" t="s">
        <v>620</v>
      </c>
      <c r="B404" t="s">
        <v>207</v>
      </c>
      <c r="C404" s="8">
        <v>1360.5</v>
      </c>
      <c r="D404">
        <v>0</v>
      </c>
      <c r="E404">
        <v>1360.5</v>
      </c>
    </row>
    <row r="405" spans="1:5" x14ac:dyDescent="0.25">
      <c r="A405" t="s">
        <v>620</v>
      </c>
      <c r="B405" t="s">
        <v>790</v>
      </c>
      <c r="C405" s="8">
        <v>0.20008000000000001</v>
      </c>
      <c r="D405">
        <v>0</v>
      </c>
      <c r="E405">
        <v>0.20008000000000001</v>
      </c>
    </row>
    <row r="406" spans="1:5" x14ac:dyDescent="0.25">
      <c r="A406" t="s">
        <v>688</v>
      </c>
      <c r="B406" t="s">
        <v>733</v>
      </c>
      <c r="C406" s="8" t="s">
        <v>805</v>
      </c>
      <c r="D406">
        <v>0</v>
      </c>
      <c r="E406" t="s">
        <v>779</v>
      </c>
    </row>
    <row r="407" spans="1:5" x14ac:dyDescent="0.25">
      <c r="A407" t="s">
        <v>577</v>
      </c>
      <c r="B407" t="s">
        <v>363</v>
      </c>
      <c r="C407" s="8">
        <v>532.09799999999996</v>
      </c>
      <c r="D407">
        <v>0</v>
      </c>
      <c r="E407">
        <v>532.09799999999996</v>
      </c>
    </row>
    <row r="408" spans="1:5" x14ac:dyDescent="0.25">
      <c r="A408" t="s">
        <v>734</v>
      </c>
      <c r="B408" t="s">
        <v>367</v>
      </c>
      <c r="C408" s="8">
        <v>122.8</v>
      </c>
      <c r="D408">
        <v>0</v>
      </c>
      <c r="E408">
        <v>122.8</v>
      </c>
    </row>
    <row r="409" spans="1:5" x14ac:dyDescent="0.25">
      <c r="A409" t="s">
        <v>600</v>
      </c>
      <c r="B409" t="s">
        <v>36</v>
      </c>
      <c r="C409" s="8" t="s">
        <v>806</v>
      </c>
      <c r="D409">
        <v>0</v>
      </c>
      <c r="E409" t="s">
        <v>779</v>
      </c>
    </row>
    <row r="410" spans="1:5" x14ac:dyDescent="0.25">
      <c r="A410" t="s">
        <v>655</v>
      </c>
      <c r="B410" t="s">
        <v>281</v>
      </c>
      <c r="C410" s="8">
        <v>38.57</v>
      </c>
      <c r="D410">
        <v>0</v>
      </c>
      <c r="E410">
        <v>38.57</v>
      </c>
    </row>
    <row r="411" spans="1:5" x14ac:dyDescent="0.25">
      <c r="A411" t="s">
        <v>604</v>
      </c>
      <c r="B411" t="s">
        <v>370</v>
      </c>
      <c r="C411" s="8">
        <v>21.67</v>
      </c>
      <c r="D411">
        <v>0</v>
      </c>
      <c r="E411">
        <v>21.67</v>
      </c>
    </row>
    <row r="412" spans="1:5" x14ac:dyDescent="0.25">
      <c r="A412" t="s">
        <v>571</v>
      </c>
      <c r="B412" t="s">
        <v>274</v>
      </c>
      <c r="C412" s="8">
        <v>2.488</v>
      </c>
      <c r="D412">
        <v>0</v>
      </c>
      <c r="E412">
        <v>2.488</v>
      </c>
    </row>
    <row r="413" spans="1:5" x14ac:dyDescent="0.25">
      <c r="A413" t="s">
        <v>579</v>
      </c>
      <c r="B413" t="s">
        <v>156</v>
      </c>
      <c r="C413" s="8">
        <v>52.44</v>
      </c>
      <c r="D413">
        <v>0</v>
      </c>
      <c r="E413">
        <v>52.44</v>
      </c>
    </row>
    <row r="414" spans="1:5" x14ac:dyDescent="0.25">
      <c r="A414" t="s">
        <v>735</v>
      </c>
      <c r="B414" t="s">
        <v>736</v>
      </c>
      <c r="C414" s="8" t="s">
        <v>805</v>
      </c>
      <c r="D414">
        <v>0</v>
      </c>
      <c r="E414" t="s">
        <v>779</v>
      </c>
    </row>
    <row r="415" spans="1:5" x14ac:dyDescent="0.25">
      <c r="A415" t="s">
        <v>630</v>
      </c>
      <c r="B415" t="s">
        <v>40</v>
      </c>
      <c r="C415" s="8">
        <v>0.42799999999999999</v>
      </c>
      <c r="D415">
        <v>0</v>
      </c>
      <c r="E415">
        <v>0.42799999999999999</v>
      </c>
    </row>
    <row r="416" spans="1:5" x14ac:dyDescent="0.25">
      <c r="A416" t="s">
        <v>573</v>
      </c>
      <c r="B416" t="s">
        <v>310</v>
      </c>
      <c r="C416" s="8">
        <v>29.7</v>
      </c>
      <c r="D416">
        <v>0</v>
      </c>
      <c r="E416">
        <v>29.7</v>
      </c>
    </row>
    <row r="417" spans="1:5" x14ac:dyDescent="0.25">
      <c r="A417" t="s">
        <v>561</v>
      </c>
      <c r="B417" t="s">
        <v>79</v>
      </c>
      <c r="C417" s="8">
        <v>77.644000000000005</v>
      </c>
      <c r="D417">
        <v>0</v>
      </c>
      <c r="E417">
        <v>77.644000000000005</v>
      </c>
    </row>
    <row r="418" spans="1:5" x14ac:dyDescent="0.25">
      <c r="A418" t="s">
        <v>598</v>
      </c>
      <c r="B418" t="s">
        <v>438</v>
      </c>
      <c r="C418" s="8" t="s">
        <v>805</v>
      </c>
      <c r="D418">
        <v>0</v>
      </c>
      <c r="E418" t="s">
        <v>779</v>
      </c>
    </row>
    <row r="419" spans="1:5" x14ac:dyDescent="0.25">
      <c r="A419" t="s">
        <v>563</v>
      </c>
      <c r="B419" t="s">
        <v>737</v>
      </c>
      <c r="C419" s="8">
        <v>2.73</v>
      </c>
      <c r="D419">
        <v>0</v>
      </c>
      <c r="E419">
        <v>2.73</v>
      </c>
    </row>
    <row r="420" spans="1:5" x14ac:dyDescent="0.25">
      <c r="A420" t="s">
        <v>738</v>
      </c>
      <c r="B420" t="s">
        <v>371</v>
      </c>
      <c r="C420" s="8" t="s">
        <v>805</v>
      </c>
      <c r="D420">
        <v>0</v>
      </c>
      <c r="E420" t="s">
        <v>779</v>
      </c>
    </row>
    <row r="421" spans="1:5" x14ac:dyDescent="0.25">
      <c r="A421" t="s">
        <v>626</v>
      </c>
      <c r="B421" t="s">
        <v>372</v>
      </c>
      <c r="C421" s="8">
        <v>158.703</v>
      </c>
      <c r="D421">
        <v>0</v>
      </c>
      <c r="E421">
        <v>158.703</v>
      </c>
    </row>
    <row r="422" spans="1:5" x14ac:dyDescent="0.25">
      <c r="A422" t="s">
        <v>592</v>
      </c>
      <c r="B422" t="s">
        <v>105</v>
      </c>
      <c r="C422" s="8">
        <v>3.9</v>
      </c>
      <c r="D422">
        <v>0</v>
      </c>
      <c r="E422">
        <v>3.9</v>
      </c>
    </row>
    <row r="423" spans="1:5" x14ac:dyDescent="0.25">
      <c r="A423" t="s">
        <v>568</v>
      </c>
      <c r="B423" t="s">
        <v>177</v>
      </c>
      <c r="C423" s="8">
        <v>11.433</v>
      </c>
      <c r="D423">
        <v>0</v>
      </c>
      <c r="E423">
        <v>11.433</v>
      </c>
    </row>
    <row r="424" spans="1:5" x14ac:dyDescent="0.25">
      <c r="A424" t="s">
        <v>720</v>
      </c>
      <c r="B424" t="s">
        <v>439</v>
      </c>
      <c r="C424" s="8">
        <v>7.1029999999999998</v>
      </c>
      <c r="D424">
        <v>0</v>
      </c>
      <c r="E424">
        <v>7.1029999999999998</v>
      </c>
    </row>
    <row r="425" spans="1:5" x14ac:dyDescent="0.25">
      <c r="A425" t="s">
        <v>558</v>
      </c>
      <c r="B425" t="s">
        <v>739</v>
      </c>
      <c r="C425" s="8" t="s">
        <v>806</v>
      </c>
      <c r="D425">
        <v>0</v>
      </c>
      <c r="E425" t="s">
        <v>779</v>
      </c>
    </row>
    <row r="426" spans="1:5" x14ac:dyDescent="0.25">
      <c r="A426" t="s">
        <v>740</v>
      </c>
      <c r="B426" t="s">
        <v>374</v>
      </c>
      <c r="C426" s="8">
        <v>24.9</v>
      </c>
      <c r="D426">
        <v>0</v>
      </c>
      <c r="E426">
        <v>24.9</v>
      </c>
    </row>
    <row r="427" spans="1:5" x14ac:dyDescent="0.25">
      <c r="A427" t="s">
        <v>569</v>
      </c>
      <c r="B427" t="s">
        <v>376</v>
      </c>
      <c r="C427" s="8">
        <v>216.57499999999999</v>
      </c>
      <c r="D427">
        <v>0</v>
      </c>
      <c r="E427">
        <v>216.57499999999999</v>
      </c>
    </row>
    <row r="428" spans="1:5" x14ac:dyDescent="0.25">
      <c r="A428" t="s">
        <v>568</v>
      </c>
      <c r="B428" t="s">
        <v>440</v>
      </c>
      <c r="C428" s="8">
        <v>5.05</v>
      </c>
      <c r="D428">
        <v>0</v>
      </c>
      <c r="E428">
        <v>5.05</v>
      </c>
    </row>
    <row r="429" spans="1:5" x14ac:dyDescent="0.25">
      <c r="A429" t="s">
        <v>579</v>
      </c>
      <c r="B429" t="s">
        <v>157</v>
      </c>
      <c r="C429" s="8">
        <v>510.04</v>
      </c>
      <c r="D429">
        <v>0</v>
      </c>
      <c r="E429">
        <v>510.04</v>
      </c>
    </row>
    <row r="430" spans="1:5" x14ac:dyDescent="0.25">
      <c r="A430" t="s">
        <v>625</v>
      </c>
      <c r="B430" t="s">
        <v>741</v>
      </c>
      <c r="C430" s="8" t="s">
        <v>805</v>
      </c>
      <c r="D430">
        <v>0</v>
      </c>
      <c r="E430" t="s">
        <v>779</v>
      </c>
    </row>
    <row r="431" spans="1:5" x14ac:dyDescent="0.25">
      <c r="A431" t="s">
        <v>561</v>
      </c>
      <c r="B431" t="s">
        <v>57</v>
      </c>
      <c r="C431" s="8">
        <v>62.5</v>
      </c>
      <c r="D431">
        <v>0</v>
      </c>
      <c r="E431">
        <v>62.5</v>
      </c>
    </row>
    <row r="432" spans="1:5" x14ac:dyDescent="0.25">
      <c r="A432" t="s">
        <v>556</v>
      </c>
      <c r="B432" t="s">
        <v>347</v>
      </c>
      <c r="C432" s="8">
        <v>23.8</v>
      </c>
      <c r="D432">
        <v>0</v>
      </c>
      <c r="E432">
        <v>23.8</v>
      </c>
    </row>
    <row r="433" spans="1:5" x14ac:dyDescent="0.25">
      <c r="A433" t="s">
        <v>657</v>
      </c>
      <c r="B433" t="s">
        <v>742</v>
      </c>
      <c r="C433" s="8">
        <v>7.5</v>
      </c>
      <c r="D433">
        <v>0</v>
      </c>
      <c r="E433">
        <v>7.5</v>
      </c>
    </row>
    <row r="434" spans="1:5" x14ac:dyDescent="0.25">
      <c r="A434" t="s">
        <v>558</v>
      </c>
      <c r="B434" t="s">
        <v>743</v>
      </c>
      <c r="D434">
        <v>0</v>
      </c>
      <c r="E434">
        <v>0</v>
      </c>
    </row>
    <row r="435" spans="1:5" x14ac:dyDescent="0.25">
      <c r="A435" t="s">
        <v>561</v>
      </c>
      <c r="D435">
        <v>0</v>
      </c>
      <c r="E435">
        <v>0</v>
      </c>
    </row>
    <row r="436" spans="1:5" x14ac:dyDescent="0.25">
      <c r="C436" s="8">
        <f>SUM(C2:C431)</f>
        <v>48821.127418000004</v>
      </c>
    </row>
  </sheetData>
  <autoFilter ref="A1:E436" xr:uid="{00000000-0009-0000-0000-000009000000}"/>
  <sortState xmlns:xlrd2="http://schemas.microsoft.com/office/spreadsheetml/2017/richdata2" ref="I2:M408">
    <sortCondition descending="1" ref="L2:L408"/>
  </sortState>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1D059-AB90-4716-8279-5B1FDB077AAF}">
  <sheetPr codeName="Blad18"/>
  <dimension ref="A2:B10"/>
  <sheetViews>
    <sheetView workbookViewId="0">
      <selection activeCell="E25" sqref="E25"/>
    </sheetView>
  </sheetViews>
  <sheetFormatPr defaultColWidth="9.140625" defaultRowHeight="15" x14ac:dyDescent="0.25"/>
  <cols>
    <col min="1" max="16384" width="9.140625" style="32"/>
  </cols>
  <sheetData>
    <row r="2" spans="1:2" x14ac:dyDescent="0.25">
      <c r="A2" s="32" t="s">
        <v>1066</v>
      </c>
    </row>
    <row r="3" spans="1:2" x14ac:dyDescent="0.25">
      <c r="A3" s="32" t="s">
        <v>1065</v>
      </c>
    </row>
    <row r="4" spans="1:2" x14ac:dyDescent="0.25">
      <c r="B4" s="32" t="s">
        <v>1067</v>
      </c>
    </row>
    <row r="6" spans="1:2" x14ac:dyDescent="0.25">
      <c r="A6" s="32" t="s">
        <v>1068</v>
      </c>
    </row>
    <row r="7" spans="1:2" x14ac:dyDescent="0.25">
      <c r="A7" s="32" t="s">
        <v>1069</v>
      </c>
    </row>
    <row r="9" spans="1:2" x14ac:dyDescent="0.25">
      <c r="A9" s="32" t="s">
        <v>1071</v>
      </c>
    </row>
    <row r="10" spans="1:2" x14ac:dyDescent="0.25">
      <c r="B10" s="32" t="s">
        <v>1072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E460"/>
  <sheetViews>
    <sheetView topLeftCell="A223" workbookViewId="0">
      <selection activeCell="B153" sqref="B153"/>
    </sheetView>
  </sheetViews>
  <sheetFormatPr defaultRowHeight="15" x14ac:dyDescent="0.25"/>
  <cols>
    <col min="1" max="1" width="26.28515625" style="28" bestFit="1" customWidth="1"/>
    <col min="2" max="2" width="22.28515625" style="28" bestFit="1" customWidth="1"/>
    <col min="3" max="3" width="11" style="28" customWidth="1"/>
  </cols>
  <sheetData>
    <row r="1" spans="1:5" x14ac:dyDescent="0.25">
      <c r="A1" s="22" t="s">
        <v>543</v>
      </c>
      <c r="B1" s="22" t="s">
        <v>544</v>
      </c>
      <c r="C1" s="29" t="s">
        <v>752</v>
      </c>
      <c r="D1" t="s">
        <v>833</v>
      </c>
      <c r="E1" t="s">
        <v>835</v>
      </c>
    </row>
    <row r="2" spans="1:5" x14ac:dyDescent="0.25">
      <c r="A2" t="s">
        <v>545</v>
      </c>
      <c r="B2" t="s">
        <v>95</v>
      </c>
      <c r="C2" s="28">
        <v>16.774000000000001</v>
      </c>
      <c r="D2">
        <v>0</v>
      </c>
      <c r="E2">
        <v>16.774000000000001</v>
      </c>
    </row>
    <row r="3" spans="1:5" x14ac:dyDescent="0.25">
      <c r="A3" t="s">
        <v>546</v>
      </c>
      <c r="B3" t="s">
        <v>547</v>
      </c>
      <c r="C3" s="28" t="s">
        <v>779</v>
      </c>
      <c r="D3">
        <v>0</v>
      </c>
      <c r="E3" t="s">
        <v>779</v>
      </c>
    </row>
    <row r="4" spans="1:5" x14ac:dyDescent="0.25">
      <c r="A4" t="s">
        <v>548</v>
      </c>
      <c r="B4" t="s">
        <v>1</v>
      </c>
      <c r="C4" s="28">
        <v>121.9</v>
      </c>
      <c r="D4">
        <v>0</v>
      </c>
      <c r="E4">
        <v>121.9</v>
      </c>
    </row>
    <row r="5" spans="1:5" x14ac:dyDescent="0.25">
      <c r="A5" t="s">
        <v>549</v>
      </c>
      <c r="B5" t="s">
        <v>2</v>
      </c>
      <c r="C5" s="28" t="s">
        <v>779</v>
      </c>
      <c r="D5">
        <v>0</v>
      </c>
      <c r="E5" t="s">
        <v>779</v>
      </c>
    </row>
    <row r="6" spans="1:5" x14ac:dyDescent="0.25">
      <c r="A6" t="s">
        <v>550</v>
      </c>
      <c r="B6" t="s">
        <v>360</v>
      </c>
      <c r="C6" s="28">
        <v>6.4</v>
      </c>
      <c r="D6">
        <v>0</v>
      </c>
      <c r="E6">
        <v>6.4</v>
      </c>
    </row>
    <row r="7" spans="1:5" x14ac:dyDescent="0.25">
      <c r="A7" t="s">
        <v>551</v>
      </c>
      <c r="B7" t="s">
        <v>224</v>
      </c>
      <c r="C7" s="28">
        <v>2.1190000000000002</v>
      </c>
      <c r="D7">
        <v>0</v>
      </c>
      <c r="E7">
        <v>2.1190000000000002</v>
      </c>
    </row>
    <row r="8" spans="1:5" x14ac:dyDescent="0.25">
      <c r="A8" t="s">
        <v>552</v>
      </c>
      <c r="B8" t="s">
        <v>5</v>
      </c>
      <c r="C8" s="28">
        <v>96.3</v>
      </c>
      <c r="D8">
        <v>0</v>
      </c>
      <c r="E8">
        <v>96.3</v>
      </c>
    </row>
    <row r="9" spans="1:5" x14ac:dyDescent="0.25">
      <c r="A9" t="s">
        <v>553</v>
      </c>
      <c r="B9" t="s">
        <v>20</v>
      </c>
      <c r="C9" s="28">
        <v>14.782</v>
      </c>
      <c r="D9">
        <v>0</v>
      </c>
      <c r="E9">
        <v>14.782</v>
      </c>
    </row>
    <row r="10" spans="1:5" x14ac:dyDescent="0.25">
      <c r="A10" t="s">
        <v>554</v>
      </c>
      <c r="B10" t="s">
        <v>6</v>
      </c>
      <c r="C10" s="28" t="s">
        <v>779</v>
      </c>
      <c r="D10">
        <v>0</v>
      </c>
      <c r="E10" t="s">
        <v>779</v>
      </c>
    </row>
    <row r="11" spans="1:5" x14ac:dyDescent="0.25">
      <c r="A11" t="s">
        <v>555</v>
      </c>
      <c r="B11" t="s">
        <v>119</v>
      </c>
      <c r="C11" s="28">
        <v>114.7</v>
      </c>
      <c r="D11">
        <v>0</v>
      </c>
      <c r="E11">
        <v>114.7</v>
      </c>
    </row>
    <row r="12" spans="1:5" x14ac:dyDescent="0.25">
      <c r="A12" t="s">
        <v>556</v>
      </c>
      <c r="B12" t="s">
        <v>334</v>
      </c>
      <c r="C12" s="28">
        <v>18.63</v>
      </c>
      <c r="D12">
        <v>0</v>
      </c>
      <c r="E12">
        <v>18.63</v>
      </c>
    </row>
    <row r="13" spans="1:5" x14ac:dyDescent="0.25">
      <c r="A13" t="s">
        <v>557</v>
      </c>
      <c r="B13" t="s">
        <v>392</v>
      </c>
      <c r="C13" s="28">
        <v>88</v>
      </c>
      <c r="D13">
        <v>0</v>
      </c>
      <c r="E13">
        <v>88</v>
      </c>
    </row>
    <row r="14" spans="1:5" x14ac:dyDescent="0.25">
      <c r="A14" t="s">
        <v>558</v>
      </c>
      <c r="B14" t="s">
        <v>118</v>
      </c>
      <c r="C14" s="28">
        <v>219.642</v>
      </c>
      <c r="D14">
        <v>0</v>
      </c>
      <c r="E14">
        <v>219.642</v>
      </c>
    </row>
    <row r="15" spans="1:5" x14ac:dyDescent="0.25">
      <c r="A15" t="s">
        <v>559</v>
      </c>
      <c r="B15" t="s">
        <v>560</v>
      </c>
      <c r="C15" s="28">
        <v>3.68</v>
      </c>
      <c r="D15">
        <v>0</v>
      </c>
      <c r="E15">
        <v>3.68</v>
      </c>
    </row>
    <row r="16" spans="1:5" x14ac:dyDescent="0.25">
      <c r="A16" t="s">
        <v>559</v>
      </c>
      <c r="B16" t="s">
        <v>158</v>
      </c>
      <c r="C16" s="28" t="s">
        <v>779</v>
      </c>
      <c r="D16">
        <v>0</v>
      </c>
      <c r="E16" t="s">
        <v>779</v>
      </c>
    </row>
    <row r="17" spans="1:5" x14ac:dyDescent="0.25">
      <c r="A17" t="s">
        <v>561</v>
      </c>
      <c r="B17" t="s">
        <v>85</v>
      </c>
      <c r="C17" s="28">
        <v>8.09</v>
      </c>
      <c r="D17">
        <v>0</v>
      </c>
      <c r="E17">
        <v>8.09</v>
      </c>
    </row>
    <row r="18" spans="1:5" x14ac:dyDescent="0.25">
      <c r="A18" t="s">
        <v>562</v>
      </c>
      <c r="B18" t="s">
        <v>7</v>
      </c>
      <c r="C18" s="28">
        <v>8.0500000000000007</v>
      </c>
      <c r="D18">
        <v>0</v>
      </c>
      <c r="E18">
        <v>8.0500000000000007</v>
      </c>
    </row>
    <row r="19" spans="1:5" x14ac:dyDescent="0.25">
      <c r="A19" t="s">
        <v>563</v>
      </c>
      <c r="B19" t="s">
        <v>9</v>
      </c>
      <c r="C19" s="28">
        <v>3.3</v>
      </c>
      <c r="D19">
        <v>0</v>
      </c>
      <c r="E19">
        <v>3.3</v>
      </c>
    </row>
    <row r="20" spans="1:5" x14ac:dyDescent="0.25">
      <c r="A20" t="s">
        <v>564</v>
      </c>
      <c r="B20" t="s">
        <v>565</v>
      </c>
      <c r="C20" s="28" t="s">
        <v>779</v>
      </c>
      <c r="D20">
        <v>0</v>
      </c>
      <c r="E20" t="s">
        <v>779</v>
      </c>
    </row>
    <row r="21" spans="1:5" x14ac:dyDescent="0.25">
      <c r="A21" t="s">
        <v>566</v>
      </c>
      <c r="B21" t="s">
        <v>323</v>
      </c>
      <c r="C21" s="28">
        <v>7.5839999999999996</v>
      </c>
      <c r="D21">
        <v>0</v>
      </c>
      <c r="E21">
        <v>7.5839999999999996</v>
      </c>
    </row>
    <row r="22" spans="1:5" x14ac:dyDescent="0.25">
      <c r="A22" t="s">
        <v>567</v>
      </c>
      <c r="B22" t="s">
        <v>109</v>
      </c>
      <c r="C22" s="28">
        <v>4.6509999999999998</v>
      </c>
      <c r="D22">
        <v>0</v>
      </c>
      <c r="E22">
        <v>4.6509999999999998</v>
      </c>
    </row>
    <row r="23" spans="1:5" x14ac:dyDescent="0.25">
      <c r="A23" t="s">
        <v>568</v>
      </c>
      <c r="B23" t="s">
        <v>178</v>
      </c>
      <c r="C23" s="28">
        <v>9.2490000000000006</v>
      </c>
      <c r="D23">
        <v>0</v>
      </c>
      <c r="E23">
        <v>9.2490000000000006</v>
      </c>
    </row>
    <row r="24" spans="1:5" x14ac:dyDescent="0.25">
      <c r="A24" t="s">
        <v>569</v>
      </c>
      <c r="B24" t="s">
        <v>377</v>
      </c>
      <c r="C24" s="28">
        <v>7.4340000000000002</v>
      </c>
      <c r="D24">
        <v>0</v>
      </c>
      <c r="E24">
        <v>7.4340000000000002</v>
      </c>
    </row>
    <row r="25" spans="1:5" x14ac:dyDescent="0.25">
      <c r="A25" t="s">
        <v>564</v>
      </c>
      <c r="B25" t="s">
        <v>570</v>
      </c>
      <c r="C25" s="28" t="s">
        <v>779</v>
      </c>
      <c r="D25">
        <v>0</v>
      </c>
      <c r="E25" t="s">
        <v>779</v>
      </c>
    </row>
    <row r="26" spans="1:5" x14ac:dyDescent="0.25">
      <c r="A26" t="s">
        <v>561</v>
      </c>
      <c r="B26" t="s">
        <v>485</v>
      </c>
      <c r="C26" s="28">
        <v>9.01</v>
      </c>
      <c r="D26">
        <v>0</v>
      </c>
      <c r="E26">
        <v>9.01</v>
      </c>
    </row>
    <row r="27" spans="1:5" x14ac:dyDescent="0.25">
      <c r="A27" t="s">
        <v>551</v>
      </c>
      <c r="B27" t="s">
        <v>225</v>
      </c>
      <c r="C27" s="28">
        <v>10.849</v>
      </c>
      <c r="D27">
        <v>0</v>
      </c>
      <c r="E27">
        <v>10.849</v>
      </c>
    </row>
    <row r="28" spans="1:5" x14ac:dyDescent="0.25">
      <c r="A28" t="s">
        <v>571</v>
      </c>
      <c r="B28" t="s">
        <v>263</v>
      </c>
      <c r="C28" s="28">
        <v>8.0299999999999994</v>
      </c>
      <c r="D28">
        <v>0</v>
      </c>
      <c r="E28">
        <v>8.0299999999999994</v>
      </c>
    </row>
    <row r="29" spans="1:5" x14ac:dyDescent="0.25">
      <c r="A29" t="s">
        <v>553</v>
      </c>
      <c r="B29" t="s">
        <v>21</v>
      </c>
      <c r="C29" s="28">
        <v>125.747</v>
      </c>
      <c r="D29">
        <v>0</v>
      </c>
      <c r="E29">
        <v>125.747</v>
      </c>
    </row>
    <row r="30" spans="1:5" x14ac:dyDescent="0.25">
      <c r="A30" t="s">
        <v>572</v>
      </c>
      <c r="B30" t="s">
        <v>60</v>
      </c>
      <c r="C30" s="28">
        <v>4.9000000000000004</v>
      </c>
      <c r="D30">
        <v>0</v>
      </c>
      <c r="E30">
        <v>4.9000000000000004</v>
      </c>
    </row>
    <row r="31" spans="1:5" x14ac:dyDescent="0.25">
      <c r="A31" t="s">
        <v>573</v>
      </c>
      <c r="B31" t="s">
        <v>306</v>
      </c>
      <c r="C31" s="28">
        <v>12.1</v>
      </c>
      <c r="D31">
        <v>0</v>
      </c>
      <c r="E31">
        <v>12.1</v>
      </c>
    </row>
    <row r="32" spans="1:5" x14ac:dyDescent="0.25">
      <c r="A32" t="s">
        <v>574</v>
      </c>
      <c r="B32" t="s">
        <v>23</v>
      </c>
      <c r="C32" s="28">
        <v>26.876000000000001</v>
      </c>
      <c r="D32">
        <v>0</v>
      </c>
      <c r="E32">
        <v>26.876000000000001</v>
      </c>
    </row>
    <row r="33" spans="1:5" x14ac:dyDescent="0.25">
      <c r="A33" t="s">
        <v>575</v>
      </c>
      <c r="B33" t="s">
        <v>25</v>
      </c>
      <c r="C33" s="28">
        <v>370.77</v>
      </c>
      <c r="D33">
        <v>0</v>
      </c>
      <c r="E33">
        <v>370.77</v>
      </c>
    </row>
    <row r="34" spans="1:5" x14ac:dyDescent="0.25">
      <c r="A34" t="s">
        <v>576</v>
      </c>
      <c r="B34" t="s">
        <v>29</v>
      </c>
      <c r="C34" s="28">
        <v>628.78800000000001</v>
      </c>
      <c r="D34">
        <v>0</v>
      </c>
      <c r="E34">
        <v>628.78800000000001</v>
      </c>
    </row>
    <row r="35" spans="1:5" x14ac:dyDescent="0.25">
      <c r="A35" t="s">
        <v>561</v>
      </c>
      <c r="B35" t="s">
        <v>41</v>
      </c>
      <c r="C35" s="28">
        <v>44.95</v>
      </c>
      <c r="D35">
        <v>0</v>
      </c>
      <c r="E35">
        <v>44.95</v>
      </c>
    </row>
    <row r="36" spans="1:5" x14ac:dyDescent="0.25">
      <c r="A36" t="s">
        <v>577</v>
      </c>
      <c r="B36" t="s">
        <v>364</v>
      </c>
      <c r="C36" s="28">
        <v>21.873999999999999</v>
      </c>
      <c r="D36">
        <v>0</v>
      </c>
      <c r="E36">
        <v>21.873999999999999</v>
      </c>
    </row>
    <row r="37" spans="1:5" x14ac:dyDescent="0.25">
      <c r="A37" t="s">
        <v>569</v>
      </c>
      <c r="B37" t="s">
        <v>378</v>
      </c>
      <c r="C37" s="28">
        <v>5.51</v>
      </c>
      <c r="D37">
        <v>0</v>
      </c>
      <c r="E37">
        <v>5.51</v>
      </c>
    </row>
    <row r="38" spans="1:5" x14ac:dyDescent="0.25">
      <c r="A38" t="s">
        <v>561</v>
      </c>
      <c r="B38" t="s">
        <v>61</v>
      </c>
      <c r="C38" s="28">
        <v>29.8</v>
      </c>
      <c r="D38">
        <v>0</v>
      </c>
      <c r="E38">
        <v>29.8</v>
      </c>
    </row>
    <row r="39" spans="1:5" x14ac:dyDescent="0.25">
      <c r="A39" t="s">
        <v>546</v>
      </c>
      <c r="B39" t="s">
        <v>97</v>
      </c>
      <c r="C39" s="28" t="s">
        <v>779</v>
      </c>
      <c r="D39">
        <v>0</v>
      </c>
      <c r="E39" t="s">
        <v>779</v>
      </c>
    </row>
    <row r="40" spans="1:5" x14ac:dyDescent="0.25">
      <c r="A40" t="s">
        <v>561</v>
      </c>
      <c r="B40" t="s">
        <v>81</v>
      </c>
      <c r="C40" s="28">
        <v>13.8</v>
      </c>
      <c r="D40">
        <v>0</v>
      </c>
      <c r="E40">
        <v>13.8</v>
      </c>
    </row>
    <row r="41" spans="1:5" x14ac:dyDescent="0.25">
      <c r="A41" t="s">
        <v>578</v>
      </c>
      <c r="B41" t="s">
        <v>30</v>
      </c>
      <c r="C41" s="28">
        <v>39.9</v>
      </c>
      <c r="D41">
        <v>0</v>
      </c>
      <c r="E41">
        <v>39.9</v>
      </c>
    </row>
    <row r="42" spans="1:5" x14ac:dyDescent="0.25">
      <c r="A42" t="s">
        <v>579</v>
      </c>
      <c r="B42" t="s">
        <v>393</v>
      </c>
      <c r="C42" s="28" t="s">
        <v>779</v>
      </c>
      <c r="D42">
        <v>0</v>
      </c>
      <c r="E42" t="s">
        <v>779</v>
      </c>
    </row>
    <row r="43" spans="1:5" x14ac:dyDescent="0.25">
      <c r="A43" t="s">
        <v>580</v>
      </c>
      <c r="B43" t="s">
        <v>31</v>
      </c>
      <c r="C43" s="28" t="s">
        <v>779</v>
      </c>
      <c r="D43">
        <v>0</v>
      </c>
      <c r="E43" t="s">
        <v>779</v>
      </c>
    </row>
    <row r="44" spans="1:5" x14ac:dyDescent="0.25">
      <c r="A44" t="s">
        <v>581</v>
      </c>
      <c r="B44" t="s">
        <v>250</v>
      </c>
      <c r="C44" s="28">
        <v>15.4</v>
      </c>
      <c r="D44">
        <v>0</v>
      </c>
      <c r="E44">
        <v>15.4</v>
      </c>
    </row>
    <row r="45" spans="1:5" x14ac:dyDescent="0.25">
      <c r="A45" t="s">
        <v>571</v>
      </c>
      <c r="B45" t="s">
        <v>264</v>
      </c>
      <c r="C45" s="28">
        <v>7.8897000000000004</v>
      </c>
      <c r="D45">
        <v>0</v>
      </c>
      <c r="E45">
        <v>7.8897000000000004</v>
      </c>
    </row>
    <row r="46" spans="1:5" x14ac:dyDescent="0.25">
      <c r="A46" t="s">
        <v>571</v>
      </c>
      <c r="B46" t="s">
        <v>265</v>
      </c>
      <c r="C46" s="28">
        <v>14.098000000000001</v>
      </c>
      <c r="D46">
        <v>0</v>
      </c>
      <c r="E46">
        <v>14.098000000000001</v>
      </c>
    </row>
    <row r="47" spans="1:5" x14ac:dyDescent="0.25">
      <c r="A47" t="s">
        <v>571</v>
      </c>
      <c r="B47" t="s">
        <v>266</v>
      </c>
      <c r="C47" s="28">
        <v>9.7270000000000003</v>
      </c>
      <c r="D47">
        <v>0</v>
      </c>
      <c r="E47">
        <v>9.7270000000000003</v>
      </c>
    </row>
    <row r="48" spans="1:5" x14ac:dyDescent="0.25">
      <c r="A48" t="s">
        <v>561</v>
      </c>
      <c r="B48" t="s">
        <v>62</v>
      </c>
      <c r="C48" s="28">
        <v>32.9</v>
      </c>
      <c r="D48">
        <v>0</v>
      </c>
      <c r="E48">
        <v>32.9</v>
      </c>
    </row>
    <row r="49" spans="1:5" x14ac:dyDescent="0.25">
      <c r="A49" t="s">
        <v>558</v>
      </c>
      <c r="B49" t="s">
        <v>496</v>
      </c>
      <c r="C49" s="28">
        <v>2.0030000000000001</v>
      </c>
      <c r="D49">
        <v>0</v>
      </c>
      <c r="E49">
        <v>2.0030000000000001</v>
      </c>
    </row>
    <row r="50" spans="1:5" x14ac:dyDescent="0.25">
      <c r="A50" t="s">
        <v>563</v>
      </c>
      <c r="B50" t="s">
        <v>582</v>
      </c>
      <c r="C50" s="28">
        <v>2</v>
      </c>
      <c r="D50">
        <v>0</v>
      </c>
      <c r="E50">
        <v>2</v>
      </c>
    </row>
    <row r="51" spans="1:5" x14ac:dyDescent="0.25">
      <c r="A51" t="s">
        <v>561</v>
      </c>
      <c r="B51" t="s">
        <v>63</v>
      </c>
      <c r="C51" s="28" t="s">
        <v>779</v>
      </c>
      <c r="D51">
        <v>0</v>
      </c>
      <c r="E51" t="s">
        <v>779</v>
      </c>
    </row>
    <row r="52" spans="1:5" x14ac:dyDescent="0.25">
      <c r="A52" t="s">
        <v>561</v>
      </c>
      <c r="B52" t="s">
        <v>583</v>
      </c>
      <c r="C52" s="28">
        <v>15.6</v>
      </c>
      <c r="D52">
        <v>0</v>
      </c>
      <c r="E52">
        <v>15.6</v>
      </c>
    </row>
    <row r="53" spans="1:5" x14ac:dyDescent="0.25">
      <c r="A53" t="s">
        <v>558</v>
      </c>
      <c r="B53" t="s">
        <v>115</v>
      </c>
      <c r="C53" s="28">
        <v>14.608000000000001</v>
      </c>
      <c r="D53">
        <v>0</v>
      </c>
      <c r="E53">
        <v>14.608000000000001</v>
      </c>
    </row>
    <row r="54" spans="1:5" x14ac:dyDescent="0.25">
      <c r="A54" t="s">
        <v>561</v>
      </c>
      <c r="B54" t="s">
        <v>46</v>
      </c>
      <c r="C54" s="28" t="s">
        <v>779</v>
      </c>
      <c r="D54">
        <v>0</v>
      </c>
      <c r="E54" t="s">
        <v>779</v>
      </c>
    </row>
    <row r="55" spans="1:5" x14ac:dyDescent="0.25">
      <c r="A55" t="s">
        <v>556</v>
      </c>
      <c r="B55" t="s">
        <v>339</v>
      </c>
      <c r="C55" s="28">
        <v>482.91</v>
      </c>
      <c r="D55">
        <v>0</v>
      </c>
      <c r="E55">
        <v>482.91</v>
      </c>
    </row>
    <row r="56" spans="1:5" x14ac:dyDescent="0.25">
      <c r="A56" t="s">
        <v>568</v>
      </c>
      <c r="B56" t="s">
        <v>179</v>
      </c>
      <c r="C56" s="28">
        <v>7.5039999999999996</v>
      </c>
      <c r="D56">
        <v>0</v>
      </c>
      <c r="E56">
        <v>7.5039999999999996</v>
      </c>
    </row>
    <row r="57" spans="1:5" x14ac:dyDescent="0.25">
      <c r="A57" t="s">
        <v>584</v>
      </c>
      <c r="B57" t="s">
        <v>90</v>
      </c>
      <c r="C57" s="28">
        <v>7.6</v>
      </c>
      <c r="D57">
        <v>0</v>
      </c>
      <c r="E57">
        <v>7.6</v>
      </c>
    </row>
    <row r="58" spans="1:5" x14ac:dyDescent="0.25">
      <c r="A58" t="s">
        <v>545</v>
      </c>
      <c r="B58" t="s">
        <v>96</v>
      </c>
      <c r="C58" s="28">
        <v>32.234999999999999</v>
      </c>
      <c r="D58">
        <v>0</v>
      </c>
      <c r="E58">
        <v>32.234999999999999</v>
      </c>
    </row>
    <row r="59" spans="1:5" x14ac:dyDescent="0.25">
      <c r="A59" t="s">
        <v>585</v>
      </c>
      <c r="B59" t="s">
        <v>586</v>
      </c>
      <c r="C59" s="28">
        <v>2.6</v>
      </c>
      <c r="D59">
        <v>0</v>
      </c>
      <c r="E59">
        <v>2.6</v>
      </c>
    </row>
    <row r="60" spans="1:5" x14ac:dyDescent="0.25">
      <c r="A60" t="s">
        <v>587</v>
      </c>
      <c r="B60" t="s">
        <v>588</v>
      </c>
      <c r="C60" s="28">
        <v>11.286</v>
      </c>
      <c r="D60">
        <v>0</v>
      </c>
      <c r="E60">
        <v>11.286</v>
      </c>
    </row>
    <row r="61" spans="1:5" x14ac:dyDescent="0.25">
      <c r="A61" t="s">
        <v>589</v>
      </c>
      <c r="B61" t="s">
        <v>91</v>
      </c>
      <c r="C61" s="28">
        <v>105.97799999999999</v>
      </c>
      <c r="D61">
        <v>0</v>
      </c>
      <c r="E61">
        <v>105.97799999999999</v>
      </c>
    </row>
    <row r="62" spans="1:5" x14ac:dyDescent="0.25">
      <c r="A62" t="s">
        <v>590</v>
      </c>
      <c r="B62" t="s">
        <v>94</v>
      </c>
      <c r="C62" s="28">
        <v>33.770000000000003</v>
      </c>
      <c r="D62">
        <v>0</v>
      </c>
      <c r="E62">
        <v>33.770000000000003</v>
      </c>
    </row>
    <row r="63" spans="1:5" x14ac:dyDescent="0.25">
      <c r="A63" t="s">
        <v>546</v>
      </c>
      <c r="B63" t="s">
        <v>98</v>
      </c>
      <c r="C63" s="28">
        <v>47.4</v>
      </c>
      <c r="D63">
        <v>0</v>
      </c>
      <c r="E63">
        <v>47.4</v>
      </c>
    </row>
    <row r="64" spans="1:5" x14ac:dyDescent="0.25">
      <c r="A64" t="s">
        <v>591</v>
      </c>
      <c r="B64" t="s">
        <v>101</v>
      </c>
      <c r="C64" s="28">
        <v>208</v>
      </c>
      <c r="D64">
        <v>0</v>
      </c>
      <c r="E64">
        <v>208</v>
      </c>
    </row>
    <row r="65" spans="1:5" x14ac:dyDescent="0.25">
      <c r="A65" t="s">
        <v>592</v>
      </c>
      <c r="B65" t="s">
        <v>102</v>
      </c>
      <c r="C65" s="28">
        <v>676</v>
      </c>
      <c r="D65">
        <v>0</v>
      </c>
      <c r="E65">
        <v>676</v>
      </c>
    </row>
    <row r="66" spans="1:5" x14ac:dyDescent="0.25">
      <c r="A66" t="s">
        <v>593</v>
      </c>
      <c r="B66" t="s">
        <v>787</v>
      </c>
      <c r="C66" s="28">
        <v>877.9</v>
      </c>
      <c r="D66" t="s">
        <v>779</v>
      </c>
      <c r="E66" t="s">
        <v>779</v>
      </c>
    </row>
    <row r="67" spans="1:5" x14ac:dyDescent="0.25">
      <c r="A67" t="s">
        <v>595</v>
      </c>
      <c r="B67" t="s">
        <v>357</v>
      </c>
      <c r="C67" s="28">
        <v>98.44</v>
      </c>
      <c r="D67">
        <v>0</v>
      </c>
      <c r="E67">
        <v>98.44</v>
      </c>
    </row>
    <row r="68" spans="1:5" x14ac:dyDescent="0.25">
      <c r="A68" t="s">
        <v>596</v>
      </c>
      <c r="B68" t="s">
        <v>108</v>
      </c>
      <c r="C68" s="28">
        <v>64.465999999999994</v>
      </c>
      <c r="D68">
        <v>0</v>
      </c>
      <c r="E68">
        <v>64.465999999999994</v>
      </c>
    </row>
    <row r="69" spans="1:5" x14ac:dyDescent="0.25">
      <c r="A69" t="s">
        <v>597</v>
      </c>
      <c r="B69" t="s">
        <v>106</v>
      </c>
      <c r="C69" s="28">
        <v>111.873</v>
      </c>
      <c r="D69">
        <v>0</v>
      </c>
      <c r="E69">
        <v>111.873</v>
      </c>
    </row>
    <row r="70" spans="1:5" x14ac:dyDescent="0.25">
      <c r="A70" t="s">
        <v>567</v>
      </c>
      <c r="B70" t="s">
        <v>110</v>
      </c>
      <c r="C70" s="28">
        <v>334.42599999999999</v>
      </c>
      <c r="D70">
        <v>36.988</v>
      </c>
      <c r="E70">
        <v>297.43799999999999</v>
      </c>
    </row>
    <row r="71" spans="1:5" x14ac:dyDescent="0.25">
      <c r="A71" t="s">
        <v>598</v>
      </c>
      <c r="B71" t="s">
        <v>246</v>
      </c>
      <c r="C71" s="28">
        <v>40.314</v>
      </c>
      <c r="D71">
        <v>0</v>
      </c>
      <c r="E71">
        <v>40.314</v>
      </c>
    </row>
    <row r="72" spans="1:5" x14ac:dyDescent="0.25">
      <c r="A72" t="s">
        <v>599</v>
      </c>
      <c r="B72" t="s">
        <v>113</v>
      </c>
      <c r="C72" s="28">
        <v>115</v>
      </c>
      <c r="D72">
        <v>0</v>
      </c>
      <c r="E72">
        <v>115</v>
      </c>
    </row>
    <row r="73" spans="1:5" x14ac:dyDescent="0.25">
      <c r="A73" t="s">
        <v>600</v>
      </c>
      <c r="B73" t="s">
        <v>33</v>
      </c>
      <c r="C73" s="28">
        <v>4.5389999999999997</v>
      </c>
      <c r="D73">
        <v>0</v>
      </c>
      <c r="E73">
        <v>4.5389999999999997</v>
      </c>
    </row>
    <row r="74" spans="1:5" x14ac:dyDescent="0.25">
      <c r="A74" t="s">
        <v>598</v>
      </c>
      <c r="B74" t="s">
        <v>239</v>
      </c>
      <c r="C74" s="28">
        <v>48.5</v>
      </c>
      <c r="D74">
        <v>0</v>
      </c>
      <c r="E74">
        <v>48.5</v>
      </c>
    </row>
    <row r="75" spans="1:5" x14ac:dyDescent="0.25">
      <c r="A75" t="s">
        <v>561</v>
      </c>
      <c r="B75" t="s">
        <v>486</v>
      </c>
      <c r="C75" s="28">
        <v>1.58</v>
      </c>
      <c r="D75">
        <v>0</v>
      </c>
      <c r="E75">
        <v>1.58</v>
      </c>
    </row>
    <row r="76" spans="1:5" x14ac:dyDescent="0.25">
      <c r="A76" t="s">
        <v>597</v>
      </c>
      <c r="B76" t="s">
        <v>107</v>
      </c>
      <c r="C76" s="28">
        <v>11.672000000000001</v>
      </c>
      <c r="D76">
        <v>0</v>
      </c>
      <c r="E76">
        <v>11.672000000000001</v>
      </c>
    </row>
    <row r="77" spans="1:5" x14ac:dyDescent="0.25">
      <c r="A77" t="s">
        <v>601</v>
      </c>
      <c r="B77" t="s">
        <v>397</v>
      </c>
      <c r="C77" s="28">
        <v>8.8000000000000007</v>
      </c>
      <c r="D77">
        <v>0</v>
      </c>
      <c r="E77">
        <v>8.8000000000000007</v>
      </c>
    </row>
    <row r="78" spans="1:5" x14ac:dyDescent="0.25">
      <c r="A78" t="s">
        <v>563</v>
      </c>
      <c r="B78" t="s">
        <v>10</v>
      </c>
      <c r="C78" s="28">
        <v>8.1</v>
      </c>
      <c r="D78">
        <v>0</v>
      </c>
      <c r="E78">
        <v>8.1</v>
      </c>
    </row>
    <row r="79" spans="1:5" x14ac:dyDescent="0.25">
      <c r="A79" t="s">
        <v>564</v>
      </c>
      <c r="B79" t="s">
        <v>602</v>
      </c>
      <c r="C79" s="28" t="s">
        <v>779</v>
      </c>
      <c r="D79">
        <v>0</v>
      </c>
      <c r="E79" t="s">
        <v>779</v>
      </c>
    </row>
    <row r="80" spans="1:5" x14ac:dyDescent="0.25">
      <c r="A80" t="s">
        <v>572</v>
      </c>
      <c r="B80" t="s">
        <v>603</v>
      </c>
      <c r="C80" s="28">
        <v>3.27</v>
      </c>
      <c r="D80">
        <v>0</v>
      </c>
      <c r="E80">
        <v>3.27</v>
      </c>
    </row>
    <row r="81" spans="1:5" x14ac:dyDescent="0.25">
      <c r="A81" t="s">
        <v>576</v>
      </c>
      <c r="B81" t="s">
        <v>28</v>
      </c>
      <c r="C81" s="28">
        <v>19.709</v>
      </c>
      <c r="D81">
        <v>0</v>
      </c>
      <c r="E81">
        <v>19.709</v>
      </c>
    </row>
    <row r="82" spans="1:5" x14ac:dyDescent="0.25">
      <c r="A82" t="s">
        <v>557</v>
      </c>
      <c r="B82" t="s">
        <v>204</v>
      </c>
      <c r="C82" s="28">
        <v>8.07</v>
      </c>
      <c r="D82">
        <v>0</v>
      </c>
      <c r="E82">
        <v>8.07</v>
      </c>
    </row>
    <row r="83" spans="1:5" x14ac:dyDescent="0.25">
      <c r="A83" t="s">
        <v>604</v>
      </c>
      <c r="B83" t="s">
        <v>368</v>
      </c>
      <c r="C83" s="28" t="s">
        <v>779</v>
      </c>
      <c r="D83">
        <v>0</v>
      </c>
      <c r="E83" t="s">
        <v>779</v>
      </c>
    </row>
    <row r="84" spans="1:5" x14ac:dyDescent="0.25">
      <c r="A84" t="s">
        <v>605</v>
      </c>
      <c r="B84" t="s">
        <v>351</v>
      </c>
      <c r="C84" s="28">
        <v>4.2720000000000002</v>
      </c>
      <c r="D84">
        <v>0</v>
      </c>
      <c r="E84">
        <v>4.2720000000000002</v>
      </c>
    </row>
    <row r="85" spans="1:5" x14ac:dyDescent="0.25">
      <c r="A85" t="s">
        <v>606</v>
      </c>
      <c r="B85" t="s">
        <v>191</v>
      </c>
      <c r="C85" s="28">
        <v>14.5</v>
      </c>
      <c r="D85">
        <v>0</v>
      </c>
      <c r="E85">
        <v>14.5</v>
      </c>
    </row>
    <row r="86" spans="1:5" x14ac:dyDescent="0.25">
      <c r="A86" t="s">
        <v>572</v>
      </c>
      <c r="B86" t="s">
        <v>607</v>
      </c>
      <c r="C86" s="28">
        <v>4.9509999999999996</v>
      </c>
      <c r="D86">
        <v>0</v>
      </c>
      <c r="E86">
        <v>4.9509999999999996</v>
      </c>
    </row>
    <row r="87" spans="1:5" x14ac:dyDescent="0.25">
      <c r="A87" t="s">
        <v>608</v>
      </c>
      <c r="B87" t="s">
        <v>194</v>
      </c>
      <c r="C87" s="28">
        <v>8.3000000000000007</v>
      </c>
      <c r="D87">
        <v>0</v>
      </c>
      <c r="E87">
        <v>8.3000000000000007</v>
      </c>
    </row>
    <row r="88" spans="1:5" x14ac:dyDescent="0.25">
      <c r="A88" t="s">
        <v>550</v>
      </c>
      <c r="B88" t="s">
        <v>361</v>
      </c>
      <c r="C88" s="28">
        <v>26.1</v>
      </c>
      <c r="D88">
        <v>0</v>
      </c>
      <c r="E88">
        <v>26.1</v>
      </c>
    </row>
    <row r="89" spans="1:5" x14ac:dyDescent="0.25">
      <c r="A89" t="s">
        <v>564</v>
      </c>
      <c r="B89" s="23" t="s">
        <v>609</v>
      </c>
      <c r="C89" s="28" t="s">
        <v>779</v>
      </c>
      <c r="D89">
        <v>0</v>
      </c>
      <c r="E89" t="s">
        <v>779</v>
      </c>
    </row>
    <row r="90" spans="1:5" x14ac:dyDescent="0.25">
      <c r="A90" t="s">
        <v>610</v>
      </c>
      <c r="B90" t="s">
        <v>443</v>
      </c>
      <c r="C90" s="28">
        <v>18.036999999999999</v>
      </c>
      <c r="D90">
        <v>0</v>
      </c>
      <c r="E90">
        <v>18.036999999999999</v>
      </c>
    </row>
    <row r="91" spans="1:5" x14ac:dyDescent="0.25">
      <c r="A91" t="s">
        <v>598</v>
      </c>
      <c r="B91" t="s">
        <v>241</v>
      </c>
      <c r="C91" s="28">
        <v>18.2</v>
      </c>
      <c r="D91">
        <v>0</v>
      </c>
      <c r="E91">
        <v>18.2</v>
      </c>
    </row>
    <row r="92" spans="1:5" x14ac:dyDescent="0.25">
      <c r="A92" t="s">
        <v>558</v>
      </c>
      <c r="B92" t="s">
        <v>123</v>
      </c>
      <c r="C92" s="28">
        <v>23.454999999999998</v>
      </c>
      <c r="D92">
        <v>0</v>
      </c>
      <c r="E92">
        <v>23.454999999999998</v>
      </c>
    </row>
    <row r="93" spans="1:5" x14ac:dyDescent="0.25">
      <c r="A93" t="s">
        <v>567</v>
      </c>
      <c r="B93" t="s">
        <v>111</v>
      </c>
      <c r="C93" s="28">
        <v>4.8970000000000002</v>
      </c>
      <c r="D93">
        <v>0</v>
      </c>
      <c r="E93">
        <v>4.8970000000000002</v>
      </c>
    </row>
    <row r="94" spans="1:5" x14ac:dyDescent="0.25">
      <c r="A94" t="s">
        <v>558</v>
      </c>
      <c r="B94" t="s">
        <v>124</v>
      </c>
      <c r="C94" s="28">
        <v>6.133</v>
      </c>
      <c r="D94">
        <v>0</v>
      </c>
      <c r="E94">
        <v>6.133</v>
      </c>
    </row>
    <row r="95" spans="1:5" x14ac:dyDescent="0.25">
      <c r="A95" t="s">
        <v>601</v>
      </c>
      <c r="B95" t="s">
        <v>185</v>
      </c>
      <c r="C95" s="28">
        <v>9.6</v>
      </c>
      <c r="D95">
        <v>0</v>
      </c>
      <c r="E95">
        <v>9.6</v>
      </c>
    </row>
    <row r="96" spans="1:5" x14ac:dyDescent="0.25">
      <c r="A96" t="s">
        <v>595</v>
      </c>
      <c r="B96" t="s">
        <v>358</v>
      </c>
      <c r="C96" s="28">
        <v>11.818</v>
      </c>
      <c r="D96">
        <v>0</v>
      </c>
      <c r="E96">
        <v>11.818</v>
      </c>
    </row>
    <row r="97" spans="1:5" x14ac:dyDescent="0.25">
      <c r="A97" t="s">
        <v>559</v>
      </c>
      <c r="B97" t="s">
        <v>159</v>
      </c>
      <c r="C97" s="28">
        <v>12.1</v>
      </c>
      <c r="D97">
        <v>0</v>
      </c>
      <c r="E97">
        <v>12.1</v>
      </c>
    </row>
    <row r="98" spans="1:5" x14ac:dyDescent="0.25">
      <c r="A98" t="s">
        <v>568</v>
      </c>
      <c r="B98" t="s">
        <v>180</v>
      </c>
      <c r="C98" s="28">
        <v>11.754</v>
      </c>
      <c r="D98">
        <v>0</v>
      </c>
      <c r="E98">
        <v>11.754</v>
      </c>
    </row>
    <row r="99" spans="1:5" x14ac:dyDescent="0.25">
      <c r="A99" t="s">
        <v>605</v>
      </c>
      <c r="B99" t="s">
        <v>352</v>
      </c>
      <c r="C99" s="28">
        <v>4.3840000000000003</v>
      </c>
      <c r="D99">
        <v>0</v>
      </c>
      <c r="E99">
        <v>4.3840000000000003</v>
      </c>
    </row>
    <row r="100" spans="1:5" x14ac:dyDescent="0.25">
      <c r="A100" t="s">
        <v>558</v>
      </c>
      <c r="B100" t="s">
        <v>399</v>
      </c>
      <c r="C100" s="28">
        <v>3.6190000000000002</v>
      </c>
      <c r="D100">
        <v>0</v>
      </c>
      <c r="E100">
        <v>3.6190000000000002</v>
      </c>
    </row>
    <row r="101" spans="1:5" x14ac:dyDescent="0.25">
      <c r="A101" t="s">
        <v>611</v>
      </c>
      <c r="B101" t="s">
        <v>612</v>
      </c>
      <c r="C101" s="28" t="s">
        <v>779</v>
      </c>
      <c r="D101">
        <v>0</v>
      </c>
      <c r="E101" t="s">
        <v>779</v>
      </c>
    </row>
    <row r="102" spans="1:5" x14ac:dyDescent="0.25">
      <c r="A102" t="s">
        <v>556</v>
      </c>
      <c r="B102" t="s">
        <v>340</v>
      </c>
      <c r="C102" s="28">
        <v>52.21</v>
      </c>
      <c r="D102">
        <v>0</v>
      </c>
      <c r="E102">
        <v>52.21</v>
      </c>
    </row>
    <row r="103" spans="1:5" x14ac:dyDescent="0.25">
      <c r="A103" t="s">
        <v>613</v>
      </c>
      <c r="B103" t="s">
        <v>137</v>
      </c>
      <c r="C103" s="28">
        <v>154.19999999999999</v>
      </c>
      <c r="D103">
        <v>0</v>
      </c>
      <c r="E103">
        <v>154.19999999999999</v>
      </c>
    </row>
    <row r="104" spans="1:5" x14ac:dyDescent="0.25">
      <c r="A104" t="s">
        <v>614</v>
      </c>
      <c r="B104" t="s">
        <v>322</v>
      </c>
      <c r="C104" s="28">
        <v>2.29</v>
      </c>
      <c r="D104">
        <v>0</v>
      </c>
      <c r="E104">
        <v>2.29</v>
      </c>
    </row>
    <row r="105" spans="1:5" x14ac:dyDescent="0.25">
      <c r="A105" t="s">
        <v>615</v>
      </c>
      <c r="B105" t="s">
        <v>138</v>
      </c>
      <c r="C105" s="28">
        <v>702.1</v>
      </c>
      <c r="D105">
        <v>0</v>
      </c>
      <c r="E105">
        <v>702.1</v>
      </c>
    </row>
    <row r="106" spans="1:5" x14ac:dyDescent="0.25">
      <c r="A106" t="s">
        <v>616</v>
      </c>
      <c r="B106" s="44" t="s">
        <v>811</v>
      </c>
      <c r="C106" s="28">
        <v>3620.9645999999998</v>
      </c>
      <c r="D106">
        <v>87</v>
      </c>
      <c r="E106">
        <v>3533.9645999999998</v>
      </c>
    </row>
    <row r="107" spans="1:5" x14ac:dyDescent="0.25">
      <c r="A107" t="s">
        <v>616</v>
      </c>
      <c r="B107" t="s">
        <v>617</v>
      </c>
      <c r="C107" s="28">
        <v>131.4</v>
      </c>
      <c r="D107">
        <v>0</v>
      </c>
      <c r="E107">
        <v>131.4</v>
      </c>
    </row>
    <row r="108" spans="1:5" x14ac:dyDescent="0.25">
      <c r="A108" t="s">
        <v>618</v>
      </c>
      <c r="B108" t="s">
        <v>139</v>
      </c>
      <c r="C108" s="28">
        <v>33.281999999999996</v>
      </c>
      <c r="D108">
        <v>0</v>
      </c>
      <c r="E108">
        <v>33.281999999999996</v>
      </c>
    </row>
    <row r="109" spans="1:5" x14ac:dyDescent="0.25">
      <c r="A109" t="s">
        <v>619</v>
      </c>
      <c r="B109" t="s">
        <v>141</v>
      </c>
      <c r="C109" s="28">
        <v>17.399999999999999</v>
      </c>
      <c r="D109">
        <v>0</v>
      </c>
      <c r="E109">
        <v>17.399999999999999</v>
      </c>
    </row>
    <row r="110" spans="1:5" x14ac:dyDescent="0.25">
      <c r="A110" t="s">
        <v>587</v>
      </c>
      <c r="B110" t="s">
        <v>520</v>
      </c>
      <c r="C110" s="28">
        <v>50.6</v>
      </c>
      <c r="D110">
        <v>0</v>
      </c>
      <c r="E110">
        <v>50.6</v>
      </c>
    </row>
    <row r="111" spans="1:5" x14ac:dyDescent="0.25">
      <c r="A111" t="s">
        <v>620</v>
      </c>
      <c r="B111" t="s">
        <v>208</v>
      </c>
      <c r="C111" s="28" t="s">
        <v>779</v>
      </c>
      <c r="D111">
        <v>0</v>
      </c>
      <c r="E111" t="s">
        <v>779</v>
      </c>
    </row>
    <row r="112" spans="1:5" x14ac:dyDescent="0.25">
      <c r="A112" t="s">
        <v>621</v>
      </c>
      <c r="B112" t="s">
        <v>220</v>
      </c>
      <c r="C112" s="28">
        <v>15.721</v>
      </c>
      <c r="D112">
        <v>0</v>
      </c>
      <c r="E112">
        <v>15.721</v>
      </c>
    </row>
    <row r="113" spans="1:5" x14ac:dyDescent="0.25">
      <c r="A113" t="s">
        <v>622</v>
      </c>
      <c r="B113" t="s">
        <v>142</v>
      </c>
      <c r="C113" s="28">
        <v>575</v>
      </c>
      <c r="D113">
        <v>0</v>
      </c>
      <c r="E113">
        <v>575</v>
      </c>
    </row>
    <row r="114" spans="1:5" x14ac:dyDescent="0.25">
      <c r="A114" t="s">
        <v>623</v>
      </c>
      <c r="B114" t="s">
        <v>533</v>
      </c>
      <c r="C114" s="28">
        <v>10.583</v>
      </c>
      <c r="D114">
        <v>0</v>
      </c>
      <c r="E114">
        <v>10.583</v>
      </c>
    </row>
    <row r="115" spans="1:5" x14ac:dyDescent="0.25">
      <c r="A115" t="s">
        <v>569</v>
      </c>
      <c r="B115" t="s">
        <v>624</v>
      </c>
      <c r="C115" s="28">
        <v>1.2490000000000001</v>
      </c>
      <c r="D115">
        <v>0</v>
      </c>
      <c r="E115">
        <v>1.2490000000000001</v>
      </c>
    </row>
    <row r="116" spans="1:5" x14ac:dyDescent="0.25">
      <c r="A116" t="s">
        <v>556</v>
      </c>
      <c r="B116" t="s">
        <v>345</v>
      </c>
      <c r="C116" s="28">
        <v>55.4</v>
      </c>
      <c r="D116">
        <v>0</v>
      </c>
      <c r="E116">
        <v>55.4</v>
      </c>
    </row>
    <row r="117" spans="1:5" x14ac:dyDescent="0.25">
      <c r="A117" t="s">
        <v>625</v>
      </c>
      <c r="B117" t="s">
        <v>254</v>
      </c>
      <c r="C117" s="28" t="s">
        <v>779</v>
      </c>
      <c r="D117">
        <v>0</v>
      </c>
      <c r="E117" t="s">
        <v>779</v>
      </c>
    </row>
    <row r="118" spans="1:5" x14ac:dyDescent="0.25">
      <c r="A118" t="s">
        <v>572</v>
      </c>
      <c r="B118" t="s">
        <v>64</v>
      </c>
      <c r="C118" s="28">
        <v>7.5</v>
      </c>
      <c r="D118">
        <v>0</v>
      </c>
      <c r="E118">
        <v>7.5</v>
      </c>
    </row>
    <row r="119" spans="1:5" x14ac:dyDescent="0.25">
      <c r="A119" t="s">
        <v>611</v>
      </c>
      <c r="B119" t="s">
        <v>145</v>
      </c>
      <c r="C119" s="28">
        <v>61.8</v>
      </c>
      <c r="D119">
        <v>0</v>
      </c>
      <c r="E119">
        <v>61.8</v>
      </c>
    </row>
    <row r="120" spans="1:5" x14ac:dyDescent="0.25">
      <c r="A120" t="s">
        <v>563</v>
      </c>
      <c r="B120" t="s">
        <v>16</v>
      </c>
      <c r="C120" s="28">
        <v>3.7</v>
      </c>
      <c r="D120">
        <v>0</v>
      </c>
      <c r="E120">
        <v>3.7</v>
      </c>
    </row>
    <row r="121" spans="1:5" x14ac:dyDescent="0.25">
      <c r="A121" t="s">
        <v>626</v>
      </c>
      <c r="B121" t="s">
        <v>373</v>
      </c>
      <c r="C121" s="28">
        <v>964.5</v>
      </c>
      <c r="D121">
        <v>77</v>
      </c>
      <c r="E121">
        <v>887.5</v>
      </c>
    </row>
    <row r="122" spans="1:5" x14ac:dyDescent="0.25">
      <c r="A122" t="s">
        <v>627</v>
      </c>
      <c r="B122" t="s">
        <v>134</v>
      </c>
      <c r="C122" s="28">
        <v>12.3</v>
      </c>
      <c r="D122">
        <v>0</v>
      </c>
      <c r="E122">
        <v>12.3</v>
      </c>
    </row>
    <row r="123" spans="1:5" x14ac:dyDescent="0.25">
      <c r="A123" t="s">
        <v>610</v>
      </c>
      <c r="B123" t="s">
        <v>131</v>
      </c>
      <c r="C123" s="28" t="s">
        <v>779</v>
      </c>
      <c r="D123">
        <v>0</v>
      </c>
      <c r="E123" t="s">
        <v>779</v>
      </c>
    </row>
    <row r="124" spans="1:5" x14ac:dyDescent="0.25">
      <c r="A124" t="s">
        <v>610</v>
      </c>
      <c r="B124" t="s">
        <v>132</v>
      </c>
      <c r="C124" s="28">
        <v>4.5449999999999999</v>
      </c>
      <c r="D124">
        <v>0</v>
      </c>
      <c r="E124">
        <v>4.5449999999999999</v>
      </c>
    </row>
    <row r="125" spans="1:5" x14ac:dyDescent="0.25">
      <c r="A125" t="s">
        <v>628</v>
      </c>
      <c r="B125" t="s">
        <v>148</v>
      </c>
      <c r="C125" s="28">
        <v>31.946999999999999</v>
      </c>
      <c r="D125">
        <v>0</v>
      </c>
      <c r="E125">
        <v>31.946999999999999</v>
      </c>
    </row>
    <row r="126" spans="1:5" x14ac:dyDescent="0.25">
      <c r="A126" t="s">
        <v>626</v>
      </c>
      <c r="B126" t="s">
        <v>400</v>
      </c>
      <c r="C126" s="28">
        <v>1.8280000000000001</v>
      </c>
      <c r="D126">
        <v>0</v>
      </c>
      <c r="E126">
        <v>1.8280000000000001</v>
      </c>
    </row>
    <row r="127" spans="1:5" x14ac:dyDescent="0.25">
      <c r="A127" t="s">
        <v>558</v>
      </c>
      <c r="B127" t="s">
        <v>629</v>
      </c>
      <c r="C127" s="28">
        <v>106.328</v>
      </c>
      <c r="D127">
        <v>0</v>
      </c>
      <c r="E127">
        <v>106.328</v>
      </c>
    </row>
    <row r="128" spans="1:5" x14ac:dyDescent="0.25">
      <c r="A128" t="s">
        <v>566</v>
      </c>
      <c r="B128" t="s">
        <v>325</v>
      </c>
      <c r="C128" s="28" t="s">
        <v>779</v>
      </c>
      <c r="D128">
        <v>0</v>
      </c>
      <c r="E128" t="s">
        <v>779</v>
      </c>
    </row>
    <row r="129" spans="1:5" x14ac:dyDescent="0.25">
      <c r="A129" t="s">
        <v>585</v>
      </c>
      <c r="B129" t="s">
        <v>349</v>
      </c>
      <c r="C129" s="28">
        <v>3.7</v>
      </c>
      <c r="D129">
        <v>0</v>
      </c>
      <c r="E129">
        <v>3.7</v>
      </c>
    </row>
    <row r="130" spans="1:5" x14ac:dyDescent="0.25">
      <c r="A130" t="s">
        <v>568</v>
      </c>
      <c r="B130" t="s">
        <v>181</v>
      </c>
      <c r="C130" s="28">
        <v>6.2610000000000001</v>
      </c>
      <c r="D130">
        <v>0</v>
      </c>
      <c r="E130">
        <v>6.2610000000000001</v>
      </c>
    </row>
    <row r="131" spans="1:5" x14ac:dyDescent="0.25">
      <c r="A131" t="s">
        <v>558</v>
      </c>
      <c r="B131" t="s">
        <v>117</v>
      </c>
      <c r="C131" s="28">
        <v>127.238</v>
      </c>
      <c r="D131">
        <v>0</v>
      </c>
      <c r="E131">
        <v>127.238</v>
      </c>
    </row>
    <row r="132" spans="1:5" x14ac:dyDescent="0.25">
      <c r="A132" t="s">
        <v>569</v>
      </c>
      <c r="B132" t="s">
        <v>379</v>
      </c>
      <c r="C132" s="28">
        <v>6.7640000000000002</v>
      </c>
      <c r="D132">
        <v>0</v>
      </c>
      <c r="E132">
        <v>6.7640000000000002</v>
      </c>
    </row>
    <row r="133" spans="1:5" x14ac:dyDescent="0.25">
      <c r="A133" t="s">
        <v>630</v>
      </c>
      <c r="B133" t="s">
        <v>631</v>
      </c>
      <c r="C133" s="28">
        <v>34.659999999999997</v>
      </c>
      <c r="D133">
        <v>0</v>
      </c>
      <c r="E133">
        <v>34.659999999999997</v>
      </c>
    </row>
    <row r="134" spans="1:5" x14ac:dyDescent="0.25">
      <c r="A134" t="s">
        <v>632</v>
      </c>
      <c r="B134" t="s">
        <v>385</v>
      </c>
      <c r="C134" s="28">
        <v>1.35</v>
      </c>
      <c r="D134">
        <v>0</v>
      </c>
      <c r="E134">
        <v>1.35</v>
      </c>
    </row>
    <row r="135" spans="1:5" x14ac:dyDescent="0.25">
      <c r="A135" t="s">
        <v>632</v>
      </c>
      <c r="B135" t="s">
        <v>386</v>
      </c>
      <c r="C135" s="28">
        <v>0.85</v>
      </c>
      <c r="D135">
        <v>0</v>
      </c>
      <c r="E135">
        <v>0.85</v>
      </c>
    </row>
    <row r="136" spans="1:5" x14ac:dyDescent="0.25">
      <c r="A136" t="s">
        <v>632</v>
      </c>
      <c r="B136" t="s">
        <v>387</v>
      </c>
      <c r="C136" s="28">
        <v>2.99</v>
      </c>
      <c r="D136">
        <v>0</v>
      </c>
      <c r="E136">
        <v>2.99</v>
      </c>
    </row>
    <row r="137" spans="1:5" x14ac:dyDescent="0.25">
      <c r="A137" t="s">
        <v>561</v>
      </c>
      <c r="B137" t="s">
        <v>65</v>
      </c>
      <c r="C137" s="28" t="s">
        <v>779</v>
      </c>
      <c r="D137">
        <v>0</v>
      </c>
      <c r="E137" t="s">
        <v>779</v>
      </c>
    </row>
    <row r="138" spans="1:5" x14ac:dyDescent="0.25">
      <c r="A138" t="s">
        <v>592</v>
      </c>
      <c r="B138" t="s">
        <v>103</v>
      </c>
      <c r="C138" s="28" t="s">
        <v>779</v>
      </c>
      <c r="D138">
        <v>0</v>
      </c>
      <c r="E138" t="s">
        <v>779</v>
      </c>
    </row>
    <row r="139" spans="1:5" x14ac:dyDescent="0.25">
      <c r="A139" t="s">
        <v>558</v>
      </c>
      <c r="B139" t="s">
        <v>125</v>
      </c>
      <c r="C139" s="28">
        <v>41.853999999999999</v>
      </c>
      <c r="D139">
        <v>0</v>
      </c>
      <c r="E139">
        <v>41.853999999999999</v>
      </c>
    </row>
    <row r="140" spans="1:5" x14ac:dyDescent="0.25">
      <c r="A140" t="s">
        <v>618</v>
      </c>
      <c r="B140" t="s">
        <v>140</v>
      </c>
      <c r="C140" s="28">
        <v>2.7690000000000001</v>
      </c>
      <c r="D140">
        <v>0</v>
      </c>
      <c r="E140">
        <v>2.7690000000000001</v>
      </c>
    </row>
    <row r="141" spans="1:5" x14ac:dyDescent="0.25">
      <c r="A141" t="s">
        <v>633</v>
      </c>
      <c r="B141" t="s">
        <v>150</v>
      </c>
      <c r="C141" s="28">
        <v>173.9</v>
      </c>
      <c r="D141">
        <v>0</v>
      </c>
      <c r="E141">
        <v>173.9</v>
      </c>
    </row>
    <row r="142" spans="1:5" x14ac:dyDescent="0.25">
      <c r="A142" t="s">
        <v>634</v>
      </c>
      <c r="B142" t="s">
        <v>151</v>
      </c>
      <c r="C142" s="28">
        <v>186</v>
      </c>
      <c r="D142">
        <v>0</v>
      </c>
      <c r="E142">
        <v>186</v>
      </c>
    </row>
    <row r="143" spans="1:5" x14ac:dyDescent="0.25">
      <c r="A143" t="s">
        <v>635</v>
      </c>
      <c r="B143" t="s">
        <v>153</v>
      </c>
      <c r="C143" s="28">
        <v>47.036999999999999</v>
      </c>
      <c r="D143">
        <v>0</v>
      </c>
      <c r="E143">
        <v>47.036999999999999</v>
      </c>
    </row>
    <row r="144" spans="1:5" x14ac:dyDescent="0.25">
      <c r="A144" t="s">
        <v>561</v>
      </c>
      <c r="B144" t="s">
        <v>89</v>
      </c>
      <c r="C144" s="28">
        <v>1056.8530000000001</v>
      </c>
      <c r="D144">
        <v>0</v>
      </c>
      <c r="E144">
        <v>1056.8530000000001</v>
      </c>
    </row>
    <row r="145" spans="1:5" x14ac:dyDescent="0.25">
      <c r="A145" t="s">
        <v>598</v>
      </c>
      <c r="B145" t="s">
        <v>242</v>
      </c>
      <c r="C145" s="28">
        <v>29</v>
      </c>
      <c r="D145">
        <v>0</v>
      </c>
      <c r="E145">
        <v>29</v>
      </c>
    </row>
    <row r="146" spans="1:5" x14ac:dyDescent="0.25">
      <c r="A146" t="s">
        <v>566</v>
      </c>
      <c r="B146" t="s">
        <v>326</v>
      </c>
      <c r="C146" s="28">
        <v>8.2850000000000001</v>
      </c>
      <c r="D146">
        <v>0</v>
      </c>
      <c r="E146">
        <v>8.2850000000000001</v>
      </c>
    </row>
    <row r="147" spans="1:5" x14ac:dyDescent="0.25">
      <c r="A147" t="s">
        <v>598</v>
      </c>
      <c r="B147" t="s">
        <v>243</v>
      </c>
      <c r="C147" s="28">
        <v>24.8</v>
      </c>
      <c r="D147">
        <v>0</v>
      </c>
      <c r="E147">
        <v>24.8</v>
      </c>
    </row>
    <row r="148" spans="1:5" x14ac:dyDescent="0.25">
      <c r="A148" t="s">
        <v>558</v>
      </c>
      <c r="B148" t="s">
        <v>489</v>
      </c>
      <c r="C148" s="28">
        <v>17.093</v>
      </c>
      <c r="D148">
        <v>0</v>
      </c>
      <c r="E148">
        <v>17.093</v>
      </c>
    </row>
    <row r="149" spans="1:5" x14ac:dyDescent="0.25">
      <c r="A149" t="s">
        <v>589</v>
      </c>
      <c r="B149" t="s">
        <v>92</v>
      </c>
      <c r="C149" s="28">
        <v>2.96</v>
      </c>
      <c r="D149">
        <v>0</v>
      </c>
      <c r="E149">
        <v>2.96</v>
      </c>
    </row>
    <row r="150" spans="1:5" x14ac:dyDescent="0.25">
      <c r="A150" t="s">
        <v>577</v>
      </c>
      <c r="B150" t="s">
        <v>365</v>
      </c>
      <c r="C150" s="28">
        <v>8.1310000000000002</v>
      </c>
      <c r="D150">
        <v>0</v>
      </c>
      <c r="E150">
        <v>8.1310000000000002</v>
      </c>
    </row>
    <row r="151" spans="1:5" x14ac:dyDescent="0.25">
      <c r="A151" t="s">
        <v>636</v>
      </c>
      <c r="B151" t="s">
        <v>37</v>
      </c>
      <c r="C151" s="28">
        <v>9.0350000000000001</v>
      </c>
      <c r="D151">
        <v>0</v>
      </c>
      <c r="E151">
        <v>9.0350000000000001</v>
      </c>
    </row>
    <row r="152" spans="1:5" x14ac:dyDescent="0.25">
      <c r="A152" t="s">
        <v>637</v>
      </c>
      <c r="B152" t="s">
        <v>154</v>
      </c>
      <c r="C152" s="28">
        <v>35</v>
      </c>
      <c r="D152">
        <v>0</v>
      </c>
      <c r="E152">
        <v>35</v>
      </c>
    </row>
    <row r="153" spans="1:5" x14ac:dyDescent="0.25">
      <c r="A153" t="s">
        <v>564</v>
      </c>
      <c r="B153" t="s">
        <v>638</v>
      </c>
      <c r="C153" s="28" t="s">
        <v>779</v>
      </c>
      <c r="D153">
        <v>0</v>
      </c>
      <c r="E153" t="s">
        <v>779</v>
      </c>
    </row>
    <row r="154" spans="1:5" x14ac:dyDescent="0.25">
      <c r="A154" t="s">
        <v>561</v>
      </c>
      <c r="B154" t="s">
        <v>47</v>
      </c>
      <c r="C154" s="28" t="s">
        <v>779</v>
      </c>
      <c r="D154">
        <v>0</v>
      </c>
      <c r="E154" t="s">
        <v>779</v>
      </c>
    </row>
    <row r="155" spans="1:5" x14ac:dyDescent="0.25">
      <c r="A155" t="s">
        <v>639</v>
      </c>
      <c r="B155" t="s">
        <v>640</v>
      </c>
      <c r="C155" s="28">
        <v>0.37</v>
      </c>
      <c r="D155">
        <v>0</v>
      </c>
      <c r="E155">
        <v>0.37</v>
      </c>
    </row>
    <row r="156" spans="1:5" x14ac:dyDescent="0.25">
      <c r="A156" t="s">
        <v>641</v>
      </c>
      <c r="B156" t="s">
        <v>642</v>
      </c>
      <c r="C156" s="28" t="s">
        <v>779</v>
      </c>
      <c r="D156">
        <v>0</v>
      </c>
      <c r="E156" t="s">
        <v>779</v>
      </c>
    </row>
    <row r="157" spans="1:5" x14ac:dyDescent="0.25">
      <c r="A157" t="s">
        <v>608</v>
      </c>
      <c r="B157" t="s">
        <v>195</v>
      </c>
      <c r="C157" s="28">
        <v>10.199999999999999</v>
      </c>
      <c r="D157">
        <v>0</v>
      </c>
      <c r="E157">
        <v>10.199999999999999</v>
      </c>
    </row>
    <row r="158" spans="1:5" x14ac:dyDescent="0.25">
      <c r="A158" t="s">
        <v>559</v>
      </c>
      <c r="B158" t="s">
        <v>160</v>
      </c>
      <c r="C158" s="28">
        <v>685.66</v>
      </c>
      <c r="D158">
        <v>0</v>
      </c>
      <c r="E158">
        <v>685.66</v>
      </c>
    </row>
    <row r="159" spans="1:5" x14ac:dyDescent="0.25">
      <c r="A159" t="s">
        <v>571</v>
      </c>
      <c r="B159" t="s">
        <v>267</v>
      </c>
      <c r="C159" s="28">
        <v>5.681</v>
      </c>
      <c r="D159">
        <v>0</v>
      </c>
      <c r="E159">
        <v>5.681</v>
      </c>
    </row>
    <row r="160" spans="1:5" x14ac:dyDescent="0.25">
      <c r="A160" t="s">
        <v>556</v>
      </c>
      <c r="B160" t="s">
        <v>346</v>
      </c>
      <c r="C160" s="28">
        <v>96.6</v>
      </c>
      <c r="D160">
        <v>0</v>
      </c>
      <c r="E160">
        <v>96.6</v>
      </c>
    </row>
    <row r="161" spans="1:5" x14ac:dyDescent="0.25">
      <c r="A161" t="s">
        <v>643</v>
      </c>
      <c r="B161" t="s">
        <v>162</v>
      </c>
      <c r="C161" s="28">
        <v>380.9</v>
      </c>
      <c r="D161">
        <v>0</v>
      </c>
      <c r="E161">
        <v>380.9</v>
      </c>
    </row>
    <row r="162" spans="1:5" x14ac:dyDescent="0.25">
      <c r="A162" t="s">
        <v>561</v>
      </c>
      <c r="B162" t="s">
        <v>67</v>
      </c>
      <c r="C162" s="28" t="s">
        <v>779</v>
      </c>
      <c r="D162">
        <v>0</v>
      </c>
      <c r="E162" t="s">
        <v>779</v>
      </c>
    </row>
    <row r="163" spans="1:5" x14ac:dyDescent="0.25">
      <c r="A163" t="s">
        <v>598</v>
      </c>
      <c r="B163" t="s">
        <v>644</v>
      </c>
      <c r="C163" s="28" t="s">
        <v>779</v>
      </c>
      <c r="D163">
        <v>0</v>
      </c>
      <c r="E163" t="s">
        <v>779</v>
      </c>
    </row>
    <row r="164" spans="1:5" x14ac:dyDescent="0.25">
      <c r="A164" t="s">
        <v>645</v>
      </c>
      <c r="B164" t="s">
        <v>164</v>
      </c>
      <c r="C164" s="28">
        <v>171.44399999999999</v>
      </c>
      <c r="D164">
        <v>0</v>
      </c>
      <c r="E164">
        <v>171.44399999999999</v>
      </c>
    </row>
    <row r="165" spans="1:5" x14ac:dyDescent="0.25">
      <c r="A165" t="s">
        <v>639</v>
      </c>
      <c r="B165" t="s">
        <v>0</v>
      </c>
      <c r="C165" s="28">
        <v>233.7</v>
      </c>
      <c r="D165">
        <v>0</v>
      </c>
      <c r="E165">
        <v>233.7</v>
      </c>
    </row>
    <row r="166" spans="1:5" x14ac:dyDescent="0.25">
      <c r="A166" t="s">
        <v>646</v>
      </c>
      <c r="B166" t="s">
        <v>166</v>
      </c>
      <c r="C166" s="28">
        <v>605.36900000000003</v>
      </c>
      <c r="D166">
        <v>60.167999999999999</v>
      </c>
      <c r="E166">
        <v>545.20100000000002</v>
      </c>
    </row>
    <row r="167" spans="1:5" x14ac:dyDescent="0.25">
      <c r="A167" t="s">
        <v>647</v>
      </c>
      <c r="B167" t="s">
        <v>648</v>
      </c>
      <c r="C167" s="28" t="s">
        <v>779</v>
      </c>
      <c r="D167">
        <v>0</v>
      </c>
      <c r="E167" t="s">
        <v>779</v>
      </c>
    </row>
    <row r="168" spans="1:5" x14ac:dyDescent="0.25">
      <c r="A168" t="s">
        <v>573</v>
      </c>
      <c r="B168" t="s">
        <v>168</v>
      </c>
      <c r="C168" s="28">
        <v>184.2</v>
      </c>
      <c r="D168">
        <v>0</v>
      </c>
      <c r="E168">
        <v>184.2</v>
      </c>
    </row>
    <row r="169" spans="1:5" x14ac:dyDescent="0.25">
      <c r="A169" t="s">
        <v>649</v>
      </c>
      <c r="B169" t="s">
        <v>170</v>
      </c>
      <c r="C169" s="28">
        <v>36.5</v>
      </c>
      <c r="D169">
        <v>0</v>
      </c>
      <c r="E169">
        <v>36.5</v>
      </c>
    </row>
    <row r="170" spans="1:5" x14ac:dyDescent="0.25">
      <c r="A170" t="s">
        <v>553</v>
      </c>
      <c r="B170" t="s">
        <v>22</v>
      </c>
      <c r="C170" s="28">
        <v>17.242000000000001</v>
      </c>
      <c r="D170">
        <v>0</v>
      </c>
      <c r="E170">
        <v>17.242000000000001</v>
      </c>
    </row>
    <row r="171" spans="1:5" x14ac:dyDescent="0.25">
      <c r="A171" t="s">
        <v>650</v>
      </c>
      <c r="B171" t="s">
        <v>390</v>
      </c>
      <c r="C171" s="28">
        <v>193.40899999999999</v>
      </c>
      <c r="D171">
        <v>0</v>
      </c>
      <c r="E171">
        <v>193.40899999999999</v>
      </c>
    </row>
    <row r="172" spans="1:5" x14ac:dyDescent="0.25">
      <c r="A172" t="s">
        <v>573</v>
      </c>
      <c r="B172" t="s">
        <v>307</v>
      </c>
      <c r="C172" s="28">
        <v>17.8</v>
      </c>
      <c r="D172">
        <v>0</v>
      </c>
      <c r="E172">
        <v>17.8</v>
      </c>
    </row>
    <row r="173" spans="1:5" x14ac:dyDescent="0.25">
      <c r="A173" t="s">
        <v>627</v>
      </c>
      <c r="B173" t="s">
        <v>135</v>
      </c>
      <c r="C173" s="28">
        <v>8.3000000000000007</v>
      </c>
      <c r="D173">
        <v>0</v>
      </c>
      <c r="E173">
        <v>8.3000000000000007</v>
      </c>
    </row>
    <row r="174" spans="1:5" x14ac:dyDescent="0.25">
      <c r="A174" t="s">
        <v>593</v>
      </c>
      <c r="B174" t="s">
        <v>788</v>
      </c>
      <c r="C174" s="28">
        <v>60.6</v>
      </c>
      <c r="D174" t="s">
        <v>779</v>
      </c>
      <c r="E174" t="s">
        <v>779</v>
      </c>
    </row>
    <row r="175" spans="1:5" x14ac:dyDescent="0.25">
      <c r="A175" t="s">
        <v>556</v>
      </c>
      <c r="B175" t="s">
        <v>341</v>
      </c>
      <c r="C175" s="28">
        <v>45.5</v>
      </c>
      <c r="D175">
        <v>0</v>
      </c>
      <c r="E175">
        <v>45.5</v>
      </c>
    </row>
    <row r="176" spans="1:5" x14ac:dyDescent="0.25">
      <c r="A176" t="s">
        <v>651</v>
      </c>
      <c r="B176" t="s">
        <v>175</v>
      </c>
      <c r="C176" s="28">
        <v>14.734</v>
      </c>
      <c r="D176">
        <v>0</v>
      </c>
      <c r="E176">
        <v>14.734</v>
      </c>
    </row>
    <row r="177" spans="1:5" x14ac:dyDescent="0.25">
      <c r="A177" t="s">
        <v>558</v>
      </c>
      <c r="B177" t="s">
        <v>126</v>
      </c>
      <c r="C177" s="28">
        <v>11.848000000000001</v>
      </c>
      <c r="D177">
        <v>0</v>
      </c>
      <c r="E177">
        <v>11.848000000000001</v>
      </c>
    </row>
    <row r="178" spans="1:5" x14ac:dyDescent="0.25">
      <c r="A178" t="s">
        <v>600</v>
      </c>
      <c r="B178" t="s">
        <v>34</v>
      </c>
      <c r="C178" s="28">
        <v>350.84</v>
      </c>
      <c r="D178">
        <v>0</v>
      </c>
      <c r="E178">
        <v>350.84</v>
      </c>
    </row>
    <row r="179" spans="1:5" x14ac:dyDescent="0.25">
      <c r="A179" t="s">
        <v>571</v>
      </c>
      <c r="B179" t="s">
        <v>652</v>
      </c>
      <c r="C179" s="28" t="s">
        <v>779</v>
      </c>
      <c r="D179">
        <v>0</v>
      </c>
      <c r="E179" t="s">
        <v>779</v>
      </c>
    </row>
    <row r="180" spans="1:5" x14ac:dyDescent="0.25">
      <c r="A180" t="s">
        <v>653</v>
      </c>
      <c r="B180" t="s">
        <v>172</v>
      </c>
      <c r="C180" s="28">
        <v>102</v>
      </c>
      <c r="D180">
        <v>0</v>
      </c>
      <c r="E180">
        <v>102</v>
      </c>
    </row>
    <row r="181" spans="1:5" x14ac:dyDescent="0.25">
      <c r="A181" t="s">
        <v>558</v>
      </c>
      <c r="B181" t="s">
        <v>654</v>
      </c>
      <c r="C181" s="28">
        <v>114.98699999999999</v>
      </c>
      <c r="D181">
        <v>113.06</v>
      </c>
      <c r="E181">
        <v>1.9269999999999925</v>
      </c>
    </row>
    <row r="182" spans="1:5" x14ac:dyDescent="0.25">
      <c r="A182" t="s">
        <v>579</v>
      </c>
      <c r="B182" t="s">
        <v>155</v>
      </c>
      <c r="C182" s="28">
        <v>20.07</v>
      </c>
      <c r="D182">
        <v>0</v>
      </c>
      <c r="E182">
        <v>20.07</v>
      </c>
    </row>
    <row r="183" spans="1:5" x14ac:dyDescent="0.25">
      <c r="A183" t="s">
        <v>655</v>
      </c>
      <c r="B183" t="s">
        <v>283</v>
      </c>
      <c r="C183" s="28">
        <v>117.38</v>
      </c>
      <c r="D183">
        <v>0</v>
      </c>
      <c r="E183">
        <v>117.38</v>
      </c>
    </row>
    <row r="184" spans="1:5" x14ac:dyDescent="0.25">
      <c r="A184" t="s">
        <v>561</v>
      </c>
      <c r="B184" t="s">
        <v>68</v>
      </c>
      <c r="C184" s="28">
        <v>49.2</v>
      </c>
      <c r="D184">
        <v>0</v>
      </c>
      <c r="E184">
        <v>49.2</v>
      </c>
    </row>
    <row r="185" spans="1:5" x14ac:dyDescent="0.25">
      <c r="A185" t="s">
        <v>620</v>
      </c>
      <c r="B185" t="s">
        <v>209</v>
      </c>
      <c r="C185" s="28">
        <v>37.200000000000003</v>
      </c>
      <c r="D185">
        <v>0</v>
      </c>
      <c r="E185">
        <v>37.200000000000003</v>
      </c>
    </row>
    <row r="186" spans="1:5" x14ac:dyDescent="0.25">
      <c r="A186" t="s">
        <v>632</v>
      </c>
      <c r="B186" t="s">
        <v>173</v>
      </c>
      <c r="C186" s="28">
        <v>126.7</v>
      </c>
      <c r="D186">
        <v>0</v>
      </c>
      <c r="E186">
        <v>126.7</v>
      </c>
    </row>
    <row r="187" spans="1:5" x14ac:dyDescent="0.25">
      <c r="A187" t="s">
        <v>630</v>
      </c>
      <c r="B187" t="s">
        <v>656</v>
      </c>
      <c r="C187" s="28">
        <v>2.762</v>
      </c>
      <c r="D187">
        <v>0</v>
      </c>
      <c r="E187">
        <v>2.762</v>
      </c>
    </row>
    <row r="188" spans="1:5" x14ac:dyDescent="0.25">
      <c r="A188" t="s">
        <v>592</v>
      </c>
      <c r="B188" t="s">
        <v>104</v>
      </c>
      <c r="C188" s="28">
        <v>0.9</v>
      </c>
      <c r="D188">
        <v>0</v>
      </c>
      <c r="E188">
        <v>0.9</v>
      </c>
    </row>
    <row r="189" spans="1:5" x14ac:dyDescent="0.25">
      <c r="A189" t="s">
        <v>657</v>
      </c>
      <c r="B189" t="s">
        <v>291</v>
      </c>
      <c r="C189" s="28">
        <v>22.852</v>
      </c>
      <c r="D189">
        <v>0</v>
      </c>
      <c r="E189">
        <v>22.852</v>
      </c>
    </row>
    <row r="190" spans="1:5" x14ac:dyDescent="0.25">
      <c r="A190" t="s">
        <v>568</v>
      </c>
      <c r="B190" t="s">
        <v>182</v>
      </c>
      <c r="C190" s="28">
        <v>12.659000000000001</v>
      </c>
      <c r="D190">
        <v>0</v>
      </c>
      <c r="E190">
        <v>12.659000000000001</v>
      </c>
    </row>
    <row r="191" spans="1:5" x14ac:dyDescent="0.25">
      <c r="A191" t="s">
        <v>571</v>
      </c>
      <c r="B191" t="s">
        <v>269</v>
      </c>
      <c r="C191" s="28">
        <v>4.9080000000000004</v>
      </c>
      <c r="D191">
        <v>0</v>
      </c>
      <c r="E191">
        <v>4.9080000000000004</v>
      </c>
    </row>
    <row r="192" spans="1:5" x14ac:dyDescent="0.25">
      <c r="A192" t="s">
        <v>580</v>
      </c>
      <c r="B192" t="s">
        <v>32</v>
      </c>
      <c r="C192" s="28" t="s">
        <v>779</v>
      </c>
      <c r="D192">
        <v>0</v>
      </c>
      <c r="E192" t="s">
        <v>779</v>
      </c>
    </row>
    <row r="193" spans="1:5" x14ac:dyDescent="0.25">
      <c r="A193" t="s">
        <v>651</v>
      </c>
      <c r="B193" t="s">
        <v>174</v>
      </c>
      <c r="C193" s="28">
        <v>198.65</v>
      </c>
      <c r="D193">
        <v>0</v>
      </c>
      <c r="E193">
        <v>198.65</v>
      </c>
    </row>
    <row r="194" spans="1:5" x14ac:dyDescent="0.25">
      <c r="A194" t="s">
        <v>561</v>
      </c>
      <c r="B194" t="s">
        <v>86</v>
      </c>
      <c r="C194" s="28">
        <v>10.039999999999999</v>
      </c>
      <c r="D194">
        <v>0</v>
      </c>
      <c r="E194">
        <v>10.039999999999999</v>
      </c>
    </row>
    <row r="195" spans="1:5" x14ac:dyDescent="0.25">
      <c r="A195" t="s">
        <v>561</v>
      </c>
      <c r="B195" t="s">
        <v>76</v>
      </c>
      <c r="C195" s="28">
        <v>13.84</v>
      </c>
      <c r="D195">
        <v>0</v>
      </c>
      <c r="E195">
        <v>13.84</v>
      </c>
    </row>
    <row r="196" spans="1:5" x14ac:dyDescent="0.25">
      <c r="A196" t="s">
        <v>658</v>
      </c>
      <c r="B196" t="s">
        <v>176</v>
      </c>
      <c r="C196" s="28">
        <v>282</v>
      </c>
      <c r="D196">
        <v>11.324</v>
      </c>
      <c r="E196">
        <v>270.67599999999999</v>
      </c>
    </row>
    <row r="197" spans="1:5" x14ac:dyDescent="0.25">
      <c r="A197" t="s">
        <v>561</v>
      </c>
      <c r="B197" t="s">
        <v>83</v>
      </c>
      <c r="C197" s="28">
        <v>15.55</v>
      </c>
      <c r="D197">
        <v>0</v>
      </c>
      <c r="E197">
        <v>15.55</v>
      </c>
    </row>
    <row r="198" spans="1:5" x14ac:dyDescent="0.25">
      <c r="A198" t="s">
        <v>659</v>
      </c>
      <c r="B198" t="s">
        <v>184</v>
      </c>
      <c r="C198" s="28">
        <v>29.855</v>
      </c>
      <c r="D198">
        <v>0</v>
      </c>
      <c r="E198">
        <v>29.855</v>
      </c>
    </row>
    <row r="199" spans="1:5" x14ac:dyDescent="0.25">
      <c r="A199" t="s">
        <v>636</v>
      </c>
      <c r="B199" t="s">
        <v>38</v>
      </c>
      <c r="C199" s="28">
        <v>32.466000000000001</v>
      </c>
      <c r="D199">
        <v>0</v>
      </c>
      <c r="E199">
        <v>32.466000000000001</v>
      </c>
    </row>
    <row r="200" spans="1:5" x14ac:dyDescent="0.25">
      <c r="A200" t="s">
        <v>601</v>
      </c>
      <c r="B200" t="s">
        <v>186</v>
      </c>
      <c r="C200" s="28">
        <v>30</v>
      </c>
      <c r="D200">
        <v>0</v>
      </c>
      <c r="E200">
        <v>30</v>
      </c>
    </row>
    <row r="201" spans="1:5" x14ac:dyDescent="0.25">
      <c r="A201" t="s">
        <v>660</v>
      </c>
      <c r="B201" t="s">
        <v>515</v>
      </c>
      <c r="C201" s="28" t="s">
        <v>779</v>
      </c>
      <c r="D201">
        <v>0</v>
      </c>
      <c r="E201" t="s">
        <v>779</v>
      </c>
    </row>
    <row r="202" spans="1:5" x14ac:dyDescent="0.25">
      <c r="A202" t="s">
        <v>571</v>
      </c>
      <c r="B202" t="s">
        <v>270</v>
      </c>
      <c r="C202" s="28">
        <v>2.87</v>
      </c>
      <c r="D202">
        <v>0</v>
      </c>
      <c r="E202">
        <v>2.87</v>
      </c>
    </row>
    <row r="203" spans="1:5" x14ac:dyDescent="0.25">
      <c r="A203" t="s">
        <v>561</v>
      </c>
      <c r="B203" t="s">
        <v>490</v>
      </c>
      <c r="C203" s="28">
        <v>7.53</v>
      </c>
      <c r="D203">
        <v>0</v>
      </c>
      <c r="E203">
        <v>7.53</v>
      </c>
    </row>
    <row r="204" spans="1:5" x14ac:dyDescent="0.25">
      <c r="A204" t="s">
        <v>661</v>
      </c>
      <c r="B204" t="s">
        <v>188</v>
      </c>
      <c r="C204" s="28">
        <v>294.90600000000001</v>
      </c>
      <c r="D204">
        <v>0</v>
      </c>
      <c r="E204">
        <v>294.90600000000001</v>
      </c>
    </row>
    <row r="205" spans="1:5" x14ac:dyDescent="0.25">
      <c r="A205" t="s">
        <v>662</v>
      </c>
      <c r="B205" t="s">
        <v>189</v>
      </c>
      <c r="C205" s="28">
        <v>12.1</v>
      </c>
      <c r="D205">
        <v>0</v>
      </c>
      <c r="E205">
        <v>12.1</v>
      </c>
    </row>
    <row r="206" spans="1:5" x14ac:dyDescent="0.25">
      <c r="A206" t="s">
        <v>606</v>
      </c>
      <c r="B206" t="s">
        <v>190</v>
      </c>
      <c r="C206" s="28">
        <v>80.465999999999994</v>
      </c>
      <c r="D206">
        <v>0</v>
      </c>
      <c r="E206">
        <v>80.465999999999994</v>
      </c>
    </row>
    <row r="207" spans="1:5" x14ac:dyDescent="0.25">
      <c r="A207" t="s">
        <v>573</v>
      </c>
      <c r="B207" t="s">
        <v>308</v>
      </c>
      <c r="C207" s="28">
        <v>1353</v>
      </c>
      <c r="D207">
        <v>92.3</v>
      </c>
      <c r="E207">
        <v>1260.7</v>
      </c>
    </row>
    <row r="208" spans="1:5" x14ac:dyDescent="0.25">
      <c r="A208" t="s">
        <v>604</v>
      </c>
      <c r="B208" t="s">
        <v>369</v>
      </c>
      <c r="C208" s="28" t="s">
        <v>779</v>
      </c>
      <c r="D208">
        <v>0</v>
      </c>
      <c r="E208" t="s">
        <v>779</v>
      </c>
    </row>
    <row r="209" spans="1:5" x14ac:dyDescent="0.25">
      <c r="A209" t="s">
        <v>663</v>
      </c>
      <c r="B209" t="s">
        <v>78</v>
      </c>
      <c r="C209" s="28">
        <v>145.69999999999999</v>
      </c>
      <c r="D209">
        <v>0</v>
      </c>
      <c r="E209">
        <v>145.69999999999999</v>
      </c>
    </row>
    <row r="210" spans="1:5" x14ac:dyDescent="0.25">
      <c r="A210" t="s">
        <v>561</v>
      </c>
      <c r="B210" t="s">
        <v>664</v>
      </c>
      <c r="C210" s="28" t="s">
        <v>779</v>
      </c>
      <c r="D210">
        <v>0</v>
      </c>
      <c r="E210" t="s">
        <v>779</v>
      </c>
    </row>
    <row r="211" spans="1:5" x14ac:dyDescent="0.25">
      <c r="A211" t="s">
        <v>665</v>
      </c>
      <c r="B211" t="s">
        <v>404</v>
      </c>
      <c r="C211" s="28">
        <v>4.25</v>
      </c>
      <c r="D211">
        <v>0</v>
      </c>
      <c r="E211">
        <v>4.25</v>
      </c>
    </row>
    <row r="212" spans="1:5" x14ac:dyDescent="0.25">
      <c r="A212" t="s">
        <v>608</v>
      </c>
      <c r="B212" t="s">
        <v>193</v>
      </c>
      <c r="C212" s="28">
        <v>63.1</v>
      </c>
      <c r="D212">
        <v>0</v>
      </c>
      <c r="E212">
        <v>63.1</v>
      </c>
    </row>
    <row r="213" spans="1:5" x14ac:dyDescent="0.25">
      <c r="A213" t="s">
        <v>666</v>
      </c>
      <c r="B213" t="s">
        <v>302</v>
      </c>
      <c r="C213" s="28">
        <v>11.084535000000001</v>
      </c>
      <c r="D213">
        <v>0</v>
      </c>
      <c r="E213">
        <v>11.084535000000001</v>
      </c>
    </row>
    <row r="214" spans="1:5" x14ac:dyDescent="0.25">
      <c r="A214" t="s">
        <v>595</v>
      </c>
      <c r="B214" t="s">
        <v>359</v>
      </c>
      <c r="C214" s="28">
        <v>102.261</v>
      </c>
      <c r="D214">
        <v>0</v>
      </c>
      <c r="E214">
        <v>102.261</v>
      </c>
    </row>
    <row r="215" spans="1:5" x14ac:dyDescent="0.25">
      <c r="A215" t="s">
        <v>667</v>
      </c>
      <c r="B215" t="s">
        <v>196</v>
      </c>
      <c r="C215" s="28">
        <v>775.1</v>
      </c>
      <c r="D215">
        <v>0</v>
      </c>
      <c r="E215">
        <v>775.1</v>
      </c>
    </row>
    <row r="216" spans="1:5" x14ac:dyDescent="0.25">
      <c r="A216" t="s">
        <v>571</v>
      </c>
      <c r="B216" t="s">
        <v>259</v>
      </c>
      <c r="C216" s="28">
        <v>102.925</v>
      </c>
      <c r="D216">
        <v>0</v>
      </c>
      <c r="E216">
        <v>102.925</v>
      </c>
    </row>
    <row r="217" spans="1:5" x14ac:dyDescent="0.25">
      <c r="A217" t="s">
        <v>668</v>
      </c>
      <c r="B217" t="s">
        <v>405</v>
      </c>
      <c r="C217" s="28">
        <v>2.4449999999999998</v>
      </c>
      <c r="D217">
        <v>0</v>
      </c>
      <c r="E217">
        <v>2.4449999999999998</v>
      </c>
    </row>
    <row r="218" spans="1:5" x14ac:dyDescent="0.25">
      <c r="A218" t="s">
        <v>669</v>
      </c>
      <c r="B218" t="s">
        <v>187</v>
      </c>
      <c r="C218" s="28">
        <v>43.305999999999997</v>
      </c>
      <c r="D218">
        <v>0</v>
      </c>
      <c r="E218">
        <v>43.305999999999997</v>
      </c>
    </row>
    <row r="219" spans="1:5" x14ac:dyDescent="0.25">
      <c r="A219" t="s">
        <v>546</v>
      </c>
      <c r="B219" t="s">
        <v>99</v>
      </c>
      <c r="C219" s="28" t="s">
        <v>779</v>
      </c>
      <c r="D219">
        <v>0</v>
      </c>
      <c r="E219" t="s">
        <v>779</v>
      </c>
    </row>
    <row r="220" spans="1:5" x14ac:dyDescent="0.25">
      <c r="A220" t="s">
        <v>572</v>
      </c>
      <c r="B220" t="s">
        <v>69</v>
      </c>
      <c r="C220" s="28">
        <v>3.8119999999999998</v>
      </c>
      <c r="D220">
        <v>0</v>
      </c>
      <c r="E220">
        <v>3.8119999999999998</v>
      </c>
    </row>
    <row r="221" spans="1:5" x14ac:dyDescent="0.25">
      <c r="A221" t="s">
        <v>611</v>
      </c>
      <c r="B221" t="s">
        <v>147</v>
      </c>
      <c r="C221" s="28">
        <v>6.2439999999999998</v>
      </c>
      <c r="D221">
        <v>0</v>
      </c>
      <c r="E221">
        <v>6.2439999999999998</v>
      </c>
    </row>
    <row r="222" spans="1:5" x14ac:dyDescent="0.25">
      <c r="A222" t="s">
        <v>574</v>
      </c>
      <c r="B222" t="s">
        <v>24</v>
      </c>
      <c r="C222" s="28">
        <v>2.4</v>
      </c>
      <c r="D222">
        <v>0</v>
      </c>
      <c r="E222">
        <v>2.4</v>
      </c>
    </row>
    <row r="223" spans="1:5" x14ac:dyDescent="0.25">
      <c r="A223" t="s">
        <v>571</v>
      </c>
      <c r="B223" t="s">
        <v>271</v>
      </c>
      <c r="C223" s="28">
        <v>1.97</v>
      </c>
      <c r="D223">
        <v>0</v>
      </c>
      <c r="E223">
        <v>1.97</v>
      </c>
    </row>
    <row r="224" spans="1:5" x14ac:dyDescent="0.25">
      <c r="A224" t="s">
        <v>670</v>
      </c>
      <c r="B224" t="s">
        <v>200</v>
      </c>
      <c r="C224" s="28" t="s">
        <v>779</v>
      </c>
      <c r="D224">
        <v>0</v>
      </c>
      <c r="E224" t="s">
        <v>779</v>
      </c>
    </row>
    <row r="225" spans="1:5" x14ac:dyDescent="0.25">
      <c r="A225" t="s">
        <v>561</v>
      </c>
      <c r="B225" t="s">
        <v>43</v>
      </c>
      <c r="C225" s="28">
        <v>2200</v>
      </c>
      <c r="D225">
        <v>0</v>
      </c>
      <c r="E225">
        <v>2200</v>
      </c>
    </row>
    <row r="226" spans="1:5" x14ac:dyDescent="0.25">
      <c r="A226" t="s">
        <v>671</v>
      </c>
      <c r="B226" t="s">
        <v>201</v>
      </c>
      <c r="C226" s="28">
        <v>23.2</v>
      </c>
      <c r="D226">
        <v>0</v>
      </c>
      <c r="E226">
        <v>23.2</v>
      </c>
    </row>
    <row r="227" spans="1:5" x14ac:dyDescent="0.25">
      <c r="A227" t="s">
        <v>571</v>
      </c>
      <c r="B227" t="s">
        <v>257</v>
      </c>
      <c r="C227" s="28">
        <v>71.888000000000005</v>
      </c>
      <c r="D227">
        <v>0</v>
      </c>
      <c r="E227">
        <v>71.888000000000005</v>
      </c>
    </row>
    <row r="228" spans="1:5" x14ac:dyDescent="0.25">
      <c r="A228" t="s">
        <v>589</v>
      </c>
      <c r="B228" t="s">
        <v>93</v>
      </c>
      <c r="C228" s="28">
        <v>14.644</v>
      </c>
      <c r="D228">
        <v>0</v>
      </c>
      <c r="E228">
        <v>14.644</v>
      </c>
    </row>
    <row r="229" spans="1:5" x14ac:dyDescent="0.25">
      <c r="A229" t="s">
        <v>668</v>
      </c>
      <c r="B229" t="s">
        <v>202</v>
      </c>
      <c r="C229" s="28">
        <v>131.256</v>
      </c>
      <c r="D229">
        <v>0</v>
      </c>
      <c r="E229">
        <v>131.256</v>
      </c>
    </row>
    <row r="230" spans="1:5" x14ac:dyDescent="0.25">
      <c r="A230" t="s">
        <v>561</v>
      </c>
      <c r="B230" t="s">
        <v>82</v>
      </c>
      <c r="C230" s="28">
        <v>22.6</v>
      </c>
      <c r="D230">
        <v>0</v>
      </c>
      <c r="E230">
        <v>22.6</v>
      </c>
    </row>
    <row r="231" spans="1:5" x14ac:dyDescent="0.25">
      <c r="A231" t="s">
        <v>657</v>
      </c>
      <c r="B231" t="s">
        <v>294</v>
      </c>
      <c r="C231" s="28">
        <v>15.288</v>
      </c>
      <c r="D231">
        <v>0</v>
      </c>
      <c r="E231">
        <v>15.288</v>
      </c>
    </row>
    <row r="232" spans="1:5" x14ac:dyDescent="0.25">
      <c r="A232" t="s">
        <v>672</v>
      </c>
      <c r="B232" t="s">
        <v>511</v>
      </c>
      <c r="C232" s="28">
        <v>15.6</v>
      </c>
      <c r="D232">
        <v>0</v>
      </c>
      <c r="E232">
        <v>15.6</v>
      </c>
    </row>
    <row r="233" spans="1:5" x14ac:dyDescent="0.25">
      <c r="A233" t="s">
        <v>673</v>
      </c>
      <c r="B233" s="44" t="s">
        <v>205</v>
      </c>
      <c r="C233" s="28">
        <v>180.9</v>
      </c>
      <c r="D233" t="s">
        <v>779</v>
      </c>
      <c r="E233" t="s">
        <v>779</v>
      </c>
    </row>
    <row r="234" spans="1:5" x14ac:dyDescent="0.25">
      <c r="A234" t="s">
        <v>549</v>
      </c>
      <c r="B234" t="s">
        <v>3</v>
      </c>
      <c r="C234" s="28" t="s">
        <v>779</v>
      </c>
      <c r="D234">
        <v>0</v>
      </c>
      <c r="E234" t="s">
        <v>779</v>
      </c>
    </row>
    <row r="235" spans="1:5" x14ac:dyDescent="0.25">
      <c r="A235" t="s">
        <v>569</v>
      </c>
      <c r="B235" t="s">
        <v>491</v>
      </c>
      <c r="C235" s="28">
        <v>0.57599999999999996</v>
      </c>
      <c r="D235">
        <v>0</v>
      </c>
      <c r="E235">
        <v>0.57599999999999996</v>
      </c>
    </row>
    <row r="236" spans="1:5" x14ac:dyDescent="0.25">
      <c r="A236" t="s">
        <v>561</v>
      </c>
      <c r="B236" t="s">
        <v>52</v>
      </c>
      <c r="C236" s="28">
        <v>111.563</v>
      </c>
      <c r="D236">
        <v>0</v>
      </c>
      <c r="E236">
        <v>111.563</v>
      </c>
    </row>
    <row r="237" spans="1:5" x14ac:dyDescent="0.25">
      <c r="A237" t="s">
        <v>625</v>
      </c>
      <c r="B237" t="s">
        <v>492</v>
      </c>
      <c r="C237" s="28" t="s">
        <v>779</v>
      </c>
      <c r="D237">
        <v>0</v>
      </c>
      <c r="E237" t="s">
        <v>779</v>
      </c>
    </row>
    <row r="238" spans="1:5" x14ac:dyDescent="0.25">
      <c r="A238" t="s">
        <v>556</v>
      </c>
      <c r="B238" t="s">
        <v>336</v>
      </c>
      <c r="C238" s="28">
        <v>160.33000000000001</v>
      </c>
      <c r="D238">
        <v>0</v>
      </c>
      <c r="E238">
        <v>160.33000000000001</v>
      </c>
    </row>
    <row r="239" spans="1:5" x14ac:dyDescent="0.25">
      <c r="A239" t="s">
        <v>674</v>
      </c>
      <c r="B239" t="s">
        <v>493</v>
      </c>
      <c r="C239" s="28" t="s">
        <v>779</v>
      </c>
      <c r="D239">
        <v>0</v>
      </c>
      <c r="E239" t="s">
        <v>779</v>
      </c>
    </row>
    <row r="240" spans="1:5" x14ac:dyDescent="0.25">
      <c r="A240" t="s">
        <v>665</v>
      </c>
      <c r="B240" t="s">
        <v>319</v>
      </c>
      <c r="C240" s="28">
        <v>6.81</v>
      </c>
      <c r="D240">
        <v>0</v>
      </c>
      <c r="E240">
        <v>6.81</v>
      </c>
    </row>
    <row r="241" spans="1:5" x14ac:dyDescent="0.25">
      <c r="A241" t="s">
        <v>675</v>
      </c>
      <c r="B241" t="s">
        <v>206</v>
      </c>
      <c r="C241" s="28" t="s">
        <v>779</v>
      </c>
      <c r="D241">
        <v>0</v>
      </c>
      <c r="E241" t="s">
        <v>779</v>
      </c>
    </row>
    <row r="242" spans="1:5" x14ac:dyDescent="0.25">
      <c r="A242" t="s">
        <v>676</v>
      </c>
      <c r="B242" t="s">
        <v>210</v>
      </c>
      <c r="C242" s="28">
        <v>443</v>
      </c>
      <c r="D242">
        <v>153</v>
      </c>
      <c r="E242">
        <v>290</v>
      </c>
    </row>
    <row r="243" spans="1:5" x14ac:dyDescent="0.25">
      <c r="A243" t="s">
        <v>676</v>
      </c>
      <c r="B243" t="s">
        <v>677</v>
      </c>
      <c r="C243" s="28">
        <v>20.79</v>
      </c>
      <c r="D243">
        <v>0</v>
      </c>
      <c r="E243">
        <v>20.79</v>
      </c>
    </row>
    <row r="244" spans="1:5" x14ac:dyDescent="0.25">
      <c r="A244" t="s">
        <v>561</v>
      </c>
      <c r="B244" t="s">
        <v>84</v>
      </c>
      <c r="C244" s="28">
        <v>45.23</v>
      </c>
      <c r="D244">
        <v>0</v>
      </c>
      <c r="E244">
        <v>45.23</v>
      </c>
    </row>
    <row r="245" spans="1:5" x14ac:dyDescent="0.25">
      <c r="A245" t="s">
        <v>561</v>
      </c>
      <c r="B245" t="s">
        <v>80</v>
      </c>
      <c r="C245" s="28">
        <v>43.639000000000003</v>
      </c>
      <c r="D245">
        <v>0</v>
      </c>
      <c r="E245">
        <v>43.639000000000003</v>
      </c>
    </row>
    <row r="246" spans="1:5" x14ac:dyDescent="0.25">
      <c r="A246" t="s">
        <v>561</v>
      </c>
      <c r="B246" t="s">
        <v>70</v>
      </c>
      <c r="C246" s="28" t="s">
        <v>779</v>
      </c>
      <c r="D246">
        <v>0</v>
      </c>
      <c r="E246" t="s">
        <v>779</v>
      </c>
    </row>
    <row r="247" spans="1:5" x14ac:dyDescent="0.25">
      <c r="A247" t="s">
        <v>595</v>
      </c>
      <c r="B247" t="s">
        <v>356</v>
      </c>
      <c r="C247" s="28">
        <v>18.896000000000001</v>
      </c>
      <c r="D247">
        <v>0</v>
      </c>
      <c r="E247">
        <v>18.896000000000001</v>
      </c>
    </row>
    <row r="248" spans="1:5" x14ac:dyDescent="0.25">
      <c r="A248" t="s">
        <v>561</v>
      </c>
      <c r="B248" t="s">
        <v>51</v>
      </c>
      <c r="C248" s="28" t="s">
        <v>779</v>
      </c>
      <c r="D248">
        <v>0</v>
      </c>
      <c r="E248" t="s">
        <v>779</v>
      </c>
    </row>
    <row r="249" spans="1:5" x14ac:dyDescent="0.25">
      <c r="A249" t="s">
        <v>559</v>
      </c>
      <c r="B249" t="s">
        <v>161</v>
      </c>
      <c r="C249" s="28" t="s">
        <v>779</v>
      </c>
      <c r="D249">
        <v>0</v>
      </c>
      <c r="E249" t="s">
        <v>779</v>
      </c>
    </row>
    <row r="250" spans="1:5" x14ac:dyDescent="0.25">
      <c r="A250" t="s">
        <v>678</v>
      </c>
      <c r="B250" t="s">
        <v>232</v>
      </c>
      <c r="C250" s="28">
        <v>5.95</v>
      </c>
      <c r="D250">
        <v>0</v>
      </c>
      <c r="E250">
        <v>5.95</v>
      </c>
    </row>
    <row r="251" spans="1:5" x14ac:dyDescent="0.25">
      <c r="A251" t="s">
        <v>561</v>
      </c>
      <c r="B251" s="44" t="s">
        <v>88</v>
      </c>
      <c r="C251" s="28">
        <v>961</v>
      </c>
      <c r="D251">
        <v>0</v>
      </c>
      <c r="E251">
        <v>961</v>
      </c>
    </row>
    <row r="252" spans="1:5" x14ac:dyDescent="0.25">
      <c r="A252" t="s">
        <v>563</v>
      </c>
      <c r="B252" t="s">
        <v>494</v>
      </c>
      <c r="C252" s="28">
        <v>3.4</v>
      </c>
      <c r="D252">
        <v>0</v>
      </c>
      <c r="E252">
        <v>3.4</v>
      </c>
    </row>
    <row r="253" spans="1:5" x14ac:dyDescent="0.25">
      <c r="A253" t="s">
        <v>621</v>
      </c>
      <c r="B253" t="s">
        <v>221</v>
      </c>
      <c r="C253" s="28">
        <v>122.807</v>
      </c>
      <c r="D253">
        <v>0</v>
      </c>
      <c r="E253">
        <v>122.807</v>
      </c>
    </row>
    <row r="254" spans="1:5" x14ac:dyDescent="0.25">
      <c r="A254" t="s">
        <v>571</v>
      </c>
      <c r="B254" t="s">
        <v>258</v>
      </c>
      <c r="C254" s="28">
        <v>12.398999999999999</v>
      </c>
      <c r="D254">
        <v>0</v>
      </c>
      <c r="E254">
        <v>12.398999999999999</v>
      </c>
    </row>
    <row r="255" spans="1:5" x14ac:dyDescent="0.25">
      <c r="A255" t="s">
        <v>679</v>
      </c>
      <c r="B255" t="s">
        <v>163</v>
      </c>
      <c r="C255" s="28">
        <v>133.43</v>
      </c>
      <c r="D255">
        <v>0</v>
      </c>
      <c r="E255">
        <v>133.43</v>
      </c>
    </row>
    <row r="256" spans="1:5" x14ac:dyDescent="0.25">
      <c r="A256" t="s">
        <v>643</v>
      </c>
      <c r="B256" t="s">
        <v>680</v>
      </c>
      <c r="C256" s="28" t="s">
        <v>779</v>
      </c>
      <c r="D256">
        <v>0</v>
      </c>
      <c r="E256" t="s">
        <v>779</v>
      </c>
    </row>
    <row r="257" spans="1:5" x14ac:dyDescent="0.25">
      <c r="A257" t="s">
        <v>641</v>
      </c>
      <c r="B257" t="s">
        <v>681</v>
      </c>
      <c r="C257" s="28" t="s">
        <v>779</v>
      </c>
      <c r="D257">
        <v>0</v>
      </c>
      <c r="E257" t="s">
        <v>779</v>
      </c>
    </row>
    <row r="258" spans="1:5" x14ac:dyDescent="0.25">
      <c r="A258" t="s">
        <v>556</v>
      </c>
      <c r="B258" t="s">
        <v>337</v>
      </c>
      <c r="C258" s="28">
        <v>284.05</v>
      </c>
      <c r="D258">
        <v>0</v>
      </c>
      <c r="E258">
        <v>284.05</v>
      </c>
    </row>
    <row r="259" spans="1:5" x14ac:dyDescent="0.25">
      <c r="A259" t="s">
        <v>558</v>
      </c>
      <c r="B259" t="s">
        <v>121</v>
      </c>
      <c r="C259" s="28">
        <v>59.045000000000002</v>
      </c>
      <c r="D259">
        <v>0</v>
      </c>
      <c r="E259">
        <v>59.045000000000002</v>
      </c>
    </row>
    <row r="260" spans="1:5" x14ac:dyDescent="0.25">
      <c r="A260" t="s">
        <v>551</v>
      </c>
      <c r="B260" t="s">
        <v>223</v>
      </c>
      <c r="C260" s="28">
        <v>157.19800000000001</v>
      </c>
      <c r="D260">
        <v>0</v>
      </c>
      <c r="E260">
        <v>157.19800000000001</v>
      </c>
    </row>
    <row r="261" spans="1:5" x14ac:dyDescent="0.25">
      <c r="A261" t="s">
        <v>558</v>
      </c>
      <c r="B261" t="s">
        <v>127</v>
      </c>
      <c r="C261" s="28">
        <v>1.92</v>
      </c>
      <c r="D261">
        <v>0</v>
      </c>
      <c r="E261">
        <v>1.92</v>
      </c>
    </row>
    <row r="262" spans="1:5" x14ac:dyDescent="0.25">
      <c r="A262" t="s">
        <v>572</v>
      </c>
      <c r="B262" t="s">
        <v>71</v>
      </c>
      <c r="C262" s="28">
        <v>1.899</v>
      </c>
      <c r="D262">
        <v>0</v>
      </c>
      <c r="E262">
        <v>1.899</v>
      </c>
    </row>
    <row r="263" spans="1:5" x14ac:dyDescent="0.25">
      <c r="A263" t="s">
        <v>639</v>
      </c>
      <c r="B263" t="s">
        <v>682</v>
      </c>
      <c r="C263" s="28">
        <v>3.2</v>
      </c>
      <c r="D263">
        <v>0</v>
      </c>
      <c r="E263">
        <v>3.2</v>
      </c>
    </row>
    <row r="264" spans="1:5" x14ac:dyDescent="0.25">
      <c r="A264" t="s">
        <v>563</v>
      </c>
      <c r="B264" t="s">
        <v>8</v>
      </c>
      <c r="C264" s="28">
        <v>22</v>
      </c>
      <c r="D264">
        <v>0</v>
      </c>
      <c r="E264">
        <v>22</v>
      </c>
    </row>
    <row r="265" spans="1:5" x14ac:dyDescent="0.25">
      <c r="A265" t="s">
        <v>561</v>
      </c>
      <c r="B265" t="s">
        <v>56</v>
      </c>
      <c r="C265" s="28" t="s">
        <v>779</v>
      </c>
      <c r="D265">
        <v>0</v>
      </c>
      <c r="E265" t="s">
        <v>779</v>
      </c>
    </row>
    <row r="266" spans="1:5" x14ac:dyDescent="0.25">
      <c r="A266" t="s">
        <v>683</v>
      </c>
      <c r="B266" t="s">
        <v>226</v>
      </c>
      <c r="C266" s="28">
        <v>41.4</v>
      </c>
      <c r="D266">
        <v>0</v>
      </c>
      <c r="E266">
        <v>41.4</v>
      </c>
    </row>
    <row r="267" spans="1:5" x14ac:dyDescent="0.25">
      <c r="A267" t="s">
        <v>575</v>
      </c>
      <c r="B267" t="s">
        <v>26</v>
      </c>
      <c r="C267" s="28">
        <v>1.97</v>
      </c>
      <c r="D267">
        <v>0</v>
      </c>
      <c r="E267">
        <v>1.97</v>
      </c>
    </row>
    <row r="268" spans="1:5" x14ac:dyDescent="0.25">
      <c r="A268" t="s">
        <v>561</v>
      </c>
      <c r="B268" t="s">
        <v>53</v>
      </c>
      <c r="C268" s="28">
        <v>24.253</v>
      </c>
      <c r="D268">
        <v>0</v>
      </c>
      <c r="E268">
        <v>24.253</v>
      </c>
    </row>
    <row r="269" spans="1:5" x14ac:dyDescent="0.25">
      <c r="A269" t="s">
        <v>684</v>
      </c>
      <c r="B269" t="s">
        <v>114</v>
      </c>
      <c r="C269" s="28" t="s">
        <v>779</v>
      </c>
      <c r="D269">
        <v>0</v>
      </c>
      <c r="E269" t="s">
        <v>779</v>
      </c>
    </row>
    <row r="270" spans="1:5" x14ac:dyDescent="0.25">
      <c r="A270" t="s">
        <v>685</v>
      </c>
      <c r="B270" t="s">
        <v>227</v>
      </c>
      <c r="C270" s="28">
        <v>132.30000000000001</v>
      </c>
      <c r="D270">
        <v>0</v>
      </c>
      <c r="E270">
        <v>132.30000000000001</v>
      </c>
    </row>
    <row r="271" spans="1:5" x14ac:dyDescent="0.25">
      <c r="A271" t="s">
        <v>686</v>
      </c>
      <c r="B271" t="s">
        <v>228</v>
      </c>
      <c r="C271" s="28">
        <v>83.1</v>
      </c>
      <c r="D271">
        <v>0</v>
      </c>
      <c r="E271">
        <v>83.1</v>
      </c>
    </row>
    <row r="272" spans="1:5" x14ac:dyDescent="0.25">
      <c r="A272" t="s">
        <v>687</v>
      </c>
      <c r="B272" t="s">
        <v>229</v>
      </c>
      <c r="C272" s="28">
        <v>45.5</v>
      </c>
      <c r="D272">
        <v>0</v>
      </c>
      <c r="E272">
        <v>45.5</v>
      </c>
    </row>
    <row r="273" spans="1:5" x14ac:dyDescent="0.25">
      <c r="A273" t="s">
        <v>678</v>
      </c>
      <c r="B273" t="s">
        <v>230</v>
      </c>
      <c r="C273" s="28">
        <v>219.93</v>
      </c>
      <c r="D273">
        <v>0</v>
      </c>
      <c r="E273">
        <v>219.93</v>
      </c>
    </row>
    <row r="274" spans="1:5" x14ac:dyDescent="0.25">
      <c r="A274" t="s">
        <v>688</v>
      </c>
      <c r="B274" t="s">
        <v>295</v>
      </c>
      <c r="C274" s="28">
        <v>3.7</v>
      </c>
      <c r="D274">
        <v>0</v>
      </c>
      <c r="E274">
        <v>3.7</v>
      </c>
    </row>
    <row r="275" spans="1:5" x14ac:dyDescent="0.25">
      <c r="A275" t="s">
        <v>572</v>
      </c>
      <c r="B275" t="s">
        <v>72</v>
      </c>
      <c r="C275" s="28">
        <v>5.6159999999999997</v>
      </c>
      <c r="D275">
        <v>0</v>
      </c>
      <c r="E275">
        <v>5.6159999999999997</v>
      </c>
    </row>
    <row r="276" spans="1:5" x14ac:dyDescent="0.25">
      <c r="A276" t="s">
        <v>610</v>
      </c>
      <c r="B276" t="s">
        <v>413</v>
      </c>
      <c r="C276" s="28">
        <v>2.1669999999999998</v>
      </c>
      <c r="D276">
        <v>0</v>
      </c>
      <c r="E276">
        <v>2.1669999999999998</v>
      </c>
    </row>
    <row r="277" spans="1:5" x14ac:dyDescent="0.25">
      <c r="A277" t="s">
        <v>621</v>
      </c>
      <c r="B277" t="s">
        <v>222</v>
      </c>
      <c r="C277" s="28">
        <v>18.997</v>
      </c>
      <c r="D277">
        <v>0</v>
      </c>
      <c r="E277">
        <v>18.997</v>
      </c>
    </row>
    <row r="278" spans="1:5" x14ac:dyDescent="0.25">
      <c r="A278" t="s">
        <v>571</v>
      </c>
      <c r="B278" t="s">
        <v>262</v>
      </c>
      <c r="C278" s="28">
        <v>9.2149999999999999</v>
      </c>
      <c r="D278">
        <v>0</v>
      </c>
      <c r="E278">
        <v>9.2149999999999999</v>
      </c>
    </row>
    <row r="279" spans="1:5" x14ac:dyDescent="0.25">
      <c r="A279" t="s">
        <v>581</v>
      </c>
      <c r="B279" t="s">
        <v>414</v>
      </c>
      <c r="C279" s="28">
        <v>94</v>
      </c>
      <c r="D279">
        <v>0</v>
      </c>
      <c r="E279">
        <v>94</v>
      </c>
    </row>
    <row r="280" spans="1:5" x14ac:dyDescent="0.25">
      <c r="A280" t="s">
        <v>678</v>
      </c>
      <c r="B280" t="s">
        <v>233</v>
      </c>
      <c r="C280" s="28">
        <v>1.36</v>
      </c>
      <c r="D280">
        <v>0</v>
      </c>
      <c r="E280">
        <v>1.36</v>
      </c>
    </row>
    <row r="281" spans="1:5" x14ac:dyDescent="0.25">
      <c r="A281" t="s">
        <v>577</v>
      </c>
      <c r="B281" t="s">
        <v>366</v>
      </c>
      <c r="C281" s="28">
        <v>10.997</v>
      </c>
      <c r="D281">
        <v>0</v>
      </c>
      <c r="E281">
        <v>10.997</v>
      </c>
    </row>
    <row r="282" spans="1:5" x14ac:dyDescent="0.25">
      <c r="A282" t="s">
        <v>561</v>
      </c>
      <c r="B282" t="s">
        <v>73</v>
      </c>
      <c r="C282" s="28" t="s">
        <v>779</v>
      </c>
      <c r="D282">
        <v>0</v>
      </c>
      <c r="E282" t="s">
        <v>779</v>
      </c>
    </row>
    <row r="283" spans="1:5" x14ac:dyDescent="0.25">
      <c r="A283" t="s">
        <v>561</v>
      </c>
      <c r="B283" t="s">
        <v>87</v>
      </c>
      <c r="C283" s="28">
        <v>12.2</v>
      </c>
      <c r="D283">
        <v>0</v>
      </c>
      <c r="E283">
        <v>12.2</v>
      </c>
    </row>
    <row r="284" spans="1:5" x14ac:dyDescent="0.25">
      <c r="A284" t="s">
        <v>689</v>
      </c>
      <c r="B284" t="s">
        <v>354</v>
      </c>
      <c r="C284" s="28">
        <v>9.4280000000000008</v>
      </c>
      <c r="D284">
        <v>0</v>
      </c>
      <c r="E284">
        <v>9.4280000000000008</v>
      </c>
    </row>
    <row r="285" spans="1:5" x14ac:dyDescent="0.25">
      <c r="A285" t="s">
        <v>667</v>
      </c>
      <c r="B285" t="s">
        <v>197</v>
      </c>
      <c r="C285" s="28">
        <v>22.7</v>
      </c>
      <c r="D285">
        <v>0</v>
      </c>
      <c r="E285">
        <v>22.7</v>
      </c>
    </row>
    <row r="286" spans="1:5" x14ac:dyDescent="0.25">
      <c r="A286" t="s">
        <v>690</v>
      </c>
      <c r="B286" t="s">
        <v>252</v>
      </c>
      <c r="C286" s="28">
        <v>46.3</v>
      </c>
      <c r="D286">
        <v>0</v>
      </c>
      <c r="E286">
        <v>46.3</v>
      </c>
    </row>
    <row r="287" spans="1:5" x14ac:dyDescent="0.25">
      <c r="A287" t="s">
        <v>639</v>
      </c>
      <c r="B287" t="s">
        <v>691</v>
      </c>
      <c r="C287" s="28" t="s">
        <v>779</v>
      </c>
      <c r="D287">
        <v>0</v>
      </c>
      <c r="E287" t="s">
        <v>779</v>
      </c>
    </row>
    <row r="288" spans="1:5" x14ac:dyDescent="0.25">
      <c r="A288" t="s">
        <v>692</v>
      </c>
      <c r="B288" t="s">
        <v>300</v>
      </c>
      <c r="C288" s="28">
        <v>3.4</v>
      </c>
      <c r="D288">
        <v>0</v>
      </c>
      <c r="E288">
        <v>3.4</v>
      </c>
    </row>
    <row r="289" spans="1:5" x14ac:dyDescent="0.25">
      <c r="A289" t="s">
        <v>625</v>
      </c>
      <c r="B289" t="s">
        <v>693</v>
      </c>
      <c r="C289" s="28">
        <v>149.69999999999999</v>
      </c>
      <c r="D289">
        <v>0</v>
      </c>
      <c r="E289">
        <v>149.69999999999999</v>
      </c>
    </row>
    <row r="290" spans="1:5" x14ac:dyDescent="0.25">
      <c r="A290" t="s">
        <v>694</v>
      </c>
      <c r="B290" t="s">
        <v>255</v>
      </c>
      <c r="C290" s="28">
        <v>223.4</v>
      </c>
      <c r="D290">
        <v>0</v>
      </c>
      <c r="E290">
        <v>223.4</v>
      </c>
    </row>
    <row r="291" spans="1:5" x14ac:dyDescent="0.25">
      <c r="A291" t="s">
        <v>695</v>
      </c>
      <c r="B291" t="s">
        <v>375</v>
      </c>
      <c r="C291" s="28">
        <v>46.5</v>
      </c>
      <c r="D291">
        <v>0</v>
      </c>
      <c r="E291">
        <v>46.5</v>
      </c>
    </row>
    <row r="292" spans="1:5" x14ac:dyDescent="0.25">
      <c r="A292" t="s">
        <v>678</v>
      </c>
      <c r="B292" t="s">
        <v>234</v>
      </c>
      <c r="C292" s="28">
        <v>1.98</v>
      </c>
      <c r="D292">
        <v>0</v>
      </c>
      <c r="E292">
        <v>1.98</v>
      </c>
    </row>
    <row r="293" spans="1:5" x14ac:dyDescent="0.25">
      <c r="A293" t="s">
        <v>598</v>
      </c>
      <c r="B293" t="s">
        <v>244</v>
      </c>
      <c r="C293" s="28">
        <v>25.7</v>
      </c>
      <c r="D293">
        <v>0</v>
      </c>
      <c r="E293">
        <v>25.7</v>
      </c>
    </row>
    <row r="294" spans="1:5" x14ac:dyDescent="0.25">
      <c r="A294" t="s">
        <v>696</v>
      </c>
      <c r="B294" t="s">
        <v>256</v>
      </c>
      <c r="C294" s="28">
        <v>86.2</v>
      </c>
      <c r="D294">
        <v>0</v>
      </c>
      <c r="E294">
        <v>86.2</v>
      </c>
    </row>
    <row r="295" spans="1:5" x14ac:dyDescent="0.25">
      <c r="A295" t="s">
        <v>571</v>
      </c>
      <c r="B295" t="s">
        <v>261</v>
      </c>
      <c r="C295" s="28">
        <v>316.14100000000002</v>
      </c>
      <c r="D295">
        <v>0</v>
      </c>
      <c r="E295">
        <v>316.14100000000002</v>
      </c>
    </row>
    <row r="296" spans="1:5" x14ac:dyDescent="0.25">
      <c r="A296" t="s">
        <v>697</v>
      </c>
      <c r="B296" t="s">
        <v>329</v>
      </c>
      <c r="C296" s="28" t="s">
        <v>779</v>
      </c>
      <c r="D296">
        <v>0</v>
      </c>
      <c r="E296" t="s">
        <v>779</v>
      </c>
    </row>
    <row r="297" spans="1:5" x14ac:dyDescent="0.25">
      <c r="A297" t="s">
        <v>561</v>
      </c>
      <c r="B297" t="s">
        <v>55</v>
      </c>
      <c r="C297" s="28" t="s">
        <v>779</v>
      </c>
      <c r="D297">
        <v>0</v>
      </c>
      <c r="E297" t="s">
        <v>779</v>
      </c>
    </row>
    <row r="298" spans="1:5" x14ac:dyDescent="0.25">
      <c r="A298" t="s">
        <v>698</v>
      </c>
      <c r="B298" t="s">
        <v>143</v>
      </c>
      <c r="C298" s="28">
        <v>51.6</v>
      </c>
      <c r="D298">
        <v>0</v>
      </c>
      <c r="E298">
        <v>51.6</v>
      </c>
    </row>
    <row r="299" spans="1:5" x14ac:dyDescent="0.25">
      <c r="A299" t="s">
        <v>699</v>
      </c>
      <c r="B299" t="s">
        <v>276</v>
      </c>
      <c r="C299" s="28">
        <v>8.5129999999999999</v>
      </c>
      <c r="D299">
        <v>0</v>
      </c>
      <c r="E299">
        <v>8.5129999999999999</v>
      </c>
    </row>
    <row r="300" spans="1:5" x14ac:dyDescent="0.25">
      <c r="A300" t="s">
        <v>568</v>
      </c>
      <c r="B300" t="s">
        <v>183</v>
      </c>
      <c r="C300" s="28">
        <v>26.585999999999999</v>
      </c>
      <c r="D300">
        <v>0</v>
      </c>
      <c r="E300">
        <v>26.585999999999999</v>
      </c>
    </row>
    <row r="301" spans="1:5" x14ac:dyDescent="0.25">
      <c r="A301" t="s">
        <v>563</v>
      </c>
      <c r="B301" t="s">
        <v>15</v>
      </c>
      <c r="C301" s="28">
        <v>25.4</v>
      </c>
      <c r="D301">
        <v>0</v>
      </c>
      <c r="E301">
        <v>25.4</v>
      </c>
    </row>
    <row r="302" spans="1:5" x14ac:dyDescent="0.25">
      <c r="A302" t="s">
        <v>646</v>
      </c>
      <c r="B302" t="s">
        <v>167</v>
      </c>
      <c r="C302" s="28" t="s">
        <v>779</v>
      </c>
      <c r="D302">
        <v>0</v>
      </c>
      <c r="E302" t="s">
        <v>779</v>
      </c>
    </row>
    <row r="303" spans="1:5" x14ac:dyDescent="0.25">
      <c r="A303" t="s">
        <v>561</v>
      </c>
      <c r="B303" t="s">
        <v>481</v>
      </c>
      <c r="C303" s="28" t="s">
        <v>779</v>
      </c>
      <c r="D303">
        <v>0</v>
      </c>
      <c r="E303" t="s">
        <v>779</v>
      </c>
    </row>
    <row r="304" spans="1:5" x14ac:dyDescent="0.25">
      <c r="A304" t="s">
        <v>573</v>
      </c>
      <c r="B304" t="s">
        <v>309</v>
      </c>
      <c r="C304" s="28">
        <v>17.600000000000001</v>
      </c>
      <c r="D304">
        <v>0</v>
      </c>
      <c r="E304">
        <v>17.600000000000001</v>
      </c>
    </row>
    <row r="305" spans="1:5" x14ac:dyDescent="0.25">
      <c r="A305" t="s">
        <v>564</v>
      </c>
      <c r="B305" t="s">
        <v>700</v>
      </c>
      <c r="C305" s="28" t="s">
        <v>779</v>
      </c>
      <c r="D305">
        <v>0</v>
      </c>
      <c r="E305" t="s">
        <v>779</v>
      </c>
    </row>
    <row r="306" spans="1:5" x14ac:dyDescent="0.25">
      <c r="A306" t="s">
        <v>699</v>
      </c>
      <c r="B306" t="s">
        <v>275</v>
      </c>
      <c r="C306" s="28">
        <v>362.11500000000001</v>
      </c>
      <c r="D306">
        <v>0</v>
      </c>
      <c r="E306">
        <v>362.11500000000001</v>
      </c>
    </row>
    <row r="307" spans="1:5" x14ac:dyDescent="0.25">
      <c r="A307" t="s">
        <v>627</v>
      </c>
      <c r="B307" t="s">
        <v>136</v>
      </c>
      <c r="C307" s="28">
        <v>17.5</v>
      </c>
      <c r="D307">
        <v>0</v>
      </c>
      <c r="E307">
        <v>17.5</v>
      </c>
    </row>
    <row r="308" spans="1:5" x14ac:dyDescent="0.25">
      <c r="A308" t="s">
        <v>701</v>
      </c>
      <c r="B308" t="s">
        <v>278</v>
      </c>
      <c r="C308" s="28" t="s">
        <v>779</v>
      </c>
      <c r="D308">
        <v>0</v>
      </c>
      <c r="E308" t="s">
        <v>779</v>
      </c>
    </row>
    <row r="309" spans="1:5" x14ac:dyDescent="0.25">
      <c r="A309" t="s">
        <v>561</v>
      </c>
      <c r="B309" t="s">
        <v>49</v>
      </c>
      <c r="C309" s="28" t="s">
        <v>779</v>
      </c>
      <c r="D309">
        <v>0</v>
      </c>
      <c r="E309" t="s">
        <v>779</v>
      </c>
    </row>
    <row r="310" spans="1:5" x14ac:dyDescent="0.25">
      <c r="A310" t="s">
        <v>702</v>
      </c>
      <c r="B310" t="s">
        <v>280</v>
      </c>
      <c r="C310" s="28">
        <v>319.2</v>
      </c>
      <c r="D310">
        <v>0</v>
      </c>
      <c r="E310">
        <v>319.2</v>
      </c>
    </row>
    <row r="311" spans="1:5" x14ac:dyDescent="0.25">
      <c r="A311" t="s">
        <v>606</v>
      </c>
      <c r="B311" t="s">
        <v>703</v>
      </c>
      <c r="C311" s="28" t="s">
        <v>779</v>
      </c>
      <c r="D311">
        <v>0</v>
      </c>
      <c r="E311" t="s">
        <v>779</v>
      </c>
    </row>
    <row r="312" spans="1:5" x14ac:dyDescent="0.25">
      <c r="A312" t="s">
        <v>611</v>
      </c>
      <c r="B312" t="s">
        <v>416</v>
      </c>
      <c r="C312" s="28">
        <v>2.484</v>
      </c>
      <c r="D312">
        <v>0</v>
      </c>
      <c r="E312">
        <v>2.484</v>
      </c>
    </row>
    <row r="313" spans="1:5" x14ac:dyDescent="0.25">
      <c r="A313" t="s">
        <v>561</v>
      </c>
      <c r="B313" t="s">
        <v>44</v>
      </c>
      <c r="C313" s="28">
        <v>25.323</v>
      </c>
      <c r="D313">
        <v>0</v>
      </c>
      <c r="E313">
        <v>25.323</v>
      </c>
    </row>
    <row r="314" spans="1:5" x14ac:dyDescent="0.25">
      <c r="A314" t="s">
        <v>601</v>
      </c>
      <c r="B314" t="s">
        <v>417</v>
      </c>
      <c r="C314" s="28">
        <v>2</v>
      </c>
      <c r="D314">
        <v>0</v>
      </c>
      <c r="E314">
        <v>2</v>
      </c>
    </row>
    <row r="315" spans="1:5" x14ac:dyDescent="0.25">
      <c r="A315" t="s">
        <v>559</v>
      </c>
      <c r="B315" t="s">
        <v>704</v>
      </c>
      <c r="C315" s="28">
        <v>2.54</v>
      </c>
      <c r="D315">
        <v>0</v>
      </c>
      <c r="E315">
        <v>2.54</v>
      </c>
    </row>
    <row r="316" spans="1:5" x14ac:dyDescent="0.25">
      <c r="A316" t="s">
        <v>597</v>
      </c>
      <c r="B316" t="s">
        <v>705</v>
      </c>
      <c r="C316" s="28">
        <v>4.9820000000000002</v>
      </c>
      <c r="D316">
        <v>0</v>
      </c>
      <c r="E316">
        <v>4.9820000000000002</v>
      </c>
    </row>
    <row r="317" spans="1:5" x14ac:dyDescent="0.25">
      <c r="A317" t="s">
        <v>706</v>
      </c>
      <c r="B317" t="s">
        <v>418</v>
      </c>
      <c r="C317" s="28">
        <v>76.168000000000006</v>
      </c>
      <c r="D317">
        <v>0</v>
      </c>
      <c r="E317">
        <v>76.168000000000006</v>
      </c>
    </row>
    <row r="318" spans="1:5" x14ac:dyDescent="0.25">
      <c r="A318" t="s">
        <v>707</v>
      </c>
      <c r="B318" t="s">
        <v>420</v>
      </c>
      <c r="C318" s="28">
        <v>8162</v>
      </c>
      <c r="D318">
        <v>621.00700000000006</v>
      </c>
      <c r="E318">
        <v>7540.9930000000004</v>
      </c>
    </row>
    <row r="319" spans="1:5" x14ac:dyDescent="0.25">
      <c r="A319" t="s">
        <v>706</v>
      </c>
      <c r="B319" t="s">
        <v>421</v>
      </c>
      <c r="C319" s="28">
        <v>0.9</v>
      </c>
      <c r="D319">
        <v>0</v>
      </c>
      <c r="E319">
        <v>0.9</v>
      </c>
    </row>
    <row r="320" spans="1:5" x14ac:dyDescent="0.25">
      <c r="A320" t="s">
        <v>605</v>
      </c>
      <c r="B320" t="s">
        <v>353</v>
      </c>
      <c r="C320" s="28">
        <v>7.3390000000000004</v>
      </c>
      <c r="D320">
        <v>0</v>
      </c>
      <c r="E320">
        <v>7.3390000000000004</v>
      </c>
    </row>
    <row r="321" spans="1:5" x14ac:dyDescent="0.25">
      <c r="A321" t="s">
        <v>598</v>
      </c>
      <c r="B321" t="s">
        <v>247</v>
      </c>
      <c r="C321" s="28">
        <v>17.350999999999999</v>
      </c>
      <c r="D321">
        <v>0</v>
      </c>
      <c r="E321">
        <v>17.350999999999999</v>
      </c>
    </row>
    <row r="322" spans="1:5" x14ac:dyDescent="0.25">
      <c r="A322" t="s">
        <v>571</v>
      </c>
      <c r="B322" t="s">
        <v>272</v>
      </c>
      <c r="C322" s="28">
        <v>29.599</v>
      </c>
      <c r="D322">
        <v>0</v>
      </c>
      <c r="E322">
        <v>29.599</v>
      </c>
    </row>
    <row r="323" spans="1:5" x14ac:dyDescent="0.25">
      <c r="A323" t="s">
        <v>556</v>
      </c>
      <c r="B323" t="s">
        <v>343</v>
      </c>
      <c r="C323" s="28">
        <v>14.7</v>
      </c>
      <c r="D323">
        <v>0</v>
      </c>
      <c r="E323">
        <v>14.7</v>
      </c>
    </row>
    <row r="324" spans="1:5" x14ac:dyDescent="0.25">
      <c r="A324" t="s">
        <v>564</v>
      </c>
      <c r="B324" t="s">
        <v>708</v>
      </c>
      <c r="C324" s="28" t="s">
        <v>779</v>
      </c>
      <c r="D324">
        <v>0</v>
      </c>
      <c r="E324" t="s">
        <v>779</v>
      </c>
    </row>
    <row r="325" spans="1:5" x14ac:dyDescent="0.25">
      <c r="A325" t="s">
        <v>709</v>
      </c>
      <c r="B325" t="s">
        <v>285</v>
      </c>
      <c r="C325" s="28">
        <v>149.90700000000001</v>
      </c>
      <c r="D325">
        <v>0</v>
      </c>
      <c r="E325">
        <v>149.90700000000001</v>
      </c>
    </row>
    <row r="326" spans="1:5" x14ac:dyDescent="0.25">
      <c r="A326" t="s">
        <v>561</v>
      </c>
      <c r="B326" t="s">
        <v>495</v>
      </c>
      <c r="C326" s="28">
        <v>10.199999999999999</v>
      </c>
      <c r="D326">
        <v>0</v>
      </c>
      <c r="E326">
        <v>10.199999999999999</v>
      </c>
    </row>
    <row r="327" spans="1:5" x14ac:dyDescent="0.25">
      <c r="A327" t="s">
        <v>639</v>
      </c>
      <c r="B327" t="s">
        <v>710</v>
      </c>
      <c r="C327" s="28">
        <v>0.8</v>
      </c>
      <c r="D327">
        <v>0</v>
      </c>
      <c r="E327">
        <v>0.8</v>
      </c>
    </row>
    <row r="328" spans="1:5" x14ac:dyDescent="0.25">
      <c r="A328" t="s">
        <v>558</v>
      </c>
      <c r="B328" t="s">
        <v>128</v>
      </c>
      <c r="C328" s="28">
        <v>1.881</v>
      </c>
      <c r="D328">
        <v>0</v>
      </c>
      <c r="E328">
        <v>1.881</v>
      </c>
    </row>
    <row r="329" spans="1:5" x14ac:dyDescent="0.25">
      <c r="A329" t="s">
        <v>699</v>
      </c>
      <c r="B329" t="s">
        <v>277</v>
      </c>
      <c r="C329" s="28">
        <v>4.343</v>
      </c>
      <c r="D329">
        <v>0</v>
      </c>
      <c r="E329">
        <v>4.343</v>
      </c>
    </row>
    <row r="330" spans="1:5" x14ac:dyDescent="0.25">
      <c r="A330" t="s">
        <v>709</v>
      </c>
      <c r="B330" t="s">
        <v>286</v>
      </c>
      <c r="C330" s="28" t="s">
        <v>779</v>
      </c>
      <c r="D330">
        <v>0</v>
      </c>
      <c r="E330" t="s">
        <v>779</v>
      </c>
    </row>
    <row r="331" spans="1:5" x14ac:dyDescent="0.25">
      <c r="A331" t="s">
        <v>711</v>
      </c>
      <c r="B331" t="s">
        <v>219</v>
      </c>
      <c r="C331" s="28">
        <v>1027.529</v>
      </c>
      <c r="D331">
        <v>1.5289999999999999</v>
      </c>
      <c r="E331">
        <v>1026</v>
      </c>
    </row>
    <row r="332" spans="1:5" x14ac:dyDescent="0.25">
      <c r="A332" t="s">
        <v>657</v>
      </c>
      <c r="B332" t="s">
        <v>288</v>
      </c>
      <c r="C332" s="28">
        <v>642.28</v>
      </c>
      <c r="D332">
        <v>0</v>
      </c>
      <c r="E332">
        <v>642.28</v>
      </c>
    </row>
    <row r="333" spans="1:5" x14ac:dyDescent="0.25">
      <c r="A333" t="s">
        <v>598</v>
      </c>
      <c r="B333" t="s">
        <v>236</v>
      </c>
      <c r="C333" s="28">
        <v>34.86</v>
      </c>
      <c r="D333">
        <v>0</v>
      </c>
      <c r="E333">
        <v>34.86</v>
      </c>
    </row>
    <row r="334" spans="1:5" x14ac:dyDescent="0.25">
      <c r="A334" t="s">
        <v>587</v>
      </c>
      <c r="B334" t="s">
        <v>712</v>
      </c>
      <c r="C334" s="28">
        <v>0.23300000000000001</v>
      </c>
      <c r="D334">
        <v>0</v>
      </c>
      <c r="E334">
        <v>0.23300000000000001</v>
      </c>
    </row>
    <row r="335" spans="1:5" x14ac:dyDescent="0.25">
      <c r="A335" t="s">
        <v>688</v>
      </c>
      <c r="B335" t="s">
        <v>296</v>
      </c>
      <c r="C335" s="28">
        <v>35</v>
      </c>
      <c r="D335">
        <v>0</v>
      </c>
      <c r="E335">
        <v>35</v>
      </c>
    </row>
    <row r="336" spans="1:5" x14ac:dyDescent="0.25">
      <c r="A336" t="s">
        <v>561</v>
      </c>
      <c r="B336" t="s">
        <v>42</v>
      </c>
      <c r="C336" s="28">
        <v>19.600000000000001</v>
      </c>
      <c r="D336">
        <v>0</v>
      </c>
      <c r="E336">
        <v>19.600000000000001</v>
      </c>
    </row>
    <row r="337" spans="1:5" x14ac:dyDescent="0.25">
      <c r="A337" t="s">
        <v>630</v>
      </c>
      <c r="B337" t="s">
        <v>39</v>
      </c>
      <c r="C337" s="28">
        <v>2.609</v>
      </c>
      <c r="D337">
        <v>0</v>
      </c>
      <c r="E337">
        <v>2.609</v>
      </c>
    </row>
    <row r="338" spans="1:5" x14ac:dyDescent="0.25">
      <c r="A338" t="s">
        <v>561</v>
      </c>
      <c r="B338" t="s">
        <v>48</v>
      </c>
      <c r="C338" s="28" t="s">
        <v>779</v>
      </c>
      <c r="D338">
        <v>0</v>
      </c>
      <c r="E338" t="s">
        <v>779</v>
      </c>
    </row>
    <row r="339" spans="1:5" x14ac:dyDescent="0.25">
      <c r="A339" t="s">
        <v>713</v>
      </c>
      <c r="B339" t="s">
        <v>298</v>
      </c>
      <c r="C339" s="28">
        <v>38.045000000000002</v>
      </c>
      <c r="D339">
        <v>0</v>
      </c>
      <c r="E339">
        <v>38.045000000000002</v>
      </c>
    </row>
    <row r="340" spans="1:5" x14ac:dyDescent="0.25">
      <c r="A340" t="s">
        <v>567</v>
      </c>
      <c r="B340" t="s">
        <v>112</v>
      </c>
      <c r="C340" s="28">
        <v>4.7759999999999998</v>
      </c>
      <c r="D340">
        <v>0</v>
      </c>
      <c r="E340">
        <v>4.7759999999999998</v>
      </c>
    </row>
    <row r="341" spans="1:5" x14ac:dyDescent="0.25">
      <c r="A341" t="s">
        <v>558</v>
      </c>
      <c r="B341" t="s">
        <v>120</v>
      </c>
      <c r="C341" s="28">
        <v>53.790999999999997</v>
      </c>
      <c r="D341">
        <v>0</v>
      </c>
      <c r="E341">
        <v>53.790999999999997</v>
      </c>
    </row>
    <row r="342" spans="1:5" x14ac:dyDescent="0.25">
      <c r="A342" t="s">
        <v>611</v>
      </c>
      <c r="B342" t="s">
        <v>144</v>
      </c>
      <c r="C342" s="28">
        <v>50.6</v>
      </c>
      <c r="D342">
        <v>0</v>
      </c>
      <c r="E342">
        <v>50.6</v>
      </c>
    </row>
    <row r="343" spans="1:5" x14ac:dyDescent="0.25">
      <c r="A343" t="s">
        <v>566</v>
      </c>
      <c r="B343" t="s">
        <v>327</v>
      </c>
      <c r="C343" s="28">
        <v>7.3250000000000002</v>
      </c>
      <c r="D343">
        <v>0</v>
      </c>
      <c r="E343">
        <v>7.3250000000000002</v>
      </c>
    </row>
    <row r="344" spans="1:5" x14ac:dyDescent="0.25">
      <c r="A344" t="s">
        <v>692</v>
      </c>
      <c r="B344" t="s">
        <v>299</v>
      </c>
      <c r="C344" s="28">
        <v>41.9</v>
      </c>
      <c r="D344">
        <v>0</v>
      </c>
      <c r="E344">
        <v>41.9</v>
      </c>
    </row>
    <row r="345" spans="1:5" x14ac:dyDescent="0.25">
      <c r="A345" t="s">
        <v>701</v>
      </c>
      <c r="B345" t="s">
        <v>279</v>
      </c>
      <c r="C345" s="28" t="s">
        <v>779</v>
      </c>
      <c r="D345">
        <v>0</v>
      </c>
      <c r="E345" t="s">
        <v>779</v>
      </c>
    </row>
    <row r="346" spans="1:5" x14ac:dyDescent="0.25">
      <c r="A346" t="s">
        <v>715</v>
      </c>
      <c r="B346" t="s">
        <v>716</v>
      </c>
      <c r="C346" s="28">
        <v>2497</v>
      </c>
      <c r="D346">
        <v>2497</v>
      </c>
      <c r="E346">
        <v>0</v>
      </c>
    </row>
    <row r="347" spans="1:5" x14ac:dyDescent="0.25">
      <c r="A347" t="s">
        <v>563</v>
      </c>
      <c r="B347" t="s">
        <v>17</v>
      </c>
      <c r="C347" s="28">
        <v>6.1</v>
      </c>
      <c r="D347">
        <v>0</v>
      </c>
      <c r="E347">
        <v>6.1</v>
      </c>
    </row>
    <row r="348" spans="1:5" x14ac:dyDescent="0.25">
      <c r="A348" t="s">
        <v>666</v>
      </c>
      <c r="B348" t="s">
        <v>301</v>
      </c>
      <c r="C348" s="28">
        <v>125.948592</v>
      </c>
      <c r="D348">
        <v>0</v>
      </c>
      <c r="E348">
        <v>125.948592</v>
      </c>
    </row>
    <row r="349" spans="1:5" x14ac:dyDescent="0.25">
      <c r="A349" t="s">
        <v>561</v>
      </c>
      <c r="B349" t="s">
        <v>75</v>
      </c>
      <c r="C349" s="28" t="s">
        <v>779</v>
      </c>
      <c r="D349">
        <v>0</v>
      </c>
      <c r="E349" t="s">
        <v>779</v>
      </c>
    </row>
    <row r="350" spans="1:5" x14ac:dyDescent="0.25">
      <c r="A350" t="s">
        <v>641</v>
      </c>
      <c r="B350" t="s">
        <v>311</v>
      </c>
      <c r="C350" s="28">
        <v>770</v>
      </c>
      <c r="D350">
        <v>0</v>
      </c>
      <c r="E350">
        <v>770</v>
      </c>
    </row>
    <row r="351" spans="1:5" x14ac:dyDescent="0.25">
      <c r="A351" t="s">
        <v>717</v>
      </c>
      <c r="B351" t="s">
        <v>304</v>
      </c>
      <c r="C351" s="28">
        <v>1012.1</v>
      </c>
      <c r="D351">
        <v>0</v>
      </c>
      <c r="E351">
        <v>1012.1</v>
      </c>
    </row>
    <row r="352" spans="1:5" x14ac:dyDescent="0.25">
      <c r="A352" t="s">
        <v>605</v>
      </c>
      <c r="B352" t="s">
        <v>391</v>
      </c>
      <c r="C352" s="28">
        <v>9.9320000000000004</v>
      </c>
      <c r="D352">
        <v>0</v>
      </c>
      <c r="E352">
        <v>9.9320000000000004</v>
      </c>
    </row>
    <row r="353" spans="1:5" x14ac:dyDescent="0.25">
      <c r="A353" t="s">
        <v>558</v>
      </c>
      <c r="B353" t="s">
        <v>129</v>
      </c>
      <c r="C353" s="28">
        <v>7.1159999999999997</v>
      </c>
      <c r="D353">
        <v>0</v>
      </c>
      <c r="E353">
        <v>7.1159999999999997</v>
      </c>
    </row>
    <row r="354" spans="1:5" x14ac:dyDescent="0.25">
      <c r="A354" t="s">
        <v>718</v>
      </c>
      <c r="B354" t="s">
        <v>314</v>
      </c>
      <c r="C354" s="28">
        <v>57.831000000000003</v>
      </c>
      <c r="D354">
        <v>0</v>
      </c>
      <c r="E354">
        <v>57.831000000000003</v>
      </c>
    </row>
    <row r="355" spans="1:5" x14ac:dyDescent="0.25">
      <c r="A355" t="s">
        <v>699</v>
      </c>
      <c r="B355" t="s">
        <v>719</v>
      </c>
      <c r="C355" s="28">
        <v>1.7689999999999999</v>
      </c>
      <c r="D355">
        <v>0</v>
      </c>
      <c r="E355">
        <v>1.7689999999999999</v>
      </c>
    </row>
    <row r="356" spans="1:5" x14ac:dyDescent="0.25">
      <c r="A356" t="s">
        <v>720</v>
      </c>
      <c r="B356" t="s">
        <v>315</v>
      </c>
      <c r="C356" s="28">
        <v>45.204999999999998</v>
      </c>
      <c r="D356">
        <v>0</v>
      </c>
      <c r="E356">
        <v>45.204999999999998</v>
      </c>
    </row>
    <row r="357" spans="1:5" x14ac:dyDescent="0.25">
      <c r="A357" t="s">
        <v>699</v>
      </c>
      <c r="B357" t="s">
        <v>428</v>
      </c>
      <c r="C357" s="28">
        <v>3.0510000000000002</v>
      </c>
      <c r="D357">
        <v>0</v>
      </c>
      <c r="E357">
        <v>3.0510000000000002</v>
      </c>
    </row>
    <row r="358" spans="1:5" x14ac:dyDescent="0.25">
      <c r="A358" t="s">
        <v>561</v>
      </c>
      <c r="B358" t="s">
        <v>54</v>
      </c>
      <c r="C358" s="28" t="s">
        <v>779</v>
      </c>
      <c r="D358">
        <v>0</v>
      </c>
      <c r="E358" t="s">
        <v>779</v>
      </c>
    </row>
    <row r="359" spans="1:5" x14ac:dyDescent="0.25">
      <c r="A359" t="s">
        <v>600</v>
      </c>
      <c r="B359" t="s">
        <v>35</v>
      </c>
      <c r="C359" s="28" t="s">
        <v>779</v>
      </c>
      <c r="D359">
        <v>0</v>
      </c>
      <c r="E359" t="s">
        <v>779</v>
      </c>
    </row>
    <row r="360" spans="1:5" x14ac:dyDescent="0.25">
      <c r="A360" t="s">
        <v>598</v>
      </c>
      <c r="B360" t="s">
        <v>245</v>
      </c>
      <c r="C360" s="28">
        <v>32</v>
      </c>
      <c r="D360">
        <v>0</v>
      </c>
      <c r="E360">
        <v>32</v>
      </c>
    </row>
    <row r="361" spans="1:5" x14ac:dyDescent="0.25">
      <c r="A361" t="s">
        <v>558</v>
      </c>
      <c r="B361" t="s">
        <v>130</v>
      </c>
      <c r="C361" s="28">
        <v>87.647999999999996</v>
      </c>
      <c r="D361">
        <v>0</v>
      </c>
      <c r="E361">
        <v>87.647999999999996</v>
      </c>
    </row>
    <row r="362" spans="1:5" x14ac:dyDescent="0.25">
      <c r="A362" t="s">
        <v>575</v>
      </c>
      <c r="B362" t="s">
        <v>27</v>
      </c>
      <c r="C362" s="28">
        <v>2.5</v>
      </c>
      <c r="D362">
        <v>0</v>
      </c>
      <c r="E362">
        <v>2.5</v>
      </c>
    </row>
    <row r="363" spans="1:5" x14ac:dyDescent="0.25">
      <c r="A363" t="s">
        <v>721</v>
      </c>
      <c r="B363" t="s">
        <v>514</v>
      </c>
      <c r="C363" s="28">
        <v>0.13</v>
      </c>
      <c r="D363">
        <v>0</v>
      </c>
      <c r="E363">
        <v>0.13</v>
      </c>
    </row>
    <row r="364" spans="1:5" x14ac:dyDescent="0.25">
      <c r="A364" t="s">
        <v>722</v>
      </c>
      <c r="B364" t="s">
        <v>316</v>
      </c>
      <c r="C364" s="28">
        <v>128</v>
      </c>
      <c r="D364">
        <v>0</v>
      </c>
      <c r="E364">
        <v>128</v>
      </c>
    </row>
    <row r="365" spans="1:5" x14ac:dyDescent="0.25">
      <c r="A365" t="s">
        <v>723</v>
      </c>
      <c r="B365" t="s">
        <v>724</v>
      </c>
      <c r="C365" s="28">
        <v>87</v>
      </c>
      <c r="D365">
        <v>0</v>
      </c>
      <c r="E365">
        <v>87</v>
      </c>
    </row>
    <row r="366" spans="1:5" x14ac:dyDescent="0.25">
      <c r="A366" t="s">
        <v>725</v>
      </c>
      <c r="B366" t="s">
        <v>318</v>
      </c>
      <c r="C366" s="28">
        <v>360</v>
      </c>
      <c r="D366">
        <v>0</v>
      </c>
      <c r="E366">
        <v>360</v>
      </c>
    </row>
    <row r="367" spans="1:5" x14ac:dyDescent="0.25">
      <c r="A367" t="s">
        <v>655</v>
      </c>
      <c r="B367" t="s">
        <v>282</v>
      </c>
      <c r="C367" s="28">
        <v>19.63</v>
      </c>
      <c r="D367">
        <v>0</v>
      </c>
      <c r="E367">
        <v>19.63</v>
      </c>
    </row>
    <row r="368" spans="1:5" x14ac:dyDescent="0.25">
      <c r="A368" t="s">
        <v>726</v>
      </c>
      <c r="B368" t="s">
        <v>331</v>
      </c>
      <c r="C368" s="28">
        <v>1.22</v>
      </c>
      <c r="D368">
        <v>0</v>
      </c>
      <c r="E368">
        <v>1.22</v>
      </c>
    </row>
    <row r="369" spans="1:5" x14ac:dyDescent="0.25">
      <c r="A369" t="s">
        <v>657</v>
      </c>
      <c r="B369" t="s">
        <v>727</v>
      </c>
      <c r="C369" s="28" t="s">
        <v>779</v>
      </c>
      <c r="D369">
        <v>0</v>
      </c>
      <c r="E369" t="s">
        <v>779</v>
      </c>
    </row>
    <row r="370" spans="1:5" x14ac:dyDescent="0.25">
      <c r="A370" t="s">
        <v>726</v>
      </c>
      <c r="B370" t="s">
        <v>429</v>
      </c>
      <c r="C370" s="28">
        <v>3.87</v>
      </c>
      <c r="D370">
        <v>0</v>
      </c>
      <c r="E370">
        <v>3.87</v>
      </c>
    </row>
    <row r="371" spans="1:5" x14ac:dyDescent="0.25">
      <c r="A371" t="s">
        <v>634</v>
      </c>
      <c r="B371" t="s">
        <v>152</v>
      </c>
      <c r="C371" s="28">
        <v>17</v>
      </c>
      <c r="D371">
        <v>0</v>
      </c>
      <c r="E371">
        <v>17</v>
      </c>
    </row>
    <row r="372" spans="1:5" x14ac:dyDescent="0.25">
      <c r="A372" t="s">
        <v>707</v>
      </c>
      <c r="B372" t="s">
        <v>442</v>
      </c>
      <c r="C372" s="28">
        <v>75</v>
      </c>
      <c r="D372">
        <v>0</v>
      </c>
      <c r="E372">
        <v>75</v>
      </c>
    </row>
    <row r="373" spans="1:5" x14ac:dyDescent="0.25">
      <c r="A373" t="s">
        <v>625</v>
      </c>
      <c r="B373" t="s">
        <v>527</v>
      </c>
      <c r="C373" s="28" t="s">
        <v>779</v>
      </c>
      <c r="D373">
        <v>0</v>
      </c>
      <c r="E373" t="s">
        <v>779</v>
      </c>
    </row>
    <row r="374" spans="1:5" x14ac:dyDescent="0.25">
      <c r="A374" t="s">
        <v>668</v>
      </c>
      <c r="B374" t="s">
        <v>430</v>
      </c>
      <c r="C374" s="28">
        <v>23.3</v>
      </c>
      <c r="D374">
        <v>0</v>
      </c>
      <c r="E374">
        <v>23.3</v>
      </c>
    </row>
    <row r="375" spans="1:5" x14ac:dyDescent="0.25">
      <c r="A375" t="s">
        <v>665</v>
      </c>
      <c r="B375" t="s">
        <v>320</v>
      </c>
      <c r="C375" s="28">
        <v>265.10000000000002</v>
      </c>
      <c r="D375">
        <v>0</v>
      </c>
      <c r="E375">
        <v>265.10000000000002</v>
      </c>
    </row>
    <row r="376" spans="1:5" x14ac:dyDescent="0.25">
      <c r="A376" t="s">
        <v>596</v>
      </c>
      <c r="B376" t="s">
        <v>383</v>
      </c>
      <c r="C376" s="28">
        <v>2.2789999999999999</v>
      </c>
      <c r="D376">
        <v>0</v>
      </c>
      <c r="E376">
        <v>2.2789999999999999</v>
      </c>
    </row>
    <row r="377" spans="1:5" x14ac:dyDescent="0.25">
      <c r="A377" t="s">
        <v>614</v>
      </c>
      <c r="B377" t="s">
        <v>321</v>
      </c>
      <c r="C377" s="28">
        <v>48.018000000000001</v>
      </c>
      <c r="D377">
        <v>0</v>
      </c>
      <c r="E377">
        <v>48.018000000000001</v>
      </c>
    </row>
    <row r="378" spans="1:5" x14ac:dyDescent="0.25">
      <c r="A378" t="s">
        <v>566</v>
      </c>
      <c r="B378" t="s">
        <v>324</v>
      </c>
      <c r="C378" s="28">
        <v>818.35</v>
      </c>
      <c r="D378">
        <v>0</v>
      </c>
      <c r="E378">
        <v>818.35</v>
      </c>
    </row>
    <row r="379" spans="1:5" x14ac:dyDescent="0.25">
      <c r="A379" t="s">
        <v>556</v>
      </c>
      <c r="B379" t="s">
        <v>335</v>
      </c>
      <c r="C379" s="28">
        <v>1357</v>
      </c>
      <c r="D379">
        <v>0</v>
      </c>
      <c r="E379">
        <v>1357</v>
      </c>
    </row>
    <row r="380" spans="1:5" x14ac:dyDescent="0.25">
      <c r="A380" t="s">
        <v>571</v>
      </c>
      <c r="B380" t="s">
        <v>273</v>
      </c>
      <c r="C380" s="28">
        <v>28.925000000000001</v>
      </c>
      <c r="D380">
        <v>0</v>
      </c>
      <c r="E380">
        <v>28.925000000000001</v>
      </c>
    </row>
    <row r="381" spans="1:5" x14ac:dyDescent="0.25">
      <c r="A381" t="s">
        <v>598</v>
      </c>
      <c r="B381" t="s">
        <v>238</v>
      </c>
      <c r="C381" s="28">
        <v>37.1</v>
      </c>
      <c r="D381">
        <v>0</v>
      </c>
      <c r="E381">
        <v>37.1</v>
      </c>
    </row>
    <row r="382" spans="1:5" x14ac:dyDescent="0.25">
      <c r="A382" t="s">
        <v>697</v>
      </c>
      <c r="B382" t="s">
        <v>328</v>
      </c>
      <c r="C382" s="28" t="s">
        <v>779</v>
      </c>
      <c r="D382">
        <v>0</v>
      </c>
      <c r="E382" t="s">
        <v>779</v>
      </c>
    </row>
    <row r="383" spans="1:5" x14ac:dyDescent="0.25">
      <c r="A383" t="s">
        <v>655</v>
      </c>
      <c r="B383" t="s">
        <v>284</v>
      </c>
      <c r="C383" s="28">
        <v>6.18</v>
      </c>
      <c r="D383">
        <v>0</v>
      </c>
      <c r="E383">
        <v>6.18</v>
      </c>
    </row>
    <row r="384" spans="1:5" x14ac:dyDescent="0.25">
      <c r="A384" t="s">
        <v>564</v>
      </c>
      <c r="B384" t="s">
        <v>169</v>
      </c>
      <c r="C384" s="28" t="s">
        <v>779</v>
      </c>
      <c r="D384">
        <v>0</v>
      </c>
      <c r="E384" t="s">
        <v>779</v>
      </c>
    </row>
    <row r="385" spans="1:5" x14ac:dyDescent="0.25">
      <c r="A385" t="s">
        <v>598</v>
      </c>
      <c r="B385" t="s">
        <v>235</v>
      </c>
      <c r="C385" s="28">
        <v>18.399999999999999</v>
      </c>
      <c r="D385">
        <v>0</v>
      </c>
      <c r="E385">
        <v>18.399999999999999</v>
      </c>
    </row>
    <row r="386" spans="1:5" x14ac:dyDescent="0.25">
      <c r="A386" t="s">
        <v>728</v>
      </c>
      <c r="B386" t="s">
        <v>330</v>
      </c>
      <c r="C386" s="28">
        <v>32.4</v>
      </c>
      <c r="D386">
        <v>0</v>
      </c>
      <c r="E386">
        <v>32.4</v>
      </c>
    </row>
    <row r="387" spans="1:5" x14ac:dyDescent="0.25">
      <c r="A387" t="s">
        <v>726</v>
      </c>
      <c r="B387" t="s">
        <v>332</v>
      </c>
      <c r="C387" s="28">
        <v>162</v>
      </c>
      <c r="D387">
        <v>0</v>
      </c>
      <c r="E387">
        <v>162</v>
      </c>
    </row>
    <row r="388" spans="1:5" x14ac:dyDescent="0.25">
      <c r="A388" t="s">
        <v>561</v>
      </c>
      <c r="B388" t="s">
        <v>58</v>
      </c>
      <c r="C388" s="28" t="s">
        <v>779</v>
      </c>
      <c r="D388">
        <v>0</v>
      </c>
      <c r="E388" t="s">
        <v>779</v>
      </c>
    </row>
    <row r="389" spans="1:5" x14ac:dyDescent="0.25">
      <c r="A389" t="s">
        <v>726</v>
      </c>
      <c r="B389" t="s">
        <v>333</v>
      </c>
      <c r="C389" s="28">
        <v>3.72</v>
      </c>
      <c r="D389">
        <v>0</v>
      </c>
      <c r="E389">
        <v>3.72</v>
      </c>
    </row>
    <row r="390" spans="1:5" x14ac:dyDescent="0.25">
      <c r="A390" t="s">
        <v>606</v>
      </c>
      <c r="B390" t="s">
        <v>192</v>
      </c>
      <c r="C390" s="28">
        <v>3.7</v>
      </c>
      <c r="D390">
        <v>0</v>
      </c>
      <c r="E390">
        <v>3.7</v>
      </c>
    </row>
    <row r="391" spans="1:5" x14ac:dyDescent="0.25">
      <c r="A391" t="s">
        <v>626</v>
      </c>
      <c r="B391" t="s">
        <v>431</v>
      </c>
      <c r="C391" s="28">
        <v>9.6</v>
      </c>
      <c r="D391">
        <v>0</v>
      </c>
      <c r="E391">
        <v>9.6</v>
      </c>
    </row>
    <row r="392" spans="1:5" x14ac:dyDescent="0.25">
      <c r="A392" t="s">
        <v>596</v>
      </c>
      <c r="B392" t="s">
        <v>729</v>
      </c>
      <c r="C392" s="28">
        <v>3.62</v>
      </c>
      <c r="D392">
        <v>0</v>
      </c>
      <c r="E392">
        <v>3.62</v>
      </c>
    </row>
    <row r="393" spans="1:5" x14ac:dyDescent="0.25">
      <c r="A393" t="s">
        <v>585</v>
      </c>
      <c r="B393" t="s">
        <v>348</v>
      </c>
      <c r="C393" s="28">
        <v>122.6</v>
      </c>
      <c r="D393">
        <v>0</v>
      </c>
      <c r="E393">
        <v>122.6</v>
      </c>
    </row>
    <row r="394" spans="1:5" x14ac:dyDescent="0.25">
      <c r="A394" t="s">
        <v>561</v>
      </c>
      <c r="B394" t="s">
        <v>45</v>
      </c>
      <c r="C394" s="28" t="s">
        <v>779</v>
      </c>
      <c r="D394">
        <v>0</v>
      </c>
      <c r="E394" t="s">
        <v>779</v>
      </c>
    </row>
    <row r="395" spans="1:5" x14ac:dyDescent="0.25">
      <c r="A395" t="s">
        <v>605</v>
      </c>
      <c r="B395" t="s">
        <v>350</v>
      </c>
      <c r="C395" s="28">
        <v>86.213999999999999</v>
      </c>
      <c r="D395">
        <v>0</v>
      </c>
      <c r="E395">
        <v>86.213999999999999</v>
      </c>
    </row>
    <row r="396" spans="1:5" x14ac:dyDescent="0.25">
      <c r="A396" t="s">
        <v>571</v>
      </c>
      <c r="B396" t="s">
        <v>260</v>
      </c>
      <c r="C396" s="28">
        <v>15.217000000000001</v>
      </c>
      <c r="D396">
        <v>0</v>
      </c>
      <c r="E396">
        <v>15.217000000000001</v>
      </c>
    </row>
    <row r="397" spans="1:5" x14ac:dyDescent="0.25">
      <c r="A397" t="s">
        <v>598</v>
      </c>
      <c r="B397" t="s">
        <v>240</v>
      </c>
      <c r="C397" s="28">
        <v>24.1</v>
      </c>
      <c r="D397">
        <v>0</v>
      </c>
      <c r="E397">
        <v>24.1</v>
      </c>
    </row>
    <row r="398" spans="1:5" x14ac:dyDescent="0.25">
      <c r="A398" t="s">
        <v>688</v>
      </c>
      <c r="B398" t="s">
        <v>297</v>
      </c>
      <c r="C398" s="28">
        <v>2.8</v>
      </c>
      <c r="D398">
        <v>0</v>
      </c>
      <c r="E398">
        <v>2.8</v>
      </c>
    </row>
    <row r="399" spans="1:5" x14ac:dyDescent="0.25">
      <c r="A399" t="s">
        <v>627</v>
      </c>
      <c r="B399" t="s">
        <v>133</v>
      </c>
      <c r="C399" s="28">
        <v>174</v>
      </c>
      <c r="D399">
        <v>0</v>
      </c>
      <c r="E399">
        <v>174</v>
      </c>
    </row>
    <row r="400" spans="1:5" x14ac:dyDescent="0.25">
      <c r="A400" t="s">
        <v>549</v>
      </c>
      <c r="B400" t="s">
        <v>4</v>
      </c>
      <c r="C400" s="28" t="s">
        <v>779</v>
      </c>
      <c r="D400">
        <v>0</v>
      </c>
      <c r="E400" t="s">
        <v>779</v>
      </c>
    </row>
    <row r="401" spans="1:5" x14ac:dyDescent="0.25">
      <c r="A401" t="s">
        <v>546</v>
      </c>
      <c r="B401" t="s">
        <v>100</v>
      </c>
      <c r="C401" s="28" t="s">
        <v>779</v>
      </c>
      <c r="D401">
        <v>0</v>
      </c>
      <c r="E401" t="s">
        <v>779</v>
      </c>
    </row>
    <row r="402" spans="1:5" x14ac:dyDescent="0.25">
      <c r="A402" t="s">
        <v>650</v>
      </c>
      <c r="B402" t="s">
        <v>305</v>
      </c>
      <c r="C402" s="28">
        <v>5.8460000000000001</v>
      </c>
      <c r="D402">
        <v>0</v>
      </c>
      <c r="E402">
        <v>5.8460000000000001</v>
      </c>
    </row>
    <row r="403" spans="1:5" x14ac:dyDescent="0.25">
      <c r="A403" t="s">
        <v>598</v>
      </c>
      <c r="B403" t="s">
        <v>248</v>
      </c>
      <c r="C403" s="28" t="s">
        <v>779</v>
      </c>
      <c r="D403">
        <v>0</v>
      </c>
      <c r="E403" t="s">
        <v>779</v>
      </c>
    </row>
    <row r="404" spans="1:5" x14ac:dyDescent="0.25">
      <c r="A404" t="s">
        <v>556</v>
      </c>
      <c r="B404" t="s">
        <v>338</v>
      </c>
      <c r="C404" s="28">
        <v>140.94999999999999</v>
      </c>
      <c r="D404">
        <v>0</v>
      </c>
      <c r="E404">
        <v>140.94999999999999</v>
      </c>
    </row>
    <row r="405" spans="1:5" x14ac:dyDescent="0.25">
      <c r="A405" t="s">
        <v>563</v>
      </c>
      <c r="B405" t="s">
        <v>435</v>
      </c>
      <c r="C405" s="28">
        <v>2.2999999999999998</v>
      </c>
      <c r="D405">
        <v>0</v>
      </c>
      <c r="E405">
        <v>2.2999999999999998</v>
      </c>
    </row>
    <row r="406" spans="1:5" x14ac:dyDescent="0.25">
      <c r="A406" t="s">
        <v>561</v>
      </c>
      <c r="B406" t="s">
        <v>50</v>
      </c>
      <c r="C406" s="28" t="s">
        <v>779</v>
      </c>
      <c r="D406">
        <v>0</v>
      </c>
      <c r="E406" t="s">
        <v>779</v>
      </c>
    </row>
    <row r="407" spans="1:5" x14ac:dyDescent="0.25">
      <c r="A407" t="s">
        <v>561</v>
      </c>
      <c r="B407" t="s">
        <v>730</v>
      </c>
      <c r="C407" s="28" t="s">
        <v>779</v>
      </c>
      <c r="D407">
        <v>0</v>
      </c>
      <c r="E407" t="s">
        <v>779</v>
      </c>
    </row>
    <row r="408" spans="1:5" x14ac:dyDescent="0.25">
      <c r="A408" t="s">
        <v>561</v>
      </c>
      <c r="B408" t="s">
        <v>731</v>
      </c>
      <c r="C408" s="28" t="s">
        <v>779</v>
      </c>
      <c r="D408">
        <v>0</v>
      </c>
      <c r="E408" t="s">
        <v>779</v>
      </c>
    </row>
    <row r="409" spans="1:5" x14ac:dyDescent="0.25">
      <c r="A409" t="s">
        <v>689</v>
      </c>
      <c r="B409" t="s">
        <v>355</v>
      </c>
      <c r="C409" s="28">
        <v>151.40799999999999</v>
      </c>
      <c r="D409">
        <v>0</v>
      </c>
      <c r="E409">
        <v>151.40799999999999</v>
      </c>
    </row>
    <row r="410" spans="1:5" x14ac:dyDescent="0.25">
      <c r="A410" t="s">
        <v>598</v>
      </c>
      <c r="B410" t="s">
        <v>732</v>
      </c>
      <c r="C410" s="28" t="s">
        <v>779</v>
      </c>
      <c r="D410">
        <v>0</v>
      </c>
      <c r="E410" t="s">
        <v>779</v>
      </c>
    </row>
    <row r="411" spans="1:5" x14ac:dyDescent="0.25">
      <c r="A411" t="s">
        <v>561</v>
      </c>
      <c r="B411" t="s">
        <v>74</v>
      </c>
      <c r="C411" s="28" t="s">
        <v>779</v>
      </c>
      <c r="D411">
        <v>0</v>
      </c>
      <c r="E411" t="s">
        <v>779</v>
      </c>
    </row>
    <row r="412" spans="1:5" x14ac:dyDescent="0.25">
      <c r="A412" t="s">
        <v>550</v>
      </c>
      <c r="B412" t="s">
        <v>362</v>
      </c>
      <c r="C412" s="28">
        <v>184.5</v>
      </c>
      <c r="D412">
        <v>0</v>
      </c>
      <c r="E412">
        <v>184.5</v>
      </c>
    </row>
    <row r="413" spans="1:5" x14ac:dyDescent="0.25">
      <c r="A413" t="s">
        <v>620</v>
      </c>
      <c r="B413" t="s">
        <v>207</v>
      </c>
      <c r="C413" s="28">
        <v>1455</v>
      </c>
      <c r="D413">
        <v>0</v>
      </c>
      <c r="E413">
        <v>1455</v>
      </c>
    </row>
    <row r="414" spans="1:5" x14ac:dyDescent="0.25">
      <c r="A414" t="s">
        <v>688</v>
      </c>
      <c r="B414" t="s">
        <v>733</v>
      </c>
      <c r="C414" s="28">
        <v>0.6</v>
      </c>
      <c r="D414">
        <v>0</v>
      </c>
      <c r="E414">
        <v>0.6</v>
      </c>
    </row>
    <row r="415" spans="1:5" x14ac:dyDescent="0.25">
      <c r="A415" t="s">
        <v>577</v>
      </c>
      <c r="B415" t="s">
        <v>363</v>
      </c>
      <c r="C415" s="28">
        <v>553.02300000000002</v>
      </c>
      <c r="D415">
        <v>0</v>
      </c>
      <c r="E415">
        <v>553.02300000000002</v>
      </c>
    </row>
    <row r="416" spans="1:5" x14ac:dyDescent="0.25">
      <c r="A416" t="s">
        <v>734</v>
      </c>
      <c r="B416" t="s">
        <v>367</v>
      </c>
      <c r="C416" s="28">
        <v>137.30000000000001</v>
      </c>
      <c r="D416">
        <v>0</v>
      </c>
      <c r="E416">
        <v>137.30000000000001</v>
      </c>
    </row>
    <row r="417" spans="1:5" x14ac:dyDescent="0.25">
      <c r="A417" t="s">
        <v>600</v>
      </c>
      <c r="B417" t="s">
        <v>36</v>
      </c>
      <c r="C417" s="28" t="s">
        <v>779</v>
      </c>
      <c r="D417">
        <v>0</v>
      </c>
      <c r="E417" t="s">
        <v>779</v>
      </c>
    </row>
    <row r="418" spans="1:5" x14ac:dyDescent="0.25">
      <c r="A418" t="s">
        <v>709</v>
      </c>
      <c r="B418" t="s">
        <v>287</v>
      </c>
      <c r="C418" s="28" t="s">
        <v>779</v>
      </c>
      <c r="D418">
        <v>0</v>
      </c>
      <c r="E418" t="s">
        <v>779</v>
      </c>
    </row>
    <row r="419" spans="1:5" x14ac:dyDescent="0.25">
      <c r="A419" t="s">
        <v>655</v>
      </c>
      <c r="B419" t="s">
        <v>281</v>
      </c>
      <c r="C419" s="28">
        <v>42.76</v>
      </c>
      <c r="D419">
        <v>0</v>
      </c>
      <c r="E419">
        <v>42.76</v>
      </c>
    </row>
    <row r="420" spans="1:5" x14ac:dyDescent="0.25">
      <c r="A420" t="s">
        <v>604</v>
      </c>
      <c r="B420" t="s">
        <v>370</v>
      </c>
      <c r="C420" s="28" t="s">
        <v>779</v>
      </c>
      <c r="D420">
        <v>0</v>
      </c>
      <c r="E420" t="s">
        <v>779</v>
      </c>
    </row>
    <row r="421" spans="1:5" x14ac:dyDescent="0.25">
      <c r="A421" t="s">
        <v>571</v>
      </c>
      <c r="B421" t="s">
        <v>274</v>
      </c>
      <c r="C421" s="28">
        <v>2.573</v>
      </c>
      <c r="D421">
        <v>0</v>
      </c>
      <c r="E421">
        <v>2.573</v>
      </c>
    </row>
    <row r="422" spans="1:5" x14ac:dyDescent="0.25">
      <c r="A422" t="s">
        <v>579</v>
      </c>
      <c r="B422" t="s">
        <v>156</v>
      </c>
      <c r="C422" s="28">
        <v>54.3</v>
      </c>
      <c r="D422">
        <v>0</v>
      </c>
      <c r="E422">
        <v>54.3</v>
      </c>
    </row>
    <row r="423" spans="1:5" x14ac:dyDescent="0.25">
      <c r="A423" t="s">
        <v>561</v>
      </c>
      <c r="B423" t="s">
        <v>77</v>
      </c>
      <c r="C423" s="28">
        <v>13.59</v>
      </c>
      <c r="D423">
        <v>0</v>
      </c>
      <c r="E423">
        <v>13.59</v>
      </c>
    </row>
    <row r="424" spans="1:5" x14ac:dyDescent="0.25">
      <c r="A424" t="s">
        <v>735</v>
      </c>
      <c r="B424" t="s">
        <v>736</v>
      </c>
      <c r="C424" s="28">
        <v>22</v>
      </c>
      <c r="D424">
        <v>0</v>
      </c>
      <c r="E424">
        <v>22</v>
      </c>
    </row>
    <row r="425" spans="1:5" x14ac:dyDescent="0.25">
      <c r="A425" t="s">
        <v>630</v>
      </c>
      <c r="B425" t="s">
        <v>40</v>
      </c>
      <c r="C425" s="28">
        <v>0.53</v>
      </c>
      <c r="D425">
        <v>0</v>
      </c>
      <c r="E425">
        <v>0.53</v>
      </c>
    </row>
    <row r="426" spans="1:5" x14ac:dyDescent="0.25">
      <c r="A426" t="s">
        <v>573</v>
      </c>
      <c r="B426" t="s">
        <v>310</v>
      </c>
      <c r="C426" s="28">
        <v>32.6</v>
      </c>
      <c r="D426">
        <v>0</v>
      </c>
      <c r="E426">
        <v>32.6</v>
      </c>
    </row>
    <row r="427" spans="1:5" x14ac:dyDescent="0.25">
      <c r="A427" t="s">
        <v>561</v>
      </c>
      <c r="B427" t="s">
        <v>79</v>
      </c>
      <c r="C427" s="28">
        <v>88.616</v>
      </c>
      <c r="D427">
        <v>0</v>
      </c>
      <c r="E427">
        <v>88.616</v>
      </c>
    </row>
    <row r="428" spans="1:5" x14ac:dyDescent="0.25">
      <c r="A428" t="s">
        <v>598</v>
      </c>
      <c r="B428" t="s">
        <v>438</v>
      </c>
      <c r="C428" s="28">
        <v>6.1740000000000004</v>
      </c>
      <c r="D428">
        <v>0</v>
      </c>
      <c r="E428">
        <v>6.1740000000000004</v>
      </c>
    </row>
    <row r="429" spans="1:5" x14ac:dyDescent="0.25">
      <c r="A429" t="s">
        <v>563</v>
      </c>
      <c r="B429" t="s">
        <v>737</v>
      </c>
      <c r="C429" s="28">
        <v>2.9</v>
      </c>
      <c r="D429">
        <v>0</v>
      </c>
      <c r="E429">
        <v>2.9</v>
      </c>
    </row>
    <row r="430" spans="1:5" x14ac:dyDescent="0.25">
      <c r="A430" t="s">
        <v>738</v>
      </c>
      <c r="B430" t="s">
        <v>371</v>
      </c>
      <c r="C430" s="28" t="s">
        <v>779</v>
      </c>
      <c r="D430">
        <v>0</v>
      </c>
      <c r="E430" t="s">
        <v>779</v>
      </c>
    </row>
    <row r="431" spans="1:5" x14ac:dyDescent="0.25">
      <c r="A431" t="s">
        <v>626</v>
      </c>
      <c r="B431" t="s">
        <v>372</v>
      </c>
      <c r="C431" s="28">
        <v>185.4</v>
      </c>
      <c r="D431">
        <v>0</v>
      </c>
      <c r="E431">
        <v>185.4</v>
      </c>
    </row>
    <row r="432" spans="1:5" x14ac:dyDescent="0.25">
      <c r="A432" t="s">
        <v>592</v>
      </c>
      <c r="B432" t="s">
        <v>105</v>
      </c>
      <c r="C432" s="28">
        <v>6.9</v>
      </c>
      <c r="D432">
        <v>0</v>
      </c>
      <c r="E432">
        <v>6.9</v>
      </c>
    </row>
    <row r="433" spans="1:5" x14ac:dyDescent="0.25">
      <c r="A433" t="s">
        <v>568</v>
      </c>
      <c r="B433" t="s">
        <v>177</v>
      </c>
      <c r="C433" s="28">
        <v>12.973000000000001</v>
      </c>
      <c r="D433">
        <v>0</v>
      </c>
      <c r="E433">
        <v>12.973000000000001</v>
      </c>
    </row>
    <row r="434" spans="1:5" x14ac:dyDescent="0.25">
      <c r="A434" t="s">
        <v>720</v>
      </c>
      <c r="B434" t="s">
        <v>439</v>
      </c>
      <c r="C434" s="28">
        <v>7.641</v>
      </c>
      <c r="D434">
        <v>0</v>
      </c>
      <c r="E434">
        <v>7.641</v>
      </c>
    </row>
    <row r="435" spans="1:5" x14ac:dyDescent="0.25">
      <c r="A435" t="s">
        <v>558</v>
      </c>
      <c r="B435" t="s">
        <v>739</v>
      </c>
      <c r="C435" s="28" t="s">
        <v>779</v>
      </c>
      <c r="D435">
        <v>0</v>
      </c>
      <c r="E435" t="s">
        <v>779</v>
      </c>
    </row>
    <row r="436" spans="1:5" x14ac:dyDescent="0.25">
      <c r="A436" t="s">
        <v>740</v>
      </c>
      <c r="B436" t="s">
        <v>374</v>
      </c>
      <c r="C436" s="28">
        <v>28.6</v>
      </c>
      <c r="D436">
        <v>0</v>
      </c>
      <c r="E436">
        <v>28.6</v>
      </c>
    </row>
    <row r="437" spans="1:5" x14ac:dyDescent="0.25">
      <c r="A437" t="s">
        <v>569</v>
      </c>
      <c r="B437" t="s">
        <v>376</v>
      </c>
      <c r="C437" s="28">
        <v>511.45699999999999</v>
      </c>
      <c r="D437">
        <v>0</v>
      </c>
      <c r="E437">
        <v>511.45699999999999</v>
      </c>
    </row>
    <row r="438" spans="1:5" x14ac:dyDescent="0.25">
      <c r="A438" t="s">
        <v>568</v>
      </c>
      <c r="B438" t="s">
        <v>440</v>
      </c>
      <c r="C438" s="28">
        <v>5.6559999999999997</v>
      </c>
      <c r="D438">
        <v>0</v>
      </c>
      <c r="E438">
        <v>5.6559999999999997</v>
      </c>
    </row>
    <row r="439" spans="1:5" x14ac:dyDescent="0.25">
      <c r="A439" t="s">
        <v>579</v>
      </c>
      <c r="B439" t="s">
        <v>157</v>
      </c>
      <c r="C439" s="28">
        <v>531.1</v>
      </c>
      <c r="D439">
        <v>0</v>
      </c>
      <c r="E439">
        <v>531.1</v>
      </c>
    </row>
    <row r="440" spans="1:5" x14ac:dyDescent="0.25">
      <c r="A440" t="s">
        <v>625</v>
      </c>
      <c r="B440" t="s">
        <v>741</v>
      </c>
      <c r="C440" s="28" t="s">
        <v>779</v>
      </c>
      <c r="D440">
        <v>0</v>
      </c>
      <c r="E440" t="s">
        <v>779</v>
      </c>
    </row>
    <row r="441" spans="1:5" x14ac:dyDescent="0.25">
      <c r="A441" t="s">
        <v>561</v>
      </c>
      <c r="B441" t="s">
        <v>57</v>
      </c>
      <c r="C441" s="28" t="s">
        <v>779</v>
      </c>
      <c r="D441">
        <v>0</v>
      </c>
      <c r="E441" t="s">
        <v>779</v>
      </c>
    </row>
    <row r="442" spans="1:5" x14ac:dyDescent="0.25">
      <c r="A442" t="s">
        <v>556</v>
      </c>
      <c r="B442" t="s">
        <v>344</v>
      </c>
      <c r="C442" s="28" t="s">
        <v>779</v>
      </c>
      <c r="D442">
        <v>0</v>
      </c>
      <c r="E442" t="s">
        <v>779</v>
      </c>
    </row>
    <row r="443" spans="1:5" x14ac:dyDescent="0.25">
      <c r="A443" t="s">
        <v>556</v>
      </c>
      <c r="B443" t="s">
        <v>347</v>
      </c>
      <c r="C443" s="28">
        <v>24.9</v>
      </c>
      <c r="D443">
        <v>0</v>
      </c>
      <c r="E443">
        <v>24.9</v>
      </c>
    </row>
    <row r="444" spans="1:5" x14ac:dyDescent="0.25">
      <c r="A444" t="s">
        <v>657</v>
      </c>
      <c r="B444" t="s">
        <v>742</v>
      </c>
      <c r="C444" s="28">
        <v>6.6210000000000004</v>
      </c>
      <c r="D444">
        <v>0</v>
      </c>
      <c r="E444">
        <v>6.6210000000000004</v>
      </c>
    </row>
    <row r="445" spans="1:5" x14ac:dyDescent="0.25">
      <c r="A445" t="s">
        <v>558</v>
      </c>
      <c r="B445" t="s">
        <v>743</v>
      </c>
      <c r="C445" s="28" t="s">
        <v>779</v>
      </c>
      <c r="D445">
        <v>0</v>
      </c>
      <c r="E445" t="s">
        <v>779</v>
      </c>
    </row>
    <row r="446" spans="1:5" x14ac:dyDescent="0.25">
      <c r="A446"/>
      <c r="B446"/>
    </row>
    <row r="447" spans="1:5" x14ac:dyDescent="0.25">
      <c r="A447"/>
      <c r="B447"/>
    </row>
    <row r="448" spans="1:5" x14ac:dyDescent="0.25">
      <c r="A448" s="24" t="s">
        <v>744</v>
      </c>
      <c r="B448" s="24" t="s">
        <v>744</v>
      </c>
      <c r="C448" s="30">
        <f>SUMIF($AU$2:$AU$445,"=ja",C2:C445)</f>
        <v>0</v>
      </c>
    </row>
    <row r="449" spans="1:3" x14ac:dyDescent="0.25">
      <c r="A449" s="25" t="s">
        <v>745</v>
      </c>
      <c r="B449" s="25" t="s">
        <v>746</v>
      </c>
      <c r="C449" s="31">
        <f t="shared" ref="C449" si="0">SUMIFS(C$2:C$445,$AU$2:$AU$445,"=ja",$AP$2:$AP$445,"&lt;150")</f>
        <v>0</v>
      </c>
    </row>
    <row r="450" spans="1:3" x14ac:dyDescent="0.25">
      <c r="A450" s="25" t="s">
        <v>747</v>
      </c>
      <c r="B450" s="25" t="s">
        <v>748</v>
      </c>
      <c r="C450" s="31">
        <f t="shared" ref="C450" si="1">SUMIFS(C$2:C$445,$AU$2:$AU$445,"=ja",$AP$2:$AP$445,"&gt;=150",$AP$2:$AP$445,"&lt;=1000")</f>
        <v>0</v>
      </c>
    </row>
    <row r="451" spans="1:3" x14ac:dyDescent="0.25">
      <c r="A451" s="25" t="s">
        <v>749</v>
      </c>
      <c r="B451" s="25" t="s">
        <v>750</v>
      </c>
      <c r="C451" s="31">
        <f t="shared" ref="C451" si="2">SUMIFS(C$2:C$445,$AU$2:$AU$445,"=ja",$AP$2:$AP$445,"&gt;1000")</f>
        <v>0</v>
      </c>
    </row>
    <row r="452" spans="1:3" x14ac:dyDescent="0.25">
      <c r="A452"/>
      <c r="B452"/>
    </row>
    <row r="453" spans="1:3" x14ac:dyDescent="0.25">
      <c r="A453" s="26" t="s">
        <v>751</v>
      </c>
      <c r="B453" s="27"/>
      <c r="C453" s="28">
        <f>SUMIF(C2:C445,"&lt;&gt;#saknas!",C2:C445)</f>
        <v>52631.372427000009</v>
      </c>
    </row>
    <row r="454" spans="1:3" x14ac:dyDescent="0.25">
      <c r="A454" s="27"/>
      <c r="B454" s="27"/>
    </row>
    <row r="455" spans="1:3" x14ac:dyDescent="0.25">
      <c r="A455" s="27"/>
      <c r="B455" s="27"/>
    </row>
    <row r="456" spans="1:3" x14ac:dyDescent="0.25">
      <c r="A456" s="27"/>
      <c r="B456" s="27"/>
    </row>
    <row r="457" spans="1:3" x14ac:dyDescent="0.25">
      <c r="A457" s="27"/>
      <c r="B457" s="27"/>
    </row>
    <row r="458" spans="1:3" x14ac:dyDescent="0.25">
      <c r="A458" s="27"/>
      <c r="B458" s="27"/>
    </row>
    <row r="459" spans="1:3" x14ac:dyDescent="0.25">
      <c r="A459" s="27"/>
      <c r="B459" s="27"/>
    </row>
    <row r="460" spans="1:3" x14ac:dyDescent="0.25">
      <c r="A460"/>
      <c r="B460"/>
    </row>
  </sheetData>
  <sortState xmlns:xlrd2="http://schemas.microsoft.com/office/spreadsheetml/2017/richdata2" ref="I2:M445">
    <sortCondition descending="1" ref="L2:L445"/>
  </sortState>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dimension ref="A1:I467"/>
  <sheetViews>
    <sheetView topLeftCell="A225" workbookViewId="0">
      <selection activeCell="B153" sqref="B153"/>
    </sheetView>
  </sheetViews>
  <sheetFormatPr defaultRowHeight="15" x14ac:dyDescent="0.25"/>
  <cols>
    <col min="1" max="1" width="29.85546875" style="32" customWidth="1"/>
    <col min="2" max="2" width="25.5703125" style="32"/>
    <col min="3" max="3" width="20.85546875" style="32" customWidth="1"/>
    <col min="4" max="4" width="9.85546875" bestFit="1" customWidth="1"/>
    <col min="8" max="8" width="24.140625" customWidth="1"/>
    <col min="9" max="9" width="13.140625" customWidth="1"/>
    <col min="10" max="10" width="14.140625" customWidth="1"/>
    <col min="12" max="12" width="9.85546875" bestFit="1" customWidth="1"/>
  </cols>
  <sheetData>
    <row r="1" spans="1:5" x14ac:dyDescent="0.25">
      <c r="A1" s="34" t="s">
        <v>780</v>
      </c>
      <c r="B1" s="34" t="s">
        <v>544</v>
      </c>
      <c r="C1" s="34" t="s">
        <v>752</v>
      </c>
      <c r="D1" s="33" t="s">
        <v>834</v>
      </c>
      <c r="E1" s="33" t="s">
        <v>835</v>
      </c>
    </row>
    <row r="2" spans="1:5" x14ac:dyDescent="0.25">
      <c r="A2" s="32" t="s">
        <v>545</v>
      </c>
      <c r="B2" s="36" t="s">
        <v>95</v>
      </c>
      <c r="C2" s="32">
        <v>18.53</v>
      </c>
      <c r="D2">
        <v>0</v>
      </c>
      <c r="E2">
        <f>IFERROR(C2-D2,"")</f>
        <v>18.53</v>
      </c>
    </row>
    <row r="3" spans="1:5" x14ac:dyDescent="0.25">
      <c r="A3" s="32" t="s">
        <v>546</v>
      </c>
      <c r="B3" s="37" t="s">
        <v>547</v>
      </c>
      <c r="C3" s="32" t="s">
        <v>779</v>
      </c>
      <c r="D3">
        <v>0</v>
      </c>
      <c r="E3" t="str">
        <f t="shared" ref="E3:E66" si="0">IFERROR(C3-D3,"")</f>
        <v/>
      </c>
    </row>
    <row r="4" spans="1:5" x14ac:dyDescent="0.25">
      <c r="A4" s="32" t="s">
        <v>548</v>
      </c>
      <c r="B4" s="37" t="s">
        <v>1</v>
      </c>
      <c r="C4" s="32">
        <v>124</v>
      </c>
      <c r="D4">
        <v>0</v>
      </c>
      <c r="E4">
        <f t="shared" si="0"/>
        <v>124</v>
      </c>
    </row>
    <row r="5" spans="1:5" x14ac:dyDescent="0.25">
      <c r="A5" s="32" t="s">
        <v>549</v>
      </c>
      <c r="B5" s="37" t="s">
        <v>2</v>
      </c>
      <c r="C5" s="32">
        <v>106</v>
      </c>
      <c r="D5">
        <v>0</v>
      </c>
      <c r="E5">
        <f t="shared" si="0"/>
        <v>106</v>
      </c>
    </row>
    <row r="6" spans="1:5" x14ac:dyDescent="0.25">
      <c r="A6" s="32" t="s">
        <v>550</v>
      </c>
      <c r="B6" s="37" t="s">
        <v>360</v>
      </c>
      <c r="C6" s="32">
        <v>6.5</v>
      </c>
      <c r="D6">
        <v>0</v>
      </c>
      <c r="E6">
        <f t="shared" si="0"/>
        <v>6.5</v>
      </c>
    </row>
    <row r="7" spans="1:5" x14ac:dyDescent="0.25">
      <c r="A7" s="32" t="s">
        <v>551</v>
      </c>
      <c r="B7" s="37" t="s">
        <v>224</v>
      </c>
      <c r="C7" s="32">
        <v>2</v>
      </c>
      <c r="D7">
        <v>0</v>
      </c>
      <c r="E7">
        <f t="shared" si="0"/>
        <v>2</v>
      </c>
    </row>
    <row r="8" spans="1:5" x14ac:dyDescent="0.25">
      <c r="A8" s="32" t="s">
        <v>552</v>
      </c>
      <c r="B8" s="37" t="s">
        <v>5</v>
      </c>
      <c r="C8" s="32">
        <v>100</v>
      </c>
      <c r="D8">
        <v>0</v>
      </c>
      <c r="E8">
        <f t="shared" si="0"/>
        <v>100</v>
      </c>
    </row>
    <row r="9" spans="1:5" x14ac:dyDescent="0.25">
      <c r="A9" s="32" t="s">
        <v>553</v>
      </c>
      <c r="B9" s="37" t="s">
        <v>20</v>
      </c>
      <c r="C9" s="32">
        <v>15.68</v>
      </c>
      <c r="D9">
        <v>0</v>
      </c>
      <c r="E9">
        <f t="shared" si="0"/>
        <v>15.68</v>
      </c>
    </row>
    <row r="10" spans="1:5" x14ac:dyDescent="0.25">
      <c r="A10" s="32" t="s">
        <v>554</v>
      </c>
      <c r="B10" s="37" t="s">
        <v>6</v>
      </c>
      <c r="C10" s="32" t="s">
        <v>779</v>
      </c>
      <c r="D10">
        <v>0</v>
      </c>
      <c r="E10" t="str">
        <f t="shared" si="0"/>
        <v/>
      </c>
    </row>
    <row r="11" spans="1:5" x14ac:dyDescent="0.25">
      <c r="A11" s="32" t="s">
        <v>555</v>
      </c>
      <c r="B11" s="37" t="s">
        <v>119</v>
      </c>
      <c r="C11" s="32">
        <v>117</v>
      </c>
      <c r="D11">
        <v>0</v>
      </c>
      <c r="E11">
        <f t="shared" si="0"/>
        <v>117</v>
      </c>
    </row>
    <row r="12" spans="1:5" x14ac:dyDescent="0.25">
      <c r="A12" s="32" t="s">
        <v>556</v>
      </c>
      <c r="B12" s="37" t="s">
        <v>334</v>
      </c>
      <c r="C12" s="32">
        <v>19.2</v>
      </c>
      <c r="D12">
        <v>0</v>
      </c>
      <c r="E12">
        <f t="shared" si="0"/>
        <v>19.2</v>
      </c>
    </row>
    <row r="13" spans="1:5" x14ac:dyDescent="0.25">
      <c r="A13" s="32" t="s">
        <v>557</v>
      </c>
      <c r="B13" s="37" t="s">
        <v>392</v>
      </c>
      <c r="C13" s="32">
        <v>90</v>
      </c>
      <c r="D13">
        <v>0</v>
      </c>
      <c r="E13">
        <f t="shared" si="0"/>
        <v>90</v>
      </c>
    </row>
    <row r="14" spans="1:5" x14ac:dyDescent="0.25">
      <c r="A14" s="32" t="s">
        <v>558</v>
      </c>
      <c r="B14" s="37" t="s">
        <v>118</v>
      </c>
      <c r="C14" s="32">
        <v>221</v>
      </c>
      <c r="D14">
        <v>0</v>
      </c>
      <c r="E14">
        <f t="shared" si="0"/>
        <v>221</v>
      </c>
    </row>
    <row r="15" spans="1:5" x14ac:dyDescent="0.25">
      <c r="A15" s="32" t="s">
        <v>559</v>
      </c>
      <c r="B15" s="37" t="s">
        <v>560</v>
      </c>
      <c r="C15" s="32">
        <v>3.6</v>
      </c>
      <c r="D15">
        <v>0</v>
      </c>
      <c r="E15">
        <f t="shared" si="0"/>
        <v>3.6</v>
      </c>
    </row>
    <row r="16" spans="1:5" x14ac:dyDescent="0.25">
      <c r="A16" s="32" t="s">
        <v>559</v>
      </c>
      <c r="B16" s="37" t="s">
        <v>158</v>
      </c>
      <c r="C16" s="32">
        <v>36</v>
      </c>
      <c r="D16">
        <v>0</v>
      </c>
      <c r="E16">
        <f t="shared" si="0"/>
        <v>36</v>
      </c>
    </row>
    <row r="17" spans="1:5" x14ac:dyDescent="0.25">
      <c r="A17" s="32" t="s">
        <v>561</v>
      </c>
      <c r="B17" s="37" t="s">
        <v>85</v>
      </c>
      <c r="C17" s="32">
        <v>7.99</v>
      </c>
      <c r="D17">
        <v>0</v>
      </c>
      <c r="E17">
        <f t="shared" si="0"/>
        <v>7.99</v>
      </c>
    </row>
    <row r="18" spans="1:5" x14ac:dyDescent="0.25">
      <c r="A18" s="32" t="s">
        <v>562</v>
      </c>
      <c r="B18" s="37" t="s">
        <v>7</v>
      </c>
      <c r="C18" s="32">
        <v>8.14</v>
      </c>
      <c r="D18">
        <v>0</v>
      </c>
      <c r="E18">
        <f t="shared" si="0"/>
        <v>8.14</v>
      </c>
    </row>
    <row r="19" spans="1:5" x14ac:dyDescent="0.25">
      <c r="A19" s="32" t="s">
        <v>563</v>
      </c>
      <c r="B19" s="37" t="s">
        <v>9</v>
      </c>
      <c r="C19" s="32">
        <v>3.5</v>
      </c>
      <c r="D19">
        <v>0</v>
      </c>
      <c r="E19">
        <f t="shared" si="0"/>
        <v>3.5</v>
      </c>
    </row>
    <row r="20" spans="1:5" x14ac:dyDescent="0.25">
      <c r="A20" s="32" t="s">
        <v>566</v>
      </c>
      <c r="B20" s="37" t="s">
        <v>323</v>
      </c>
      <c r="C20" s="32">
        <v>7.77</v>
      </c>
      <c r="D20">
        <v>0</v>
      </c>
      <c r="E20">
        <f t="shared" si="0"/>
        <v>7.77</v>
      </c>
    </row>
    <row r="21" spans="1:5" x14ac:dyDescent="0.25">
      <c r="A21" s="32" t="s">
        <v>567</v>
      </c>
      <c r="B21" s="37" t="s">
        <v>109</v>
      </c>
      <c r="C21" s="32">
        <v>4.9000000000000004</v>
      </c>
      <c r="D21">
        <v>0</v>
      </c>
      <c r="E21">
        <f t="shared" si="0"/>
        <v>4.9000000000000004</v>
      </c>
    </row>
    <row r="22" spans="1:5" x14ac:dyDescent="0.25">
      <c r="A22" s="32" t="s">
        <v>568</v>
      </c>
      <c r="B22" s="37" t="s">
        <v>178</v>
      </c>
      <c r="C22" s="32">
        <v>9.06</v>
      </c>
      <c r="D22">
        <v>0</v>
      </c>
      <c r="E22">
        <f t="shared" si="0"/>
        <v>9.06</v>
      </c>
    </row>
    <row r="23" spans="1:5" x14ac:dyDescent="0.25">
      <c r="A23" s="32" t="s">
        <v>569</v>
      </c>
      <c r="B23" s="37" t="s">
        <v>377</v>
      </c>
      <c r="C23" s="32">
        <v>8.0500000000000007</v>
      </c>
      <c r="D23">
        <v>0</v>
      </c>
      <c r="E23">
        <f t="shared" si="0"/>
        <v>8.0500000000000007</v>
      </c>
    </row>
    <row r="24" spans="1:5" x14ac:dyDescent="0.25">
      <c r="A24" s="32" t="s">
        <v>563</v>
      </c>
      <c r="B24" s="37" t="s">
        <v>753</v>
      </c>
      <c r="C24" s="32">
        <v>0.2</v>
      </c>
      <c r="D24">
        <v>0</v>
      </c>
      <c r="E24">
        <f t="shared" si="0"/>
        <v>0.2</v>
      </c>
    </row>
    <row r="25" spans="1:5" x14ac:dyDescent="0.25">
      <c r="A25" s="32" t="s">
        <v>563</v>
      </c>
      <c r="B25" s="37" t="s">
        <v>754</v>
      </c>
      <c r="C25" s="32">
        <v>2.2999999999999998</v>
      </c>
      <c r="D25">
        <v>0</v>
      </c>
      <c r="E25">
        <f t="shared" si="0"/>
        <v>2.2999999999999998</v>
      </c>
    </row>
    <row r="26" spans="1:5" x14ac:dyDescent="0.25">
      <c r="A26" s="32" t="s">
        <v>561</v>
      </c>
      <c r="B26" s="37" t="s">
        <v>485</v>
      </c>
      <c r="C26" s="32">
        <v>9.4700000000000006</v>
      </c>
      <c r="D26">
        <v>0</v>
      </c>
      <c r="E26">
        <f t="shared" si="0"/>
        <v>9.4700000000000006</v>
      </c>
    </row>
    <row r="27" spans="1:5" x14ac:dyDescent="0.25">
      <c r="A27" s="32" t="s">
        <v>551</v>
      </c>
      <c r="B27" s="37" t="s">
        <v>225</v>
      </c>
      <c r="C27" s="32">
        <v>10.9</v>
      </c>
      <c r="D27">
        <v>0</v>
      </c>
      <c r="E27">
        <f t="shared" si="0"/>
        <v>10.9</v>
      </c>
    </row>
    <row r="28" spans="1:5" x14ac:dyDescent="0.25">
      <c r="A28" s="32" t="s">
        <v>571</v>
      </c>
      <c r="B28" s="37" t="s">
        <v>263</v>
      </c>
      <c r="C28" s="32">
        <v>8.64</v>
      </c>
      <c r="D28">
        <v>0</v>
      </c>
      <c r="E28">
        <f t="shared" si="0"/>
        <v>8.64</v>
      </c>
    </row>
    <row r="29" spans="1:5" x14ac:dyDescent="0.25">
      <c r="A29" s="32" t="s">
        <v>553</v>
      </c>
      <c r="B29" s="37" t="s">
        <v>21</v>
      </c>
      <c r="C29" s="32">
        <v>130</v>
      </c>
      <c r="D29">
        <v>0</v>
      </c>
      <c r="E29">
        <f t="shared" si="0"/>
        <v>130</v>
      </c>
    </row>
    <row r="30" spans="1:5" x14ac:dyDescent="0.25">
      <c r="A30" s="32" t="s">
        <v>572</v>
      </c>
      <c r="B30" s="37" t="s">
        <v>60</v>
      </c>
      <c r="C30" s="32">
        <v>5.05</v>
      </c>
      <c r="D30">
        <v>0</v>
      </c>
      <c r="E30">
        <f t="shared" si="0"/>
        <v>5.05</v>
      </c>
    </row>
    <row r="31" spans="1:5" x14ac:dyDescent="0.25">
      <c r="A31" s="32" t="s">
        <v>573</v>
      </c>
      <c r="B31" s="37" t="s">
        <v>306</v>
      </c>
      <c r="C31" s="32">
        <v>12.7</v>
      </c>
      <c r="D31">
        <v>0</v>
      </c>
      <c r="E31">
        <f t="shared" si="0"/>
        <v>12.7</v>
      </c>
    </row>
    <row r="32" spans="1:5" x14ac:dyDescent="0.25">
      <c r="A32" s="32" t="s">
        <v>574</v>
      </c>
      <c r="B32" s="37" t="s">
        <v>23</v>
      </c>
      <c r="C32" s="32">
        <v>29</v>
      </c>
      <c r="D32">
        <v>0</v>
      </c>
      <c r="E32">
        <f t="shared" si="0"/>
        <v>29</v>
      </c>
    </row>
    <row r="33" spans="1:5" x14ac:dyDescent="0.25">
      <c r="A33" s="32" t="s">
        <v>575</v>
      </c>
      <c r="B33" s="37" t="s">
        <v>25</v>
      </c>
      <c r="C33" s="32">
        <v>385</v>
      </c>
      <c r="D33">
        <v>0</v>
      </c>
      <c r="E33">
        <f t="shared" si="0"/>
        <v>385</v>
      </c>
    </row>
    <row r="34" spans="1:5" x14ac:dyDescent="0.25">
      <c r="A34" s="32" t="s">
        <v>576</v>
      </c>
      <c r="B34" s="37" t="s">
        <v>29</v>
      </c>
      <c r="C34" s="32">
        <v>645</v>
      </c>
      <c r="D34">
        <v>0</v>
      </c>
      <c r="E34">
        <f t="shared" si="0"/>
        <v>645</v>
      </c>
    </row>
    <row r="35" spans="1:5" x14ac:dyDescent="0.25">
      <c r="A35" s="32" t="s">
        <v>561</v>
      </c>
      <c r="B35" s="37" t="s">
        <v>41</v>
      </c>
      <c r="C35" s="32">
        <v>54</v>
      </c>
      <c r="D35">
        <v>0</v>
      </c>
      <c r="E35">
        <f t="shared" si="0"/>
        <v>54</v>
      </c>
    </row>
    <row r="36" spans="1:5" x14ac:dyDescent="0.25">
      <c r="A36" s="32" t="s">
        <v>577</v>
      </c>
      <c r="B36" s="37" t="s">
        <v>364</v>
      </c>
      <c r="C36" s="32">
        <v>18.14</v>
      </c>
      <c r="D36">
        <v>0</v>
      </c>
      <c r="E36">
        <f t="shared" si="0"/>
        <v>18.14</v>
      </c>
    </row>
    <row r="37" spans="1:5" x14ac:dyDescent="0.25">
      <c r="A37" s="32" t="s">
        <v>569</v>
      </c>
      <c r="B37" s="37" t="s">
        <v>378</v>
      </c>
      <c r="C37" s="32">
        <v>5.76</v>
      </c>
      <c r="D37">
        <v>0</v>
      </c>
      <c r="E37">
        <f t="shared" si="0"/>
        <v>5.76</v>
      </c>
    </row>
    <row r="38" spans="1:5" x14ac:dyDescent="0.25">
      <c r="A38" s="32" t="s">
        <v>561</v>
      </c>
      <c r="B38" s="37" t="s">
        <v>61</v>
      </c>
      <c r="C38" s="32">
        <v>34</v>
      </c>
      <c r="D38">
        <v>0</v>
      </c>
      <c r="E38">
        <f t="shared" si="0"/>
        <v>34</v>
      </c>
    </row>
    <row r="39" spans="1:5" x14ac:dyDescent="0.25">
      <c r="A39" s="32" t="s">
        <v>546</v>
      </c>
      <c r="B39" s="37" t="s">
        <v>97</v>
      </c>
      <c r="C39" s="32" t="s">
        <v>779</v>
      </c>
      <c r="D39">
        <v>0</v>
      </c>
      <c r="E39" t="str">
        <f t="shared" si="0"/>
        <v/>
      </c>
    </row>
    <row r="40" spans="1:5" x14ac:dyDescent="0.25">
      <c r="A40" s="32" t="s">
        <v>561</v>
      </c>
      <c r="B40" s="37" t="s">
        <v>81</v>
      </c>
      <c r="C40" s="32">
        <v>12.17</v>
      </c>
      <c r="D40">
        <v>0</v>
      </c>
      <c r="E40">
        <f t="shared" si="0"/>
        <v>12.17</v>
      </c>
    </row>
    <row r="41" spans="1:5" x14ac:dyDescent="0.25">
      <c r="A41" s="32" t="s">
        <v>578</v>
      </c>
      <c r="B41" s="37" t="s">
        <v>30</v>
      </c>
      <c r="C41" s="32">
        <v>39</v>
      </c>
      <c r="D41">
        <v>0</v>
      </c>
      <c r="E41">
        <f t="shared" si="0"/>
        <v>39</v>
      </c>
    </row>
    <row r="42" spans="1:5" x14ac:dyDescent="0.25">
      <c r="A42" s="32" t="s">
        <v>579</v>
      </c>
      <c r="B42" s="37" t="s">
        <v>393</v>
      </c>
      <c r="C42" s="32" t="s">
        <v>779</v>
      </c>
      <c r="D42">
        <v>0</v>
      </c>
      <c r="E42" t="str">
        <f t="shared" si="0"/>
        <v/>
      </c>
    </row>
    <row r="43" spans="1:5" x14ac:dyDescent="0.25">
      <c r="A43" s="32" t="s">
        <v>580</v>
      </c>
      <c r="B43" s="37" t="s">
        <v>31</v>
      </c>
      <c r="C43" s="32" t="s">
        <v>779</v>
      </c>
      <c r="D43">
        <v>0</v>
      </c>
      <c r="E43" t="str">
        <f t="shared" si="0"/>
        <v/>
      </c>
    </row>
    <row r="44" spans="1:5" x14ac:dyDescent="0.25">
      <c r="A44" s="32" t="s">
        <v>581</v>
      </c>
      <c r="B44" s="37" t="s">
        <v>250</v>
      </c>
      <c r="C44" s="32">
        <v>14.5</v>
      </c>
      <c r="D44">
        <v>0</v>
      </c>
      <c r="E44">
        <f t="shared" si="0"/>
        <v>14.5</v>
      </c>
    </row>
    <row r="45" spans="1:5" x14ac:dyDescent="0.25">
      <c r="A45" s="32" t="s">
        <v>571</v>
      </c>
      <c r="B45" s="37" t="s">
        <v>264</v>
      </c>
      <c r="C45" s="32">
        <v>8.27</v>
      </c>
      <c r="D45">
        <v>0</v>
      </c>
      <c r="E45">
        <f t="shared" si="0"/>
        <v>8.27</v>
      </c>
    </row>
    <row r="46" spans="1:5" x14ac:dyDescent="0.25">
      <c r="A46" s="32" t="s">
        <v>571</v>
      </c>
      <c r="B46" s="37" t="s">
        <v>265</v>
      </c>
      <c r="C46" s="32">
        <v>14.64</v>
      </c>
      <c r="D46">
        <v>0</v>
      </c>
      <c r="E46">
        <f t="shared" si="0"/>
        <v>14.64</v>
      </c>
    </row>
    <row r="47" spans="1:5" x14ac:dyDescent="0.25">
      <c r="A47" s="32" t="s">
        <v>766</v>
      </c>
      <c r="B47" s="37" t="s">
        <v>767</v>
      </c>
      <c r="C47" s="32">
        <v>6</v>
      </c>
      <c r="D47">
        <v>0</v>
      </c>
      <c r="E47">
        <f t="shared" si="0"/>
        <v>6</v>
      </c>
    </row>
    <row r="48" spans="1:5" x14ac:dyDescent="0.25">
      <c r="A48" s="32" t="s">
        <v>571</v>
      </c>
      <c r="B48" s="37" t="s">
        <v>266</v>
      </c>
      <c r="C48" s="32">
        <v>10.35</v>
      </c>
      <c r="D48">
        <v>0</v>
      </c>
      <c r="E48">
        <f t="shared" si="0"/>
        <v>10.35</v>
      </c>
    </row>
    <row r="49" spans="1:5" x14ac:dyDescent="0.25">
      <c r="A49" s="32" t="s">
        <v>561</v>
      </c>
      <c r="B49" s="37" t="s">
        <v>62</v>
      </c>
      <c r="C49" s="32">
        <v>34</v>
      </c>
      <c r="D49">
        <v>0</v>
      </c>
      <c r="E49">
        <f t="shared" si="0"/>
        <v>34</v>
      </c>
    </row>
    <row r="50" spans="1:5" x14ac:dyDescent="0.25">
      <c r="A50" s="32" t="s">
        <v>558</v>
      </c>
      <c r="B50" s="37" t="s">
        <v>496</v>
      </c>
      <c r="C50" s="32">
        <v>2.06</v>
      </c>
      <c r="D50">
        <v>0</v>
      </c>
      <c r="E50">
        <f t="shared" si="0"/>
        <v>2.06</v>
      </c>
    </row>
    <row r="51" spans="1:5" x14ac:dyDescent="0.25">
      <c r="A51" s="32" t="s">
        <v>563</v>
      </c>
      <c r="B51" s="37" t="s">
        <v>582</v>
      </c>
      <c r="C51" s="32">
        <v>2</v>
      </c>
      <c r="D51">
        <v>0</v>
      </c>
      <c r="E51">
        <f t="shared" si="0"/>
        <v>2</v>
      </c>
    </row>
    <row r="52" spans="1:5" x14ac:dyDescent="0.25">
      <c r="A52" s="32" t="s">
        <v>561</v>
      </c>
      <c r="B52" s="37" t="s">
        <v>63</v>
      </c>
      <c r="C52" s="32" t="s">
        <v>779</v>
      </c>
      <c r="D52">
        <v>0</v>
      </c>
      <c r="E52" t="str">
        <f t="shared" si="0"/>
        <v/>
      </c>
    </row>
    <row r="53" spans="1:5" x14ac:dyDescent="0.25">
      <c r="A53" s="32" t="s">
        <v>561</v>
      </c>
      <c r="B53" s="37" t="s">
        <v>583</v>
      </c>
      <c r="C53" s="32">
        <v>17.7</v>
      </c>
      <c r="D53">
        <v>0</v>
      </c>
      <c r="E53">
        <f t="shared" si="0"/>
        <v>17.7</v>
      </c>
    </row>
    <row r="54" spans="1:5" x14ac:dyDescent="0.25">
      <c r="A54" s="32" t="s">
        <v>630</v>
      </c>
      <c r="B54" s="37" t="s">
        <v>631</v>
      </c>
      <c r="C54" s="32">
        <v>36</v>
      </c>
      <c r="D54">
        <v>0</v>
      </c>
      <c r="E54">
        <f t="shared" si="0"/>
        <v>36</v>
      </c>
    </row>
    <row r="55" spans="1:5" x14ac:dyDescent="0.25">
      <c r="A55" s="32" t="s">
        <v>558</v>
      </c>
      <c r="B55" s="37" t="s">
        <v>115</v>
      </c>
      <c r="C55" s="32">
        <v>15.04</v>
      </c>
      <c r="D55">
        <v>0</v>
      </c>
      <c r="E55">
        <f t="shared" si="0"/>
        <v>15.04</v>
      </c>
    </row>
    <row r="56" spans="1:5" x14ac:dyDescent="0.25">
      <c r="A56" s="32" t="s">
        <v>561</v>
      </c>
      <c r="B56" s="37" t="s">
        <v>46</v>
      </c>
      <c r="C56" s="32">
        <v>17.02</v>
      </c>
      <c r="D56">
        <v>0</v>
      </c>
      <c r="E56">
        <f t="shared" si="0"/>
        <v>17.02</v>
      </c>
    </row>
    <row r="57" spans="1:5" x14ac:dyDescent="0.25">
      <c r="A57" s="32" t="s">
        <v>556</v>
      </c>
      <c r="B57" s="37" t="s">
        <v>339</v>
      </c>
      <c r="C57" s="32">
        <v>484</v>
      </c>
      <c r="D57">
        <v>0</v>
      </c>
      <c r="E57">
        <f t="shared" si="0"/>
        <v>484</v>
      </c>
    </row>
    <row r="58" spans="1:5" x14ac:dyDescent="0.25">
      <c r="A58" s="32" t="s">
        <v>568</v>
      </c>
      <c r="B58" s="37" t="s">
        <v>179</v>
      </c>
      <c r="C58" s="32">
        <v>7.43</v>
      </c>
      <c r="D58">
        <v>0</v>
      </c>
      <c r="E58">
        <f t="shared" si="0"/>
        <v>7.43</v>
      </c>
    </row>
    <row r="59" spans="1:5" x14ac:dyDescent="0.25">
      <c r="A59" s="32" t="s">
        <v>584</v>
      </c>
      <c r="B59" s="37" t="s">
        <v>90</v>
      </c>
      <c r="C59" s="32">
        <v>7</v>
      </c>
      <c r="D59">
        <v>0</v>
      </c>
      <c r="E59">
        <f t="shared" si="0"/>
        <v>7</v>
      </c>
    </row>
    <row r="60" spans="1:5" x14ac:dyDescent="0.25">
      <c r="A60" s="32" t="s">
        <v>545</v>
      </c>
      <c r="B60" s="37" t="s">
        <v>96</v>
      </c>
      <c r="C60" s="32">
        <v>33</v>
      </c>
      <c r="D60">
        <v>0</v>
      </c>
      <c r="E60">
        <f t="shared" si="0"/>
        <v>33</v>
      </c>
    </row>
    <row r="61" spans="1:5" x14ac:dyDescent="0.25">
      <c r="A61" s="32" t="s">
        <v>585</v>
      </c>
      <c r="B61" s="37" t="s">
        <v>586</v>
      </c>
      <c r="C61" s="32">
        <v>1.93</v>
      </c>
      <c r="D61">
        <v>0</v>
      </c>
      <c r="E61">
        <f t="shared" si="0"/>
        <v>1.93</v>
      </c>
    </row>
    <row r="62" spans="1:5" x14ac:dyDescent="0.25">
      <c r="A62" s="32" t="s">
        <v>589</v>
      </c>
      <c r="B62" s="37" t="s">
        <v>91</v>
      </c>
      <c r="C62" s="32">
        <v>106</v>
      </c>
      <c r="D62">
        <v>0</v>
      </c>
      <c r="E62">
        <f t="shared" si="0"/>
        <v>106</v>
      </c>
    </row>
    <row r="63" spans="1:5" x14ac:dyDescent="0.25">
      <c r="A63" s="32" t="s">
        <v>546</v>
      </c>
      <c r="B63" s="37" t="s">
        <v>98</v>
      </c>
      <c r="C63" s="32">
        <v>47</v>
      </c>
      <c r="D63">
        <v>0</v>
      </c>
      <c r="E63">
        <f t="shared" si="0"/>
        <v>47</v>
      </c>
    </row>
    <row r="64" spans="1:5" x14ac:dyDescent="0.25">
      <c r="A64" s="32" t="s">
        <v>591</v>
      </c>
      <c r="B64" s="37" t="s">
        <v>101</v>
      </c>
      <c r="C64" s="32">
        <v>211</v>
      </c>
      <c r="D64">
        <v>0</v>
      </c>
      <c r="E64">
        <f t="shared" si="0"/>
        <v>211</v>
      </c>
    </row>
    <row r="65" spans="1:5" x14ac:dyDescent="0.25">
      <c r="A65" s="32" t="s">
        <v>592</v>
      </c>
      <c r="B65" s="37" t="s">
        <v>102</v>
      </c>
      <c r="C65" s="32">
        <v>712</v>
      </c>
      <c r="D65">
        <v>0</v>
      </c>
      <c r="E65">
        <f t="shared" si="0"/>
        <v>712</v>
      </c>
    </row>
    <row r="66" spans="1:5" x14ac:dyDescent="0.25">
      <c r="A66" s="32" t="s">
        <v>771</v>
      </c>
      <c r="B66" s="37" t="s">
        <v>787</v>
      </c>
      <c r="C66" s="32">
        <v>888</v>
      </c>
      <c r="D66">
        <v>0</v>
      </c>
      <c r="E66">
        <f t="shared" si="0"/>
        <v>888</v>
      </c>
    </row>
    <row r="67" spans="1:5" x14ac:dyDescent="0.25">
      <c r="A67" s="32" t="s">
        <v>595</v>
      </c>
      <c r="B67" s="37" t="s">
        <v>357</v>
      </c>
      <c r="C67" s="32">
        <v>101</v>
      </c>
      <c r="D67">
        <v>0</v>
      </c>
      <c r="E67">
        <f t="shared" ref="E67:E130" si="1">IFERROR(C67-D67,"")</f>
        <v>101</v>
      </c>
    </row>
    <row r="68" spans="1:5" x14ac:dyDescent="0.25">
      <c r="A68" s="32" t="s">
        <v>596</v>
      </c>
      <c r="B68" s="37" t="s">
        <v>108</v>
      </c>
      <c r="C68" s="32">
        <v>67</v>
      </c>
      <c r="D68">
        <v>0</v>
      </c>
      <c r="E68">
        <f t="shared" si="1"/>
        <v>67</v>
      </c>
    </row>
    <row r="69" spans="1:5" x14ac:dyDescent="0.25">
      <c r="A69" s="32" t="s">
        <v>597</v>
      </c>
      <c r="B69" s="37" t="s">
        <v>106</v>
      </c>
      <c r="C69" s="32" t="s">
        <v>779</v>
      </c>
      <c r="D69">
        <v>0</v>
      </c>
      <c r="E69" t="str">
        <f t="shared" si="1"/>
        <v/>
      </c>
    </row>
    <row r="70" spans="1:5" x14ac:dyDescent="0.25">
      <c r="A70" s="32" t="s">
        <v>567</v>
      </c>
      <c r="B70" s="37" t="s">
        <v>110</v>
      </c>
      <c r="C70" s="32">
        <v>304</v>
      </c>
      <c r="D70">
        <v>19.11</v>
      </c>
      <c r="E70">
        <f t="shared" si="1"/>
        <v>284.89</v>
      </c>
    </row>
    <row r="71" spans="1:5" x14ac:dyDescent="0.25">
      <c r="A71" s="32" t="s">
        <v>598</v>
      </c>
      <c r="B71" s="37" t="s">
        <v>246</v>
      </c>
      <c r="C71" s="32">
        <v>43</v>
      </c>
      <c r="D71">
        <v>0</v>
      </c>
      <c r="E71">
        <f t="shared" si="1"/>
        <v>43</v>
      </c>
    </row>
    <row r="72" spans="1:5" x14ac:dyDescent="0.25">
      <c r="A72" s="32" t="s">
        <v>599</v>
      </c>
      <c r="B72" s="37" t="s">
        <v>113</v>
      </c>
      <c r="C72" s="32">
        <v>117</v>
      </c>
      <c r="D72">
        <v>0</v>
      </c>
      <c r="E72">
        <f t="shared" si="1"/>
        <v>117</v>
      </c>
    </row>
    <row r="73" spans="1:5" x14ac:dyDescent="0.25">
      <c r="A73" s="32" t="s">
        <v>600</v>
      </c>
      <c r="B73" s="37" t="s">
        <v>33</v>
      </c>
      <c r="C73" s="32">
        <v>4.79</v>
      </c>
      <c r="D73">
        <v>0</v>
      </c>
      <c r="E73">
        <f t="shared" si="1"/>
        <v>4.79</v>
      </c>
    </row>
    <row r="74" spans="1:5" x14ac:dyDescent="0.25">
      <c r="A74" s="32" t="s">
        <v>598</v>
      </c>
      <c r="B74" s="37" t="s">
        <v>239</v>
      </c>
      <c r="C74" s="32">
        <v>49</v>
      </c>
      <c r="D74">
        <v>0</v>
      </c>
      <c r="E74">
        <f t="shared" si="1"/>
        <v>49</v>
      </c>
    </row>
    <row r="75" spans="1:5" x14ac:dyDescent="0.25">
      <c r="A75" s="32" t="s">
        <v>561</v>
      </c>
      <c r="B75" s="37" t="s">
        <v>486</v>
      </c>
      <c r="C75" s="32">
        <v>1.58</v>
      </c>
      <c r="D75">
        <v>0</v>
      </c>
      <c r="E75">
        <f t="shared" si="1"/>
        <v>1.58</v>
      </c>
    </row>
    <row r="76" spans="1:5" x14ac:dyDescent="0.25">
      <c r="A76" s="32" t="s">
        <v>597</v>
      </c>
      <c r="B76" s="37" t="s">
        <v>107</v>
      </c>
      <c r="C76" s="32" t="s">
        <v>779</v>
      </c>
      <c r="D76">
        <v>0</v>
      </c>
      <c r="E76" t="str">
        <f t="shared" si="1"/>
        <v/>
      </c>
    </row>
    <row r="77" spans="1:5" x14ac:dyDescent="0.25">
      <c r="A77" s="32" t="s">
        <v>601</v>
      </c>
      <c r="B77" s="37" t="s">
        <v>397</v>
      </c>
      <c r="C77" s="32">
        <v>7.5</v>
      </c>
      <c r="D77">
        <v>0</v>
      </c>
      <c r="E77">
        <f t="shared" si="1"/>
        <v>7.5</v>
      </c>
    </row>
    <row r="78" spans="1:5" x14ac:dyDescent="0.25">
      <c r="A78" s="32" t="s">
        <v>563</v>
      </c>
      <c r="B78" s="37" t="s">
        <v>10</v>
      </c>
      <c r="C78" s="32">
        <v>8.6</v>
      </c>
      <c r="D78">
        <v>0</v>
      </c>
      <c r="E78">
        <f t="shared" si="1"/>
        <v>8.6</v>
      </c>
    </row>
    <row r="79" spans="1:5" x14ac:dyDescent="0.25">
      <c r="A79" s="32" t="s">
        <v>563</v>
      </c>
      <c r="B79" s="37" t="s">
        <v>755</v>
      </c>
      <c r="C79" s="32">
        <v>2.2999999999999998</v>
      </c>
      <c r="D79">
        <v>0</v>
      </c>
      <c r="E79">
        <f t="shared" si="1"/>
        <v>2.2999999999999998</v>
      </c>
    </row>
    <row r="80" spans="1:5" x14ac:dyDescent="0.25">
      <c r="A80" s="32" t="s">
        <v>572</v>
      </c>
      <c r="B80" s="37" t="s">
        <v>603</v>
      </c>
      <c r="C80" s="32">
        <v>3.36</v>
      </c>
      <c r="D80">
        <v>0</v>
      </c>
      <c r="E80">
        <f t="shared" si="1"/>
        <v>3.36</v>
      </c>
    </row>
    <row r="81" spans="1:5" x14ac:dyDescent="0.25">
      <c r="A81" s="32" t="s">
        <v>576</v>
      </c>
      <c r="B81" s="37" t="s">
        <v>28</v>
      </c>
      <c r="C81" s="32">
        <v>20</v>
      </c>
      <c r="D81">
        <v>0</v>
      </c>
      <c r="E81">
        <f t="shared" si="1"/>
        <v>20</v>
      </c>
    </row>
    <row r="82" spans="1:5" x14ac:dyDescent="0.25">
      <c r="A82" s="32" t="s">
        <v>557</v>
      </c>
      <c r="B82" s="37" t="s">
        <v>204</v>
      </c>
      <c r="C82" s="32">
        <v>8.4700000000000006</v>
      </c>
      <c r="D82">
        <v>0</v>
      </c>
      <c r="E82">
        <f t="shared" si="1"/>
        <v>8.4700000000000006</v>
      </c>
    </row>
    <row r="83" spans="1:5" x14ac:dyDescent="0.25">
      <c r="A83" s="32" t="s">
        <v>604</v>
      </c>
      <c r="B83" s="37" t="s">
        <v>368</v>
      </c>
      <c r="C83" s="32">
        <v>7.6</v>
      </c>
      <c r="D83">
        <v>0</v>
      </c>
      <c r="E83">
        <f t="shared" si="1"/>
        <v>7.6</v>
      </c>
    </row>
    <row r="84" spans="1:5" x14ac:dyDescent="0.25">
      <c r="A84" s="32" t="s">
        <v>605</v>
      </c>
      <c r="B84" s="37" t="s">
        <v>351</v>
      </c>
      <c r="C84" s="32">
        <v>4.24</v>
      </c>
      <c r="D84">
        <v>0</v>
      </c>
      <c r="E84">
        <f t="shared" si="1"/>
        <v>4.24</v>
      </c>
    </row>
    <row r="85" spans="1:5" x14ac:dyDescent="0.25">
      <c r="A85" s="32" t="s">
        <v>606</v>
      </c>
      <c r="B85" s="37" t="s">
        <v>191</v>
      </c>
      <c r="C85" s="32" t="s">
        <v>779</v>
      </c>
      <c r="D85">
        <v>0</v>
      </c>
      <c r="E85" t="str">
        <f t="shared" si="1"/>
        <v/>
      </c>
    </row>
    <row r="86" spans="1:5" x14ac:dyDescent="0.25">
      <c r="A86" s="32" t="s">
        <v>572</v>
      </c>
      <c r="B86" s="37" t="s">
        <v>607</v>
      </c>
      <c r="C86" s="32">
        <v>5.3</v>
      </c>
      <c r="D86">
        <v>0</v>
      </c>
      <c r="E86">
        <f t="shared" si="1"/>
        <v>5.3</v>
      </c>
    </row>
    <row r="87" spans="1:5" x14ac:dyDescent="0.25">
      <c r="A87" s="32" t="s">
        <v>608</v>
      </c>
      <c r="B87" s="37" t="s">
        <v>194</v>
      </c>
      <c r="C87" s="32">
        <v>8.8000000000000007</v>
      </c>
      <c r="D87">
        <v>0</v>
      </c>
      <c r="E87">
        <f t="shared" si="1"/>
        <v>8.8000000000000007</v>
      </c>
    </row>
    <row r="88" spans="1:5" x14ac:dyDescent="0.25">
      <c r="A88" s="32" t="s">
        <v>550</v>
      </c>
      <c r="B88" s="37" t="s">
        <v>361</v>
      </c>
      <c r="C88" s="32">
        <v>27</v>
      </c>
      <c r="D88">
        <v>0</v>
      </c>
      <c r="E88">
        <f t="shared" si="1"/>
        <v>27</v>
      </c>
    </row>
    <row r="89" spans="1:5" x14ac:dyDescent="0.25">
      <c r="A89" s="32" t="s">
        <v>610</v>
      </c>
      <c r="B89" s="37" t="s">
        <v>473</v>
      </c>
      <c r="C89" s="32">
        <v>11.9</v>
      </c>
      <c r="D89">
        <v>0</v>
      </c>
      <c r="E89">
        <f t="shared" si="1"/>
        <v>11.9</v>
      </c>
    </row>
    <row r="90" spans="1:5" x14ac:dyDescent="0.25">
      <c r="A90" s="32" t="s">
        <v>598</v>
      </c>
      <c r="B90" s="37" t="s">
        <v>241</v>
      </c>
      <c r="C90" s="32">
        <v>18.7</v>
      </c>
      <c r="D90">
        <v>0</v>
      </c>
      <c r="E90">
        <f t="shared" si="1"/>
        <v>18.7</v>
      </c>
    </row>
    <row r="91" spans="1:5" x14ac:dyDescent="0.25">
      <c r="A91" s="32" t="s">
        <v>558</v>
      </c>
      <c r="B91" s="37" t="s">
        <v>123</v>
      </c>
      <c r="C91" s="32">
        <v>28</v>
      </c>
      <c r="D91">
        <v>0</v>
      </c>
      <c r="E91">
        <f t="shared" si="1"/>
        <v>28</v>
      </c>
    </row>
    <row r="92" spans="1:5" x14ac:dyDescent="0.25">
      <c r="A92" s="32" t="s">
        <v>563</v>
      </c>
      <c r="B92" s="37" t="s">
        <v>781</v>
      </c>
      <c r="C92" s="32">
        <v>0.5</v>
      </c>
      <c r="D92">
        <v>0</v>
      </c>
      <c r="E92">
        <f t="shared" si="1"/>
        <v>0.5</v>
      </c>
    </row>
    <row r="93" spans="1:5" x14ac:dyDescent="0.25">
      <c r="A93" s="32" t="s">
        <v>567</v>
      </c>
      <c r="B93" s="37" t="s">
        <v>111</v>
      </c>
      <c r="C93" s="32">
        <v>5.05</v>
      </c>
      <c r="D93">
        <v>0</v>
      </c>
      <c r="E93">
        <f t="shared" si="1"/>
        <v>5.05</v>
      </c>
    </row>
    <row r="94" spans="1:5" x14ac:dyDescent="0.25">
      <c r="A94" s="32" t="s">
        <v>558</v>
      </c>
      <c r="B94" s="37" t="s">
        <v>124</v>
      </c>
      <c r="C94" s="32">
        <v>6.67</v>
      </c>
      <c r="D94">
        <v>0</v>
      </c>
      <c r="E94">
        <f t="shared" si="1"/>
        <v>6.67</v>
      </c>
    </row>
    <row r="95" spans="1:5" x14ac:dyDescent="0.25">
      <c r="A95" s="32" t="s">
        <v>601</v>
      </c>
      <c r="B95" s="37" t="s">
        <v>185</v>
      </c>
      <c r="C95" s="32">
        <v>10</v>
      </c>
      <c r="D95">
        <v>0</v>
      </c>
      <c r="E95">
        <f t="shared" si="1"/>
        <v>10</v>
      </c>
    </row>
    <row r="96" spans="1:5" x14ac:dyDescent="0.25">
      <c r="A96" s="32" t="s">
        <v>595</v>
      </c>
      <c r="B96" s="37" t="s">
        <v>358</v>
      </c>
      <c r="C96" s="32">
        <v>12.27</v>
      </c>
      <c r="D96">
        <v>0</v>
      </c>
      <c r="E96">
        <f t="shared" si="1"/>
        <v>12.27</v>
      </c>
    </row>
    <row r="97" spans="1:9" x14ac:dyDescent="0.25">
      <c r="A97" s="32" t="s">
        <v>559</v>
      </c>
      <c r="B97" s="37" t="s">
        <v>159</v>
      </c>
      <c r="C97" s="32">
        <v>12.1</v>
      </c>
      <c r="D97">
        <v>0</v>
      </c>
      <c r="E97">
        <f t="shared" si="1"/>
        <v>12.1</v>
      </c>
    </row>
    <row r="98" spans="1:9" x14ac:dyDescent="0.25">
      <c r="A98" s="32" t="s">
        <v>568</v>
      </c>
      <c r="B98" s="37" t="s">
        <v>180</v>
      </c>
      <c r="C98" s="32">
        <v>11.7</v>
      </c>
      <c r="D98">
        <v>0</v>
      </c>
      <c r="E98">
        <f t="shared" si="1"/>
        <v>11.7</v>
      </c>
    </row>
    <row r="99" spans="1:9" x14ac:dyDescent="0.25">
      <c r="A99" s="32" t="s">
        <v>605</v>
      </c>
      <c r="B99" s="37" t="s">
        <v>352</v>
      </c>
      <c r="C99" s="32">
        <v>4.21</v>
      </c>
      <c r="D99">
        <v>0</v>
      </c>
      <c r="E99">
        <f t="shared" si="1"/>
        <v>4.21</v>
      </c>
    </row>
    <row r="100" spans="1:9" x14ac:dyDescent="0.25">
      <c r="A100" s="32" t="s">
        <v>558</v>
      </c>
      <c r="B100" s="37" t="s">
        <v>399</v>
      </c>
      <c r="C100" s="32">
        <v>3.62</v>
      </c>
      <c r="D100">
        <v>0</v>
      </c>
      <c r="E100">
        <f t="shared" si="1"/>
        <v>3.62</v>
      </c>
    </row>
    <row r="101" spans="1:9" x14ac:dyDescent="0.25">
      <c r="A101" s="32" t="s">
        <v>611</v>
      </c>
      <c r="B101" s="37" t="s">
        <v>612</v>
      </c>
      <c r="C101" s="32" t="s">
        <v>779</v>
      </c>
      <c r="D101">
        <v>0</v>
      </c>
      <c r="E101" t="str">
        <f t="shared" si="1"/>
        <v/>
      </c>
    </row>
    <row r="102" spans="1:9" x14ac:dyDescent="0.25">
      <c r="A102" s="32" t="s">
        <v>556</v>
      </c>
      <c r="B102" s="37" t="s">
        <v>340</v>
      </c>
      <c r="C102" s="32">
        <v>50</v>
      </c>
      <c r="D102">
        <v>0</v>
      </c>
      <c r="E102">
        <f t="shared" si="1"/>
        <v>50</v>
      </c>
    </row>
    <row r="103" spans="1:9" x14ac:dyDescent="0.25">
      <c r="A103" s="32" t="s">
        <v>563</v>
      </c>
      <c r="B103" s="37" t="s">
        <v>756</v>
      </c>
      <c r="C103" s="32">
        <v>1.1000000000000001</v>
      </c>
      <c r="D103">
        <v>0</v>
      </c>
      <c r="E103">
        <f t="shared" si="1"/>
        <v>1.1000000000000001</v>
      </c>
    </row>
    <row r="104" spans="1:9" x14ac:dyDescent="0.25">
      <c r="A104" s="32" t="s">
        <v>613</v>
      </c>
      <c r="B104" s="37" t="s">
        <v>137</v>
      </c>
      <c r="C104" s="32">
        <v>167</v>
      </c>
      <c r="D104">
        <v>0</v>
      </c>
      <c r="E104">
        <f t="shared" si="1"/>
        <v>167</v>
      </c>
    </row>
    <row r="105" spans="1:9" x14ac:dyDescent="0.25">
      <c r="A105" s="32" t="s">
        <v>614</v>
      </c>
      <c r="B105" s="37" t="s">
        <v>322</v>
      </c>
      <c r="C105" s="32">
        <v>2.37</v>
      </c>
      <c r="D105">
        <v>0</v>
      </c>
      <c r="E105">
        <f t="shared" si="1"/>
        <v>2.37</v>
      </c>
    </row>
    <row r="106" spans="1:9" x14ac:dyDescent="0.25">
      <c r="A106" s="32" t="s">
        <v>615</v>
      </c>
      <c r="B106" s="37" t="s">
        <v>138</v>
      </c>
      <c r="C106" s="32">
        <v>732</v>
      </c>
      <c r="D106">
        <v>0</v>
      </c>
      <c r="E106">
        <f t="shared" si="1"/>
        <v>732</v>
      </c>
    </row>
    <row r="107" spans="1:9" x14ac:dyDescent="0.25">
      <c r="A107" s="32" t="s">
        <v>616</v>
      </c>
      <c r="B107" s="44" t="s">
        <v>811</v>
      </c>
      <c r="C107" s="32">
        <v>3746</v>
      </c>
      <c r="D107">
        <v>66.3</v>
      </c>
      <c r="E107">
        <f t="shared" si="1"/>
        <v>3679.7</v>
      </c>
      <c r="I107" s="45"/>
    </row>
    <row r="108" spans="1:9" x14ac:dyDescent="0.25">
      <c r="A108" s="32" t="s">
        <v>618</v>
      </c>
      <c r="B108" s="37" t="s">
        <v>139</v>
      </c>
      <c r="C108" s="32">
        <v>34</v>
      </c>
      <c r="D108">
        <v>0</v>
      </c>
      <c r="E108">
        <f t="shared" si="1"/>
        <v>34</v>
      </c>
    </row>
    <row r="109" spans="1:9" x14ac:dyDescent="0.25">
      <c r="A109" s="32" t="s">
        <v>619</v>
      </c>
      <c r="B109" s="37" t="s">
        <v>141</v>
      </c>
      <c r="C109" s="32" t="s">
        <v>779</v>
      </c>
      <c r="D109">
        <v>0</v>
      </c>
      <c r="E109" t="str">
        <f t="shared" si="1"/>
        <v/>
      </c>
    </row>
    <row r="110" spans="1:9" x14ac:dyDescent="0.25">
      <c r="A110" s="32" t="s">
        <v>563</v>
      </c>
      <c r="B110" s="37" t="s">
        <v>487</v>
      </c>
      <c r="C110" s="32">
        <v>0.4</v>
      </c>
      <c r="D110">
        <v>0</v>
      </c>
      <c r="E110">
        <f t="shared" si="1"/>
        <v>0.4</v>
      </c>
    </row>
    <row r="111" spans="1:9" x14ac:dyDescent="0.25">
      <c r="A111" s="32" t="s">
        <v>620</v>
      </c>
      <c r="B111" s="37" t="s">
        <v>208</v>
      </c>
      <c r="C111" s="32" t="s">
        <v>779</v>
      </c>
      <c r="D111">
        <v>0</v>
      </c>
      <c r="E111" t="str">
        <f t="shared" si="1"/>
        <v/>
      </c>
    </row>
    <row r="112" spans="1:9" x14ac:dyDescent="0.25">
      <c r="A112" s="32" t="s">
        <v>621</v>
      </c>
      <c r="B112" s="37" t="s">
        <v>220</v>
      </c>
      <c r="C112" s="32">
        <v>16.39</v>
      </c>
      <c r="D112">
        <v>0</v>
      </c>
      <c r="E112">
        <f t="shared" si="1"/>
        <v>16.39</v>
      </c>
    </row>
    <row r="113" spans="1:5" x14ac:dyDescent="0.25">
      <c r="A113" s="32" t="s">
        <v>622</v>
      </c>
      <c r="B113" s="37" t="s">
        <v>142</v>
      </c>
      <c r="C113" s="32">
        <v>565</v>
      </c>
      <c r="D113">
        <v>0</v>
      </c>
      <c r="E113">
        <f t="shared" si="1"/>
        <v>565</v>
      </c>
    </row>
    <row r="114" spans="1:5" x14ac:dyDescent="0.25">
      <c r="A114" s="32" t="s">
        <v>623</v>
      </c>
      <c r="B114" s="37" t="s">
        <v>533</v>
      </c>
      <c r="C114" s="32">
        <v>11.19</v>
      </c>
      <c r="D114">
        <v>0</v>
      </c>
      <c r="E114">
        <f t="shared" si="1"/>
        <v>11.19</v>
      </c>
    </row>
    <row r="115" spans="1:5" x14ac:dyDescent="0.25">
      <c r="A115" s="32" t="s">
        <v>569</v>
      </c>
      <c r="B115" s="37" t="s">
        <v>624</v>
      </c>
      <c r="C115" s="32">
        <v>1.36</v>
      </c>
      <c r="D115">
        <v>0</v>
      </c>
      <c r="E115">
        <f t="shared" si="1"/>
        <v>1.36</v>
      </c>
    </row>
    <row r="116" spans="1:5" x14ac:dyDescent="0.25">
      <c r="A116" s="32" t="s">
        <v>556</v>
      </c>
      <c r="B116" s="37" t="s">
        <v>345</v>
      </c>
      <c r="C116" s="32">
        <v>60</v>
      </c>
      <c r="D116">
        <v>0</v>
      </c>
      <c r="E116">
        <f t="shared" si="1"/>
        <v>60</v>
      </c>
    </row>
    <row r="117" spans="1:5" x14ac:dyDescent="0.25">
      <c r="A117" s="32" t="s">
        <v>625</v>
      </c>
      <c r="B117" s="37" t="s">
        <v>254</v>
      </c>
      <c r="C117" s="32" t="s">
        <v>779</v>
      </c>
      <c r="D117">
        <v>0</v>
      </c>
      <c r="E117" t="str">
        <f t="shared" si="1"/>
        <v/>
      </c>
    </row>
    <row r="118" spans="1:5" x14ac:dyDescent="0.25">
      <c r="A118" s="32" t="s">
        <v>572</v>
      </c>
      <c r="B118" s="37" t="s">
        <v>64</v>
      </c>
      <c r="C118" s="32">
        <v>8</v>
      </c>
      <c r="D118">
        <v>0</v>
      </c>
      <c r="E118">
        <f t="shared" si="1"/>
        <v>8</v>
      </c>
    </row>
    <row r="119" spans="1:5" x14ac:dyDescent="0.25">
      <c r="A119" s="32" t="s">
        <v>611</v>
      </c>
      <c r="B119" s="37" t="s">
        <v>145</v>
      </c>
      <c r="C119" s="32">
        <v>61</v>
      </c>
      <c r="D119">
        <v>0</v>
      </c>
      <c r="E119">
        <f t="shared" si="1"/>
        <v>61</v>
      </c>
    </row>
    <row r="120" spans="1:5" x14ac:dyDescent="0.25">
      <c r="A120" s="32" t="s">
        <v>563</v>
      </c>
      <c r="B120" s="37" t="s">
        <v>16</v>
      </c>
      <c r="C120" s="32">
        <v>3.8</v>
      </c>
      <c r="D120">
        <v>0</v>
      </c>
      <c r="E120">
        <f t="shared" si="1"/>
        <v>3.8</v>
      </c>
    </row>
    <row r="121" spans="1:5" x14ac:dyDescent="0.25">
      <c r="A121" s="32" t="s">
        <v>626</v>
      </c>
      <c r="B121" s="37" t="s">
        <v>373</v>
      </c>
      <c r="C121" s="32">
        <v>1002</v>
      </c>
      <c r="D121">
        <v>102</v>
      </c>
      <c r="E121">
        <f t="shared" si="1"/>
        <v>900</v>
      </c>
    </row>
    <row r="122" spans="1:5" x14ac:dyDescent="0.25">
      <c r="A122" s="32" t="s">
        <v>563</v>
      </c>
      <c r="B122" s="37" t="s">
        <v>757</v>
      </c>
      <c r="C122" s="32">
        <v>0.3</v>
      </c>
      <c r="D122">
        <v>0</v>
      </c>
      <c r="E122">
        <f t="shared" si="1"/>
        <v>0.3</v>
      </c>
    </row>
    <row r="123" spans="1:5" x14ac:dyDescent="0.25">
      <c r="A123" s="32" t="s">
        <v>627</v>
      </c>
      <c r="B123" s="37" t="s">
        <v>134</v>
      </c>
      <c r="C123" s="32">
        <v>12.5</v>
      </c>
      <c r="D123">
        <v>0</v>
      </c>
      <c r="E123">
        <f t="shared" si="1"/>
        <v>12.5</v>
      </c>
    </row>
    <row r="124" spans="1:5" x14ac:dyDescent="0.25">
      <c r="A124" s="32" t="s">
        <v>610</v>
      </c>
      <c r="B124" s="37" t="s">
        <v>131</v>
      </c>
      <c r="C124" s="32" t="s">
        <v>779</v>
      </c>
      <c r="D124">
        <v>0</v>
      </c>
      <c r="E124" t="str">
        <f t="shared" si="1"/>
        <v/>
      </c>
    </row>
    <row r="125" spans="1:5" x14ac:dyDescent="0.25">
      <c r="A125" s="32" t="s">
        <v>610</v>
      </c>
      <c r="B125" s="37" t="s">
        <v>132</v>
      </c>
      <c r="C125" s="32">
        <v>4.6399999999999997</v>
      </c>
      <c r="D125">
        <v>0</v>
      </c>
      <c r="E125">
        <f t="shared" si="1"/>
        <v>4.6399999999999997</v>
      </c>
    </row>
    <row r="126" spans="1:5" x14ac:dyDescent="0.25">
      <c r="A126" s="32" t="s">
        <v>628</v>
      </c>
      <c r="B126" s="37" t="s">
        <v>148</v>
      </c>
      <c r="C126" s="32">
        <v>32</v>
      </c>
      <c r="D126">
        <v>0</v>
      </c>
      <c r="E126">
        <f t="shared" si="1"/>
        <v>32</v>
      </c>
    </row>
    <row r="127" spans="1:5" x14ac:dyDescent="0.25">
      <c r="A127" s="32" t="s">
        <v>626</v>
      </c>
      <c r="B127" s="37" t="s">
        <v>400</v>
      </c>
      <c r="C127" s="32">
        <v>1.9</v>
      </c>
      <c r="D127">
        <v>0</v>
      </c>
      <c r="E127">
        <f t="shared" si="1"/>
        <v>1.9</v>
      </c>
    </row>
    <row r="128" spans="1:5" x14ac:dyDescent="0.25">
      <c r="A128" s="32" t="s">
        <v>558</v>
      </c>
      <c r="B128" s="37" t="s">
        <v>629</v>
      </c>
      <c r="C128" s="32">
        <v>115</v>
      </c>
      <c r="D128">
        <v>0</v>
      </c>
      <c r="E128">
        <f t="shared" si="1"/>
        <v>115</v>
      </c>
    </row>
    <row r="129" spans="1:5" x14ac:dyDescent="0.25">
      <c r="A129" s="32" t="s">
        <v>566</v>
      </c>
      <c r="B129" s="37" t="s">
        <v>325</v>
      </c>
      <c r="C129" s="32" t="s">
        <v>779</v>
      </c>
      <c r="D129">
        <v>0</v>
      </c>
      <c r="E129" t="str">
        <f t="shared" si="1"/>
        <v/>
      </c>
    </row>
    <row r="130" spans="1:5" x14ac:dyDescent="0.25">
      <c r="A130" s="32" t="s">
        <v>585</v>
      </c>
      <c r="B130" s="37" t="s">
        <v>349</v>
      </c>
      <c r="C130" s="32">
        <v>3.74</v>
      </c>
      <c r="D130">
        <v>0</v>
      </c>
      <c r="E130">
        <f t="shared" si="1"/>
        <v>3.74</v>
      </c>
    </row>
    <row r="131" spans="1:5" x14ac:dyDescent="0.25">
      <c r="A131" s="32" t="s">
        <v>563</v>
      </c>
      <c r="B131" s="37" t="s">
        <v>18</v>
      </c>
      <c r="C131" s="32">
        <v>8.6999999999999993</v>
      </c>
      <c r="D131">
        <v>0</v>
      </c>
      <c r="E131">
        <f t="shared" ref="E131:E194" si="2">IFERROR(C131-D131,"")</f>
        <v>8.6999999999999993</v>
      </c>
    </row>
    <row r="132" spans="1:5" x14ac:dyDescent="0.25">
      <c r="A132" s="32" t="s">
        <v>568</v>
      </c>
      <c r="B132" s="37" t="s">
        <v>181</v>
      </c>
      <c r="C132" s="32">
        <v>6.77</v>
      </c>
      <c r="D132">
        <v>0</v>
      </c>
      <c r="E132">
        <f t="shared" si="2"/>
        <v>6.77</v>
      </c>
    </row>
    <row r="133" spans="1:5" x14ac:dyDescent="0.25">
      <c r="A133" s="32" t="s">
        <v>717</v>
      </c>
      <c r="B133" s="37" t="s">
        <v>488</v>
      </c>
      <c r="C133" s="32">
        <v>533</v>
      </c>
      <c r="D133">
        <v>0</v>
      </c>
      <c r="E133">
        <f t="shared" si="2"/>
        <v>533</v>
      </c>
    </row>
    <row r="134" spans="1:5" x14ac:dyDescent="0.25">
      <c r="A134" s="32" t="s">
        <v>558</v>
      </c>
      <c r="B134" s="37" t="s">
        <v>117</v>
      </c>
      <c r="C134" s="32">
        <v>129</v>
      </c>
      <c r="D134">
        <v>0</v>
      </c>
      <c r="E134">
        <f t="shared" si="2"/>
        <v>129</v>
      </c>
    </row>
    <row r="135" spans="1:5" x14ac:dyDescent="0.25">
      <c r="A135" s="32" t="s">
        <v>569</v>
      </c>
      <c r="B135" s="37" t="s">
        <v>379</v>
      </c>
      <c r="C135" s="32">
        <v>7.45</v>
      </c>
      <c r="D135">
        <v>0</v>
      </c>
      <c r="E135">
        <f t="shared" si="2"/>
        <v>7.45</v>
      </c>
    </row>
    <row r="136" spans="1:5" x14ac:dyDescent="0.25">
      <c r="A136" s="32" t="s">
        <v>632</v>
      </c>
      <c r="B136" s="37" t="s">
        <v>385</v>
      </c>
      <c r="C136" s="32">
        <v>1.3</v>
      </c>
      <c r="D136">
        <v>0</v>
      </c>
      <c r="E136">
        <f t="shared" si="2"/>
        <v>1.3</v>
      </c>
    </row>
    <row r="137" spans="1:5" x14ac:dyDescent="0.25">
      <c r="A137" s="32" t="s">
        <v>632</v>
      </c>
      <c r="B137" s="37" t="s">
        <v>386</v>
      </c>
      <c r="C137" s="32">
        <v>0.95</v>
      </c>
      <c r="D137">
        <v>0</v>
      </c>
      <c r="E137">
        <f t="shared" si="2"/>
        <v>0.95</v>
      </c>
    </row>
    <row r="138" spans="1:5" x14ac:dyDescent="0.25">
      <c r="A138" s="32" t="s">
        <v>632</v>
      </c>
      <c r="B138" s="37" t="s">
        <v>387</v>
      </c>
      <c r="C138" s="32">
        <v>3.1</v>
      </c>
      <c r="D138">
        <v>0</v>
      </c>
      <c r="E138">
        <f t="shared" si="2"/>
        <v>3.1</v>
      </c>
    </row>
    <row r="139" spans="1:5" x14ac:dyDescent="0.25">
      <c r="A139" s="32" t="s">
        <v>557</v>
      </c>
      <c r="B139" s="37" t="s">
        <v>772</v>
      </c>
      <c r="C139" s="32">
        <v>0.56999999999999995</v>
      </c>
      <c r="D139">
        <v>0</v>
      </c>
      <c r="E139">
        <f t="shared" si="2"/>
        <v>0.56999999999999995</v>
      </c>
    </row>
    <row r="140" spans="1:5" x14ac:dyDescent="0.25">
      <c r="A140" s="32" t="s">
        <v>561</v>
      </c>
      <c r="B140" s="37" t="s">
        <v>65</v>
      </c>
      <c r="C140" s="32">
        <v>8.8000000000000007</v>
      </c>
      <c r="D140">
        <v>0</v>
      </c>
      <c r="E140">
        <f t="shared" si="2"/>
        <v>8.8000000000000007</v>
      </c>
    </row>
    <row r="141" spans="1:5" x14ac:dyDescent="0.25">
      <c r="A141" s="32" t="s">
        <v>592</v>
      </c>
      <c r="B141" s="37" t="s">
        <v>103</v>
      </c>
      <c r="C141" s="32" t="s">
        <v>779</v>
      </c>
      <c r="D141">
        <v>0</v>
      </c>
      <c r="E141" t="str">
        <f t="shared" si="2"/>
        <v/>
      </c>
    </row>
    <row r="142" spans="1:5" x14ac:dyDescent="0.25">
      <c r="A142" s="32" t="s">
        <v>558</v>
      </c>
      <c r="B142" s="37" t="s">
        <v>125</v>
      </c>
      <c r="C142" s="32">
        <v>44</v>
      </c>
      <c r="D142">
        <v>0</v>
      </c>
      <c r="E142">
        <f t="shared" si="2"/>
        <v>44</v>
      </c>
    </row>
    <row r="143" spans="1:5" x14ac:dyDescent="0.25">
      <c r="A143" s="32" t="s">
        <v>618</v>
      </c>
      <c r="B143" s="37" t="s">
        <v>140</v>
      </c>
      <c r="C143" s="32">
        <v>2.93</v>
      </c>
      <c r="D143">
        <v>0</v>
      </c>
      <c r="E143">
        <f t="shared" si="2"/>
        <v>2.93</v>
      </c>
    </row>
    <row r="144" spans="1:5" x14ac:dyDescent="0.25">
      <c r="A144" s="32" t="s">
        <v>633</v>
      </c>
      <c r="B144" s="37" t="s">
        <v>150</v>
      </c>
      <c r="C144" s="32">
        <v>178</v>
      </c>
      <c r="D144">
        <v>0</v>
      </c>
      <c r="E144">
        <f t="shared" si="2"/>
        <v>178</v>
      </c>
    </row>
    <row r="145" spans="1:5" x14ac:dyDescent="0.25">
      <c r="A145" s="32" t="s">
        <v>634</v>
      </c>
      <c r="B145" s="37" t="s">
        <v>151</v>
      </c>
      <c r="C145" s="32">
        <v>193</v>
      </c>
      <c r="D145">
        <v>0</v>
      </c>
      <c r="E145">
        <f t="shared" si="2"/>
        <v>193</v>
      </c>
    </row>
    <row r="146" spans="1:5" x14ac:dyDescent="0.25">
      <c r="A146" s="32" t="s">
        <v>770</v>
      </c>
      <c r="B146" s="37" t="s">
        <v>153</v>
      </c>
      <c r="C146" s="32">
        <v>47</v>
      </c>
      <c r="D146">
        <v>0</v>
      </c>
      <c r="E146">
        <f t="shared" si="2"/>
        <v>47</v>
      </c>
    </row>
    <row r="147" spans="1:5" x14ac:dyDescent="0.25">
      <c r="A147" s="32" t="s">
        <v>561</v>
      </c>
      <c r="B147" s="37" t="s">
        <v>89</v>
      </c>
      <c r="C147" s="32">
        <v>1083</v>
      </c>
      <c r="D147">
        <v>0</v>
      </c>
      <c r="E147">
        <f t="shared" si="2"/>
        <v>1083</v>
      </c>
    </row>
    <row r="148" spans="1:5" x14ac:dyDescent="0.25">
      <c r="A148" s="32" t="s">
        <v>598</v>
      </c>
      <c r="B148" s="37" t="s">
        <v>242</v>
      </c>
      <c r="C148" s="32">
        <v>29</v>
      </c>
      <c r="D148">
        <v>0</v>
      </c>
      <c r="E148">
        <f t="shared" si="2"/>
        <v>29</v>
      </c>
    </row>
    <row r="149" spans="1:5" x14ac:dyDescent="0.25">
      <c r="A149" s="32" t="s">
        <v>566</v>
      </c>
      <c r="B149" s="37" t="s">
        <v>326</v>
      </c>
      <c r="C149" s="32">
        <v>8.73</v>
      </c>
      <c r="D149">
        <v>0</v>
      </c>
      <c r="E149">
        <f t="shared" si="2"/>
        <v>8.73</v>
      </c>
    </row>
    <row r="150" spans="1:5" x14ac:dyDescent="0.25">
      <c r="A150" s="32" t="s">
        <v>598</v>
      </c>
      <c r="B150" s="37" t="s">
        <v>243</v>
      </c>
      <c r="C150" s="32">
        <v>26</v>
      </c>
      <c r="D150">
        <v>0</v>
      </c>
      <c r="E150">
        <f t="shared" si="2"/>
        <v>26</v>
      </c>
    </row>
    <row r="151" spans="1:5" x14ac:dyDescent="0.25">
      <c r="A151" s="32" t="s">
        <v>558</v>
      </c>
      <c r="B151" s="37" t="s">
        <v>489</v>
      </c>
      <c r="C151" s="32">
        <v>16.989999999999998</v>
      </c>
      <c r="D151">
        <v>0</v>
      </c>
      <c r="E151">
        <f t="shared" si="2"/>
        <v>16.989999999999998</v>
      </c>
    </row>
    <row r="152" spans="1:5" x14ac:dyDescent="0.25">
      <c r="A152" s="32" t="s">
        <v>630</v>
      </c>
      <c r="B152" s="37" t="s">
        <v>768</v>
      </c>
      <c r="C152" s="32">
        <v>3.32</v>
      </c>
      <c r="D152">
        <v>0</v>
      </c>
      <c r="E152">
        <f t="shared" si="2"/>
        <v>3.32</v>
      </c>
    </row>
    <row r="153" spans="1:5" x14ac:dyDescent="0.25">
      <c r="A153" s="32" t="s">
        <v>589</v>
      </c>
      <c r="B153" s="37" t="s">
        <v>92</v>
      </c>
      <c r="C153" s="32">
        <v>2.96</v>
      </c>
      <c r="D153">
        <v>0</v>
      </c>
      <c r="E153">
        <f t="shared" si="2"/>
        <v>2.96</v>
      </c>
    </row>
    <row r="154" spans="1:5" x14ac:dyDescent="0.25">
      <c r="A154" s="32" t="s">
        <v>577</v>
      </c>
      <c r="B154" s="37" t="s">
        <v>365</v>
      </c>
      <c r="C154" s="32">
        <v>7.7</v>
      </c>
      <c r="D154">
        <v>0</v>
      </c>
      <c r="E154">
        <f t="shared" si="2"/>
        <v>7.7</v>
      </c>
    </row>
    <row r="155" spans="1:5" x14ac:dyDescent="0.25">
      <c r="A155" s="32" t="s">
        <v>636</v>
      </c>
      <c r="B155" s="37" t="s">
        <v>37</v>
      </c>
      <c r="C155" s="32">
        <v>9.3000000000000007</v>
      </c>
      <c r="D155">
        <v>0</v>
      </c>
      <c r="E155">
        <f t="shared" si="2"/>
        <v>9.3000000000000007</v>
      </c>
    </row>
    <row r="156" spans="1:5" x14ac:dyDescent="0.25">
      <c r="A156" s="32" t="s">
        <v>637</v>
      </c>
      <c r="B156" s="37" t="s">
        <v>154</v>
      </c>
      <c r="C156" s="32">
        <v>37</v>
      </c>
      <c r="D156">
        <v>0</v>
      </c>
      <c r="E156">
        <f t="shared" si="2"/>
        <v>37</v>
      </c>
    </row>
    <row r="157" spans="1:5" x14ac:dyDescent="0.25">
      <c r="A157" s="32" t="s">
        <v>561</v>
      </c>
      <c r="B157" s="37" t="s">
        <v>47</v>
      </c>
      <c r="C157" s="32" t="s">
        <v>779</v>
      </c>
      <c r="D157">
        <v>0</v>
      </c>
      <c r="E157" t="str">
        <f t="shared" si="2"/>
        <v/>
      </c>
    </row>
    <row r="158" spans="1:5" x14ac:dyDescent="0.25">
      <c r="A158" s="32" t="s">
        <v>639</v>
      </c>
      <c r="B158" s="37" t="s">
        <v>640</v>
      </c>
      <c r="C158" s="32">
        <v>0.36</v>
      </c>
      <c r="D158">
        <v>0</v>
      </c>
      <c r="E158">
        <f t="shared" si="2"/>
        <v>0.36</v>
      </c>
    </row>
    <row r="159" spans="1:5" x14ac:dyDescent="0.25">
      <c r="A159" s="32" t="s">
        <v>561</v>
      </c>
      <c r="B159" s="37" t="s">
        <v>66</v>
      </c>
      <c r="C159" s="32">
        <v>334</v>
      </c>
      <c r="D159">
        <v>26</v>
      </c>
      <c r="E159">
        <f t="shared" si="2"/>
        <v>308</v>
      </c>
    </row>
    <row r="160" spans="1:5" x14ac:dyDescent="0.25">
      <c r="A160" s="32" t="s">
        <v>641</v>
      </c>
      <c r="B160" s="37" t="s">
        <v>642</v>
      </c>
      <c r="C160" s="32" t="s">
        <v>779</v>
      </c>
      <c r="D160">
        <v>0</v>
      </c>
      <c r="E160" t="str">
        <f t="shared" si="2"/>
        <v/>
      </c>
    </row>
    <row r="161" spans="1:9" x14ac:dyDescent="0.25">
      <c r="A161" s="32" t="s">
        <v>608</v>
      </c>
      <c r="B161" s="37" t="s">
        <v>195</v>
      </c>
      <c r="C161" s="32">
        <v>11</v>
      </c>
      <c r="D161">
        <v>0</v>
      </c>
      <c r="E161">
        <f t="shared" si="2"/>
        <v>11</v>
      </c>
    </row>
    <row r="162" spans="1:9" x14ac:dyDescent="0.25">
      <c r="A162" s="32" t="s">
        <v>559</v>
      </c>
      <c r="B162" s="37" t="s">
        <v>160</v>
      </c>
      <c r="C162" s="32">
        <v>653</v>
      </c>
      <c r="D162">
        <v>0</v>
      </c>
      <c r="E162">
        <f t="shared" si="2"/>
        <v>653</v>
      </c>
    </row>
    <row r="163" spans="1:9" x14ac:dyDescent="0.25">
      <c r="A163" s="32" t="s">
        <v>571</v>
      </c>
      <c r="B163" s="37" t="s">
        <v>267</v>
      </c>
      <c r="C163" s="32">
        <v>6.43</v>
      </c>
      <c r="D163">
        <v>0</v>
      </c>
      <c r="E163">
        <f t="shared" si="2"/>
        <v>6.43</v>
      </c>
    </row>
    <row r="164" spans="1:9" x14ac:dyDescent="0.25">
      <c r="A164" s="32" t="s">
        <v>556</v>
      </c>
      <c r="B164" s="37" t="s">
        <v>346</v>
      </c>
      <c r="C164" s="32">
        <v>98</v>
      </c>
      <c r="D164">
        <v>0</v>
      </c>
      <c r="E164">
        <f t="shared" si="2"/>
        <v>98</v>
      </c>
    </row>
    <row r="165" spans="1:9" x14ac:dyDescent="0.25">
      <c r="A165" s="32" t="s">
        <v>643</v>
      </c>
      <c r="B165" s="37" t="s">
        <v>162</v>
      </c>
      <c r="C165" s="32">
        <v>380</v>
      </c>
      <c r="D165">
        <v>0</v>
      </c>
      <c r="E165">
        <f t="shared" si="2"/>
        <v>380</v>
      </c>
    </row>
    <row r="166" spans="1:9" x14ac:dyDescent="0.25">
      <c r="A166" s="32" t="s">
        <v>561</v>
      </c>
      <c r="B166" s="37" t="s">
        <v>67</v>
      </c>
      <c r="C166" s="32" t="s">
        <v>779</v>
      </c>
      <c r="D166">
        <v>0</v>
      </c>
      <c r="E166" t="str">
        <f t="shared" si="2"/>
        <v/>
      </c>
    </row>
    <row r="167" spans="1:9" x14ac:dyDescent="0.25">
      <c r="A167" s="32" t="s">
        <v>598</v>
      </c>
      <c r="B167" s="37" t="s">
        <v>644</v>
      </c>
      <c r="C167" s="32" t="s">
        <v>779</v>
      </c>
      <c r="D167">
        <v>0</v>
      </c>
      <c r="E167" t="str">
        <f t="shared" si="2"/>
        <v/>
      </c>
      <c r="I167" s="46"/>
    </row>
    <row r="168" spans="1:9" x14ac:dyDescent="0.25">
      <c r="A168" s="32" t="s">
        <v>645</v>
      </c>
      <c r="B168" s="37" t="s">
        <v>164</v>
      </c>
      <c r="C168" s="32">
        <v>170</v>
      </c>
      <c r="D168">
        <v>0</v>
      </c>
      <c r="E168">
        <f t="shared" si="2"/>
        <v>170</v>
      </c>
    </row>
    <row r="169" spans="1:9" x14ac:dyDescent="0.25">
      <c r="A169" s="32" t="s">
        <v>639</v>
      </c>
      <c r="B169" s="37" t="s">
        <v>0</v>
      </c>
      <c r="C169" s="32">
        <v>245</v>
      </c>
      <c r="D169">
        <v>0</v>
      </c>
      <c r="E169">
        <f t="shared" si="2"/>
        <v>245</v>
      </c>
    </row>
    <row r="170" spans="1:9" x14ac:dyDescent="0.25">
      <c r="A170" s="32" t="s">
        <v>646</v>
      </c>
      <c r="B170" s="37" t="s">
        <v>166</v>
      </c>
      <c r="C170" s="32">
        <v>618</v>
      </c>
      <c r="D170">
        <v>63</v>
      </c>
      <c r="E170">
        <f t="shared" si="2"/>
        <v>555</v>
      </c>
    </row>
    <row r="171" spans="1:9" x14ac:dyDescent="0.25">
      <c r="A171" s="32" t="s">
        <v>647</v>
      </c>
      <c r="B171" s="37" t="s">
        <v>648</v>
      </c>
      <c r="C171" s="32" t="s">
        <v>779</v>
      </c>
      <c r="D171">
        <v>0</v>
      </c>
      <c r="E171" t="str">
        <f t="shared" si="2"/>
        <v/>
      </c>
    </row>
    <row r="172" spans="1:9" x14ac:dyDescent="0.25">
      <c r="A172" s="32" t="s">
        <v>573</v>
      </c>
      <c r="B172" s="37" t="s">
        <v>168</v>
      </c>
      <c r="C172" s="32">
        <v>195</v>
      </c>
      <c r="D172">
        <v>0</v>
      </c>
      <c r="E172">
        <f t="shared" si="2"/>
        <v>195</v>
      </c>
    </row>
    <row r="173" spans="1:9" x14ac:dyDescent="0.25">
      <c r="A173" s="32" t="s">
        <v>649</v>
      </c>
      <c r="B173" s="37" t="s">
        <v>170</v>
      </c>
      <c r="C173" s="32">
        <v>37</v>
      </c>
      <c r="D173">
        <v>0</v>
      </c>
      <c r="E173">
        <f t="shared" si="2"/>
        <v>37</v>
      </c>
    </row>
    <row r="174" spans="1:9" x14ac:dyDescent="0.25">
      <c r="A174" s="32" t="s">
        <v>553</v>
      </c>
      <c r="B174" s="37" t="s">
        <v>22</v>
      </c>
      <c r="C174" s="32">
        <v>17.16</v>
      </c>
      <c r="D174">
        <v>0</v>
      </c>
      <c r="E174">
        <f t="shared" si="2"/>
        <v>17.16</v>
      </c>
    </row>
    <row r="175" spans="1:9" x14ac:dyDescent="0.25">
      <c r="A175" s="32" t="s">
        <v>650</v>
      </c>
      <c r="B175" s="37" t="s">
        <v>390</v>
      </c>
      <c r="C175" s="32">
        <v>215</v>
      </c>
      <c r="D175">
        <v>0</v>
      </c>
      <c r="E175">
        <f t="shared" si="2"/>
        <v>215</v>
      </c>
    </row>
    <row r="176" spans="1:9" x14ac:dyDescent="0.25">
      <c r="A176" s="32" t="s">
        <v>573</v>
      </c>
      <c r="B176" s="37" t="s">
        <v>307</v>
      </c>
      <c r="C176" s="32">
        <v>22</v>
      </c>
      <c r="D176">
        <v>0</v>
      </c>
      <c r="E176">
        <f t="shared" si="2"/>
        <v>22</v>
      </c>
    </row>
    <row r="177" spans="1:5" x14ac:dyDescent="0.25">
      <c r="A177" s="32" t="s">
        <v>627</v>
      </c>
      <c r="B177" s="37" t="s">
        <v>135</v>
      </c>
      <c r="C177" s="32">
        <v>8.3000000000000007</v>
      </c>
      <c r="D177">
        <v>0</v>
      </c>
      <c r="E177">
        <f t="shared" si="2"/>
        <v>8.3000000000000007</v>
      </c>
    </row>
    <row r="178" spans="1:5" x14ac:dyDescent="0.25">
      <c r="A178" s="32" t="s">
        <v>771</v>
      </c>
      <c r="B178" t="s">
        <v>788</v>
      </c>
      <c r="C178" s="32">
        <v>63</v>
      </c>
      <c r="D178">
        <v>0</v>
      </c>
      <c r="E178">
        <f t="shared" si="2"/>
        <v>63</v>
      </c>
    </row>
    <row r="179" spans="1:5" x14ac:dyDescent="0.25">
      <c r="A179" s="32" t="s">
        <v>556</v>
      </c>
      <c r="B179" s="37" t="s">
        <v>341</v>
      </c>
      <c r="C179" s="32">
        <v>47</v>
      </c>
      <c r="D179">
        <v>0</v>
      </c>
      <c r="E179">
        <f t="shared" si="2"/>
        <v>47</v>
      </c>
    </row>
    <row r="180" spans="1:5" x14ac:dyDescent="0.25">
      <c r="A180" s="32" t="s">
        <v>651</v>
      </c>
      <c r="B180" s="37" t="s">
        <v>175</v>
      </c>
      <c r="C180" s="32">
        <v>15.16</v>
      </c>
      <c r="D180">
        <v>0</v>
      </c>
      <c r="E180">
        <f t="shared" si="2"/>
        <v>15.16</v>
      </c>
    </row>
    <row r="181" spans="1:5" x14ac:dyDescent="0.25">
      <c r="A181" s="32" t="s">
        <v>558</v>
      </c>
      <c r="B181" s="37" t="s">
        <v>126</v>
      </c>
      <c r="C181" s="32">
        <v>12.07</v>
      </c>
      <c r="D181">
        <v>0</v>
      </c>
      <c r="E181">
        <f t="shared" si="2"/>
        <v>12.07</v>
      </c>
    </row>
    <row r="182" spans="1:5" x14ac:dyDescent="0.25">
      <c r="A182" s="32" t="s">
        <v>600</v>
      </c>
      <c r="B182" s="37" t="s">
        <v>34</v>
      </c>
      <c r="C182" s="32">
        <v>353</v>
      </c>
      <c r="D182">
        <v>0</v>
      </c>
      <c r="E182">
        <f t="shared" si="2"/>
        <v>353</v>
      </c>
    </row>
    <row r="183" spans="1:5" x14ac:dyDescent="0.25">
      <c r="A183" s="32" t="s">
        <v>571</v>
      </c>
      <c r="B183" s="37" t="s">
        <v>268</v>
      </c>
      <c r="C183" s="32">
        <v>0.81</v>
      </c>
      <c r="D183">
        <v>0</v>
      </c>
      <c r="E183">
        <f t="shared" si="2"/>
        <v>0.81</v>
      </c>
    </row>
    <row r="184" spans="1:5" x14ac:dyDescent="0.25">
      <c r="A184" s="32" t="s">
        <v>653</v>
      </c>
      <c r="B184" s="37" t="s">
        <v>172</v>
      </c>
      <c r="C184" s="32">
        <v>106</v>
      </c>
      <c r="D184">
        <v>0</v>
      </c>
      <c r="E184">
        <f t="shared" si="2"/>
        <v>106</v>
      </c>
    </row>
    <row r="185" spans="1:5" x14ac:dyDescent="0.25">
      <c r="A185" s="32" t="s">
        <v>558</v>
      </c>
      <c r="B185" s="37" t="s">
        <v>654</v>
      </c>
      <c r="C185" s="32">
        <v>119</v>
      </c>
      <c r="D185">
        <v>119</v>
      </c>
      <c r="E185">
        <f t="shared" si="2"/>
        <v>0</v>
      </c>
    </row>
    <row r="186" spans="1:5" x14ac:dyDescent="0.25">
      <c r="A186" s="32" t="s">
        <v>579</v>
      </c>
      <c r="B186" s="37" t="s">
        <v>155</v>
      </c>
      <c r="C186" s="32">
        <v>21</v>
      </c>
      <c r="D186">
        <v>0</v>
      </c>
      <c r="E186">
        <f t="shared" si="2"/>
        <v>21</v>
      </c>
    </row>
    <row r="187" spans="1:5" x14ac:dyDescent="0.25">
      <c r="A187" s="32" t="s">
        <v>655</v>
      </c>
      <c r="B187" s="37" t="s">
        <v>283</v>
      </c>
      <c r="C187" s="32">
        <v>121</v>
      </c>
      <c r="D187">
        <v>0</v>
      </c>
      <c r="E187">
        <f t="shared" si="2"/>
        <v>121</v>
      </c>
    </row>
    <row r="188" spans="1:5" x14ac:dyDescent="0.25">
      <c r="A188" s="32" t="s">
        <v>561</v>
      </c>
      <c r="B188" s="37" t="s">
        <v>68</v>
      </c>
      <c r="C188" s="32">
        <v>51</v>
      </c>
      <c r="D188">
        <v>0</v>
      </c>
      <c r="E188">
        <f t="shared" si="2"/>
        <v>51</v>
      </c>
    </row>
    <row r="189" spans="1:5" x14ac:dyDescent="0.25">
      <c r="A189" s="32" t="s">
        <v>620</v>
      </c>
      <c r="B189" s="37" t="s">
        <v>209</v>
      </c>
      <c r="C189" s="32">
        <v>39</v>
      </c>
      <c r="D189">
        <v>0</v>
      </c>
      <c r="E189">
        <f t="shared" si="2"/>
        <v>39</v>
      </c>
    </row>
    <row r="190" spans="1:5" x14ac:dyDescent="0.25">
      <c r="A190" s="32" t="s">
        <v>632</v>
      </c>
      <c r="B190" s="37" t="s">
        <v>173</v>
      </c>
      <c r="C190" s="32">
        <v>128</v>
      </c>
      <c r="D190">
        <v>0</v>
      </c>
      <c r="E190">
        <f t="shared" si="2"/>
        <v>128</v>
      </c>
    </row>
    <row r="191" spans="1:5" x14ac:dyDescent="0.25">
      <c r="A191" s="32" t="s">
        <v>592</v>
      </c>
      <c r="B191" s="37" t="s">
        <v>104</v>
      </c>
      <c r="C191" s="32">
        <v>0.9</v>
      </c>
      <c r="D191">
        <v>0</v>
      </c>
      <c r="E191">
        <f t="shared" si="2"/>
        <v>0.9</v>
      </c>
    </row>
    <row r="192" spans="1:5" x14ac:dyDescent="0.25">
      <c r="A192" s="32" t="s">
        <v>657</v>
      </c>
      <c r="B192" s="37" t="s">
        <v>291</v>
      </c>
      <c r="C192" s="32">
        <v>24</v>
      </c>
      <c r="D192">
        <v>0</v>
      </c>
      <c r="E192">
        <f t="shared" si="2"/>
        <v>24</v>
      </c>
    </row>
    <row r="193" spans="1:5" x14ac:dyDescent="0.25">
      <c r="A193" s="32" t="s">
        <v>568</v>
      </c>
      <c r="B193" s="37" t="s">
        <v>182</v>
      </c>
      <c r="C193" s="32">
        <v>13.33</v>
      </c>
      <c r="D193">
        <v>0</v>
      </c>
      <c r="E193">
        <f t="shared" si="2"/>
        <v>13.33</v>
      </c>
    </row>
    <row r="194" spans="1:5" x14ac:dyDescent="0.25">
      <c r="A194" s="32" t="s">
        <v>571</v>
      </c>
      <c r="B194" s="37" t="s">
        <v>269</v>
      </c>
      <c r="C194" s="32">
        <v>5.18</v>
      </c>
      <c r="D194">
        <v>0</v>
      </c>
      <c r="E194">
        <f t="shared" si="2"/>
        <v>5.18</v>
      </c>
    </row>
    <row r="195" spans="1:5" x14ac:dyDescent="0.25">
      <c r="A195" s="32" t="s">
        <v>580</v>
      </c>
      <c r="B195" s="37" t="s">
        <v>32</v>
      </c>
      <c r="C195" s="32" t="s">
        <v>779</v>
      </c>
      <c r="D195">
        <v>0</v>
      </c>
      <c r="E195" t="str">
        <f t="shared" ref="E195:E258" si="3">IFERROR(C195-D195,"")</f>
        <v/>
      </c>
    </row>
    <row r="196" spans="1:5" x14ac:dyDescent="0.25">
      <c r="A196" s="32" t="s">
        <v>651</v>
      </c>
      <c r="B196" s="37" t="s">
        <v>174</v>
      </c>
      <c r="C196" s="32">
        <v>207</v>
      </c>
      <c r="D196">
        <v>0</v>
      </c>
      <c r="E196">
        <f t="shared" si="3"/>
        <v>207</v>
      </c>
    </row>
    <row r="197" spans="1:5" x14ac:dyDescent="0.25">
      <c r="A197" s="32" t="s">
        <v>561</v>
      </c>
      <c r="B197" s="37" t="s">
        <v>86</v>
      </c>
      <c r="C197" s="32">
        <v>10.33</v>
      </c>
      <c r="D197">
        <v>0</v>
      </c>
      <c r="E197">
        <f t="shared" si="3"/>
        <v>10.33</v>
      </c>
    </row>
    <row r="198" spans="1:5" x14ac:dyDescent="0.25">
      <c r="A198" s="32" t="s">
        <v>561</v>
      </c>
      <c r="B198" s="37" t="s">
        <v>76</v>
      </c>
      <c r="C198" s="32">
        <v>14.03</v>
      </c>
      <c r="D198">
        <v>0</v>
      </c>
      <c r="E198">
        <f t="shared" si="3"/>
        <v>14.03</v>
      </c>
    </row>
    <row r="199" spans="1:5" x14ac:dyDescent="0.25">
      <c r="A199" s="32" t="s">
        <v>658</v>
      </c>
      <c r="B199" s="37" t="s">
        <v>176</v>
      </c>
      <c r="C199" s="32">
        <v>293</v>
      </c>
      <c r="D199">
        <v>12.35</v>
      </c>
      <c r="E199">
        <f t="shared" si="3"/>
        <v>280.64999999999998</v>
      </c>
    </row>
    <row r="200" spans="1:5" x14ac:dyDescent="0.25">
      <c r="A200" s="32" t="s">
        <v>561</v>
      </c>
      <c r="B200" s="37" t="s">
        <v>83</v>
      </c>
      <c r="C200" s="32">
        <v>14.9</v>
      </c>
      <c r="D200">
        <v>0</v>
      </c>
      <c r="E200">
        <f t="shared" si="3"/>
        <v>14.9</v>
      </c>
    </row>
    <row r="201" spans="1:5" x14ac:dyDescent="0.25">
      <c r="A201" s="32" t="s">
        <v>659</v>
      </c>
      <c r="B201" s="37" t="s">
        <v>184</v>
      </c>
      <c r="C201" s="32">
        <v>30</v>
      </c>
      <c r="D201">
        <v>0</v>
      </c>
      <c r="E201">
        <f t="shared" si="3"/>
        <v>30</v>
      </c>
    </row>
    <row r="202" spans="1:5" x14ac:dyDescent="0.25">
      <c r="A202" s="32" t="s">
        <v>636</v>
      </c>
      <c r="B202" s="37" t="s">
        <v>38</v>
      </c>
      <c r="C202" s="32">
        <v>34</v>
      </c>
      <c r="D202">
        <v>0</v>
      </c>
      <c r="E202">
        <f t="shared" si="3"/>
        <v>34</v>
      </c>
    </row>
    <row r="203" spans="1:5" x14ac:dyDescent="0.25">
      <c r="A203" s="32" t="s">
        <v>601</v>
      </c>
      <c r="B203" s="37" t="s">
        <v>186</v>
      </c>
      <c r="C203" s="32">
        <v>30</v>
      </c>
      <c r="D203">
        <v>0</v>
      </c>
      <c r="E203">
        <f t="shared" si="3"/>
        <v>30</v>
      </c>
    </row>
    <row r="204" spans="1:5" x14ac:dyDescent="0.25">
      <c r="A204" s="32" t="s">
        <v>571</v>
      </c>
      <c r="B204" s="37" t="s">
        <v>270</v>
      </c>
      <c r="C204" s="32">
        <v>3.24</v>
      </c>
      <c r="D204">
        <v>0</v>
      </c>
      <c r="E204">
        <f t="shared" si="3"/>
        <v>3.24</v>
      </c>
    </row>
    <row r="205" spans="1:5" x14ac:dyDescent="0.25">
      <c r="A205" s="32" t="s">
        <v>561</v>
      </c>
      <c r="B205" s="37" t="s">
        <v>490</v>
      </c>
      <c r="C205" s="32">
        <v>8.6</v>
      </c>
      <c r="D205">
        <v>0</v>
      </c>
      <c r="E205">
        <f t="shared" si="3"/>
        <v>8.6</v>
      </c>
    </row>
    <row r="206" spans="1:5" x14ac:dyDescent="0.25">
      <c r="A206" s="32" t="s">
        <v>661</v>
      </c>
      <c r="B206" s="37" t="s">
        <v>188</v>
      </c>
      <c r="C206" s="32">
        <v>301</v>
      </c>
      <c r="D206">
        <v>0</v>
      </c>
      <c r="E206">
        <f t="shared" si="3"/>
        <v>301</v>
      </c>
    </row>
    <row r="207" spans="1:5" x14ac:dyDescent="0.25">
      <c r="A207" s="32" t="s">
        <v>662</v>
      </c>
      <c r="B207" s="37" t="s">
        <v>189</v>
      </c>
      <c r="C207" s="32">
        <v>12.16</v>
      </c>
      <c r="D207">
        <v>0</v>
      </c>
      <c r="E207">
        <f t="shared" si="3"/>
        <v>12.16</v>
      </c>
    </row>
    <row r="208" spans="1:5" x14ac:dyDescent="0.25">
      <c r="A208" s="32" t="s">
        <v>606</v>
      </c>
      <c r="B208" s="37" t="s">
        <v>190</v>
      </c>
      <c r="C208" s="32" t="s">
        <v>779</v>
      </c>
      <c r="D208">
        <v>0</v>
      </c>
      <c r="E208" t="str">
        <f t="shared" si="3"/>
        <v/>
      </c>
    </row>
    <row r="209" spans="1:5" x14ac:dyDescent="0.25">
      <c r="A209" s="32" t="s">
        <v>573</v>
      </c>
      <c r="B209" s="37" t="s">
        <v>308</v>
      </c>
      <c r="C209" s="32">
        <v>1323</v>
      </c>
      <c r="D209">
        <v>95</v>
      </c>
      <c r="E209">
        <f t="shared" si="3"/>
        <v>1228</v>
      </c>
    </row>
    <row r="210" spans="1:5" x14ac:dyDescent="0.25">
      <c r="A210" s="32" t="s">
        <v>604</v>
      </c>
      <c r="B210" s="37" t="s">
        <v>369</v>
      </c>
      <c r="C210" s="32">
        <v>0.9</v>
      </c>
      <c r="D210">
        <v>0</v>
      </c>
      <c r="E210">
        <f t="shared" si="3"/>
        <v>0.9</v>
      </c>
    </row>
    <row r="211" spans="1:5" x14ac:dyDescent="0.25">
      <c r="A211" s="32" t="s">
        <v>663</v>
      </c>
      <c r="B211" s="37" t="s">
        <v>78</v>
      </c>
      <c r="C211" s="32">
        <v>139</v>
      </c>
      <c r="D211">
        <v>0</v>
      </c>
      <c r="E211">
        <f t="shared" si="3"/>
        <v>139</v>
      </c>
    </row>
    <row r="212" spans="1:5" x14ac:dyDescent="0.25">
      <c r="A212" s="32" t="s">
        <v>561</v>
      </c>
      <c r="B212" s="37" t="s">
        <v>664</v>
      </c>
      <c r="C212" s="32" t="s">
        <v>779</v>
      </c>
      <c r="D212">
        <v>0</v>
      </c>
      <c r="E212" t="str">
        <f t="shared" si="3"/>
        <v/>
      </c>
    </row>
    <row r="213" spans="1:5" x14ac:dyDescent="0.25">
      <c r="A213" s="32" t="s">
        <v>665</v>
      </c>
      <c r="B213" s="37" t="s">
        <v>404</v>
      </c>
      <c r="C213" s="32">
        <v>3.81</v>
      </c>
      <c r="D213">
        <v>0</v>
      </c>
      <c r="E213">
        <f t="shared" si="3"/>
        <v>3.81</v>
      </c>
    </row>
    <row r="214" spans="1:5" x14ac:dyDescent="0.25">
      <c r="A214" s="32" t="s">
        <v>608</v>
      </c>
      <c r="B214" s="37" t="s">
        <v>193</v>
      </c>
      <c r="C214" s="32">
        <v>66</v>
      </c>
      <c r="D214">
        <v>0</v>
      </c>
      <c r="E214">
        <f t="shared" si="3"/>
        <v>66</v>
      </c>
    </row>
    <row r="215" spans="1:5" x14ac:dyDescent="0.25">
      <c r="A215" s="32" t="s">
        <v>666</v>
      </c>
      <c r="B215" s="37" t="s">
        <v>302</v>
      </c>
      <c r="C215" s="32">
        <v>11.91</v>
      </c>
      <c r="D215">
        <v>0</v>
      </c>
      <c r="E215">
        <f t="shared" si="3"/>
        <v>11.91</v>
      </c>
    </row>
    <row r="216" spans="1:5" x14ac:dyDescent="0.25">
      <c r="A216" s="32" t="s">
        <v>595</v>
      </c>
      <c r="B216" s="37" t="s">
        <v>359</v>
      </c>
      <c r="C216" s="32">
        <v>106</v>
      </c>
      <c r="D216">
        <v>0</v>
      </c>
      <c r="E216">
        <f t="shared" si="3"/>
        <v>106</v>
      </c>
    </row>
    <row r="217" spans="1:5" x14ac:dyDescent="0.25">
      <c r="A217" s="32" t="s">
        <v>667</v>
      </c>
      <c r="B217" s="37" t="s">
        <v>196</v>
      </c>
      <c r="C217" s="32">
        <v>806</v>
      </c>
      <c r="D217">
        <v>0</v>
      </c>
      <c r="E217">
        <f t="shared" si="3"/>
        <v>806</v>
      </c>
    </row>
    <row r="218" spans="1:5" x14ac:dyDescent="0.25">
      <c r="A218" s="32" t="s">
        <v>571</v>
      </c>
      <c r="B218" s="37" t="s">
        <v>259</v>
      </c>
      <c r="C218" s="32">
        <v>111</v>
      </c>
      <c r="D218">
        <v>0</v>
      </c>
      <c r="E218">
        <f t="shared" si="3"/>
        <v>111</v>
      </c>
    </row>
    <row r="219" spans="1:5" x14ac:dyDescent="0.25">
      <c r="A219" s="32" t="s">
        <v>668</v>
      </c>
      <c r="B219" s="37" t="s">
        <v>405</v>
      </c>
      <c r="C219" s="32">
        <v>2.4300000000000002</v>
      </c>
      <c r="D219">
        <v>0</v>
      </c>
      <c r="E219">
        <f t="shared" si="3"/>
        <v>2.4300000000000002</v>
      </c>
    </row>
    <row r="220" spans="1:5" x14ac:dyDescent="0.25">
      <c r="A220" s="32" t="s">
        <v>669</v>
      </c>
      <c r="B220" s="37" t="s">
        <v>187</v>
      </c>
      <c r="C220" s="32">
        <v>42</v>
      </c>
      <c r="D220">
        <v>0</v>
      </c>
      <c r="E220">
        <f t="shared" si="3"/>
        <v>42</v>
      </c>
    </row>
    <row r="221" spans="1:5" x14ac:dyDescent="0.25">
      <c r="A221" s="32" t="s">
        <v>546</v>
      </c>
      <c r="B221" s="37" t="s">
        <v>99</v>
      </c>
      <c r="C221" s="32" t="s">
        <v>779</v>
      </c>
      <c r="D221">
        <v>0</v>
      </c>
      <c r="E221" t="str">
        <f t="shared" si="3"/>
        <v/>
      </c>
    </row>
    <row r="222" spans="1:5" x14ac:dyDescent="0.25">
      <c r="A222" s="32" t="s">
        <v>572</v>
      </c>
      <c r="B222" s="37" t="s">
        <v>69</v>
      </c>
      <c r="C222" s="32">
        <v>4.13</v>
      </c>
      <c r="D222">
        <v>0</v>
      </c>
      <c r="E222">
        <f t="shared" si="3"/>
        <v>4.13</v>
      </c>
    </row>
    <row r="223" spans="1:5" x14ac:dyDescent="0.25">
      <c r="A223" s="32" t="s">
        <v>611</v>
      </c>
      <c r="B223" s="37" t="s">
        <v>147</v>
      </c>
      <c r="C223" s="32">
        <v>6.38</v>
      </c>
      <c r="D223">
        <v>0</v>
      </c>
      <c r="E223">
        <f t="shared" si="3"/>
        <v>6.38</v>
      </c>
    </row>
    <row r="224" spans="1:5" x14ac:dyDescent="0.25">
      <c r="A224" s="32" t="s">
        <v>574</v>
      </c>
      <c r="B224" s="37" t="s">
        <v>24</v>
      </c>
      <c r="C224" s="32" t="s">
        <v>779</v>
      </c>
      <c r="D224">
        <v>0</v>
      </c>
      <c r="E224" t="str">
        <f t="shared" si="3"/>
        <v/>
      </c>
    </row>
    <row r="225" spans="1:5" x14ac:dyDescent="0.25">
      <c r="A225" s="32" t="s">
        <v>571</v>
      </c>
      <c r="B225" s="37" t="s">
        <v>271</v>
      </c>
      <c r="C225" s="32">
        <v>1.89</v>
      </c>
      <c r="D225">
        <v>0</v>
      </c>
      <c r="E225">
        <f t="shared" si="3"/>
        <v>1.89</v>
      </c>
    </row>
    <row r="226" spans="1:5" x14ac:dyDescent="0.25">
      <c r="A226" s="32" t="s">
        <v>563</v>
      </c>
      <c r="B226" s="37" t="s">
        <v>758</v>
      </c>
      <c r="C226" s="32">
        <v>1.2</v>
      </c>
      <c r="D226">
        <v>0</v>
      </c>
      <c r="E226">
        <f t="shared" si="3"/>
        <v>1.2</v>
      </c>
    </row>
    <row r="227" spans="1:5" x14ac:dyDescent="0.25">
      <c r="A227" s="32" t="s">
        <v>670</v>
      </c>
      <c r="B227" s="37" t="s">
        <v>200</v>
      </c>
      <c r="C227" s="32" t="s">
        <v>779</v>
      </c>
      <c r="D227">
        <v>0</v>
      </c>
      <c r="E227" t="str">
        <f t="shared" si="3"/>
        <v/>
      </c>
    </row>
    <row r="228" spans="1:5" x14ac:dyDescent="0.25">
      <c r="A228" s="32" t="s">
        <v>561</v>
      </c>
      <c r="B228" s="37" t="s">
        <v>43</v>
      </c>
      <c r="C228" s="32">
        <v>2244</v>
      </c>
      <c r="D228">
        <v>0</v>
      </c>
      <c r="E228">
        <f t="shared" si="3"/>
        <v>2244</v>
      </c>
    </row>
    <row r="229" spans="1:5" x14ac:dyDescent="0.25">
      <c r="A229" s="32" t="s">
        <v>671</v>
      </c>
      <c r="B229" s="37" t="s">
        <v>201</v>
      </c>
      <c r="C229" s="32">
        <v>24</v>
      </c>
      <c r="D229">
        <v>0</v>
      </c>
      <c r="E229">
        <f t="shared" si="3"/>
        <v>24</v>
      </c>
    </row>
    <row r="230" spans="1:5" x14ac:dyDescent="0.25">
      <c r="A230" s="32" t="s">
        <v>571</v>
      </c>
      <c r="B230" s="37" t="s">
        <v>257</v>
      </c>
      <c r="C230" s="32">
        <v>73</v>
      </c>
      <c r="D230">
        <v>0</v>
      </c>
      <c r="E230">
        <f t="shared" si="3"/>
        <v>73</v>
      </c>
    </row>
    <row r="231" spans="1:5" x14ac:dyDescent="0.25">
      <c r="A231" s="32" t="s">
        <v>589</v>
      </c>
      <c r="B231" s="37" t="s">
        <v>93</v>
      </c>
      <c r="C231" s="32">
        <v>14.7</v>
      </c>
      <c r="D231">
        <v>0</v>
      </c>
      <c r="E231">
        <f t="shared" si="3"/>
        <v>14.7</v>
      </c>
    </row>
    <row r="232" spans="1:5" x14ac:dyDescent="0.25">
      <c r="A232" s="32" t="s">
        <v>668</v>
      </c>
      <c r="B232" s="37" t="s">
        <v>202</v>
      </c>
      <c r="C232" s="32">
        <v>135</v>
      </c>
      <c r="D232">
        <v>0</v>
      </c>
      <c r="E232">
        <f t="shared" si="3"/>
        <v>135</v>
      </c>
    </row>
    <row r="233" spans="1:5" x14ac:dyDescent="0.25">
      <c r="A233" s="32" t="s">
        <v>561</v>
      </c>
      <c r="B233" s="37" t="s">
        <v>82</v>
      </c>
      <c r="C233" s="32">
        <v>22</v>
      </c>
      <c r="D233">
        <v>0</v>
      </c>
      <c r="E233">
        <f t="shared" si="3"/>
        <v>22</v>
      </c>
    </row>
    <row r="234" spans="1:5" x14ac:dyDescent="0.25">
      <c r="A234" s="32" t="s">
        <v>657</v>
      </c>
      <c r="B234" s="37" t="s">
        <v>294</v>
      </c>
      <c r="C234" s="32">
        <v>15.6</v>
      </c>
      <c r="D234">
        <v>0</v>
      </c>
      <c r="E234">
        <f t="shared" si="3"/>
        <v>15.6</v>
      </c>
    </row>
    <row r="235" spans="1:5" x14ac:dyDescent="0.25">
      <c r="A235" s="32" t="s">
        <v>673</v>
      </c>
      <c r="B235" s="44" t="s">
        <v>205</v>
      </c>
      <c r="C235" s="32">
        <v>186</v>
      </c>
      <c r="D235">
        <v>0</v>
      </c>
      <c r="E235">
        <f t="shared" si="3"/>
        <v>186</v>
      </c>
    </row>
    <row r="236" spans="1:5" x14ac:dyDescent="0.25">
      <c r="A236" s="32" t="s">
        <v>549</v>
      </c>
      <c r="B236" s="37" t="s">
        <v>3</v>
      </c>
      <c r="C236" s="32">
        <v>34</v>
      </c>
      <c r="D236">
        <v>0</v>
      </c>
      <c r="E236">
        <f t="shared" si="3"/>
        <v>34</v>
      </c>
    </row>
    <row r="237" spans="1:5" x14ac:dyDescent="0.25">
      <c r="A237" s="32" t="s">
        <v>569</v>
      </c>
      <c r="B237" s="37" t="s">
        <v>491</v>
      </c>
      <c r="C237" s="32">
        <v>0.61</v>
      </c>
      <c r="D237">
        <v>0</v>
      </c>
      <c r="E237">
        <f t="shared" si="3"/>
        <v>0.61</v>
      </c>
    </row>
    <row r="238" spans="1:5" x14ac:dyDescent="0.25">
      <c r="A238" s="32" t="s">
        <v>561</v>
      </c>
      <c r="B238" s="37" t="s">
        <v>52</v>
      </c>
      <c r="C238" s="32">
        <v>113</v>
      </c>
      <c r="D238">
        <v>0</v>
      </c>
      <c r="E238">
        <f t="shared" si="3"/>
        <v>113</v>
      </c>
    </row>
    <row r="239" spans="1:5" x14ac:dyDescent="0.25">
      <c r="A239" s="32" t="s">
        <v>625</v>
      </c>
      <c r="B239" s="37" t="s">
        <v>492</v>
      </c>
      <c r="C239" s="32" t="s">
        <v>779</v>
      </c>
      <c r="D239">
        <v>0</v>
      </c>
      <c r="E239" t="str">
        <f t="shared" si="3"/>
        <v/>
      </c>
    </row>
    <row r="240" spans="1:5" x14ac:dyDescent="0.25">
      <c r="A240" s="32" t="s">
        <v>556</v>
      </c>
      <c r="B240" s="37" t="s">
        <v>336</v>
      </c>
      <c r="C240" s="32">
        <v>166</v>
      </c>
      <c r="D240">
        <v>0</v>
      </c>
      <c r="E240">
        <f t="shared" si="3"/>
        <v>166</v>
      </c>
    </row>
    <row r="241" spans="1:5" x14ac:dyDescent="0.25">
      <c r="A241" s="32" t="s">
        <v>674</v>
      </c>
      <c r="B241" s="37" t="s">
        <v>493</v>
      </c>
      <c r="C241" s="32" t="s">
        <v>779</v>
      </c>
      <c r="D241">
        <v>0</v>
      </c>
      <c r="E241" t="str">
        <f t="shared" si="3"/>
        <v/>
      </c>
    </row>
    <row r="242" spans="1:5" x14ac:dyDescent="0.25">
      <c r="A242" s="32" t="s">
        <v>665</v>
      </c>
      <c r="B242" s="37" t="s">
        <v>319</v>
      </c>
      <c r="C242" s="32">
        <v>6.95</v>
      </c>
      <c r="D242">
        <v>0</v>
      </c>
      <c r="E242">
        <f t="shared" si="3"/>
        <v>6.95</v>
      </c>
    </row>
    <row r="243" spans="1:5" x14ac:dyDescent="0.25">
      <c r="A243" s="32" t="s">
        <v>675</v>
      </c>
      <c r="B243" s="37" t="s">
        <v>206</v>
      </c>
      <c r="C243" s="32" t="s">
        <v>779</v>
      </c>
      <c r="D243">
        <v>0</v>
      </c>
      <c r="E243" t="str">
        <f t="shared" si="3"/>
        <v/>
      </c>
    </row>
    <row r="244" spans="1:5" x14ac:dyDescent="0.25">
      <c r="A244" s="32" t="s">
        <v>676</v>
      </c>
      <c r="B244" s="37" t="s">
        <v>210</v>
      </c>
      <c r="C244" s="32">
        <v>389</v>
      </c>
      <c r="D244">
        <v>91</v>
      </c>
      <c r="E244">
        <f t="shared" si="3"/>
        <v>298</v>
      </c>
    </row>
    <row r="245" spans="1:5" x14ac:dyDescent="0.25">
      <c r="A245" s="32" t="s">
        <v>561</v>
      </c>
      <c r="B245" s="37" t="s">
        <v>84</v>
      </c>
      <c r="C245" s="32">
        <v>47</v>
      </c>
      <c r="D245">
        <v>0</v>
      </c>
      <c r="E245">
        <f t="shared" si="3"/>
        <v>47</v>
      </c>
    </row>
    <row r="246" spans="1:5" x14ac:dyDescent="0.25">
      <c r="A246" s="32" t="s">
        <v>561</v>
      </c>
      <c r="B246" s="37" t="s">
        <v>80</v>
      </c>
      <c r="C246" s="32">
        <v>42</v>
      </c>
      <c r="D246">
        <v>0</v>
      </c>
      <c r="E246">
        <f t="shared" si="3"/>
        <v>42</v>
      </c>
    </row>
    <row r="247" spans="1:5" x14ac:dyDescent="0.25">
      <c r="A247" s="32" t="s">
        <v>561</v>
      </c>
      <c r="B247" s="37" t="s">
        <v>70</v>
      </c>
      <c r="C247" s="32">
        <v>34</v>
      </c>
      <c r="D247">
        <v>0</v>
      </c>
      <c r="E247">
        <f t="shared" si="3"/>
        <v>34</v>
      </c>
    </row>
    <row r="248" spans="1:5" x14ac:dyDescent="0.25">
      <c r="A248" s="32" t="s">
        <v>595</v>
      </c>
      <c r="B248" s="37" t="s">
        <v>356</v>
      </c>
      <c r="C248" s="32">
        <v>18.87</v>
      </c>
      <c r="D248">
        <v>0</v>
      </c>
      <c r="E248">
        <f t="shared" si="3"/>
        <v>18.87</v>
      </c>
    </row>
    <row r="249" spans="1:5" x14ac:dyDescent="0.25">
      <c r="A249" s="32" t="s">
        <v>561</v>
      </c>
      <c r="B249" s="37" t="s">
        <v>51</v>
      </c>
      <c r="C249" s="32">
        <v>11.27</v>
      </c>
      <c r="D249">
        <v>0</v>
      </c>
      <c r="E249">
        <f t="shared" si="3"/>
        <v>11.27</v>
      </c>
    </row>
    <row r="250" spans="1:5" x14ac:dyDescent="0.25">
      <c r="A250" s="32" t="s">
        <v>559</v>
      </c>
      <c r="B250" s="37" t="s">
        <v>161</v>
      </c>
      <c r="C250" s="32" t="s">
        <v>779</v>
      </c>
      <c r="D250">
        <v>0</v>
      </c>
      <c r="E250" t="str">
        <f t="shared" si="3"/>
        <v/>
      </c>
    </row>
    <row r="251" spans="1:5" x14ac:dyDescent="0.25">
      <c r="A251" s="32" t="s">
        <v>678</v>
      </c>
      <c r="B251" s="37" t="s">
        <v>232</v>
      </c>
      <c r="C251" s="32">
        <v>6.83</v>
      </c>
      <c r="D251">
        <v>0</v>
      </c>
      <c r="E251">
        <f t="shared" si="3"/>
        <v>6.83</v>
      </c>
    </row>
    <row r="252" spans="1:5" x14ac:dyDescent="0.25">
      <c r="A252" s="32" t="s">
        <v>561</v>
      </c>
      <c r="B252" s="44" t="s">
        <v>88</v>
      </c>
      <c r="C252" s="32">
        <v>980</v>
      </c>
      <c r="D252">
        <v>0</v>
      </c>
      <c r="E252">
        <f t="shared" si="3"/>
        <v>980</v>
      </c>
    </row>
    <row r="253" spans="1:5" x14ac:dyDescent="0.25">
      <c r="A253" s="32" t="s">
        <v>563</v>
      </c>
      <c r="B253" s="37" t="s">
        <v>494</v>
      </c>
      <c r="C253" s="32">
        <v>3.5</v>
      </c>
      <c r="D253">
        <v>0</v>
      </c>
      <c r="E253">
        <f t="shared" si="3"/>
        <v>3.5</v>
      </c>
    </row>
    <row r="254" spans="1:5" x14ac:dyDescent="0.25">
      <c r="A254" s="32" t="s">
        <v>621</v>
      </c>
      <c r="B254" s="37" t="s">
        <v>221</v>
      </c>
      <c r="C254" s="32">
        <v>125</v>
      </c>
      <c r="D254">
        <v>0</v>
      </c>
      <c r="E254">
        <f t="shared" si="3"/>
        <v>125</v>
      </c>
    </row>
    <row r="255" spans="1:5" x14ac:dyDescent="0.25">
      <c r="A255" s="32" t="s">
        <v>571</v>
      </c>
      <c r="B255" s="37" t="s">
        <v>258</v>
      </c>
      <c r="C255" s="32">
        <v>13.58</v>
      </c>
      <c r="D255">
        <v>0</v>
      </c>
      <c r="E255">
        <f t="shared" si="3"/>
        <v>13.58</v>
      </c>
    </row>
    <row r="256" spans="1:5" x14ac:dyDescent="0.25">
      <c r="A256" s="32" t="s">
        <v>679</v>
      </c>
      <c r="B256" s="37" t="s">
        <v>163</v>
      </c>
      <c r="C256" s="32">
        <v>93</v>
      </c>
      <c r="D256">
        <v>0</v>
      </c>
      <c r="E256">
        <f t="shared" si="3"/>
        <v>93</v>
      </c>
    </row>
    <row r="257" spans="1:5" x14ac:dyDescent="0.25">
      <c r="A257" s="32" t="s">
        <v>643</v>
      </c>
      <c r="B257" s="37" t="s">
        <v>680</v>
      </c>
      <c r="C257" s="32" t="s">
        <v>779</v>
      </c>
      <c r="D257">
        <v>0</v>
      </c>
      <c r="E257" t="str">
        <f t="shared" si="3"/>
        <v/>
      </c>
    </row>
    <row r="258" spans="1:5" x14ac:dyDescent="0.25">
      <c r="A258" s="32" t="s">
        <v>641</v>
      </c>
      <c r="B258" s="37" t="s">
        <v>681</v>
      </c>
      <c r="C258" s="32" t="s">
        <v>779</v>
      </c>
      <c r="D258">
        <v>0</v>
      </c>
      <c r="E258" t="str">
        <f t="shared" si="3"/>
        <v/>
      </c>
    </row>
    <row r="259" spans="1:5" x14ac:dyDescent="0.25">
      <c r="A259" s="32" t="s">
        <v>556</v>
      </c>
      <c r="B259" s="37" t="s">
        <v>337</v>
      </c>
      <c r="C259" s="32">
        <v>284</v>
      </c>
      <c r="D259">
        <v>0</v>
      </c>
      <c r="E259">
        <f t="shared" ref="E259:E322" si="4">IFERROR(C259-D259,"")</f>
        <v>284</v>
      </c>
    </row>
    <row r="260" spans="1:5" x14ac:dyDescent="0.25">
      <c r="A260" s="32" t="s">
        <v>558</v>
      </c>
      <c r="B260" s="37" t="s">
        <v>121</v>
      </c>
      <c r="C260" s="32">
        <v>62</v>
      </c>
      <c r="D260">
        <v>0</v>
      </c>
      <c r="E260">
        <f t="shared" si="4"/>
        <v>62</v>
      </c>
    </row>
    <row r="261" spans="1:5" x14ac:dyDescent="0.25">
      <c r="A261" s="32" t="s">
        <v>551</v>
      </c>
      <c r="B261" s="37" t="s">
        <v>223</v>
      </c>
      <c r="C261" s="32">
        <v>162</v>
      </c>
      <c r="D261">
        <v>0</v>
      </c>
      <c r="E261">
        <f t="shared" si="4"/>
        <v>162</v>
      </c>
    </row>
    <row r="262" spans="1:5" x14ac:dyDescent="0.25">
      <c r="A262" s="32" t="s">
        <v>558</v>
      </c>
      <c r="B262" s="37" t="s">
        <v>127</v>
      </c>
      <c r="C262" s="32">
        <v>1.93</v>
      </c>
      <c r="D262">
        <v>0</v>
      </c>
      <c r="E262">
        <f t="shared" si="4"/>
        <v>1.93</v>
      </c>
    </row>
    <row r="263" spans="1:5" x14ac:dyDescent="0.25">
      <c r="A263" s="32" t="s">
        <v>572</v>
      </c>
      <c r="B263" s="37" t="s">
        <v>71</v>
      </c>
      <c r="C263" s="32" t="s">
        <v>779</v>
      </c>
      <c r="D263">
        <v>0</v>
      </c>
      <c r="E263" t="str">
        <f t="shared" si="4"/>
        <v/>
      </c>
    </row>
    <row r="264" spans="1:5" x14ac:dyDescent="0.25">
      <c r="A264" s="32" t="s">
        <v>639</v>
      </c>
      <c r="B264" s="37" t="s">
        <v>682</v>
      </c>
      <c r="C264" s="32">
        <v>3</v>
      </c>
      <c r="D264">
        <v>0</v>
      </c>
      <c r="E264">
        <f t="shared" si="4"/>
        <v>3</v>
      </c>
    </row>
    <row r="265" spans="1:5" x14ac:dyDescent="0.25">
      <c r="A265" s="32" t="s">
        <v>563</v>
      </c>
      <c r="B265" s="37" t="s">
        <v>8</v>
      </c>
      <c r="C265" s="32">
        <v>23</v>
      </c>
      <c r="D265">
        <v>0</v>
      </c>
      <c r="E265">
        <f t="shared" si="4"/>
        <v>23</v>
      </c>
    </row>
    <row r="266" spans="1:5" x14ac:dyDescent="0.25">
      <c r="A266" s="32" t="s">
        <v>561</v>
      </c>
      <c r="B266" s="37" t="s">
        <v>56</v>
      </c>
      <c r="C266" s="32">
        <v>5.76</v>
      </c>
      <c r="D266">
        <v>0</v>
      </c>
      <c r="E266">
        <f t="shared" si="4"/>
        <v>5.76</v>
      </c>
    </row>
    <row r="267" spans="1:5" x14ac:dyDescent="0.25">
      <c r="A267" s="32" t="s">
        <v>683</v>
      </c>
      <c r="B267" s="37" t="s">
        <v>226</v>
      </c>
      <c r="C267" s="32">
        <v>43</v>
      </c>
      <c r="D267">
        <v>0</v>
      </c>
      <c r="E267">
        <f t="shared" si="4"/>
        <v>43</v>
      </c>
    </row>
    <row r="268" spans="1:5" x14ac:dyDescent="0.25">
      <c r="A268" s="32" t="s">
        <v>575</v>
      </c>
      <c r="B268" s="37" t="s">
        <v>26</v>
      </c>
      <c r="C268" s="32">
        <v>2.13</v>
      </c>
      <c r="D268">
        <v>0</v>
      </c>
      <c r="E268">
        <f t="shared" si="4"/>
        <v>2.13</v>
      </c>
    </row>
    <row r="269" spans="1:5" x14ac:dyDescent="0.25">
      <c r="A269" s="32" t="s">
        <v>561</v>
      </c>
      <c r="B269" s="37" t="s">
        <v>53</v>
      </c>
      <c r="C269" s="32">
        <v>24</v>
      </c>
      <c r="D269">
        <v>0</v>
      </c>
      <c r="E269">
        <f t="shared" si="4"/>
        <v>24</v>
      </c>
    </row>
    <row r="270" spans="1:5" x14ac:dyDescent="0.25">
      <c r="A270" s="32" t="s">
        <v>684</v>
      </c>
      <c r="B270" s="37" t="s">
        <v>114</v>
      </c>
      <c r="C270" s="32">
        <v>47</v>
      </c>
      <c r="D270">
        <v>0</v>
      </c>
      <c r="E270">
        <f t="shared" si="4"/>
        <v>47</v>
      </c>
    </row>
    <row r="271" spans="1:5" x14ac:dyDescent="0.25">
      <c r="A271" s="32" t="s">
        <v>685</v>
      </c>
      <c r="B271" s="37" t="s">
        <v>227</v>
      </c>
      <c r="C271" s="32">
        <v>132</v>
      </c>
      <c r="D271">
        <v>0</v>
      </c>
      <c r="E271">
        <f t="shared" si="4"/>
        <v>132</v>
      </c>
    </row>
    <row r="272" spans="1:5" x14ac:dyDescent="0.25">
      <c r="A272" s="32" t="s">
        <v>686</v>
      </c>
      <c r="B272" s="37" t="s">
        <v>228</v>
      </c>
      <c r="C272" s="32">
        <v>82</v>
      </c>
      <c r="D272">
        <v>0</v>
      </c>
      <c r="E272">
        <f t="shared" si="4"/>
        <v>82</v>
      </c>
    </row>
    <row r="273" spans="1:5" x14ac:dyDescent="0.25">
      <c r="A273" s="32" t="s">
        <v>687</v>
      </c>
      <c r="B273" s="37" t="s">
        <v>229</v>
      </c>
      <c r="C273" s="32">
        <v>47</v>
      </c>
      <c r="D273">
        <v>0</v>
      </c>
      <c r="E273">
        <f t="shared" si="4"/>
        <v>47</v>
      </c>
    </row>
    <row r="274" spans="1:5" x14ac:dyDescent="0.25">
      <c r="A274" s="32" t="s">
        <v>678</v>
      </c>
      <c r="B274" s="37" t="s">
        <v>230</v>
      </c>
      <c r="C274" s="32">
        <v>239</v>
      </c>
      <c r="D274">
        <v>0</v>
      </c>
      <c r="E274">
        <f t="shared" si="4"/>
        <v>239</v>
      </c>
    </row>
    <row r="275" spans="1:5" x14ac:dyDescent="0.25">
      <c r="A275" s="32" t="s">
        <v>688</v>
      </c>
      <c r="B275" s="37" t="s">
        <v>295</v>
      </c>
      <c r="C275" s="32">
        <v>47</v>
      </c>
      <c r="D275">
        <v>0</v>
      </c>
      <c r="E275">
        <f t="shared" si="4"/>
        <v>47</v>
      </c>
    </row>
    <row r="276" spans="1:5" x14ac:dyDescent="0.25">
      <c r="A276" s="32" t="s">
        <v>572</v>
      </c>
      <c r="B276" s="37" t="s">
        <v>72</v>
      </c>
      <c r="C276" s="32">
        <v>6.12</v>
      </c>
      <c r="D276">
        <v>0</v>
      </c>
      <c r="E276">
        <f t="shared" si="4"/>
        <v>6.12</v>
      </c>
    </row>
    <row r="277" spans="1:5" x14ac:dyDescent="0.25">
      <c r="A277" s="32" t="s">
        <v>610</v>
      </c>
      <c r="B277" s="37" t="s">
        <v>413</v>
      </c>
      <c r="C277" s="32">
        <v>2.19</v>
      </c>
      <c r="D277">
        <v>0</v>
      </c>
      <c r="E277">
        <f t="shared" si="4"/>
        <v>2.19</v>
      </c>
    </row>
    <row r="278" spans="1:5" x14ac:dyDescent="0.25">
      <c r="A278" s="32" t="s">
        <v>621</v>
      </c>
      <c r="B278" s="37" t="s">
        <v>222</v>
      </c>
      <c r="C278" s="32">
        <v>19.649999999999999</v>
      </c>
      <c r="D278">
        <v>0</v>
      </c>
      <c r="E278">
        <f t="shared" si="4"/>
        <v>19.649999999999999</v>
      </c>
    </row>
    <row r="279" spans="1:5" x14ac:dyDescent="0.25">
      <c r="A279" s="32" t="s">
        <v>571</v>
      </c>
      <c r="B279" s="37" t="s">
        <v>262</v>
      </c>
      <c r="C279" s="32">
        <v>9.73</v>
      </c>
      <c r="D279">
        <v>0</v>
      </c>
      <c r="E279">
        <f t="shared" si="4"/>
        <v>9.73</v>
      </c>
    </row>
    <row r="280" spans="1:5" x14ac:dyDescent="0.25">
      <c r="A280" s="32" t="s">
        <v>581</v>
      </c>
      <c r="B280" s="37" t="s">
        <v>414</v>
      </c>
      <c r="C280" s="32">
        <v>96</v>
      </c>
      <c r="D280">
        <v>0</v>
      </c>
      <c r="E280">
        <f t="shared" si="4"/>
        <v>96</v>
      </c>
    </row>
    <row r="281" spans="1:5" x14ac:dyDescent="0.25">
      <c r="A281" s="32" t="s">
        <v>678</v>
      </c>
      <c r="B281" s="37" t="s">
        <v>233</v>
      </c>
      <c r="C281" s="32">
        <v>1.53</v>
      </c>
      <c r="D281">
        <v>0</v>
      </c>
      <c r="E281">
        <f t="shared" si="4"/>
        <v>1.53</v>
      </c>
    </row>
    <row r="282" spans="1:5" x14ac:dyDescent="0.25">
      <c r="A282" s="32" t="s">
        <v>577</v>
      </c>
      <c r="B282" s="37" t="s">
        <v>366</v>
      </c>
      <c r="C282" s="32">
        <v>10.4</v>
      </c>
      <c r="D282">
        <v>0</v>
      </c>
      <c r="E282">
        <f t="shared" si="4"/>
        <v>10.4</v>
      </c>
    </row>
    <row r="283" spans="1:5" x14ac:dyDescent="0.25">
      <c r="A283" s="32" t="s">
        <v>561</v>
      </c>
      <c r="B283" s="37" t="s">
        <v>73</v>
      </c>
      <c r="C283" s="32">
        <v>1.8</v>
      </c>
      <c r="D283">
        <v>0</v>
      </c>
      <c r="E283">
        <f t="shared" si="4"/>
        <v>1.8</v>
      </c>
    </row>
    <row r="284" spans="1:5" x14ac:dyDescent="0.25">
      <c r="A284" s="32" t="s">
        <v>561</v>
      </c>
      <c r="B284" s="37" t="s">
        <v>87</v>
      </c>
      <c r="C284" s="32">
        <v>12.77</v>
      </c>
      <c r="D284">
        <v>0</v>
      </c>
      <c r="E284">
        <f t="shared" si="4"/>
        <v>12.77</v>
      </c>
    </row>
    <row r="285" spans="1:5" x14ac:dyDescent="0.25">
      <c r="A285" s="32" t="s">
        <v>689</v>
      </c>
      <c r="B285" s="37" t="s">
        <v>354</v>
      </c>
      <c r="C285" s="32">
        <v>9.73</v>
      </c>
      <c r="D285">
        <v>0</v>
      </c>
      <c r="E285">
        <f t="shared" si="4"/>
        <v>9.73</v>
      </c>
    </row>
    <row r="286" spans="1:5" x14ac:dyDescent="0.25">
      <c r="A286" s="32" t="s">
        <v>667</v>
      </c>
      <c r="B286" s="37" t="s">
        <v>197</v>
      </c>
      <c r="C286" s="32">
        <v>22</v>
      </c>
      <c r="D286">
        <v>0</v>
      </c>
      <c r="E286">
        <f t="shared" si="4"/>
        <v>22</v>
      </c>
    </row>
    <row r="287" spans="1:5" x14ac:dyDescent="0.25">
      <c r="A287" s="32" t="s">
        <v>690</v>
      </c>
      <c r="B287" s="37" t="s">
        <v>252</v>
      </c>
      <c r="C287" s="32">
        <v>48</v>
      </c>
      <c r="D287">
        <v>0</v>
      </c>
      <c r="E287">
        <f t="shared" si="4"/>
        <v>48</v>
      </c>
    </row>
    <row r="288" spans="1:5" x14ac:dyDescent="0.25">
      <c r="A288" s="32" t="s">
        <v>639</v>
      </c>
      <c r="B288" s="37" t="s">
        <v>691</v>
      </c>
      <c r="C288" s="32">
        <v>2.7</v>
      </c>
      <c r="D288">
        <v>0</v>
      </c>
      <c r="E288">
        <f t="shared" si="4"/>
        <v>2.7</v>
      </c>
    </row>
    <row r="289" spans="1:5" x14ac:dyDescent="0.25">
      <c r="A289" s="32" t="s">
        <v>563</v>
      </c>
      <c r="B289" s="37" t="s">
        <v>11</v>
      </c>
      <c r="C289" s="32">
        <v>0.4</v>
      </c>
      <c r="D289">
        <v>0</v>
      </c>
      <c r="E289">
        <f t="shared" si="4"/>
        <v>0.4</v>
      </c>
    </row>
    <row r="290" spans="1:5" x14ac:dyDescent="0.25">
      <c r="A290" s="32" t="s">
        <v>692</v>
      </c>
      <c r="B290" s="37" t="s">
        <v>300</v>
      </c>
      <c r="C290" s="32">
        <v>3.3</v>
      </c>
      <c r="D290">
        <v>0</v>
      </c>
      <c r="E290">
        <f t="shared" si="4"/>
        <v>3.3</v>
      </c>
    </row>
    <row r="291" spans="1:5" x14ac:dyDescent="0.25">
      <c r="A291" s="32" t="s">
        <v>625</v>
      </c>
      <c r="B291" s="37" t="s">
        <v>693</v>
      </c>
      <c r="C291" s="32">
        <v>158</v>
      </c>
      <c r="D291">
        <v>0</v>
      </c>
      <c r="E291">
        <f t="shared" si="4"/>
        <v>158</v>
      </c>
    </row>
    <row r="292" spans="1:5" x14ac:dyDescent="0.25">
      <c r="A292" s="32" t="s">
        <v>556</v>
      </c>
      <c r="B292" s="37" t="s">
        <v>342</v>
      </c>
      <c r="C292" s="32" t="s">
        <v>779</v>
      </c>
      <c r="D292">
        <v>0</v>
      </c>
      <c r="E292" t="str">
        <f t="shared" si="4"/>
        <v/>
      </c>
    </row>
    <row r="293" spans="1:5" x14ac:dyDescent="0.25">
      <c r="A293" s="32" t="s">
        <v>694</v>
      </c>
      <c r="B293" s="37" t="s">
        <v>255</v>
      </c>
      <c r="C293" s="32">
        <v>232</v>
      </c>
      <c r="D293">
        <v>0</v>
      </c>
      <c r="E293">
        <f t="shared" si="4"/>
        <v>232</v>
      </c>
    </row>
    <row r="294" spans="1:5" x14ac:dyDescent="0.25">
      <c r="A294" s="32" t="s">
        <v>695</v>
      </c>
      <c r="B294" s="37" t="s">
        <v>375</v>
      </c>
      <c r="C294" s="32">
        <v>48</v>
      </c>
      <c r="D294">
        <v>0</v>
      </c>
      <c r="E294">
        <f t="shared" si="4"/>
        <v>48</v>
      </c>
    </row>
    <row r="295" spans="1:5" x14ac:dyDescent="0.25">
      <c r="A295" s="32" t="s">
        <v>678</v>
      </c>
      <c r="B295" s="37" t="s">
        <v>234</v>
      </c>
      <c r="C295" s="32">
        <v>2.02</v>
      </c>
      <c r="D295">
        <v>0</v>
      </c>
      <c r="E295">
        <f t="shared" si="4"/>
        <v>2.02</v>
      </c>
    </row>
    <row r="296" spans="1:5" x14ac:dyDescent="0.25">
      <c r="A296" s="32" t="s">
        <v>598</v>
      </c>
      <c r="B296" s="37" t="s">
        <v>244</v>
      </c>
      <c r="C296" s="32">
        <v>26</v>
      </c>
      <c r="D296">
        <v>0</v>
      </c>
      <c r="E296">
        <f t="shared" si="4"/>
        <v>26</v>
      </c>
    </row>
    <row r="297" spans="1:5" x14ac:dyDescent="0.25">
      <c r="A297" s="32" t="s">
        <v>715</v>
      </c>
      <c r="B297" s="37" t="s">
        <v>774</v>
      </c>
      <c r="C297" s="32" t="s">
        <v>779</v>
      </c>
      <c r="D297">
        <v>0</v>
      </c>
      <c r="E297" t="str">
        <f t="shared" si="4"/>
        <v/>
      </c>
    </row>
    <row r="298" spans="1:5" x14ac:dyDescent="0.25">
      <c r="A298" s="32" t="s">
        <v>696</v>
      </c>
      <c r="B298" s="37" t="s">
        <v>256</v>
      </c>
      <c r="C298" s="32">
        <v>86</v>
      </c>
      <c r="D298">
        <v>0</v>
      </c>
      <c r="E298">
        <f t="shared" si="4"/>
        <v>86</v>
      </c>
    </row>
    <row r="299" spans="1:5" x14ac:dyDescent="0.25">
      <c r="A299" s="32" t="s">
        <v>571</v>
      </c>
      <c r="B299" s="37" t="s">
        <v>261</v>
      </c>
      <c r="C299" s="32">
        <v>341</v>
      </c>
      <c r="D299">
        <v>0</v>
      </c>
      <c r="E299">
        <f t="shared" si="4"/>
        <v>341</v>
      </c>
    </row>
    <row r="300" spans="1:5" x14ac:dyDescent="0.25">
      <c r="A300" s="32" t="s">
        <v>697</v>
      </c>
      <c r="B300" s="37" t="s">
        <v>329</v>
      </c>
      <c r="C300" s="32">
        <v>22</v>
      </c>
      <c r="D300">
        <v>0</v>
      </c>
      <c r="E300">
        <f t="shared" si="4"/>
        <v>22</v>
      </c>
    </row>
    <row r="301" spans="1:5" x14ac:dyDescent="0.25">
      <c r="A301" s="32" t="s">
        <v>561</v>
      </c>
      <c r="B301" s="37" t="s">
        <v>55</v>
      </c>
      <c r="C301" s="32">
        <v>15.26</v>
      </c>
      <c r="D301">
        <v>0</v>
      </c>
      <c r="E301">
        <f t="shared" si="4"/>
        <v>15.26</v>
      </c>
    </row>
    <row r="302" spans="1:5" x14ac:dyDescent="0.25">
      <c r="A302" s="32" t="s">
        <v>698</v>
      </c>
      <c r="B302" s="37" t="s">
        <v>143</v>
      </c>
      <c r="C302" s="32">
        <v>53</v>
      </c>
      <c r="D302">
        <v>0</v>
      </c>
      <c r="E302">
        <f t="shared" si="4"/>
        <v>53</v>
      </c>
    </row>
    <row r="303" spans="1:5" x14ac:dyDescent="0.25">
      <c r="A303" s="32" t="s">
        <v>563</v>
      </c>
      <c r="B303" s="37" t="s">
        <v>12</v>
      </c>
      <c r="C303" s="32">
        <v>0.2</v>
      </c>
      <c r="D303">
        <v>0</v>
      </c>
      <c r="E303">
        <f t="shared" si="4"/>
        <v>0.2</v>
      </c>
    </row>
    <row r="304" spans="1:5" x14ac:dyDescent="0.25">
      <c r="A304" s="32" t="s">
        <v>699</v>
      </c>
      <c r="B304" s="37" t="s">
        <v>276</v>
      </c>
      <c r="C304" s="32">
        <v>8.48</v>
      </c>
      <c r="D304">
        <v>0</v>
      </c>
      <c r="E304">
        <f t="shared" si="4"/>
        <v>8.48</v>
      </c>
    </row>
    <row r="305" spans="1:5" x14ac:dyDescent="0.25">
      <c r="A305" s="32" t="s">
        <v>568</v>
      </c>
      <c r="B305" s="37" t="s">
        <v>183</v>
      </c>
      <c r="C305" s="32">
        <v>27</v>
      </c>
      <c r="D305">
        <v>0</v>
      </c>
      <c r="E305">
        <f t="shared" si="4"/>
        <v>27</v>
      </c>
    </row>
    <row r="306" spans="1:5" x14ac:dyDescent="0.25">
      <c r="A306" s="32" t="s">
        <v>563</v>
      </c>
      <c r="B306" s="37" t="s">
        <v>15</v>
      </c>
      <c r="C306" s="32">
        <v>25</v>
      </c>
      <c r="D306">
        <v>0</v>
      </c>
      <c r="E306">
        <f t="shared" si="4"/>
        <v>25</v>
      </c>
    </row>
    <row r="307" spans="1:5" x14ac:dyDescent="0.25">
      <c r="A307" s="32" t="s">
        <v>646</v>
      </c>
      <c r="B307" s="37" t="s">
        <v>167</v>
      </c>
      <c r="C307" s="32" t="s">
        <v>779</v>
      </c>
      <c r="D307">
        <v>0</v>
      </c>
      <c r="E307" t="str">
        <f t="shared" si="4"/>
        <v/>
      </c>
    </row>
    <row r="308" spans="1:5" x14ac:dyDescent="0.25">
      <c r="A308" s="32" t="s">
        <v>561</v>
      </c>
      <c r="B308" s="37" t="s">
        <v>481</v>
      </c>
      <c r="C308" s="32" t="s">
        <v>779</v>
      </c>
      <c r="D308">
        <v>0</v>
      </c>
      <c r="E308" t="str">
        <f t="shared" si="4"/>
        <v/>
      </c>
    </row>
    <row r="309" spans="1:5" x14ac:dyDescent="0.25">
      <c r="A309" s="32" t="s">
        <v>573</v>
      </c>
      <c r="B309" s="37" t="s">
        <v>309</v>
      </c>
      <c r="C309" s="32">
        <v>18.100000000000001</v>
      </c>
      <c r="D309">
        <v>0</v>
      </c>
      <c r="E309">
        <f t="shared" si="4"/>
        <v>18.100000000000001</v>
      </c>
    </row>
    <row r="310" spans="1:5" x14ac:dyDescent="0.25">
      <c r="A310" s="32" t="s">
        <v>563</v>
      </c>
      <c r="B310" s="37" t="s">
        <v>759</v>
      </c>
      <c r="C310" s="32">
        <v>0.7</v>
      </c>
      <c r="D310">
        <v>0</v>
      </c>
      <c r="E310">
        <f t="shared" si="4"/>
        <v>0.7</v>
      </c>
    </row>
    <row r="311" spans="1:5" x14ac:dyDescent="0.25">
      <c r="A311" s="32" t="s">
        <v>699</v>
      </c>
      <c r="B311" s="37" t="s">
        <v>275</v>
      </c>
      <c r="C311" s="32">
        <v>366</v>
      </c>
      <c r="D311">
        <v>0</v>
      </c>
      <c r="E311">
        <f t="shared" si="4"/>
        <v>366</v>
      </c>
    </row>
    <row r="312" spans="1:5" x14ac:dyDescent="0.25">
      <c r="A312" s="32" t="s">
        <v>627</v>
      </c>
      <c r="B312" s="37" t="s">
        <v>136</v>
      </c>
      <c r="C312" s="32">
        <v>17.8</v>
      </c>
      <c r="D312">
        <v>0</v>
      </c>
      <c r="E312">
        <f t="shared" si="4"/>
        <v>17.8</v>
      </c>
    </row>
    <row r="313" spans="1:5" x14ac:dyDescent="0.25">
      <c r="A313" s="32" t="s">
        <v>701</v>
      </c>
      <c r="B313" s="37" t="s">
        <v>278</v>
      </c>
      <c r="C313" s="32">
        <v>45</v>
      </c>
      <c r="D313">
        <v>0</v>
      </c>
      <c r="E313">
        <f t="shared" si="4"/>
        <v>45</v>
      </c>
    </row>
    <row r="314" spans="1:5" x14ac:dyDescent="0.25">
      <c r="A314" s="32" t="s">
        <v>561</v>
      </c>
      <c r="B314" s="37" t="s">
        <v>49</v>
      </c>
      <c r="C314" s="32">
        <v>61</v>
      </c>
      <c r="D314">
        <v>0</v>
      </c>
      <c r="E314">
        <f t="shared" si="4"/>
        <v>61</v>
      </c>
    </row>
    <row r="315" spans="1:5" x14ac:dyDescent="0.25">
      <c r="A315" s="32" t="s">
        <v>702</v>
      </c>
      <c r="B315" s="37" t="s">
        <v>280</v>
      </c>
      <c r="C315" s="32">
        <v>331</v>
      </c>
      <c r="D315">
        <v>0</v>
      </c>
      <c r="E315">
        <f t="shared" si="4"/>
        <v>331</v>
      </c>
    </row>
    <row r="316" spans="1:5" x14ac:dyDescent="0.25">
      <c r="A316" s="32" t="s">
        <v>606</v>
      </c>
      <c r="B316" s="37" t="s">
        <v>703</v>
      </c>
      <c r="C316" s="32" t="s">
        <v>779</v>
      </c>
      <c r="D316">
        <v>0</v>
      </c>
      <c r="E316" t="str">
        <f t="shared" si="4"/>
        <v/>
      </c>
    </row>
    <row r="317" spans="1:5" x14ac:dyDescent="0.25">
      <c r="A317" s="32" t="s">
        <v>611</v>
      </c>
      <c r="B317" s="37" t="s">
        <v>416</v>
      </c>
      <c r="C317" s="32">
        <v>2.4500000000000002</v>
      </c>
      <c r="D317">
        <v>0</v>
      </c>
      <c r="E317">
        <f t="shared" si="4"/>
        <v>2.4500000000000002</v>
      </c>
    </row>
    <row r="318" spans="1:5" x14ac:dyDescent="0.25">
      <c r="A318" s="32" t="s">
        <v>561</v>
      </c>
      <c r="B318" s="37" t="s">
        <v>44</v>
      </c>
      <c r="C318" s="32">
        <v>26</v>
      </c>
      <c r="D318">
        <v>0</v>
      </c>
      <c r="E318">
        <f t="shared" si="4"/>
        <v>26</v>
      </c>
    </row>
    <row r="319" spans="1:5" x14ac:dyDescent="0.25">
      <c r="A319" s="32" t="s">
        <v>655</v>
      </c>
      <c r="B319" s="37" t="s">
        <v>782</v>
      </c>
      <c r="C319" s="32">
        <v>144.6</v>
      </c>
      <c r="D319">
        <v>144.6</v>
      </c>
      <c r="E319">
        <f t="shared" si="4"/>
        <v>0</v>
      </c>
    </row>
    <row r="320" spans="1:5" x14ac:dyDescent="0.25">
      <c r="A320" s="32" t="s">
        <v>601</v>
      </c>
      <c r="B320" s="37" t="s">
        <v>417</v>
      </c>
      <c r="C320" s="32">
        <v>1.5</v>
      </c>
      <c r="D320">
        <v>0</v>
      </c>
      <c r="E320">
        <f t="shared" si="4"/>
        <v>1.5</v>
      </c>
    </row>
    <row r="321" spans="1:5" x14ac:dyDescent="0.25">
      <c r="A321" s="32" t="s">
        <v>559</v>
      </c>
      <c r="B321" s="37" t="s">
        <v>704</v>
      </c>
      <c r="C321" s="32">
        <v>2.6</v>
      </c>
      <c r="D321">
        <v>0</v>
      </c>
      <c r="E321">
        <f t="shared" si="4"/>
        <v>2.6</v>
      </c>
    </row>
    <row r="322" spans="1:5" x14ac:dyDescent="0.25">
      <c r="A322" s="32" t="s">
        <v>597</v>
      </c>
      <c r="B322" s="37" t="s">
        <v>705</v>
      </c>
      <c r="C322" s="32" t="s">
        <v>779</v>
      </c>
      <c r="D322">
        <v>0</v>
      </c>
      <c r="E322" t="str">
        <f t="shared" si="4"/>
        <v/>
      </c>
    </row>
    <row r="323" spans="1:5" x14ac:dyDescent="0.25">
      <c r="A323" s="32" t="s">
        <v>706</v>
      </c>
      <c r="B323" s="37" t="s">
        <v>418</v>
      </c>
      <c r="C323" s="32">
        <v>76</v>
      </c>
      <c r="D323">
        <v>0</v>
      </c>
      <c r="E323">
        <f t="shared" ref="E323:E386" si="5">IFERROR(C323-D323,"")</f>
        <v>76</v>
      </c>
    </row>
    <row r="324" spans="1:5" x14ac:dyDescent="0.25">
      <c r="A324" s="32" t="s">
        <v>769</v>
      </c>
      <c r="B324" s="37" t="s">
        <v>420</v>
      </c>
      <c r="C324" s="32">
        <v>8431</v>
      </c>
      <c r="D324">
        <v>0</v>
      </c>
      <c r="E324">
        <v>7784.8280000000004</v>
      </c>
    </row>
    <row r="325" spans="1:5" x14ac:dyDescent="0.25">
      <c r="A325" s="32" t="s">
        <v>706</v>
      </c>
      <c r="B325" s="37" t="s">
        <v>421</v>
      </c>
      <c r="C325" s="32">
        <v>1</v>
      </c>
      <c r="D325">
        <v>0</v>
      </c>
      <c r="E325">
        <f t="shared" si="5"/>
        <v>1</v>
      </c>
    </row>
    <row r="326" spans="1:5" x14ac:dyDescent="0.25">
      <c r="A326" s="32" t="s">
        <v>605</v>
      </c>
      <c r="B326" s="37" t="s">
        <v>353</v>
      </c>
      <c r="C326" s="32">
        <v>7.08</v>
      </c>
      <c r="D326">
        <v>0</v>
      </c>
      <c r="E326">
        <f t="shared" si="5"/>
        <v>7.08</v>
      </c>
    </row>
    <row r="327" spans="1:5" x14ac:dyDescent="0.25">
      <c r="A327" s="32" t="s">
        <v>598</v>
      </c>
      <c r="B327" s="37" t="s">
        <v>247</v>
      </c>
      <c r="C327" s="32">
        <v>19.05</v>
      </c>
      <c r="D327">
        <v>0</v>
      </c>
      <c r="E327">
        <f t="shared" si="5"/>
        <v>19.05</v>
      </c>
    </row>
    <row r="328" spans="1:5" x14ac:dyDescent="0.25">
      <c r="A328" s="32" t="s">
        <v>571</v>
      </c>
      <c r="B328" s="37" t="s">
        <v>272</v>
      </c>
      <c r="C328" s="32">
        <v>32</v>
      </c>
      <c r="D328">
        <v>0</v>
      </c>
      <c r="E328">
        <f t="shared" si="5"/>
        <v>32</v>
      </c>
    </row>
    <row r="329" spans="1:5" x14ac:dyDescent="0.25">
      <c r="A329" s="32" t="s">
        <v>563</v>
      </c>
      <c r="B329" s="37" t="s">
        <v>423</v>
      </c>
      <c r="C329" s="32">
        <v>1.5</v>
      </c>
      <c r="D329">
        <v>0</v>
      </c>
      <c r="E329">
        <f t="shared" si="5"/>
        <v>1.5</v>
      </c>
    </row>
    <row r="330" spans="1:5" x14ac:dyDescent="0.25">
      <c r="A330" s="32" t="s">
        <v>556</v>
      </c>
      <c r="B330" s="37" t="s">
        <v>343</v>
      </c>
      <c r="C330" s="32">
        <v>14.7</v>
      </c>
      <c r="D330">
        <v>0</v>
      </c>
      <c r="E330">
        <f t="shared" si="5"/>
        <v>14.7</v>
      </c>
    </row>
    <row r="331" spans="1:5" x14ac:dyDescent="0.25">
      <c r="A331" s="32" t="s">
        <v>709</v>
      </c>
      <c r="B331" s="37" t="s">
        <v>285</v>
      </c>
      <c r="C331" s="32">
        <v>150</v>
      </c>
      <c r="D331">
        <v>0</v>
      </c>
      <c r="E331">
        <f t="shared" si="5"/>
        <v>150</v>
      </c>
    </row>
    <row r="332" spans="1:5" x14ac:dyDescent="0.25">
      <c r="A332" s="32" t="s">
        <v>561</v>
      </c>
      <c r="B332" s="37" t="s">
        <v>495</v>
      </c>
      <c r="C332" s="32">
        <v>4.62</v>
      </c>
      <c r="D332">
        <v>0</v>
      </c>
      <c r="E332">
        <f t="shared" si="5"/>
        <v>4.62</v>
      </c>
    </row>
    <row r="333" spans="1:5" x14ac:dyDescent="0.25">
      <c r="A333" s="32" t="s">
        <v>573</v>
      </c>
      <c r="B333" s="37" t="s">
        <v>776</v>
      </c>
      <c r="C333" s="32" t="s">
        <v>779</v>
      </c>
      <c r="D333">
        <v>0</v>
      </c>
      <c r="E333" t="str">
        <f t="shared" si="5"/>
        <v/>
      </c>
    </row>
    <row r="334" spans="1:5" x14ac:dyDescent="0.25">
      <c r="A334" s="32" t="s">
        <v>639</v>
      </c>
      <c r="B334" s="37" t="s">
        <v>710</v>
      </c>
      <c r="C334" s="32">
        <v>0.8</v>
      </c>
      <c r="D334">
        <v>0</v>
      </c>
      <c r="E334">
        <f t="shared" si="5"/>
        <v>0.8</v>
      </c>
    </row>
    <row r="335" spans="1:5" x14ac:dyDescent="0.25">
      <c r="A335" s="32" t="s">
        <v>558</v>
      </c>
      <c r="B335" s="37" t="s">
        <v>128</v>
      </c>
      <c r="C335" s="32">
        <v>2.1</v>
      </c>
      <c r="D335">
        <v>0</v>
      </c>
      <c r="E335">
        <f t="shared" si="5"/>
        <v>2.1</v>
      </c>
    </row>
    <row r="336" spans="1:5" x14ac:dyDescent="0.25">
      <c r="A336" s="32" t="s">
        <v>699</v>
      </c>
      <c r="B336" s="37" t="s">
        <v>277</v>
      </c>
      <c r="C336" s="32">
        <v>4.26</v>
      </c>
      <c r="D336">
        <v>0</v>
      </c>
      <c r="E336">
        <f t="shared" si="5"/>
        <v>4.26</v>
      </c>
    </row>
    <row r="337" spans="1:5" x14ac:dyDescent="0.25">
      <c r="A337" s="32" t="s">
        <v>709</v>
      </c>
      <c r="B337" s="37" t="s">
        <v>286</v>
      </c>
      <c r="C337" s="32" t="s">
        <v>779</v>
      </c>
      <c r="D337">
        <v>0</v>
      </c>
      <c r="E337" t="str">
        <f t="shared" si="5"/>
        <v/>
      </c>
    </row>
    <row r="338" spans="1:5" x14ac:dyDescent="0.25">
      <c r="A338" s="32" t="s">
        <v>711</v>
      </c>
      <c r="B338" s="37" t="s">
        <v>219</v>
      </c>
      <c r="C338" s="32">
        <v>1050</v>
      </c>
      <c r="D338">
        <v>3.8</v>
      </c>
      <c r="E338">
        <f t="shared" si="5"/>
        <v>1046.2</v>
      </c>
    </row>
    <row r="339" spans="1:5" x14ac:dyDescent="0.25">
      <c r="A339" s="32" t="s">
        <v>657</v>
      </c>
      <c r="B339" s="37" t="s">
        <v>288</v>
      </c>
      <c r="C339" s="32">
        <v>650</v>
      </c>
      <c r="D339">
        <v>0</v>
      </c>
      <c r="E339">
        <f t="shared" si="5"/>
        <v>650</v>
      </c>
    </row>
    <row r="340" spans="1:5" x14ac:dyDescent="0.25">
      <c r="A340" s="32" t="s">
        <v>598</v>
      </c>
      <c r="B340" s="37" t="s">
        <v>236</v>
      </c>
      <c r="C340" s="32">
        <v>35</v>
      </c>
      <c r="D340">
        <v>0</v>
      </c>
      <c r="E340">
        <f t="shared" si="5"/>
        <v>35</v>
      </c>
    </row>
    <row r="341" spans="1:5" x14ac:dyDescent="0.25">
      <c r="A341" s="32" t="s">
        <v>688</v>
      </c>
      <c r="B341" s="37" t="s">
        <v>773</v>
      </c>
      <c r="C341" s="32" t="s">
        <v>779</v>
      </c>
      <c r="D341">
        <v>0</v>
      </c>
      <c r="E341" t="str">
        <f t="shared" si="5"/>
        <v/>
      </c>
    </row>
    <row r="342" spans="1:5" x14ac:dyDescent="0.25">
      <c r="A342" s="32" t="s">
        <v>688</v>
      </c>
      <c r="B342" s="37" t="s">
        <v>296</v>
      </c>
      <c r="C342" s="32" t="s">
        <v>779</v>
      </c>
      <c r="D342">
        <v>0</v>
      </c>
      <c r="E342" t="str">
        <f t="shared" si="5"/>
        <v/>
      </c>
    </row>
    <row r="343" spans="1:5" x14ac:dyDescent="0.25">
      <c r="A343" s="32" t="s">
        <v>561</v>
      </c>
      <c r="B343" s="37" t="s">
        <v>42</v>
      </c>
      <c r="C343" s="32">
        <v>19.87</v>
      </c>
      <c r="D343">
        <v>0</v>
      </c>
      <c r="E343">
        <f t="shared" si="5"/>
        <v>19.87</v>
      </c>
    </row>
    <row r="344" spans="1:5" x14ac:dyDescent="0.25">
      <c r="A344" s="32" t="s">
        <v>630</v>
      </c>
      <c r="B344" s="37" t="s">
        <v>39</v>
      </c>
      <c r="C344" s="32">
        <v>2.81</v>
      </c>
      <c r="D344">
        <v>0</v>
      </c>
      <c r="E344">
        <f t="shared" si="5"/>
        <v>2.81</v>
      </c>
    </row>
    <row r="345" spans="1:5" x14ac:dyDescent="0.25">
      <c r="A345" s="32" t="s">
        <v>561</v>
      </c>
      <c r="B345" s="37" t="s">
        <v>48</v>
      </c>
      <c r="C345" s="32">
        <v>28</v>
      </c>
      <c r="D345">
        <v>0</v>
      </c>
      <c r="E345">
        <f t="shared" si="5"/>
        <v>28</v>
      </c>
    </row>
    <row r="346" spans="1:5" x14ac:dyDescent="0.25">
      <c r="A346" s="32" t="s">
        <v>713</v>
      </c>
      <c r="B346" s="37" t="s">
        <v>298</v>
      </c>
      <c r="C346" s="32">
        <v>40</v>
      </c>
      <c r="D346">
        <v>0</v>
      </c>
      <c r="E346">
        <f t="shared" si="5"/>
        <v>40</v>
      </c>
    </row>
    <row r="347" spans="1:5" x14ac:dyDescent="0.25">
      <c r="A347" s="32" t="s">
        <v>567</v>
      </c>
      <c r="B347" s="37" t="s">
        <v>112</v>
      </c>
      <c r="C347" s="32">
        <v>5.19</v>
      </c>
      <c r="D347">
        <v>0</v>
      </c>
      <c r="E347">
        <f t="shared" si="5"/>
        <v>5.19</v>
      </c>
    </row>
    <row r="348" spans="1:5" x14ac:dyDescent="0.25">
      <c r="A348" s="32" t="s">
        <v>558</v>
      </c>
      <c r="B348" s="37" t="s">
        <v>120</v>
      </c>
      <c r="C348" s="32">
        <v>57</v>
      </c>
      <c r="D348">
        <v>0</v>
      </c>
      <c r="E348">
        <f t="shared" si="5"/>
        <v>57</v>
      </c>
    </row>
    <row r="349" spans="1:5" x14ac:dyDescent="0.25">
      <c r="A349" s="32" t="s">
        <v>611</v>
      </c>
      <c r="B349" s="37" t="s">
        <v>144</v>
      </c>
      <c r="C349" s="32">
        <v>53</v>
      </c>
      <c r="D349">
        <v>0</v>
      </c>
      <c r="E349">
        <f t="shared" si="5"/>
        <v>53</v>
      </c>
    </row>
    <row r="350" spans="1:5" x14ac:dyDescent="0.25">
      <c r="A350" s="32" t="s">
        <v>566</v>
      </c>
      <c r="B350" s="37" t="s">
        <v>327</v>
      </c>
      <c r="C350" s="32">
        <v>7.78</v>
      </c>
      <c r="D350">
        <v>0</v>
      </c>
      <c r="E350">
        <f t="shared" si="5"/>
        <v>7.78</v>
      </c>
    </row>
    <row r="351" spans="1:5" x14ac:dyDescent="0.25">
      <c r="A351" s="32" t="s">
        <v>692</v>
      </c>
      <c r="B351" s="37" t="s">
        <v>299</v>
      </c>
      <c r="C351" s="32">
        <v>41</v>
      </c>
      <c r="D351">
        <v>0</v>
      </c>
      <c r="E351">
        <f t="shared" si="5"/>
        <v>41</v>
      </c>
    </row>
    <row r="352" spans="1:5" x14ac:dyDescent="0.25">
      <c r="A352" s="32" t="s">
        <v>666</v>
      </c>
      <c r="B352" s="37" t="s">
        <v>775</v>
      </c>
      <c r="C352" s="32" t="s">
        <v>779</v>
      </c>
      <c r="D352">
        <v>0</v>
      </c>
      <c r="E352" t="str">
        <f t="shared" si="5"/>
        <v/>
      </c>
    </row>
    <row r="353" spans="1:5" x14ac:dyDescent="0.25">
      <c r="A353" s="32" t="s">
        <v>701</v>
      </c>
      <c r="B353" s="37" t="s">
        <v>279</v>
      </c>
      <c r="C353" s="32">
        <v>4.68</v>
      </c>
      <c r="D353">
        <v>0</v>
      </c>
      <c r="E353">
        <f t="shared" si="5"/>
        <v>4.68</v>
      </c>
    </row>
    <row r="354" spans="1:5" x14ac:dyDescent="0.25">
      <c r="A354" s="32" t="s">
        <v>715</v>
      </c>
      <c r="B354" s="37" t="s">
        <v>716</v>
      </c>
      <c r="C354" s="32">
        <v>2769</v>
      </c>
      <c r="D354">
        <v>2769</v>
      </c>
      <c r="E354">
        <f t="shared" si="5"/>
        <v>0</v>
      </c>
    </row>
    <row r="355" spans="1:5" x14ac:dyDescent="0.25">
      <c r="A355" s="32" t="s">
        <v>563</v>
      </c>
      <c r="B355" s="37" t="s">
        <v>17</v>
      </c>
      <c r="C355" s="32">
        <v>6.2</v>
      </c>
      <c r="D355">
        <v>0</v>
      </c>
      <c r="E355">
        <f t="shared" si="5"/>
        <v>6.2</v>
      </c>
    </row>
    <row r="356" spans="1:5" x14ac:dyDescent="0.25">
      <c r="A356" s="32" t="s">
        <v>666</v>
      </c>
      <c r="B356" s="37" t="s">
        <v>301</v>
      </c>
      <c r="C356" s="32">
        <v>130</v>
      </c>
      <c r="D356">
        <v>0</v>
      </c>
      <c r="E356">
        <f t="shared" si="5"/>
        <v>130</v>
      </c>
    </row>
    <row r="357" spans="1:5" x14ac:dyDescent="0.25">
      <c r="A357" s="32" t="s">
        <v>561</v>
      </c>
      <c r="B357" s="37" t="s">
        <v>75</v>
      </c>
      <c r="C357" s="32" t="s">
        <v>779</v>
      </c>
      <c r="D357">
        <v>0</v>
      </c>
      <c r="E357" t="str">
        <f t="shared" si="5"/>
        <v/>
      </c>
    </row>
    <row r="358" spans="1:5" x14ac:dyDescent="0.25">
      <c r="A358" s="32" t="s">
        <v>641</v>
      </c>
      <c r="B358" s="37" t="s">
        <v>311</v>
      </c>
      <c r="C358" s="32">
        <v>769</v>
      </c>
      <c r="D358">
        <v>0</v>
      </c>
      <c r="E358">
        <f t="shared" si="5"/>
        <v>769</v>
      </c>
    </row>
    <row r="359" spans="1:5" x14ac:dyDescent="0.25">
      <c r="A359" s="32" t="s">
        <v>717</v>
      </c>
      <c r="B359" s="37" t="s">
        <v>304</v>
      </c>
      <c r="C359" s="32">
        <v>1048</v>
      </c>
      <c r="D359">
        <v>0</v>
      </c>
      <c r="E359">
        <f t="shared" si="5"/>
        <v>1048</v>
      </c>
    </row>
    <row r="360" spans="1:5" x14ac:dyDescent="0.25">
      <c r="A360" s="32" t="s">
        <v>605</v>
      </c>
      <c r="B360" s="37" t="s">
        <v>391</v>
      </c>
      <c r="C360" s="32">
        <v>9.5500000000000007</v>
      </c>
      <c r="D360">
        <v>0</v>
      </c>
      <c r="E360">
        <f t="shared" si="5"/>
        <v>9.5500000000000007</v>
      </c>
    </row>
    <row r="361" spans="1:5" x14ac:dyDescent="0.25">
      <c r="A361" s="32" t="s">
        <v>558</v>
      </c>
      <c r="B361" s="37" t="s">
        <v>129</v>
      </c>
      <c r="C361" s="32">
        <v>7.26</v>
      </c>
      <c r="D361">
        <v>0</v>
      </c>
      <c r="E361">
        <f t="shared" si="5"/>
        <v>7.26</v>
      </c>
    </row>
    <row r="362" spans="1:5" x14ac:dyDescent="0.25">
      <c r="A362" s="32" t="s">
        <v>718</v>
      </c>
      <c r="B362" s="37" t="s">
        <v>314</v>
      </c>
      <c r="C362" s="32">
        <v>59</v>
      </c>
      <c r="D362">
        <v>0</v>
      </c>
      <c r="E362">
        <f t="shared" si="5"/>
        <v>59</v>
      </c>
    </row>
    <row r="363" spans="1:5" x14ac:dyDescent="0.25">
      <c r="A363" s="32" t="s">
        <v>699</v>
      </c>
      <c r="B363" s="37" t="s">
        <v>719</v>
      </c>
      <c r="C363" s="32">
        <v>1.67</v>
      </c>
      <c r="D363">
        <v>0</v>
      </c>
      <c r="E363">
        <f t="shared" si="5"/>
        <v>1.67</v>
      </c>
    </row>
    <row r="364" spans="1:5" x14ac:dyDescent="0.25">
      <c r="A364" s="32" t="s">
        <v>720</v>
      </c>
      <c r="B364" s="37" t="s">
        <v>315</v>
      </c>
      <c r="C364" s="32">
        <v>47</v>
      </c>
      <c r="D364">
        <v>0</v>
      </c>
      <c r="E364">
        <f t="shared" si="5"/>
        <v>47</v>
      </c>
    </row>
    <row r="365" spans="1:5" x14ac:dyDescent="0.25">
      <c r="A365" s="32" t="s">
        <v>699</v>
      </c>
      <c r="B365" s="37" t="s">
        <v>428</v>
      </c>
      <c r="C365" s="32">
        <v>2.93</v>
      </c>
      <c r="D365">
        <v>0</v>
      </c>
      <c r="E365">
        <f t="shared" si="5"/>
        <v>2.93</v>
      </c>
    </row>
    <row r="366" spans="1:5" x14ac:dyDescent="0.25">
      <c r="A366" s="32" t="s">
        <v>561</v>
      </c>
      <c r="B366" s="37" t="s">
        <v>54</v>
      </c>
      <c r="C366" s="32">
        <v>71</v>
      </c>
      <c r="D366">
        <v>0</v>
      </c>
      <c r="E366">
        <f t="shared" si="5"/>
        <v>71</v>
      </c>
    </row>
    <row r="367" spans="1:5" x14ac:dyDescent="0.25">
      <c r="A367" s="32" t="s">
        <v>600</v>
      </c>
      <c r="B367" s="37" t="s">
        <v>35</v>
      </c>
      <c r="C367" s="32" t="s">
        <v>779</v>
      </c>
      <c r="D367">
        <v>0</v>
      </c>
      <c r="E367" t="str">
        <f t="shared" si="5"/>
        <v/>
      </c>
    </row>
    <row r="368" spans="1:5" x14ac:dyDescent="0.25">
      <c r="A368" s="32" t="s">
        <v>563</v>
      </c>
      <c r="B368" s="37" t="s">
        <v>760</v>
      </c>
      <c r="C368" s="32" t="s">
        <v>779</v>
      </c>
      <c r="D368">
        <v>0</v>
      </c>
      <c r="E368" t="str">
        <f t="shared" si="5"/>
        <v/>
      </c>
    </row>
    <row r="369" spans="1:5" x14ac:dyDescent="0.25">
      <c r="A369" s="32" t="s">
        <v>598</v>
      </c>
      <c r="B369" s="37" t="s">
        <v>245</v>
      </c>
      <c r="C369" s="32">
        <v>33</v>
      </c>
      <c r="D369">
        <v>0</v>
      </c>
      <c r="E369">
        <f t="shared" si="5"/>
        <v>33</v>
      </c>
    </row>
    <row r="370" spans="1:5" x14ac:dyDescent="0.25">
      <c r="A370" s="32" t="s">
        <v>563</v>
      </c>
      <c r="B370" s="37" t="s">
        <v>761</v>
      </c>
      <c r="C370" s="32">
        <v>0.6</v>
      </c>
      <c r="D370">
        <v>0</v>
      </c>
      <c r="E370">
        <f t="shared" si="5"/>
        <v>0.6</v>
      </c>
    </row>
    <row r="371" spans="1:5" x14ac:dyDescent="0.25">
      <c r="A371" s="32" t="s">
        <v>558</v>
      </c>
      <c r="B371" s="37" t="s">
        <v>130</v>
      </c>
      <c r="C371" s="32">
        <v>89</v>
      </c>
      <c r="D371">
        <v>0</v>
      </c>
      <c r="E371">
        <f t="shared" si="5"/>
        <v>89</v>
      </c>
    </row>
    <row r="372" spans="1:5" x14ac:dyDescent="0.25">
      <c r="A372" s="32" t="s">
        <v>575</v>
      </c>
      <c r="B372" s="37" t="s">
        <v>27</v>
      </c>
      <c r="C372" s="32">
        <v>2.6</v>
      </c>
      <c r="D372">
        <v>0</v>
      </c>
      <c r="E372">
        <f t="shared" si="5"/>
        <v>2.6</v>
      </c>
    </row>
    <row r="373" spans="1:5" x14ac:dyDescent="0.25">
      <c r="A373" s="32" t="s">
        <v>722</v>
      </c>
      <c r="B373" s="37" t="s">
        <v>316</v>
      </c>
      <c r="C373" s="32">
        <v>132</v>
      </c>
      <c r="D373">
        <v>0</v>
      </c>
      <c r="E373">
        <f t="shared" si="5"/>
        <v>132</v>
      </c>
    </row>
    <row r="374" spans="1:5" x14ac:dyDescent="0.25">
      <c r="A374" s="32" t="s">
        <v>723</v>
      </c>
      <c r="B374" s="37" t="s">
        <v>317</v>
      </c>
      <c r="C374" s="32">
        <v>76</v>
      </c>
      <c r="D374">
        <v>0</v>
      </c>
      <c r="E374">
        <f t="shared" si="5"/>
        <v>76</v>
      </c>
    </row>
    <row r="375" spans="1:5" x14ac:dyDescent="0.25">
      <c r="A375" s="32" t="s">
        <v>725</v>
      </c>
      <c r="B375" s="37" t="s">
        <v>318</v>
      </c>
      <c r="C375" s="32">
        <v>346</v>
      </c>
      <c r="D375">
        <v>0</v>
      </c>
      <c r="E375">
        <f t="shared" si="5"/>
        <v>346</v>
      </c>
    </row>
    <row r="376" spans="1:5" x14ac:dyDescent="0.25">
      <c r="A376" s="32" t="s">
        <v>655</v>
      </c>
      <c r="B376" s="37" t="s">
        <v>282</v>
      </c>
      <c r="C376" s="32">
        <v>20</v>
      </c>
      <c r="D376">
        <v>0</v>
      </c>
      <c r="E376">
        <f t="shared" si="5"/>
        <v>20</v>
      </c>
    </row>
    <row r="377" spans="1:5" x14ac:dyDescent="0.25">
      <c r="A377" s="32" t="s">
        <v>726</v>
      </c>
      <c r="B377" s="37" t="s">
        <v>331</v>
      </c>
      <c r="C377" s="32">
        <v>1.3</v>
      </c>
      <c r="D377">
        <v>0</v>
      </c>
      <c r="E377">
        <f t="shared" si="5"/>
        <v>1.3</v>
      </c>
    </row>
    <row r="378" spans="1:5" x14ac:dyDescent="0.25">
      <c r="A378" s="32" t="s">
        <v>563</v>
      </c>
      <c r="B378" s="37" t="s">
        <v>762</v>
      </c>
      <c r="C378" s="32">
        <v>0.2</v>
      </c>
      <c r="D378">
        <v>0</v>
      </c>
      <c r="E378">
        <f t="shared" si="5"/>
        <v>0.2</v>
      </c>
    </row>
    <row r="379" spans="1:5" x14ac:dyDescent="0.25">
      <c r="A379" s="32" t="s">
        <v>726</v>
      </c>
      <c r="B379" s="37" t="s">
        <v>429</v>
      </c>
      <c r="C379" s="32">
        <v>3.86</v>
      </c>
      <c r="D379">
        <v>0</v>
      </c>
      <c r="E379">
        <f t="shared" si="5"/>
        <v>3.86</v>
      </c>
    </row>
    <row r="380" spans="1:5" x14ac:dyDescent="0.25">
      <c r="A380" s="32" t="s">
        <v>634</v>
      </c>
      <c r="B380" s="37" t="s">
        <v>152</v>
      </c>
      <c r="C380" s="32">
        <v>17</v>
      </c>
      <c r="D380">
        <v>0</v>
      </c>
      <c r="E380">
        <f t="shared" si="5"/>
        <v>17</v>
      </c>
    </row>
    <row r="381" spans="1:5" x14ac:dyDescent="0.25">
      <c r="A381" s="32" t="s">
        <v>769</v>
      </c>
      <c r="B381" s="37" t="s">
        <v>442</v>
      </c>
      <c r="C381" s="32">
        <v>65</v>
      </c>
      <c r="D381">
        <v>0</v>
      </c>
      <c r="E381">
        <f t="shared" si="5"/>
        <v>65</v>
      </c>
    </row>
    <row r="382" spans="1:5" x14ac:dyDescent="0.25">
      <c r="A382" s="32" t="s">
        <v>625</v>
      </c>
      <c r="B382" s="37" t="s">
        <v>527</v>
      </c>
      <c r="C382" s="32" t="s">
        <v>779</v>
      </c>
      <c r="D382">
        <v>0</v>
      </c>
      <c r="E382" t="str">
        <f t="shared" si="5"/>
        <v/>
      </c>
    </row>
    <row r="383" spans="1:5" x14ac:dyDescent="0.25">
      <c r="A383" s="32" t="s">
        <v>668</v>
      </c>
      <c r="B383" s="37" t="s">
        <v>430</v>
      </c>
      <c r="C383" s="32">
        <v>29</v>
      </c>
      <c r="D383">
        <v>0</v>
      </c>
      <c r="E383">
        <f t="shared" si="5"/>
        <v>29</v>
      </c>
    </row>
    <row r="384" spans="1:5" x14ac:dyDescent="0.25">
      <c r="A384" s="32" t="s">
        <v>665</v>
      </c>
      <c r="B384" s="37" t="s">
        <v>320</v>
      </c>
      <c r="C384" s="32">
        <v>280</v>
      </c>
      <c r="D384">
        <v>0</v>
      </c>
      <c r="E384">
        <f t="shared" si="5"/>
        <v>280</v>
      </c>
    </row>
    <row r="385" spans="1:5" x14ac:dyDescent="0.25">
      <c r="A385" s="32" t="s">
        <v>596</v>
      </c>
      <c r="B385" s="37" t="s">
        <v>383</v>
      </c>
      <c r="C385" s="32">
        <v>2.4</v>
      </c>
      <c r="D385">
        <v>0</v>
      </c>
      <c r="E385">
        <f t="shared" si="5"/>
        <v>2.4</v>
      </c>
    </row>
    <row r="386" spans="1:5" x14ac:dyDescent="0.25">
      <c r="A386" s="32" t="s">
        <v>614</v>
      </c>
      <c r="B386" s="37" t="s">
        <v>321</v>
      </c>
      <c r="C386" s="32">
        <v>49</v>
      </c>
      <c r="D386">
        <v>0</v>
      </c>
      <c r="E386">
        <f t="shared" si="5"/>
        <v>49</v>
      </c>
    </row>
    <row r="387" spans="1:5" x14ac:dyDescent="0.25">
      <c r="A387" s="32" t="s">
        <v>566</v>
      </c>
      <c r="B387" s="37" t="s">
        <v>324</v>
      </c>
      <c r="C387" s="32">
        <v>866</v>
      </c>
      <c r="D387">
        <v>0</v>
      </c>
      <c r="E387">
        <f t="shared" ref="E387:E450" si="6">IFERROR(C387-D387,"")</f>
        <v>866</v>
      </c>
    </row>
    <row r="388" spans="1:5" x14ac:dyDescent="0.25">
      <c r="A388" s="32" t="s">
        <v>556</v>
      </c>
      <c r="B388" s="37" t="s">
        <v>335</v>
      </c>
      <c r="C388" s="32">
        <v>1415</v>
      </c>
      <c r="D388">
        <v>0</v>
      </c>
      <c r="E388">
        <f t="shared" si="6"/>
        <v>1415</v>
      </c>
    </row>
    <row r="389" spans="1:5" x14ac:dyDescent="0.25">
      <c r="A389" s="32" t="s">
        <v>571</v>
      </c>
      <c r="B389" s="37" t="s">
        <v>273</v>
      </c>
      <c r="C389" s="32">
        <v>30</v>
      </c>
      <c r="D389">
        <v>0</v>
      </c>
      <c r="E389">
        <f t="shared" si="6"/>
        <v>30</v>
      </c>
    </row>
    <row r="390" spans="1:5" x14ac:dyDescent="0.25">
      <c r="A390" s="32" t="s">
        <v>598</v>
      </c>
      <c r="B390" s="37" t="s">
        <v>238</v>
      </c>
      <c r="C390" s="32">
        <v>39</v>
      </c>
      <c r="D390">
        <v>0</v>
      </c>
      <c r="E390">
        <f t="shared" si="6"/>
        <v>39</v>
      </c>
    </row>
    <row r="391" spans="1:5" x14ac:dyDescent="0.25">
      <c r="A391" s="32" t="s">
        <v>697</v>
      </c>
      <c r="B391" s="37" t="s">
        <v>328</v>
      </c>
      <c r="C391" s="32">
        <v>30</v>
      </c>
      <c r="D391">
        <v>0</v>
      </c>
      <c r="E391">
        <f t="shared" si="6"/>
        <v>30</v>
      </c>
    </row>
    <row r="392" spans="1:5" x14ac:dyDescent="0.25">
      <c r="A392" s="32" t="s">
        <v>655</v>
      </c>
      <c r="B392" s="37" t="s">
        <v>284</v>
      </c>
      <c r="C392" s="32">
        <v>6.95</v>
      </c>
      <c r="D392">
        <v>0</v>
      </c>
      <c r="E392">
        <f t="shared" si="6"/>
        <v>6.95</v>
      </c>
    </row>
    <row r="393" spans="1:5" x14ac:dyDescent="0.25">
      <c r="A393" s="32" t="s">
        <v>561</v>
      </c>
      <c r="B393" s="37" t="s">
        <v>59</v>
      </c>
      <c r="C393" s="32">
        <v>63</v>
      </c>
      <c r="D393">
        <v>0</v>
      </c>
      <c r="E393">
        <f t="shared" si="6"/>
        <v>63</v>
      </c>
    </row>
    <row r="394" spans="1:5" x14ac:dyDescent="0.25">
      <c r="A394" s="32" t="s">
        <v>598</v>
      </c>
      <c r="B394" s="37" t="s">
        <v>235</v>
      </c>
      <c r="C394" s="32">
        <v>19.82</v>
      </c>
      <c r="D394">
        <v>0</v>
      </c>
      <c r="E394">
        <f t="shared" si="6"/>
        <v>19.82</v>
      </c>
    </row>
    <row r="395" spans="1:5" x14ac:dyDescent="0.25">
      <c r="A395" s="32" t="s">
        <v>728</v>
      </c>
      <c r="B395" s="37" t="s">
        <v>330</v>
      </c>
      <c r="C395" s="32">
        <v>33</v>
      </c>
      <c r="D395">
        <v>0</v>
      </c>
      <c r="E395">
        <f t="shared" si="6"/>
        <v>33</v>
      </c>
    </row>
    <row r="396" spans="1:5" x14ac:dyDescent="0.25">
      <c r="A396" s="32" t="s">
        <v>726</v>
      </c>
      <c r="B396" s="37" t="s">
        <v>332</v>
      </c>
      <c r="C396" s="32">
        <v>153</v>
      </c>
      <c r="D396">
        <v>0</v>
      </c>
      <c r="E396">
        <f t="shared" si="6"/>
        <v>153</v>
      </c>
    </row>
    <row r="397" spans="1:5" x14ac:dyDescent="0.25">
      <c r="A397" s="32" t="s">
        <v>563</v>
      </c>
      <c r="B397" s="37" t="s">
        <v>763</v>
      </c>
      <c r="C397" s="32">
        <v>0.8</v>
      </c>
      <c r="D397">
        <v>0</v>
      </c>
      <c r="E397">
        <f t="shared" si="6"/>
        <v>0.8</v>
      </c>
    </row>
    <row r="398" spans="1:5" x14ac:dyDescent="0.25">
      <c r="A398" s="32" t="s">
        <v>561</v>
      </c>
      <c r="B398" s="37" t="s">
        <v>58</v>
      </c>
      <c r="C398" s="32">
        <v>24</v>
      </c>
      <c r="D398">
        <v>0</v>
      </c>
      <c r="E398">
        <f t="shared" si="6"/>
        <v>24</v>
      </c>
    </row>
    <row r="399" spans="1:5" x14ac:dyDescent="0.25">
      <c r="A399" s="32" t="s">
        <v>726</v>
      </c>
      <c r="B399" s="37" t="s">
        <v>333</v>
      </c>
      <c r="C399" s="32">
        <v>3.98</v>
      </c>
      <c r="D399">
        <v>0</v>
      </c>
      <c r="E399">
        <f t="shared" si="6"/>
        <v>3.98</v>
      </c>
    </row>
    <row r="400" spans="1:5" x14ac:dyDescent="0.25">
      <c r="A400" s="32" t="s">
        <v>606</v>
      </c>
      <c r="B400" s="37" t="s">
        <v>192</v>
      </c>
      <c r="C400" s="32" t="s">
        <v>779</v>
      </c>
      <c r="D400">
        <v>0</v>
      </c>
      <c r="E400" t="str">
        <f t="shared" si="6"/>
        <v/>
      </c>
    </row>
    <row r="401" spans="1:5" x14ac:dyDescent="0.25">
      <c r="A401" s="32" t="s">
        <v>626</v>
      </c>
      <c r="B401" s="37" t="s">
        <v>431</v>
      </c>
      <c r="C401" s="32">
        <v>10.199999999999999</v>
      </c>
      <c r="D401">
        <v>0</v>
      </c>
      <c r="E401">
        <f t="shared" si="6"/>
        <v>10.199999999999999</v>
      </c>
    </row>
    <row r="402" spans="1:5" x14ac:dyDescent="0.25">
      <c r="A402" s="32" t="s">
        <v>596</v>
      </c>
      <c r="B402" s="37" t="s">
        <v>729</v>
      </c>
      <c r="C402" s="32">
        <v>3.65</v>
      </c>
      <c r="D402">
        <v>0</v>
      </c>
      <c r="E402">
        <f t="shared" si="6"/>
        <v>3.65</v>
      </c>
    </row>
    <row r="403" spans="1:5" x14ac:dyDescent="0.25">
      <c r="A403" s="32" t="s">
        <v>585</v>
      </c>
      <c r="B403" s="37" t="s">
        <v>348</v>
      </c>
      <c r="C403" s="32">
        <v>121</v>
      </c>
      <c r="D403">
        <v>0</v>
      </c>
      <c r="E403">
        <f t="shared" si="6"/>
        <v>121</v>
      </c>
    </row>
    <row r="404" spans="1:5" x14ac:dyDescent="0.25">
      <c r="A404" s="32" t="s">
        <v>561</v>
      </c>
      <c r="B404" s="37" t="s">
        <v>45</v>
      </c>
      <c r="C404" s="32">
        <v>63</v>
      </c>
      <c r="D404">
        <v>0</v>
      </c>
      <c r="E404">
        <f t="shared" si="6"/>
        <v>63</v>
      </c>
    </row>
    <row r="405" spans="1:5" x14ac:dyDescent="0.25">
      <c r="A405" s="32" t="s">
        <v>605</v>
      </c>
      <c r="B405" s="37" t="s">
        <v>350</v>
      </c>
      <c r="C405" s="32">
        <v>83</v>
      </c>
      <c r="D405">
        <v>0</v>
      </c>
      <c r="E405">
        <f t="shared" si="6"/>
        <v>83</v>
      </c>
    </row>
    <row r="406" spans="1:5" x14ac:dyDescent="0.25">
      <c r="A406" s="32" t="s">
        <v>571</v>
      </c>
      <c r="B406" s="37" t="s">
        <v>260</v>
      </c>
      <c r="C406" s="32">
        <v>16.04</v>
      </c>
      <c r="D406">
        <v>0</v>
      </c>
      <c r="E406">
        <f t="shared" si="6"/>
        <v>16.04</v>
      </c>
    </row>
    <row r="407" spans="1:5" x14ac:dyDescent="0.25">
      <c r="A407" s="32" t="s">
        <v>598</v>
      </c>
      <c r="B407" s="37" t="s">
        <v>240</v>
      </c>
      <c r="C407" s="32">
        <v>24</v>
      </c>
      <c r="D407">
        <v>0</v>
      </c>
      <c r="E407">
        <f t="shared" si="6"/>
        <v>24</v>
      </c>
    </row>
    <row r="408" spans="1:5" x14ac:dyDescent="0.25">
      <c r="A408" s="32" t="s">
        <v>688</v>
      </c>
      <c r="B408" s="37" t="s">
        <v>297</v>
      </c>
      <c r="C408" s="32" t="s">
        <v>779</v>
      </c>
      <c r="D408">
        <v>0</v>
      </c>
      <c r="E408" t="str">
        <f t="shared" si="6"/>
        <v/>
      </c>
    </row>
    <row r="409" spans="1:5" x14ac:dyDescent="0.25">
      <c r="A409" s="32" t="s">
        <v>627</v>
      </c>
      <c r="B409" s="37" t="s">
        <v>133</v>
      </c>
      <c r="C409" s="32">
        <v>181</v>
      </c>
      <c r="D409">
        <v>0</v>
      </c>
      <c r="E409">
        <f t="shared" si="6"/>
        <v>181</v>
      </c>
    </row>
    <row r="410" spans="1:5" x14ac:dyDescent="0.25">
      <c r="A410" s="32" t="s">
        <v>549</v>
      </c>
      <c r="B410" s="37" t="s">
        <v>4</v>
      </c>
      <c r="C410" s="32">
        <v>21</v>
      </c>
      <c r="D410">
        <v>0</v>
      </c>
      <c r="E410">
        <f t="shared" si="6"/>
        <v>21</v>
      </c>
    </row>
    <row r="411" spans="1:5" x14ac:dyDescent="0.25">
      <c r="A411" s="32" t="s">
        <v>546</v>
      </c>
      <c r="B411" s="37" t="s">
        <v>100</v>
      </c>
      <c r="C411" s="32" t="s">
        <v>779</v>
      </c>
      <c r="D411">
        <v>0</v>
      </c>
      <c r="E411" t="str">
        <f t="shared" si="6"/>
        <v/>
      </c>
    </row>
    <row r="412" spans="1:5" x14ac:dyDescent="0.25">
      <c r="A412" s="32" t="s">
        <v>650</v>
      </c>
      <c r="B412" s="37" t="s">
        <v>305</v>
      </c>
      <c r="C412" s="32">
        <v>6.63</v>
      </c>
      <c r="D412">
        <v>0</v>
      </c>
      <c r="E412">
        <f t="shared" si="6"/>
        <v>6.63</v>
      </c>
    </row>
    <row r="413" spans="1:5" x14ac:dyDescent="0.25">
      <c r="A413" s="32" t="s">
        <v>598</v>
      </c>
      <c r="B413" s="37" t="s">
        <v>248</v>
      </c>
      <c r="C413" s="32">
        <v>42</v>
      </c>
      <c r="D413">
        <v>0</v>
      </c>
      <c r="E413">
        <f t="shared" si="6"/>
        <v>42</v>
      </c>
    </row>
    <row r="414" spans="1:5" x14ac:dyDescent="0.25">
      <c r="A414" s="32" t="s">
        <v>556</v>
      </c>
      <c r="B414" s="37" t="s">
        <v>338</v>
      </c>
      <c r="C414" s="32">
        <v>145</v>
      </c>
      <c r="D414">
        <v>0</v>
      </c>
      <c r="E414">
        <f t="shared" si="6"/>
        <v>145</v>
      </c>
    </row>
    <row r="415" spans="1:5" x14ac:dyDescent="0.25">
      <c r="A415" s="32" t="s">
        <v>563</v>
      </c>
      <c r="B415" s="37" t="s">
        <v>435</v>
      </c>
      <c r="C415" s="32">
        <v>2.2000000000000002</v>
      </c>
      <c r="D415">
        <v>0</v>
      </c>
      <c r="E415">
        <f t="shared" si="6"/>
        <v>2.2000000000000002</v>
      </c>
    </row>
    <row r="416" spans="1:5" x14ac:dyDescent="0.25">
      <c r="A416" s="32" t="s">
        <v>561</v>
      </c>
      <c r="B416" s="37" t="s">
        <v>50</v>
      </c>
      <c r="C416" s="32">
        <v>40</v>
      </c>
      <c r="D416">
        <v>0</v>
      </c>
      <c r="E416">
        <f t="shared" si="6"/>
        <v>40</v>
      </c>
    </row>
    <row r="417" spans="1:5" x14ac:dyDescent="0.25">
      <c r="A417" s="32" t="s">
        <v>561</v>
      </c>
      <c r="B417" s="37" t="s">
        <v>730</v>
      </c>
      <c r="C417" s="32">
        <v>4.5599999999999996</v>
      </c>
      <c r="D417">
        <v>0</v>
      </c>
      <c r="E417">
        <f t="shared" si="6"/>
        <v>4.5599999999999996</v>
      </c>
    </row>
    <row r="418" spans="1:5" x14ac:dyDescent="0.25">
      <c r="A418" s="32" t="s">
        <v>561</v>
      </c>
      <c r="B418" s="37" t="s">
        <v>731</v>
      </c>
      <c r="C418" s="32" t="s">
        <v>779</v>
      </c>
      <c r="D418">
        <v>0</v>
      </c>
      <c r="E418" t="str">
        <f t="shared" si="6"/>
        <v/>
      </c>
    </row>
    <row r="419" spans="1:5" x14ac:dyDescent="0.25">
      <c r="A419" s="32" t="s">
        <v>689</v>
      </c>
      <c r="B419" s="37" t="s">
        <v>355</v>
      </c>
      <c r="C419" s="32">
        <v>154</v>
      </c>
      <c r="D419">
        <v>0</v>
      </c>
      <c r="E419">
        <f t="shared" si="6"/>
        <v>154</v>
      </c>
    </row>
    <row r="420" spans="1:5" x14ac:dyDescent="0.25">
      <c r="A420" s="32" t="s">
        <v>598</v>
      </c>
      <c r="B420" s="37" t="s">
        <v>732</v>
      </c>
      <c r="C420" s="32" t="s">
        <v>779</v>
      </c>
      <c r="D420">
        <v>0</v>
      </c>
      <c r="E420" t="str">
        <f t="shared" si="6"/>
        <v/>
      </c>
    </row>
    <row r="421" spans="1:5" x14ac:dyDescent="0.25">
      <c r="A421" s="32" t="s">
        <v>561</v>
      </c>
      <c r="B421" s="37" t="s">
        <v>74</v>
      </c>
      <c r="C421" s="32">
        <v>1.26</v>
      </c>
      <c r="D421">
        <v>0</v>
      </c>
      <c r="E421">
        <f t="shared" si="6"/>
        <v>1.26</v>
      </c>
    </row>
    <row r="422" spans="1:5" x14ac:dyDescent="0.25">
      <c r="A422" s="32" t="s">
        <v>550</v>
      </c>
      <c r="B422" s="37" t="s">
        <v>362</v>
      </c>
      <c r="C422" s="32">
        <v>187</v>
      </c>
      <c r="D422">
        <v>0</v>
      </c>
      <c r="E422">
        <f t="shared" si="6"/>
        <v>187</v>
      </c>
    </row>
    <row r="423" spans="1:5" x14ac:dyDescent="0.25">
      <c r="A423" s="32" t="s">
        <v>620</v>
      </c>
      <c r="B423" s="37" t="s">
        <v>207</v>
      </c>
      <c r="C423" s="32">
        <v>1535</v>
      </c>
      <c r="D423">
        <v>0</v>
      </c>
      <c r="E423">
        <f t="shared" si="6"/>
        <v>1535</v>
      </c>
    </row>
    <row r="424" spans="1:5" x14ac:dyDescent="0.25">
      <c r="A424" s="32" t="s">
        <v>577</v>
      </c>
      <c r="B424" s="37" t="s">
        <v>363</v>
      </c>
      <c r="C424" s="32">
        <v>557</v>
      </c>
      <c r="D424">
        <v>0</v>
      </c>
      <c r="E424">
        <f t="shared" si="6"/>
        <v>557</v>
      </c>
    </row>
    <row r="425" spans="1:5" x14ac:dyDescent="0.25">
      <c r="A425" s="32" t="s">
        <v>734</v>
      </c>
      <c r="B425" s="37" t="s">
        <v>367</v>
      </c>
      <c r="C425" s="32">
        <v>137</v>
      </c>
      <c r="D425">
        <v>0</v>
      </c>
      <c r="E425">
        <f t="shared" si="6"/>
        <v>137</v>
      </c>
    </row>
    <row r="426" spans="1:5" x14ac:dyDescent="0.25">
      <c r="A426" s="32" t="s">
        <v>563</v>
      </c>
      <c r="B426" s="37" t="s">
        <v>764</v>
      </c>
      <c r="C426" s="32">
        <v>0.4</v>
      </c>
      <c r="D426">
        <v>0</v>
      </c>
      <c r="E426">
        <f t="shared" si="6"/>
        <v>0.4</v>
      </c>
    </row>
    <row r="427" spans="1:5" x14ac:dyDescent="0.25">
      <c r="A427" s="32" t="s">
        <v>563</v>
      </c>
      <c r="B427" s="37" t="s">
        <v>765</v>
      </c>
      <c r="C427" s="32">
        <v>0.2</v>
      </c>
      <c r="D427">
        <v>0</v>
      </c>
      <c r="E427">
        <f t="shared" si="6"/>
        <v>0.2</v>
      </c>
    </row>
    <row r="428" spans="1:5" x14ac:dyDescent="0.25">
      <c r="A428" s="32" t="s">
        <v>600</v>
      </c>
      <c r="B428" s="37" t="s">
        <v>36</v>
      </c>
      <c r="C428" s="32" t="s">
        <v>779</v>
      </c>
      <c r="D428">
        <v>0</v>
      </c>
      <c r="E428" t="str">
        <f t="shared" si="6"/>
        <v/>
      </c>
    </row>
    <row r="429" spans="1:5" x14ac:dyDescent="0.25">
      <c r="A429" s="32" t="s">
        <v>709</v>
      </c>
      <c r="B429" s="37" t="s">
        <v>287</v>
      </c>
      <c r="C429" s="32" t="s">
        <v>779</v>
      </c>
      <c r="D429">
        <v>0</v>
      </c>
      <c r="E429" t="str">
        <f t="shared" si="6"/>
        <v/>
      </c>
    </row>
    <row r="430" spans="1:5" x14ac:dyDescent="0.25">
      <c r="A430" s="32" t="s">
        <v>655</v>
      </c>
      <c r="B430" s="37" t="s">
        <v>281</v>
      </c>
      <c r="C430" s="32">
        <v>43</v>
      </c>
      <c r="D430">
        <v>0</v>
      </c>
      <c r="E430">
        <f t="shared" si="6"/>
        <v>43</v>
      </c>
    </row>
    <row r="431" spans="1:5" x14ac:dyDescent="0.25">
      <c r="A431" s="32" t="s">
        <v>604</v>
      </c>
      <c r="B431" s="37" t="s">
        <v>370</v>
      </c>
      <c r="C431" s="32">
        <v>24</v>
      </c>
      <c r="D431">
        <v>0</v>
      </c>
      <c r="E431">
        <f t="shared" si="6"/>
        <v>24</v>
      </c>
    </row>
    <row r="432" spans="1:5" x14ac:dyDescent="0.25">
      <c r="A432" s="32" t="s">
        <v>571</v>
      </c>
      <c r="B432" s="37" t="s">
        <v>274</v>
      </c>
      <c r="C432" s="32">
        <v>2.5</v>
      </c>
      <c r="D432">
        <v>0</v>
      </c>
      <c r="E432">
        <f t="shared" si="6"/>
        <v>2.5</v>
      </c>
    </row>
    <row r="433" spans="1:5" x14ac:dyDescent="0.25">
      <c r="A433" s="32" t="s">
        <v>579</v>
      </c>
      <c r="B433" s="37" t="s">
        <v>156</v>
      </c>
      <c r="C433" s="32">
        <v>56</v>
      </c>
      <c r="D433">
        <v>0</v>
      </c>
      <c r="E433">
        <f t="shared" si="6"/>
        <v>56</v>
      </c>
    </row>
    <row r="434" spans="1:5" x14ac:dyDescent="0.25">
      <c r="A434" s="32" t="s">
        <v>561</v>
      </c>
      <c r="B434" s="37" t="s">
        <v>77</v>
      </c>
      <c r="C434" s="32">
        <v>14.02</v>
      </c>
      <c r="D434">
        <v>0</v>
      </c>
      <c r="E434">
        <f t="shared" si="6"/>
        <v>14.02</v>
      </c>
    </row>
    <row r="435" spans="1:5" x14ac:dyDescent="0.25">
      <c r="A435" s="32" t="s">
        <v>735</v>
      </c>
      <c r="B435" s="37" t="s">
        <v>736</v>
      </c>
      <c r="C435" s="32">
        <v>18.7</v>
      </c>
      <c r="D435">
        <v>0</v>
      </c>
      <c r="E435">
        <f t="shared" si="6"/>
        <v>18.7</v>
      </c>
    </row>
    <row r="436" spans="1:5" x14ac:dyDescent="0.25">
      <c r="A436" s="32" t="s">
        <v>630</v>
      </c>
      <c r="B436" s="37" t="s">
        <v>40</v>
      </c>
      <c r="C436" s="32">
        <v>0.56000000000000005</v>
      </c>
      <c r="D436">
        <v>0</v>
      </c>
      <c r="E436">
        <f t="shared" si="6"/>
        <v>0.56000000000000005</v>
      </c>
    </row>
    <row r="437" spans="1:5" x14ac:dyDescent="0.25">
      <c r="A437" s="32" t="s">
        <v>573</v>
      </c>
      <c r="B437" s="37" t="s">
        <v>310</v>
      </c>
      <c r="C437" s="32">
        <v>35</v>
      </c>
      <c r="D437">
        <v>0</v>
      </c>
      <c r="E437">
        <f t="shared" si="6"/>
        <v>35</v>
      </c>
    </row>
    <row r="438" spans="1:5" x14ac:dyDescent="0.25">
      <c r="A438" s="32" t="s">
        <v>561</v>
      </c>
      <c r="B438" s="37" t="s">
        <v>79</v>
      </c>
      <c r="C438" s="32">
        <v>74</v>
      </c>
      <c r="D438">
        <v>0</v>
      </c>
      <c r="E438">
        <f t="shared" si="6"/>
        <v>74</v>
      </c>
    </row>
    <row r="439" spans="1:5" x14ac:dyDescent="0.25">
      <c r="A439" s="32" t="s">
        <v>598</v>
      </c>
      <c r="B439" s="37" t="s">
        <v>438</v>
      </c>
      <c r="C439" s="32">
        <v>7</v>
      </c>
      <c r="D439">
        <v>0</v>
      </c>
      <c r="E439">
        <f t="shared" si="6"/>
        <v>7</v>
      </c>
    </row>
    <row r="440" spans="1:5" x14ac:dyDescent="0.25">
      <c r="A440" s="32" t="s">
        <v>563</v>
      </c>
      <c r="B440" s="37" t="s">
        <v>737</v>
      </c>
      <c r="C440" s="32">
        <v>3</v>
      </c>
      <c r="D440">
        <v>0</v>
      </c>
      <c r="E440">
        <f t="shared" si="6"/>
        <v>3</v>
      </c>
    </row>
    <row r="441" spans="1:5" x14ac:dyDescent="0.25">
      <c r="A441" s="32" t="s">
        <v>738</v>
      </c>
      <c r="B441" s="37" t="s">
        <v>371</v>
      </c>
      <c r="C441" s="32" t="s">
        <v>779</v>
      </c>
      <c r="D441">
        <v>0</v>
      </c>
      <c r="E441" t="str">
        <f t="shared" si="6"/>
        <v/>
      </c>
    </row>
    <row r="442" spans="1:5" x14ac:dyDescent="0.25">
      <c r="A442" s="32" t="s">
        <v>626</v>
      </c>
      <c r="B442" s="37" t="s">
        <v>372</v>
      </c>
      <c r="C442" s="32">
        <v>194</v>
      </c>
      <c r="D442">
        <v>0</v>
      </c>
      <c r="E442">
        <f t="shared" si="6"/>
        <v>194</v>
      </c>
    </row>
    <row r="443" spans="1:5" x14ac:dyDescent="0.25">
      <c r="A443" s="32" t="s">
        <v>592</v>
      </c>
      <c r="B443" s="37" t="s">
        <v>105</v>
      </c>
      <c r="C443" s="32">
        <v>7.2</v>
      </c>
      <c r="D443">
        <v>0</v>
      </c>
      <c r="E443">
        <f t="shared" si="6"/>
        <v>7.2</v>
      </c>
    </row>
    <row r="444" spans="1:5" x14ac:dyDescent="0.25">
      <c r="A444" s="32" t="s">
        <v>568</v>
      </c>
      <c r="B444" s="37" t="s">
        <v>177</v>
      </c>
      <c r="C444" s="32">
        <v>13.16</v>
      </c>
      <c r="D444">
        <v>0</v>
      </c>
      <c r="E444">
        <f t="shared" si="6"/>
        <v>13.16</v>
      </c>
    </row>
    <row r="445" spans="1:5" x14ac:dyDescent="0.25">
      <c r="A445" s="32" t="s">
        <v>720</v>
      </c>
      <c r="B445" s="37" t="s">
        <v>439</v>
      </c>
      <c r="C445" s="32">
        <v>7.71</v>
      </c>
      <c r="D445">
        <v>0</v>
      </c>
      <c r="E445">
        <f t="shared" si="6"/>
        <v>7.71</v>
      </c>
    </row>
    <row r="446" spans="1:5" x14ac:dyDescent="0.25">
      <c r="A446" s="32" t="s">
        <v>558</v>
      </c>
      <c r="B446" s="37" t="s">
        <v>739</v>
      </c>
      <c r="C446" s="32" t="s">
        <v>779</v>
      </c>
      <c r="D446">
        <v>0</v>
      </c>
      <c r="E446" t="str">
        <f t="shared" si="6"/>
        <v/>
      </c>
    </row>
    <row r="447" spans="1:5" x14ac:dyDescent="0.25">
      <c r="A447" s="32" t="s">
        <v>740</v>
      </c>
      <c r="B447" s="37" t="s">
        <v>374</v>
      </c>
      <c r="C447" s="32">
        <v>29</v>
      </c>
      <c r="D447">
        <v>0</v>
      </c>
      <c r="E447">
        <f t="shared" si="6"/>
        <v>29</v>
      </c>
    </row>
    <row r="448" spans="1:5" x14ac:dyDescent="0.25">
      <c r="A448" s="32" t="s">
        <v>569</v>
      </c>
      <c r="B448" s="37" t="s">
        <v>376</v>
      </c>
      <c r="C448" s="32">
        <v>246</v>
      </c>
      <c r="D448">
        <v>0</v>
      </c>
      <c r="E448">
        <f t="shared" si="6"/>
        <v>246</v>
      </c>
    </row>
    <row r="449" spans="1:5" x14ac:dyDescent="0.25">
      <c r="A449" s="32" t="s">
        <v>568</v>
      </c>
      <c r="B449" s="37" t="s">
        <v>440</v>
      </c>
      <c r="C449" s="32">
        <v>5.86</v>
      </c>
      <c r="D449">
        <v>0</v>
      </c>
      <c r="E449">
        <f t="shared" si="6"/>
        <v>5.86</v>
      </c>
    </row>
    <row r="450" spans="1:5" x14ac:dyDescent="0.25">
      <c r="A450" s="32" t="s">
        <v>579</v>
      </c>
      <c r="B450" s="37" t="s">
        <v>157</v>
      </c>
      <c r="C450" s="32">
        <v>595</v>
      </c>
      <c r="D450">
        <v>0</v>
      </c>
      <c r="E450">
        <f t="shared" si="6"/>
        <v>595</v>
      </c>
    </row>
    <row r="451" spans="1:5" x14ac:dyDescent="0.25">
      <c r="A451" s="32" t="s">
        <v>625</v>
      </c>
      <c r="B451" s="37" t="s">
        <v>741</v>
      </c>
      <c r="C451" s="32" t="s">
        <v>779</v>
      </c>
      <c r="D451">
        <v>0</v>
      </c>
      <c r="E451" t="str">
        <f t="shared" ref="E451:E459" si="7">IFERROR(C451-D451,"")</f>
        <v/>
      </c>
    </row>
    <row r="452" spans="1:5" x14ac:dyDescent="0.25">
      <c r="A452" s="32" t="s">
        <v>561</v>
      </c>
      <c r="B452" s="37" t="s">
        <v>57</v>
      </c>
      <c r="C452" s="32">
        <v>70</v>
      </c>
      <c r="D452">
        <v>0</v>
      </c>
      <c r="E452">
        <f t="shared" si="7"/>
        <v>70</v>
      </c>
    </row>
    <row r="453" spans="1:5" x14ac:dyDescent="0.25">
      <c r="A453" s="32" t="s">
        <v>556</v>
      </c>
      <c r="B453" s="37" t="s">
        <v>344</v>
      </c>
      <c r="C453" s="32" t="s">
        <v>779</v>
      </c>
      <c r="D453">
        <v>0</v>
      </c>
      <c r="E453" t="str">
        <f t="shared" si="7"/>
        <v/>
      </c>
    </row>
    <row r="454" spans="1:5" x14ac:dyDescent="0.25">
      <c r="A454" s="32" t="s">
        <v>556</v>
      </c>
      <c r="B454" s="37" t="s">
        <v>347</v>
      </c>
      <c r="C454" s="32">
        <v>27</v>
      </c>
      <c r="D454">
        <v>0</v>
      </c>
      <c r="E454">
        <f t="shared" si="7"/>
        <v>27</v>
      </c>
    </row>
    <row r="455" spans="1:5" x14ac:dyDescent="0.25">
      <c r="A455" s="32" t="s">
        <v>657</v>
      </c>
      <c r="B455" s="37" t="s">
        <v>742</v>
      </c>
      <c r="C455" s="32">
        <v>6.1</v>
      </c>
      <c r="D455">
        <v>0</v>
      </c>
      <c r="E455">
        <f t="shared" si="7"/>
        <v>6.1</v>
      </c>
    </row>
    <row r="456" spans="1:5" x14ac:dyDescent="0.25">
      <c r="A456" s="32" t="s">
        <v>558</v>
      </c>
      <c r="B456" s="37" t="s">
        <v>743</v>
      </c>
      <c r="C456" s="32" t="s">
        <v>779</v>
      </c>
      <c r="D456">
        <v>0</v>
      </c>
      <c r="E456" t="str">
        <f t="shared" si="7"/>
        <v/>
      </c>
    </row>
    <row r="457" spans="1:5" x14ac:dyDescent="0.25">
      <c r="A457" s="32" t="s">
        <v>660</v>
      </c>
      <c r="B457" s="37"/>
      <c r="C457" s="32" t="s">
        <v>779</v>
      </c>
      <c r="D457">
        <v>0</v>
      </c>
      <c r="E457" t="str">
        <f t="shared" si="7"/>
        <v/>
      </c>
    </row>
    <row r="458" spans="1:5" x14ac:dyDescent="0.25">
      <c r="A458" s="32" t="s">
        <v>777</v>
      </c>
      <c r="B458" s="37"/>
      <c r="C458" s="32" t="s">
        <v>779</v>
      </c>
      <c r="D458">
        <v>0</v>
      </c>
      <c r="E458" t="str">
        <f t="shared" si="7"/>
        <v/>
      </c>
    </row>
    <row r="459" spans="1:5" ht="15.75" thickBot="1" x14ac:dyDescent="0.3">
      <c r="A459" s="35" t="s">
        <v>778</v>
      </c>
      <c r="B459" s="38"/>
      <c r="C459" s="35" t="s">
        <v>779</v>
      </c>
      <c r="D459">
        <v>0</v>
      </c>
      <c r="E459" t="str">
        <f t="shared" si="7"/>
        <v/>
      </c>
    </row>
    <row r="462" spans="1:5" x14ac:dyDescent="0.25">
      <c r="A462" s="33" t="s">
        <v>744</v>
      </c>
      <c r="B462" s="33" t="s">
        <v>744</v>
      </c>
      <c r="C462" s="32">
        <v>53501.999999999993</v>
      </c>
    </row>
    <row r="463" spans="1:5" x14ac:dyDescent="0.25">
      <c r="A463" s="33" t="s">
        <v>745</v>
      </c>
      <c r="B463" s="33" t="s">
        <v>746</v>
      </c>
      <c r="C463" s="32">
        <v>8786.0000000000018</v>
      </c>
    </row>
    <row r="464" spans="1:5" x14ac:dyDescent="0.25">
      <c r="A464" s="33" t="s">
        <v>747</v>
      </c>
      <c r="B464" s="33" t="s">
        <v>748</v>
      </c>
      <c r="C464" s="32">
        <v>19070</v>
      </c>
    </row>
    <row r="465" spans="1:3" x14ac:dyDescent="0.25">
      <c r="A465" s="33" t="s">
        <v>749</v>
      </c>
      <c r="B465" s="33" t="s">
        <v>750</v>
      </c>
      <c r="C465" s="32">
        <v>25646</v>
      </c>
    </row>
    <row r="467" spans="1:3" x14ac:dyDescent="0.25">
      <c r="A467" s="33" t="s">
        <v>751</v>
      </c>
      <c r="C467" s="32">
        <v>55249.589999999989</v>
      </c>
    </row>
  </sheetData>
  <autoFilter ref="A1:E459" xr:uid="{00000000-0009-0000-0000-000007000000}"/>
  <sortState xmlns:xlrd2="http://schemas.microsoft.com/office/spreadsheetml/2017/richdata2" ref="H2:L459">
    <sortCondition ref="I2:I459"/>
  </sortState>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4B213-82C2-4BDB-B441-BD1D8BA18E73}">
  <sheetPr codeName="Blad14"/>
  <dimension ref="A2:M535"/>
  <sheetViews>
    <sheetView topLeftCell="A176" workbookViewId="0">
      <selection activeCell="B153" sqref="B153"/>
    </sheetView>
  </sheetViews>
  <sheetFormatPr defaultRowHeight="15" x14ac:dyDescent="0.25"/>
  <cols>
    <col min="1" max="2" width="32.140625" bestFit="1" customWidth="1"/>
    <col min="5" max="5" width="27.5703125" bestFit="1" customWidth="1"/>
  </cols>
  <sheetData>
    <row r="2" spans="1:13" x14ac:dyDescent="0.25">
      <c r="E2" s="1" t="s">
        <v>544</v>
      </c>
      <c r="H2" s="1" t="s">
        <v>1031</v>
      </c>
      <c r="M2" t="s">
        <v>1161</v>
      </c>
    </row>
    <row r="3" spans="1:13" x14ac:dyDescent="0.25">
      <c r="A3" t="s">
        <v>942</v>
      </c>
      <c r="B3" t="s">
        <v>822</v>
      </c>
      <c r="E3" t="s">
        <v>484</v>
      </c>
      <c r="H3" t="s">
        <v>442</v>
      </c>
      <c r="M3" t="s">
        <v>1162</v>
      </c>
    </row>
    <row r="4" spans="1:13" x14ac:dyDescent="0.25">
      <c r="A4" t="s">
        <v>95</v>
      </c>
      <c r="B4" t="s">
        <v>95</v>
      </c>
      <c r="E4" t="s">
        <v>95</v>
      </c>
      <c r="H4" t="s">
        <v>130</v>
      </c>
    </row>
    <row r="5" spans="1:13" x14ac:dyDescent="0.25">
      <c r="B5" s="3" t="s">
        <v>382</v>
      </c>
      <c r="E5" s="3" t="s">
        <v>382</v>
      </c>
    </row>
    <row r="6" spans="1:13" x14ac:dyDescent="0.25">
      <c r="A6" t="s">
        <v>1</v>
      </c>
      <c r="B6" t="s">
        <v>1</v>
      </c>
      <c r="E6" t="s">
        <v>1</v>
      </c>
    </row>
    <row r="7" spans="1:13" x14ac:dyDescent="0.25">
      <c r="A7" t="s">
        <v>1110</v>
      </c>
      <c r="B7" s="43" t="s">
        <v>1110</v>
      </c>
    </row>
    <row r="8" spans="1:13" ht="15.75" customHeight="1" x14ac:dyDescent="0.25">
      <c r="A8" t="s">
        <v>2</v>
      </c>
      <c r="B8" t="s">
        <v>2</v>
      </c>
      <c r="E8" t="s">
        <v>2</v>
      </c>
    </row>
    <row r="9" spans="1:13" x14ac:dyDescent="0.25">
      <c r="A9" t="s">
        <v>926</v>
      </c>
      <c r="B9" t="s">
        <v>792</v>
      </c>
      <c r="E9" t="s">
        <v>792</v>
      </c>
    </row>
    <row r="10" spans="1:13" x14ac:dyDescent="0.25">
      <c r="A10" t="s">
        <v>360</v>
      </c>
      <c r="B10" t="s">
        <v>360</v>
      </c>
      <c r="E10" t="s">
        <v>360</v>
      </c>
    </row>
    <row r="11" spans="1:13" x14ac:dyDescent="0.25">
      <c r="A11" t="s">
        <v>224</v>
      </c>
      <c r="B11" t="s">
        <v>224</v>
      </c>
      <c r="E11" t="s">
        <v>224</v>
      </c>
    </row>
    <row r="12" spans="1:13" x14ac:dyDescent="0.25">
      <c r="B12" t="s">
        <v>5</v>
      </c>
      <c r="E12" t="s">
        <v>5</v>
      </c>
    </row>
    <row r="13" spans="1:13" x14ac:dyDescent="0.25">
      <c r="A13" t="s">
        <v>938</v>
      </c>
      <c r="B13" s="52" t="s">
        <v>938</v>
      </c>
      <c r="E13" t="s">
        <v>938</v>
      </c>
    </row>
    <row r="14" spans="1:13" x14ac:dyDescent="0.25">
      <c r="A14" t="s">
        <v>20</v>
      </c>
      <c r="B14" t="s">
        <v>20</v>
      </c>
      <c r="E14" t="s">
        <v>20</v>
      </c>
    </row>
    <row r="15" spans="1:13" x14ac:dyDescent="0.25">
      <c r="B15" t="s">
        <v>449</v>
      </c>
      <c r="E15" t="s">
        <v>449</v>
      </c>
    </row>
    <row r="16" spans="1:13" x14ac:dyDescent="0.25">
      <c r="B16" t="s">
        <v>6</v>
      </c>
      <c r="E16" t="s">
        <v>6</v>
      </c>
    </row>
    <row r="17" spans="1:5" x14ac:dyDescent="0.25">
      <c r="A17" t="s">
        <v>119</v>
      </c>
      <c r="B17" t="s">
        <v>119</v>
      </c>
      <c r="E17" t="s">
        <v>119</v>
      </c>
    </row>
    <row r="18" spans="1:5" x14ac:dyDescent="0.25">
      <c r="A18" t="s">
        <v>334</v>
      </c>
      <c r="B18" t="s">
        <v>334</v>
      </c>
      <c r="E18" t="s">
        <v>334</v>
      </c>
    </row>
    <row r="19" spans="1:5" x14ac:dyDescent="0.25">
      <c r="A19" t="s">
        <v>861</v>
      </c>
      <c r="B19" s="52" t="s">
        <v>861</v>
      </c>
      <c r="E19" t="s">
        <v>861</v>
      </c>
    </row>
    <row r="20" spans="1:5" x14ac:dyDescent="0.25">
      <c r="B20" s="4" t="s">
        <v>392</v>
      </c>
      <c r="E20" s="4" t="s">
        <v>392</v>
      </c>
    </row>
    <row r="21" spans="1:5" x14ac:dyDescent="0.25">
      <c r="A21" t="s">
        <v>118</v>
      </c>
      <c r="B21" t="s">
        <v>118</v>
      </c>
      <c r="E21" t="s">
        <v>118</v>
      </c>
    </row>
    <row r="22" spans="1:5" x14ac:dyDescent="0.25">
      <c r="B22" t="s">
        <v>158</v>
      </c>
      <c r="E22" t="s">
        <v>158</v>
      </c>
    </row>
    <row r="23" spans="1:5" x14ac:dyDescent="0.25">
      <c r="A23" t="s">
        <v>85</v>
      </c>
      <c r="B23" t="s">
        <v>85</v>
      </c>
      <c r="E23" t="s">
        <v>85</v>
      </c>
    </row>
    <row r="24" spans="1:5" x14ac:dyDescent="0.25">
      <c r="A24" t="s">
        <v>7</v>
      </c>
      <c r="B24" t="s">
        <v>7</v>
      </c>
      <c r="E24" t="s">
        <v>7</v>
      </c>
    </row>
    <row r="25" spans="1:5" x14ac:dyDescent="0.25">
      <c r="A25" t="s">
        <v>845</v>
      </c>
      <c r="B25" s="52" t="s">
        <v>845</v>
      </c>
      <c r="E25" t="s">
        <v>845</v>
      </c>
    </row>
    <row r="26" spans="1:5" x14ac:dyDescent="0.25">
      <c r="B26" s="4" t="s">
        <v>9</v>
      </c>
      <c r="E26" s="4" t="s">
        <v>9</v>
      </c>
    </row>
    <row r="27" spans="1:5" x14ac:dyDescent="0.25">
      <c r="A27" t="s">
        <v>987</v>
      </c>
      <c r="B27" s="4" t="s">
        <v>987</v>
      </c>
      <c r="E27" s="4"/>
    </row>
    <row r="28" spans="1:5" x14ac:dyDescent="0.25">
      <c r="A28" t="s">
        <v>323</v>
      </c>
      <c r="B28" t="s">
        <v>323</v>
      </c>
      <c r="E28" t="s">
        <v>323</v>
      </c>
    </row>
    <row r="29" spans="1:5" x14ac:dyDescent="0.25">
      <c r="A29" t="s">
        <v>109</v>
      </c>
      <c r="B29" t="s">
        <v>109</v>
      </c>
      <c r="E29" t="s">
        <v>109</v>
      </c>
    </row>
    <row r="30" spans="1:5" x14ac:dyDescent="0.25">
      <c r="A30" t="s">
        <v>213</v>
      </c>
      <c r="B30" t="s">
        <v>213</v>
      </c>
      <c r="E30" t="s">
        <v>213</v>
      </c>
    </row>
    <row r="31" spans="1:5" x14ac:dyDescent="0.25">
      <c r="A31" t="s">
        <v>178</v>
      </c>
      <c r="B31" t="s">
        <v>178</v>
      </c>
      <c r="E31" t="s">
        <v>178</v>
      </c>
    </row>
    <row r="32" spans="1:5" x14ac:dyDescent="0.25">
      <c r="A32" t="s">
        <v>377</v>
      </c>
      <c r="B32" t="s">
        <v>377</v>
      </c>
      <c r="E32" t="s">
        <v>377</v>
      </c>
    </row>
    <row r="33" spans="1:5" x14ac:dyDescent="0.25">
      <c r="B33" s="52" t="s">
        <v>570</v>
      </c>
      <c r="E33" t="s">
        <v>570</v>
      </c>
    </row>
    <row r="34" spans="1:5" x14ac:dyDescent="0.25">
      <c r="B34" t="s">
        <v>485</v>
      </c>
      <c r="E34" t="s">
        <v>485</v>
      </c>
    </row>
    <row r="35" spans="1:5" x14ac:dyDescent="0.25">
      <c r="A35" t="s">
        <v>225</v>
      </c>
      <c r="B35" t="s">
        <v>225</v>
      </c>
      <c r="E35" t="s">
        <v>225</v>
      </c>
    </row>
    <row r="36" spans="1:5" x14ac:dyDescent="0.25">
      <c r="A36" t="s">
        <v>19</v>
      </c>
      <c r="B36" t="s">
        <v>19</v>
      </c>
      <c r="E36" t="s">
        <v>19</v>
      </c>
    </row>
    <row r="37" spans="1:5" x14ac:dyDescent="0.25">
      <c r="A37" t="s">
        <v>263</v>
      </c>
      <c r="B37" t="s">
        <v>263</v>
      </c>
      <c r="E37" t="s">
        <v>263</v>
      </c>
    </row>
    <row r="38" spans="1:5" x14ac:dyDescent="0.25">
      <c r="A38" t="s">
        <v>21</v>
      </c>
      <c r="B38" t="s">
        <v>21</v>
      </c>
      <c r="E38" t="s">
        <v>21</v>
      </c>
    </row>
    <row r="39" spans="1:5" x14ac:dyDescent="0.25">
      <c r="A39" t="s">
        <v>60</v>
      </c>
      <c r="B39" t="s">
        <v>60</v>
      </c>
      <c r="E39" t="s">
        <v>60</v>
      </c>
    </row>
    <row r="40" spans="1:5" x14ac:dyDescent="0.25">
      <c r="A40" t="s">
        <v>306</v>
      </c>
      <c r="B40" t="s">
        <v>306</v>
      </c>
      <c r="E40" t="s">
        <v>306</v>
      </c>
    </row>
    <row r="41" spans="1:5" x14ac:dyDescent="0.25">
      <c r="A41" t="s">
        <v>23</v>
      </c>
      <c r="B41" s="3" t="s">
        <v>23</v>
      </c>
      <c r="E41" s="3" t="s">
        <v>23</v>
      </c>
    </row>
    <row r="42" spans="1:5" x14ac:dyDescent="0.25">
      <c r="A42" t="s">
        <v>25</v>
      </c>
      <c r="B42" t="s">
        <v>25</v>
      </c>
      <c r="E42" t="s">
        <v>25</v>
      </c>
    </row>
    <row r="43" spans="1:5" x14ac:dyDescent="0.25">
      <c r="A43" t="s">
        <v>29</v>
      </c>
      <c r="B43" t="s">
        <v>29</v>
      </c>
      <c r="E43" t="s">
        <v>29</v>
      </c>
    </row>
    <row r="44" spans="1:5" x14ac:dyDescent="0.25">
      <c r="A44" t="s">
        <v>41</v>
      </c>
      <c r="B44" t="s">
        <v>41</v>
      </c>
      <c r="E44" t="s">
        <v>41</v>
      </c>
    </row>
    <row r="45" spans="1:5" x14ac:dyDescent="0.25">
      <c r="A45" t="s">
        <v>364</v>
      </c>
      <c r="B45" t="s">
        <v>364</v>
      </c>
      <c r="E45" t="s">
        <v>364</v>
      </c>
    </row>
    <row r="46" spans="1:5" x14ac:dyDescent="0.25">
      <c r="A46" t="s">
        <v>378</v>
      </c>
      <c r="B46" t="s">
        <v>378</v>
      </c>
      <c r="E46" t="s">
        <v>378</v>
      </c>
    </row>
    <row r="47" spans="1:5" x14ac:dyDescent="0.25">
      <c r="A47" t="s">
        <v>61</v>
      </c>
      <c r="B47" t="s">
        <v>61</v>
      </c>
      <c r="E47" t="s">
        <v>61</v>
      </c>
    </row>
    <row r="48" spans="1:5" x14ac:dyDescent="0.25">
      <c r="B48" s="3" t="s">
        <v>97</v>
      </c>
      <c r="E48" s="3" t="s">
        <v>97</v>
      </c>
    </row>
    <row r="49" spans="1:5" x14ac:dyDescent="0.25">
      <c r="A49" t="s">
        <v>81</v>
      </c>
      <c r="B49" t="s">
        <v>81</v>
      </c>
      <c r="E49" t="s">
        <v>81</v>
      </c>
    </row>
    <row r="50" spans="1:5" x14ac:dyDescent="0.25">
      <c r="A50" t="s">
        <v>30</v>
      </c>
      <c r="B50" t="s">
        <v>30</v>
      </c>
      <c r="E50" t="s">
        <v>30</v>
      </c>
    </row>
    <row r="51" spans="1:5" x14ac:dyDescent="0.25">
      <c r="A51" t="s">
        <v>393</v>
      </c>
      <c r="B51" t="s">
        <v>393</v>
      </c>
      <c r="E51" t="s">
        <v>393</v>
      </c>
    </row>
    <row r="52" spans="1:5" x14ac:dyDescent="0.25">
      <c r="A52" t="s">
        <v>925</v>
      </c>
      <c r="B52" t="s">
        <v>31</v>
      </c>
      <c r="E52" t="s">
        <v>31</v>
      </c>
    </row>
    <row r="53" spans="1:5" x14ac:dyDescent="0.25">
      <c r="A53" t="s">
        <v>250</v>
      </c>
      <c r="B53" t="s">
        <v>250</v>
      </c>
      <c r="E53" t="s">
        <v>250</v>
      </c>
    </row>
    <row r="54" spans="1:5" x14ac:dyDescent="0.25">
      <c r="B54" t="s">
        <v>394</v>
      </c>
      <c r="E54" t="s">
        <v>394</v>
      </c>
    </row>
    <row r="55" spans="1:5" x14ac:dyDescent="0.25">
      <c r="A55" t="s">
        <v>264</v>
      </c>
      <c r="B55" t="s">
        <v>264</v>
      </c>
      <c r="E55" t="s">
        <v>264</v>
      </c>
    </row>
    <row r="56" spans="1:5" x14ac:dyDescent="0.25">
      <c r="A56" t="s">
        <v>265</v>
      </c>
      <c r="B56" t="s">
        <v>265</v>
      </c>
      <c r="E56" t="s">
        <v>265</v>
      </c>
    </row>
    <row r="57" spans="1:5" x14ac:dyDescent="0.25">
      <c r="A57" t="s">
        <v>266</v>
      </c>
      <c r="B57" t="s">
        <v>266</v>
      </c>
      <c r="E57" t="s">
        <v>266</v>
      </c>
    </row>
    <row r="58" spans="1:5" x14ac:dyDescent="0.25">
      <c r="A58" t="s">
        <v>1127</v>
      </c>
      <c r="B58" t="s">
        <v>62</v>
      </c>
      <c r="E58" t="s">
        <v>62</v>
      </c>
    </row>
    <row r="59" spans="1:5" x14ac:dyDescent="0.25">
      <c r="A59" t="s">
        <v>496</v>
      </c>
      <c r="B59" t="s">
        <v>496</v>
      </c>
      <c r="E59" t="s">
        <v>496</v>
      </c>
    </row>
    <row r="60" spans="1:5" x14ac:dyDescent="0.25">
      <c r="A60" t="s">
        <v>582</v>
      </c>
      <c r="B60" t="s">
        <v>828</v>
      </c>
      <c r="E60" t="s">
        <v>828</v>
      </c>
    </row>
    <row r="61" spans="1:5" x14ac:dyDescent="0.25">
      <c r="B61" t="s">
        <v>63</v>
      </c>
      <c r="E61" t="s">
        <v>63</v>
      </c>
    </row>
    <row r="62" spans="1:5" x14ac:dyDescent="0.25">
      <c r="B62" s="51" t="s">
        <v>583</v>
      </c>
    </row>
    <row r="63" spans="1:5" x14ac:dyDescent="0.25">
      <c r="B63" t="s">
        <v>395</v>
      </c>
      <c r="E63" t="s">
        <v>395</v>
      </c>
    </row>
    <row r="64" spans="1:5" x14ac:dyDescent="0.25">
      <c r="A64" t="s">
        <v>115</v>
      </c>
      <c r="B64" t="s">
        <v>115</v>
      </c>
      <c r="E64" t="s">
        <v>115</v>
      </c>
    </row>
    <row r="65" spans="1:5" x14ac:dyDescent="0.25">
      <c r="A65" t="s">
        <v>46</v>
      </c>
      <c r="B65" t="s">
        <v>46</v>
      </c>
      <c r="E65" t="s">
        <v>46</v>
      </c>
    </row>
    <row r="66" spans="1:5" x14ac:dyDescent="0.25">
      <c r="A66" t="s">
        <v>339</v>
      </c>
      <c r="B66" t="s">
        <v>339</v>
      </c>
      <c r="E66" t="s">
        <v>339</v>
      </c>
    </row>
    <row r="67" spans="1:5" x14ac:dyDescent="0.25">
      <c r="B67" t="s">
        <v>396</v>
      </c>
      <c r="E67" t="s">
        <v>396</v>
      </c>
    </row>
    <row r="68" spans="1:5" x14ac:dyDescent="0.25">
      <c r="A68" t="s">
        <v>179</v>
      </c>
      <c r="B68" t="s">
        <v>179</v>
      </c>
      <c r="E68" t="s">
        <v>179</v>
      </c>
    </row>
    <row r="69" spans="1:5" x14ac:dyDescent="0.25">
      <c r="A69" t="s">
        <v>584</v>
      </c>
      <c r="B69" s="3" t="s">
        <v>90</v>
      </c>
      <c r="E69" s="3" t="s">
        <v>90</v>
      </c>
    </row>
    <row r="70" spans="1:5" x14ac:dyDescent="0.25">
      <c r="A70" t="s">
        <v>96</v>
      </c>
      <c r="B70" t="s">
        <v>96</v>
      </c>
      <c r="E70" t="s">
        <v>96</v>
      </c>
    </row>
    <row r="71" spans="1:5" x14ac:dyDescent="0.25">
      <c r="B71" t="s">
        <v>586</v>
      </c>
      <c r="E71" t="s">
        <v>586</v>
      </c>
    </row>
    <row r="72" spans="1:5" x14ac:dyDescent="0.25">
      <c r="A72" t="s">
        <v>905</v>
      </c>
      <c r="B72" s="52" t="s">
        <v>905</v>
      </c>
      <c r="E72" t="s">
        <v>905</v>
      </c>
    </row>
    <row r="73" spans="1:5" x14ac:dyDescent="0.25">
      <c r="A73" t="s">
        <v>588</v>
      </c>
      <c r="B73" t="s">
        <v>588</v>
      </c>
      <c r="E73" t="s">
        <v>588</v>
      </c>
    </row>
    <row r="74" spans="1:5" x14ac:dyDescent="0.25">
      <c r="A74" t="s">
        <v>91</v>
      </c>
      <c r="B74" t="s">
        <v>91</v>
      </c>
      <c r="E74" t="s">
        <v>91</v>
      </c>
    </row>
    <row r="75" spans="1:5" x14ac:dyDescent="0.25">
      <c r="B75" t="s">
        <v>94</v>
      </c>
      <c r="E75" t="s">
        <v>94</v>
      </c>
    </row>
    <row r="76" spans="1:5" x14ac:dyDescent="0.25">
      <c r="A76" t="s">
        <v>1141</v>
      </c>
      <c r="B76" t="s">
        <v>1141</v>
      </c>
    </row>
    <row r="77" spans="1:5" x14ac:dyDescent="0.25">
      <c r="A77" t="s">
        <v>874</v>
      </c>
      <c r="B77" t="s">
        <v>1141</v>
      </c>
      <c r="E77" t="s">
        <v>874</v>
      </c>
    </row>
    <row r="78" spans="1:5" x14ac:dyDescent="0.25">
      <c r="A78" t="s">
        <v>98</v>
      </c>
      <c r="B78" s="3" t="s">
        <v>98</v>
      </c>
      <c r="E78" s="3" t="s">
        <v>98</v>
      </c>
    </row>
    <row r="79" spans="1:5" x14ac:dyDescent="0.25">
      <c r="A79" t="s">
        <v>101</v>
      </c>
      <c r="B79" t="s">
        <v>101</v>
      </c>
      <c r="E79" t="s">
        <v>101</v>
      </c>
    </row>
    <row r="80" spans="1:5" x14ac:dyDescent="0.25">
      <c r="A80" t="s">
        <v>102</v>
      </c>
      <c r="B80" t="s">
        <v>102</v>
      </c>
      <c r="E80" t="s">
        <v>102</v>
      </c>
    </row>
    <row r="81" spans="1:5" x14ac:dyDescent="0.25">
      <c r="B81" t="s">
        <v>198</v>
      </c>
      <c r="E81" t="s">
        <v>198</v>
      </c>
    </row>
    <row r="82" spans="1:5" x14ac:dyDescent="0.25">
      <c r="A82" t="s">
        <v>787</v>
      </c>
      <c r="B82" t="s">
        <v>787</v>
      </c>
      <c r="E82" t="s">
        <v>787</v>
      </c>
    </row>
    <row r="83" spans="1:5" x14ac:dyDescent="0.25">
      <c r="A83" t="s">
        <v>872</v>
      </c>
      <c r="B83" t="s">
        <v>872</v>
      </c>
      <c r="E83" t="s">
        <v>872</v>
      </c>
    </row>
    <row r="84" spans="1:5" x14ac:dyDescent="0.25">
      <c r="A84" t="s">
        <v>1107</v>
      </c>
      <c r="B84" t="s">
        <v>1107</v>
      </c>
    </row>
    <row r="85" spans="1:5" x14ac:dyDescent="0.25">
      <c r="A85" t="s">
        <v>357</v>
      </c>
      <c r="B85" t="s">
        <v>357</v>
      </c>
      <c r="E85" t="s">
        <v>357</v>
      </c>
    </row>
    <row r="86" spans="1:5" x14ac:dyDescent="0.25">
      <c r="A86" t="s">
        <v>108</v>
      </c>
      <c r="B86" t="s">
        <v>108</v>
      </c>
      <c r="E86" t="s">
        <v>108</v>
      </c>
    </row>
    <row r="87" spans="1:5" x14ac:dyDescent="0.25">
      <c r="A87" t="s">
        <v>106</v>
      </c>
      <c r="B87" t="s">
        <v>106</v>
      </c>
      <c r="E87" t="s">
        <v>106</v>
      </c>
    </row>
    <row r="88" spans="1:5" x14ac:dyDescent="0.25">
      <c r="A88" t="s">
        <v>110</v>
      </c>
      <c r="B88" t="s">
        <v>110</v>
      </c>
      <c r="E88" t="s">
        <v>110</v>
      </c>
    </row>
    <row r="89" spans="1:5" x14ac:dyDescent="0.25">
      <c r="B89" t="s">
        <v>246</v>
      </c>
      <c r="E89" t="s">
        <v>246</v>
      </c>
    </row>
    <row r="90" spans="1:5" x14ac:dyDescent="0.25">
      <c r="B90" t="s">
        <v>122</v>
      </c>
      <c r="E90" t="s">
        <v>122</v>
      </c>
    </row>
    <row r="91" spans="1:5" x14ac:dyDescent="0.25">
      <c r="A91" t="s">
        <v>113</v>
      </c>
      <c r="B91" t="s">
        <v>113</v>
      </c>
      <c r="E91" t="s">
        <v>113</v>
      </c>
    </row>
    <row r="92" spans="1:5" x14ac:dyDescent="0.25">
      <c r="A92" t="s">
        <v>33</v>
      </c>
      <c r="B92" t="s">
        <v>33</v>
      </c>
      <c r="E92" t="s">
        <v>33</v>
      </c>
    </row>
    <row r="93" spans="1:5" x14ac:dyDescent="0.25">
      <c r="A93" s="4" t="s">
        <v>497</v>
      </c>
      <c r="B93" s="4" t="s">
        <v>497</v>
      </c>
      <c r="E93" s="4" t="s">
        <v>497</v>
      </c>
    </row>
    <row r="94" spans="1:5" x14ac:dyDescent="0.25">
      <c r="B94" t="s">
        <v>239</v>
      </c>
      <c r="E94" t="s">
        <v>239</v>
      </c>
    </row>
    <row r="95" spans="1:5" x14ac:dyDescent="0.25">
      <c r="B95" t="s">
        <v>486</v>
      </c>
      <c r="E95" t="s">
        <v>486</v>
      </c>
    </row>
    <row r="96" spans="1:5" x14ac:dyDescent="0.25">
      <c r="A96" t="s">
        <v>107</v>
      </c>
      <c r="B96" t="s">
        <v>107</v>
      </c>
      <c r="E96" t="s">
        <v>107</v>
      </c>
    </row>
    <row r="97" spans="1:5" x14ac:dyDescent="0.25">
      <c r="A97" t="s">
        <v>397</v>
      </c>
      <c r="B97" t="s">
        <v>397</v>
      </c>
      <c r="E97" t="s">
        <v>397</v>
      </c>
    </row>
    <row r="98" spans="1:5" x14ac:dyDescent="0.25">
      <c r="B98" s="5" t="s">
        <v>10</v>
      </c>
      <c r="E98" s="5" t="s">
        <v>10</v>
      </c>
    </row>
    <row r="99" spans="1:5" x14ac:dyDescent="0.25">
      <c r="B99" s="52" t="s">
        <v>602</v>
      </c>
      <c r="E99" s="5" t="s">
        <v>602</v>
      </c>
    </row>
    <row r="100" spans="1:5" x14ac:dyDescent="0.25">
      <c r="A100" t="s">
        <v>838</v>
      </c>
      <c r="B100" t="s">
        <v>838</v>
      </c>
      <c r="E100" t="s">
        <v>838</v>
      </c>
    </row>
    <row r="101" spans="1:5" x14ac:dyDescent="0.25">
      <c r="A101" t="s">
        <v>603</v>
      </c>
      <c r="B101" s="5" t="s">
        <v>603</v>
      </c>
      <c r="E101" s="5" t="s">
        <v>603</v>
      </c>
    </row>
    <row r="102" spans="1:5" x14ac:dyDescent="0.25">
      <c r="A102" t="s">
        <v>28</v>
      </c>
      <c r="B102" s="4" t="s">
        <v>28</v>
      </c>
      <c r="E102" s="4" t="s">
        <v>28</v>
      </c>
    </row>
    <row r="103" spans="1:5" x14ac:dyDescent="0.25">
      <c r="B103" t="s">
        <v>204</v>
      </c>
      <c r="E103" t="s">
        <v>204</v>
      </c>
    </row>
    <row r="104" spans="1:5" x14ac:dyDescent="0.25">
      <c r="A104" t="s">
        <v>368</v>
      </c>
      <c r="B104" t="s">
        <v>368</v>
      </c>
      <c r="E104" t="s">
        <v>368</v>
      </c>
    </row>
    <row r="105" spans="1:5" x14ac:dyDescent="0.25">
      <c r="A105" t="s">
        <v>351</v>
      </c>
      <c r="B105" t="s">
        <v>351</v>
      </c>
      <c r="E105" t="s">
        <v>351</v>
      </c>
    </row>
    <row r="106" spans="1:5" x14ac:dyDescent="0.25">
      <c r="A106" t="s">
        <v>191</v>
      </c>
      <c r="B106" t="s">
        <v>191</v>
      </c>
      <c r="E106" t="s">
        <v>191</v>
      </c>
    </row>
    <row r="107" spans="1:5" x14ac:dyDescent="0.25">
      <c r="A107" t="s">
        <v>607</v>
      </c>
      <c r="B107" t="s">
        <v>607</v>
      </c>
      <c r="E107" t="s">
        <v>607</v>
      </c>
    </row>
    <row r="108" spans="1:5" x14ac:dyDescent="0.25">
      <c r="A108" t="s">
        <v>194</v>
      </c>
      <c r="B108" t="s">
        <v>194</v>
      </c>
      <c r="E108" t="s">
        <v>194</v>
      </c>
    </row>
    <row r="109" spans="1:5" x14ac:dyDescent="0.25">
      <c r="B109" t="s">
        <v>398</v>
      </c>
      <c r="E109" t="s">
        <v>398</v>
      </c>
    </row>
    <row r="110" spans="1:5" x14ac:dyDescent="0.25">
      <c r="A110" t="s">
        <v>361</v>
      </c>
      <c r="B110" t="s">
        <v>361</v>
      </c>
      <c r="E110" t="s">
        <v>361</v>
      </c>
    </row>
    <row r="111" spans="1:5" x14ac:dyDescent="0.25">
      <c r="A111" t="s">
        <v>214</v>
      </c>
      <c r="B111" t="s">
        <v>214</v>
      </c>
      <c r="E111" t="s">
        <v>214</v>
      </c>
    </row>
    <row r="112" spans="1:5" x14ac:dyDescent="0.25">
      <c r="A112" t="s">
        <v>1108</v>
      </c>
      <c r="B112" t="s">
        <v>1108</v>
      </c>
    </row>
    <row r="113" spans="1:5" x14ac:dyDescent="0.25">
      <c r="A113" t="s">
        <v>443</v>
      </c>
      <c r="B113" t="s">
        <v>443</v>
      </c>
      <c r="E113" t="s">
        <v>443</v>
      </c>
    </row>
    <row r="114" spans="1:5" x14ac:dyDescent="0.25">
      <c r="B114" t="s">
        <v>473</v>
      </c>
      <c r="E114" t="s">
        <v>473</v>
      </c>
    </row>
    <row r="115" spans="1:5" x14ac:dyDescent="0.25">
      <c r="A115" t="s">
        <v>241</v>
      </c>
      <c r="B115" t="s">
        <v>241</v>
      </c>
      <c r="E115" t="s">
        <v>241</v>
      </c>
    </row>
    <row r="116" spans="1:5" x14ac:dyDescent="0.25">
      <c r="A116" t="s">
        <v>1038</v>
      </c>
      <c r="B116" t="s">
        <v>1038</v>
      </c>
    </row>
    <row r="117" spans="1:5" x14ac:dyDescent="0.25">
      <c r="A117" t="s">
        <v>123</v>
      </c>
      <c r="B117" t="s">
        <v>123</v>
      </c>
      <c r="E117" t="s">
        <v>123</v>
      </c>
    </row>
    <row r="118" spans="1:5" x14ac:dyDescent="0.25">
      <c r="A118" t="s">
        <v>111</v>
      </c>
      <c r="B118" t="s">
        <v>111</v>
      </c>
      <c r="E118" t="s">
        <v>111</v>
      </c>
    </row>
    <row r="119" spans="1:5" x14ac:dyDescent="0.25">
      <c r="A119" t="s">
        <v>124</v>
      </c>
      <c r="B119" t="s">
        <v>124</v>
      </c>
      <c r="E119" t="s">
        <v>124</v>
      </c>
    </row>
    <row r="120" spans="1:5" x14ac:dyDescent="0.25">
      <c r="A120" t="s">
        <v>185</v>
      </c>
      <c r="B120" t="s">
        <v>185</v>
      </c>
      <c r="E120" t="s">
        <v>185</v>
      </c>
    </row>
    <row r="121" spans="1:5" x14ac:dyDescent="0.25">
      <c r="A121" t="s">
        <v>358</v>
      </c>
      <c r="B121" t="s">
        <v>358</v>
      </c>
      <c r="E121" t="s">
        <v>358</v>
      </c>
    </row>
    <row r="122" spans="1:5" x14ac:dyDescent="0.25">
      <c r="A122" t="s">
        <v>159</v>
      </c>
      <c r="B122" t="s">
        <v>159</v>
      </c>
      <c r="E122" t="s">
        <v>159</v>
      </c>
    </row>
    <row r="123" spans="1:5" x14ac:dyDescent="0.25">
      <c r="A123" t="s">
        <v>180</v>
      </c>
      <c r="B123" t="s">
        <v>180</v>
      </c>
      <c r="E123" t="s">
        <v>180</v>
      </c>
    </row>
    <row r="124" spans="1:5" x14ac:dyDescent="0.25">
      <c r="A124" t="s">
        <v>930</v>
      </c>
      <c r="B124" t="s">
        <v>930</v>
      </c>
    </row>
    <row r="125" spans="1:5" x14ac:dyDescent="0.25">
      <c r="A125" t="s">
        <v>352</v>
      </c>
      <c r="B125" t="s">
        <v>352</v>
      </c>
      <c r="E125" t="s">
        <v>352</v>
      </c>
    </row>
    <row r="126" spans="1:5" x14ac:dyDescent="0.25">
      <c r="B126" t="s">
        <v>399</v>
      </c>
      <c r="E126" t="s">
        <v>399</v>
      </c>
    </row>
    <row r="127" spans="1:5" x14ac:dyDescent="0.25">
      <c r="B127" t="s">
        <v>146</v>
      </c>
      <c r="E127" t="s">
        <v>146</v>
      </c>
    </row>
    <row r="128" spans="1:5" x14ac:dyDescent="0.25">
      <c r="A128" t="s">
        <v>340</v>
      </c>
      <c r="B128" t="s">
        <v>340</v>
      </c>
      <c r="E128" t="s">
        <v>340</v>
      </c>
    </row>
    <row r="129" spans="1:5" x14ac:dyDescent="0.25">
      <c r="A129" t="s">
        <v>504</v>
      </c>
      <c r="B129" t="s">
        <v>504</v>
      </c>
    </row>
    <row r="130" spans="1:5" x14ac:dyDescent="0.25">
      <c r="A130" t="s">
        <v>1021</v>
      </c>
      <c r="B130" t="s">
        <v>137</v>
      </c>
      <c r="E130" t="s">
        <v>137</v>
      </c>
    </row>
    <row r="131" spans="1:5" x14ac:dyDescent="0.25">
      <c r="A131" t="s">
        <v>322</v>
      </c>
      <c r="B131" t="s">
        <v>322</v>
      </c>
      <c r="E131" t="s">
        <v>322</v>
      </c>
    </row>
    <row r="132" spans="1:5" x14ac:dyDescent="0.25">
      <c r="A132" t="s">
        <v>138</v>
      </c>
      <c r="B132" t="s">
        <v>138</v>
      </c>
      <c r="E132" t="s">
        <v>138</v>
      </c>
    </row>
    <row r="133" spans="1:5" x14ac:dyDescent="0.25">
      <c r="A133" t="s">
        <v>966</v>
      </c>
      <c r="B133" t="s">
        <v>966</v>
      </c>
      <c r="E133" t="s">
        <v>811</v>
      </c>
    </row>
    <row r="134" spans="1:5" x14ac:dyDescent="0.25">
      <c r="A134" t="s">
        <v>139</v>
      </c>
      <c r="B134" t="s">
        <v>139</v>
      </c>
      <c r="E134" t="s">
        <v>139</v>
      </c>
    </row>
    <row r="135" spans="1:5" x14ac:dyDescent="0.25">
      <c r="A135" t="s">
        <v>141</v>
      </c>
      <c r="B135" t="s">
        <v>141</v>
      </c>
      <c r="E135" t="s">
        <v>141</v>
      </c>
    </row>
    <row r="136" spans="1:5" x14ac:dyDescent="0.25">
      <c r="B136" t="s">
        <v>487</v>
      </c>
      <c r="E136" t="s">
        <v>487</v>
      </c>
    </row>
    <row r="137" spans="1:5" x14ac:dyDescent="0.25">
      <c r="A137" t="s">
        <v>520</v>
      </c>
      <c r="B137" t="s">
        <v>520</v>
      </c>
      <c r="E137" t="s">
        <v>520</v>
      </c>
    </row>
    <row r="138" spans="1:5" x14ac:dyDescent="0.25">
      <c r="B138" t="s">
        <v>208</v>
      </c>
      <c r="E138" t="s">
        <v>208</v>
      </c>
    </row>
    <row r="139" spans="1:5" x14ac:dyDescent="0.25">
      <c r="A139" t="s">
        <v>220</v>
      </c>
      <c r="B139" t="s">
        <v>220</v>
      </c>
      <c r="E139" t="s">
        <v>220</v>
      </c>
    </row>
    <row r="140" spans="1:5" x14ac:dyDescent="0.25">
      <c r="A140" t="s">
        <v>142</v>
      </c>
      <c r="B140" t="s">
        <v>142</v>
      </c>
      <c r="E140" t="s">
        <v>142</v>
      </c>
    </row>
    <row r="141" spans="1:5" x14ac:dyDescent="0.25">
      <c r="A141" t="s">
        <v>533</v>
      </c>
      <c r="B141" s="52" t="s">
        <v>533</v>
      </c>
      <c r="E141" t="s">
        <v>533</v>
      </c>
    </row>
    <row r="142" spans="1:5" x14ac:dyDescent="0.25">
      <c r="A142" t="s">
        <v>1085</v>
      </c>
      <c r="B142" t="s">
        <v>345</v>
      </c>
      <c r="E142" t="s">
        <v>345</v>
      </c>
    </row>
    <row r="143" spans="1:5" x14ac:dyDescent="0.25">
      <c r="B143" t="s">
        <v>254</v>
      </c>
      <c r="E143" t="s">
        <v>254</v>
      </c>
    </row>
    <row r="144" spans="1:5" x14ac:dyDescent="0.25">
      <c r="A144" t="s">
        <v>64</v>
      </c>
      <c r="B144" t="s">
        <v>64</v>
      </c>
      <c r="E144" t="s">
        <v>64</v>
      </c>
    </row>
    <row r="145" spans="1:5" x14ac:dyDescent="0.25">
      <c r="A145" t="s">
        <v>145</v>
      </c>
      <c r="B145" t="s">
        <v>145</v>
      </c>
      <c r="E145" t="s">
        <v>145</v>
      </c>
    </row>
    <row r="146" spans="1:5" x14ac:dyDescent="0.25">
      <c r="B146" s="3" t="s">
        <v>16</v>
      </c>
      <c r="E146" s="3" t="s">
        <v>16</v>
      </c>
    </row>
    <row r="147" spans="1:5" x14ac:dyDescent="0.25">
      <c r="A147" t="s">
        <v>373</v>
      </c>
      <c r="B147" t="s">
        <v>373</v>
      </c>
      <c r="E147" t="s">
        <v>373</v>
      </c>
    </row>
    <row r="148" spans="1:5" x14ac:dyDescent="0.25">
      <c r="A148" t="s">
        <v>134</v>
      </c>
      <c r="B148" t="s">
        <v>134</v>
      </c>
      <c r="E148" t="s">
        <v>134</v>
      </c>
    </row>
    <row r="149" spans="1:5" x14ac:dyDescent="0.25">
      <c r="B149" t="s">
        <v>131</v>
      </c>
      <c r="E149" t="s">
        <v>131</v>
      </c>
    </row>
    <row r="150" spans="1:5" x14ac:dyDescent="0.25">
      <c r="A150" t="s">
        <v>1142</v>
      </c>
      <c r="B150" t="s">
        <v>1142</v>
      </c>
    </row>
    <row r="151" spans="1:5" x14ac:dyDescent="0.25">
      <c r="A151" t="s">
        <v>875</v>
      </c>
      <c r="B151" t="s">
        <v>1142</v>
      </c>
      <c r="E151" t="s">
        <v>875</v>
      </c>
    </row>
    <row r="152" spans="1:5" x14ac:dyDescent="0.25">
      <c r="A152" t="s">
        <v>446</v>
      </c>
      <c r="B152" s="52" t="s">
        <v>446</v>
      </c>
      <c r="E152" t="s">
        <v>446</v>
      </c>
    </row>
    <row r="153" spans="1:5" x14ac:dyDescent="0.25">
      <c r="A153" t="s">
        <v>132</v>
      </c>
      <c r="B153" t="s">
        <v>132</v>
      </c>
      <c r="E153" t="s">
        <v>132</v>
      </c>
    </row>
    <row r="154" spans="1:5" x14ac:dyDescent="0.25">
      <c r="A154" t="s">
        <v>148</v>
      </c>
      <c r="B154" t="s">
        <v>148</v>
      </c>
      <c r="E154" t="s">
        <v>148</v>
      </c>
    </row>
    <row r="155" spans="1:5" x14ac:dyDescent="0.25">
      <c r="A155" t="s">
        <v>400</v>
      </c>
      <c r="B155" s="4" t="s">
        <v>400</v>
      </c>
      <c r="E155" s="4" t="s">
        <v>400</v>
      </c>
    </row>
    <row r="156" spans="1:5" x14ac:dyDescent="0.25">
      <c r="A156" t="s">
        <v>629</v>
      </c>
      <c r="B156" t="s">
        <v>116</v>
      </c>
      <c r="E156" t="s">
        <v>629</v>
      </c>
    </row>
    <row r="157" spans="1:5" x14ac:dyDescent="0.25">
      <c r="B157" t="s">
        <v>325</v>
      </c>
      <c r="E157" t="s">
        <v>325</v>
      </c>
    </row>
    <row r="158" spans="1:5" x14ac:dyDescent="0.25">
      <c r="A158" t="s">
        <v>349</v>
      </c>
      <c r="B158" t="s">
        <v>349</v>
      </c>
      <c r="E158" t="s">
        <v>349</v>
      </c>
    </row>
    <row r="159" spans="1:5" x14ac:dyDescent="0.25">
      <c r="A159" t="s">
        <v>18</v>
      </c>
      <c r="B159" t="s">
        <v>18</v>
      </c>
      <c r="E159" t="s">
        <v>18</v>
      </c>
    </row>
    <row r="160" spans="1:5" x14ac:dyDescent="0.25">
      <c r="A160" t="s">
        <v>181</v>
      </c>
      <c r="B160" t="s">
        <v>181</v>
      </c>
      <c r="E160" t="s">
        <v>181</v>
      </c>
    </row>
    <row r="161" spans="1:5" x14ac:dyDescent="0.25">
      <c r="B161" t="s">
        <v>231</v>
      </c>
      <c r="E161" t="s">
        <v>231</v>
      </c>
    </row>
    <row r="162" spans="1:5" x14ac:dyDescent="0.25">
      <c r="B162" t="s">
        <v>401</v>
      </c>
      <c r="E162" t="s">
        <v>401</v>
      </c>
    </row>
    <row r="163" spans="1:5" x14ac:dyDescent="0.25">
      <c r="B163" t="s">
        <v>488</v>
      </c>
      <c r="E163" t="s">
        <v>488</v>
      </c>
    </row>
    <row r="164" spans="1:5" x14ac:dyDescent="0.25">
      <c r="A164" t="s">
        <v>117</v>
      </c>
      <c r="B164" t="s">
        <v>117</v>
      </c>
      <c r="E164" t="s">
        <v>117</v>
      </c>
    </row>
    <row r="165" spans="1:5" x14ac:dyDescent="0.25">
      <c r="A165" t="s">
        <v>215</v>
      </c>
      <c r="B165" t="s">
        <v>215</v>
      </c>
      <c r="E165" t="s">
        <v>215</v>
      </c>
    </row>
    <row r="166" spans="1:5" x14ac:dyDescent="0.25">
      <c r="A166" t="s">
        <v>379</v>
      </c>
      <c r="B166" t="s">
        <v>379</v>
      </c>
      <c r="E166" t="s">
        <v>379</v>
      </c>
    </row>
    <row r="167" spans="1:5" x14ac:dyDescent="0.25">
      <c r="A167" t="s">
        <v>631</v>
      </c>
      <c r="B167" t="s">
        <v>631</v>
      </c>
      <c r="E167" t="s">
        <v>631</v>
      </c>
    </row>
    <row r="168" spans="1:5" x14ac:dyDescent="0.25">
      <c r="A168" t="s">
        <v>385</v>
      </c>
      <c r="B168" s="4" t="s">
        <v>385</v>
      </c>
      <c r="E168" s="4" t="s">
        <v>385</v>
      </c>
    </row>
    <row r="169" spans="1:5" x14ac:dyDescent="0.25">
      <c r="A169" t="s">
        <v>386</v>
      </c>
      <c r="B169" s="4" t="s">
        <v>386</v>
      </c>
      <c r="E169" s="4" t="s">
        <v>386</v>
      </c>
    </row>
    <row r="170" spans="1:5" x14ac:dyDescent="0.25">
      <c r="A170" t="s">
        <v>387</v>
      </c>
      <c r="B170" s="4" t="s">
        <v>387</v>
      </c>
      <c r="E170" s="4" t="s">
        <v>387</v>
      </c>
    </row>
    <row r="171" spans="1:5" x14ac:dyDescent="0.25">
      <c r="A171" t="s">
        <v>772</v>
      </c>
      <c r="B171" s="4" t="s">
        <v>772</v>
      </c>
      <c r="E171" s="4" t="s">
        <v>772</v>
      </c>
    </row>
    <row r="172" spans="1:5" x14ac:dyDescent="0.25">
      <c r="B172" t="s">
        <v>65</v>
      </c>
      <c r="E172" t="s">
        <v>65</v>
      </c>
    </row>
    <row r="173" spans="1:5" x14ac:dyDescent="0.25">
      <c r="B173" s="4" t="s">
        <v>474</v>
      </c>
      <c r="E173" s="4" t="s">
        <v>474</v>
      </c>
    </row>
    <row r="174" spans="1:5" x14ac:dyDescent="0.25">
      <c r="B174" t="s">
        <v>103</v>
      </c>
      <c r="E174" t="s">
        <v>103</v>
      </c>
    </row>
    <row r="175" spans="1:5" x14ac:dyDescent="0.25">
      <c r="A175" t="s">
        <v>125</v>
      </c>
      <c r="B175" t="s">
        <v>125</v>
      </c>
      <c r="E175" t="s">
        <v>125</v>
      </c>
    </row>
    <row r="176" spans="1:5" x14ac:dyDescent="0.25">
      <c r="A176" t="s">
        <v>140</v>
      </c>
      <c r="B176" t="s">
        <v>140</v>
      </c>
      <c r="E176" t="s">
        <v>140</v>
      </c>
    </row>
    <row r="177" spans="1:5" x14ac:dyDescent="0.25">
      <c r="A177" t="s">
        <v>150</v>
      </c>
      <c r="B177" t="s">
        <v>150</v>
      </c>
      <c r="E177" t="s">
        <v>150</v>
      </c>
    </row>
    <row r="178" spans="1:5" x14ac:dyDescent="0.25">
      <c r="A178" t="s">
        <v>151</v>
      </c>
      <c r="B178" t="s">
        <v>151</v>
      </c>
      <c r="E178" t="s">
        <v>151</v>
      </c>
    </row>
    <row r="179" spans="1:5" x14ac:dyDescent="0.25">
      <c r="A179" t="s">
        <v>153</v>
      </c>
      <c r="B179" t="s">
        <v>153</v>
      </c>
      <c r="E179" t="s">
        <v>153</v>
      </c>
    </row>
    <row r="180" spans="1:5" x14ac:dyDescent="0.25">
      <c r="A180" t="s">
        <v>1136</v>
      </c>
      <c r="B180" t="s">
        <v>1064</v>
      </c>
      <c r="E180" t="s">
        <v>89</v>
      </c>
    </row>
    <row r="181" spans="1:5" x14ac:dyDescent="0.25">
      <c r="A181" t="s">
        <v>242</v>
      </c>
      <c r="B181" t="s">
        <v>242</v>
      </c>
      <c r="E181" t="s">
        <v>242</v>
      </c>
    </row>
    <row r="182" spans="1:5" x14ac:dyDescent="0.25">
      <c r="A182" t="s">
        <v>326</v>
      </c>
      <c r="B182" t="s">
        <v>326</v>
      </c>
      <c r="E182" t="s">
        <v>326</v>
      </c>
    </row>
    <row r="183" spans="1:5" x14ac:dyDescent="0.25">
      <c r="A183" t="s">
        <v>243</v>
      </c>
      <c r="B183" t="s">
        <v>243</v>
      </c>
      <c r="E183" t="s">
        <v>243</v>
      </c>
    </row>
    <row r="184" spans="1:5" x14ac:dyDescent="0.25">
      <c r="A184" t="s">
        <v>489</v>
      </c>
      <c r="B184" t="s">
        <v>489</v>
      </c>
      <c r="E184" t="s">
        <v>489</v>
      </c>
    </row>
    <row r="185" spans="1:5" x14ac:dyDescent="0.25">
      <c r="B185" t="s">
        <v>289</v>
      </c>
      <c r="E185" t="s">
        <v>289</v>
      </c>
    </row>
    <row r="186" spans="1:5" x14ac:dyDescent="0.25">
      <c r="A186" t="s">
        <v>92</v>
      </c>
      <c r="B186" t="s">
        <v>92</v>
      </c>
      <c r="E186" t="s">
        <v>92</v>
      </c>
    </row>
    <row r="187" spans="1:5" x14ac:dyDescent="0.25">
      <c r="A187" t="s">
        <v>365</v>
      </c>
      <c r="B187" t="s">
        <v>365</v>
      </c>
      <c r="E187" t="s">
        <v>365</v>
      </c>
    </row>
    <row r="188" spans="1:5" x14ac:dyDescent="0.25">
      <c r="A188" t="s">
        <v>37</v>
      </c>
      <c r="B188" t="s">
        <v>37</v>
      </c>
      <c r="E188" t="s">
        <v>37</v>
      </c>
    </row>
    <row r="189" spans="1:5" x14ac:dyDescent="0.25">
      <c r="A189" t="s">
        <v>154</v>
      </c>
      <c r="B189" t="s">
        <v>154</v>
      </c>
      <c r="E189" t="s">
        <v>154</v>
      </c>
    </row>
    <row r="190" spans="1:5" x14ac:dyDescent="0.25">
      <c r="B190" s="52" t="s">
        <v>638</v>
      </c>
      <c r="E190" t="s">
        <v>638</v>
      </c>
    </row>
    <row r="191" spans="1:5" x14ac:dyDescent="0.25">
      <c r="B191" t="s">
        <v>47</v>
      </c>
      <c r="E191" t="s">
        <v>47</v>
      </c>
    </row>
    <row r="192" spans="1:5" x14ac:dyDescent="0.25">
      <c r="A192" t="s">
        <v>640</v>
      </c>
      <c r="B192" t="s">
        <v>640</v>
      </c>
      <c r="E192" t="s">
        <v>640</v>
      </c>
    </row>
    <row r="193" spans="1:5" x14ac:dyDescent="0.25">
      <c r="B193" t="s">
        <v>475</v>
      </c>
      <c r="E193" t="s">
        <v>475</v>
      </c>
    </row>
    <row r="194" spans="1:5" x14ac:dyDescent="0.25">
      <c r="A194" t="s">
        <v>1128</v>
      </c>
      <c r="B194" t="s">
        <v>1104</v>
      </c>
    </row>
    <row r="195" spans="1:5" x14ac:dyDescent="0.25">
      <c r="A195" t="s">
        <v>66</v>
      </c>
      <c r="B195" t="s">
        <v>66</v>
      </c>
      <c r="E195" t="s">
        <v>66</v>
      </c>
    </row>
    <row r="196" spans="1:5" x14ac:dyDescent="0.25">
      <c r="A196" t="s">
        <v>312</v>
      </c>
      <c r="B196" t="s">
        <v>312</v>
      </c>
      <c r="E196" t="s">
        <v>312</v>
      </c>
    </row>
    <row r="197" spans="1:5" x14ac:dyDescent="0.25">
      <c r="B197" t="s">
        <v>476</v>
      </c>
      <c r="E197" t="s">
        <v>476</v>
      </c>
    </row>
    <row r="198" spans="1:5" x14ac:dyDescent="0.25">
      <c r="A198" t="s">
        <v>195</v>
      </c>
      <c r="B198" t="s">
        <v>195</v>
      </c>
      <c r="E198" t="s">
        <v>195</v>
      </c>
    </row>
    <row r="199" spans="1:5" x14ac:dyDescent="0.25">
      <c r="A199" t="s">
        <v>160</v>
      </c>
      <c r="B199" t="s">
        <v>160</v>
      </c>
      <c r="E199" t="s">
        <v>160</v>
      </c>
    </row>
    <row r="200" spans="1:5" x14ac:dyDescent="0.25">
      <c r="A200" t="s">
        <v>267</v>
      </c>
      <c r="B200" t="s">
        <v>267</v>
      </c>
      <c r="E200" t="s">
        <v>267</v>
      </c>
    </row>
    <row r="201" spans="1:5" x14ac:dyDescent="0.25">
      <c r="A201" t="s">
        <v>346</v>
      </c>
      <c r="B201" t="s">
        <v>346</v>
      </c>
      <c r="E201" t="s">
        <v>346</v>
      </c>
    </row>
    <row r="202" spans="1:5" x14ac:dyDescent="0.25">
      <c r="B202" t="s">
        <v>251</v>
      </c>
      <c r="E202" t="s">
        <v>251</v>
      </c>
    </row>
    <row r="203" spans="1:5" x14ac:dyDescent="0.25">
      <c r="A203" t="s">
        <v>162</v>
      </c>
      <c r="B203" t="s">
        <v>162</v>
      </c>
      <c r="E203" t="s">
        <v>162</v>
      </c>
    </row>
    <row r="204" spans="1:5" x14ac:dyDescent="0.25">
      <c r="B204" t="s">
        <v>67</v>
      </c>
      <c r="E204" t="s">
        <v>67</v>
      </c>
    </row>
    <row r="205" spans="1:5" x14ac:dyDescent="0.25">
      <c r="A205" t="s">
        <v>237</v>
      </c>
      <c r="B205" t="s">
        <v>237</v>
      </c>
      <c r="E205" t="s">
        <v>237</v>
      </c>
    </row>
    <row r="206" spans="1:5" x14ac:dyDescent="0.25">
      <c r="A206" t="s">
        <v>164</v>
      </c>
      <c r="B206" t="s">
        <v>164</v>
      </c>
      <c r="E206" t="s">
        <v>164</v>
      </c>
    </row>
    <row r="207" spans="1:5" x14ac:dyDescent="0.25">
      <c r="A207" t="s">
        <v>165</v>
      </c>
      <c r="B207" t="s">
        <v>165</v>
      </c>
      <c r="E207" t="s">
        <v>165</v>
      </c>
    </row>
    <row r="208" spans="1:5" x14ac:dyDescent="0.25">
      <c r="A208" t="s">
        <v>0</v>
      </c>
      <c r="B208" t="s">
        <v>0</v>
      </c>
      <c r="E208" t="s">
        <v>0</v>
      </c>
    </row>
    <row r="209" spans="1:5" x14ac:dyDescent="0.25">
      <c r="A209" t="s">
        <v>166</v>
      </c>
      <c r="B209" t="s">
        <v>166</v>
      </c>
      <c r="E209" t="s">
        <v>166</v>
      </c>
    </row>
    <row r="210" spans="1:5" x14ac:dyDescent="0.25">
      <c r="A210" t="s">
        <v>168</v>
      </c>
      <c r="B210" t="s">
        <v>168</v>
      </c>
      <c r="E210" s="46" t="s">
        <v>168</v>
      </c>
    </row>
    <row r="211" spans="1:5" x14ac:dyDescent="0.25">
      <c r="A211" t="s">
        <v>170</v>
      </c>
      <c r="B211" t="s">
        <v>170</v>
      </c>
      <c r="E211" t="s">
        <v>170</v>
      </c>
    </row>
    <row r="212" spans="1:5" x14ac:dyDescent="0.25">
      <c r="A212" t="s">
        <v>22</v>
      </c>
      <c r="B212" t="s">
        <v>22</v>
      </c>
      <c r="E212" t="s">
        <v>22</v>
      </c>
    </row>
    <row r="213" spans="1:5" x14ac:dyDescent="0.25">
      <c r="B213" t="s">
        <v>203</v>
      </c>
      <c r="E213" t="s">
        <v>203</v>
      </c>
    </row>
    <row r="214" spans="1:5" x14ac:dyDescent="0.25">
      <c r="A214" t="s">
        <v>390</v>
      </c>
      <c r="B214" t="s">
        <v>390</v>
      </c>
      <c r="E214" t="s">
        <v>390</v>
      </c>
    </row>
    <row r="215" spans="1:5" x14ac:dyDescent="0.25">
      <c r="A215" t="s">
        <v>307</v>
      </c>
      <c r="B215" t="s">
        <v>307</v>
      </c>
      <c r="E215" t="s">
        <v>307</v>
      </c>
    </row>
    <row r="216" spans="1:5" x14ac:dyDescent="0.25">
      <c r="A216" t="s">
        <v>135</v>
      </c>
      <c r="B216" t="s">
        <v>135</v>
      </c>
      <c r="E216" t="s">
        <v>135</v>
      </c>
    </row>
    <row r="217" spans="1:5" x14ac:dyDescent="0.25">
      <c r="A217" t="s">
        <v>788</v>
      </c>
      <c r="B217" s="47" t="s">
        <v>788</v>
      </c>
      <c r="E217" t="s">
        <v>788</v>
      </c>
    </row>
    <row r="218" spans="1:5" x14ac:dyDescent="0.25">
      <c r="A218" t="s">
        <v>1098</v>
      </c>
      <c r="B218" t="s">
        <v>341</v>
      </c>
      <c r="E218" t="s">
        <v>341</v>
      </c>
    </row>
    <row r="219" spans="1:5" x14ac:dyDescent="0.25">
      <c r="B219" t="s">
        <v>402</v>
      </c>
      <c r="E219" t="s">
        <v>402</v>
      </c>
    </row>
    <row r="220" spans="1:5" x14ac:dyDescent="0.25">
      <c r="A220" t="s">
        <v>175</v>
      </c>
      <c r="B220" t="s">
        <v>175</v>
      </c>
      <c r="E220" t="s">
        <v>175</v>
      </c>
    </row>
    <row r="221" spans="1:5" x14ac:dyDescent="0.25">
      <c r="A221" t="s">
        <v>126</v>
      </c>
      <c r="B221" t="s">
        <v>126</v>
      </c>
      <c r="E221" t="s">
        <v>126</v>
      </c>
    </row>
    <row r="222" spans="1:5" x14ac:dyDescent="0.25">
      <c r="B222" t="s">
        <v>290</v>
      </c>
      <c r="E222" t="s">
        <v>290</v>
      </c>
    </row>
    <row r="223" spans="1:5" x14ac:dyDescent="0.25">
      <c r="A223" t="s">
        <v>211</v>
      </c>
      <c r="B223" t="s">
        <v>211</v>
      </c>
      <c r="E223" t="s">
        <v>211</v>
      </c>
    </row>
    <row r="224" spans="1:5" x14ac:dyDescent="0.25">
      <c r="A224" t="s">
        <v>34</v>
      </c>
      <c r="B224" t="s">
        <v>34</v>
      </c>
      <c r="E224" t="s">
        <v>34</v>
      </c>
    </row>
    <row r="225" spans="1:5" x14ac:dyDescent="0.25">
      <c r="B225" t="s">
        <v>268</v>
      </c>
      <c r="E225" t="s">
        <v>268</v>
      </c>
    </row>
    <row r="226" spans="1:5" x14ac:dyDescent="0.25">
      <c r="A226" t="s">
        <v>654</v>
      </c>
      <c r="B226" t="s">
        <v>172</v>
      </c>
      <c r="E226" t="s">
        <v>172</v>
      </c>
    </row>
    <row r="227" spans="1:5" x14ac:dyDescent="0.25">
      <c r="A227" t="s">
        <v>801</v>
      </c>
      <c r="B227" t="s">
        <v>801</v>
      </c>
      <c r="E227" t="s">
        <v>801</v>
      </c>
    </row>
    <row r="228" spans="1:5" x14ac:dyDescent="0.25">
      <c r="A228" t="s">
        <v>155</v>
      </c>
      <c r="B228" t="s">
        <v>155</v>
      </c>
      <c r="E228" t="s">
        <v>155</v>
      </c>
    </row>
    <row r="229" spans="1:5" x14ac:dyDescent="0.25">
      <c r="A229" t="s">
        <v>283</v>
      </c>
      <c r="B229" t="s">
        <v>283</v>
      </c>
      <c r="E229" t="s">
        <v>283</v>
      </c>
    </row>
    <row r="230" spans="1:5" x14ac:dyDescent="0.25">
      <c r="B230" t="s">
        <v>477</v>
      </c>
      <c r="E230" t="s">
        <v>477</v>
      </c>
    </row>
    <row r="231" spans="1:5" x14ac:dyDescent="0.25">
      <c r="A231" t="s">
        <v>68</v>
      </c>
      <c r="B231" t="s">
        <v>68</v>
      </c>
      <c r="E231" t="s">
        <v>68</v>
      </c>
    </row>
    <row r="232" spans="1:5" ht="15.75" customHeight="1" x14ac:dyDescent="0.25">
      <c r="A232" t="s">
        <v>209</v>
      </c>
      <c r="B232" t="s">
        <v>209</v>
      </c>
      <c r="E232" t="s">
        <v>209</v>
      </c>
    </row>
    <row r="233" spans="1:5" ht="15.75" customHeight="1" x14ac:dyDescent="0.25">
      <c r="A233" t="s">
        <v>1139</v>
      </c>
      <c r="B233" t="s">
        <v>1139</v>
      </c>
    </row>
    <row r="234" spans="1:5" x14ac:dyDescent="0.25">
      <c r="A234" t="s">
        <v>173</v>
      </c>
      <c r="B234" t="s">
        <v>173</v>
      </c>
      <c r="E234" t="s">
        <v>173</v>
      </c>
    </row>
    <row r="235" spans="1:5" x14ac:dyDescent="0.25">
      <c r="B235" t="s">
        <v>656</v>
      </c>
      <c r="E235" t="s">
        <v>656</v>
      </c>
    </row>
    <row r="236" spans="1:5" x14ac:dyDescent="0.25">
      <c r="A236" t="s">
        <v>104</v>
      </c>
      <c r="B236" t="s">
        <v>104</v>
      </c>
      <c r="E236" t="s">
        <v>104</v>
      </c>
    </row>
    <row r="237" spans="1:5" x14ac:dyDescent="0.25">
      <c r="A237" t="s">
        <v>291</v>
      </c>
      <c r="B237" t="s">
        <v>291</v>
      </c>
      <c r="E237" t="s">
        <v>291</v>
      </c>
    </row>
    <row r="238" spans="1:5" x14ac:dyDescent="0.25">
      <c r="A238" t="s">
        <v>182</v>
      </c>
      <c r="B238" t="s">
        <v>182</v>
      </c>
      <c r="E238" t="s">
        <v>182</v>
      </c>
    </row>
    <row r="239" spans="1:5" x14ac:dyDescent="0.25">
      <c r="B239" t="s">
        <v>478</v>
      </c>
      <c r="E239" t="s">
        <v>478</v>
      </c>
    </row>
    <row r="240" spans="1:5" x14ac:dyDescent="0.25">
      <c r="A240" t="s">
        <v>269</v>
      </c>
      <c r="B240" t="s">
        <v>269</v>
      </c>
      <c r="E240" t="s">
        <v>269</v>
      </c>
    </row>
    <row r="241" spans="1:5" x14ac:dyDescent="0.25">
      <c r="B241" t="s">
        <v>32</v>
      </c>
      <c r="E241" t="s">
        <v>32</v>
      </c>
    </row>
    <row r="242" spans="1:5" x14ac:dyDescent="0.25">
      <c r="B242" t="s">
        <v>174</v>
      </c>
      <c r="E242" t="s">
        <v>174</v>
      </c>
    </row>
    <row r="243" spans="1:5" x14ac:dyDescent="0.25">
      <c r="A243" t="s">
        <v>86</v>
      </c>
      <c r="B243" t="s">
        <v>86</v>
      </c>
      <c r="E243" t="s">
        <v>86</v>
      </c>
    </row>
    <row r="244" spans="1:5" x14ac:dyDescent="0.25">
      <c r="A244" t="s">
        <v>76</v>
      </c>
      <c r="B244" t="s">
        <v>76</v>
      </c>
      <c r="E244" t="s">
        <v>76</v>
      </c>
    </row>
    <row r="245" spans="1:5" x14ac:dyDescent="0.25">
      <c r="A245" t="s">
        <v>176</v>
      </c>
      <c r="B245" s="46" t="s">
        <v>176</v>
      </c>
      <c r="E245" t="s">
        <v>176</v>
      </c>
    </row>
    <row r="246" spans="1:5" x14ac:dyDescent="0.25">
      <c r="A246" t="s">
        <v>83</v>
      </c>
      <c r="B246" t="s">
        <v>83</v>
      </c>
      <c r="E246" t="s">
        <v>83</v>
      </c>
    </row>
    <row r="247" spans="1:5" x14ac:dyDescent="0.25">
      <c r="A247" t="s">
        <v>184</v>
      </c>
      <c r="B247" t="s">
        <v>184</v>
      </c>
      <c r="E247" t="s">
        <v>184</v>
      </c>
    </row>
    <row r="248" spans="1:5" x14ac:dyDescent="0.25">
      <c r="A248" t="s">
        <v>38</v>
      </c>
      <c r="B248" t="s">
        <v>38</v>
      </c>
      <c r="E248" t="s">
        <v>38</v>
      </c>
    </row>
    <row r="249" spans="1:5" x14ac:dyDescent="0.25">
      <c r="A249" t="s">
        <v>957</v>
      </c>
      <c r="B249" t="s">
        <v>957</v>
      </c>
    </row>
    <row r="250" spans="1:5" x14ac:dyDescent="0.25">
      <c r="A250" t="s">
        <v>186</v>
      </c>
      <c r="B250" t="s">
        <v>186</v>
      </c>
      <c r="E250" t="s">
        <v>186</v>
      </c>
    </row>
    <row r="251" spans="1:5" x14ac:dyDescent="0.25">
      <c r="A251" t="s">
        <v>270</v>
      </c>
      <c r="B251" t="s">
        <v>270</v>
      </c>
      <c r="E251" t="s">
        <v>270</v>
      </c>
    </row>
    <row r="252" spans="1:5" x14ac:dyDescent="0.25">
      <c r="B252" t="s">
        <v>292</v>
      </c>
      <c r="E252" t="s">
        <v>292</v>
      </c>
    </row>
    <row r="253" spans="1:5" x14ac:dyDescent="0.25">
      <c r="A253" t="s">
        <v>490</v>
      </c>
      <c r="B253" t="s">
        <v>490</v>
      </c>
      <c r="E253" t="s">
        <v>490</v>
      </c>
    </row>
    <row r="254" spans="1:5" x14ac:dyDescent="0.25">
      <c r="B254" t="s">
        <v>403</v>
      </c>
      <c r="E254" t="s">
        <v>403</v>
      </c>
    </row>
    <row r="255" spans="1:5" x14ac:dyDescent="0.25">
      <c r="A255" t="s">
        <v>188</v>
      </c>
      <c r="B255" t="s">
        <v>188</v>
      </c>
      <c r="E255" t="s">
        <v>188</v>
      </c>
    </row>
    <row r="256" spans="1:5" x14ac:dyDescent="0.25">
      <c r="A256" t="s">
        <v>1023</v>
      </c>
      <c r="B256" t="s">
        <v>189</v>
      </c>
      <c r="E256" t="s">
        <v>189</v>
      </c>
    </row>
    <row r="257" spans="1:5" x14ac:dyDescent="0.25">
      <c r="A257" t="s">
        <v>189</v>
      </c>
      <c r="B257" t="s">
        <v>189</v>
      </c>
    </row>
    <row r="258" spans="1:5" x14ac:dyDescent="0.25">
      <c r="A258" t="s">
        <v>190</v>
      </c>
      <c r="B258" t="s">
        <v>190</v>
      </c>
      <c r="E258" t="s">
        <v>190</v>
      </c>
    </row>
    <row r="259" spans="1:5" x14ac:dyDescent="0.25">
      <c r="A259" t="s">
        <v>308</v>
      </c>
      <c r="B259" t="s">
        <v>308</v>
      </c>
      <c r="E259" t="s">
        <v>308</v>
      </c>
    </row>
    <row r="260" spans="1:5" x14ac:dyDescent="0.25">
      <c r="B260" t="s">
        <v>369</v>
      </c>
      <c r="E260" t="s">
        <v>369</v>
      </c>
    </row>
    <row r="261" spans="1:5" x14ac:dyDescent="0.25">
      <c r="A261" t="s">
        <v>78</v>
      </c>
      <c r="B261" t="s">
        <v>78</v>
      </c>
      <c r="E261" t="s">
        <v>78</v>
      </c>
    </row>
    <row r="262" spans="1:5" x14ac:dyDescent="0.25">
      <c r="B262" t="s">
        <v>381</v>
      </c>
      <c r="E262" t="s">
        <v>381</v>
      </c>
    </row>
    <row r="263" spans="1:5" x14ac:dyDescent="0.25">
      <c r="A263" t="s">
        <v>404</v>
      </c>
      <c r="B263" s="4" t="s">
        <v>404</v>
      </c>
      <c r="E263" s="4" t="s">
        <v>404</v>
      </c>
    </row>
    <row r="264" spans="1:5" x14ac:dyDescent="0.25">
      <c r="A264" t="s">
        <v>193</v>
      </c>
      <c r="B264" t="s">
        <v>193</v>
      </c>
      <c r="E264" t="s">
        <v>193</v>
      </c>
    </row>
    <row r="265" spans="1:5" x14ac:dyDescent="0.25">
      <c r="B265" t="s">
        <v>479</v>
      </c>
      <c r="E265" t="s">
        <v>479</v>
      </c>
    </row>
    <row r="266" spans="1:5" x14ac:dyDescent="0.25">
      <c r="A266" t="s">
        <v>302</v>
      </c>
      <c r="B266" t="s">
        <v>302</v>
      </c>
      <c r="E266" t="s">
        <v>302</v>
      </c>
    </row>
    <row r="267" spans="1:5" x14ac:dyDescent="0.25">
      <c r="B267" t="s">
        <v>293</v>
      </c>
      <c r="E267" t="s">
        <v>293</v>
      </c>
    </row>
    <row r="268" spans="1:5" x14ac:dyDescent="0.25">
      <c r="A268" t="s">
        <v>359</v>
      </c>
      <c r="B268" t="s">
        <v>359</v>
      </c>
      <c r="E268" t="s">
        <v>359</v>
      </c>
    </row>
    <row r="269" spans="1:5" x14ac:dyDescent="0.25">
      <c r="A269" t="s">
        <v>196</v>
      </c>
      <c r="B269" t="s">
        <v>196</v>
      </c>
      <c r="E269" t="s">
        <v>196</v>
      </c>
    </row>
    <row r="270" spans="1:5" x14ac:dyDescent="0.25">
      <c r="B270" t="s">
        <v>388</v>
      </c>
      <c r="E270" t="s">
        <v>388</v>
      </c>
    </row>
    <row r="271" spans="1:5" x14ac:dyDescent="0.25">
      <c r="A271" t="s">
        <v>259</v>
      </c>
      <c r="B271" t="s">
        <v>259</v>
      </c>
      <c r="E271" t="s">
        <v>259</v>
      </c>
    </row>
    <row r="272" spans="1:5" x14ac:dyDescent="0.25">
      <c r="A272" t="s">
        <v>405</v>
      </c>
      <c r="B272" s="4" t="s">
        <v>405</v>
      </c>
      <c r="E272" s="4" t="s">
        <v>405</v>
      </c>
    </row>
    <row r="273" spans="1:5" x14ac:dyDescent="0.25">
      <c r="A273" t="s">
        <v>187</v>
      </c>
      <c r="B273" t="s">
        <v>187</v>
      </c>
      <c r="E273" t="s">
        <v>187</v>
      </c>
    </row>
    <row r="274" spans="1:5" x14ac:dyDescent="0.25">
      <c r="B274" s="3" t="s">
        <v>99</v>
      </c>
      <c r="E274" s="3" t="s">
        <v>99</v>
      </c>
    </row>
    <row r="275" spans="1:5" x14ac:dyDescent="0.25">
      <c r="A275" t="s">
        <v>69</v>
      </c>
      <c r="B275" t="s">
        <v>69</v>
      </c>
      <c r="E275" t="s">
        <v>69</v>
      </c>
    </row>
    <row r="276" spans="1:5" x14ac:dyDescent="0.25">
      <c r="A276" t="s">
        <v>147</v>
      </c>
      <c r="B276" t="s">
        <v>147</v>
      </c>
      <c r="E276" t="s">
        <v>147</v>
      </c>
    </row>
    <row r="277" spans="1:5" x14ac:dyDescent="0.25">
      <c r="A277" t="s">
        <v>24</v>
      </c>
      <c r="B277" s="3" t="s">
        <v>24</v>
      </c>
      <c r="E277" s="3" t="s">
        <v>24</v>
      </c>
    </row>
    <row r="278" spans="1:5" x14ac:dyDescent="0.25">
      <c r="A278" t="s">
        <v>271</v>
      </c>
      <c r="B278" t="s">
        <v>271</v>
      </c>
      <c r="E278" t="s">
        <v>271</v>
      </c>
    </row>
    <row r="279" spans="1:5" x14ac:dyDescent="0.25">
      <c r="A279" t="s">
        <v>200</v>
      </c>
      <c r="B279" s="3" t="s">
        <v>200</v>
      </c>
      <c r="E279" s="3" t="s">
        <v>200</v>
      </c>
    </row>
    <row r="280" spans="1:5" x14ac:dyDescent="0.25">
      <c r="A280" t="s">
        <v>1130</v>
      </c>
      <c r="B280" t="s">
        <v>43</v>
      </c>
      <c r="E280" t="s">
        <v>43</v>
      </c>
    </row>
    <row r="281" spans="1:5" x14ac:dyDescent="0.25">
      <c r="A281" t="s">
        <v>201</v>
      </c>
      <c r="B281" t="s">
        <v>201</v>
      </c>
      <c r="E281" s="46" t="s">
        <v>201</v>
      </c>
    </row>
    <row r="282" spans="1:5" x14ac:dyDescent="0.25">
      <c r="A282" t="s">
        <v>257</v>
      </c>
      <c r="B282" t="s">
        <v>257</v>
      </c>
      <c r="E282" t="s">
        <v>257</v>
      </c>
    </row>
    <row r="283" spans="1:5" x14ac:dyDescent="0.25">
      <c r="A283" t="s">
        <v>93</v>
      </c>
      <c r="B283" t="s">
        <v>93</v>
      </c>
      <c r="E283" t="s">
        <v>93</v>
      </c>
    </row>
    <row r="284" spans="1:5" x14ac:dyDescent="0.25">
      <c r="B284" t="s">
        <v>406</v>
      </c>
      <c r="E284" t="s">
        <v>406</v>
      </c>
    </row>
    <row r="285" spans="1:5" x14ac:dyDescent="0.25">
      <c r="A285" t="s">
        <v>202</v>
      </c>
      <c r="B285" t="s">
        <v>202</v>
      </c>
      <c r="E285" t="s">
        <v>202</v>
      </c>
    </row>
    <row r="286" spans="1:5" x14ac:dyDescent="0.25">
      <c r="A286" t="s">
        <v>82</v>
      </c>
      <c r="B286" t="s">
        <v>82</v>
      </c>
      <c r="E286" t="s">
        <v>82</v>
      </c>
    </row>
    <row r="287" spans="1:5" x14ac:dyDescent="0.25">
      <c r="A287" t="s">
        <v>294</v>
      </c>
      <c r="B287" t="s">
        <v>294</v>
      </c>
      <c r="E287" t="s">
        <v>294</v>
      </c>
    </row>
    <row r="288" spans="1:5" x14ac:dyDescent="0.25">
      <c r="A288" t="s">
        <v>205</v>
      </c>
      <c r="B288" s="45" t="s">
        <v>205</v>
      </c>
      <c r="E288" t="s">
        <v>205</v>
      </c>
    </row>
    <row r="289" spans="1:5" x14ac:dyDescent="0.25">
      <c r="A289" t="s">
        <v>795</v>
      </c>
      <c r="B289" s="52" t="s">
        <v>795</v>
      </c>
      <c r="E289" t="s">
        <v>795</v>
      </c>
    </row>
    <row r="290" spans="1:5" x14ac:dyDescent="0.25">
      <c r="A290" t="s">
        <v>3</v>
      </c>
      <c r="B290" t="s">
        <v>3</v>
      </c>
      <c r="E290" t="s">
        <v>3</v>
      </c>
    </row>
    <row r="291" spans="1:5" x14ac:dyDescent="0.25">
      <c r="A291" t="s">
        <v>491</v>
      </c>
      <c r="B291" t="s">
        <v>491</v>
      </c>
      <c r="E291" t="s">
        <v>491</v>
      </c>
    </row>
    <row r="292" spans="1:5" x14ac:dyDescent="0.25">
      <c r="A292" t="s">
        <v>52</v>
      </c>
      <c r="B292" t="s">
        <v>52</v>
      </c>
      <c r="E292" t="s">
        <v>52</v>
      </c>
    </row>
    <row r="293" spans="1:5" x14ac:dyDescent="0.25">
      <c r="B293" t="s">
        <v>492</v>
      </c>
      <c r="E293" t="s">
        <v>492</v>
      </c>
    </row>
    <row r="294" spans="1:5" x14ac:dyDescent="0.25">
      <c r="A294" t="s">
        <v>336</v>
      </c>
      <c r="B294" t="s">
        <v>336</v>
      </c>
      <c r="E294" t="s">
        <v>336</v>
      </c>
    </row>
    <row r="295" spans="1:5" x14ac:dyDescent="0.25">
      <c r="A295" t="s">
        <v>493</v>
      </c>
      <c r="B295" t="s">
        <v>493</v>
      </c>
      <c r="E295" t="s">
        <v>493</v>
      </c>
    </row>
    <row r="296" spans="1:5" x14ac:dyDescent="0.25">
      <c r="A296" t="s">
        <v>319</v>
      </c>
      <c r="B296" t="s">
        <v>319</v>
      </c>
      <c r="E296" t="s">
        <v>319</v>
      </c>
    </row>
    <row r="297" spans="1:5" x14ac:dyDescent="0.25">
      <c r="A297" t="s">
        <v>206</v>
      </c>
      <c r="B297" t="s">
        <v>206</v>
      </c>
      <c r="E297" t="s">
        <v>206</v>
      </c>
    </row>
    <row r="298" spans="1:5" x14ac:dyDescent="0.25">
      <c r="B298" t="s">
        <v>480</v>
      </c>
      <c r="E298" t="s">
        <v>480</v>
      </c>
    </row>
    <row r="299" spans="1:5" x14ac:dyDescent="0.25">
      <c r="A299" t="s">
        <v>210</v>
      </c>
      <c r="B299" t="s">
        <v>210</v>
      </c>
      <c r="E299" t="s">
        <v>210</v>
      </c>
    </row>
    <row r="300" spans="1:5" x14ac:dyDescent="0.25">
      <c r="A300" t="s">
        <v>84</v>
      </c>
      <c r="B300" t="s">
        <v>84</v>
      </c>
      <c r="E300" t="s">
        <v>84</v>
      </c>
    </row>
    <row r="301" spans="1:5" x14ac:dyDescent="0.25">
      <c r="A301" t="s">
        <v>80</v>
      </c>
      <c r="B301" t="s">
        <v>80</v>
      </c>
      <c r="E301" s="46" t="s">
        <v>80</v>
      </c>
    </row>
    <row r="302" spans="1:5" x14ac:dyDescent="0.25">
      <c r="B302" t="s">
        <v>469</v>
      </c>
      <c r="E302" t="s">
        <v>469</v>
      </c>
    </row>
    <row r="303" spans="1:5" x14ac:dyDescent="0.25">
      <c r="B303" t="s">
        <v>408</v>
      </c>
      <c r="E303" t="s">
        <v>408</v>
      </c>
    </row>
    <row r="304" spans="1:5" x14ac:dyDescent="0.25">
      <c r="A304" t="s">
        <v>70</v>
      </c>
      <c r="B304" t="s">
        <v>70</v>
      </c>
      <c r="E304" t="s">
        <v>70</v>
      </c>
    </row>
    <row r="305" spans="1:5" x14ac:dyDescent="0.25">
      <c r="A305" t="s">
        <v>356</v>
      </c>
      <c r="B305" t="s">
        <v>356</v>
      </c>
      <c r="E305" t="s">
        <v>356</v>
      </c>
    </row>
    <row r="306" spans="1:5" x14ac:dyDescent="0.25">
      <c r="A306" t="s">
        <v>870</v>
      </c>
      <c r="B306" s="53" t="s">
        <v>870</v>
      </c>
      <c r="E306" t="s">
        <v>870</v>
      </c>
    </row>
    <row r="307" spans="1:5" x14ac:dyDescent="0.25">
      <c r="A307" t="s">
        <v>51</v>
      </c>
      <c r="B307" t="s">
        <v>51</v>
      </c>
      <c r="E307" t="s">
        <v>51</v>
      </c>
    </row>
    <row r="308" spans="1:5" x14ac:dyDescent="0.25">
      <c r="B308" t="s">
        <v>161</v>
      </c>
      <c r="E308" t="s">
        <v>161</v>
      </c>
    </row>
    <row r="309" spans="1:5" x14ac:dyDescent="0.25">
      <c r="A309" t="s">
        <v>232</v>
      </c>
      <c r="B309" t="s">
        <v>232</v>
      </c>
      <c r="E309" t="s">
        <v>232</v>
      </c>
    </row>
    <row r="310" spans="1:5" x14ac:dyDescent="0.25">
      <c r="B310" s="44" t="s">
        <v>88</v>
      </c>
      <c r="E310" t="s">
        <v>88</v>
      </c>
    </row>
    <row r="311" spans="1:5" x14ac:dyDescent="0.25">
      <c r="A311" t="s">
        <v>1132</v>
      </c>
      <c r="B311" s="53" t="s">
        <v>927</v>
      </c>
      <c r="E311" t="s">
        <v>927</v>
      </c>
    </row>
    <row r="312" spans="1:5" x14ac:dyDescent="0.25">
      <c r="B312" t="s">
        <v>494</v>
      </c>
      <c r="E312" t="s">
        <v>494</v>
      </c>
    </row>
    <row r="313" spans="1:5" x14ac:dyDescent="0.25">
      <c r="A313" t="s">
        <v>221</v>
      </c>
      <c r="B313" t="s">
        <v>221</v>
      </c>
      <c r="E313" t="s">
        <v>221</v>
      </c>
    </row>
    <row r="314" spans="1:5" x14ac:dyDescent="0.25">
      <c r="A314" t="s">
        <v>258</v>
      </c>
      <c r="B314" t="s">
        <v>258</v>
      </c>
      <c r="E314" t="s">
        <v>258</v>
      </c>
    </row>
    <row r="315" spans="1:5" x14ac:dyDescent="0.25">
      <c r="B315" t="s">
        <v>409</v>
      </c>
      <c r="E315" t="s">
        <v>409</v>
      </c>
    </row>
    <row r="316" spans="1:5" x14ac:dyDescent="0.25">
      <c r="A316" t="s">
        <v>820</v>
      </c>
      <c r="B316" t="s">
        <v>163</v>
      </c>
      <c r="E316" t="s">
        <v>163</v>
      </c>
    </row>
    <row r="317" spans="1:5" x14ac:dyDescent="0.25">
      <c r="B317" t="s">
        <v>384</v>
      </c>
      <c r="E317" t="s">
        <v>384</v>
      </c>
    </row>
    <row r="318" spans="1:5" x14ac:dyDescent="0.25">
      <c r="B318" t="s">
        <v>313</v>
      </c>
      <c r="E318" t="s">
        <v>313</v>
      </c>
    </row>
    <row r="319" spans="1:5" x14ac:dyDescent="0.25">
      <c r="A319" t="s">
        <v>337</v>
      </c>
      <c r="B319" t="s">
        <v>337</v>
      </c>
      <c r="E319" t="s">
        <v>337</v>
      </c>
    </row>
    <row r="320" spans="1:5" x14ac:dyDescent="0.25">
      <c r="A320" t="s">
        <v>121</v>
      </c>
      <c r="B320" t="s">
        <v>121</v>
      </c>
      <c r="E320" t="s">
        <v>121</v>
      </c>
    </row>
    <row r="321" spans="1:5" x14ac:dyDescent="0.25">
      <c r="B321" t="s">
        <v>410</v>
      </c>
      <c r="E321" t="s">
        <v>410</v>
      </c>
    </row>
    <row r="322" spans="1:5" x14ac:dyDescent="0.25">
      <c r="A322" t="s">
        <v>223</v>
      </c>
      <c r="B322" t="s">
        <v>223</v>
      </c>
      <c r="E322" t="s">
        <v>223</v>
      </c>
    </row>
    <row r="323" spans="1:5" x14ac:dyDescent="0.25">
      <c r="A323" t="s">
        <v>127</v>
      </c>
      <c r="B323" t="s">
        <v>127</v>
      </c>
      <c r="E323" t="s">
        <v>127</v>
      </c>
    </row>
    <row r="324" spans="1:5" x14ac:dyDescent="0.25">
      <c r="A324" t="s">
        <v>71</v>
      </c>
      <c r="B324" t="s">
        <v>71</v>
      </c>
      <c r="E324" t="s">
        <v>71</v>
      </c>
    </row>
    <row r="325" spans="1:5" x14ac:dyDescent="0.25">
      <c r="A325" t="s">
        <v>682</v>
      </c>
      <c r="B325" t="s">
        <v>682</v>
      </c>
      <c r="E325" t="s">
        <v>682</v>
      </c>
    </row>
    <row r="326" spans="1:5" x14ac:dyDescent="0.25">
      <c r="B326" s="3" t="s">
        <v>8</v>
      </c>
      <c r="E326" s="3" t="s">
        <v>8</v>
      </c>
    </row>
    <row r="327" spans="1:5" x14ac:dyDescent="0.25">
      <c r="A327" t="s">
        <v>56</v>
      </c>
      <c r="B327" t="s">
        <v>56</v>
      </c>
      <c r="E327" t="s">
        <v>56</v>
      </c>
    </row>
    <row r="328" spans="1:5" x14ac:dyDescent="0.25">
      <c r="B328" t="s">
        <v>411</v>
      </c>
      <c r="E328" t="s">
        <v>411</v>
      </c>
    </row>
    <row r="329" spans="1:5" x14ac:dyDescent="0.25">
      <c r="A329" t="s">
        <v>226</v>
      </c>
      <c r="B329" s="46" t="s">
        <v>226</v>
      </c>
      <c r="E329" t="s">
        <v>226</v>
      </c>
    </row>
    <row r="330" spans="1:5" x14ac:dyDescent="0.25">
      <c r="A330" t="s">
        <v>26</v>
      </c>
      <c r="B330" t="s">
        <v>26</v>
      </c>
      <c r="E330" t="s">
        <v>26</v>
      </c>
    </row>
    <row r="331" spans="1:5" x14ac:dyDescent="0.25">
      <c r="A331" t="s">
        <v>53</v>
      </c>
      <c r="B331" t="s">
        <v>53</v>
      </c>
      <c r="E331" t="s">
        <v>53</v>
      </c>
    </row>
    <row r="332" spans="1:5" x14ac:dyDescent="0.25">
      <c r="B332" t="s">
        <v>114</v>
      </c>
      <c r="E332" t="s">
        <v>114</v>
      </c>
    </row>
    <row r="333" spans="1:5" x14ac:dyDescent="0.25">
      <c r="A333" t="s">
        <v>227</v>
      </c>
      <c r="B333" t="s">
        <v>227</v>
      </c>
      <c r="E333" t="s">
        <v>227</v>
      </c>
    </row>
    <row r="334" spans="1:5" x14ac:dyDescent="0.25">
      <c r="A334" t="s">
        <v>228</v>
      </c>
      <c r="B334" t="s">
        <v>228</v>
      </c>
      <c r="E334" t="s">
        <v>228</v>
      </c>
    </row>
    <row r="335" spans="1:5" x14ac:dyDescent="0.25">
      <c r="A335" t="s">
        <v>412</v>
      </c>
      <c r="B335" t="s">
        <v>412</v>
      </c>
      <c r="E335" t="s">
        <v>412</v>
      </c>
    </row>
    <row r="336" spans="1:5" x14ac:dyDescent="0.25">
      <c r="A336" t="s">
        <v>932</v>
      </c>
      <c r="B336" t="s">
        <v>932</v>
      </c>
    </row>
    <row r="337" spans="1:5" x14ac:dyDescent="0.25">
      <c r="A337" t="s">
        <v>229</v>
      </c>
      <c r="B337" t="s">
        <v>229</v>
      </c>
      <c r="E337" t="s">
        <v>229</v>
      </c>
    </row>
    <row r="338" spans="1:5" x14ac:dyDescent="0.25">
      <c r="A338" t="s">
        <v>230</v>
      </c>
      <c r="B338" t="s">
        <v>230</v>
      </c>
      <c r="E338" t="s">
        <v>230</v>
      </c>
    </row>
    <row r="339" spans="1:5" x14ac:dyDescent="0.25">
      <c r="B339" t="s">
        <v>295</v>
      </c>
      <c r="E339" t="s">
        <v>295</v>
      </c>
    </row>
    <row r="340" spans="1:5" x14ac:dyDescent="0.25">
      <c r="A340" t="s">
        <v>72</v>
      </c>
      <c r="B340" t="s">
        <v>72</v>
      </c>
      <c r="E340" t="s">
        <v>72</v>
      </c>
    </row>
    <row r="341" spans="1:5" x14ac:dyDescent="0.25">
      <c r="A341" t="s">
        <v>413</v>
      </c>
      <c r="B341" s="4" t="s">
        <v>413</v>
      </c>
      <c r="E341" s="4" t="s">
        <v>413</v>
      </c>
    </row>
    <row r="342" spans="1:5" x14ac:dyDescent="0.25">
      <c r="A342" t="s">
        <v>1102</v>
      </c>
      <c r="B342" s="4" t="s">
        <v>1102</v>
      </c>
      <c r="E342" s="4"/>
    </row>
    <row r="343" spans="1:5" x14ac:dyDescent="0.25">
      <c r="A343" t="s">
        <v>222</v>
      </c>
      <c r="B343" t="s">
        <v>222</v>
      </c>
      <c r="E343" t="s">
        <v>222</v>
      </c>
    </row>
    <row r="344" spans="1:5" x14ac:dyDescent="0.25">
      <c r="A344" t="s">
        <v>262</v>
      </c>
      <c r="B344" t="s">
        <v>262</v>
      </c>
      <c r="E344" t="s">
        <v>262</v>
      </c>
    </row>
    <row r="345" spans="1:5" x14ac:dyDescent="0.25">
      <c r="A345" t="s">
        <v>414</v>
      </c>
      <c r="B345" t="s">
        <v>414</v>
      </c>
      <c r="E345" t="s">
        <v>414</v>
      </c>
    </row>
    <row r="346" spans="1:5" x14ac:dyDescent="0.25">
      <c r="A346" t="s">
        <v>233</v>
      </c>
      <c r="B346" t="s">
        <v>233</v>
      </c>
      <c r="E346" t="s">
        <v>233</v>
      </c>
    </row>
    <row r="347" spans="1:5" x14ac:dyDescent="0.25">
      <c r="A347" t="s">
        <v>366</v>
      </c>
      <c r="B347" t="s">
        <v>366</v>
      </c>
      <c r="E347" t="s">
        <v>366</v>
      </c>
    </row>
    <row r="348" spans="1:5" x14ac:dyDescent="0.25">
      <c r="A348" t="s">
        <v>73</v>
      </c>
      <c r="B348" t="s">
        <v>73</v>
      </c>
      <c r="E348" t="s">
        <v>73</v>
      </c>
    </row>
    <row r="349" spans="1:5" x14ac:dyDescent="0.25">
      <c r="A349" t="s">
        <v>87</v>
      </c>
      <c r="B349" t="s">
        <v>87</v>
      </c>
      <c r="E349" t="s">
        <v>87</v>
      </c>
    </row>
    <row r="350" spans="1:5" x14ac:dyDescent="0.25">
      <c r="A350" t="s">
        <v>354</v>
      </c>
      <c r="B350" t="s">
        <v>354</v>
      </c>
      <c r="E350" t="s">
        <v>354</v>
      </c>
    </row>
    <row r="351" spans="1:5" x14ac:dyDescent="0.25">
      <c r="A351" t="s">
        <v>197</v>
      </c>
      <c r="B351" t="s">
        <v>197</v>
      </c>
      <c r="E351" t="s">
        <v>197</v>
      </c>
    </row>
    <row r="352" spans="1:5" x14ac:dyDescent="0.25">
      <c r="A352" t="s">
        <v>252</v>
      </c>
      <c r="B352" t="s">
        <v>252</v>
      </c>
      <c r="E352" t="s">
        <v>252</v>
      </c>
    </row>
    <row r="353" spans="1:5" x14ac:dyDescent="0.25">
      <c r="B353" s="3" t="s">
        <v>11</v>
      </c>
      <c r="E353" s="3" t="s">
        <v>11</v>
      </c>
    </row>
    <row r="354" spans="1:5" x14ac:dyDescent="0.25">
      <c r="A354" t="s">
        <v>300</v>
      </c>
      <c r="B354" t="s">
        <v>300</v>
      </c>
      <c r="E354" t="s">
        <v>300</v>
      </c>
    </row>
    <row r="355" spans="1:5" x14ac:dyDescent="0.25">
      <c r="A355" t="s">
        <v>693</v>
      </c>
      <c r="B355" t="s">
        <v>693</v>
      </c>
      <c r="E355" t="s">
        <v>693</v>
      </c>
    </row>
    <row r="356" spans="1:5" x14ac:dyDescent="0.25">
      <c r="A356" t="s">
        <v>342</v>
      </c>
      <c r="B356" t="s">
        <v>342</v>
      </c>
      <c r="E356" t="s">
        <v>342</v>
      </c>
    </row>
    <row r="357" spans="1:5" x14ac:dyDescent="0.25">
      <c r="A357" t="s">
        <v>796</v>
      </c>
      <c r="B357" s="53" t="s">
        <v>796</v>
      </c>
      <c r="E357" t="s">
        <v>796</v>
      </c>
    </row>
    <row r="358" spans="1:5" x14ac:dyDescent="0.25">
      <c r="A358" t="s">
        <v>255</v>
      </c>
      <c r="B358" t="s">
        <v>255</v>
      </c>
      <c r="E358" t="s">
        <v>255</v>
      </c>
    </row>
    <row r="359" spans="1:5" x14ac:dyDescent="0.25">
      <c r="A359" t="s">
        <v>375</v>
      </c>
      <c r="B359" t="s">
        <v>375</v>
      </c>
      <c r="E359" t="s">
        <v>375</v>
      </c>
    </row>
    <row r="360" spans="1:5" x14ac:dyDescent="0.25">
      <c r="A360" t="s">
        <v>234</v>
      </c>
      <c r="B360" t="s">
        <v>234</v>
      </c>
      <c r="E360" t="s">
        <v>234</v>
      </c>
    </row>
    <row r="361" spans="1:5" x14ac:dyDescent="0.25">
      <c r="B361" t="s">
        <v>415</v>
      </c>
      <c r="E361" t="s">
        <v>415</v>
      </c>
    </row>
    <row r="362" spans="1:5" x14ac:dyDescent="0.25">
      <c r="A362" s="77" t="s">
        <v>244</v>
      </c>
      <c r="B362" t="s">
        <v>244</v>
      </c>
      <c r="E362" t="s">
        <v>244</v>
      </c>
    </row>
    <row r="363" spans="1:5" x14ac:dyDescent="0.25">
      <c r="A363" t="s">
        <v>256</v>
      </c>
      <c r="B363" t="s">
        <v>256</v>
      </c>
      <c r="E363" t="s">
        <v>256</v>
      </c>
    </row>
    <row r="364" spans="1:5" x14ac:dyDescent="0.25">
      <c r="A364" t="s">
        <v>261</v>
      </c>
      <c r="B364" t="s">
        <v>261</v>
      </c>
      <c r="E364" t="s">
        <v>261</v>
      </c>
    </row>
    <row r="365" spans="1:5" x14ac:dyDescent="0.25">
      <c r="A365" t="s">
        <v>329</v>
      </c>
      <c r="B365" t="s">
        <v>329</v>
      </c>
      <c r="E365" t="s">
        <v>329</v>
      </c>
    </row>
    <row r="366" spans="1:5" x14ac:dyDescent="0.25">
      <c r="A366" t="s">
        <v>55</v>
      </c>
      <c r="B366" t="s">
        <v>55</v>
      </c>
      <c r="E366" t="s">
        <v>55</v>
      </c>
    </row>
    <row r="367" spans="1:5" x14ac:dyDescent="0.25">
      <c r="A367" t="s">
        <v>143</v>
      </c>
      <c r="B367" t="s">
        <v>143</v>
      </c>
      <c r="E367" t="s">
        <v>143</v>
      </c>
    </row>
    <row r="368" spans="1:5" x14ac:dyDescent="0.25">
      <c r="B368" s="3" t="s">
        <v>12</v>
      </c>
      <c r="E368" s="3" t="s">
        <v>12</v>
      </c>
    </row>
    <row r="369" spans="1:5" x14ac:dyDescent="0.25">
      <c r="A369" t="s">
        <v>276</v>
      </c>
      <c r="B369" t="s">
        <v>276</v>
      </c>
      <c r="E369" t="s">
        <v>276</v>
      </c>
    </row>
    <row r="370" spans="1:5" x14ac:dyDescent="0.25">
      <c r="A370" t="s">
        <v>183</v>
      </c>
      <c r="B370" t="s">
        <v>183</v>
      </c>
      <c r="E370" t="s">
        <v>183</v>
      </c>
    </row>
    <row r="371" spans="1:5" x14ac:dyDescent="0.25">
      <c r="B371" t="s">
        <v>15</v>
      </c>
      <c r="E371" t="s">
        <v>15</v>
      </c>
    </row>
    <row r="372" spans="1:5" x14ac:dyDescent="0.25">
      <c r="B372" t="s">
        <v>167</v>
      </c>
      <c r="E372" t="s">
        <v>167</v>
      </c>
    </row>
    <row r="373" spans="1:5" x14ac:dyDescent="0.25">
      <c r="B373" t="s">
        <v>481</v>
      </c>
      <c r="E373" t="s">
        <v>481</v>
      </c>
    </row>
    <row r="374" spans="1:5" x14ac:dyDescent="0.25">
      <c r="A374" t="s">
        <v>309</v>
      </c>
      <c r="B374" t="s">
        <v>309</v>
      </c>
      <c r="E374" t="s">
        <v>309</v>
      </c>
    </row>
    <row r="375" spans="1:5" x14ac:dyDescent="0.25">
      <c r="B375" s="53" t="s">
        <v>700</v>
      </c>
      <c r="E375" t="s">
        <v>275</v>
      </c>
    </row>
    <row r="376" spans="1:5" x14ac:dyDescent="0.25">
      <c r="A376" t="s">
        <v>275</v>
      </c>
      <c r="B376" t="s">
        <v>275</v>
      </c>
      <c r="E376" t="s">
        <v>700</v>
      </c>
    </row>
    <row r="377" spans="1:5" x14ac:dyDescent="0.25">
      <c r="A377" t="s">
        <v>136</v>
      </c>
      <c r="B377" t="s">
        <v>136</v>
      </c>
      <c r="E377" t="s">
        <v>136</v>
      </c>
    </row>
    <row r="378" spans="1:5" x14ac:dyDescent="0.25">
      <c r="A378" t="s">
        <v>278</v>
      </c>
      <c r="B378" t="s">
        <v>278</v>
      </c>
      <c r="E378" t="s">
        <v>278</v>
      </c>
    </row>
    <row r="379" spans="1:5" x14ac:dyDescent="0.25">
      <c r="A379" t="s">
        <v>931</v>
      </c>
      <c r="B379" t="s">
        <v>931</v>
      </c>
      <c r="E379" s="91" t="s">
        <v>931</v>
      </c>
    </row>
    <row r="380" spans="1:5" x14ac:dyDescent="0.25">
      <c r="A380" t="s">
        <v>49</v>
      </c>
      <c r="B380" t="s">
        <v>49</v>
      </c>
      <c r="E380" t="s">
        <v>49</v>
      </c>
    </row>
    <row r="381" spans="1:5" x14ac:dyDescent="0.25">
      <c r="A381" t="s">
        <v>280</v>
      </c>
      <c r="B381" t="s">
        <v>280</v>
      </c>
      <c r="E381" t="s">
        <v>280</v>
      </c>
    </row>
    <row r="382" spans="1:5" x14ac:dyDescent="0.25">
      <c r="A382" t="s">
        <v>416</v>
      </c>
      <c r="B382" s="4" t="s">
        <v>416</v>
      </c>
      <c r="E382" s="4" t="s">
        <v>416</v>
      </c>
    </row>
    <row r="383" spans="1:5" x14ac:dyDescent="0.25">
      <c r="A383" t="s">
        <v>44</v>
      </c>
      <c r="B383" t="s">
        <v>44</v>
      </c>
      <c r="E383" t="s">
        <v>44</v>
      </c>
    </row>
    <row r="384" spans="1:5" x14ac:dyDescent="0.25">
      <c r="A384" t="s">
        <v>417</v>
      </c>
      <c r="B384" s="4" t="s">
        <v>417</v>
      </c>
      <c r="E384" s="4" t="s">
        <v>417</v>
      </c>
    </row>
    <row r="385" spans="1:5" x14ac:dyDescent="0.25">
      <c r="B385" s="4" t="s">
        <v>704</v>
      </c>
      <c r="E385" s="4" t="s">
        <v>704</v>
      </c>
    </row>
    <row r="386" spans="1:5" x14ac:dyDescent="0.25">
      <c r="A386" t="s">
        <v>705</v>
      </c>
      <c r="B386" s="4" t="s">
        <v>705</v>
      </c>
      <c r="E386" s="4" t="s">
        <v>705</v>
      </c>
    </row>
    <row r="387" spans="1:5" x14ac:dyDescent="0.25">
      <c r="A387" t="s">
        <v>418</v>
      </c>
      <c r="B387" s="4" t="s">
        <v>418</v>
      </c>
      <c r="E387" s="4" t="s">
        <v>418</v>
      </c>
    </row>
    <row r="388" spans="1:5" x14ac:dyDescent="0.25">
      <c r="A388" t="s">
        <v>816</v>
      </c>
      <c r="B388" s="4" t="s">
        <v>816</v>
      </c>
      <c r="E388" s="4" t="s">
        <v>816</v>
      </c>
    </row>
    <row r="389" spans="1:5" x14ac:dyDescent="0.25">
      <c r="B389" t="s">
        <v>419</v>
      </c>
      <c r="E389" t="s">
        <v>419</v>
      </c>
    </row>
    <row r="390" spans="1:5" x14ac:dyDescent="0.25">
      <c r="A390" t="s">
        <v>420</v>
      </c>
      <c r="B390" t="s">
        <v>420</v>
      </c>
      <c r="E390" t="s">
        <v>420</v>
      </c>
    </row>
    <row r="391" spans="1:5" x14ac:dyDescent="0.25">
      <c r="A391" t="s">
        <v>421</v>
      </c>
      <c r="B391" s="4" t="s">
        <v>421</v>
      </c>
      <c r="E391" s="4" t="s">
        <v>421</v>
      </c>
    </row>
    <row r="392" spans="1:5" x14ac:dyDescent="0.25">
      <c r="B392" t="s">
        <v>422</v>
      </c>
      <c r="E392" t="s">
        <v>422</v>
      </c>
    </row>
    <row r="393" spans="1:5" x14ac:dyDescent="0.25">
      <c r="A393" t="s">
        <v>353</v>
      </c>
      <c r="B393" t="s">
        <v>353</v>
      </c>
      <c r="E393" t="s">
        <v>353</v>
      </c>
    </row>
    <row r="394" spans="1:5" x14ac:dyDescent="0.25">
      <c r="B394" t="s">
        <v>247</v>
      </c>
      <c r="E394" t="s">
        <v>247</v>
      </c>
    </row>
    <row r="395" spans="1:5" x14ac:dyDescent="0.25">
      <c r="A395" t="s">
        <v>272</v>
      </c>
      <c r="B395" t="s">
        <v>272</v>
      </c>
      <c r="E395" t="s">
        <v>272</v>
      </c>
    </row>
    <row r="396" spans="1:5" x14ac:dyDescent="0.25">
      <c r="B396" t="s">
        <v>423</v>
      </c>
      <c r="E396" t="s">
        <v>423</v>
      </c>
    </row>
    <row r="397" spans="1:5" x14ac:dyDescent="0.25">
      <c r="A397" t="s">
        <v>343</v>
      </c>
      <c r="B397" t="s">
        <v>343</v>
      </c>
      <c r="E397" t="s">
        <v>343</v>
      </c>
    </row>
    <row r="398" spans="1:5" x14ac:dyDescent="0.25">
      <c r="A398" t="s">
        <v>285</v>
      </c>
      <c r="B398" t="s">
        <v>285</v>
      </c>
      <c r="E398" t="s">
        <v>285</v>
      </c>
    </row>
    <row r="399" spans="1:5" x14ac:dyDescent="0.25">
      <c r="B399" s="3" t="s">
        <v>13</v>
      </c>
      <c r="E399" s="3" t="s">
        <v>13</v>
      </c>
    </row>
    <row r="400" spans="1:5" x14ac:dyDescent="0.25">
      <c r="A400" t="s">
        <v>495</v>
      </c>
      <c r="B400" s="3" t="s">
        <v>495</v>
      </c>
      <c r="E400" s="3" t="s">
        <v>495</v>
      </c>
    </row>
    <row r="401" spans="1:5" x14ac:dyDescent="0.25">
      <c r="A401" t="s">
        <v>466</v>
      </c>
      <c r="B401" t="s">
        <v>466</v>
      </c>
      <c r="E401" t="s">
        <v>466</v>
      </c>
    </row>
    <row r="402" spans="1:5" x14ac:dyDescent="0.25">
      <c r="B402" t="s">
        <v>424</v>
      </c>
      <c r="E402" t="s">
        <v>424</v>
      </c>
    </row>
    <row r="403" spans="1:5" x14ac:dyDescent="0.25">
      <c r="A403" t="s">
        <v>710</v>
      </c>
      <c r="B403" t="s">
        <v>710</v>
      </c>
      <c r="E403" t="s">
        <v>710</v>
      </c>
    </row>
    <row r="404" spans="1:5" x14ac:dyDescent="0.25">
      <c r="A404" t="s">
        <v>128</v>
      </c>
      <c r="B404" t="s">
        <v>128</v>
      </c>
      <c r="E404" t="s">
        <v>128</v>
      </c>
    </row>
    <row r="405" spans="1:5" x14ac:dyDescent="0.25">
      <c r="A405" t="s">
        <v>277</v>
      </c>
      <c r="B405" t="s">
        <v>277</v>
      </c>
      <c r="E405" t="s">
        <v>277</v>
      </c>
    </row>
    <row r="406" spans="1:5" x14ac:dyDescent="0.25">
      <c r="B406" t="s">
        <v>286</v>
      </c>
      <c r="E406" t="s">
        <v>286</v>
      </c>
    </row>
    <row r="407" spans="1:5" x14ac:dyDescent="0.25">
      <c r="A407" t="s">
        <v>219</v>
      </c>
      <c r="B407" t="s">
        <v>219</v>
      </c>
      <c r="E407" t="s">
        <v>219</v>
      </c>
    </row>
    <row r="408" spans="1:5" x14ac:dyDescent="0.25">
      <c r="A408" t="s">
        <v>288</v>
      </c>
      <c r="B408" t="s">
        <v>288</v>
      </c>
      <c r="E408" t="s">
        <v>288</v>
      </c>
    </row>
    <row r="409" spans="1:5" x14ac:dyDescent="0.25">
      <c r="A409" t="s">
        <v>236</v>
      </c>
      <c r="B409" t="s">
        <v>236</v>
      </c>
      <c r="E409" t="s">
        <v>236</v>
      </c>
    </row>
    <row r="410" spans="1:5" x14ac:dyDescent="0.25">
      <c r="A410" t="s">
        <v>712</v>
      </c>
      <c r="B410" t="s">
        <v>712</v>
      </c>
      <c r="E410" t="s">
        <v>712</v>
      </c>
    </row>
    <row r="411" spans="1:5" x14ac:dyDescent="0.25">
      <c r="A411" t="s">
        <v>296</v>
      </c>
      <c r="B411" t="s">
        <v>296</v>
      </c>
      <c r="E411" t="s">
        <v>296</v>
      </c>
    </row>
    <row r="412" spans="1:5" x14ac:dyDescent="0.25">
      <c r="A412" t="s">
        <v>42</v>
      </c>
      <c r="B412" t="s">
        <v>42</v>
      </c>
      <c r="E412" t="s">
        <v>42</v>
      </c>
    </row>
    <row r="413" spans="1:5" x14ac:dyDescent="0.25">
      <c r="A413" t="s">
        <v>39</v>
      </c>
      <c r="B413" t="s">
        <v>39</v>
      </c>
      <c r="E413" t="s">
        <v>39</v>
      </c>
    </row>
    <row r="414" spans="1:5" x14ac:dyDescent="0.25">
      <c r="A414" t="s">
        <v>48</v>
      </c>
      <c r="B414" t="s">
        <v>48</v>
      </c>
      <c r="E414" t="s">
        <v>48</v>
      </c>
    </row>
    <row r="415" spans="1:5" x14ac:dyDescent="0.25">
      <c r="A415" t="s">
        <v>298</v>
      </c>
      <c r="B415" t="s">
        <v>298</v>
      </c>
      <c r="E415" t="s">
        <v>298</v>
      </c>
    </row>
    <row r="416" spans="1:5" x14ac:dyDescent="0.25">
      <c r="B416" t="s">
        <v>425</v>
      </c>
      <c r="E416" t="s">
        <v>425</v>
      </c>
    </row>
    <row r="417" spans="1:5" x14ac:dyDescent="0.25">
      <c r="A417" t="s">
        <v>112</v>
      </c>
      <c r="B417" t="s">
        <v>112</v>
      </c>
      <c r="E417" t="s">
        <v>112</v>
      </c>
    </row>
    <row r="418" spans="1:5" x14ac:dyDescent="0.25">
      <c r="A418" t="s">
        <v>714</v>
      </c>
      <c r="B418" t="s">
        <v>120</v>
      </c>
      <c r="E418" t="s">
        <v>120</v>
      </c>
    </row>
    <row r="419" spans="1:5" x14ac:dyDescent="0.25">
      <c r="A419" t="s">
        <v>144</v>
      </c>
      <c r="B419" t="s">
        <v>144</v>
      </c>
      <c r="E419" t="s">
        <v>144</v>
      </c>
    </row>
    <row r="420" spans="1:5" x14ac:dyDescent="0.25">
      <c r="A420" t="s">
        <v>327</v>
      </c>
      <c r="B420" t="s">
        <v>327</v>
      </c>
      <c r="E420" t="s">
        <v>327</v>
      </c>
    </row>
    <row r="421" spans="1:5" x14ac:dyDescent="0.25">
      <c r="A421" t="s">
        <v>299</v>
      </c>
      <c r="B421" t="s">
        <v>299</v>
      </c>
      <c r="E421" t="s">
        <v>299</v>
      </c>
    </row>
    <row r="422" spans="1:5" x14ac:dyDescent="0.25">
      <c r="B422" t="s">
        <v>303</v>
      </c>
      <c r="E422" t="s">
        <v>303</v>
      </c>
    </row>
    <row r="423" spans="1:5" x14ac:dyDescent="0.25">
      <c r="A423" t="s">
        <v>279</v>
      </c>
      <c r="B423" t="s">
        <v>279</v>
      </c>
      <c r="E423" t="s">
        <v>279</v>
      </c>
    </row>
    <row r="424" spans="1:5" x14ac:dyDescent="0.25">
      <c r="A424" t="s">
        <v>17</v>
      </c>
      <c r="B424" s="3" t="s">
        <v>17</v>
      </c>
      <c r="E424" s="3" t="s">
        <v>17</v>
      </c>
    </row>
    <row r="425" spans="1:5" x14ac:dyDescent="0.25">
      <c r="A425" t="s">
        <v>301</v>
      </c>
      <c r="B425" t="s">
        <v>301</v>
      </c>
      <c r="E425" t="s">
        <v>301</v>
      </c>
    </row>
    <row r="426" spans="1:5" x14ac:dyDescent="0.25">
      <c r="B426" t="s">
        <v>75</v>
      </c>
      <c r="E426" t="s">
        <v>75</v>
      </c>
    </row>
    <row r="427" spans="1:5" x14ac:dyDescent="0.25">
      <c r="A427" t="s">
        <v>311</v>
      </c>
      <c r="B427" t="s">
        <v>311</v>
      </c>
      <c r="E427" t="s">
        <v>311</v>
      </c>
    </row>
    <row r="428" spans="1:5" x14ac:dyDescent="0.25">
      <c r="A428" t="s">
        <v>304</v>
      </c>
      <c r="B428" t="s">
        <v>304</v>
      </c>
      <c r="E428" t="s">
        <v>304</v>
      </c>
    </row>
    <row r="429" spans="1:5" x14ac:dyDescent="0.25">
      <c r="A429" t="s">
        <v>391</v>
      </c>
      <c r="B429" t="s">
        <v>391</v>
      </c>
      <c r="E429" t="s">
        <v>391</v>
      </c>
    </row>
    <row r="430" spans="1:5" x14ac:dyDescent="0.25">
      <c r="A430" t="s">
        <v>463</v>
      </c>
      <c r="B430" t="s">
        <v>463</v>
      </c>
    </row>
    <row r="431" spans="1:5" x14ac:dyDescent="0.25">
      <c r="A431" t="s">
        <v>129</v>
      </c>
      <c r="B431" t="s">
        <v>129</v>
      </c>
      <c r="E431" t="s">
        <v>129</v>
      </c>
    </row>
    <row r="432" spans="1:5" x14ac:dyDescent="0.25">
      <c r="A432" t="s">
        <v>958</v>
      </c>
      <c r="B432" t="s">
        <v>958</v>
      </c>
    </row>
    <row r="433" spans="1:5" x14ac:dyDescent="0.25">
      <c r="A433" t="s">
        <v>865</v>
      </c>
      <c r="B433" t="s">
        <v>426</v>
      </c>
    </row>
    <row r="434" spans="1:5" x14ac:dyDescent="0.25">
      <c r="B434" t="s">
        <v>427</v>
      </c>
      <c r="E434" t="s">
        <v>427</v>
      </c>
    </row>
    <row r="435" spans="1:5" x14ac:dyDescent="0.25">
      <c r="A435" t="s">
        <v>216</v>
      </c>
      <c r="B435" t="s">
        <v>216</v>
      </c>
      <c r="E435" t="s">
        <v>216</v>
      </c>
    </row>
    <row r="436" spans="1:5" x14ac:dyDescent="0.25">
      <c r="A436" t="s">
        <v>314</v>
      </c>
      <c r="B436" t="s">
        <v>314</v>
      </c>
      <c r="E436" t="s">
        <v>314</v>
      </c>
    </row>
    <row r="437" spans="1:5" x14ac:dyDescent="0.25">
      <c r="A437" t="s">
        <v>719</v>
      </c>
      <c r="B437" s="52" t="s">
        <v>719</v>
      </c>
      <c r="E437" t="s">
        <v>719</v>
      </c>
    </row>
    <row r="438" spans="1:5" x14ac:dyDescent="0.25">
      <c r="A438" t="s">
        <v>315</v>
      </c>
      <c r="B438" t="s">
        <v>315</v>
      </c>
      <c r="E438" t="s">
        <v>315</v>
      </c>
    </row>
    <row r="439" spans="1:5" x14ac:dyDescent="0.25">
      <c r="A439" t="s">
        <v>798</v>
      </c>
      <c r="B439" s="52" t="s">
        <v>798</v>
      </c>
      <c r="E439" t="s">
        <v>798</v>
      </c>
    </row>
    <row r="440" spans="1:5" x14ac:dyDescent="0.25">
      <c r="A440" t="s">
        <v>428</v>
      </c>
      <c r="B440" s="4" t="s">
        <v>428</v>
      </c>
      <c r="E440" s="4" t="s">
        <v>428</v>
      </c>
    </row>
    <row r="441" spans="1:5" x14ac:dyDescent="0.25">
      <c r="A441" t="s">
        <v>54</v>
      </c>
      <c r="B441" t="s">
        <v>54</v>
      </c>
      <c r="E441" t="s">
        <v>54</v>
      </c>
    </row>
    <row r="442" spans="1:5" x14ac:dyDescent="0.25">
      <c r="B442" t="s">
        <v>35</v>
      </c>
      <c r="E442" t="s">
        <v>35</v>
      </c>
    </row>
    <row r="443" spans="1:5" x14ac:dyDescent="0.25">
      <c r="A443" t="s">
        <v>245</v>
      </c>
      <c r="B443" t="s">
        <v>245</v>
      </c>
      <c r="E443" t="s">
        <v>245</v>
      </c>
    </row>
    <row r="444" spans="1:5" x14ac:dyDescent="0.25">
      <c r="A444" t="s">
        <v>130</v>
      </c>
      <c r="B444" t="s">
        <v>130</v>
      </c>
      <c r="E444" t="s">
        <v>130</v>
      </c>
    </row>
    <row r="445" spans="1:5" x14ac:dyDescent="0.25">
      <c r="B445" t="s">
        <v>149</v>
      </c>
      <c r="E445" t="s">
        <v>149</v>
      </c>
    </row>
    <row r="446" spans="1:5" x14ac:dyDescent="0.25">
      <c r="A446" t="s">
        <v>27</v>
      </c>
      <c r="B446" t="s">
        <v>27</v>
      </c>
      <c r="E446" t="s">
        <v>27</v>
      </c>
    </row>
    <row r="447" spans="1:5" x14ac:dyDescent="0.25">
      <c r="A447" t="s">
        <v>514</v>
      </c>
      <c r="B447" s="54" t="s">
        <v>514</v>
      </c>
      <c r="E447" t="s">
        <v>514</v>
      </c>
    </row>
    <row r="448" spans="1:5" x14ac:dyDescent="0.25">
      <c r="A448" t="s">
        <v>316</v>
      </c>
      <c r="B448" t="s">
        <v>316</v>
      </c>
      <c r="E448" t="s">
        <v>316</v>
      </c>
    </row>
    <row r="449" spans="1:5" x14ac:dyDescent="0.25">
      <c r="A449" t="s">
        <v>317</v>
      </c>
      <c r="B449" t="s">
        <v>317</v>
      </c>
      <c r="E449" t="s">
        <v>317</v>
      </c>
    </row>
    <row r="450" spans="1:5" x14ac:dyDescent="0.25">
      <c r="A450" t="s">
        <v>318</v>
      </c>
      <c r="B450" t="s">
        <v>318</v>
      </c>
      <c r="E450" t="s">
        <v>318</v>
      </c>
    </row>
    <row r="451" spans="1:5" x14ac:dyDescent="0.25">
      <c r="A451" t="s">
        <v>282</v>
      </c>
      <c r="B451" t="s">
        <v>282</v>
      </c>
      <c r="E451" t="s">
        <v>282</v>
      </c>
    </row>
    <row r="452" spans="1:5" x14ac:dyDescent="0.25">
      <c r="B452" t="s">
        <v>331</v>
      </c>
      <c r="E452" t="s">
        <v>331</v>
      </c>
    </row>
    <row r="453" spans="1:5" x14ac:dyDescent="0.25">
      <c r="A453" t="s">
        <v>727</v>
      </c>
      <c r="B453" t="s">
        <v>727</v>
      </c>
      <c r="E453" t="s">
        <v>727</v>
      </c>
    </row>
    <row r="454" spans="1:5" x14ac:dyDescent="0.25">
      <c r="A454" t="s">
        <v>429</v>
      </c>
      <c r="B454" s="4" t="s">
        <v>429</v>
      </c>
      <c r="E454" s="4" t="s">
        <v>429</v>
      </c>
    </row>
    <row r="455" spans="1:5" x14ac:dyDescent="0.25">
      <c r="A455" t="s">
        <v>152</v>
      </c>
      <c r="B455" t="s">
        <v>152</v>
      </c>
      <c r="E455" t="s">
        <v>152</v>
      </c>
    </row>
    <row r="456" spans="1:5" x14ac:dyDescent="0.25">
      <c r="A456" t="s">
        <v>442</v>
      </c>
      <c r="B456" t="s">
        <v>1030</v>
      </c>
      <c r="E456" t="s">
        <v>442</v>
      </c>
    </row>
    <row r="457" spans="1:5" x14ac:dyDescent="0.25">
      <c r="A457" t="s">
        <v>430</v>
      </c>
      <c r="B457" t="s">
        <v>430</v>
      </c>
      <c r="E457" t="s">
        <v>430</v>
      </c>
    </row>
    <row r="458" spans="1:5" x14ac:dyDescent="0.25">
      <c r="A458" t="s">
        <v>320</v>
      </c>
      <c r="B458" t="s">
        <v>320</v>
      </c>
      <c r="E458" t="s">
        <v>320</v>
      </c>
    </row>
    <row r="459" spans="1:5" x14ac:dyDescent="0.25">
      <c r="A459" t="s">
        <v>383</v>
      </c>
      <c r="B459" t="s">
        <v>383</v>
      </c>
      <c r="E459" t="s">
        <v>383</v>
      </c>
    </row>
    <row r="460" spans="1:5" x14ac:dyDescent="0.25">
      <c r="A460" t="s">
        <v>321</v>
      </c>
      <c r="B460" t="s">
        <v>321</v>
      </c>
      <c r="E460" t="s">
        <v>321</v>
      </c>
    </row>
    <row r="461" spans="1:5" x14ac:dyDescent="0.25">
      <c r="A461" t="s">
        <v>324</v>
      </c>
      <c r="B461" t="s">
        <v>324</v>
      </c>
      <c r="E461" t="s">
        <v>324</v>
      </c>
    </row>
    <row r="462" spans="1:5" x14ac:dyDescent="0.25">
      <c r="A462" t="s">
        <v>335</v>
      </c>
      <c r="B462" t="s">
        <v>335</v>
      </c>
      <c r="E462" t="s">
        <v>335</v>
      </c>
    </row>
    <row r="463" spans="1:5" x14ac:dyDescent="0.25">
      <c r="A463" t="s">
        <v>273</v>
      </c>
      <c r="B463" t="s">
        <v>273</v>
      </c>
      <c r="E463" t="s">
        <v>273</v>
      </c>
    </row>
    <row r="464" spans="1:5" x14ac:dyDescent="0.25">
      <c r="A464" t="s">
        <v>238</v>
      </c>
      <c r="B464" t="s">
        <v>238</v>
      </c>
      <c r="E464" t="s">
        <v>238</v>
      </c>
    </row>
    <row r="465" spans="1:5" x14ac:dyDescent="0.25">
      <c r="A465" t="s">
        <v>328</v>
      </c>
      <c r="B465" t="s">
        <v>328</v>
      </c>
      <c r="E465" t="s">
        <v>328</v>
      </c>
    </row>
    <row r="466" spans="1:5" x14ac:dyDescent="0.25">
      <c r="A466" t="s">
        <v>284</v>
      </c>
      <c r="B466" t="s">
        <v>284</v>
      </c>
      <c r="E466" t="s">
        <v>284</v>
      </c>
    </row>
    <row r="467" spans="1:5" x14ac:dyDescent="0.25">
      <c r="B467" s="3" t="s">
        <v>14</v>
      </c>
      <c r="E467" s="3" t="s">
        <v>14</v>
      </c>
    </row>
    <row r="468" spans="1:5" x14ac:dyDescent="0.25">
      <c r="A468" t="s">
        <v>212</v>
      </c>
      <c r="B468" t="s">
        <v>212</v>
      </c>
      <c r="E468" t="s">
        <v>212</v>
      </c>
    </row>
    <row r="469" spans="1:5" x14ac:dyDescent="0.25">
      <c r="B469" t="s">
        <v>169</v>
      </c>
      <c r="E469" t="s">
        <v>169</v>
      </c>
    </row>
    <row r="470" spans="1:5" x14ac:dyDescent="0.25">
      <c r="A470" t="s">
        <v>1134</v>
      </c>
      <c r="B470" t="s">
        <v>59</v>
      </c>
      <c r="E470" t="s">
        <v>59</v>
      </c>
    </row>
    <row r="471" spans="1:5" x14ac:dyDescent="0.25">
      <c r="B471" t="s">
        <v>235</v>
      </c>
      <c r="E471" t="s">
        <v>235</v>
      </c>
    </row>
    <row r="472" spans="1:5" x14ac:dyDescent="0.25">
      <c r="A472" t="s">
        <v>330</v>
      </c>
      <c r="B472" t="s">
        <v>330</v>
      </c>
      <c r="E472" t="s">
        <v>330</v>
      </c>
    </row>
    <row r="473" spans="1:5" x14ac:dyDescent="0.25">
      <c r="A473" t="s">
        <v>332</v>
      </c>
      <c r="B473" t="s">
        <v>332</v>
      </c>
      <c r="E473" t="s">
        <v>332</v>
      </c>
    </row>
    <row r="474" spans="1:5" x14ac:dyDescent="0.25">
      <c r="A474" t="s">
        <v>58</v>
      </c>
      <c r="B474" t="s">
        <v>58</v>
      </c>
      <c r="E474" t="s">
        <v>58</v>
      </c>
    </row>
    <row r="475" spans="1:5" x14ac:dyDescent="0.25">
      <c r="A475" t="s">
        <v>333</v>
      </c>
      <c r="B475" t="s">
        <v>333</v>
      </c>
      <c r="E475" t="s">
        <v>333</v>
      </c>
    </row>
    <row r="476" spans="1:5" x14ac:dyDescent="0.25">
      <c r="A476" t="s">
        <v>192</v>
      </c>
      <c r="B476" t="s">
        <v>192</v>
      </c>
      <c r="E476" t="s">
        <v>192</v>
      </c>
    </row>
    <row r="477" spans="1:5" x14ac:dyDescent="0.25">
      <c r="A477" t="s">
        <v>431</v>
      </c>
      <c r="B477" t="s">
        <v>431</v>
      </c>
      <c r="E477" t="s">
        <v>431</v>
      </c>
    </row>
    <row r="478" spans="1:5" x14ac:dyDescent="0.25">
      <c r="A478" t="s">
        <v>729</v>
      </c>
      <c r="B478" s="4" t="s">
        <v>729</v>
      </c>
      <c r="E478" s="4" t="s">
        <v>729</v>
      </c>
    </row>
    <row r="479" spans="1:5" x14ac:dyDescent="0.25">
      <c r="A479" t="s">
        <v>348</v>
      </c>
      <c r="B479" t="s">
        <v>348</v>
      </c>
      <c r="E479" t="s">
        <v>348</v>
      </c>
    </row>
    <row r="480" spans="1:5" x14ac:dyDescent="0.25">
      <c r="A480" t="s">
        <v>45</v>
      </c>
      <c r="B480" t="s">
        <v>45</v>
      </c>
      <c r="E480" t="s">
        <v>45</v>
      </c>
    </row>
    <row r="481" spans="1:5" x14ac:dyDescent="0.25">
      <c r="A481" t="s">
        <v>350</v>
      </c>
      <c r="B481" t="s">
        <v>350</v>
      </c>
      <c r="E481" t="s">
        <v>350</v>
      </c>
    </row>
    <row r="482" spans="1:5" x14ac:dyDescent="0.25">
      <c r="A482" t="s">
        <v>260</v>
      </c>
      <c r="B482" t="s">
        <v>260</v>
      </c>
      <c r="E482" t="s">
        <v>260</v>
      </c>
    </row>
    <row r="483" spans="1:5" x14ac:dyDescent="0.25">
      <c r="A483" t="s">
        <v>240</v>
      </c>
      <c r="B483" t="s">
        <v>240</v>
      </c>
      <c r="E483" t="s">
        <v>240</v>
      </c>
    </row>
    <row r="484" spans="1:5" x14ac:dyDescent="0.25">
      <c r="A484" t="s">
        <v>855</v>
      </c>
      <c r="B484" s="52" t="s">
        <v>855</v>
      </c>
      <c r="E484" t="s">
        <v>855</v>
      </c>
    </row>
    <row r="485" spans="1:5" x14ac:dyDescent="0.25">
      <c r="B485" t="s">
        <v>297</v>
      </c>
      <c r="E485" t="s">
        <v>297</v>
      </c>
    </row>
    <row r="486" spans="1:5" x14ac:dyDescent="0.25">
      <c r="A486" t="s">
        <v>133</v>
      </c>
      <c r="B486" t="s">
        <v>133</v>
      </c>
      <c r="E486" t="s">
        <v>133</v>
      </c>
    </row>
    <row r="487" spans="1:5" x14ac:dyDescent="0.25">
      <c r="A487" t="s">
        <v>4</v>
      </c>
      <c r="B487" t="s">
        <v>4</v>
      </c>
      <c r="E487" t="s">
        <v>4</v>
      </c>
    </row>
    <row r="488" spans="1:5" x14ac:dyDescent="0.25">
      <c r="B488" s="3" t="s">
        <v>100</v>
      </c>
      <c r="E488" s="3" t="s">
        <v>100</v>
      </c>
    </row>
    <row r="489" spans="1:5" x14ac:dyDescent="0.25">
      <c r="A489" t="s">
        <v>305</v>
      </c>
      <c r="B489" t="s">
        <v>305</v>
      </c>
      <c r="E489" t="s">
        <v>305</v>
      </c>
    </row>
    <row r="490" spans="1:5" x14ac:dyDescent="0.25">
      <c r="B490" t="s">
        <v>433</v>
      </c>
      <c r="E490" t="s">
        <v>433</v>
      </c>
    </row>
    <row r="491" spans="1:5" x14ac:dyDescent="0.25">
      <c r="A491" t="s">
        <v>248</v>
      </c>
      <c r="B491" t="s">
        <v>248</v>
      </c>
      <c r="E491" t="s">
        <v>248</v>
      </c>
    </row>
    <row r="492" spans="1:5" x14ac:dyDescent="0.25">
      <c r="B492" t="s">
        <v>434</v>
      </c>
      <c r="E492" t="s">
        <v>434</v>
      </c>
    </row>
    <row r="493" spans="1:5" x14ac:dyDescent="0.25">
      <c r="A493" t="s">
        <v>338</v>
      </c>
      <c r="B493" t="s">
        <v>338</v>
      </c>
      <c r="E493" t="s">
        <v>338</v>
      </c>
    </row>
    <row r="494" spans="1:5" x14ac:dyDescent="0.25">
      <c r="B494" t="s">
        <v>435</v>
      </c>
      <c r="E494" t="s">
        <v>435</v>
      </c>
    </row>
    <row r="495" spans="1:5" x14ac:dyDescent="0.25">
      <c r="A495" t="s">
        <v>50</v>
      </c>
      <c r="B495" t="s">
        <v>50</v>
      </c>
      <c r="E495" t="s">
        <v>50</v>
      </c>
    </row>
    <row r="496" spans="1:5" x14ac:dyDescent="0.25">
      <c r="B496" t="s">
        <v>380</v>
      </c>
      <c r="E496" t="s">
        <v>380</v>
      </c>
    </row>
    <row r="497" spans="1:5" x14ac:dyDescent="0.25">
      <c r="A497" t="s">
        <v>355</v>
      </c>
      <c r="B497" t="s">
        <v>355</v>
      </c>
      <c r="E497" t="s">
        <v>355</v>
      </c>
    </row>
    <row r="498" spans="1:5" x14ac:dyDescent="0.25">
      <c r="B498" t="s">
        <v>436</v>
      </c>
      <c r="E498" t="s">
        <v>436</v>
      </c>
    </row>
    <row r="499" spans="1:5" x14ac:dyDescent="0.25">
      <c r="A499" t="s">
        <v>249</v>
      </c>
      <c r="B499" t="s">
        <v>249</v>
      </c>
      <c r="E499" t="s">
        <v>249</v>
      </c>
    </row>
    <row r="500" spans="1:5" x14ac:dyDescent="0.25">
      <c r="B500" t="s">
        <v>74</v>
      </c>
      <c r="E500" t="s">
        <v>74</v>
      </c>
    </row>
    <row r="501" spans="1:5" x14ac:dyDescent="0.25">
      <c r="A501" t="s">
        <v>362</v>
      </c>
      <c r="B501" t="s">
        <v>362</v>
      </c>
      <c r="E501" t="s">
        <v>362</v>
      </c>
    </row>
    <row r="502" spans="1:5" x14ac:dyDescent="0.25">
      <c r="A502" t="s">
        <v>207</v>
      </c>
      <c r="B502" t="s">
        <v>207</v>
      </c>
      <c r="E502" t="s">
        <v>207</v>
      </c>
    </row>
    <row r="503" spans="1:5" x14ac:dyDescent="0.25">
      <c r="A503" t="s">
        <v>907</v>
      </c>
      <c r="B503" t="s">
        <v>363</v>
      </c>
      <c r="E503" t="s">
        <v>363</v>
      </c>
    </row>
    <row r="504" spans="1:5" x14ac:dyDescent="0.25">
      <c r="A504" t="s">
        <v>367</v>
      </c>
      <c r="B504" t="s">
        <v>367</v>
      </c>
      <c r="E504" t="s">
        <v>367</v>
      </c>
    </row>
    <row r="505" spans="1:5" x14ac:dyDescent="0.25">
      <c r="B505" t="s">
        <v>36</v>
      </c>
      <c r="E505" t="s">
        <v>36</v>
      </c>
    </row>
    <row r="506" spans="1:5" x14ac:dyDescent="0.25">
      <c r="B506" t="s">
        <v>287</v>
      </c>
      <c r="E506" t="s">
        <v>287</v>
      </c>
    </row>
    <row r="507" spans="1:5" x14ac:dyDescent="0.25">
      <c r="B507" t="s">
        <v>437</v>
      </c>
      <c r="E507" t="s">
        <v>437</v>
      </c>
    </row>
    <row r="508" spans="1:5" x14ac:dyDescent="0.25">
      <c r="A508" t="s">
        <v>281</v>
      </c>
      <c r="B508" t="s">
        <v>281</v>
      </c>
      <c r="E508" t="s">
        <v>281</v>
      </c>
    </row>
    <row r="509" spans="1:5" x14ac:dyDescent="0.25">
      <c r="A509" t="s">
        <v>370</v>
      </c>
      <c r="B509" t="s">
        <v>370</v>
      </c>
      <c r="E509" t="s">
        <v>370</v>
      </c>
    </row>
    <row r="510" spans="1:5" x14ac:dyDescent="0.25">
      <c r="A510" t="s">
        <v>274</v>
      </c>
      <c r="B510" t="s">
        <v>274</v>
      </c>
      <c r="E510" t="s">
        <v>274</v>
      </c>
    </row>
    <row r="511" spans="1:5" x14ac:dyDescent="0.25">
      <c r="A511" t="s">
        <v>156</v>
      </c>
      <c r="B511" t="s">
        <v>156</v>
      </c>
      <c r="E511" t="s">
        <v>156</v>
      </c>
    </row>
    <row r="512" spans="1:5" x14ac:dyDescent="0.25">
      <c r="A512" t="s">
        <v>217</v>
      </c>
      <c r="B512" t="s">
        <v>217</v>
      </c>
      <c r="E512" t="s">
        <v>217</v>
      </c>
    </row>
    <row r="513" spans="1:5" x14ac:dyDescent="0.25">
      <c r="A513" t="s">
        <v>77</v>
      </c>
      <c r="B513" t="s">
        <v>77</v>
      </c>
      <c r="E513" t="s">
        <v>77</v>
      </c>
    </row>
    <row r="514" spans="1:5" x14ac:dyDescent="0.25">
      <c r="A514" t="s">
        <v>482</v>
      </c>
      <c r="B514" t="s">
        <v>482</v>
      </c>
      <c r="E514" t="s">
        <v>482</v>
      </c>
    </row>
    <row r="515" spans="1:5" x14ac:dyDescent="0.25">
      <c r="A515" t="s">
        <v>40</v>
      </c>
      <c r="B515" t="s">
        <v>40</v>
      </c>
      <c r="E515" t="s">
        <v>40</v>
      </c>
    </row>
    <row r="516" spans="1:5" x14ac:dyDescent="0.25">
      <c r="A516" t="s">
        <v>310</v>
      </c>
      <c r="B516" t="s">
        <v>310</v>
      </c>
      <c r="E516" t="s">
        <v>310</v>
      </c>
    </row>
    <row r="517" spans="1:5" x14ac:dyDescent="0.25">
      <c r="A517" t="s">
        <v>79</v>
      </c>
      <c r="B517" t="s">
        <v>79</v>
      </c>
      <c r="E517" t="s">
        <v>79</v>
      </c>
    </row>
    <row r="518" spans="1:5" x14ac:dyDescent="0.25">
      <c r="A518" t="s">
        <v>438</v>
      </c>
      <c r="B518" s="4" t="s">
        <v>438</v>
      </c>
      <c r="E518" s="4" t="s">
        <v>438</v>
      </c>
    </row>
    <row r="519" spans="1:5" x14ac:dyDescent="0.25">
      <c r="B519" s="4" t="s">
        <v>737</v>
      </c>
      <c r="E519" s="4" t="s">
        <v>737</v>
      </c>
    </row>
    <row r="520" spans="1:5" x14ac:dyDescent="0.25">
      <c r="B520" t="s">
        <v>371</v>
      </c>
      <c r="E520" t="s">
        <v>371</v>
      </c>
    </row>
    <row r="521" spans="1:5" x14ac:dyDescent="0.25">
      <c r="A521" t="s">
        <v>372</v>
      </c>
      <c r="B521" t="s">
        <v>372</v>
      </c>
      <c r="E521" t="s">
        <v>372</v>
      </c>
    </row>
    <row r="522" spans="1:5" x14ac:dyDescent="0.25">
      <c r="A522" t="s">
        <v>105</v>
      </c>
      <c r="B522" t="s">
        <v>105</v>
      </c>
      <c r="E522" t="s">
        <v>105</v>
      </c>
    </row>
    <row r="523" spans="1:5" x14ac:dyDescent="0.25">
      <c r="A523" t="s">
        <v>177</v>
      </c>
      <c r="B523" t="s">
        <v>177</v>
      </c>
      <c r="E523" t="s">
        <v>177</v>
      </c>
    </row>
    <row r="524" spans="1:5" x14ac:dyDescent="0.25">
      <c r="A524" t="s">
        <v>439</v>
      </c>
      <c r="B524" t="s">
        <v>439</v>
      </c>
      <c r="E524" t="s">
        <v>439</v>
      </c>
    </row>
    <row r="525" spans="1:5" x14ac:dyDescent="0.25">
      <c r="A525" t="s">
        <v>374</v>
      </c>
      <c r="B525" t="s">
        <v>374</v>
      </c>
      <c r="E525" t="s">
        <v>374</v>
      </c>
    </row>
    <row r="526" spans="1:5" x14ac:dyDescent="0.25">
      <c r="A526" t="s">
        <v>376</v>
      </c>
      <c r="B526" t="s">
        <v>376</v>
      </c>
      <c r="E526" t="s">
        <v>376</v>
      </c>
    </row>
    <row r="527" spans="1:5" x14ac:dyDescent="0.25">
      <c r="A527" t="s">
        <v>440</v>
      </c>
      <c r="B527" s="4" t="s">
        <v>440</v>
      </c>
      <c r="E527" s="48" t="s">
        <v>440</v>
      </c>
    </row>
    <row r="528" spans="1:5" x14ac:dyDescent="0.25">
      <c r="A528" t="s">
        <v>218</v>
      </c>
      <c r="B528" t="s">
        <v>218</v>
      </c>
      <c r="E528" t="s">
        <v>218</v>
      </c>
    </row>
    <row r="529" spans="1:5" x14ac:dyDescent="0.25">
      <c r="A529" t="s">
        <v>157</v>
      </c>
      <c r="B529" t="s">
        <v>157</v>
      </c>
      <c r="E529" t="s">
        <v>157</v>
      </c>
    </row>
    <row r="530" spans="1:5" x14ac:dyDescent="0.25">
      <c r="A530" t="s">
        <v>1137</v>
      </c>
      <c r="B530" t="s">
        <v>57</v>
      </c>
      <c r="E530" t="s">
        <v>57</v>
      </c>
    </row>
    <row r="532" spans="1:5" x14ac:dyDescent="0.25">
      <c r="A532" t="s">
        <v>528</v>
      </c>
      <c r="B532" t="s">
        <v>528</v>
      </c>
      <c r="E532" t="s">
        <v>389</v>
      </c>
    </row>
    <row r="533" spans="1:5" x14ac:dyDescent="0.25">
      <c r="B533" t="s">
        <v>344</v>
      </c>
      <c r="E533" s="59" t="s">
        <v>344</v>
      </c>
    </row>
    <row r="534" spans="1:5" x14ac:dyDescent="0.25">
      <c r="A534" t="s">
        <v>347</v>
      </c>
      <c r="B534" t="s">
        <v>347</v>
      </c>
      <c r="E534" s="5" t="s">
        <v>347</v>
      </c>
    </row>
    <row r="535" spans="1:5" x14ac:dyDescent="0.25">
      <c r="A535" t="s">
        <v>6</v>
      </c>
      <c r="B535" t="s">
        <v>6</v>
      </c>
    </row>
  </sheetData>
  <conditionalFormatting sqref="A427:A432">
    <cfRule type="duplicateValues" dxfId="0" priority="6"/>
  </conditionalFormatting>
  <pageMargins left="0.7" right="0.7" top="0.75" bottom="0.75" header="0.3" footer="0.3"/>
  <legacyDrawing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11F4C-8C53-4905-B28D-F02949FE7D36}">
  <sheetPr codeName="Blad21"/>
  <dimension ref="A2:B6"/>
  <sheetViews>
    <sheetView workbookViewId="0">
      <selection activeCell="B153" sqref="B153"/>
    </sheetView>
  </sheetViews>
  <sheetFormatPr defaultRowHeight="15" x14ac:dyDescent="0.25"/>
  <cols>
    <col min="1" max="1" width="18.42578125" bestFit="1" customWidth="1"/>
  </cols>
  <sheetData>
    <row r="2" spans="1:2" x14ac:dyDescent="0.25">
      <c r="A2" s="92" t="s">
        <v>1057</v>
      </c>
      <c r="B2" t="s">
        <v>1058</v>
      </c>
    </row>
    <row r="3" spans="1:2" x14ac:dyDescent="0.25">
      <c r="A3" s="77" t="s">
        <v>1059</v>
      </c>
      <c r="B3" t="s">
        <v>1060</v>
      </c>
    </row>
    <row r="4" spans="1:2" x14ac:dyDescent="0.25">
      <c r="A4" s="43" t="s">
        <v>1061</v>
      </c>
      <c r="B4" t="s">
        <v>1075</v>
      </c>
    </row>
    <row r="5" spans="1:2" x14ac:dyDescent="0.25">
      <c r="A5" s="65" t="s">
        <v>1062</v>
      </c>
      <c r="B5" t="s">
        <v>1063</v>
      </c>
    </row>
    <row r="6" spans="1:2" x14ac:dyDescent="0.25">
      <c r="A6" s="100" t="s">
        <v>1076</v>
      </c>
      <c r="B6" t="s">
        <v>1077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O3:Q7"/>
  <sheetViews>
    <sheetView showGridLines="0" zoomScale="80" zoomScaleNormal="80" workbookViewId="0">
      <selection activeCell="O22" sqref="O22"/>
    </sheetView>
  </sheetViews>
  <sheetFormatPr defaultRowHeight="15" x14ac:dyDescent="0.25"/>
  <cols>
    <col min="15" max="16" width="9.85546875" bestFit="1" customWidth="1"/>
  </cols>
  <sheetData>
    <row r="3" spans="15:17" x14ac:dyDescent="0.25">
      <c r="O3" s="1"/>
      <c r="P3" s="1"/>
      <c r="Q3" s="1"/>
    </row>
    <row r="7" spans="15:17" x14ac:dyDescent="0.25">
      <c r="O7" s="1"/>
      <c r="P7" s="1"/>
      <c r="Q7" s="1"/>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3" r:id="rId4" name="Drop Down 5">
              <controlPr defaultSize="0" autoLine="0" autoPict="0">
                <anchor moveWithCells="1">
                  <from>
                    <xdr:col>1</xdr:col>
                    <xdr:colOff>0</xdr:colOff>
                    <xdr:row>1</xdr:row>
                    <xdr:rowOff>180975</xdr:rowOff>
                  </from>
                  <to>
                    <xdr:col>5</xdr:col>
                    <xdr:colOff>9525</xdr:colOff>
                    <xdr:row>3</xdr:row>
                    <xdr:rowOff>0</xdr:rowOff>
                  </to>
                </anchor>
              </controlPr>
            </control>
          </mc:Choice>
        </mc:AlternateContent>
        <mc:AlternateContent xmlns:mc="http://schemas.openxmlformats.org/markup-compatibility/2006">
          <mc:Choice Requires="x14">
            <control shapeId="2054" r:id="rId5" name="Check Box 6">
              <controlPr defaultSize="0" autoFill="0" autoLine="0" autoPict="0">
                <anchor moveWithCells="1">
                  <from>
                    <xdr:col>5</xdr:col>
                    <xdr:colOff>266700</xdr:colOff>
                    <xdr:row>3</xdr:row>
                    <xdr:rowOff>161925</xdr:rowOff>
                  </from>
                  <to>
                    <xdr:col>7</xdr:col>
                    <xdr:colOff>476250</xdr:colOff>
                    <xdr:row>5</xdr:row>
                    <xdr:rowOff>38100</xdr:rowOff>
                  </to>
                </anchor>
              </controlPr>
            </control>
          </mc:Choice>
        </mc:AlternateContent>
        <mc:AlternateContent xmlns:mc="http://schemas.openxmlformats.org/markup-compatibility/2006">
          <mc:Choice Requires="x14">
            <control shapeId="2055" r:id="rId6" name="Check Box 7">
              <controlPr defaultSize="0" autoFill="0" autoLine="0" autoPict="0">
                <anchor moveWithCells="1">
                  <from>
                    <xdr:col>1</xdr:col>
                    <xdr:colOff>9525</xdr:colOff>
                    <xdr:row>3</xdr:row>
                    <xdr:rowOff>152400</xdr:rowOff>
                  </from>
                  <to>
                    <xdr:col>5</xdr:col>
                    <xdr:colOff>104775</xdr:colOff>
                    <xdr:row>5</xdr:row>
                    <xdr:rowOff>19050</xdr:rowOff>
                  </to>
                </anchor>
              </controlPr>
            </control>
          </mc:Choice>
        </mc:AlternateContent>
        <mc:AlternateContent xmlns:mc="http://schemas.openxmlformats.org/markup-compatibility/2006">
          <mc:Choice Requires="x14">
            <control shapeId="2056" r:id="rId7" name="Check Box 8">
              <controlPr defaultSize="0" autoFill="0" autoLine="0" autoPict="0">
                <anchor moveWithCells="1">
                  <from>
                    <xdr:col>1</xdr:col>
                    <xdr:colOff>9525</xdr:colOff>
                    <xdr:row>5</xdr:row>
                    <xdr:rowOff>76200</xdr:rowOff>
                  </from>
                  <to>
                    <xdr:col>5</xdr:col>
                    <xdr:colOff>104775</xdr:colOff>
                    <xdr:row>6</xdr:row>
                    <xdr:rowOff>142875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A1:AG11"/>
  <sheetViews>
    <sheetView zoomScale="80" zoomScaleNormal="85" workbookViewId="0">
      <selection activeCell="F35" sqref="F35"/>
    </sheetView>
  </sheetViews>
  <sheetFormatPr defaultRowHeight="15" x14ac:dyDescent="0.25"/>
  <cols>
    <col min="1" max="1" width="32.28515625" bestFit="1" customWidth="1"/>
    <col min="2" max="23" width="10" customWidth="1"/>
    <col min="24" max="27" width="10.85546875" bestFit="1" customWidth="1"/>
    <col min="28" max="28" width="11.5703125" customWidth="1"/>
  </cols>
  <sheetData>
    <row r="1" spans="1:33" x14ac:dyDescent="0.25">
      <c r="B1">
        <v>3</v>
      </c>
      <c r="C1">
        <v>4</v>
      </c>
      <c r="D1">
        <v>5</v>
      </c>
      <c r="E1">
        <v>6</v>
      </c>
      <c r="F1">
        <v>7</v>
      </c>
      <c r="G1">
        <v>8</v>
      </c>
      <c r="H1">
        <v>9</v>
      </c>
      <c r="I1">
        <v>10</v>
      </c>
      <c r="J1">
        <v>11</v>
      </c>
      <c r="K1">
        <v>12</v>
      </c>
      <c r="L1">
        <v>13</v>
      </c>
      <c r="M1">
        <v>14</v>
      </c>
      <c r="N1">
        <v>15</v>
      </c>
      <c r="O1">
        <v>16</v>
      </c>
      <c r="P1">
        <v>17</v>
      </c>
      <c r="Q1">
        <v>18</v>
      </c>
      <c r="R1">
        <v>19</v>
      </c>
      <c r="S1">
        <v>20</v>
      </c>
      <c r="T1">
        <v>21</v>
      </c>
      <c r="U1">
        <v>22</v>
      </c>
      <c r="V1">
        <v>23</v>
      </c>
      <c r="W1">
        <v>24</v>
      </c>
      <c r="X1">
        <v>25</v>
      </c>
      <c r="Y1">
        <v>26</v>
      </c>
      <c r="Z1">
        <v>27</v>
      </c>
      <c r="AA1">
        <v>28</v>
      </c>
    </row>
    <row r="2" spans="1:33" x14ac:dyDescent="0.25">
      <c r="A2" s="1" t="s">
        <v>499</v>
      </c>
      <c r="B2" s="1" t="s">
        <v>498</v>
      </c>
    </row>
    <row r="3" spans="1:33" x14ac:dyDescent="0.25">
      <c r="A3" s="20">
        <v>1</v>
      </c>
      <c r="B3" t="b">
        <v>1</v>
      </c>
      <c r="AC3" s="9"/>
      <c r="AD3" s="9"/>
      <c r="AE3" s="9"/>
      <c r="AF3" s="9"/>
      <c r="AG3" s="9"/>
    </row>
    <row r="4" spans="1:33" x14ac:dyDescent="0.25">
      <c r="A4" s="20"/>
      <c r="B4" t="b">
        <v>1</v>
      </c>
      <c r="AC4" s="9"/>
      <c r="AD4" s="9"/>
      <c r="AE4" s="9"/>
      <c r="AF4" s="9"/>
      <c r="AG4" s="9"/>
    </row>
    <row r="5" spans="1:33" x14ac:dyDescent="0.25">
      <c r="A5" t="str">
        <f>INDEX('Korrigerade leveranser GD'!A3:A493,Funktionsblad!A3)</f>
        <v>Alla orter</v>
      </c>
      <c r="B5" t="b">
        <v>1</v>
      </c>
      <c r="AC5" s="9"/>
      <c r="AD5" s="9"/>
      <c r="AE5" s="9"/>
      <c r="AF5" s="9"/>
      <c r="AG5" s="9"/>
    </row>
    <row r="8" spans="1:33" x14ac:dyDescent="0.25">
      <c r="B8" s="1">
        <v>1996</v>
      </c>
      <c r="C8" s="1">
        <v>1997</v>
      </c>
      <c r="D8" s="1">
        <v>1998</v>
      </c>
      <c r="E8" s="1">
        <v>1999</v>
      </c>
      <c r="F8" s="1">
        <v>2000</v>
      </c>
      <c r="G8" s="1">
        <v>2001</v>
      </c>
      <c r="H8" s="1">
        <v>2002</v>
      </c>
      <c r="I8" s="1">
        <v>2003</v>
      </c>
      <c r="J8" s="1">
        <v>2004</v>
      </c>
      <c r="K8" s="1">
        <v>2005</v>
      </c>
      <c r="L8" s="1">
        <v>2006</v>
      </c>
      <c r="M8" s="1">
        <v>2007</v>
      </c>
      <c r="N8" s="1">
        <v>2008</v>
      </c>
      <c r="O8" s="1">
        <v>2009</v>
      </c>
      <c r="P8" s="1">
        <v>2010</v>
      </c>
      <c r="Q8" s="1">
        <v>2011</v>
      </c>
      <c r="R8" s="1">
        <v>2012</v>
      </c>
      <c r="S8" s="1">
        <v>2013</v>
      </c>
      <c r="T8" s="1">
        <v>2014</v>
      </c>
      <c r="U8" s="1">
        <v>2015</v>
      </c>
      <c r="V8" s="1">
        <v>2016</v>
      </c>
      <c r="W8" s="1">
        <v>2017</v>
      </c>
      <c r="X8" s="1">
        <v>2018</v>
      </c>
      <c r="Y8" s="1">
        <v>2019</v>
      </c>
      <c r="Z8" s="1">
        <v>2020</v>
      </c>
      <c r="AA8" s="1">
        <v>2021</v>
      </c>
      <c r="AB8" s="1">
        <v>2022</v>
      </c>
    </row>
    <row r="9" spans="1:33" x14ac:dyDescent="0.25">
      <c r="A9" s="1" t="s">
        <v>831</v>
      </c>
      <c r="B9" s="19">
        <f>IFERROR(IF($B$3=TRUE, VLOOKUP($A$5,'Korrigerade leveranser GD'!$A$1:$AA$493, 'Korrigerade leveranser GD'!C1,FALSE),-1000),-1000)</f>
        <v>39908.924137931041</v>
      </c>
      <c r="C9" s="19">
        <f>IFERROR(IF($B$3=TRUE, VLOOKUP($A$5,'Korrigerade leveranser GD'!$A$1:$AA$493, 'Korrigerade leveranser GD'!D1,FALSE),-1000),-1000)</f>
        <v>40412.598039215685</v>
      </c>
      <c r="D9" s="19">
        <f>IFERROR(IF($B$3=TRUE, VLOOKUP($A$5,'Korrigerade leveranser GD'!$A$1:$AA$493, 'Korrigerade leveranser GD'!E1,FALSE),-1000),-1000)</f>
        <v>43316.125252525249</v>
      </c>
      <c r="E9" s="19">
        <f>IFERROR(IF($B$3=TRUE, VLOOKUP($A$5,'Korrigerade leveranser GD'!$A$1:$AA$493, 'Korrigerade leveranser GD'!F1,FALSE),-1000),-1000)</f>
        <v>44453.41864512123</v>
      </c>
      <c r="F9" s="19">
        <f>IFERROR(IF($B$3=TRUE, VLOOKUP($A$5,'Korrigerade leveranser GD'!$A$1:$AA$493, 'Korrigerade leveranser GD'!G1,FALSE),-1000),-1000)</f>
        <v>44993.323574582413</v>
      </c>
      <c r="G9" s="19">
        <f>IFERROR(IF($B$3=TRUE, VLOOKUP($A$5,'Korrigerade leveranser GD'!$A$1:$AA$493, 'Korrigerade leveranser GD'!H1,FALSE),-1000),-1000)</f>
        <v>46463.371486969852</v>
      </c>
      <c r="H9" s="19">
        <f>IFERROR(IF($B$3=TRUE, VLOOKUP($A$5,'Korrigerade leveranser GD'!$A$1:$AA$493, 'Korrigerade leveranser GD'!I1,FALSE),-1000),-1000)</f>
        <v>48193.918639865427</v>
      </c>
      <c r="I9" s="19">
        <f>IFERROR(IF($B$3=TRUE, VLOOKUP($A$5,'Korrigerade leveranser GD'!$A$1:$AA$493, 'Korrigerade leveranser GD'!J1,FALSE),-1000),-1000)</f>
        <v>48384.403860337297</v>
      </c>
      <c r="J9" s="19">
        <f>IFERROR(IF($B$3=TRUE, VLOOKUP($A$5,'Korrigerade leveranser GD'!$A$1:$AA$493, 'Korrigerade leveranser GD'!K1,FALSE),-1000),-1000)</f>
        <v>48714.291720864865</v>
      </c>
      <c r="K9" s="19">
        <f>IFERROR(IF($B$3=TRUE, VLOOKUP($A$5,'Korrigerade leveranser GD'!$A$1:$AA$493, 'Korrigerade leveranser GD'!L1,FALSE),-1000),-1000)</f>
        <v>50629.957062505644</v>
      </c>
      <c r="L9" s="19">
        <f>IFERROR(IF($B$3=TRUE, VLOOKUP($A$5,'Korrigerade leveranser GD'!$A$1:$AA$493, 'Korrigerade leveranser GD'!M1,FALSE),-1000),-1000)</f>
        <v>50365.739265329918</v>
      </c>
      <c r="M9" s="19">
        <f>IFERROR(IF($B$3=TRUE, VLOOKUP($A$5,'Korrigerade leveranser GD'!$A$1:$AA$493, 'Korrigerade leveranser GD'!N1,FALSE),-1000),-1000)</f>
        <v>53870.902313866092</v>
      </c>
      <c r="N9" s="19">
        <f>IFERROR(IF($B$3=TRUE, VLOOKUP($A$5,'Korrigerade leveranser GD'!$A$1:$AA$493, 'Korrigerade leveranser GD'!O1,FALSE),-1000),-1000)</f>
        <v>54896.656794641283</v>
      </c>
      <c r="O9" s="19">
        <f>IFERROR(IF($B$3=TRUE, VLOOKUP($A$5,'Korrigerade leveranser GD'!$A$1:$AA$493, 'Korrigerade leveranser GD'!P1,FALSE),-1000),-1000)</f>
        <v>53872.628832496368</v>
      </c>
      <c r="P9" s="19">
        <f>IFERROR(IF($B$3=TRUE, VLOOKUP($A$5,'Korrigerade leveranser GD'!$A$1:$AA$493, 'Korrigerade leveranser GD'!Q1,FALSE),-1000),-1000)</f>
        <v>54637.195565624286</v>
      </c>
      <c r="Q9" s="19">
        <f>IFERROR(IF($B$3=TRUE, VLOOKUP($A$5,'Korrigerade leveranser GD'!$A$1:$AA$493, 'Korrigerade leveranser GD'!R1,FALSE),-1000),-1000)</f>
        <v>54220.87952494176</v>
      </c>
      <c r="R9" s="19">
        <f>IFERROR(IF($B$3=TRUE, VLOOKUP($A$5,'Korrigerade leveranser GD'!$A$1:$AA$493, 'Korrigerade leveranser GD'!S1,FALSE),-1000),-1000)</f>
        <v>52943.193010005503</v>
      </c>
      <c r="S9" s="19">
        <f>IFERROR(IF($B$3=TRUE, VLOOKUP($A$5,'Korrigerade leveranser GD'!$A$1:$AA$493, 'Korrigerade leveranser GD'!T1,FALSE),-1000),-1000)</f>
        <v>53418.749999999985</v>
      </c>
      <c r="T9" s="19">
        <f>IFERROR(IF($B$3=TRUE, VLOOKUP($A$5,'Korrigerade leveranser GD'!$A$1:$AA$493, 'Korrigerade leveranser GD'!U1,FALSE),-1000),-1000)</f>
        <v>52980.243808049512</v>
      </c>
      <c r="U9" s="19">
        <f>IFERROR(IF($B$3=TRUE, VLOOKUP($A$5,'Korrigerade leveranser GD'!$A$1:$AA$493, 'Korrigerade leveranser GD'!V1,FALSE),-1000),-1000)</f>
        <v>53095.226310648024</v>
      </c>
      <c r="V9" s="19">
        <f>IFERROR(IF($B$3=TRUE, VLOOKUP($A$5,'Korrigerade leveranser GD'!$A$1:$AA$493, 'Korrigerade leveranser GD'!W1,FALSE),-1000),-1000)</f>
        <v>53845.242718446621</v>
      </c>
      <c r="W9" s="19">
        <f>IFERROR(IF($B$3=TRUE, VLOOKUP($A$5,'Korrigerade leveranser GD'!$A$1:$AA$493, 'Korrigerade leveranser GD'!X1,FALSE),-1000),-1000)</f>
        <v>53162.054173832534</v>
      </c>
      <c r="X9" s="19">
        <f>IFERROR(IF($B$3=TRUE, VLOOKUP($A$5,'Korrigerade leveranser GD'!$A$1:$AA$493, 'Korrigerade leveranser GD'!Y1,FALSE),-1000),-1000)</f>
        <v>53900.719810002833</v>
      </c>
      <c r="Y9" s="19">
        <f>IFERROR(IF($B$3=TRUE, VLOOKUP($A$5,'Korrigerade leveranser GD'!$A$1:$AA$493, 'Korrigerade leveranser GD'!Z1,FALSE),-1000),-1000)</f>
        <v>53778.339028788199</v>
      </c>
      <c r="Z9" s="19">
        <f>IFERROR(IF($B$3=TRUE, VLOOKUP($A$5,'Korrigerade leveranser GD'!$A$1:$AA$493, 'Korrigerade leveranser GD'!AA1,FALSE),-1000),-1000)</f>
        <v>53278.790095081938</v>
      </c>
      <c r="AA9" s="19">
        <f>IFERROR(IF($B$3=TRUE, VLOOKUP($A$5,'Korrigerade leveranser GD'!$A$1:$BA$493, 'Korrigerade leveranser GD'!AB1,FALSE),-1000),-1000)</f>
        <v>52591.935345572623</v>
      </c>
      <c r="AB9" s="19">
        <f>IFERROR(IF($B$3=TRUE, VLOOKUP($A$5,'Korrigerade leveranser GD'!$A$1:$BA$493, 'Korrigerade leveranser GD'!AC1,FALSE),-1000),-1000)</f>
        <v>50780.94305315175</v>
      </c>
    </row>
    <row r="10" spans="1:33" x14ac:dyDescent="0.25">
      <c r="A10" s="1" t="s">
        <v>832</v>
      </c>
      <c r="B10" s="79">
        <f>IFERROR(IF($B$4=TRUE, VLOOKUP($A$5, 'Korrigerade leveranser EI'!$A$3:'Korrigerade leveranser EI'!$AB$521, 'Korrigerade leveranser EI'!C1,FALSE),-1000),-1000)</f>
        <v>41759.437024061954</v>
      </c>
      <c r="C10" s="79">
        <f>IFERROR(IF($B$4=TRUE, VLOOKUP($A$5, 'Korrigerade leveranser EI'!$A$3:'Korrigerade leveranser EI'!$AB$521, 'Korrigerade leveranser EI'!D1,FALSE),-1000),-1000)</f>
        <v>41285.222126756293</v>
      </c>
      <c r="D10" s="79">
        <f>IFERROR(IF($B$4=TRUE, VLOOKUP($A$5, 'Korrigerade leveranser EI'!$A$3:'Korrigerade leveranser EI'!$AB$521, 'Korrigerade leveranser EI'!E1,FALSE),-1000),-1000)</f>
        <v>42103.871554650381</v>
      </c>
      <c r="E10" s="79">
        <f>IFERROR(IF($B$4=TRUE, VLOOKUP($A$5, 'Korrigerade leveranser EI'!$A$3:'Korrigerade leveranser EI'!$AB$521, 'Korrigerade leveranser EI'!F1,FALSE),-1000),-1000)</f>
        <v>44105.857365933844</v>
      </c>
      <c r="F10" s="79">
        <f>IFERROR(IF($B$4=TRUE, VLOOKUP($A$5, 'Korrigerade leveranser EI'!$A$3:'Korrigerade leveranser EI'!$AB$521, 'Korrigerade leveranser EI'!G1,FALSE),-1000),-1000)</f>
        <v>44177.746359356177</v>
      </c>
      <c r="G10" s="79">
        <f>IFERROR(IF($B$4=TRUE, VLOOKUP($A$5, 'Korrigerade leveranser EI'!$A$3:'Korrigerade leveranser EI'!$AB$521, 'Korrigerade leveranser EI'!H1,FALSE),-1000),-1000)</f>
        <v>46557.191765763964</v>
      </c>
      <c r="H10" s="79">
        <f>IFERROR(IF($B$4=TRUE, VLOOKUP($A$5, 'Korrigerade leveranser EI'!$A$3:'Korrigerade leveranser EI'!$AB$521, 'Korrigerade leveranser EI'!I1,FALSE),-1000),-1000)</f>
        <v>48569.352969519219</v>
      </c>
      <c r="I10" s="79">
        <f>IFERROR(IF($B$4=TRUE, VLOOKUP($A$5, 'Korrigerade leveranser EI'!$A$3:'Korrigerade leveranser EI'!$AB$521, 'Korrigerade leveranser EI'!J1,FALSE),-1000),-1000)</f>
        <v>48404.147171067241</v>
      </c>
      <c r="J10" s="79">
        <f>IFERROR(IF($B$4=TRUE, VLOOKUP($A$5, 'Korrigerade leveranser EI'!$A$3:'Korrigerade leveranser EI'!$AB$521, 'Korrigerade leveranser EI'!K1,FALSE),-1000),-1000)</f>
        <v>48607.796207073297</v>
      </c>
      <c r="K10" s="79">
        <f>IFERROR(IF($B$4=TRUE, VLOOKUP($A$5, 'Korrigerade leveranser EI'!$A$3:'Korrigerade leveranser EI'!$AB$521, 'Korrigerade leveranser EI'!L1,FALSE),-1000),-1000)</f>
        <v>50312.610678590216</v>
      </c>
      <c r="L10" s="79">
        <f>IFERROR(IF($B$4=TRUE, VLOOKUP($A$5, 'Korrigerade leveranser EI'!$A$3:'Korrigerade leveranser EI'!$AB$521, 'Korrigerade leveranser EI'!M1,FALSE),-1000),-1000)</f>
        <v>50294.089607929738</v>
      </c>
      <c r="M10" s="79">
        <f>IFERROR(IF($B$4=TRUE, VLOOKUP($A$5, 'Korrigerade leveranser EI'!$A$3:'Korrigerade leveranser EI'!$AB$521, 'Korrigerade leveranser EI'!N1,FALSE),-1000),-1000)</f>
        <v>54267.367691696076</v>
      </c>
      <c r="N10" s="79">
        <f>IFERROR(IF($B$4=TRUE, VLOOKUP($A$5, 'Korrigerade leveranser EI'!$A$3:'Korrigerade leveranser EI'!$AB$521, 'Korrigerade leveranser EI'!O1,FALSE),-1000),-1000)</f>
        <v>54673.56625705176</v>
      </c>
      <c r="O10" s="79">
        <f>IFERROR(IF($B$4=TRUE, VLOOKUP($A$5, 'Korrigerade leveranser EI'!$A$3:'Korrigerade leveranser EI'!$AB$521, 'Korrigerade leveranser EI'!P1,FALSE),-1000),-1000)</f>
        <v>54730.223174596991</v>
      </c>
      <c r="P10" s="79">
        <f>IFERROR(IF($B$4=TRUE, VLOOKUP($A$5, 'Korrigerade leveranser EI'!$A$3:'Korrigerade leveranser EI'!$AB$521, 'Korrigerade leveranser EI'!Q1,FALSE),-1000),-1000)</f>
        <v>55903.329131451173</v>
      </c>
      <c r="Q10" s="79">
        <f>IFERROR(IF($B$4=TRUE, VLOOKUP($A$5, 'Korrigerade leveranser EI'!$A$3:'Korrigerade leveranser EI'!$AB$521, 'Korrigerade leveranser EI'!R1,FALSE),-1000),-1000)</f>
        <v>53970.358299733271</v>
      </c>
      <c r="R10" s="79">
        <f>IFERROR(IF($B$4=TRUE, VLOOKUP($A$5, 'Korrigerade leveranser EI'!$A$3:'Korrigerade leveranser EI'!$AB$521, 'Korrigerade leveranser EI'!S1,FALSE),-1000),-1000)</f>
        <v>52921.901018773409</v>
      </c>
      <c r="S10" s="79">
        <f>IFERROR(IF($B$4=TRUE, VLOOKUP($A$5, 'Korrigerade leveranser EI'!$A$3:'Korrigerade leveranser EI'!$AB$521, 'Korrigerade leveranser EI'!T1,FALSE),-1000),-1000)</f>
        <v>53306.899281324862</v>
      </c>
      <c r="T10" s="79">
        <f>IFERROR(IF($B$4=TRUE, VLOOKUP($A$5, 'Korrigerade leveranser EI'!$A$3:'Korrigerade leveranser EI'!$AB$521, 'Korrigerade leveranser EI'!U1,FALSE),-1000),-1000)</f>
        <v>52781.981981981982</v>
      </c>
      <c r="U10" s="79">
        <f>IFERROR(IF($B$4=TRUE, VLOOKUP($A$5, 'Korrigerade leveranser EI'!$A$3:'Korrigerade leveranser EI'!$AB$521, 'Korrigerade leveranser EI'!V1,FALSE),-1000),-1000)</f>
        <v>52385.85635359116</v>
      </c>
      <c r="V10" s="79">
        <f>IFERROR(IF($B$4=TRUE, VLOOKUP($A$5, 'Korrigerade leveranser EI'!$A$3:'Korrigerade leveranser EI'!$AB$521, 'Korrigerade leveranser EI'!W1,FALSE),-1000),-1000)</f>
        <v>53397.622968123287</v>
      </c>
      <c r="W10" s="79">
        <f>IFERROR(IF($B$4=TRUE, VLOOKUP($A$5, 'Korrigerade leveranser EI'!$A$3:'Korrigerade leveranser EI'!$AB$521, 'Korrigerade leveranser EI'!X1,FALSE),-1000),-1000)</f>
        <v>52768.142623297077</v>
      </c>
      <c r="X10" s="79">
        <f>IFERROR(IF($B$4=TRUE, VLOOKUP($A$5, 'Korrigerade leveranser EI'!$A$3:'Korrigerade leveranser EI'!$AB$521, 'Korrigerade leveranser EI'!Y1,FALSE),-1000),-1000)</f>
        <v>54276.991264895594</v>
      </c>
      <c r="Y10" s="79">
        <f>IFERROR(IF($B$4=TRUE, VLOOKUP($A$5, 'Korrigerade leveranser EI'!$A$3:'Korrigerade leveranser EI'!$AB$521, 'Korrigerade leveranser EI'!Z1,FALSE),-1000),-1000)</f>
        <v>53834.952404938274</v>
      </c>
      <c r="Z10" s="79">
        <f>IFERROR(IF($B$4=TRUE, VLOOKUP($A$5, 'Korrigerade leveranser EI'!$A$3:'Korrigerade leveranser EI'!$AB$521, 'Korrigerade leveranser EI'!AA1,FALSE),-1000),-1000)</f>
        <v>51995.333971228822</v>
      </c>
      <c r="AA10" s="79">
        <f>IFERROR(IF($B$4=TRUE, VLOOKUP($A$5, 'Korrigerade leveranser EI'!$A$3:'Korrigerade leveranser EI'!$BC$521, 'Korrigerade leveranser EI'!AB1,FALSE),-1000),-1000)</f>
        <v>52942.412547001783</v>
      </c>
      <c r="AB10" s="79">
        <f>IFERROR(IF($B$4=TRUE, VLOOKUP($A$5, 'Korrigerade leveranser EI'!$A$3:'Korrigerade leveranser EI'!$BC$521, 'Korrigerade leveranser EI'!AC1,FALSE),-1000),-1000)</f>
        <v>51006.346275752774</v>
      </c>
    </row>
    <row r="11" spans="1:33" x14ac:dyDescent="0.25">
      <c r="A11" s="1" t="s">
        <v>465</v>
      </c>
      <c r="B11" s="78">
        <f>IFERROR(IF($B$5=TRUE, VLOOKUP($A$5,'Leveranser per nät'!$A$3:$AD$529, 'Leveranser per nät'!C1, FALSE),-1000),-1000)</f>
        <v>44174</v>
      </c>
      <c r="C11" s="78">
        <f>IFERROR(IF($B$5=TRUE, VLOOKUP($A$5,'Leveranser per nät'!$A$3:$AD$529, 'Leveranser per nät'!D1, FALSE),-1000),-1000)</f>
        <v>40975</v>
      </c>
      <c r="D11" s="78">
        <f>IFERROR(IF($B$5=TRUE, VLOOKUP($A$5,'Leveranser per nät'!$A$3:$AD$529, 'Leveranser per nät'!E1, FALSE),-1000),-1000)</f>
        <v>43012</v>
      </c>
      <c r="E11" s="78">
        <f>IFERROR(IF($B$5=TRUE, VLOOKUP($A$5,'Leveranser per nät'!$A$3:$AD$529, 'Leveranser per nät'!F1, FALSE),-1000),-1000)</f>
        <v>43278</v>
      </c>
      <c r="F11" s="78">
        <f>IFERROR(IF($B$5=TRUE, VLOOKUP($A$5,'Leveranser per nät'!$A$3:$AD$529, 'Leveranser per nät'!G1, FALSE),-1000),-1000)</f>
        <v>41425</v>
      </c>
      <c r="G11" s="78">
        <f>IFERROR(IF($B$5=TRUE, VLOOKUP($A$5,'Leveranser per nät'!$A$3:$AD$529, 'Leveranser per nät'!H1, FALSE),-1000),-1000)</f>
        <v>46580</v>
      </c>
      <c r="H11" s="78">
        <f>IFERROR(IF($B$5=TRUE, VLOOKUP($A$5,'Leveranser per nät'!$A$3:$AD$529, 'Leveranser per nät'!I1, FALSE),-1000),-1000)</f>
        <v>47008</v>
      </c>
      <c r="I11" s="78">
        <f>IFERROR(IF($B$5=TRUE, VLOOKUP($A$5,'Leveranser per nät'!$A$3:$AD$529, 'Leveranser per nät'!J1, FALSE),-1000),-1000)</f>
        <v>47468.061000000002</v>
      </c>
      <c r="J11" s="78">
        <f>IFERROR(IF($B$5=TRUE, VLOOKUP($A$5,'Leveranser per nät'!$A$3:$AD$529, 'Leveranser per nät'!K1, FALSE),-1000),-1000)</f>
        <v>47768</v>
      </c>
      <c r="K11" s="78">
        <f>IFERROR(IF($B$5=TRUE, VLOOKUP($A$5,'Leveranser per nät'!$A$3:$AD$529, 'Leveranser per nät'!L1, FALSE),-1000),-1000)</f>
        <v>48543</v>
      </c>
      <c r="L11" s="78">
        <f>IFERROR(IF($B$5=TRUE, VLOOKUP($A$5,'Leveranser per nät'!$A$3:$AD$529, 'Leveranser per nät'!M1, FALSE),-1000),-1000)</f>
        <v>47460.082920000059</v>
      </c>
      <c r="M11" s="78">
        <f>IFERROR(IF($B$5=TRUE, VLOOKUP($A$5,'Leveranser per nät'!$A$3:$AD$529, 'Leveranser per nät'!N1, FALSE),-1000),-1000)</f>
        <v>51201.502640000028</v>
      </c>
      <c r="N11" s="78">
        <f>IFERROR(IF($B$5=TRUE, VLOOKUP($A$5,'Leveranser per nät'!$A$3:$AD$529, 'Leveranser per nät'!O1, FALSE),-1000),-1000)</f>
        <v>51359.540839000074</v>
      </c>
      <c r="O11" s="78">
        <f>IFERROR(IF($B$5=TRUE, VLOOKUP($A$5,'Leveranser per nät'!$A$3:$AD$529, 'Leveranser per nät'!P1, FALSE),-1000),-1000)</f>
        <v>53332.048200000041</v>
      </c>
      <c r="P11" s="78">
        <f>IFERROR(IF($B$5=TRUE, VLOOKUP($A$5,'Leveranser per nät'!$A$3:$AD$529, 'Leveranser per nät'!Q1, FALSE),-1000),-1000)</f>
        <v>60151</v>
      </c>
      <c r="Q11" s="78">
        <f>IFERROR(IF($B$5=TRUE, VLOOKUP($A$5,'Leveranser per nät'!$A$3:$AD$529, 'Leveranser per nät'!R1, FALSE),-1000),-1000)</f>
        <v>50631.317377999978</v>
      </c>
      <c r="R11" s="78">
        <f>IFERROR(IF($B$5=TRUE, VLOOKUP($A$5,'Leveranser per nät'!$A$3:$AD$529, 'Leveranser per nät'!S1, FALSE),-1000),-1000)</f>
        <v>53003.346991999984</v>
      </c>
      <c r="S11" s="78">
        <f>IFERROR(IF($B$5=TRUE, VLOOKUP($A$5,'Leveranser per nät'!$A$3:$AD$529, 'Leveranser per nät'!T1, FALSE),-1000),-1000)</f>
        <v>51800</v>
      </c>
      <c r="T11" s="78">
        <f>IFERROR(IF($B$5=TRUE, VLOOKUP($A$5,'Leveranser per nät'!$A$3:$AD$529, 'Leveranser per nät'!U1, FALSE),-1000),-1000)</f>
        <v>48500</v>
      </c>
      <c r="U11" s="78">
        <f>IFERROR(IF($B$5=TRUE, VLOOKUP($A$5,'Leveranser per nät'!$A$3:$AD$529, 'Leveranser per nät'!V1, FALSE),-1000),-1000)</f>
        <v>48800</v>
      </c>
      <c r="V11" s="78">
        <f>IFERROR(IF($B$5=TRUE, VLOOKUP($A$5,'Leveranser per nät'!$A$3:$AD$529, 'Leveranser per nät'!W1, FALSE),-1000),-1000)</f>
        <v>51400</v>
      </c>
      <c r="W11" s="78">
        <f>IFERROR(IF($B$5=TRUE, VLOOKUP($A$5,'Leveranser per nät'!$A$3:$AD$529, 'Leveranser per nät'!X1, FALSE),-1000),-1000)</f>
        <v>50775</v>
      </c>
      <c r="X11" s="78">
        <f>IFERROR(IF($B$5=TRUE, VLOOKUP($A$5,'Leveranser per nät'!$A$3:$AD$529, 'Leveranser per nät'!Y1, FALSE),-1000),-1000)</f>
        <v>50951</v>
      </c>
      <c r="Y11" s="78">
        <f>IFERROR(IF($B$5=TRUE, VLOOKUP($A$5,'Leveranser per nät'!$A$3:$AD$529, 'Leveranser per nät'!Z1, FALSE),-1000),-1000)</f>
        <v>50237.686000000002</v>
      </c>
      <c r="Z11" s="78">
        <f>IFERROR(IF($B$5=TRUE, VLOOKUP($A$5,'Leveranser per nät'!$A$3:$AD$529, 'Leveranser per nät'!AA1, FALSE),-1000),-1000)</f>
        <v>45874.21977839122</v>
      </c>
      <c r="AA11" s="78">
        <f>IFERROR(IF($B$5=TRUE, VLOOKUP($A$5,'Leveranser per nät'!$A$3:$BD$529, 'Leveranser per nät'!AB1, FALSE),-1000),-1000)</f>
        <v>53334</v>
      </c>
      <c r="AB11" s="78">
        <f>IFERROR(IF($B$5=TRUE, VLOOKUP($A$5,'Leveranser per nät'!$A$3:$BD$529, 'Leveranser per nät'!AC1, FALSE),-1000),-1000)</f>
        <v>49065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dimension ref="A1:AN318"/>
  <sheetViews>
    <sheetView workbookViewId="0">
      <pane xSplit="2" ySplit="2" topLeftCell="N263" activePane="bottomRight" state="frozen"/>
      <selection activeCell="O22" sqref="O22"/>
      <selection pane="topRight" activeCell="O22" sqref="O22"/>
      <selection pane="bottomLeft" activeCell="O22" sqref="O22"/>
      <selection pane="bottomRight" activeCell="O22" sqref="O22"/>
    </sheetView>
  </sheetViews>
  <sheetFormatPr defaultRowHeight="15" x14ac:dyDescent="0.25"/>
  <cols>
    <col min="1" max="1" width="13.42578125" customWidth="1"/>
    <col min="2" max="2" width="22.140625" customWidth="1"/>
    <col min="25" max="25" width="8.85546875" customWidth="1"/>
    <col min="27" max="27" width="9.140625" style="8"/>
    <col min="28" max="28" width="11.5703125" style="8" bestFit="1" customWidth="1"/>
  </cols>
  <sheetData>
    <row r="1" spans="1:40" x14ac:dyDescent="0.25">
      <c r="A1" t="s">
        <v>540</v>
      </c>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s="101">
        <v>26</v>
      </c>
      <c r="AB1" s="101">
        <v>27</v>
      </c>
      <c r="AC1" s="101">
        <v>28</v>
      </c>
      <c r="AE1" t="s">
        <v>1233</v>
      </c>
      <c r="AK1" t="s">
        <v>540</v>
      </c>
      <c r="AL1">
        <v>1</v>
      </c>
    </row>
    <row r="2" spans="1:40" s="21" customFormat="1" x14ac:dyDescent="0.25">
      <c r="A2" s="21" t="s">
        <v>501</v>
      </c>
      <c r="B2" s="21" t="s">
        <v>468</v>
      </c>
      <c r="C2" s="21">
        <v>1996</v>
      </c>
      <c r="D2" s="21">
        <v>1997</v>
      </c>
      <c r="E2" s="21">
        <v>1998</v>
      </c>
      <c r="F2" s="21">
        <v>1999</v>
      </c>
      <c r="G2" s="21">
        <v>2000</v>
      </c>
      <c r="H2" s="21">
        <v>2001</v>
      </c>
      <c r="I2" s="21">
        <v>2002</v>
      </c>
      <c r="J2" s="21">
        <v>2003</v>
      </c>
      <c r="K2" s="21">
        <v>2004</v>
      </c>
      <c r="L2" s="21">
        <v>2005</v>
      </c>
      <c r="M2" s="21">
        <v>2006</v>
      </c>
      <c r="N2" s="21">
        <v>2007</v>
      </c>
      <c r="O2" s="21">
        <v>2008</v>
      </c>
      <c r="P2" s="21">
        <v>2009</v>
      </c>
      <c r="Q2" s="21">
        <v>2010</v>
      </c>
      <c r="R2" s="21">
        <v>2011</v>
      </c>
      <c r="S2" s="21">
        <v>2012</v>
      </c>
      <c r="T2" s="21">
        <v>2013</v>
      </c>
      <c r="U2" s="21">
        <v>2014</v>
      </c>
      <c r="V2" s="21">
        <v>2015</v>
      </c>
      <c r="W2" s="21">
        <v>2016</v>
      </c>
      <c r="X2" s="21">
        <v>2017</v>
      </c>
      <c r="Y2" s="21">
        <v>2018</v>
      </c>
      <c r="Z2" s="21">
        <v>2019</v>
      </c>
      <c r="AA2" s="110">
        <v>2020</v>
      </c>
      <c r="AB2" s="110">
        <v>2021</v>
      </c>
      <c r="AC2" s="110">
        <v>2022</v>
      </c>
      <c r="AD2"/>
      <c r="AE2"/>
      <c r="AF2"/>
      <c r="AG2"/>
      <c r="AH2"/>
      <c r="AI2"/>
      <c r="AJ2"/>
      <c r="AK2" t="s">
        <v>501</v>
      </c>
      <c r="AL2" s="21" t="s">
        <v>468</v>
      </c>
    </row>
    <row r="3" spans="1:40" x14ac:dyDescent="0.25">
      <c r="A3">
        <v>102001</v>
      </c>
      <c r="B3" t="s">
        <v>449</v>
      </c>
      <c r="C3">
        <v>1.03</v>
      </c>
      <c r="D3">
        <v>0.96</v>
      </c>
      <c r="E3">
        <v>1.04</v>
      </c>
      <c r="F3">
        <v>1</v>
      </c>
      <c r="G3">
        <v>0.93</v>
      </c>
      <c r="H3">
        <v>1.01</v>
      </c>
      <c r="I3">
        <v>0.97</v>
      </c>
      <c r="J3">
        <v>0.96</v>
      </c>
      <c r="K3">
        <v>0.99</v>
      </c>
      <c r="L3">
        <v>0.95</v>
      </c>
      <c r="M3">
        <v>0.92</v>
      </c>
      <c r="N3">
        <v>0.95</v>
      </c>
      <c r="O3">
        <v>0.95</v>
      </c>
      <c r="P3">
        <v>0.98</v>
      </c>
      <c r="Q3">
        <v>1.0900000000000001</v>
      </c>
      <c r="R3">
        <v>0.89</v>
      </c>
      <c r="S3">
        <v>1.02</v>
      </c>
      <c r="T3">
        <v>0.95</v>
      </c>
      <c r="U3">
        <v>0.9</v>
      </c>
      <c r="V3">
        <v>0.89</v>
      </c>
      <c r="W3">
        <v>0.93</v>
      </c>
      <c r="X3">
        <v>0.96</v>
      </c>
      <c r="Y3">
        <v>0.97</v>
      </c>
      <c r="Z3">
        <v>1.03</v>
      </c>
      <c r="AA3" s="8">
        <v>0.95672206680928085</v>
      </c>
      <c r="AB3" s="8">
        <v>1.0329999999999999</v>
      </c>
      <c r="AC3" s="8">
        <v>0.96299999999999997</v>
      </c>
      <c r="AG3" t="s">
        <v>1234</v>
      </c>
      <c r="AK3">
        <v>102001</v>
      </c>
      <c r="AL3" t="s">
        <v>449</v>
      </c>
      <c r="AM3">
        <f t="shared" ref="AM3:AM66" si="0">_xlfn.XLOOKUP(AK3,$AE$5:$AE$314,$AI$5:$AI$314)</f>
        <v>96.3</v>
      </c>
      <c r="AN3">
        <f t="shared" ref="AN3:AN67" si="1">AM3/100</f>
        <v>0.96299999999999997</v>
      </c>
    </row>
    <row r="4" spans="1:40" x14ac:dyDescent="0.25">
      <c r="A4">
        <v>102002</v>
      </c>
      <c r="B4" t="s">
        <v>6</v>
      </c>
      <c r="C4">
        <v>1.03</v>
      </c>
      <c r="D4">
        <v>0.97</v>
      </c>
      <c r="E4">
        <v>1.04</v>
      </c>
      <c r="F4">
        <v>1</v>
      </c>
      <c r="G4">
        <v>0.92</v>
      </c>
      <c r="H4">
        <v>1.02</v>
      </c>
      <c r="I4">
        <v>0.97</v>
      </c>
      <c r="J4">
        <v>0.96</v>
      </c>
      <c r="K4">
        <v>0.99</v>
      </c>
      <c r="L4">
        <v>0.94</v>
      </c>
      <c r="M4">
        <v>0.93</v>
      </c>
      <c r="N4">
        <v>0.95</v>
      </c>
      <c r="O4">
        <v>0.95</v>
      </c>
      <c r="P4">
        <v>0.98</v>
      </c>
      <c r="Q4">
        <v>1.0900000000000001</v>
      </c>
      <c r="R4">
        <v>0.9</v>
      </c>
      <c r="S4">
        <v>1.02</v>
      </c>
      <c r="T4">
        <v>0.94</v>
      </c>
      <c r="U4">
        <v>0.9</v>
      </c>
      <c r="V4">
        <v>0.89</v>
      </c>
      <c r="W4">
        <v>0.94</v>
      </c>
      <c r="X4">
        <v>0.96</v>
      </c>
      <c r="Y4">
        <v>0.95</v>
      </c>
      <c r="Z4">
        <v>0.87</v>
      </c>
      <c r="AA4" s="8">
        <v>0.7620411351210622</v>
      </c>
      <c r="AB4" s="8">
        <v>1.026</v>
      </c>
      <c r="AC4" s="8">
        <v>0.95400000000000007</v>
      </c>
      <c r="AE4" t="s">
        <v>1099</v>
      </c>
      <c r="AF4" t="s">
        <v>467</v>
      </c>
      <c r="AG4" t="s">
        <v>1235</v>
      </c>
      <c r="AH4" t="s">
        <v>1236</v>
      </c>
      <c r="AI4" t="s">
        <v>1165</v>
      </c>
      <c r="AK4">
        <v>102002</v>
      </c>
      <c r="AL4" t="s">
        <v>6</v>
      </c>
      <c r="AM4">
        <f t="shared" si="0"/>
        <v>95.4</v>
      </c>
      <c r="AN4">
        <f t="shared" si="1"/>
        <v>0.95400000000000007</v>
      </c>
    </row>
    <row r="5" spans="1:40" x14ac:dyDescent="0.25">
      <c r="A5">
        <v>102003</v>
      </c>
      <c r="B5" t="s">
        <v>371</v>
      </c>
      <c r="C5">
        <v>1.03</v>
      </c>
      <c r="D5">
        <v>0.97</v>
      </c>
      <c r="E5">
        <v>1.05</v>
      </c>
      <c r="F5">
        <v>1</v>
      </c>
      <c r="G5">
        <v>0.91</v>
      </c>
      <c r="H5">
        <v>1.02</v>
      </c>
      <c r="I5">
        <v>0.99</v>
      </c>
      <c r="J5">
        <v>0.96</v>
      </c>
      <c r="K5">
        <v>1</v>
      </c>
      <c r="L5">
        <v>0.93</v>
      </c>
      <c r="M5">
        <v>0.94</v>
      </c>
      <c r="N5">
        <v>0.95</v>
      </c>
      <c r="O5">
        <v>0.95</v>
      </c>
      <c r="P5">
        <v>0.98</v>
      </c>
      <c r="Q5">
        <v>1.1000000000000001</v>
      </c>
      <c r="R5">
        <v>0.9</v>
      </c>
      <c r="S5">
        <v>1.01</v>
      </c>
      <c r="T5">
        <v>0.95</v>
      </c>
      <c r="U5">
        <v>0.91</v>
      </c>
      <c r="V5">
        <v>0.88</v>
      </c>
      <c r="W5">
        <v>0.95</v>
      </c>
      <c r="X5">
        <v>0.96</v>
      </c>
      <c r="Y5">
        <v>0.97</v>
      </c>
      <c r="Z5">
        <v>0.89</v>
      </c>
      <c r="AA5" s="8">
        <v>0.81504524886877827</v>
      </c>
      <c r="AB5" s="8">
        <v>0.99900000000000011</v>
      </c>
      <c r="AC5" s="8">
        <v>0.93</v>
      </c>
      <c r="AE5">
        <v>102023</v>
      </c>
      <c r="AF5" t="s">
        <v>1177</v>
      </c>
      <c r="AG5">
        <v>6011</v>
      </c>
      <c r="AH5">
        <v>6010</v>
      </c>
      <c r="AI5">
        <v>100</v>
      </c>
      <c r="AK5">
        <v>102003</v>
      </c>
      <c r="AL5" t="s">
        <v>371</v>
      </c>
      <c r="AM5">
        <f t="shared" si="0"/>
        <v>93</v>
      </c>
      <c r="AN5">
        <f t="shared" si="1"/>
        <v>0.93</v>
      </c>
    </row>
    <row r="6" spans="1:40" x14ac:dyDescent="0.25">
      <c r="A6">
        <v>102004</v>
      </c>
      <c r="B6" t="s">
        <v>230</v>
      </c>
      <c r="C6">
        <v>1.02</v>
      </c>
      <c r="D6">
        <v>0.97</v>
      </c>
      <c r="E6">
        <v>1.04</v>
      </c>
      <c r="F6">
        <v>1.01</v>
      </c>
      <c r="G6">
        <v>0.9</v>
      </c>
      <c r="H6">
        <v>1.01</v>
      </c>
      <c r="I6">
        <v>0.99</v>
      </c>
      <c r="J6">
        <v>0.96</v>
      </c>
      <c r="K6">
        <v>0.99</v>
      </c>
      <c r="L6">
        <v>0.93</v>
      </c>
      <c r="M6">
        <v>0.93</v>
      </c>
      <c r="N6">
        <v>0.93</v>
      </c>
      <c r="O6">
        <v>0.93</v>
      </c>
      <c r="P6">
        <v>0.98</v>
      </c>
      <c r="Q6">
        <v>1.1100000000000001</v>
      </c>
      <c r="R6">
        <v>0.91</v>
      </c>
      <c r="S6">
        <v>1</v>
      </c>
      <c r="T6">
        <v>0.93</v>
      </c>
      <c r="U6">
        <v>0.9</v>
      </c>
      <c r="V6">
        <v>0.88</v>
      </c>
      <c r="W6">
        <v>0.97</v>
      </c>
      <c r="X6">
        <v>0.98</v>
      </c>
      <c r="Y6">
        <v>0.99</v>
      </c>
      <c r="Z6">
        <v>0.9</v>
      </c>
      <c r="AA6" s="8">
        <v>0.83637851104445049</v>
      </c>
      <c r="AB6" s="8">
        <v>1.0309999999999999</v>
      </c>
      <c r="AC6" s="8">
        <v>0.95799999999999996</v>
      </c>
      <c r="AE6">
        <v>102627</v>
      </c>
      <c r="AF6" t="s">
        <v>945</v>
      </c>
      <c r="AG6">
        <v>3364</v>
      </c>
      <c r="AH6">
        <v>3577</v>
      </c>
      <c r="AI6">
        <v>94.1</v>
      </c>
      <c r="AK6">
        <v>102004</v>
      </c>
      <c r="AL6" t="s">
        <v>230</v>
      </c>
      <c r="AM6">
        <f t="shared" si="0"/>
        <v>95.8</v>
      </c>
      <c r="AN6">
        <f t="shared" si="1"/>
        <v>0.95799999999999996</v>
      </c>
    </row>
    <row r="7" spans="1:40" x14ac:dyDescent="0.25">
      <c r="A7">
        <v>102005</v>
      </c>
      <c r="B7" t="s">
        <v>196</v>
      </c>
      <c r="C7">
        <v>1.02</v>
      </c>
      <c r="D7">
        <v>0.97</v>
      </c>
      <c r="E7">
        <v>1.04</v>
      </c>
      <c r="F7">
        <v>1</v>
      </c>
      <c r="G7">
        <v>0.91</v>
      </c>
      <c r="H7">
        <v>1</v>
      </c>
      <c r="I7">
        <v>0.99</v>
      </c>
      <c r="J7">
        <v>0.96</v>
      </c>
      <c r="K7">
        <v>0.99</v>
      </c>
      <c r="L7">
        <v>0.92</v>
      </c>
      <c r="M7">
        <v>0.93</v>
      </c>
      <c r="N7">
        <v>0.93</v>
      </c>
      <c r="O7">
        <v>0.93</v>
      </c>
      <c r="P7">
        <v>0.97</v>
      </c>
      <c r="Q7">
        <v>1.0900000000000001</v>
      </c>
      <c r="R7">
        <v>0.9</v>
      </c>
      <c r="S7">
        <v>0.99</v>
      </c>
      <c r="T7">
        <v>0.93</v>
      </c>
      <c r="U7">
        <v>0.9</v>
      </c>
      <c r="V7">
        <v>0.86</v>
      </c>
      <c r="W7">
        <v>0.94</v>
      </c>
      <c r="X7">
        <v>0.96</v>
      </c>
      <c r="Y7">
        <v>0.97</v>
      </c>
      <c r="Z7">
        <v>0.88</v>
      </c>
      <c r="AA7" s="8">
        <v>0.84269067796610164</v>
      </c>
      <c r="AB7" s="8">
        <v>1.0309999999999999</v>
      </c>
      <c r="AC7" s="8">
        <v>0.95900000000000007</v>
      </c>
      <c r="AE7">
        <v>102204</v>
      </c>
      <c r="AF7" t="s">
        <v>1</v>
      </c>
      <c r="AG7">
        <v>3310</v>
      </c>
      <c r="AH7">
        <v>3567</v>
      </c>
      <c r="AI7">
        <v>92.8</v>
      </c>
      <c r="AK7">
        <v>102005</v>
      </c>
      <c r="AL7" t="s">
        <v>196</v>
      </c>
      <c r="AM7">
        <f t="shared" si="0"/>
        <v>95.9</v>
      </c>
      <c r="AN7">
        <f t="shared" si="1"/>
        <v>0.95900000000000007</v>
      </c>
    </row>
    <row r="8" spans="1:40" x14ac:dyDescent="0.25">
      <c r="A8">
        <v>102006</v>
      </c>
      <c r="B8" t="s">
        <v>19</v>
      </c>
      <c r="C8">
        <v>1.02</v>
      </c>
      <c r="D8">
        <v>0.97</v>
      </c>
      <c r="E8">
        <v>1.05</v>
      </c>
      <c r="F8">
        <v>1</v>
      </c>
      <c r="G8">
        <v>0.91</v>
      </c>
      <c r="H8">
        <v>1.01</v>
      </c>
      <c r="I8">
        <v>1</v>
      </c>
      <c r="J8">
        <v>0.97</v>
      </c>
      <c r="K8">
        <v>1</v>
      </c>
      <c r="L8">
        <v>0.93</v>
      </c>
      <c r="M8">
        <v>0.94</v>
      </c>
      <c r="N8">
        <v>0.94</v>
      </c>
      <c r="O8">
        <v>0.95</v>
      </c>
      <c r="P8">
        <v>0.98</v>
      </c>
      <c r="Q8">
        <v>1.0900000000000001</v>
      </c>
      <c r="R8">
        <v>0.9</v>
      </c>
      <c r="S8">
        <v>1</v>
      </c>
      <c r="T8">
        <v>0.94</v>
      </c>
      <c r="U8">
        <v>0.91</v>
      </c>
      <c r="V8">
        <v>0.87</v>
      </c>
      <c r="W8">
        <v>0.96</v>
      </c>
      <c r="X8">
        <v>0.98</v>
      </c>
      <c r="Y8">
        <v>0.99</v>
      </c>
      <c r="Z8">
        <v>0.9</v>
      </c>
      <c r="AA8" s="8">
        <v>0.83200199700449329</v>
      </c>
      <c r="AB8" s="8">
        <v>1.054</v>
      </c>
      <c r="AC8" s="8">
        <v>0.98199999999999998</v>
      </c>
      <c r="AE8">
        <v>102332</v>
      </c>
      <c r="AF8" t="s">
        <v>2</v>
      </c>
      <c r="AG8">
        <v>3449</v>
      </c>
      <c r="AH8">
        <v>3607</v>
      </c>
      <c r="AI8">
        <v>95.6</v>
      </c>
      <c r="AK8">
        <v>102006</v>
      </c>
      <c r="AL8" t="s">
        <v>19</v>
      </c>
      <c r="AM8">
        <f t="shared" si="0"/>
        <v>98.2</v>
      </c>
      <c r="AN8">
        <f t="shared" si="1"/>
        <v>0.98199999999999998</v>
      </c>
    </row>
    <row r="9" spans="1:40" x14ac:dyDescent="0.25">
      <c r="A9">
        <v>102007</v>
      </c>
      <c r="B9" t="s">
        <v>457</v>
      </c>
      <c r="C9">
        <v>1.01</v>
      </c>
      <c r="D9">
        <v>0.96</v>
      </c>
      <c r="E9">
        <v>1.03</v>
      </c>
      <c r="F9">
        <v>0.99</v>
      </c>
      <c r="G9">
        <v>0.92</v>
      </c>
      <c r="H9">
        <v>0.99</v>
      </c>
      <c r="I9">
        <v>0.97</v>
      </c>
      <c r="J9">
        <v>0.95</v>
      </c>
      <c r="K9">
        <v>0.98</v>
      </c>
      <c r="L9">
        <v>0.95</v>
      </c>
      <c r="M9">
        <v>0.92</v>
      </c>
      <c r="N9">
        <v>0.94</v>
      </c>
      <c r="O9">
        <v>0.96</v>
      </c>
      <c r="P9">
        <v>0.97</v>
      </c>
      <c r="Q9">
        <v>1.08</v>
      </c>
      <c r="R9">
        <v>0.9</v>
      </c>
      <c r="S9">
        <v>1.04</v>
      </c>
      <c r="T9">
        <v>0.95</v>
      </c>
      <c r="U9">
        <v>0.92</v>
      </c>
      <c r="V9">
        <v>0.88</v>
      </c>
      <c r="W9">
        <v>0.92</v>
      </c>
      <c r="X9">
        <v>0.95</v>
      </c>
      <c r="Y9">
        <v>0.96</v>
      </c>
      <c r="Z9">
        <v>0.88</v>
      </c>
      <c r="AA9" s="8">
        <v>0.76401694492898087</v>
      </c>
      <c r="AB9" s="8">
        <v>1.03</v>
      </c>
      <c r="AC9" s="8">
        <v>0.97099999999999997</v>
      </c>
      <c r="AE9">
        <v>102343</v>
      </c>
      <c r="AF9" t="s">
        <v>792</v>
      </c>
      <c r="AG9">
        <v>3639</v>
      </c>
      <c r="AH9">
        <v>3811</v>
      </c>
      <c r="AI9">
        <v>95.5</v>
      </c>
      <c r="AK9">
        <v>102007</v>
      </c>
      <c r="AL9" t="s">
        <v>457</v>
      </c>
      <c r="AM9">
        <f t="shared" si="0"/>
        <v>97.1</v>
      </c>
      <c r="AN9">
        <f t="shared" si="1"/>
        <v>0.97099999999999997</v>
      </c>
    </row>
    <row r="10" spans="1:40" x14ac:dyDescent="0.25">
      <c r="A10">
        <v>102008</v>
      </c>
      <c r="B10" t="s">
        <v>154</v>
      </c>
      <c r="C10">
        <v>1.01</v>
      </c>
      <c r="D10">
        <v>0.97</v>
      </c>
      <c r="E10">
        <v>1.05</v>
      </c>
      <c r="F10">
        <v>0.99</v>
      </c>
      <c r="G10">
        <v>0.92</v>
      </c>
      <c r="H10">
        <v>1.01</v>
      </c>
      <c r="I10">
        <v>0.99</v>
      </c>
      <c r="J10">
        <v>0.97</v>
      </c>
      <c r="K10">
        <v>1</v>
      </c>
      <c r="L10">
        <v>0.95</v>
      </c>
      <c r="M10">
        <v>0.95</v>
      </c>
      <c r="N10">
        <v>0.96</v>
      </c>
      <c r="O10">
        <v>0.97</v>
      </c>
      <c r="P10">
        <v>0.97</v>
      </c>
      <c r="Q10">
        <v>1.08</v>
      </c>
      <c r="R10">
        <v>0.91</v>
      </c>
      <c r="S10">
        <v>1.03</v>
      </c>
      <c r="T10">
        <v>0.96</v>
      </c>
      <c r="U10">
        <v>0.93</v>
      </c>
      <c r="V10">
        <v>0.91</v>
      </c>
      <c r="W10">
        <v>0.96</v>
      </c>
      <c r="X10">
        <v>0.97</v>
      </c>
      <c r="Y10">
        <v>0.98</v>
      </c>
      <c r="Z10">
        <v>0.99</v>
      </c>
      <c r="AA10" s="8">
        <v>0.87010904425914048</v>
      </c>
      <c r="AB10" s="8">
        <v>0.9890000000000001</v>
      </c>
      <c r="AC10" s="8">
        <v>0.92099999999999993</v>
      </c>
      <c r="AE10">
        <v>102601</v>
      </c>
      <c r="AF10" t="s">
        <v>5</v>
      </c>
      <c r="AG10">
        <v>3458</v>
      </c>
      <c r="AH10">
        <v>3728</v>
      </c>
      <c r="AI10">
        <v>92.8</v>
      </c>
      <c r="AK10">
        <v>102008</v>
      </c>
      <c r="AL10" t="s">
        <v>154</v>
      </c>
      <c r="AM10">
        <f t="shared" si="0"/>
        <v>92.1</v>
      </c>
      <c r="AN10">
        <f t="shared" si="1"/>
        <v>0.92099999999999993</v>
      </c>
    </row>
    <row r="11" spans="1:40" x14ac:dyDescent="0.25">
      <c r="A11">
        <v>102009</v>
      </c>
      <c r="B11" t="s">
        <v>344</v>
      </c>
      <c r="C11">
        <v>1.01</v>
      </c>
      <c r="D11">
        <v>0.98</v>
      </c>
      <c r="E11">
        <v>1.05</v>
      </c>
      <c r="F11">
        <v>1</v>
      </c>
      <c r="G11">
        <v>0.92</v>
      </c>
      <c r="H11">
        <v>1</v>
      </c>
      <c r="I11">
        <v>1</v>
      </c>
      <c r="J11">
        <v>0.97</v>
      </c>
      <c r="K11">
        <v>0.99</v>
      </c>
      <c r="L11">
        <v>0.92</v>
      </c>
      <c r="M11">
        <v>0.95</v>
      </c>
      <c r="N11">
        <v>0.94</v>
      </c>
      <c r="O11">
        <v>0.96</v>
      </c>
      <c r="P11">
        <v>0.97</v>
      </c>
      <c r="Q11">
        <v>1.08</v>
      </c>
      <c r="R11">
        <v>0.91</v>
      </c>
      <c r="S11">
        <v>1.01</v>
      </c>
      <c r="T11">
        <v>0.94</v>
      </c>
      <c r="U11">
        <v>0.92</v>
      </c>
      <c r="V11">
        <v>0.9</v>
      </c>
      <c r="W11">
        <v>0.96</v>
      </c>
      <c r="X11">
        <v>0.99</v>
      </c>
      <c r="Y11">
        <v>0.98</v>
      </c>
      <c r="Z11">
        <v>0.98</v>
      </c>
      <c r="AA11" s="8">
        <v>0.87140970617365465</v>
      </c>
      <c r="AB11" s="8">
        <v>1.022</v>
      </c>
      <c r="AC11" s="8">
        <v>0.95400000000000007</v>
      </c>
      <c r="AE11">
        <v>102001</v>
      </c>
      <c r="AF11" t="s">
        <v>449</v>
      </c>
      <c r="AG11">
        <v>5750</v>
      </c>
      <c r="AH11">
        <v>5969</v>
      </c>
      <c r="AI11">
        <v>96.3</v>
      </c>
      <c r="AK11">
        <v>102009</v>
      </c>
      <c r="AL11" t="s">
        <v>344</v>
      </c>
      <c r="AM11">
        <f t="shared" si="0"/>
        <v>95.4</v>
      </c>
      <c r="AN11">
        <f t="shared" si="1"/>
        <v>0.95400000000000007</v>
      </c>
    </row>
    <row r="12" spans="1:40" x14ac:dyDescent="0.25">
      <c r="A12">
        <v>102010</v>
      </c>
      <c r="B12" t="s">
        <v>345</v>
      </c>
      <c r="C12">
        <v>1.01</v>
      </c>
      <c r="D12">
        <v>0.98</v>
      </c>
      <c r="E12">
        <v>1.04</v>
      </c>
      <c r="F12">
        <v>1</v>
      </c>
      <c r="G12">
        <v>0.91</v>
      </c>
      <c r="H12">
        <v>0.99</v>
      </c>
      <c r="I12">
        <v>1</v>
      </c>
      <c r="J12">
        <v>0.97</v>
      </c>
      <c r="K12">
        <v>0.97</v>
      </c>
      <c r="L12">
        <v>0.91</v>
      </c>
      <c r="M12">
        <v>0.95</v>
      </c>
      <c r="N12">
        <v>0.93</v>
      </c>
      <c r="O12">
        <v>0.93</v>
      </c>
      <c r="P12">
        <v>0.96</v>
      </c>
      <c r="Q12">
        <v>1.08</v>
      </c>
      <c r="R12">
        <v>0.91</v>
      </c>
      <c r="S12">
        <v>1.01</v>
      </c>
      <c r="T12">
        <v>0.93</v>
      </c>
      <c r="U12">
        <v>0.89</v>
      </c>
      <c r="V12">
        <v>0.85</v>
      </c>
      <c r="W12">
        <v>0.93</v>
      </c>
      <c r="X12">
        <v>0.97</v>
      </c>
      <c r="Y12">
        <v>0.95</v>
      </c>
      <c r="Z12">
        <v>0.93</v>
      </c>
      <c r="AA12" s="8">
        <v>0.81713462922966162</v>
      </c>
      <c r="AB12" s="8">
        <v>1.046</v>
      </c>
      <c r="AC12" s="8">
        <v>0.97099999999999997</v>
      </c>
      <c r="AE12">
        <v>102138</v>
      </c>
      <c r="AF12" t="s">
        <v>1217</v>
      </c>
      <c r="AG12">
        <v>2691</v>
      </c>
      <c r="AH12">
        <v>3010</v>
      </c>
      <c r="AI12">
        <v>89.4</v>
      </c>
      <c r="AK12">
        <v>102010</v>
      </c>
      <c r="AL12" t="s">
        <v>345</v>
      </c>
      <c r="AM12">
        <f t="shared" si="0"/>
        <v>97.1</v>
      </c>
      <c r="AN12">
        <f t="shared" si="1"/>
        <v>0.97099999999999997</v>
      </c>
    </row>
    <row r="13" spans="1:40" x14ac:dyDescent="0.25">
      <c r="A13">
        <v>102011</v>
      </c>
      <c r="B13" t="s">
        <v>503</v>
      </c>
      <c r="C13">
        <v>1.01</v>
      </c>
      <c r="D13">
        <v>0.98</v>
      </c>
      <c r="E13">
        <v>1.02</v>
      </c>
      <c r="F13">
        <v>0.98</v>
      </c>
      <c r="G13">
        <v>0.94</v>
      </c>
      <c r="H13">
        <v>0.99</v>
      </c>
      <c r="I13">
        <v>0.97</v>
      </c>
      <c r="J13">
        <v>0.94</v>
      </c>
      <c r="K13">
        <v>0.95</v>
      </c>
      <c r="L13">
        <v>0.93</v>
      </c>
      <c r="M13">
        <v>0.91</v>
      </c>
      <c r="N13">
        <v>0.93</v>
      </c>
      <c r="O13">
        <v>0.95</v>
      </c>
      <c r="P13">
        <v>0.97</v>
      </c>
      <c r="Q13">
        <v>1.05</v>
      </c>
      <c r="R13">
        <v>0.9</v>
      </c>
      <c r="S13">
        <v>1.03</v>
      </c>
      <c r="T13">
        <v>0.92</v>
      </c>
      <c r="U13">
        <v>0.92</v>
      </c>
      <c r="V13">
        <v>0.88</v>
      </c>
      <c r="W13">
        <v>0.92</v>
      </c>
      <c r="X13">
        <v>0.99</v>
      </c>
      <c r="Y13">
        <v>0.98</v>
      </c>
      <c r="Z13">
        <v>0.91</v>
      </c>
      <c r="AA13" s="8">
        <v>0.81104576834569164</v>
      </c>
      <c r="AB13" s="8">
        <v>1.0469999999999999</v>
      </c>
      <c r="AC13" s="8">
        <v>0.99199999999999999</v>
      </c>
      <c r="AE13">
        <v>102002</v>
      </c>
      <c r="AF13" t="s">
        <v>6</v>
      </c>
      <c r="AG13">
        <v>5545</v>
      </c>
      <c r="AH13">
        <v>5815</v>
      </c>
      <c r="AI13">
        <v>95.4</v>
      </c>
      <c r="AK13">
        <v>102011</v>
      </c>
      <c r="AL13" t="s">
        <v>503</v>
      </c>
      <c r="AM13">
        <f t="shared" si="0"/>
        <v>99.2</v>
      </c>
      <c r="AN13">
        <f t="shared" si="1"/>
        <v>0.99199999999999999</v>
      </c>
    </row>
    <row r="14" spans="1:40" x14ac:dyDescent="0.25">
      <c r="A14">
        <v>102012</v>
      </c>
      <c r="B14" t="s">
        <v>504</v>
      </c>
      <c r="C14">
        <v>1.01</v>
      </c>
      <c r="D14">
        <v>0.98</v>
      </c>
      <c r="E14">
        <v>1.06</v>
      </c>
      <c r="F14">
        <v>0.99</v>
      </c>
      <c r="G14">
        <v>0.93</v>
      </c>
      <c r="H14">
        <v>1</v>
      </c>
      <c r="I14">
        <v>0.98</v>
      </c>
      <c r="J14">
        <v>0.96</v>
      </c>
      <c r="K14">
        <v>0.99</v>
      </c>
      <c r="L14">
        <v>0.95</v>
      </c>
      <c r="M14">
        <v>0.95</v>
      </c>
      <c r="N14">
        <v>0.96</v>
      </c>
      <c r="O14">
        <v>0.97</v>
      </c>
      <c r="P14">
        <v>0.98</v>
      </c>
      <c r="Q14">
        <v>1.06</v>
      </c>
      <c r="R14">
        <v>0.91</v>
      </c>
      <c r="S14">
        <v>1.03</v>
      </c>
      <c r="T14">
        <v>0.95</v>
      </c>
      <c r="U14">
        <v>0.93</v>
      </c>
      <c r="V14">
        <v>0.9</v>
      </c>
      <c r="W14">
        <v>0.94</v>
      </c>
      <c r="X14">
        <v>0.99</v>
      </c>
      <c r="Y14">
        <v>0.97</v>
      </c>
      <c r="Z14">
        <v>0.94</v>
      </c>
      <c r="AA14" s="8">
        <v>0.81857348013403541</v>
      </c>
      <c r="AB14" s="8">
        <v>1.02</v>
      </c>
      <c r="AC14" s="8">
        <v>0.96900000000000008</v>
      </c>
      <c r="AE14">
        <v>102503</v>
      </c>
      <c r="AF14" t="s">
        <v>119</v>
      </c>
      <c r="AG14">
        <v>3778</v>
      </c>
      <c r="AH14">
        <v>3934</v>
      </c>
      <c r="AI14">
        <v>96</v>
      </c>
      <c r="AK14">
        <v>102012</v>
      </c>
      <c r="AL14" t="s">
        <v>504</v>
      </c>
      <c r="AM14">
        <f t="shared" si="0"/>
        <v>96.9</v>
      </c>
      <c r="AN14">
        <f t="shared" si="1"/>
        <v>0.96900000000000008</v>
      </c>
    </row>
    <row r="15" spans="1:40" x14ac:dyDescent="0.25">
      <c r="A15">
        <v>102013</v>
      </c>
      <c r="B15" t="s">
        <v>412</v>
      </c>
      <c r="C15">
        <v>1.01</v>
      </c>
      <c r="D15">
        <v>0.98</v>
      </c>
      <c r="E15">
        <v>1.06</v>
      </c>
      <c r="F15">
        <v>0.99</v>
      </c>
      <c r="G15">
        <v>0.92</v>
      </c>
      <c r="H15">
        <v>0.99</v>
      </c>
      <c r="I15">
        <v>0.99</v>
      </c>
      <c r="J15">
        <v>0.97</v>
      </c>
      <c r="K15">
        <v>0.98</v>
      </c>
      <c r="L15">
        <v>0.92</v>
      </c>
      <c r="M15">
        <v>0.94</v>
      </c>
      <c r="N15">
        <v>0.94</v>
      </c>
      <c r="O15">
        <v>0.97</v>
      </c>
      <c r="P15">
        <v>0.97</v>
      </c>
      <c r="Q15">
        <v>1.06</v>
      </c>
      <c r="R15">
        <v>0.91</v>
      </c>
      <c r="S15">
        <v>1.03</v>
      </c>
      <c r="T15">
        <v>0.94</v>
      </c>
      <c r="U15">
        <v>0.93</v>
      </c>
      <c r="V15">
        <v>0.9</v>
      </c>
      <c r="W15">
        <v>0.93</v>
      </c>
      <c r="X15">
        <v>0.98</v>
      </c>
      <c r="Y15">
        <v>0.95</v>
      </c>
      <c r="Z15">
        <v>0.88</v>
      </c>
      <c r="AA15" s="8">
        <v>0.78588807785888082</v>
      </c>
      <c r="AB15" s="8">
        <v>1.0170000000000001</v>
      </c>
      <c r="AC15" s="8">
        <v>0.95099999999999996</v>
      </c>
      <c r="AE15">
        <v>102512</v>
      </c>
      <c r="AF15" t="s">
        <v>334</v>
      </c>
      <c r="AG15">
        <v>3542</v>
      </c>
      <c r="AH15">
        <v>3784</v>
      </c>
      <c r="AI15">
        <v>93.6</v>
      </c>
      <c r="AK15">
        <v>102013</v>
      </c>
      <c r="AL15" t="s">
        <v>412</v>
      </c>
      <c r="AM15">
        <f t="shared" si="0"/>
        <v>95.1</v>
      </c>
      <c r="AN15">
        <f t="shared" si="1"/>
        <v>0.95099999999999996</v>
      </c>
    </row>
    <row r="16" spans="1:40" x14ac:dyDescent="0.25">
      <c r="A16">
        <v>102014</v>
      </c>
      <c r="B16" t="s">
        <v>505</v>
      </c>
      <c r="C16">
        <v>1.02</v>
      </c>
      <c r="D16">
        <v>0.98</v>
      </c>
      <c r="E16">
        <v>1.06</v>
      </c>
      <c r="F16">
        <v>0.99</v>
      </c>
      <c r="G16">
        <v>0.94</v>
      </c>
      <c r="H16">
        <v>0.99</v>
      </c>
      <c r="I16">
        <v>0.98</v>
      </c>
      <c r="J16">
        <v>0.96</v>
      </c>
      <c r="K16">
        <v>0.97</v>
      </c>
      <c r="L16">
        <v>0.94</v>
      </c>
      <c r="M16">
        <v>0.94</v>
      </c>
      <c r="N16">
        <v>0.95</v>
      </c>
      <c r="O16">
        <v>0.97</v>
      </c>
      <c r="P16">
        <v>0.97</v>
      </c>
      <c r="Q16">
        <v>1.05</v>
      </c>
      <c r="R16">
        <v>0.9</v>
      </c>
      <c r="S16">
        <v>1.03</v>
      </c>
      <c r="T16">
        <v>0.93</v>
      </c>
      <c r="U16">
        <v>0.94</v>
      </c>
      <c r="V16">
        <v>0.91</v>
      </c>
      <c r="W16">
        <v>0.93</v>
      </c>
      <c r="X16">
        <v>0.96</v>
      </c>
      <c r="Y16">
        <v>0.94</v>
      </c>
      <c r="Z16">
        <v>0.96</v>
      </c>
      <c r="AA16" s="8">
        <v>0.83943504924735179</v>
      </c>
      <c r="AB16" s="8">
        <v>1</v>
      </c>
      <c r="AC16" s="8">
        <v>0.94400000000000006</v>
      </c>
      <c r="AE16">
        <v>102702</v>
      </c>
      <c r="AF16" t="s">
        <v>118</v>
      </c>
      <c r="AG16">
        <v>3834</v>
      </c>
      <c r="AH16">
        <v>3909</v>
      </c>
      <c r="AI16">
        <v>98.1</v>
      </c>
      <c r="AK16">
        <v>102014</v>
      </c>
      <c r="AL16" t="s">
        <v>505</v>
      </c>
      <c r="AM16">
        <f t="shared" si="0"/>
        <v>94.4</v>
      </c>
      <c r="AN16">
        <f t="shared" si="1"/>
        <v>0.94400000000000006</v>
      </c>
    </row>
    <row r="17" spans="1:40" x14ac:dyDescent="0.25">
      <c r="A17">
        <v>102016</v>
      </c>
      <c r="B17" t="s">
        <v>455</v>
      </c>
      <c r="C17">
        <v>1.02</v>
      </c>
      <c r="D17">
        <v>0.97</v>
      </c>
      <c r="E17">
        <v>1.06</v>
      </c>
      <c r="F17">
        <v>1</v>
      </c>
      <c r="G17">
        <v>0.94</v>
      </c>
      <c r="H17">
        <v>0.99</v>
      </c>
      <c r="I17">
        <v>0.98</v>
      </c>
      <c r="J17">
        <v>0.97</v>
      </c>
      <c r="K17">
        <v>0.97</v>
      </c>
      <c r="L17">
        <v>0.94</v>
      </c>
      <c r="M17">
        <v>0.94</v>
      </c>
      <c r="N17">
        <v>0.95</v>
      </c>
      <c r="O17">
        <v>0.98</v>
      </c>
      <c r="P17">
        <v>0.97</v>
      </c>
      <c r="Q17">
        <v>1.05</v>
      </c>
      <c r="R17">
        <v>0.91</v>
      </c>
      <c r="S17">
        <v>1.03</v>
      </c>
      <c r="T17">
        <v>0.94</v>
      </c>
      <c r="U17">
        <v>0.95</v>
      </c>
      <c r="V17">
        <v>0.91</v>
      </c>
      <c r="W17">
        <v>0.92</v>
      </c>
      <c r="X17">
        <v>0.98</v>
      </c>
      <c r="Y17">
        <v>0.95</v>
      </c>
      <c r="Z17">
        <v>0.87</v>
      </c>
      <c r="AA17" s="8">
        <v>0.83714462299134729</v>
      </c>
      <c r="AB17" s="8">
        <v>1.014</v>
      </c>
      <c r="AC17" s="8">
        <v>0.96</v>
      </c>
      <c r="AE17">
        <v>102223</v>
      </c>
      <c r="AF17" t="s">
        <v>7</v>
      </c>
      <c r="AG17">
        <v>3569</v>
      </c>
      <c r="AH17">
        <v>3803</v>
      </c>
      <c r="AI17">
        <v>93.9</v>
      </c>
      <c r="AK17">
        <v>102016</v>
      </c>
      <c r="AL17" t="s">
        <v>455</v>
      </c>
      <c r="AM17">
        <f t="shared" si="0"/>
        <v>96</v>
      </c>
      <c r="AN17">
        <f t="shared" si="1"/>
        <v>0.96</v>
      </c>
    </row>
    <row r="18" spans="1:40" x14ac:dyDescent="0.25">
      <c r="A18">
        <v>102017</v>
      </c>
      <c r="B18" t="s">
        <v>346</v>
      </c>
      <c r="C18">
        <v>1.01</v>
      </c>
      <c r="D18">
        <v>0.97</v>
      </c>
      <c r="E18">
        <v>1.04</v>
      </c>
      <c r="F18">
        <v>1</v>
      </c>
      <c r="G18">
        <v>0.91</v>
      </c>
      <c r="H18">
        <v>0.99</v>
      </c>
      <c r="I18">
        <v>1</v>
      </c>
      <c r="J18">
        <v>0.97</v>
      </c>
      <c r="K18">
        <v>0.98</v>
      </c>
      <c r="L18">
        <v>0.91</v>
      </c>
      <c r="M18">
        <v>0.94</v>
      </c>
      <c r="N18">
        <v>0.92</v>
      </c>
      <c r="O18">
        <v>0.93</v>
      </c>
      <c r="P18">
        <v>0.96</v>
      </c>
      <c r="Q18">
        <v>1.08</v>
      </c>
      <c r="R18">
        <v>0.9</v>
      </c>
      <c r="S18">
        <v>1</v>
      </c>
      <c r="T18">
        <v>0.93</v>
      </c>
      <c r="U18">
        <v>0.9</v>
      </c>
      <c r="V18">
        <v>0.87</v>
      </c>
      <c r="W18">
        <v>0.95</v>
      </c>
      <c r="X18">
        <v>0.99</v>
      </c>
      <c r="Y18">
        <v>0.98</v>
      </c>
      <c r="Z18">
        <v>1.01</v>
      </c>
      <c r="AA18" s="8">
        <v>0.85357078611261017</v>
      </c>
      <c r="AB18" s="8">
        <v>1.0429999999999999</v>
      </c>
      <c r="AC18" s="8">
        <v>0.97799999999999998</v>
      </c>
      <c r="AE18">
        <v>102728</v>
      </c>
      <c r="AF18" t="s">
        <v>1218</v>
      </c>
      <c r="AG18">
        <v>4208</v>
      </c>
      <c r="AH18">
        <v>4396</v>
      </c>
      <c r="AI18">
        <v>95.7</v>
      </c>
      <c r="AK18">
        <v>102017</v>
      </c>
      <c r="AL18" t="s">
        <v>346</v>
      </c>
      <c r="AM18">
        <f t="shared" si="0"/>
        <v>97.8</v>
      </c>
      <c r="AN18">
        <f t="shared" si="1"/>
        <v>0.97799999999999998</v>
      </c>
    </row>
    <row r="19" spans="1:40" x14ac:dyDescent="0.25">
      <c r="A19">
        <v>102023</v>
      </c>
      <c r="B19" t="s">
        <v>506</v>
      </c>
      <c r="C19">
        <v>1.02</v>
      </c>
      <c r="D19">
        <v>0.97</v>
      </c>
      <c r="E19">
        <v>1.04</v>
      </c>
      <c r="F19">
        <v>0.99</v>
      </c>
      <c r="G19">
        <v>0.94</v>
      </c>
      <c r="H19">
        <v>0.99</v>
      </c>
      <c r="I19">
        <v>0.97</v>
      </c>
      <c r="J19">
        <v>0.94</v>
      </c>
      <c r="K19">
        <v>0.94</v>
      </c>
      <c r="L19">
        <v>0.93</v>
      </c>
      <c r="M19">
        <v>0.92</v>
      </c>
      <c r="N19">
        <v>0.94</v>
      </c>
      <c r="O19">
        <v>0.97</v>
      </c>
      <c r="P19">
        <v>0.98</v>
      </c>
      <c r="Q19">
        <v>1.06</v>
      </c>
      <c r="R19">
        <v>0.9</v>
      </c>
      <c r="S19">
        <v>1.04</v>
      </c>
      <c r="T19">
        <v>0.92</v>
      </c>
      <c r="U19">
        <v>0.94</v>
      </c>
      <c r="V19">
        <v>0.88</v>
      </c>
      <c r="W19">
        <v>0.95</v>
      </c>
      <c r="X19">
        <v>1.04</v>
      </c>
      <c r="Y19">
        <v>1.03</v>
      </c>
      <c r="Z19">
        <v>0.89</v>
      </c>
      <c r="AA19" s="8">
        <v>0.83902568175800896</v>
      </c>
      <c r="AB19" s="8">
        <v>1.0490000000000002</v>
      </c>
      <c r="AC19" s="8">
        <v>1</v>
      </c>
      <c r="AE19">
        <v>102912</v>
      </c>
      <c r="AF19" t="s">
        <v>323</v>
      </c>
      <c r="AG19">
        <v>4957</v>
      </c>
      <c r="AH19">
        <v>5106</v>
      </c>
      <c r="AI19">
        <v>97.1</v>
      </c>
      <c r="AK19">
        <v>102023</v>
      </c>
      <c r="AL19" t="s">
        <v>506</v>
      </c>
      <c r="AM19">
        <f t="shared" si="0"/>
        <v>100</v>
      </c>
      <c r="AN19">
        <f t="shared" si="1"/>
        <v>1</v>
      </c>
    </row>
    <row r="20" spans="1:40" x14ac:dyDescent="0.25">
      <c r="A20">
        <v>102024</v>
      </c>
      <c r="B20" t="s">
        <v>347</v>
      </c>
      <c r="Y20">
        <v>0.96</v>
      </c>
      <c r="Z20">
        <v>0.96</v>
      </c>
      <c r="AA20" s="8">
        <v>0.82987273945077022</v>
      </c>
      <c r="AB20" s="8">
        <v>1.0149999999999999</v>
      </c>
      <c r="AC20" s="8">
        <v>0.94299999999999995</v>
      </c>
      <c r="AE20">
        <v>102128</v>
      </c>
      <c r="AF20" t="s">
        <v>213</v>
      </c>
      <c r="AG20">
        <v>2930</v>
      </c>
      <c r="AH20">
        <v>3113</v>
      </c>
      <c r="AI20">
        <v>94.1</v>
      </c>
      <c r="AK20">
        <v>102024</v>
      </c>
      <c r="AL20" t="s">
        <v>347</v>
      </c>
      <c r="AM20">
        <f t="shared" si="0"/>
        <v>94.3</v>
      </c>
      <c r="AN20">
        <f t="shared" si="1"/>
        <v>0.94299999999999995</v>
      </c>
    </row>
    <row r="21" spans="1:40" x14ac:dyDescent="0.25">
      <c r="A21">
        <v>102101</v>
      </c>
      <c r="B21" t="s">
        <v>317</v>
      </c>
      <c r="C21">
        <v>1.1499999999999999</v>
      </c>
      <c r="D21">
        <v>1.02</v>
      </c>
      <c r="E21">
        <v>0.99</v>
      </c>
      <c r="F21">
        <v>0.94</v>
      </c>
      <c r="G21">
        <v>0.87</v>
      </c>
      <c r="H21">
        <v>0.99</v>
      </c>
      <c r="I21">
        <v>0.94</v>
      </c>
      <c r="J21">
        <v>0.99</v>
      </c>
      <c r="K21">
        <v>0.98</v>
      </c>
      <c r="L21">
        <v>0.97</v>
      </c>
      <c r="M21">
        <v>0.93</v>
      </c>
      <c r="N21">
        <v>0.88</v>
      </c>
      <c r="O21">
        <v>0.89</v>
      </c>
      <c r="P21">
        <v>0.97</v>
      </c>
      <c r="Q21">
        <v>1.1499999999999999</v>
      </c>
      <c r="R21">
        <v>0.94</v>
      </c>
      <c r="S21">
        <v>1</v>
      </c>
      <c r="T21">
        <v>0.99</v>
      </c>
      <c r="U21">
        <v>0.82</v>
      </c>
      <c r="V21">
        <v>0.88</v>
      </c>
      <c r="W21">
        <v>0.9</v>
      </c>
      <c r="X21">
        <v>0.91</v>
      </c>
      <c r="Y21">
        <v>0.88</v>
      </c>
      <c r="Z21">
        <v>0.84</v>
      </c>
      <c r="AA21" s="8">
        <v>0.76679954441913445</v>
      </c>
      <c r="AB21" s="8">
        <v>0.9840000000000001</v>
      </c>
      <c r="AC21" s="8">
        <v>0.90500000000000003</v>
      </c>
      <c r="AE21">
        <v>102006</v>
      </c>
      <c r="AF21" t="s">
        <v>19</v>
      </c>
      <c r="AG21">
        <v>5172</v>
      </c>
      <c r="AH21">
        <v>5268</v>
      </c>
      <c r="AI21">
        <v>98.2</v>
      </c>
      <c r="AK21">
        <v>102101</v>
      </c>
      <c r="AL21" t="s">
        <v>317</v>
      </c>
      <c r="AM21">
        <f t="shared" si="0"/>
        <v>90.5</v>
      </c>
      <c r="AN21">
        <f t="shared" si="1"/>
        <v>0.90500000000000003</v>
      </c>
    </row>
    <row r="22" spans="1:40" x14ac:dyDescent="0.25">
      <c r="A22">
        <v>102102</v>
      </c>
      <c r="B22" t="s">
        <v>367</v>
      </c>
      <c r="C22">
        <v>1.1299999999999999</v>
      </c>
      <c r="D22">
        <v>1.01</v>
      </c>
      <c r="E22">
        <v>1</v>
      </c>
      <c r="F22">
        <v>0.94</v>
      </c>
      <c r="G22">
        <v>0.87</v>
      </c>
      <c r="H22">
        <v>0.99</v>
      </c>
      <c r="I22">
        <v>0.93</v>
      </c>
      <c r="J22">
        <v>0.98</v>
      </c>
      <c r="K22">
        <v>0.99</v>
      </c>
      <c r="L22">
        <v>0.97</v>
      </c>
      <c r="M22">
        <v>0.94</v>
      </c>
      <c r="N22">
        <v>0.89</v>
      </c>
      <c r="O22">
        <v>0.89</v>
      </c>
      <c r="P22">
        <v>0.97</v>
      </c>
      <c r="Q22">
        <v>1.1499999999999999</v>
      </c>
      <c r="R22">
        <v>0.94</v>
      </c>
      <c r="S22">
        <v>1.01</v>
      </c>
      <c r="T22">
        <v>0.99</v>
      </c>
      <c r="U22">
        <v>0.83</v>
      </c>
      <c r="V22">
        <v>0.87</v>
      </c>
      <c r="W22">
        <v>0.9</v>
      </c>
      <c r="X22">
        <v>0.93</v>
      </c>
      <c r="Y22">
        <v>0.89</v>
      </c>
      <c r="Z22">
        <v>0.94</v>
      </c>
      <c r="AA22" s="8">
        <v>0.84054616986808606</v>
      </c>
      <c r="AB22" s="8">
        <v>0.99</v>
      </c>
      <c r="AC22" s="8">
        <v>0.91599999999999993</v>
      </c>
      <c r="AE22">
        <v>102243</v>
      </c>
      <c r="AF22" t="s">
        <v>1033</v>
      </c>
      <c r="AG22">
        <v>3399</v>
      </c>
      <c r="AH22">
        <v>3505</v>
      </c>
      <c r="AI22">
        <v>97</v>
      </c>
      <c r="AK22">
        <v>102102</v>
      </c>
      <c r="AL22" t="s">
        <v>367</v>
      </c>
      <c r="AM22">
        <f t="shared" si="0"/>
        <v>91.6</v>
      </c>
      <c r="AN22">
        <f t="shared" si="1"/>
        <v>0.91599999999999993</v>
      </c>
    </row>
    <row r="23" spans="1:40" x14ac:dyDescent="0.25">
      <c r="A23">
        <v>102103</v>
      </c>
      <c r="B23" t="s">
        <v>375</v>
      </c>
      <c r="C23">
        <v>1.1200000000000001</v>
      </c>
      <c r="D23">
        <v>1</v>
      </c>
      <c r="E23">
        <v>1</v>
      </c>
      <c r="F23">
        <v>0.94</v>
      </c>
      <c r="G23">
        <v>0.87</v>
      </c>
      <c r="H23">
        <v>0.99</v>
      </c>
      <c r="I23">
        <v>0.94</v>
      </c>
      <c r="J23">
        <v>0.98</v>
      </c>
      <c r="K23">
        <v>0.99</v>
      </c>
      <c r="L23">
        <v>0.97</v>
      </c>
      <c r="M23">
        <v>0.94</v>
      </c>
      <c r="N23">
        <v>0.89</v>
      </c>
      <c r="O23">
        <v>0.89</v>
      </c>
      <c r="P23">
        <v>0.97</v>
      </c>
      <c r="Q23">
        <v>1.1399999999999999</v>
      </c>
      <c r="R23">
        <v>0.94</v>
      </c>
      <c r="S23">
        <v>1.01</v>
      </c>
      <c r="T23">
        <v>0.98</v>
      </c>
      <c r="U23">
        <v>0.83</v>
      </c>
      <c r="V23">
        <v>0.88</v>
      </c>
      <c r="W23">
        <v>0.9</v>
      </c>
      <c r="X23">
        <v>0.92</v>
      </c>
      <c r="Y23">
        <v>0.89</v>
      </c>
      <c r="Z23">
        <v>0.93</v>
      </c>
      <c r="AA23" s="8">
        <v>0.87988307201700766</v>
      </c>
      <c r="AB23" s="8">
        <v>1</v>
      </c>
      <c r="AC23" s="8">
        <v>0.91900000000000004</v>
      </c>
      <c r="AE23">
        <v>102718</v>
      </c>
      <c r="AF23" t="s">
        <v>21</v>
      </c>
      <c r="AG23">
        <v>4184</v>
      </c>
      <c r="AH23">
        <v>4332</v>
      </c>
      <c r="AI23">
        <v>96.6</v>
      </c>
      <c r="AK23">
        <v>102103</v>
      </c>
      <c r="AL23" t="s">
        <v>375</v>
      </c>
      <c r="AM23">
        <f t="shared" si="0"/>
        <v>91.9</v>
      </c>
      <c r="AN23">
        <f t="shared" si="1"/>
        <v>0.91900000000000004</v>
      </c>
    </row>
    <row r="24" spans="1:40" x14ac:dyDescent="0.25">
      <c r="A24">
        <v>102104</v>
      </c>
      <c r="B24" t="s">
        <v>244</v>
      </c>
      <c r="C24">
        <v>1.1399999999999999</v>
      </c>
      <c r="D24">
        <v>1.01</v>
      </c>
      <c r="E24">
        <v>1</v>
      </c>
      <c r="F24">
        <v>0.94</v>
      </c>
      <c r="G24">
        <v>0.88</v>
      </c>
      <c r="H24">
        <v>0.99</v>
      </c>
      <c r="I24">
        <v>0.94</v>
      </c>
      <c r="J24">
        <v>0.98</v>
      </c>
      <c r="K24">
        <v>0.99</v>
      </c>
      <c r="L24">
        <v>0.97</v>
      </c>
      <c r="M24">
        <v>0.94</v>
      </c>
      <c r="N24">
        <v>0.89</v>
      </c>
      <c r="O24">
        <v>0.9</v>
      </c>
      <c r="P24">
        <v>0.97</v>
      </c>
      <c r="Q24">
        <v>1.1499999999999999</v>
      </c>
      <c r="R24">
        <v>0.93</v>
      </c>
      <c r="S24">
        <v>1</v>
      </c>
      <c r="T24">
        <v>0.99</v>
      </c>
      <c r="U24">
        <v>0.83</v>
      </c>
      <c r="V24">
        <v>0.89</v>
      </c>
      <c r="W24">
        <v>0.93</v>
      </c>
      <c r="X24">
        <v>0.94</v>
      </c>
      <c r="Y24">
        <v>0.9</v>
      </c>
      <c r="Z24">
        <v>0.9</v>
      </c>
      <c r="AA24" s="8">
        <v>0.79206637282862324</v>
      </c>
      <c r="AB24" s="8">
        <v>1.006</v>
      </c>
      <c r="AC24" s="8">
        <v>0.94099999999999995</v>
      </c>
      <c r="AE24">
        <v>102308</v>
      </c>
      <c r="AF24" t="s">
        <v>23</v>
      </c>
      <c r="AG24">
        <v>2992</v>
      </c>
      <c r="AH24">
        <v>3222</v>
      </c>
      <c r="AI24">
        <v>92.9</v>
      </c>
      <c r="AK24">
        <v>102104</v>
      </c>
      <c r="AL24" t="s">
        <v>244</v>
      </c>
      <c r="AM24">
        <f t="shared" si="0"/>
        <v>94.1</v>
      </c>
      <c r="AN24">
        <f t="shared" si="1"/>
        <v>0.94099999999999995</v>
      </c>
    </row>
    <row r="25" spans="1:40" x14ac:dyDescent="0.25">
      <c r="A25">
        <v>102105</v>
      </c>
      <c r="B25" t="s">
        <v>43</v>
      </c>
      <c r="C25">
        <v>1.1599999999999999</v>
      </c>
      <c r="D25">
        <v>1.02</v>
      </c>
      <c r="E25">
        <v>0.99</v>
      </c>
      <c r="F25">
        <v>0.94</v>
      </c>
      <c r="G25">
        <v>0.87</v>
      </c>
      <c r="H25">
        <v>1</v>
      </c>
      <c r="I25">
        <v>0.95</v>
      </c>
      <c r="J25">
        <v>1</v>
      </c>
      <c r="K25">
        <v>0.99</v>
      </c>
      <c r="L25">
        <v>0.97</v>
      </c>
      <c r="M25">
        <v>0.94</v>
      </c>
      <c r="N25">
        <v>0.87</v>
      </c>
      <c r="O25">
        <v>0.89</v>
      </c>
      <c r="P25">
        <v>0.97</v>
      </c>
      <c r="Q25">
        <v>1.17</v>
      </c>
      <c r="R25">
        <v>0.93</v>
      </c>
      <c r="S25">
        <v>1</v>
      </c>
      <c r="T25">
        <v>1</v>
      </c>
      <c r="U25">
        <v>0.83</v>
      </c>
      <c r="V25">
        <v>0.89</v>
      </c>
      <c r="W25">
        <v>0.92</v>
      </c>
      <c r="X25">
        <v>0.91</v>
      </c>
      <c r="Y25">
        <v>0.89</v>
      </c>
      <c r="Z25">
        <v>0.87</v>
      </c>
      <c r="AA25" s="8">
        <v>0.8354609929078014</v>
      </c>
      <c r="AB25" s="8">
        <v>0.99</v>
      </c>
      <c r="AC25" s="8">
        <v>0.90799999999999992</v>
      </c>
      <c r="AE25">
        <v>102707</v>
      </c>
      <c r="AF25" t="s">
        <v>25</v>
      </c>
      <c r="AG25">
        <v>4020</v>
      </c>
      <c r="AH25">
        <v>3893</v>
      </c>
      <c r="AI25">
        <v>103.3</v>
      </c>
      <c r="AK25">
        <v>102105</v>
      </c>
      <c r="AL25" t="s">
        <v>43</v>
      </c>
      <c r="AM25">
        <f t="shared" si="0"/>
        <v>90.8</v>
      </c>
      <c r="AN25">
        <f t="shared" si="1"/>
        <v>0.90799999999999992</v>
      </c>
    </row>
    <row r="26" spans="1:40" x14ac:dyDescent="0.25">
      <c r="A26">
        <v>102106</v>
      </c>
      <c r="B26" t="s">
        <v>199</v>
      </c>
      <c r="C26">
        <v>1.1499999999999999</v>
      </c>
      <c r="D26">
        <v>1.02</v>
      </c>
      <c r="E26">
        <v>0.99</v>
      </c>
      <c r="F26">
        <v>0.94</v>
      </c>
      <c r="G26">
        <v>0.88</v>
      </c>
      <c r="H26">
        <v>1</v>
      </c>
      <c r="I26">
        <v>0.95</v>
      </c>
      <c r="J26">
        <v>0.99</v>
      </c>
      <c r="K26">
        <v>0.99</v>
      </c>
      <c r="L26">
        <v>0.97</v>
      </c>
      <c r="M26">
        <v>0.94</v>
      </c>
      <c r="N26">
        <v>0.88</v>
      </c>
      <c r="O26">
        <v>0.89</v>
      </c>
      <c r="P26">
        <v>0.97</v>
      </c>
      <c r="Q26">
        <v>1.1599999999999999</v>
      </c>
      <c r="R26">
        <v>0.93</v>
      </c>
      <c r="S26">
        <v>1.01</v>
      </c>
      <c r="T26">
        <v>0.99</v>
      </c>
      <c r="U26">
        <v>0.82</v>
      </c>
      <c r="V26">
        <v>0.87</v>
      </c>
      <c r="W26">
        <v>0.91</v>
      </c>
      <c r="X26">
        <v>0.9</v>
      </c>
      <c r="Y26">
        <v>0.87</v>
      </c>
      <c r="Z26">
        <v>0.85</v>
      </c>
      <c r="AA26" s="8">
        <v>0.79566109645265315</v>
      </c>
      <c r="AB26" s="8">
        <v>0.99400000000000011</v>
      </c>
      <c r="AC26" s="8">
        <v>0.91400000000000003</v>
      </c>
      <c r="AE26">
        <v>102206</v>
      </c>
      <c r="AF26" t="s">
        <v>29</v>
      </c>
      <c r="AG26">
        <v>3500</v>
      </c>
      <c r="AH26">
        <v>3737</v>
      </c>
      <c r="AI26">
        <v>93.7</v>
      </c>
      <c r="AK26">
        <v>102106</v>
      </c>
      <c r="AL26" t="s">
        <v>199</v>
      </c>
      <c r="AM26">
        <f t="shared" si="0"/>
        <v>91.4</v>
      </c>
      <c r="AN26">
        <f t="shared" si="1"/>
        <v>0.91400000000000003</v>
      </c>
    </row>
    <row r="27" spans="1:40" x14ac:dyDescent="0.25">
      <c r="A27">
        <v>102107</v>
      </c>
      <c r="B27" t="s">
        <v>198</v>
      </c>
      <c r="C27">
        <v>1.1499999999999999</v>
      </c>
      <c r="D27">
        <v>1.02</v>
      </c>
      <c r="E27">
        <v>1</v>
      </c>
      <c r="F27">
        <v>0.95</v>
      </c>
      <c r="G27">
        <v>0.88</v>
      </c>
      <c r="H27">
        <v>1</v>
      </c>
      <c r="I27">
        <v>0.94</v>
      </c>
      <c r="J27">
        <v>0.99</v>
      </c>
      <c r="K27">
        <v>0.99</v>
      </c>
      <c r="L27">
        <v>0.97</v>
      </c>
      <c r="M27">
        <v>0.93</v>
      </c>
      <c r="N27">
        <v>0.88</v>
      </c>
      <c r="O27">
        <v>0.89</v>
      </c>
      <c r="P27">
        <v>0.97</v>
      </c>
      <c r="Q27">
        <v>1.1599999999999999</v>
      </c>
      <c r="R27">
        <v>0.93</v>
      </c>
      <c r="S27">
        <v>1.01</v>
      </c>
      <c r="T27">
        <v>0.99</v>
      </c>
      <c r="U27">
        <v>0.83</v>
      </c>
      <c r="V27">
        <v>0.89</v>
      </c>
      <c r="W27">
        <v>0.92</v>
      </c>
      <c r="X27">
        <v>0.92</v>
      </c>
      <c r="Y27">
        <v>0.88</v>
      </c>
      <c r="Z27">
        <v>0.97</v>
      </c>
      <c r="AA27" s="8">
        <v>0.86992495670579184</v>
      </c>
      <c r="AB27" s="8">
        <v>1.0009999999999999</v>
      </c>
      <c r="AC27" s="8">
        <v>0.92700000000000005</v>
      </c>
      <c r="AE27">
        <v>102607</v>
      </c>
      <c r="AF27" t="s">
        <v>61</v>
      </c>
      <c r="AG27">
        <v>3477</v>
      </c>
      <c r="AH27">
        <v>3600</v>
      </c>
      <c r="AI27">
        <v>96.6</v>
      </c>
      <c r="AK27">
        <v>102107</v>
      </c>
      <c r="AL27" t="s">
        <v>198</v>
      </c>
      <c r="AM27">
        <f t="shared" si="0"/>
        <v>92.7</v>
      </c>
      <c r="AN27">
        <f t="shared" si="1"/>
        <v>0.92700000000000005</v>
      </c>
    </row>
    <row r="28" spans="1:40" x14ac:dyDescent="0.25">
      <c r="A28">
        <v>102108</v>
      </c>
      <c r="B28" t="s">
        <v>176</v>
      </c>
      <c r="C28">
        <v>1.1499999999999999</v>
      </c>
      <c r="D28">
        <v>1.03</v>
      </c>
      <c r="E28">
        <v>1</v>
      </c>
      <c r="F28">
        <v>0.95</v>
      </c>
      <c r="G28">
        <v>0.88</v>
      </c>
      <c r="H28">
        <v>1.01</v>
      </c>
      <c r="I28">
        <v>0.95</v>
      </c>
      <c r="J28">
        <v>1</v>
      </c>
      <c r="K28">
        <v>0.99</v>
      </c>
      <c r="L28">
        <v>0.97</v>
      </c>
      <c r="M28">
        <v>0.93</v>
      </c>
      <c r="N28">
        <v>0.88</v>
      </c>
      <c r="O28">
        <v>0.88</v>
      </c>
      <c r="P28">
        <v>0.97</v>
      </c>
      <c r="Q28">
        <v>1.17</v>
      </c>
      <c r="R28">
        <v>0.93</v>
      </c>
      <c r="S28">
        <v>1.01</v>
      </c>
      <c r="T28">
        <v>1</v>
      </c>
      <c r="U28">
        <v>0.83</v>
      </c>
      <c r="V28">
        <v>0.89</v>
      </c>
      <c r="W28">
        <v>0.92</v>
      </c>
      <c r="X28">
        <v>0.91</v>
      </c>
      <c r="Y28">
        <v>0.89</v>
      </c>
      <c r="Z28">
        <v>0.84</v>
      </c>
      <c r="AA28" s="8">
        <v>0.80377117289868971</v>
      </c>
      <c r="AB28" s="8">
        <v>1.0290000000000001</v>
      </c>
      <c r="AC28" s="8">
        <v>0.94900000000000007</v>
      </c>
      <c r="AE28">
        <v>102130</v>
      </c>
      <c r="AF28" t="s">
        <v>81</v>
      </c>
      <c r="AG28">
        <v>3159</v>
      </c>
      <c r="AH28">
        <v>3330</v>
      </c>
      <c r="AI28">
        <v>94.9</v>
      </c>
      <c r="AK28">
        <v>102108</v>
      </c>
      <c r="AL28" t="s">
        <v>176</v>
      </c>
      <c r="AM28">
        <f t="shared" si="0"/>
        <v>94.9</v>
      </c>
      <c r="AN28">
        <f t="shared" si="1"/>
        <v>0.94900000000000007</v>
      </c>
    </row>
    <row r="29" spans="1:40" x14ac:dyDescent="0.25">
      <c r="A29">
        <v>102109</v>
      </c>
      <c r="B29" t="s">
        <v>373</v>
      </c>
      <c r="C29">
        <v>1.1499999999999999</v>
      </c>
      <c r="D29">
        <v>1.03</v>
      </c>
      <c r="E29">
        <v>1</v>
      </c>
      <c r="F29">
        <v>0.95</v>
      </c>
      <c r="G29">
        <v>0.88</v>
      </c>
      <c r="H29">
        <v>1.01</v>
      </c>
      <c r="I29">
        <v>0.96</v>
      </c>
      <c r="J29">
        <v>1</v>
      </c>
      <c r="K29">
        <v>0.99</v>
      </c>
      <c r="L29">
        <v>0.97</v>
      </c>
      <c r="M29">
        <v>0.93</v>
      </c>
      <c r="N29">
        <v>0.88</v>
      </c>
      <c r="O29">
        <v>0.88</v>
      </c>
      <c r="P29">
        <v>0.97</v>
      </c>
      <c r="Q29">
        <v>1.18</v>
      </c>
      <c r="R29">
        <v>0.93</v>
      </c>
      <c r="S29">
        <v>1.02</v>
      </c>
      <c r="T29">
        <v>1</v>
      </c>
      <c r="U29">
        <v>0.83</v>
      </c>
      <c r="V29">
        <v>0.89</v>
      </c>
      <c r="W29">
        <v>0.93</v>
      </c>
      <c r="X29">
        <v>0.93</v>
      </c>
      <c r="Y29">
        <v>0.9</v>
      </c>
      <c r="Z29">
        <v>0.82</v>
      </c>
      <c r="AA29" s="8">
        <v>0.78248425872925009</v>
      </c>
      <c r="AB29" s="8">
        <v>1.002</v>
      </c>
      <c r="AC29" s="8">
        <v>0.92500000000000004</v>
      </c>
      <c r="AE29">
        <v>102114</v>
      </c>
      <c r="AF29" t="s">
        <v>30</v>
      </c>
      <c r="AG29">
        <v>2935</v>
      </c>
      <c r="AH29">
        <v>3207</v>
      </c>
      <c r="AI29">
        <v>91.5</v>
      </c>
      <c r="AK29">
        <v>102109</v>
      </c>
      <c r="AL29" t="s">
        <v>373</v>
      </c>
      <c r="AM29">
        <f t="shared" si="0"/>
        <v>92.5</v>
      </c>
      <c r="AN29">
        <f t="shared" si="1"/>
        <v>0.92500000000000004</v>
      </c>
    </row>
    <row r="30" spans="1:40" x14ac:dyDescent="0.25">
      <c r="A30">
        <v>102110</v>
      </c>
      <c r="B30" t="s">
        <v>448</v>
      </c>
      <c r="C30">
        <v>1.1399999999999999</v>
      </c>
      <c r="D30">
        <v>1.03</v>
      </c>
      <c r="E30">
        <v>1.01</v>
      </c>
      <c r="F30">
        <v>0.95</v>
      </c>
      <c r="G30">
        <v>0.88</v>
      </c>
      <c r="H30">
        <v>1</v>
      </c>
      <c r="I30">
        <v>0.95</v>
      </c>
      <c r="J30">
        <v>0.99</v>
      </c>
      <c r="K30">
        <v>0.99</v>
      </c>
      <c r="L30">
        <v>0.97</v>
      </c>
      <c r="M30">
        <v>0.93</v>
      </c>
      <c r="N30">
        <v>0.88</v>
      </c>
      <c r="O30">
        <v>0.88</v>
      </c>
      <c r="P30">
        <v>0.96</v>
      </c>
      <c r="Q30">
        <v>1.1599999999999999</v>
      </c>
      <c r="R30">
        <v>0.92</v>
      </c>
      <c r="S30">
        <v>1.02</v>
      </c>
      <c r="T30">
        <v>0.99</v>
      </c>
      <c r="U30">
        <v>0.84</v>
      </c>
      <c r="V30">
        <v>0.9</v>
      </c>
      <c r="W30">
        <v>0.94</v>
      </c>
      <c r="X30">
        <v>0.94</v>
      </c>
      <c r="Y30">
        <v>0.9</v>
      </c>
      <c r="Z30">
        <v>0.97</v>
      </c>
      <c r="AA30" s="8">
        <v>0.83883813539470597</v>
      </c>
      <c r="AB30" s="8">
        <v>1.0170000000000001</v>
      </c>
      <c r="AC30" s="8">
        <v>0.93900000000000006</v>
      </c>
      <c r="AE30">
        <v>102803</v>
      </c>
      <c r="AF30" t="s">
        <v>31</v>
      </c>
      <c r="AG30">
        <v>4880</v>
      </c>
      <c r="AH30">
        <v>5105</v>
      </c>
      <c r="AI30">
        <v>95.6</v>
      </c>
      <c r="AK30">
        <v>102110</v>
      </c>
      <c r="AL30" t="s">
        <v>448</v>
      </c>
      <c r="AM30">
        <f t="shared" si="0"/>
        <v>93.9</v>
      </c>
      <c r="AN30">
        <f t="shared" si="1"/>
        <v>0.93900000000000006</v>
      </c>
    </row>
    <row r="31" spans="1:40" x14ac:dyDescent="0.25">
      <c r="A31">
        <v>102111</v>
      </c>
      <c r="B31" t="s">
        <v>372</v>
      </c>
      <c r="C31">
        <v>1.1399999999999999</v>
      </c>
      <c r="D31">
        <v>1.03</v>
      </c>
      <c r="E31">
        <v>1.01</v>
      </c>
      <c r="F31">
        <v>0.94</v>
      </c>
      <c r="G31">
        <v>0.88</v>
      </c>
      <c r="H31">
        <v>1</v>
      </c>
      <c r="I31">
        <v>0.95</v>
      </c>
      <c r="J31">
        <v>0.99</v>
      </c>
      <c r="K31">
        <v>0.99</v>
      </c>
      <c r="L31">
        <v>0.97</v>
      </c>
      <c r="M31">
        <v>0.93</v>
      </c>
      <c r="N31">
        <v>0.88</v>
      </c>
      <c r="O31">
        <v>0.87</v>
      </c>
      <c r="P31">
        <v>0.96</v>
      </c>
      <c r="Q31">
        <v>1.17</v>
      </c>
      <c r="R31">
        <v>0.93</v>
      </c>
      <c r="S31">
        <v>1.02</v>
      </c>
      <c r="T31">
        <v>1</v>
      </c>
      <c r="U31">
        <v>0.84</v>
      </c>
      <c r="V31">
        <v>0.91</v>
      </c>
      <c r="W31">
        <v>0.94</v>
      </c>
      <c r="X31">
        <v>0.94</v>
      </c>
      <c r="Y31">
        <v>0.9</v>
      </c>
      <c r="Z31">
        <v>0.9</v>
      </c>
      <c r="AA31" s="8">
        <v>0.79012345679012341</v>
      </c>
      <c r="AB31" s="8">
        <v>1.022</v>
      </c>
      <c r="AC31" s="8">
        <v>0.94299999999999995</v>
      </c>
      <c r="AE31">
        <v>102637</v>
      </c>
      <c r="AF31" t="s">
        <v>62</v>
      </c>
      <c r="AG31">
        <v>3513</v>
      </c>
      <c r="AH31">
        <v>3635</v>
      </c>
      <c r="AI31">
        <v>96.6</v>
      </c>
      <c r="AK31">
        <v>102111</v>
      </c>
      <c r="AL31" t="s">
        <v>372</v>
      </c>
      <c r="AM31">
        <f t="shared" si="0"/>
        <v>94.3</v>
      </c>
      <c r="AN31">
        <f t="shared" si="1"/>
        <v>0.94299999999999995</v>
      </c>
    </row>
    <row r="32" spans="1:40" x14ac:dyDescent="0.25">
      <c r="A32">
        <v>102112</v>
      </c>
      <c r="B32" t="s">
        <v>151</v>
      </c>
      <c r="C32">
        <v>1.1299999999999999</v>
      </c>
      <c r="D32">
        <v>1.02</v>
      </c>
      <c r="E32">
        <v>1</v>
      </c>
      <c r="F32">
        <v>0.94</v>
      </c>
      <c r="G32">
        <v>0.88</v>
      </c>
      <c r="H32">
        <v>1</v>
      </c>
      <c r="I32">
        <v>0.94</v>
      </c>
      <c r="J32">
        <v>0.98</v>
      </c>
      <c r="K32">
        <v>1</v>
      </c>
      <c r="L32">
        <v>0.97</v>
      </c>
      <c r="M32">
        <v>0.93</v>
      </c>
      <c r="N32">
        <v>0.89</v>
      </c>
      <c r="O32">
        <v>0.89</v>
      </c>
      <c r="P32">
        <v>0.97</v>
      </c>
      <c r="Q32">
        <v>1.1499999999999999</v>
      </c>
      <c r="R32">
        <v>0.92</v>
      </c>
      <c r="S32">
        <v>1.01</v>
      </c>
      <c r="T32">
        <v>0.98</v>
      </c>
      <c r="U32">
        <v>0.84</v>
      </c>
      <c r="V32">
        <v>0.9</v>
      </c>
      <c r="W32">
        <v>0.95</v>
      </c>
      <c r="X32">
        <v>0.96</v>
      </c>
      <c r="Y32">
        <v>0.93</v>
      </c>
      <c r="Z32">
        <v>0.92</v>
      </c>
      <c r="AA32" s="8">
        <v>0.81932153392330387</v>
      </c>
      <c r="AB32" s="8">
        <v>1.026</v>
      </c>
      <c r="AC32" s="8">
        <v>0.94499999999999995</v>
      </c>
      <c r="AE32">
        <v>102132</v>
      </c>
      <c r="AF32" t="s">
        <v>509</v>
      </c>
      <c r="AG32">
        <v>2932</v>
      </c>
      <c r="AH32">
        <v>3174</v>
      </c>
      <c r="AI32">
        <v>92.4</v>
      </c>
      <c r="AK32">
        <v>102112</v>
      </c>
      <c r="AL32" t="s">
        <v>151</v>
      </c>
      <c r="AM32">
        <f t="shared" si="0"/>
        <v>94.5</v>
      </c>
      <c r="AN32">
        <f t="shared" si="1"/>
        <v>0.94499999999999995</v>
      </c>
    </row>
    <row r="33" spans="1:40" x14ac:dyDescent="0.25">
      <c r="A33">
        <v>102113</v>
      </c>
      <c r="B33" t="s">
        <v>34</v>
      </c>
      <c r="C33">
        <v>1.1299999999999999</v>
      </c>
      <c r="D33">
        <v>1.01</v>
      </c>
      <c r="E33">
        <v>1</v>
      </c>
      <c r="F33">
        <v>0.94</v>
      </c>
      <c r="G33">
        <v>0.87</v>
      </c>
      <c r="H33">
        <v>0.99</v>
      </c>
      <c r="I33">
        <v>0.94</v>
      </c>
      <c r="J33">
        <v>0.98</v>
      </c>
      <c r="K33">
        <v>1</v>
      </c>
      <c r="L33">
        <v>0.98</v>
      </c>
      <c r="M33">
        <v>0.94</v>
      </c>
      <c r="N33">
        <v>0.9</v>
      </c>
      <c r="O33">
        <v>0.89</v>
      </c>
      <c r="P33">
        <v>0.98</v>
      </c>
      <c r="Q33">
        <v>1.1499999999999999</v>
      </c>
      <c r="R33">
        <v>0.92</v>
      </c>
      <c r="S33">
        <v>1</v>
      </c>
      <c r="T33">
        <v>0.98</v>
      </c>
      <c r="U33">
        <v>0.83</v>
      </c>
      <c r="V33">
        <v>0.88</v>
      </c>
      <c r="W33">
        <v>0.93</v>
      </c>
      <c r="X33">
        <v>0.91</v>
      </c>
      <c r="Y33">
        <v>0.89</v>
      </c>
      <c r="Z33">
        <v>0.97</v>
      </c>
      <c r="AA33" s="8">
        <v>0.84397790055248623</v>
      </c>
      <c r="AB33" s="8">
        <v>1.02</v>
      </c>
      <c r="AC33" s="8">
        <v>0.93599999999999994</v>
      </c>
      <c r="AE33">
        <v>102521</v>
      </c>
      <c r="AF33" t="s">
        <v>450</v>
      </c>
      <c r="AG33">
        <v>4001</v>
      </c>
      <c r="AH33">
        <v>4131</v>
      </c>
      <c r="AI33">
        <v>96.8</v>
      </c>
      <c r="AK33">
        <v>102113</v>
      </c>
      <c r="AL33" t="s">
        <v>34</v>
      </c>
      <c r="AM33">
        <f t="shared" si="0"/>
        <v>93.6</v>
      </c>
      <c r="AN33">
        <f t="shared" si="1"/>
        <v>0.93599999999999994</v>
      </c>
    </row>
    <row r="34" spans="1:40" x14ac:dyDescent="0.25">
      <c r="A34">
        <v>102114</v>
      </c>
      <c r="B34" t="s">
        <v>30</v>
      </c>
      <c r="C34">
        <v>1.1200000000000001</v>
      </c>
      <c r="D34">
        <v>1.01</v>
      </c>
      <c r="E34">
        <v>1.01</v>
      </c>
      <c r="F34">
        <v>0.94</v>
      </c>
      <c r="G34">
        <v>0.87</v>
      </c>
      <c r="H34">
        <v>0.99</v>
      </c>
      <c r="I34">
        <v>0.94</v>
      </c>
      <c r="J34">
        <v>0.98</v>
      </c>
      <c r="K34">
        <v>1</v>
      </c>
      <c r="L34">
        <v>0.98</v>
      </c>
      <c r="M34">
        <v>0.94</v>
      </c>
      <c r="N34">
        <v>0.9</v>
      </c>
      <c r="O34">
        <v>0.89</v>
      </c>
      <c r="P34">
        <v>0.98</v>
      </c>
      <c r="Q34">
        <v>1.1499999999999999</v>
      </c>
      <c r="R34">
        <v>0.93</v>
      </c>
      <c r="S34">
        <v>1.01</v>
      </c>
      <c r="T34">
        <v>0.98</v>
      </c>
      <c r="U34">
        <v>0.83</v>
      </c>
      <c r="V34">
        <v>0.88</v>
      </c>
      <c r="W34">
        <v>0.93</v>
      </c>
      <c r="X34">
        <v>0.91</v>
      </c>
      <c r="Y34">
        <v>0.89</v>
      </c>
      <c r="Z34">
        <v>0.96</v>
      </c>
      <c r="AA34" s="8">
        <v>0.85304595653722837</v>
      </c>
      <c r="AB34" s="8">
        <v>1.0029999999999999</v>
      </c>
      <c r="AC34" s="8">
        <v>0.91500000000000004</v>
      </c>
      <c r="AE34">
        <v>102646</v>
      </c>
      <c r="AF34" t="s">
        <v>395</v>
      </c>
      <c r="AG34">
        <v>3392</v>
      </c>
      <c r="AH34">
        <v>3550</v>
      </c>
      <c r="AI34">
        <v>95.6</v>
      </c>
      <c r="AK34">
        <v>102114</v>
      </c>
      <c r="AL34" t="s">
        <v>30</v>
      </c>
      <c r="AM34">
        <f t="shared" si="0"/>
        <v>91.5</v>
      </c>
      <c r="AN34">
        <f t="shared" si="1"/>
        <v>0.91500000000000004</v>
      </c>
    </row>
    <row r="35" spans="1:40" x14ac:dyDescent="0.25">
      <c r="A35">
        <v>102115</v>
      </c>
      <c r="B35" t="s">
        <v>463</v>
      </c>
      <c r="C35">
        <v>1.1200000000000001</v>
      </c>
      <c r="D35">
        <v>1</v>
      </c>
      <c r="E35">
        <v>1.01</v>
      </c>
      <c r="F35">
        <v>0.94</v>
      </c>
      <c r="G35">
        <v>0.88</v>
      </c>
      <c r="H35">
        <v>0.99</v>
      </c>
      <c r="I35">
        <v>0.94</v>
      </c>
      <c r="J35">
        <v>0.98</v>
      </c>
      <c r="K35">
        <v>1</v>
      </c>
      <c r="L35">
        <v>0.98</v>
      </c>
      <c r="M35">
        <v>0.94</v>
      </c>
      <c r="N35">
        <v>0.9</v>
      </c>
      <c r="O35">
        <v>0.89</v>
      </c>
      <c r="P35">
        <v>0.98</v>
      </c>
      <c r="Q35">
        <v>1.1399999999999999</v>
      </c>
      <c r="R35">
        <v>0.93</v>
      </c>
      <c r="S35">
        <v>1.01</v>
      </c>
      <c r="T35">
        <v>0.97</v>
      </c>
      <c r="U35">
        <v>0.83</v>
      </c>
      <c r="V35">
        <v>0.87</v>
      </c>
      <c r="W35">
        <v>0.91</v>
      </c>
      <c r="X35">
        <v>0.89</v>
      </c>
      <c r="Y35">
        <v>0.88</v>
      </c>
      <c r="Z35">
        <v>0.9</v>
      </c>
      <c r="AA35" s="8">
        <v>0.81474999999999997</v>
      </c>
      <c r="AB35" s="8">
        <v>0.997</v>
      </c>
      <c r="AC35" s="8">
        <v>0.90500000000000003</v>
      </c>
      <c r="AE35">
        <v>102532</v>
      </c>
      <c r="AF35" t="s">
        <v>1035</v>
      </c>
      <c r="AG35">
        <v>3710</v>
      </c>
      <c r="AH35">
        <v>3729</v>
      </c>
      <c r="AI35">
        <v>99.5</v>
      </c>
      <c r="AK35">
        <v>102115</v>
      </c>
      <c r="AL35" t="s">
        <v>463</v>
      </c>
      <c r="AM35">
        <f t="shared" si="0"/>
        <v>90.5</v>
      </c>
      <c r="AN35">
        <f t="shared" si="1"/>
        <v>0.90500000000000003</v>
      </c>
    </row>
    <row r="36" spans="1:40" x14ac:dyDescent="0.25">
      <c r="A36">
        <v>102116</v>
      </c>
      <c r="B36" t="s">
        <v>226</v>
      </c>
      <c r="C36">
        <v>1.1200000000000001</v>
      </c>
      <c r="D36">
        <v>1.01</v>
      </c>
      <c r="E36">
        <v>1.01</v>
      </c>
      <c r="F36">
        <v>0.94</v>
      </c>
      <c r="G36">
        <v>0.87</v>
      </c>
      <c r="H36">
        <v>1</v>
      </c>
      <c r="I36">
        <v>0.94</v>
      </c>
      <c r="J36">
        <v>0.98</v>
      </c>
      <c r="K36">
        <v>1</v>
      </c>
      <c r="L36">
        <v>0.98</v>
      </c>
      <c r="M36">
        <v>0.94</v>
      </c>
      <c r="N36">
        <v>0.9</v>
      </c>
      <c r="O36">
        <v>0.89</v>
      </c>
      <c r="P36">
        <v>0.97</v>
      </c>
      <c r="Q36">
        <v>1.1399999999999999</v>
      </c>
      <c r="R36">
        <v>0.92</v>
      </c>
      <c r="S36">
        <v>1.01</v>
      </c>
      <c r="T36">
        <v>0.97</v>
      </c>
      <c r="U36">
        <v>0.85</v>
      </c>
      <c r="V36">
        <v>0.9</v>
      </c>
      <c r="W36">
        <v>0.95</v>
      </c>
      <c r="X36">
        <v>0.93</v>
      </c>
      <c r="Y36">
        <v>0.9</v>
      </c>
      <c r="Z36">
        <v>0.92</v>
      </c>
      <c r="AA36" s="8">
        <v>0.80049160180253998</v>
      </c>
      <c r="AB36" s="8">
        <v>1.016</v>
      </c>
      <c r="AC36" s="8">
        <v>0.94400000000000006</v>
      </c>
      <c r="AE36">
        <v>102724</v>
      </c>
      <c r="AF36" t="s">
        <v>115</v>
      </c>
      <c r="AG36">
        <v>4287</v>
      </c>
      <c r="AH36">
        <v>4406</v>
      </c>
      <c r="AI36">
        <v>97.3</v>
      </c>
      <c r="AK36">
        <v>102116</v>
      </c>
      <c r="AL36" t="s">
        <v>226</v>
      </c>
      <c r="AM36">
        <f t="shared" si="0"/>
        <v>94.4</v>
      </c>
      <c r="AN36">
        <f t="shared" si="1"/>
        <v>0.94400000000000006</v>
      </c>
    </row>
    <row r="37" spans="1:40" x14ac:dyDescent="0.25">
      <c r="A37">
        <v>102117</v>
      </c>
      <c r="B37" t="s">
        <v>114</v>
      </c>
      <c r="C37">
        <v>1.1200000000000001</v>
      </c>
      <c r="D37">
        <v>1.01</v>
      </c>
      <c r="E37">
        <v>1.01</v>
      </c>
      <c r="F37">
        <v>0.94</v>
      </c>
      <c r="G37">
        <v>0.88</v>
      </c>
      <c r="H37">
        <v>1</v>
      </c>
      <c r="I37">
        <v>0.94</v>
      </c>
      <c r="J37">
        <v>0.98</v>
      </c>
      <c r="K37">
        <v>1</v>
      </c>
      <c r="L37">
        <v>0.97</v>
      </c>
      <c r="M37">
        <v>0.93</v>
      </c>
      <c r="N37">
        <v>0.89</v>
      </c>
      <c r="O37">
        <v>0.9</v>
      </c>
      <c r="P37">
        <v>0.97</v>
      </c>
      <c r="Q37">
        <v>1.1399999999999999</v>
      </c>
      <c r="R37">
        <v>0.92</v>
      </c>
      <c r="S37">
        <v>1.01</v>
      </c>
      <c r="T37">
        <v>0.98</v>
      </c>
      <c r="U37">
        <v>0.85</v>
      </c>
      <c r="V37">
        <v>0.9</v>
      </c>
      <c r="W37">
        <v>0.93</v>
      </c>
      <c r="X37">
        <v>0.92</v>
      </c>
      <c r="Y37">
        <v>0.89</v>
      </c>
      <c r="Z37">
        <v>0.89</v>
      </c>
      <c r="AA37" s="8">
        <v>0.83441558441558439</v>
      </c>
      <c r="AB37" s="8">
        <v>1.0249999999999999</v>
      </c>
      <c r="AC37" s="8">
        <v>0.94299999999999995</v>
      </c>
      <c r="AE37">
        <v>102725</v>
      </c>
      <c r="AF37" t="s">
        <v>1219</v>
      </c>
      <c r="AG37">
        <v>4204</v>
      </c>
      <c r="AH37">
        <v>4332</v>
      </c>
      <c r="AI37">
        <v>97</v>
      </c>
      <c r="AK37">
        <v>102117</v>
      </c>
      <c r="AL37" t="s">
        <v>114</v>
      </c>
      <c r="AM37">
        <f t="shared" si="0"/>
        <v>94.3</v>
      </c>
      <c r="AN37">
        <f t="shared" si="1"/>
        <v>0.94299999999999995</v>
      </c>
    </row>
    <row r="38" spans="1:40" x14ac:dyDescent="0.25">
      <c r="A38">
        <v>102118</v>
      </c>
      <c r="B38" t="s">
        <v>164</v>
      </c>
      <c r="C38">
        <v>1.1200000000000001</v>
      </c>
      <c r="D38">
        <v>1.01</v>
      </c>
      <c r="E38">
        <v>1.01</v>
      </c>
      <c r="F38">
        <v>0.95</v>
      </c>
      <c r="G38">
        <v>0.87</v>
      </c>
      <c r="H38">
        <v>1</v>
      </c>
      <c r="I38">
        <v>0.94</v>
      </c>
      <c r="J38">
        <v>0.99</v>
      </c>
      <c r="K38">
        <v>1</v>
      </c>
      <c r="L38">
        <v>0.98</v>
      </c>
      <c r="M38">
        <v>0.94</v>
      </c>
      <c r="N38">
        <v>0.89</v>
      </c>
      <c r="O38">
        <v>0.89</v>
      </c>
      <c r="P38">
        <v>0.97</v>
      </c>
      <c r="Q38">
        <v>1.1399999999999999</v>
      </c>
      <c r="R38">
        <v>0.93</v>
      </c>
      <c r="S38">
        <v>1</v>
      </c>
      <c r="T38">
        <v>0.97</v>
      </c>
      <c r="U38">
        <v>0.84</v>
      </c>
      <c r="V38">
        <v>0.89</v>
      </c>
      <c r="W38">
        <v>0.95</v>
      </c>
      <c r="X38">
        <v>0.94</v>
      </c>
      <c r="Y38">
        <v>0.93</v>
      </c>
      <c r="Z38">
        <v>0.87</v>
      </c>
      <c r="AA38" s="8">
        <v>0.83059384941675507</v>
      </c>
      <c r="AB38" s="8">
        <v>1.05</v>
      </c>
      <c r="AC38" s="8">
        <v>0.96299999999999997</v>
      </c>
      <c r="AE38">
        <v>102901</v>
      </c>
      <c r="AF38" t="s">
        <v>46</v>
      </c>
      <c r="AG38">
        <v>5295</v>
      </c>
      <c r="AH38">
        <v>5454</v>
      </c>
      <c r="AI38">
        <v>97.1</v>
      </c>
      <c r="AK38">
        <v>102118</v>
      </c>
      <c r="AL38" t="s">
        <v>164</v>
      </c>
      <c r="AM38">
        <f t="shared" si="0"/>
        <v>96.3</v>
      </c>
      <c r="AN38">
        <f t="shared" si="1"/>
        <v>0.96299999999999997</v>
      </c>
    </row>
    <row r="39" spans="1:40" x14ac:dyDescent="0.25">
      <c r="A39">
        <v>102119</v>
      </c>
      <c r="B39" t="s">
        <v>507</v>
      </c>
      <c r="C39">
        <v>1.1200000000000001</v>
      </c>
      <c r="D39">
        <v>1.01</v>
      </c>
      <c r="E39">
        <v>1.01</v>
      </c>
      <c r="F39">
        <v>0.95</v>
      </c>
      <c r="G39">
        <v>0.87</v>
      </c>
      <c r="H39">
        <v>1</v>
      </c>
      <c r="I39">
        <v>0.95</v>
      </c>
      <c r="J39">
        <v>0.99</v>
      </c>
      <c r="K39">
        <v>1</v>
      </c>
      <c r="L39">
        <v>0.98</v>
      </c>
      <c r="M39">
        <v>0.93</v>
      </c>
      <c r="N39">
        <v>0.9</v>
      </c>
      <c r="O39">
        <v>0.89</v>
      </c>
      <c r="P39">
        <v>0.97</v>
      </c>
      <c r="Q39">
        <v>1.1299999999999999</v>
      </c>
      <c r="R39">
        <v>0.93</v>
      </c>
      <c r="S39">
        <v>0.99</v>
      </c>
      <c r="T39">
        <v>0.96</v>
      </c>
      <c r="U39">
        <v>0.84</v>
      </c>
      <c r="V39">
        <v>0.88</v>
      </c>
      <c r="W39">
        <v>0.92</v>
      </c>
      <c r="X39">
        <v>0.9</v>
      </c>
      <c r="Y39">
        <v>0.89</v>
      </c>
      <c r="Z39">
        <v>0.9</v>
      </c>
      <c r="AA39" s="8">
        <v>0.78095238095238095</v>
      </c>
      <c r="AB39" s="8">
        <v>1.0190000000000001</v>
      </c>
      <c r="AC39" s="8">
        <v>0.93799999999999994</v>
      </c>
      <c r="AE39">
        <v>102222</v>
      </c>
      <c r="AF39" t="s">
        <v>179</v>
      </c>
      <c r="AG39">
        <v>3603</v>
      </c>
      <c r="AH39">
        <v>3818</v>
      </c>
      <c r="AI39">
        <v>94.4</v>
      </c>
      <c r="AK39">
        <v>102119</v>
      </c>
      <c r="AL39" t="s">
        <v>507</v>
      </c>
      <c r="AM39">
        <f t="shared" si="0"/>
        <v>93.8</v>
      </c>
      <c r="AN39">
        <f t="shared" si="1"/>
        <v>0.93799999999999994</v>
      </c>
    </row>
    <row r="40" spans="1:40" x14ac:dyDescent="0.25">
      <c r="A40">
        <v>102120</v>
      </c>
      <c r="B40" t="s">
        <v>0</v>
      </c>
      <c r="C40">
        <v>1.1200000000000001</v>
      </c>
      <c r="D40">
        <v>1</v>
      </c>
      <c r="E40">
        <v>1.02</v>
      </c>
      <c r="F40">
        <v>0.95</v>
      </c>
      <c r="G40">
        <v>0.87</v>
      </c>
      <c r="H40">
        <v>0.99</v>
      </c>
      <c r="I40">
        <v>0.95</v>
      </c>
      <c r="J40">
        <v>0.99</v>
      </c>
      <c r="K40">
        <v>1</v>
      </c>
      <c r="L40">
        <v>0.98</v>
      </c>
      <c r="M40">
        <v>0.93</v>
      </c>
      <c r="N40">
        <v>0.89</v>
      </c>
      <c r="O40">
        <v>0.88</v>
      </c>
      <c r="P40">
        <v>0.97</v>
      </c>
      <c r="Q40">
        <v>1.1200000000000001</v>
      </c>
      <c r="R40">
        <v>0.93</v>
      </c>
      <c r="S40">
        <v>0.98</v>
      </c>
      <c r="T40">
        <v>0.95</v>
      </c>
      <c r="U40">
        <v>0.83</v>
      </c>
      <c r="V40">
        <v>0.86</v>
      </c>
      <c r="W40">
        <v>0.9</v>
      </c>
      <c r="X40">
        <v>0.89</v>
      </c>
      <c r="Y40">
        <v>0.89</v>
      </c>
      <c r="Z40">
        <v>0.91</v>
      </c>
      <c r="AA40" s="8">
        <v>0.78977126702647138</v>
      </c>
      <c r="AB40" s="8">
        <v>1.004</v>
      </c>
      <c r="AC40" s="8">
        <v>0.92500000000000004</v>
      </c>
      <c r="AE40">
        <v>102717</v>
      </c>
      <c r="AF40" t="s">
        <v>96</v>
      </c>
      <c r="AG40">
        <v>4308</v>
      </c>
      <c r="AH40">
        <v>4443</v>
      </c>
      <c r="AI40">
        <v>97</v>
      </c>
      <c r="AK40">
        <v>102120</v>
      </c>
      <c r="AL40" t="s">
        <v>0</v>
      </c>
      <c r="AM40">
        <f t="shared" si="0"/>
        <v>92.5</v>
      </c>
      <c r="AN40">
        <f t="shared" si="1"/>
        <v>0.92500000000000004</v>
      </c>
    </row>
    <row r="41" spans="1:40" x14ac:dyDescent="0.25">
      <c r="A41">
        <v>102121</v>
      </c>
      <c r="B41" t="s">
        <v>451</v>
      </c>
      <c r="C41">
        <v>1.1599999999999999</v>
      </c>
      <c r="D41">
        <v>1.02</v>
      </c>
      <c r="E41">
        <v>0.99</v>
      </c>
      <c r="F41">
        <v>0.94</v>
      </c>
      <c r="G41">
        <v>0.87</v>
      </c>
      <c r="H41">
        <v>0.99</v>
      </c>
      <c r="I41">
        <v>0.94</v>
      </c>
      <c r="J41">
        <v>0.99</v>
      </c>
      <c r="K41">
        <v>0.98</v>
      </c>
      <c r="L41">
        <v>0.97</v>
      </c>
      <c r="M41">
        <v>0.93</v>
      </c>
      <c r="N41">
        <v>0.87</v>
      </c>
      <c r="O41">
        <v>0.88</v>
      </c>
      <c r="P41">
        <v>0.96</v>
      </c>
      <c r="Q41">
        <v>1.1599999999999999</v>
      </c>
      <c r="R41">
        <v>0.95</v>
      </c>
      <c r="S41">
        <v>0.99</v>
      </c>
      <c r="T41">
        <v>0.99</v>
      </c>
      <c r="U41">
        <v>0.82</v>
      </c>
      <c r="V41">
        <v>0.88</v>
      </c>
      <c r="W41">
        <v>0.9</v>
      </c>
      <c r="X41">
        <v>0.9</v>
      </c>
      <c r="Y41">
        <v>0.88</v>
      </c>
      <c r="Z41">
        <v>0.86</v>
      </c>
      <c r="AA41" s="8">
        <v>0.8178528347406514</v>
      </c>
      <c r="AB41" s="8">
        <v>0.98599999999999999</v>
      </c>
      <c r="AC41" s="8">
        <v>0.90300000000000002</v>
      </c>
      <c r="AE41">
        <v>102322</v>
      </c>
      <c r="AF41" t="s">
        <v>91</v>
      </c>
      <c r="AG41">
        <v>3634</v>
      </c>
      <c r="AH41">
        <v>3843</v>
      </c>
      <c r="AI41">
        <v>94.5</v>
      </c>
      <c r="AK41">
        <v>102121</v>
      </c>
      <c r="AL41" t="s">
        <v>451</v>
      </c>
      <c r="AM41">
        <f t="shared" si="0"/>
        <v>90.3</v>
      </c>
      <c r="AN41">
        <f t="shared" si="1"/>
        <v>0.90300000000000002</v>
      </c>
    </row>
    <row r="42" spans="1:40" x14ac:dyDescent="0.25">
      <c r="A42">
        <v>102122</v>
      </c>
      <c r="B42" t="s">
        <v>460</v>
      </c>
      <c r="C42">
        <v>1.1499999999999999</v>
      </c>
      <c r="D42">
        <v>1.02</v>
      </c>
      <c r="E42">
        <v>0.99</v>
      </c>
      <c r="F42">
        <v>0.94</v>
      </c>
      <c r="G42">
        <v>0.88</v>
      </c>
      <c r="H42">
        <v>0.99</v>
      </c>
      <c r="I42">
        <v>0.94</v>
      </c>
      <c r="J42">
        <v>0.99</v>
      </c>
      <c r="K42">
        <v>0.99</v>
      </c>
      <c r="L42">
        <v>0.97</v>
      </c>
      <c r="M42">
        <v>0.93</v>
      </c>
      <c r="N42">
        <v>0.88</v>
      </c>
      <c r="O42">
        <v>0.89</v>
      </c>
      <c r="P42">
        <v>0.97</v>
      </c>
      <c r="Q42">
        <v>1.1499999999999999</v>
      </c>
      <c r="R42">
        <v>0.93</v>
      </c>
      <c r="S42">
        <v>1</v>
      </c>
      <c r="T42">
        <v>0.99</v>
      </c>
      <c r="U42">
        <v>0.83</v>
      </c>
      <c r="V42">
        <v>0.89</v>
      </c>
      <c r="W42">
        <v>0.91</v>
      </c>
      <c r="X42">
        <v>0.9</v>
      </c>
      <c r="Y42">
        <v>0.87</v>
      </c>
      <c r="Z42" s="94">
        <f t="shared" ref="Z42:AA42" si="2">AVERAGE(Z$41,Z$144,Z147)</f>
        <v>0.91</v>
      </c>
      <c r="AA42" s="94">
        <f t="shared" si="2"/>
        <v>0.81596597348849975</v>
      </c>
      <c r="AB42" s="94">
        <v>1.0053333333333334</v>
      </c>
      <c r="AC42" s="8">
        <v>0.91799999999999993</v>
      </c>
      <c r="AE42">
        <v>102341</v>
      </c>
      <c r="AF42" t="s">
        <v>98</v>
      </c>
      <c r="AG42">
        <v>3419</v>
      </c>
      <c r="AH42">
        <v>3559</v>
      </c>
      <c r="AI42">
        <v>96</v>
      </c>
      <c r="AK42">
        <v>102122</v>
      </c>
      <c r="AL42" t="s">
        <v>460</v>
      </c>
      <c r="AM42">
        <f t="shared" si="0"/>
        <v>91.8</v>
      </c>
      <c r="AN42">
        <f t="shared" si="1"/>
        <v>0.91799999999999993</v>
      </c>
    </row>
    <row r="43" spans="1:40" x14ac:dyDescent="0.25">
      <c r="A43">
        <v>102123</v>
      </c>
      <c r="B43" t="s">
        <v>245</v>
      </c>
      <c r="C43">
        <v>1.1299999999999999</v>
      </c>
      <c r="D43">
        <v>1</v>
      </c>
      <c r="E43">
        <v>1</v>
      </c>
      <c r="F43">
        <v>0.94</v>
      </c>
      <c r="G43">
        <v>0.88</v>
      </c>
      <c r="H43">
        <v>0.99</v>
      </c>
      <c r="I43">
        <v>0.93</v>
      </c>
      <c r="J43">
        <v>0.98</v>
      </c>
      <c r="K43">
        <v>0.99</v>
      </c>
      <c r="L43">
        <v>0.97</v>
      </c>
      <c r="M43">
        <v>0.94</v>
      </c>
      <c r="N43">
        <v>0.9</v>
      </c>
      <c r="O43">
        <v>0.9</v>
      </c>
      <c r="P43">
        <v>0.97</v>
      </c>
      <c r="Q43">
        <v>1.1399999999999999</v>
      </c>
      <c r="R43">
        <v>0.94</v>
      </c>
      <c r="S43">
        <v>1.01</v>
      </c>
      <c r="T43">
        <v>0.99</v>
      </c>
      <c r="U43">
        <v>0.83</v>
      </c>
      <c r="V43">
        <v>0.87</v>
      </c>
      <c r="W43">
        <v>0.92</v>
      </c>
      <c r="X43">
        <v>0.92</v>
      </c>
      <c r="Y43">
        <v>0.89</v>
      </c>
      <c r="Z43">
        <v>0.94</v>
      </c>
      <c r="AA43" s="8">
        <v>0.82757787973919339</v>
      </c>
      <c r="AB43" s="8">
        <v>1.0049999999999999</v>
      </c>
      <c r="AC43" s="8">
        <v>0.93900000000000006</v>
      </c>
      <c r="AE43">
        <v>102606</v>
      </c>
      <c r="AF43" t="s">
        <v>101</v>
      </c>
      <c r="AG43">
        <v>3611</v>
      </c>
      <c r="AH43">
        <v>3782</v>
      </c>
      <c r="AI43">
        <v>95.5</v>
      </c>
      <c r="AK43">
        <v>102123</v>
      </c>
      <c r="AL43" t="s">
        <v>245</v>
      </c>
      <c r="AM43">
        <f t="shared" si="0"/>
        <v>93.9</v>
      </c>
      <c r="AN43">
        <f t="shared" si="1"/>
        <v>0.93900000000000006</v>
      </c>
    </row>
    <row r="44" spans="1:40" x14ac:dyDescent="0.25">
      <c r="A44">
        <v>102124</v>
      </c>
      <c r="B44" t="s">
        <v>458</v>
      </c>
      <c r="C44">
        <v>1.1499999999999999</v>
      </c>
      <c r="D44">
        <v>1.03</v>
      </c>
      <c r="E44">
        <v>0.99</v>
      </c>
      <c r="F44">
        <v>0.95</v>
      </c>
      <c r="G44">
        <v>0.87</v>
      </c>
      <c r="H44">
        <v>1</v>
      </c>
      <c r="I44">
        <v>0.95</v>
      </c>
      <c r="J44">
        <v>0.99</v>
      </c>
      <c r="K44">
        <v>0.99</v>
      </c>
      <c r="L44">
        <v>0.97</v>
      </c>
      <c r="M44">
        <v>0.94</v>
      </c>
      <c r="N44">
        <v>0.88</v>
      </c>
      <c r="O44">
        <v>0.89</v>
      </c>
      <c r="P44">
        <v>0.97</v>
      </c>
      <c r="Q44">
        <v>1.17</v>
      </c>
      <c r="R44">
        <v>0.93</v>
      </c>
      <c r="S44">
        <v>1.01</v>
      </c>
      <c r="T44">
        <v>1</v>
      </c>
      <c r="U44">
        <v>0.83</v>
      </c>
      <c r="V44">
        <v>0.9</v>
      </c>
      <c r="W44">
        <v>0.93</v>
      </c>
      <c r="X44">
        <v>0.93</v>
      </c>
      <c r="Y44">
        <v>0.89</v>
      </c>
      <c r="Z44">
        <v>0.85</v>
      </c>
      <c r="AA44" s="8">
        <v>0.79741252572772714</v>
      </c>
      <c r="AB44" s="8">
        <v>1.002</v>
      </c>
      <c r="AC44" s="8">
        <v>0.92299999999999993</v>
      </c>
      <c r="AE44">
        <v>102417</v>
      </c>
      <c r="AF44" t="s">
        <v>518</v>
      </c>
      <c r="AG44">
        <v>3463</v>
      </c>
      <c r="AH44">
        <v>3702</v>
      </c>
      <c r="AI44">
        <v>93.5</v>
      </c>
      <c r="AK44">
        <v>102124</v>
      </c>
      <c r="AL44" t="s">
        <v>458</v>
      </c>
      <c r="AM44">
        <f t="shared" si="0"/>
        <v>92.3</v>
      </c>
      <c r="AN44">
        <f t="shared" si="1"/>
        <v>0.92299999999999993</v>
      </c>
    </row>
    <row r="45" spans="1:40" x14ac:dyDescent="0.25">
      <c r="A45">
        <v>102125</v>
      </c>
      <c r="B45" t="s">
        <v>508</v>
      </c>
      <c r="C45">
        <v>1.1299999999999999</v>
      </c>
      <c r="D45">
        <v>1.01</v>
      </c>
      <c r="E45">
        <v>1.01</v>
      </c>
      <c r="F45">
        <v>0.95</v>
      </c>
      <c r="G45">
        <v>0.89</v>
      </c>
      <c r="H45">
        <v>1</v>
      </c>
      <c r="I45">
        <v>0.94</v>
      </c>
      <c r="J45">
        <v>0.98</v>
      </c>
      <c r="K45">
        <v>1</v>
      </c>
      <c r="L45">
        <v>0.97</v>
      </c>
      <c r="M45">
        <v>0.93</v>
      </c>
      <c r="N45">
        <v>0.89</v>
      </c>
      <c r="O45">
        <v>0.9</v>
      </c>
      <c r="P45">
        <v>0.97</v>
      </c>
      <c r="Q45">
        <v>1.1399999999999999</v>
      </c>
      <c r="R45">
        <v>0.92</v>
      </c>
      <c r="S45">
        <v>1.01</v>
      </c>
      <c r="T45">
        <v>0.98</v>
      </c>
      <c r="U45">
        <v>0.84</v>
      </c>
      <c r="V45">
        <v>0.9</v>
      </c>
      <c r="W45">
        <v>0.92</v>
      </c>
      <c r="X45">
        <v>0.91</v>
      </c>
      <c r="Y45">
        <v>0.87</v>
      </c>
      <c r="Z45">
        <v>0.89</v>
      </c>
      <c r="AA45" s="8">
        <v>0.82374999999999998</v>
      </c>
      <c r="AB45" s="8">
        <v>1.0149999999999999</v>
      </c>
      <c r="AC45" s="8">
        <v>0.94599999999999995</v>
      </c>
      <c r="AE45">
        <v>102107</v>
      </c>
      <c r="AF45" t="s">
        <v>198</v>
      </c>
      <c r="AG45">
        <v>2913</v>
      </c>
      <c r="AH45">
        <v>3141</v>
      </c>
      <c r="AI45">
        <v>92.7</v>
      </c>
      <c r="AK45">
        <v>102125</v>
      </c>
      <c r="AL45" t="s">
        <v>508</v>
      </c>
      <c r="AM45">
        <f t="shared" si="0"/>
        <v>94.6</v>
      </c>
      <c r="AN45">
        <f t="shared" si="1"/>
        <v>0.94599999999999995</v>
      </c>
    </row>
    <row r="46" spans="1:40" x14ac:dyDescent="0.25">
      <c r="A46">
        <v>102126</v>
      </c>
      <c r="B46" t="s">
        <v>42</v>
      </c>
      <c r="C46">
        <v>1.1499999999999999</v>
      </c>
      <c r="D46">
        <v>1.03</v>
      </c>
      <c r="E46">
        <v>1</v>
      </c>
      <c r="F46">
        <v>0.95</v>
      </c>
      <c r="G46">
        <v>0.88</v>
      </c>
      <c r="H46">
        <v>1.01</v>
      </c>
      <c r="I46">
        <v>0.95</v>
      </c>
      <c r="J46">
        <v>0.99</v>
      </c>
      <c r="K46">
        <v>0.99</v>
      </c>
      <c r="L46">
        <v>0.97</v>
      </c>
      <c r="M46">
        <v>0.93</v>
      </c>
      <c r="N46">
        <v>0.88</v>
      </c>
      <c r="O46">
        <v>0.89</v>
      </c>
      <c r="P46">
        <v>0.97</v>
      </c>
      <c r="Q46">
        <v>1.1599999999999999</v>
      </c>
      <c r="R46">
        <v>0.93</v>
      </c>
      <c r="S46">
        <v>1.01</v>
      </c>
      <c r="T46">
        <v>1</v>
      </c>
      <c r="U46">
        <v>0.84</v>
      </c>
      <c r="V46">
        <v>0.9</v>
      </c>
      <c r="W46">
        <v>0.93</v>
      </c>
      <c r="X46">
        <v>0.93</v>
      </c>
      <c r="Y46">
        <v>0.89</v>
      </c>
      <c r="Z46">
        <v>0.84</v>
      </c>
      <c r="AA46" s="8">
        <v>0.77549051141846248</v>
      </c>
      <c r="AB46" s="8">
        <v>1.026</v>
      </c>
      <c r="AC46" s="8">
        <v>0.94799999999999995</v>
      </c>
      <c r="AE46">
        <v>102603</v>
      </c>
      <c r="AF46" t="s">
        <v>357</v>
      </c>
      <c r="AG46">
        <v>3830</v>
      </c>
      <c r="AH46">
        <v>4051</v>
      </c>
      <c r="AI46">
        <v>94.5</v>
      </c>
      <c r="AK46">
        <v>102126</v>
      </c>
      <c r="AL46" t="s">
        <v>42</v>
      </c>
      <c r="AM46">
        <f t="shared" si="0"/>
        <v>94.8</v>
      </c>
      <c r="AN46">
        <f t="shared" si="1"/>
        <v>0.94799999999999995</v>
      </c>
    </row>
    <row r="47" spans="1:40" x14ac:dyDescent="0.25">
      <c r="A47">
        <v>102127</v>
      </c>
      <c r="B47" t="s">
        <v>243</v>
      </c>
      <c r="C47">
        <v>1.1399999999999999</v>
      </c>
      <c r="D47">
        <v>1.02</v>
      </c>
      <c r="E47">
        <v>1.01</v>
      </c>
      <c r="F47">
        <v>0.95</v>
      </c>
      <c r="G47">
        <v>0.88</v>
      </c>
      <c r="H47">
        <v>1</v>
      </c>
      <c r="I47">
        <v>0.94</v>
      </c>
      <c r="J47">
        <v>0.99</v>
      </c>
      <c r="K47">
        <v>1</v>
      </c>
      <c r="L47">
        <v>0.97</v>
      </c>
      <c r="M47">
        <v>0.93</v>
      </c>
      <c r="N47">
        <v>0.89</v>
      </c>
      <c r="O47">
        <v>0.89</v>
      </c>
      <c r="P47">
        <v>0.97</v>
      </c>
      <c r="Q47">
        <v>1.1499999999999999</v>
      </c>
      <c r="R47">
        <v>0.92</v>
      </c>
      <c r="S47">
        <v>1.01</v>
      </c>
      <c r="T47">
        <v>0.99</v>
      </c>
      <c r="U47">
        <v>0.84</v>
      </c>
      <c r="V47">
        <v>0.9</v>
      </c>
      <c r="W47">
        <v>0.93</v>
      </c>
      <c r="X47">
        <v>0.93</v>
      </c>
      <c r="Y47">
        <v>0.89</v>
      </c>
      <c r="Z47">
        <v>0.94</v>
      </c>
      <c r="AA47" s="8">
        <v>0.82860438292964245</v>
      </c>
      <c r="AB47" s="8">
        <v>1.0109999999999999</v>
      </c>
      <c r="AC47" s="8">
        <v>0.93900000000000006</v>
      </c>
      <c r="AE47">
        <v>102313</v>
      </c>
      <c r="AF47" t="s">
        <v>108</v>
      </c>
      <c r="AG47">
        <v>2922</v>
      </c>
      <c r="AH47">
        <v>3158</v>
      </c>
      <c r="AI47">
        <v>92.5</v>
      </c>
      <c r="AK47">
        <v>102127</v>
      </c>
      <c r="AL47" t="s">
        <v>243</v>
      </c>
      <c r="AM47">
        <f t="shared" si="0"/>
        <v>93.9</v>
      </c>
      <c r="AN47">
        <f t="shared" si="1"/>
        <v>0.93900000000000006</v>
      </c>
    </row>
    <row r="48" spans="1:40" x14ac:dyDescent="0.25">
      <c r="A48">
        <v>102128</v>
      </c>
      <c r="B48" t="s">
        <v>213</v>
      </c>
      <c r="C48">
        <v>1.1499999999999999</v>
      </c>
      <c r="D48">
        <v>1.03</v>
      </c>
      <c r="E48">
        <v>1.01</v>
      </c>
      <c r="F48">
        <v>0.95</v>
      </c>
      <c r="G48">
        <v>0.88</v>
      </c>
      <c r="H48">
        <v>1.01</v>
      </c>
      <c r="I48">
        <v>0.95</v>
      </c>
      <c r="J48">
        <v>0.99</v>
      </c>
      <c r="K48">
        <v>0.99</v>
      </c>
      <c r="L48">
        <v>0.97</v>
      </c>
      <c r="M48">
        <v>0.93</v>
      </c>
      <c r="N48">
        <v>0.88</v>
      </c>
      <c r="O48">
        <v>0.88</v>
      </c>
      <c r="P48">
        <v>0.96</v>
      </c>
      <c r="Q48">
        <v>1.17</v>
      </c>
      <c r="R48">
        <v>0.93</v>
      </c>
      <c r="S48">
        <v>1.02</v>
      </c>
      <c r="T48">
        <v>1</v>
      </c>
      <c r="U48">
        <v>0.85</v>
      </c>
      <c r="V48">
        <v>0.92</v>
      </c>
      <c r="W48">
        <v>0.95</v>
      </c>
      <c r="X48">
        <v>0.94</v>
      </c>
      <c r="Y48">
        <v>0.9</v>
      </c>
      <c r="Z48">
        <v>0.93</v>
      </c>
      <c r="AA48" s="8">
        <v>0.81954367365752478</v>
      </c>
      <c r="AB48" s="8">
        <v>1.018</v>
      </c>
      <c r="AC48" s="8">
        <v>0.94099999999999995</v>
      </c>
      <c r="AE48">
        <v>102215</v>
      </c>
      <c r="AF48" t="s">
        <v>106</v>
      </c>
      <c r="AG48">
        <v>3563</v>
      </c>
      <c r="AH48">
        <v>3727</v>
      </c>
      <c r="AI48">
        <v>95.6</v>
      </c>
      <c r="AK48">
        <v>102128</v>
      </c>
      <c r="AL48" t="s">
        <v>213</v>
      </c>
      <c r="AM48">
        <f t="shared" si="0"/>
        <v>94.1</v>
      </c>
      <c r="AN48">
        <f t="shared" si="1"/>
        <v>0.94099999999999995</v>
      </c>
    </row>
    <row r="49" spans="1:40" x14ac:dyDescent="0.25">
      <c r="A49">
        <v>102129</v>
      </c>
      <c r="B49" t="s">
        <v>153</v>
      </c>
      <c r="C49">
        <v>1.1399999999999999</v>
      </c>
      <c r="D49">
        <v>1.03</v>
      </c>
      <c r="E49">
        <v>1</v>
      </c>
      <c r="F49">
        <v>0.94</v>
      </c>
      <c r="G49">
        <v>0.88</v>
      </c>
      <c r="H49">
        <v>1</v>
      </c>
      <c r="I49">
        <v>0.95</v>
      </c>
      <c r="J49">
        <v>0.99</v>
      </c>
      <c r="K49">
        <v>0.98</v>
      </c>
      <c r="L49">
        <v>0.97</v>
      </c>
      <c r="M49">
        <v>0.93</v>
      </c>
      <c r="N49">
        <v>0.87</v>
      </c>
      <c r="O49">
        <v>0.88</v>
      </c>
      <c r="P49">
        <v>0.96</v>
      </c>
      <c r="Q49">
        <v>1.17</v>
      </c>
      <c r="R49">
        <v>0.93</v>
      </c>
      <c r="S49">
        <v>1.01</v>
      </c>
      <c r="T49">
        <v>0.99</v>
      </c>
      <c r="U49">
        <v>0.83</v>
      </c>
      <c r="V49">
        <v>0.89</v>
      </c>
      <c r="W49">
        <v>0.91</v>
      </c>
      <c r="X49">
        <v>0.91</v>
      </c>
      <c r="Y49">
        <v>0.88</v>
      </c>
      <c r="Z49">
        <v>0.93</v>
      </c>
      <c r="AA49" s="8">
        <v>0.8174334140435835</v>
      </c>
      <c r="AB49" s="8">
        <v>1</v>
      </c>
      <c r="AC49" s="8">
        <v>0.92500000000000004</v>
      </c>
      <c r="AE49">
        <v>102121</v>
      </c>
      <c r="AF49" t="s">
        <v>451</v>
      </c>
      <c r="AG49">
        <v>2596</v>
      </c>
      <c r="AH49">
        <v>2875</v>
      </c>
      <c r="AI49">
        <v>90.3</v>
      </c>
      <c r="AK49">
        <v>102129</v>
      </c>
      <c r="AL49" t="s">
        <v>153</v>
      </c>
      <c r="AM49">
        <f t="shared" si="0"/>
        <v>92.5</v>
      </c>
      <c r="AN49">
        <f t="shared" si="1"/>
        <v>0.92500000000000004</v>
      </c>
    </row>
    <row r="50" spans="1:40" x14ac:dyDescent="0.25">
      <c r="A50">
        <v>102130</v>
      </c>
      <c r="B50" t="s">
        <v>81</v>
      </c>
      <c r="C50">
        <v>1.1200000000000001</v>
      </c>
      <c r="D50">
        <v>1.01</v>
      </c>
      <c r="E50">
        <v>1</v>
      </c>
      <c r="F50">
        <v>0.94</v>
      </c>
      <c r="G50">
        <v>0.88</v>
      </c>
      <c r="H50">
        <v>0.99</v>
      </c>
      <c r="I50">
        <v>0.94</v>
      </c>
      <c r="J50">
        <v>0.98</v>
      </c>
      <c r="K50">
        <v>1</v>
      </c>
      <c r="L50">
        <v>0.97</v>
      </c>
      <c r="M50">
        <v>0.93</v>
      </c>
      <c r="N50">
        <v>0.89</v>
      </c>
      <c r="O50">
        <v>0.89</v>
      </c>
      <c r="P50">
        <v>0.97</v>
      </c>
      <c r="Q50">
        <v>1.1499999999999999</v>
      </c>
      <c r="R50">
        <v>0.92</v>
      </c>
      <c r="S50">
        <v>1.01</v>
      </c>
      <c r="T50">
        <v>0.98</v>
      </c>
      <c r="U50">
        <v>0.84</v>
      </c>
      <c r="V50">
        <v>0.9</v>
      </c>
      <c r="W50">
        <v>0.94</v>
      </c>
      <c r="X50">
        <v>0.93</v>
      </c>
      <c r="Y50">
        <v>0.9</v>
      </c>
      <c r="Z50">
        <v>0.91</v>
      </c>
      <c r="AA50" s="8">
        <v>0.8125</v>
      </c>
      <c r="AB50" s="8">
        <v>1.03</v>
      </c>
      <c r="AC50" s="8">
        <v>0.94900000000000007</v>
      </c>
      <c r="AE50">
        <v>102708</v>
      </c>
      <c r="AF50" t="s">
        <v>110</v>
      </c>
      <c r="AG50">
        <v>4017</v>
      </c>
      <c r="AH50">
        <v>4118</v>
      </c>
      <c r="AI50">
        <v>97.6</v>
      </c>
      <c r="AK50">
        <v>102130</v>
      </c>
      <c r="AL50" t="s">
        <v>81</v>
      </c>
      <c r="AM50">
        <f t="shared" si="0"/>
        <v>94.9</v>
      </c>
      <c r="AN50">
        <f t="shared" si="1"/>
        <v>0.94900000000000007</v>
      </c>
    </row>
    <row r="51" spans="1:40" x14ac:dyDescent="0.25">
      <c r="A51">
        <v>102131</v>
      </c>
      <c r="B51" t="s">
        <v>374</v>
      </c>
      <c r="C51">
        <v>1.1299999999999999</v>
      </c>
      <c r="D51">
        <v>1.02</v>
      </c>
      <c r="E51">
        <v>1.01</v>
      </c>
      <c r="F51">
        <v>0.94</v>
      </c>
      <c r="G51">
        <v>0.88</v>
      </c>
      <c r="H51">
        <v>1</v>
      </c>
      <c r="I51">
        <v>0.94</v>
      </c>
      <c r="J51">
        <v>0.98</v>
      </c>
      <c r="K51">
        <v>1</v>
      </c>
      <c r="L51">
        <v>0.97</v>
      </c>
      <c r="M51">
        <v>0.93</v>
      </c>
      <c r="N51">
        <v>0.89</v>
      </c>
      <c r="O51">
        <v>0.89</v>
      </c>
      <c r="P51">
        <v>0.96</v>
      </c>
      <c r="Q51">
        <v>1.1499999999999999</v>
      </c>
      <c r="R51">
        <v>0.92</v>
      </c>
      <c r="S51">
        <v>1.02</v>
      </c>
      <c r="T51">
        <v>0.99</v>
      </c>
      <c r="U51">
        <v>0.85</v>
      </c>
      <c r="V51">
        <v>0.91</v>
      </c>
      <c r="W51">
        <v>0.93</v>
      </c>
      <c r="X51">
        <v>0.92</v>
      </c>
      <c r="Y51">
        <v>0.89</v>
      </c>
      <c r="Z51">
        <v>0.91</v>
      </c>
      <c r="AA51" s="8">
        <v>0.79789148881460525</v>
      </c>
      <c r="AB51" s="8">
        <v>1.018</v>
      </c>
      <c r="AC51" s="8">
        <v>0.94</v>
      </c>
      <c r="AE51">
        <v>102509</v>
      </c>
      <c r="AF51" t="s">
        <v>246</v>
      </c>
      <c r="AG51">
        <v>3950</v>
      </c>
      <c r="AH51">
        <v>3971</v>
      </c>
      <c r="AI51">
        <v>99.5</v>
      </c>
      <c r="AK51">
        <v>102131</v>
      </c>
      <c r="AL51" t="s">
        <v>374</v>
      </c>
      <c r="AM51">
        <f t="shared" si="0"/>
        <v>94</v>
      </c>
      <c r="AN51">
        <f t="shared" si="1"/>
        <v>0.94</v>
      </c>
    </row>
    <row r="52" spans="1:40" x14ac:dyDescent="0.25">
      <c r="A52">
        <v>102132</v>
      </c>
      <c r="B52" t="s">
        <v>509</v>
      </c>
      <c r="C52">
        <v>1.1299999999999999</v>
      </c>
      <c r="D52">
        <v>1.02</v>
      </c>
      <c r="E52">
        <v>1.01</v>
      </c>
      <c r="F52">
        <v>0.94</v>
      </c>
      <c r="G52">
        <v>0.87</v>
      </c>
      <c r="H52">
        <v>0.99</v>
      </c>
      <c r="I52">
        <v>0.94</v>
      </c>
      <c r="J52">
        <v>0.99</v>
      </c>
      <c r="K52">
        <v>0.99</v>
      </c>
      <c r="L52">
        <v>0.96</v>
      </c>
      <c r="M52">
        <v>0.92</v>
      </c>
      <c r="N52">
        <v>0.89</v>
      </c>
      <c r="O52">
        <v>0.88</v>
      </c>
      <c r="P52">
        <v>0.96</v>
      </c>
      <c r="Q52">
        <v>1.1599999999999999</v>
      </c>
      <c r="R52">
        <v>0.93</v>
      </c>
      <c r="S52">
        <v>1.02</v>
      </c>
      <c r="T52">
        <v>0.99</v>
      </c>
      <c r="U52">
        <v>0.84</v>
      </c>
      <c r="V52">
        <v>0.91</v>
      </c>
      <c r="W52">
        <v>0.9</v>
      </c>
      <c r="X52">
        <v>0.88</v>
      </c>
      <c r="Y52">
        <v>0.85</v>
      </c>
      <c r="Z52">
        <v>0.91</v>
      </c>
      <c r="AA52" s="8">
        <v>0.7997557997557998</v>
      </c>
      <c r="AB52" s="8">
        <v>1.0090000000000001</v>
      </c>
      <c r="AC52" s="8">
        <v>0.92400000000000004</v>
      </c>
      <c r="AE52">
        <v>102631</v>
      </c>
      <c r="AF52" t="s">
        <v>447</v>
      </c>
      <c r="AG52">
        <v>3805</v>
      </c>
      <c r="AH52">
        <v>3904</v>
      </c>
      <c r="AI52">
        <v>97.5</v>
      </c>
      <c r="AK52">
        <v>102132</v>
      </c>
      <c r="AL52" t="s">
        <v>509</v>
      </c>
      <c r="AM52">
        <f t="shared" si="0"/>
        <v>92.4</v>
      </c>
      <c r="AN52">
        <f t="shared" si="1"/>
        <v>0.92400000000000004</v>
      </c>
    </row>
    <row r="53" spans="1:40" x14ac:dyDescent="0.25">
      <c r="A53">
        <v>102135</v>
      </c>
      <c r="B53" t="s">
        <v>1044</v>
      </c>
      <c r="Y53">
        <v>0.88</v>
      </c>
      <c r="Z53">
        <v>0.95</v>
      </c>
      <c r="AA53" s="8">
        <v>0.84279168135354243</v>
      </c>
      <c r="AB53" s="8">
        <v>1.0029999999999999</v>
      </c>
      <c r="AC53" s="8">
        <v>0.92</v>
      </c>
      <c r="AE53">
        <v>102408</v>
      </c>
      <c r="AF53" t="s">
        <v>113</v>
      </c>
      <c r="AG53">
        <v>3452</v>
      </c>
      <c r="AH53">
        <v>3635</v>
      </c>
      <c r="AI53">
        <v>95</v>
      </c>
      <c r="AK53">
        <v>102135</v>
      </c>
      <c r="AL53" t="s">
        <v>1044</v>
      </c>
      <c r="AM53">
        <f t="shared" si="0"/>
        <v>92</v>
      </c>
      <c r="AN53">
        <f t="shared" si="1"/>
        <v>0.92</v>
      </c>
    </row>
    <row r="54" spans="1:40" x14ac:dyDescent="0.25">
      <c r="A54">
        <v>102136</v>
      </c>
      <c r="B54" t="s">
        <v>44</v>
      </c>
      <c r="Y54">
        <v>0.9</v>
      </c>
      <c r="Z54">
        <v>0.91</v>
      </c>
      <c r="AA54" s="8">
        <v>0.81856209150326797</v>
      </c>
      <c r="AB54" s="8">
        <v>0.998</v>
      </c>
      <c r="AC54" s="8">
        <v>0.92</v>
      </c>
      <c r="AE54">
        <v>102529</v>
      </c>
      <c r="AF54" t="s">
        <v>1220</v>
      </c>
      <c r="AG54">
        <v>3586</v>
      </c>
      <c r="AH54">
        <v>3781</v>
      </c>
      <c r="AI54">
        <v>94.9</v>
      </c>
      <c r="AK54">
        <v>102136</v>
      </c>
      <c r="AL54" t="s">
        <v>44</v>
      </c>
      <c r="AM54">
        <f t="shared" si="0"/>
        <v>92</v>
      </c>
      <c r="AN54">
        <f t="shared" si="1"/>
        <v>0.92</v>
      </c>
    </row>
    <row r="55" spans="1:40" x14ac:dyDescent="0.25">
      <c r="A55">
        <v>102137</v>
      </c>
      <c r="B55" t="s">
        <v>183</v>
      </c>
      <c r="Y55">
        <v>0.88</v>
      </c>
      <c r="Z55">
        <v>0.99</v>
      </c>
      <c r="AA55" s="8">
        <v>0.91476291034747548</v>
      </c>
      <c r="AB55" s="8">
        <v>0.99299999999999999</v>
      </c>
      <c r="AC55" s="8">
        <v>0.92099999999999993</v>
      </c>
      <c r="AE55">
        <v>102412</v>
      </c>
      <c r="AF55" t="s">
        <v>239</v>
      </c>
      <c r="AG55">
        <v>3534</v>
      </c>
      <c r="AH55">
        <v>3713</v>
      </c>
      <c r="AI55">
        <v>95.2</v>
      </c>
      <c r="AK55">
        <v>102137</v>
      </c>
      <c r="AL55" t="s">
        <v>183</v>
      </c>
      <c r="AM55">
        <f t="shared" si="0"/>
        <v>92.1</v>
      </c>
      <c r="AN55">
        <f t="shared" si="1"/>
        <v>0.92099999999999993</v>
      </c>
    </row>
    <row r="56" spans="1:40" x14ac:dyDescent="0.25">
      <c r="A56">
        <v>102138</v>
      </c>
      <c r="B56" t="s">
        <v>1034</v>
      </c>
      <c r="Y56">
        <v>0.88</v>
      </c>
      <c r="Z56">
        <v>0.95</v>
      </c>
      <c r="AA56" s="8">
        <v>0.84722838137472278</v>
      </c>
      <c r="AB56" s="8">
        <v>0.97499999999999998</v>
      </c>
      <c r="AC56" s="8">
        <v>0.89400000000000002</v>
      </c>
      <c r="AE56">
        <v>102528</v>
      </c>
      <c r="AF56" t="s">
        <v>849</v>
      </c>
      <c r="AG56">
        <v>3688</v>
      </c>
      <c r="AH56">
        <v>3891</v>
      </c>
      <c r="AI56">
        <v>94.8</v>
      </c>
      <c r="AK56">
        <v>102138</v>
      </c>
      <c r="AL56" t="s">
        <v>1034</v>
      </c>
      <c r="AM56">
        <f t="shared" si="0"/>
        <v>89.4</v>
      </c>
      <c r="AN56">
        <f t="shared" si="1"/>
        <v>0.89400000000000002</v>
      </c>
    </row>
    <row r="57" spans="1:40" x14ac:dyDescent="0.25">
      <c r="A57">
        <v>102139</v>
      </c>
      <c r="B57" t="s">
        <v>229</v>
      </c>
      <c r="Y57">
        <v>0.91</v>
      </c>
      <c r="Z57">
        <v>0.89</v>
      </c>
      <c r="AA57" s="8">
        <v>0.84667535853976528</v>
      </c>
      <c r="AB57" s="8">
        <v>1.02</v>
      </c>
      <c r="AC57" s="8">
        <v>0.94299999999999995</v>
      </c>
      <c r="AE57">
        <v>102903</v>
      </c>
      <c r="AF57" t="s">
        <v>537</v>
      </c>
      <c r="AG57">
        <v>5133</v>
      </c>
      <c r="AH57">
        <v>5308</v>
      </c>
      <c r="AI57">
        <v>96.7</v>
      </c>
      <c r="AK57">
        <v>102139</v>
      </c>
      <c r="AL57" t="s">
        <v>229</v>
      </c>
      <c r="AM57">
        <f t="shared" si="0"/>
        <v>94.3</v>
      </c>
      <c r="AN57">
        <f t="shared" si="1"/>
        <v>0.94299999999999995</v>
      </c>
    </row>
    <row r="58" spans="1:40" x14ac:dyDescent="0.25">
      <c r="A58">
        <v>102140</v>
      </c>
      <c r="B58" t="s">
        <v>482</v>
      </c>
      <c r="Y58">
        <v>0.9</v>
      </c>
      <c r="Z58">
        <v>0.92</v>
      </c>
      <c r="AA58" s="8">
        <v>0.80994764397905761</v>
      </c>
      <c r="AB58" s="8">
        <v>1.0229999999999999</v>
      </c>
      <c r="AC58" s="8">
        <v>0.94499999999999995</v>
      </c>
      <c r="AE58">
        <v>102249</v>
      </c>
      <c r="AF58" t="s">
        <v>1036</v>
      </c>
      <c r="AG58">
        <v>3458</v>
      </c>
      <c r="AH58">
        <v>3684</v>
      </c>
      <c r="AI58">
        <v>93.9</v>
      </c>
      <c r="AK58">
        <v>102140</v>
      </c>
      <c r="AL58" t="s">
        <v>482</v>
      </c>
      <c r="AM58">
        <f t="shared" si="0"/>
        <v>94.5</v>
      </c>
      <c r="AN58">
        <f t="shared" si="1"/>
        <v>0.94499999999999995</v>
      </c>
    </row>
    <row r="59" spans="1:40" x14ac:dyDescent="0.25">
      <c r="A59">
        <v>102201</v>
      </c>
      <c r="B59" t="s">
        <v>510</v>
      </c>
      <c r="C59">
        <v>1.1399999999999999</v>
      </c>
      <c r="D59">
        <v>1.01</v>
      </c>
      <c r="E59">
        <v>1.01</v>
      </c>
      <c r="F59">
        <v>0.95</v>
      </c>
      <c r="G59">
        <v>0.86</v>
      </c>
      <c r="H59">
        <v>1.02</v>
      </c>
      <c r="I59">
        <v>0.95</v>
      </c>
      <c r="J59">
        <v>0.99</v>
      </c>
      <c r="K59">
        <v>0.98</v>
      </c>
      <c r="L59">
        <v>0.95</v>
      </c>
      <c r="M59">
        <v>0.91</v>
      </c>
      <c r="N59">
        <v>0.88</v>
      </c>
      <c r="O59">
        <v>0.87</v>
      </c>
      <c r="P59">
        <v>0.96</v>
      </c>
      <c r="Q59">
        <v>1.18</v>
      </c>
      <c r="R59">
        <v>0.91</v>
      </c>
      <c r="S59">
        <v>1.02</v>
      </c>
      <c r="T59">
        <v>0.99</v>
      </c>
      <c r="U59">
        <v>0.84</v>
      </c>
      <c r="V59">
        <v>0.89</v>
      </c>
      <c r="W59">
        <v>0.93</v>
      </c>
      <c r="X59">
        <v>0.91</v>
      </c>
      <c r="Y59">
        <v>0.9</v>
      </c>
      <c r="Z59">
        <v>0.88</v>
      </c>
      <c r="AA59" s="8">
        <v>0.83142639206712432</v>
      </c>
      <c r="AB59" s="8">
        <v>1.0740000000000001</v>
      </c>
      <c r="AC59" s="8">
        <v>0.96799999999999997</v>
      </c>
      <c r="AE59">
        <v>102820</v>
      </c>
      <c r="AF59" t="s">
        <v>398</v>
      </c>
      <c r="AG59">
        <v>5041</v>
      </c>
      <c r="AH59">
        <v>5204</v>
      </c>
      <c r="AI59">
        <v>96.9</v>
      </c>
      <c r="AK59">
        <v>102201</v>
      </c>
      <c r="AL59" t="s">
        <v>510</v>
      </c>
      <c r="AM59">
        <f t="shared" si="0"/>
        <v>96.8</v>
      </c>
      <c r="AN59">
        <f t="shared" si="1"/>
        <v>0.96799999999999997</v>
      </c>
    </row>
    <row r="60" spans="1:40" x14ac:dyDescent="0.25">
      <c r="A60">
        <v>102202</v>
      </c>
      <c r="B60" t="s">
        <v>173</v>
      </c>
      <c r="C60">
        <v>1.1399999999999999</v>
      </c>
      <c r="D60">
        <v>1</v>
      </c>
      <c r="E60">
        <v>1.01</v>
      </c>
      <c r="F60">
        <v>0.95</v>
      </c>
      <c r="G60">
        <v>0.86</v>
      </c>
      <c r="H60">
        <v>1.02</v>
      </c>
      <c r="I60">
        <v>0.95</v>
      </c>
      <c r="J60">
        <v>0.99</v>
      </c>
      <c r="K60">
        <v>0.98</v>
      </c>
      <c r="L60">
        <v>0.96</v>
      </c>
      <c r="M60">
        <v>0.92</v>
      </c>
      <c r="N60">
        <v>0.9</v>
      </c>
      <c r="O60">
        <v>0.87</v>
      </c>
      <c r="P60">
        <v>0.96</v>
      </c>
      <c r="Q60">
        <v>1.18</v>
      </c>
      <c r="R60">
        <v>0.9</v>
      </c>
      <c r="S60">
        <v>1.01</v>
      </c>
      <c r="T60">
        <v>0.98</v>
      </c>
      <c r="U60">
        <v>0.84</v>
      </c>
      <c r="V60">
        <v>0.89</v>
      </c>
      <c r="W60">
        <v>0.95</v>
      </c>
      <c r="X60">
        <v>0.93</v>
      </c>
      <c r="Y60">
        <v>0.92</v>
      </c>
      <c r="Z60">
        <v>0.92</v>
      </c>
      <c r="AA60" s="8">
        <v>0.806378132118451</v>
      </c>
      <c r="AB60" s="8">
        <v>1.036</v>
      </c>
      <c r="AC60" s="8">
        <v>0.93299999999999994</v>
      </c>
      <c r="AE60">
        <v>102317</v>
      </c>
      <c r="AF60" t="s">
        <v>443</v>
      </c>
      <c r="AG60">
        <v>3529</v>
      </c>
      <c r="AH60">
        <v>3706</v>
      </c>
      <c r="AI60">
        <v>95.2</v>
      </c>
      <c r="AK60">
        <v>102202</v>
      </c>
      <c r="AL60" t="s">
        <v>173</v>
      </c>
      <c r="AM60">
        <f t="shared" si="0"/>
        <v>93.3</v>
      </c>
      <c r="AN60">
        <f t="shared" si="1"/>
        <v>0.93299999999999994</v>
      </c>
    </row>
    <row r="61" spans="1:40" x14ac:dyDescent="0.25">
      <c r="A61">
        <v>102203</v>
      </c>
      <c r="B61" t="s">
        <v>186</v>
      </c>
      <c r="C61">
        <v>1.1299999999999999</v>
      </c>
      <c r="D61">
        <v>1</v>
      </c>
      <c r="E61">
        <v>1.01</v>
      </c>
      <c r="F61">
        <v>0.94</v>
      </c>
      <c r="G61">
        <v>0.86</v>
      </c>
      <c r="H61">
        <v>1.01</v>
      </c>
      <c r="I61">
        <v>0.95</v>
      </c>
      <c r="J61">
        <v>0.99</v>
      </c>
      <c r="K61">
        <v>0.98</v>
      </c>
      <c r="L61">
        <v>0.96</v>
      </c>
      <c r="M61">
        <v>0.92</v>
      </c>
      <c r="N61">
        <v>0.89</v>
      </c>
      <c r="O61">
        <v>0.88</v>
      </c>
      <c r="P61">
        <v>0.96</v>
      </c>
      <c r="Q61">
        <v>1.18</v>
      </c>
      <c r="R61">
        <v>0.91</v>
      </c>
      <c r="S61">
        <v>1.02</v>
      </c>
      <c r="T61">
        <v>0.99</v>
      </c>
      <c r="U61">
        <v>0.85</v>
      </c>
      <c r="V61">
        <v>0.91</v>
      </c>
      <c r="W61">
        <v>0.98</v>
      </c>
      <c r="X61">
        <v>0.97</v>
      </c>
      <c r="Y61">
        <v>0.95</v>
      </c>
      <c r="Z61">
        <v>0.89</v>
      </c>
      <c r="AA61" s="8">
        <v>0.8089887640449438</v>
      </c>
      <c r="AB61" s="8">
        <v>1.0329999999999999</v>
      </c>
      <c r="AC61" s="8">
        <v>0.93700000000000006</v>
      </c>
      <c r="AE61">
        <v>102419</v>
      </c>
      <c r="AF61" t="s">
        <v>241</v>
      </c>
      <c r="AG61">
        <v>3533</v>
      </c>
      <c r="AH61">
        <v>3679</v>
      </c>
      <c r="AI61">
        <v>96</v>
      </c>
      <c r="AK61">
        <v>102203</v>
      </c>
      <c r="AL61" t="s">
        <v>186</v>
      </c>
      <c r="AM61">
        <f t="shared" si="0"/>
        <v>93.7</v>
      </c>
      <c r="AN61">
        <f t="shared" si="1"/>
        <v>0.93700000000000006</v>
      </c>
    </row>
    <row r="62" spans="1:40" x14ac:dyDescent="0.25">
      <c r="A62">
        <v>102204</v>
      </c>
      <c r="B62" t="s">
        <v>1</v>
      </c>
      <c r="C62">
        <v>1.1299999999999999</v>
      </c>
      <c r="D62">
        <v>1</v>
      </c>
      <c r="E62">
        <v>1.01</v>
      </c>
      <c r="F62">
        <v>0.94</v>
      </c>
      <c r="G62">
        <v>0.86</v>
      </c>
      <c r="H62">
        <v>1.01</v>
      </c>
      <c r="I62">
        <v>0.94</v>
      </c>
      <c r="J62">
        <v>0.99</v>
      </c>
      <c r="K62">
        <v>0.99</v>
      </c>
      <c r="L62">
        <v>0.96</v>
      </c>
      <c r="M62">
        <v>0.93</v>
      </c>
      <c r="N62">
        <v>0.9</v>
      </c>
      <c r="O62">
        <v>0.89</v>
      </c>
      <c r="P62">
        <v>0.97</v>
      </c>
      <c r="Q62">
        <v>1.18</v>
      </c>
      <c r="R62">
        <v>0.91</v>
      </c>
      <c r="S62">
        <v>1.02</v>
      </c>
      <c r="T62">
        <v>0.98</v>
      </c>
      <c r="U62">
        <v>0.85</v>
      </c>
      <c r="V62">
        <v>0.9</v>
      </c>
      <c r="W62">
        <v>0.96</v>
      </c>
      <c r="X62">
        <v>0.94</v>
      </c>
      <c r="Y62">
        <v>0.93</v>
      </c>
      <c r="Z62">
        <v>0.96</v>
      </c>
      <c r="AA62" s="8">
        <v>0.85704607046070458</v>
      </c>
      <c r="AB62" s="8">
        <v>1.0129999999999999</v>
      </c>
      <c r="AC62" s="8">
        <v>0.92799999999999994</v>
      </c>
      <c r="AE62">
        <v>102344</v>
      </c>
      <c r="AF62" t="s">
        <v>1038</v>
      </c>
      <c r="AG62">
        <v>3547</v>
      </c>
      <c r="AH62">
        <v>3764</v>
      </c>
      <c r="AI62">
        <v>94.2</v>
      </c>
      <c r="AK62">
        <v>102204</v>
      </c>
      <c r="AL62" t="s">
        <v>1</v>
      </c>
      <c r="AM62">
        <f t="shared" si="0"/>
        <v>92.8</v>
      </c>
      <c r="AN62">
        <f t="shared" si="1"/>
        <v>0.92799999999999994</v>
      </c>
    </row>
    <row r="63" spans="1:40" x14ac:dyDescent="0.25">
      <c r="A63">
        <v>102205</v>
      </c>
      <c r="B63" t="s">
        <v>203</v>
      </c>
      <c r="C63">
        <v>1.1299999999999999</v>
      </c>
      <c r="D63">
        <v>1.01</v>
      </c>
      <c r="E63">
        <v>1.01</v>
      </c>
      <c r="F63">
        <v>0.94</v>
      </c>
      <c r="G63">
        <v>0.86</v>
      </c>
      <c r="H63">
        <v>1.01</v>
      </c>
      <c r="I63">
        <v>0.94</v>
      </c>
      <c r="J63">
        <v>0.98</v>
      </c>
      <c r="K63">
        <v>0.99</v>
      </c>
      <c r="L63">
        <v>0.96</v>
      </c>
      <c r="M63">
        <v>0.92</v>
      </c>
      <c r="N63">
        <v>0.89</v>
      </c>
      <c r="O63">
        <v>0.89</v>
      </c>
      <c r="P63">
        <v>0.96</v>
      </c>
      <c r="Q63">
        <v>1.17</v>
      </c>
      <c r="R63">
        <v>0.91</v>
      </c>
      <c r="S63">
        <v>1.03</v>
      </c>
      <c r="T63">
        <v>0.99</v>
      </c>
      <c r="U63">
        <v>0.85</v>
      </c>
      <c r="V63">
        <v>0.91</v>
      </c>
      <c r="W63">
        <v>0.98</v>
      </c>
      <c r="X63">
        <v>0.96</v>
      </c>
      <c r="Y63">
        <v>0.94</v>
      </c>
      <c r="Z63">
        <v>1</v>
      </c>
      <c r="AA63" s="8">
        <v>0.89841772151898736</v>
      </c>
      <c r="AB63" s="8">
        <v>1.0759999999999998</v>
      </c>
      <c r="AC63" s="8">
        <v>0.99</v>
      </c>
      <c r="AE63">
        <v>102535</v>
      </c>
      <c r="AF63" t="s">
        <v>123</v>
      </c>
      <c r="AG63">
        <v>3589</v>
      </c>
      <c r="AH63">
        <v>3787</v>
      </c>
      <c r="AI63">
        <v>94.8</v>
      </c>
      <c r="AK63">
        <v>102205</v>
      </c>
      <c r="AL63" t="s">
        <v>203</v>
      </c>
      <c r="AM63">
        <f t="shared" si="0"/>
        <v>99</v>
      </c>
      <c r="AN63">
        <f t="shared" si="1"/>
        <v>0.99</v>
      </c>
    </row>
    <row r="64" spans="1:40" x14ac:dyDescent="0.25">
      <c r="A64">
        <v>102206</v>
      </c>
      <c r="B64" t="s">
        <v>29</v>
      </c>
      <c r="C64">
        <v>1.1200000000000001</v>
      </c>
      <c r="D64">
        <v>1</v>
      </c>
      <c r="E64">
        <v>1.01</v>
      </c>
      <c r="F64">
        <v>0.94</v>
      </c>
      <c r="G64">
        <v>0.86</v>
      </c>
      <c r="H64">
        <v>1.01</v>
      </c>
      <c r="I64">
        <v>0.95</v>
      </c>
      <c r="J64">
        <v>0.99</v>
      </c>
      <c r="K64">
        <v>0.99</v>
      </c>
      <c r="L64">
        <v>0.96</v>
      </c>
      <c r="M64">
        <v>0.93</v>
      </c>
      <c r="N64">
        <v>0.9</v>
      </c>
      <c r="O64">
        <v>0.9</v>
      </c>
      <c r="P64">
        <v>0.97</v>
      </c>
      <c r="Q64">
        <v>1.17</v>
      </c>
      <c r="R64">
        <v>0.91</v>
      </c>
      <c r="S64">
        <v>1.02</v>
      </c>
      <c r="T64">
        <v>0.98</v>
      </c>
      <c r="U64">
        <v>0.87</v>
      </c>
      <c r="V64">
        <v>0.95</v>
      </c>
      <c r="W64">
        <v>0.99</v>
      </c>
      <c r="X64">
        <v>0.97</v>
      </c>
      <c r="Y64">
        <v>0.95</v>
      </c>
      <c r="Z64">
        <v>0.94</v>
      </c>
      <c r="AA64" s="8">
        <v>0.81428223251279552</v>
      </c>
      <c r="AB64" s="8">
        <v>1.02</v>
      </c>
      <c r="AC64" s="8">
        <v>0.93700000000000006</v>
      </c>
      <c r="AE64">
        <v>102248</v>
      </c>
      <c r="AF64" t="s">
        <v>180</v>
      </c>
      <c r="AG64">
        <v>3292</v>
      </c>
      <c r="AH64">
        <v>3495</v>
      </c>
      <c r="AI64">
        <v>94.2</v>
      </c>
      <c r="AK64">
        <v>102206</v>
      </c>
      <c r="AL64" t="s">
        <v>29</v>
      </c>
      <c r="AM64">
        <f t="shared" si="0"/>
        <v>93.7</v>
      </c>
      <c r="AN64">
        <f t="shared" si="1"/>
        <v>0.93700000000000006</v>
      </c>
    </row>
    <row r="65" spans="1:40" x14ac:dyDescent="0.25">
      <c r="A65">
        <v>102207</v>
      </c>
      <c r="B65" t="s">
        <v>321</v>
      </c>
      <c r="C65">
        <v>1.1100000000000001</v>
      </c>
      <c r="D65">
        <v>0.99</v>
      </c>
      <c r="E65">
        <v>1.01</v>
      </c>
      <c r="F65">
        <v>0.94</v>
      </c>
      <c r="G65">
        <v>0.87</v>
      </c>
      <c r="H65">
        <v>1</v>
      </c>
      <c r="I65">
        <v>0.94</v>
      </c>
      <c r="J65">
        <v>0.98</v>
      </c>
      <c r="K65">
        <v>0.99</v>
      </c>
      <c r="L65">
        <v>0.96</v>
      </c>
      <c r="M65">
        <v>0.93</v>
      </c>
      <c r="N65">
        <v>0.91</v>
      </c>
      <c r="O65">
        <v>0.9</v>
      </c>
      <c r="P65">
        <v>0.97</v>
      </c>
      <c r="Q65">
        <v>1.1499999999999999</v>
      </c>
      <c r="R65">
        <v>0.91</v>
      </c>
      <c r="S65">
        <v>1.02</v>
      </c>
      <c r="T65">
        <v>0.98</v>
      </c>
      <c r="U65">
        <v>0.85</v>
      </c>
      <c r="V65">
        <v>0.91</v>
      </c>
      <c r="W65">
        <v>0.95</v>
      </c>
      <c r="X65">
        <v>0.93</v>
      </c>
      <c r="Y65">
        <v>0.91</v>
      </c>
      <c r="Z65">
        <v>0.87</v>
      </c>
      <c r="AA65" s="8">
        <v>0.8014205386208938</v>
      </c>
      <c r="AB65" s="8">
        <v>1.054</v>
      </c>
      <c r="AC65" s="8">
        <v>0.98</v>
      </c>
      <c r="AE65">
        <v>102625</v>
      </c>
      <c r="AF65" t="s">
        <v>340</v>
      </c>
      <c r="AG65">
        <v>3443</v>
      </c>
      <c r="AH65">
        <v>3593</v>
      </c>
      <c r="AI65">
        <v>95.8</v>
      </c>
      <c r="AK65">
        <v>102207</v>
      </c>
      <c r="AL65" t="s">
        <v>321</v>
      </c>
      <c r="AM65">
        <f t="shared" si="0"/>
        <v>98</v>
      </c>
      <c r="AN65">
        <f t="shared" si="1"/>
        <v>0.98</v>
      </c>
    </row>
    <row r="66" spans="1:40" x14ac:dyDescent="0.25">
      <c r="A66">
        <v>102208</v>
      </c>
      <c r="B66" t="s">
        <v>418</v>
      </c>
      <c r="C66">
        <v>1.1299999999999999</v>
      </c>
      <c r="D66">
        <v>0.99</v>
      </c>
      <c r="E66">
        <v>1.01</v>
      </c>
      <c r="F66">
        <v>0.95</v>
      </c>
      <c r="G66">
        <v>0.87</v>
      </c>
      <c r="H66">
        <v>1.02</v>
      </c>
      <c r="I66">
        <v>0.95</v>
      </c>
      <c r="J66">
        <v>0.99</v>
      </c>
      <c r="K66">
        <v>0.97</v>
      </c>
      <c r="L66">
        <v>0.95</v>
      </c>
      <c r="M66">
        <v>0.92</v>
      </c>
      <c r="N66">
        <v>0.9</v>
      </c>
      <c r="O66">
        <v>0.88</v>
      </c>
      <c r="P66">
        <v>0.97</v>
      </c>
      <c r="Q66">
        <v>1.19</v>
      </c>
      <c r="R66">
        <v>0.91</v>
      </c>
      <c r="S66">
        <v>1.01</v>
      </c>
      <c r="T66">
        <v>0.98</v>
      </c>
      <c r="U66">
        <v>0.84</v>
      </c>
      <c r="V66">
        <v>0.9</v>
      </c>
      <c r="W66">
        <v>0.95</v>
      </c>
      <c r="X66">
        <v>0.94</v>
      </c>
      <c r="Y66">
        <v>0.94</v>
      </c>
      <c r="Z66">
        <v>0.9</v>
      </c>
      <c r="AA66" s="8">
        <v>0.81901674770394384</v>
      </c>
      <c r="AB66" s="8">
        <v>1.0429999999999999</v>
      </c>
      <c r="AC66" s="8">
        <v>0.94599999999999995</v>
      </c>
      <c r="AE66">
        <v>102813</v>
      </c>
      <c r="AF66" t="s">
        <v>452</v>
      </c>
      <c r="AG66">
        <v>5507</v>
      </c>
      <c r="AH66">
        <v>5227</v>
      </c>
      <c r="AI66">
        <v>105.4</v>
      </c>
      <c r="AK66">
        <v>102208</v>
      </c>
      <c r="AL66" t="s">
        <v>418</v>
      </c>
      <c r="AM66">
        <f t="shared" si="0"/>
        <v>94.6</v>
      </c>
      <c r="AN66">
        <f t="shared" si="1"/>
        <v>0.94599999999999995</v>
      </c>
    </row>
    <row r="67" spans="1:40" x14ac:dyDescent="0.25">
      <c r="A67">
        <v>102209</v>
      </c>
      <c r="B67" t="s">
        <v>187</v>
      </c>
      <c r="C67">
        <v>1.1399999999999999</v>
      </c>
      <c r="D67">
        <v>0.99</v>
      </c>
      <c r="E67">
        <v>1.02</v>
      </c>
      <c r="F67">
        <v>0.95</v>
      </c>
      <c r="G67">
        <v>0.87</v>
      </c>
      <c r="H67">
        <v>1.03</v>
      </c>
      <c r="I67">
        <v>0.96</v>
      </c>
      <c r="J67">
        <v>0.98</v>
      </c>
      <c r="K67">
        <v>0.96</v>
      </c>
      <c r="L67">
        <v>0.94</v>
      </c>
      <c r="M67">
        <v>0.91</v>
      </c>
      <c r="N67">
        <v>0.9</v>
      </c>
      <c r="O67">
        <v>0.88</v>
      </c>
      <c r="P67">
        <v>0.98</v>
      </c>
      <c r="Q67">
        <v>1.2</v>
      </c>
      <c r="R67">
        <v>0.92</v>
      </c>
      <c r="S67">
        <v>1.01</v>
      </c>
      <c r="T67">
        <v>0.98</v>
      </c>
      <c r="U67">
        <v>0.85</v>
      </c>
      <c r="V67">
        <v>0.88</v>
      </c>
      <c r="W67">
        <v>0.93</v>
      </c>
      <c r="X67">
        <v>0.92</v>
      </c>
      <c r="Y67">
        <v>0.93</v>
      </c>
      <c r="Z67">
        <v>0.86</v>
      </c>
      <c r="AA67" s="8">
        <v>0.79979828542612208</v>
      </c>
      <c r="AB67" s="8">
        <v>1.0490000000000002</v>
      </c>
      <c r="AC67" s="8">
        <v>0.95</v>
      </c>
      <c r="AE67">
        <v>102012</v>
      </c>
      <c r="AF67" t="s">
        <v>504</v>
      </c>
      <c r="AG67">
        <v>5950</v>
      </c>
      <c r="AH67">
        <v>6142</v>
      </c>
      <c r="AI67">
        <v>96.9</v>
      </c>
      <c r="AK67">
        <v>102209</v>
      </c>
      <c r="AL67" t="s">
        <v>187</v>
      </c>
      <c r="AM67">
        <f t="shared" ref="AM67:AM130" si="3">_xlfn.XLOOKUP(AK67,$AE$5:$AE$314,$AI$5:$AI$314)</f>
        <v>95</v>
      </c>
      <c r="AN67">
        <f t="shared" si="1"/>
        <v>0.95</v>
      </c>
    </row>
    <row r="68" spans="1:40" x14ac:dyDescent="0.25">
      <c r="A68">
        <v>102210</v>
      </c>
      <c r="B68" t="s">
        <v>320</v>
      </c>
      <c r="C68">
        <v>1.1299999999999999</v>
      </c>
      <c r="D68">
        <v>0.99</v>
      </c>
      <c r="E68">
        <v>1.02</v>
      </c>
      <c r="F68">
        <v>0.96</v>
      </c>
      <c r="G68">
        <v>0.87</v>
      </c>
      <c r="H68">
        <v>1.02</v>
      </c>
      <c r="I68">
        <v>0.95</v>
      </c>
      <c r="J68">
        <v>0.98</v>
      </c>
      <c r="K68">
        <v>0.96</v>
      </c>
      <c r="L68">
        <v>0.94</v>
      </c>
      <c r="M68">
        <v>0.92</v>
      </c>
      <c r="N68">
        <v>0.9</v>
      </c>
      <c r="O68">
        <v>0.89</v>
      </c>
      <c r="P68">
        <v>0.98</v>
      </c>
      <c r="Q68">
        <v>1.19</v>
      </c>
      <c r="R68">
        <v>0.91</v>
      </c>
      <c r="S68">
        <v>1</v>
      </c>
      <c r="T68">
        <v>0.98</v>
      </c>
      <c r="U68">
        <v>0.85</v>
      </c>
      <c r="V68">
        <v>0.89</v>
      </c>
      <c r="W68">
        <v>0.95</v>
      </c>
      <c r="X68">
        <v>0.94</v>
      </c>
      <c r="Y68">
        <v>0.93</v>
      </c>
      <c r="Z68">
        <v>0.9</v>
      </c>
      <c r="AA68" s="8">
        <v>0.79054779806659503</v>
      </c>
      <c r="AB68" s="8">
        <v>1.0249999999999999</v>
      </c>
      <c r="AC68" s="8">
        <v>0.93500000000000005</v>
      </c>
      <c r="AE68">
        <v>102711</v>
      </c>
      <c r="AF68" t="s">
        <v>138</v>
      </c>
      <c r="AG68">
        <v>3717</v>
      </c>
      <c r="AH68">
        <v>3960</v>
      </c>
      <c r="AI68">
        <v>93.8</v>
      </c>
      <c r="AK68">
        <v>102210</v>
      </c>
      <c r="AL68" t="s">
        <v>320</v>
      </c>
      <c r="AM68">
        <f t="shared" si="3"/>
        <v>93.5</v>
      </c>
      <c r="AN68">
        <f t="shared" ref="AN68:AN131" si="4">AM68/100</f>
        <v>0.93500000000000005</v>
      </c>
    </row>
    <row r="69" spans="1:40" x14ac:dyDescent="0.25">
      <c r="A69">
        <v>102211</v>
      </c>
      <c r="B69" t="s">
        <v>338</v>
      </c>
      <c r="C69">
        <v>1.1299999999999999</v>
      </c>
      <c r="D69">
        <v>0.99</v>
      </c>
      <c r="E69">
        <v>1.01</v>
      </c>
      <c r="F69">
        <v>0.95</v>
      </c>
      <c r="G69">
        <v>0.87</v>
      </c>
      <c r="H69">
        <v>1.01</v>
      </c>
      <c r="I69">
        <v>0.95</v>
      </c>
      <c r="J69">
        <v>0.98</v>
      </c>
      <c r="K69">
        <v>0.97</v>
      </c>
      <c r="L69">
        <v>0.95</v>
      </c>
      <c r="M69">
        <v>0.93</v>
      </c>
      <c r="N69">
        <v>0.91</v>
      </c>
      <c r="O69">
        <v>0.9</v>
      </c>
      <c r="P69">
        <v>0.98</v>
      </c>
      <c r="Q69">
        <v>1.19</v>
      </c>
      <c r="R69">
        <v>0.91</v>
      </c>
      <c r="S69">
        <v>1</v>
      </c>
      <c r="T69">
        <v>0.98</v>
      </c>
      <c r="U69">
        <v>0.85</v>
      </c>
      <c r="V69">
        <v>0.87</v>
      </c>
      <c r="W69">
        <v>0.92</v>
      </c>
      <c r="X69">
        <v>0.9</v>
      </c>
      <c r="Y69">
        <v>0.9</v>
      </c>
      <c r="Z69">
        <v>0.91</v>
      </c>
      <c r="AA69" s="8">
        <v>0.80439223697650664</v>
      </c>
      <c r="AB69" s="8">
        <v>1.012</v>
      </c>
      <c r="AC69" s="8">
        <v>0.93500000000000005</v>
      </c>
      <c r="AE69">
        <v>102201</v>
      </c>
      <c r="AF69" t="s">
        <v>510</v>
      </c>
      <c r="AG69">
        <v>2918</v>
      </c>
      <c r="AH69">
        <v>3014</v>
      </c>
      <c r="AI69">
        <v>96.8</v>
      </c>
      <c r="AK69">
        <v>102211</v>
      </c>
      <c r="AL69" t="s">
        <v>338</v>
      </c>
      <c r="AM69">
        <f t="shared" si="3"/>
        <v>93.5</v>
      </c>
      <c r="AN69">
        <f t="shared" si="4"/>
        <v>0.93500000000000005</v>
      </c>
    </row>
    <row r="70" spans="1:40" x14ac:dyDescent="0.25">
      <c r="A70">
        <v>102212</v>
      </c>
      <c r="B70" t="s">
        <v>318</v>
      </c>
      <c r="C70">
        <v>1.1299999999999999</v>
      </c>
      <c r="D70">
        <v>0.99</v>
      </c>
      <c r="E70">
        <v>1.01</v>
      </c>
      <c r="F70">
        <v>0.95</v>
      </c>
      <c r="G70">
        <v>0.87</v>
      </c>
      <c r="H70">
        <v>1.01</v>
      </c>
      <c r="I70">
        <v>0.95</v>
      </c>
      <c r="J70">
        <v>0.98</v>
      </c>
      <c r="K70">
        <v>0.98</v>
      </c>
      <c r="L70">
        <v>0.95</v>
      </c>
      <c r="M70">
        <v>0.93</v>
      </c>
      <c r="N70">
        <v>0.91</v>
      </c>
      <c r="O70">
        <v>0.89</v>
      </c>
      <c r="P70">
        <v>0.98</v>
      </c>
      <c r="Q70">
        <v>1.19</v>
      </c>
      <c r="R70">
        <v>0.91</v>
      </c>
      <c r="S70">
        <v>1</v>
      </c>
      <c r="T70">
        <v>0.98</v>
      </c>
      <c r="U70">
        <v>0.85</v>
      </c>
      <c r="V70">
        <v>0.89</v>
      </c>
      <c r="W70">
        <v>0.93</v>
      </c>
      <c r="X70">
        <v>0.91</v>
      </c>
      <c r="Y70">
        <v>0.91</v>
      </c>
      <c r="Z70">
        <v>0.91</v>
      </c>
      <c r="AA70" s="8">
        <v>0.79856293359762143</v>
      </c>
      <c r="AB70" s="8">
        <v>1.056</v>
      </c>
      <c r="AC70" s="8">
        <v>0.96900000000000008</v>
      </c>
      <c r="AE70">
        <v>102519</v>
      </c>
      <c r="AF70" t="s">
        <v>139</v>
      </c>
      <c r="AG70">
        <v>3296</v>
      </c>
      <c r="AH70">
        <v>3540</v>
      </c>
      <c r="AI70">
        <v>93.1</v>
      </c>
      <c r="AK70">
        <v>102212</v>
      </c>
      <c r="AL70" t="s">
        <v>318</v>
      </c>
      <c r="AM70">
        <f t="shared" si="3"/>
        <v>96.9</v>
      </c>
      <c r="AN70">
        <f t="shared" si="4"/>
        <v>0.96900000000000008</v>
      </c>
    </row>
    <row r="71" spans="1:40" x14ac:dyDescent="0.25">
      <c r="A71">
        <v>102213</v>
      </c>
      <c r="B71" t="s">
        <v>188</v>
      </c>
      <c r="C71">
        <v>1.1200000000000001</v>
      </c>
      <c r="D71">
        <v>0.99</v>
      </c>
      <c r="E71">
        <v>1.01</v>
      </c>
      <c r="F71">
        <v>0.95</v>
      </c>
      <c r="G71">
        <v>0.86</v>
      </c>
      <c r="H71">
        <v>1</v>
      </c>
      <c r="I71">
        <v>0.94</v>
      </c>
      <c r="J71">
        <v>0.98</v>
      </c>
      <c r="K71">
        <v>0.97</v>
      </c>
      <c r="L71">
        <v>0.94</v>
      </c>
      <c r="M71">
        <v>0.93</v>
      </c>
      <c r="N71">
        <v>0.9</v>
      </c>
      <c r="O71">
        <v>0.89</v>
      </c>
      <c r="P71">
        <v>0.97</v>
      </c>
      <c r="Q71">
        <v>1.2</v>
      </c>
      <c r="R71">
        <v>0.91</v>
      </c>
      <c r="S71">
        <v>1</v>
      </c>
      <c r="T71">
        <v>0.98</v>
      </c>
      <c r="U71">
        <v>0.85</v>
      </c>
      <c r="V71">
        <v>0.88</v>
      </c>
      <c r="W71">
        <v>0.93</v>
      </c>
      <c r="X71">
        <v>0.9</v>
      </c>
      <c r="Y71">
        <v>0.91</v>
      </c>
      <c r="Z71" s="94">
        <f t="shared" ref="Z71:AA71" si="5">AVERAGE(Z70,Z123,Z308)</f>
        <v>0.91333333333333344</v>
      </c>
      <c r="AA71" s="94">
        <f t="shared" si="5"/>
        <v>0.79749695578376933</v>
      </c>
      <c r="AB71" s="94">
        <v>1.0303333333333333</v>
      </c>
      <c r="AC71" s="8">
        <v>0.92500000000000004</v>
      </c>
      <c r="AE71">
        <v>102345</v>
      </c>
      <c r="AF71" t="s">
        <v>141</v>
      </c>
      <c r="AG71">
        <v>3430</v>
      </c>
      <c r="AH71">
        <v>3678</v>
      </c>
      <c r="AI71">
        <v>93.3</v>
      </c>
      <c r="AK71">
        <v>102213</v>
      </c>
      <c r="AL71" t="s">
        <v>188</v>
      </c>
      <c r="AM71">
        <f t="shared" si="3"/>
        <v>92.5</v>
      </c>
      <c r="AN71">
        <f t="shared" si="4"/>
        <v>0.92500000000000004</v>
      </c>
    </row>
    <row r="72" spans="1:40" x14ac:dyDescent="0.25">
      <c r="A72">
        <v>102214</v>
      </c>
      <c r="B72" t="s">
        <v>256</v>
      </c>
      <c r="C72">
        <v>1.1200000000000001</v>
      </c>
      <c r="D72">
        <v>0.99</v>
      </c>
      <c r="E72">
        <v>1.01</v>
      </c>
      <c r="F72">
        <v>0.95</v>
      </c>
      <c r="G72">
        <v>0.87</v>
      </c>
      <c r="H72">
        <v>1</v>
      </c>
      <c r="I72">
        <v>0.94</v>
      </c>
      <c r="J72">
        <v>0.98</v>
      </c>
      <c r="K72">
        <v>0.98</v>
      </c>
      <c r="L72">
        <v>0.95</v>
      </c>
      <c r="M72">
        <v>0.93</v>
      </c>
      <c r="N72">
        <v>0.91</v>
      </c>
      <c r="O72">
        <v>0.9</v>
      </c>
      <c r="P72">
        <v>0.98</v>
      </c>
      <c r="Q72">
        <v>1.18</v>
      </c>
      <c r="R72">
        <v>0.91</v>
      </c>
      <c r="S72">
        <v>1.01</v>
      </c>
      <c r="T72">
        <v>0.98</v>
      </c>
      <c r="U72">
        <v>0.85</v>
      </c>
      <c r="V72">
        <v>0.89</v>
      </c>
      <c r="W72">
        <v>0.94</v>
      </c>
      <c r="X72">
        <v>0.92</v>
      </c>
      <c r="Y72">
        <v>0.91</v>
      </c>
      <c r="Z72">
        <v>0.98</v>
      </c>
      <c r="AA72" s="8">
        <v>0.86932381518937141</v>
      </c>
      <c r="AB72" s="8">
        <v>1.02</v>
      </c>
      <c r="AC72" s="8">
        <v>0.93500000000000005</v>
      </c>
      <c r="AE72">
        <v>102506</v>
      </c>
      <c r="AF72" t="s">
        <v>520</v>
      </c>
      <c r="AG72">
        <v>4086</v>
      </c>
      <c r="AH72">
        <v>4319</v>
      </c>
      <c r="AI72">
        <v>94.6</v>
      </c>
      <c r="AK72">
        <v>102214</v>
      </c>
      <c r="AL72" t="s">
        <v>256</v>
      </c>
      <c r="AM72">
        <f t="shared" si="3"/>
        <v>93.5</v>
      </c>
      <c r="AN72">
        <f t="shared" si="4"/>
        <v>0.93500000000000005</v>
      </c>
    </row>
    <row r="73" spans="1:40" x14ac:dyDescent="0.25">
      <c r="A73">
        <v>102215</v>
      </c>
      <c r="B73" t="s">
        <v>106</v>
      </c>
      <c r="C73">
        <v>1.1100000000000001</v>
      </c>
      <c r="D73">
        <v>0.99</v>
      </c>
      <c r="E73">
        <v>1.01</v>
      </c>
      <c r="F73">
        <v>0.95</v>
      </c>
      <c r="G73">
        <v>0.87</v>
      </c>
      <c r="H73">
        <v>1</v>
      </c>
      <c r="I73">
        <v>0.94</v>
      </c>
      <c r="J73">
        <v>0.97</v>
      </c>
      <c r="K73">
        <v>0.98</v>
      </c>
      <c r="L73">
        <v>0.96</v>
      </c>
      <c r="M73">
        <v>0.93</v>
      </c>
      <c r="N73">
        <v>0.91</v>
      </c>
      <c r="O73">
        <v>0.9</v>
      </c>
      <c r="P73">
        <v>0.98</v>
      </c>
      <c r="Q73">
        <v>1.17</v>
      </c>
      <c r="R73">
        <v>0.91</v>
      </c>
      <c r="S73">
        <v>1.01</v>
      </c>
      <c r="T73">
        <v>0.98</v>
      </c>
      <c r="U73">
        <v>0.86</v>
      </c>
      <c r="V73">
        <v>0.91</v>
      </c>
      <c r="W73">
        <v>0.94</v>
      </c>
      <c r="X73">
        <v>0.92</v>
      </c>
      <c r="Y73">
        <v>0.91</v>
      </c>
      <c r="Z73">
        <v>0.89</v>
      </c>
      <c r="AA73" s="8">
        <v>0.78312642513301245</v>
      </c>
      <c r="AB73" s="8">
        <v>1.0309999999999999</v>
      </c>
      <c r="AC73" s="8">
        <v>0.95599999999999996</v>
      </c>
      <c r="AE73">
        <v>102530</v>
      </c>
      <c r="AF73" t="s">
        <v>1039</v>
      </c>
      <c r="AG73">
        <v>3523</v>
      </c>
      <c r="AH73">
        <v>3762</v>
      </c>
      <c r="AI73">
        <v>93.6</v>
      </c>
      <c r="AK73">
        <v>102215</v>
      </c>
      <c r="AL73" t="s">
        <v>106</v>
      </c>
      <c r="AM73">
        <f t="shared" si="3"/>
        <v>95.6</v>
      </c>
      <c r="AN73">
        <f t="shared" si="4"/>
        <v>0.95599999999999996</v>
      </c>
    </row>
    <row r="74" spans="1:40" x14ac:dyDescent="0.25">
      <c r="A74">
        <v>102216</v>
      </c>
      <c r="B74" t="s">
        <v>275</v>
      </c>
      <c r="C74">
        <v>1.1200000000000001</v>
      </c>
      <c r="D74">
        <v>0.98</v>
      </c>
      <c r="E74">
        <v>1.01</v>
      </c>
      <c r="F74">
        <v>0.95</v>
      </c>
      <c r="G74">
        <v>0.86</v>
      </c>
      <c r="H74">
        <v>1</v>
      </c>
      <c r="I74">
        <v>0.94</v>
      </c>
      <c r="J74">
        <v>0.97</v>
      </c>
      <c r="K74">
        <v>0.98</v>
      </c>
      <c r="L74">
        <v>0.95</v>
      </c>
      <c r="M74">
        <v>0.92</v>
      </c>
      <c r="N74">
        <v>0.9</v>
      </c>
      <c r="O74">
        <v>0.89</v>
      </c>
      <c r="P74">
        <v>0.98</v>
      </c>
      <c r="Q74">
        <v>1.18</v>
      </c>
      <c r="R74">
        <v>0.91</v>
      </c>
      <c r="S74">
        <v>1</v>
      </c>
      <c r="T74">
        <v>0.97</v>
      </c>
      <c r="U74">
        <v>0.86</v>
      </c>
      <c r="V74">
        <v>0.91</v>
      </c>
      <c r="W74">
        <v>0.97</v>
      </c>
      <c r="X74">
        <v>0.96</v>
      </c>
      <c r="Y74">
        <v>0.96</v>
      </c>
      <c r="Z74">
        <v>0.91</v>
      </c>
      <c r="AA74" s="8">
        <v>0.8024308249288854</v>
      </c>
      <c r="AB74" s="8">
        <v>1.083</v>
      </c>
      <c r="AC74" s="8">
        <v>1.01</v>
      </c>
      <c r="AE74">
        <v>102634</v>
      </c>
      <c r="AF74" t="s">
        <v>208</v>
      </c>
      <c r="AG74">
        <v>3630</v>
      </c>
      <c r="AH74">
        <v>3801</v>
      </c>
      <c r="AI74">
        <v>95.5</v>
      </c>
      <c r="AK74">
        <v>102216</v>
      </c>
      <c r="AL74" t="s">
        <v>275</v>
      </c>
      <c r="AM74">
        <f t="shared" si="3"/>
        <v>101</v>
      </c>
      <c r="AN74">
        <f t="shared" si="4"/>
        <v>1.01</v>
      </c>
    </row>
    <row r="75" spans="1:40" x14ac:dyDescent="0.25">
      <c r="A75">
        <v>102217</v>
      </c>
      <c r="B75" t="s">
        <v>148</v>
      </c>
      <c r="C75">
        <v>1.1200000000000001</v>
      </c>
      <c r="D75">
        <v>0.98</v>
      </c>
      <c r="E75">
        <v>1.02</v>
      </c>
      <c r="F75">
        <v>0.94</v>
      </c>
      <c r="G75">
        <v>0.86</v>
      </c>
      <c r="H75">
        <v>1</v>
      </c>
      <c r="I75">
        <v>0.94</v>
      </c>
      <c r="J75">
        <v>0.98</v>
      </c>
      <c r="K75">
        <v>0.98</v>
      </c>
      <c r="L75">
        <v>0.95</v>
      </c>
      <c r="M75">
        <v>0.92</v>
      </c>
      <c r="N75">
        <v>0.9</v>
      </c>
      <c r="O75">
        <v>0.89</v>
      </c>
      <c r="P75">
        <v>0.98</v>
      </c>
      <c r="Q75">
        <v>1.17</v>
      </c>
      <c r="R75">
        <v>0.91</v>
      </c>
      <c r="S75">
        <v>1</v>
      </c>
      <c r="T75">
        <v>0.98</v>
      </c>
      <c r="U75">
        <v>0.87</v>
      </c>
      <c r="V75">
        <v>0.91</v>
      </c>
      <c r="W75">
        <v>0.95</v>
      </c>
      <c r="X75">
        <v>0.92</v>
      </c>
      <c r="Y75">
        <v>0.93</v>
      </c>
      <c r="Z75">
        <v>0.98</v>
      </c>
      <c r="AA75" s="8">
        <v>0.84047748236570807</v>
      </c>
      <c r="AB75" s="8">
        <v>1.004</v>
      </c>
      <c r="AC75" s="8">
        <v>0.94400000000000006</v>
      </c>
      <c r="AE75">
        <v>102302</v>
      </c>
      <c r="AF75" t="s">
        <v>142</v>
      </c>
      <c r="AG75">
        <v>2924</v>
      </c>
      <c r="AH75">
        <v>3168</v>
      </c>
      <c r="AI75">
        <v>92.3</v>
      </c>
      <c r="AK75">
        <v>102217</v>
      </c>
      <c r="AL75" t="s">
        <v>148</v>
      </c>
      <c r="AM75">
        <f t="shared" si="3"/>
        <v>94.4</v>
      </c>
      <c r="AN75">
        <f t="shared" si="4"/>
        <v>0.94400000000000006</v>
      </c>
    </row>
    <row r="76" spans="1:40" x14ac:dyDescent="0.25">
      <c r="A76">
        <v>102218</v>
      </c>
      <c r="B76" t="s">
        <v>237</v>
      </c>
      <c r="C76">
        <v>1.1100000000000001</v>
      </c>
      <c r="D76">
        <v>0.98</v>
      </c>
      <c r="E76">
        <v>1.02</v>
      </c>
      <c r="F76">
        <v>0.95</v>
      </c>
      <c r="G76">
        <v>0.86</v>
      </c>
      <c r="H76">
        <v>1</v>
      </c>
      <c r="I76">
        <v>0.95</v>
      </c>
      <c r="J76">
        <v>0.98</v>
      </c>
      <c r="K76">
        <v>0.98</v>
      </c>
      <c r="L76">
        <v>0.95</v>
      </c>
      <c r="M76">
        <v>0.92</v>
      </c>
      <c r="N76">
        <v>0.9</v>
      </c>
      <c r="O76">
        <v>0.89</v>
      </c>
      <c r="P76">
        <v>0.98</v>
      </c>
      <c r="Q76">
        <v>1.17</v>
      </c>
      <c r="R76">
        <v>0.91</v>
      </c>
      <c r="S76">
        <v>1</v>
      </c>
      <c r="T76">
        <v>0.97</v>
      </c>
      <c r="U76">
        <v>0.86</v>
      </c>
      <c r="V76">
        <v>0.88</v>
      </c>
      <c r="W76">
        <v>0.93</v>
      </c>
      <c r="X76">
        <v>0.91</v>
      </c>
      <c r="Y76">
        <v>0.91</v>
      </c>
      <c r="Z76">
        <v>0.92</v>
      </c>
      <c r="AA76" s="8">
        <v>0.83531029740416018</v>
      </c>
      <c r="AB76" s="8">
        <v>0.99</v>
      </c>
      <c r="AC76" s="8">
        <v>0.92599999999999993</v>
      </c>
      <c r="AE76">
        <v>102811</v>
      </c>
      <c r="AF76" t="s">
        <v>533</v>
      </c>
      <c r="AG76">
        <v>4861</v>
      </c>
      <c r="AH76">
        <v>5014</v>
      </c>
      <c r="AI76">
        <v>96.9</v>
      </c>
      <c r="AK76">
        <v>102218</v>
      </c>
      <c r="AL76" t="s">
        <v>237</v>
      </c>
      <c r="AM76">
        <f t="shared" si="3"/>
        <v>92.6</v>
      </c>
      <c r="AN76">
        <f t="shared" si="4"/>
        <v>0.92599999999999993</v>
      </c>
    </row>
    <row r="77" spans="1:40" x14ac:dyDescent="0.25">
      <c r="A77">
        <v>102219</v>
      </c>
      <c r="B77" t="s">
        <v>202</v>
      </c>
      <c r="C77">
        <v>1.1200000000000001</v>
      </c>
      <c r="D77">
        <v>0.98</v>
      </c>
      <c r="E77">
        <v>1.01</v>
      </c>
      <c r="F77">
        <v>0.94</v>
      </c>
      <c r="G77">
        <v>0.85</v>
      </c>
      <c r="H77">
        <v>1</v>
      </c>
      <c r="I77">
        <v>0.95</v>
      </c>
      <c r="J77">
        <v>0.98</v>
      </c>
      <c r="K77">
        <v>0.97</v>
      </c>
      <c r="L77">
        <v>0.94</v>
      </c>
      <c r="M77">
        <v>0.93</v>
      </c>
      <c r="N77">
        <v>0.9</v>
      </c>
      <c r="O77">
        <v>0.88</v>
      </c>
      <c r="P77">
        <v>0.98</v>
      </c>
      <c r="Q77">
        <v>1.2</v>
      </c>
      <c r="R77">
        <v>0.91</v>
      </c>
      <c r="S77">
        <v>1</v>
      </c>
      <c r="T77">
        <v>0.97</v>
      </c>
      <c r="U77">
        <v>0.86</v>
      </c>
      <c r="V77">
        <v>0.89</v>
      </c>
      <c r="W77">
        <v>0.94</v>
      </c>
      <c r="X77">
        <v>0.93</v>
      </c>
      <c r="Y77">
        <v>0.94</v>
      </c>
      <c r="Z77">
        <v>0.95</v>
      </c>
      <c r="AA77" s="8">
        <v>0.83091212193379371</v>
      </c>
      <c r="AB77" s="8">
        <v>1.0529999999999999</v>
      </c>
      <c r="AC77" s="8">
        <v>0.97599999999999998</v>
      </c>
      <c r="AE77">
        <v>102010</v>
      </c>
      <c r="AF77" t="s">
        <v>345</v>
      </c>
      <c r="AG77">
        <v>5105</v>
      </c>
      <c r="AH77">
        <v>5259</v>
      </c>
      <c r="AI77">
        <v>97.1</v>
      </c>
      <c r="AK77">
        <v>102219</v>
      </c>
      <c r="AL77" t="s">
        <v>202</v>
      </c>
      <c r="AM77">
        <f t="shared" si="3"/>
        <v>97.6</v>
      </c>
      <c r="AN77">
        <f t="shared" si="4"/>
        <v>0.97599999999999998</v>
      </c>
    </row>
    <row r="78" spans="1:40" x14ac:dyDescent="0.25">
      <c r="A78">
        <v>102220</v>
      </c>
      <c r="B78" t="s">
        <v>511</v>
      </c>
      <c r="C78">
        <v>1.1200000000000001</v>
      </c>
      <c r="D78">
        <v>0.98</v>
      </c>
      <c r="E78">
        <v>1.02</v>
      </c>
      <c r="F78">
        <v>0.96</v>
      </c>
      <c r="G78">
        <v>0.87</v>
      </c>
      <c r="H78">
        <v>1.01</v>
      </c>
      <c r="I78">
        <v>0.95</v>
      </c>
      <c r="J78">
        <v>0.97</v>
      </c>
      <c r="K78">
        <v>0.96</v>
      </c>
      <c r="L78">
        <v>0.94</v>
      </c>
      <c r="M78">
        <v>0.92</v>
      </c>
      <c r="N78">
        <v>0.91</v>
      </c>
      <c r="O78">
        <v>0.89</v>
      </c>
      <c r="P78">
        <v>0.98</v>
      </c>
      <c r="Q78">
        <v>1.19</v>
      </c>
      <c r="R78">
        <v>0.91</v>
      </c>
      <c r="S78">
        <v>0.99</v>
      </c>
      <c r="T78">
        <v>0.97</v>
      </c>
      <c r="U78">
        <v>0.85</v>
      </c>
      <c r="V78">
        <v>0.87</v>
      </c>
      <c r="W78">
        <v>0.91</v>
      </c>
      <c r="X78">
        <v>0.89</v>
      </c>
      <c r="Y78">
        <v>0.9</v>
      </c>
      <c r="Z78">
        <v>0.87</v>
      </c>
      <c r="AA78" s="8">
        <v>0.8244949494949495</v>
      </c>
      <c r="AB78" s="8">
        <v>0.98499999999999999</v>
      </c>
      <c r="AC78" s="8">
        <v>0.92700000000000005</v>
      </c>
      <c r="AE78">
        <v>102801</v>
      </c>
      <c r="AF78" t="s">
        <v>64</v>
      </c>
      <c r="AG78">
        <v>5178</v>
      </c>
      <c r="AH78">
        <v>5665</v>
      </c>
      <c r="AI78">
        <v>91.4</v>
      </c>
      <c r="AK78">
        <v>102220</v>
      </c>
      <c r="AL78" t="s">
        <v>511</v>
      </c>
      <c r="AM78">
        <f t="shared" si="3"/>
        <v>92.7</v>
      </c>
      <c r="AN78">
        <f t="shared" si="4"/>
        <v>0.92700000000000005</v>
      </c>
    </row>
    <row r="79" spans="1:40" x14ac:dyDescent="0.25">
      <c r="A79">
        <v>102221</v>
      </c>
      <c r="B79" t="s">
        <v>512</v>
      </c>
      <c r="C79">
        <v>1.1200000000000001</v>
      </c>
      <c r="D79">
        <v>0.98</v>
      </c>
      <c r="E79">
        <v>1.01</v>
      </c>
      <c r="F79">
        <v>0.95</v>
      </c>
      <c r="G79">
        <v>0.88</v>
      </c>
      <c r="H79">
        <v>1.03</v>
      </c>
      <c r="I79">
        <v>0.97</v>
      </c>
      <c r="J79">
        <v>0.98</v>
      </c>
      <c r="K79">
        <v>0.95</v>
      </c>
      <c r="L79">
        <v>0.93</v>
      </c>
      <c r="M79">
        <v>0.9</v>
      </c>
      <c r="N79">
        <v>0.9</v>
      </c>
      <c r="O79">
        <v>0.88</v>
      </c>
      <c r="P79">
        <v>0.98</v>
      </c>
      <c r="Q79">
        <v>1.2</v>
      </c>
      <c r="R79">
        <v>0.92</v>
      </c>
      <c r="S79">
        <v>1.01</v>
      </c>
      <c r="T79">
        <v>0.98</v>
      </c>
      <c r="U79">
        <v>0.85</v>
      </c>
      <c r="V79">
        <v>0.85</v>
      </c>
      <c r="W79">
        <v>0.92</v>
      </c>
      <c r="X79">
        <v>0.91</v>
      </c>
      <c r="Y79">
        <v>0.92</v>
      </c>
      <c r="Z79">
        <v>0.99</v>
      </c>
      <c r="AA79" s="8">
        <v>0.9059365235980924</v>
      </c>
      <c r="AB79" s="8">
        <v>0.99900000000000011</v>
      </c>
      <c r="AC79" s="8">
        <v>0.90900000000000003</v>
      </c>
      <c r="AE79">
        <v>102722</v>
      </c>
      <c r="AF79" t="s">
        <v>145</v>
      </c>
      <c r="AG79">
        <v>3892</v>
      </c>
      <c r="AH79">
        <v>4098</v>
      </c>
      <c r="AI79">
        <v>95</v>
      </c>
      <c r="AK79">
        <v>102221</v>
      </c>
      <c r="AL79" t="s">
        <v>512</v>
      </c>
      <c r="AM79">
        <f t="shared" si="3"/>
        <v>90.9</v>
      </c>
      <c r="AN79">
        <f t="shared" si="4"/>
        <v>0.90900000000000003</v>
      </c>
    </row>
    <row r="80" spans="1:40" x14ac:dyDescent="0.25">
      <c r="A80">
        <v>102222</v>
      </c>
      <c r="B80" t="s">
        <v>179</v>
      </c>
      <c r="C80">
        <v>1.1100000000000001</v>
      </c>
      <c r="D80">
        <v>0.97</v>
      </c>
      <c r="E80">
        <v>1.02</v>
      </c>
      <c r="F80">
        <v>0.96</v>
      </c>
      <c r="G80">
        <v>0.88</v>
      </c>
      <c r="H80">
        <v>1.02</v>
      </c>
      <c r="I80">
        <v>0.96</v>
      </c>
      <c r="J80">
        <v>0.98</v>
      </c>
      <c r="K80">
        <v>0.96</v>
      </c>
      <c r="L80">
        <v>0.94</v>
      </c>
      <c r="M80">
        <v>0.91</v>
      </c>
      <c r="N80">
        <v>0.91</v>
      </c>
      <c r="O80">
        <v>0.9</v>
      </c>
      <c r="P80">
        <v>0.98</v>
      </c>
      <c r="Q80">
        <v>1.19</v>
      </c>
      <c r="R80">
        <v>0.92</v>
      </c>
      <c r="S80">
        <v>1</v>
      </c>
      <c r="T80">
        <v>0.98</v>
      </c>
      <c r="U80">
        <v>0.86</v>
      </c>
      <c r="V80">
        <v>0.89</v>
      </c>
      <c r="W80">
        <v>0.94</v>
      </c>
      <c r="X80">
        <v>0.92</v>
      </c>
      <c r="Y80">
        <v>0.92</v>
      </c>
      <c r="Z80">
        <v>0.86</v>
      </c>
      <c r="AA80" s="8">
        <v>0.78796322095291171</v>
      </c>
      <c r="AB80" s="8">
        <v>1.0009999999999999</v>
      </c>
      <c r="AC80" s="8">
        <v>0.94400000000000006</v>
      </c>
      <c r="AE80">
        <v>102109</v>
      </c>
      <c r="AF80" t="s">
        <v>373</v>
      </c>
      <c r="AG80">
        <v>2813</v>
      </c>
      <c r="AH80">
        <v>3041</v>
      </c>
      <c r="AI80">
        <v>92.5</v>
      </c>
      <c r="AK80">
        <v>102222</v>
      </c>
      <c r="AL80" t="s">
        <v>179</v>
      </c>
      <c r="AM80">
        <f t="shared" si="3"/>
        <v>94.4</v>
      </c>
      <c r="AN80">
        <f t="shared" si="4"/>
        <v>0.94400000000000006</v>
      </c>
    </row>
    <row r="81" spans="1:40" x14ac:dyDescent="0.25">
      <c r="A81">
        <v>102223</v>
      </c>
      <c r="B81" t="s">
        <v>7</v>
      </c>
      <c r="C81">
        <v>1.1000000000000001</v>
      </c>
      <c r="D81">
        <v>0.97</v>
      </c>
      <c r="E81">
        <v>1.02</v>
      </c>
      <c r="F81">
        <v>0.96</v>
      </c>
      <c r="G81">
        <v>0.88</v>
      </c>
      <c r="H81">
        <v>1.01</v>
      </c>
      <c r="I81">
        <v>0.96</v>
      </c>
      <c r="J81">
        <v>0.97</v>
      </c>
      <c r="K81">
        <v>0.96</v>
      </c>
      <c r="L81">
        <v>0.93</v>
      </c>
      <c r="M81">
        <v>0.92</v>
      </c>
      <c r="N81">
        <v>0.92</v>
      </c>
      <c r="O81">
        <v>0.9</v>
      </c>
      <c r="P81">
        <v>0.98</v>
      </c>
      <c r="Q81">
        <v>1.19</v>
      </c>
      <c r="R81">
        <v>0.91</v>
      </c>
      <c r="S81">
        <v>1</v>
      </c>
      <c r="T81">
        <v>0.97</v>
      </c>
      <c r="U81">
        <v>0.85</v>
      </c>
      <c r="V81">
        <v>0.85</v>
      </c>
      <c r="W81">
        <v>0.9</v>
      </c>
      <c r="X81">
        <v>0.89</v>
      </c>
      <c r="Y81">
        <v>0.89</v>
      </c>
      <c r="Z81">
        <v>0.91</v>
      </c>
      <c r="AA81" s="8">
        <v>0.84099313259376651</v>
      </c>
      <c r="AB81" s="8">
        <v>0.995</v>
      </c>
      <c r="AC81" s="8">
        <v>0.93900000000000006</v>
      </c>
      <c r="AE81">
        <v>102908</v>
      </c>
      <c r="AF81" t="s">
        <v>454</v>
      </c>
      <c r="AG81">
        <v>5861</v>
      </c>
      <c r="AH81">
        <v>5898</v>
      </c>
      <c r="AI81">
        <v>99.4</v>
      </c>
      <c r="AK81">
        <v>102223</v>
      </c>
      <c r="AL81" t="s">
        <v>7</v>
      </c>
      <c r="AM81">
        <f t="shared" si="3"/>
        <v>93.9</v>
      </c>
      <c r="AN81">
        <f t="shared" si="4"/>
        <v>0.93900000000000006</v>
      </c>
    </row>
    <row r="82" spans="1:40" x14ac:dyDescent="0.25">
      <c r="A82">
        <v>102224</v>
      </c>
      <c r="B82" t="s">
        <v>281</v>
      </c>
      <c r="C82">
        <v>1.1100000000000001</v>
      </c>
      <c r="D82">
        <v>0.98</v>
      </c>
      <c r="E82">
        <v>1.01</v>
      </c>
      <c r="F82">
        <v>0.96</v>
      </c>
      <c r="G82">
        <v>0.86</v>
      </c>
      <c r="H82">
        <v>1.01</v>
      </c>
      <c r="I82">
        <v>0.96</v>
      </c>
      <c r="J82">
        <v>0.98</v>
      </c>
      <c r="K82">
        <v>0.96</v>
      </c>
      <c r="L82">
        <v>0.93</v>
      </c>
      <c r="M82">
        <v>0.92</v>
      </c>
      <c r="N82">
        <v>0.91</v>
      </c>
      <c r="O82">
        <v>0.89</v>
      </c>
      <c r="P82">
        <v>0.98</v>
      </c>
      <c r="Q82">
        <v>1.21</v>
      </c>
      <c r="R82">
        <v>0.91</v>
      </c>
      <c r="S82">
        <v>0.99</v>
      </c>
      <c r="T82">
        <v>0.97</v>
      </c>
      <c r="U82">
        <v>0.85</v>
      </c>
      <c r="V82">
        <v>0.87</v>
      </c>
      <c r="W82">
        <v>0.93</v>
      </c>
      <c r="X82">
        <v>0.91</v>
      </c>
      <c r="Y82">
        <v>0.92</v>
      </c>
      <c r="Z82">
        <v>0.89</v>
      </c>
      <c r="AA82" s="8">
        <v>0.81552610224506361</v>
      </c>
      <c r="AB82" s="8">
        <v>1.008</v>
      </c>
      <c r="AC82" s="8">
        <v>0.95700000000000007</v>
      </c>
      <c r="AE82">
        <v>102331</v>
      </c>
      <c r="AF82" t="s">
        <v>134</v>
      </c>
      <c r="AG82">
        <v>3139</v>
      </c>
      <c r="AH82">
        <v>3473</v>
      </c>
      <c r="AI82">
        <v>90.4</v>
      </c>
      <c r="AK82">
        <v>102224</v>
      </c>
      <c r="AL82" t="s">
        <v>281</v>
      </c>
      <c r="AM82">
        <f t="shared" si="3"/>
        <v>95.7</v>
      </c>
      <c r="AN82">
        <f t="shared" si="4"/>
        <v>0.95700000000000007</v>
      </c>
    </row>
    <row r="83" spans="1:40" x14ac:dyDescent="0.25">
      <c r="A83">
        <v>102231</v>
      </c>
      <c r="B83" t="s">
        <v>513</v>
      </c>
      <c r="C83">
        <v>1.1299999999999999</v>
      </c>
      <c r="D83">
        <v>1.01</v>
      </c>
      <c r="E83">
        <v>1.02</v>
      </c>
      <c r="F83">
        <v>0.95</v>
      </c>
      <c r="G83">
        <v>0.88</v>
      </c>
      <c r="H83">
        <v>1.01</v>
      </c>
      <c r="I83">
        <v>0.93</v>
      </c>
      <c r="J83">
        <v>0.98</v>
      </c>
      <c r="K83">
        <v>0.98</v>
      </c>
      <c r="L83">
        <v>0.96</v>
      </c>
      <c r="M83">
        <v>0.92</v>
      </c>
      <c r="N83">
        <v>0.89</v>
      </c>
      <c r="O83">
        <v>0.89</v>
      </c>
      <c r="P83">
        <v>0.95</v>
      </c>
      <c r="Q83">
        <v>1.1499999999999999</v>
      </c>
      <c r="R83">
        <v>0.91</v>
      </c>
      <c r="S83">
        <v>1.03</v>
      </c>
      <c r="T83">
        <v>1</v>
      </c>
      <c r="U83">
        <v>0.85</v>
      </c>
      <c r="V83">
        <v>0.91</v>
      </c>
      <c r="W83">
        <v>0.94</v>
      </c>
      <c r="X83">
        <v>0.91</v>
      </c>
      <c r="Y83">
        <v>0.88</v>
      </c>
      <c r="Z83">
        <v>0.92</v>
      </c>
      <c r="AA83" s="8">
        <v>0.81359747861323728</v>
      </c>
      <c r="AB83" s="8">
        <v>1.02</v>
      </c>
      <c r="AC83" s="8">
        <v>0.93599999999999994</v>
      </c>
      <c r="AE83">
        <v>102240</v>
      </c>
      <c r="AF83" t="s">
        <v>1142</v>
      </c>
      <c r="AG83">
        <v>3150</v>
      </c>
      <c r="AH83">
        <v>3341</v>
      </c>
      <c r="AI83">
        <v>94.3</v>
      </c>
      <c r="AK83">
        <v>102231</v>
      </c>
      <c r="AL83" t="s">
        <v>513</v>
      </c>
      <c r="AM83">
        <f t="shared" si="3"/>
        <v>93.6</v>
      </c>
      <c r="AN83">
        <f t="shared" si="4"/>
        <v>0.93599999999999994</v>
      </c>
    </row>
    <row r="84" spans="1:40" x14ac:dyDescent="0.25">
      <c r="A84">
        <v>102232</v>
      </c>
      <c r="B84" t="s">
        <v>446</v>
      </c>
      <c r="C84">
        <v>1.1200000000000001</v>
      </c>
      <c r="D84">
        <v>0.99</v>
      </c>
      <c r="E84">
        <v>1.01</v>
      </c>
      <c r="F84">
        <v>0.94</v>
      </c>
      <c r="G84">
        <v>0.86</v>
      </c>
      <c r="H84">
        <v>1</v>
      </c>
      <c r="I84">
        <v>0.94</v>
      </c>
      <c r="J84">
        <v>0.98</v>
      </c>
      <c r="K84">
        <v>0.98</v>
      </c>
      <c r="L84">
        <v>0.96</v>
      </c>
      <c r="M84">
        <v>0.94</v>
      </c>
      <c r="N84">
        <v>0.91</v>
      </c>
      <c r="O84">
        <v>0.9</v>
      </c>
      <c r="P84">
        <v>0.98</v>
      </c>
      <c r="Q84">
        <v>1.18</v>
      </c>
      <c r="R84">
        <v>0.91</v>
      </c>
      <c r="S84">
        <v>1.01</v>
      </c>
      <c r="T84">
        <v>0.98</v>
      </c>
      <c r="U84">
        <v>0.85</v>
      </c>
      <c r="V84">
        <v>0.9</v>
      </c>
      <c r="W84">
        <v>0.95</v>
      </c>
      <c r="X84">
        <v>0.94</v>
      </c>
      <c r="Y84">
        <v>0.93</v>
      </c>
      <c r="Z84">
        <v>0.89</v>
      </c>
      <c r="AA84" s="8">
        <v>0.80640165203923597</v>
      </c>
      <c r="AB84" s="8">
        <v>1.022</v>
      </c>
      <c r="AC84" s="8">
        <v>0.94200000000000006</v>
      </c>
      <c r="AE84">
        <v>102232</v>
      </c>
      <c r="AF84" t="s">
        <v>446</v>
      </c>
      <c r="AG84">
        <v>3440</v>
      </c>
      <c r="AH84">
        <v>3651</v>
      </c>
      <c r="AI84">
        <v>94.2</v>
      </c>
      <c r="AK84">
        <v>102232</v>
      </c>
      <c r="AL84" t="s">
        <v>446</v>
      </c>
      <c r="AM84">
        <f t="shared" si="3"/>
        <v>94.2</v>
      </c>
      <c r="AN84">
        <f t="shared" si="4"/>
        <v>0.94200000000000006</v>
      </c>
    </row>
    <row r="85" spans="1:40" x14ac:dyDescent="0.25">
      <c r="A85">
        <v>102234</v>
      </c>
      <c r="B85" t="s">
        <v>319</v>
      </c>
      <c r="C85">
        <v>1.1299999999999999</v>
      </c>
      <c r="D85">
        <v>0.99</v>
      </c>
      <c r="E85">
        <v>1.02</v>
      </c>
      <c r="F85">
        <v>0.96</v>
      </c>
      <c r="G85">
        <v>0.88</v>
      </c>
      <c r="H85">
        <v>1.02</v>
      </c>
      <c r="I85">
        <v>0.96</v>
      </c>
      <c r="J85">
        <v>0.98</v>
      </c>
      <c r="K85">
        <v>0.96</v>
      </c>
      <c r="L85">
        <v>0.94</v>
      </c>
      <c r="M85">
        <v>0.91</v>
      </c>
      <c r="N85">
        <v>0.9</v>
      </c>
      <c r="O85">
        <v>0.89</v>
      </c>
      <c r="P85">
        <v>0.98</v>
      </c>
      <c r="Q85">
        <v>1.19</v>
      </c>
      <c r="R85">
        <v>0.92</v>
      </c>
      <c r="S85">
        <v>1.01</v>
      </c>
      <c r="T85">
        <v>0.98</v>
      </c>
      <c r="U85">
        <v>0.85</v>
      </c>
      <c r="V85">
        <v>0.87</v>
      </c>
      <c r="W85">
        <v>0.94</v>
      </c>
      <c r="X85">
        <v>0.93</v>
      </c>
      <c r="Y85">
        <v>0.92</v>
      </c>
      <c r="Z85">
        <v>0.89</v>
      </c>
      <c r="AA85" s="8">
        <v>0.78233927188226182</v>
      </c>
      <c r="AB85" s="8">
        <v>1.036</v>
      </c>
      <c r="AC85" s="8">
        <v>0.94499999999999995</v>
      </c>
      <c r="AE85">
        <v>102217</v>
      </c>
      <c r="AF85" t="s">
        <v>148</v>
      </c>
      <c r="AG85">
        <v>3359</v>
      </c>
      <c r="AH85">
        <v>3558</v>
      </c>
      <c r="AI85">
        <v>94.4</v>
      </c>
      <c r="AK85">
        <v>102234</v>
      </c>
      <c r="AL85" t="s">
        <v>319</v>
      </c>
      <c r="AM85">
        <f t="shared" si="3"/>
        <v>94.5</v>
      </c>
      <c r="AN85">
        <f t="shared" si="4"/>
        <v>0.94499999999999995</v>
      </c>
    </row>
    <row r="86" spans="1:40" x14ac:dyDescent="0.25">
      <c r="A86">
        <v>102235</v>
      </c>
      <c r="B86" t="s">
        <v>1049</v>
      </c>
      <c r="Y86">
        <v>0.92</v>
      </c>
      <c r="Z86">
        <v>0.96</v>
      </c>
      <c r="AA86" s="8">
        <v>0.82412993039443161</v>
      </c>
      <c r="AB86" s="8">
        <v>1.0490000000000002</v>
      </c>
      <c r="AC86" s="8">
        <v>0.94299999999999995</v>
      </c>
      <c r="AE86">
        <v>102709</v>
      </c>
      <c r="AF86" t="s">
        <v>116</v>
      </c>
      <c r="AG86">
        <v>3991</v>
      </c>
      <c r="AH86">
        <v>4212</v>
      </c>
      <c r="AI86">
        <v>94.8</v>
      </c>
      <c r="AK86">
        <v>102235</v>
      </c>
      <c r="AL86" t="s">
        <v>1049</v>
      </c>
      <c r="AM86">
        <f t="shared" si="3"/>
        <v>94.3</v>
      </c>
      <c r="AN86">
        <f t="shared" si="4"/>
        <v>0.94299999999999995</v>
      </c>
    </row>
    <row r="87" spans="1:40" x14ac:dyDescent="0.25">
      <c r="A87">
        <v>102236</v>
      </c>
      <c r="B87" t="s">
        <v>1053</v>
      </c>
      <c r="Y87">
        <v>0.89</v>
      </c>
      <c r="Z87">
        <v>0.88</v>
      </c>
      <c r="AA87" s="8">
        <v>0.80781250000000004</v>
      </c>
      <c r="AB87" s="8">
        <v>1.008</v>
      </c>
      <c r="AC87" s="8">
        <v>0.91</v>
      </c>
      <c r="AE87">
        <v>102524</v>
      </c>
      <c r="AF87" t="s">
        <v>524</v>
      </c>
      <c r="AG87">
        <v>3482</v>
      </c>
      <c r="AH87">
        <v>3701</v>
      </c>
      <c r="AI87">
        <v>94.1</v>
      </c>
      <c r="AK87">
        <v>102236</v>
      </c>
      <c r="AL87" t="s">
        <v>1053</v>
      </c>
      <c r="AM87">
        <f t="shared" si="3"/>
        <v>91</v>
      </c>
      <c r="AN87">
        <f t="shared" si="4"/>
        <v>0.91</v>
      </c>
    </row>
    <row r="88" spans="1:40" x14ac:dyDescent="0.25">
      <c r="A88">
        <v>102237</v>
      </c>
      <c r="B88" t="s">
        <v>1051</v>
      </c>
      <c r="Y88">
        <v>0.91</v>
      </c>
      <c r="Z88">
        <v>0.87</v>
      </c>
      <c r="AA88" s="8">
        <v>0.83302411873840443</v>
      </c>
      <c r="AB88" s="8">
        <v>1.026</v>
      </c>
      <c r="AC88" s="8">
        <v>0.93</v>
      </c>
      <c r="AE88">
        <v>102624</v>
      </c>
      <c r="AF88" t="s">
        <v>488</v>
      </c>
      <c r="AG88">
        <v>3464</v>
      </c>
      <c r="AH88">
        <v>3659</v>
      </c>
      <c r="AI88">
        <v>94.7</v>
      </c>
      <c r="AK88">
        <v>102237</v>
      </c>
      <c r="AL88" t="s">
        <v>1051</v>
      </c>
      <c r="AM88">
        <f t="shared" si="3"/>
        <v>93</v>
      </c>
      <c r="AN88">
        <f t="shared" si="4"/>
        <v>0.93</v>
      </c>
    </row>
    <row r="89" spans="1:40" x14ac:dyDescent="0.25">
      <c r="A89">
        <v>102238</v>
      </c>
      <c r="B89" t="s">
        <v>932</v>
      </c>
      <c r="Y89">
        <v>0.95</v>
      </c>
      <c r="Z89">
        <v>0.88</v>
      </c>
      <c r="AA89" s="8">
        <v>0.77800459300842051</v>
      </c>
      <c r="AB89" s="8">
        <v>1.0309999999999999</v>
      </c>
      <c r="AC89" s="8">
        <v>0.92799999999999994</v>
      </c>
      <c r="AE89">
        <v>102720</v>
      </c>
      <c r="AF89" t="s">
        <v>117</v>
      </c>
      <c r="AG89">
        <v>4001</v>
      </c>
      <c r="AH89">
        <v>4116</v>
      </c>
      <c r="AI89">
        <v>97.2</v>
      </c>
      <c r="AK89">
        <v>102238</v>
      </c>
      <c r="AL89" t="s">
        <v>932</v>
      </c>
      <c r="AM89">
        <f t="shared" si="3"/>
        <v>92.8</v>
      </c>
      <c r="AN89">
        <f t="shared" si="4"/>
        <v>0.92799999999999994</v>
      </c>
    </row>
    <row r="90" spans="1:40" x14ac:dyDescent="0.25">
      <c r="A90">
        <v>102239</v>
      </c>
      <c r="B90" t="s">
        <v>430</v>
      </c>
      <c r="Y90">
        <v>0.91</v>
      </c>
      <c r="Z90">
        <v>0.92</v>
      </c>
      <c r="AA90" s="8">
        <v>0.81488244692992462</v>
      </c>
      <c r="AB90" s="8">
        <v>1.0149999999999999</v>
      </c>
      <c r="AC90" s="8">
        <v>0.94599999999999995</v>
      </c>
      <c r="AE90">
        <v>102326</v>
      </c>
      <c r="AF90" t="s">
        <v>215</v>
      </c>
      <c r="AG90">
        <v>3421</v>
      </c>
      <c r="AH90">
        <v>3633</v>
      </c>
      <c r="AI90">
        <v>94.2</v>
      </c>
      <c r="AK90">
        <v>102239</v>
      </c>
      <c r="AL90" t="s">
        <v>430</v>
      </c>
      <c r="AM90">
        <f t="shared" si="3"/>
        <v>94.6</v>
      </c>
      <c r="AN90">
        <f t="shared" si="4"/>
        <v>0.94599999999999995</v>
      </c>
    </row>
    <row r="91" spans="1:40" x14ac:dyDescent="0.25">
      <c r="A91">
        <v>102240</v>
      </c>
      <c r="B91" t="s">
        <v>1045</v>
      </c>
      <c r="Y91">
        <v>0.91</v>
      </c>
      <c r="Z91">
        <v>0.94</v>
      </c>
      <c r="AA91" s="8">
        <v>0.81476655808903364</v>
      </c>
      <c r="AB91" s="8">
        <v>1.038</v>
      </c>
      <c r="AC91" s="8">
        <v>0.94299999999999995</v>
      </c>
      <c r="AE91">
        <v>102316</v>
      </c>
      <c r="AF91" t="s">
        <v>516</v>
      </c>
      <c r="AG91">
        <v>3388</v>
      </c>
      <c r="AH91">
        <v>3588</v>
      </c>
      <c r="AI91">
        <v>94.4</v>
      </c>
      <c r="AK91">
        <v>102240</v>
      </c>
      <c r="AL91" t="s">
        <v>1045</v>
      </c>
      <c r="AM91">
        <f t="shared" si="3"/>
        <v>94.3</v>
      </c>
      <c r="AN91">
        <f t="shared" si="4"/>
        <v>0.94299999999999995</v>
      </c>
    </row>
    <row r="92" spans="1:40" x14ac:dyDescent="0.25">
      <c r="A92">
        <v>102241</v>
      </c>
      <c r="B92" t="s">
        <v>216</v>
      </c>
      <c r="Y92">
        <v>0.93</v>
      </c>
      <c r="Z92">
        <v>0.89</v>
      </c>
      <c r="AA92" s="8">
        <v>0.82963390025944073</v>
      </c>
      <c r="AB92" s="8">
        <v>1.014</v>
      </c>
      <c r="AC92" s="8">
        <v>0.94700000000000006</v>
      </c>
      <c r="AE92">
        <v>102531</v>
      </c>
      <c r="AF92" t="s">
        <v>125</v>
      </c>
      <c r="AG92">
        <v>3972</v>
      </c>
      <c r="AH92">
        <v>4188</v>
      </c>
      <c r="AI92">
        <v>94.8</v>
      </c>
      <c r="AK92">
        <v>102241</v>
      </c>
      <c r="AL92" t="s">
        <v>216</v>
      </c>
      <c r="AM92">
        <f t="shared" si="3"/>
        <v>94.7</v>
      </c>
      <c r="AN92">
        <f t="shared" si="4"/>
        <v>0.94700000000000006</v>
      </c>
    </row>
    <row r="93" spans="1:40" x14ac:dyDescent="0.25">
      <c r="A93">
        <v>102242</v>
      </c>
      <c r="B93" t="s">
        <v>210</v>
      </c>
      <c r="Y93">
        <v>0.88</v>
      </c>
      <c r="Z93">
        <v>0.9</v>
      </c>
      <c r="AA93" s="8">
        <v>0.86861948955916468</v>
      </c>
      <c r="AB93" s="8">
        <v>1.0349999999999999</v>
      </c>
      <c r="AC93" s="8">
        <v>0.93400000000000005</v>
      </c>
      <c r="AE93">
        <v>102806</v>
      </c>
      <c r="AF93" t="s">
        <v>150</v>
      </c>
      <c r="AG93">
        <v>4225</v>
      </c>
      <c r="AH93">
        <v>4348</v>
      </c>
      <c r="AI93">
        <v>97.2</v>
      </c>
      <c r="AK93">
        <v>102242</v>
      </c>
      <c r="AL93" t="s">
        <v>210</v>
      </c>
      <c r="AM93">
        <f t="shared" si="3"/>
        <v>93.4</v>
      </c>
      <c r="AN93">
        <f t="shared" si="4"/>
        <v>0.93400000000000005</v>
      </c>
    </row>
    <row r="94" spans="1:40" x14ac:dyDescent="0.25">
      <c r="A94">
        <v>102243</v>
      </c>
      <c r="B94" t="s">
        <v>1033</v>
      </c>
      <c r="Y94">
        <v>0.91</v>
      </c>
      <c r="Z94">
        <v>0.85</v>
      </c>
      <c r="AA94" s="8">
        <v>0.80130192188468696</v>
      </c>
      <c r="AB94" s="8">
        <v>1.0529999999999999</v>
      </c>
      <c r="AC94" s="8">
        <v>0.97</v>
      </c>
      <c r="AE94">
        <v>102112</v>
      </c>
      <c r="AF94" t="s">
        <v>151</v>
      </c>
      <c r="AG94">
        <v>3180</v>
      </c>
      <c r="AH94">
        <v>3365</v>
      </c>
      <c r="AI94">
        <v>94.5</v>
      </c>
      <c r="AK94">
        <v>102243</v>
      </c>
      <c r="AL94" t="s">
        <v>1033</v>
      </c>
      <c r="AM94">
        <f t="shared" si="3"/>
        <v>97</v>
      </c>
      <c r="AN94">
        <f t="shared" si="4"/>
        <v>0.97</v>
      </c>
    </row>
    <row r="95" spans="1:40" x14ac:dyDescent="0.25">
      <c r="A95">
        <v>102244</v>
      </c>
      <c r="B95" t="s">
        <v>872</v>
      </c>
      <c r="Y95">
        <v>0.91</v>
      </c>
      <c r="Z95">
        <v>0.86</v>
      </c>
      <c r="AA95" s="8">
        <v>0.78646934460887952</v>
      </c>
      <c r="AB95" s="8">
        <v>1.0290000000000001</v>
      </c>
      <c r="AC95" s="8">
        <v>0.94799999999999995</v>
      </c>
      <c r="AE95">
        <v>102129</v>
      </c>
      <c r="AF95" t="s">
        <v>153</v>
      </c>
      <c r="AG95">
        <v>2795</v>
      </c>
      <c r="AH95">
        <v>3022</v>
      </c>
      <c r="AI95">
        <v>92.5</v>
      </c>
      <c r="AK95">
        <v>102244</v>
      </c>
      <c r="AL95" t="s">
        <v>872</v>
      </c>
      <c r="AM95">
        <f t="shared" si="3"/>
        <v>94.8</v>
      </c>
      <c r="AN95">
        <f t="shared" si="4"/>
        <v>0.94799999999999995</v>
      </c>
    </row>
    <row r="96" spans="1:40" x14ac:dyDescent="0.25">
      <c r="A96">
        <v>102245</v>
      </c>
      <c r="B96" t="s">
        <v>298</v>
      </c>
      <c r="Y96">
        <v>0.93</v>
      </c>
      <c r="Z96">
        <v>0.85</v>
      </c>
      <c r="AA96" s="8">
        <v>0.81433039522320161</v>
      </c>
      <c r="AB96" s="8">
        <v>1.026</v>
      </c>
      <c r="AC96" s="8">
        <v>0.95200000000000007</v>
      </c>
      <c r="AE96">
        <v>102340</v>
      </c>
      <c r="AF96" t="s">
        <v>1042</v>
      </c>
      <c r="AG96">
        <v>3321</v>
      </c>
      <c r="AH96">
        <v>3504</v>
      </c>
      <c r="AI96">
        <v>94.8</v>
      </c>
      <c r="AK96">
        <v>102245</v>
      </c>
      <c r="AL96" t="s">
        <v>298</v>
      </c>
      <c r="AM96">
        <f t="shared" si="3"/>
        <v>95.2</v>
      </c>
      <c r="AN96">
        <f t="shared" si="4"/>
        <v>0.95200000000000007</v>
      </c>
    </row>
    <row r="97" spans="1:40" x14ac:dyDescent="0.25">
      <c r="A97">
        <v>102246</v>
      </c>
      <c r="B97" t="s">
        <v>248</v>
      </c>
      <c r="Y97">
        <v>0.92</v>
      </c>
      <c r="Z97">
        <v>0.87</v>
      </c>
      <c r="AA97" s="8">
        <v>0.83556851311953351</v>
      </c>
      <c r="AB97" s="8">
        <v>1.054</v>
      </c>
      <c r="AC97" s="8">
        <v>0.97</v>
      </c>
      <c r="AE97">
        <v>102125</v>
      </c>
      <c r="AF97" t="s">
        <v>242</v>
      </c>
      <c r="AG97">
        <v>3080</v>
      </c>
      <c r="AH97">
        <v>3255</v>
      </c>
      <c r="AI97">
        <v>94.6</v>
      </c>
      <c r="AK97">
        <v>102246</v>
      </c>
      <c r="AL97" t="s">
        <v>248</v>
      </c>
      <c r="AM97">
        <f t="shared" si="3"/>
        <v>97</v>
      </c>
      <c r="AN97">
        <f t="shared" si="4"/>
        <v>0.97</v>
      </c>
    </row>
    <row r="98" spans="1:40" x14ac:dyDescent="0.25">
      <c r="A98">
        <v>102247</v>
      </c>
      <c r="B98" t="s">
        <v>865</v>
      </c>
      <c r="Y98">
        <v>0.95</v>
      </c>
      <c r="Z98">
        <v>1.01</v>
      </c>
      <c r="AA98" s="8">
        <v>0.873046875</v>
      </c>
      <c r="AB98" s="8">
        <v>1.024</v>
      </c>
      <c r="AC98" s="8">
        <v>0.93</v>
      </c>
      <c r="AE98">
        <v>102127</v>
      </c>
      <c r="AF98" t="s">
        <v>243</v>
      </c>
      <c r="AG98">
        <v>3073</v>
      </c>
      <c r="AH98">
        <v>3271</v>
      </c>
      <c r="AI98">
        <v>93.9</v>
      </c>
      <c r="AK98">
        <v>102247</v>
      </c>
      <c r="AL98" t="s">
        <v>865</v>
      </c>
      <c r="AM98">
        <f t="shared" si="3"/>
        <v>93</v>
      </c>
      <c r="AN98">
        <f t="shared" si="4"/>
        <v>0.93</v>
      </c>
    </row>
    <row r="99" spans="1:40" x14ac:dyDescent="0.25">
      <c r="A99">
        <v>102248</v>
      </c>
      <c r="B99" t="s">
        <v>180</v>
      </c>
      <c r="Y99">
        <v>0.91</v>
      </c>
      <c r="Z99">
        <v>0.95</v>
      </c>
      <c r="AA99" s="8">
        <v>0.8458092215792421</v>
      </c>
      <c r="AB99" s="8">
        <v>1.022</v>
      </c>
      <c r="AC99" s="8">
        <v>0.94200000000000006</v>
      </c>
      <c r="AE99">
        <v>102626</v>
      </c>
      <c r="AF99" t="s">
        <v>1221</v>
      </c>
      <c r="AG99">
        <v>3371</v>
      </c>
      <c r="AH99">
        <v>3626</v>
      </c>
      <c r="AI99">
        <v>92.9</v>
      </c>
      <c r="AK99">
        <v>102248</v>
      </c>
      <c r="AL99" t="s">
        <v>180</v>
      </c>
      <c r="AM99">
        <f t="shared" si="3"/>
        <v>94.2</v>
      </c>
      <c r="AN99">
        <f t="shared" si="4"/>
        <v>0.94200000000000006</v>
      </c>
    </row>
    <row r="100" spans="1:40" x14ac:dyDescent="0.25">
      <c r="A100">
        <v>102249</v>
      </c>
      <c r="B100" t="s">
        <v>1036</v>
      </c>
      <c r="Y100">
        <v>0.92</v>
      </c>
      <c r="Z100">
        <v>0.87</v>
      </c>
      <c r="AA100" s="8">
        <v>0.76872708224201147</v>
      </c>
      <c r="AB100" s="8">
        <v>1.0129999999999999</v>
      </c>
      <c r="AC100" s="8">
        <v>0.93900000000000006</v>
      </c>
      <c r="AE100">
        <v>102008</v>
      </c>
      <c r="AF100" t="s">
        <v>154</v>
      </c>
      <c r="AG100">
        <v>5694</v>
      </c>
      <c r="AH100">
        <v>6185</v>
      </c>
      <c r="AI100">
        <v>92.1</v>
      </c>
      <c r="AK100">
        <v>102249</v>
      </c>
      <c r="AL100" t="s">
        <v>1036</v>
      </c>
      <c r="AM100">
        <f t="shared" si="3"/>
        <v>93.9</v>
      </c>
      <c r="AN100">
        <f t="shared" si="4"/>
        <v>0.93900000000000006</v>
      </c>
    </row>
    <row r="101" spans="1:40" x14ac:dyDescent="0.25">
      <c r="A101">
        <v>102250</v>
      </c>
      <c r="B101" t="s">
        <v>901</v>
      </c>
      <c r="Y101">
        <v>0.92</v>
      </c>
      <c r="Z101">
        <v>0.87</v>
      </c>
      <c r="AA101" s="8">
        <v>0.80936625095444137</v>
      </c>
      <c r="AB101" s="8">
        <v>1.0209999999999999</v>
      </c>
      <c r="AC101" s="8">
        <v>0.95400000000000007</v>
      </c>
      <c r="AE101">
        <v>102815</v>
      </c>
      <c r="AF101" t="s">
        <v>47</v>
      </c>
      <c r="AG101">
        <v>4992</v>
      </c>
      <c r="AH101">
        <v>5168</v>
      </c>
      <c r="AI101">
        <v>96.6</v>
      </c>
      <c r="AK101">
        <v>102250</v>
      </c>
      <c r="AL101" t="s">
        <v>901</v>
      </c>
      <c r="AM101">
        <f t="shared" si="3"/>
        <v>95.4</v>
      </c>
      <c r="AN101">
        <f t="shared" si="4"/>
        <v>0.95400000000000007</v>
      </c>
    </row>
    <row r="102" spans="1:40" x14ac:dyDescent="0.25">
      <c r="A102">
        <v>102251</v>
      </c>
      <c r="B102" t="s">
        <v>314</v>
      </c>
      <c r="Y102">
        <v>0.94</v>
      </c>
      <c r="Z102">
        <v>1</v>
      </c>
      <c r="AA102" s="8">
        <v>0.85367620427381385</v>
      </c>
      <c r="AB102" s="8">
        <v>1.0190000000000001</v>
      </c>
      <c r="AC102" s="8">
        <v>0.95</v>
      </c>
      <c r="AE102">
        <v>102320</v>
      </c>
      <c r="AF102" t="s">
        <v>160</v>
      </c>
      <c r="AG102">
        <v>3442</v>
      </c>
      <c r="AH102">
        <v>3558</v>
      </c>
      <c r="AI102">
        <v>96.7</v>
      </c>
      <c r="AK102">
        <v>102251</v>
      </c>
      <c r="AL102" t="s">
        <v>314</v>
      </c>
      <c r="AM102">
        <f t="shared" si="3"/>
        <v>95</v>
      </c>
      <c r="AN102">
        <f t="shared" si="4"/>
        <v>0.95</v>
      </c>
    </row>
    <row r="103" spans="1:40" x14ac:dyDescent="0.25">
      <c r="A103">
        <v>102252</v>
      </c>
      <c r="B103" t="s">
        <v>1032</v>
      </c>
      <c r="Y103">
        <v>0.92</v>
      </c>
      <c r="Z103">
        <v>0.85</v>
      </c>
      <c r="AA103" s="8">
        <v>0.78800795680591074</v>
      </c>
      <c r="AB103" s="8">
        <v>1.032</v>
      </c>
      <c r="AC103" s="8">
        <v>0.93099999999999994</v>
      </c>
      <c r="AE103">
        <v>102017</v>
      </c>
      <c r="AF103" t="s">
        <v>346</v>
      </c>
      <c r="AG103">
        <v>5205</v>
      </c>
      <c r="AH103">
        <v>5319</v>
      </c>
      <c r="AI103">
        <v>97.8</v>
      </c>
      <c r="AK103">
        <v>102252</v>
      </c>
      <c r="AL103" t="s">
        <v>1032</v>
      </c>
      <c r="AM103">
        <f t="shared" si="3"/>
        <v>93.1</v>
      </c>
      <c r="AN103">
        <f t="shared" si="4"/>
        <v>0.93099999999999994</v>
      </c>
    </row>
    <row r="104" spans="1:40" x14ac:dyDescent="0.25">
      <c r="A104">
        <v>102253</v>
      </c>
      <c r="B104" t="s">
        <v>189</v>
      </c>
      <c r="Y104">
        <v>0.91</v>
      </c>
      <c r="Z104">
        <v>0.99</v>
      </c>
      <c r="AA104" s="8">
        <v>0.89085765336509826</v>
      </c>
      <c r="AB104" s="8">
        <v>1.03</v>
      </c>
      <c r="AC104" s="8">
        <v>0.93700000000000006</v>
      </c>
      <c r="AE104">
        <v>102307</v>
      </c>
      <c r="AF104" t="s">
        <v>162</v>
      </c>
      <c r="AG104">
        <v>3062</v>
      </c>
      <c r="AH104">
        <v>3282</v>
      </c>
      <c r="AI104">
        <v>93.3</v>
      </c>
      <c r="AK104">
        <v>102253</v>
      </c>
      <c r="AL104" t="s">
        <v>189</v>
      </c>
      <c r="AM104">
        <f t="shared" si="3"/>
        <v>93.7</v>
      </c>
      <c r="AN104">
        <f t="shared" si="4"/>
        <v>0.93700000000000006</v>
      </c>
    </row>
    <row r="105" spans="1:40" x14ac:dyDescent="0.25">
      <c r="A105">
        <v>102254</v>
      </c>
      <c r="B105" t="s">
        <v>882</v>
      </c>
      <c r="Y105">
        <v>0.92</v>
      </c>
      <c r="Z105">
        <v>0.88</v>
      </c>
      <c r="AA105" s="8">
        <v>0.79045587843241805</v>
      </c>
      <c r="AB105" s="8">
        <v>1.032</v>
      </c>
      <c r="AC105" s="8">
        <v>0.93500000000000005</v>
      </c>
      <c r="AE105">
        <v>102016</v>
      </c>
      <c r="AF105" t="s">
        <v>455</v>
      </c>
      <c r="AG105">
        <v>6269</v>
      </c>
      <c r="AH105">
        <v>6527</v>
      </c>
      <c r="AI105">
        <v>96</v>
      </c>
      <c r="AK105">
        <v>102254</v>
      </c>
      <c r="AL105" t="s">
        <v>882</v>
      </c>
      <c r="AM105">
        <f t="shared" si="3"/>
        <v>93.5</v>
      </c>
      <c r="AN105">
        <f t="shared" si="4"/>
        <v>0.93500000000000005</v>
      </c>
    </row>
    <row r="106" spans="1:40" x14ac:dyDescent="0.25">
      <c r="A106">
        <v>102301</v>
      </c>
      <c r="B106" t="s">
        <v>459</v>
      </c>
      <c r="C106">
        <v>1.1299999999999999</v>
      </c>
      <c r="D106">
        <v>1.03</v>
      </c>
      <c r="E106">
        <v>1</v>
      </c>
      <c r="F106">
        <v>0.93</v>
      </c>
      <c r="G106">
        <v>0.86</v>
      </c>
      <c r="H106">
        <v>0.99</v>
      </c>
      <c r="I106">
        <v>0.94</v>
      </c>
      <c r="J106">
        <v>0.99</v>
      </c>
      <c r="K106">
        <v>0.99</v>
      </c>
      <c r="L106">
        <v>0.96</v>
      </c>
      <c r="M106">
        <v>0.93</v>
      </c>
      <c r="N106">
        <v>0.88</v>
      </c>
      <c r="O106">
        <v>0.88</v>
      </c>
      <c r="P106">
        <v>0.96</v>
      </c>
      <c r="Q106">
        <v>1.17</v>
      </c>
      <c r="R106">
        <v>0.92</v>
      </c>
      <c r="S106">
        <v>1.02</v>
      </c>
      <c r="T106">
        <v>0.99</v>
      </c>
      <c r="U106">
        <v>0.83</v>
      </c>
      <c r="V106">
        <v>0.89</v>
      </c>
      <c r="W106">
        <v>0.93</v>
      </c>
      <c r="X106">
        <v>0.93</v>
      </c>
      <c r="Y106">
        <v>0.89</v>
      </c>
      <c r="Z106">
        <v>0.88</v>
      </c>
      <c r="AA106" s="8">
        <v>0.83028874484384207</v>
      </c>
      <c r="AB106" s="8">
        <v>1.026</v>
      </c>
      <c r="AC106" s="8">
        <v>0.93900000000000006</v>
      </c>
      <c r="AE106">
        <v>102218</v>
      </c>
      <c r="AF106" t="s">
        <v>237</v>
      </c>
      <c r="AG106">
        <v>3301</v>
      </c>
      <c r="AH106">
        <v>3564</v>
      </c>
      <c r="AI106">
        <v>92.6</v>
      </c>
      <c r="AK106">
        <v>102301</v>
      </c>
      <c r="AL106" t="s">
        <v>459</v>
      </c>
      <c r="AM106">
        <f t="shared" si="3"/>
        <v>93.9</v>
      </c>
      <c r="AN106">
        <f t="shared" si="4"/>
        <v>0.93900000000000006</v>
      </c>
    </row>
    <row r="107" spans="1:40" x14ac:dyDescent="0.25">
      <c r="A107">
        <v>102302</v>
      </c>
      <c r="B107" t="s">
        <v>142</v>
      </c>
      <c r="C107">
        <v>1.1299999999999999</v>
      </c>
      <c r="D107">
        <v>1.03</v>
      </c>
      <c r="E107">
        <v>1</v>
      </c>
      <c r="F107">
        <v>0.93</v>
      </c>
      <c r="G107">
        <v>0.85</v>
      </c>
      <c r="H107">
        <v>0.99</v>
      </c>
      <c r="I107">
        <v>0.93</v>
      </c>
      <c r="J107">
        <v>0.98</v>
      </c>
      <c r="K107">
        <v>0.99</v>
      </c>
      <c r="L107">
        <v>0.96</v>
      </c>
      <c r="M107">
        <v>0.93</v>
      </c>
      <c r="N107">
        <v>0.88</v>
      </c>
      <c r="O107">
        <v>0.88</v>
      </c>
      <c r="P107">
        <v>0.96</v>
      </c>
      <c r="Q107">
        <v>1.17</v>
      </c>
      <c r="R107">
        <v>0.92</v>
      </c>
      <c r="S107">
        <v>1.02</v>
      </c>
      <c r="T107">
        <v>0.99</v>
      </c>
      <c r="U107">
        <v>0.83</v>
      </c>
      <c r="V107">
        <v>0.89</v>
      </c>
      <c r="W107">
        <v>0.92</v>
      </c>
      <c r="X107">
        <v>0.91</v>
      </c>
      <c r="Y107">
        <v>0.88</v>
      </c>
      <c r="Z107">
        <v>0.93</v>
      </c>
      <c r="AA107" s="8">
        <v>0.83541208119344579</v>
      </c>
      <c r="AB107" s="8">
        <v>1.0170000000000001</v>
      </c>
      <c r="AC107" s="8">
        <v>0.92299999999999993</v>
      </c>
      <c r="AE107">
        <v>102118</v>
      </c>
      <c r="AF107" t="s">
        <v>164</v>
      </c>
      <c r="AG107">
        <v>3057</v>
      </c>
      <c r="AH107">
        <v>3173</v>
      </c>
      <c r="AI107">
        <v>96.3</v>
      </c>
      <c r="AK107">
        <v>102302</v>
      </c>
      <c r="AL107" t="s">
        <v>142</v>
      </c>
      <c r="AM107">
        <f t="shared" si="3"/>
        <v>92.3</v>
      </c>
      <c r="AN107">
        <f t="shared" si="4"/>
        <v>0.92299999999999993</v>
      </c>
    </row>
    <row r="108" spans="1:40" x14ac:dyDescent="0.25">
      <c r="A108">
        <v>102303</v>
      </c>
      <c r="B108" t="s">
        <v>82</v>
      </c>
      <c r="C108">
        <v>1.1200000000000001</v>
      </c>
      <c r="D108">
        <v>1.01</v>
      </c>
      <c r="E108">
        <v>1.01</v>
      </c>
      <c r="F108">
        <v>0.94</v>
      </c>
      <c r="G108">
        <v>0.88</v>
      </c>
      <c r="H108">
        <v>0.99</v>
      </c>
      <c r="I108">
        <v>0.94</v>
      </c>
      <c r="J108">
        <v>0.98</v>
      </c>
      <c r="K108">
        <v>1</v>
      </c>
      <c r="L108">
        <v>0.97</v>
      </c>
      <c r="M108">
        <v>0.93</v>
      </c>
      <c r="N108">
        <v>0.89</v>
      </c>
      <c r="O108">
        <v>0.89</v>
      </c>
      <c r="P108">
        <v>0.96</v>
      </c>
      <c r="Q108">
        <v>1.1499999999999999</v>
      </c>
      <c r="R108">
        <v>0.92</v>
      </c>
      <c r="S108">
        <v>1.02</v>
      </c>
      <c r="T108">
        <v>0.99</v>
      </c>
      <c r="U108">
        <v>0.85</v>
      </c>
      <c r="V108">
        <v>0.91</v>
      </c>
      <c r="W108">
        <v>0.94</v>
      </c>
      <c r="X108">
        <v>0.92</v>
      </c>
      <c r="Y108">
        <v>0.89</v>
      </c>
      <c r="Z108">
        <v>0.84</v>
      </c>
      <c r="AA108" s="8">
        <v>0.7774541217593941</v>
      </c>
      <c r="AB108" s="8">
        <v>1.018</v>
      </c>
      <c r="AC108" s="8">
        <v>0.93900000000000006</v>
      </c>
      <c r="AE108">
        <v>102510</v>
      </c>
      <c r="AF108" t="s">
        <v>165</v>
      </c>
      <c r="AG108">
        <v>3780</v>
      </c>
      <c r="AH108">
        <v>3975</v>
      </c>
      <c r="AI108">
        <v>95.1</v>
      </c>
      <c r="AK108">
        <v>102303</v>
      </c>
      <c r="AL108" t="s">
        <v>82</v>
      </c>
      <c r="AM108">
        <f t="shared" si="3"/>
        <v>93.9</v>
      </c>
      <c r="AN108">
        <f t="shared" si="4"/>
        <v>0.93900000000000006</v>
      </c>
    </row>
    <row r="109" spans="1:40" x14ac:dyDescent="0.25">
      <c r="A109">
        <v>102304</v>
      </c>
      <c r="B109" t="s">
        <v>79</v>
      </c>
      <c r="C109">
        <v>1.1200000000000001</v>
      </c>
      <c r="D109">
        <v>1.01</v>
      </c>
      <c r="E109">
        <v>1.01</v>
      </c>
      <c r="F109">
        <v>0.94</v>
      </c>
      <c r="G109">
        <v>0.88</v>
      </c>
      <c r="H109">
        <v>1</v>
      </c>
      <c r="I109">
        <v>0.94</v>
      </c>
      <c r="J109">
        <v>0.98</v>
      </c>
      <c r="K109">
        <v>1</v>
      </c>
      <c r="L109">
        <v>0.97</v>
      </c>
      <c r="M109">
        <v>0.93</v>
      </c>
      <c r="N109">
        <v>0.9</v>
      </c>
      <c r="O109">
        <v>0.9</v>
      </c>
      <c r="P109">
        <v>0.97</v>
      </c>
      <c r="Q109">
        <v>1.1399999999999999</v>
      </c>
      <c r="R109">
        <v>0.92</v>
      </c>
      <c r="S109">
        <v>1.01</v>
      </c>
      <c r="T109">
        <v>0.98</v>
      </c>
      <c r="U109">
        <v>0.85</v>
      </c>
      <c r="V109">
        <v>0.91</v>
      </c>
      <c r="W109">
        <v>0.94</v>
      </c>
      <c r="X109">
        <v>0.91</v>
      </c>
      <c r="Y109">
        <v>0.89</v>
      </c>
      <c r="Z109">
        <v>0.9</v>
      </c>
      <c r="AA109" s="8">
        <v>0.79048098715688742</v>
      </c>
      <c r="AB109" s="8">
        <v>1.0249999999999999</v>
      </c>
      <c r="AC109" s="8">
        <v>0.94799999999999995</v>
      </c>
      <c r="AE109">
        <v>102120</v>
      </c>
      <c r="AF109" t="s">
        <v>0</v>
      </c>
      <c r="AG109">
        <v>2986</v>
      </c>
      <c r="AH109">
        <v>3227</v>
      </c>
      <c r="AI109">
        <v>92.5</v>
      </c>
      <c r="AK109">
        <v>102304</v>
      </c>
      <c r="AL109" t="s">
        <v>79</v>
      </c>
      <c r="AM109">
        <f t="shared" si="3"/>
        <v>94.8</v>
      </c>
      <c r="AN109">
        <f t="shared" si="4"/>
        <v>0.94799999999999995</v>
      </c>
    </row>
    <row r="110" spans="1:40" x14ac:dyDescent="0.25">
      <c r="A110">
        <v>102305</v>
      </c>
      <c r="B110" t="s">
        <v>464</v>
      </c>
      <c r="C110">
        <v>1.1200000000000001</v>
      </c>
      <c r="D110">
        <v>1</v>
      </c>
      <c r="E110">
        <v>1.01</v>
      </c>
      <c r="F110">
        <v>0.94</v>
      </c>
      <c r="G110">
        <v>0.87</v>
      </c>
      <c r="H110">
        <v>1</v>
      </c>
      <c r="I110">
        <v>0.94</v>
      </c>
      <c r="J110">
        <v>0.98</v>
      </c>
      <c r="K110">
        <v>1</v>
      </c>
      <c r="L110">
        <v>0.98</v>
      </c>
      <c r="M110">
        <v>0.93</v>
      </c>
      <c r="N110">
        <v>0.9</v>
      </c>
      <c r="O110">
        <v>0.9</v>
      </c>
      <c r="P110">
        <v>0.97</v>
      </c>
      <c r="Q110">
        <v>1.1399999999999999</v>
      </c>
      <c r="R110">
        <v>0.92</v>
      </c>
      <c r="S110">
        <v>1</v>
      </c>
      <c r="T110">
        <v>0.97</v>
      </c>
      <c r="U110">
        <v>0.86</v>
      </c>
      <c r="V110">
        <v>0.91</v>
      </c>
      <c r="W110">
        <v>0.95</v>
      </c>
      <c r="X110">
        <v>0.92</v>
      </c>
      <c r="Y110">
        <v>0.9</v>
      </c>
      <c r="Z110">
        <v>0.9</v>
      </c>
      <c r="AA110" s="8">
        <v>0.7977817900438483</v>
      </c>
      <c r="AB110" s="8">
        <v>1.014</v>
      </c>
      <c r="AC110" s="8">
        <v>0.95900000000000007</v>
      </c>
      <c r="AE110">
        <v>102507</v>
      </c>
      <c r="AF110" t="s">
        <v>166</v>
      </c>
      <c r="AG110">
        <v>3521</v>
      </c>
      <c r="AH110">
        <v>3749</v>
      </c>
      <c r="AI110">
        <v>93.9</v>
      </c>
      <c r="AK110">
        <v>102305</v>
      </c>
      <c r="AL110" t="s">
        <v>464</v>
      </c>
      <c r="AM110">
        <f t="shared" si="3"/>
        <v>95.9</v>
      </c>
      <c r="AN110">
        <f t="shared" si="4"/>
        <v>0.95900000000000007</v>
      </c>
    </row>
    <row r="111" spans="1:40" x14ac:dyDescent="0.25">
      <c r="A111">
        <v>102306</v>
      </c>
      <c r="B111" t="s">
        <v>514</v>
      </c>
      <c r="C111">
        <v>1.1299999999999999</v>
      </c>
      <c r="D111">
        <v>1</v>
      </c>
      <c r="E111">
        <v>1.02</v>
      </c>
      <c r="F111">
        <v>0.94</v>
      </c>
      <c r="G111">
        <v>0.87</v>
      </c>
      <c r="H111">
        <v>0.99</v>
      </c>
      <c r="I111">
        <v>0.95</v>
      </c>
      <c r="J111">
        <v>1</v>
      </c>
      <c r="K111">
        <v>1</v>
      </c>
      <c r="L111">
        <v>0.98</v>
      </c>
      <c r="M111">
        <v>0.92</v>
      </c>
      <c r="N111">
        <v>0.9</v>
      </c>
      <c r="O111">
        <v>0.88</v>
      </c>
      <c r="P111">
        <v>0.97</v>
      </c>
      <c r="Q111">
        <v>1.1299999999999999</v>
      </c>
      <c r="R111">
        <v>0.93</v>
      </c>
      <c r="S111">
        <v>0.99</v>
      </c>
      <c r="T111">
        <v>0.96</v>
      </c>
      <c r="U111">
        <v>0.84</v>
      </c>
      <c r="V111">
        <v>0.86</v>
      </c>
      <c r="W111">
        <v>0.93</v>
      </c>
      <c r="X111">
        <v>0.91</v>
      </c>
      <c r="Y111">
        <v>0.91</v>
      </c>
      <c r="Z111">
        <v>0.91</v>
      </c>
      <c r="AA111" s="8">
        <v>0.79829059829059834</v>
      </c>
      <c r="AB111" s="8">
        <v>1.026</v>
      </c>
      <c r="AC111" s="8">
        <v>0.95599999999999996</v>
      </c>
      <c r="AE111">
        <v>102411</v>
      </c>
      <c r="AF111" t="s">
        <v>168</v>
      </c>
      <c r="AG111">
        <v>3514</v>
      </c>
      <c r="AH111">
        <v>3699</v>
      </c>
      <c r="AI111">
        <v>95</v>
      </c>
      <c r="AK111">
        <v>102306</v>
      </c>
      <c r="AL111" t="s">
        <v>514</v>
      </c>
      <c r="AM111">
        <f t="shared" si="3"/>
        <v>95.6</v>
      </c>
      <c r="AN111">
        <f t="shared" si="4"/>
        <v>0.95599999999999996</v>
      </c>
    </row>
    <row r="112" spans="1:40" x14ac:dyDescent="0.25">
      <c r="A112">
        <v>102307</v>
      </c>
      <c r="B112" t="s">
        <v>162</v>
      </c>
      <c r="C112">
        <v>1.1299999999999999</v>
      </c>
      <c r="D112">
        <v>1</v>
      </c>
      <c r="E112">
        <v>1.01</v>
      </c>
      <c r="F112">
        <v>0.94</v>
      </c>
      <c r="G112">
        <v>0.86</v>
      </c>
      <c r="H112">
        <v>0.99</v>
      </c>
      <c r="I112">
        <v>0.94</v>
      </c>
      <c r="J112">
        <v>1</v>
      </c>
      <c r="K112">
        <v>1</v>
      </c>
      <c r="L112">
        <v>0.97</v>
      </c>
      <c r="M112">
        <v>0.92</v>
      </c>
      <c r="N112">
        <v>0.9</v>
      </c>
      <c r="O112">
        <v>0.88</v>
      </c>
      <c r="P112">
        <v>0.98</v>
      </c>
      <c r="Q112">
        <v>1.1399999999999999</v>
      </c>
      <c r="R112">
        <v>0.92</v>
      </c>
      <c r="S112">
        <v>0.99</v>
      </c>
      <c r="T112">
        <v>0.97</v>
      </c>
      <c r="U112">
        <v>0.85</v>
      </c>
      <c r="V112">
        <v>0.84</v>
      </c>
      <c r="W112">
        <v>0.91</v>
      </c>
      <c r="X112">
        <v>0.9</v>
      </c>
      <c r="Y112">
        <v>0.89</v>
      </c>
      <c r="Z112">
        <v>0.91</v>
      </c>
      <c r="AA112" s="8">
        <v>0.8666666666666667</v>
      </c>
      <c r="AB112" s="8">
        <v>1.01</v>
      </c>
      <c r="AC112" s="8">
        <v>0.93299999999999994</v>
      </c>
      <c r="AE112">
        <v>102520</v>
      </c>
      <c r="AF112" t="s">
        <v>170</v>
      </c>
      <c r="AG112">
        <v>3683</v>
      </c>
      <c r="AH112">
        <v>3885</v>
      </c>
      <c r="AI112">
        <v>94.8</v>
      </c>
      <c r="AK112">
        <v>102307</v>
      </c>
      <c r="AL112" t="s">
        <v>162</v>
      </c>
      <c r="AM112">
        <f t="shared" si="3"/>
        <v>93.3</v>
      </c>
      <c r="AN112">
        <f t="shared" si="4"/>
        <v>0.93299999999999994</v>
      </c>
    </row>
    <row r="113" spans="1:40" x14ac:dyDescent="0.25">
      <c r="A113">
        <v>102308</v>
      </c>
      <c r="B113" t="s">
        <v>23</v>
      </c>
      <c r="C113">
        <v>1.1200000000000001</v>
      </c>
      <c r="D113">
        <v>1</v>
      </c>
      <c r="E113">
        <v>1.01</v>
      </c>
      <c r="F113">
        <v>0.94</v>
      </c>
      <c r="G113">
        <v>0.87</v>
      </c>
      <c r="H113">
        <v>0.99</v>
      </c>
      <c r="I113">
        <v>0.94</v>
      </c>
      <c r="J113">
        <v>1</v>
      </c>
      <c r="K113">
        <v>1</v>
      </c>
      <c r="L113">
        <v>0.97</v>
      </c>
      <c r="M113">
        <v>0.92</v>
      </c>
      <c r="N113">
        <v>0.9</v>
      </c>
      <c r="O113">
        <v>0.88</v>
      </c>
      <c r="P113">
        <v>0.97</v>
      </c>
      <c r="Q113">
        <v>1.1299999999999999</v>
      </c>
      <c r="R113">
        <v>0.92</v>
      </c>
      <c r="S113">
        <v>1</v>
      </c>
      <c r="T113">
        <v>0.97</v>
      </c>
      <c r="U113">
        <v>0.86</v>
      </c>
      <c r="V113">
        <v>0.85</v>
      </c>
      <c r="W113">
        <v>0.9</v>
      </c>
      <c r="X113">
        <v>0.88</v>
      </c>
      <c r="Y113">
        <v>0.87</v>
      </c>
      <c r="Z113">
        <v>0.97</v>
      </c>
      <c r="AA113" s="8">
        <v>0.87182187452986315</v>
      </c>
      <c r="AB113" s="8">
        <v>1.014</v>
      </c>
      <c r="AC113" s="8">
        <v>0.92900000000000005</v>
      </c>
      <c r="AE113">
        <v>102205</v>
      </c>
      <c r="AF113" t="s">
        <v>203</v>
      </c>
      <c r="AG113">
        <v>3343</v>
      </c>
      <c r="AH113">
        <v>3376</v>
      </c>
      <c r="AI113">
        <v>99</v>
      </c>
      <c r="AK113">
        <v>102308</v>
      </c>
      <c r="AL113" t="s">
        <v>23</v>
      </c>
      <c r="AM113">
        <f t="shared" si="3"/>
        <v>92.9</v>
      </c>
      <c r="AN113">
        <f t="shared" si="4"/>
        <v>0.92900000000000005</v>
      </c>
    </row>
    <row r="114" spans="1:40" x14ac:dyDescent="0.25">
      <c r="A114">
        <v>102309</v>
      </c>
      <c r="B114" t="s">
        <v>163</v>
      </c>
      <c r="C114">
        <v>1.1200000000000001</v>
      </c>
      <c r="D114">
        <v>1</v>
      </c>
      <c r="E114">
        <v>1.01</v>
      </c>
      <c r="F114">
        <v>0.94</v>
      </c>
      <c r="G114">
        <v>0.87</v>
      </c>
      <c r="H114">
        <v>0.99</v>
      </c>
      <c r="I114">
        <v>0.94</v>
      </c>
      <c r="J114">
        <v>0.99</v>
      </c>
      <c r="K114">
        <v>1</v>
      </c>
      <c r="L114">
        <v>0.97</v>
      </c>
      <c r="M114">
        <v>0.92</v>
      </c>
      <c r="N114">
        <v>0.9</v>
      </c>
      <c r="O114">
        <v>0.89</v>
      </c>
      <c r="P114">
        <v>0.98</v>
      </c>
      <c r="Q114">
        <v>1.1399999999999999</v>
      </c>
      <c r="R114">
        <v>0.92</v>
      </c>
      <c r="S114">
        <v>1</v>
      </c>
      <c r="T114">
        <v>0.97</v>
      </c>
      <c r="U114">
        <v>0.86</v>
      </c>
      <c r="V114">
        <v>0.87</v>
      </c>
      <c r="W114">
        <v>0.93</v>
      </c>
      <c r="X114">
        <v>0.9</v>
      </c>
      <c r="Y114">
        <v>0.89</v>
      </c>
      <c r="Z114">
        <v>0.88</v>
      </c>
      <c r="AA114" s="8">
        <v>0.80446360639107284</v>
      </c>
      <c r="AB114" s="8">
        <v>1.018</v>
      </c>
      <c r="AC114" s="8">
        <v>0.94700000000000006</v>
      </c>
      <c r="AE114">
        <v>102014</v>
      </c>
      <c r="AF114" t="s">
        <v>505</v>
      </c>
      <c r="AG114">
        <v>6011</v>
      </c>
      <c r="AH114">
        <v>6369</v>
      </c>
      <c r="AI114">
        <v>94.4</v>
      </c>
      <c r="AK114">
        <v>102309</v>
      </c>
      <c r="AL114" t="s">
        <v>163</v>
      </c>
      <c r="AM114">
        <f t="shared" si="3"/>
        <v>94.7</v>
      </c>
      <c r="AN114">
        <f t="shared" si="4"/>
        <v>0.94700000000000006</v>
      </c>
    </row>
    <row r="115" spans="1:40" x14ac:dyDescent="0.25">
      <c r="A115">
        <v>102310</v>
      </c>
      <c r="B115" t="s">
        <v>515</v>
      </c>
      <c r="C115">
        <v>1.1200000000000001</v>
      </c>
      <c r="D115">
        <v>1</v>
      </c>
      <c r="E115">
        <v>1.01</v>
      </c>
      <c r="F115">
        <v>0.94</v>
      </c>
      <c r="G115">
        <v>0.87</v>
      </c>
      <c r="H115">
        <v>0.99</v>
      </c>
      <c r="I115">
        <v>0.94</v>
      </c>
      <c r="J115">
        <v>0.98</v>
      </c>
      <c r="K115">
        <v>1</v>
      </c>
      <c r="L115">
        <v>0.97</v>
      </c>
      <c r="M115">
        <v>0.93</v>
      </c>
      <c r="N115">
        <v>0.9</v>
      </c>
      <c r="O115">
        <v>0.9</v>
      </c>
      <c r="P115">
        <v>0.98</v>
      </c>
      <c r="Q115">
        <v>1.1399999999999999</v>
      </c>
      <c r="R115">
        <v>0.92</v>
      </c>
      <c r="S115">
        <v>1</v>
      </c>
      <c r="T115">
        <v>0.98</v>
      </c>
      <c r="U115">
        <v>0.86</v>
      </c>
      <c r="V115">
        <v>0.9</v>
      </c>
      <c r="W115">
        <v>0.95</v>
      </c>
      <c r="X115">
        <v>0.94</v>
      </c>
      <c r="Y115">
        <v>0.91</v>
      </c>
      <c r="Z115">
        <v>0.87</v>
      </c>
      <c r="AA115" s="8">
        <v>0.83913813459268005</v>
      </c>
      <c r="AB115" s="8">
        <v>1.056</v>
      </c>
      <c r="AC115" s="8">
        <v>0.99299999999999999</v>
      </c>
      <c r="AE115">
        <v>102403</v>
      </c>
      <c r="AF115" t="s">
        <v>307</v>
      </c>
      <c r="AG115">
        <v>3551</v>
      </c>
      <c r="AH115">
        <v>3720</v>
      </c>
      <c r="AI115">
        <v>95.5</v>
      </c>
      <c r="AK115">
        <v>102310</v>
      </c>
      <c r="AL115" t="s">
        <v>515</v>
      </c>
      <c r="AM115">
        <f t="shared" si="3"/>
        <v>99.3</v>
      </c>
      <c r="AN115">
        <f t="shared" si="4"/>
        <v>0.99299999999999999</v>
      </c>
    </row>
    <row r="116" spans="1:40" x14ac:dyDescent="0.25">
      <c r="A116">
        <v>102311</v>
      </c>
      <c r="B116" t="s">
        <v>363</v>
      </c>
      <c r="C116">
        <v>1.1100000000000001</v>
      </c>
      <c r="D116">
        <v>1</v>
      </c>
      <c r="E116">
        <v>1.01</v>
      </c>
      <c r="F116">
        <v>0.94</v>
      </c>
      <c r="G116">
        <v>0.87</v>
      </c>
      <c r="H116">
        <v>1</v>
      </c>
      <c r="I116">
        <v>0.94</v>
      </c>
      <c r="J116">
        <v>0.98</v>
      </c>
      <c r="K116">
        <v>1</v>
      </c>
      <c r="L116">
        <v>0.97</v>
      </c>
      <c r="M116">
        <v>0.93</v>
      </c>
      <c r="N116">
        <v>0.9</v>
      </c>
      <c r="O116">
        <v>0.9</v>
      </c>
      <c r="P116">
        <v>0.98</v>
      </c>
      <c r="Q116">
        <v>1.1499999999999999</v>
      </c>
      <c r="R116">
        <v>0.92</v>
      </c>
      <c r="S116">
        <v>1.01</v>
      </c>
      <c r="T116">
        <v>0.98</v>
      </c>
      <c r="U116">
        <v>0.86</v>
      </c>
      <c r="V116">
        <v>0.9</v>
      </c>
      <c r="W116">
        <v>0.94</v>
      </c>
      <c r="X116">
        <v>0.93</v>
      </c>
      <c r="Y116">
        <v>0.9</v>
      </c>
      <c r="Z116">
        <v>0.91</v>
      </c>
      <c r="AA116" s="8">
        <v>0.8039413845376453</v>
      </c>
      <c r="AB116" s="8">
        <v>1.0190000000000001</v>
      </c>
      <c r="AC116" s="8">
        <v>0.94700000000000006</v>
      </c>
      <c r="AE116">
        <v>102110</v>
      </c>
      <c r="AF116" t="s">
        <v>448</v>
      </c>
      <c r="AG116">
        <v>3058</v>
      </c>
      <c r="AH116">
        <v>3257</v>
      </c>
      <c r="AI116">
        <v>93.9</v>
      </c>
      <c r="AK116">
        <v>102311</v>
      </c>
      <c r="AL116" t="s">
        <v>363</v>
      </c>
      <c r="AM116">
        <f t="shared" si="3"/>
        <v>94.7</v>
      </c>
      <c r="AN116">
        <f t="shared" si="4"/>
        <v>0.94700000000000006</v>
      </c>
    </row>
    <row r="117" spans="1:40" x14ac:dyDescent="0.25">
      <c r="A117">
        <v>102312</v>
      </c>
      <c r="B117" t="s">
        <v>78</v>
      </c>
      <c r="C117">
        <v>1.1200000000000001</v>
      </c>
      <c r="D117">
        <v>1.01</v>
      </c>
      <c r="E117">
        <v>1.01</v>
      </c>
      <c r="F117">
        <v>0.94</v>
      </c>
      <c r="G117">
        <v>0.87</v>
      </c>
      <c r="H117">
        <v>1</v>
      </c>
      <c r="I117">
        <v>0.94</v>
      </c>
      <c r="J117">
        <v>0.98</v>
      </c>
      <c r="K117">
        <v>1</v>
      </c>
      <c r="L117">
        <v>0.97</v>
      </c>
      <c r="M117">
        <v>0.93</v>
      </c>
      <c r="N117">
        <v>0.9</v>
      </c>
      <c r="O117">
        <v>0.9</v>
      </c>
      <c r="P117">
        <v>0.97</v>
      </c>
      <c r="Q117">
        <v>1.1499999999999999</v>
      </c>
      <c r="R117">
        <v>0.91</v>
      </c>
      <c r="S117">
        <v>1.02</v>
      </c>
      <c r="T117">
        <v>0.99</v>
      </c>
      <c r="U117">
        <v>0.85</v>
      </c>
      <c r="V117">
        <v>0.9</v>
      </c>
      <c r="W117">
        <v>0.94</v>
      </c>
      <c r="X117">
        <v>0.93</v>
      </c>
      <c r="Y117">
        <v>0.9</v>
      </c>
      <c r="Z117">
        <v>0.96</v>
      </c>
      <c r="AA117" s="8">
        <v>0.86018237082066873</v>
      </c>
      <c r="AB117" s="8">
        <v>1.0309999999999999</v>
      </c>
      <c r="AC117" s="8">
        <v>0.95900000000000007</v>
      </c>
      <c r="AE117">
        <v>102638</v>
      </c>
      <c r="AF117" t="s">
        <v>341</v>
      </c>
      <c r="AG117">
        <v>3637</v>
      </c>
      <c r="AH117">
        <v>3722</v>
      </c>
      <c r="AI117">
        <v>97.7</v>
      </c>
      <c r="AK117">
        <v>102312</v>
      </c>
      <c r="AL117" t="s">
        <v>78</v>
      </c>
      <c r="AM117">
        <f t="shared" si="3"/>
        <v>95.9</v>
      </c>
      <c r="AN117">
        <f t="shared" si="4"/>
        <v>0.95900000000000007</v>
      </c>
    </row>
    <row r="118" spans="1:40" x14ac:dyDescent="0.25">
      <c r="A118">
        <v>102313</v>
      </c>
      <c r="B118" t="s">
        <v>108</v>
      </c>
      <c r="C118">
        <v>1.1299999999999999</v>
      </c>
      <c r="D118">
        <v>1.02</v>
      </c>
      <c r="E118">
        <v>1.01</v>
      </c>
      <c r="F118">
        <v>0.94</v>
      </c>
      <c r="G118">
        <v>0.86</v>
      </c>
      <c r="H118">
        <v>1</v>
      </c>
      <c r="I118">
        <v>0.94</v>
      </c>
      <c r="J118">
        <v>0.99</v>
      </c>
      <c r="K118">
        <v>0.98</v>
      </c>
      <c r="L118">
        <v>0.96</v>
      </c>
      <c r="M118">
        <v>0.92</v>
      </c>
      <c r="N118">
        <v>0.88</v>
      </c>
      <c r="O118">
        <v>0.88</v>
      </c>
      <c r="P118">
        <v>0.96</v>
      </c>
      <c r="Q118">
        <v>1.17</v>
      </c>
      <c r="R118">
        <v>0.92</v>
      </c>
      <c r="S118">
        <v>1.03</v>
      </c>
      <c r="T118">
        <v>0.99</v>
      </c>
      <c r="U118">
        <v>0.83</v>
      </c>
      <c r="V118">
        <v>0.89</v>
      </c>
      <c r="W118">
        <v>0.92</v>
      </c>
      <c r="X118">
        <v>0.9</v>
      </c>
      <c r="Y118">
        <v>0.87</v>
      </c>
      <c r="Z118">
        <v>0.93</v>
      </c>
      <c r="AA118" s="8">
        <v>0.81510046681550641</v>
      </c>
      <c r="AB118" s="8">
        <v>1.02</v>
      </c>
      <c r="AC118" s="8">
        <v>0.92500000000000004</v>
      </c>
      <c r="AE118">
        <v>102516</v>
      </c>
      <c r="AF118" t="s">
        <v>126</v>
      </c>
      <c r="AG118">
        <v>4046</v>
      </c>
      <c r="AH118">
        <v>4208</v>
      </c>
      <c r="AI118">
        <v>96.1</v>
      </c>
      <c r="AK118">
        <v>102313</v>
      </c>
      <c r="AL118" t="s">
        <v>108</v>
      </c>
      <c r="AM118">
        <f t="shared" si="3"/>
        <v>92.5</v>
      </c>
      <c r="AN118">
        <f t="shared" si="4"/>
        <v>0.92500000000000004</v>
      </c>
    </row>
    <row r="119" spans="1:40" x14ac:dyDescent="0.25">
      <c r="A119">
        <v>102314</v>
      </c>
      <c r="B119" t="s">
        <v>445</v>
      </c>
      <c r="C119">
        <v>1.1399999999999999</v>
      </c>
      <c r="D119">
        <v>1.02</v>
      </c>
      <c r="E119">
        <v>1.01</v>
      </c>
      <c r="F119">
        <v>0.94</v>
      </c>
      <c r="G119">
        <v>0.86</v>
      </c>
      <c r="H119">
        <v>1.01</v>
      </c>
      <c r="I119">
        <v>0.94</v>
      </c>
      <c r="J119">
        <v>0.99</v>
      </c>
      <c r="K119">
        <v>0.98</v>
      </c>
      <c r="L119">
        <v>0.96</v>
      </c>
      <c r="M119">
        <v>0.91</v>
      </c>
      <c r="N119">
        <v>0.88</v>
      </c>
      <c r="O119">
        <v>0.88</v>
      </c>
      <c r="P119">
        <v>0.96</v>
      </c>
      <c r="Q119">
        <v>1.17</v>
      </c>
      <c r="R119">
        <v>0.92</v>
      </c>
      <c r="S119">
        <v>1.03</v>
      </c>
      <c r="T119">
        <v>0.99</v>
      </c>
      <c r="U119">
        <v>0.84</v>
      </c>
      <c r="V119">
        <v>0.9</v>
      </c>
      <c r="W119">
        <v>0.92</v>
      </c>
      <c r="X119">
        <v>0.91</v>
      </c>
      <c r="Y119">
        <v>0.89</v>
      </c>
      <c r="Z119">
        <v>0.85</v>
      </c>
      <c r="AA119" s="8">
        <v>0.80806882230792054</v>
      </c>
      <c r="AB119" s="8">
        <v>1.0009999999999999</v>
      </c>
      <c r="AC119" s="8">
        <v>0.90900000000000003</v>
      </c>
      <c r="AE119">
        <v>102807</v>
      </c>
      <c r="AF119" t="s">
        <v>211</v>
      </c>
      <c r="AG119">
        <v>4509</v>
      </c>
      <c r="AH119">
        <v>4668</v>
      </c>
      <c r="AI119">
        <v>96.6</v>
      </c>
      <c r="AK119">
        <v>102314</v>
      </c>
      <c r="AL119" t="s">
        <v>445</v>
      </c>
      <c r="AM119">
        <f t="shared" si="3"/>
        <v>90.9</v>
      </c>
      <c r="AN119">
        <f t="shared" si="4"/>
        <v>0.90900000000000003</v>
      </c>
    </row>
    <row r="120" spans="1:40" x14ac:dyDescent="0.25">
      <c r="A120">
        <v>102315</v>
      </c>
      <c r="B120" t="s">
        <v>283</v>
      </c>
      <c r="C120">
        <v>1.1399999999999999</v>
      </c>
      <c r="D120">
        <v>1.01</v>
      </c>
      <c r="E120">
        <v>1.01</v>
      </c>
      <c r="F120">
        <v>0.94</v>
      </c>
      <c r="G120">
        <v>0.86</v>
      </c>
      <c r="H120">
        <v>1.01</v>
      </c>
      <c r="I120">
        <v>0.95</v>
      </c>
      <c r="J120">
        <v>0.98</v>
      </c>
      <c r="K120">
        <v>0.97</v>
      </c>
      <c r="L120">
        <v>0.95</v>
      </c>
      <c r="M120">
        <v>0.91</v>
      </c>
      <c r="N120">
        <v>0.88</v>
      </c>
      <c r="O120">
        <v>0.87</v>
      </c>
      <c r="P120">
        <v>0.96</v>
      </c>
      <c r="Q120">
        <v>1.18</v>
      </c>
      <c r="R120">
        <v>0.91</v>
      </c>
      <c r="S120">
        <v>1.02</v>
      </c>
      <c r="T120">
        <v>0.99</v>
      </c>
      <c r="U120">
        <v>0.84</v>
      </c>
      <c r="V120">
        <v>0.9</v>
      </c>
      <c r="W120">
        <v>0.95</v>
      </c>
      <c r="X120">
        <v>0.94</v>
      </c>
      <c r="Y120">
        <v>0.92</v>
      </c>
      <c r="Z120">
        <v>0.92</v>
      </c>
      <c r="AA120" s="8">
        <v>0.82425930615345655</v>
      </c>
      <c r="AB120" s="8">
        <v>1.0290000000000001</v>
      </c>
      <c r="AC120" s="8">
        <v>0.93799999999999994</v>
      </c>
      <c r="AE120">
        <v>102113</v>
      </c>
      <c r="AF120" t="s">
        <v>34</v>
      </c>
      <c r="AG120">
        <v>2958</v>
      </c>
      <c r="AH120">
        <v>3158</v>
      </c>
      <c r="AI120">
        <v>93.6</v>
      </c>
      <c r="AK120">
        <v>102315</v>
      </c>
      <c r="AL120" t="s">
        <v>283</v>
      </c>
      <c r="AM120">
        <f t="shared" si="3"/>
        <v>93.8</v>
      </c>
      <c r="AN120">
        <f t="shared" si="4"/>
        <v>0.93799999999999994</v>
      </c>
    </row>
    <row r="121" spans="1:40" x14ac:dyDescent="0.25">
      <c r="A121">
        <v>102316</v>
      </c>
      <c r="B121" t="s">
        <v>516</v>
      </c>
      <c r="C121">
        <v>1.1200000000000001</v>
      </c>
      <c r="D121">
        <v>1.01</v>
      </c>
      <c r="E121">
        <v>1.01</v>
      </c>
      <c r="F121">
        <v>0.94</v>
      </c>
      <c r="G121">
        <v>0.87</v>
      </c>
      <c r="H121">
        <v>1</v>
      </c>
      <c r="I121">
        <v>0.93</v>
      </c>
      <c r="J121">
        <v>0.98</v>
      </c>
      <c r="K121">
        <v>0.99</v>
      </c>
      <c r="L121">
        <v>0.97</v>
      </c>
      <c r="M121">
        <v>0.93</v>
      </c>
      <c r="N121">
        <v>0.89</v>
      </c>
      <c r="O121">
        <v>0.89</v>
      </c>
      <c r="P121">
        <v>0.96</v>
      </c>
      <c r="Q121">
        <v>1.1399999999999999</v>
      </c>
      <c r="R121">
        <v>0.9</v>
      </c>
      <c r="S121">
        <v>1.02</v>
      </c>
      <c r="T121">
        <v>0.99</v>
      </c>
      <c r="U121">
        <v>0.85</v>
      </c>
      <c r="V121">
        <v>0.91</v>
      </c>
      <c r="W121">
        <v>0.94</v>
      </c>
      <c r="X121">
        <v>0.92</v>
      </c>
      <c r="Y121">
        <v>0.89</v>
      </c>
      <c r="Z121">
        <v>0.91</v>
      </c>
      <c r="AA121" s="8">
        <v>0.79862350242161606</v>
      </c>
      <c r="AB121" s="8">
        <v>1.0190000000000001</v>
      </c>
      <c r="AC121" s="8">
        <v>0.94400000000000006</v>
      </c>
      <c r="AE121">
        <v>102508</v>
      </c>
      <c r="AF121" t="s">
        <v>172</v>
      </c>
      <c r="AG121">
        <v>3626</v>
      </c>
      <c r="AH121">
        <v>3661</v>
      </c>
      <c r="AI121">
        <v>99.1</v>
      </c>
      <c r="AK121">
        <v>102316</v>
      </c>
      <c r="AL121" t="s">
        <v>516</v>
      </c>
      <c r="AM121">
        <f t="shared" si="3"/>
        <v>94.4</v>
      </c>
      <c r="AN121">
        <f t="shared" si="4"/>
        <v>0.94400000000000006</v>
      </c>
    </row>
    <row r="122" spans="1:40" x14ac:dyDescent="0.25">
      <c r="A122">
        <v>102317</v>
      </c>
      <c r="B122" t="s">
        <v>443</v>
      </c>
      <c r="C122">
        <v>1.1100000000000001</v>
      </c>
      <c r="D122">
        <v>1</v>
      </c>
      <c r="E122">
        <v>1.01</v>
      </c>
      <c r="F122">
        <v>0.94</v>
      </c>
      <c r="G122">
        <v>0.87</v>
      </c>
      <c r="H122">
        <v>1.01</v>
      </c>
      <c r="I122">
        <v>0.94</v>
      </c>
      <c r="J122">
        <v>0.98</v>
      </c>
      <c r="K122">
        <v>0.99</v>
      </c>
      <c r="L122">
        <v>0.96</v>
      </c>
      <c r="M122">
        <v>0.93</v>
      </c>
      <c r="N122">
        <v>0.9</v>
      </c>
      <c r="O122">
        <v>0.89</v>
      </c>
      <c r="P122">
        <v>0.96</v>
      </c>
      <c r="Q122">
        <v>1.1499999999999999</v>
      </c>
      <c r="R122">
        <v>0.9</v>
      </c>
      <c r="S122">
        <v>1.02</v>
      </c>
      <c r="T122">
        <v>0.98</v>
      </c>
      <c r="U122">
        <v>0.85</v>
      </c>
      <c r="V122">
        <v>0.9</v>
      </c>
      <c r="W122">
        <v>0.95</v>
      </c>
      <c r="X122">
        <v>0.94</v>
      </c>
      <c r="Y122">
        <v>0.91</v>
      </c>
      <c r="Z122">
        <v>0.89</v>
      </c>
      <c r="AA122" s="8">
        <v>0.82927562368500152</v>
      </c>
      <c r="AB122" s="8">
        <v>1.016</v>
      </c>
      <c r="AC122" s="8">
        <v>0.95200000000000007</v>
      </c>
      <c r="AE122">
        <v>102513</v>
      </c>
      <c r="AF122" t="s">
        <v>456</v>
      </c>
      <c r="AG122">
        <v>3501</v>
      </c>
      <c r="AH122">
        <v>3719</v>
      </c>
      <c r="AI122">
        <v>94.1</v>
      </c>
      <c r="AK122">
        <v>102317</v>
      </c>
      <c r="AL122" t="s">
        <v>443</v>
      </c>
      <c r="AM122">
        <f t="shared" si="3"/>
        <v>95.2</v>
      </c>
      <c r="AN122">
        <f t="shared" si="4"/>
        <v>0.95200000000000007</v>
      </c>
    </row>
    <row r="123" spans="1:40" x14ac:dyDescent="0.25">
      <c r="A123">
        <v>102318</v>
      </c>
      <c r="B123" t="s">
        <v>355</v>
      </c>
      <c r="C123">
        <v>1.1100000000000001</v>
      </c>
      <c r="D123">
        <v>1</v>
      </c>
      <c r="E123">
        <v>1.01</v>
      </c>
      <c r="F123">
        <v>0.94</v>
      </c>
      <c r="G123">
        <v>0.87</v>
      </c>
      <c r="H123">
        <v>1</v>
      </c>
      <c r="I123">
        <v>0.94</v>
      </c>
      <c r="J123">
        <v>0.98</v>
      </c>
      <c r="K123">
        <v>1</v>
      </c>
      <c r="L123">
        <v>0.96</v>
      </c>
      <c r="M123">
        <v>0.93</v>
      </c>
      <c r="N123">
        <v>0.9</v>
      </c>
      <c r="O123">
        <v>0.9</v>
      </c>
      <c r="P123">
        <v>0.97</v>
      </c>
      <c r="Q123">
        <v>1.1399999999999999</v>
      </c>
      <c r="R123">
        <v>0.91</v>
      </c>
      <c r="S123">
        <v>1.01</v>
      </c>
      <c r="T123">
        <v>0.99</v>
      </c>
      <c r="U123">
        <v>0.85</v>
      </c>
      <c r="V123">
        <v>0.9</v>
      </c>
      <c r="W123">
        <v>0.93</v>
      </c>
      <c r="X123">
        <v>0.9</v>
      </c>
      <c r="Y123">
        <v>0.88</v>
      </c>
      <c r="Z123">
        <v>0.9</v>
      </c>
      <c r="AA123" s="8">
        <v>0.78081143148762444</v>
      </c>
      <c r="AB123" s="8">
        <v>1.0029999999999999</v>
      </c>
      <c r="AC123" s="8">
        <v>0.93500000000000005</v>
      </c>
      <c r="AE123">
        <v>102315</v>
      </c>
      <c r="AF123" t="s">
        <v>283</v>
      </c>
      <c r="AG123">
        <v>3006</v>
      </c>
      <c r="AH123">
        <v>3206</v>
      </c>
      <c r="AI123">
        <v>93.8</v>
      </c>
      <c r="AK123">
        <v>102318</v>
      </c>
      <c r="AL123" t="s">
        <v>355</v>
      </c>
      <c r="AM123">
        <f t="shared" si="3"/>
        <v>93.5</v>
      </c>
      <c r="AN123">
        <f t="shared" si="4"/>
        <v>0.93500000000000005</v>
      </c>
    </row>
    <row r="124" spans="1:40" x14ac:dyDescent="0.25">
      <c r="A124">
        <v>102319</v>
      </c>
      <c r="B124" t="s">
        <v>328</v>
      </c>
      <c r="C124">
        <v>1.1100000000000001</v>
      </c>
      <c r="D124">
        <v>0.99</v>
      </c>
      <c r="E124">
        <v>1.01</v>
      </c>
      <c r="F124">
        <v>0.94</v>
      </c>
      <c r="G124">
        <v>0.88</v>
      </c>
      <c r="H124">
        <v>1</v>
      </c>
      <c r="I124">
        <v>0.94</v>
      </c>
      <c r="J124">
        <v>0.98</v>
      </c>
      <c r="K124">
        <v>0.99</v>
      </c>
      <c r="L124">
        <v>0.96</v>
      </c>
      <c r="M124">
        <v>0.93</v>
      </c>
      <c r="N124">
        <v>0.91</v>
      </c>
      <c r="O124">
        <v>0.9</v>
      </c>
      <c r="P124">
        <v>0.97</v>
      </c>
      <c r="Q124">
        <v>1.1399999999999999</v>
      </c>
      <c r="R124">
        <v>0.91</v>
      </c>
      <c r="S124">
        <v>1.01</v>
      </c>
      <c r="T124">
        <v>0.98</v>
      </c>
      <c r="U124">
        <v>0.86</v>
      </c>
      <c r="V124">
        <v>0.9</v>
      </c>
      <c r="W124">
        <v>0.94</v>
      </c>
      <c r="X124">
        <v>0.92</v>
      </c>
      <c r="Y124">
        <v>0.89</v>
      </c>
      <c r="Z124">
        <v>0.89</v>
      </c>
      <c r="AA124" s="8">
        <v>0.81802376122862941</v>
      </c>
      <c r="AB124" s="8">
        <v>1.002</v>
      </c>
      <c r="AC124" s="8">
        <v>0.93799999999999994</v>
      </c>
      <c r="AE124">
        <v>102235</v>
      </c>
      <c r="AF124" t="s">
        <v>1222</v>
      </c>
      <c r="AG124">
        <v>2937</v>
      </c>
      <c r="AH124">
        <v>3115</v>
      </c>
      <c r="AI124">
        <v>94.3</v>
      </c>
      <c r="AK124">
        <v>102319</v>
      </c>
      <c r="AL124" t="s">
        <v>328</v>
      </c>
      <c r="AM124">
        <f t="shared" si="3"/>
        <v>93.8</v>
      </c>
      <c r="AN124">
        <f t="shared" si="4"/>
        <v>0.93799999999999994</v>
      </c>
    </row>
    <row r="125" spans="1:40" x14ac:dyDescent="0.25">
      <c r="A125">
        <v>102320</v>
      </c>
      <c r="B125" t="s">
        <v>160</v>
      </c>
      <c r="C125">
        <v>1.1100000000000001</v>
      </c>
      <c r="D125">
        <v>0.99</v>
      </c>
      <c r="E125">
        <v>1.01</v>
      </c>
      <c r="F125">
        <v>0.94</v>
      </c>
      <c r="G125">
        <v>0.88</v>
      </c>
      <c r="H125">
        <v>1.01</v>
      </c>
      <c r="I125">
        <v>0.95</v>
      </c>
      <c r="J125">
        <v>0.99</v>
      </c>
      <c r="K125">
        <v>0.99</v>
      </c>
      <c r="L125">
        <v>0.96</v>
      </c>
      <c r="M125">
        <v>0.93</v>
      </c>
      <c r="N125">
        <v>0.91</v>
      </c>
      <c r="O125">
        <v>0.9</v>
      </c>
      <c r="P125">
        <v>0.97</v>
      </c>
      <c r="Q125">
        <v>1.1499999999999999</v>
      </c>
      <c r="R125">
        <v>0.91</v>
      </c>
      <c r="S125">
        <v>1.01</v>
      </c>
      <c r="T125">
        <v>0.98</v>
      </c>
      <c r="U125">
        <v>0.85</v>
      </c>
      <c r="V125">
        <v>0.87</v>
      </c>
      <c r="W125">
        <v>0.92</v>
      </c>
      <c r="X125">
        <v>0.91</v>
      </c>
      <c r="Y125">
        <v>0.89</v>
      </c>
      <c r="Z125">
        <v>0.97</v>
      </c>
      <c r="AA125" s="8">
        <v>0.87262124002455499</v>
      </c>
      <c r="AB125" s="8">
        <v>1.038</v>
      </c>
      <c r="AC125" s="8">
        <v>0.96700000000000008</v>
      </c>
      <c r="AE125">
        <v>102633</v>
      </c>
      <c r="AF125" t="s">
        <v>209</v>
      </c>
      <c r="AG125">
        <v>3449</v>
      </c>
      <c r="AH125">
        <v>3680</v>
      </c>
      <c r="AI125">
        <v>93.7</v>
      </c>
      <c r="AK125">
        <v>102320</v>
      </c>
      <c r="AL125" t="s">
        <v>160</v>
      </c>
      <c r="AM125">
        <f t="shared" si="3"/>
        <v>96.7</v>
      </c>
      <c r="AN125">
        <f t="shared" si="4"/>
        <v>0.96700000000000008</v>
      </c>
    </row>
    <row r="126" spans="1:40" x14ac:dyDescent="0.25">
      <c r="A126">
        <v>102321</v>
      </c>
      <c r="B126" t="s">
        <v>223</v>
      </c>
      <c r="C126">
        <v>1.1100000000000001</v>
      </c>
      <c r="D126">
        <v>0.99</v>
      </c>
      <c r="E126">
        <v>1.02</v>
      </c>
      <c r="F126">
        <v>0.94</v>
      </c>
      <c r="G126">
        <v>0.88</v>
      </c>
      <c r="H126">
        <v>1</v>
      </c>
      <c r="I126">
        <v>0.95</v>
      </c>
      <c r="J126">
        <v>0.98</v>
      </c>
      <c r="K126">
        <v>1</v>
      </c>
      <c r="L126">
        <v>0.96</v>
      </c>
      <c r="M126">
        <v>0.93</v>
      </c>
      <c r="N126">
        <v>0.91</v>
      </c>
      <c r="O126">
        <v>0.91</v>
      </c>
      <c r="P126">
        <v>0.98</v>
      </c>
      <c r="Q126">
        <v>1.1399999999999999</v>
      </c>
      <c r="R126">
        <v>0.92</v>
      </c>
      <c r="S126">
        <v>1.01</v>
      </c>
      <c r="T126">
        <v>0.98</v>
      </c>
      <c r="U126">
        <v>0.87</v>
      </c>
      <c r="V126">
        <v>0.9</v>
      </c>
      <c r="W126">
        <v>0.93</v>
      </c>
      <c r="X126">
        <v>0.92</v>
      </c>
      <c r="Y126">
        <v>0.89</v>
      </c>
      <c r="Z126">
        <v>0.86</v>
      </c>
      <c r="AA126" s="8">
        <v>0.82071586949635733</v>
      </c>
      <c r="AB126" s="8">
        <v>1.0129999999999999</v>
      </c>
      <c r="AC126" s="8">
        <v>0.95499999999999996</v>
      </c>
      <c r="AE126">
        <v>102202</v>
      </c>
      <c r="AF126" t="s">
        <v>173</v>
      </c>
      <c r="AG126">
        <v>3059</v>
      </c>
      <c r="AH126">
        <v>3280</v>
      </c>
      <c r="AI126">
        <v>93.3</v>
      </c>
      <c r="AK126">
        <v>102321</v>
      </c>
      <c r="AL126" t="s">
        <v>223</v>
      </c>
      <c r="AM126">
        <f t="shared" si="3"/>
        <v>95.5</v>
      </c>
      <c r="AN126">
        <f t="shared" si="4"/>
        <v>0.95499999999999996</v>
      </c>
    </row>
    <row r="127" spans="1:40" x14ac:dyDescent="0.25">
      <c r="A127">
        <v>102322</v>
      </c>
      <c r="B127" t="s">
        <v>91</v>
      </c>
      <c r="C127">
        <v>1.1100000000000001</v>
      </c>
      <c r="D127">
        <v>0.99</v>
      </c>
      <c r="E127">
        <v>1.02</v>
      </c>
      <c r="F127">
        <v>0.94</v>
      </c>
      <c r="G127">
        <v>0.88</v>
      </c>
      <c r="H127">
        <v>1</v>
      </c>
      <c r="I127">
        <v>0.94</v>
      </c>
      <c r="J127">
        <v>0.98</v>
      </c>
      <c r="K127">
        <v>1</v>
      </c>
      <c r="L127">
        <v>0.96</v>
      </c>
      <c r="M127">
        <v>0.93</v>
      </c>
      <c r="N127">
        <v>0.91</v>
      </c>
      <c r="O127">
        <v>0.91</v>
      </c>
      <c r="P127">
        <v>0.98</v>
      </c>
      <c r="Q127">
        <v>1.1399999999999999</v>
      </c>
      <c r="R127">
        <v>0.91</v>
      </c>
      <c r="S127">
        <v>1.01</v>
      </c>
      <c r="T127">
        <v>0.98</v>
      </c>
      <c r="U127">
        <v>0.87</v>
      </c>
      <c r="V127">
        <v>0.89</v>
      </c>
      <c r="W127">
        <v>0.94</v>
      </c>
      <c r="X127">
        <v>0.93</v>
      </c>
      <c r="Y127">
        <v>0.91</v>
      </c>
      <c r="Z127">
        <v>0.92</v>
      </c>
      <c r="AA127" s="8">
        <v>0.79705359410718823</v>
      </c>
      <c r="AB127" s="8">
        <v>1.006</v>
      </c>
      <c r="AC127" s="8">
        <v>0.94499999999999995</v>
      </c>
      <c r="AE127">
        <v>102007</v>
      </c>
      <c r="AF127" t="s">
        <v>457</v>
      </c>
      <c r="AG127">
        <v>5986</v>
      </c>
      <c r="AH127">
        <v>6161</v>
      </c>
      <c r="AI127">
        <v>97.1</v>
      </c>
      <c r="AK127">
        <v>102322</v>
      </c>
      <c r="AL127" t="s">
        <v>91</v>
      </c>
      <c r="AM127">
        <f t="shared" si="3"/>
        <v>94.5</v>
      </c>
      <c r="AN127">
        <f t="shared" si="4"/>
        <v>0.94499999999999995</v>
      </c>
    </row>
    <row r="128" spans="1:40" x14ac:dyDescent="0.25">
      <c r="A128">
        <v>102323</v>
      </c>
      <c r="B128" t="s">
        <v>348</v>
      </c>
      <c r="C128">
        <v>1.1100000000000001</v>
      </c>
      <c r="D128">
        <v>0.99</v>
      </c>
      <c r="E128">
        <v>1.02</v>
      </c>
      <c r="F128">
        <v>0.93</v>
      </c>
      <c r="G128">
        <v>0.87</v>
      </c>
      <c r="H128">
        <v>1</v>
      </c>
      <c r="I128">
        <v>0.94</v>
      </c>
      <c r="J128">
        <v>0.98</v>
      </c>
      <c r="K128">
        <v>1</v>
      </c>
      <c r="L128">
        <v>0.96</v>
      </c>
      <c r="M128">
        <v>0.93</v>
      </c>
      <c r="N128">
        <v>0.91</v>
      </c>
      <c r="O128">
        <v>0.9</v>
      </c>
      <c r="P128">
        <v>0.98</v>
      </c>
      <c r="Q128">
        <v>1.1399999999999999</v>
      </c>
      <c r="R128">
        <v>0.91</v>
      </c>
      <c r="S128">
        <v>1.01</v>
      </c>
      <c r="T128">
        <v>0.98</v>
      </c>
      <c r="U128">
        <v>0.86</v>
      </c>
      <c r="V128">
        <v>0.89</v>
      </c>
      <c r="W128">
        <v>0.94</v>
      </c>
      <c r="X128">
        <v>0.93</v>
      </c>
      <c r="Y128">
        <v>0.9</v>
      </c>
      <c r="Z128">
        <v>0.86</v>
      </c>
      <c r="AA128" s="8">
        <v>0.82542975696502663</v>
      </c>
      <c r="AB128" s="8">
        <v>1.012</v>
      </c>
      <c r="AC128" s="8">
        <v>0.95299999999999996</v>
      </c>
      <c r="AE128">
        <v>102124</v>
      </c>
      <c r="AF128" t="s">
        <v>458</v>
      </c>
      <c r="AG128">
        <v>2784</v>
      </c>
      <c r="AH128">
        <v>3017</v>
      </c>
      <c r="AI128">
        <v>92.3</v>
      </c>
      <c r="AK128">
        <v>102323</v>
      </c>
      <c r="AL128" t="s">
        <v>348</v>
      </c>
      <c r="AM128">
        <f t="shared" si="3"/>
        <v>95.3</v>
      </c>
      <c r="AN128">
        <f t="shared" si="4"/>
        <v>0.95299999999999996</v>
      </c>
    </row>
    <row r="129" spans="1:40" x14ac:dyDescent="0.25">
      <c r="A129">
        <v>102324</v>
      </c>
      <c r="B129" t="s">
        <v>77</v>
      </c>
      <c r="C129">
        <v>1.1100000000000001</v>
      </c>
      <c r="D129">
        <v>0.99</v>
      </c>
      <c r="E129">
        <v>1.01</v>
      </c>
      <c r="F129">
        <v>0.94</v>
      </c>
      <c r="G129">
        <v>0.88</v>
      </c>
      <c r="H129">
        <v>0.99</v>
      </c>
      <c r="I129">
        <v>0.94</v>
      </c>
      <c r="J129">
        <v>0.98</v>
      </c>
      <c r="K129">
        <v>1</v>
      </c>
      <c r="L129">
        <v>0.97</v>
      </c>
      <c r="M129">
        <v>0.93</v>
      </c>
      <c r="N129">
        <v>0.91</v>
      </c>
      <c r="O129">
        <v>0.91</v>
      </c>
      <c r="P129">
        <v>0.98</v>
      </c>
      <c r="Q129">
        <v>1.1299999999999999</v>
      </c>
      <c r="R129">
        <v>0.91</v>
      </c>
      <c r="S129">
        <v>1.01</v>
      </c>
      <c r="T129">
        <v>0.98</v>
      </c>
      <c r="U129">
        <v>0.86</v>
      </c>
      <c r="V129">
        <v>0.89</v>
      </c>
      <c r="W129">
        <v>0.92</v>
      </c>
      <c r="X129">
        <v>0.89</v>
      </c>
      <c r="Y129">
        <v>0.87</v>
      </c>
      <c r="Z129">
        <v>0.85</v>
      </c>
      <c r="AA129" s="8">
        <v>0.80854430379746833</v>
      </c>
      <c r="AB129" s="8">
        <v>1.012</v>
      </c>
      <c r="AC129" s="8">
        <v>0.96</v>
      </c>
      <c r="AE129">
        <v>102602</v>
      </c>
      <c r="AF129" t="s">
        <v>174</v>
      </c>
      <c r="AG129">
        <v>3534</v>
      </c>
      <c r="AH129">
        <v>3688</v>
      </c>
      <c r="AI129">
        <v>95.8</v>
      </c>
      <c r="AK129">
        <v>102324</v>
      </c>
      <c r="AL129" t="s">
        <v>77</v>
      </c>
      <c r="AM129">
        <f t="shared" si="3"/>
        <v>96</v>
      </c>
      <c r="AN129">
        <f t="shared" si="4"/>
        <v>0.96</v>
      </c>
    </row>
    <row r="130" spans="1:40" x14ac:dyDescent="0.25">
      <c r="A130">
        <v>102325</v>
      </c>
      <c r="B130" t="s">
        <v>227</v>
      </c>
      <c r="C130">
        <v>1.1200000000000001</v>
      </c>
      <c r="D130">
        <v>0.99</v>
      </c>
      <c r="E130">
        <v>1.01</v>
      </c>
      <c r="F130">
        <v>0.93</v>
      </c>
      <c r="G130">
        <v>0.87</v>
      </c>
      <c r="H130">
        <v>0.99</v>
      </c>
      <c r="I130">
        <v>0.94</v>
      </c>
      <c r="J130">
        <v>0.99</v>
      </c>
      <c r="K130">
        <v>1</v>
      </c>
      <c r="L130">
        <v>0.97</v>
      </c>
      <c r="M130">
        <v>0.93</v>
      </c>
      <c r="N130">
        <v>0.9</v>
      </c>
      <c r="O130">
        <v>0.88</v>
      </c>
      <c r="P130">
        <v>0.97</v>
      </c>
      <c r="Q130">
        <v>1.1399999999999999</v>
      </c>
      <c r="R130">
        <v>0.91</v>
      </c>
      <c r="S130">
        <v>1</v>
      </c>
      <c r="T130">
        <v>0.98</v>
      </c>
      <c r="U130">
        <v>0.87</v>
      </c>
      <c r="V130">
        <v>0.87</v>
      </c>
      <c r="W130">
        <v>0.93</v>
      </c>
      <c r="X130">
        <v>0.92</v>
      </c>
      <c r="Y130">
        <v>0.91</v>
      </c>
      <c r="Z130">
        <v>0.9</v>
      </c>
      <c r="AA130" s="8">
        <v>0.80150753768844218</v>
      </c>
      <c r="AB130" s="8">
        <v>1.0049999999999999</v>
      </c>
      <c r="AC130" s="8">
        <v>0.93</v>
      </c>
      <c r="AE130">
        <v>102301</v>
      </c>
      <c r="AF130" t="s">
        <v>459</v>
      </c>
      <c r="AG130">
        <v>3020</v>
      </c>
      <c r="AH130">
        <v>3217</v>
      </c>
      <c r="AI130">
        <v>93.9</v>
      </c>
      <c r="AK130">
        <v>102325</v>
      </c>
      <c r="AL130" t="s">
        <v>227</v>
      </c>
      <c r="AM130">
        <f t="shared" si="3"/>
        <v>93</v>
      </c>
      <c r="AN130">
        <f t="shared" si="4"/>
        <v>0.93</v>
      </c>
    </row>
    <row r="131" spans="1:40" x14ac:dyDescent="0.25">
      <c r="A131">
        <v>102326</v>
      </c>
      <c r="B131" t="s">
        <v>215</v>
      </c>
      <c r="C131">
        <v>1.1200000000000001</v>
      </c>
      <c r="D131">
        <v>0.99</v>
      </c>
      <c r="E131">
        <v>1.01</v>
      </c>
      <c r="F131">
        <v>0.93</v>
      </c>
      <c r="G131">
        <v>0.87</v>
      </c>
      <c r="H131">
        <v>1</v>
      </c>
      <c r="I131">
        <v>0.94</v>
      </c>
      <c r="J131">
        <v>0.99</v>
      </c>
      <c r="K131">
        <v>1</v>
      </c>
      <c r="L131">
        <v>0.97</v>
      </c>
      <c r="M131">
        <v>0.94</v>
      </c>
      <c r="N131">
        <v>0.9</v>
      </c>
      <c r="O131">
        <v>0.9</v>
      </c>
      <c r="P131">
        <v>0.99</v>
      </c>
      <c r="Q131">
        <v>1.1499999999999999</v>
      </c>
      <c r="R131">
        <v>0.91</v>
      </c>
      <c r="S131">
        <v>1.01</v>
      </c>
      <c r="T131">
        <v>0.99</v>
      </c>
      <c r="U131">
        <v>0.87</v>
      </c>
      <c r="V131">
        <v>0.89</v>
      </c>
      <c r="W131">
        <v>0.93</v>
      </c>
      <c r="X131">
        <v>0.91</v>
      </c>
      <c r="Y131">
        <v>0.9</v>
      </c>
      <c r="Z131">
        <v>0.91</v>
      </c>
      <c r="AA131" s="8">
        <v>0.80130620447123835</v>
      </c>
      <c r="AB131" s="8">
        <v>1.018</v>
      </c>
      <c r="AC131" s="8">
        <v>0.94200000000000006</v>
      </c>
      <c r="AE131">
        <v>102108</v>
      </c>
      <c r="AF131" t="s">
        <v>176</v>
      </c>
      <c r="AG131">
        <v>2747</v>
      </c>
      <c r="AH131">
        <v>2895</v>
      </c>
      <c r="AI131">
        <v>94.9</v>
      </c>
      <c r="AK131">
        <v>102326</v>
      </c>
      <c r="AL131" t="s">
        <v>215</v>
      </c>
      <c r="AM131">
        <f t="shared" ref="AM131:AM194" si="6">_xlfn.XLOOKUP(AK131,$AE$5:$AE$314,$AI$5:$AI$314)</f>
        <v>94.2</v>
      </c>
      <c r="AN131">
        <f t="shared" si="4"/>
        <v>0.94200000000000006</v>
      </c>
    </row>
    <row r="132" spans="1:40" x14ac:dyDescent="0.25">
      <c r="A132">
        <v>102327</v>
      </c>
      <c r="B132" t="s">
        <v>350</v>
      </c>
      <c r="C132">
        <v>1.1200000000000001</v>
      </c>
      <c r="D132">
        <v>0.99</v>
      </c>
      <c r="E132">
        <v>1.02</v>
      </c>
      <c r="F132">
        <v>0.93</v>
      </c>
      <c r="G132">
        <v>0.87</v>
      </c>
      <c r="H132">
        <v>1</v>
      </c>
      <c r="I132">
        <v>0.95</v>
      </c>
      <c r="J132">
        <v>0.99</v>
      </c>
      <c r="K132">
        <v>1</v>
      </c>
      <c r="L132">
        <v>0.97</v>
      </c>
      <c r="M132">
        <v>0.94</v>
      </c>
      <c r="N132">
        <v>0.91</v>
      </c>
      <c r="O132">
        <v>0.9</v>
      </c>
      <c r="P132">
        <v>0.99</v>
      </c>
      <c r="Q132">
        <v>1.1499999999999999</v>
      </c>
      <c r="R132">
        <v>0.91</v>
      </c>
      <c r="S132">
        <v>1.01</v>
      </c>
      <c r="T132">
        <v>0.99</v>
      </c>
      <c r="U132">
        <v>0.88</v>
      </c>
      <c r="V132">
        <v>0.89</v>
      </c>
      <c r="W132">
        <v>0.94</v>
      </c>
      <c r="X132">
        <v>0.92</v>
      </c>
      <c r="Y132">
        <v>0.91</v>
      </c>
      <c r="Z132">
        <v>0.95</v>
      </c>
      <c r="AA132" s="8">
        <v>0.84581005586592184</v>
      </c>
      <c r="AB132" s="8">
        <v>1.05</v>
      </c>
      <c r="AC132" s="8">
        <v>0.97400000000000009</v>
      </c>
      <c r="AE132">
        <v>102511</v>
      </c>
      <c r="AF132" t="s">
        <v>184</v>
      </c>
      <c r="AG132">
        <v>3576</v>
      </c>
      <c r="AH132">
        <v>3800</v>
      </c>
      <c r="AI132">
        <v>94.1</v>
      </c>
      <c r="AK132">
        <v>102327</v>
      </c>
      <c r="AL132" t="s">
        <v>350</v>
      </c>
      <c r="AM132">
        <f t="shared" si="6"/>
        <v>97.4</v>
      </c>
      <c r="AN132">
        <f t="shared" ref="AN132:AN195" si="7">AM132/100</f>
        <v>0.97400000000000009</v>
      </c>
    </row>
    <row r="133" spans="1:40" x14ac:dyDescent="0.25">
      <c r="A133">
        <v>102328</v>
      </c>
      <c r="B133" t="s">
        <v>316</v>
      </c>
      <c r="C133">
        <v>1.1200000000000001</v>
      </c>
      <c r="D133">
        <v>0.99</v>
      </c>
      <c r="E133">
        <v>1.03</v>
      </c>
      <c r="F133">
        <v>0.94</v>
      </c>
      <c r="G133">
        <v>0.87</v>
      </c>
      <c r="H133">
        <v>1.01</v>
      </c>
      <c r="I133">
        <v>0.95</v>
      </c>
      <c r="J133">
        <v>0.99</v>
      </c>
      <c r="K133">
        <v>1</v>
      </c>
      <c r="L133">
        <v>0.96</v>
      </c>
      <c r="M133">
        <v>0.93</v>
      </c>
      <c r="N133">
        <v>0.91</v>
      </c>
      <c r="O133">
        <v>0.9</v>
      </c>
      <c r="P133">
        <v>0.98</v>
      </c>
      <c r="Q133">
        <v>1.1599999999999999</v>
      </c>
      <c r="R133">
        <v>0.91</v>
      </c>
      <c r="S133">
        <v>1.01</v>
      </c>
      <c r="T133">
        <v>0.99</v>
      </c>
      <c r="U133">
        <v>0.88</v>
      </c>
      <c r="V133">
        <v>0.9</v>
      </c>
      <c r="W133">
        <v>0.94</v>
      </c>
      <c r="X133">
        <v>0.93</v>
      </c>
      <c r="Y133">
        <v>0.92</v>
      </c>
      <c r="Z133">
        <v>0.92</v>
      </c>
      <c r="AA133" s="8">
        <v>0.86194029850746268</v>
      </c>
      <c r="AB133" s="8">
        <v>1.05</v>
      </c>
      <c r="AC133" s="8">
        <v>0.97799999999999998</v>
      </c>
      <c r="AE133">
        <v>102706</v>
      </c>
      <c r="AF133" t="s">
        <v>38</v>
      </c>
      <c r="AG133">
        <v>4204</v>
      </c>
      <c r="AH133">
        <v>4278</v>
      </c>
      <c r="AI133">
        <v>98.2</v>
      </c>
      <c r="AK133">
        <v>102328</v>
      </c>
      <c r="AL133" t="s">
        <v>316</v>
      </c>
      <c r="AM133">
        <f t="shared" si="6"/>
        <v>97.8</v>
      </c>
      <c r="AN133">
        <f t="shared" si="7"/>
        <v>0.97799999999999998</v>
      </c>
    </row>
    <row r="134" spans="1:40" x14ac:dyDescent="0.25">
      <c r="A134">
        <v>102329</v>
      </c>
      <c r="B134" t="s">
        <v>362</v>
      </c>
      <c r="C134">
        <v>1.1200000000000001</v>
      </c>
      <c r="D134">
        <v>0.99</v>
      </c>
      <c r="E134">
        <v>1.02</v>
      </c>
      <c r="F134">
        <v>0.93</v>
      </c>
      <c r="G134">
        <v>0.87</v>
      </c>
      <c r="H134">
        <v>0.99</v>
      </c>
      <c r="I134">
        <v>0.95</v>
      </c>
      <c r="J134">
        <v>0.99</v>
      </c>
      <c r="K134">
        <v>1</v>
      </c>
      <c r="L134">
        <v>0.96</v>
      </c>
      <c r="M134">
        <v>0.93</v>
      </c>
      <c r="N134">
        <v>0.9</v>
      </c>
      <c r="O134">
        <v>0.89</v>
      </c>
      <c r="P134">
        <v>0.98</v>
      </c>
      <c r="Q134">
        <v>1.1499999999999999</v>
      </c>
      <c r="R134">
        <v>0.91</v>
      </c>
      <c r="S134">
        <v>1</v>
      </c>
      <c r="T134">
        <v>0.98</v>
      </c>
      <c r="U134">
        <v>0.87</v>
      </c>
      <c r="V134">
        <v>0.85</v>
      </c>
      <c r="W134">
        <v>0.91</v>
      </c>
      <c r="X134">
        <v>0.89</v>
      </c>
      <c r="Y134">
        <v>0.9</v>
      </c>
      <c r="Z134">
        <v>0.89</v>
      </c>
      <c r="AA134" s="8">
        <v>0.84946808510638294</v>
      </c>
      <c r="AB134" s="8">
        <v>1.006</v>
      </c>
      <c r="AC134" s="8">
        <v>0.94099999999999995</v>
      </c>
      <c r="AE134">
        <v>102203</v>
      </c>
      <c r="AF134" t="s">
        <v>186</v>
      </c>
      <c r="AG134">
        <v>3215</v>
      </c>
      <c r="AH134">
        <v>3430</v>
      </c>
      <c r="AI134">
        <v>93.7</v>
      </c>
      <c r="AK134">
        <v>102329</v>
      </c>
      <c r="AL134" t="s">
        <v>362</v>
      </c>
      <c r="AM134">
        <f t="shared" si="6"/>
        <v>94.1</v>
      </c>
      <c r="AN134">
        <f t="shared" si="7"/>
        <v>0.94099999999999995</v>
      </c>
    </row>
    <row r="135" spans="1:40" x14ac:dyDescent="0.25">
      <c r="A135">
        <v>102330</v>
      </c>
      <c r="B135" t="s">
        <v>133</v>
      </c>
      <c r="C135">
        <v>1.1200000000000001</v>
      </c>
      <c r="D135">
        <v>1</v>
      </c>
      <c r="E135">
        <v>1.03</v>
      </c>
      <c r="F135">
        <v>0.93</v>
      </c>
      <c r="G135">
        <v>0.88</v>
      </c>
      <c r="H135">
        <v>0.98</v>
      </c>
      <c r="I135">
        <v>0.95</v>
      </c>
      <c r="J135">
        <v>0.99</v>
      </c>
      <c r="K135">
        <v>0.98</v>
      </c>
      <c r="L135">
        <v>0.96</v>
      </c>
      <c r="M135">
        <v>0.91</v>
      </c>
      <c r="N135">
        <v>0.9</v>
      </c>
      <c r="O135">
        <v>0.89</v>
      </c>
      <c r="P135">
        <v>0.97</v>
      </c>
      <c r="Q135">
        <v>1.1200000000000001</v>
      </c>
      <c r="R135">
        <v>0.94</v>
      </c>
      <c r="S135">
        <v>1.01</v>
      </c>
      <c r="T135">
        <v>0.97</v>
      </c>
      <c r="U135">
        <v>0.91</v>
      </c>
      <c r="V135">
        <v>0.87</v>
      </c>
      <c r="W135">
        <v>0.93</v>
      </c>
      <c r="X135">
        <v>0.95</v>
      </c>
      <c r="Y135">
        <v>0.91</v>
      </c>
      <c r="Z135">
        <v>0.89</v>
      </c>
      <c r="AA135" s="8">
        <v>0.78095238095238095</v>
      </c>
      <c r="AB135" s="8">
        <v>1.02</v>
      </c>
      <c r="AC135" s="8">
        <v>0.97900000000000009</v>
      </c>
      <c r="AE135">
        <v>102310</v>
      </c>
      <c r="AF135" t="s">
        <v>515</v>
      </c>
      <c r="AG135">
        <v>3477</v>
      </c>
      <c r="AH135">
        <v>3503</v>
      </c>
      <c r="AI135">
        <v>99.3</v>
      </c>
      <c r="AK135">
        <v>102330</v>
      </c>
      <c r="AL135" t="s">
        <v>133</v>
      </c>
      <c r="AM135">
        <f t="shared" si="6"/>
        <v>97.9</v>
      </c>
      <c r="AN135">
        <f t="shared" si="7"/>
        <v>0.97900000000000009</v>
      </c>
    </row>
    <row r="136" spans="1:40" x14ac:dyDescent="0.25">
      <c r="A136">
        <v>102331</v>
      </c>
      <c r="B136" t="s">
        <v>134</v>
      </c>
      <c r="C136">
        <v>1.1100000000000001</v>
      </c>
      <c r="D136">
        <v>1</v>
      </c>
      <c r="E136">
        <v>1.02</v>
      </c>
      <c r="F136">
        <v>0.93</v>
      </c>
      <c r="G136">
        <v>0.88</v>
      </c>
      <c r="H136">
        <v>0.98</v>
      </c>
      <c r="I136">
        <v>0.95</v>
      </c>
      <c r="J136">
        <v>0.99</v>
      </c>
      <c r="K136">
        <v>0.98</v>
      </c>
      <c r="L136">
        <v>0.96</v>
      </c>
      <c r="M136">
        <v>0.91</v>
      </c>
      <c r="N136">
        <v>0.9</v>
      </c>
      <c r="O136">
        <v>0.88</v>
      </c>
      <c r="P136">
        <v>0.96</v>
      </c>
      <c r="Q136">
        <v>1.1100000000000001</v>
      </c>
      <c r="R136">
        <v>0.93</v>
      </c>
      <c r="S136">
        <v>1.01</v>
      </c>
      <c r="T136">
        <v>0.97</v>
      </c>
      <c r="U136">
        <v>0.9</v>
      </c>
      <c r="V136">
        <v>0.87</v>
      </c>
      <c r="W136">
        <v>0.92</v>
      </c>
      <c r="X136">
        <v>0.92</v>
      </c>
      <c r="Y136">
        <v>0.89</v>
      </c>
      <c r="Z136">
        <v>0.88</v>
      </c>
      <c r="AA136" s="8">
        <v>0.80048926338678994</v>
      </c>
      <c r="AB136" s="8">
        <v>0.96200000000000008</v>
      </c>
      <c r="AC136" s="8">
        <v>0.90400000000000003</v>
      </c>
      <c r="AE136">
        <v>102647</v>
      </c>
      <c r="AF136" t="s">
        <v>403</v>
      </c>
      <c r="AG136">
        <v>3398</v>
      </c>
      <c r="AH136">
        <v>3549</v>
      </c>
      <c r="AI136">
        <v>95.8</v>
      </c>
      <c r="AK136">
        <v>102331</v>
      </c>
      <c r="AL136" t="s">
        <v>134</v>
      </c>
      <c r="AM136">
        <f t="shared" si="6"/>
        <v>90.4</v>
      </c>
      <c r="AN136">
        <f t="shared" si="7"/>
        <v>0.90400000000000003</v>
      </c>
    </row>
    <row r="137" spans="1:40" x14ac:dyDescent="0.25">
      <c r="A137">
        <v>102332</v>
      </c>
      <c r="B137" t="s">
        <v>2</v>
      </c>
      <c r="C137">
        <v>1.1100000000000001</v>
      </c>
      <c r="D137">
        <v>1</v>
      </c>
      <c r="E137">
        <v>1.01</v>
      </c>
      <c r="F137">
        <v>0.94</v>
      </c>
      <c r="G137">
        <v>0.87</v>
      </c>
      <c r="H137">
        <v>1</v>
      </c>
      <c r="I137">
        <v>0.94</v>
      </c>
      <c r="J137">
        <v>0.98</v>
      </c>
      <c r="K137">
        <v>1</v>
      </c>
      <c r="L137">
        <v>0.97</v>
      </c>
      <c r="M137">
        <v>0.93</v>
      </c>
      <c r="N137">
        <v>0.9</v>
      </c>
      <c r="O137">
        <v>0.9</v>
      </c>
      <c r="P137">
        <v>0.97</v>
      </c>
      <c r="Q137">
        <v>1.1499999999999999</v>
      </c>
      <c r="R137">
        <v>0.92</v>
      </c>
      <c r="S137">
        <v>1.01</v>
      </c>
      <c r="T137">
        <v>0.98</v>
      </c>
      <c r="U137">
        <v>0.86</v>
      </c>
      <c r="V137">
        <v>0.9</v>
      </c>
      <c r="W137">
        <v>0.95</v>
      </c>
      <c r="X137">
        <v>0.93</v>
      </c>
      <c r="Y137">
        <v>0.9</v>
      </c>
      <c r="Z137">
        <v>0.89</v>
      </c>
      <c r="AA137" s="8">
        <v>0.81114718614718617</v>
      </c>
      <c r="AB137" s="8">
        <v>1.022</v>
      </c>
      <c r="AC137" s="8">
        <v>0.95599999999999996</v>
      </c>
      <c r="AE137">
        <v>102213</v>
      </c>
      <c r="AF137" t="s">
        <v>188</v>
      </c>
      <c r="AG137">
        <v>3199</v>
      </c>
      <c r="AH137">
        <v>3456</v>
      </c>
      <c r="AI137">
        <v>92.5</v>
      </c>
      <c r="AK137">
        <v>102332</v>
      </c>
      <c r="AL137" t="s">
        <v>2</v>
      </c>
      <c r="AM137">
        <f t="shared" si="6"/>
        <v>95.6</v>
      </c>
      <c r="AN137">
        <f t="shared" si="7"/>
        <v>0.95599999999999996</v>
      </c>
    </row>
    <row r="138" spans="1:40" x14ac:dyDescent="0.25">
      <c r="A138">
        <v>102333</v>
      </c>
      <c r="B138" t="s">
        <v>80</v>
      </c>
      <c r="C138">
        <v>1.1200000000000001</v>
      </c>
      <c r="D138">
        <v>0.99</v>
      </c>
      <c r="E138">
        <v>1</v>
      </c>
      <c r="F138">
        <v>0.94</v>
      </c>
      <c r="G138">
        <v>0.87</v>
      </c>
      <c r="H138">
        <v>0.99</v>
      </c>
      <c r="I138">
        <v>0.94</v>
      </c>
      <c r="J138">
        <v>0.99</v>
      </c>
      <c r="K138">
        <v>1</v>
      </c>
      <c r="L138">
        <v>0.97</v>
      </c>
      <c r="M138">
        <v>0.92</v>
      </c>
      <c r="N138">
        <v>0.9</v>
      </c>
      <c r="O138">
        <v>0.88</v>
      </c>
      <c r="P138">
        <v>0.97</v>
      </c>
      <c r="Q138">
        <v>1.1399999999999999</v>
      </c>
      <c r="R138">
        <v>0.91</v>
      </c>
      <c r="S138">
        <v>1</v>
      </c>
      <c r="T138">
        <v>0.97</v>
      </c>
      <c r="U138">
        <v>0.86</v>
      </c>
      <c r="V138">
        <v>0.85</v>
      </c>
      <c r="W138">
        <v>0.91</v>
      </c>
      <c r="X138">
        <v>0.89</v>
      </c>
      <c r="Y138">
        <v>0.88</v>
      </c>
      <c r="Z138">
        <v>0.94</v>
      </c>
      <c r="AA138" s="8">
        <v>0.83439803439803439</v>
      </c>
      <c r="AB138" s="8">
        <v>1.0109999999999999</v>
      </c>
      <c r="AC138" s="8">
        <v>0.93299999999999994</v>
      </c>
      <c r="AE138">
        <v>102253</v>
      </c>
      <c r="AF138" t="s">
        <v>189</v>
      </c>
      <c r="AG138">
        <v>3257</v>
      </c>
      <c r="AH138">
        <v>3476</v>
      </c>
      <c r="AI138">
        <v>93.7</v>
      </c>
      <c r="AK138">
        <v>102333</v>
      </c>
      <c r="AL138" t="s">
        <v>80</v>
      </c>
      <c r="AM138">
        <f t="shared" si="6"/>
        <v>93.3</v>
      </c>
      <c r="AN138">
        <f t="shared" si="7"/>
        <v>0.93299999999999994</v>
      </c>
    </row>
    <row r="139" spans="1:40" x14ac:dyDescent="0.25">
      <c r="A139">
        <v>102334</v>
      </c>
      <c r="B139" t="s">
        <v>299</v>
      </c>
      <c r="C139">
        <v>1.1100000000000001</v>
      </c>
      <c r="D139">
        <v>0.99</v>
      </c>
      <c r="E139">
        <v>1.02</v>
      </c>
      <c r="F139">
        <v>0.94</v>
      </c>
      <c r="G139">
        <v>0.88</v>
      </c>
      <c r="H139">
        <v>1</v>
      </c>
      <c r="I139">
        <v>0.94</v>
      </c>
      <c r="J139">
        <v>0.98</v>
      </c>
      <c r="K139">
        <v>1</v>
      </c>
      <c r="L139">
        <v>0.96</v>
      </c>
      <c r="M139">
        <v>0.93</v>
      </c>
      <c r="N139">
        <v>0.91</v>
      </c>
      <c r="O139">
        <v>0.91</v>
      </c>
      <c r="P139">
        <v>0.97</v>
      </c>
      <c r="Q139">
        <v>1.1399999999999999</v>
      </c>
      <c r="R139">
        <v>0.91</v>
      </c>
      <c r="S139">
        <v>1.01</v>
      </c>
      <c r="T139">
        <v>0.98</v>
      </c>
      <c r="U139">
        <v>0.86</v>
      </c>
      <c r="V139">
        <v>0.89</v>
      </c>
      <c r="W139">
        <v>0.94</v>
      </c>
      <c r="X139">
        <v>0.92</v>
      </c>
      <c r="Y139">
        <v>0.89</v>
      </c>
      <c r="Z139">
        <v>0.88</v>
      </c>
      <c r="AA139" s="8">
        <v>0.78379098906958145</v>
      </c>
      <c r="AB139" s="8">
        <v>1.0109999999999999</v>
      </c>
      <c r="AC139" s="8">
        <v>0.95099999999999996</v>
      </c>
      <c r="AE139">
        <v>102515</v>
      </c>
      <c r="AF139" t="s">
        <v>190</v>
      </c>
      <c r="AG139">
        <v>3780</v>
      </c>
      <c r="AH139">
        <v>3824</v>
      </c>
      <c r="AI139">
        <v>98.8</v>
      </c>
      <c r="AK139">
        <v>102334</v>
      </c>
      <c r="AL139" t="s">
        <v>299</v>
      </c>
      <c r="AM139">
        <f t="shared" si="6"/>
        <v>95.1</v>
      </c>
      <c r="AN139">
        <f t="shared" si="7"/>
        <v>0.95099999999999996</v>
      </c>
    </row>
    <row r="140" spans="1:40" x14ac:dyDescent="0.25">
      <c r="A140">
        <v>102339</v>
      </c>
      <c r="B140" t="s">
        <v>863</v>
      </c>
      <c r="Y140">
        <v>0.89</v>
      </c>
      <c r="Z140">
        <v>0.88</v>
      </c>
      <c r="AA140" s="8">
        <v>0.83094098883572565</v>
      </c>
      <c r="AB140" s="8">
        <v>1.0349999999999999</v>
      </c>
      <c r="AC140" s="8">
        <v>0.95400000000000007</v>
      </c>
      <c r="AE140">
        <v>102406</v>
      </c>
      <c r="AF140" t="s">
        <v>308</v>
      </c>
      <c r="AG140">
        <v>3315</v>
      </c>
      <c r="AH140">
        <v>3401</v>
      </c>
      <c r="AI140">
        <v>97.5</v>
      </c>
      <c r="AK140">
        <v>102339</v>
      </c>
      <c r="AL140" t="s">
        <v>863</v>
      </c>
      <c r="AM140">
        <f t="shared" si="6"/>
        <v>95.4</v>
      </c>
      <c r="AN140">
        <f t="shared" si="7"/>
        <v>0.95400000000000007</v>
      </c>
    </row>
    <row r="141" spans="1:40" x14ac:dyDescent="0.25">
      <c r="A141">
        <v>102340</v>
      </c>
      <c r="B141" t="s">
        <v>1042</v>
      </c>
      <c r="Y141">
        <v>0.88</v>
      </c>
      <c r="Z141">
        <v>0.97</v>
      </c>
      <c r="AA141" s="8">
        <v>0.84727272727272729</v>
      </c>
      <c r="AB141" s="8">
        <v>1.016</v>
      </c>
      <c r="AC141" s="8">
        <v>0.94799999999999995</v>
      </c>
      <c r="AE141">
        <v>102312</v>
      </c>
      <c r="AF141" t="s">
        <v>78</v>
      </c>
      <c r="AG141">
        <v>3379</v>
      </c>
      <c r="AH141">
        <v>3522</v>
      </c>
      <c r="AI141">
        <v>95.9</v>
      </c>
      <c r="AK141">
        <v>102340</v>
      </c>
      <c r="AL141" t="s">
        <v>1042</v>
      </c>
      <c r="AM141">
        <f t="shared" si="6"/>
        <v>94.8</v>
      </c>
      <c r="AN141">
        <f t="shared" si="7"/>
        <v>0.94799999999999995</v>
      </c>
    </row>
    <row r="142" spans="1:40" x14ac:dyDescent="0.25">
      <c r="A142">
        <v>102341</v>
      </c>
      <c r="B142" t="s">
        <v>98</v>
      </c>
      <c r="Y142">
        <v>0.9</v>
      </c>
      <c r="Z142">
        <v>0.84</v>
      </c>
      <c r="AA142" s="8">
        <v>0.80102040816326525</v>
      </c>
      <c r="AB142" s="8">
        <v>1.0229999999999999</v>
      </c>
      <c r="AC142" s="8">
        <v>0.96</v>
      </c>
      <c r="AE142">
        <v>102721</v>
      </c>
      <c r="AF142" t="s">
        <v>193</v>
      </c>
      <c r="AG142">
        <v>4458</v>
      </c>
      <c r="AH142">
        <v>4579</v>
      </c>
      <c r="AI142">
        <v>97.4</v>
      </c>
      <c r="AK142">
        <v>102341</v>
      </c>
      <c r="AL142" t="s">
        <v>98</v>
      </c>
      <c r="AM142">
        <f t="shared" si="6"/>
        <v>96</v>
      </c>
      <c r="AN142">
        <f t="shared" si="7"/>
        <v>0.96</v>
      </c>
    </row>
    <row r="143" spans="1:40" x14ac:dyDescent="0.25">
      <c r="A143">
        <v>102342</v>
      </c>
      <c r="B143" t="s">
        <v>493</v>
      </c>
      <c r="Y143">
        <v>0.91</v>
      </c>
      <c r="Z143">
        <v>0.89</v>
      </c>
      <c r="AA143" s="8">
        <v>0.79414998900373868</v>
      </c>
      <c r="AB143" s="8">
        <v>0.996</v>
      </c>
      <c r="AC143" s="8">
        <v>0.92900000000000005</v>
      </c>
      <c r="AE143">
        <v>102135</v>
      </c>
      <c r="AF143" t="s">
        <v>1044</v>
      </c>
      <c r="AG143">
        <v>2687</v>
      </c>
      <c r="AH143">
        <v>2922</v>
      </c>
      <c r="AI143">
        <v>92</v>
      </c>
      <c r="AK143">
        <v>102342</v>
      </c>
      <c r="AL143" t="s">
        <v>493</v>
      </c>
      <c r="AM143">
        <f t="shared" si="6"/>
        <v>92.9</v>
      </c>
      <c r="AN143">
        <f t="shared" si="7"/>
        <v>0.92900000000000005</v>
      </c>
    </row>
    <row r="144" spans="1:40" x14ac:dyDescent="0.25">
      <c r="A144">
        <v>102343</v>
      </c>
      <c r="B144" t="s">
        <v>792</v>
      </c>
      <c r="Y144">
        <v>0.91</v>
      </c>
      <c r="Z144">
        <v>0.98</v>
      </c>
      <c r="AA144" s="8">
        <v>0.82473276815333574</v>
      </c>
      <c r="AB144" s="8">
        <v>1.0190000000000001</v>
      </c>
      <c r="AC144" s="8">
        <v>0.95499999999999996</v>
      </c>
      <c r="AE144">
        <v>102701</v>
      </c>
      <c r="AF144" t="s">
        <v>359</v>
      </c>
      <c r="AG144">
        <v>3998</v>
      </c>
      <c r="AH144">
        <v>4150</v>
      </c>
      <c r="AI144">
        <v>96.3</v>
      </c>
      <c r="AK144">
        <v>102343</v>
      </c>
      <c r="AL144" t="s">
        <v>792</v>
      </c>
      <c r="AM144">
        <f t="shared" si="6"/>
        <v>95.5</v>
      </c>
      <c r="AN144">
        <f t="shared" si="7"/>
        <v>0.95499999999999996</v>
      </c>
    </row>
    <row r="145" spans="1:40" x14ac:dyDescent="0.25">
      <c r="A145">
        <v>102344</v>
      </c>
      <c r="B145" t="s">
        <v>1038</v>
      </c>
      <c r="Y145">
        <v>0.9</v>
      </c>
      <c r="Z145">
        <v>0.84</v>
      </c>
      <c r="AA145" s="8">
        <v>0.79975316260413454</v>
      </c>
      <c r="AB145" s="8">
        <v>1.006</v>
      </c>
      <c r="AC145" s="8">
        <v>0.94200000000000006</v>
      </c>
      <c r="AE145">
        <v>102005</v>
      </c>
      <c r="AF145" t="s">
        <v>196</v>
      </c>
      <c r="AG145">
        <v>4940</v>
      </c>
      <c r="AH145">
        <v>5152</v>
      </c>
      <c r="AI145">
        <v>95.9</v>
      </c>
      <c r="AK145">
        <v>102344</v>
      </c>
      <c r="AL145" t="s">
        <v>1038</v>
      </c>
      <c r="AM145">
        <f t="shared" si="6"/>
        <v>94.2</v>
      </c>
      <c r="AN145">
        <f t="shared" si="7"/>
        <v>0.94200000000000006</v>
      </c>
    </row>
    <row r="146" spans="1:40" x14ac:dyDescent="0.25">
      <c r="A146">
        <v>102345</v>
      </c>
      <c r="B146" t="s">
        <v>141</v>
      </c>
      <c r="Y146">
        <v>0.89</v>
      </c>
      <c r="Z146">
        <v>0.99</v>
      </c>
      <c r="AA146" s="8">
        <v>0.85770750988142297</v>
      </c>
      <c r="AB146" s="8">
        <v>0.998</v>
      </c>
      <c r="AC146" s="8">
        <v>0.93299999999999994</v>
      </c>
      <c r="AE146">
        <v>102106</v>
      </c>
      <c r="AF146" t="s">
        <v>199</v>
      </c>
      <c r="AG146">
        <v>2770</v>
      </c>
      <c r="AH146">
        <v>3029</v>
      </c>
      <c r="AI146">
        <v>91.4</v>
      </c>
      <c r="AK146">
        <v>102345</v>
      </c>
      <c r="AL146" t="s">
        <v>141</v>
      </c>
      <c r="AM146">
        <f t="shared" si="6"/>
        <v>93.3</v>
      </c>
      <c r="AN146">
        <f t="shared" si="7"/>
        <v>0.93299999999999994</v>
      </c>
    </row>
    <row r="147" spans="1:40" x14ac:dyDescent="0.25">
      <c r="A147">
        <v>102401</v>
      </c>
      <c r="B147" t="s">
        <v>177</v>
      </c>
      <c r="C147">
        <v>1.1200000000000001</v>
      </c>
      <c r="D147">
        <v>0.98</v>
      </c>
      <c r="E147">
        <v>1.02</v>
      </c>
      <c r="F147">
        <v>0.94</v>
      </c>
      <c r="G147">
        <v>0.87</v>
      </c>
      <c r="H147">
        <v>1</v>
      </c>
      <c r="I147">
        <v>0.95</v>
      </c>
      <c r="J147">
        <v>0.98</v>
      </c>
      <c r="K147">
        <v>0.99</v>
      </c>
      <c r="L147">
        <v>0.96</v>
      </c>
      <c r="M147">
        <v>0.92</v>
      </c>
      <c r="N147">
        <v>0.91</v>
      </c>
      <c r="O147">
        <v>0.9</v>
      </c>
      <c r="P147">
        <v>0.98</v>
      </c>
      <c r="Q147">
        <v>1.17</v>
      </c>
      <c r="R147">
        <v>0.91</v>
      </c>
      <c r="S147">
        <v>1</v>
      </c>
      <c r="T147">
        <v>0.98</v>
      </c>
      <c r="U147">
        <v>0.86</v>
      </c>
      <c r="V147">
        <v>0.87</v>
      </c>
      <c r="W147">
        <v>0.91</v>
      </c>
      <c r="X147">
        <v>0.9</v>
      </c>
      <c r="Y147">
        <v>0.9</v>
      </c>
      <c r="Z147">
        <v>0.89</v>
      </c>
      <c r="AA147" s="8">
        <v>0.805312317571512</v>
      </c>
      <c r="AB147" s="8">
        <v>1.0109999999999999</v>
      </c>
      <c r="AC147" s="8">
        <v>0.94200000000000006</v>
      </c>
      <c r="AE147">
        <v>102907</v>
      </c>
      <c r="AF147" t="s">
        <v>259</v>
      </c>
      <c r="AG147">
        <v>5133</v>
      </c>
      <c r="AH147">
        <v>5404</v>
      </c>
      <c r="AI147">
        <v>95</v>
      </c>
      <c r="AK147">
        <v>102401</v>
      </c>
      <c r="AL147" t="s">
        <v>177</v>
      </c>
      <c r="AM147">
        <f t="shared" si="6"/>
        <v>94.2</v>
      </c>
      <c r="AN147">
        <f t="shared" si="7"/>
        <v>0.94200000000000006</v>
      </c>
    </row>
    <row r="148" spans="1:40" x14ac:dyDescent="0.25">
      <c r="A148">
        <v>102402</v>
      </c>
      <c r="B148" t="s">
        <v>205</v>
      </c>
      <c r="C148">
        <v>1.1200000000000001</v>
      </c>
      <c r="D148">
        <v>0.98</v>
      </c>
      <c r="E148">
        <v>1.03</v>
      </c>
      <c r="F148">
        <v>0.94</v>
      </c>
      <c r="G148">
        <v>0.87</v>
      </c>
      <c r="H148">
        <v>1</v>
      </c>
      <c r="I148">
        <v>0.95</v>
      </c>
      <c r="J148">
        <v>0.99</v>
      </c>
      <c r="K148">
        <v>0.99</v>
      </c>
      <c r="L148">
        <v>0.96</v>
      </c>
      <c r="M148">
        <v>0.93</v>
      </c>
      <c r="N148">
        <v>0.91</v>
      </c>
      <c r="O148">
        <v>0.9</v>
      </c>
      <c r="P148">
        <v>0.99</v>
      </c>
      <c r="Q148">
        <v>1.17</v>
      </c>
      <c r="R148">
        <v>0.91</v>
      </c>
      <c r="S148">
        <v>1.01</v>
      </c>
      <c r="T148">
        <v>0.98</v>
      </c>
      <c r="U148">
        <v>0.87</v>
      </c>
      <c r="V148">
        <v>0.87</v>
      </c>
      <c r="W148">
        <v>0.91</v>
      </c>
      <c r="X148">
        <v>0.89</v>
      </c>
      <c r="Y148">
        <v>0.89</v>
      </c>
      <c r="Z148">
        <v>0.86</v>
      </c>
      <c r="AA148" s="8">
        <v>0.78212151394422313</v>
      </c>
      <c r="AB148" s="8">
        <v>1.01</v>
      </c>
      <c r="AC148" s="8">
        <v>0.93299999999999994</v>
      </c>
      <c r="AE148">
        <v>102209</v>
      </c>
      <c r="AF148" t="s">
        <v>187</v>
      </c>
      <c r="AG148">
        <v>3054</v>
      </c>
      <c r="AH148">
        <v>3214</v>
      </c>
      <c r="AI148">
        <v>95</v>
      </c>
      <c r="AK148">
        <v>102402</v>
      </c>
      <c r="AL148" t="s">
        <v>205</v>
      </c>
      <c r="AM148">
        <f t="shared" si="6"/>
        <v>93.3</v>
      </c>
      <c r="AN148">
        <f t="shared" si="7"/>
        <v>0.93299999999999994</v>
      </c>
    </row>
    <row r="149" spans="1:40" x14ac:dyDescent="0.25">
      <c r="A149">
        <v>102403</v>
      </c>
      <c r="B149" t="s">
        <v>307</v>
      </c>
      <c r="C149">
        <v>1.1200000000000001</v>
      </c>
      <c r="D149">
        <v>0.99</v>
      </c>
      <c r="E149">
        <v>1.03</v>
      </c>
      <c r="F149">
        <v>0.94</v>
      </c>
      <c r="G149">
        <v>0.88</v>
      </c>
      <c r="H149">
        <v>1.01</v>
      </c>
      <c r="I149">
        <v>0.95</v>
      </c>
      <c r="J149">
        <v>0.99</v>
      </c>
      <c r="K149">
        <v>1</v>
      </c>
      <c r="L149">
        <v>0.97</v>
      </c>
      <c r="M149">
        <v>0.94</v>
      </c>
      <c r="N149">
        <v>0.91</v>
      </c>
      <c r="O149">
        <v>0.9</v>
      </c>
      <c r="P149">
        <v>0.99</v>
      </c>
      <c r="Q149">
        <v>1.1599999999999999</v>
      </c>
      <c r="R149">
        <v>0.91</v>
      </c>
      <c r="S149">
        <v>1.01</v>
      </c>
      <c r="T149">
        <v>0.99</v>
      </c>
      <c r="U149">
        <v>0.87</v>
      </c>
      <c r="V149">
        <v>0.88</v>
      </c>
      <c r="W149">
        <v>0.93</v>
      </c>
      <c r="X149">
        <v>0.92</v>
      </c>
      <c r="Y149">
        <v>0.91</v>
      </c>
      <c r="Z149">
        <v>0.85</v>
      </c>
      <c r="AA149" s="8">
        <v>0.8061389337641357</v>
      </c>
      <c r="AB149" s="8">
        <v>1.0229999999999999</v>
      </c>
      <c r="AC149" s="8">
        <v>0.95499999999999996</v>
      </c>
      <c r="AE149">
        <v>102420</v>
      </c>
      <c r="AF149" t="s">
        <v>1223</v>
      </c>
      <c r="AG149">
        <v>3474</v>
      </c>
      <c r="AH149">
        <v>3712</v>
      </c>
      <c r="AI149">
        <v>93.6</v>
      </c>
      <c r="AK149">
        <v>102403</v>
      </c>
      <c r="AL149" t="s">
        <v>307</v>
      </c>
      <c r="AM149">
        <f t="shared" si="6"/>
        <v>95.5</v>
      </c>
      <c r="AN149">
        <f t="shared" si="7"/>
        <v>0.95499999999999996</v>
      </c>
    </row>
    <row r="150" spans="1:40" x14ac:dyDescent="0.25">
      <c r="A150">
        <v>102404</v>
      </c>
      <c r="B150" t="s">
        <v>310</v>
      </c>
      <c r="C150">
        <v>1.1200000000000001</v>
      </c>
      <c r="D150">
        <v>0.99</v>
      </c>
      <c r="E150">
        <v>1.02</v>
      </c>
      <c r="F150">
        <v>0.94</v>
      </c>
      <c r="G150">
        <v>0.87</v>
      </c>
      <c r="H150">
        <v>1</v>
      </c>
      <c r="I150">
        <v>0.95</v>
      </c>
      <c r="J150">
        <v>0.99</v>
      </c>
      <c r="K150">
        <v>0.99</v>
      </c>
      <c r="L150">
        <v>0.96</v>
      </c>
      <c r="M150">
        <v>0.94</v>
      </c>
      <c r="N150">
        <v>0.91</v>
      </c>
      <c r="O150">
        <v>0.9</v>
      </c>
      <c r="P150">
        <v>0.99</v>
      </c>
      <c r="Q150">
        <v>1.17</v>
      </c>
      <c r="R150">
        <v>0.91</v>
      </c>
      <c r="S150">
        <v>1.01</v>
      </c>
      <c r="T150">
        <v>0.98</v>
      </c>
      <c r="U150">
        <v>0.88</v>
      </c>
      <c r="V150">
        <v>0.88</v>
      </c>
      <c r="W150">
        <v>0.93</v>
      </c>
      <c r="X150">
        <v>0.92</v>
      </c>
      <c r="Y150">
        <v>0.92</v>
      </c>
      <c r="Z150">
        <v>0.93</v>
      </c>
      <c r="AA150" s="8">
        <v>0.82926337033299702</v>
      </c>
      <c r="AB150" s="8">
        <v>1.0390000000000001</v>
      </c>
      <c r="AC150" s="8">
        <v>0.97</v>
      </c>
      <c r="AE150">
        <v>102105</v>
      </c>
      <c r="AF150" t="s">
        <v>43</v>
      </c>
      <c r="AG150">
        <v>2680</v>
      </c>
      <c r="AH150">
        <v>2950</v>
      </c>
      <c r="AI150">
        <v>90.8</v>
      </c>
      <c r="AK150">
        <v>102404</v>
      </c>
      <c r="AL150" t="s">
        <v>310</v>
      </c>
      <c r="AM150">
        <f t="shared" si="6"/>
        <v>97</v>
      </c>
      <c r="AN150">
        <f t="shared" si="7"/>
        <v>0.97</v>
      </c>
    </row>
    <row r="151" spans="1:40" x14ac:dyDescent="0.25">
      <c r="A151">
        <v>102405</v>
      </c>
      <c r="B151" t="s">
        <v>517</v>
      </c>
      <c r="C151">
        <v>1.1200000000000001</v>
      </c>
      <c r="D151">
        <v>0.99</v>
      </c>
      <c r="E151">
        <v>1.02</v>
      </c>
      <c r="F151">
        <v>0.93</v>
      </c>
      <c r="G151">
        <v>0.87</v>
      </c>
      <c r="H151">
        <v>0.99</v>
      </c>
      <c r="I151">
        <v>0.95</v>
      </c>
      <c r="J151">
        <v>0.99</v>
      </c>
      <c r="K151">
        <v>0.99</v>
      </c>
      <c r="L151">
        <v>0.96</v>
      </c>
      <c r="M151">
        <v>0.93</v>
      </c>
      <c r="N151">
        <v>0.91</v>
      </c>
      <c r="O151">
        <v>0.88</v>
      </c>
      <c r="P151">
        <v>0.98</v>
      </c>
      <c r="Q151">
        <v>1.1599999999999999</v>
      </c>
      <c r="R151">
        <v>0.91</v>
      </c>
      <c r="S151">
        <v>1</v>
      </c>
      <c r="T151">
        <v>0.97</v>
      </c>
      <c r="U151">
        <v>0.89</v>
      </c>
      <c r="V151">
        <v>0.88</v>
      </c>
      <c r="W151">
        <v>0.95</v>
      </c>
      <c r="X151">
        <v>0.93</v>
      </c>
      <c r="Y151">
        <v>0.94</v>
      </c>
      <c r="Z151">
        <v>1</v>
      </c>
      <c r="AA151" s="8">
        <v>0.8859164653089403</v>
      </c>
      <c r="AB151" s="8">
        <v>1.0170000000000001</v>
      </c>
      <c r="AC151" s="8">
        <v>0.94599999999999995</v>
      </c>
      <c r="AE151">
        <v>102704</v>
      </c>
      <c r="AF151" t="s">
        <v>201</v>
      </c>
      <c r="AG151">
        <v>4532</v>
      </c>
      <c r="AH151">
        <v>4738</v>
      </c>
      <c r="AI151">
        <v>95.7</v>
      </c>
      <c r="AK151">
        <v>102405</v>
      </c>
      <c r="AL151" t="s">
        <v>517</v>
      </c>
      <c r="AM151">
        <f t="shared" si="6"/>
        <v>94.6</v>
      </c>
      <c r="AN151">
        <f t="shared" si="7"/>
        <v>0.94599999999999995</v>
      </c>
    </row>
    <row r="152" spans="1:40" x14ac:dyDescent="0.25">
      <c r="A152">
        <v>102406</v>
      </c>
      <c r="B152" t="s">
        <v>308</v>
      </c>
      <c r="C152">
        <v>1.1200000000000001</v>
      </c>
      <c r="D152">
        <v>0.99</v>
      </c>
      <c r="E152">
        <v>1.02</v>
      </c>
      <c r="F152">
        <v>0.94</v>
      </c>
      <c r="G152">
        <v>0.87</v>
      </c>
      <c r="H152">
        <v>1</v>
      </c>
      <c r="I152">
        <v>0.95</v>
      </c>
      <c r="J152">
        <v>0.99</v>
      </c>
      <c r="K152">
        <v>0.99</v>
      </c>
      <c r="L152">
        <v>0.96</v>
      </c>
      <c r="M152">
        <v>0.93</v>
      </c>
      <c r="N152">
        <v>0.91</v>
      </c>
      <c r="O152">
        <v>0.9</v>
      </c>
      <c r="P152">
        <v>0.99</v>
      </c>
      <c r="Q152">
        <v>1.18</v>
      </c>
      <c r="R152">
        <v>0.91</v>
      </c>
      <c r="S152">
        <v>1.01</v>
      </c>
      <c r="T152">
        <v>0.98</v>
      </c>
      <c r="U152">
        <v>0.88</v>
      </c>
      <c r="V152">
        <v>0.88</v>
      </c>
      <c r="W152">
        <v>0.93</v>
      </c>
      <c r="X152">
        <v>0.91</v>
      </c>
      <c r="Y152">
        <v>0.91</v>
      </c>
      <c r="Z152">
        <v>0.9</v>
      </c>
      <c r="AA152" s="8">
        <v>0.81851028349082822</v>
      </c>
      <c r="AB152" s="8">
        <v>1.0590000000000002</v>
      </c>
      <c r="AC152" s="8">
        <v>0.97499999999999998</v>
      </c>
      <c r="AE152">
        <v>102915</v>
      </c>
      <c r="AF152" t="s">
        <v>257</v>
      </c>
      <c r="AG152">
        <v>5458</v>
      </c>
      <c r="AH152">
        <v>5620</v>
      </c>
      <c r="AI152">
        <v>97.1</v>
      </c>
      <c r="AK152">
        <v>102406</v>
      </c>
      <c r="AL152" t="s">
        <v>308</v>
      </c>
      <c r="AM152">
        <f t="shared" si="6"/>
        <v>97.5</v>
      </c>
      <c r="AN152">
        <f t="shared" si="7"/>
        <v>0.97499999999999998</v>
      </c>
    </row>
    <row r="153" spans="1:40" x14ac:dyDescent="0.25">
      <c r="A153">
        <v>102407</v>
      </c>
      <c r="B153" t="s">
        <v>336</v>
      </c>
      <c r="C153">
        <v>1.1100000000000001</v>
      </c>
      <c r="D153">
        <v>0.98</v>
      </c>
      <c r="E153">
        <v>1.03</v>
      </c>
      <c r="F153">
        <v>0.95</v>
      </c>
      <c r="G153">
        <v>0.87</v>
      </c>
      <c r="H153">
        <v>1.01</v>
      </c>
      <c r="I153">
        <v>0.95</v>
      </c>
      <c r="J153">
        <v>0.98</v>
      </c>
      <c r="K153">
        <v>0.98</v>
      </c>
      <c r="L153">
        <v>0.95</v>
      </c>
      <c r="M153">
        <v>0.92</v>
      </c>
      <c r="N153">
        <v>0.91</v>
      </c>
      <c r="O153">
        <v>0.9</v>
      </c>
      <c r="P153">
        <v>0.99</v>
      </c>
      <c r="Q153">
        <v>1.17</v>
      </c>
      <c r="R153">
        <v>0.91</v>
      </c>
      <c r="S153">
        <v>1.01</v>
      </c>
      <c r="T153">
        <v>0.98</v>
      </c>
      <c r="U153">
        <v>0.88</v>
      </c>
      <c r="V153">
        <v>0.88</v>
      </c>
      <c r="W153">
        <v>0.92</v>
      </c>
      <c r="X153">
        <v>0.9</v>
      </c>
      <c r="Y153">
        <v>0.9</v>
      </c>
      <c r="Z153">
        <v>0.86</v>
      </c>
      <c r="AA153" s="8">
        <v>0.8321128288581503</v>
      </c>
      <c r="AB153" s="8">
        <v>1.04</v>
      </c>
      <c r="AC153" s="8">
        <v>0.97</v>
      </c>
      <c r="AE153">
        <v>102219</v>
      </c>
      <c r="AF153" t="s">
        <v>202</v>
      </c>
      <c r="AG153">
        <v>3257</v>
      </c>
      <c r="AH153">
        <v>3338</v>
      </c>
      <c r="AI153">
        <v>97.6</v>
      </c>
      <c r="AK153">
        <v>102407</v>
      </c>
      <c r="AL153" t="s">
        <v>336</v>
      </c>
      <c r="AM153">
        <f t="shared" si="6"/>
        <v>97</v>
      </c>
      <c r="AN153">
        <f t="shared" si="7"/>
        <v>0.97</v>
      </c>
    </row>
    <row r="154" spans="1:40" x14ac:dyDescent="0.25">
      <c r="A154">
        <v>102408</v>
      </c>
      <c r="B154" t="s">
        <v>113</v>
      </c>
      <c r="C154">
        <v>1.1100000000000001</v>
      </c>
      <c r="D154">
        <v>0.98</v>
      </c>
      <c r="E154">
        <v>1.03</v>
      </c>
      <c r="F154">
        <v>0.94</v>
      </c>
      <c r="G154">
        <v>0.87</v>
      </c>
      <c r="H154">
        <v>1</v>
      </c>
      <c r="I154">
        <v>0.96</v>
      </c>
      <c r="J154">
        <v>0.98</v>
      </c>
      <c r="K154">
        <v>0.98</v>
      </c>
      <c r="L154">
        <v>0.95</v>
      </c>
      <c r="M154">
        <v>0.93</v>
      </c>
      <c r="N154">
        <v>0.91</v>
      </c>
      <c r="O154">
        <v>0.89</v>
      </c>
      <c r="P154">
        <v>0.99</v>
      </c>
      <c r="Q154">
        <v>1.18</v>
      </c>
      <c r="R154">
        <v>0.91</v>
      </c>
      <c r="S154">
        <v>1</v>
      </c>
      <c r="T154">
        <v>0.97</v>
      </c>
      <c r="U154">
        <v>0.88</v>
      </c>
      <c r="V154">
        <v>0.88</v>
      </c>
      <c r="W154">
        <v>0.94</v>
      </c>
      <c r="X154">
        <v>0.94</v>
      </c>
      <c r="Y154">
        <v>0.94</v>
      </c>
      <c r="Z154">
        <v>0.88</v>
      </c>
      <c r="AA154" s="8">
        <v>0.78405491024287222</v>
      </c>
      <c r="AB154" s="8">
        <v>1.0290000000000001</v>
      </c>
      <c r="AC154" s="8">
        <v>0.95</v>
      </c>
      <c r="AE154">
        <v>102303</v>
      </c>
      <c r="AF154" t="s">
        <v>82</v>
      </c>
      <c r="AG154">
        <v>3273</v>
      </c>
      <c r="AH154">
        <v>3486</v>
      </c>
      <c r="AI154">
        <v>93.9</v>
      </c>
      <c r="AK154">
        <v>102408</v>
      </c>
      <c r="AL154" t="s">
        <v>113</v>
      </c>
      <c r="AM154">
        <f t="shared" si="6"/>
        <v>95</v>
      </c>
      <c r="AN154">
        <f t="shared" si="7"/>
        <v>0.95</v>
      </c>
    </row>
    <row r="155" spans="1:40" x14ac:dyDescent="0.25">
      <c r="A155">
        <v>102409</v>
      </c>
      <c r="B155" t="s">
        <v>88</v>
      </c>
      <c r="C155">
        <v>1.1100000000000001</v>
      </c>
      <c r="D155">
        <v>0.99</v>
      </c>
      <c r="E155">
        <v>1.02</v>
      </c>
      <c r="F155">
        <v>0.94</v>
      </c>
      <c r="G155">
        <v>0.87</v>
      </c>
      <c r="H155">
        <v>1</v>
      </c>
      <c r="I155">
        <v>0.95</v>
      </c>
      <c r="J155">
        <v>0.99</v>
      </c>
      <c r="K155">
        <v>0.98</v>
      </c>
      <c r="L155">
        <v>0.95</v>
      </c>
      <c r="M155">
        <v>0.93</v>
      </c>
      <c r="N155">
        <v>0.91</v>
      </c>
      <c r="O155">
        <v>0.89</v>
      </c>
      <c r="P155">
        <v>0.98</v>
      </c>
      <c r="Q155">
        <v>1.17</v>
      </c>
      <c r="R155">
        <v>0.9</v>
      </c>
      <c r="S155">
        <v>1</v>
      </c>
      <c r="T155">
        <v>0.97</v>
      </c>
      <c r="U155">
        <v>0.88</v>
      </c>
      <c r="V155">
        <v>0.88</v>
      </c>
      <c r="W155">
        <v>0.94</v>
      </c>
      <c r="X155">
        <v>0.94</v>
      </c>
      <c r="Y155">
        <v>0.93</v>
      </c>
      <c r="Z155">
        <v>0.86</v>
      </c>
      <c r="AA155" s="8">
        <v>0.7752635638981743</v>
      </c>
      <c r="AB155" s="8">
        <v>1.0429999999999999</v>
      </c>
      <c r="AC155" s="8">
        <v>0.96599999999999997</v>
      </c>
      <c r="AE155">
        <v>102220</v>
      </c>
      <c r="AF155" t="s">
        <v>511</v>
      </c>
      <c r="AG155">
        <v>3299</v>
      </c>
      <c r="AH155">
        <v>3559</v>
      </c>
      <c r="AI155">
        <v>92.7</v>
      </c>
      <c r="AK155">
        <v>102409</v>
      </c>
      <c r="AL155" t="s">
        <v>88</v>
      </c>
      <c r="AM155">
        <f t="shared" si="6"/>
        <v>96.6</v>
      </c>
      <c r="AN155">
        <f t="shared" si="7"/>
        <v>0.96599999999999997</v>
      </c>
    </row>
    <row r="156" spans="1:40" x14ac:dyDescent="0.25">
      <c r="A156">
        <v>102410</v>
      </c>
      <c r="B156" t="s">
        <v>240</v>
      </c>
      <c r="C156">
        <v>1.1100000000000001</v>
      </c>
      <c r="D156">
        <v>0.98</v>
      </c>
      <c r="E156">
        <v>1.03</v>
      </c>
      <c r="F156">
        <v>0.95</v>
      </c>
      <c r="G156">
        <v>0.88</v>
      </c>
      <c r="H156">
        <v>1</v>
      </c>
      <c r="I156">
        <v>0.97</v>
      </c>
      <c r="J156">
        <v>0.98</v>
      </c>
      <c r="K156">
        <v>0.98</v>
      </c>
      <c r="L156">
        <v>0.95</v>
      </c>
      <c r="M156">
        <v>0.92</v>
      </c>
      <c r="N156">
        <v>0.92</v>
      </c>
      <c r="O156">
        <v>0.89</v>
      </c>
      <c r="P156">
        <v>0.98</v>
      </c>
      <c r="Q156">
        <v>1.17</v>
      </c>
      <c r="R156">
        <v>0.9</v>
      </c>
      <c r="S156">
        <v>1</v>
      </c>
      <c r="T156">
        <v>0.96</v>
      </c>
      <c r="U156">
        <v>0.88</v>
      </c>
      <c r="V156">
        <v>0.88</v>
      </c>
      <c r="W156">
        <v>0.93</v>
      </c>
      <c r="X156">
        <v>0.92</v>
      </c>
      <c r="Y156">
        <v>0.91</v>
      </c>
      <c r="Z156">
        <v>0.93</v>
      </c>
      <c r="AA156" s="8">
        <v>0.8158578856152513</v>
      </c>
      <c r="AB156" s="8">
        <v>1.02</v>
      </c>
      <c r="AC156" s="8">
        <v>0.94400000000000006</v>
      </c>
      <c r="AE156">
        <v>102402</v>
      </c>
      <c r="AF156" t="s">
        <v>205</v>
      </c>
      <c r="AG156">
        <v>3387</v>
      </c>
      <c r="AH156">
        <v>3631</v>
      </c>
      <c r="AI156">
        <v>93.3</v>
      </c>
      <c r="AK156">
        <v>102410</v>
      </c>
      <c r="AL156" t="s">
        <v>240</v>
      </c>
      <c r="AM156">
        <f t="shared" si="6"/>
        <v>94.4</v>
      </c>
      <c r="AN156">
        <f t="shared" si="7"/>
        <v>0.94400000000000006</v>
      </c>
    </row>
    <row r="157" spans="1:40" x14ac:dyDescent="0.25">
      <c r="A157">
        <v>102411</v>
      </c>
      <c r="B157" t="s">
        <v>168</v>
      </c>
      <c r="C157">
        <v>1.1100000000000001</v>
      </c>
      <c r="D157">
        <v>0.99</v>
      </c>
      <c r="E157">
        <v>1.03</v>
      </c>
      <c r="F157">
        <v>0.95</v>
      </c>
      <c r="G157">
        <v>0.88</v>
      </c>
      <c r="H157">
        <v>1</v>
      </c>
      <c r="I157">
        <v>0.97</v>
      </c>
      <c r="J157">
        <v>0.99</v>
      </c>
      <c r="K157">
        <v>0.98</v>
      </c>
      <c r="L157">
        <v>0.95</v>
      </c>
      <c r="M157">
        <v>0.93</v>
      </c>
      <c r="N157">
        <v>0.91</v>
      </c>
      <c r="O157">
        <v>0.89</v>
      </c>
      <c r="P157">
        <v>0.98</v>
      </c>
      <c r="Q157">
        <v>1.17</v>
      </c>
      <c r="R157">
        <v>0.9</v>
      </c>
      <c r="S157">
        <v>1</v>
      </c>
      <c r="T157">
        <v>0.97</v>
      </c>
      <c r="U157">
        <v>0.88</v>
      </c>
      <c r="V157">
        <v>0.88</v>
      </c>
      <c r="W157">
        <v>0.93</v>
      </c>
      <c r="X157">
        <v>0.93</v>
      </c>
      <c r="Y157">
        <v>0.92</v>
      </c>
      <c r="Z157">
        <v>0.87</v>
      </c>
      <c r="AA157" s="8">
        <v>0.78549222797927465</v>
      </c>
      <c r="AB157" s="8">
        <v>1.022</v>
      </c>
      <c r="AC157" s="8">
        <v>0.95</v>
      </c>
      <c r="AE157">
        <v>102716</v>
      </c>
      <c r="AF157" t="s">
        <v>52</v>
      </c>
      <c r="AG157">
        <v>4227</v>
      </c>
      <c r="AH157">
        <v>4364</v>
      </c>
      <c r="AI157">
        <v>96.9</v>
      </c>
      <c r="AK157">
        <v>102411</v>
      </c>
      <c r="AL157" t="s">
        <v>168</v>
      </c>
      <c r="AM157">
        <f t="shared" si="6"/>
        <v>95</v>
      </c>
      <c r="AN157">
        <f t="shared" si="7"/>
        <v>0.95</v>
      </c>
    </row>
    <row r="158" spans="1:40" x14ac:dyDescent="0.25">
      <c r="A158">
        <v>102412</v>
      </c>
      <c r="B158" t="s">
        <v>239</v>
      </c>
      <c r="C158">
        <v>1.1200000000000001</v>
      </c>
      <c r="D158">
        <v>0.99</v>
      </c>
      <c r="E158">
        <v>1.03</v>
      </c>
      <c r="F158">
        <v>0.95</v>
      </c>
      <c r="G158">
        <v>0.88</v>
      </c>
      <c r="H158">
        <v>1</v>
      </c>
      <c r="I158">
        <v>0.97</v>
      </c>
      <c r="J158">
        <v>0.99</v>
      </c>
      <c r="K158">
        <v>0.99</v>
      </c>
      <c r="L158">
        <v>0.95</v>
      </c>
      <c r="M158">
        <v>0.93</v>
      </c>
      <c r="N158">
        <v>0.92</v>
      </c>
      <c r="O158">
        <v>0.89</v>
      </c>
      <c r="P158">
        <v>0.98</v>
      </c>
      <c r="Q158">
        <v>1.17</v>
      </c>
      <c r="R158">
        <v>0.91</v>
      </c>
      <c r="S158">
        <v>1</v>
      </c>
      <c r="T158">
        <v>0.97</v>
      </c>
      <c r="U158">
        <v>0.88</v>
      </c>
      <c r="V158">
        <v>0.88</v>
      </c>
      <c r="W158">
        <v>0.94</v>
      </c>
      <c r="X158">
        <v>0.93</v>
      </c>
      <c r="Y158">
        <v>0.93</v>
      </c>
      <c r="Z158">
        <v>0.89</v>
      </c>
      <c r="AA158" s="8">
        <v>0.83515392254220455</v>
      </c>
      <c r="AB158" s="8">
        <v>1.012</v>
      </c>
      <c r="AC158" s="8">
        <v>0.95200000000000007</v>
      </c>
      <c r="AE158">
        <v>102407</v>
      </c>
      <c r="AF158" t="s">
        <v>336</v>
      </c>
      <c r="AG158">
        <v>3388</v>
      </c>
      <c r="AH158">
        <v>3494</v>
      </c>
      <c r="AI158">
        <v>97</v>
      </c>
      <c r="AK158">
        <v>102412</v>
      </c>
      <c r="AL158" t="s">
        <v>239</v>
      </c>
      <c r="AM158">
        <f t="shared" si="6"/>
        <v>95.2</v>
      </c>
      <c r="AN158">
        <f t="shared" si="7"/>
        <v>0.95200000000000007</v>
      </c>
    </row>
    <row r="159" spans="1:40" x14ac:dyDescent="0.25">
      <c r="A159">
        <v>102413</v>
      </c>
      <c r="B159" t="s">
        <v>337</v>
      </c>
      <c r="C159">
        <v>1.1100000000000001</v>
      </c>
      <c r="D159">
        <v>0.99</v>
      </c>
      <c r="E159">
        <v>1.03</v>
      </c>
      <c r="F159">
        <v>0.94</v>
      </c>
      <c r="G159">
        <v>0.88</v>
      </c>
      <c r="H159">
        <v>0.99</v>
      </c>
      <c r="I159">
        <v>0.96</v>
      </c>
      <c r="J159">
        <v>0.99</v>
      </c>
      <c r="K159">
        <v>0.98</v>
      </c>
      <c r="L159">
        <v>0.96</v>
      </c>
      <c r="M159">
        <v>0.92</v>
      </c>
      <c r="N159">
        <v>0.92</v>
      </c>
      <c r="O159">
        <v>0.88</v>
      </c>
      <c r="P159">
        <v>0.98</v>
      </c>
      <c r="Q159">
        <v>1.1499999999999999</v>
      </c>
      <c r="R159">
        <v>0.91</v>
      </c>
      <c r="S159">
        <v>0.99</v>
      </c>
      <c r="T159">
        <v>0.96</v>
      </c>
      <c r="U159">
        <v>0.89</v>
      </c>
      <c r="V159">
        <v>0.89</v>
      </c>
      <c r="W159">
        <v>0.95</v>
      </c>
      <c r="X159">
        <v>0.93</v>
      </c>
      <c r="Y159">
        <v>0.93</v>
      </c>
      <c r="Z159">
        <v>0.9</v>
      </c>
      <c r="AA159" s="8">
        <v>0.81387157951774591</v>
      </c>
      <c r="AB159" s="8">
        <v>1.0129999999999999</v>
      </c>
      <c r="AC159" s="8">
        <v>0.94700000000000006</v>
      </c>
      <c r="AE159">
        <v>102342</v>
      </c>
      <c r="AF159" t="s">
        <v>493</v>
      </c>
      <c r="AG159">
        <v>3610</v>
      </c>
      <c r="AH159">
        <v>3885</v>
      </c>
      <c r="AI159">
        <v>92.9</v>
      </c>
      <c r="AK159">
        <v>102413</v>
      </c>
      <c r="AL159" t="s">
        <v>337</v>
      </c>
      <c r="AM159">
        <f t="shared" si="6"/>
        <v>94.7</v>
      </c>
      <c r="AN159">
        <f t="shared" si="7"/>
        <v>0.94700000000000006</v>
      </c>
    </row>
    <row r="160" spans="1:40" x14ac:dyDescent="0.25">
      <c r="A160">
        <v>102414</v>
      </c>
      <c r="B160" t="s">
        <v>228</v>
      </c>
      <c r="C160">
        <v>1.1100000000000001</v>
      </c>
      <c r="D160">
        <v>0.99</v>
      </c>
      <c r="E160">
        <v>1.02</v>
      </c>
      <c r="F160">
        <v>0.93</v>
      </c>
      <c r="G160">
        <v>0.87</v>
      </c>
      <c r="H160">
        <v>0.99</v>
      </c>
      <c r="I160">
        <v>0.96</v>
      </c>
      <c r="J160">
        <v>0.99</v>
      </c>
      <c r="K160">
        <v>0.98</v>
      </c>
      <c r="L160">
        <v>0.96</v>
      </c>
      <c r="M160">
        <v>0.92</v>
      </c>
      <c r="N160">
        <v>0.92</v>
      </c>
      <c r="O160">
        <v>0.88</v>
      </c>
      <c r="P160">
        <v>0.98</v>
      </c>
      <c r="Q160">
        <v>1.1499999999999999</v>
      </c>
      <c r="R160">
        <v>0.91</v>
      </c>
      <c r="S160">
        <v>0.99</v>
      </c>
      <c r="T160">
        <v>0.96</v>
      </c>
      <c r="U160">
        <v>0.88</v>
      </c>
      <c r="V160">
        <v>0.88</v>
      </c>
      <c r="W160">
        <v>0.95</v>
      </c>
      <c r="X160">
        <v>0.94</v>
      </c>
      <c r="Y160">
        <v>0.94</v>
      </c>
      <c r="Z160">
        <v>0.95</v>
      </c>
      <c r="AA160" s="8">
        <v>0.8398391294061982</v>
      </c>
      <c r="AB160" s="8">
        <v>1.0509999999999999</v>
      </c>
      <c r="AC160" s="8">
        <v>0.97900000000000009</v>
      </c>
      <c r="AE160">
        <v>102234</v>
      </c>
      <c r="AF160" t="s">
        <v>319</v>
      </c>
      <c r="AG160">
        <v>3318</v>
      </c>
      <c r="AH160">
        <v>3511</v>
      </c>
      <c r="AI160">
        <v>94.5</v>
      </c>
      <c r="AK160">
        <v>102414</v>
      </c>
      <c r="AL160" t="s">
        <v>228</v>
      </c>
      <c r="AM160">
        <f t="shared" si="6"/>
        <v>97.9</v>
      </c>
      <c r="AN160">
        <f t="shared" si="7"/>
        <v>0.97900000000000009</v>
      </c>
    </row>
    <row r="161" spans="1:40" x14ac:dyDescent="0.25">
      <c r="A161">
        <v>102415</v>
      </c>
      <c r="B161" t="s">
        <v>282</v>
      </c>
      <c r="C161">
        <v>1.1200000000000001</v>
      </c>
      <c r="D161">
        <v>0.99</v>
      </c>
      <c r="E161">
        <v>1.02</v>
      </c>
      <c r="F161">
        <v>0.93</v>
      </c>
      <c r="G161">
        <v>0.88</v>
      </c>
      <c r="H161">
        <v>0.98</v>
      </c>
      <c r="I161">
        <v>0.96</v>
      </c>
      <c r="J161">
        <v>0.99</v>
      </c>
      <c r="K161">
        <v>0.99</v>
      </c>
      <c r="L161">
        <v>0.96</v>
      </c>
      <c r="M161">
        <v>0.93</v>
      </c>
      <c r="N161">
        <v>0.92</v>
      </c>
      <c r="O161">
        <v>0.88</v>
      </c>
      <c r="P161">
        <v>0.98</v>
      </c>
      <c r="Q161">
        <v>1.1499999999999999</v>
      </c>
      <c r="R161">
        <v>0.92</v>
      </c>
      <c r="S161">
        <v>1</v>
      </c>
      <c r="T161">
        <v>0.96</v>
      </c>
      <c r="U161">
        <v>0.89</v>
      </c>
      <c r="V161">
        <v>0.88</v>
      </c>
      <c r="W161">
        <v>0.95</v>
      </c>
      <c r="X161">
        <v>0.94</v>
      </c>
      <c r="Y161">
        <v>0.94</v>
      </c>
      <c r="Z161">
        <v>0.91</v>
      </c>
      <c r="AA161" s="8">
        <v>0.79835082458770612</v>
      </c>
      <c r="AB161" s="8">
        <v>1.032</v>
      </c>
      <c r="AC161" s="8">
        <v>0.96499999999999997</v>
      </c>
      <c r="AE161">
        <v>102527</v>
      </c>
      <c r="AF161" t="s">
        <v>206</v>
      </c>
      <c r="AG161">
        <v>3928</v>
      </c>
      <c r="AH161">
        <v>4119</v>
      </c>
      <c r="AI161">
        <v>95.4</v>
      </c>
      <c r="AK161">
        <v>102415</v>
      </c>
      <c r="AL161" t="s">
        <v>282</v>
      </c>
      <c r="AM161">
        <f t="shared" si="6"/>
        <v>96.5</v>
      </c>
      <c r="AN161">
        <f t="shared" si="7"/>
        <v>0.96499999999999997</v>
      </c>
    </row>
    <row r="162" spans="1:40" x14ac:dyDescent="0.25">
      <c r="A162">
        <v>102416</v>
      </c>
      <c r="B162" t="s">
        <v>285</v>
      </c>
      <c r="C162">
        <v>1.1100000000000001</v>
      </c>
      <c r="D162">
        <v>0.99</v>
      </c>
      <c r="E162">
        <v>1.02</v>
      </c>
      <c r="F162">
        <v>0.94</v>
      </c>
      <c r="G162">
        <v>0.88</v>
      </c>
      <c r="H162">
        <v>0.99</v>
      </c>
      <c r="I162">
        <v>0.97</v>
      </c>
      <c r="J162">
        <v>0.99</v>
      </c>
      <c r="K162">
        <v>0.99</v>
      </c>
      <c r="L162">
        <v>0.96</v>
      </c>
      <c r="M162">
        <v>0.93</v>
      </c>
      <c r="N162">
        <v>0.93</v>
      </c>
      <c r="O162">
        <v>0.89</v>
      </c>
      <c r="P162">
        <v>0.98</v>
      </c>
      <c r="Q162">
        <v>1.17</v>
      </c>
      <c r="R162">
        <v>0.91</v>
      </c>
      <c r="S162">
        <v>1.01</v>
      </c>
      <c r="T162">
        <v>0.97</v>
      </c>
      <c r="U162">
        <v>0.88</v>
      </c>
      <c r="V162">
        <v>0.86</v>
      </c>
      <c r="W162">
        <v>0.92</v>
      </c>
      <c r="X162">
        <v>0.91</v>
      </c>
      <c r="Y162">
        <v>0.91</v>
      </c>
      <c r="Z162">
        <v>0.85</v>
      </c>
      <c r="AA162" s="8">
        <v>0.78841807909604522</v>
      </c>
      <c r="AB162" s="8">
        <v>1.026</v>
      </c>
      <c r="AC162" s="8">
        <v>0.94900000000000007</v>
      </c>
      <c r="AE162">
        <v>102615</v>
      </c>
      <c r="AF162" t="s">
        <v>526</v>
      </c>
      <c r="AG162">
        <v>3622</v>
      </c>
      <c r="AH162">
        <v>3782</v>
      </c>
      <c r="AI162">
        <v>95.8</v>
      </c>
      <c r="AK162">
        <v>102416</v>
      </c>
      <c r="AL162" t="s">
        <v>285</v>
      </c>
      <c r="AM162">
        <f t="shared" si="6"/>
        <v>94.9</v>
      </c>
      <c r="AN162">
        <f t="shared" si="7"/>
        <v>0.94900000000000007</v>
      </c>
    </row>
    <row r="163" spans="1:40" x14ac:dyDescent="0.25">
      <c r="A163">
        <v>102417</v>
      </c>
      <c r="B163" t="s">
        <v>518</v>
      </c>
      <c r="C163">
        <v>1.1200000000000001</v>
      </c>
      <c r="D163">
        <v>0.99</v>
      </c>
      <c r="E163">
        <v>1.02</v>
      </c>
      <c r="F163">
        <v>0.95</v>
      </c>
      <c r="G163">
        <v>0.87</v>
      </c>
      <c r="H163">
        <v>1</v>
      </c>
      <c r="I163">
        <v>0.97</v>
      </c>
      <c r="J163">
        <v>0.99</v>
      </c>
      <c r="K163">
        <v>0.99</v>
      </c>
      <c r="L163">
        <v>0.95</v>
      </c>
      <c r="M163">
        <v>0.93</v>
      </c>
      <c r="N163">
        <v>0.92</v>
      </c>
      <c r="O163">
        <v>0.89</v>
      </c>
      <c r="P163">
        <v>0.99</v>
      </c>
      <c r="Q163">
        <v>1.18</v>
      </c>
      <c r="R163">
        <v>0.91</v>
      </c>
      <c r="S163">
        <v>1</v>
      </c>
      <c r="T163">
        <v>0.97</v>
      </c>
      <c r="U163">
        <v>0.88</v>
      </c>
      <c r="V163">
        <v>0.88</v>
      </c>
      <c r="W163">
        <v>0.93</v>
      </c>
      <c r="X163">
        <v>0.92</v>
      </c>
      <c r="Y163">
        <v>0.92</v>
      </c>
      <c r="Z163">
        <v>0.85</v>
      </c>
      <c r="AA163" s="8">
        <v>0.77780875383328685</v>
      </c>
      <c r="AB163" s="8">
        <v>1.0149999999999999</v>
      </c>
      <c r="AC163" s="8">
        <v>0.93500000000000005</v>
      </c>
      <c r="AE163">
        <v>102242</v>
      </c>
      <c r="AF163" t="s">
        <v>210</v>
      </c>
      <c r="AG163">
        <v>3007</v>
      </c>
      <c r="AH163">
        <v>3218</v>
      </c>
      <c r="AI163">
        <v>93.4</v>
      </c>
      <c r="AK163">
        <v>102417</v>
      </c>
      <c r="AL163" t="s">
        <v>518</v>
      </c>
      <c r="AM163">
        <f t="shared" si="6"/>
        <v>93.5</v>
      </c>
      <c r="AN163">
        <f t="shared" si="7"/>
        <v>0.93500000000000005</v>
      </c>
    </row>
    <row r="164" spans="1:40" x14ac:dyDescent="0.25">
      <c r="A164">
        <v>102418</v>
      </c>
      <c r="B164" t="s">
        <v>238</v>
      </c>
      <c r="C164">
        <v>1.1200000000000001</v>
      </c>
      <c r="D164">
        <v>0.98</v>
      </c>
      <c r="E164">
        <v>1.03</v>
      </c>
      <c r="F164">
        <v>0.95</v>
      </c>
      <c r="G164">
        <v>0.87</v>
      </c>
      <c r="H164">
        <v>1</v>
      </c>
      <c r="I164">
        <v>0.95</v>
      </c>
      <c r="J164">
        <v>0.98</v>
      </c>
      <c r="K164">
        <v>0.98</v>
      </c>
      <c r="L164">
        <v>0.95</v>
      </c>
      <c r="M164">
        <v>0.92</v>
      </c>
      <c r="N164">
        <v>0.91</v>
      </c>
      <c r="O164">
        <v>0.9</v>
      </c>
      <c r="P164">
        <v>0.98</v>
      </c>
      <c r="Q164">
        <v>1.17</v>
      </c>
      <c r="R164">
        <v>0.91</v>
      </c>
      <c r="S164">
        <v>1</v>
      </c>
      <c r="T164">
        <v>0.98</v>
      </c>
      <c r="U164">
        <v>0.87</v>
      </c>
      <c r="V164">
        <v>0.87</v>
      </c>
      <c r="W164">
        <v>0.9</v>
      </c>
      <c r="X164">
        <v>0.89</v>
      </c>
      <c r="Y164">
        <v>0.89</v>
      </c>
      <c r="Z164">
        <v>0.85</v>
      </c>
      <c r="AA164" s="8">
        <v>0.78424068767908306</v>
      </c>
      <c r="AB164" s="8">
        <v>1</v>
      </c>
      <c r="AC164" s="8">
        <v>0.93299999999999994</v>
      </c>
      <c r="AE164">
        <v>102254</v>
      </c>
      <c r="AF164" t="s">
        <v>84</v>
      </c>
      <c r="AG164">
        <v>3095</v>
      </c>
      <c r="AH164">
        <v>3312</v>
      </c>
      <c r="AI164">
        <v>93.5</v>
      </c>
      <c r="AK164">
        <v>102418</v>
      </c>
      <c r="AL164" t="s">
        <v>238</v>
      </c>
      <c r="AM164">
        <f t="shared" si="6"/>
        <v>93.3</v>
      </c>
      <c r="AN164">
        <f t="shared" si="7"/>
        <v>0.93299999999999994</v>
      </c>
    </row>
    <row r="165" spans="1:40" x14ac:dyDescent="0.25">
      <c r="A165">
        <v>102419</v>
      </c>
      <c r="B165" t="s">
        <v>241</v>
      </c>
      <c r="C165">
        <v>1.1200000000000001</v>
      </c>
      <c r="D165">
        <v>0.99</v>
      </c>
      <c r="E165">
        <v>1.02</v>
      </c>
      <c r="F165">
        <v>0.94</v>
      </c>
      <c r="G165">
        <v>0.88</v>
      </c>
      <c r="H165">
        <v>0.99</v>
      </c>
      <c r="I165">
        <v>0.97</v>
      </c>
      <c r="J165">
        <v>0.99</v>
      </c>
      <c r="K165">
        <v>0.99</v>
      </c>
      <c r="L165">
        <v>0.96</v>
      </c>
      <c r="M165">
        <v>0.93</v>
      </c>
      <c r="N165">
        <v>0.93</v>
      </c>
      <c r="O165">
        <v>0.89</v>
      </c>
      <c r="P165">
        <v>0.98</v>
      </c>
      <c r="Q165">
        <v>1.1599999999999999</v>
      </c>
      <c r="R165">
        <v>0.92</v>
      </c>
      <c r="S165">
        <v>1</v>
      </c>
      <c r="T165">
        <v>0.97</v>
      </c>
      <c r="U165">
        <v>0.89</v>
      </c>
      <c r="V165">
        <v>0.89</v>
      </c>
      <c r="W165">
        <v>0.96</v>
      </c>
      <c r="X165">
        <v>0.95</v>
      </c>
      <c r="Y165">
        <v>0.95</v>
      </c>
      <c r="Z165">
        <v>0.87</v>
      </c>
      <c r="AA165" s="8">
        <v>0.76776881020567556</v>
      </c>
      <c r="AB165" s="8">
        <v>1.0229999999999999</v>
      </c>
      <c r="AC165" s="8">
        <v>0.96</v>
      </c>
      <c r="AE165">
        <v>102333</v>
      </c>
      <c r="AF165" t="s">
        <v>80</v>
      </c>
      <c r="AG165">
        <v>3103</v>
      </c>
      <c r="AH165">
        <v>3325</v>
      </c>
      <c r="AI165">
        <v>93.3</v>
      </c>
      <c r="AK165">
        <v>102419</v>
      </c>
      <c r="AL165" t="s">
        <v>241</v>
      </c>
      <c r="AM165">
        <f t="shared" si="6"/>
        <v>96</v>
      </c>
      <c r="AN165">
        <f t="shared" si="7"/>
        <v>0.96</v>
      </c>
    </row>
    <row r="166" spans="1:40" x14ac:dyDescent="0.25">
      <c r="A166">
        <v>102420</v>
      </c>
      <c r="B166" t="s">
        <v>519</v>
      </c>
      <c r="C166">
        <v>1.1200000000000001</v>
      </c>
      <c r="D166">
        <v>0.99</v>
      </c>
      <c r="E166">
        <v>1.03</v>
      </c>
      <c r="F166">
        <v>0.94</v>
      </c>
      <c r="G166">
        <v>0.88</v>
      </c>
      <c r="H166">
        <v>1.01</v>
      </c>
      <c r="I166">
        <v>0.95</v>
      </c>
      <c r="J166">
        <v>0.99</v>
      </c>
      <c r="K166">
        <v>1</v>
      </c>
      <c r="L166">
        <v>0.96</v>
      </c>
      <c r="M166">
        <v>0.93</v>
      </c>
      <c r="N166">
        <v>0.91</v>
      </c>
      <c r="O166">
        <v>0.91</v>
      </c>
      <c r="P166">
        <v>0.99</v>
      </c>
      <c r="Q166">
        <v>1.1599999999999999</v>
      </c>
      <c r="R166">
        <v>0.91</v>
      </c>
      <c r="S166">
        <v>1.01</v>
      </c>
      <c r="T166">
        <v>0.99</v>
      </c>
      <c r="U166">
        <v>0.87</v>
      </c>
      <c r="V166">
        <v>0.88</v>
      </c>
      <c r="W166">
        <v>0.91</v>
      </c>
      <c r="X166">
        <v>0.89</v>
      </c>
      <c r="Y166">
        <v>0.88</v>
      </c>
      <c r="Z166">
        <v>0.94</v>
      </c>
      <c r="AA166" s="8">
        <v>0.83166626006343014</v>
      </c>
      <c r="AB166" s="8">
        <v>1.01</v>
      </c>
      <c r="AC166" s="8">
        <v>0.93599999999999994</v>
      </c>
      <c r="AE166">
        <v>102339</v>
      </c>
      <c r="AF166" t="s">
        <v>863</v>
      </c>
      <c r="AG166">
        <v>3022</v>
      </c>
      <c r="AH166">
        <v>3167</v>
      </c>
      <c r="AI166">
        <v>95.4</v>
      </c>
      <c r="AK166">
        <v>102420</v>
      </c>
      <c r="AL166" t="s">
        <v>519</v>
      </c>
      <c r="AM166">
        <f t="shared" si="6"/>
        <v>93.6</v>
      </c>
      <c r="AN166">
        <f t="shared" si="7"/>
        <v>0.93599999999999994</v>
      </c>
    </row>
    <row r="167" spans="1:40" x14ac:dyDescent="0.25">
      <c r="A167">
        <v>102421</v>
      </c>
      <c r="B167" t="s">
        <v>75</v>
      </c>
      <c r="C167">
        <v>1.1200000000000001</v>
      </c>
      <c r="D167">
        <v>0.98</v>
      </c>
      <c r="E167">
        <v>1.02</v>
      </c>
      <c r="F167">
        <v>0.93</v>
      </c>
      <c r="G167">
        <v>0.87</v>
      </c>
      <c r="H167">
        <v>1</v>
      </c>
      <c r="I167">
        <v>0.95</v>
      </c>
      <c r="J167">
        <v>0.99</v>
      </c>
      <c r="K167">
        <v>0.98</v>
      </c>
      <c r="L167">
        <v>0.95</v>
      </c>
      <c r="M167">
        <v>0.92</v>
      </c>
      <c r="N167">
        <v>0.91</v>
      </c>
      <c r="O167">
        <v>0.89</v>
      </c>
      <c r="P167">
        <v>0.98</v>
      </c>
      <c r="Q167">
        <v>1.17</v>
      </c>
      <c r="R167">
        <v>0.9</v>
      </c>
      <c r="S167">
        <v>1</v>
      </c>
      <c r="T167">
        <v>0.97</v>
      </c>
      <c r="U167">
        <v>0.88</v>
      </c>
      <c r="V167">
        <v>0.89</v>
      </c>
      <c r="W167">
        <v>0.95</v>
      </c>
      <c r="X167">
        <v>0.93</v>
      </c>
      <c r="Y167">
        <v>0.94</v>
      </c>
      <c r="Z167">
        <v>0.85</v>
      </c>
      <c r="AA167" s="8">
        <v>0.74614214301238857</v>
      </c>
      <c r="AB167" s="8">
        <v>1.0209999999999999</v>
      </c>
      <c r="AC167" s="8">
        <v>0.94400000000000006</v>
      </c>
      <c r="AE167">
        <v>102648</v>
      </c>
      <c r="AF167" t="s">
        <v>408</v>
      </c>
      <c r="AG167">
        <v>3377</v>
      </c>
      <c r="AH167">
        <v>3557</v>
      </c>
      <c r="AI167">
        <v>94.9</v>
      </c>
      <c r="AK167">
        <v>102421</v>
      </c>
      <c r="AL167" t="s">
        <v>75</v>
      </c>
      <c r="AM167">
        <f t="shared" si="6"/>
        <v>94.4</v>
      </c>
      <c r="AN167">
        <f t="shared" si="7"/>
        <v>0.94400000000000006</v>
      </c>
    </row>
    <row r="168" spans="1:40" x14ac:dyDescent="0.25">
      <c r="A168">
        <v>102422</v>
      </c>
      <c r="B168" t="s">
        <v>910</v>
      </c>
      <c r="Y168">
        <v>0.9</v>
      </c>
      <c r="Z168">
        <v>0.95</v>
      </c>
      <c r="AA168" s="8">
        <v>0.83162262502729856</v>
      </c>
      <c r="AB168" s="8">
        <v>1.012</v>
      </c>
      <c r="AC168" s="8">
        <v>0.94599999999999995</v>
      </c>
      <c r="AE168">
        <v>102533</v>
      </c>
      <c r="AF168" t="s">
        <v>70</v>
      </c>
      <c r="AG168">
        <v>3776</v>
      </c>
      <c r="AH168">
        <v>3967</v>
      </c>
      <c r="AI168">
        <v>95.2</v>
      </c>
      <c r="AK168">
        <v>102422</v>
      </c>
      <c r="AL168" t="s">
        <v>910</v>
      </c>
      <c r="AM168">
        <f t="shared" si="6"/>
        <v>94.6</v>
      </c>
      <c r="AN168">
        <f t="shared" si="7"/>
        <v>0.94599999999999995</v>
      </c>
    </row>
    <row r="169" spans="1:40" x14ac:dyDescent="0.25">
      <c r="A169">
        <v>102501</v>
      </c>
      <c r="B169" t="s">
        <v>217</v>
      </c>
      <c r="C169">
        <v>1.1000000000000001</v>
      </c>
      <c r="D169">
        <v>0.97</v>
      </c>
      <c r="E169">
        <v>1.02</v>
      </c>
      <c r="F169">
        <v>0.97</v>
      </c>
      <c r="G169">
        <v>0.88</v>
      </c>
      <c r="H169">
        <v>1.02</v>
      </c>
      <c r="I169">
        <v>0.97</v>
      </c>
      <c r="J169">
        <v>0.98</v>
      </c>
      <c r="K169">
        <v>0.96</v>
      </c>
      <c r="L169">
        <v>0.93</v>
      </c>
      <c r="M169">
        <v>0.92</v>
      </c>
      <c r="N169">
        <v>0.92</v>
      </c>
      <c r="O169">
        <v>0.9</v>
      </c>
      <c r="P169">
        <v>0.98</v>
      </c>
      <c r="Q169">
        <v>1.2</v>
      </c>
      <c r="R169">
        <v>0.92</v>
      </c>
      <c r="S169">
        <v>1</v>
      </c>
      <c r="T169">
        <v>0.97</v>
      </c>
      <c r="U169">
        <v>0.86</v>
      </c>
      <c r="V169">
        <v>0.88</v>
      </c>
      <c r="W169">
        <v>0.94</v>
      </c>
      <c r="X169">
        <v>0.94</v>
      </c>
      <c r="Y169">
        <v>0.93</v>
      </c>
      <c r="Z169">
        <v>0.98</v>
      </c>
      <c r="AA169" s="8">
        <v>0.84287179487179487</v>
      </c>
      <c r="AB169" s="8">
        <v>1.0270000000000001</v>
      </c>
      <c r="AC169" s="8">
        <v>0.96700000000000008</v>
      </c>
      <c r="AE169">
        <v>102632</v>
      </c>
      <c r="AF169" t="s">
        <v>356</v>
      </c>
      <c r="AG169">
        <v>3832</v>
      </c>
      <c r="AH169">
        <v>4168</v>
      </c>
      <c r="AI169">
        <v>91.9</v>
      </c>
      <c r="AK169">
        <v>102501</v>
      </c>
      <c r="AL169" t="s">
        <v>217</v>
      </c>
      <c r="AM169">
        <f t="shared" si="6"/>
        <v>96.7</v>
      </c>
      <c r="AN169">
        <f t="shared" si="7"/>
        <v>0.96700000000000008</v>
      </c>
    </row>
    <row r="170" spans="1:40" x14ac:dyDescent="0.25">
      <c r="A170">
        <v>102502</v>
      </c>
      <c r="B170" t="s">
        <v>120</v>
      </c>
      <c r="C170">
        <v>1.1000000000000001</v>
      </c>
      <c r="D170">
        <v>0.97</v>
      </c>
      <c r="E170">
        <v>1.01</v>
      </c>
      <c r="F170">
        <v>0.96</v>
      </c>
      <c r="G170">
        <v>0.86</v>
      </c>
      <c r="H170">
        <v>1.01</v>
      </c>
      <c r="I170">
        <v>0.96</v>
      </c>
      <c r="J170">
        <v>0.98</v>
      </c>
      <c r="K170">
        <v>0.96</v>
      </c>
      <c r="L170">
        <v>0.93</v>
      </c>
      <c r="M170">
        <v>0.93</v>
      </c>
      <c r="N170">
        <v>0.91</v>
      </c>
      <c r="O170">
        <v>0.89</v>
      </c>
      <c r="P170">
        <v>0.98</v>
      </c>
      <c r="Q170">
        <v>1.2</v>
      </c>
      <c r="R170">
        <v>0.91</v>
      </c>
      <c r="S170">
        <v>0.99</v>
      </c>
      <c r="T170">
        <v>0.97</v>
      </c>
      <c r="U170">
        <v>0.85</v>
      </c>
      <c r="V170">
        <v>0.87</v>
      </c>
      <c r="W170">
        <v>0.92</v>
      </c>
      <c r="X170">
        <v>0.91</v>
      </c>
      <c r="Y170">
        <v>0.92</v>
      </c>
      <c r="Z170">
        <v>0.91</v>
      </c>
      <c r="AA170" s="8">
        <v>0.80232244126384011</v>
      </c>
      <c r="AB170" s="8">
        <v>1.014</v>
      </c>
      <c r="AC170" s="8">
        <v>0.95799999999999996</v>
      </c>
      <c r="AE170">
        <v>102916</v>
      </c>
      <c r="AF170" t="s">
        <v>51</v>
      </c>
      <c r="AG170">
        <v>4570</v>
      </c>
      <c r="AH170">
        <v>4690</v>
      </c>
      <c r="AI170">
        <v>97.4</v>
      </c>
      <c r="AK170">
        <v>102502</v>
      </c>
      <c r="AL170" t="s">
        <v>120</v>
      </c>
      <c r="AM170">
        <f t="shared" si="6"/>
        <v>95.8</v>
      </c>
      <c r="AN170">
        <f t="shared" si="7"/>
        <v>0.95799999999999996</v>
      </c>
    </row>
    <row r="171" spans="1:40" x14ac:dyDescent="0.25">
      <c r="A171">
        <v>102503</v>
      </c>
      <c r="B171" t="s">
        <v>119</v>
      </c>
      <c r="C171">
        <v>1.1000000000000001</v>
      </c>
      <c r="D171">
        <v>0.97</v>
      </c>
      <c r="E171">
        <v>1</v>
      </c>
      <c r="F171">
        <v>0.96</v>
      </c>
      <c r="G171">
        <v>0.87</v>
      </c>
      <c r="H171">
        <v>1.02</v>
      </c>
      <c r="I171">
        <v>0.98</v>
      </c>
      <c r="J171">
        <v>0.98</v>
      </c>
      <c r="K171">
        <v>0.96</v>
      </c>
      <c r="L171">
        <v>0.93</v>
      </c>
      <c r="M171">
        <v>0.94</v>
      </c>
      <c r="N171">
        <v>0.93</v>
      </c>
      <c r="O171">
        <v>0.9</v>
      </c>
      <c r="P171">
        <v>0.99</v>
      </c>
      <c r="Q171">
        <v>1.21</v>
      </c>
      <c r="R171">
        <v>0.92</v>
      </c>
      <c r="S171">
        <v>1</v>
      </c>
      <c r="T171">
        <v>0.98</v>
      </c>
      <c r="U171">
        <v>0.85</v>
      </c>
      <c r="V171">
        <v>0.87</v>
      </c>
      <c r="W171">
        <v>0.94</v>
      </c>
      <c r="X171">
        <v>0.94</v>
      </c>
      <c r="Y171">
        <v>0.93</v>
      </c>
      <c r="Z171">
        <v>0.91</v>
      </c>
      <c r="AA171" s="8">
        <v>0.79814907453726869</v>
      </c>
      <c r="AB171" s="8">
        <v>1.0309999999999999</v>
      </c>
      <c r="AC171" s="8">
        <v>0.96</v>
      </c>
      <c r="AE171">
        <v>102409</v>
      </c>
      <c r="AF171" t="s">
        <v>88</v>
      </c>
      <c r="AG171">
        <v>3356</v>
      </c>
      <c r="AH171">
        <v>3472</v>
      </c>
      <c r="AI171">
        <v>96.6</v>
      </c>
      <c r="AK171">
        <v>102503</v>
      </c>
      <c r="AL171" t="s">
        <v>119</v>
      </c>
      <c r="AM171">
        <f t="shared" si="6"/>
        <v>96</v>
      </c>
      <c r="AN171">
        <f t="shared" si="7"/>
        <v>0.96</v>
      </c>
    </row>
    <row r="172" spans="1:40" x14ac:dyDescent="0.25">
      <c r="A172">
        <v>102504</v>
      </c>
      <c r="B172" t="s">
        <v>236</v>
      </c>
      <c r="C172">
        <v>1.1000000000000001</v>
      </c>
      <c r="D172">
        <v>0.97</v>
      </c>
      <c r="E172">
        <v>0.99</v>
      </c>
      <c r="F172">
        <v>0.96</v>
      </c>
      <c r="G172">
        <v>0.86</v>
      </c>
      <c r="H172">
        <v>1.02</v>
      </c>
      <c r="I172">
        <v>0.98</v>
      </c>
      <c r="J172">
        <v>0.98</v>
      </c>
      <c r="K172">
        <v>0.97</v>
      </c>
      <c r="L172">
        <v>0.93</v>
      </c>
      <c r="M172">
        <v>0.94</v>
      </c>
      <c r="N172">
        <v>0.94</v>
      </c>
      <c r="O172">
        <v>0.91</v>
      </c>
      <c r="P172">
        <v>1</v>
      </c>
      <c r="Q172">
        <v>1.19</v>
      </c>
      <c r="R172">
        <v>0.93</v>
      </c>
      <c r="S172">
        <v>1</v>
      </c>
      <c r="T172">
        <v>0.97</v>
      </c>
      <c r="U172">
        <v>0.86</v>
      </c>
      <c r="V172">
        <v>0.89</v>
      </c>
      <c r="W172">
        <v>0.94</v>
      </c>
      <c r="X172">
        <v>0.95</v>
      </c>
      <c r="Y172">
        <v>0.94</v>
      </c>
      <c r="Z172">
        <v>0.98</v>
      </c>
      <c r="AA172" s="8">
        <v>0.8614258323165418</v>
      </c>
      <c r="AB172" s="8">
        <v>1.0090000000000001</v>
      </c>
      <c r="AC172" s="8">
        <v>0.94499999999999995</v>
      </c>
      <c r="AE172">
        <v>102616</v>
      </c>
      <c r="AF172" t="s">
        <v>221</v>
      </c>
      <c r="AG172">
        <v>3625</v>
      </c>
      <c r="AH172">
        <v>3699</v>
      </c>
      <c r="AI172">
        <v>98</v>
      </c>
      <c r="AK172">
        <v>102504</v>
      </c>
      <c r="AL172" t="s">
        <v>236</v>
      </c>
      <c r="AM172">
        <f t="shared" si="6"/>
        <v>94.5</v>
      </c>
      <c r="AN172">
        <f t="shared" si="7"/>
        <v>0.94499999999999995</v>
      </c>
    </row>
    <row r="173" spans="1:40" x14ac:dyDescent="0.25">
      <c r="A173">
        <v>102505</v>
      </c>
      <c r="B173" t="s">
        <v>130</v>
      </c>
      <c r="C173">
        <v>1.08</v>
      </c>
      <c r="D173">
        <v>0.95</v>
      </c>
      <c r="E173">
        <v>0.97</v>
      </c>
      <c r="F173">
        <v>0.95</v>
      </c>
      <c r="G173">
        <v>0.86</v>
      </c>
      <c r="H173">
        <v>1.02</v>
      </c>
      <c r="I173">
        <v>0.99</v>
      </c>
      <c r="J173">
        <v>0.97</v>
      </c>
      <c r="K173">
        <v>0.96</v>
      </c>
      <c r="L173">
        <v>0.93</v>
      </c>
      <c r="M173">
        <v>0.94</v>
      </c>
      <c r="N173">
        <v>0.95</v>
      </c>
      <c r="O173">
        <v>0.92</v>
      </c>
      <c r="P173">
        <v>1.01</v>
      </c>
      <c r="Q173">
        <v>1.19</v>
      </c>
      <c r="R173">
        <v>0.94</v>
      </c>
      <c r="S173">
        <v>1</v>
      </c>
      <c r="T173">
        <v>0.97</v>
      </c>
      <c r="U173">
        <v>0.85</v>
      </c>
      <c r="V173">
        <v>0.89</v>
      </c>
      <c r="W173">
        <v>0.95</v>
      </c>
      <c r="X173">
        <v>0.97</v>
      </c>
      <c r="Y173">
        <v>0.96</v>
      </c>
      <c r="Z173">
        <v>0.86</v>
      </c>
      <c r="AA173" s="8">
        <v>0.80866523143164692</v>
      </c>
      <c r="AB173" s="8">
        <v>1.0429999999999999</v>
      </c>
      <c r="AC173" s="8">
        <v>0.97599999999999998</v>
      </c>
      <c r="AE173">
        <v>102914</v>
      </c>
      <c r="AF173" t="s">
        <v>258</v>
      </c>
      <c r="AG173">
        <v>5229</v>
      </c>
      <c r="AH173">
        <v>5528</v>
      </c>
      <c r="AI173">
        <v>94.6</v>
      </c>
      <c r="AK173">
        <v>102505</v>
      </c>
      <c r="AL173" t="s">
        <v>130</v>
      </c>
      <c r="AM173">
        <f t="shared" si="6"/>
        <v>97.6</v>
      </c>
      <c r="AN173">
        <f t="shared" si="7"/>
        <v>0.97599999999999998</v>
      </c>
    </row>
    <row r="174" spans="1:40" x14ac:dyDescent="0.25">
      <c r="A174">
        <v>102506</v>
      </c>
      <c r="B174" t="s">
        <v>520</v>
      </c>
      <c r="C174">
        <v>1.08</v>
      </c>
      <c r="D174">
        <v>0.96</v>
      </c>
      <c r="E174">
        <v>0.99</v>
      </c>
      <c r="F174">
        <v>0.96</v>
      </c>
      <c r="G174">
        <v>0.87</v>
      </c>
      <c r="H174">
        <v>1.02</v>
      </c>
      <c r="I174">
        <v>0.98</v>
      </c>
      <c r="J174">
        <v>0.97</v>
      </c>
      <c r="K174">
        <v>0.97</v>
      </c>
      <c r="L174">
        <v>0.94</v>
      </c>
      <c r="M174">
        <v>0.94</v>
      </c>
      <c r="N174">
        <v>0.95</v>
      </c>
      <c r="O174">
        <v>0.91</v>
      </c>
      <c r="P174">
        <v>0.99</v>
      </c>
      <c r="Q174">
        <v>1.17</v>
      </c>
      <c r="R174">
        <v>0.93</v>
      </c>
      <c r="S174">
        <v>1</v>
      </c>
      <c r="T174">
        <v>0.97</v>
      </c>
      <c r="U174">
        <v>0.87</v>
      </c>
      <c r="V174">
        <v>0.89</v>
      </c>
      <c r="W174">
        <v>0.91</v>
      </c>
      <c r="X174">
        <v>0.92</v>
      </c>
      <c r="Y174">
        <v>0.9</v>
      </c>
      <c r="Z174">
        <v>0.89</v>
      </c>
      <c r="AA174" s="8">
        <v>0.78117827084927316</v>
      </c>
      <c r="AB174" s="8">
        <v>1.0109999999999999</v>
      </c>
      <c r="AC174" s="8">
        <v>0.94599999999999995</v>
      </c>
      <c r="AE174">
        <v>102244</v>
      </c>
      <c r="AF174" t="s">
        <v>1224</v>
      </c>
      <c r="AG174">
        <v>3375</v>
      </c>
      <c r="AH174">
        <v>3561</v>
      </c>
      <c r="AI174">
        <v>94.8</v>
      </c>
      <c r="AK174">
        <v>102506</v>
      </c>
      <c r="AL174" t="s">
        <v>520</v>
      </c>
      <c r="AM174">
        <f t="shared" si="6"/>
        <v>94.6</v>
      </c>
      <c r="AN174">
        <f t="shared" si="7"/>
        <v>0.94599999999999995</v>
      </c>
    </row>
    <row r="175" spans="1:40" x14ac:dyDescent="0.25">
      <c r="A175">
        <v>102507</v>
      </c>
      <c r="B175" t="s">
        <v>166</v>
      </c>
      <c r="C175">
        <v>1.1000000000000001</v>
      </c>
      <c r="D175">
        <v>0.98</v>
      </c>
      <c r="E175">
        <v>1.01</v>
      </c>
      <c r="F175">
        <v>0.95</v>
      </c>
      <c r="G175">
        <v>0.85</v>
      </c>
      <c r="H175">
        <v>1.01</v>
      </c>
      <c r="I175">
        <v>0.96</v>
      </c>
      <c r="J175">
        <v>0.97</v>
      </c>
      <c r="K175">
        <v>0.96</v>
      </c>
      <c r="L175">
        <v>0.93</v>
      </c>
      <c r="M175">
        <v>0.92</v>
      </c>
      <c r="N175">
        <v>0.92</v>
      </c>
      <c r="O175">
        <v>0.89</v>
      </c>
      <c r="P175">
        <v>0.99</v>
      </c>
      <c r="Q175">
        <v>1.2</v>
      </c>
      <c r="R175">
        <v>0.91</v>
      </c>
      <c r="S175">
        <v>1</v>
      </c>
      <c r="T175">
        <v>0.97</v>
      </c>
      <c r="U175">
        <v>0.86</v>
      </c>
      <c r="V175">
        <v>0.88</v>
      </c>
      <c r="W175">
        <v>0.93</v>
      </c>
      <c r="X175">
        <v>0.92</v>
      </c>
      <c r="Y175">
        <v>0.92</v>
      </c>
      <c r="Z175">
        <v>0.9</v>
      </c>
      <c r="AA175" s="8">
        <v>0.80212765957446808</v>
      </c>
      <c r="AB175" s="8">
        <v>1.0029999999999999</v>
      </c>
      <c r="AC175" s="8">
        <v>0.93900000000000006</v>
      </c>
      <c r="AE175">
        <v>102309</v>
      </c>
      <c r="AF175" t="s">
        <v>163</v>
      </c>
      <c r="AG175">
        <v>3298</v>
      </c>
      <c r="AH175">
        <v>3483</v>
      </c>
      <c r="AI175">
        <v>94.7</v>
      </c>
      <c r="AK175">
        <v>102507</v>
      </c>
      <c r="AL175" t="s">
        <v>166</v>
      </c>
      <c r="AM175">
        <f t="shared" si="6"/>
        <v>93.9</v>
      </c>
      <c r="AN175">
        <f t="shared" si="7"/>
        <v>0.93900000000000006</v>
      </c>
    </row>
    <row r="176" spans="1:40" x14ac:dyDescent="0.25">
      <c r="A176">
        <v>102508</v>
      </c>
      <c r="B176" t="s">
        <v>172</v>
      </c>
      <c r="C176">
        <v>1.1000000000000001</v>
      </c>
      <c r="D176">
        <v>0.98</v>
      </c>
      <c r="E176">
        <v>1.01</v>
      </c>
      <c r="F176">
        <v>0.95</v>
      </c>
      <c r="G176">
        <v>0.86</v>
      </c>
      <c r="H176">
        <v>1.01</v>
      </c>
      <c r="I176">
        <v>0.97</v>
      </c>
      <c r="J176">
        <v>0.98</v>
      </c>
      <c r="K176">
        <v>0.96</v>
      </c>
      <c r="L176">
        <v>0.93</v>
      </c>
      <c r="M176">
        <v>0.92</v>
      </c>
      <c r="N176">
        <v>0.92</v>
      </c>
      <c r="O176">
        <v>0.89</v>
      </c>
      <c r="P176">
        <v>0.99</v>
      </c>
      <c r="Q176">
        <v>1.19</v>
      </c>
      <c r="R176">
        <v>0.91</v>
      </c>
      <c r="S176">
        <v>0.99</v>
      </c>
      <c r="T176">
        <v>0.96</v>
      </c>
      <c r="U176">
        <v>0.86</v>
      </c>
      <c r="V176">
        <v>0.87</v>
      </c>
      <c r="W176">
        <v>0.94</v>
      </c>
      <c r="X176">
        <v>0.95</v>
      </c>
      <c r="Y176">
        <v>0.93</v>
      </c>
      <c r="Z176">
        <v>0.92</v>
      </c>
      <c r="AA176" s="8">
        <v>0.80309498399146206</v>
      </c>
      <c r="AB176" s="8">
        <v>1.0649999999999999</v>
      </c>
      <c r="AC176" s="8">
        <v>0.99099999999999999</v>
      </c>
      <c r="AE176">
        <v>102645</v>
      </c>
      <c r="AF176" t="s">
        <v>313</v>
      </c>
      <c r="AG176">
        <v>3493</v>
      </c>
      <c r="AH176">
        <v>3671</v>
      </c>
      <c r="AI176">
        <v>95.2</v>
      </c>
      <c r="AK176">
        <v>102508</v>
      </c>
      <c r="AL176" t="s">
        <v>172</v>
      </c>
      <c r="AM176">
        <f t="shared" si="6"/>
        <v>99.1</v>
      </c>
      <c r="AN176">
        <f t="shared" si="7"/>
        <v>0.99099999999999999</v>
      </c>
    </row>
    <row r="177" spans="1:40" x14ac:dyDescent="0.25">
      <c r="A177">
        <v>102509</v>
      </c>
      <c r="B177" t="s">
        <v>246</v>
      </c>
      <c r="C177">
        <v>1.0900000000000001</v>
      </c>
      <c r="D177">
        <v>0.96</v>
      </c>
      <c r="E177">
        <v>1</v>
      </c>
      <c r="F177">
        <v>0.96</v>
      </c>
      <c r="G177">
        <v>0.87</v>
      </c>
      <c r="H177">
        <v>1.01</v>
      </c>
      <c r="I177">
        <v>0.98</v>
      </c>
      <c r="J177">
        <v>0.97</v>
      </c>
      <c r="K177">
        <v>0.97</v>
      </c>
      <c r="L177">
        <v>0.94</v>
      </c>
      <c r="M177">
        <v>0.92</v>
      </c>
      <c r="N177">
        <v>0.93</v>
      </c>
      <c r="O177">
        <v>0.9</v>
      </c>
      <c r="P177">
        <v>0.99</v>
      </c>
      <c r="Q177">
        <v>1.17</v>
      </c>
      <c r="R177">
        <v>0.92</v>
      </c>
      <c r="S177">
        <v>1</v>
      </c>
      <c r="T177">
        <v>0.96</v>
      </c>
      <c r="U177">
        <v>0.87</v>
      </c>
      <c r="V177">
        <v>0.9</v>
      </c>
      <c r="W177">
        <v>0.94</v>
      </c>
      <c r="X177">
        <v>0.95</v>
      </c>
      <c r="Y177">
        <v>0.93</v>
      </c>
      <c r="Z177">
        <v>0.88</v>
      </c>
      <c r="AA177" s="8">
        <v>0.82588746679545999</v>
      </c>
      <c r="AB177" s="8">
        <v>1.056</v>
      </c>
      <c r="AC177" s="8">
        <v>0.995</v>
      </c>
      <c r="AE177">
        <v>102413</v>
      </c>
      <c r="AF177" t="s">
        <v>337</v>
      </c>
      <c r="AG177">
        <v>3430</v>
      </c>
      <c r="AH177">
        <v>3621</v>
      </c>
      <c r="AI177">
        <v>94.7</v>
      </c>
      <c r="AK177">
        <v>102509</v>
      </c>
      <c r="AL177" t="s">
        <v>246</v>
      </c>
      <c r="AM177">
        <f t="shared" si="6"/>
        <v>99.5</v>
      </c>
      <c r="AN177">
        <f t="shared" si="7"/>
        <v>0.995</v>
      </c>
    </row>
    <row r="178" spans="1:40" x14ac:dyDescent="0.25">
      <c r="A178">
        <v>102510</v>
      </c>
      <c r="B178" t="s">
        <v>165</v>
      </c>
      <c r="C178">
        <v>1.1000000000000001</v>
      </c>
      <c r="D178">
        <v>0.97</v>
      </c>
      <c r="E178">
        <v>1.01</v>
      </c>
      <c r="F178">
        <v>0.96</v>
      </c>
      <c r="G178">
        <v>0.87</v>
      </c>
      <c r="H178">
        <v>1.01</v>
      </c>
      <c r="I178">
        <v>0.97</v>
      </c>
      <c r="J178">
        <v>0.98</v>
      </c>
      <c r="K178">
        <v>0.97</v>
      </c>
      <c r="L178">
        <v>0.94</v>
      </c>
      <c r="M178">
        <v>0.92</v>
      </c>
      <c r="N178">
        <v>0.92</v>
      </c>
      <c r="O178">
        <v>0.9</v>
      </c>
      <c r="P178">
        <v>0.99</v>
      </c>
      <c r="Q178">
        <v>1.1599999999999999</v>
      </c>
      <c r="R178">
        <v>0.9</v>
      </c>
      <c r="S178">
        <v>0.99</v>
      </c>
      <c r="T178">
        <v>0.96</v>
      </c>
      <c r="U178">
        <v>0.87</v>
      </c>
      <c r="V178">
        <v>0.89</v>
      </c>
      <c r="W178">
        <v>0.95</v>
      </c>
      <c r="X178">
        <v>0.96</v>
      </c>
      <c r="Y178">
        <v>0.94</v>
      </c>
      <c r="Z178">
        <v>0.94</v>
      </c>
      <c r="AA178" s="8">
        <v>0.81822313110656664</v>
      </c>
      <c r="AB178" s="8">
        <v>1.024</v>
      </c>
      <c r="AC178" s="8">
        <v>0.95099999999999996</v>
      </c>
      <c r="AE178">
        <v>102609</v>
      </c>
      <c r="AF178" t="s">
        <v>121</v>
      </c>
      <c r="AG178">
        <v>3398</v>
      </c>
      <c r="AH178">
        <v>3632</v>
      </c>
      <c r="AI178">
        <v>93.5</v>
      </c>
      <c r="AK178">
        <v>102510</v>
      </c>
      <c r="AL178" t="s">
        <v>165</v>
      </c>
      <c r="AM178">
        <f t="shared" si="6"/>
        <v>95.1</v>
      </c>
      <c r="AN178">
        <f t="shared" si="7"/>
        <v>0.95099999999999996</v>
      </c>
    </row>
    <row r="179" spans="1:40" x14ac:dyDescent="0.25">
      <c r="A179">
        <v>102511</v>
      </c>
      <c r="B179" t="s">
        <v>184</v>
      </c>
      <c r="C179">
        <v>1.1000000000000001</v>
      </c>
      <c r="D179">
        <v>0.98</v>
      </c>
      <c r="E179">
        <v>1.02</v>
      </c>
      <c r="F179">
        <v>0.96</v>
      </c>
      <c r="G179">
        <v>0.87</v>
      </c>
      <c r="H179">
        <v>1.01</v>
      </c>
      <c r="I179">
        <v>0.96</v>
      </c>
      <c r="J179">
        <v>0.98</v>
      </c>
      <c r="K179">
        <v>0.97</v>
      </c>
      <c r="L179">
        <v>0.95</v>
      </c>
      <c r="M179">
        <v>0.92</v>
      </c>
      <c r="N179">
        <v>0.92</v>
      </c>
      <c r="O179">
        <v>0.9</v>
      </c>
      <c r="P179">
        <v>0.99</v>
      </c>
      <c r="Q179">
        <v>1.17</v>
      </c>
      <c r="R179">
        <v>0.91</v>
      </c>
      <c r="S179">
        <v>1</v>
      </c>
      <c r="T179">
        <v>0.96</v>
      </c>
      <c r="U179">
        <v>0.87</v>
      </c>
      <c r="V179">
        <v>0.89</v>
      </c>
      <c r="W179">
        <v>0.94</v>
      </c>
      <c r="X179">
        <v>0.92</v>
      </c>
      <c r="Y179">
        <v>0.92</v>
      </c>
      <c r="Z179">
        <v>0.87</v>
      </c>
      <c r="AA179" s="8">
        <v>0.83445945945945943</v>
      </c>
      <c r="AB179" s="8">
        <v>1.0129999999999999</v>
      </c>
      <c r="AC179" s="8">
        <v>0.94099999999999995</v>
      </c>
      <c r="AE179">
        <v>102321</v>
      </c>
      <c r="AF179" t="s">
        <v>223</v>
      </c>
      <c r="AG179">
        <v>3697</v>
      </c>
      <c r="AH179">
        <v>3870</v>
      </c>
      <c r="AI179">
        <v>95.5</v>
      </c>
      <c r="AK179">
        <v>102511</v>
      </c>
      <c r="AL179" t="s">
        <v>184</v>
      </c>
      <c r="AM179">
        <f t="shared" si="6"/>
        <v>94.1</v>
      </c>
      <c r="AN179">
        <f t="shared" si="7"/>
        <v>0.94099999999999995</v>
      </c>
    </row>
    <row r="180" spans="1:40" x14ac:dyDescent="0.25">
      <c r="A180">
        <v>102512</v>
      </c>
      <c r="B180" t="s">
        <v>334</v>
      </c>
      <c r="C180">
        <v>1.1100000000000001</v>
      </c>
      <c r="D180">
        <v>0.98</v>
      </c>
      <c r="E180">
        <v>1.03</v>
      </c>
      <c r="F180">
        <v>0.95</v>
      </c>
      <c r="G180">
        <v>0.87</v>
      </c>
      <c r="H180">
        <v>1.01</v>
      </c>
      <c r="I180">
        <v>0.96</v>
      </c>
      <c r="J180">
        <v>0.98</v>
      </c>
      <c r="K180">
        <v>0.97</v>
      </c>
      <c r="L180">
        <v>0.95</v>
      </c>
      <c r="M180">
        <v>0.92</v>
      </c>
      <c r="N180">
        <v>0.91</v>
      </c>
      <c r="O180">
        <v>0.9</v>
      </c>
      <c r="P180">
        <v>0.98</v>
      </c>
      <c r="Q180">
        <v>1.17</v>
      </c>
      <c r="R180">
        <v>0.9</v>
      </c>
      <c r="S180">
        <v>1</v>
      </c>
      <c r="T180">
        <v>0.96</v>
      </c>
      <c r="U180">
        <v>0.88</v>
      </c>
      <c r="V180">
        <v>0.9</v>
      </c>
      <c r="W180">
        <v>0.95</v>
      </c>
      <c r="X180">
        <v>0.93</v>
      </c>
      <c r="Y180">
        <v>0.93</v>
      </c>
      <c r="Z180">
        <v>0.96</v>
      </c>
      <c r="AA180" s="8">
        <v>0.84924078091106292</v>
      </c>
      <c r="AB180" s="8">
        <v>1.008</v>
      </c>
      <c r="AC180" s="8">
        <v>0.93599999999999994</v>
      </c>
      <c r="AE180">
        <v>102252</v>
      </c>
      <c r="AF180" t="s">
        <v>1225</v>
      </c>
      <c r="AG180">
        <v>3125</v>
      </c>
      <c r="AH180">
        <v>3356</v>
      </c>
      <c r="AI180">
        <v>93.1</v>
      </c>
      <c r="AK180">
        <v>102512</v>
      </c>
      <c r="AL180" t="s">
        <v>334</v>
      </c>
      <c r="AM180">
        <f t="shared" si="6"/>
        <v>93.6</v>
      </c>
      <c r="AN180">
        <f t="shared" si="7"/>
        <v>0.93599999999999994</v>
      </c>
    </row>
    <row r="181" spans="1:40" x14ac:dyDescent="0.25">
      <c r="A181">
        <v>102513</v>
      </c>
      <c r="B181" t="s">
        <v>456</v>
      </c>
      <c r="C181">
        <v>1.1100000000000001</v>
      </c>
      <c r="D181">
        <v>0.98</v>
      </c>
      <c r="E181">
        <v>1.02</v>
      </c>
      <c r="F181">
        <v>0.95</v>
      </c>
      <c r="G181">
        <v>0.87</v>
      </c>
      <c r="H181">
        <v>1.01</v>
      </c>
      <c r="I181">
        <v>0.97</v>
      </c>
      <c r="J181">
        <v>0.98</v>
      </c>
      <c r="K181">
        <v>0.97</v>
      </c>
      <c r="L181">
        <v>0.94</v>
      </c>
      <c r="M181">
        <v>0.92</v>
      </c>
      <c r="N181">
        <v>0.92</v>
      </c>
      <c r="O181">
        <v>0.89</v>
      </c>
      <c r="P181">
        <v>0.99</v>
      </c>
      <c r="Q181">
        <v>1.1599999999999999</v>
      </c>
      <c r="R181">
        <v>0.9</v>
      </c>
      <c r="S181">
        <v>0.99</v>
      </c>
      <c r="T181">
        <v>0.95</v>
      </c>
      <c r="U181">
        <v>0.87</v>
      </c>
      <c r="V181">
        <v>0.87</v>
      </c>
      <c r="W181">
        <v>0.93</v>
      </c>
      <c r="X181">
        <v>0.93</v>
      </c>
      <c r="Y181">
        <v>0.92</v>
      </c>
      <c r="Z181">
        <v>0.88</v>
      </c>
      <c r="AA181" s="8">
        <v>0.79820123664980325</v>
      </c>
      <c r="AB181" s="8">
        <v>1.022</v>
      </c>
      <c r="AC181" s="8">
        <v>0.94099999999999995</v>
      </c>
      <c r="AE181">
        <v>102712</v>
      </c>
      <c r="AF181" t="s">
        <v>8</v>
      </c>
      <c r="AG181">
        <v>4006</v>
      </c>
      <c r="AH181">
        <v>4185</v>
      </c>
      <c r="AI181">
        <v>95.7</v>
      </c>
      <c r="AK181">
        <v>102513</v>
      </c>
      <c r="AL181" t="s">
        <v>456</v>
      </c>
      <c r="AM181">
        <f t="shared" si="6"/>
        <v>94.1</v>
      </c>
      <c r="AN181">
        <f t="shared" si="7"/>
        <v>0.94099999999999995</v>
      </c>
    </row>
    <row r="182" spans="1:40" x14ac:dyDescent="0.25">
      <c r="A182">
        <v>102514</v>
      </c>
      <c r="B182" t="s">
        <v>521</v>
      </c>
      <c r="C182">
        <v>1.1000000000000001</v>
      </c>
      <c r="D182">
        <v>0.98</v>
      </c>
      <c r="E182">
        <v>1.02</v>
      </c>
      <c r="F182">
        <v>0.96</v>
      </c>
      <c r="G182">
        <v>0.87</v>
      </c>
      <c r="H182">
        <v>1.01</v>
      </c>
      <c r="I182">
        <v>0.97</v>
      </c>
      <c r="J182">
        <v>0.98</v>
      </c>
      <c r="K182">
        <v>0.97</v>
      </c>
      <c r="L182">
        <v>0.94</v>
      </c>
      <c r="M182">
        <v>0.92</v>
      </c>
      <c r="N182">
        <v>0.92</v>
      </c>
      <c r="O182">
        <v>0.89</v>
      </c>
      <c r="P182">
        <v>0.98</v>
      </c>
      <c r="Q182">
        <v>1.1599999999999999</v>
      </c>
      <c r="R182">
        <v>0.89</v>
      </c>
      <c r="S182">
        <v>0.99</v>
      </c>
      <c r="T182">
        <v>0.95</v>
      </c>
      <c r="U182">
        <v>0.87</v>
      </c>
      <c r="V182">
        <v>0.88</v>
      </c>
      <c r="W182">
        <v>0.93</v>
      </c>
      <c r="X182">
        <v>0.93</v>
      </c>
      <c r="Y182">
        <v>0.93</v>
      </c>
      <c r="Z182">
        <v>0.87</v>
      </c>
      <c r="AA182" s="8">
        <v>0.83795541054921152</v>
      </c>
      <c r="AB182" s="8">
        <v>1.0349999999999999</v>
      </c>
      <c r="AC182" s="8">
        <v>0.95700000000000007</v>
      </c>
      <c r="AE182">
        <v>102116</v>
      </c>
      <c r="AF182" t="s">
        <v>226</v>
      </c>
      <c r="AG182">
        <v>3216</v>
      </c>
      <c r="AH182">
        <v>3406</v>
      </c>
      <c r="AI182">
        <v>94.4</v>
      </c>
      <c r="AK182">
        <v>102514</v>
      </c>
      <c r="AL182" t="s">
        <v>521</v>
      </c>
      <c r="AM182">
        <f t="shared" si="6"/>
        <v>95.7</v>
      </c>
      <c r="AN182">
        <f t="shared" si="7"/>
        <v>0.95700000000000007</v>
      </c>
    </row>
    <row r="183" spans="1:40" x14ac:dyDescent="0.25">
      <c r="A183">
        <v>102515</v>
      </c>
      <c r="B183" t="s">
        <v>190</v>
      </c>
      <c r="C183">
        <v>1.0900000000000001</v>
      </c>
      <c r="D183">
        <v>0.97</v>
      </c>
      <c r="E183">
        <v>1.02</v>
      </c>
      <c r="F183">
        <v>0.97</v>
      </c>
      <c r="G183">
        <v>0.88</v>
      </c>
      <c r="H183">
        <v>1.01</v>
      </c>
      <c r="I183">
        <v>0.99</v>
      </c>
      <c r="J183">
        <v>0.97</v>
      </c>
      <c r="K183">
        <v>0.97</v>
      </c>
      <c r="L183">
        <v>0.93</v>
      </c>
      <c r="M183">
        <v>0.91</v>
      </c>
      <c r="N183">
        <v>0.92</v>
      </c>
      <c r="O183">
        <v>0.9</v>
      </c>
      <c r="P183">
        <v>0.98</v>
      </c>
      <c r="Q183">
        <v>1.1499999999999999</v>
      </c>
      <c r="R183">
        <v>0.9</v>
      </c>
      <c r="S183">
        <v>0.99</v>
      </c>
      <c r="T183">
        <v>0.95</v>
      </c>
      <c r="U183">
        <v>0.88</v>
      </c>
      <c r="V183">
        <v>0.9</v>
      </c>
      <c r="W183">
        <v>0.95</v>
      </c>
      <c r="X183">
        <v>0.97</v>
      </c>
      <c r="Y183">
        <v>0.95</v>
      </c>
      <c r="Z183">
        <v>0.89</v>
      </c>
      <c r="AA183" s="8">
        <v>0.81517509727626458</v>
      </c>
      <c r="AB183" s="8">
        <v>1.048</v>
      </c>
      <c r="AC183" s="8">
        <v>0.98799999999999999</v>
      </c>
      <c r="AE183">
        <v>102727</v>
      </c>
      <c r="AF183" t="s">
        <v>53</v>
      </c>
      <c r="AG183">
        <v>4365</v>
      </c>
      <c r="AH183">
        <v>4518</v>
      </c>
      <c r="AI183">
        <v>96.6</v>
      </c>
      <c r="AK183">
        <v>102515</v>
      </c>
      <c r="AL183" t="s">
        <v>190</v>
      </c>
      <c r="AM183">
        <f t="shared" si="6"/>
        <v>98.8</v>
      </c>
      <c r="AN183">
        <f t="shared" si="7"/>
        <v>0.98799999999999999</v>
      </c>
    </row>
    <row r="184" spans="1:40" x14ac:dyDescent="0.25">
      <c r="A184">
        <v>102516</v>
      </c>
      <c r="B184" t="s">
        <v>126</v>
      </c>
      <c r="C184">
        <v>1.08</v>
      </c>
      <c r="D184">
        <v>0.96</v>
      </c>
      <c r="E184">
        <v>1.01</v>
      </c>
      <c r="F184">
        <v>0.96</v>
      </c>
      <c r="G184">
        <v>0.88</v>
      </c>
      <c r="H184">
        <v>1.01</v>
      </c>
      <c r="I184">
        <v>0.97</v>
      </c>
      <c r="J184">
        <v>0.97</v>
      </c>
      <c r="K184">
        <v>0.97</v>
      </c>
      <c r="L184">
        <v>0.94</v>
      </c>
      <c r="M184">
        <v>0.91</v>
      </c>
      <c r="N184">
        <v>0.93</v>
      </c>
      <c r="O184">
        <v>0.91</v>
      </c>
      <c r="P184">
        <v>0.98</v>
      </c>
      <c r="Q184">
        <v>1.1499999999999999</v>
      </c>
      <c r="R184">
        <v>0.91</v>
      </c>
      <c r="S184">
        <v>1</v>
      </c>
      <c r="T184">
        <v>0.95</v>
      </c>
      <c r="U184">
        <v>0.9</v>
      </c>
      <c r="V184">
        <v>0.93</v>
      </c>
      <c r="W184">
        <v>0.97</v>
      </c>
      <c r="X184">
        <v>0.99</v>
      </c>
      <c r="Y184">
        <v>0.97</v>
      </c>
      <c r="Z184">
        <v>0.91</v>
      </c>
      <c r="AA184" s="8">
        <v>0.80338151077174802</v>
      </c>
      <c r="AB184" s="8">
        <v>1.014</v>
      </c>
      <c r="AC184" s="8">
        <v>0.96099999999999997</v>
      </c>
      <c r="AE184">
        <v>102117</v>
      </c>
      <c r="AF184" t="s">
        <v>114</v>
      </c>
      <c r="AG184">
        <v>3259</v>
      </c>
      <c r="AH184">
        <v>3457</v>
      </c>
      <c r="AI184">
        <v>94.3</v>
      </c>
      <c r="AK184">
        <v>102516</v>
      </c>
      <c r="AL184" t="s">
        <v>126</v>
      </c>
      <c r="AM184">
        <f t="shared" si="6"/>
        <v>96.1</v>
      </c>
      <c r="AN184">
        <f t="shared" si="7"/>
        <v>0.96099999999999997</v>
      </c>
    </row>
    <row r="185" spans="1:40" x14ac:dyDescent="0.25">
      <c r="A185">
        <v>102518</v>
      </c>
      <c r="B185" t="s">
        <v>461</v>
      </c>
      <c r="C185">
        <v>1.1200000000000001</v>
      </c>
      <c r="D185">
        <v>0.99</v>
      </c>
      <c r="E185">
        <v>1.02</v>
      </c>
      <c r="F185">
        <v>0.95</v>
      </c>
      <c r="G185">
        <v>0.87</v>
      </c>
      <c r="H185">
        <v>1.01</v>
      </c>
      <c r="I185">
        <v>0.94</v>
      </c>
      <c r="J185">
        <v>0.97</v>
      </c>
      <c r="K185">
        <v>0.97</v>
      </c>
      <c r="L185">
        <v>0.94</v>
      </c>
      <c r="M185">
        <v>0.93</v>
      </c>
      <c r="N185">
        <v>0.9</v>
      </c>
      <c r="O185">
        <v>0.89</v>
      </c>
      <c r="P185">
        <v>0.98</v>
      </c>
      <c r="Q185">
        <v>1.2</v>
      </c>
      <c r="R185">
        <v>0.91</v>
      </c>
      <c r="S185">
        <v>1</v>
      </c>
      <c r="T185">
        <v>0.98</v>
      </c>
      <c r="U185">
        <v>0.85</v>
      </c>
      <c r="V185">
        <v>0.88</v>
      </c>
      <c r="W185">
        <v>0.92</v>
      </c>
      <c r="X185">
        <v>0.89</v>
      </c>
      <c r="Y185">
        <v>0.9</v>
      </c>
      <c r="Z185">
        <v>0.99</v>
      </c>
      <c r="AA185" s="8">
        <v>0.86093143596377752</v>
      </c>
      <c r="AB185" s="8">
        <v>0.99900000000000011</v>
      </c>
      <c r="AC185" s="8">
        <v>0.92200000000000004</v>
      </c>
      <c r="AE185">
        <v>102325</v>
      </c>
      <c r="AF185" t="s">
        <v>227</v>
      </c>
      <c r="AG185">
        <v>3185</v>
      </c>
      <c r="AH185">
        <v>3423</v>
      </c>
      <c r="AI185">
        <v>93</v>
      </c>
      <c r="AK185">
        <v>102518</v>
      </c>
      <c r="AL185" t="s">
        <v>461</v>
      </c>
      <c r="AM185">
        <f t="shared" si="6"/>
        <v>92.2</v>
      </c>
      <c r="AN185">
        <f t="shared" si="7"/>
        <v>0.92200000000000004</v>
      </c>
    </row>
    <row r="186" spans="1:40" x14ac:dyDescent="0.25">
      <c r="A186">
        <v>102519</v>
      </c>
      <c r="B186" t="s">
        <v>139</v>
      </c>
      <c r="C186">
        <v>1.1200000000000001</v>
      </c>
      <c r="D186">
        <v>0.98</v>
      </c>
      <c r="E186">
        <v>1.01</v>
      </c>
      <c r="F186">
        <v>0.95</v>
      </c>
      <c r="G186">
        <v>0.86</v>
      </c>
      <c r="H186">
        <v>1</v>
      </c>
      <c r="I186">
        <v>0.94</v>
      </c>
      <c r="J186">
        <v>0.98</v>
      </c>
      <c r="K186">
        <v>0.97</v>
      </c>
      <c r="L186">
        <v>0.95</v>
      </c>
      <c r="M186">
        <v>0.93</v>
      </c>
      <c r="N186">
        <v>0.9</v>
      </c>
      <c r="O186">
        <v>0.89</v>
      </c>
      <c r="P186">
        <v>0.98</v>
      </c>
      <c r="Q186">
        <v>1.19</v>
      </c>
      <c r="R186">
        <v>0.91</v>
      </c>
      <c r="S186">
        <v>1</v>
      </c>
      <c r="T186">
        <v>0.98</v>
      </c>
      <c r="U186">
        <v>0.85</v>
      </c>
      <c r="V186">
        <v>0.89</v>
      </c>
      <c r="W186">
        <v>0.94</v>
      </c>
      <c r="X186">
        <v>0.92</v>
      </c>
      <c r="Y186">
        <v>0.92</v>
      </c>
      <c r="Z186">
        <v>0.92</v>
      </c>
      <c r="AA186" s="8">
        <v>0.85210432720806162</v>
      </c>
      <c r="AB186" s="8">
        <v>1.0109999999999999</v>
      </c>
      <c r="AC186" s="8">
        <v>0.93099999999999994</v>
      </c>
      <c r="AE186">
        <v>102414</v>
      </c>
      <c r="AF186" t="s">
        <v>228</v>
      </c>
      <c r="AG186">
        <v>3325</v>
      </c>
      <c r="AH186">
        <v>3396</v>
      </c>
      <c r="AI186">
        <v>97.9</v>
      </c>
      <c r="AK186">
        <v>102519</v>
      </c>
      <c r="AL186" t="s">
        <v>139</v>
      </c>
      <c r="AM186">
        <f t="shared" si="6"/>
        <v>93.1</v>
      </c>
      <c r="AN186">
        <f t="shared" si="7"/>
        <v>0.93099999999999994</v>
      </c>
    </row>
    <row r="187" spans="1:40" x14ac:dyDescent="0.25">
      <c r="A187">
        <v>102520</v>
      </c>
      <c r="B187" t="s">
        <v>170</v>
      </c>
      <c r="C187">
        <v>1.1000000000000001</v>
      </c>
      <c r="D187">
        <v>0.97</v>
      </c>
      <c r="E187">
        <v>1</v>
      </c>
      <c r="F187">
        <v>0.96</v>
      </c>
      <c r="G187">
        <v>0.86</v>
      </c>
      <c r="H187">
        <v>1.01</v>
      </c>
      <c r="I187">
        <v>0.97</v>
      </c>
      <c r="J187">
        <v>0.98</v>
      </c>
      <c r="K187">
        <v>0.96</v>
      </c>
      <c r="L187">
        <v>0.93</v>
      </c>
      <c r="M187">
        <v>0.93</v>
      </c>
      <c r="N187">
        <v>0.93</v>
      </c>
      <c r="O187">
        <v>0.89</v>
      </c>
      <c r="P187">
        <v>0.99</v>
      </c>
      <c r="Q187">
        <v>1.2</v>
      </c>
      <c r="R187">
        <v>0.92</v>
      </c>
      <c r="S187">
        <v>1</v>
      </c>
      <c r="T187">
        <v>0.98</v>
      </c>
      <c r="U187">
        <v>0.86</v>
      </c>
      <c r="V187">
        <v>0.88</v>
      </c>
      <c r="W187">
        <v>0.93</v>
      </c>
      <c r="X187">
        <v>0.93</v>
      </c>
      <c r="Y187">
        <v>0.93</v>
      </c>
      <c r="Z187">
        <v>0.88</v>
      </c>
      <c r="AA187" s="8">
        <v>0.85207439198855506</v>
      </c>
      <c r="AB187" s="8">
        <v>1.0090000000000001</v>
      </c>
      <c r="AC187" s="8">
        <v>0.94799999999999995</v>
      </c>
      <c r="AE187">
        <v>102013</v>
      </c>
      <c r="AF187" t="s">
        <v>412</v>
      </c>
      <c r="AG187">
        <v>5679</v>
      </c>
      <c r="AH187">
        <v>5971</v>
      </c>
      <c r="AI187">
        <v>95.1</v>
      </c>
      <c r="AK187">
        <v>102520</v>
      </c>
      <c r="AL187" t="s">
        <v>170</v>
      </c>
      <c r="AM187">
        <f t="shared" si="6"/>
        <v>94.8</v>
      </c>
      <c r="AN187">
        <f t="shared" si="7"/>
        <v>0.94799999999999995</v>
      </c>
    </row>
    <row r="188" spans="1:40" x14ac:dyDescent="0.25">
      <c r="A188">
        <v>102521</v>
      </c>
      <c r="B188" t="s">
        <v>450</v>
      </c>
      <c r="C188">
        <v>1.0900000000000001</v>
      </c>
      <c r="D188">
        <v>0.96</v>
      </c>
      <c r="E188">
        <v>1</v>
      </c>
      <c r="F188">
        <v>0.96</v>
      </c>
      <c r="G188">
        <v>0.87</v>
      </c>
      <c r="H188">
        <v>1.02</v>
      </c>
      <c r="I188">
        <v>0.98</v>
      </c>
      <c r="J188">
        <v>0.97</v>
      </c>
      <c r="K188">
        <v>0.96</v>
      </c>
      <c r="L188">
        <v>0.93</v>
      </c>
      <c r="M188">
        <v>0.93</v>
      </c>
      <c r="N188">
        <v>0.94</v>
      </c>
      <c r="O188">
        <v>0.91</v>
      </c>
      <c r="P188">
        <v>0.99</v>
      </c>
      <c r="Q188">
        <v>1.21</v>
      </c>
      <c r="R188">
        <v>0.93</v>
      </c>
      <c r="S188">
        <v>1.01</v>
      </c>
      <c r="T188">
        <v>0.97</v>
      </c>
      <c r="U188">
        <v>0.85</v>
      </c>
      <c r="V188">
        <v>0.89</v>
      </c>
      <c r="W188">
        <v>0.96</v>
      </c>
      <c r="X188">
        <v>0.97</v>
      </c>
      <c r="Y188">
        <v>0.96</v>
      </c>
      <c r="Z188">
        <v>1.01</v>
      </c>
      <c r="AA188" s="8">
        <v>0.864247311827957</v>
      </c>
      <c r="AB188" s="8">
        <v>1.038</v>
      </c>
      <c r="AC188" s="8">
        <v>0.96799999999999997</v>
      </c>
      <c r="AE188">
        <v>102238</v>
      </c>
      <c r="AF188" t="s">
        <v>932</v>
      </c>
      <c r="AG188">
        <v>3079</v>
      </c>
      <c r="AH188">
        <v>3318</v>
      </c>
      <c r="AI188">
        <v>92.8</v>
      </c>
      <c r="AK188">
        <v>102521</v>
      </c>
      <c r="AL188" t="s">
        <v>450</v>
      </c>
      <c r="AM188">
        <f t="shared" si="6"/>
        <v>96.8</v>
      </c>
      <c r="AN188">
        <f t="shared" si="7"/>
        <v>0.96799999999999997</v>
      </c>
    </row>
    <row r="189" spans="1:40" x14ac:dyDescent="0.25">
      <c r="A189">
        <v>102522</v>
      </c>
      <c r="B189" t="s">
        <v>522</v>
      </c>
      <c r="C189">
        <v>1.07</v>
      </c>
      <c r="D189">
        <v>0.94</v>
      </c>
      <c r="E189">
        <v>0.98</v>
      </c>
      <c r="F189">
        <v>0.95</v>
      </c>
      <c r="G189">
        <v>0.88</v>
      </c>
      <c r="H189">
        <v>1.03</v>
      </c>
      <c r="I189">
        <v>0.98</v>
      </c>
      <c r="J189">
        <v>0.97</v>
      </c>
      <c r="K189">
        <v>0.97</v>
      </c>
      <c r="L189">
        <v>0.94</v>
      </c>
      <c r="M189">
        <v>0.93</v>
      </c>
      <c r="N189">
        <v>0.95</v>
      </c>
      <c r="O189">
        <v>0.92</v>
      </c>
      <c r="P189">
        <v>1</v>
      </c>
      <c r="Q189">
        <v>1.17</v>
      </c>
      <c r="R189">
        <v>0.93</v>
      </c>
      <c r="S189">
        <v>0.99</v>
      </c>
      <c r="T189">
        <v>0.96</v>
      </c>
      <c r="U189">
        <v>0.84</v>
      </c>
      <c r="V189">
        <v>0.88</v>
      </c>
      <c r="W189">
        <v>0.91</v>
      </c>
      <c r="X189">
        <v>0.93</v>
      </c>
      <c r="Y189">
        <v>0.91</v>
      </c>
      <c r="Z189">
        <v>0.99</v>
      </c>
      <c r="AA189" s="8">
        <v>0.91332593883695135</v>
      </c>
      <c r="AB189" s="8">
        <v>0.99400000000000011</v>
      </c>
      <c r="AC189" s="8">
        <v>0.94400000000000006</v>
      </c>
      <c r="AE189">
        <v>102139</v>
      </c>
      <c r="AF189" t="s">
        <v>229</v>
      </c>
      <c r="AG189">
        <v>3183</v>
      </c>
      <c r="AH189">
        <v>3377</v>
      </c>
      <c r="AI189">
        <v>94.3</v>
      </c>
      <c r="AK189">
        <v>102522</v>
      </c>
      <c r="AL189" t="s">
        <v>522</v>
      </c>
      <c r="AM189">
        <f t="shared" si="6"/>
        <v>94.4</v>
      </c>
      <c r="AN189">
        <f t="shared" si="7"/>
        <v>0.94400000000000006</v>
      </c>
    </row>
    <row r="190" spans="1:40" x14ac:dyDescent="0.25">
      <c r="A190">
        <v>102523</v>
      </c>
      <c r="B190" t="s">
        <v>523</v>
      </c>
      <c r="C190">
        <v>1.1200000000000001</v>
      </c>
      <c r="D190">
        <v>0.99</v>
      </c>
      <c r="E190">
        <v>1.01</v>
      </c>
      <c r="F190">
        <v>0.95</v>
      </c>
      <c r="G190">
        <v>0.86</v>
      </c>
      <c r="H190">
        <v>1</v>
      </c>
      <c r="I190">
        <v>0.94</v>
      </c>
      <c r="J190">
        <v>0.98</v>
      </c>
      <c r="K190">
        <v>0.98</v>
      </c>
      <c r="L190">
        <v>0.95</v>
      </c>
      <c r="M190">
        <v>0.94</v>
      </c>
      <c r="N190">
        <v>0.91</v>
      </c>
      <c r="O190">
        <v>0.89</v>
      </c>
      <c r="P190">
        <v>0.98</v>
      </c>
      <c r="Q190">
        <v>1.19</v>
      </c>
      <c r="R190">
        <v>0.91</v>
      </c>
      <c r="S190">
        <v>1.01</v>
      </c>
      <c r="T190">
        <v>0.98</v>
      </c>
      <c r="U190">
        <v>0.85</v>
      </c>
      <c r="V190">
        <v>0.88</v>
      </c>
      <c r="W190">
        <v>0.94</v>
      </c>
      <c r="X190">
        <v>0.92</v>
      </c>
      <c r="Y190">
        <v>0.92</v>
      </c>
      <c r="Z190">
        <v>0.98</v>
      </c>
      <c r="AA190" s="8">
        <v>0.83320281910728267</v>
      </c>
      <c r="AB190" s="8">
        <v>1.0229999999999999</v>
      </c>
      <c r="AC190" s="8">
        <v>0.93799999999999994</v>
      </c>
      <c r="AE190">
        <v>102004</v>
      </c>
      <c r="AF190" t="s">
        <v>230</v>
      </c>
      <c r="AG190">
        <v>4879</v>
      </c>
      <c r="AH190">
        <v>5091</v>
      </c>
      <c r="AI190">
        <v>95.8</v>
      </c>
      <c r="AK190">
        <v>102523</v>
      </c>
      <c r="AL190" t="s">
        <v>523</v>
      </c>
      <c r="AM190">
        <f t="shared" si="6"/>
        <v>93.8</v>
      </c>
      <c r="AN190">
        <f t="shared" si="7"/>
        <v>0.93799999999999994</v>
      </c>
    </row>
    <row r="191" spans="1:40" x14ac:dyDescent="0.25">
      <c r="A191">
        <v>102524</v>
      </c>
      <c r="B191" t="s">
        <v>524</v>
      </c>
      <c r="C191">
        <v>1.1100000000000001</v>
      </c>
      <c r="D191">
        <v>0.98</v>
      </c>
      <c r="E191">
        <v>1.02</v>
      </c>
      <c r="F191">
        <v>0.95</v>
      </c>
      <c r="G191">
        <v>0.87</v>
      </c>
      <c r="H191">
        <v>1.01</v>
      </c>
      <c r="I191">
        <v>0.95</v>
      </c>
      <c r="J191">
        <v>0.98</v>
      </c>
      <c r="K191">
        <v>0.97</v>
      </c>
      <c r="L191">
        <v>0.94</v>
      </c>
      <c r="M191">
        <v>0.92</v>
      </c>
      <c r="N191">
        <v>0.91</v>
      </c>
      <c r="O191">
        <v>0.89</v>
      </c>
      <c r="P191">
        <v>0.98</v>
      </c>
      <c r="Q191">
        <v>1.18</v>
      </c>
      <c r="R191">
        <v>0.91</v>
      </c>
      <c r="S191">
        <v>1</v>
      </c>
      <c r="T191">
        <v>0.97</v>
      </c>
      <c r="U191">
        <v>0.87</v>
      </c>
      <c r="V191">
        <v>0.89</v>
      </c>
      <c r="W191">
        <v>0.94</v>
      </c>
      <c r="X191">
        <v>0.92</v>
      </c>
      <c r="Y191">
        <v>0.92</v>
      </c>
      <c r="Z191">
        <v>0.85</v>
      </c>
      <c r="AA191" s="8">
        <v>0.79383209594517423</v>
      </c>
      <c r="AB191" s="8">
        <v>1.01</v>
      </c>
      <c r="AC191" s="8">
        <v>0.94099999999999995</v>
      </c>
      <c r="AE191">
        <v>102011</v>
      </c>
      <c r="AF191" t="s">
        <v>503</v>
      </c>
      <c r="AG191">
        <v>5932</v>
      </c>
      <c r="AH191">
        <v>5981</v>
      </c>
      <c r="AI191">
        <v>99.2</v>
      </c>
      <c r="AK191">
        <v>102524</v>
      </c>
      <c r="AL191" t="s">
        <v>524</v>
      </c>
      <c r="AM191">
        <f t="shared" si="6"/>
        <v>94.1</v>
      </c>
      <c r="AN191">
        <f t="shared" si="7"/>
        <v>0.94099999999999995</v>
      </c>
    </row>
    <row r="192" spans="1:40" x14ac:dyDescent="0.25">
      <c r="A192">
        <v>102525</v>
      </c>
      <c r="B192" t="s">
        <v>1040</v>
      </c>
      <c r="Y192">
        <v>0.91</v>
      </c>
      <c r="Z192">
        <v>0.93</v>
      </c>
      <c r="AA192" s="8">
        <v>0.81738385784628564</v>
      </c>
      <c r="AB192" s="8">
        <v>1.004</v>
      </c>
      <c r="AC192" s="8">
        <v>0.93900000000000006</v>
      </c>
      <c r="AE192">
        <v>102913</v>
      </c>
      <c r="AF192" t="s">
        <v>262</v>
      </c>
      <c r="AG192">
        <v>4741</v>
      </c>
      <c r="AH192">
        <v>4808</v>
      </c>
      <c r="AI192">
        <v>98.6</v>
      </c>
      <c r="AK192">
        <v>102525</v>
      </c>
      <c r="AL192" t="s">
        <v>1040</v>
      </c>
      <c r="AM192">
        <f t="shared" si="6"/>
        <v>93.9</v>
      </c>
      <c r="AN192">
        <f t="shared" si="7"/>
        <v>0.93900000000000006</v>
      </c>
    </row>
    <row r="193" spans="1:40" x14ac:dyDescent="0.25">
      <c r="A193">
        <v>102527</v>
      </c>
      <c r="B193" t="s">
        <v>206</v>
      </c>
      <c r="Y193">
        <v>0.95</v>
      </c>
      <c r="Z193">
        <v>0.93</v>
      </c>
      <c r="AA193" s="8">
        <v>0.81517274704034792</v>
      </c>
      <c r="AB193" s="8">
        <v>1.016</v>
      </c>
      <c r="AC193" s="8">
        <v>0.95400000000000007</v>
      </c>
      <c r="AE193">
        <v>102119</v>
      </c>
      <c r="AF193" t="s">
        <v>507</v>
      </c>
      <c r="AG193">
        <v>3061</v>
      </c>
      <c r="AH193">
        <v>3263</v>
      </c>
      <c r="AI193">
        <v>93.8</v>
      </c>
      <c r="AK193">
        <v>102527</v>
      </c>
      <c r="AL193" t="s">
        <v>206</v>
      </c>
      <c r="AM193">
        <f t="shared" si="6"/>
        <v>95.4</v>
      </c>
      <c r="AN193">
        <f t="shared" si="7"/>
        <v>0.95400000000000007</v>
      </c>
    </row>
    <row r="194" spans="1:40" x14ac:dyDescent="0.25">
      <c r="A194">
        <v>102528</v>
      </c>
      <c r="B194" t="s">
        <v>849</v>
      </c>
      <c r="Y194">
        <v>0.93</v>
      </c>
      <c r="Z194">
        <v>0.89</v>
      </c>
      <c r="AA194" s="8">
        <v>0.78176578464762903</v>
      </c>
      <c r="AB194" s="8">
        <v>1.0090000000000001</v>
      </c>
      <c r="AC194" s="8">
        <v>0.94799999999999995</v>
      </c>
      <c r="AE194">
        <v>102723</v>
      </c>
      <c r="AF194" t="s">
        <v>252</v>
      </c>
      <c r="AG194">
        <v>4269</v>
      </c>
      <c r="AH194">
        <v>4427</v>
      </c>
      <c r="AI194">
        <v>96.4</v>
      </c>
      <c r="AK194">
        <v>102528</v>
      </c>
      <c r="AL194" t="s">
        <v>849</v>
      </c>
      <c r="AM194">
        <f t="shared" si="6"/>
        <v>94.8</v>
      </c>
      <c r="AN194">
        <f t="shared" si="7"/>
        <v>0.94799999999999995</v>
      </c>
    </row>
    <row r="195" spans="1:40" x14ac:dyDescent="0.25">
      <c r="A195">
        <v>102529</v>
      </c>
      <c r="B195" t="s">
        <v>857</v>
      </c>
      <c r="Y195">
        <v>0.93</v>
      </c>
      <c r="Z195">
        <v>0.92</v>
      </c>
      <c r="AA195" s="8">
        <v>0.79794440551273071</v>
      </c>
      <c r="AB195" s="8">
        <v>1.0229999999999999</v>
      </c>
      <c r="AC195" s="8">
        <v>0.94900000000000007</v>
      </c>
      <c r="AE195">
        <v>102604</v>
      </c>
      <c r="AF195" t="s">
        <v>253</v>
      </c>
      <c r="AG195">
        <v>3770</v>
      </c>
      <c r="AH195">
        <v>3956</v>
      </c>
      <c r="AI195">
        <v>95.3</v>
      </c>
      <c r="AK195">
        <v>102529</v>
      </c>
      <c r="AL195" t="s">
        <v>857</v>
      </c>
      <c r="AM195">
        <f t="shared" ref="AM195:AM258" si="8">_xlfn.XLOOKUP(AK195,$AE$5:$AE$314,$AI$5:$AI$314)</f>
        <v>94.9</v>
      </c>
      <c r="AN195">
        <f t="shared" si="7"/>
        <v>0.94900000000000007</v>
      </c>
    </row>
    <row r="196" spans="1:40" x14ac:dyDescent="0.25">
      <c r="A196">
        <v>102530</v>
      </c>
      <c r="B196" t="s">
        <v>1039</v>
      </c>
      <c r="Y196">
        <v>0.93</v>
      </c>
      <c r="Z196">
        <v>0.91</v>
      </c>
      <c r="AA196" s="8">
        <v>0.80506721820062044</v>
      </c>
      <c r="AB196" s="8">
        <v>1.016</v>
      </c>
      <c r="AC196" s="8">
        <v>0.93599999999999994</v>
      </c>
      <c r="AE196">
        <v>102643</v>
      </c>
      <c r="AF196" t="s">
        <v>1046</v>
      </c>
      <c r="AG196">
        <v>3421</v>
      </c>
      <c r="AH196">
        <v>3600</v>
      </c>
      <c r="AI196">
        <v>95</v>
      </c>
      <c r="AK196">
        <v>102530</v>
      </c>
      <c r="AL196" t="s">
        <v>1039</v>
      </c>
      <c r="AM196">
        <f t="shared" si="8"/>
        <v>93.6</v>
      </c>
      <c r="AN196">
        <f t="shared" ref="AN196:AN259" si="9">AM196/100</f>
        <v>0.93599999999999994</v>
      </c>
    </row>
    <row r="197" spans="1:40" x14ac:dyDescent="0.25">
      <c r="A197">
        <v>102531</v>
      </c>
      <c r="B197" t="s">
        <v>125</v>
      </c>
      <c r="Y197">
        <v>0.93</v>
      </c>
      <c r="Z197">
        <v>0.86</v>
      </c>
      <c r="AA197" s="8">
        <v>0.78470948012232411</v>
      </c>
      <c r="AB197" s="8">
        <v>1.004</v>
      </c>
      <c r="AC197" s="8">
        <v>0.94799999999999995</v>
      </c>
      <c r="AE197">
        <v>102710</v>
      </c>
      <c r="AF197" t="s">
        <v>255</v>
      </c>
      <c r="AG197">
        <v>3855</v>
      </c>
      <c r="AH197">
        <v>3984</v>
      </c>
      <c r="AI197">
        <v>96.7</v>
      </c>
      <c r="AK197">
        <v>102531</v>
      </c>
      <c r="AL197" t="s">
        <v>125</v>
      </c>
      <c r="AM197">
        <f t="shared" si="8"/>
        <v>94.8</v>
      </c>
      <c r="AN197">
        <f t="shared" si="9"/>
        <v>0.94799999999999995</v>
      </c>
    </row>
    <row r="198" spans="1:40" x14ac:dyDescent="0.25">
      <c r="A198">
        <v>102532</v>
      </c>
      <c r="B198" t="s">
        <v>1035</v>
      </c>
      <c r="Y198">
        <v>0.93</v>
      </c>
      <c r="Z198">
        <v>0.88</v>
      </c>
      <c r="AA198" s="8">
        <v>0.83393393393393389</v>
      </c>
      <c r="AB198" s="8">
        <v>1.0740000000000001</v>
      </c>
      <c r="AC198" s="8">
        <v>0.995</v>
      </c>
      <c r="AE198">
        <v>102642</v>
      </c>
      <c r="AF198" t="s">
        <v>1047</v>
      </c>
      <c r="AG198">
        <v>3580</v>
      </c>
      <c r="AH198">
        <v>3645</v>
      </c>
      <c r="AI198">
        <v>98.2</v>
      </c>
      <c r="AK198">
        <v>102532</v>
      </c>
      <c r="AL198" t="s">
        <v>1035</v>
      </c>
      <c r="AM198">
        <f t="shared" si="8"/>
        <v>99.5</v>
      </c>
      <c r="AN198">
        <f t="shared" si="9"/>
        <v>0.995</v>
      </c>
    </row>
    <row r="199" spans="1:40" x14ac:dyDescent="0.25">
      <c r="A199">
        <v>102533</v>
      </c>
      <c r="B199" t="s">
        <v>70</v>
      </c>
      <c r="Y199">
        <v>0.95</v>
      </c>
      <c r="Z199">
        <v>0.89</v>
      </c>
      <c r="AA199" s="8">
        <v>0.81572029442691907</v>
      </c>
      <c r="AB199" s="8">
        <v>1.014</v>
      </c>
      <c r="AC199" s="8">
        <v>0.95200000000000007</v>
      </c>
      <c r="AE199">
        <v>102103</v>
      </c>
      <c r="AF199" t="s">
        <v>375</v>
      </c>
      <c r="AG199">
        <v>2782</v>
      </c>
      <c r="AH199">
        <v>3027</v>
      </c>
      <c r="AI199">
        <v>91.9</v>
      </c>
      <c r="AK199">
        <v>102533</v>
      </c>
      <c r="AL199" t="s">
        <v>70</v>
      </c>
      <c r="AM199">
        <f t="shared" si="8"/>
        <v>95.2</v>
      </c>
      <c r="AN199">
        <f t="shared" si="9"/>
        <v>0.95200000000000007</v>
      </c>
    </row>
    <row r="200" spans="1:40" x14ac:dyDescent="0.25">
      <c r="A200">
        <v>102534</v>
      </c>
      <c r="B200" t="s">
        <v>247</v>
      </c>
      <c r="Y200">
        <v>0.92</v>
      </c>
      <c r="Z200">
        <v>1</v>
      </c>
      <c r="AA200" s="8">
        <v>0.85246223268589372</v>
      </c>
      <c r="AB200" s="8">
        <v>1.018</v>
      </c>
      <c r="AC200" s="8">
        <v>0.95</v>
      </c>
      <c r="AE200">
        <v>102104</v>
      </c>
      <c r="AF200" t="s">
        <v>244</v>
      </c>
      <c r="AG200">
        <v>3008</v>
      </c>
      <c r="AH200">
        <v>3196</v>
      </c>
      <c r="AI200">
        <v>94.1</v>
      </c>
      <c r="AK200">
        <v>102534</v>
      </c>
      <c r="AL200" t="s">
        <v>247</v>
      </c>
      <c r="AM200">
        <f t="shared" si="8"/>
        <v>95</v>
      </c>
      <c r="AN200">
        <f t="shared" si="9"/>
        <v>0.95</v>
      </c>
    </row>
    <row r="201" spans="1:40" x14ac:dyDescent="0.25">
      <c r="A201">
        <v>102535</v>
      </c>
      <c r="B201" t="s">
        <v>123</v>
      </c>
      <c r="Y201">
        <v>0.94</v>
      </c>
      <c r="Z201">
        <v>0.91</v>
      </c>
      <c r="AA201" s="8">
        <v>0.81106959364782816</v>
      </c>
      <c r="AB201" s="8">
        <v>1.0070000000000001</v>
      </c>
      <c r="AC201" s="8">
        <v>0.94799999999999995</v>
      </c>
      <c r="AE201">
        <v>102214</v>
      </c>
      <c r="AF201" t="s">
        <v>256</v>
      </c>
      <c r="AG201">
        <v>3350</v>
      </c>
      <c r="AH201">
        <v>3585</v>
      </c>
      <c r="AI201">
        <v>93.5</v>
      </c>
      <c r="AK201">
        <v>102535</v>
      </c>
      <c r="AL201" t="s">
        <v>123</v>
      </c>
      <c r="AM201">
        <f t="shared" si="8"/>
        <v>94.8</v>
      </c>
      <c r="AN201">
        <f t="shared" si="9"/>
        <v>0.94799999999999995</v>
      </c>
    </row>
    <row r="202" spans="1:40" x14ac:dyDescent="0.25">
      <c r="A202">
        <v>102601</v>
      </c>
      <c r="B202" t="s">
        <v>5</v>
      </c>
      <c r="C202">
        <v>1.1100000000000001</v>
      </c>
      <c r="D202">
        <v>0.98</v>
      </c>
      <c r="E202">
        <v>1.02</v>
      </c>
      <c r="F202">
        <v>0.96</v>
      </c>
      <c r="G202">
        <v>0.88</v>
      </c>
      <c r="H202">
        <v>1</v>
      </c>
      <c r="I202">
        <v>0.98</v>
      </c>
      <c r="J202">
        <v>0.98</v>
      </c>
      <c r="K202">
        <v>0.98</v>
      </c>
      <c r="L202">
        <v>0.94</v>
      </c>
      <c r="M202">
        <v>0.92</v>
      </c>
      <c r="N202">
        <v>0.92</v>
      </c>
      <c r="O202">
        <v>0.89</v>
      </c>
      <c r="P202">
        <v>0.98</v>
      </c>
      <c r="Q202">
        <v>1.1599999999999999</v>
      </c>
      <c r="R202">
        <v>0.9</v>
      </c>
      <c r="S202">
        <v>1</v>
      </c>
      <c r="T202">
        <v>0.96</v>
      </c>
      <c r="U202">
        <v>0.88</v>
      </c>
      <c r="V202">
        <v>0.87</v>
      </c>
      <c r="W202">
        <v>0.91</v>
      </c>
      <c r="X202">
        <v>0.9</v>
      </c>
      <c r="Y202">
        <v>0.89</v>
      </c>
      <c r="Z202">
        <v>0.86</v>
      </c>
      <c r="AA202" s="8">
        <v>0.80881908788885537</v>
      </c>
      <c r="AB202" s="8">
        <v>1.0070000000000001</v>
      </c>
      <c r="AC202" s="8">
        <v>0.92799999999999994</v>
      </c>
      <c r="AE202">
        <v>102911</v>
      </c>
      <c r="AF202" t="s">
        <v>261</v>
      </c>
      <c r="AG202">
        <v>4745</v>
      </c>
      <c r="AH202">
        <v>4799</v>
      </c>
      <c r="AI202">
        <v>98.9</v>
      </c>
      <c r="AK202">
        <v>102601</v>
      </c>
      <c r="AL202" t="s">
        <v>5</v>
      </c>
      <c r="AM202">
        <f t="shared" si="8"/>
        <v>92.8</v>
      </c>
      <c r="AN202">
        <f t="shared" si="9"/>
        <v>0.92799999999999994</v>
      </c>
    </row>
    <row r="203" spans="1:40" x14ac:dyDescent="0.25">
      <c r="A203">
        <v>102602</v>
      </c>
      <c r="B203" t="s">
        <v>174</v>
      </c>
      <c r="C203">
        <v>1.1100000000000001</v>
      </c>
      <c r="D203">
        <v>0.98</v>
      </c>
      <c r="E203">
        <v>1.02</v>
      </c>
      <c r="F203">
        <v>0.96</v>
      </c>
      <c r="G203">
        <v>0.87</v>
      </c>
      <c r="H203">
        <v>1</v>
      </c>
      <c r="I203">
        <v>0.98</v>
      </c>
      <c r="J203">
        <v>0.98</v>
      </c>
      <c r="K203">
        <v>0.98</v>
      </c>
      <c r="L203">
        <v>0.94</v>
      </c>
      <c r="M203">
        <v>0.92</v>
      </c>
      <c r="N203">
        <v>0.92</v>
      </c>
      <c r="O203">
        <v>0.89</v>
      </c>
      <c r="P203">
        <v>0.98</v>
      </c>
      <c r="Q203">
        <v>1.17</v>
      </c>
      <c r="R203">
        <v>0.9</v>
      </c>
      <c r="S203">
        <v>1</v>
      </c>
      <c r="T203">
        <v>0.96</v>
      </c>
      <c r="U203">
        <v>0.88</v>
      </c>
      <c r="V203">
        <v>0.88</v>
      </c>
      <c r="W203">
        <v>0.93</v>
      </c>
      <c r="X203">
        <v>0.94</v>
      </c>
      <c r="Y203">
        <v>0.93</v>
      </c>
      <c r="Z203">
        <v>0.92</v>
      </c>
      <c r="AA203" s="8">
        <v>0.79864636209813877</v>
      </c>
      <c r="AB203" s="8">
        <v>1.036</v>
      </c>
      <c r="AC203" s="8">
        <v>0.95799999999999996</v>
      </c>
      <c r="AE203">
        <v>102635</v>
      </c>
      <c r="AF203" t="s">
        <v>55</v>
      </c>
      <c r="AG203">
        <v>3840</v>
      </c>
      <c r="AH203">
        <v>3956</v>
      </c>
      <c r="AI203">
        <v>97.1</v>
      </c>
      <c r="AK203">
        <v>102602</v>
      </c>
      <c r="AL203" t="s">
        <v>174</v>
      </c>
      <c r="AM203">
        <f t="shared" si="8"/>
        <v>95.8</v>
      </c>
      <c r="AN203">
        <f t="shared" si="9"/>
        <v>0.95799999999999996</v>
      </c>
    </row>
    <row r="204" spans="1:40" x14ac:dyDescent="0.25">
      <c r="A204">
        <v>102603</v>
      </c>
      <c r="B204" t="s">
        <v>357</v>
      </c>
      <c r="C204">
        <v>1.0900000000000001</v>
      </c>
      <c r="D204">
        <v>0.96</v>
      </c>
      <c r="E204">
        <v>1.01</v>
      </c>
      <c r="F204">
        <v>0.96</v>
      </c>
      <c r="G204">
        <v>0.87</v>
      </c>
      <c r="H204">
        <v>1</v>
      </c>
      <c r="I204">
        <v>0.98</v>
      </c>
      <c r="J204">
        <v>0.97</v>
      </c>
      <c r="K204">
        <v>0.97</v>
      </c>
      <c r="L204">
        <v>0.93</v>
      </c>
      <c r="M204">
        <v>0.92</v>
      </c>
      <c r="N204">
        <v>0.93</v>
      </c>
      <c r="O204">
        <v>0.9</v>
      </c>
      <c r="P204">
        <v>0.99</v>
      </c>
      <c r="Q204">
        <v>1.1499999999999999</v>
      </c>
      <c r="R204">
        <v>0.9</v>
      </c>
      <c r="S204">
        <v>1</v>
      </c>
      <c r="T204">
        <v>0.95</v>
      </c>
      <c r="U204">
        <v>0.9</v>
      </c>
      <c r="V204">
        <v>0.92</v>
      </c>
      <c r="W204">
        <v>0.97</v>
      </c>
      <c r="X204">
        <v>0.97</v>
      </c>
      <c r="Y204">
        <v>0.96</v>
      </c>
      <c r="Z204">
        <v>0.93</v>
      </c>
      <c r="AA204" s="8">
        <v>0.85556750941366322</v>
      </c>
      <c r="AB204" s="8">
        <v>0.995</v>
      </c>
      <c r="AC204" s="8">
        <v>0.94499999999999995</v>
      </c>
      <c r="AE204">
        <v>102525</v>
      </c>
      <c r="AF204" t="s">
        <v>143</v>
      </c>
      <c r="AG204">
        <v>3460</v>
      </c>
      <c r="AH204">
        <v>3685</v>
      </c>
      <c r="AI204">
        <v>93.9</v>
      </c>
      <c r="AK204">
        <v>102603</v>
      </c>
      <c r="AL204" t="s">
        <v>357</v>
      </c>
      <c r="AM204">
        <f t="shared" si="8"/>
        <v>94.5</v>
      </c>
      <c r="AN204">
        <f t="shared" si="9"/>
        <v>0.94499999999999995</v>
      </c>
    </row>
    <row r="205" spans="1:40" x14ac:dyDescent="0.25">
      <c r="A205">
        <v>102604</v>
      </c>
      <c r="B205" t="s">
        <v>253</v>
      </c>
      <c r="C205">
        <v>1.0900000000000001</v>
      </c>
      <c r="D205">
        <v>0.96</v>
      </c>
      <c r="E205">
        <v>1.01</v>
      </c>
      <c r="F205">
        <v>0.95</v>
      </c>
      <c r="G205">
        <v>0.87</v>
      </c>
      <c r="H205">
        <v>0.99</v>
      </c>
      <c r="I205">
        <v>0.98</v>
      </c>
      <c r="J205">
        <v>0.98</v>
      </c>
      <c r="K205">
        <v>0.99</v>
      </c>
      <c r="L205">
        <v>0.94</v>
      </c>
      <c r="M205">
        <v>0.92</v>
      </c>
      <c r="N205">
        <v>0.94</v>
      </c>
      <c r="O205">
        <v>0.9</v>
      </c>
      <c r="P205">
        <v>0.99</v>
      </c>
      <c r="Q205">
        <v>1.1599999999999999</v>
      </c>
      <c r="R205">
        <v>0.91</v>
      </c>
      <c r="S205">
        <v>1.01</v>
      </c>
      <c r="T205">
        <v>0.96</v>
      </c>
      <c r="U205">
        <v>0.9</v>
      </c>
      <c r="V205">
        <v>0.9</v>
      </c>
      <c r="W205">
        <v>0.95</v>
      </c>
      <c r="X205">
        <v>0.95</v>
      </c>
      <c r="Y205">
        <v>0.94</v>
      </c>
      <c r="Z205">
        <v>0.93</v>
      </c>
      <c r="AA205" s="8">
        <v>0.82993197278911568</v>
      </c>
      <c r="AB205" s="8">
        <v>1.012</v>
      </c>
      <c r="AC205" s="8">
        <v>0.95299999999999996</v>
      </c>
      <c r="AE205">
        <v>102137</v>
      </c>
      <c r="AF205" t="s">
        <v>183</v>
      </c>
      <c r="AG205">
        <v>2890</v>
      </c>
      <c r="AH205">
        <v>3138</v>
      </c>
      <c r="AI205">
        <v>92.1</v>
      </c>
      <c r="AK205">
        <v>102604</v>
      </c>
      <c r="AL205" t="s">
        <v>253</v>
      </c>
      <c r="AM205">
        <f t="shared" si="8"/>
        <v>95.3</v>
      </c>
      <c r="AN205">
        <f t="shared" si="9"/>
        <v>0.95299999999999996</v>
      </c>
    </row>
    <row r="206" spans="1:40" x14ac:dyDescent="0.25">
      <c r="A206">
        <v>102605</v>
      </c>
      <c r="B206" t="s">
        <v>207</v>
      </c>
      <c r="C206">
        <v>1.1100000000000001</v>
      </c>
      <c r="D206">
        <v>0.98</v>
      </c>
      <c r="E206">
        <v>1.02</v>
      </c>
      <c r="F206">
        <v>0.95</v>
      </c>
      <c r="G206">
        <v>0.87</v>
      </c>
      <c r="H206">
        <v>0.99</v>
      </c>
      <c r="I206">
        <v>0.98</v>
      </c>
      <c r="J206">
        <v>0.98</v>
      </c>
      <c r="K206">
        <v>0.98</v>
      </c>
      <c r="L206">
        <v>0.94</v>
      </c>
      <c r="M206">
        <v>0.93</v>
      </c>
      <c r="N206">
        <v>0.93</v>
      </c>
      <c r="O206">
        <v>0.89</v>
      </c>
      <c r="P206">
        <v>0.99</v>
      </c>
      <c r="Q206">
        <v>1.17</v>
      </c>
      <c r="R206">
        <v>0.91</v>
      </c>
      <c r="S206">
        <v>1</v>
      </c>
      <c r="T206">
        <v>0.96</v>
      </c>
      <c r="U206">
        <v>0.88</v>
      </c>
      <c r="V206">
        <v>0.88</v>
      </c>
      <c r="W206">
        <v>0.93</v>
      </c>
      <c r="X206">
        <v>0.92</v>
      </c>
      <c r="Y206">
        <v>0.92</v>
      </c>
      <c r="Z206">
        <v>0.99</v>
      </c>
      <c r="AA206" s="8">
        <v>0.87841391867287077</v>
      </c>
      <c r="AB206" s="8">
        <v>1.018</v>
      </c>
      <c r="AC206" s="8">
        <v>0.94799999999999995</v>
      </c>
      <c r="AE206">
        <v>102630</v>
      </c>
      <c r="AF206" t="s">
        <v>15</v>
      </c>
      <c r="AG206">
        <v>3647</v>
      </c>
      <c r="AH206">
        <v>3901</v>
      </c>
      <c r="AI206">
        <v>93.5</v>
      </c>
      <c r="AK206">
        <v>102605</v>
      </c>
      <c r="AL206" t="s">
        <v>207</v>
      </c>
      <c r="AM206">
        <f t="shared" si="8"/>
        <v>94.8</v>
      </c>
      <c r="AN206">
        <f t="shared" si="9"/>
        <v>0.94799999999999995</v>
      </c>
    </row>
    <row r="207" spans="1:40" x14ac:dyDescent="0.25">
      <c r="A207">
        <v>102606</v>
      </c>
      <c r="B207" t="s">
        <v>101</v>
      </c>
      <c r="C207">
        <v>1.1000000000000001</v>
      </c>
      <c r="D207">
        <v>0.98</v>
      </c>
      <c r="E207">
        <v>1.02</v>
      </c>
      <c r="F207">
        <v>0.94</v>
      </c>
      <c r="G207">
        <v>0.87</v>
      </c>
      <c r="H207">
        <v>0.98</v>
      </c>
      <c r="I207">
        <v>0.97</v>
      </c>
      <c r="J207">
        <v>0.98</v>
      </c>
      <c r="K207">
        <v>0.98</v>
      </c>
      <c r="L207">
        <v>0.95</v>
      </c>
      <c r="M207">
        <v>0.92</v>
      </c>
      <c r="N207">
        <v>0.93</v>
      </c>
      <c r="O207">
        <v>0.89</v>
      </c>
      <c r="P207">
        <v>0.98</v>
      </c>
      <c r="Q207">
        <v>1.17</v>
      </c>
      <c r="R207">
        <v>0.91</v>
      </c>
      <c r="S207">
        <v>1</v>
      </c>
      <c r="T207">
        <v>0.96</v>
      </c>
      <c r="U207">
        <v>0.89</v>
      </c>
      <c r="V207">
        <v>0.88</v>
      </c>
      <c r="W207">
        <v>0.93</v>
      </c>
      <c r="X207">
        <v>0.93</v>
      </c>
      <c r="Y207">
        <v>0.92</v>
      </c>
      <c r="Z207">
        <v>0.88</v>
      </c>
      <c r="AA207" s="8">
        <v>0.77655964500130514</v>
      </c>
      <c r="AB207" s="8">
        <v>1.012</v>
      </c>
      <c r="AC207" s="8">
        <v>0.95499999999999996</v>
      </c>
      <c r="AE207">
        <v>102237</v>
      </c>
      <c r="AF207" t="s">
        <v>1226</v>
      </c>
      <c r="AG207">
        <v>2922</v>
      </c>
      <c r="AH207">
        <v>3140</v>
      </c>
      <c r="AI207">
        <v>93</v>
      </c>
      <c r="AK207">
        <v>102606</v>
      </c>
      <c r="AL207" t="s">
        <v>101</v>
      </c>
      <c r="AM207">
        <f t="shared" si="8"/>
        <v>95.5</v>
      </c>
      <c r="AN207">
        <f t="shared" si="9"/>
        <v>0.95499999999999996</v>
      </c>
    </row>
    <row r="208" spans="1:40" x14ac:dyDescent="0.25">
      <c r="A208">
        <v>102607</v>
      </c>
      <c r="B208" t="s">
        <v>441</v>
      </c>
      <c r="C208">
        <v>1.1100000000000001</v>
      </c>
      <c r="D208">
        <v>0.99</v>
      </c>
      <c r="E208">
        <v>1.02</v>
      </c>
      <c r="F208">
        <v>0.94</v>
      </c>
      <c r="G208">
        <v>0.88</v>
      </c>
      <c r="H208">
        <v>0.98</v>
      </c>
      <c r="I208">
        <v>0.97</v>
      </c>
      <c r="J208">
        <v>0.99</v>
      </c>
      <c r="K208">
        <v>0.98</v>
      </c>
      <c r="L208">
        <v>0.95</v>
      </c>
      <c r="M208">
        <v>0.93</v>
      </c>
      <c r="N208">
        <v>0.92</v>
      </c>
      <c r="O208">
        <v>0.88</v>
      </c>
      <c r="P208">
        <v>0.97</v>
      </c>
      <c r="Q208">
        <v>1.17</v>
      </c>
      <c r="R208">
        <v>0.9</v>
      </c>
      <c r="S208">
        <v>1</v>
      </c>
      <c r="T208">
        <v>0.96</v>
      </c>
      <c r="U208">
        <v>0.88</v>
      </c>
      <c r="V208">
        <v>0.87</v>
      </c>
      <c r="W208">
        <v>0.92</v>
      </c>
      <c r="X208">
        <v>0.92</v>
      </c>
      <c r="Y208">
        <v>0.9</v>
      </c>
      <c r="Z208">
        <v>0.88</v>
      </c>
      <c r="AA208" s="8">
        <v>0.77739269528125832</v>
      </c>
      <c r="AB208" s="8">
        <v>1.0290000000000001</v>
      </c>
      <c r="AC208" s="8">
        <v>0.96599999999999997</v>
      </c>
      <c r="AE208">
        <v>102216</v>
      </c>
      <c r="AF208" t="s">
        <v>275</v>
      </c>
      <c r="AG208">
        <v>3493</v>
      </c>
      <c r="AH208">
        <v>3460</v>
      </c>
      <c r="AI208">
        <v>101</v>
      </c>
      <c r="AK208">
        <v>102607</v>
      </c>
      <c r="AL208" t="s">
        <v>441</v>
      </c>
      <c r="AM208">
        <f t="shared" si="8"/>
        <v>96.6</v>
      </c>
      <c r="AN208">
        <f t="shared" si="9"/>
        <v>0.96599999999999997</v>
      </c>
    </row>
    <row r="209" spans="1:40" x14ac:dyDescent="0.25">
      <c r="A209">
        <v>102608</v>
      </c>
      <c r="B209" t="s">
        <v>311</v>
      </c>
      <c r="C209">
        <v>1.1200000000000001</v>
      </c>
      <c r="D209">
        <v>0.99</v>
      </c>
      <c r="E209">
        <v>1.02</v>
      </c>
      <c r="F209">
        <v>0.94</v>
      </c>
      <c r="G209">
        <v>0.88</v>
      </c>
      <c r="H209">
        <v>0.99</v>
      </c>
      <c r="I209">
        <v>0.97</v>
      </c>
      <c r="J209">
        <v>0.99</v>
      </c>
      <c r="K209">
        <v>0.99</v>
      </c>
      <c r="L209">
        <v>0.97</v>
      </c>
      <c r="M209">
        <v>0.94</v>
      </c>
      <c r="N209">
        <v>0.93</v>
      </c>
      <c r="O209">
        <v>0.89</v>
      </c>
      <c r="P209">
        <v>0.98</v>
      </c>
      <c r="Q209">
        <v>1.17</v>
      </c>
      <c r="R209">
        <v>0.92</v>
      </c>
      <c r="S209">
        <v>1.01</v>
      </c>
      <c r="T209">
        <v>0.98</v>
      </c>
      <c r="U209">
        <v>0.89</v>
      </c>
      <c r="V209">
        <v>0.88</v>
      </c>
      <c r="W209">
        <v>0.94</v>
      </c>
      <c r="X209">
        <v>0.94</v>
      </c>
      <c r="Y209">
        <v>0.93</v>
      </c>
      <c r="Z209">
        <v>0.98</v>
      </c>
      <c r="AA209" s="8">
        <v>0.85822493001811295</v>
      </c>
      <c r="AB209" s="8">
        <v>1.02</v>
      </c>
      <c r="AC209" s="8">
        <v>0.96</v>
      </c>
      <c r="AE209">
        <v>102726</v>
      </c>
      <c r="AF209" t="s">
        <v>278</v>
      </c>
      <c r="AG209">
        <v>3926</v>
      </c>
      <c r="AH209">
        <v>4084</v>
      </c>
      <c r="AI209">
        <v>96.1</v>
      </c>
      <c r="AK209">
        <v>102608</v>
      </c>
      <c r="AL209" t="s">
        <v>311</v>
      </c>
      <c r="AM209">
        <f t="shared" si="8"/>
        <v>96</v>
      </c>
      <c r="AN209">
        <f t="shared" si="9"/>
        <v>0.96</v>
      </c>
    </row>
    <row r="210" spans="1:40" x14ac:dyDescent="0.25">
      <c r="A210">
        <v>102609</v>
      </c>
      <c r="B210" t="s">
        <v>121</v>
      </c>
      <c r="C210">
        <v>1.1100000000000001</v>
      </c>
      <c r="D210">
        <v>0.99</v>
      </c>
      <c r="E210">
        <v>1.02</v>
      </c>
      <c r="F210">
        <v>0.93</v>
      </c>
      <c r="G210">
        <v>0.88</v>
      </c>
      <c r="H210">
        <v>0.98</v>
      </c>
      <c r="I210">
        <v>0.96</v>
      </c>
      <c r="J210">
        <v>0.99</v>
      </c>
      <c r="K210">
        <v>0.98</v>
      </c>
      <c r="L210">
        <v>0.96</v>
      </c>
      <c r="M210">
        <v>0.93</v>
      </c>
      <c r="N210">
        <v>0.92</v>
      </c>
      <c r="O210">
        <v>0.88</v>
      </c>
      <c r="P210">
        <v>0.98</v>
      </c>
      <c r="Q210">
        <v>1.1399999999999999</v>
      </c>
      <c r="R210">
        <v>0.92</v>
      </c>
      <c r="S210">
        <v>1</v>
      </c>
      <c r="T210">
        <v>0.96</v>
      </c>
      <c r="U210">
        <v>0.89</v>
      </c>
      <c r="V210">
        <v>0.88</v>
      </c>
      <c r="W210">
        <v>0.96</v>
      </c>
      <c r="X210">
        <v>0.94</v>
      </c>
      <c r="Y210">
        <v>0.94</v>
      </c>
      <c r="Z210">
        <v>0.88</v>
      </c>
      <c r="AA210" s="8">
        <v>0.79416101445001475</v>
      </c>
      <c r="AB210" s="8">
        <v>0.997</v>
      </c>
      <c r="AC210" s="8">
        <v>0.93500000000000005</v>
      </c>
      <c r="AE210">
        <v>102812</v>
      </c>
      <c r="AF210" t="s">
        <v>49</v>
      </c>
      <c r="AG210">
        <v>4830</v>
      </c>
      <c r="AH210">
        <v>4661</v>
      </c>
      <c r="AI210">
        <v>103.6</v>
      </c>
      <c r="AK210">
        <v>102609</v>
      </c>
      <c r="AL210" t="s">
        <v>121</v>
      </c>
      <c r="AM210">
        <f t="shared" si="8"/>
        <v>93.5</v>
      </c>
      <c r="AN210">
        <f t="shared" si="9"/>
        <v>0.93500000000000005</v>
      </c>
    </row>
    <row r="211" spans="1:40" x14ac:dyDescent="0.25">
      <c r="A211">
        <v>102610</v>
      </c>
      <c r="B211" t="s">
        <v>453</v>
      </c>
      <c r="C211">
        <v>1.1100000000000001</v>
      </c>
      <c r="D211">
        <v>0.99</v>
      </c>
      <c r="E211">
        <v>1.02</v>
      </c>
      <c r="F211">
        <v>0.93</v>
      </c>
      <c r="G211">
        <v>0.88</v>
      </c>
      <c r="H211">
        <v>0.98</v>
      </c>
      <c r="I211">
        <v>0.96</v>
      </c>
      <c r="J211">
        <v>0.99</v>
      </c>
      <c r="K211">
        <v>0.99</v>
      </c>
      <c r="L211">
        <v>0.96</v>
      </c>
      <c r="M211">
        <v>0.93</v>
      </c>
      <c r="N211">
        <v>0.93</v>
      </c>
      <c r="O211">
        <v>0.89</v>
      </c>
      <c r="P211">
        <v>0.98</v>
      </c>
      <c r="Q211">
        <v>1.1499999999999999</v>
      </c>
      <c r="R211">
        <v>0.92</v>
      </c>
      <c r="S211">
        <v>1</v>
      </c>
      <c r="T211">
        <v>0.97</v>
      </c>
      <c r="U211">
        <v>0.89</v>
      </c>
      <c r="V211">
        <v>0.88</v>
      </c>
      <c r="W211">
        <v>0.94</v>
      </c>
      <c r="X211">
        <v>0.93</v>
      </c>
      <c r="Y211">
        <v>0.92</v>
      </c>
      <c r="Z211">
        <v>0.86</v>
      </c>
      <c r="AA211" s="8">
        <v>0.82462804685026903</v>
      </c>
      <c r="AB211" s="8">
        <v>1.0070000000000001</v>
      </c>
      <c r="AC211" s="8">
        <v>0.95700000000000007</v>
      </c>
      <c r="AE211">
        <v>102628</v>
      </c>
      <c r="AF211" t="s">
        <v>280</v>
      </c>
      <c r="AG211">
        <v>3423</v>
      </c>
      <c r="AH211">
        <v>3555</v>
      </c>
      <c r="AI211">
        <v>96.3</v>
      </c>
      <c r="AK211">
        <v>102610</v>
      </c>
      <c r="AL211" t="s">
        <v>453</v>
      </c>
      <c r="AM211">
        <f t="shared" si="8"/>
        <v>95.7</v>
      </c>
      <c r="AN211">
        <f t="shared" si="9"/>
        <v>0.95700000000000007</v>
      </c>
    </row>
    <row r="212" spans="1:40" x14ac:dyDescent="0.25">
      <c r="A212">
        <v>102611</v>
      </c>
      <c r="B212" t="s">
        <v>525</v>
      </c>
      <c r="C212">
        <v>1.1100000000000001</v>
      </c>
      <c r="D212">
        <v>0.99</v>
      </c>
      <c r="E212">
        <v>1.02</v>
      </c>
      <c r="F212">
        <v>0.93</v>
      </c>
      <c r="G212">
        <v>0.88</v>
      </c>
      <c r="H212">
        <v>0.98</v>
      </c>
      <c r="I212">
        <v>0.96</v>
      </c>
      <c r="J212">
        <v>0.99</v>
      </c>
      <c r="K212">
        <v>0.98</v>
      </c>
      <c r="L212">
        <v>0.96</v>
      </c>
      <c r="M212">
        <v>0.93</v>
      </c>
      <c r="N212">
        <v>0.92</v>
      </c>
      <c r="O212">
        <v>0.89</v>
      </c>
      <c r="P212">
        <v>0.97</v>
      </c>
      <c r="Q212">
        <v>1.1499999999999999</v>
      </c>
      <c r="R212">
        <v>0.91</v>
      </c>
      <c r="S212">
        <v>1</v>
      </c>
      <c r="T212">
        <v>0.97</v>
      </c>
      <c r="U212">
        <v>0.89</v>
      </c>
      <c r="V212">
        <v>0.86</v>
      </c>
      <c r="W212">
        <v>0.93</v>
      </c>
      <c r="X212">
        <v>0.93</v>
      </c>
      <c r="Y212">
        <v>0.92</v>
      </c>
      <c r="Z212">
        <v>0.91</v>
      </c>
      <c r="AA212" s="8">
        <v>0.8341534008683068</v>
      </c>
      <c r="AB212" s="8">
        <v>1.012</v>
      </c>
      <c r="AC212" s="8">
        <v>0.96</v>
      </c>
      <c r="AE212">
        <v>102641</v>
      </c>
      <c r="AF212" t="s">
        <v>1048</v>
      </c>
      <c r="AG212">
        <v>3340</v>
      </c>
      <c r="AH212">
        <v>3516</v>
      </c>
      <c r="AI212">
        <v>95</v>
      </c>
      <c r="AK212">
        <v>102611</v>
      </c>
      <c r="AL212" t="s">
        <v>525</v>
      </c>
      <c r="AM212">
        <f t="shared" si="8"/>
        <v>96</v>
      </c>
      <c r="AN212">
        <f t="shared" si="9"/>
        <v>0.96</v>
      </c>
    </row>
    <row r="213" spans="1:40" x14ac:dyDescent="0.25">
      <c r="A213">
        <v>102612</v>
      </c>
      <c r="B213" t="s">
        <v>420</v>
      </c>
      <c r="C213">
        <v>1.1100000000000001</v>
      </c>
      <c r="D213">
        <v>0.99</v>
      </c>
      <c r="E213">
        <v>1.02</v>
      </c>
      <c r="F213">
        <v>0.93</v>
      </c>
      <c r="G213">
        <v>0.88</v>
      </c>
      <c r="H213">
        <v>0.98</v>
      </c>
      <c r="I213">
        <v>0.97</v>
      </c>
      <c r="J213">
        <v>0.99</v>
      </c>
      <c r="K213">
        <v>0.98</v>
      </c>
      <c r="L213">
        <v>0.96</v>
      </c>
      <c r="M213">
        <v>0.93</v>
      </c>
      <c r="N213">
        <v>0.92</v>
      </c>
      <c r="O213">
        <v>0.88</v>
      </c>
      <c r="P213">
        <v>0.97</v>
      </c>
      <c r="Q213">
        <v>1.1599999999999999</v>
      </c>
      <c r="R213">
        <v>0.91</v>
      </c>
      <c r="S213">
        <v>1</v>
      </c>
      <c r="T213">
        <v>0.97</v>
      </c>
      <c r="U213">
        <v>0.89</v>
      </c>
      <c r="V213">
        <v>0.87</v>
      </c>
      <c r="W213">
        <v>0.93</v>
      </c>
      <c r="X213">
        <v>0.92</v>
      </c>
      <c r="Y213">
        <v>0.91</v>
      </c>
      <c r="Z213">
        <v>0.89</v>
      </c>
      <c r="AA213" s="8">
        <v>0.78579059829059827</v>
      </c>
      <c r="AB213" s="8">
        <v>1.0549999999999999</v>
      </c>
      <c r="AC213" s="8">
        <v>0.99099999999999999</v>
      </c>
      <c r="AE213">
        <v>102910</v>
      </c>
      <c r="AF213" t="s">
        <v>538</v>
      </c>
      <c r="AG213">
        <v>5586</v>
      </c>
      <c r="AH213">
        <v>5904</v>
      </c>
      <c r="AI213">
        <v>94.6</v>
      </c>
      <c r="AK213">
        <v>102612</v>
      </c>
      <c r="AL213" t="s">
        <v>420</v>
      </c>
      <c r="AM213">
        <f t="shared" si="8"/>
        <v>99.1</v>
      </c>
      <c r="AN213">
        <f t="shared" si="9"/>
        <v>0.99099999999999999</v>
      </c>
    </row>
    <row r="214" spans="1:40" x14ac:dyDescent="0.25">
      <c r="A214">
        <v>102613</v>
      </c>
      <c r="B214" t="s">
        <v>444</v>
      </c>
      <c r="C214">
        <v>1.1100000000000001</v>
      </c>
      <c r="D214">
        <v>0.99</v>
      </c>
      <c r="E214">
        <v>1.01</v>
      </c>
      <c r="F214">
        <v>0.93</v>
      </c>
      <c r="G214">
        <v>0.87</v>
      </c>
      <c r="H214">
        <v>0.98</v>
      </c>
      <c r="I214">
        <v>0.97</v>
      </c>
      <c r="J214">
        <v>0.99</v>
      </c>
      <c r="K214">
        <v>0.98</v>
      </c>
      <c r="L214">
        <v>0.95</v>
      </c>
      <c r="M214">
        <v>0.93</v>
      </c>
      <c r="N214">
        <v>0.92</v>
      </c>
      <c r="O214">
        <v>0.88</v>
      </c>
      <c r="P214">
        <v>0.97</v>
      </c>
      <c r="Q214">
        <v>1.1599999999999999</v>
      </c>
      <c r="R214">
        <v>0.9</v>
      </c>
      <c r="S214">
        <v>1</v>
      </c>
      <c r="T214">
        <v>0.96</v>
      </c>
      <c r="U214">
        <v>0.88</v>
      </c>
      <c r="V214">
        <v>0.86</v>
      </c>
      <c r="W214">
        <v>0.91</v>
      </c>
      <c r="X214">
        <v>0.91</v>
      </c>
      <c r="Y214">
        <v>0.9</v>
      </c>
      <c r="Z214">
        <v>0.88</v>
      </c>
      <c r="AA214" s="8">
        <v>0.77579312183417759</v>
      </c>
      <c r="AB214" s="8">
        <v>1.0109999999999999</v>
      </c>
      <c r="AC214" s="8">
        <v>0.94499999999999995</v>
      </c>
      <c r="AE214">
        <v>102136</v>
      </c>
      <c r="AF214" t="s">
        <v>44</v>
      </c>
      <c r="AG214">
        <v>2783</v>
      </c>
      <c r="AH214">
        <v>3024</v>
      </c>
      <c r="AI214">
        <v>92</v>
      </c>
      <c r="AK214">
        <v>102613</v>
      </c>
      <c r="AL214" t="s">
        <v>444</v>
      </c>
      <c r="AM214">
        <f t="shared" si="8"/>
        <v>94.5</v>
      </c>
      <c r="AN214">
        <f t="shared" si="9"/>
        <v>0.94499999999999995</v>
      </c>
    </row>
    <row r="215" spans="1:40" x14ac:dyDescent="0.25">
      <c r="A215">
        <v>102614</v>
      </c>
      <c r="B215" t="s">
        <v>57</v>
      </c>
      <c r="C215">
        <v>1.1100000000000001</v>
      </c>
      <c r="D215">
        <v>0.99</v>
      </c>
      <c r="E215">
        <v>1.01</v>
      </c>
      <c r="F215">
        <v>0.93</v>
      </c>
      <c r="G215">
        <v>0.88</v>
      </c>
      <c r="H215">
        <v>0.98</v>
      </c>
      <c r="I215">
        <v>0.96</v>
      </c>
      <c r="J215">
        <v>0.99</v>
      </c>
      <c r="K215">
        <v>0.98</v>
      </c>
      <c r="L215">
        <v>0.95</v>
      </c>
      <c r="M215">
        <v>0.93</v>
      </c>
      <c r="N215">
        <v>0.92</v>
      </c>
      <c r="O215">
        <v>0.88</v>
      </c>
      <c r="P215">
        <v>0.97</v>
      </c>
      <c r="Q215">
        <v>1.1599999999999999</v>
      </c>
      <c r="R215">
        <v>0.91</v>
      </c>
      <c r="S215">
        <v>1</v>
      </c>
      <c r="T215">
        <v>0.96</v>
      </c>
      <c r="U215">
        <v>0.89</v>
      </c>
      <c r="V215">
        <v>0.86</v>
      </c>
      <c r="W215">
        <v>0.94</v>
      </c>
      <c r="X215">
        <v>0.94</v>
      </c>
      <c r="Y215">
        <v>0.93</v>
      </c>
      <c r="Z215">
        <v>0.92</v>
      </c>
      <c r="AA215" s="8">
        <v>0.81715362865221486</v>
      </c>
      <c r="AB215" s="8">
        <v>1.0349999999999999</v>
      </c>
      <c r="AC215" s="8">
        <v>0.9840000000000001</v>
      </c>
      <c r="AE215">
        <v>102208</v>
      </c>
      <c r="AF215" t="s">
        <v>418</v>
      </c>
      <c r="AG215">
        <v>3131</v>
      </c>
      <c r="AH215">
        <v>3309</v>
      </c>
      <c r="AI215">
        <v>94.6</v>
      </c>
      <c r="AK215">
        <v>102614</v>
      </c>
      <c r="AL215" t="s">
        <v>57</v>
      </c>
      <c r="AM215">
        <f t="shared" si="8"/>
        <v>98.4</v>
      </c>
      <c r="AN215">
        <f t="shared" si="9"/>
        <v>0.9840000000000001</v>
      </c>
    </row>
    <row r="216" spans="1:40" x14ac:dyDescent="0.25">
      <c r="A216">
        <v>102615</v>
      </c>
      <c r="B216" t="s">
        <v>526</v>
      </c>
      <c r="C216">
        <v>1.1000000000000001</v>
      </c>
      <c r="D216">
        <v>0.97</v>
      </c>
      <c r="E216">
        <v>1.02</v>
      </c>
      <c r="F216">
        <v>0.94</v>
      </c>
      <c r="G216">
        <v>0.88</v>
      </c>
      <c r="H216">
        <v>0.98</v>
      </c>
      <c r="I216">
        <v>0.97</v>
      </c>
      <c r="J216">
        <v>0.98</v>
      </c>
      <c r="K216">
        <v>0.98</v>
      </c>
      <c r="L216">
        <v>0.95</v>
      </c>
      <c r="M216">
        <v>0.92</v>
      </c>
      <c r="N216">
        <v>0.92</v>
      </c>
      <c r="O216">
        <v>0.89</v>
      </c>
      <c r="P216">
        <v>0.97</v>
      </c>
      <c r="Q216">
        <v>1.1599999999999999</v>
      </c>
      <c r="R216">
        <v>0.9</v>
      </c>
      <c r="S216">
        <v>1</v>
      </c>
      <c r="T216">
        <v>0.95</v>
      </c>
      <c r="U216">
        <v>0.89</v>
      </c>
      <c r="V216">
        <v>0.88</v>
      </c>
      <c r="W216">
        <v>0.93</v>
      </c>
      <c r="X216">
        <v>0.94</v>
      </c>
      <c r="Y216">
        <v>0.92</v>
      </c>
      <c r="Z216">
        <v>1</v>
      </c>
      <c r="AA216" s="8">
        <v>0.91320891465845266</v>
      </c>
      <c r="AB216" s="8">
        <v>1.0149999999999999</v>
      </c>
      <c r="AC216" s="8">
        <v>0.95799999999999996</v>
      </c>
      <c r="AE216">
        <v>102612</v>
      </c>
      <c r="AF216" t="s">
        <v>420</v>
      </c>
      <c r="AG216">
        <v>3364</v>
      </c>
      <c r="AH216">
        <v>3396</v>
      </c>
      <c r="AI216">
        <v>99.1</v>
      </c>
      <c r="AK216">
        <v>102615</v>
      </c>
      <c r="AL216" t="s">
        <v>526</v>
      </c>
      <c r="AM216">
        <f t="shared" si="8"/>
        <v>95.8</v>
      </c>
      <c r="AN216">
        <f t="shared" si="9"/>
        <v>0.95799999999999996</v>
      </c>
    </row>
    <row r="217" spans="1:40" x14ac:dyDescent="0.25">
      <c r="A217">
        <v>102616</v>
      </c>
      <c r="B217" t="s">
        <v>221</v>
      </c>
      <c r="C217">
        <v>1.1000000000000001</v>
      </c>
      <c r="D217">
        <v>0.98</v>
      </c>
      <c r="E217">
        <v>1.02</v>
      </c>
      <c r="F217">
        <v>0.93</v>
      </c>
      <c r="G217">
        <v>0.9</v>
      </c>
      <c r="H217">
        <v>0.98</v>
      </c>
      <c r="I217">
        <v>0.96</v>
      </c>
      <c r="J217">
        <v>1</v>
      </c>
      <c r="K217">
        <v>0.99</v>
      </c>
      <c r="L217">
        <v>0.96</v>
      </c>
      <c r="M217">
        <v>0.93</v>
      </c>
      <c r="N217">
        <v>0.93</v>
      </c>
      <c r="O217">
        <v>0.89</v>
      </c>
      <c r="P217">
        <v>0.96</v>
      </c>
      <c r="Q217">
        <v>1.1499999999999999</v>
      </c>
      <c r="R217">
        <v>0.92</v>
      </c>
      <c r="S217">
        <v>1</v>
      </c>
      <c r="T217">
        <v>0.96</v>
      </c>
      <c r="U217">
        <v>0.89</v>
      </c>
      <c r="V217">
        <v>0.86</v>
      </c>
      <c r="W217">
        <v>0.94</v>
      </c>
      <c r="X217">
        <v>0.94</v>
      </c>
      <c r="Y217">
        <v>0.92</v>
      </c>
      <c r="Z217">
        <v>0.99</v>
      </c>
      <c r="AA217" s="8">
        <v>0.88008305935282916</v>
      </c>
      <c r="AB217" s="8">
        <v>1.024</v>
      </c>
      <c r="AC217" s="8">
        <v>0.98</v>
      </c>
      <c r="AE217">
        <v>102613</v>
      </c>
      <c r="AF217" t="s">
        <v>444</v>
      </c>
      <c r="AG217">
        <v>3333</v>
      </c>
      <c r="AH217">
        <v>3526</v>
      </c>
      <c r="AI217">
        <v>94.5</v>
      </c>
      <c r="AK217">
        <v>102616</v>
      </c>
      <c r="AL217" t="s">
        <v>221</v>
      </c>
      <c r="AM217">
        <f t="shared" si="8"/>
        <v>98</v>
      </c>
      <c r="AN217">
        <f t="shared" si="9"/>
        <v>0.98</v>
      </c>
    </row>
    <row r="218" spans="1:40" x14ac:dyDescent="0.25">
      <c r="A218">
        <v>102617</v>
      </c>
      <c r="B218" t="s">
        <v>335</v>
      </c>
      <c r="C218">
        <v>1.1000000000000001</v>
      </c>
      <c r="D218">
        <v>0.97</v>
      </c>
      <c r="E218">
        <v>1.02</v>
      </c>
      <c r="F218">
        <v>0.94</v>
      </c>
      <c r="G218">
        <v>0.88</v>
      </c>
      <c r="H218">
        <v>0.98</v>
      </c>
      <c r="I218">
        <v>0.97</v>
      </c>
      <c r="J218">
        <v>0.98</v>
      </c>
      <c r="K218">
        <v>0.98</v>
      </c>
      <c r="L218">
        <v>0.95</v>
      </c>
      <c r="M218">
        <v>0.92</v>
      </c>
      <c r="N218">
        <v>0.92</v>
      </c>
      <c r="O218">
        <v>0.89</v>
      </c>
      <c r="P218">
        <v>0.97</v>
      </c>
      <c r="Q218">
        <v>1.1599999999999999</v>
      </c>
      <c r="R218">
        <v>0.9</v>
      </c>
      <c r="S218">
        <v>1</v>
      </c>
      <c r="T218">
        <v>0.95</v>
      </c>
      <c r="U218">
        <v>0.89</v>
      </c>
      <c r="V218">
        <v>0.89</v>
      </c>
      <c r="W218">
        <v>0.93</v>
      </c>
      <c r="X218">
        <v>0.94</v>
      </c>
      <c r="Y218">
        <v>0.92</v>
      </c>
      <c r="Z218">
        <v>0.88</v>
      </c>
      <c r="AA218" s="8">
        <v>0.7725094577553594</v>
      </c>
      <c r="AB218" s="8">
        <v>1.05</v>
      </c>
      <c r="AC218" s="8">
        <v>0.98799999999999999</v>
      </c>
      <c r="AE218">
        <v>102534</v>
      </c>
      <c r="AF218" t="s">
        <v>247</v>
      </c>
      <c r="AG218">
        <v>3839</v>
      </c>
      <c r="AH218">
        <v>4039</v>
      </c>
      <c r="AI218">
        <v>95</v>
      </c>
      <c r="AK218">
        <v>102617</v>
      </c>
      <c r="AL218" t="s">
        <v>335</v>
      </c>
      <c r="AM218">
        <f t="shared" si="8"/>
        <v>98.8</v>
      </c>
      <c r="AN218">
        <f t="shared" si="9"/>
        <v>0.98799999999999999</v>
      </c>
    </row>
    <row r="219" spans="1:40" x14ac:dyDescent="0.25">
      <c r="A219">
        <v>102618</v>
      </c>
      <c r="B219" t="s">
        <v>527</v>
      </c>
      <c r="C219">
        <v>1.0900000000000001</v>
      </c>
      <c r="D219">
        <v>0.96</v>
      </c>
      <c r="E219">
        <v>1.01</v>
      </c>
      <c r="F219">
        <v>0.95</v>
      </c>
      <c r="G219">
        <v>0.88</v>
      </c>
      <c r="H219">
        <v>0.99</v>
      </c>
      <c r="I219">
        <v>0.98</v>
      </c>
      <c r="J219">
        <v>0.98</v>
      </c>
      <c r="K219">
        <v>0.99</v>
      </c>
      <c r="L219">
        <v>0.95</v>
      </c>
      <c r="M219">
        <v>0.92</v>
      </c>
      <c r="N219">
        <v>0.94</v>
      </c>
      <c r="O219">
        <v>0.9</v>
      </c>
      <c r="P219">
        <v>0.99</v>
      </c>
      <c r="Q219">
        <v>1.1599999999999999</v>
      </c>
      <c r="R219">
        <v>0.91</v>
      </c>
      <c r="S219">
        <v>1.01</v>
      </c>
      <c r="T219">
        <v>0.96</v>
      </c>
      <c r="U219">
        <v>0.9</v>
      </c>
      <c r="V219">
        <v>0.9</v>
      </c>
      <c r="W219">
        <v>0.94</v>
      </c>
      <c r="X219">
        <v>0.94</v>
      </c>
      <c r="Y219">
        <v>0.93</v>
      </c>
      <c r="Z219">
        <v>0.9</v>
      </c>
      <c r="AA219" s="8">
        <v>0.79429849077697035</v>
      </c>
      <c r="AB219" s="8">
        <v>1.01</v>
      </c>
      <c r="AC219" s="8">
        <v>0.95700000000000007</v>
      </c>
      <c r="AE219">
        <v>102808</v>
      </c>
      <c r="AF219" t="s">
        <v>532</v>
      </c>
      <c r="AG219">
        <v>5297</v>
      </c>
      <c r="AH219">
        <v>5443</v>
      </c>
      <c r="AI219">
        <v>97.3</v>
      </c>
      <c r="AK219">
        <v>102618</v>
      </c>
      <c r="AL219" t="s">
        <v>527</v>
      </c>
      <c r="AM219">
        <f t="shared" si="8"/>
        <v>95.7</v>
      </c>
      <c r="AN219">
        <f t="shared" si="9"/>
        <v>0.95700000000000007</v>
      </c>
    </row>
    <row r="220" spans="1:40" x14ac:dyDescent="0.25">
      <c r="A220">
        <v>102619</v>
      </c>
      <c r="B220" t="s">
        <v>315</v>
      </c>
      <c r="C220">
        <v>1.0900000000000001</v>
      </c>
      <c r="D220">
        <v>0.96</v>
      </c>
      <c r="E220">
        <v>1.02</v>
      </c>
      <c r="F220">
        <v>0.95</v>
      </c>
      <c r="G220">
        <v>0.89</v>
      </c>
      <c r="H220">
        <v>0.99</v>
      </c>
      <c r="I220">
        <v>0.97</v>
      </c>
      <c r="J220">
        <v>0.98</v>
      </c>
      <c r="K220">
        <v>0.99</v>
      </c>
      <c r="L220">
        <v>0.95</v>
      </c>
      <c r="M220">
        <v>0.92</v>
      </c>
      <c r="N220">
        <v>0.93</v>
      </c>
      <c r="O220">
        <v>0.9</v>
      </c>
      <c r="P220">
        <v>0.98</v>
      </c>
      <c r="Q220">
        <v>1.1499999999999999</v>
      </c>
      <c r="R220">
        <v>0.91</v>
      </c>
      <c r="S220">
        <v>1</v>
      </c>
      <c r="T220">
        <v>0.96</v>
      </c>
      <c r="U220">
        <v>0.9</v>
      </c>
      <c r="V220">
        <v>0.9</v>
      </c>
      <c r="W220">
        <v>0.94</v>
      </c>
      <c r="X220">
        <v>0.95</v>
      </c>
      <c r="Y220">
        <v>0.92</v>
      </c>
      <c r="Z220">
        <v>0.98</v>
      </c>
      <c r="AA220" s="8">
        <v>0.89040318001135721</v>
      </c>
      <c r="AB220" s="8">
        <v>1.0070000000000001</v>
      </c>
      <c r="AC220" s="8">
        <v>0.95599999999999996</v>
      </c>
      <c r="AE220">
        <v>102909</v>
      </c>
      <c r="AF220" t="s">
        <v>272</v>
      </c>
      <c r="AG220">
        <v>5433</v>
      </c>
      <c r="AH220">
        <v>5689</v>
      </c>
      <c r="AI220">
        <v>95.5</v>
      </c>
      <c r="AK220">
        <v>102619</v>
      </c>
      <c r="AL220" t="s">
        <v>315</v>
      </c>
      <c r="AM220">
        <f t="shared" si="8"/>
        <v>95.6</v>
      </c>
      <c r="AN220">
        <f t="shared" si="9"/>
        <v>0.95599999999999996</v>
      </c>
    </row>
    <row r="221" spans="1:40" x14ac:dyDescent="0.25">
      <c r="A221">
        <v>102620</v>
      </c>
      <c r="B221" t="s">
        <v>528</v>
      </c>
      <c r="C221">
        <v>1.0900000000000001</v>
      </c>
      <c r="D221">
        <v>0.97</v>
      </c>
      <c r="E221">
        <v>1.02</v>
      </c>
      <c r="F221">
        <v>0.94</v>
      </c>
      <c r="G221">
        <v>0.9</v>
      </c>
      <c r="H221">
        <v>0.98</v>
      </c>
      <c r="I221">
        <v>0.96</v>
      </c>
      <c r="J221">
        <v>0.98</v>
      </c>
      <c r="K221">
        <v>0.99</v>
      </c>
      <c r="L221">
        <v>0.95</v>
      </c>
      <c r="M221">
        <v>0.92</v>
      </c>
      <c r="N221">
        <v>0.92</v>
      </c>
      <c r="O221">
        <v>0.89</v>
      </c>
      <c r="P221">
        <v>0.97</v>
      </c>
      <c r="Q221">
        <v>1.1399999999999999</v>
      </c>
      <c r="R221">
        <v>0.92</v>
      </c>
      <c r="S221">
        <v>1</v>
      </c>
      <c r="T221">
        <v>0.96</v>
      </c>
      <c r="U221">
        <v>0.9</v>
      </c>
      <c r="V221">
        <v>0.88</v>
      </c>
      <c r="W221">
        <v>0.94</v>
      </c>
      <c r="X221">
        <v>0.96</v>
      </c>
      <c r="Y221">
        <v>0.93</v>
      </c>
      <c r="Z221">
        <v>0.88</v>
      </c>
      <c r="AA221" s="8">
        <v>0.77765929085577179</v>
      </c>
      <c r="AB221" s="8">
        <v>1</v>
      </c>
      <c r="AC221" s="8">
        <v>0.96799999999999997</v>
      </c>
      <c r="AE221">
        <v>102416</v>
      </c>
      <c r="AF221" t="s">
        <v>285</v>
      </c>
      <c r="AG221">
        <v>3495</v>
      </c>
      <c r="AH221">
        <v>3683</v>
      </c>
      <c r="AI221">
        <v>94.9</v>
      </c>
      <c r="AK221">
        <v>102620</v>
      </c>
      <c r="AL221" t="s">
        <v>528</v>
      </c>
      <c r="AM221">
        <f t="shared" si="8"/>
        <v>96.8</v>
      </c>
      <c r="AN221">
        <f t="shared" si="9"/>
        <v>0.96799999999999997</v>
      </c>
    </row>
    <row r="222" spans="1:40" x14ac:dyDescent="0.25">
      <c r="A222">
        <v>102623</v>
      </c>
      <c r="B222" t="s">
        <v>808</v>
      </c>
      <c r="C222">
        <v>1.1100000000000001</v>
      </c>
      <c r="D222">
        <v>0.99</v>
      </c>
      <c r="E222">
        <v>1.02</v>
      </c>
      <c r="F222">
        <v>0.94</v>
      </c>
      <c r="G222">
        <v>0.89</v>
      </c>
      <c r="H222">
        <v>0.99</v>
      </c>
      <c r="I222">
        <v>0.97</v>
      </c>
      <c r="J222">
        <v>1</v>
      </c>
      <c r="K222">
        <v>0.99</v>
      </c>
      <c r="L222">
        <v>0.97</v>
      </c>
      <c r="M222">
        <v>0.94</v>
      </c>
      <c r="N222">
        <v>0.93</v>
      </c>
      <c r="O222">
        <v>0.89</v>
      </c>
      <c r="P222">
        <v>0.98</v>
      </c>
      <c r="Q222">
        <v>1.1599999999999999</v>
      </c>
      <c r="R222">
        <v>0.92</v>
      </c>
      <c r="S222">
        <v>1.01</v>
      </c>
      <c r="T222">
        <v>0.98</v>
      </c>
      <c r="U222">
        <v>0.89</v>
      </c>
      <c r="V222">
        <v>0.87</v>
      </c>
      <c r="W222">
        <v>0.93</v>
      </c>
      <c r="X222">
        <v>0.93</v>
      </c>
      <c r="Y222">
        <v>0.91</v>
      </c>
      <c r="Z222">
        <v>0.92</v>
      </c>
      <c r="AA222" s="8">
        <v>0.80778226663831598</v>
      </c>
      <c r="AB222" s="8">
        <v>1</v>
      </c>
      <c r="AC222" s="8">
        <v>0.94700000000000006</v>
      </c>
      <c r="AE222">
        <v>102221</v>
      </c>
      <c r="AF222" t="s">
        <v>512</v>
      </c>
      <c r="AG222">
        <v>3115</v>
      </c>
      <c r="AH222">
        <v>3428</v>
      </c>
      <c r="AI222">
        <v>90.9</v>
      </c>
      <c r="AK222">
        <v>102623</v>
      </c>
      <c r="AL222" t="s">
        <v>808</v>
      </c>
      <c r="AM222">
        <f t="shared" si="8"/>
        <v>94.7</v>
      </c>
      <c r="AN222">
        <f t="shared" si="9"/>
        <v>0.94700000000000006</v>
      </c>
    </row>
    <row r="223" spans="1:40" x14ac:dyDescent="0.25">
      <c r="A223">
        <v>102624</v>
      </c>
      <c r="B223" t="s">
        <v>488</v>
      </c>
      <c r="C223">
        <v>1.1100000000000001</v>
      </c>
      <c r="D223">
        <v>0.99</v>
      </c>
      <c r="E223">
        <v>1.02</v>
      </c>
      <c r="F223">
        <v>0.93</v>
      </c>
      <c r="G223">
        <v>0.88</v>
      </c>
      <c r="H223">
        <v>0.98</v>
      </c>
      <c r="I223">
        <v>0.97</v>
      </c>
      <c r="J223">
        <v>0.99</v>
      </c>
      <c r="K223">
        <v>0.99</v>
      </c>
      <c r="L223">
        <v>0.96</v>
      </c>
      <c r="M223">
        <v>0.93</v>
      </c>
      <c r="N223">
        <v>0.93</v>
      </c>
      <c r="O223">
        <v>0.89</v>
      </c>
      <c r="P223">
        <v>0.98</v>
      </c>
      <c r="Q223">
        <v>1.1499999999999999</v>
      </c>
      <c r="R223">
        <v>0.91</v>
      </c>
      <c r="S223">
        <v>1.01</v>
      </c>
      <c r="T223">
        <v>0.97</v>
      </c>
      <c r="U223">
        <v>0.88</v>
      </c>
      <c r="V223">
        <v>0.86</v>
      </c>
      <c r="W223">
        <v>0.92</v>
      </c>
      <c r="X223">
        <v>0.91</v>
      </c>
      <c r="Y223">
        <v>0.9</v>
      </c>
      <c r="Z223">
        <v>0.93</v>
      </c>
      <c r="AA223" s="8">
        <v>0.81436282562778695</v>
      </c>
      <c r="AB223" s="8">
        <v>1.002</v>
      </c>
      <c r="AC223" s="8">
        <v>0.94700000000000006</v>
      </c>
      <c r="AE223">
        <v>102814</v>
      </c>
      <c r="AF223" t="s">
        <v>466</v>
      </c>
      <c r="AG223">
        <v>5050</v>
      </c>
      <c r="AH223">
        <v>5172</v>
      </c>
      <c r="AI223">
        <v>97.6</v>
      </c>
      <c r="AK223">
        <v>102624</v>
      </c>
      <c r="AL223" t="s">
        <v>488</v>
      </c>
      <c r="AM223">
        <f t="shared" si="8"/>
        <v>94.7</v>
      </c>
      <c r="AN223">
        <f t="shared" si="9"/>
        <v>0.94700000000000006</v>
      </c>
    </row>
    <row r="224" spans="1:40" x14ac:dyDescent="0.25">
      <c r="A224">
        <v>102625</v>
      </c>
      <c r="B224" t="s">
        <v>529</v>
      </c>
      <c r="C224">
        <v>1.1000000000000001</v>
      </c>
      <c r="D224">
        <v>0.99</v>
      </c>
      <c r="E224">
        <v>1.01</v>
      </c>
      <c r="F224">
        <v>0.93</v>
      </c>
      <c r="G224">
        <v>0.88</v>
      </c>
      <c r="H224">
        <v>0.98</v>
      </c>
      <c r="I224">
        <v>0.96</v>
      </c>
      <c r="J224">
        <v>0.99</v>
      </c>
      <c r="K224">
        <v>0.98</v>
      </c>
      <c r="L224">
        <v>0.96</v>
      </c>
      <c r="M224">
        <v>0.93</v>
      </c>
      <c r="N224">
        <v>0.92</v>
      </c>
      <c r="O224">
        <v>0.88</v>
      </c>
      <c r="P224">
        <v>0.97</v>
      </c>
      <c r="Q224">
        <v>1.1499999999999999</v>
      </c>
      <c r="R224">
        <v>0.91</v>
      </c>
      <c r="S224">
        <v>1</v>
      </c>
      <c r="T224">
        <v>0.97</v>
      </c>
      <c r="U224">
        <v>0.89</v>
      </c>
      <c r="V224">
        <v>0.86</v>
      </c>
      <c r="W224">
        <v>0.93</v>
      </c>
      <c r="X224">
        <v>0.93</v>
      </c>
      <c r="Y224">
        <v>0.92</v>
      </c>
      <c r="Z224">
        <v>0.92</v>
      </c>
      <c r="AA224" s="8">
        <v>0.80423666910153402</v>
      </c>
      <c r="AB224" s="8">
        <v>1.008</v>
      </c>
      <c r="AC224" s="8">
        <v>0.95799999999999996</v>
      </c>
      <c r="AE224">
        <v>102640</v>
      </c>
      <c r="AF224" t="s">
        <v>1050</v>
      </c>
      <c r="AG224">
        <v>3349</v>
      </c>
      <c r="AH224">
        <v>3521</v>
      </c>
      <c r="AI224">
        <v>95.1</v>
      </c>
      <c r="AK224">
        <v>102625</v>
      </c>
      <c r="AL224" t="s">
        <v>529</v>
      </c>
      <c r="AM224">
        <f t="shared" si="8"/>
        <v>95.8</v>
      </c>
      <c r="AN224">
        <f t="shared" si="9"/>
        <v>0.95799999999999996</v>
      </c>
    </row>
    <row r="225" spans="1:40" x14ac:dyDescent="0.25">
      <c r="A225">
        <v>102626</v>
      </c>
      <c r="B225" t="s">
        <v>66</v>
      </c>
      <c r="C225">
        <v>1.1100000000000001</v>
      </c>
      <c r="D225">
        <v>0.99</v>
      </c>
      <c r="E225">
        <v>1.02</v>
      </c>
      <c r="F225">
        <v>0.93</v>
      </c>
      <c r="G225">
        <v>0.88</v>
      </c>
      <c r="H225">
        <v>0.98</v>
      </c>
      <c r="I225">
        <v>0.97</v>
      </c>
      <c r="J225">
        <v>0.99</v>
      </c>
      <c r="K225">
        <v>0.99</v>
      </c>
      <c r="L225">
        <v>0.95</v>
      </c>
      <c r="M225">
        <v>0.93</v>
      </c>
      <c r="N225">
        <v>0.92</v>
      </c>
      <c r="O225">
        <v>0.88</v>
      </c>
      <c r="P225">
        <v>0.97</v>
      </c>
      <c r="Q225">
        <v>1.1599999999999999</v>
      </c>
      <c r="R225">
        <v>0.9</v>
      </c>
      <c r="S225">
        <v>1</v>
      </c>
      <c r="T225">
        <v>0.96</v>
      </c>
      <c r="U225">
        <v>0.88</v>
      </c>
      <c r="V225">
        <v>0.86</v>
      </c>
      <c r="W225">
        <v>0.91</v>
      </c>
      <c r="X225">
        <v>0.9</v>
      </c>
      <c r="Y225">
        <v>0.88</v>
      </c>
      <c r="Z225" s="97">
        <f t="shared" ref="Z225:AA225" si="10">AVERAGE(Z131,Z118)</f>
        <v>0.92</v>
      </c>
      <c r="AA225" s="97">
        <f t="shared" si="10"/>
        <v>0.80820333564337243</v>
      </c>
      <c r="AB225" s="97">
        <v>1.0190000000000001</v>
      </c>
      <c r="AC225" s="8">
        <v>0.92900000000000005</v>
      </c>
      <c r="AE225">
        <v>102805</v>
      </c>
      <c r="AF225" t="s">
        <v>288</v>
      </c>
      <c r="AG225">
        <v>4250</v>
      </c>
      <c r="AH225">
        <v>4509</v>
      </c>
      <c r="AI225">
        <v>94.2</v>
      </c>
      <c r="AK225">
        <v>102626</v>
      </c>
      <c r="AL225" t="s">
        <v>66</v>
      </c>
      <c r="AM225">
        <f t="shared" si="8"/>
        <v>92.9</v>
      </c>
      <c r="AN225">
        <f t="shared" si="9"/>
        <v>0.92900000000000005</v>
      </c>
    </row>
    <row r="226" spans="1:40" x14ac:dyDescent="0.25">
      <c r="A226">
        <v>102627</v>
      </c>
      <c r="B226" t="s">
        <v>530</v>
      </c>
      <c r="C226">
        <v>1.1100000000000001</v>
      </c>
      <c r="D226">
        <v>0.99</v>
      </c>
      <c r="E226">
        <v>1.02</v>
      </c>
      <c r="F226">
        <v>0.94</v>
      </c>
      <c r="G226">
        <v>0.88</v>
      </c>
      <c r="H226">
        <v>0.99</v>
      </c>
      <c r="I226">
        <v>0.97</v>
      </c>
      <c r="J226">
        <v>0.99</v>
      </c>
      <c r="K226">
        <v>0.99</v>
      </c>
      <c r="L226">
        <v>0.96</v>
      </c>
      <c r="M226">
        <v>0.93</v>
      </c>
      <c r="N226">
        <v>0.92</v>
      </c>
      <c r="O226">
        <v>0.89</v>
      </c>
      <c r="P226">
        <v>0.98</v>
      </c>
      <c r="Q226">
        <v>1.17</v>
      </c>
      <c r="R226">
        <v>0.91</v>
      </c>
      <c r="S226">
        <v>1</v>
      </c>
      <c r="T226">
        <v>0.97</v>
      </c>
      <c r="U226">
        <v>0.88</v>
      </c>
      <c r="V226">
        <v>0.87</v>
      </c>
      <c r="W226">
        <v>0.91</v>
      </c>
      <c r="X226">
        <v>0.91</v>
      </c>
      <c r="Y226">
        <v>0.89</v>
      </c>
      <c r="Z226">
        <v>0.84</v>
      </c>
      <c r="AA226" s="8">
        <v>0.79762989972652687</v>
      </c>
      <c r="AB226" s="8">
        <v>1.01</v>
      </c>
      <c r="AC226" s="8">
        <v>0.94099999999999995</v>
      </c>
      <c r="AE226">
        <v>102504</v>
      </c>
      <c r="AF226" t="s">
        <v>236</v>
      </c>
      <c r="AG226">
        <v>3847</v>
      </c>
      <c r="AH226">
        <v>4070</v>
      </c>
      <c r="AI226">
        <v>94.5</v>
      </c>
      <c r="AK226">
        <v>102627</v>
      </c>
      <c r="AL226" t="s">
        <v>530</v>
      </c>
      <c r="AM226">
        <f t="shared" si="8"/>
        <v>94.1</v>
      </c>
      <c r="AN226">
        <f t="shared" si="9"/>
        <v>0.94099999999999995</v>
      </c>
    </row>
    <row r="227" spans="1:40" x14ac:dyDescent="0.25">
      <c r="A227">
        <v>102628</v>
      </c>
      <c r="B227" t="s">
        <v>280</v>
      </c>
      <c r="C227">
        <v>1.1100000000000001</v>
      </c>
      <c r="D227">
        <v>0.99</v>
      </c>
      <c r="E227">
        <v>1.02</v>
      </c>
      <c r="F227">
        <v>0.93</v>
      </c>
      <c r="G227">
        <v>0.88</v>
      </c>
      <c r="H227">
        <v>0.98</v>
      </c>
      <c r="I227">
        <v>0.97</v>
      </c>
      <c r="J227">
        <v>0.99</v>
      </c>
      <c r="K227">
        <v>0.98</v>
      </c>
      <c r="L227">
        <v>0.95</v>
      </c>
      <c r="M227">
        <v>0.92</v>
      </c>
      <c r="N227">
        <v>0.92</v>
      </c>
      <c r="O227">
        <v>0.88</v>
      </c>
      <c r="P227">
        <v>0.97</v>
      </c>
      <c r="Q227">
        <v>1.1599999999999999</v>
      </c>
      <c r="R227">
        <v>0.9</v>
      </c>
      <c r="S227">
        <v>1</v>
      </c>
      <c r="T227">
        <v>0.96</v>
      </c>
      <c r="U227">
        <v>0.88</v>
      </c>
      <c r="V227">
        <v>0.86</v>
      </c>
      <c r="W227">
        <v>0.91</v>
      </c>
      <c r="X227">
        <v>0.91</v>
      </c>
      <c r="Y227">
        <v>0.89</v>
      </c>
      <c r="Z227">
        <v>0.97</v>
      </c>
      <c r="AA227" s="8">
        <v>0.8628276257891716</v>
      </c>
      <c r="AB227" s="8">
        <v>1.026</v>
      </c>
      <c r="AC227" s="8">
        <v>0.96299999999999997</v>
      </c>
      <c r="AE227">
        <v>102636</v>
      </c>
      <c r="AF227" t="s">
        <v>296</v>
      </c>
      <c r="AG227">
        <v>3714</v>
      </c>
      <c r="AH227">
        <v>3886</v>
      </c>
      <c r="AI227">
        <v>95.6</v>
      </c>
      <c r="AK227">
        <v>102628</v>
      </c>
      <c r="AL227" t="s">
        <v>280</v>
      </c>
      <c r="AM227">
        <f t="shared" si="8"/>
        <v>96.3</v>
      </c>
      <c r="AN227">
        <f t="shared" si="9"/>
        <v>0.96299999999999997</v>
      </c>
    </row>
    <row r="228" spans="1:40" x14ac:dyDescent="0.25">
      <c r="A228">
        <v>102629</v>
      </c>
      <c r="B228" t="s">
        <v>442</v>
      </c>
      <c r="C228">
        <v>1.1100000000000001</v>
      </c>
      <c r="D228">
        <v>0.99</v>
      </c>
      <c r="E228">
        <v>1.01</v>
      </c>
      <c r="F228">
        <v>0.93</v>
      </c>
      <c r="G228">
        <v>0.87</v>
      </c>
      <c r="H228">
        <v>0.98</v>
      </c>
      <c r="I228">
        <v>0.96</v>
      </c>
      <c r="J228">
        <v>0.99</v>
      </c>
      <c r="K228">
        <v>0.98</v>
      </c>
      <c r="L228">
        <v>0.95</v>
      </c>
      <c r="M228">
        <v>0.92</v>
      </c>
      <c r="N228">
        <v>0.92</v>
      </c>
      <c r="O228">
        <v>0.88</v>
      </c>
      <c r="P228">
        <v>0.96</v>
      </c>
      <c r="Q228">
        <v>1.1499999999999999</v>
      </c>
      <c r="R228">
        <v>0.9</v>
      </c>
      <c r="S228">
        <v>0.99</v>
      </c>
      <c r="T228">
        <v>0.95</v>
      </c>
      <c r="U228">
        <v>0.88</v>
      </c>
      <c r="V228">
        <v>0.86</v>
      </c>
      <c r="W228">
        <v>0.92</v>
      </c>
      <c r="X228">
        <v>0.92</v>
      </c>
      <c r="Y228">
        <v>0.91</v>
      </c>
      <c r="Z228">
        <v>0.91</v>
      </c>
      <c r="AA228" s="8">
        <v>0.86477242830833989</v>
      </c>
      <c r="AB228" s="8">
        <v>1.0209999999999999</v>
      </c>
      <c r="AC228" s="8">
        <v>0.96200000000000008</v>
      </c>
      <c r="AE228">
        <v>102126</v>
      </c>
      <c r="AF228" t="s">
        <v>42</v>
      </c>
      <c r="AG228">
        <v>2911</v>
      </c>
      <c r="AH228">
        <v>3071</v>
      </c>
      <c r="AI228">
        <v>94.8</v>
      </c>
      <c r="AK228">
        <v>102629</v>
      </c>
      <c r="AL228" t="s">
        <v>442</v>
      </c>
      <c r="AM228">
        <f t="shared" si="8"/>
        <v>96.2</v>
      </c>
      <c r="AN228">
        <f t="shared" si="9"/>
        <v>0.96200000000000008</v>
      </c>
    </row>
    <row r="229" spans="1:40" x14ac:dyDescent="0.25">
      <c r="A229">
        <v>102630</v>
      </c>
      <c r="B229" t="s">
        <v>15</v>
      </c>
      <c r="C229">
        <v>1.1000000000000001</v>
      </c>
      <c r="D229">
        <v>0.96</v>
      </c>
      <c r="E229">
        <v>1.02</v>
      </c>
      <c r="F229">
        <v>0.96</v>
      </c>
      <c r="G229">
        <v>0.9</v>
      </c>
      <c r="H229">
        <v>0.99</v>
      </c>
      <c r="I229">
        <v>0.97</v>
      </c>
      <c r="J229">
        <v>0.98</v>
      </c>
      <c r="K229">
        <v>0.98</v>
      </c>
      <c r="L229">
        <v>0.95</v>
      </c>
      <c r="M229">
        <v>0.92</v>
      </c>
      <c r="N229">
        <v>0.93</v>
      </c>
      <c r="O229">
        <v>0.9</v>
      </c>
      <c r="P229">
        <v>0.98</v>
      </c>
      <c r="Q229">
        <v>1.1399999999999999</v>
      </c>
      <c r="R229">
        <v>0.91</v>
      </c>
      <c r="S229">
        <v>1</v>
      </c>
      <c r="T229">
        <v>0.96</v>
      </c>
      <c r="U229">
        <v>0.9</v>
      </c>
      <c r="V229">
        <v>0.89</v>
      </c>
      <c r="W229">
        <v>0.93</v>
      </c>
      <c r="X229">
        <v>0.93</v>
      </c>
      <c r="Y229">
        <v>0.91</v>
      </c>
      <c r="Z229">
        <v>0.95</v>
      </c>
      <c r="AA229" s="8">
        <v>0.85364013579781217</v>
      </c>
      <c r="AB229" s="8">
        <v>0.99099999999999999</v>
      </c>
      <c r="AC229" s="8">
        <v>0.93500000000000005</v>
      </c>
      <c r="AE229">
        <v>102122</v>
      </c>
      <c r="AF229" t="s">
        <v>460</v>
      </c>
      <c r="AG229">
        <v>2832</v>
      </c>
      <c r="AH229">
        <v>3084</v>
      </c>
      <c r="AI229">
        <v>91.8</v>
      </c>
      <c r="AK229">
        <v>102630</v>
      </c>
      <c r="AL229" t="s">
        <v>15</v>
      </c>
      <c r="AM229">
        <f t="shared" si="8"/>
        <v>93.5</v>
      </c>
      <c r="AN229">
        <f t="shared" si="9"/>
        <v>0.93500000000000005</v>
      </c>
    </row>
    <row r="230" spans="1:40" x14ac:dyDescent="0.25">
      <c r="A230">
        <v>102631</v>
      </c>
      <c r="B230" t="s">
        <v>447</v>
      </c>
      <c r="C230">
        <v>1.0900000000000001</v>
      </c>
      <c r="D230">
        <v>0.96</v>
      </c>
      <c r="E230">
        <v>1.01</v>
      </c>
      <c r="F230">
        <v>0.94</v>
      </c>
      <c r="G230">
        <v>0.89</v>
      </c>
      <c r="H230">
        <v>0.99</v>
      </c>
      <c r="I230">
        <v>0.97</v>
      </c>
      <c r="J230">
        <v>0.98</v>
      </c>
      <c r="K230">
        <v>0.99</v>
      </c>
      <c r="L230">
        <v>0.95</v>
      </c>
      <c r="M230">
        <v>0.92</v>
      </c>
      <c r="N230">
        <v>0.93</v>
      </c>
      <c r="O230">
        <v>0.9</v>
      </c>
      <c r="P230">
        <v>0.97</v>
      </c>
      <c r="Q230">
        <v>1.1499999999999999</v>
      </c>
      <c r="R230">
        <v>0.91</v>
      </c>
      <c r="S230">
        <v>1</v>
      </c>
      <c r="T230">
        <v>0.96</v>
      </c>
      <c r="U230">
        <v>0.9</v>
      </c>
      <c r="V230">
        <v>0.9</v>
      </c>
      <c r="W230">
        <v>0.94</v>
      </c>
      <c r="X230">
        <v>0.95</v>
      </c>
      <c r="Y230">
        <v>0.93</v>
      </c>
      <c r="Z230">
        <v>0.87</v>
      </c>
      <c r="AA230" s="8">
        <v>0.79046087888531613</v>
      </c>
      <c r="AB230" s="8">
        <v>1.016</v>
      </c>
      <c r="AC230" s="8">
        <v>0.97499999999999998</v>
      </c>
      <c r="AE230">
        <v>102802</v>
      </c>
      <c r="AF230" t="s">
        <v>48</v>
      </c>
      <c r="AG230">
        <v>4921</v>
      </c>
      <c r="AH230">
        <v>5115</v>
      </c>
      <c r="AI230">
        <v>96.2</v>
      </c>
      <c r="AK230">
        <v>102631</v>
      </c>
      <c r="AL230" t="s">
        <v>447</v>
      </c>
      <c r="AM230">
        <f t="shared" si="8"/>
        <v>97.5</v>
      </c>
      <c r="AN230">
        <f t="shared" si="9"/>
        <v>0.97499999999999998</v>
      </c>
    </row>
    <row r="231" spans="1:40" x14ac:dyDescent="0.25">
      <c r="A231">
        <v>102632</v>
      </c>
      <c r="B231" t="s">
        <v>356</v>
      </c>
      <c r="Y231">
        <v>0.87</v>
      </c>
      <c r="Z231">
        <v>0.89</v>
      </c>
      <c r="AA231" s="8">
        <v>0.79433341765747534</v>
      </c>
      <c r="AB231" s="8">
        <v>0.96799999999999997</v>
      </c>
      <c r="AC231" s="8">
        <v>0.91900000000000004</v>
      </c>
      <c r="AE231">
        <v>102245</v>
      </c>
      <c r="AF231" t="s">
        <v>298</v>
      </c>
      <c r="AG231">
        <v>3539</v>
      </c>
      <c r="AH231">
        <v>3719</v>
      </c>
      <c r="AI231">
        <v>95.2</v>
      </c>
      <c r="AK231">
        <v>102632</v>
      </c>
      <c r="AL231" t="s">
        <v>356</v>
      </c>
      <c r="AM231">
        <f t="shared" si="8"/>
        <v>91.9</v>
      </c>
      <c r="AN231">
        <f t="shared" si="9"/>
        <v>0.91900000000000004</v>
      </c>
    </row>
    <row r="232" spans="1:40" x14ac:dyDescent="0.25">
      <c r="A232">
        <v>102633</v>
      </c>
      <c r="B232" t="s">
        <v>209</v>
      </c>
      <c r="Y232">
        <v>0.91</v>
      </c>
      <c r="Z232">
        <v>0.83</v>
      </c>
      <c r="AA232" s="8">
        <v>0.75082290980908495</v>
      </c>
      <c r="AB232" s="8">
        <v>1.0209999999999999</v>
      </c>
      <c r="AC232" s="8">
        <v>0.93700000000000006</v>
      </c>
      <c r="AE232">
        <v>102821</v>
      </c>
      <c r="AF232" t="s">
        <v>536</v>
      </c>
      <c r="AG232">
        <v>4887</v>
      </c>
      <c r="AH232">
        <v>5044</v>
      </c>
      <c r="AI232">
        <v>96.9</v>
      </c>
      <c r="AK232">
        <v>102633</v>
      </c>
      <c r="AL232" t="s">
        <v>209</v>
      </c>
      <c r="AM232">
        <f t="shared" si="8"/>
        <v>93.7</v>
      </c>
      <c r="AN232">
        <f t="shared" si="9"/>
        <v>0.93700000000000006</v>
      </c>
    </row>
    <row r="233" spans="1:40" x14ac:dyDescent="0.25">
      <c r="A233">
        <v>102634</v>
      </c>
      <c r="B233" t="s">
        <v>208</v>
      </c>
      <c r="Y233">
        <v>0.92</v>
      </c>
      <c r="Z233">
        <v>0.94</v>
      </c>
      <c r="AA233" s="8">
        <v>0.84635691657866952</v>
      </c>
      <c r="AB233" s="8">
        <v>1.0229999999999999</v>
      </c>
      <c r="AC233" s="8">
        <v>0.95499999999999996</v>
      </c>
      <c r="AE233">
        <v>102518</v>
      </c>
      <c r="AF233" t="s">
        <v>461</v>
      </c>
      <c r="AG233">
        <v>3226</v>
      </c>
      <c r="AH233">
        <v>3501</v>
      </c>
      <c r="AI233">
        <v>92.2</v>
      </c>
      <c r="AK233">
        <v>102634</v>
      </c>
      <c r="AL233" t="s">
        <v>208</v>
      </c>
      <c r="AM233">
        <f t="shared" si="8"/>
        <v>95.5</v>
      </c>
      <c r="AN233">
        <f t="shared" si="9"/>
        <v>0.95499999999999996</v>
      </c>
    </row>
    <row r="234" spans="1:40" x14ac:dyDescent="0.25">
      <c r="A234">
        <v>102635</v>
      </c>
      <c r="B234" t="s">
        <v>55</v>
      </c>
      <c r="Y234">
        <v>0.92</v>
      </c>
      <c r="Z234">
        <v>0.93</v>
      </c>
      <c r="AA234" s="8">
        <v>0.81446613088404129</v>
      </c>
      <c r="AB234" s="8">
        <v>1.024</v>
      </c>
      <c r="AC234" s="8">
        <v>0.97099999999999997</v>
      </c>
      <c r="AE234">
        <v>102502</v>
      </c>
      <c r="AF234" t="s">
        <v>120</v>
      </c>
      <c r="AG234">
        <v>3518</v>
      </c>
      <c r="AH234">
        <v>3673</v>
      </c>
      <c r="AI234">
        <v>95.8</v>
      </c>
      <c r="AK234">
        <v>102635</v>
      </c>
      <c r="AL234" t="s">
        <v>55</v>
      </c>
      <c r="AM234">
        <f t="shared" si="8"/>
        <v>97.1</v>
      </c>
      <c r="AN234">
        <f t="shared" si="9"/>
        <v>0.97099999999999997</v>
      </c>
    </row>
    <row r="235" spans="1:40" x14ac:dyDescent="0.25">
      <c r="A235">
        <v>102636</v>
      </c>
      <c r="B235" t="s">
        <v>296</v>
      </c>
      <c r="Y235">
        <v>0.92</v>
      </c>
      <c r="Z235">
        <v>0.88</v>
      </c>
      <c r="AA235" s="8">
        <v>0.82802862077473471</v>
      </c>
      <c r="AB235" s="8">
        <v>1.018</v>
      </c>
      <c r="AC235" s="8">
        <v>0.95599999999999996</v>
      </c>
      <c r="AE235">
        <v>102714</v>
      </c>
      <c r="AF235" t="s">
        <v>531</v>
      </c>
      <c r="AG235">
        <v>4918</v>
      </c>
      <c r="AH235">
        <v>5341</v>
      </c>
      <c r="AI235">
        <v>92.1</v>
      </c>
      <c r="AK235">
        <v>102636</v>
      </c>
      <c r="AL235" t="s">
        <v>296</v>
      </c>
      <c r="AM235">
        <f t="shared" si="8"/>
        <v>95.6</v>
      </c>
      <c r="AN235">
        <f t="shared" si="9"/>
        <v>0.95599999999999996</v>
      </c>
    </row>
    <row r="236" spans="1:40" x14ac:dyDescent="0.25">
      <c r="A236">
        <v>102637</v>
      </c>
      <c r="B236" t="s">
        <v>1041</v>
      </c>
      <c r="Y236">
        <v>0.9</v>
      </c>
      <c r="Z236">
        <v>0.93</v>
      </c>
      <c r="AA236" s="8">
        <v>0.79111008751727319</v>
      </c>
      <c r="AB236" s="8">
        <v>1.0290000000000001</v>
      </c>
      <c r="AC236" s="8">
        <v>0.96599999999999997</v>
      </c>
      <c r="AE236">
        <v>102713</v>
      </c>
      <c r="AF236" t="s">
        <v>462</v>
      </c>
      <c r="AG236">
        <v>5265</v>
      </c>
      <c r="AH236">
        <v>5479</v>
      </c>
      <c r="AI236">
        <v>96.1</v>
      </c>
      <c r="AK236">
        <v>102637</v>
      </c>
      <c r="AL236" t="s">
        <v>1041</v>
      </c>
      <c r="AM236">
        <f t="shared" si="8"/>
        <v>96.6</v>
      </c>
      <c r="AN236">
        <f t="shared" si="9"/>
        <v>0.96599999999999997</v>
      </c>
    </row>
    <row r="237" spans="1:40" x14ac:dyDescent="0.25">
      <c r="A237">
        <v>102638</v>
      </c>
      <c r="B237" t="s">
        <v>341</v>
      </c>
      <c r="Y237">
        <v>0.92</v>
      </c>
      <c r="Z237">
        <v>0.91</v>
      </c>
      <c r="AA237" s="8">
        <v>0.80272479564032695</v>
      </c>
      <c r="AB237" s="8">
        <v>1.034</v>
      </c>
      <c r="AC237" s="8">
        <v>0.97699999999999998</v>
      </c>
      <c r="AE237">
        <v>102703</v>
      </c>
      <c r="AF237" t="s">
        <v>144</v>
      </c>
      <c r="AG237">
        <v>3950</v>
      </c>
      <c r="AH237">
        <v>4146</v>
      </c>
      <c r="AI237">
        <v>95.3</v>
      </c>
      <c r="AK237">
        <v>102638</v>
      </c>
      <c r="AL237" t="s">
        <v>341</v>
      </c>
      <c r="AM237">
        <f t="shared" si="8"/>
        <v>97.7</v>
      </c>
      <c r="AN237">
        <f t="shared" si="9"/>
        <v>0.97699999999999998</v>
      </c>
    </row>
    <row r="238" spans="1:40" x14ac:dyDescent="0.25">
      <c r="A238">
        <v>102639</v>
      </c>
      <c r="B238" t="s">
        <v>1052</v>
      </c>
      <c r="Y238">
        <v>0.91</v>
      </c>
      <c r="Z238">
        <v>0.91</v>
      </c>
      <c r="AA238" s="8">
        <v>0.79868073878627965</v>
      </c>
      <c r="AB238" s="8">
        <v>1.0369999999999999</v>
      </c>
      <c r="AC238" s="8">
        <v>0.97900000000000009</v>
      </c>
      <c r="AE238">
        <v>102334</v>
      </c>
      <c r="AF238" t="s">
        <v>299</v>
      </c>
      <c r="AG238">
        <v>3670</v>
      </c>
      <c r="AH238">
        <v>3858</v>
      </c>
      <c r="AI238">
        <v>95.1</v>
      </c>
      <c r="AK238">
        <v>102639</v>
      </c>
      <c r="AL238" t="s">
        <v>1052</v>
      </c>
      <c r="AM238">
        <f t="shared" si="8"/>
        <v>97.9</v>
      </c>
      <c r="AN238">
        <f t="shared" si="9"/>
        <v>0.97900000000000009</v>
      </c>
    </row>
    <row r="239" spans="1:40" x14ac:dyDescent="0.25">
      <c r="A239">
        <v>102640</v>
      </c>
      <c r="B239" t="s">
        <v>1050</v>
      </c>
      <c r="Y239">
        <v>0.9</v>
      </c>
      <c r="Z239">
        <v>0.83</v>
      </c>
      <c r="AA239" s="8">
        <v>0.77398843930635841</v>
      </c>
      <c r="AB239" s="8">
        <v>1.0170000000000001</v>
      </c>
      <c r="AC239" s="8">
        <v>0.95099999999999996</v>
      </c>
      <c r="AE239">
        <v>102719</v>
      </c>
      <c r="AF239" t="s">
        <v>301</v>
      </c>
      <c r="AG239">
        <v>3816</v>
      </c>
      <c r="AH239">
        <v>4080</v>
      </c>
      <c r="AI239">
        <v>93.5</v>
      </c>
      <c r="AK239">
        <v>102640</v>
      </c>
      <c r="AL239" t="s">
        <v>1050</v>
      </c>
      <c r="AM239">
        <f t="shared" si="8"/>
        <v>95.1</v>
      </c>
      <c r="AN239">
        <f t="shared" si="9"/>
        <v>0.95099999999999996</v>
      </c>
    </row>
    <row r="240" spans="1:40" x14ac:dyDescent="0.25">
      <c r="A240">
        <v>102641</v>
      </c>
      <c r="B240" t="s">
        <v>1048</v>
      </c>
      <c r="Y240">
        <v>0.9</v>
      </c>
      <c r="Z240">
        <v>0.92</v>
      </c>
      <c r="AA240" s="8">
        <v>0.82486668537749086</v>
      </c>
      <c r="AB240" s="8">
        <v>1.0149999999999999</v>
      </c>
      <c r="AC240" s="8">
        <v>0.95</v>
      </c>
      <c r="AE240">
        <v>102421</v>
      </c>
      <c r="AF240" t="s">
        <v>75</v>
      </c>
      <c r="AG240">
        <v>3342</v>
      </c>
      <c r="AH240">
        <v>3540</v>
      </c>
      <c r="AI240">
        <v>94.4</v>
      </c>
      <c r="AK240">
        <v>102641</v>
      </c>
      <c r="AL240" t="s">
        <v>1048</v>
      </c>
      <c r="AM240">
        <f t="shared" si="8"/>
        <v>95</v>
      </c>
      <c r="AN240">
        <f t="shared" si="9"/>
        <v>0.95</v>
      </c>
    </row>
    <row r="241" spans="1:40" x14ac:dyDescent="0.25">
      <c r="A241">
        <v>102642</v>
      </c>
      <c r="B241" t="s">
        <v>1047</v>
      </c>
      <c r="Y241">
        <v>0.92</v>
      </c>
      <c r="Z241">
        <v>0.9</v>
      </c>
      <c r="AA241" s="8">
        <v>0.82010157711841758</v>
      </c>
      <c r="AB241" s="8">
        <v>1.0409999999999999</v>
      </c>
      <c r="AC241" s="8">
        <v>0.98199999999999998</v>
      </c>
      <c r="AE241">
        <v>102608</v>
      </c>
      <c r="AF241" t="s">
        <v>311</v>
      </c>
      <c r="AG241">
        <v>3463</v>
      </c>
      <c r="AH241">
        <v>3606</v>
      </c>
      <c r="AI241">
        <v>96</v>
      </c>
      <c r="AK241">
        <v>102642</v>
      </c>
      <c r="AL241" t="s">
        <v>1047</v>
      </c>
      <c r="AM241">
        <f t="shared" si="8"/>
        <v>98.2</v>
      </c>
      <c r="AN241">
        <f t="shared" si="9"/>
        <v>0.98199999999999998</v>
      </c>
    </row>
    <row r="242" spans="1:40" x14ac:dyDescent="0.25">
      <c r="A242">
        <v>102643</v>
      </c>
      <c r="B242" t="s">
        <v>1046</v>
      </c>
      <c r="Y242">
        <v>0.91</v>
      </c>
      <c r="Z242">
        <v>0.91</v>
      </c>
      <c r="AA242" s="8">
        <v>0.84458398744113028</v>
      </c>
      <c r="AB242" s="8">
        <v>1.0109999999999999</v>
      </c>
      <c r="AC242" s="8">
        <v>0.95</v>
      </c>
      <c r="AE242">
        <v>102115</v>
      </c>
      <c r="AF242" t="s">
        <v>463</v>
      </c>
      <c r="AG242">
        <v>2894</v>
      </c>
      <c r="AH242">
        <v>3198</v>
      </c>
      <c r="AI242">
        <v>90.5</v>
      </c>
      <c r="AK242">
        <v>102643</v>
      </c>
      <c r="AL242" t="s">
        <v>1046</v>
      </c>
      <c r="AM242">
        <f t="shared" si="8"/>
        <v>95</v>
      </c>
      <c r="AN242">
        <f t="shared" si="9"/>
        <v>0.95</v>
      </c>
    </row>
    <row r="243" spans="1:40" x14ac:dyDescent="0.25">
      <c r="A243">
        <v>102644</v>
      </c>
      <c r="B243" t="s">
        <v>58</v>
      </c>
      <c r="Y243">
        <v>0.93</v>
      </c>
      <c r="Z243">
        <v>0.93</v>
      </c>
      <c r="AA243" s="8">
        <v>0.81243972999035685</v>
      </c>
      <c r="AB243" s="8">
        <v>1.0090000000000001</v>
      </c>
      <c r="AC243" s="8">
        <v>0.95700000000000007</v>
      </c>
      <c r="AE243">
        <v>102247</v>
      </c>
      <c r="AF243" t="s">
        <v>426</v>
      </c>
      <c r="AG243">
        <v>3213</v>
      </c>
      <c r="AH243">
        <v>3455</v>
      </c>
      <c r="AI243">
        <v>93</v>
      </c>
      <c r="AK243">
        <v>102644</v>
      </c>
      <c r="AL243" t="s">
        <v>58</v>
      </c>
      <c r="AM243">
        <f t="shared" si="8"/>
        <v>95.7</v>
      </c>
      <c r="AN243">
        <f t="shared" si="9"/>
        <v>0.95700000000000007</v>
      </c>
    </row>
    <row r="244" spans="1:40" x14ac:dyDescent="0.25">
      <c r="A244">
        <v>102645</v>
      </c>
      <c r="B244" t="s">
        <v>313</v>
      </c>
      <c r="Y244">
        <v>0.91</v>
      </c>
      <c r="Z244">
        <v>0.95</v>
      </c>
      <c r="AA244" s="8">
        <v>0.83975313896573744</v>
      </c>
      <c r="AB244" s="8">
        <v>1.0149999999999999</v>
      </c>
      <c r="AC244" s="8">
        <v>0.95200000000000007</v>
      </c>
      <c r="AE244">
        <v>102241</v>
      </c>
      <c r="AF244" t="s">
        <v>216</v>
      </c>
      <c r="AG244">
        <v>3416</v>
      </c>
      <c r="AH244">
        <v>3608</v>
      </c>
      <c r="AI244">
        <v>94.7</v>
      </c>
      <c r="AK244">
        <v>102645</v>
      </c>
      <c r="AL244" t="s">
        <v>313</v>
      </c>
      <c r="AM244">
        <f t="shared" si="8"/>
        <v>95.2</v>
      </c>
      <c r="AN244">
        <f t="shared" si="9"/>
        <v>0.95200000000000007</v>
      </c>
    </row>
    <row r="245" spans="1:40" x14ac:dyDescent="0.25">
      <c r="A245">
        <v>102646</v>
      </c>
      <c r="B245" t="s">
        <v>395</v>
      </c>
      <c r="Y245">
        <v>0.92</v>
      </c>
      <c r="Z245">
        <v>0.87</v>
      </c>
      <c r="AA245" s="8">
        <v>0.83404940923737914</v>
      </c>
      <c r="AB245" s="8">
        <v>1.0170000000000001</v>
      </c>
      <c r="AC245" s="8">
        <v>0.95599999999999996</v>
      </c>
      <c r="AE245">
        <v>102251</v>
      </c>
      <c r="AF245" t="s">
        <v>314</v>
      </c>
      <c r="AG245">
        <v>3517</v>
      </c>
      <c r="AH245">
        <v>3701</v>
      </c>
      <c r="AI245">
        <v>95</v>
      </c>
      <c r="AK245">
        <v>102646</v>
      </c>
      <c r="AL245" t="s">
        <v>395</v>
      </c>
      <c r="AM245">
        <f t="shared" si="8"/>
        <v>95.6</v>
      </c>
      <c r="AN245">
        <f t="shared" si="9"/>
        <v>0.95599999999999996</v>
      </c>
    </row>
    <row r="246" spans="1:40" x14ac:dyDescent="0.25">
      <c r="A246">
        <v>102647</v>
      </c>
      <c r="B246" t="s">
        <v>403</v>
      </c>
      <c r="Y246">
        <v>0.91</v>
      </c>
      <c r="Z246">
        <v>0.87</v>
      </c>
      <c r="AA246" s="8">
        <v>0.79605069260241679</v>
      </c>
      <c r="AB246" s="8">
        <v>1.016</v>
      </c>
      <c r="AC246" s="8">
        <v>0.95799999999999996</v>
      </c>
      <c r="AE246">
        <v>102619</v>
      </c>
      <c r="AF246" t="s">
        <v>315</v>
      </c>
      <c r="AG246">
        <v>3778</v>
      </c>
      <c r="AH246">
        <v>3952</v>
      </c>
      <c r="AI246">
        <v>95.6</v>
      </c>
      <c r="AK246">
        <v>102647</v>
      </c>
      <c r="AL246" t="s">
        <v>403</v>
      </c>
      <c r="AM246">
        <f t="shared" si="8"/>
        <v>95.8</v>
      </c>
      <c r="AN246">
        <f t="shared" si="9"/>
        <v>0.95799999999999996</v>
      </c>
    </row>
    <row r="247" spans="1:40" x14ac:dyDescent="0.25">
      <c r="A247">
        <v>102648</v>
      </c>
      <c r="B247" t="s">
        <v>408</v>
      </c>
      <c r="Y247">
        <v>0.9</v>
      </c>
      <c r="Z247">
        <v>0.87</v>
      </c>
      <c r="AA247" s="8">
        <v>0.81067531701562956</v>
      </c>
      <c r="AB247" s="8">
        <v>1.008</v>
      </c>
      <c r="AC247" s="8">
        <v>0.94900000000000007</v>
      </c>
      <c r="AE247">
        <v>102822</v>
      </c>
      <c r="AF247" t="s">
        <v>54</v>
      </c>
      <c r="AG247">
        <v>4447</v>
      </c>
      <c r="AH247">
        <v>4558</v>
      </c>
      <c r="AI247">
        <v>97.6</v>
      </c>
      <c r="AK247">
        <v>102648</v>
      </c>
      <c r="AL247" t="s">
        <v>408</v>
      </c>
      <c r="AM247">
        <f t="shared" si="8"/>
        <v>94.9</v>
      </c>
      <c r="AN247">
        <f t="shared" si="9"/>
        <v>0.94900000000000007</v>
      </c>
    </row>
    <row r="248" spans="1:40" x14ac:dyDescent="0.25">
      <c r="A248">
        <v>102649</v>
      </c>
      <c r="B248" t="s">
        <v>59</v>
      </c>
      <c r="Y248">
        <v>0.94</v>
      </c>
      <c r="Z248">
        <v>0.96</v>
      </c>
      <c r="AA248" s="8">
        <v>0.83014078006000458</v>
      </c>
      <c r="AB248" s="8">
        <v>1.04</v>
      </c>
      <c r="AC248" s="8">
        <v>0.99299999999999999</v>
      </c>
      <c r="AE248">
        <v>102305</v>
      </c>
      <c r="AF248" t="s">
        <v>464</v>
      </c>
      <c r="AG248">
        <v>3406</v>
      </c>
      <c r="AH248">
        <v>3553</v>
      </c>
      <c r="AI248">
        <v>95.9</v>
      </c>
      <c r="AK248">
        <v>102649</v>
      </c>
      <c r="AL248" t="s">
        <v>59</v>
      </c>
      <c r="AM248">
        <f t="shared" si="8"/>
        <v>99.3</v>
      </c>
      <c r="AN248">
        <f t="shared" si="9"/>
        <v>0.99299999999999999</v>
      </c>
    </row>
    <row r="249" spans="1:40" x14ac:dyDescent="0.25">
      <c r="A249">
        <v>102701</v>
      </c>
      <c r="B249" t="s">
        <v>359</v>
      </c>
      <c r="C249">
        <v>1.08</v>
      </c>
      <c r="D249">
        <v>0.95</v>
      </c>
      <c r="E249">
        <v>1.01</v>
      </c>
      <c r="F249">
        <v>0.96</v>
      </c>
      <c r="G249">
        <v>0.89</v>
      </c>
      <c r="H249">
        <v>1.01</v>
      </c>
      <c r="I249">
        <v>0.97</v>
      </c>
      <c r="J249">
        <v>0.96</v>
      </c>
      <c r="K249">
        <v>0.97</v>
      </c>
      <c r="L249">
        <v>0.94</v>
      </c>
      <c r="M249">
        <v>0.91</v>
      </c>
      <c r="N249">
        <v>0.93</v>
      </c>
      <c r="O249">
        <v>0.92</v>
      </c>
      <c r="P249">
        <v>0.99</v>
      </c>
      <c r="Q249">
        <v>1.1299999999999999</v>
      </c>
      <c r="R249">
        <v>0.91</v>
      </c>
      <c r="S249">
        <v>1</v>
      </c>
      <c r="T249">
        <v>0.95</v>
      </c>
      <c r="U249">
        <v>0.88</v>
      </c>
      <c r="V249">
        <v>0.88</v>
      </c>
      <c r="W249">
        <v>0.91</v>
      </c>
      <c r="X249">
        <v>0.91</v>
      </c>
      <c r="Y249">
        <v>0.9</v>
      </c>
      <c r="Z249">
        <v>0.87</v>
      </c>
      <c r="AA249" s="8">
        <v>0.81280505311513063</v>
      </c>
      <c r="AB249" s="8">
        <v>1.0129999999999999</v>
      </c>
      <c r="AC249" s="8">
        <v>0.96299999999999997</v>
      </c>
      <c r="AE249">
        <v>102123</v>
      </c>
      <c r="AF249" t="s">
        <v>245</v>
      </c>
      <c r="AG249">
        <v>2999</v>
      </c>
      <c r="AH249">
        <v>3194</v>
      </c>
      <c r="AI249">
        <v>93.9</v>
      </c>
      <c r="AK249">
        <v>102701</v>
      </c>
      <c r="AL249" t="s">
        <v>359</v>
      </c>
      <c r="AM249">
        <f t="shared" si="8"/>
        <v>96.3</v>
      </c>
      <c r="AN249">
        <f t="shared" si="9"/>
        <v>0.96299999999999997</v>
      </c>
    </row>
    <row r="250" spans="1:40" x14ac:dyDescent="0.25">
      <c r="A250">
        <v>102702</v>
      </c>
      <c r="B250" t="s">
        <v>118</v>
      </c>
      <c r="C250">
        <v>1.0900000000000001</v>
      </c>
      <c r="D250">
        <v>0.96</v>
      </c>
      <c r="E250">
        <v>1.01</v>
      </c>
      <c r="F250">
        <v>0.96</v>
      </c>
      <c r="G250">
        <v>0.87</v>
      </c>
      <c r="H250">
        <v>1</v>
      </c>
      <c r="I250">
        <v>0.98</v>
      </c>
      <c r="J250">
        <v>0.97</v>
      </c>
      <c r="K250">
        <v>0.98</v>
      </c>
      <c r="L250">
        <v>0.94</v>
      </c>
      <c r="M250">
        <v>0.92</v>
      </c>
      <c r="N250">
        <v>0.93</v>
      </c>
      <c r="O250">
        <v>0.91</v>
      </c>
      <c r="P250">
        <v>0.99</v>
      </c>
      <c r="Q250">
        <v>1.1599999999999999</v>
      </c>
      <c r="R250">
        <v>0.91</v>
      </c>
      <c r="S250">
        <v>1</v>
      </c>
      <c r="T250">
        <v>0.95</v>
      </c>
      <c r="U250">
        <v>0.9</v>
      </c>
      <c r="V250">
        <v>0.91</v>
      </c>
      <c r="W250">
        <v>0.95</v>
      </c>
      <c r="X250">
        <v>0.96</v>
      </c>
      <c r="Y250">
        <v>0.95</v>
      </c>
      <c r="Z250">
        <v>0.9</v>
      </c>
      <c r="AA250" s="8">
        <v>0.85880227155394939</v>
      </c>
      <c r="AB250" s="8">
        <v>1.032</v>
      </c>
      <c r="AC250" s="8">
        <v>0.98099999999999998</v>
      </c>
      <c r="AE250">
        <v>102505</v>
      </c>
      <c r="AF250" t="s">
        <v>130</v>
      </c>
      <c r="AG250">
        <v>4011</v>
      </c>
      <c r="AH250">
        <v>4109</v>
      </c>
      <c r="AI250">
        <v>97.6</v>
      </c>
      <c r="AK250">
        <v>102702</v>
      </c>
      <c r="AL250" t="s">
        <v>118</v>
      </c>
      <c r="AM250">
        <f t="shared" si="8"/>
        <v>98.1</v>
      </c>
      <c r="AN250">
        <f t="shared" si="9"/>
        <v>0.98099999999999998</v>
      </c>
    </row>
    <row r="251" spans="1:40" x14ac:dyDescent="0.25">
      <c r="A251">
        <v>102703</v>
      </c>
      <c r="B251" t="s">
        <v>144</v>
      </c>
      <c r="C251">
        <v>1.0900000000000001</v>
      </c>
      <c r="D251">
        <v>0.95</v>
      </c>
      <c r="E251">
        <v>1</v>
      </c>
      <c r="F251">
        <v>0.96</v>
      </c>
      <c r="G251">
        <v>0.88</v>
      </c>
      <c r="H251">
        <v>1</v>
      </c>
      <c r="I251">
        <v>0.97</v>
      </c>
      <c r="J251">
        <v>0.97</v>
      </c>
      <c r="K251">
        <v>0.97</v>
      </c>
      <c r="L251">
        <v>0.93</v>
      </c>
      <c r="M251">
        <v>0.91</v>
      </c>
      <c r="N251">
        <v>0.93</v>
      </c>
      <c r="O251">
        <v>0.91</v>
      </c>
      <c r="P251">
        <v>0.99</v>
      </c>
      <c r="Q251">
        <v>1.1499999999999999</v>
      </c>
      <c r="R251">
        <v>0.9</v>
      </c>
      <c r="S251">
        <v>1</v>
      </c>
      <c r="T251">
        <v>0.95</v>
      </c>
      <c r="U251">
        <v>0.9</v>
      </c>
      <c r="V251">
        <v>0.91</v>
      </c>
      <c r="W251">
        <v>0.94</v>
      </c>
      <c r="X251">
        <v>0.95</v>
      </c>
      <c r="Y251">
        <v>0.94</v>
      </c>
      <c r="Z251">
        <v>0.9</v>
      </c>
      <c r="AA251" s="8">
        <v>0.82043984476067267</v>
      </c>
      <c r="AB251" s="8">
        <v>0.998</v>
      </c>
      <c r="AC251" s="8">
        <v>0.95299999999999996</v>
      </c>
      <c r="AE251">
        <v>102306</v>
      </c>
      <c r="AF251" t="s">
        <v>514</v>
      </c>
      <c r="AG251">
        <v>3149</v>
      </c>
      <c r="AH251">
        <v>3295</v>
      </c>
      <c r="AI251">
        <v>95.6</v>
      </c>
      <c r="AK251">
        <v>102703</v>
      </c>
      <c r="AL251" t="s">
        <v>144</v>
      </c>
      <c r="AM251">
        <f t="shared" si="8"/>
        <v>95.3</v>
      </c>
      <c r="AN251">
        <f t="shared" si="9"/>
        <v>0.95299999999999996</v>
      </c>
    </row>
    <row r="252" spans="1:40" x14ac:dyDescent="0.25">
      <c r="A252">
        <v>102704</v>
      </c>
      <c r="B252" t="s">
        <v>201</v>
      </c>
      <c r="C252">
        <v>1.08</v>
      </c>
      <c r="D252">
        <v>0.95</v>
      </c>
      <c r="E252">
        <v>0.97</v>
      </c>
      <c r="F252">
        <v>0.96</v>
      </c>
      <c r="G252">
        <v>0.89</v>
      </c>
      <c r="H252">
        <v>1.03</v>
      </c>
      <c r="I252">
        <v>0.98</v>
      </c>
      <c r="J252">
        <v>0.96</v>
      </c>
      <c r="K252">
        <v>0.96</v>
      </c>
      <c r="L252">
        <v>0.93</v>
      </c>
      <c r="M252">
        <v>0.92</v>
      </c>
      <c r="N252">
        <v>0.94</v>
      </c>
      <c r="O252">
        <v>0.92</v>
      </c>
      <c r="P252">
        <v>0.99</v>
      </c>
      <c r="Q252">
        <v>1.1599999999999999</v>
      </c>
      <c r="R252">
        <v>0.92</v>
      </c>
      <c r="S252">
        <v>0.99</v>
      </c>
      <c r="T252">
        <v>0.95</v>
      </c>
      <c r="U252">
        <v>0.86</v>
      </c>
      <c r="V252">
        <v>0.9</v>
      </c>
      <c r="W252">
        <v>0.94</v>
      </c>
      <c r="X252">
        <v>0.97</v>
      </c>
      <c r="Y252">
        <v>0.94</v>
      </c>
      <c r="Z252">
        <v>0.85</v>
      </c>
      <c r="AA252" s="8">
        <v>0.78937381404174578</v>
      </c>
      <c r="AB252" s="8">
        <v>1.0029999999999999</v>
      </c>
      <c r="AC252" s="8">
        <v>0.95700000000000007</v>
      </c>
      <c r="AE252">
        <v>102250</v>
      </c>
      <c r="AF252" t="s">
        <v>901</v>
      </c>
      <c r="AG252">
        <v>3589</v>
      </c>
      <c r="AH252">
        <v>3763</v>
      </c>
      <c r="AI252">
        <v>95.4</v>
      </c>
      <c r="AK252">
        <v>102704</v>
      </c>
      <c r="AL252" t="s">
        <v>201</v>
      </c>
      <c r="AM252">
        <f t="shared" si="8"/>
        <v>95.7</v>
      </c>
      <c r="AN252">
        <f t="shared" si="9"/>
        <v>0.95700000000000007</v>
      </c>
    </row>
    <row r="253" spans="1:40" x14ac:dyDescent="0.25">
      <c r="A253">
        <v>102705</v>
      </c>
      <c r="B253" t="s">
        <v>235</v>
      </c>
      <c r="C253">
        <v>1.08</v>
      </c>
      <c r="D253">
        <v>0.95</v>
      </c>
      <c r="E253">
        <v>0.98</v>
      </c>
      <c r="F253">
        <v>0.96</v>
      </c>
      <c r="G253">
        <v>0.88</v>
      </c>
      <c r="H253">
        <v>1.02</v>
      </c>
      <c r="I253">
        <v>0.98</v>
      </c>
      <c r="J253">
        <v>0.96</v>
      </c>
      <c r="K253">
        <v>0.96</v>
      </c>
      <c r="L253">
        <v>0.93</v>
      </c>
      <c r="M253">
        <v>0.92</v>
      </c>
      <c r="N253">
        <v>0.94</v>
      </c>
      <c r="O253">
        <v>0.92</v>
      </c>
      <c r="P253">
        <v>0.99</v>
      </c>
      <c r="Q253">
        <v>1.1599999999999999</v>
      </c>
      <c r="R253">
        <v>0.92</v>
      </c>
      <c r="S253">
        <v>1</v>
      </c>
      <c r="T253">
        <v>0.96</v>
      </c>
      <c r="U253">
        <v>0.87</v>
      </c>
      <c r="V253">
        <v>0.89</v>
      </c>
      <c r="W253">
        <v>0.93</v>
      </c>
      <c r="X253">
        <v>0.96</v>
      </c>
      <c r="Y253">
        <v>0.95</v>
      </c>
      <c r="Z253">
        <v>0.89</v>
      </c>
      <c r="AA253" s="8">
        <v>0.8107162089391492</v>
      </c>
      <c r="AB253" s="8">
        <v>1.0149999999999999</v>
      </c>
      <c r="AC253" s="8">
        <v>0.97599999999999998</v>
      </c>
      <c r="AE253">
        <v>102328</v>
      </c>
      <c r="AF253" t="s">
        <v>316</v>
      </c>
      <c r="AG253">
        <v>3510</v>
      </c>
      <c r="AH253">
        <v>3591</v>
      </c>
      <c r="AI253">
        <v>97.8</v>
      </c>
      <c r="AK253">
        <v>102705</v>
      </c>
      <c r="AL253" t="s">
        <v>235</v>
      </c>
      <c r="AM253">
        <f t="shared" si="8"/>
        <v>97.6</v>
      </c>
      <c r="AN253">
        <f t="shared" si="9"/>
        <v>0.97599999999999998</v>
      </c>
    </row>
    <row r="254" spans="1:40" x14ac:dyDescent="0.25">
      <c r="A254">
        <v>102706</v>
      </c>
      <c r="B254" t="s">
        <v>38</v>
      </c>
      <c r="C254">
        <v>1.0900000000000001</v>
      </c>
      <c r="D254">
        <v>0.95</v>
      </c>
      <c r="E254">
        <v>0.99</v>
      </c>
      <c r="F254">
        <v>0.96</v>
      </c>
      <c r="G254">
        <v>0.88</v>
      </c>
      <c r="H254">
        <v>1.01</v>
      </c>
      <c r="I254">
        <v>0.98</v>
      </c>
      <c r="J254">
        <v>0.96</v>
      </c>
      <c r="K254">
        <v>0.96</v>
      </c>
      <c r="L254">
        <v>0.92</v>
      </c>
      <c r="M254">
        <v>0.92</v>
      </c>
      <c r="N254">
        <v>0.93</v>
      </c>
      <c r="O254">
        <v>0.92</v>
      </c>
      <c r="P254">
        <v>0.99</v>
      </c>
      <c r="Q254">
        <v>1.1599999999999999</v>
      </c>
      <c r="R254">
        <v>0.91</v>
      </c>
      <c r="S254">
        <v>1</v>
      </c>
      <c r="T254">
        <v>0.96</v>
      </c>
      <c r="U254">
        <v>0.89</v>
      </c>
      <c r="V254">
        <v>0.92</v>
      </c>
      <c r="W254">
        <v>0.95</v>
      </c>
      <c r="X254">
        <v>0.97</v>
      </c>
      <c r="Y254">
        <v>0.96</v>
      </c>
      <c r="Z254">
        <v>0.91</v>
      </c>
      <c r="AA254" s="8">
        <v>0.79630606860158315</v>
      </c>
      <c r="AB254" s="8">
        <v>1.0249999999999999</v>
      </c>
      <c r="AC254" s="8">
        <v>0.98199999999999998</v>
      </c>
      <c r="AE254">
        <v>102101</v>
      </c>
      <c r="AF254" t="s">
        <v>317</v>
      </c>
      <c r="AG254">
        <v>2699</v>
      </c>
      <c r="AH254">
        <v>2984</v>
      </c>
      <c r="AI254">
        <v>90.5</v>
      </c>
      <c r="AK254">
        <v>102706</v>
      </c>
      <c r="AL254" t="s">
        <v>38</v>
      </c>
      <c r="AM254">
        <f t="shared" si="8"/>
        <v>98.2</v>
      </c>
      <c r="AN254">
        <f t="shared" si="9"/>
        <v>0.98199999999999998</v>
      </c>
    </row>
    <row r="255" spans="1:40" x14ac:dyDescent="0.25">
      <c r="A255">
        <v>102707</v>
      </c>
      <c r="B255" t="s">
        <v>25</v>
      </c>
      <c r="C255">
        <v>1.0900000000000001</v>
      </c>
      <c r="D255">
        <v>0.95</v>
      </c>
      <c r="E255">
        <v>1</v>
      </c>
      <c r="F255">
        <v>0.96</v>
      </c>
      <c r="G255">
        <v>0.88</v>
      </c>
      <c r="H255">
        <v>1.01</v>
      </c>
      <c r="I255">
        <v>0.97</v>
      </c>
      <c r="J255">
        <v>0.96</v>
      </c>
      <c r="K255">
        <v>0.96</v>
      </c>
      <c r="L255">
        <v>0.93</v>
      </c>
      <c r="M255">
        <v>0.91</v>
      </c>
      <c r="N255">
        <v>0.92</v>
      </c>
      <c r="O255">
        <v>0.91</v>
      </c>
      <c r="P255">
        <v>0.99</v>
      </c>
      <c r="Q255">
        <v>1.1499999999999999</v>
      </c>
      <c r="R255">
        <v>0.9</v>
      </c>
      <c r="S255">
        <v>1</v>
      </c>
      <c r="T255">
        <v>0.94</v>
      </c>
      <c r="U255">
        <v>0.88</v>
      </c>
      <c r="V255">
        <v>0.89</v>
      </c>
      <c r="W255">
        <v>0.94</v>
      </c>
      <c r="X255">
        <v>0.97</v>
      </c>
      <c r="Y255">
        <v>0.96</v>
      </c>
      <c r="Z255">
        <v>0.9</v>
      </c>
      <c r="AA255" s="8">
        <v>0.79064880483320199</v>
      </c>
      <c r="AB255" s="8">
        <v>1.0840000000000001</v>
      </c>
      <c r="AC255" s="8">
        <v>1.0329999999999999</v>
      </c>
      <c r="AE255">
        <v>102212</v>
      </c>
      <c r="AF255" t="s">
        <v>318</v>
      </c>
      <c r="AG255">
        <v>3299</v>
      </c>
      <c r="AH255">
        <v>3404</v>
      </c>
      <c r="AI255">
        <v>96.9</v>
      </c>
      <c r="AK255">
        <v>102707</v>
      </c>
      <c r="AL255" t="s">
        <v>25</v>
      </c>
      <c r="AM255">
        <f t="shared" si="8"/>
        <v>103.3</v>
      </c>
      <c r="AN255">
        <f t="shared" si="9"/>
        <v>1.0329999999999999</v>
      </c>
    </row>
    <row r="256" spans="1:40" x14ac:dyDescent="0.25">
      <c r="A256">
        <v>102708</v>
      </c>
      <c r="B256" t="s">
        <v>110</v>
      </c>
      <c r="C256">
        <v>1.0900000000000001</v>
      </c>
      <c r="D256">
        <v>0.95</v>
      </c>
      <c r="E256">
        <v>1</v>
      </c>
      <c r="F256">
        <v>0.96</v>
      </c>
      <c r="G256">
        <v>0.88</v>
      </c>
      <c r="H256">
        <v>1.01</v>
      </c>
      <c r="I256">
        <v>0.98</v>
      </c>
      <c r="J256">
        <v>0.96</v>
      </c>
      <c r="K256">
        <v>0.96</v>
      </c>
      <c r="L256">
        <v>0.93</v>
      </c>
      <c r="M256">
        <v>0.91</v>
      </c>
      <c r="N256">
        <v>0.92</v>
      </c>
      <c r="O256">
        <v>0.91</v>
      </c>
      <c r="P256">
        <v>0.98</v>
      </c>
      <c r="Q256">
        <v>1.1499999999999999</v>
      </c>
      <c r="R256">
        <v>0.9</v>
      </c>
      <c r="S256">
        <v>0.99</v>
      </c>
      <c r="T256">
        <v>0.94</v>
      </c>
      <c r="U256">
        <v>0.88</v>
      </c>
      <c r="V256">
        <v>0.9</v>
      </c>
      <c r="W256">
        <v>0.94</v>
      </c>
      <c r="X256">
        <v>0.96</v>
      </c>
      <c r="Y256">
        <v>0.95</v>
      </c>
      <c r="Z256">
        <v>0.89</v>
      </c>
      <c r="AA256" s="8">
        <v>0.78672985781990523</v>
      </c>
      <c r="AB256" s="8">
        <v>1.0190000000000001</v>
      </c>
      <c r="AC256" s="8">
        <v>0.97599999999999998</v>
      </c>
      <c r="AE256">
        <v>102415</v>
      </c>
      <c r="AF256" t="s">
        <v>282</v>
      </c>
      <c r="AG256">
        <v>3432</v>
      </c>
      <c r="AH256">
        <v>3555</v>
      </c>
      <c r="AI256">
        <v>96.5</v>
      </c>
      <c r="AK256">
        <v>102708</v>
      </c>
      <c r="AL256" t="s">
        <v>110</v>
      </c>
      <c r="AM256">
        <f t="shared" si="8"/>
        <v>97.6</v>
      </c>
      <c r="AN256">
        <f t="shared" si="9"/>
        <v>0.97599999999999998</v>
      </c>
    </row>
    <row r="257" spans="1:40" x14ac:dyDescent="0.25">
      <c r="A257">
        <v>102709</v>
      </c>
      <c r="B257" t="s">
        <v>116</v>
      </c>
      <c r="C257">
        <v>1.0900000000000001</v>
      </c>
      <c r="D257">
        <v>0.95</v>
      </c>
      <c r="E257">
        <v>1.01</v>
      </c>
      <c r="F257">
        <v>0.97</v>
      </c>
      <c r="G257">
        <v>0.89</v>
      </c>
      <c r="H257">
        <v>1.01</v>
      </c>
      <c r="I257">
        <v>0.98</v>
      </c>
      <c r="J257">
        <v>0.97</v>
      </c>
      <c r="K257">
        <v>0.98</v>
      </c>
      <c r="L257">
        <v>0.94</v>
      </c>
      <c r="M257">
        <v>0.92</v>
      </c>
      <c r="N257">
        <v>0.93</v>
      </c>
      <c r="O257">
        <v>0.91</v>
      </c>
      <c r="P257">
        <v>0.99</v>
      </c>
      <c r="Q257">
        <v>1.1499999999999999</v>
      </c>
      <c r="R257">
        <v>0.91</v>
      </c>
      <c r="S257">
        <v>1</v>
      </c>
      <c r="T257">
        <v>0.95</v>
      </c>
      <c r="U257">
        <v>0.89</v>
      </c>
      <c r="V257">
        <v>0.9</v>
      </c>
      <c r="W257">
        <v>0.93</v>
      </c>
      <c r="X257">
        <v>0.94</v>
      </c>
      <c r="Y257">
        <v>0.92</v>
      </c>
      <c r="Z257">
        <v>0.96</v>
      </c>
      <c r="AA257" s="8">
        <v>0.88670379394361298</v>
      </c>
      <c r="AB257" s="8">
        <v>0.99099999999999999</v>
      </c>
      <c r="AC257" s="8">
        <v>0.94799999999999995</v>
      </c>
      <c r="AE257">
        <v>102623</v>
      </c>
      <c r="AF257" t="s">
        <v>1227</v>
      </c>
      <c r="AG257">
        <v>3501</v>
      </c>
      <c r="AH257">
        <v>3696</v>
      </c>
      <c r="AI257">
        <v>94.7</v>
      </c>
      <c r="AK257">
        <v>102709</v>
      </c>
      <c r="AL257" t="s">
        <v>116</v>
      </c>
      <c r="AM257">
        <f t="shared" si="8"/>
        <v>94.8</v>
      </c>
      <c r="AN257">
        <f t="shared" si="9"/>
        <v>0.94799999999999995</v>
      </c>
    </row>
    <row r="258" spans="1:40" x14ac:dyDescent="0.25">
      <c r="A258">
        <v>102710</v>
      </c>
      <c r="B258" t="s">
        <v>255</v>
      </c>
      <c r="C258">
        <v>1.1000000000000001</v>
      </c>
      <c r="D258">
        <v>0.96</v>
      </c>
      <c r="E258">
        <v>1.01</v>
      </c>
      <c r="F258">
        <v>0.97</v>
      </c>
      <c r="G258">
        <v>0.89</v>
      </c>
      <c r="H258">
        <v>1</v>
      </c>
      <c r="I258">
        <v>0.98</v>
      </c>
      <c r="J258">
        <v>0.98</v>
      </c>
      <c r="K258">
        <v>0.98</v>
      </c>
      <c r="L258">
        <v>0.94</v>
      </c>
      <c r="M258">
        <v>0.92</v>
      </c>
      <c r="N258">
        <v>0.93</v>
      </c>
      <c r="O258">
        <v>0.91</v>
      </c>
      <c r="P258">
        <v>0.99</v>
      </c>
      <c r="Q258">
        <v>1.1499999999999999</v>
      </c>
      <c r="R258">
        <v>0.91</v>
      </c>
      <c r="S258">
        <v>1</v>
      </c>
      <c r="T258">
        <v>0.96</v>
      </c>
      <c r="U258">
        <v>0.89</v>
      </c>
      <c r="V258">
        <v>0.89</v>
      </c>
      <c r="W258">
        <v>0.93</v>
      </c>
      <c r="X258">
        <v>0.93</v>
      </c>
      <c r="Y258">
        <v>0.92</v>
      </c>
      <c r="Z258">
        <v>0.93</v>
      </c>
      <c r="AA258" s="8">
        <v>0.80689985625299476</v>
      </c>
      <c r="AB258" s="8">
        <v>1.0090000000000001</v>
      </c>
      <c r="AC258" s="8">
        <v>0.96700000000000008</v>
      </c>
      <c r="AE258">
        <v>102611</v>
      </c>
      <c r="AF258" t="s">
        <v>525</v>
      </c>
      <c r="AG258">
        <v>3446</v>
      </c>
      <c r="AH258">
        <v>3589</v>
      </c>
      <c r="AI258">
        <v>96</v>
      </c>
      <c r="AK258">
        <v>102710</v>
      </c>
      <c r="AL258" t="s">
        <v>255</v>
      </c>
      <c r="AM258">
        <f t="shared" si="8"/>
        <v>96.7</v>
      </c>
      <c r="AN258">
        <f t="shared" si="9"/>
        <v>0.96700000000000008</v>
      </c>
    </row>
    <row r="259" spans="1:40" x14ac:dyDescent="0.25">
      <c r="A259">
        <v>102711</v>
      </c>
      <c r="B259" t="s">
        <v>138</v>
      </c>
      <c r="C259">
        <v>1.1000000000000001</v>
      </c>
      <c r="D259">
        <v>0.96</v>
      </c>
      <c r="E259">
        <v>1.02</v>
      </c>
      <c r="F259">
        <v>0.97</v>
      </c>
      <c r="G259">
        <v>0.89</v>
      </c>
      <c r="H259">
        <v>1</v>
      </c>
      <c r="I259">
        <v>0.97</v>
      </c>
      <c r="J259">
        <v>0.98</v>
      </c>
      <c r="K259">
        <v>0.98</v>
      </c>
      <c r="L259">
        <v>0.94</v>
      </c>
      <c r="M259">
        <v>0.92</v>
      </c>
      <c r="N259">
        <v>0.93</v>
      </c>
      <c r="O259">
        <v>0.9</v>
      </c>
      <c r="P259">
        <v>0.98</v>
      </c>
      <c r="Q259">
        <v>1.1499999999999999</v>
      </c>
      <c r="R259">
        <v>0.91</v>
      </c>
      <c r="S259">
        <v>1</v>
      </c>
      <c r="T259">
        <v>0.96</v>
      </c>
      <c r="U259">
        <v>0.9</v>
      </c>
      <c r="V259">
        <v>0.9</v>
      </c>
      <c r="W259">
        <v>0.95</v>
      </c>
      <c r="X259">
        <v>0.95</v>
      </c>
      <c r="Y259">
        <v>0.94</v>
      </c>
      <c r="Z259">
        <v>0.88</v>
      </c>
      <c r="AA259" s="8">
        <v>0.80290237467018466</v>
      </c>
      <c r="AB259" s="8">
        <v>0.99299999999999999</v>
      </c>
      <c r="AC259" s="8">
        <v>0.93799999999999994</v>
      </c>
      <c r="AE259">
        <v>102629</v>
      </c>
      <c r="AF259" t="s">
        <v>442</v>
      </c>
      <c r="AG259">
        <v>3451</v>
      </c>
      <c r="AH259">
        <v>3586</v>
      </c>
      <c r="AI259">
        <v>96.2</v>
      </c>
      <c r="AK259">
        <v>102711</v>
      </c>
      <c r="AL259" t="s">
        <v>138</v>
      </c>
      <c r="AM259">
        <f t="shared" ref="AM259:AM312" si="11">_xlfn.XLOOKUP(AK259,$AE$5:$AE$314,$AI$5:$AI$314)</f>
        <v>93.8</v>
      </c>
      <c r="AN259">
        <f t="shared" si="9"/>
        <v>0.93799999999999994</v>
      </c>
    </row>
    <row r="260" spans="1:40" x14ac:dyDescent="0.25">
      <c r="A260">
        <v>102712</v>
      </c>
      <c r="B260" t="s">
        <v>8</v>
      </c>
      <c r="C260">
        <v>1.1000000000000001</v>
      </c>
      <c r="D260">
        <v>0.96</v>
      </c>
      <c r="E260">
        <v>1.01</v>
      </c>
      <c r="F260">
        <v>0.97</v>
      </c>
      <c r="G260">
        <v>0.9</v>
      </c>
      <c r="H260">
        <v>1.01</v>
      </c>
      <c r="I260">
        <v>0.98</v>
      </c>
      <c r="J260">
        <v>0.97</v>
      </c>
      <c r="K260">
        <v>0.97</v>
      </c>
      <c r="L260">
        <v>0.94</v>
      </c>
      <c r="M260">
        <v>0.91</v>
      </c>
      <c r="N260">
        <v>0.93</v>
      </c>
      <c r="O260">
        <v>0.92</v>
      </c>
      <c r="P260">
        <v>0.99</v>
      </c>
      <c r="Q260">
        <v>1.1499999999999999</v>
      </c>
      <c r="R260">
        <v>0.91</v>
      </c>
      <c r="S260">
        <v>1</v>
      </c>
      <c r="T260">
        <v>0.96</v>
      </c>
      <c r="U260">
        <v>0.89</v>
      </c>
      <c r="V260">
        <v>0.89</v>
      </c>
      <c r="W260">
        <v>0.94</v>
      </c>
      <c r="X260">
        <v>0.95</v>
      </c>
      <c r="Y260">
        <v>0.94</v>
      </c>
      <c r="Z260">
        <v>0.91</v>
      </c>
      <c r="AA260" s="8">
        <v>0.82175991003654769</v>
      </c>
      <c r="AB260" s="8">
        <v>1</v>
      </c>
      <c r="AC260" s="8">
        <v>0.95700000000000007</v>
      </c>
      <c r="AE260">
        <v>102819</v>
      </c>
      <c r="AF260" t="s">
        <v>1228</v>
      </c>
      <c r="AG260">
        <v>5346</v>
      </c>
      <c r="AH260">
        <v>5545</v>
      </c>
      <c r="AI260">
        <v>96.4</v>
      </c>
      <c r="AK260">
        <v>102712</v>
      </c>
      <c r="AL260" t="s">
        <v>8</v>
      </c>
      <c r="AM260">
        <f t="shared" si="11"/>
        <v>95.7</v>
      </c>
      <c r="AN260">
        <f t="shared" ref="AN260:AN311" si="12">AM260/100</f>
        <v>0.95700000000000007</v>
      </c>
    </row>
    <row r="261" spans="1:40" x14ac:dyDescent="0.25">
      <c r="A261">
        <v>102713</v>
      </c>
      <c r="B261" t="s">
        <v>462</v>
      </c>
      <c r="C261">
        <v>1.08</v>
      </c>
      <c r="D261">
        <v>0.96</v>
      </c>
      <c r="E261">
        <v>0.99</v>
      </c>
      <c r="F261">
        <v>0.97</v>
      </c>
      <c r="G261">
        <v>0.93</v>
      </c>
      <c r="H261">
        <v>1.03</v>
      </c>
      <c r="I261">
        <v>0.98</v>
      </c>
      <c r="J261">
        <v>0.96</v>
      </c>
      <c r="K261">
        <v>0.97</v>
      </c>
      <c r="L261">
        <v>0.94</v>
      </c>
      <c r="M261">
        <v>0.91</v>
      </c>
      <c r="N261">
        <v>0.95</v>
      </c>
      <c r="O261">
        <v>0.95</v>
      </c>
      <c r="P261">
        <v>1</v>
      </c>
      <c r="Q261">
        <v>1.1299999999999999</v>
      </c>
      <c r="R261">
        <v>0.93</v>
      </c>
      <c r="S261">
        <v>1.02</v>
      </c>
      <c r="T261">
        <v>0.98</v>
      </c>
      <c r="U261">
        <v>0.89</v>
      </c>
      <c r="V261">
        <v>0.9</v>
      </c>
      <c r="W261">
        <v>0.94</v>
      </c>
      <c r="X261">
        <v>0.98</v>
      </c>
      <c r="Y261">
        <v>0.95</v>
      </c>
      <c r="Z261">
        <v>0.86</v>
      </c>
      <c r="AA261" s="8">
        <v>0.819422150882825</v>
      </c>
      <c r="AB261" s="8">
        <v>0.99900000000000011</v>
      </c>
      <c r="AC261" s="8">
        <v>0.96099999999999997</v>
      </c>
      <c r="AE261">
        <v>102618</v>
      </c>
      <c r="AF261" t="s">
        <v>527</v>
      </c>
      <c r="AG261">
        <v>3777</v>
      </c>
      <c r="AH261">
        <v>3947</v>
      </c>
      <c r="AI261">
        <v>95.7</v>
      </c>
      <c r="AK261">
        <v>102713</v>
      </c>
      <c r="AL261" t="s">
        <v>462</v>
      </c>
      <c r="AM261">
        <f t="shared" si="11"/>
        <v>96.1</v>
      </c>
      <c r="AN261">
        <f t="shared" si="12"/>
        <v>0.96099999999999997</v>
      </c>
    </row>
    <row r="262" spans="1:40" x14ac:dyDescent="0.25">
      <c r="A262">
        <v>102714</v>
      </c>
      <c r="B262" t="s">
        <v>531</v>
      </c>
      <c r="C262">
        <v>1.08</v>
      </c>
      <c r="D262">
        <v>0.96</v>
      </c>
      <c r="E262">
        <v>0.98</v>
      </c>
      <c r="F262">
        <v>0.96</v>
      </c>
      <c r="G262">
        <v>0.92</v>
      </c>
      <c r="H262">
        <v>1.03</v>
      </c>
      <c r="I262">
        <v>0.99</v>
      </c>
      <c r="J262">
        <v>0.96</v>
      </c>
      <c r="K262">
        <v>0.96</v>
      </c>
      <c r="L262">
        <v>0.93</v>
      </c>
      <c r="M262">
        <v>0.92</v>
      </c>
      <c r="N262">
        <v>0.95</v>
      </c>
      <c r="O262">
        <v>0.93</v>
      </c>
      <c r="P262">
        <v>1</v>
      </c>
      <c r="Q262">
        <v>1.1299999999999999</v>
      </c>
      <c r="R262">
        <v>0.94</v>
      </c>
      <c r="S262">
        <v>0.99</v>
      </c>
      <c r="T262">
        <v>0.95</v>
      </c>
      <c r="U262">
        <v>0.87</v>
      </c>
      <c r="V262">
        <v>0.88</v>
      </c>
      <c r="W262">
        <v>0.86</v>
      </c>
      <c r="X262">
        <v>0.85</v>
      </c>
      <c r="Y262">
        <v>0.82</v>
      </c>
      <c r="Z262">
        <v>0.89</v>
      </c>
      <c r="AA262" s="8">
        <v>0.84010907288051562</v>
      </c>
      <c r="AB262" s="8">
        <v>0.95499999999999996</v>
      </c>
      <c r="AC262" s="8">
        <v>0.92099999999999993</v>
      </c>
      <c r="AE262">
        <v>102239</v>
      </c>
      <c r="AF262" t="s">
        <v>430</v>
      </c>
      <c r="AG262">
        <v>3416</v>
      </c>
      <c r="AH262">
        <v>3610</v>
      </c>
      <c r="AI262">
        <v>94.6</v>
      </c>
      <c r="AK262">
        <v>102714</v>
      </c>
      <c r="AL262" t="s">
        <v>531</v>
      </c>
      <c r="AM262">
        <f t="shared" si="11"/>
        <v>92.1</v>
      </c>
      <c r="AN262">
        <f t="shared" si="12"/>
        <v>0.92099999999999993</v>
      </c>
    </row>
    <row r="263" spans="1:40" x14ac:dyDescent="0.25">
      <c r="A263">
        <v>102715</v>
      </c>
      <c r="B263" t="s">
        <v>438</v>
      </c>
      <c r="C263">
        <v>1.0900000000000001</v>
      </c>
      <c r="D263">
        <v>0.95</v>
      </c>
      <c r="E263">
        <v>0.98</v>
      </c>
      <c r="F263">
        <v>0.96</v>
      </c>
      <c r="G263">
        <v>0.9</v>
      </c>
      <c r="H263">
        <v>1.02</v>
      </c>
      <c r="I263">
        <v>0.98</v>
      </c>
      <c r="J263">
        <v>0.95</v>
      </c>
      <c r="K263">
        <v>0.96</v>
      </c>
      <c r="L263">
        <v>0.92</v>
      </c>
      <c r="M263">
        <v>0.91</v>
      </c>
      <c r="N263">
        <v>0.94</v>
      </c>
      <c r="O263">
        <v>0.93</v>
      </c>
      <c r="P263">
        <v>1</v>
      </c>
      <c r="Q263">
        <v>1.1399999999999999</v>
      </c>
      <c r="R263">
        <v>0.92</v>
      </c>
      <c r="S263">
        <v>1</v>
      </c>
      <c r="T263">
        <v>0.96</v>
      </c>
      <c r="U263">
        <v>0.88</v>
      </c>
      <c r="V263">
        <v>0.92</v>
      </c>
      <c r="W263">
        <v>0.94</v>
      </c>
      <c r="X263">
        <v>0.98</v>
      </c>
      <c r="Y263">
        <v>0.95</v>
      </c>
      <c r="Z263">
        <v>0.97</v>
      </c>
      <c r="AA263" s="8">
        <v>0.83497884344146689</v>
      </c>
      <c r="AB263" s="8">
        <v>1.0009999999999999</v>
      </c>
      <c r="AC263" s="8">
        <v>0.95799999999999996</v>
      </c>
      <c r="AE263">
        <v>102210</v>
      </c>
      <c r="AF263" t="s">
        <v>320</v>
      </c>
      <c r="AG263">
        <v>3238</v>
      </c>
      <c r="AH263">
        <v>3464</v>
      </c>
      <c r="AI263">
        <v>93.5</v>
      </c>
      <c r="AK263">
        <v>102715</v>
      </c>
      <c r="AL263" t="s">
        <v>438</v>
      </c>
      <c r="AM263">
        <f t="shared" si="11"/>
        <v>95.8</v>
      </c>
      <c r="AN263">
        <f t="shared" si="12"/>
        <v>0.95799999999999996</v>
      </c>
    </row>
    <row r="264" spans="1:40" x14ac:dyDescent="0.25">
      <c r="A264">
        <v>102716</v>
      </c>
      <c r="B264" t="s">
        <v>52</v>
      </c>
      <c r="C264">
        <v>1.0900000000000001</v>
      </c>
      <c r="D264">
        <v>0.95</v>
      </c>
      <c r="E264">
        <v>0.98</v>
      </c>
      <c r="F264">
        <v>0.96</v>
      </c>
      <c r="G264">
        <v>0.89</v>
      </c>
      <c r="H264">
        <v>1.02</v>
      </c>
      <c r="I264">
        <v>0.98</v>
      </c>
      <c r="J264">
        <v>0.95</v>
      </c>
      <c r="K264">
        <v>0.95</v>
      </c>
      <c r="L264">
        <v>0.92</v>
      </c>
      <c r="M264">
        <v>0.91</v>
      </c>
      <c r="N264">
        <v>0.93</v>
      </c>
      <c r="O264">
        <v>0.92</v>
      </c>
      <c r="P264">
        <v>1</v>
      </c>
      <c r="Q264">
        <v>1.1599999999999999</v>
      </c>
      <c r="R264">
        <v>0.91</v>
      </c>
      <c r="S264">
        <v>1</v>
      </c>
      <c r="T264">
        <v>0.96</v>
      </c>
      <c r="U264">
        <v>0.87</v>
      </c>
      <c r="V264">
        <v>0.88</v>
      </c>
      <c r="W264">
        <v>0.92</v>
      </c>
      <c r="X264">
        <v>0.96</v>
      </c>
      <c r="Y264">
        <v>0.95</v>
      </c>
      <c r="Z264">
        <v>0.88</v>
      </c>
      <c r="AA264" s="8">
        <v>0.78325123152709364</v>
      </c>
      <c r="AB264" s="8">
        <v>1.0129999999999999</v>
      </c>
      <c r="AC264" s="8">
        <v>0.96900000000000008</v>
      </c>
      <c r="AE264">
        <v>102231</v>
      </c>
      <c r="AF264" t="s">
        <v>1229</v>
      </c>
      <c r="AG264">
        <v>3303</v>
      </c>
      <c r="AH264">
        <v>3528</v>
      </c>
      <c r="AI264">
        <v>93.6</v>
      </c>
      <c r="AK264">
        <v>102716</v>
      </c>
      <c r="AL264" t="s">
        <v>52</v>
      </c>
      <c r="AM264">
        <f t="shared" si="11"/>
        <v>96.9</v>
      </c>
      <c r="AN264">
        <f t="shared" si="12"/>
        <v>0.96900000000000008</v>
      </c>
    </row>
    <row r="265" spans="1:40" x14ac:dyDescent="0.25">
      <c r="A265">
        <v>102717</v>
      </c>
      <c r="B265" t="s">
        <v>96</v>
      </c>
      <c r="C265">
        <v>1.1000000000000001</v>
      </c>
      <c r="D265">
        <v>0.96</v>
      </c>
      <c r="E265">
        <v>1</v>
      </c>
      <c r="F265">
        <v>0.98</v>
      </c>
      <c r="G265">
        <v>0.91</v>
      </c>
      <c r="H265">
        <v>1.02</v>
      </c>
      <c r="I265">
        <v>0.99</v>
      </c>
      <c r="J265">
        <v>0.96</v>
      </c>
      <c r="K265">
        <v>0.97</v>
      </c>
      <c r="L265">
        <v>0.94</v>
      </c>
      <c r="M265">
        <v>0.92</v>
      </c>
      <c r="N265">
        <v>0.94</v>
      </c>
      <c r="O265">
        <v>0.94</v>
      </c>
      <c r="P265">
        <v>1</v>
      </c>
      <c r="Q265">
        <v>1.1499999999999999</v>
      </c>
      <c r="R265">
        <v>0.92</v>
      </c>
      <c r="S265">
        <v>1.01</v>
      </c>
      <c r="T265">
        <v>0.97</v>
      </c>
      <c r="U265">
        <v>0.88</v>
      </c>
      <c r="V265">
        <v>0.89</v>
      </c>
      <c r="W265">
        <v>0.92</v>
      </c>
      <c r="X265">
        <v>0.94</v>
      </c>
      <c r="Y265">
        <v>0.93</v>
      </c>
      <c r="Z265">
        <v>0.89</v>
      </c>
      <c r="AA265" s="8">
        <v>0.79469854469854473</v>
      </c>
      <c r="AB265" s="8">
        <v>1.03</v>
      </c>
      <c r="AC265" s="8">
        <v>0.97</v>
      </c>
      <c r="AE265">
        <v>102207</v>
      </c>
      <c r="AF265" t="s">
        <v>321</v>
      </c>
      <c r="AG265">
        <v>3635</v>
      </c>
      <c r="AH265">
        <v>3709</v>
      </c>
      <c r="AI265">
        <v>98</v>
      </c>
      <c r="AK265">
        <v>102717</v>
      </c>
      <c r="AL265" t="s">
        <v>96</v>
      </c>
      <c r="AM265">
        <f t="shared" si="11"/>
        <v>97</v>
      </c>
      <c r="AN265">
        <f t="shared" si="12"/>
        <v>0.97</v>
      </c>
    </row>
    <row r="266" spans="1:40" x14ac:dyDescent="0.25">
      <c r="A266">
        <v>102718</v>
      </c>
      <c r="B266" t="s">
        <v>21</v>
      </c>
      <c r="C266">
        <v>1.1000000000000001</v>
      </c>
      <c r="D266">
        <v>0.96</v>
      </c>
      <c r="E266">
        <v>1.01</v>
      </c>
      <c r="F266">
        <v>0.98</v>
      </c>
      <c r="G266">
        <v>0.9</v>
      </c>
      <c r="H266">
        <v>1.02</v>
      </c>
      <c r="I266">
        <v>0.99</v>
      </c>
      <c r="J266">
        <v>0.97</v>
      </c>
      <c r="K266">
        <v>0.97</v>
      </c>
      <c r="L266">
        <v>0.95</v>
      </c>
      <c r="M266">
        <v>0.92</v>
      </c>
      <c r="N266">
        <v>0.94</v>
      </c>
      <c r="O266">
        <v>0.94</v>
      </c>
      <c r="P266">
        <v>1</v>
      </c>
      <c r="Q266">
        <v>1.17</v>
      </c>
      <c r="R266">
        <v>0.92</v>
      </c>
      <c r="S266">
        <v>0.99</v>
      </c>
      <c r="T266">
        <v>0.95</v>
      </c>
      <c r="U266">
        <v>0.88</v>
      </c>
      <c r="V266">
        <v>0.89</v>
      </c>
      <c r="W266">
        <v>0.94</v>
      </c>
      <c r="X266">
        <v>0.97</v>
      </c>
      <c r="Y266">
        <v>0.97</v>
      </c>
      <c r="Z266">
        <v>0.91</v>
      </c>
      <c r="AA266" s="8">
        <v>0.79788838612368029</v>
      </c>
      <c r="AB266" s="8">
        <v>1.018</v>
      </c>
      <c r="AC266" s="8">
        <v>0.96599999999999997</v>
      </c>
      <c r="AE266">
        <v>102905</v>
      </c>
      <c r="AF266" t="s">
        <v>324</v>
      </c>
      <c r="AG266">
        <v>4619</v>
      </c>
      <c r="AH266">
        <v>4626</v>
      </c>
      <c r="AI266">
        <v>99.8</v>
      </c>
      <c r="AK266">
        <v>102718</v>
      </c>
      <c r="AL266" t="s">
        <v>21</v>
      </c>
      <c r="AM266">
        <f t="shared" si="11"/>
        <v>96.6</v>
      </c>
      <c r="AN266">
        <f t="shared" si="12"/>
        <v>0.96599999999999997</v>
      </c>
    </row>
    <row r="267" spans="1:40" x14ac:dyDescent="0.25">
      <c r="A267">
        <v>102719</v>
      </c>
      <c r="B267" t="s">
        <v>301</v>
      </c>
      <c r="C267">
        <v>1.1000000000000001</v>
      </c>
      <c r="D267">
        <v>0.95</v>
      </c>
      <c r="E267">
        <v>1.02</v>
      </c>
      <c r="F267">
        <v>0.98</v>
      </c>
      <c r="G267">
        <v>0.91</v>
      </c>
      <c r="H267">
        <v>1</v>
      </c>
      <c r="I267">
        <v>0.97</v>
      </c>
      <c r="J267">
        <v>0.97</v>
      </c>
      <c r="K267">
        <v>0.97</v>
      </c>
      <c r="L267">
        <v>0.94</v>
      </c>
      <c r="M267">
        <v>0.91</v>
      </c>
      <c r="N267">
        <v>0.93</v>
      </c>
      <c r="O267">
        <v>0.92</v>
      </c>
      <c r="P267">
        <v>0.99</v>
      </c>
      <c r="Q267">
        <v>1.1499999999999999</v>
      </c>
      <c r="R267">
        <v>0.91</v>
      </c>
      <c r="S267">
        <v>0.99</v>
      </c>
      <c r="T267">
        <v>0.95</v>
      </c>
      <c r="U267">
        <v>0.89</v>
      </c>
      <c r="V267">
        <v>0.89</v>
      </c>
      <c r="W267">
        <v>0.92</v>
      </c>
      <c r="X267">
        <v>0.92</v>
      </c>
      <c r="Y267">
        <v>0.93</v>
      </c>
      <c r="Z267">
        <v>0.85</v>
      </c>
      <c r="AA267" s="8">
        <v>0.77336814621409922</v>
      </c>
      <c r="AB267" s="8">
        <v>0.98799999999999999</v>
      </c>
      <c r="AC267" s="8">
        <v>0.93500000000000005</v>
      </c>
      <c r="AE267">
        <v>102639</v>
      </c>
      <c r="AF267" t="s">
        <v>1230</v>
      </c>
      <c r="AG267">
        <v>3524</v>
      </c>
      <c r="AH267">
        <v>3600</v>
      </c>
      <c r="AI267">
        <v>97.9</v>
      </c>
      <c r="AK267">
        <v>102719</v>
      </c>
      <c r="AL267" t="s">
        <v>301</v>
      </c>
      <c r="AM267">
        <f t="shared" si="11"/>
        <v>93.5</v>
      </c>
      <c r="AN267">
        <f t="shared" si="12"/>
        <v>0.93500000000000005</v>
      </c>
    </row>
    <row r="268" spans="1:40" x14ac:dyDescent="0.25">
      <c r="A268">
        <v>102720</v>
      </c>
      <c r="B268" t="s">
        <v>117</v>
      </c>
      <c r="C268">
        <v>1.0900000000000001</v>
      </c>
      <c r="D268">
        <v>0.94</v>
      </c>
      <c r="E268">
        <v>1.01</v>
      </c>
      <c r="F268">
        <v>0.98</v>
      </c>
      <c r="G268">
        <v>0.9</v>
      </c>
      <c r="H268">
        <v>0.99</v>
      </c>
      <c r="I268">
        <v>0.96</v>
      </c>
      <c r="J268">
        <v>0.97</v>
      </c>
      <c r="K268">
        <v>0.97</v>
      </c>
      <c r="L268">
        <v>0.95</v>
      </c>
      <c r="M268">
        <v>0.91</v>
      </c>
      <c r="N268">
        <v>0.93</v>
      </c>
      <c r="O268">
        <v>0.92</v>
      </c>
      <c r="P268">
        <v>0.99</v>
      </c>
      <c r="Q268">
        <v>1.1499999999999999</v>
      </c>
      <c r="R268">
        <v>0.91</v>
      </c>
      <c r="S268">
        <v>0.99</v>
      </c>
      <c r="T268">
        <v>0.95</v>
      </c>
      <c r="U268">
        <v>0.89</v>
      </c>
      <c r="V268">
        <v>0.89</v>
      </c>
      <c r="W268">
        <v>0.94</v>
      </c>
      <c r="X268">
        <v>0.96</v>
      </c>
      <c r="Y268">
        <v>0.98</v>
      </c>
      <c r="Z268">
        <v>0.88</v>
      </c>
      <c r="AA268" s="8">
        <v>0.82836381859183161</v>
      </c>
      <c r="AB268" s="8">
        <v>1.0229999999999999</v>
      </c>
      <c r="AC268" s="8">
        <v>0.97199999999999998</v>
      </c>
      <c r="AE268">
        <v>102617</v>
      </c>
      <c r="AF268" t="s">
        <v>335</v>
      </c>
      <c r="AG268">
        <v>3599</v>
      </c>
      <c r="AH268">
        <v>3642</v>
      </c>
      <c r="AI268">
        <v>98.8</v>
      </c>
      <c r="AK268">
        <v>102720</v>
      </c>
      <c r="AL268" t="s">
        <v>117</v>
      </c>
      <c r="AM268">
        <f t="shared" si="11"/>
        <v>97.2</v>
      </c>
      <c r="AN268">
        <f t="shared" si="12"/>
        <v>0.97199999999999998</v>
      </c>
    </row>
    <row r="269" spans="1:40" x14ac:dyDescent="0.25">
      <c r="A269">
        <v>102721</v>
      </c>
      <c r="B269" t="s">
        <v>193</v>
      </c>
      <c r="C269">
        <v>1.0900000000000001</v>
      </c>
      <c r="D269">
        <v>0.95</v>
      </c>
      <c r="E269">
        <v>1</v>
      </c>
      <c r="F269">
        <v>0.98</v>
      </c>
      <c r="G269">
        <v>0.9</v>
      </c>
      <c r="H269">
        <v>1.02</v>
      </c>
      <c r="I269">
        <v>0.98</v>
      </c>
      <c r="J269">
        <v>0.96</v>
      </c>
      <c r="K269">
        <v>0.97</v>
      </c>
      <c r="L269">
        <v>0.94</v>
      </c>
      <c r="M269">
        <v>0.91</v>
      </c>
      <c r="N269">
        <v>0.94</v>
      </c>
      <c r="O269">
        <v>0.94</v>
      </c>
      <c r="P269">
        <v>1.01</v>
      </c>
      <c r="Q269">
        <v>1.17</v>
      </c>
      <c r="R269">
        <v>0.92</v>
      </c>
      <c r="S269">
        <v>1.01</v>
      </c>
      <c r="T269">
        <v>0.96</v>
      </c>
      <c r="U269">
        <v>0.89</v>
      </c>
      <c r="V269">
        <v>0.92</v>
      </c>
      <c r="W269">
        <v>0.96</v>
      </c>
      <c r="X269">
        <v>1</v>
      </c>
      <c r="Y269">
        <v>0.99</v>
      </c>
      <c r="Z269">
        <v>0.91</v>
      </c>
      <c r="AA269" s="8">
        <v>0.80670882595545779</v>
      </c>
      <c r="AB269" s="8">
        <v>1.02</v>
      </c>
      <c r="AC269" s="8">
        <v>0.97400000000000009</v>
      </c>
      <c r="AE269">
        <v>102418</v>
      </c>
      <c r="AF269" t="s">
        <v>238</v>
      </c>
      <c r="AG269">
        <v>3328</v>
      </c>
      <c r="AH269">
        <v>3569</v>
      </c>
      <c r="AI269">
        <v>93.3</v>
      </c>
      <c r="AK269">
        <v>102721</v>
      </c>
      <c r="AL269" t="s">
        <v>193</v>
      </c>
      <c r="AM269">
        <f t="shared" si="11"/>
        <v>97.4</v>
      </c>
      <c r="AN269">
        <f t="shared" si="12"/>
        <v>0.97400000000000009</v>
      </c>
    </row>
    <row r="270" spans="1:40" x14ac:dyDescent="0.25">
      <c r="A270">
        <v>102722</v>
      </c>
      <c r="B270" t="s">
        <v>145</v>
      </c>
      <c r="C270">
        <v>1.0900000000000001</v>
      </c>
      <c r="D270">
        <v>0.95</v>
      </c>
      <c r="E270">
        <v>1.01</v>
      </c>
      <c r="F270">
        <v>0.96</v>
      </c>
      <c r="G270">
        <v>0.87</v>
      </c>
      <c r="H270">
        <v>1</v>
      </c>
      <c r="I270">
        <v>0.98</v>
      </c>
      <c r="J270">
        <v>0.97</v>
      </c>
      <c r="K270">
        <v>0.97</v>
      </c>
      <c r="L270">
        <v>0.93</v>
      </c>
      <c r="M270">
        <v>0.92</v>
      </c>
      <c r="N270">
        <v>0.93</v>
      </c>
      <c r="O270">
        <v>0.91</v>
      </c>
      <c r="P270">
        <v>0.99</v>
      </c>
      <c r="Q270">
        <v>1.1499999999999999</v>
      </c>
      <c r="R270">
        <v>0.9</v>
      </c>
      <c r="S270">
        <v>1</v>
      </c>
      <c r="T270">
        <v>0.95</v>
      </c>
      <c r="U270">
        <v>0.9</v>
      </c>
      <c r="V270">
        <v>0.91</v>
      </c>
      <c r="W270">
        <v>0.96</v>
      </c>
      <c r="X270">
        <v>0.97</v>
      </c>
      <c r="Y270">
        <v>0.96</v>
      </c>
      <c r="Z270">
        <v>0.93</v>
      </c>
      <c r="AA270" s="8">
        <v>0.82359027418520436</v>
      </c>
      <c r="AB270" s="8">
        <v>0.99900000000000011</v>
      </c>
      <c r="AC270" s="8">
        <v>0.95</v>
      </c>
      <c r="AE270">
        <v>102319</v>
      </c>
      <c r="AF270" t="s">
        <v>328</v>
      </c>
      <c r="AG270">
        <v>3588</v>
      </c>
      <c r="AH270">
        <v>3824</v>
      </c>
      <c r="AI270">
        <v>93.8</v>
      </c>
      <c r="AK270">
        <v>102722</v>
      </c>
      <c r="AL270" t="s">
        <v>145</v>
      </c>
      <c r="AM270">
        <f t="shared" si="11"/>
        <v>95</v>
      </c>
      <c r="AN270">
        <f t="shared" si="12"/>
        <v>0.95</v>
      </c>
    </row>
    <row r="271" spans="1:40" x14ac:dyDescent="0.25">
      <c r="A271">
        <v>102723</v>
      </c>
      <c r="B271" t="s">
        <v>252</v>
      </c>
      <c r="C271">
        <v>1.0900000000000001</v>
      </c>
      <c r="D271">
        <v>0.95</v>
      </c>
      <c r="E271">
        <v>0.99</v>
      </c>
      <c r="F271">
        <v>0.97</v>
      </c>
      <c r="G271">
        <v>0.89</v>
      </c>
      <c r="H271">
        <v>1.02</v>
      </c>
      <c r="I271">
        <v>0.98</v>
      </c>
      <c r="J271">
        <v>0.96</v>
      </c>
      <c r="K271">
        <v>0.96</v>
      </c>
      <c r="L271">
        <v>0.93</v>
      </c>
      <c r="M271">
        <v>0.91</v>
      </c>
      <c r="N271">
        <v>0.93</v>
      </c>
      <c r="O271">
        <v>0.92</v>
      </c>
      <c r="P271">
        <v>0.99</v>
      </c>
      <c r="Q271">
        <v>1.1499999999999999</v>
      </c>
      <c r="R271">
        <v>0.91</v>
      </c>
      <c r="S271">
        <v>1</v>
      </c>
      <c r="T271">
        <v>0.96</v>
      </c>
      <c r="U271">
        <v>0.87</v>
      </c>
      <c r="V271">
        <v>0.88</v>
      </c>
      <c r="W271">
        <v>0.92</v>
      </c>
      <c r="X271">
        <v>0.95</v>
      </c>
      <c r="Y271">
        <v>0.93</v>
      </c>
      <c r="Z271">
        <v>0.94</v>
      </c>
      <c r="AA271" s="8">
        <v>0.83368869936034118</v>
      </c>
      <c r="AB271" s="8">
        <v>1.0029999999999999</v>
      </c>
      <c r="AC271" s="8">
        <v>0.96400000000000008</v>
      </c>
      <c r="AE271">
        <v>102405</v>
      </c>
      <c r="AF271" t="s">
        <v>517</v>
      </c>
      <c r="AG271">
        <v>3331</v>
      </c>
      <c r="AH271">
        <v>3521</v>
      </c>
      <c r="AI271">
        <v>94.6</v>
      </c>
      <c r="AK271">
        <v>102723</v>
      </c>
      <c r="AL271" t="s">
        <v>252</v>
      </c>
      <c r="AM271">
        <f t="shared" si="11"/>
        <v>96.4</v>
      </c>
      <c r="AN271">
        <f t="shared" si="12"/>
        <v>0.96400000000000008</v>
      </c>
    </row>
    <row r="272" spans="1:40" x14ac:dyDescent="0.25">
      <c r="A272">
        <v>102724</v>
      </c>
      <c r="B272" t="s">
        <v>115</v>
      </c>
      <c r="C272">
        <v>1.0900000000000001</v>
      </c>
      <c r="D272">
        <v>0.95</v>
      </c>
      <c r="E272">
        <v>1.01</v>
      </c>
      <c r="F272">
        <v>0.98</v>
      </c>
      <c r="G272">
        <v>0.9</v>
      </c>
      <c r="H272">
        <v>1.01</v>
      </c>
      <c r="I272">
        <v>0.97</v>
      </c>
      <c r="J272">
        <v>0.97</v>
      </c>
      <c r="K272">
        <v>0.97</v>
      </c>
      <c r="L272">
        <v>0.94</v>
      </c>
      <c r="M272">
        <v>0.91</v>
      </c>
      <c r="N272">
        <v>0.93</v>
      </c>
      <c r="O272">
        <v>0.93</v>
      </c>
      <c r="P272">
        <v>1</v>
      </c>
      <c r="Q272">
        <v>1.1599999999999999</v>
      </c>
      <c r="R272">
        <v>0.92</v>
      </c>
      <c r="S272">
        <v>1</v>
      </c>
      <c r="T272">
        <v>0.96</v>
      </c>
      <c r="U272">
        <v>0.89</v>
      </c>
      <c r="V272">
        <v>0.9</v>
      </c>
      <c r="W272">
        <v>0.96</v>
      </c>
      <c r="X272">
        <v>0.99</v>
      </c>
      <c r="Y272">
        <v>0.99</v>
      </c>
      <c r="Z272">
        <v>0.89</v>
      </c>
      <c r="AA272" s="8">
        <v>0.81500266951414846</v>
      </c>
      <c r="AB272" s="8">
        <v>1.02</v>
      </c>
      <c r="AC272" s="8">
        <v>0.97299999999999998</v>
      </c>
      <c r="AE272">
        <v>102649</v>
      </c>
      <c r="AF272" t="s">
        <v>59</v>
      </c>
      <c r="AG272">
        <v>3687</v>
      </c>
      <c r="AH272">
        <v>3713</v>
      </c>
      <c r="AI272">
        <v>99.3</v>
      </c>
      <c r="AK272">
        <v>102724</v>
      </c>
      <c r="AL272" t="s">
        <v>115</v>
      </c>
      <c r="AM272">
        <f t="shared" si="11"/>
        <v>97.3</v>
      </c>
      <c r="AN272">
        <f t="shared" si="12"/>
        <v>0.97299999999999998</v>
      </c>
    </row>
    <row r="273" spans="1:40" x14ac:dyDescent="0.25">
      <c r="A273">
        <v>102725</v>
      </c>
      <c r="B273" t="s">
        <v>1037</v>
      </c>
      <c r="Y273">
        <v>0.95</v>
      </c>
      <c r="Z273">
        <v>0.86</v>
      </c>
      <c r="AA273" s="8">
        <v>0.80601907032181164</v>
      </c>
      <c r="AB273" s="8">
        <v>1.0170000000000001</v>
      </c>
      <c r="AC273" s="8">
        <v>0.97</v>
      </c>
      <c r="AE273">
        <v>102705</v>
      </c>
      <c r="AF273" t="s">
        <v>235</v>
      </c>
      <c r="AG273">
        <v>4397</v>
      </c>
      <c r="AH273">
        <v>4507</v>
      </c>
      <c r="AI273">
        <v>97.6</v>
      </c>
      <c r="AK273">
        <v>102725</v>
      </c>
      <c r="AL273" t="s">
        <v>1037</v>
      </c>
      <c r="AM273">
        <f t="shared" si="11"/>
        <v>97</v>
      </c>
      <c r="AN273">
        <f t="shared" si="12"/>
        <v>0.97</v>
      </c>
    </row>
    <row r="274" spans="1:40" x14ac:dyDescent="0.25">
      <c r="A274">
        <v>102726</v>
      </c>
      <c r="B274" t="s">
        <v>278</v>
      </c>
      <c r="Y274">
        <v>0.95</v>
      </c>
      <c r="Z274">
        <v>0.9</v>
      </c>
      <c r="AA274" s="8">
        <v>0.78748027354024197</v>
      </c>
      <c r="AB274" s="8">
        <v>1.0109999999999999</v>
      </c>
      <c r="AC274" s="8">
        <v>0.96099999999999997</v>
      </c>
      <c r="AE274">
        <v>102523</v>
      </c>
      <c r="AF274" t="s">
        <v>330</v>
      </c>
      <c r="AG274">
        <v>3303</v>
      </c>
      <c r="AH274">
        <v>3522</v>
      </c>
      <c r="AI274">
        <v>93.8</v>
      </c>
      <c r="AK274">
        <v>102726</v>
      </c>
      <c r="AL274" t="s">
        <v>278</v>
      </c>
      <c r="AM274">
        <f t="shared" si="11"/>
        <v>96.1</v>
      </c>
      <c r="AN274">
        <f t="shared" si="12"/>
        <v>0.96099999999999997</v>
      </c>
    </row>
    <row r="275" spans="1:40" x14ac:dyDescent="0.25">
      <c r="A275">
        <v>102727</v>
      </c>
      <c r="B275" t="s">
        <v>53</v>
      </c>
      <c r="Y275">
        <v>0.97</v>
      </c>
      <c r="Z275">
        <v>0.89</v>
      </c>
      <c r="AA275" s="8">
        <v>0.83375570197668525</v>
      </c>
      <c r="AB275" s="8">
        <v>1.006</v>
      </c>
      <c r="AC275" s="8">
        <v>0.96599999999999997</v>
      </c>
      <c r="AE275">
        <v>102314</v>
      </c>
      <c r="AF275" t="s">
        <v>445</v>
      </c>
      <c r="AG275">
        <v>2906</v>
      </c>
      <c r="AH275">
        <v>3197</v>
      </c>
      <c r="AI275">
        <v>90.9</v>
      </c>
      <c r="AK275">
        <v>102727</v>
      </c>
      <c r="AL275" t="s">
        <v>53</v>
      </c>
      <c r="AM275">
        <f t="shared" si="11"/>
        <v>96.6</v>
      </c>
      <c r="AN275">
        <f t="shared" si="12"/>
        <v>0.96599999999999997</v>
      </c>
    </row>
    <row r="276" spans="1:40" x14ac:dyDescent="0.25">
      <c r="A276">
        <v>102728</v>
      </c>
      <c r="B276" t="s">
        <v>870</v>
      </c>
      <c r="Y276">
        <v>0.95</v>
      </c>
      <c r="Z276">
        <v>0.97</v>
      </c>
      <c r="AA276" s="8">
        <v>0.85410230003432885</v>
      </c>
      <c r="AB276" s="8">
        <v>1.0090000000000001</v>
      </c>
      <c r="AC276" s="8">
        <v>0.95700000000000007</v>
      </c>
      <c r="AE276">
        <v>102644</v>
      </c>
      <c r="AF276" t="s">
        <v>58</v>
      </c>
      <c r="AG276">
        <v>3454</v>
      </c>
      <c r="AH276">
        <v>3607</v>
      </c>
      <c r="AI276">
        <v>95.7</v>
      </c>
      <c r="AK276">
        <v>102728</v>
      </c>
      <c r="AL276" t="s">
        <v>870</v>
      </c>
      <c r="AM276">
        <f t="shared" si="11"/>
        <v>95.7</v>
      </c>
      <c r="AN276">
        <f t="shared" si="12"/>
        <v>0.95700000000000007</v>
      </c>
    </row>
    <row r="277" spans="1:40" x14ac:dyDescent="0.25">
      <c r="A277">
        <v>102801</v>
      </c>
      <c r="B277" t="s">
        <v>64</v>
      </c>
      <c r="C277">
        <v>1.0900000000000001</v>
      </c>
      <c r="D277">
        <v>0.96</v>
      </c>
      <c r="E277">
        <v>1.01</v>
      </c>
      <c r="F277">
        <v>0.98</v>
      </c>
      <c r="G277">
        <v>0.93</v>
      </c>
      <c r="H277">
        <v>1.03</v>
      </c>
      <c r="I277">
        <v>0.97</v>
      </c>
      <c r="J277">
        <v>0.96</v>
      </c>
      <c r="K277">
        <v>0.97</v>
      </c>
      <c r="L277">
        <v>0.95</v>
      </c>
      <c r="M277">
        <v>0.92</v>
      </c>
      <c r="N277">
        <v>0.95</v>
      </c>
      <c r="O277">
        <v>0.96</v>
      </c>
      <c r="P277">
        <v>1</v>
      </c>
      <c r="Q277">
        <v>1.1299999999999999</v>
      </c>
      <c r="R277">
        <v>0.91</v>
      </c>
      <c r="S277">
        <v>1.03</v>
      </c>
      <c r="T277">
        <v>0.98</v>
      </c>
      <c r="U277">
        <v>0.9</v>
      </c>
      <c r="V277">
        <v>0.9</v>
      </c>
      <c r="W277">
        <v>0.93</v>
      </c>
      <c r="X277">
        <v>0.94</v>
      </c>
      <c r="Y277">
        <v>0.92</v>
      </c>
      <c r="Z277">
        <v>0.89</v>
      </c>
      <c r="AA277" s="8">
        <v>0.81585811163275956</v>
      </c>
      <c r="AB277" s="8">
        <v>0.96299999999999997</v>
      </c>
      <c r="AC277" s="8">
        <v>0.91400000000000003</v>
      </c>
      <c r="AE277">
        <v>102323</v>
      </c>
      <c r="AF277" t="s">
        <v>348</v>
      </c>
      <c r="AG277">
        <v>3612</v>
      </c>
      <c r="AH277">
        <v>3792</v>
      </c>
      <c r="AI277">
        <v>95.3</v>
      </c>
      <c r="AK277">
        <v>102801</v>
      </c>
      <c r="AL277" t="s">
        <v>64</v>
      </c>
      <c r="AM277">
        <f t="shared" si="11"/>
        <v>91.4</v>
      </c>
      <c r="AN277">
        <f t="shared" si="12"/>
        <v>0.91400000000000003</v>
      </c>
    </row>
    <row r="278" spans="1:40" x14ac:dyDescent="0.25">
      <c r="A278">
        <v>102802</v>
      </c>
      <c r="B278" t="s">
        <v>48</v>
      </c>
      <c r="C278">
        <v>1.0900000000000001</v>
      </c>
      <c r="D278">
        <v>0.95</v>
      </c>
      <c r="E278">
        <v>0.99</v>
      </c>
      <c r="F278">
        <v>0.97</v>
      </c>
      <c r="G278">
        <v>0.92</v>
      </c>
      <c r="H278">
        <v>1.03</v>
      </c>
      <c r="I278">
        <v>0.97</v>
      </c>
      <c r="J278">
        <v>0.95</v>
      </c>
      <c r="K278">
        <v>0.96</v>
      </c>
      <c r="L278">
        <v>0.93</v>
      </c>
      <c r="M278">
        <v>0.9</v>
      </c>
      <c r="N278">
        <v>0.94</v>
      </c>
      <c r="O278">
        <v>0.96</v>
      </c>
      <c r="P278">
        <v>1.01</v>
      </c>
      <c r="Q278">
        <v>1.1599999999999999</v>
      </c>
      <c r="R278">
        <v>0.92</v>
      </c>
      <c r="S278">
        <v>1.03</v>
      </c>
      <c r="T278">
        <v>0.98</v>
      </c>
      <c r="U278">
        <v>0.9</v>
      </c>
      <c r="V278">
        <v>0.92</v>
      </c>
      <c r="W278">
        <v>0.97</v>
      </c>
      <c r="X278">
        <v>0.99</v>
      </c>
      <c r="Y278">
        <v>0.99</v>
      </c>
      <c r="Z278">
        <v>0.98</v>
      </c>
      <c r="AA278" s="8">
        <v>0.85489833641404811</v>
      </c>
      <c r="AB278" s="8">
        <v>1.0149999999999999</v>
      </c>
      <c r="AC278" s="8">
        <v>0.96200000000000008</v>
      </c>
      <c r="AE278">
        <v>102902</v>
      </c>
      <c r="AF278" t="s">
        <v>45</v>
      </c>
      <c r="AG278">
        <v>5438</v>
      </c>
      <c r="AH278">
        <v>5633</v>
      </c>
      <c r="AI278">
        <v>96.5</v>
      </c>
      <c r="AK278">
        <v>102802</v>
      </c>
      <c r="AL278" t="s">
        <v>48</v>
      </c>
      <c r="AM278">
        <f t="shared" si="11"/>
        <v>96.2</v>
      </c>
      <c r="AN278">
        <f t="shared" si="12"/>
        <v>0.96200000000000008</v>
      </c>
    </row>
    <row r="279" spans="1:40" x14ac:dyDescent="0.25">
      <c r="A279">
        <v>102803</v>
      </c>
      <c r="B279" t="s">
        <v>31</v>
      </c>
      <c r="C279">
        <v>1.08</v>
      </c>
      <c r="D279">
        <v>0.95</v>
      </c>
      <c r="E279">
        <v>0.99</v>
      </c>
      <c r="F279">
        <v>0.99</v>
      </c>
      <c r="G279">
        <v>0.92</v>
      </c>
      <c r="H279">
        <v>1.02</v>
      </c>
      <c r="I279">
        <v>0.96</v>
      </c>
      <c r="J279">
        <v>0.96</v>
      </c>
      <c r="K279">
        <v>0.96</v>
      </c>
      <c r="L279">
        <v>0.94</v>
      </c>
      <c r="M279">
        <v>0.9</v>
      </c>
      <c r="N279">
        <v>0.94</v>
      </c>
      <c r="O279">
        <v>0.95</v>
      </c>
      <c r="P279">
        <v>1</v>
      </c>
      <c r="Q279">
        <v>1.1499999999999999</v>
      </c>
      <c r="R279">
        <v>0.9</v>
      </c>
      <c r="S279">
        <v>1.01</v>
      </c>
      <c r="T279">
        <v>0.96</v>
      </c>
      <c r="U279">
        <v>0.9</v>
      </c>
      <c r="V279">
        <v>0.93</v>
      </c>
      <c r="W279">
        <v>0.97</v>
      </c>
      <c r="X279">
        <v>0.98</v>
      </c>
      <c r="Y279">
        <v>0.98</v>
      </c>
      <c r="Z279">
        <v>0.89</v>
      </c>
      <c r="AA279" s="8">
        <v>0.79045431342521699</v>
      </c>
      <c r="AB279" s="8">
        <v>1.02</v>
      </c>
      <c r="AC279" s="8">
        <v>0.95599999999999996</v>
      </c>
      <c r="AE279">
        <v>102327</v>
      </c>
      <c r="AF279" t="s">
        <v>350</v>
      </c>
      <c r="AG279">
        <v>3487</v>
      </c>
      <c r="AH279">
        <v>3578</v>
      </c>
      <c r="AI279">
        <v>97.4</v>
      </c>
      <c r="AK279">
        <v>102803</v>
      </c>
      <c r="AL279" t="s">
        <v>31</v>
      </c>
      <c r="AM279">
        <f t="shared" si="11"/>
        <v>95.6</v>
      </c>
      <c r="AN279">
        <f t="shared" si="12"/>
        <v>0.95599999999999996</v>
      </c>
    </row>
    <row r="280" spans="1:40" x14ac:dyDescent="0.25">
      <c r="A280">
        <v>102804</v>
      </c>
      <c r="B280" t="s">
        <v>370</v>
      </c>
      <c r="C280">
        <v>1.0900000000000001</v>
      </c>
      <c r="D280">
        <v>0.95</v>
      </c>
      <c r="E280">
        <v>1</v>
      </c>
      <c r="F280">
        <v>0.99</v>
      </c>
      <c r="G280">
        <v>0.92</v>
      </c>
      <c r="H280">
        <v>1.02</v>
      </c>
      <c r="I280">
        <v>0.97</v>
      </c>
      <c r="J280">
        <v>0.97</v>
      </c>
      <c r="K280">
        <v>0.96</v>
      </c>
      <c r="L280">
        <v>0.94</v>
      </c>
      <c r="M280">
        <v>0.9</v>
      </c>
      <c r="N280">
        <v>0.94</v>
      </c>
      <c r="O280">
        <v>0.95</v>
      </c>
      <c r="P280">
        <v>1</v>
      </c>
      <c r="Q280">
        <v>1.1399999999999999</v>
      </c>
      <c r="R280">
        <v>0.91</v>
      </c>
      <c r="S280">
        <v>1</v>
      </c>
      <c r="T280">
        <v>0.96</v>
      </c>
      <c r="U280">
        <v>0.88</v>
      </c>
      <c r="V280">
        <v>0.88</v>
      </c>
      <c r="W280">
        <v>0.92</v>
      </c>
      <c r="X280">
        <v>0.94</v>
      </c>
      <c r="Y280">
        <v>0.94</v>
      </c>
      <c r="Z280">
        <v>0.88</v>
      </c>
      <c r="AA280" s="8">
        <v>0.81010502412716434</v>
      </c>
      <c r="AB280" s="8">
        <v>1.016</v>
      </c>
      <c r="AC280" s="8">
        <v>0.95700000000000007</v>
      </c>
      <c r="AE280">
        <v>102906</v>
      </c>
      <c r="AF280" t="s">
        <v>260</v>
      </c>
      <c r="AG280">
        <v>5081</v>
      </c>
      <c r="AH280">
        <v>5192</v>
      </c>
      <c r="AI280">
        <v>97.9</v>
      </c>
      <c r="AK280">
        <v>102804</v>
      </c>
      <c r="AL280" t="s">
        <v>370</v>
      </c>
      <c r="AM280">
        <f t="shared" si="11"/>
        <v>95.7</v>
      </c>
      <c r="AN280">
        <f t="shared" si="12"/>
        <v>0.95700000000000007</v>
      </c>
    </row>
    <row r="281" spans="1:40" x14ac:dyDescent="0.25">
      <c r="A281">
        <v>102805</v>
      </c>
      <c r="B281" t="s">
        <v>288</v>
      </c>
      <c r="C281">
        <v>1.08</v>
      </c>
      <c r="D281">
        <v>0.94</v>
      </c>
      <c r="E281">
        <v>1.01</v>
      </c>
      <c r="F281">
        <v>0.99</v>
      </c>
      <c r="G281">
        <v>0.9</v>
      </c>
      <c r="H281">
        <v>0.99</v>
      </c>
      <c r="I281">
        <v>0.95</v>
      </c>
      <c r="J281">
        <v>0.97</v>
      </c>
      <c r="K281">
        <v>0.96</v>
      </c>
      <c r="L281">
        <v>0.94</v>
      </c>
      <c r="M281">
        <v>0.9</v>
      </c>
      <c r="N281">
        <v>0.92</v>
      </c>
      <c r="O281">
        <v>0.91</v>
      </c>
      <c r="P281">
        <v>0.98</v>
      </c>
      <c r="Q281">
        <v>1.1299999999999999</v>
      </c>
      <c r="R281">
        <v>0.91</v>
      </c>
      <c r="S281">
        <v>0.96</v>
      </c>
      <c r="T281">
        <v>0.93</v>
      </c>
      <c r="U281">
        <v>0.87</v>
      </c>
      <c r="V281">
        <v>0.88</v>
      </c>
      <c r="W281">
        <v>0.91</v>
      </c>
      <c r="X281">
        <v>0.93</v>
      </c>
      <c r="Y281">
        <v>0.94</v>
      </c>
      <c r="Z281">
        <v>0.91</v>
      </c>
      <c r="AA281" s="8">
        <v>0.83906829010058237</v>
      </c>
      <c r="AB281" s="8">
        <v>0.99400000000000011</v>
      </c>
      <c r="AC281" s="8">
        <v>0.94200000000000006</v>
      </c>
      <c r="AE281">
        <v>102410</v>
      </c>
      <c r="AF281" t="s">
        <v>240</v>
      </c>
      <c r="AG281">
        <v>3479</v>
      </c>
      <c r="AH281">
        <v>3684</v>
      </c>
      <c r="AI281">
        <v>94.4</v>
      </c>
      <c r="AK281">
        <v>102805</v>
      </c>
      <c r="AL281" t="s">
        <v>288</v>
      </c>
      <c r="AM281">
        <f t="shared" si="11"/>
        <v>94.2</v>
      </c>
      <c r="AN281">
        <f t="shared" si="12"/>
        <v>0.94200000000000006</v>
      </c>
    </row>
    <row r="282" spans="1:40" x14ac:dyDescent="0.25">
      <c r="A282">
        <v>102806</v>
      </c>
      <c r="B282" t="s">
        <v>150</v>
      </c>
      <c r="C282">
        <v>1.07</v>
      </c>
      <c r="D282">
        <v>0.94</v>
      </c>
      <c r="E282">
        <v>1.01</v>
      </c>
      <c r="F282">
        <v>0.99</v>
      </c>
      <c r="G282">
        <v>0.89</v>
      </c>
      <c r="H282">
        <v>0.98</v>
      </c>
      <c r="I282">
        <v>0.94</v>
      </c>
      <c r="J282">
        <v>0.98</v>
      </c>
      <c r="K282">
        <v>0.96</v>
      </c>
      <c r="L282">
        <v>0.95</v>
      </c>
      <c r="M282">
        <v>0.91</v>
      </c>
      <c r="N282">
        <v>0.93</v>
      </c>
      <c r="O282">
        <v>0.9</v>
      </c>
      <c r="P282">
        <v>0.98</v>
      </c>
      <c r="Q282">
        <v>1.1299999999999999</v>
      </c>
      <c r="R282">
        <v>0.9</v>
      </c>
      <c r="S282">
        <v>0.97</v>
      </c>
      <c r="T282">
        <v>0.94</v>
      </c>
      <c r="U282">
        <v>0.87</v>
      </c>
      <c r="V282">
        <v>0.87</v>
      </c>
      <c r="W282">
        <v>0.93</v>
      </c>
      <c r="X282">
        <v>0.94</v>
      </c>
      <c r="Y282">
        <v>0.95</v>
      </c>
      <c r="Z282">
        <v>0.88</v>
      </c>
      <c r="AA282" s="8">
        <v>0.79717859994676599</v>
      </c>
      <c r="AB282" s="8">
        <v>1.0149999999999999</v>
      </c>
      <c r="AC282" s="8">
        <v>0.97199999999999998</v>
      </c>
      <c r="AE282">
        <v>102330</v>
      </c>
      <c r="AF282" t="s">
        <v>133</v>
      </c>
      <c r="AG282">
        <v>3177</v>
      </c>
      <c r="AH282">
        <v>3243</v>
      </c>
      <c r="AI282">
        <v>97.9</v>
      </c>
      <c r="AK282">
        <v>102806</v>
      </c>
      <c r="AL282" t="s">
        <v>150</v>
      </c>
      <c r="AM282">
        <f t="shared" si="11"/>
        <v>97.2</v>
      </c>
      <c r="AN282">
        <f t="shared" si="12"/>
        <v>0.97199999999999998</v>
      </c>
    </row>
    <row r="283" spans="1:40" x14ac:dyDescent="0.25">
      <c r="A283">
        <v>102807</v>
      </c>
      <c r="B283" t="s">
        <v>211</v>
      </c>
      <c r="C283">
        <v>1.07</v>
      </c>
      <c r="D283">
        <v>0.94</v>
      </c>
      <c r="E283">
        <v>1</v>
      </c>
      <c r="F283">
        <v>0.99</v>
      </c>
      <c r="G283">
        <v>0.9</v>
      </c>
      <c r="H283">
        <v>0.98</v>
      </c>
      <c r="I283">
        <v>0.95</v>
      </c>
      <c r="J283">
        <v>0.98</v>
      </c>
      <c r="K283">
        <v>0.97</v>
      </c>
      <c r="L283">
        <v>0.94</v>
      </c>
      <c r="M283">
        <v>0.91</v>
      </c>
      <c r="N283">
        <v>0.94</v>
      </c>
      <c r="O283">
        <v>0.91</v>
      </c>
      <c r="P283">
        <v>0.98</v>
      </c>
      <c r="Q283">
        <v>1.1200000000000001</v>
      </c>
      <c r="R283">
        <v>0.91</v>
      </c>
      <c r="S283">
        <v>0.98</v>
      </c>
      <c r="T283">
        <v>0.94</v>
      </c>
      <c r="U283">
        <v>0.86</v>
      </c>
      <c r="V283">
        <v>0.86</v>
      </c>
      <c r="W283">
        <v>0.92</v>
      </c>
      <c r="X283">
        <v>0.94</v>
      </c>
      <c r="Y283">
        <v>0.95</v>
      </c>
      <c r="Z283">
        <v>0.97</v>
      </c>
      <c r="AA283" s="8">
        <v>0.83848072127373874</v>
      </c>
      <c r="AB283" s="8">
        <v>1.0229999999999999</v>
      </c>
      <c r="AC283" s="8">
        <v>0.96599999999999997</v>
      </c>
      <c r="AE283">
        <v>102246</v>
      </c>
      <c r="AF283" t="s">
        <v>248</v>
      </c>
      <c r="AG283">
        <v>3430</v>
      </c>
      <c r="AH283">
        <v>3535</v>
      </c>
      <c r="AI283">
        <v>97</v>
      </c>
      <c r="AK283">
        <v>102807</v>
      </c>
      <c r="AL283" t="s">
        <v>211</v>
      </c>
      <c r="AM283">
        <f t="shared" si="11"/>
        <v>96.6</v>
      </c>
      <c r="AN283">
        <f t="shared" si="12"/>
        <v>0.96599999999999997</v>
      </c>
    </row>
    <row r="284" spans="1:40" x14ac:dyDescent="0.25">
      <c r="A284">
        <v>102808</v>
      </c>
      <c r="B284" t="s">
        <v>532</v>
      </c>
      <c r="C284">
        <v>1.05</v>
      </c>
      <c r="D284">
        <v>0.98</v>
      </c>
      <c r="E284">
        <v>1</v>
      </c>
      <c r="F284">
        <v>0.97</v>
      </c>
      <c r="G284">
        <v>0.94</v>
      </c>
      <c r="H284">
        <v>1.01</v>
      </c>
      <c r="I284">
        <v>0.93</v>
      </c>
      <c r="J284">
        <v>0.94</v>
      </c>
      <c r="K284">
        <v>0.94</v>
      </c>
      <c r="L284">
        <v>0.94</v>
      </c>
      <c r="M284">
        <v>0.91</v>
      </c>
      <c r="N284">
        <v>0.95</v>
      </c>
      <c r="O284">
        <v>0.94</v>
      </c>
      <c r="P284">
        <v>0.98</v>
      </c>
      <c r="Q284">
        <v>1.1399999999999999</v>
      </c>
      <c r="R284">
        <v>0.9</v>
      </c>
      <c r="S284">
        <v>1.05</v>
      </c>
      <c r="T284">
        <v>0.98</v>
      </c>
      <c r="U284">
        <v>0.92</v>
      </c>
      <c r="V284">
        <v>0.94</v>
      </c>
      <c r="W284">
        <v>0.98</v>
      </c>
      <c r="X284">
        <v>1</v>
      </c>
      <c r="Y284">
        <v>0.98</v>
      </c>
      <c r="Z284">
        <v>0.9</v>
      </c>
      <c r="AA284" s="8">
        <v>0.7883806519453207</v>
      </c>
      <c r="AB284" s="8">
        <v>1.0270000000000001</v>
      </c>
      <c r="AC284" s="8">
        <v>0.97299999999999998</v>
      </c>
      <c r="AE284">
        <v>102211</v>
      </c>
      <c r="AF284" t="s">
        <v>338</v>
      </c>
      <c r="AG284">
        <v>3303</v>
      </c>
      <c r="AH284">
        <v>3533</v>
      </c>
      <c r="AI284">
        <v>93.5</v>
      </c>
      <c r="AK284">
        <v>102808</v>
      </c>
      <c r="AL284" t="s">
        <v>532</v>
      </c>
      <c r="AM284">
        <f t="shared" si="11"/>
        <v>97.3</v>
      </c>
      <c r="AN284">
        <f t="shared" si="12"/>
        <v>0.97299999999999998</v>
      </c>
    </row>
    <row r="285" spans="1:40" x14ac:dyDescent="0.25">
      <c r="A285">
        <v>102809</v>
      </c>
      <c r="B285" t="s">
        <v>156</v>
      </c>
      <c r="C285">
        <v>1.04</v>
      </c>
      <c r="D285">
        <v>0.98</v>
      </c>
      <c r="E285">
        <v>0.99</v>
      </c>
      <c r="F285">
        <v>0.97</v>
      </c>
      <c r="G285">
        <v>0.93</v>
      </c>
      <c r="H285">
        <v>1</v>
      </c>
      <c r="I285">
        <v>0.92</v>
      </c>
      <c r="J285">
        <v>0.93</v>
      </c>
      <c r="K285">
        <v>0.93</v>
      </c>
      <c r="L285">
        <v>0.93</v>
      </c>
      <c r="M285">
        <v>0.89</v>
      </c>
      <c r="N285">
        <v>0.93</v>
      </c>
      <c r="O285">
        <v>0.93</v>
      </c>
      <c r="P285">
        <v>0.97</v>
      </c>
      <c r="Q285">
        <v>1.1100000000000001</v>
      </c>
      <c r="R285">
        <v>0.87</v>
      </c>
      <c r="S285">
        <v>1.01</v>
      </c>
      <c r="T285">
        <v>0.95</v>
      </c>
      <c r="U285">
        <v>0.9</v>
      </c>
      <c r="V285">
        <v>0.92</v>
      </c>
      <c r="W285">
        <v>0.93</v>
      </c>
      <c r="X285">
        <v>0.93</v>
      </c>
      <c r="Y285">
        <v>0.92</v>
      </c>
      <c r="Z285">
        <v>0.85</v>
      </c>
      <c r="AA285" s="8">
        <v>0.80673985192749553</v>
      </c>
      <c r="AB285" s="8">
        <v>1.034</v>
      </c>
      <c r="AC285" s="8">
        <v>0.97199999999999998</v>
      </c>
      <c r="AE285">
        <v>102904</v>
      </c>
      <c r="AF285" t="s">
        <v>50</v>
      </c>
      <c r="AG285">
        <v>4856</v>
      </c>
      <c r="AH285">
        <v>5048</v>
      </c>
      <c r="AI285">
        <v>96.2</v>
      </c>
      <c r="AK285">
        <v>102809</v>
      </c>
      <c r="AL285" t="s">
        <v>156</v>
      </c>
      <c r="AM285">
        <f t="shared" si="11"/>
        <v>97.2</v>
      </c>
      <c r="AN285">
        <f t="shared" si="12"/>
        <v>0.97199999999999998</v>
      </c>
    </row>
    <row r="286" spans="1:40" x14ac:dyDescent="0.25">
      <c r="A286">
        <v>102810</v>
      </c>
      <c r="B286" t="s">
        <v>157</v>
      </c>
      <c r="C286">
        <v>1.06</v>
      </c>
      <c r="D286">
        <v>0.96</v>
      </c>
      <c r="E286">
        <v>1</v>
      </c>
      <c r="F286">
        <v>0.99</v>
      </c>
      <c r="G286">
        <v>0.93</v>
      </c>
      <c r="H286">
        <v>1.02</v>
      </c>
      <c r="I286">
        <v>0.94</v>
      </c>
      <c r="J286">
        <v>0.95</v>
      </c>
      <c r="K286">
        <v>0.95</v>
      </c>
      <c r="L286">
        <v>0.93</v>
      </c>
      <c r="M286">
        <v>0.9</v>
      </c>
      <c r="N286">
        <v>0.93</v>
      </c>
      <c r="O286">
        <v>0.95</v>
      </c>
      <c r="P286">
        <v>1</v>
      </c>
      <c r="Q286">
        <v>1.1499999999999999</v>
      </c>
      <c r="R286">
        <v>0.88</v>
      </c>
      <c r="S286">
        <v>1.02</v>
      </c>
      <c r="T286">
        <v>0.95</v>
      </c>
      <c r="U286">
        <v>0.91</v>
      </c>
      <c r="V286">
        <v>0.93</v>
      </c>
      <c r="W286">
        <v>0.99</v>
      </c>
      <c r="X286">
        <v>1.01</v>
      </c>
      <c r="Y286">
        <v>1</v>
      </c>
      <c r="Z286">
        <v>0.86</v>
      </c>
      <c r="AA286" s="8">
        <v>0.77011494252873558</v>
      </c>
      <c r="AB286" s="8">
        <v>1.0580000000000001</v>
      </c>
      <c r="AC286" s="8">
        <v>0.9890000000000001</v>
      </c>
      <c r="AE286">
        <v>102318</v>
      </c>
      <c r="AF286" t="s">
        <v>355</v>
      </c>
      <c r="AG286">
        <v>3445</v>
      </c>
      <c r="AH286">
        <v>3684</v>
      </c>
      <c r="AI286">
        <v>93.5</v>
      </c>
      <c r="AK286">
        <v>102810</v>
      </c>
      <c r="AL286" t="s">
        <v>157</v>
      </c>
      <c r="AM286">
        <f t="shared" si="11"/>
        <v>98.9</v>
      </c>
      <c r="AN286">
        <f t="shared" si="12"/>
        <v>0.9890000000000001</v>
      </c>
    </row>
    <row r="287" spans="1:40" x14ac:dyDescent="0.25">
      <c r="A287">
        <v>102811</v>
      </c>
      <c r="B287" t="s">
        <v>533</v>
      </c>
      <c r="C287">
        <v>1.07</v>
      </c>
      <c r="D287">
        <v>0.94</v>
      </c>
      <c r="E287">
        <v>0.99</v>
      </c>
      <c r="F287">
        <v>0.99</v>
      </c>
      <c r="G287">
        <v>0.9</v>
      </c>
      <c r="H287">
        <v>1</v>
      </c>
      <c r="I287">
        <v>0.95</v>
      </c>
      <c r="J287">
        <v>0.97</v>
      </c>
      <c r="K287">
        <v>0.96</v>
      </c>
      <c r="L287">
        <v>0.94</v>
      </c>
      <c r="M287">
        <v>0.9</v>
      </c>
      <c r="N287">
        <v>0.94</v>
      </c>
      <c r="O287">
        <v>0.93</v>
      </c>
      <c r="P287">
        <v>1</v>
      </c>
      <c r="Q287">
        <v>1.1399999999999999</v>
      </c>
      <c r="R287">
        <v>0.9</v>
      </c>
      <c r="S287">
        <v>0.99</v>
      </c>
      <c r="T287">
        <v>0.95</v>
      </c>
      <c r="U287">
        <v>0.89</v>
      </c>
      <c r="V287">
        <v>0.91</v>
      </c>
      <c r="W287">
        <v>0.98</v>
      </c>
      <c r="X287">
        <v>1</v>
      </c>
      <c r="Y287">
        <v>1</v>
      </c>
      <c r="Z287">
        <v>0.91</v>
      </c>
      <c r="AA287" s="8">
        <v>0.78950025239777888</v>
      </c>
      <c r="AB287" s="8">
        <v>1.028</v>
      </c>
      <c r="AC287" s="8">
        <v>0.96900000000000008</v>
      </c>
      <c r="AE287">
        <v>102610</v>
      </c>
      <c r="AF287" t="s">
        <v>1231</v>
      </c>
      <c r="AG287">
        <v>3548</v>
      </c>
      <c r="AH287">
        <v>3708</v>
      </c>
      <c r="AI287">
        <v>95.7</v>
      </c>
      <c r="AK287">
        <v>102811</v>
      </c>
      <c r="AL287" t="s">
        <v>533</v>
      </c>
      <c r="AM287">
        <f t="shared" si="11"/>
        <v>96.9</v>
      </c>
      <c r="AN287">
        <f t="shared" si="12"/>
        <v>0.96900000000000008</v>
      </c>
    </row>
    <row r="288" spans="1:40" x14ac:dyDescent="0.25">
      <c r="A288">
        <v>102812</v>
      </c>
      <c r="B288" t="s">
        <v>49</v>
      </c>
      <c r="C288">
        <v>1.06</v>
      </c>
      <c r="D288">
        <v>0.94</v>
      </c>
      <c r="E288">
        <v>0.99</v>
      </c>
      <c r="F288">
        <v>0.99</v>
      </c>
      <c r="G288">
        <v>0.89</v>
      </c>
      <c r="H288">
        <v>1</v>
      </c>
      <c r="I288">
        <v>0.95</v>
      </c>
      <c r="J288">
        <v>0.98</v>
      </c>
      <c r="K288">
        <v>0.97</v>
      </c>
      <c r="L288">
        <v>0.94</v>
      </c>
      <c r="M288">
        <v>0.91</v>
      </c>
      <c r="N288">
        <v>0.94</v>
      </c>
      <c r="O288">
        <v>0.92</v>
      </c>
      <c r="P288">
        <v>0.99</v>
      </c>
      <c r="Q288">
        <v>1.1399999999999999</v>
      </c>
      <c r="R288">
        <v>0.91</v>
      </c>
      <c r="S288">
        <v>0.99</v>
      </c>
      <c r="T288">
        <v>0.95</v>
      </c>
      <c r="U288">
        <v>0.89</v>
      </c>
      <c r="V288">
        <v>0.92</v>
      </c>
      <c r="W288">
        <v>0.99</v>
      </c>
      <c r="X288">
        <v>0.99</v>
      </c>
      <c r="Y288">
        <v>1.01</v>
      </c>
      <c r="Z288">
        <v>0.88</v>
      </c>
      <c r="AA288" s="8">
        <v>0.83711721224920799</v>
      </c>
      <c r="AB288" s="8">
        <v>1.105</v>
      </c>
      <c r="AC288" s="8">
        <v>1.036</v>
      </c>
      <c r="AE288">
        <v>102329</v>
      </c>
      <c r="AF288" t="s">
        <v>362</v>
      </c>
      <c r="AG288">
        <v>3177</v>
      </c>
      <c r="AH288">
        <v>3376</v>
      </c>
      <c r="AI288">
        <v>94.1</v>
      </c>
      <c r="AK288">
        <v>102812</v>
      </c>
      <c r="AL288" t="s">
        <v>49</v>
      </c>
      <c r="AM288">
        <f t="shared" si="11"/>
        <v>103.6</v>
      </c>
      <c r="AN288">
        <f t="shared" si="12"/>
        <v>1.036</v>
      </c>
    </row>
    <row r="289" spans="1:40" x14ac:dyDescent="0.25">
      <c r="A289">
        <v>102813</v>
      </c>
      <c r="B289" t="s">
        <v>452</v>
      </c>
      <c r="C289">
        <v>1.04</v>
      </c>
      <c r="D289">
        <v>0.95</v>
      </c>
      <c r="E289">
        <v>1.01</v>
      </c>
      <c r="F289">
        <v>0.99</v>
      </c>
      <c r="G289">
        <v>0.92</v>
      </c>
      <c r="H289">
        <v>1.02</v>
      </c>
      <c r="I289">
        <v>0.94</v>
      </c>
      <c r="J289">
        <v>0.96</v>
      </c>
      <c r="K289">
        <v>0.97</v>
      </c>
      <c r="L289">
        <v>0.94</v>
      </c>
      <c r="M289">
        <v>0.92</v>
      </c>
      <c r="N289">
        <v>0.95</v>
      </c>
      <c r="O289">
        <v>0.93</v>
      </c>
      <c r="P289">
        <v>0.99</v>
      </c>
      <c r="Q289">
        <v>1.1100000000000001</v>
      </c>
      <c r="R289">
        <v>0.9</v>
      </c>
      <c r="S289">
        <v>1</v>
      </c>
      <c r="T289">
        <v>0.94</v>
      </c>
      <c r="U289">
        <v>0.88</v>
      </c>
      <c r="V289">
        <v>0.89</v>
      </c>
      <c r="W289">
        <v>0.95</v>
      </c>
      <c r="X289">
        <v>0.96</v>
      </c>
      <c r="Y289">
        <v>0.95</v>
      </c>
      <c r="Z289">
        <v>0.88</v>
      </c>
      <c r="AA289" s="8">
        <v>0.81888583562328254</v>
      </c>
      <c r="AB289" s="8">
        <v>1.113</v>
      </c>
      <c r="AC289" s="8">
        <v>1.054</v>
      </c>
      <c r="AE289">
        <v>102605</v>
      </c>
      <c r="AF289" t="s">
        <v>207</v>
      </c>
      <c r="AG289">
        <v>3542</v>
      </c>
      <c r="AH289">
        <v>3738</v>
      </c>
      <c r="AI289">
        <v>94.8</v>
      </c>
      <c r="AK289">
        <v>102813</v>
      </c>
      <c r="AL289" t="s">
        <v>452</v>
      </c>
      <c r="AM289">
        <f t="shared" si="11"/>
        <v>105.4</v>
      </c>
      <c r="AN289">
        <f t="shared" si="12"/>
        <v>1.054</v>
      </c>
    </row>
    <row r="290" spans="1:40" x14ac:dyDescent="0.25">
      <c r="A290">
        <v>102814</v>
      </c>
      <c r="B290" t="s">
        <v>466</v>
      </c>
      <c r="C290">
        <v>1.05</v>
      </c>
      <c r="D290">
        <v>0.95</v>
      </c>
      <c r="E290">
        <v>1</v>
      </c>
      <c r="F290">
        <v>0.99</v>
      </c>
      <c r="G290">
        <v>0.92</v>
      </c>
      <c r="H290">
        <v>1.01</v>
      </c>
      <c r="I290">
        <v>0.94</v>
      </c>
      <c r="J290">
        <v>0.96</v>
      </c>
      <c r="K290">
        <v>0.96</v>
      </c>
      <c r="L290">
        <v>0.94</v>
      </c>
      <c r="M290">
        <v>0.9</v>
      </c>
      <c r="N290">
        <v>0.94</v>
      </c>
      <c r="O290">
        <v>0.93</v>
      </c>
      <c r="P290">
        <v>0.99</v>
      </c>
      <c r="Q290">
        <v>1.1200000000000001</v>
      </c>
      <c r="R290">
        <v>0.89</v>
      </c>
      <c r="S290">
        <v>1.01</v>
      </c>
      <c r="T290">
        <v>0.95</v>
      </c>
      <c r="U290">
        <v>0.9</v>
      </c>
      <c r="V290">
        <v>0.91</v>
      </c>
      <c r="W290">
        <v>0.97</v>
      </c>
      <c r="X290">
        <v>0.98</v>
      </c>
      <c r="Y290">
        <v>0.99</v>
      </c>
      <c r="Z290">
        <v>0.87</v>
      </c>
      <c r="AA290" s="8">
        <v>0.79534313725490191</v>
      </c>
      <c r="AB290" s="8">
        <v>1.036</v>
      </c>
      <c r="AC290" s="8">
        <v>0.97599999999999998</v>
      </c>
      <c r="AE290">
        <v>102311</v>
      </c>
      <c r="AF290" t="s">
        <v>363</v>
      </c>
      <c r="AG290">
        <v>3416</v>
      </c>
      <c r="AH290">
        <v>3606</v>
      </c>
      <c r="AI290">
        <v>94.7</v>
      </c>
      <c r="AK290">
        <v>102814</v>
      </c>
      <c r="AL290" t="s">
        <v>466</v>
      </c>
      <c r="AM290">
        <f t="shared" si="11"/>
        <v>97.6</v>
      </c>
      <c r="AN290">
        <f t="shared" si="12"/>
        <v>0.97599999999999998</v>
      </c>
    </row>
    <row r="291" spans="1:40" x14ac:dyDescent="0.25">
      <c r="A291">
        <v>102815</v>
      </c>
      <c r="B291" t="s">
        <v>47</v>
      </c>
      <c r="C291">
        <v>1.06</v>
      </c>
      <c r="D291">
        <v>0.94</v>
      </c>
      <c r="E291">
        <v>0.99</v>
      </c>
      <c r="F291">
        <v>0.98</v>
      </c>
      <c r="G291">
        <v>0.9</v>
      </c>
      <c r="H291">
        <v>1</v>
      </c>
      <c r="I291">
        <v>0.94</v>
      </c>
      <c r="J291">
        <v>0.97</v>
      </c>
      <c r="K291">
        <v>0.96</v>
      </c>
      <c r="L291">
        <v>0.94</v>
      </c>
      <c r="M291">
        <v>0.91</v>
      </c>
      <c r="N291">
        <v>0.95</v>
      </c>
      <c r="O291">
        <v>0.93</v>
      </c>
      <c r="P291">
        <v>0.99</v>
      </c>
      <c r="Q291">
        <v>1.1200000000000001</v>
      </c>
      <c r="R291">
        <v>0.9</v>
      </c>
      <c r="S291">
        <v>1</v>
      </c>
      <c r="T291">
        <v>0.95</v>
      </c>
      <c r="U291">
        <v>0.89</v>
      </c>
      <c r="V291">
        <v>0.89</v>
      </c>
      <c r="W291">
        <v>0.95</v>
      </c>
      <c r="X291">
        <v>0.96</v>
      </c>
      <c r="Y291">
        <v>0.96</v>
      </c>
      <c r="Z291">
        <v>0.9</v>
      </c>
      <c r="AA291" s="8">
        <v>0.79782833505687689</v>
      </c>
      <c r="AB291" s="8">
        <v>1.032</v>
      </c>
      <c r="AC291" s="8">
        <v>0.96599999999999997</v>
      </c>
      <c r="AE291">
        <v>102102</v>
      </c>
      <c r="AF291" t="s">
        <v>367</v>
      </c>
      <c r="AG291">
        <v>2816</v>
      </c>
      <c r="AH291">
        <v>3075</v>
      </c>
      <c r="AI291">
        <v>91.6</v>
      </c>
      <c r="AK291">
        <v>102815</v>
      </c>
      <c r="AL291" t="s">
        <v>47</v>
      </c>
      <c r="AM291">
        <f t="shared" si="11"/>
        <v>96.6</v>
      </c>
      <c r="AN291">
        <f t="shared" si="12"/>
        <v>0.96599999999999997</v>
      </c>
    </row>
    <row r="292" spans="1:40" x14ac:dyDescent="0.25">
      <c r="A292">
        <v>102816</v>
      </c>
      <c r="B292" t="s">
        <v>376</v>
      </c>
      <c r="C292">
        <v>1.06</v>
      </c>
      <c r="D292">
        <v>0.95</v>
      </c>
      <c r="E292">
        <v>1.01</v>
      </c>
      <c r="F292">
        <v>0.99</v>
      </c>
      <c r="G292">
        <v>0.9</v>
      </c>
      <c r="H292">
        <v>0.99</v>
      </c>
      <c r="I292">
        <v>0.95</v>
      </c>
      <c r="J292">
        <v>0.98</v>
      </c>
      <c r="K292">
        <v>0.97</v>
      </c>
      <c r="L292">
        <v>0.94</v>
      </c>
      <c r="M292">
        <v>0.91</v>
      </c>
      <c r="N292">
        <v>0.94</v>
      </c>
      <c r="O292">
        <v>0.91</v>
      </c>
      <c r="P292">
        <v>0.98</v>
      </c>
      <c r="Q292">
        <v>1.1100000000000001</v>
      </c>
      <c r="R292">
        <v>0.9</v>
      </c>
      <c r="S292">
        <v>0.98</v>
      </c>
      <c r="T292">
        <v>0.93</v>
      </c>
      <c r="U292">
        <v>0.88</v>
      </c>
      <c r="V292">
        <v>0.87</v>
      </c>
      <c r="W292">
        <v>0.94</v>
      </c>
      <c r="X292">
        <v>0.95</v>
      </c>
      <c r="Y292">
        <v>0.96</v>
      </c>
      <c r="Z292">
        <v>0.93</v>
      </c>
      <c r="AA292" s="8">
        <v>0.82121844752324924</v>
      </c>
      <c r="AB292" s="8">
        <v>1.038</v>
      </c>
      <c r="AC292" s="8">
        <v>0.97</v>
      </c>
      <c r="AE292">
        <v>102614</v>
      </c>
      <c r="AF292" t="s">
        <v>437</v>
      </c>
      <c r="AG292">
        <v>3526</v>
      </c>
      <c r="AH292">
        <v>3585</v>
      </c>
      <c r="AI292">
        <v>98.4</v>
      </c>
      <c r="AK292">
        <v>102816</v>
      </c>
      <c r="AL292" t="s">
        <v>376</v>
      </c>
      <c r="AM292">
        <f t="shared" si="11"/>
        <v>97</v>
      </c>
      <c r="AN292">
        <f t="shared" si="12"/>
        <v>0.97</v>
      </c>
    </row>
    <row r="293" spans="1:40" x14ac:dyDescent="0.25">
      <c r="A293">
        <v>102819</v>
      </c>
      <c r="B293" t="s">
        <v>534</v>
      </c>
      <c r="C293">
        <v>1.08</v>
      </c>
      <c r="D293">
        <v>0.96</v>
      </c>
      <c r="E293">
        <v>1.01</v>
      </c>
      <c r="F293">
        <v>0.98</v>
      </c>
      <c r="G293">
        <v>0.93</v>
      </c>
      <c r="H293">
        <v>1.02</v>
      </c>
      <c r="I293">
        <v>0.97</v>
      </c>
      <c r="J293">
        <v>0.96</v>
      </c>
      <c r="K293">
        <v>0.97</v>
      </c>
      <c r="L293">
        <v>0.95</v>
      </c>
      <c r="M293">
        <v>0.91</v>
      </c>
      <c r="N293">
        <v>0.96</v>
      </c>
      <c r="O293">
        <v>0.96</v>
      </c>
      <c r="P293">
        <v>1</v>
      </c>
      <c r="Q293">
        <v>1.1299999999999999</v>
      </c>
      <c r="R293">
        <v>0.91</v>
      </c>
      <c r="S293">
        <v>1.03</v>
      </c>
      <c r="T293">
        <v>0.97</v>
      </c>
      <c r="U293">
        <v>0.9</v>
      </c>
      <c r="V293">
        <v>0.92</v>
      </c>
      <c r="W293">
        <v>0.96</v>
      </c>
      <c r="X293">
        <v>0.99</v>
      </c>
      <c r="Y293">
        <v>0.95</v>
      </c>
      <c r="Z293">
        <v>0.93</v>
      </c>
      <c r="AA293" s="8">
        <v>0.84465165376495421</v>
      </c>
      <c r="AB293" s="8">
        <v>1.0090000000000001</v>
      </c>
      <c r="AC293" s="8">
        <v>0.96400000000000008</v>
      </c>
      <c r="AE293">
        <v>102224</v>
      </c>
      <c r="AF293" t="s">
        <v>281</v>
      </c>
      <c r="AG293">
        <v>3467</v>
      </c>
      <c r="AH293">
        <v>3622</v>
      </c>
      <c r="AI293">
        <v>95.7</v>
      </c>
      <c r="AK293">
        <v>102819</v>
      </c>
      <c r="AL293" t="s">
        <v>534</v>
      </c>
      <c r="AM293">
        <f t="shared" si="11"/>
        <v>96.4</v>
      </c>
      <c r="AN293">
        <f t="shared" si="12"/>
        <v>0.96400000000000008</v>
      </c>
    </row>
    <row r="294" spans="1:40" x14ac:dyDescent="0.25">
      <c r="A294">
        <v>102820</v>
      </c>
      <c r="B294" t="s">
        <v>535</v>
      </c>
      <c r="C294">
        <v>1.05</v>
      </c>
      <c r="D294">
        <v>0.97</v>
      </c>
      <c r="E294">
        <v>1.02</v>
      </c>
      <c r="F294">
        <v>1</v>
      </c>
      <c r="G294">
        <v>0.94</v>
      </c>
      <c r="H294">
        <v>1.02</v>
      </c>
      <c r="I294">
        <v>0.94</v>
      </c>
      <c r="J294">
        <v>0.96</v>
      </c>
      <c r="K294">
        <v>0.96</v>
      </c>
      <c r="L294">
        <v>0.95</v>
      </c>
      <c r="M294">
        <v>0.91</v>
      </c>
      <c r="N294">
        <v>0.95</v>
      </c>
      <c r="O294">
        <v>0.95</v>
      </c>
      <c r="P294">
        <v>1</v>
      </c>
      <c r="Q294">
        <v>1.1299999999999999</v>
      </c>
      <c r="R294">
        <v>0.89</v>
      </c>
      <c r="S294">
        <v>1.03</v>
      </c>
      <c r="T294">
        <v>0.95</v>
      </c>
      <c r="U294">
        <v>0.92</v>
      </c>
      <c r="V294">
        <v>0.92</v>
      </c>
      <c r="W294">
        <v>0.98</v>
      </c>
      <c r="X294">
        <v>1.01</v>
      </c>
      <c r="Y294">
        <v>1</v>
      </c>
      <c r="Z294">
        <v>0.92</v>
      </c>
      <c r="AA294" s="8">
        <v>0.8188353702372394</v>
      </c>
      <c r="AB294" s="8">
        <v>1.0209999999999999</v>
      </c>
      <c r="AC294" s="8">
        <v>0.96900000000000008</v>
      </c>
      <c r="AE294">
        <v>102804</v>
      </c>
      <c r="AF294" t="s">
        <v>370</v>
      </c>
      <c r="AG294">
        <v>4740</v>
      </c>
      <c r="AH294">
        <v>4953</v>
      </c>
      <c r="AI294">
        <v>95.7</v>
      </c>
      <c r="AK294">
        <v>102820</v>
      </c>
      <c r="AL294" t="s">
        <v>535</v>
      </c>
      <c r="AM294">
        <f t="shared" si="11"/>
        <v>96.9</v>
      </c>
      <c r="AN294">
        <f t="shared" si="12"/>
        <v>0.96900000000000008</v>
      </c>
    </row>
    <row r="295" spans="1:40" x14ac:dyDescent="0.25">
      <c r="A295">
        <v>102821</v>
      </c>
      <c r="B295" t="s">
        <v>536</v>
      </c>
      <c r="C295">
        <v>1.08</v>
      </c>
      <c r="D295">
        <v>0.96</v>
      </c>
      <c r="E295">
        <v>1</v>
      </c>
      <c r="F295">
        <v>0.99</v>
      </c>
      <c r="G295">
        <v>0.93</v>
      </c>
      <c r="H295">
        <v>1.03</v>
      </c>
      <c r="I295">
        <v>0.96</v>
      </c>
      <c r="J295">
        <v>0.96</v>
      </c>
      <c r="K295">
        <v>0.96</v>
      </c>
      <c r="L295">
        <v>0.94</v>
      </c>
      <c r="M295">
        <v>0.91</v>
      </c>
      <c r="N295">
        <v>0.95</v>
      </c>
      <c r="O295">
        <v>0.96</v>
      </c>
      <c r="P295">
        <v>1.01</v>
      </c>
      <c r="Q295">
        <v>1.1499999999999999</v>
      </c>
      <c r="R295">
        <v>0.9</v>
      </c>
      <c r="S295">
        <v>1.03</v>
      </c>
      <c r="T295">
        <v>0.97</v>
      </c>
      <c r="U295">
        <v>0.9</v>
      </c>
      <c r="V295">
        <v>0.91</v>
      </c>
      <c r="W295">
        <v>0.95</v>
      </c>
      <c r="X295">
        <v>0.97</v>
      </c>
      <c r="Y295">
        <v>0.97</v>
      </c>
      <c r="Z295">
        <v>0.86</v>
      </c>
      <c r="AA295" s="8">
        <v>0.80702185121532044</v>
      </c>
      <c r="AB295" s="8">
        <v>1.0390000000000001</v>
      </c>
      <c r="AC295" s="8">
        <v>0.96900000000000008</v>
      </c>
      <c r="AE295">
        <v>102809</v>
      </c>
      <c r="AF295" t="s">
        <v>156</v>
      </c>
      <c r="AG295">
        <v>5085</v>
      </c>
      <c r="AH295">
        <v>5233</v>
      </c>
      <c r="AI295">
        <v>97.2</v>
      </c>
      <c r="AK295">
        <v>102821</v>
      </c>
      <c r="AL295" t="s">
        <v>536</v>
      </c>
      <c r="AM295">
        <f t="shared" si="11"/>
        <v>96.9</v>
      </c>
      <c r="AN295">
        <f t="shared" si="12"/>
        <v>0.96900000000000008</v>
      </c>
    </row>
    <row r="296" spans="1:40" x14ac:dyDescent="0.25">
      <c r="A296">
        <v>102822</v>
      </c>
      <c r="B296" t="s">
        <v>54</v>
      </c>
      <c r="Y296">
        <v>0.97</v>
      </c>
      <c r="Z296">
        <v>0.87</v>
      </c>
      <c r="AA296" s="8">
        <v>0.83517495395948438</v>
      </c>
      <c r="AB296" s="8">
        <v>1.016</v>
      </c>
      <c r="AC296" s="8">
        <v>0.97599999999999998</v>
      </c>
      <c r="AE296">
        <v>102501</v>
      </c>
      <c r="AF296" t="s">
        <v>217</v>
      </c>
      <c r="AG296">
        <v>3779</v>
      </c>
      <c r="AH296">
        <v>3907</v>
      </c>
      <c r="AI296">
        <v>96.7</v>
      </c>
      <c r="AK296">
        <v>102822</v>
      </c>
      <c r="AL296" t="s">
        <v>54</v>
      </c>
      <c r="AM296">
        <f t="shared" si="11"/>
        <v>97.6</v>
      </c>
      <c r="AN296">
        <f t="shared" si="12"/>
        <v>0.97599999999999998</v>
      </c>
    </row>
    <row r="297" spans="1:40" x14ac:dyDescent="0.25">
      <c r="A297">
        <v>102901</v>
      </c>
      <c r="B297" t="s">
        <v>46</v>
      </c>
      <c r="C297">
        <v>1.05</v>
      </c>
      <c r="D297">
        <v>0.95</v>
      </c>
      <c r="E297">
        <v>1</v>
      </c>
      <c r="F297">
        <v>0.99</v>
      </c>
      <c r="G297">
        <v>0.92</v>
      </c>
      <c r="H297">
        <v>1.01</v>
      </c>
      <c r="I297">
        <v>0.94</v>
      </c>
      <c r="J297">
        <v>0.96</v>
      </c>
      <c r="K297">
        <v>0.96</v>
      </c>
      <c r="L297">
        <v>0.94</v>
      </c>
      <c r="M297">
        <v>0.91</v>
      </c>
      <c r="N297">
        <v>0.94</v>
      </c>
      <c r="O297">
        <v>0.93</v>
      </c>
      <c r="P297">
        <v>0.98</v>
      </c>
      <c r="Q297">
        <v>1.1100000000000001</v>
      </c>
      <c r="R297">
        <v>0.89</v>
      </c>
      <c r="S297">
        <v>1</v>
      </c>
      <c r="T297">
        <v>0.94</v>
      </c>
      <c r="U297">
        <v>0.89</v>
      </c>
      <c r="V297">
        <v>0.91</v>
      </c>
      <c r="W297">
        <v>0.95</v>
      </c>
      <c r="X297">
        <v>0.96</v>
      </c>
      <c r="Y297">
        <v>0.97</v>
      </c>
      <c r="Z297">
        <v>0.89</v>
      </c>
      <c r="AA297" s="8">
        <v>0.7994784876140808</v>
      </c>
      <c r="AB297" s="8">
        <v>1.018</v>
      </c>
      <c r="AC297" s="8">
        <v>0.97099999999999997</v>
      </c>
      <c r="AE297">
        <v>102324</v>
      </c>
      <c r="AF297" t="s">
        <v>77</v>
      </c>
      <c r="AG297">
        <v>3643</v>
      </c>
      <c r="AH297">
        <v>3795</v>
      </c>
      <c r="AI297">
        <v>96</v>
      </c>
      <c r="AK297">
        <v>102901</v>
      </c>
      <c r="AL297" t="s">
        <v>46</v>
      </c>
      <c r="AM297">
        <f t="shared" si="11"/>
        <v>97.1</v>
      </c>
      <c r="AN297">
        <f t="shared" si="12"/>
        <v>0.97099999999999997</v>
      </c>
    </row>
    <row r="298" spans="1:40" x14ac:dyDescent="0.25">
      <c r="A298">
        <v>102902</v>
      </c>
      <c r="B298" t="s">
        <v>45</v>
      </c>
      <c r="C298">
        <v>1.04</v>
      </c>
      <c r="D298">
        <v>0.95</v>
      </c>
      <c r="E298">
        <v>1.01</v>
      </c>
      <c r="F298">
        <v>0.99</v>
      </c>
      <c r="G298">
        <v>0.92</v>
      </c>
      <c r="H298">
        <v>1.02</v>
      </c>
      <c r="I298">
        <v>0.94</v>
      </c>
      <c r="J298">
        <v>0.96</v>
      </c>
      <c r="K298">
        <v>0.97</v>
      </c>
      <c r="L298">
        <v>0.94</v>
      </c>
      <c r="M298">
        <v>0.92</v>
      </c>
      <c r="N298">
        <v>0.95</v>
      </c>
      <c r="O298">
        <v>0.93</v>
      </c>
      <c r="P298">
        <v>0.99</v>
      </c>
      <c r="Q298">
        <v>1.1200000000000001</v>
      </c>
      <c r="R298">
        <v>0.89</v>
      </c>
      <c r="S298">
        <v>1</v>
      </c>
      <c r="T298">
        <v>0.94</v>
      </c>
      <c r="U298">
        <v>0.89</v>
      </c>
      <c r="V298">
        <v>0.9</v>
      </c>
      <c r="W298">
        <v>0.95</v>
      </c>
      <c r="X298">
        <v>0.96</v>
      </c>
      <c r="Y298">
        <v>0.97</v>
      </c>
      <c r="Z298">
        <v>0.87</v>
      </c>
      <c r="AA298" s="8">
        <v>0.84384941675503711</v>
      </c>
      <c r="AB298" s="8">
        <v>1.0270000000000001</v>
      </c>
      <c r="AC298" s="8">
        <v>0.96499999999999997</v>
      </c>
      <c r="AE298">
        <v>102140</v>
      </c>
      <c r="AF298" t="s">
        <v>482</v>
      </c>
      <c r="AG298">
        <v>2946</v>
      </c>
      <c r="AH298">
        <v>3118</v>
      </c>
      <c r="AI298">
        <v>94.5</v>
      </c>
      <c r="AK298">
        <v>102902</v>
      </c>
      <c r="AL298" t="s">
        <v>45</v>
      </c>
      <c r="AM298">
        <f t="shared" si="11"/>
        <v>96.5</v>
      </c>
      <c r="AN298">
        <f t="shared" si="12"/>
        <v>0.96499999999999997</v>
      </c>
    </row>
    <row r="299" spans="1:40" x14ac:dyDescent="0.25">
      <c r="A299">
        <v>102903</v>
      </c>
      <c r="B299" t="s">
        <v>537</v>
      </c>
      <c r="C299">
        <v>1.04</v>
      </c>
      <c r="D299">
        <v>0.96</v>
      </c>
      <c r="E299">
        <v>1.01</v>
      </c>
      <c r="F299">
        <v>0.99</v>
      </c>
      <c r="G299">
        <v>0.91</v>
      </c>
      <c r="H299">
        <v>1.01</v>
      </c>
      <c r="I299">
        <v>0.95</v>
      </c>
      <c r="J299">
        <v>0.96</v>
      </c>
      <c r="K299">
        <v>0.97</v>
      </c>
      <c r="L299">
        <v>0.93</v>
      </c>
      <c r="M299">
        <v>0.91</v>
      </c>
      <c r="N299">
        <v>0.94</v>
      </c>
      <c r="O299">
        <v>0.93</v>
      </c>
      <c r="P299">
        <v>0.98</v>
      </c>
      <c r="Q299">
        <v>1.0900000000000001</v>
      </c>
      <c r="R299">
        <v>0.89</v>
      </c>
      <c r="S299">
        <v>1</v>
      </c>
      <c r="T299">
        <v>0.93</v>
      </c>
      <c r="U299">
        <v>0.88</v>
      </c>
      <c r="V299">
        <v>0.88</v>
      </c>
      <c r="W299">
        <v>0.93</v>
      </c>
      <c r="X299">
        <v>0.94</v>
      </c>
      <c r="Y299">
        <v>0.93</v>
      </c>
      <c r="Z299">
        <v>0.93</v>
      </c>
      <c r="AA299" s="8">
        <v>0.84641434262948212</v>
      </c>
      <c r="AB299" s="8">
        <v>1.032</v>
      </c>
      <c r="AC299" s="8">
        <v>0.96700000000000008</v>
      </c>
      <c r="AE299">
        <v>102404</v>
      </c>
      <c r="AF299" t="s">
        <v>310</v>
      </c>
      <c r="AG299">
        <v>3491</v>
      </c>
      <c r="AH299">
        <v>3600</v>
      </c>
      <c r="AI299">
        <v>97</v>
      </c>
      <c r="AK299">
        <v>102903</v>
      </c>
      <c r="AL299" t="s">
        <v>537</v>
      </c>
      <c r="AM299">
        <f t="shared" si="11"/>
        <v>96.7</v>
      </c>
      <c r="AN299">
        <f t="shared" si="12"/>
        <v>0.96700000000000008</v>
      </c>
    </row>
    <row r="300" spans="1:40" x14ac:dyDescent="0.25">
      <c r="A300">
        <v>102904</v>
      </c>
      <c r="B300" t="s">
        <v>50</v>
      </c>
      <c r="C300">
        <v>1.03</v>
      </c>
      <c r="D300">
        <v>0.95</v>
      </c>
      <c r="E300">
        <v>1.02</v>
      </c>
      <c r="F300">
        <v>0.99</v>
      </c>
      <c r="G300">
        <v>0.91</v>
      </c>
      <c r="H300">
        <v>1</v>
      </c>
      <c r="I300">
        <v>0.96</v>
      </c>
      <c r="J300">
        <v>0.97</v>
      </c>
      <c r="K300">
        <v>0.97</v>
      </c>
      <c r="L300">
        <v>0.93</v>
      </c>
      <c r="M300">
        <v>0.91</v>
      </c>
      <c r="N300">
        <v>0.93</v>
      </c>
      <c r="O300">
        <v>0.92</v>
      </c>
      <c r="P300">
        <v>0.98</v>
      </c>
      <c r="Q300">
        <v>1.1000000000000001</v>
      </c>
      <c r="R300">
        <v>0.89</v>
      </c>
      <c r="S300">
        <v>0.99</v>
      </c>
      <c r="T300">
        <v>0.92</v>
      </c>
      <c r="U300">
        <v>0.88</v>
      </c>
      <c r="V300">
        <v>0.86</v>
      </c>
      <c r="W300">
        <v>0.94</v>
      </c>
      <c r="X300">
        <v>0.96</v>
      </c>
      <c r="Y300">
        <v>0.94</v>
      </c>
      <c r="Z300">
        <v>1</v>
      </c>
      <c r="AA300" s="8">
        <v>0.85251671946497709</v>
      </c>
      <c r="AB300" s="8">
        <v>1.024</v>
      </c>
      <c r="AC300" s="8">
        <v>0.96200000000000008</v>
      </c>
      <c r="AE300">
        <v>102304</v>
      </c>
      <c r="AF300" t="s">
        <v>79</v>
      </c>
      <c r="AG300">
        <v>3377</v>
      </c>
      <c r="AH300">
        <v>3562</v>
      </c>
      <c r="AI300">
        <v>94.8</v>
      </c>
      <c r="AK300">
        <v>102904</v>
      </c>
      <c r="AL300" t="s">
        <v>50</v>
      </c>
      <c r="AM300">
        <f t="shared" si="11"/>
        <v>96.2</v>
      </c>
      <c r="AN300">
        <f t="shared" si="12"/>
        <v>0.96200000000000008</v>
      </c>
    </row>
    <row r="301" spans="1:40" x14ac:dyDescent="0.25">
      <c r="A301">
        <v>102905</v>
      </c>
      <c r="B301" t="s">
        <v>324</v>
      </c>
      <c r="C301">
        <v>1.03</v>
      </c>
      <c r="D301">
        <v>0.95</v>
      </c>
      <c r="E301">
        <v>1.02</v>
      </c>
      <c r="F301">
        <v>0.99</v>
      </c>
      <c r="G301">
        <v>0.9</v>
      </c>
      <c r="H301">
        <v>1</v>
      </c>
      <c r="I301">
        <v>0.97</v>
      </c>
      <c r="J301">
        <v>0.97</v>
      </c>
      <c r="K301">
        <v>0.97</v>
      </c>
      <c r="L301">
        <v>0.92</v>
      </c>
      <c r="M301">
        <v>0.92</v>
      </c>
      <c r="N301">
        <v>0.92</v>
      </c>
      <c r="O301">
        <v>0.91</v>
      </c>
      <c r="P301">
        <v>0.98</v>
      </c>
      <c r="Q301">
        <v>1.1000000000000001</v>
      </c>
      <c r="R301">
        <v>0.9</v>
      </c>
      <c r="S301">
        <v>0.98</v>
      </c>
      <c r="T301">
        <v>0.92</v>
      </c>
      <c r="U301">
        <v>0.89</v>
      </c>
      <c r="V301">
        <v>0.86</v>
      </c>
      <c r="W301">
        <v>0.95</v>
      </c>
      <c r="X301">
        <v>0.96</v>
      </c>
      <c r="Y301">
        <v>0.95</v>
      </c>
      <c r="Z301">
        <v>0.87</v>
      </c>
      <c r="AA301" s="8">
        <v>0.83650891210817457</v>
      </c>
      <c r="AB301" s="8">
        <v>1.0629999999999999</v>
      </c>
      <c r="AC301" s="8">
        <v>0.998</v>
      </c>
      <c r="AE301">
        <v>102715</v>
      </c>
      <c r="AF301" t="s">
        <v>438</v>
      </c>
      <c r="AG301">
        <v>4640</v>
      </c>
      <c r="AH301">
        <v>4842</v>
      </c>
      <c r="AI301">
        <v>95.8</v>
      </c>
      <c r="AK301">
        <v>102905</v>
      </c>
      <c r="AL301" t="s">
        <v>324</v>
      </c>
      <c r="AM301">
        <f t="shared" si="11"/>
        <v>99.8</v>
      </c>
      <c r="AN301">
        <f t="shared" si="12"/>
        <v>0.998</v>
      </c>
    </row>
    <row r="302" spans="1:40" x14ac:dyDescent="0.25">
      <c r="A302">
        <v>102906</v>
      </c>
      <c r="B302" t="s">
        <v>260</v>
      </c>
      <c r="C302">
        <v>1.03</v>
      </c>
      <c r="D302">
        <v>0.96</v>
      </c>
      <c r="E302">
        <v>1.02</v>
      </c>
      <c r="F302">
        <v>0.99</v>
      </c>
      <c r="G302">
        <v>0.91</v>
      </c>
      <c r="H302">
        <v>1.01</v>
      </c>
      <c r="I302">
        <v>0.96</v>
      </c>
      <c r="J302">
        <v>0.96</v>
      </c>
      <c r="K302">
        <v>0.97</v>
      </c>
      <c r="L302">
        <v>0.93</v>
      </c>
      <c r="M302">
        <v>0.92</v>
      </c>
      <c r="N302">
        <v>0.93</v>
      </c>
      <c r="O302">
        <v>0.93</v>
      </c>
      <c r="P302">
        <v>0.98</v>
      </c>
      <c r="Q302">
        <v>1.0900000000000001</v>
      </c>
      <c r="R302">
        <v>0.9</v>
      </c>
      <c r="S302">
        <v>1</v>
      </c>
      <c r="T302">
        <v>0.92</v>
      </c>
      <c r="U302">
        <v>0.89</v>
      </c>
      <c r="V302">
        <v>0.87</v>
      </c>
      <c r="W302">
        <v>0.95</v>
      </c>
      <c r="X302">
        <v>0.97</v>
      </c>
      <c r="Y302">
        <v>0.96</v>
      </c>
      <c r="Z302">
        <v>0.85</v>
      </c>
      <c r="AA302" s="8">
        <v>0.78053955744164893</v>
      </c>
      <c r="AB302" s="8">
        <v>1.0390000000000001</v>
      </c>
      <c r="AC302" s="8">
        <v>0.97900000000000009</v>
      </c>
      <c r="AE302">
        <v>102003</v>
      </c>
      <c r="AF302" t="s">
        <v>371</v>
      </c>
      <c r="AG302">
        <v>5207</v>
      </c>
      <c r="AH302">
        <v>5600</v>
      </c>
      <c r="AI302">
        <v>93</v>
      </c>
      <c r="AK302">
        <v>102906</v>
      </c>
      <c r="AL302" t="s">
        <v>260</v>
      </c>
      <c r="AM302">
        <f t="shared" si="11"/>
        <v>97.9</v>
      </c>
      <c r="AN302">
        <f t="shared" si="12"/>
        <v>0.97900000000000009</v>
      </c>
    </row>
    <row r="303" spans="1:40" x14ac:dyDescent="0.25">
      <c r="A303">
        <v>102907</v>
      </c>
      <c r="B303" t="s">
        <v>259</v>
      </c>
      <c r="C303">
        <v>1.05</v>
      </c>
      <c r="D303">
        <v>0.97</v>
      </c>
      <c r="E303">
        <v>1.03</v>
      </c>
      <c r="F303">
        <v>1</v>
      </c>
      <c r="G303">
        <v>0.92</v>
      </c>
      <c r="H303">
        <v>1.03</v>
      </c>
      <c r="I303">
        <v>0.96</v>
      </c>
      <c r="J303">
        <v>0.97</v>
      </c>
      <c r="K303">
        <v>0.99</v>
      </c>
      <c r="L303">
        <v>0.94</v>
      </c>
      <c r="M303">
        <v>0.92</v>
      </c>
      <c r="N303">
        <v>0.95</v>
      </c>
      <c r="O303">
        <v>0.94</v>
      </c>
      <c r="P303">
        <v>0.99</v>
      </c>
      <c r="Q303">
        <v>1.1100000000000001</v>
      </c>
      <c r="R303">
        <v>0.9</v>
      </c>
      <c r="S303">
        <v>1.02</v>
      </c>
      <c r="T303">
        <v>0.93</v>
      </c>
      <c r="U303">
        <v>0.89</v>
      </c>
      <c r="V303">
        <v>0.89</v>
      </c>
      <c r="W303">
        <v>0.96</v>
      </c>
      <c r="X303">
        <v>0.97</v>
      </c>
      <c r="Y303">
        <v>0.98</v>
      </c>
      <c r="Z303">
        <v>0.86</v>
      </c>
      <c r="AA303" s="8">
        <v>0.78900523560209423</v>
      </c>
      <c r="AB303" s="8">
        <v>1.036</v>
      </c>
      <c r="AC303" s="8">
        <v>0.95</v>
      </c>
      <c r="AE303">
        <v>102111</v>
      </c>
      <c r="AF303" t="s">
        <v>372</v>
      </c>
      <c r="AG303">
        <v>2944</v>
      </c>
      <c r="AH303">
        <v>3123</v>
      </c>
      <c r="AI303">
        <v>94.3</v>
      </c>
      <c r="AK303">
        <v>102907</v>
      </c>
      <c r="AL303" t="s">
        <v>259</v>
      </c>
      <c r="AM303">
        <f t="shared" si="11"/>
        <v>95</v>
      </c>
      <c r="AN303">
        <f t="shared" si="12"/>
        <v>0.95</v>
      </c>
    </row>
    <row r="304" spans="1:40" x14ac:dyDescent="0.25">
      <c r="A304">
        <v>102908</v>
      </c>
      <c r="B304" t="s">
        <v>454</v>
      </c>
      <c r="C304">
        <v>1.04</v>
      </c>
      <c r="D304">
        <v>0.97</v>
      </c>
      <c r="E304">
        <v>1.02</v>
      </c>
      <c r="F304">
        <v>1</v>
      </c>
      <c r="G304">
        <v>0.96</v>
      </c>
      <c r="H304">
        <v>1.01</v>
      </c>
      <c r="I304">
        <v>0.95</v>
      </c>
      <c r="J304">
        <v>0.96</v>
      </c>
      <c r="K304">
        <v>0.98</v>
      </c>
      <c r="L304">
        <v>0.96</v>
      </c>
      <c r="M304">
        <v>0.92</v>
      </c>
      <c r="N304">
        <v>0.95</v>
      </c>
      <c r="O304">
        <v>0.94</v>
      </c>
      <c r="P304">
        <v>0.98</v>
      </c>
      <c r="Q304">
        <v>1.1000000000000001</v>
      </c>
      <c r="R304">
        <v>0.9</v>
      </c>
      <c r="S304">
        <v>1.05</v>
      </c>
      <c r="T304">
        <v>0.95</v>
      </c>
      <c r="U304">
        <v>0.93</v>
      </c>
      <c r="V304">
        <v>0.93</v>
      </c>
      <c r="W304">
        <v>0.96</v>
      </c>
      <c r="X304">
        <v>0.98</v>
      </c>
      <c r="Y304">
        <v>1</v>
      </c>
      <c r="Z304">
        <v>0.91</v>
      </c>
      <c r="AA304" s="8">
        <v>0.79861998466649631</v>
      </c>
      <c r="AB304" s="8">
        <v>1.0490000000000002</v>
      </c>
      <c r="AC304" s="8">
        <v>0.99400000000000011</v>
      </c>
      <c r="AE304">
        <v>102236</v>
      </c>
      <c r="AF304" t="s">
        <v>1053</v>
      </c>
      <c r="AG304">
        <v>2771</v>
      </c>
      <c r="AH304">
        <v>3046</v>
      </c>
      <c r="AI304">
        <v>91</v>
      </c>
      <c r="AK304">
        <v>102908</v>
      </c>
      <c r="AL304" t="s">
        <v>454</v>
      </c>
      <c r="AM304">
        <f t="shared" si="11"/>
        <v>99.4</v>
      </c>
      <c r="AN304">
        <f t="shared" si="12"/>
        <v>0.99400000000000011</v>
      </c>
    </row>
    <row r="305" spans="1:40" x14ac:dyDescent="0.25">
      <c r="A305">
        <v>102909</v>
      </c>
      <c r="B305" t="s">
        <v>272</v>
      </c>
      <c r="C305">
        <v>1.03</v>
      </c>
      <c r="D305">
        <v>0.95</v>
      </c>
      <c r="E305">
        <v>1.02</v>
      </c>
      <c r="F305">
        <v>0.99</v>
      </c>
      <c r="G305">
        <v>0.92</v>
      </c>
      <c r="H305">
        <v>1.01</v>
      </c>
      <c r="I305">
        <v>0.94</v>
      </c>
      <c r="J305">
        <v>0.96</v>
      </c>
      <c r="K305">
        <v>0.98</v>
      </c>
      <c r="L305">
        <v>0.95</v>
      </c>
      <c r="M305">
        <v>0.93</v>
      </c>
      <c r="N305">
        <v>0.96</v>
      </c>
      <c r="O305">
        <v>0.95</v>
      </c>
      <c r="P305">
        <v>1</v>
      </c>
      <c r="Q305">
        <v>1.1299999999999999</v>
      </c>
      <c r="R305">
        <v>0.9</v>
      </c>
      <c r="S305">
        <v>1.02</v>
      </c>
      <c r="T305">
        <v>0.94</v>
      </c>
      <c r="U305">
        <v>0.9</v>
      </c>
      <c r="V305">
        <v>0.92</v>
      </c>
      <c r="W305">
        <v>0.96</v>
      </c>
      <c r="X305">
        <v>0.98</v>
      </c>
      <c r="Y305">
        <v>0.99</v>
      </c>
      <c r="Z305">
        <v>0.86</v>
      </c>
      <c r="AA305" s="8">
        <v>0.83347280334728036</v>
      </c>
      <c r="AB305" s="8">
        <v>1.0209999999999999</v>
      </c>
      <c r="AC305" s="8">
        <v>0.95499999999999996</v>
      </c>
      <c r="AE305">
        <v>102401</v>
      </c>
      <c r="AF305" t="s">
        <v>177</v>
      </c>
      <c r="AG305">
        <v>3359</v>
      </c>
      <c r="AH305">
        <v>3566</v>
      </c>
      <c r="AI305">
        <v>94.2</v>
      </c>
      <c r="AK305">
        <v>102909</v>
      </c>
      <c r="AL305" t="s">
        <v>272</v>
      </c>
      <c r="AM305">
        <f t="shared" si="11"/>
        <v>95.5</v>
      </c>
      <c r="AN305">
        <f t="shared" si="12"/>
        <v>0.95499999999999996</v>
      </c>
    </row>
    <row r="306" spans="1:40" x14ac:dyDescent="0.25">
      <c r="A306">
        <v>102910</v>
      </c>
      <c r="B306" t="s">
        <v>538</v>
      </c>
      <c r="C306">
        <v>1.04</v>
      </c>
      <c r="D306">
        <v>0.96</v>
      </c>
      <c r="E306">
        <v>1.03</v>
      </c>
      <c r="F306">
        <v>1</v>
      </c>
      <c r="G306">
        <v>0.92</v>
      </c>
      <c r="H306">
        <v>1.01</v>
      </c>
      <c r="I306">
        <v>0.95</v>
      </c>
      <c r="J306">
        <v>0.96</v>
      </c>
      <c r="K306">
        <v>0.99</v>
      </c>
      <c r="L306">
        <v>0.95</v>
      </c>
      <c r="M306">
        <v>0.93</v>
      </c>
      <c r="N306">
        <v>0.96</v>
      </c>
      <c r="O306">
        <v>0.94</v>
      </c>
      <c r="P306">
        <v>0.99</v>
      </c>
      <c r="Q306">
        <v>1.1100000000000001</v>
      </c>
      <c r="R306">
        <v>0.9</v>
      </c>
      <c r="S306">
        <v>1.02</v>
      </c>
      <c r="T306">
        <v>0.95</v>
      </c>
      <c r="U306">
        <v>0.9</v>
      </c>
      <c r="V306">
        <v>0.91</v>
      </c>
      <c r="W306">
        <v>0.95</v>
      </c>
      <c r="X306">
        <v>0.95</v>
      </c>
      <c r="Y306">
        <v>0.97</v>
      </c>
      <c r="Z306">
        <v>0.95</v>
      </c>
      <c r="AA306" s="8">
        <v>0.83060221220811148</v>
      </c>
      <c r="AB306" s="8">
        <v>1.018</v>
      </c>
      <c r="AC306" s="8">
        <v>0.94599999999999995</v>
      </c>
      <c r="AE306">
        <v>102514</v>
      </c>
      <c r="AF306" t="s">
        <v>521</v>
      </c>
      <c r="AG306">
        <v>3480</v>
      </c>
      <c r="AH306">
        <v>3636</v>
      </c>
      <c r="AI306">
        <v>95.7</v>
      </c>
      <c r="AK306">
        <v>102910</v>
      </c>
      <c r="AL306" t="s">
        <v>538</v>
      </c>
      <c r="AM306">
        <f t="shared" si="11"/>
        <v>94.6</v>
      </c>
      <c r="AN306">
        <f t="shared" si="12"/>
        <v>0.94599999999999995</v>
      </c>
    </row>
    <row r="307" spans="1:40" x14ac:dyDescent="0.25">
      <c r="A307">
        <v>102911</v>
      </c>
      <c r="B307" t="s">
        <v>261</v>
      </c>
      <c r="C307">
        <v>1.03</v>
      </c>
      <c r="D307">
        <v>0.97</v>
      </c>
      <c r="E307">
        <v>1.03</v>
      </c>
      <c r="F307">
        <v>1</v>
      </c>
      <c r="G307">
        <v>0.9</v>
      </c>
      <c r="H307">
        <v>1</v>
      </c>
      <c r="I307">
        <v>0.97</v>
      </c>
      <c r="J307">
        <v>0.96</v>
      </c>
      <c r="K307">
        <v>0.98</v>
      </c>
      <c r="L307">
        <v>0.92</v>
      </c>
      <c r="M307">
        <v>0.92</v>
      </c>
      <c r="N307">
        <v>0.93</v>
      </c>
      <c r="O307">
        <v>0.93</v>
      </c>
      <c r="P307">
        <v>0.98</v>
      </c>
      <c r="Q307">
        <v>1.1100000000000001</v>
      </c>
      <c r="R307">
        <v>0.9</v>
      </c>
      <c r="S307">
        <v>1</v>
      </c>
      <c r="T307">
        <v>0.92</v>
      </c>
      <c r="U307">
        <v>0.9</v>
      </c>
      <c r="V307">
        <v>0.87</v>
      </c>
      <c r="W307">
        <v>0.96</v>
      </c>
      <c r="X307">
        <v>0.98</v>
      </c>
      <c r="Y307">
        <v>0.97</v>
      </c>
      <c r="Z307">
        <v>0.99</v>
      </c>
      <c r="AA307" s="8">
        <v>0.88982203559288142</v>
      </c>
      <c r="AB307" s="8">
        <v>1.0620000000000001</v>
      </c>
      <c r="AC307" s="8">
        <v>0.9890000000000001</v>
      </c>
      <c r="AE307">
        <v>102131</v>
      </c>
      <c r="AF307" t="s">
        <v>374</v>
      </c>
      <c r="AG307">
        <v>3194</v>
      </c>
      <c r="AH307">
        <v>3396</v>
      </c>
      <c r="AI307">
        <v>94</v>
      </c>
      <c r="AK307">
        <v>102911</v>
      </c>
      <c r="AL307" t="s">
        <v>261</v>
      </c>
      <c r="AM307">
        <f t="shared" si="11"/>
        <v>98.9</v>
      </c>
      <c r="AN307">
        <f t="shared" si="12"/>
        <v>0.9890000000000001</v>
      </c>
    </row>
    <row r="308" spans="1:40" x14ac:dyDescent="0.25">
      <c r="A308">
        <v>102912</v>
      </c>
      <c r="B308" t="s">
        <v>323</v>
      </c>
      <c r="C308">
        <v>1.04</v>
      </c>
      <c r="D308">
        <v>0.95</v>
      </c>
      <c r="E308">
        <v>1.02</v>
      </c>
      <c r="F308">
        <v>0.99</v>
      </c>
      <c r="G308">
        <v>0.91</v>
      </c>
      <c r="H308">
        <v>1.01</v>
      </c>
      <c r="I308">
        <v>0.96</v>
      </c>
      <c r="J308">
        <v>0.96</v>
      </c>
      <c r="K308">
        <v>0.97</v>
      </c>
      <c r="L308">
        <v>0.93</v>
      </c>
      <c r="M308">
        <v>0.92</v>
      </c>
      <c r="N308">
        <v>0.94</v>
      </c>
      <c r="O308">
        <v>0.92</v>
      </c>
      <c r="P308">
        <v>0.98</v>
      </c>
      <c r="Q308">
        <v>1.0900000000000001</v>
      </c>
      <c r="R308">
        <v>0.89</v>
      </c>
      <c r="S308">
        <v>1</v>
      </c>
      <c r="T308">
        <v>0.93</v>
      </c>
      <c r="U308">
        <v>0.89</v>
      </c>
      <c r="V308">
        <v>0.88</v>
      </c>
      <c r="W308">
        <v>0.94</v>
      </c>
      <c r="X308">
        <v>0.96</v>
      </c>
      <c r="Y308">
        <v>0.94</v>
      </c>
      <c r="Z308">
        <v>0.93</v>
      </c>
      <c r="AA308" s="8">
        <v>0.81311650226606236</v>
      </c>
      <c r="AB308" s="8">
        <v>1.032</v>
      </c>
      <c r="AC308" s="8">
        <v>0.97099999999999997</v>
      </c>
      <c r="AE308">
        <v>102816</v>
      </c>
      <c r="AF308" t="s">
        <v>376</v>
      </c>
      <c r="AG308">
        <v>4503</v>
      </c>
      <c r="AH308">
        <v>4640</v>
      </c>
      <c r="AI308">
        <v>97</v>
      </c>
      <c r="AK308">
        <v>102912</v>
      </c>
      <c r="AL308" t="s">
        <v>323</v>
      </c>
      <c r="AM308">
        <f t="shared" si="11"/>
        <v>97.1</v>
      </c>
      <c r="AN308">
        <f t="shared" si="12"/>
        <v>0.97099999999999997</v>
      </c>
    </row>
    <row r="309" spans="1:40" x14ac:dyDescent="0.25">
      <c r="A309">
        <v>102913</v>
      </c>
      <c r="B309" t="s">
        <v>262</v>
      </c>
      <c r="C309">
        <v>1.03</v>
      </c>
      <c r="D309">
        <v>0.96</v>
      </c>
      <c r="E309">
        <v>1.03</v>
      </c>
      <c r="F309">
        <v>0.99</v>
      </c>
      <c r="G309">
        <v>0.91</v>
      </c>
      <c r="H309">
        <v>1</v>
      </c>
      <c r="I309">
        <v>0.96</v>
      </c>
      <c r="J309">
        <v>0.96</v>
      </c>
      <c r="K309">
        <v>0.97</v>
      </c>
      <c r="L309">
        <v>0.92</v>
      </c>
      <c r="M309">
        <v>0.91</v>
      </c>
      <c r="N309">
        <v>0.92</v>
      </c>
      <c r="O309">
        <v>0.92</v>
      </c>
      <c r="P309">
        <v>0.98</v>
      </c>
      <c r="Q309">
        <v>1.1000000000000001</v>
      </c>
      <c r="R309">
        <v>0.9</v>
      </c>
      <c r="S309">
        <v>0.99</v>
      </c>
      <c r="T309">
        <v>0.92</v>
      </c>
      <c r="U309">
        <v>0.88</v>
      </c>
      <c r="V309">
        <v>0.85</v>
      </c>
      <c r="W309">
        <v>0.94</v>
      </c>
      <c r="X309">
        <v>0.95</v>
      </c>
      <c r="Y309">
        <v>0.94</v>
      </c>
      <c r="Z309">
        <v>0.93</v>
      </c>
      <c r="AA309" s="8">
        <v>0.82081067721206125</v>
      </c>
      <c r="AB309" s="8">
        <v>1.0390000000000001</v>
      </c>
      <c r="AC309" s="8">
        <v>0.98599999999999999</v>
      </c>
      <c r="AE309">
        <v>102422</v>
      </c>
      <c r="AF309" t="s">
        <v>1232</v>
      </c>
      <c r="AG309">
        <v>3587</v>
      </c>
      <c r="AH309">
        <v>3794</v>
      </c>
      <c r="AI309">
        <v>94.6</v>
      </c>
      <c r="AK309">
        <v>102913</v>
      </c>
      <c r="AL309" t="s">
        <v>262</v>
      </c>
      <c r="AM309">
        <f t="shared" si="11"/>
        <v>98.6</v>
      </c>
      <c r="AN309">
        <f t="shared" si="12"/>
        <v>0.98599999999999999</v>
      </c>
    </row>
    <row r="310" spans="1:40" x14ac:dyDescent="0.25">
      <c r="A310">
        <v>102914</v>
      </c>
      <c r="B310" t="s">
        <v>539</v>
      </c>
      <c r="C310">
        <v>1.04</v>
      </c>
      <c r="D310">
        <v>0.97</v>
      </c>
      <c r="E310">
        <v>1.03</v>
      </c>
      <c r="F310">
        <v>1</v>
      </c>
      <c r="G310">
        <v>0.92</v>
      </c>
      <c r="H310">
        <v>1.02</v>
      </c>
      <c r="I310">
        <v>0.96</v>
      </c>
      <c r="J310">
        <v>0.96</v>
      </c>
      <c r="K310">
        <v>0.98</v>
      </c>
      <c r="L310">
        <v>0.94</v>
      </c>
      <c r="M310">
        <v>0.92</v>
      </c>
      <c r="N310">
        <v>0.95</v>
      </c>
      <c r="O310">
        <v>0.95</v>
      </c>
      <c r="P310">
        <v>0.99</v>
      </c>
      <c r="Q310">
        <v>1.0900000000000001</v>
      </c>
      <c r="R310">
        <v>0.9</v>
      </c>
      <c r="S310">
        <v>1.02</v>
      </c>
      <c r="T310">
        <v>0.94</v>
      </c>
      <c r="U310">
        <v>0.9</v>
      </c>
      <c r="V310">
        <v>0.9</v>
      </c>
      <c r="W310">
        <v>0.95</v>
      </c>
      <c r="X310">
        <v>0.96</v>
      </c>
      <c r="Y310">
        <v>0.96</v>
      </c>
      <c r="Z310">
        <v>0.91</v>
      </c>
      <c r="AA310" s="8">
        <v>0.79265037979880926</v>
      </c>
      <c r="AB310" s="8">
        <v>1.0170000000000001</v>
      </c>
      <c r="AC310" s="8">
        <v>0.94599999999999995</v>
      </c>
      <c r="AE310">
        <v>102810</v>
      </c>
      <c r="AF310" t="s">
        <v>157</v>
      </c>
      <c r="AG310">
        <v>4788</v>
      </c>
      <c r="AH310">
        <v>4841</v>
      </c>
      <c r="AI310">
        <v>98.9</v>
      </c>
      <c r="AK310">
        <v>102914</v>
      </c>
      <c r="AL310" t="s">
        <v>539</v>
      </c>
      <c r="AM310">
        <f t="shared" si="11"/>
        <v>94.6</v>
      </c>
      <c r="AN310">
        <f t="shared" si="12"/>
        <v>0.94599999999999995</v>
      </c>
    </row>
    <row r="311" spans="1:40" x14ac:dyDescent="0.25">
      <c r="A311">
        <v>102915</v>
      </c>
      <c r="B311" t="s">
        <v>257</v>
      </c>
      <c r="C311">
        <v>1.03</v>
      </c>
      <c r="D311">
        <v>0.97</v>
      </c>
      <c r="E311">
        <v>1.03</v>
      </c>
      <c r="F311">
        <v>1</v>
      </c>
      <c r="G311">
        <v>0.91</v>
      </c>
      <c r="H311">
        <v>1.02</v>
      </c>
      <c r="I311">
        <v>0.96</v>
      </c>
      <c r="J311">
        <v>0.96</v>
      </c>
      <c r="K311">
        <v>0.98</v>
      </c>
      <c r="L311">
        <v>0.94</v>
      </c>
      <c r="M311">
        <v>0.92</v>
      </c>
      <c r="N311">
        <v>0.95</v>
      </c>
      <c r="O311">
        <v>0.95</v>
      </c>
      <c r="P311">
        <v>0.99</v>
      </c>
      <c r="Q311">
        <v>1.1000000000000001</v>
      </c>
      <c r="R311">
        <v>0.9</v>
      </c>
      <c r="S311">
        <v>1.02</v>
      </c>
      <c r="T311">
        <v>0.94</v>
      </c>
      <c r="U311">
        <v>0.91</v>
      </c>
      <c r="V311">
        <v>0.92</v>
      </c>
      <c r="W311">
        <v>0.97</v>
      </c>
      <c r="X311">
        <v>0.98</v>
      </c>
      <c r="Y311">
        <v>0.98</v>
      </c>
      <c r="Z311">
        <v>1</v>
      </c>
      <c r="AA311" s="8">
        <v>0.85605536332179932</v>
      </c>
      <c r="AB311" s="8">
        <v>1.042</v>
      </c>
      <c r="AC311" s="8">
        <v>0.97099999999999997</v>
      </c>
      <c r="AE311">
        <v>102620</v>
      </c>
      <c r="AF311" t="s">
        <v>528</v>
      </c>
      <c r="AG311">
        <v>3719</v>
      </c>
      <c r="AH311">
        <v>3841</v>
      </c>
      <c r="AI311">
        <v>96.8</v>
      </c>
      <c r="AK311">
        <v>102915</v>
      </c>
      <c r="AL311" t="s">
        <v>257</v>
      </c>
      <c r="AM311">
        <f t="shared" si="11"/>
        <v>97.1</v>
      </c>
      <c r="AN311">
        <f t="shared" si="12"/>
        <v>0.97099999999999997</v>
      </c>
    </row>
    <row r="312" spans="1:40" x14ac:dyDescent="0.25">
      <c r="A312">
        <v>102916</v>
      </c>
      <c r="B312" t="s">
        <v>51</v>
      </c>
      <c r="C312">
        <v>1.04</v>
      </c>
      <c r="D312">
        <v>0.95</v>
      </c>
      <c r="E312">
        <v>1.02</v>
      </c>
      <c r="F312">
        <v>0.99</v>
      </c>
      <c r="G312">
        <v>0.9</v>
      </c>
      <c r="H312">
        <v>0.99</v>
      </c>
      <c r="I312">
        <v>0.96</v>
      </c>
      <c r="J312">
        <v>0.98</v>
      </c>
      <c r="K312">
        <v>0.97</v>
      </c>
      <c r="L312">
        <v>0.92</v>
      </c>
      <c r="M312">
        <v>0.91</v>
      </c>
      <c r="N312">
        <v>0.93</v>
      </c>
      <c r="O312">
        <v>0.9</v>
      </c>
      <c r="P312">
        <v>0.97</v>
      </c>
      <c r="Q312">
        <v>1.1000000000000001</v>
      </c>
      <c r="R312">
        <v>0.89</v>
      </c>
      <c r="S312">
        <v>0.98</v>
      </c>
      <c r="T312">
        <v>0.92</v>
      </c>
      <c r="U312">
        <v>0.88</v>
      </c>
      <c r="V312">
        <v>0.87</v>
      </c>
      <c r="W312">
        <v>0.95</v>
      </c>
      <c r="X312">
        <v>0.96</v>
      </c>
      <c r="Y312">
        <v>0.96</v>
      </c>
      <c r="Z312">
        <v>0.98</v>
      </c>
      <c r="AA312" s="8">
        <v>0.8503624439074905</v>
      </c>
      <c r="AB312" s="8">
        <v>1.0329999999999999</v>
      </c>
      <c r="AC312" s="8">
        <v>0.97400000000000009</v>
      </c>
      <c r="AE312">
        <v>102522</v>
      </c>
      <c r="AF312" t="s">
        <v>522</v>
      </c>
      <c r="AG312">
        <v>4301</v>
      </c>
      <c r="AH312">
        <v>4555</v>
      </c>
      <c r="AI312">
        <v>94.4</v>
      </c>
      <c r="AK312">
        <v>102916</v>
      </c>
      <c r="AL312" t="s">
        <v>51</v>
      </c>
      <c r="AM312">
        <f t="shared" si="11"/>
        <v>97.4</v>
      </c>
      <c r="AN312">
        <f>AM312/100</f>
        <v>0.97400000000000009</v>
      </c>
    </row>
    <row r="313" spans="1:40" s="93" customFormat="1" x14ac:dyDescent="0.25">
      <c r="B313" s="93" t="s">
        <v>594</v>
      </c>
      <c r="C313" s="94">
        <f t="shared" ref="C313:U313" si="13">AVERAGE(C$41,C$144,C418)</f>
        <v>1.1599999999999999</v>
      </c>
      <c r="D313" s="94">
        <f t="shared" si="13"/>
        <v>1.02</v>
      </c>
      <c r="E313" s="94">
        <f t="shared" si="13"/>
        <v>0.99</v>
      </c>
      <c r="F313" s="94">
        <f t="shared" si="13"/>
        <v>0.94</v>
      </c>
      <c r="G313" s="94">
        <f t="shared" si="13"/>
        <v>0.87</v>
      </c>
      <c r="H313" s="94">
        <f t="shared" si="13"/>
        <v>0.99</v>
      </c>
      <c r="I313" s="94">
        <f t="shared" si="13"/>
        <v>0.94</v>
      </c>
      <c r="J313" s="94">
        <f t="shared" si="13"/>
        <v>0.99</v>
      </c>
      <c r="K313" s="94">
        <f t="shared" si="13"/>
        <v>0.98</v>
      </c>
      <c r="L313" s="94">
        <f t="shared" si="13"/>
        <v>0.97</v>
      </c>
      <c r="M313" s="94">
        <f t="shared" si="13"/>
        <v>0.93</v>
      </c>
      <c r="N313" s="94">
        <f t="shared" si="13"/>
        <v>0.87</v>
      </c>
      <c r="O313" s="94">
        <f t="shared" si="13"/>
        <v>0.88</v>
      </c>
      <c r="P313" s="94">
        <f t="shared" si="13"/>
        <v>0.96</v>
      </c>
      <c r="Q313" s="94">
        <f t="shared" si="13"/>
        <v>1.1599999999999999</v>
      </c>
      <c r="R313" s="94">
        <f>AVERAGE(R$41,R$144,R418)</f>
        <v>0.95</v>
      </c>
      <c r="S313" s="94">
        <f t="shared" si="13"/>
        <v>0.99</v>
      </c>
      <c r="T313" s="94">
        <f t="shared" si="13"/>
        <v>0.99</v>
      </c>
      <c r="U313" s="94">
        <f t="shared" si="13"/>
        <v>0.82</v>
      </c>
      <c r="V313" s="8">
        <f>AVERAGE(VLOOKUP("Eslöv",$B:AB,21,FALSE),VLOOKUP("Lund",$B:AB,21,FALSE),VLOOKUP("Lomma",$B:AB,21,FALSE))</f>
        <v>0.58666666666666667</v>
      </c>
      <c r="W313" s="8">
        <f>AVERAGE(VLOOKUP("Eslöv",$B:AB,22,FALSE),VLOOKUP("Lund",$B:AB,22,FALSE),VLOOKUP("Lomma",$B:AB,22,FALSE))</f>
        <v>0.61</v>
      </c>
      <c r="X313" s="8">
        <f>AVERAGE(VLOOKUP("Eslöv",$B:AB,23,FALSE),VLOOKUP("Lund",$B:AB,23,FALSE),VLOOKUP("Lomma",$B:AB,23,FALSE))</f>
        <v>0.60666666666666669</v>
      </c>
      <c r="Y313" s="8">
        <f>AVERAGE(VLOOKUP("Eslöv",$B:AB,24,FALSE),VLOOKUP("Lund",$B:AB,24,FALSE),VLOOKUP("Lomma",$B:AB,24,FALSE))</f>
        <v>0.87666666666666659</v>
      </c>
      <c r="Z313" s="8">
        <f>AVERAGE(VLOOKUP("Eslöv",$B:AB,25,FALSE),VLOOKUP("Lund",$B:AB,25,FALSE),VLOOKUP("Lomma",$B:AB,25,FALSE))</f>
        <v>0.92333333333333323</v>
      </c>
      <c r="AA313" s="8">
        <f>AVERAGE(VLOOKUP("Eslöv",$B:AB,26,FALSE),VLOOKUP("Lund",$B:AB,26,FALSE),VLOOKUP("Lomma",$B:AB,26,FALSE))</f>
        <v>0.83612591150399584</v>
      </c>
      <c r="AB313" s="8">
        <f>AVERAGE(VLOOKUP("Eslöv",$B:AB,27,FALSE),VLOOKUP("Lund",$B:AB,27,FALSE),VLOOKUP("Lomma",$B:AB,27,FALSE))</f>
        <v>0.99933333333333341</v>
      </c>
      <c r="AC313" s="8">
        <f>AVERAGE(VLOOKUP("Eslöv",$B:AC,28,FALSE),VLOOKUP("Lund",$B:AC,28,FALSE),VLOOKUP("Lomma",$B:AC,28,FALSE))</f>
        <v>0.92033333333333334</v>
      </c>
      <c r="AE313">
        <v>102009</v>
      </c>
      <c r="AF313" t="s">
        <v>344</v>
      </c>
      <c r="AG313">
        <v>5335</v>
      </c>
      <c r="AH313">
        <v>5591</v>
      </c>
      <c r="AI313">
        <v>95.4</v>
      </c>
      <c r="AJ313"/>
      <c r="AK313"/>
      <c r="AL313" s="93" t="s">
        <v>594</v>
      </c>
      <c r="AM313"/>
    </row>
    <row r="314" spans="1:40" s="93" customFormat="1" x14ac:dyDescent="0.25">
      <c r="B314" s="93" t="s">
        <v>1064</v>
      </c>
      <c r="C314" s="94">
        <f t="shared" ref="C314:U314" si="14">AVERAGE(C313,C366,C551)</f>
        <v>1.1599999999999999</v>
      </c>
      <c r="D314" s="94">
        <f t="shared" si="14"/>
        <v>1.02</v>
      </c>
      <c r="E314" s="94">
        <f t="shared" si="14"/>
        <v>0.99</v>
      </c>
      <c r="F314" s="94">
        <f t="shared" si="14"/>
        <v>0.94</v>
      </c>
      <c r="G314" s="94">
        <f t="shared" si="14"/>
        <v>0.87</v>
      </c>
      <c r="H314" s="94">
        <f t="shared" si="14"/>
        <v>0.99</v>
      </c>
      <c r="I314" s="94">
        <f t="shared" si="14"/>
        <v>0.94</v>
      </c>
      <c r="J314" s="94">
        <f t="shared" si="14"/>
        <v>0.99</v>
      </c>
      <c r="K314" s="94">
        <f t="shared" si="14"/>
        <v>0.98</v>
      </c>
      <c r="L314" s="94">
        <f t="shared" si="14"/>
        <v>0.97</v>
      </c>
      <c r="M314" s="94">
        <f t="shared" si="14"/>
        <v>0.93</v>
      </c>
      <c r="N314" s="94">
        <f t="shared" si="14"/>
        <v>0.87</v>
      </c>
      <c r="O314" s="94">
        <f t="shared" si="14"/>
        <v>0.88</v>
      </c>
      <c r="P314" s="94">
        <f t="shared" si="14"/>
        <v>0.96</v>
      </c>
      <c r="Q314" s="94">
        <f t="shared" si="14"/>
        <v>1.1599999999999999</v>
      </c>
      <c r="R314" s="94">
        <f t="shared" si="14"/>
        <v>0.95</v>
      </c>
      <c r="S314" s="94">
        <f t="shared" si="14"/>
        <v>0.99</v>
      </c>
      <c r="T314" s="94">
        <f t="shared" si="14"/>
        <v>0.99</v>
      </c>
      <c r="U314" s="94">
        <f t="shared" si="14"/>
        <v>0.82</v>
      </c>
      <c r="V314" s="8">
        <f>AVERAGE(VLOOKUP("Hallsberg",$B:AB,21,FALSE),VLOOKUP("Örebro",$B:AB,21,FALSE),VLOOKUP("Kumla",$B:AB,21,FALSE))</f>
        <v>0.58333333333333337</v>
      </c>
      <c r="W314" s="8">
        <f>AVERAGE(VLOOKUP("Hallsberg",$B:AB,22,FALSE),VLOOKUP("Örebro",$B:AB,22,FALSE),VLOOKUP("Kumla",$B:AB,22,FALSE))</f>
        <v>0.62</v>
      </c>
      <c r="X314" s="8">
        <f>AVERAGE(VLOOKUP("Hallsberg",$B:AB,23,FALSE),VLOOKUP("Örebro",$B:AB,23,FALSE),VLOOKUP("Kumla",$B:AB,23,FALSE))</f>
        <v>0.62</v>
      </c>
      <c r="Y314" s="8">
        <f>AVERAGE(VLOOKUP("Hallsberg",$B:AB,24,FALSE),VLOOKUP("Örebro",$B:AB,24,FALSE),VLOOKUP("Kumla",$B:AB,24,FALSE))</f>
        <v>0.92666666666666675</v>
      </c>
      <c r="Z314" s="8">
        <f>AVERAGE(VLOOKUP("Hallsberg",$B:AB,25,FALSE),VLOOKUP("Örebro",$B:AB,25,FALSE),VLOOKUP("Kumla",$B:AB,25,FALSE))</f>
        <v>0.88666666666666671</v>
      </c>
      <c r="AA314" s="8">
        <f>AVERAGE(VLOOKUP("Hallsberg",$B:AB,26,FALSE),VLOOKUP("Örebro",$B:AB,26,FALSE),VLOOKUP("Kumla",$B:AB,26,FALSE))</f>
        <v>0.81374128846654514</v>
      </c>
      <c r="AB314" s="8">
        <f>AVERAGE(VLOOKUP("Hallsberg",$B:AB,27,FALSE),VLOOKUP("Örebro",$B:AB,27,FALSE),VLOOKUP("Kumla",$B:AB,27,FALSE))</f>
        <v>1.0243333333333335</v>
      </c>
      <c r="AC314" s="8">
        <f>AVERAGE(VLOOKUP("Hallsberg",$B:AC,28,FALSE),VLOOKUP("Örebro",$B:AC,28,FALSE),VLOOKUP("Kumla",$B:AC,28,FALSE))</f>
        <v>0.94466666666666665</v>
      </c>
      <c r="AE314">
        <v>102024</v>
      </c>
      <c r="AF314" t="s">
        <v>347</v>
      </c>
      <c r="AG314">
        <v>5304</v>
      </c>
      <c r="AH314">
        <v>5622</v>
      </c>
      <c r="AI314">
        <v>94.3</v>
      </c>
      <c r="AJ314"/>
      <c r="AK314"/>
      <c r="AL314" s="93" t="s">
        <v>1064</v>
      </c>
      <c r="AM314"/>
    </row>
    <row r="315" spans="1:40" s="96" customFormat="1" x14ac:dyDescent="0.25">
      <c r="A315"/>
      <c r="B315" t="s">
        <v>483</v>
      </c>
      <c r="C315" s="94">
        <f>AVERAGE(C314,C367,C552)</f>
        <v>1.1599999999999999</v>
      </c>
      <c r="D315" s="94">
        <f>AVERAGE(D314,D367,D552)</f>
        <v>1.02</v>
      </c>
      <c r="E315" s="94">
        <f>AVERAGE(E314,E367,E552)</f>
        <v>0.99</v>
      </c>
      <c r="F315">
        <f t="shared" ref="F315:U315" si="15">AVERAGE(F160:F310)</f>
        <v>0.96264957264957163</v>
      </c>
      <c r="G315">
        <f t="shared" si="15"/>
        <v>0.89042735042735155</v>
      </c>
      <c r="H315">
        <f t="shared" si="15"/>
        <v>1.0035897435897436</v>
      </c>
      <c r="I315">
        <f t="shared" si="15"/>
        <v>0.96521367521367463</v>
      </c>
      <c r="J315">
        <f t="shared" si="15"/>
        <v>0.97316239316239195</v>
      </c>
      <c r="K315">
        <f t="shared" si="15"/>
        <v>0.97247863247863131</v>
      </c>
      <c r="L315">
        <f t="shared" si="15"/>
        <v>0.94213675213675285</v>
      </c>
      <c r="M315">
        <f t="shared" si="15"/>
        <v>0.91957264957264973</v>
      </c>
      <c r="N315">
        <f t="shared" si="15"/>
        <v>0.93068376068376157</v>
      </c>
      <c r="O315">
        <f t="shared" si="15"/>
        <v>0.91042735042735112</v>
      </c>
      <c r="P315">
        <f t="shared" si="15"/>
        <v>0.98572649572649551</v>
      </c>
      <c r="Q315">
        <f t="shared" si="15"/>
        <v>1.1506837606837612</v>
      </c>
      <c r="R315">
        <f t="shared" si="15"/>
        <v>0.90803418803418823</v>
      </c>
      <c r="S315">
        <f t="shared" si="15"/>
        <v>1.001623931623931</v>
      </c>
      <c r="T315">
        <f t="shared" si="15"/>
        <v>0.95726495726495764</v>
      </c>
      <c r="U315">
        <f t="shared" si="15"/>
        <v>0.88341880341880397</v>
      </c>
      <c r="V315">
        <f>AVERAGE(V3:V312)</f>
        <v>0.8883057851239663</v>
      </c>
      <c r="W315">
        <f t="shared" ref="W315:AC315" si="16">AVERAGE(W3:W312)</f>
        <v>0.93636363636363595</v>
      </c>
      <c r="X315">
        <f t="shared" si="16"/>
        <v>0.937066115702479</v>
      </c>
      <c r="Y315">
        <f t="shared" si="16"/>
        <v>0.92361290322580547</v>
      </c>
      <c r="Z315">
        <f>AVERAGE(Z3:Z312)</f>
        <v>0.90852688172042984</v>
      </c>
      <c r="AA315">
        <f t="shared" si="16"/>
        <v>0.81949866954953432</v>
      </c>
      <c r="AB315">
        <f t="shared" si="16"/>
        <v>1.020279569892472</v>
      </c>
      <c r="AC315">
        <f t="shared" si="16"/>
        <v>0.95241612903225792</v>
      </c>
      <c r="AE315"/>
      <c r="AF315"/>
      <c r="AG315"/>
      <c r="AH315"/>
      <c r="AI315"/>
      <c r="AJ315"/>
      <c r="AK315"/>
      <c r="AL315" s="96" t="s">
        <v>483</v>
      </c>
      <c r="AM315"/>
    </row>
    <row r="316" spans="1:40" x14ac:dyDescent="0.25">
      <c r="A316" s="96"/>
      <c r="B316" s="96" t="s">
        <v>219</v>
      </c>
      <c r="C316" s="96"/>
      <c r="D316" s="96"/>
      <c r="E316" s="97"/>
      <c r="F316" s="97"/>
      <c r="G316" s="97"/>
      <c r="H316" s="97"/>
      <c r="I316" s="97"/>
      <c r="J316" s="97"/>
      <c r="K316" s="97"/>
      <c r="L316" s="97"/>
      <c r="M316" s="97"/>
      <c r="N316" s="97"/>
      <c r="O316" s="97"/>
      <c r="P316" s="97"/>
      <c r="Q316" s="97"/>
      <c r="R316" s="97"/>
      <c r="S316" s="97"/>
      <c r="T316" s="97"/>
      <c r="U316" s="97"/>
      <c r="V316" s="97"/>
      <c r="W316" s="97"/>
      <c r="X316" s="97"/>
      <c r="Y316" s="8">
        <f>AVERAGE(VLOOKUP("Sundbyberg",$B:$AB,24,FALSE),VLOOKUP("Solna",$B:$AB,27,FALSE))</f>
        <v>0.95750000000000002</v>
      </c>
      <c r="Z316" s="8">
        <f>AVERAGE(VLOOKUP("Sundbyberg",$B:$AB,25,FALSE),VLOOKUP("Solna",$B:$AB,27,FALSE))</f>
        <v>0.92249999999999988</v>
      </c>
      <c r="AA316" s="8">
        <f>AVERAGE(VLOOKUP("Sundbyberg",$B:$AB,26,FALSE),VLOOKUP("Solna",$B:$AB,27,FALSE))</f>
        <v>0.8944942196531791</v>
      </c>
      <c r="AB316" s="8">
        <f>AVERAGE(VLOOKUP("Sundbyberg",$B:$AB,27,FALSE),VLOOKUP("Solna",$B:$AB,27,FALSE))</f>
        <v>1.016</v>
      </c>
      <c r="AC316" s="8">
        <f>AVERAGE(VLOOKUP("Sundbyberg",B:AC,28,FALSE),VLOOKUP("Solna",B:AC,27,FALSE))</f>
        <v>0.98299999999999987</v>
      </c>
      <c r="AL316" t="s">
        <v>219</v>
      </c>
    </row>
    <row r="318" spans="1:40" x14ac:dyDescent="0.25">
      <c r="A318" t="s">
        <v>541</v>
      </c>
      <c r="AK318" t="s">
        <v>541</v>
      </c>
    </row>
  </sheetData>
  <autoFilter ref="A2:Y316" xr:uid="{00000000-0009-0000-0000-000001000000}">
    <sortState xmlns:xlrd2="http://schemas.microsoft.com/office/spreadsheetml/2017/richdata2" ref="A3:Y316">
      <sortCondition ref="A2:A316"/>
    </sortState>
  </autoFilter>
  <sortState xmlns:xlrd2="http://schemas.microsoft.com/office/spreadsheetml/2017/richdata2" ref="A2:AE316">
    <sortCondition ref="A1"/>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6"/>
  <dimension ref="A1:AM318"/>
  <sheetViews>
    <sheetView topLeftCell="A278" zoomScale="70" zoomScaleNormal="70" workbookViewId="0">
      <selection activeCell="O22" sqref="O22"/>
    </sheetView>
  </sheetViews>
  <sheetFormatPr defaultRowHeight="15" x14ac:dyDescent="0.25"/>
  <cols>
    <col min="2" max="2" width="18.28515625" customWidth="1"/>
    <col min="3" max="3" width="12.7109375" bestFit="1" customWidth="1"/>
    <col min="22" max="22" width="11.5703125" bestFit="1" customWidth="1"/>
    <col min="25" max="26" width="10.5703125" bestFit="1" customWidth="1"/>
    <col min="28" max="28" width="9.85546875" bestFit="1" customWidth="1"/>
    <col min="33" max="35" width="14.7109375" customWidth="1"/>
  </cols>
  <sheetData>
    <row r="1" spans="1:39" x14ac:dyDescent="0.25">
      <c r="A1" t="s">
        <v>542</v>
      </c>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E1" t="s">
        <v>1233</v>
      </c>
    </row>
    <row r="2" spans="1:39" x14ac:dyDescent="0.25">
      <c r="A2" s="21" t="s">
        <v>501</v>
      </c>
      <c r="B2" s="21" t="s">
        <v>502</v>
      </c>
      <c r="C2" s="21">
        <v>1996</v>
      </c>
      <c r="D2" s="21">
        <v>1997</v>
      </c>
      <c r="E2" s="21">
        <v>1998</v>
      </c>
      <c r="F2" s="21">
        <v>1999</v>
      </c>
      <c r="G2" s="21">
        <v>2000</v>
      </c>
      <c r="H2" s="21">
        <v>2001</v>
      </c>
      <c r="I2" s="21">
        <v>2002</v>
      </c>
      <c r="J2" s="21">
        <v>2003</v>
      </c>
      <c r="K2" s="21">
        <v>2004</v>
      </c>
      <c r="L2" s="21">
        <v>2005</v>
      </c>
      <c r="M2" s="21">
        <v>2006</v>
      </c>
      <c r="N2" s="21">
        <v>2007</v>
      </c>
      <c r="O2" s="21">
        <v>2008</v>
      </c>
      <c r="P2" s="21">
        <v>2009</v>
      </c>
      <c r="Q2" s="21">
        <v>2010</v>
      </c>
      <c r="R2" s="21">
        <v>2011</v>
      </c>
      <c r="S2" s="21">
        <v>2012</v>
      </c>
      <c r="T2" s="21">
        <v>2013</v>
      </c>
      <c r="U2" s="21">
        <v>2014</v>
      </c>
      <c r="V2" s="21">
        <v>2015</v>
      </c>
      <c r="W2" s="21">
        <v>2016</v>
      </c>
      <c r="X2" s="21">
        <v>2017</v>
      </c>
      <c r="Y2" s="21">
        <v>2018</v>
      </c>
      <c r="Z2" s="21">
        <v>2019</v>
      </c>
      <c r="AA2" s="21">
        <v>2020</v>
      </c>
      <c r="AB2" s="21">
        <v>2021</v>
      </c>
      <c r="AC2" s="21">
        <v>2022</v>
      </c>
      <c r="AD2" s="21"/>
    </row>
    <row r="3" spans="1:39" x14ac:dyDescent="0.25">
      <c r="A3">
        <v>102023</v>
      </c>
      <c r="B3" t="s">
        <v>1177</v>
      </c>
      <c r="C3">
        <v>0.98</v>
      </c>
      <c r="D3">
        <v>0.96</v>
      </c>
      <c r="E3">
        <v>0.99</v>
      </c>
      <c r="F3">
        <v>0.95</v>
      </c>
      <c r="G3">
        <v>0.92</v>
      </c>
      <c r="H3">
        <v>0.94</v>
      </c>
      <c r="I3">
        <v>0.92</v>
      </c>
      <c r="J3">
        <v>0.9</v>
      </c>
      <c r="K3">
        <v>0.91</v>
      </c>
      <c r="L3">
        <v>0.9</v>
      </c>
      <c r="M3">
        <v>0.9</v>
      </c>
      <c r="N3">
        <v>0.91</v>
      </c>
      <c r="O3">
        <v>0.94</v>
      </c>
      <c r="P3">
        <v>0.95</v>
      </c>
      <c r="Q3">
        <v>1.02</v>
      </c>
      <c r="R3">
        <v>0.89</v>
      </c>
      <c r="S3">
        <v>1</v>
      </c>
      <c r="T3">
        <v>0.9</v>
      </c>
      <c r="U3">
        <v>0.91</v>
      </c>
      <c r="V3">
        <v>0.89</v>
      </c>
      <c r="W3">
        <v>0.89</v>
      </c>
      <c r="X3">
        <v>0.94</v>
      </c>
      <c r="Y3">
        <v>0.92</v>
      </c>
      <c r="Z3">
        <v>0.93</v>
      </c>
      <c r="AA3" s="8">
        <v>0.89457562220804088</v>
      </c>
      <c r="AB3" s="8">
        <v>1.0109999999999999</v>
      </c>
      <c r="AC3" s="8">
        <v>0.96799999999999997</v>
      </c>
      <c r="AG3" t="s">
        <v>1237</v>
      </c>
      <c r="AL3">
        <v>102023</v>
      </c>
      <c r="AM3" s="8">
        <f t="shared" ref="AM3:AM66" si="0">_xlfn.XLOOKUP(AL3,$AE$5:$AE$314,$AJ$5:$AJ$314)</f>
        <v>0.96799999999999997</v>
      </c>
    </row>
    <row r="4" spans="1:39" x14ac:dyDescent="0.25">
      <c r="A4">
        <v>102627</v>
      </c>
      <c r="B4" t="s">
        <v>945</v>
      </c>
      <c r="C4">
        <v>1.07</v>
      </c>
      <c r="D4">
        <v>0.99</v>
      </c>
      <c r="E4">
        <v>1.03</v>
      </c>
      <c r="F4">
        <v>0.94</v>
      </c>
      <c r="G4">
        <v>0.89</v>
      </c>
      <c r="H4">
        <v>0.95</v>
      </c>
      <c r="I4">
        <v>0.94</v>
      </c>
      <c r="J4">
        <v>0.97</v>
      </c>
      <c r="K4">
        <v>0.96</v>
      </c>
      <c r="L4">
        <v>0.95</v>
      </c>
      <c r="M4">
        <v>0.92</v>
      </c>
      <c r="N4">
        <v>0.94</v>
      </c>
      <c r="O4">
        <v>0.92</v>
      </c>
      <c r="P4">
        <v>0.98</v>
      </c>
      <c r="Q4">
        <v>1.1399999999999999</v>
      </c>
      <c r="R4">
        <v>0.93</v>
      </c>
      <c r="S4">
        <v>1.03</v>
      </c>
      <c r="T4">
        <v>0.96</v>
      </c>
      <c r="U4">
        <v>0.92</v>
      </c>
      <c r="V4">
        <v>0.89</v>
      </c>
      <c r="W4">
        <v>0.93</v>
      </c>
      <c r="X4">
        <v>0.92</v>
      </c>
      <c r="Y4">
        <v>0.89</v>
      </c>
      <c r="Z4">
        <v>0.88</v>
      </c>
      <c r="AA4" s="8">
        <v>0.79634861986524663</v>
      </c>
      <c r="AB4" s="8">
        <v>1.0029999999999999</v>
      </c>
      <c r="AC4" s="8">
        <v>0.93500000000000005</v>
      </c>
      <c r="AE4" t="s">
        <v>1099</v>
      </c>
      <c r="AF4" t="s">
        <v>467</v>
      </c>
      <c r="AG4" t="s">
        <v>1235</v>
      </c>
      <c r="AH4" t="s">
        <v>1236</v>
      </c>
      <c r="AI4" t="s">
        <v>1165</v>
      </c>
      <c r="AL4">
        <v>102627</v>
      </c>
      <c r="AM4" s="8">
        <f t="shared" si="0"/>
        <v>0.93500000000000005</v>
      </c>
    </row>
    <row r="5" spans="1:39" x14ac:dyDescent="0.25">
      <c r="A5">
        <v>102252</v>
      </c>
      <c r="B5" t="s">
        <v>1032</v>
      </c>
      <c r="Y5">
        <v>0.91</v>
      </c>
      <c r="Z5">
        <v>0.89</v>
      </c>
      <c r="AA5" s="8">
        <v>0.83659514265503421</v>
      </c>
      <c r="AB5" s="8">
        <v>1.022</v>
      </c>
      <c r="AC5" s="8">
        <v>0.92700000000000005</v>
      </c>
      <c r="AE5">
        <v>102023</v>
      </c>
      <c r="AF5" t="s">
        <v>1177</v>
      </c>
      <c r="AG5">
        <v>6824</v>
      </c>
      <c r="AH5">
        <v>7048</v>
      </c>
      <c r="AI5">
        <v>96.8</v>
      </c>
      <c r="AJ5" s="8">
        <f t="shared" ref="AJ5:AJ68" si="1">AI5/100</f>
        <v>0.96799999999999997</v>
      </c>
      <c r="AL5">
        <v>102252</v>
      </c>
      <c r="AM5" s="8">
        <f t="shared" si="0"/>
        <v>0.92700000000000005</v>
      </c>
    </row>
    <row r="6" spans="1:39" x14ac:dyDescent="0.25">
      <c r="A6">
        <v>102204</v>
      </c>
      <c r="B6" t="s">
        <v>1</v>
      </c>
      <c r="C6">
        <v>1.1200000000000001</v>
      </c>
      <c r="D6">
        <v>1.01</v>
      </c>
      <c r="E6">
        <v>1.04</v>
      </c>
      <c r="F6">
        <v>0.98</v>
      </c>
      <c r="G6">
        <v>0.91</v>
      </c>
      <c r="H6">
        <v>0.99</v>
      </c>
      <c r="I6">
        <v>0.94</v>
      </c>
      <c r="J6">
        <v>0.97</v>
      </c>
      <c r="K6">
        <v>0.98</v>
      </c>
      <c r="L6">
        <v>0.95</v>
      </c>
      <c r="M6">
        <v>0.92</v>
      </c>
      <c r="N6">
        <v>0.92</v>
      </c>
      <c r="O6">
        <v>0.91</v>
      </c>
      <c r="P6">
        <v>0.96</v>
      </c>
      <c r="Q6">
        <v>1.1399999999999999</v>
      </c>
      <c r="R6">
        <v>0.93</v>
      </c>
      <c r="S6">
        <v>1.01</v>
      </c>
      <c r="T6">
        <v>0.99</v>
      </c>
      <c r="U6">
        <v>0.88</v>
      </c>
      <c r="V6">
        <v>0.93</v>
      </c>
      <c r="W6">
        <v>0.96</v>
      </c>
      <c r="X6">
        <v>0.94</v>
      </c>
      <c r="Y6">
        <v>0.9</v>
      </c>
      <c r="Z6">
        <v>0.88</v>
      </c>
      <c r="AA6" s="8">
        <v>0.84050179211469533</v>
      </c>
      <c r="AB6" s="8">
        <v>1.0049999999999999</v>
      </c>
      <c r="AC6" s="8">
        <v>0.92500000000000004</v>
      </c>
      <c r="AE6">
        <v>102627</v>
      </c>
      <c r="AF6" t="s">
        <v>945</v>
      </c>
      <c r="AG6">
        <v>4011</v>
      </c>
      <c r="AH6">
        <v>4292</v>
      </c>
      <c r="AI6">
        <v>93.5</v>
      </c>
      <c r="AJ6" s="8">
        <f t="shared" si="1"/>
        <v>0.93500000000000005</v>
      </c>
      <c r="AL6">
        <v>102204</v>
      </c>
      <c r="AM6" s="8">
        <f t="shared" si="0"/>
        <v>0.92500000000000004</v>
      </c>
    </row>
    <row r="7" spans="1:39" x14ac:dyDescent="0.25">
      <c r="A7">
        <v>102332</v>
      </c>
      <c r="B7" t="s">
        <v>2</v>
      </c>
      <c r="C7">
        <v>1.1000000000000001</v>
      </c>
      <c r="D7">
        <v>1.01</v>
      </c>
      <c r="E7">
        <v>1.03</v>
      </c>
      <c r="F7">
        <v>0.97</v>
      </c>
      <c r="G7">
        <v>0.91</v>
      </c>
      <c r="H7">
        <v>1</v>
      </c>
      <c r="I7">
        <v>0.95</v>
      </c>
      <c r="J7">
        <v>0.98</v>
      </c>
      <c r="K7">
        <v>0.99</v>
      </c>
      <c r="L7">
        <v>0.96</v>
      </c>
      <c r="M7">
        <v>0.92</v>
      </c>
      <c r="N7">
        <v>0.91</v>
      </c>
      <c r="O7">
        <v>0.92</v>
      </c>
      <c r="P7">
        <v>0.96</v>
      </c>
      <c r="Q7">
        <v>1.1200000000000001</v>
      </c>
      <c r="R7">
        <v>0.93</v>
      </c>
      <c r="S7">
        <v>1.01</v>
      </c>
      <c r="T7">
        <v>0.99</v>
      </c>
      <c r="U7">
        <v>0.88</v>
      </c>
      <c r="V7">
        <v>0.92</v>
      </c>
      <c r="W7">
        <v>0.95</v>
      </c>
      <c r="X7">
        <v>0.94</v>
      </c>
      <c r="Y7">
        <v>0.89</v>
      </c>
      <c r="Z7">
        <v>0.88</v>
      </c>
      <c r="AA7" s="8">
        <v>0.84836427939876213</v>
      </c>
      <c r="AB7" s="8">
        <v>1.016</v>
      </c>
      <c r="AC7" s="8">
        <v>0.94799999999999995</v>
      </c>
      <c r="AE7">
        <v>102204</v>
      </c>
      <c r="AF7" t="s">
        <v>1</v>
      </c>
      <c r="AG7">
        <v>3966</v>
      </c>
      <c r="AH7">
        <v>4287</v>
      </c>
      <c r="AI7">
        <v>92.5</v>
      </c>
      <c r="AJ7" s="8">
        <f t="shared" si="1"/>
        <v>0.92500000000000004</v>
      </c>
      <c r="AL7">
        <v>102332</v>
      </c>
      <c r="AM7" s="8">
        <f t="shared" si="0"/>
        <v>0.94799999999999995</v>
      </c>
    </row>
    <row r="8" spans="1:39" x14ac:dyDescent="0.25">
      <c r="A8">
        <v>102343</v>
      </c>
      <c r="B8" t="s">
        <v>792</v>
      </c>
      <c r="Y8">
        <v>0.91</v>
      </c>
      <c r="Z8">
        <v>0.91</v>
      </c>
      <c r="AA8" s="8">
        <v>0.8582283977420756</v>
      </c>
      <c r="AB8" s="8">
        <v>1.0090000000000001</v>
      </c>
      <c r="AC8" s="8">
        <v>0.95</v>
      </c>
      <c r="AE8">
        <v>102332</v>
      </c>
      <c r="AF8" t="s">
        <v>2</v>
      </c>
      <c r="AG8">
        <v>4086</v>
      </c>
      <c r="AH8">
        <v>4309</v>
      </c>
      <c r="AI8">
        <v>94.8</v>
      </c>
      <c r="AJ8" s="8">
        <f t="shared" si="1"/>
        <v>0.94799999999999995</v>
      </c>
      <c r="AL8">
        <v>102343</v>
      </c>
      <c r="AM8" s="8">
        <f t="shared" si="0"/>
        <v>0.95</v>
      </c>
    </row>
    <row r="9" spans="1:39" x14ac:dyDescent="0.25">
      <c r="A9">
        <v>102601</v>
      </c>
      <c r="B9" t="s">
        <v>5</v>
      </c>
      <c r="C9">
        <v>1.0900000000000001</v>
      </c>
      <c r="D9">
        <v>0.98</v>
      </c>
      <c r="E9">
        <v>1.03</v>
      </c>
      <c r="F9">
        <v>0.96</v>
      </c>
      <c r="G9">
        <v>0.89</v>
      </c>
      <c r="H9">
        <v>0.99</v>
      </c>
      <c r="I9">
        <v>0.96</v>
      </c>
      <c r="J9">
        <v>0.98</v>
      </c>
      <c r="K9">
        <v>0.98</v>
      </c>
      <c r="L9">
        <v>0.95</v>
      </c>
      <c r="M9">
        <v>0.93</v>
      </c>
      <c r="N9">
        <v>0.92</v>
      </c>
      <c r="O9">
        <v>0.9</v>
      </c>
      <c r="P9">
        <v>0.96</v>
      </c>
      <c r="Q9">
        <v>1.1299999999999999</v>
      </c>
      <c r="R9">
        <v>0.9</v>
      </c>
      <c r="S9">
        <v>1</v>
      </c>
      <c r="T9">
        <v>0.95</v>
      </c>
      <c r="U9">
        <v>0.89</v>
      </c>
      <c r="V9">
        <v>0.9</v>
      </c>
      <c r="W9">
        <v>0.95</v>
      </c>
      <c r="X9">
        <v>0.94</v>
      </c>
      <c r="Y9">
        <v>0.91</v>
      </c>
      <c r="Z9">
        <v>0.91</v>
      </c>
      <c r="AA9" s="8">
        <v>0.81548527808069793</v>
      </c>
      <c r="AB9" s="8">
        <v>1.0129999999999999</v>
      </c>
      <c r="AC9" s="8">
        <v>0.93500000000000005</v>
      </c>
      <c r="AE9">
        <v>102343</v>
      </c>
      <c r="AF9" t="s">
        <v>792</v>
      </c>
      <c r="AG9">
        <v>4289</v>
      </c>
      <c r="AH9">
        <v>4514</v>
      </c>
      <c r="AI9">
        <v>95</v>
      </c>
      <c r="AJ9" s="8">
        <f t="shared" si="1"/>
        <v>0.95</v>
      </c>
      <c r="AL9">
        <v>102601</v>
      </c>
      <c r="AM9" s="8">
        <f t="shared" si="0"/>
        <v>0.93500000000000005</v>
      </c>
    </row>
    <row r="10" spans="1:39" x14ac:dyDescent="0.25">
      <c r="A10">
        <v>102001</v>
      </c>
      <c r="B10" t="s">
        <v>449</v>
      </c>
      <c r="C10">
        <v>1.02</v>
      </c>
      <c r="D10">
        <v>0.98</v>
      </c>
      <c r="E10">
        <v>1.04</v>
      </c>
      <c r="F10">
        <v>1</v>
      </c>
      <c r="G10">
        <v>0.95</v>
      </c>
      <c r="H10">
        <v>1</v>
      </c>
      <c r="I10">
        <v>0.94</v>
      </c>
      <c r="J10">
        <v>0.94</v>
      </c>
      <c r="K10">
        <v>0.98</v>
      </c>
      <c r="L10">
        <v>0.94</v>
      </c>
      <c r="M10">
        <v>0.92</v>
      </c>
      <c r="N10">
        <v>0.95</v>
      </c>
      <c r="O10">
        <v>0.95</v>
      </c>
      <c r="P10">
        <v>0.97</v>
      </c>
      <c r="Q10">
        <v>1.06</v>
      </c>
      <c r="R10">
        <v>0.91</v>
      </c>
      <c r="S10">
        <v>1.01</v>
      </c>
      <c r="T10">
        <v>0.95</v>
      </c>
      <c r="U10">
        <v>0.91</v>
      </c>
      <c r="V10">
        <v>0.92</v>
      </c>
      <c r="W10">
        <v>0.95</v>
      </c>
      <c r="X10">
        <v>0.97</v>
      </c>
      <c r="Y10">
        <v>0.97</v>
      </c>
      <c r="Z10">
        <v>0.99</v>
      </c>
      <c r="AA10" s="8">
        <v>0.89316239316239321</v>
      </c>
      <c r="AB10" s="8">
        <v>1.0270000000000001</v>
      </c>
      <c r="AC10" s="8">
        <v>0.96799999999999997</v>
      </c>
      <c r="AE10">
        <v>102601</v>
      </c>
      <c r="AF10" t="s">
        <v>5</v>
      </c>
      <c r="AG10">
        <v>4119</v>
      </c>
      <c r="AH10">
        <v>4407</v>
      </c>
      <c r="AI10">
        <v>93.5</v>
      </c>
      <c r="AJ10" s="8">
        <f t="shared" si="1"/>
        <v>0.93500000000000005</v>
      </c>
      <c r="AL10">
        <v>102001</v>
      </c>
      <c r="AM10" s="8">
        <f t="shared" si="0"/>
        <v>0.96799999999999997</v>
      </c>
    </row>
    <row r="11" spans="1:39" x14ac:dyDescent="0.25">
      <c r="A11">
        <v>102002</v>
      </c>
      <c r="B11" t="s">
        <v>6</v>
      </c>
      <c r="C11">
        <v>1.03</v>
      </c>
      <c r="D11">
        <v>0.99</v>
      </c>
      <c r="E11">
        <v>1.07</v>
      </c>
      <c r="F11">
        <v>1.02</v>
      </c>
      <c r="G11">
        <v>0.95</v>
      </c>
      <c r="H11">
        <v>1.02</v>
      </c>
      <c r="I11">
        <v>0.96</v>
      </c>
      <c r="J11">
        <v>0.96</v>
      </c>
      <c r="K11">
        <v>0.98</v>
      </c>
      <c r="L11">
        <v>0.94</v>
      </c>
      <c r="M11">
        <v>0.92</v>
      </c>
      <c r="N11">
        <v>0.94</v>
      </c>
      <c r="O11">
        <v>0.96</v>
      </c>
      <c r="P11">
        <v>0.97</v>
      </c>
      <c r="Q11">
        <v>1.06</v>
      </c>
      <c r="R11">
        <v>0.91</v>
      </c>
      <c r="S11">
        <v>1.03</v>
      </c>
      <c r="T11">
        <v>0.94</v>
      </c>
      <c r="U11">
        <v>0.92</v>
      </c>
      <c r="V11">
        <v>0.93</v>
      </c>
      <c r="W11">
        <v>0.96</v>
      </c>
      <c r="X11">
        <v>0.99</v>
      </c>
      <c r="Y11">
        <v>0.96</v>
      </c>
      <c r="Z11">
        <v>1</v>
      </c>
      <c r="AA11" s="8">
        <v>0.9081435164507965</v>
      </c>
      <c r="AB11" s="8">
        <v>1.0209999999999999</v>
      </c>
      <c r="AC11" s="8">
        <v>0.95799999999999996</v>
      </c>
      <c r="AE11">
        <v>102001</v>
      </c>
      <c r="AF11" t="s">
        <v>449</v>
      </c>
      <c r="AG11">
        <v>6533</v>
      </c>
      <c r="AH11">
        <v>6746</v>
      </c>
      <c r="AI11">
        <v>96.8</v>
      </c>
      <c r="AJ11" s="8">
        <f t="shared" si="1"/>
        <v>0.96799999999999997</v>
      </c>
      <c r="AL11">
        <v>102002</v>
      </c>
      <c r="AM11" s="8">
        <f t="shared" si="0"/>
        <v>0.95799999999999996</v>
      </c>
    </row>
    <row r="12" spans="1:39" x14ac:dyDescent="0.25">
      <c r="A12">
        <v>102503</v>
      </c>
      <c r="B12" t="s">
        <v>119</v>
      </c>
      <c r="C12">
        <v>1.07</v>
      </c>
      <c r="D12">
        <v>0.97</v>
      </c>
      <c r="E12">
        <v>1.02</v>
      </c>
      <c r="F12">
        <v>0.98</v>
      </c>
      <c r="G12">
        <v>0.9</v>
      </c>
      <c r="H12">
        <v>1.01</v>
      </c>
      <c r="I12">
        <v>0.97</v>
      </c>
      <c r="J12">
        <v>0.97</v>
      </c>
      <c r="K12">
        <v>0.96</v>
      </c>
      <c r="L12">
        <v>0.93</v>
      </c>
      <c r="M12">
        <v>0.92</v>
      </c>
      <c r="N12">
        <v>0.92</v>
      </c>
      <c r="O12">
        <v>0.89</v>
      </c>
      <c r="P12">
        <v>0.95</v>
      </c>
      <c r="Q12">
        <v>1.1299999999999999</v>
      </c>
      <c r="R12">
        <v>0.9</v>
      </c>
      <c r="S12">
        <v>0.98</v>
      </c>
      <c r="T12">
        <v>0.95</v>
      </c>
      <c r="U12">
        <v>0.85</v>
      </c>
      <c r="V12">
        <v>0.88</v>
      </c>
      <c r="W12">
        <v>0.94</v>
      </c>
      <c r="X12">
        <v>0.94</v>
      </c>
      <c r="Y12">
        <v>0.91</v>
      </c>
      <c r="Z12">
        <v>0.91</v>
      </c>
      <c r="AA12" s="8">
        <v>0.82653061224489799</v>
      </c>
      <c r="AB12" s="8">
        <v>1.014</v>
      </c>
      <c r="AC12" s="8">
        <v>0.94599999999999995</v>
      </c>
      <c r="AE12">
        <v>102138</v>
      </c>
      <c r="AF12" t="s">
        <v>1217</v>
      </c>
      <c r="AG12">
        <v>3303</v>
      </c>
      <c r="AH12">
        <v>3623</v>
      </c>
      <c r="AI12">
        <v>91.2</v>
      </c>
      <c r="AJ12" s="8">
        <f t="shared" si="1"/>
        <v>0.91200000000000003</v>
      </c>
      <c r="AL12">
        <v>102503</v>
      </c>
      <c r="AM12" s="8">
        <f t="shared" si="0"/>
        <v>0.94599999999999995</v>
      </c>
    </row>
    <row r="13" spans="1:39" x14ac:dyDescent="0.25">
      <c r="A13">
        <v>102512</v>
      </c>
      <c r="B13" t="s">
        <v>334</v>
      </c>
      <c r="C13">
        <v>1.1000000000000001</v>
      </c>
      <c r="D13">
        <v>0.99</v>
      </c>
      <c r="E13">
        <v>1.06</v>
      </c>
      <c r="F13">
        <v>0.98</v>
      </c>
      <c r="G13">
        <v>0.91</v>
      </c>
      <c r="H13">
        <v>1</v>
      </c>
      <c r="I13">
        <v>0.95</v>
      </c>
      <c r="J13">
        <v>0.98</v>
      </c>
      <c r="K13">
        <v>0.96</v>
      </c>
      <c r="L13">
        <v>0.95</v>
      </c>
      <c r="M13">
        <v>0.92</v>
      </c>
      <c r="N13">
        <v>0.93</v>
      </c>
      <c r="O13">
        <v>0.92</v>
      </c>
      <c r="P13">
        <v>0.99</v>
      </c>
      <c r="Q13">
        <v>1.1399999999999999</v>
      </c>
      <c r="R13">
        <v>0.92</v>
      </c>
      <c r="S13">
        <v>1.01</v>
      </c>
      <c r="T13">
        <v>0.97</v>
      </c>
      <c r="U13">
        <v>0.9</v>
      </c>
      <c r="V13">
        <v>0.92</v>
      </c>
      <c r="W13">
        <v>0.94</v>
      </c>
      <c r="X13">
        <v>0.93</v>
      </c>
      <c r="Y13">
        <v>0.9</v>
      </c>
      <c r="Z13">
        <v>0.89</v>
      </c>
      <c r="AA13" s="8">
        <v>0.81188959660297244</v>
      </c>
      <c r="AB13" s="8">
        <v>1.002</v>
      </c>
      <c r="AC13" s="8">
        <v>0.92900000000000005</v>
      </c>
      <c r="AE13">
        <v>102002</v>
      </c>
      <c r="AF13" t="s">
        <v>6</v>
      </c>
      <c r="AG13">
        <v>6291</v>
      </c>
      <c r="AH13">
        <v>6564</v>
      </c>
      <c r="AI13">
        <v>95.8</v>
      </c>
      <c r="AJ13" s="8">
        <f t="shared" si="1"/>
        <v>0.95799999999999996</v>
      </c>
      <c r="AL13">
        <v>102512</v>
      </c>
      <c r="AM13" s="8">
        <f t="shared" si="0"/>
        <v>0.92900000000000005</v>
      </c>
    </row>
    <row r="14" spans="1:39" x14ac:dyDescent="0.25">
      <c r="A14">
        <v>102702</v>
      </c>
      <c r="B14" t="s">
        <v>118</v>
      </c>
      <c r="C14">
        <v>1.07</v>
      </c>
      <c r="D14">
        <v>0.96</v>
      </c>
      <c r="E14">
        <v>1.02</v>
      </c>
      <c r="F14">
        <v>0.97</v>
      </c>
      <c r="G14">
        <v>0.9</v>
      </c>
      <c r="H14">
        <v>1</v>
      </c>
      <c r="I14">
        <v>0.97</v>
      </c>
      <c r="J14">
        <v>0.98</v>
      </c>
      <c r="K14">
        <v>0.98</v>
      </c>
      <c r="L14">
        <v>0.95</v>
      </c>
      <c r="M14">
        <v>0.93</v>
      </c>
      <c r="N14">
        <v>0.95</v>
      </c>
      <c r="O14">
        <v>0.93</v>
      </c>
      <c r="P14">
        <v>0.98</v>
      </c>
      <c r="Q14">
        <v>1.1299999999999999</v>
      </c>
      <c r="R14">
        <v>0.91</v>
      </c>
      <c r="S14">
        <v>1</v>
      </c>
      <c r="T14">
        <v>0.96</v>
      </c>
      <c r="U14">
        <v>0.92</v>
      </c>
      <c r="V14">
        <v>0.92</v>
      </c>
      <c r="W14">
        <v>0.96</v>
      </c>
      <c r="X14">
        <v>0.95</v>
      </c>
      <c r="Y14">
        <v>0.92</v>
      </c>
      <c r="Z14">
        <v>0.92</v>
      </c>
      <c r="AA14" s="8">
        <v>0.82713792403006292</v>
      </c>
      <c r="AB14" s="8">
        <v>0.995</v>
      </c>
      <c r="AC14" s="8">
        <v>0.94299999999999995</v>
      </c>
      <c r="AE14">
        <v>102503</v>
      </c>
      <c r="AF14" t="s">
        <v>119</v>
      </c>
      <c r="AG14">
        <v>4451</v>
      </c>
      <c r="AH14">
        <v>4703</v>
      </c>
      <c r="AI14">
        <v>94.6</v>
      </c>
      <c r="AJ14" s="8">
        <f t="shared" si="1"/>
        <v>0.94599999999999995</v>
      </c>
      <c r="AL14">
        <v>102702</v>
      </c>
      <c r="AM14" s="8">
        <f t="shared" si="0"/>
        <v>0.94299999999999995</v>
      </c>
    </row>
    <row r="15" spans="1:39" x14ac:dyDescent="0.25">
      <c r="A15">
        <v>102223</v>
      </c>
      <c r="B15" t="s">
        <v>7</v>
      </c>
      <c r="C15">
        <v>1.0900000000000001</v>
      </c>
      <c r="D15">
        <v>0.99</v>
      </c>
      <c r="E15">
        <v>1.05</v>
      </c>
      <c r="F15">
        <v>1</v>
      </c>
      <c r="G15">
        <v>0.93</v>
      </c>
      <c r="H15">
        <v>1.02</v>
      </c>
      <c r="I15">
        <v>0.97</v>
      </c>
      <c r="J15">
        <v>0.98</v>
      </c>
      <c r="K15">
        <v>0.97</v>
      </c>
      <c r="L15">
        <v>0.96</v>
      </c>
      <c r="M15">
        <v>0.92</v>
      </c>
      <c r="N15">
        <v>0.91</v>
      </c>
      <c r="O15">
        <v>0.91</v>
      </c>
      <c r="P15">
        <v>0.96</v>
      </c>
      <c r="Q15">
        <v>1.1499999999999999</v>
      </c>
      <c r="R15">
        <v>0.92</v>
      </c>
      <c r="S15">
        <v>1</v>
      </c>
      <c r="T15">
        <v>0.98</v>
      </c>
      <c r="U15">
        <v>0.88</v>
      </c>
      <c r="V15">
        <v>0.91</v>
      </c>
      <c r="W15">
        <v>0.94</v>
      </c>
      <c r="X15">
        <v>0.93</v>
      </c>
      <c r="Y15">
        <v>0.91</v>
      </c>
      <c r="Z15">
        <v>0.9</v>
      </c>
      <c r="AA15" s="8">
        <v>0.82642154766994447</v>
      </c>
      <c r="AB15" s="8">
        <v>0.99400000000000011</v>
      </c>
      <c r="AC15" s="8">
        <v>0.93799999999999994</v>
      </c>
      <c r="AE15">
        <v>102512</v>
      </c>
      <c r="AF15" t="s">
        <v>334</v>
      </c>
      <c r="AG15">
        <v>4174</v>
      </c>
      <c r="AH15">
        <v>4495</v>
      </c>
      <c r="AI15">
        <v>92.9</v>
      </c>
      <c r="AJ15" s="8">
        <f t="shared" si="1"/>
        <v>0.92900000000000005</v>
      </c>
      <c r="AL15">
        <v>102223</v>
      </c>
      <c r="AM15" s="8">
        <f t="shared" si="0"/>
        <v>0.93799999999999994</v>
      </c>
    </row>
    <row r="16" spans="1:39" x14ac:dyDescent="0.25">
      <c r="A16">
        <v>102912</v>
      </c>
      <c r="B16" t="s">
        <v>323</v>
      </c>
      <c r="C16">
        <v>1.04</v>
      </c>
      <c r="D16">
        <v>0.97</v>
      </c>
      <c r="E16">
        <v>1.04</v>
      </c>
      <c r="F16">
        <v>1</v>
      </c>
      <c r="G16">
        <v>0.94</v>
      </c>
      <c r="H16">
        <v>1.02</v>
      </c>
      <c r="I16">
        <v>0.96</v>
      </c>
      <c r="J16">
        <v>0.96</v>
      </c>
      <c r="K16">
        <v>0.98</v>
      </c>
      <c r="L16">
        <v>0.94</v>
      </c>
      <c r="M16">
        <v>0.92</v>
      </c>
      <c r="N16">
        <v>0.94</v>
      </c>
      <c r="O16">
        <v>0.94</v>
      </c>
      <c r="P16">
        <v>0.98</v>
      </c>
      <c r="Q16">
        <v>1.07</v>
      </c>
      <c r="R16">
        <v>0.9</v>
      </c>
      <c r="S16">
        <v>1.01</v>
      </c>
      <c r="T16">
        <v>0.93</v>
      </c>
      <c r="U16">
        <v>0.92</v>
      </c>
      <c r="V16">
        <v>0.91</v>
      </c>
      <c r="W16">
        <v>0.97</v>
      </c>
      <c r="X16">
        <v>0.98</v>
      </c>
      <c r="Y16">
        <v>0.95</v>
      </c>
      <c r="Z16">
        <v>0.97</v>
      </c>
      <c r="AA16" s="8">
        <v>0.86776173884187824</v>
      </c>
      <c r="AB16" s="8">
        <v>1.0229999999999999</v>
      </c>
      <c r="AC16" s="8">
        <v>0.97299999999999998</v>
      </c>
      <c r="AE16">
        <v>102702</v>
      </c>
      <c r="AF16" t="s">
        <v>118</v>
      </c>
      <c r="AG16">
        <v>4496</v>
      </c>
      <c r="AH16">
        <v>4768</v>
      </c>
      <c r="AI16">
        <v>94.3</v>
      </c>
      <c r="AJ16" s="8">
        <f t="shared" si="1"/>
        <v>0.94299999999999995</v>
      </c>
      <c r="AL16">
        <v>102912</v>
      </c>
      <c r="AM16" s="8">
        <f t="shared" si="0"/>
        <v>0.97299999999999998</v>
      </c>
    </row>
    <row r="17" spans="1:39" x14ac:dyDescent="0.25">
      <c r="A17">
        <v>102128</v>
      </c>
      <c r="B17" t="s">
        <v>213</v>
      </c>
      <c r="C17">
        <v>1.1100000000000001</v>
      </c>
      <c r="D17">
        <v>1.02</v>
      </c>
      <c r="E17">
        <v>1.02</v>
      </c>
      <c r="F17">
        <v>0.96</v>
      </c>
      <c r="G17">
        <v>0.91</v>
      </c>
      <c r="H17">
        <v>0.97</v>
      </c>
      <c r="I17">
        <v>0.93</v>
      </c>
      <c r="J17">
        <v>0.95</v>
      </c>
      <c r="K17">
        <v>0.96</v>
      </c>
      <c r="L17">
        <v>0.94</v>
      </c>
      <c r="M17">
        <v>0.9</v>
      </c>
      <c r="N17">
        <v>0.87</v>
      </c>
      <c r="O17">
        <v>0.87</v>
      </c>
      <c r="P17">
        <v>0.92</v>
      </c>
      <c r="Q17">
        <v>1.1000000000000001</v>
      </c>
      <c r="R17">
        <v>0.9</v>
      </c>
      <c r="S17">
        <v>0.98</v>
      </c>
      <c r="T17">
        <v>0.95</v>
      </c>
      <c r="U17">
        <v>0.84</v>
      </c>
      <c r="V17">
        <v>0.9</v>
      </c>
      <c r="W17">
        <v>0.93</v>
      </c>
      <c r="X17">
        <v>0.92</v>
      </c>
      <c r="Y17">
        <v>0.87</v>
      </c>
      <c r="Z17">
        <v>0.84</v>
      </c>
      <c r="AA17" s="8">
        <v>0.82225504677498773</v>
      </c>
      <c r="AB17" s="8">
        <v>1.006</v>
      </c>
      <c r="AC17" s="8">
        <v>0.93700000000000006</v>
      </c>
      <c r="AE17">
        <v>102223</v>
      </c>
      <c r="AF17" t="s">
        <v>7</v>
      </c>
      <c r="AG17">
        <v>4239</v>
      </c>
      <c r="AH17">
        <v>4517</v>
      </c>
      <c r="AI17">
        <v>93.8</v>
      </c>
      <c r="AJ17" s="8">
        <f t="shared" si="1"/>
        <v>0.93799999999999994</v>
      </c>
      <c r="AL17">
        <v>102128</v>
      </c>
      <c r="AM17" s="8">
        <f t="shared" si="0"/>
        <v>0.93700000000000006</v>
      </c>
    </row>
    <row r="18" spans="1:39" x14ac:dyDescent="0.25">
      <c r="A18">
        <v>102006</v>
      </c>
      <c r="B18" t="s">
        <v>19</v>
      </c>
      <c r="C18">
        <v>1.04</v>
      </c>
      <c r="D18">
        <v>0.99</v>
      </c>
      <c r="E18">
        <v>1.07</v>
      </c>
      <c r="F18">
        <v>1</v>
      </c>
      <c r="G18">
        <v>0.92</v>
      </c>
      <c r="H18">
        <v>1.01</v>
      </c>
      <c r="I18">
        <v>0.98</v>
      </c>
      <c r="J18">
        <v>0.96</v>
      </c>
      <c r="K18">
        <v>1</v>
      </c>
      <c r="L18">
        <v>0.94</v>
      </c>
      <c r="M18">
        <v>0.94</v>
      </c>
      <c r="N18">
        <v>0.94</v>
      </c>
      <c r="O18">
        <v>0.94</v>
      </c>
      <c r="P18">
        <v>0.96</v>
      </c>
      <c r="Q18">
        <v>1.07</v>
      </c>
      <c r="R18">
        <v>0.91</v>
      </c>
      <c r="S18">
        <v>1</v>
      </c>
      <c r="T18">
        <v>0.95</v>
      </c>
      <c r="U18">
        <v>0.92</v>
      </c>
      <c r="V18">
        <v>0.9</v>
      </c>
      <c r="W18">
        <v>0.97</v>
      </c>
      <c r="X18">
        <v>0.98</v>
      </c>
      <c r="Y18">
        <v>0.97</v>
      </c>
      <c r="Z18">
        <v>1</v>
      </c>
      <c r="AA18" s="8">
        <v>0.8658711217183771</v>
      </c>
      <c r="AB18" s="8">
        <v>1.0170000000000001</v>
      </c>
      <c r="AC18" s="8">
        <v>0.95400000000000007</v>
      </c>
      <c r="AE18">
        <v>102728</v>
      </c>
      <c r="AF18" t="s">
        <v>1218</v>
      </c>
      <c r="AG18">
        <v>4894</v>
      </c>
      <c r="AH18">
        <v>5117</v>
      </c>
      <c r="AI18">
        <v>95.6</v>
      </c>
      <c r="AJ18" s="8">
        <f t="shared" si="1"/>
        <v>0.95599999999999996</v>
      </c>
      <c r="AL18">
        <v>102006</v>
      </c>
      <c r="AM18" s="8">
        <f t="shared" si="0"/>
        <v>0.95400000000000007</v>
      </c>
    </row>
    <row r="19" spans="1:39" x14ac:dyDescent="0.25">
      <c r="A19">
        <v>102243</v>
      </c>
      <c r="B19" t="s">
        <v>1033</v>
      </c>
      <c r="Y19">
        <v>0.91</v>
      </c>
      <c r="Z19">
        <v>0.89</v>
      </c>
      <c r="AA19" s="8">
        <v>0.86460914620410001</v>
      </c>
      <c r="AB19" s="8">
        <v>1.02</v>
      </c>
      <c r="AC19" s="8">
        <v>0.94400000000000006</v>
      </c>
      <c r="AE19">
        <v>102912</v>
      </c>
      <c r="AF19" t="s">
        <v>323</v>
      </c>
      <c r="AG19">
        <v>5685</v>
      </c>
      <c r="AH19">
        <v>5845</v>
      </c>
      <c r="AI19">
        <v>97.3</v>
      </c>
      <c r="AJ19" s="8">
        <f t="shared" si="1"/>
        <v>0.97299999999999998</v>
      </c>
      <c r="AL19">
        <v>102243</v>
      </c>
      <c r="AM19" s="8">
        <f t="shared" si="0"/>
        <v>0.94400000000000006</v>
      </c>
    </row>
    <row r="20" spans="1:39" x14ac:dyDescent="0.25">
      <c r="A20">
        <v>102718</v>
      </c>
      <c r="B20" t="s">
        <v>21</v>
      </c>
      <c r="C20">
        <v>1.08</v>
      </c>
      <c r="D20">
        <v>0.96</v>
      </c>
      <c r="E20">
        <v>1.01</v>
      </c>
      <c r="F20">
        <v>0.98</v>
      </c>
      <c r="G20">
        <v>0.92</v>
      </c>
      <c r="H20">
        <v>1.01</v>
      </c>
      <c r="I20">
        <v>0.97</v>
      </c>
      <c r="J20">
        <v>0.97</v>
      </c>
      <c r="K20">
        <v>0.97</v>
      </c>
      <c r="L20">
        <v>0.94</v>
      </c>
      <c r="M20">
        <v>0.92</v>
      </c>
      <c r="N20">
        <v>0.93</v>
      </c>
      <c r="O20">
        <v>0.93</v>
      </c>
      <c r="P20">
        <v>0.97</v>
      </c>
      <c r="Q20">
        <v>1.1200000000000001</v>
      </c>
      <c r="R20">
        <v>0.91</v>
      </c>
      <c r="S20">
        <v>1</v>
      </c>
      <c r="T20">
        <v>0.96</v>
      </c>
      <c r="U20">
        <v>0.9</v>
      </c>
      <c r="V20">
        <v>0.92</v>
      </c>
      <c r="W20">
        <v>0.95</v>
      </c>
      <c r="X20">
        <v>0.96</v>
      </c>
      <c r="Y20">
        <v>0.94</v>
      </c>
      <c r="Z20">
        <v>0.94</v>
      </c>
      <c r="AA20" s="8">
        <v>0.83104238258877439</v>
      </c>
      <c r="AB20" s="8">
        <v>1.012</v>
      </c>
      <c r="AC20" s="8">
        <v>0.95900000000000007</v>
      </c>
      <c r="AE20">
        <v>102128</v>
      </c>
      <c r="AF20" t="s">
        <v>213</v>
      </c>
      <c r="AG20">
        <v>3565</v>
      </c>
      <c r="AH20">
        <v>3805</v>
      </c>
      <c r="AI20">
        <v>93.7</v>
      </c>
      <c r="AJ20" s="8">
        <f t="shared" si="1"/>
        <v>0.93700000000000006</v>
      </c>
      <c r="AL20">
        <v>102718</v>
      </c>
      <c r="AM20" s="8">
        <f t="shared" si="0"/>
        <v>0.95900000000000007</v>
      </c>
    </row>
    <row r="21" spans="1:39" x14ac:dyDescent="0.25">
      <c r="A21">
        <v>102308</v>
      </c>
      <c r="B21" t="s">
        <v>23</v>
      </c>
      <c r="C21">
        <v>1.1200000000000001</v>
      </c>
      <c r="D21">
        <v>1</v>
      </c>
      <c r="E21">
        <v>1.03</v>
      </c>
      <c r="F21">
        <v>0.96</v>
      </c>
      <c r="G21">
        <v>0.87</v>
      </c>
      <c r="H21">
        <v>1.01</v>
      </c>
      <c r="I21">
        <v>0.96</v>
      </c>
      <c r="J21">
        <v>1</v>
      </c>
      <c r="K21">
        <v>1</v>
      </c>
      <c r="L21">
        <v>0.97</v>
      </c>
      <c r="M21">
        <v>0.92</v>
      </c>
      <c r="N21">
        <v>0.91</v>
      </c>
      <c r="O21">
        <v>0.9</v>
      </c>
      <c r="P21">
        <v>0.96</v>
      </c>
      <c r="Q21">
        <v>1.1000000000000001</v>
      </c>
      <c r="R21">
        <v>0.91</v>
      </c>
      <c r="S21">
        <v>0.97</v>
      </c>
      <c r="T21">
        <v>0.95</v>
      </c>
      <c r="U21">
        <v>0.87</v>
      </c>
      <c r="V21">
        <v>0.85</v>
      </c>
      <c r="W21">
        <v>0.94</v>
      </c>
      <c r="X21">
        <v>0.93</v>
      </c>
      <c r="Y21">
        <v>0.9</v>
      </c>
      <c r="Z21">
        <v>0.89</v>
      </c>
      <c r="AA21" s="8">
        <v>0.82965834746789435</v>
      </c>
      <c r="AB21" s="8">
        <v>1.016</v>
      </c>
      <c r="AC21" s="8">
        <v>0.93400000000000005</v>
      </c>
      <c r="AE21">
        <v>102006</v>
      </c>
      <c r="AF21" t="s">
        <v>19</v>
      </c>
      <c r="AG21">
        <v>5891</v>
      </c>
      <c r="AH21">
        <v>6177</v>
      </c>
      <c r="AI21">
        <v>95.4</v>
      </c>
      <c r="AJ21" s="8">
        <f t="shared" si="1"/>
        <v>0.95400000000000007</v>
      </c>
      <c r="AL21">
        <v>102308</v>
      </c>
      <c r="AM21" s="8">
        <f t="shared" si="0"/>
        <v>0.93400000000000005</v>
      </c>
    </row>
    <row r="22" spans="1:39" x14ac:dyDescent="0.25">
      <c r="A22">
        <v>102707</v>
      </c>
      <c r="B22" t="s">
        <v>25</v>
      </c>
      <c r="C22">
        <v>1.04</v>
      </c>
      <c r="D22">
        <v>0.93</v>
      </c>
      <c r="E22">
        <v>0.99</v>
      </c>
      <c r="F22">
        <v>0.96</v>
      </c>
      <c r="G22">
        <v>0.9</v>
      </c>
      <c r="H22">
        <v>1.01</v>
      </c>
      <c r="I22">
        <v>0.96</v>
      </c>
      <c r="J22">
        <v>0.96</v>
      </c>
      <c r="K22">
        <v>0.96</v>
      </c>
      <c r="L22">
        <v>0.93</v>
      </c>
      <c r="M22">
        <v>0.92</v>
      </c>
      <c r="N22">
        <v>0.93</v>
      </c>
      <c r="O22">
        <v>0.92</v>
      </c>
      <c r="P22">
        <v>0.97</v>
      </c>
      <c r="Q22">
        <v>1.1200000000000001</v>
      </c>
      <c r="R22">
        <v>0.91</v>
      </c>
      <c r="S22">
        <v>1.01</v>
      </c>
      <c r="T22">
        <v>0.94</v>
      </c>
      <c r="U22">
        <v>0.9</v>
      </c>
      <c r="V22">
        <v>0.91</v>
      </c>
      <c r="W22">
        <v>0.96</v>
      </c>
      <c r="X22">
        <v>0.96</v>
      </c>
      <c r="Y22">
        <v>0.93</v>
      </c>
      <c r="Z22">
        <v>0.93</v>
      </c>
      <c r="AA22" s="8">
        <v>0.85525276461295419</v>
      </c>
      <c r="AB22" s="8">
        <v>1.018</v>
      </c>
      <c r="AC22" s="8">
        <v>0.96799999999999997</v>
      </c>
      <c r="AE22">
        <v>102243</v>
      </c>
      <c r="AF22" t="s">
        <v>1033</v>
      </c>
      <c r="AG22">
        <v>4056</v>
      </c>
      <c r="AH22">
        <v>4298</v>
      </c>
      <c r="AI22">
        <v>94.4</v>
      </c>
      <c r="AJ22" s="8">
        <f t="shared" si="1"/>
        <v>0.94400000000000006</v>
      </c>
      <c r="AL22">
        <v>102707</v>
      </c>
      <c r="AM22" s="8">
        <f t="shared" si="0"/>
        <v>0.96799999999999997</v>
      </c>
    </row>
    <row r="23" spans="1:39" x14ac:dyDescent="0.25">
      <c r="A23">
        <v>102206</v>
      </c>
      <c r="B23" t="s">
        <v>29</v>
      </c>
      <c r="C23">
        <v>1.1200000000000001</v>
      </c>
      <c r="D23">
        <v>1.02</v>
      </c>
      <c r="E23">
        <v>1.05</v>
      </c>
      <c r="F23">
        <v>0.99</v>
      </c>
      <c r="G23">
        <v>0.92</v>
      </c>
      <c r="H23">
        <v>1.01</v>
      </c>
      <c r="I23">
        <v>0.96</v>
      </c>
      <c r="J23">
        <v>0.98</v>
      </c>
      <c r="K23">
        <v>1</v>
      </c>
      <c r="L23">
        <v>0.97</v>
      </c>
      <c r="M23">
        <v>0.94</v>
      </c>
      <c r="N23">
        <v>0.93</v>
      </c>
      <c r="O23">
        <v>0.93</v>
      </c>
      <c r="P23">
        <v>0.97</v>
      </c>
      <c r="Q23">
        <v>1.1299999999999999</v>
      </c>
      <c r="R23">
        <v>0.94</v>
      </c>
      <c r="S23">
        <v>1.03</v>
      </c>
      <c r="T23">
        <v>0.99</v>
      </c>
      <c r="U23">
        <v>0.89</v>
      </c>
      <c r="V23">
        <v>0.94</v>
      </c>
      <c r="W23">
        <v>0.97</v>
      </c>
      <c r="X23">
        <v>0.96</v>
      </c>
      <c r="Y23">
        <v>0.92</v>
      </c>
      <c r="Z23">
        <v>0.91</v>
      </c>
      <c r="AA23" s="8">
        <v>0.87453551912568306</v>
      </c>
      <c r="AB23" s="8">
        <v>1.0129999999999999</v>
      </c>
      <c r="AC23" s="8">
        <v>0.93500000000000005</v>
      </c>
      <c r="AE23">
        <v>102718</v>
      </c>
      <c r="AF23" t="s">
        <v>21</v>
      </c>
      <c r="AG23">
        <v>4858</v>
      </c>
      <c r="AH23">
        <v>5068</v>
      </c>
      <c r="AI23">
        <v>95.9</v>
      </c>
      <c r="AJ23" s="8">
        <f t="shared" si="1"/>
        <v>0.95900000000000007</v>
      </c>
      <c r="AL23">
        <v>102206</v>
      </c>
      <c r="AM23" s="8">
        <f t="shared" si="0"/>
        <v>0.93500000000000005</v>
      </c>
    </row>
    <row r="24" spans="1:39" x14ac:dyDescent="0.25">
      <c r="A24">
        <v>102623</v>
      </c>
      <c r="B24" t="s">
        <v>808</v>
      </c>
      <c r="C24">
        <v>1.1100000000000001</v>
      </c>
      <c r="D24">
        <v>1.02</v>
      </c>
      <c r="E24">
        <v>1.06</v>
      </c>
      <c r="F24">
        <v>0.97</v>
      </c>
      <c r="G24">
        <v>0.93</v>
      </c>
      <c r="H24">
        <v>0.99</v>
      </c>
      <c r="I24">
        <v>0.96</v>
      </c>
      <c r="J24">
        <v>0.98</v>
      </c>
      <c r="K24">
        <v>0.96</v>
      </c>
      <c r="L24">
        <v>0.95</v>
      </c>
      <c r="M24">
        <v>0.91</v>
      </c>
      <c r="N24">
        <v>0.92</v>
      </c>
      <c r="O24">
        <v>0.9</v>
      </c>
      <c r="P24">
        <v>0.96</v>
      </c>
      <c r="Q24">
        <v>1.1200000000000001</v>
      </c>
      <c r="R24">
        <v>0.91</v>
      </c>
      <c r="S24">
        <v>1</v>
      </c>
      <c r="T24">
        <v>0.95</v>
      </c>
      <c r="U24">
        <v>0.9</v>
      </c>
      <c r="V24">
        <v>0.89</v>
      </c>
      <c r="W24">
        <v>0.92</v>
      </c>
      <c r="X24">
        <v>0.91</v>
      </c>
      <c r="Y24">
        <v>0.89</v>
      </c>
      <c r="Z24">
        <v>0.88</v>
      </c>
      <c r="AA24" s="8">
        <v>0.80164930555555558</v>
      </c>
      <c r="AB24" s="8">
        <v>1.004</v>
      </c>
      <c r="AC24" s="8">
        <v>0.94599999999999995</v>
      </c>
      <c r="AE24">
        <v>102308</v>
      </c>
      <c r="AF24" t="s">
        <v>23</v>
      </c>
      <c r="AG24">
        <v>3613</v>
      </c>
      <c r="AH24">
        <v>3868</v>
      </c>
      <c r="AI24">
        <v>93.4</v>
      </c>
      <c r="AJ24" s="8">
        <f t="shared" si="1"/>
        <v>0.93400000000000005</v>
      </c>
      <c r="AL24">
        <v>102623</v>
      </c>
      <c r="AM24" s="8">
        <f t="shared" si="0"/>
        <v>0.94599999999999995</v>
      </c>
    </row>
    <row r="25" spans="1:39" x14ac:dyDescent="0.25">
      <c r="A25">
        <v>102130</v>
      </c>
      <c r="B25" t="s">
        <v>81</v>
      </c>
      <c r="C25">
        <v>1.1000000000000001</v>
      </c>
      <c r="D25">
        <v>1.01</v>
      </c>
      <c r="E25">
        <v>1.02</v>
      </c>
      <c r="F25">
        <v>0.96</v>
      </c>
      <c r="G25">
        <v>0.9</v>
      </c>
      <c r="H25">
        <v>0.98</v>
      </c>
      <c r="I25">
        <v>0.93</v>
      </c>
      <c r="J25">
        <v>0.96</v>
      </c>
      <c r="K25">
        <v>0.97</v>
      </c>
      <c r="L25">
        <v>0.95</v>
      </c>
      <c r="M25">
        <v>0.91</v>
      </c>
      <c r="N25">
        <v>0.87</v>
      </c>
      <c r="O25">
        <v>0.88</v>
      </c>
      <c r="P25">
        <v>0.92</v>
      </c>
      <c r="Q25">
        <v>1.0900000000000001</v>
      </c>
      <c r="R25">
        <v>0.9</v>
      </c>
      <c r="S25">
        <v>0.99</v>
      </c>
      <c r="T25">
        <v>0.95</v>
      </c>
      <c r="U25">
        <v>0.85</v>
      </c>
      <c r="V25">
        <v>0.89</v>
      </c>
      <c r="W25">
        <v>0.93</v>
      </c>
      <c r="X25">
        <v>0.92</v>
      </c>
      <c r="Y25">
        <v>0.87</v>
      </c>
      <c r="Z25">
        <v>0.86</v>
      </c>
      <c r="AA25" s="8">
        <v>0.82724097788125728</v>
      </c>
      <c r="AB25" s="8">
        <v>1.018</v>
      </c>
      <c r="AC25" s="8">
        <v>0.94299999999999995</v>
      </c>
      <c r="AE25">
        <v>102707</v>
      </c>
      <c r="AF25" t="s">
        <v>25</v>
      </c>
      <c r="AG25">
        <v>4689</v>
      </c>
      <c r="AH25">
        <v>4845</v>
      </c>
      <c r="AI25">
        <v>96.8</v>
      </c>
      <c r="AJ25" s="8">
        <f t="shared" si="1"/>
        <v>0.96799999999999997</v>
      </c>
      <c r="AL25">
        <v>102130</v>
      </c>
      <c r="AM25" s="8">
        <f t="shared" si="0"/>
        <v>0.94299999999999995</v>
      </c>
    </row>
    <row r="26" spans="1:39" x14ac:dyDescent="0.25">
      <c r="A26">
        <v>102114</v>
      </c>
      <c r="B26" t="s">
        <v>30</v>
      </c>
      <c r="C26">
        <v>1.1100000000000001</v>
      </c>
      <c r="D26">
        <v>1.01</v>
      </c>
      <c r="E26">
        <v>1.04</v>
      </c>
      <c r="F26">
        <v>0.97</v>
      </c>
      <c r="G26">
        <v>0.9</v>
      </c>
      <c r="H26">
        <v>0.96</v>
      </c>
      <c r="I26">
        <v>0.92</v>
      </c>
      <c r="J26">
        <v>0.96</v>
      </c>
      <c r="K26">
        <v>0.96</v>
      </c>
      <c r="L26">
        <v>0.95</v>
      </c>
      <c r="M26">
        <v>0.91</v>
      </c>
      <c r="N26">
        <v>0.9</v>
      </c>
      <c r="O26">
        <v>0.9</v>
      </c>
      <c r="P26">
        <v>0.95</v>
      </c>
      <c r="Q26">
        <v>1.1000000000000001</v>
      </c>
      <c r="R26">
        <v>0.91</v>
      </c>
      <c r="S26">
        <v>0.98</v>
      </c>
      <c r="T26">
        <v>0.95</v>
      </c>
      <c r="U26">
        <v>0.85</v>
      </c>
      <c r="V26">
        <v>0.88</v>
      </c>
      <c r="W26">
        <v>0.92</v>
      </c>
      <c r="X26">
        <v>0.91</v>
      </c>
      <c r="Y26">
        <v>0.88</v>
      </c>
      <c r="Z26">
        <v>0.84</v>
      </c>
      <c r="AA26" s="8">
        <v>0.8028834790829591</v>
      </c>
      <c r="AB26" s="8">
        <v>1</v>
      </c>
      <c r="AC26" s="8">
        <v>0.92200000000000004</v>
      </c>
      <c r="AE26">
        <v>102206</v>
      </c>
      <c r="AF26" t="s">
        <v>29</v>
      </c>
      <c r="AG26">
        <v>4167</v>
      </c>
      <c r="AH26">
        <v>4454</v>
      </c>
      <c r="AI26">
        <v>93.5</v>
      </c>
      <c r="AJ26" s="8">
        <f t="shared" si="1"/>
        <v>0.93500000000000005</v>
      </c>
      <c r="AL26">
        <v>102114</v>
      </c>
      <c r="AM26" s="8">
        <f t="shared" si="0"/>
        <v>0.92200000000000004</v>
      </c>
    </row>
    <row r="27" spans="1:39" x14ac:dyDescent="0.25">
      <c r="A27">
        <v>102803</v>
      </c>
      <c r="B27" t="s">
        <v>31</v>
      </c>
      <c r="C27">
        <v>1.08</v>
      </c>
      <c r="D27">
        <v>0.97</v>
      </c>
      <c r="E27">
        <v>1.02</v>
      </c>
      <c r="F27">
        <v>1.01</v>
      </c>
      <c r="G27">
        <v>0.96</v>
      </c>
      <c r="H27">
        <v>1</v>
      </c>
      <c r="I27">
        <v>0.94</v>
      </c>
      <c r="J27">
        <v>0.96</v>
      </c>
      <c r="K27">
        <v>0.96</v>
      </c>
      <c r="L27">
        <v>0.95</v>
      </c>
      <c r="M27">
        <v>0.91</v>
      </c>
      <c r="N27">
        <v>0.94</v>
      </c>
      <c r="O27">
        <v>0.95</v>
      </c>
      <c r="P27">
        <v>0.99</v>
      </c>
      <c r="Q27">
        <v>1.1100000000000001</v>
      </c>
      <c r="R27">
        <v>0.91</v>
      </c>
      <c r="S27">
        <v>1.01</v>
      </c>
      <c r="T27">
        <v>0.96</v>
      </c>
      <c r="U27">
        <v>0.9</v>
      </c>
      <c r="V27">
        <v>0.93</v>
      </c>
      <c r="W27">
        <v>0.97</v>
      </c>
      <c r="X27">
        <v>0.98</v>
      </c>
      <c r="Y27">
        <v>0.97</v>
      </c>
      <c r="Z27">
        <v>0.96</v>
      </c>
      <c r="AA27" s="8">
        <v>0.88399265565014185</v>
      </c>
      <c r="AB27" s="8">
        <v>1.0209999999999999</v>
      </c>
      <c r="AC27" s="8">
        <v>0.96400000000000008</v>
      </c>
      <c r="AE27">
        <v>102607</v>
      </c>
      <c r="AF27" t="s">
        <v>61</v>
      </c>
      <c r="AG27">
        <v>4127</v>
      </c>
      <c r="AH27">
        <v>4290</v>
      </c>
      <c r="AI27">
        <v>96.2</v>
      </c>
      <c r="AJ27" s="8">
        <f t="shared" si="1"/>
        <v>0.96200000000000008</v>
      </c>
      <c r="AL27">
        <v>102803</v>
      </c>
      <c r="AM27" s="8">
        <f t="shared" si="0"/>
        <v>0.96400000000000008</v>
      </c>
    </row>
    <row r="28" spans="1:39" x14ac:dyDescent="0.25">
      <c r="A28">
        <v>102138</v>
      </c>
      <c r="B28" t="s">
        <v>1034</v>
      </c>
      <c r="Y28">
        <v>0.85</v>
      </c>
      <c r="Z28">
        <v>0.82</v>
      </c>
      <c r="AA28" s="8">
        <v>0.79021329987452948</v>
      </c>
      <c r="AB28" s="8">
        <v>0.9840000000000001</v>
      </c>
      <c r="AC28" s="8">
        <v>0.91200000000000003</v>
      </c>
      <c r="AE28">
        <v>102130</v>
      </c>
      <c r="AF28" t="s">
        <v>81</v>
      </c>
      <c r="AG28">
        <v>3794</v>
      </c>
      <c r="AH28">
        <v>4024</v>
      </c>
      <c r="AI28">
        <v>94.3</v>
      </c>
      <c r="AJ28" s="8">
        <f t="shared" si="1"/>
        <v>0.94299999999999995</v>
      </c>
      <c r="AL28">
        <v>102138</v>
      </c>
      <c r="AM28" s="8">
        <f t="shared" si="0"/>
        <v>0.91200000000000003</v>
      </c>
    </row>
    <row r="29" spans="1:39" x14ac:dyDescent="0.25">
      <c r="A29">
        <v>102132</v>
      </c>
      <c r="B29" t="s">
        <v>509</v>
      </c>
      <c r="C29">
        <v>1.1100000000000001</v>
      </c>
      <c r="D29">
        <v>1.03</v>
      </c>
      <c r="E29">
        <v>1.04</v>
      </c>
      <c r="F29">
        <v>0.97</v>
      </c>
      <c r="G29">
        <v>0.91</v>
      </c>
      <c r="H29">
        <v>0.98</v>
      </c>
      <c r="I29">
        <v>0.94</v>
      </c>
      <c r="J29">
        <v>0.95</v>
      </c>
      <c r="K29">
        <v>0.96</v>
      </c>
      <c r="L29">
        <v>0.93</v>
      </c>
      <c r="M29">
        <v>0.9</v>
      </c>
      <c r="N29">
        <v>0.87</v>
      </c>
      <c r="O29">
        <v>0.87</v>
      </c>
      <c r="P29">
        <v>0.92</v>
      </c>
      <c r="Q29">
        <v>1.1100000000000001</v>
      </c>
      <c r="R29">
        <v>0.91</v>
      </c>
      <c r="S29">
        <v>1</v>
      </c>
      <c r="T29">
        <v>0.97</v>
      </c>
      <c r="U29">
        <v>0.86</v>
      </c>
      <c r="V29">
        <v>0.92</v>
      </c>
      <c r="W29">
        <v>0.93</v>
      </c>
      <c r="X29">
        <v>0.93</v>
      </c>
      <c r="Y29">
        <v>0.87</v>
      </c>
      <c r="Z29">
        <v>0.85</v>
      </c>
      <c r="AA29" s="8">
        <v>0.83128167994207092</v>
      </c>
      <c r="AB29" s="8">
        <v>1.0070000000000001</v>
      </c>
      <c r="AC29" s="8">
        <v>0.92900000000000005</v>
      </c>
      <c r="AE29">
        <v>102114</v>
      </c>
      <c r="AF29" t="s">
        <v>30</v>
      </c>
      <c r="AG29">
        <v>3565</v>
      </c>
      <c r="AH29">
        <v>3865</v>
      </c>
      <c r="AI29">
        <v>92.2</v>
      </c>
      <c r="AJ29" s="8">
        <f t="shared" si="1"/>
        <v>0.92200000000000004</v>
      </c>
      <c r="AL29">
        <v>102132</v>
      </c>
      <c r="AM29" s="8">
        <f t="shared" si="0"/>
        <v>0.92900000000000005</v>
      </c>
    </row>
    <row r="30" spans="1:39" x14ac:dyDescent="0.25">
      <c r="A30">
        <v>102521</v>
      </c>
      <c r="B30" t="s">
        <v>450</v>
      </c>
      <c r="C30">
        <v>1.06</v>
      </c>
      <c r="D30">
        <v>0.95</v>
      </c>
      <c r="E30">
        <v>0.99</v>
      </c>
      <c r="F30">
        <v>0.96</v>
      </c>
      <c r="G30">
        <v>0.88</v>
      </c>
      <c r="H30">
        <v>1.02</v>
      </c>
      <c r="I30">
        <v>0.98</v>
      </c>
      <c r="J30">
        <v>0.97</v>
      </c>
      <c r="K30">
        <v>0.97</v>
      </c>
      <c r="L30">
        <v>0.93</v>
      </c>
      <c r="M30">
        <v>0.92</v>
      </c>
      <c r="N30">
        <v>0.93</v>
      </c>
      <c r="O30">
        <v>0.91</v>
      </c>
      <c r="P30">
        <v>0.96</v>
      </c>
      <c r="Q30">
        <v>1.1299999999999999</v>
      </c>
      <c r="R30">
        <v>0.9</v>
      </c>
      <c r="S30">
        <v>0.99</v>
      </c>
      <c r="T30">
        <v>0.95</v>
      </c>
      <c r="U30">
        <v>0.86</v>
      </c>
      <c r="V30">
        <v>0.9</v>
      </c>
      <c r="W30">
        <v>0.96</v>
      </c>
      <c r="X30">
        <v>0.96</v>
      </c>
      <c r="Y30">
        <v>0.93</v>
      </c>
      <c r="Z30">
        <v>0.94</v>
      </c>
      <c r="AA30" s="8">
        <v>0.83995234312946787</v>
      </c>
      <c r="AB30" s="8">
        <v>1.0329999999999999</v>
      </c>
      <c r="AC30" s="8">
        <v>0.96799999999999997</v>
      </c>
      <c r="AE30">
        <v>102803</v>
      </c>
      <c r="AF30" t="s">
        <v>31</v>
      </c>
      <c r="AG30">
        <v>5621</v>
      </c>
      <c r="AH30">
        <v>5831</v>
      </c>
      <c r="AI30">
        <v>96.4</v>
      </c>
      <c r="AJ30" s="8">
        <f t="shared" si="1"/>
        <v>0.96400000000000008</v>
      </c>
      <c r="AL30">
        <v>102521</v>
      </c>
      <c r="AM30" s="8">
        <f t="shared" si="0"/>
        <v>0.96799999999999997</v>
      </c>
    </row>
    <row r="31" spans="1:39" x14ac:dyDescent="0.25">
      <c r="A31">
        <v>102646</v>
      </c>
      <c r="B31" t="s">
        <v>395</v>
      </c>
      <c r="Y31">
        <v>0.87</v>
      </c>
      <c r="Z31">
        <v>0.87</v>
      </c>
      <c r="AA31" s="8">
        <v>0.78363596587180051</v>
      </c>
      <c r="AB31" s="8">
        <v>1.0129999999999999</v>
      </c>
      <c r="AC31" s="8">
        <v>0.94900000000000007</v>
      </c>
      <c r="AE31">
        <v>102637</v>
      </c>
      <c r="AF31" t="s">
        <v>62</v>
      </c>
      <c r="AG31">
        <v>4171</v>
      </c>
      <c r="AH31">
        <v>4332</v>
      </c>
      <c r="AI31">
        <v>96.3</v>
      </c>
      <c r="AJ31" s="8">
        <f t="shared" si="1"/>
        <v>0.96299999999999997</v>
      </c>
      <c r="AL31">
        <v>102646</v>
      </c>
      <c r="AM31" s="8">
        <f t="shared" si="0"/>
        <v>0.94900000000000007</v>
      </c>
    </row>
    <row r="32" spans="1:39" x14ac:dyDescent="0.25">
      <c r="A32">
        <v>102532</v>
      </c>
      <c r="B32" t="s">
        <v>1035</v>
      </c>
      <c r="Y32">
        <v>0.92</v>
      </c>
      <c r="Z32">
        <v>0.91</v>
      </c>
      <c r="AA32" s="8">
        <v>0.83507743825868563</v>
      </c>
      <c r="AB32" s="8">
        <v>1.0170000000000001</v>
      </c>
      <c r="AC32" s="8">
        <v>0.94299999999999995</v>
      </c>
      <c r="AE32">
        <v>102132</v>
      </c>
      <c r="AF32" t="s">
        <v>509</v>
      </c>
      <c r="AG32">
        <v>3575</v>
      </c>
      <c r="AH32">
        <v>3851</v>
      </c>
      <c r="AI32">
        <v>92.9</v>
      </c>
      <c r="AJ32" s="8">
        <f t="shared" si="1"/>
        <v>0.92900000000000005</v>
      </c>
      <c r="AL32">
        <v>102532</v>
      </c>
      <c r="AM32" s="8">
        <f t="shared" si="0"/>
        <v>0.94299999999999995</v>
      </c>
    </row>
    <row r="33" spans="1:39" x14ac:dyDescent="0.25">
      <c r="A33">
        <v>102724</v>
      </c>
      <c r="B33" t="s">
        <v>115</v>
      </c>
      <c r="C33">
        <v>1.07</v>
      </c>
      <c r="D33">
        <v>0.95</v>
      </c>
      <c r="E33">
        <v>1.01</v>
      </c>
      <c r="F33">
        <v>0.98</v>
      </c>
      <c r="G33">
        <v>0.92</v>
      </c>
      <c r="H33">
        <v>0.99</v>
      </c>
      <c r="I33">
        <v>0.95</v>
      </c>
      <c r="J33">
        <v>0.96</v>
      </c>
      <c r="K33">
        <v>0.96</v>
      </c>
      <c r="L33">
        <v>0.94</v>
      </c>
      <c r="M33">
        <v>0.91</v>
      </c>
      <c r="N33">
        <v>0.93</v>
      </c>
      <c r="O33">
        <v>0.93</v>
      </c>
      <c r="P33">
        <v>0.98</v>
      </c>
      <c r="Q33">
        <v>1.1200000000000001</v>
      </c>
      <c r="R33">
        <v>0.91</v>
      </c>
      <c r="S33">
        <v>0.99</v>
      </c>
      <c r="T33">
        <v>0.96</v>
      </c>
      <c r="U33">
        <v>0.89</v>
      </c>
      <c r="V33">
        <v>0.92</v>
      </c>
      <c r="W33">
        <v>0.94</v>
      </c>
      <c r="X33">
        <v>0.96</v>
      </c>
      <c r="Y33">
        <v>0.94</v>
      </c>
      <c r="Z33">
        <v>0.93</v>
      </c>
      <c r="AA33" s="8">
        <v>0.83395522388059706</v>
      </c>
      <c r="AB33" s="8">
        <v>1.006</v>
      </c>
      <c r="AC33" s="8">
        <v>0.96</v>
      </c>
      <c r="AE33">
        <v>102521</v>
      </c>
      <c r="AF33" t="s">
        <v>450</v>
      </c>
      <c r="AG33">
        <v>4717</v>
      </c>
      <c r="AH33">
        <v>4871</v>
      </c>
      <c r="AI33">
        <v>96.8</v>
      </c>
      <c r="AJ33" s="8">
        <f t="shared" si="1"/>
        <v>0.96799999999999997</v>
      </c>
      <c r="AL33">
        <v>102724</v>
      </c>
      <c r="AM33" s="8">
        <f t="shared" si="0"/>
        <v>0.96</v>
      </c>
    </row>
    <row r="34" spans="1:39" x14ac:dyDescent="0.25">
      <c r="A34">
        <v>102901</v>
      </c>
      <c r="B34" t="s">
        <v>46</v>
      </c>
      <c r="C34">
        <v>1.07</v>
      </c>
      <c r="D34">
        <v>0.98</v>
      </c>
      <c r="E34">
        <v>1.03</v>
      </c>
      <c r="F34">
        <v>1.02</v>
      </c>
      <c r="G34">
        <v>0.96</v>
      </c>
      <c r="H34">
        <v>1.02</v>
      </c>
      <c r="I34">
        <v>0.94</v>
      </c>
      <c r="J34">
        <v>0.97</v>
      </c>
      <c r="K34">
        <v>0.95</v>
      </c>
      <c r="L34">
        <v>0.94</v>
      </c>
      <c r="M34">
        <v>0.92</v>
      </c>
      <c r="N34">
        <v>0.95</v>
      </c>
      <c r="O34">
        <v>0.93</v>
      </c>
      <c r="P34">
        <v>0.99</v>
      </c>
      <c r="Q34">
        <v>1.1000000000000001</v>
      </c>
      <c r="R34">
        <v>0.91</v>
      </c>
      <c r="S34">
        <v>1.01</v>
      </c>
      <c r="T34">
        <v>0.96</v>
      </c>
      <c r="U34">
        <v>0.9</v>
      </c>
      <c r="V34">
        <v>0.93</v>
      </c>
      <c r="W34">
        <v>0.96</v>
      </c>
      <c r="X34">
        <v>0.97</v>
      </c>
      <c r="Y34">
        <v>0.96</v>
      </c>
      <c r="Z34">
        <v>0.96</v>
      </c>
      <c r="AA34" s="8">
        <v>0.86973725862614748</v>
      </c>
      <c r="AB34" s="8">
        <v>1.018</v>
      </c>
      <c r="AC34" s="8">
        <v>0.97599999999999998</v>
      </c>
      <c r="AE34">
        <v>102646</v>
      </c>
      <c r="AF34" t="s">
        <v>395</v>
      </c>
      <c r="AG34">
        <v>4010</v>
      </c>
      <c r="AH34">
        <v>4226</v>
      </c>
      <c r="AI34">
        <v>94.9</v>
      </c>
      <c r="AJ34" s="8">
        <f t="shared" si="1"/>
        <v>0.94900000000000007</v>
      </c>
      <c r="AL34">
        <v>102901</v>
      </c>
      <c r="AM34" s="8">
        <f t="shared" si="0"/>
        <v>0.97599999999999998</v>
      </c>
    </row>
    <row r="35" spans="1:39" x14ac:dyDescent="0.25">
      <c r="A35">
        <v>102222</v>
      </c>
      <c r="B35" t="s">
        <v>179</v>
      </c>
      <c r="C35">
        <v>1.1200000000000001</v>
      </c>
      <c r="D35">
        <v>1.01</v>
      </c>
      <c r="E35">
        <v>1.06</v>
      </c>
      <c r="F35">
        <v>1.01</v>
      </c>
      <c r="G35">
        <v>0.94</v>
      </c>
      <c r="H35">
        <v>1.04</v>
      </c>
      <c r="I35">
        <v>0.98</v>
      </c>
      <c r="J35">
        <v>0.99</v>
      </c>
      <c r="K35">
        <v>0.98</v>
      </c>
      <c r="L35">
        <v>0.97</v>
      </c>
      <c r="M35">
        <v>0.94</v>
      </c>
      <c r="N35">
        <v>0.94</v>
      </c>
      <c r="O35">
        <v>0.94</v>
      </c>
      <c r="P35">
        <v>0.97</v>
      </c>
      <c r="Q35">
        <v>1.17</v>
      </c>
      <c r="R35">
        <v>0.94</v>
      </c>
      <c r="S35">
        <v>1.03</v>
      </c>
      <c r="T35">
        <v>1.01</v>
      </c>
      <c r="U35">
        <v>0.9</v>
      </c>
      <c r="V35">
        <v>0.94</v>
      </c>
      <c r="W35">
        <v>0.97</v>
      </c>
      <c r="X35">
        <v>0.95</v>
      </c>
      <c r="Y35">
        <v>0.93</v>
      </c>
      <c r="Z35">
        <v>0.92</v>
      </c>
      <c r="AA35" s="8">
        <v>0.85058721183123098</v>
      </c>
      <c r="AB35" s="8">
        <v>0.99900000000000011</v>
      </c>
      <c r="AC35" s="8">
        <v>0.94299999999999995</v>
      </c>
      <c r="AE35">
        <v>102532</v>
      </c>
      <c r="AF35" t="s">
        <v>1035</v>
      </c>
      <c r="AG35">
        <v>4364</v>
      </c>
      <c r="AH35">
        <v>4626</v>
      </c>
      <c r="AI35">
        <v>94.3</v>
      </c>
      <c r="AJ35" s="8">
        <f t="shared" si="1"/>
        <v>0.94299999999999995</v>
      </c>
      <c r="AL35">
        <v>102222</v>
      </c>
      <c r="AM35" s="8">
        <f t="shared" si="0"/>
        <v>0.94299999999999995</v>
      </c>
    </row>
    <row r="36" spans="1:39" x14ac:dyDescent="0.25">
      <c r="A36">
        <v>102717</v>
      </c>
      <c r="B36" t="s">
        <v>96</v>
      </c>
      <c r="C36">
        <v>1.0900000000000001</v>
      </c>
      <c r="D36">
        <v>0.98</v>
      </c>
      <c r="E36">
        <v>1.01</v>
      </c>
      <c r="F36">
        <v>1</v>
      </c>
      <c r="G36">
        <v>0.94</v>
      </c>
      <c r="H36">
        <v>1.01</v>
      </c>
      <c r="I36">
        <v>0.97</v>
      </c>
      <c r="J36">
        <v>0.96</v>
      </c>
      <c r="K36">
        <v>0.96</v>
      </c>
      <c r="L36">
        <v>0.93</v>
      </c>
      <c r="M36">
        <v>0.92</v>
      </c>
      <c r="N36">
        <v>0.94</v>
      </c>
      <c r="O36">
        <v>0.94</v>
      </c>
      <c r="P36">
        <v>0.99</v>
      </c>
      <c r="Q36">
        <v>1.1299999999999999</v>
      </c>
      <c r="R36">
        <v>0.92</v>
      </c>
      <c r="S36">
        <v>1.01</v>
      </c>
      <c r="T36">
        <v>0.97</v>
      </c>
      <c r="U36">
        <v>0.89</v>
      </c>
      <c r="V36">
        <v>0.92</v>
      </c>
      <c r="W36">
        <v>0.95</v>
      </c>
      <c r="X36">
        <v>0.97</v>
      </c>
      <c r="Y36">
        <v>0.94</v>
      </c>
      <c r="Z36">
        <v>0.94</v>
      </c>
      <c r="AA36" s="8">
        <v>0.83934126258005493</v>
      </c>
      <c r="AB36" s="8">
        <v>0.997</v>
      </c>
      <c r="AC36" s="8">
        <v>0.94</v>
      </c>
      <c r="AE36">
        <v>102724</v>
      </c>
      <c r="AF36" t="s">
        <v>115</v>
      </c>
      <c r="AG36">
        <v>4965</v>
      </c>
      <c r="AH36">
        <v>5174</v>
      </c>
      <c r="AI36">
        <v>96</v>
      </c>
      <c r="AJ36" s="8">
        <f t="shared" si="1"/>
        <v>0.96</v>
      </c>
      <c r="AL36">
        <v>102717</v>
      </c>
      <c r="AM36" s="8">
        <f t="shared" si="0"/>
        <v>0.94</v>
      </c>
    </row>
    <row r="37" spans="1:39" x14ac:dyDescent="0.25">
      <c r="A37">
        <v>102322</v>
      </c>
      <c r="B37" t="s">
        <v>91</v>
      </c>
      <c r="C37">
        <v>1.1200000000000001</v>
      </c>
      <c r="D37">
        <v>1.01</v>
      </c>
      <c r="E37">
        <v>1.06</v>
      </c>
      <c r="F37">
        <v>0.98</v>
      </c>
      <c r="G37">
        <v>0.92</v>
      </c>
      <c r="H37">
        <v>1.01</v>
      </c>
      <c r="I37">
        <v>0.95</v>
      </c>
      <c r="J37">
        <v>0.99</v>
      </c>
      <c r="K37">
        <v>1.01</v>
      </c>
      <c r="L37">
        <v>0.96</v>
      </c>
      <c r="M37">
        <v>0.93</v>
      </c>
      <c r="N37">
        <v>0.92</v>
      </c>
      <c r="O37">
        <v>0.91</v>
      </c>
      <c r="P37">
        <v>0.96</v>
      </c>
      <c r="Q37">
        <v>1.1000000000000001</v>
      </c>
      <c r="R37">
        <v>0.91</v>
      </c>
      <c r="S37">
        <v>1</v>
      </c>
      <c r="T37">
        <v>0.98</v>
      </c>
      <c r="U37">
        <v>0.89</v>
      </c>
      <c r="V37">
        <v>0.93</v>
      </c>
      <c r="W37">
        <v>0.95</v>
      </c>
      <c r="X37">
        <v>0.95</v>
      </c>
      <c r="Y37">
        <v>0.9</v>
      </c>
      <c r="Z37">
        <v>0.89</v>
      </c>
      <c r="AA37" s="8">
        <v>0.85258037225042305</v>
      </c>
      <c r="AB37" s="8">
        <v>1.0009999999999999</v>
      </c>
      <c r="AC37" s="8">
        <v>0.94099999999999995</v>
      </c>
      <c r="AE37">
        <v>102725</v>
      </c>
      <c r="AF37" t="s">
        <v>1219</v>
      </c>
      <c r="AG37">
        <v>4882</v>
      </c>
      <c r="AH37">
        <v>5056</v>
      </c>
      <c r="AI37">
        <v>96.6</v>
      </c>
      <c r="AJ37" s="8">
        <f t="shared" si="1"/>
        <v>0.96599999999999997</v>
      </c>
      <c r="AL37">
        <v>102322</v>
      </c>
      <c r="AM37" s="8">
        <f t="shared" si="0"/>
        <v>0.94099999999999995</v>
      </c>
    </row>
    <row r="38" spans="1:39" x14ac:dyDescent="0.25">
      <c r="A38">
        <v>102341</v>
      </c>
      <c r="B38" t="s">
        <v>98</v>
      </c>
      <c r="Y38">
        <v>0.9</v>
      </c>
      <c r="Z38">
        <v>0.89</v>
      </c>
      <c r="AA38" s="8">
        <v>0.85878564857405704</v>
      </c>
      <c r="AB38" s="8">
        <v>1.012</v>
      </c>
      <c r="AC38" s="8">
        <v>0.94799999999999995</v>
      </c>
      <c r="AE38">
        <v>102901</v>
      </c>
      <c r="AF38" t="s">
        <v>46</v>
      </c>
      <c r="AG38">
        <v>6067</v>
      </c>
      <c r="AH38">
        <v>6213</v>
      </c>
      <c r="AI38">
        <v>97.6</v>
      </c>
      <c r="AJ38" s="8">
        <f t="shared" si="1"/>
        <v>0.97599999999999998</v>
      </c>
      <c r="AL38">
        <v>102341</v>
      </c>
      <c r="AM38" s="8">
        <f t="shared" si="0"/>
        <v>0.94799999999999995</v>
      </c>
    </row>
    <row r="39" spans="1:39" x14ac:dyDescent="0.25">
      <c r="A39">
        <v>102606</v>
      </c>
      <c r="B39" t="s">
        <v>101</v>
      </c>
      <c r="C39">
        <v>1.08</v>
      </c>
      <c r="D39">
        <v>0.98</v>
      </c>
      <c r="E39">
        <v>1.03</v>
      </c>
      <c r="F39">
        <v>0.95</v>
      </c>
      <c r="G39">
        <v>0.89</v>
      </c>
      <c r="H39">
        <v>0.98</v>
      </c>
      <c r="I39">
        <v>0.96</v>
      </c>
      <c r="J39">
        <v>0.98</v>
      </c>
      <c r="K39">
        <v>0.97</v>
      </c>
      <c r="L39">
        <v>0.94</v>
      </c>
      <c r="M39">
        <v>0.91</v>
      </c>
      <c r="N39">
        <v>0.92</v>
      </c>
      <c r="O39">
        <v>0.89</v>
      </c>
      <c r="P39">
        <v>0.97</v>
      </c>
      <c r="Q39">
        <v>1.1299999999999999</v>
      </c>
      <c r="R39">
        <v>0.9</v>
      </c>
      <c r="S39">
        <v>0.99</v>
      </c>
      <c r="T39">
        <v>0.95</v>
      </c>
      <c r="U39">
        <v>0.9</v>
      </c>
      <c r="V39">
        <v>0.9</v>
      </c>
      <c r="W39">
        <v>0.95</v>
      </c>
      <c r="X39">
        <v>0.94</v>
      </c>
      <c r="Y39">
        <v>0.91</v>
      </c>
      <c r="Z39">
        <v>0.91</v>
      </c>
      <c r="AA39" s="8">
        <v>0.81295738269479123</v>
      </c>
      <c r="AB39" s="8">
        <v>1.0229999999999999</v>
      </c>
      <c r="AC39" s="8">
        <v>0.96400000000000008</v>
      </c>
      <c r="AE39">
        <v>102222</v>
      </c>
      <c r="AF39" t="s">
        <v>179</v>
      </c>
      <c r="AG39">
        <v>4278</v>
      </c>
      <c r="AH39">
        <v>4535</v>
      </c>
      <c r="AI39">
        <v>94.3</v>
      </c>
      <c r="AJ39" s="8">
        <f t="shared" si="1"/>
        <v>0.94299999999999995</v>
      </c>
      <c r="AL39">
        <v>102606</v>
      </c>
      <c r="AM39" s="8">
        <f t="shared" si="0"/>
        <v>0.96400000000000008</v>
      </c>
    </row>
    <row r="40" spans="1:39" x14ac:dyDescent="0.25">
      <c r="A40">
        <v>102417</v>
      </c>
      <c r="B40" t="s">
        <v>518</v>
      </c>
      <c r="C40">
        <v>1.1000000000000001</v>
      </c>
      <c r="D40">
        <v>1</v>
      </c>
      <c r="E40">
        <v>1.05</v>
      </c>
      <c r="F40">
        <v>0.97</v>
      </c>
      <c r="G40">
        <v>0.91</v>
      </c>
      <c r="H40">
        <v>0.98</v>
      </c>
      <c r="I40">
        <v>0.95</v>
      </c>
      <c r="J40">
        <v>0.97</v>
      </c>
      <c r="K40">
        <v>0.97</v>
      </c>
      <c r="L40">
        <v>0.93</v>
      </c>
      <c r="M40">
        <v>0.91</v>
      </c>
      <c r="N40">
        <v>0.92</v>
      </c>
      <c r="O40">
        <v>0.89</v>
      </c>
      <c r="P40">
        <v>0.96</v>
      </c>
      <c r="Q40">
        <v>1.1299999999999999</v>
      </c>
      <c r="R40">
        <v>0.9</v>
      </c>
      <c r="S40">
        <v>1</v>
      </c>
      <c r="T40">
        <v>0.95</v>
      </c>
      <c r="U40">
        <v>0.89</v>
      </c>
      <c r="V40">
        <v>0.89</v>
      </c>
      <c r="W40">
        <v>0.94</v>
      </c>
      <c r="X40">
        <v>0.93</v>
      </c>
      <c r="Y40">
        <v>0.91</v>
      </c>
      <c r="Z40">
        <v>0.9</v>
      </c>
      <c r="AA40" s="8">
        <v>0.81392818280739931</v>
      </c>
      <c r="AB40" s="8">
        <v>1.0170000000000001</v>
      </c>
      <c r="AC40" s="8">
        <v>0.93400000000000005</v>
      </c>
      <c r="AE40">
        <v>102717</v>
      </c>
      <c r="AF40" t="s">
        <v>96</v>
      </c>
      <c r="AG40">
        <v>4994</v>
      </c>
      <c r="AH40">
        <v>5313</v>
      </c>
      <c r="AI40">
        <v>94</v>
      </c>
      <c r="AJ40" s="8">
        <f t="shared" si="1"/>
        <v>0.94</v>
      </c>
      <c r="AL40">
        <v>102417</v>
      </c>
      <c r="AM40" s="8">
        <f t="shared" si="0"/>
        <v>0.93400000000000005</v>
      </c>
    </row>
    <row r="41" spans="1:39" x14ac:dyDescent="0.25">
      <c r="A41">
        <v>102107</v>
      </c>
      <c r="B41" t="s">
        <v>198</v>
      </c>
      <c r="C41">
        <v>1.1200000000000001</v>
      </c>
      <c r="D41">
        <v>1.02</v>
      </c>
      <c r="E41">
        <v>1.02</v>
      </c>
      <c r="F41">
        <v>0.97</v>
      </c>
      <c r="G41">
        <v>0.92</v>
      </c>
      <c r="H41">
        <v>0.98</v>
      </c>
      <c r="I41">
        <v>0.93</v>
      </c>
      <c r="J41">
        <v>0.97</v>
      </c>
      <c r="K41">
        <v>0.98</v>
      </c>
      <c r="L41">
        <v>0.95</v>
      </c>
      <c r="M41">
        <v>0.91</v>
      </c>
      <c r="N41">
        <v>0.86</v>
      </c>
      <c r="O41">
        <v>0.87</v>
      </c>
      <c r="P41">
        <v>0.93</v>
      </c>
      <c r="Q41">
        <v>1.0900000000000001</v>
      </c>
      <c r="R41">
        <v>0.9</v>
      </c>
      <c r="S41">
        <v>0.97</v>
      </c>
      <c r="T41">
        <v>0.95</v>
      </c>
      <c r="U41">
        <v>0.83</v>
      </c>
      <c r="V41">
        <v>0.89</v>
      </c>
      <c r="W41">
        <v>0.91</v>
      </c>
      <c r="X41">
        <v>0.92</v>
      </c>
      <c r="Y41">
        <v>0.86</v>
      </c>
      <c r="Z41">
        <v>0.84</v>
      </c>
      <c r="AA41" s="8">
        <v>0.81869204489995118</v>
      </c>
      <c r="AB41" s="8">
        <v>0.995</v>
      </c>
      <c r="AC41" s="8">
        <v>0.93</v>
      </c>
      <c r="AE41">
        <v>102322</v>
      </c>
      <c r="AF41" t="s">
        <v>91</v>
      </c>
      <c r="AG41">
        <v>4280</v>
      </c>
      <c r="AH41">
        <v>4549</v>
      </c>
      <c r="AI41">
        <v>94.1</v>
      </c>
      <c r="AJ41" s="8">
        <f t="shared" si="1"/>
        <v>0.94099999999999995</v>
      </c>
      <c r="AL41">
        <v>102107</v>
      </c>
      <c r="AM41" s="8">
        <f t="shared" si="0"/>
        <v>0.93</v>
      </c>
    </row>
    <row r="42" spans="1:39" x14ac:dyDescent="0.25">
      <c r="A42">
        <v>102244</v>
      </c>
      <c r="B42" t="s">
        <v>872</v>
      </c>
      <c r="Y42">
        <v>0.91</v>
      </c>
      <c r="Z42">
        <v>0.91</v>
      </c>
      <c r="AA42" s="8">
        <v>0.85191914603679308</v>
      </c>
      <c r="AB42" s="8">
        <v>1.0209999999999999</v>
      </c>
      <c r="AC42" s="8">
        <v>0.94400000000000006</v>
      </c>
      <c r="AE42">
        <v>102341</v>
      </c>
      <c r="AF42" t="s">
        <v>98</v>
      </c>
      <c r="AG42">
        <v>4035</v>
      </c>
      <c r="AH42">
        <v>4258</v>
      </c>
      <c r="AI42">
        <v>94.8</v>
      </c>
      <c r="AJ42" s="8">
        <f t="shared" si="1"/>
        <v>0.94799999999999995</v>
      </c>
      <c r="AL42">
        <v>102244</v>
      </c>
      <c r="AM42" s="8">
        <f t="shared" si="0"/>
        <v>0.94400000000000006</v>
      </c>
    </row>
    <row r="43" spans="1:39" x14ac:dyDescent="0.25">
      <c r="A43">
        <v>102603</v>
      </c>
      <c r="B43" t="s">
        <v>357</v>
      </c>
      <c r="C43">
        <v>1.08</v>
      </c>
      <c r="D43">
        <v>0.96</v>
      </c>
      <c r="E43">
        <v>1.03</v>
      </c>
      <c r="F43">
        <v>0.97</v>
      </c>
      <c r="G43">
        <v>0.9</v>
      </c>
      <c r="H43">
        <v>0.99</v>
      </c>
      <c r="I43">
        <v>0.96</v>
      </c>
      <c r="J43">
        <v>0.97</v>
      </c>
      <c r="K43">
        <v>0.97</v>
      </c>
      <c r="L43">
        <v>0.93</v>
      </c>
      <c r="M43">
        <v>0.92</v>
      </c>
      <c r="N43">
        <v>0.95</v>
      </c>
      <c r="O43">
        <v>0.93</v>
      </c>
      <c r="P43">
        <v>0.99</v>
      </c>
      <c r="Q43">
        <v>1.1299999999999999</v>
      </c>
      <c r="R43">
        <v>0.92</v>
      </c>
      <c r="S43">
        <v>1.01</v>
      </c>
      <c r="T43">
        <v>0.97</v>
      </c>
      <c r="U43">
        <v>0.92</v>
      </c>
      <c r="V43">
        <v>0.92</v>
      </c>
      <c r="W43">
        <v>0.96</v>
      </c>
      <c r="X43">
        <v>0.94</v>
      </c>
      <c r="Y43">
        <v>0.92</v>
      </c>
      <c r="Z43">
        <v>0.91</v>
      </c>
      <c r="AA43" s="8">
        <v>0.82488386184609175</v>
      </c>
      <c r="AB43" s="8">
        <v>0.99299999999999999</v>
      </c>
      <c r="AC43" s="8">
        <v>0.94200000000000006</v>
      </c>
      <c r="AE43">
        <v>102606</v>
      </c>
      <c r="AF43" t="s">
        <v>101</v>
      </c>
      <c r="AG43">
        <v>4278</v>
      </c>
      <c r="AH43">
        <v>4436</v>
      </c>
      <c r="AI43">
        <v>96.4</v>
      </c>
      <c r="AJ43" s="8">
        <f t="shared" si="1"/>
        <v>0.96400000000000008</v>
      </c>
      <c r="AL43">
        <v>102603</v>
      </c>
      <c r="AM43" s="8">
        <f t="shared" si="0"/>
        <v>0.94200000000000006</v>
      </c>
    </row>
    <row r="44" spans="1:39" x14ac:dyDescent="0.25">
      <c r="A44">
        <v>102313</v>
      </c>
      <c r="B44" t="s">
        <v>108</v>
      </c>
      <c r="C44">
        <v>1.0900000000000001</v>
      </c>
      <c r="D44">
        <v>1.02</v>
      </c>
      <c r="E44">
        <v>1.03</v>
      </c>
      <c r="F44">
        <v>0.96</v>
      </c>
      <c r="G44">
        <v>0.89</v>
      </c>
      <c r="H44">
        <v>1</v>
      </c>
      <c r="I44">
        <v>0.96</v>
      </c>
      <c r="J44">
        <v>0.99</v>
      </c>
      <c r="K44">
        <v>0.98</v>
      </c>
      <c r="L44">
        <v>0.96</v>
      </c>
      <c r="M44">
        <v>0.92</v>
      </c>
      <c r="N44">
        <v>0.89</v>
      </c>
      <c r="O44">
        <v>0.89</v>
      </c>
      <c r="P44">
        <v>0.94</v>
      </c>
      <c r="Q44">
        <v>1.1299999999999999</v>
      </c>
      <c r="R44">
        <v>0.93</v>
      </c>
      <c r="S44">
        <v>1.02</v>
      </c>
      <c r="T44">
        <v>0.98</v>
      </c>
      <c r="U44">
        <v>0.86</v>
      </c>
      <c r="V44">
        <v>0.91</v>
      </c>
      <c r="W44">
        <v>0.96</v>
      </c>
      <c r="X44">
        <v>0.95</v>
      </c>
      <c r="Y44">
        <v>0.89</v>
      </c>
      <c r="Z44">
        <v>0.87</v>
      </c>
      <c r="AA44" s="8">
        <v>0.85050159040861273</v>
      </c>
      <c r="AB44" s="8">
        <v>1.0149999999999999</v>
      </c>
      <c r="AC44" s="8">
        <v>0.93400000000000005</v>
      </c>
      <c r="AE44">
        <v>102417</v>
      </c>
      <c r="AF44" t="s">
        <v>518</v>
      </c>
      <c r="AG44">
        <v>4104</v>
      </c>
      <c r="AH44">
        <v>4393</v>
      </c>
      <c r="AI44">
        <v>93.4</v>
      </c>
      <c r="AJ44" s="8">
        <f t="shared" si="1"/>
        <v>0.93400000000000005</v>
      </c>
      <c r="AL44">
        <v>102313</v>
      </c>
      <c r="AM44" s="8">
        <f t="shared" si="0"/>
        <v>0.93400000000000005</v>
      </c>
    </row>
    <row r="45" spans="1:39" x14ac:dyDescent="0.25">
      <c r="A45">
        <v>102215</v>
      </c>
      <c r="B45" t="s">
        <v>106</v>
      </c>
      <c r="C45">
        <v>1.1200000000000001</v>
      </c>
      <c r="D45">
        <v>1.01</v>
      </c>
      <c r="E45">
        <v>1.04</v>
      </c>
      <c r="F45">
        <v>0.98</v>
      </c>
      <c r="G45">
        <v>0.92</v>
      </c>
      <c r="H45">
        <v>1</v>
      </c>
      <c r="I45">
        <v>0.95</v>
      </c>
      <c r="J45">
        <v>0.98</v>
      </c>
      <c r="K45">
        <v>0.99</v>
      </c>
      <c r="L45">
        <v>0.96</v>
      </c>
      <c r="M45">
        <v>0.93</v>
      </c>
      <c r="N45">
        <v>0.92</v>
      </c>
      <c r="O45">
        <v>0.91</v>
      </c>
      <c r="P45">
        <v>0.96</v>
      </c>
      <c r="Q45">
        <v>1.1200000000000001</v>
      </c>
      <c r="R45">
        <v>0.92</v>
      </c>
      <c r="S45">
        <v>0.99</v>
      </c>
      <c r="T45">
        <v>0.97</v>
      </c>
      <c r="U45">
        <v>0.88</v>
      </c>
      <c r="V45">
        <v>0.92</v>
      </c>
      <c r="W45">
        <v>0.98</v>
      </c>
      <c r="X45">
        <v>0.96</v>
      </c>
      <c r="Y45">
        <v>0.92</v>
      </c>
      <c r="Z45">
        <v>0.91</v>
      </c>
      <c r="AA45" s="8">
        <v>0.86757399006264857</v>
      </c>
      <c r="AB45" s="8">
        <v>1.0109999999999999</v>
      </c>
      <c r="AC45" s="8">
        <v>0.94299999999999995</v>
      </c>
      <c r="AE45">
        <v>102107</v>
      </c>
      <c r="AF45" t="s">
        <v>198</v>
      </c>
      <c r="AG45">
        <v>3558</v>
      </c>
      <c r="AH45">
        <v>3827</v>
      </c>
      <c r="AI45">
        <v>93</v>
      </c>
      <c r="AJ45" s="8">
        <f t="shared" si="1"/>
        <v>0.93</v>
      </c>
      <c r="AL45">
        <v>102215</v>
      </c>
      <c r="AM45" s="8">
        <f t="shared" si="0"/>
        <v>0.94299999999999995</v>
      </c>
    </row>
    <row r="46" spans="1:39" x14ac:dyDescent="0.25">
      <c r="A46">
        <v>102121</v>
      </c>
      <c r="B46" t="s">
        <v>451</v>
      </c>
      <c r="C46">
        <v>1.1100000000000001</v>
      </c>
      <c r="D46">
        <v>0.99</v>
      </c>
      <c r="E46">
        <v>1</v>
      </c>
      <c r="F46">
        <v>0.94</v>
      </c>
      <c r="G46">
        <v>0.88</v>
      </c>
      <c r="H46">
        <v>0.97</v>
      </c>
      <c r="I46">
        <v>0.93</v>
      </c>
      <c r="J46">
        <v>0.97</v>
      </c>
      <c r="K46">
        <v>0.97</v>
      </c>
      <c r="L46">
        <v>0.95</v>
      </c>
      <c r="M46">
        <v>0.92</v>
      </c>
      <c r="N46">
        <v>0.91</v>
      </c>
      <c r="O46">
        <v>0.9</v>
      </c>
      <c r="P46">
        <v>0.96</v>
      </c>
      <c r="Q46">
        <v>1.1399999999999999</v>
      </c>
      <c r="R46">
        <v>0.98</v>
      </c>
      <c r="S46">
        <v>1.02</v>
      </c>
      <c r="T46">
        <v>1</v>
      </c>
      <c r="U46">
        <v>0.87</v>
      </c>
      <c r="V46">
        <v>0.92</v>
      </c>
      <c r="W46">
        <v>0.93</v>
      </c>
      <c r="X46">
        <v>0.96</v>
      </c>
      <c r="Y46">
        <v>0.91</v>
      </c>
      <c r="Z46">
        <v>0.88</v>
      </c>
      <c r="AA46" s="8">
        <v>0.82899438489025012</v>
      </c>
      <c r="AB46" s="8">
        <v>0.97900000000000009</v>
      </c>
      <c r="AC46" s="8">
        <v>0.91</v>
      </c>
      <c r="AE46">
        <v>102603</v>
      </c>
      <c r="AF46" t="s">
        <v>357</v>
      </c>
      <c r="AG46">
        <v>4497</v>
      </c>
      <c r="AH46">
        <v>4774</v>
      </c>
      <c r="AI46">
        <v>94.2</v>
      </c>
      <c r="AJ46" s="8">
        <f t="shared" si="1"/>
        <v>0.94200000000000006</v>
      </c>
      <c r="AL46">
        <v>102121</v>
      </c>
      <c r="AM46" s="8">
        <f t="shared" si="0"/>
        <v>0.91</v>
      </c>
    </row>
    <row r="47" spans="1:39" x14ac:dyDescent="0.25">
      <c r="A47">
        <v>102708</v>
      </c>
      <c r="B47" t="s">
        <v>110</v>
      </c>
      <c r="C47">
        <v>1.06</v>
      </c>
      <c r="D47">
        <v>0.95</v>
      </c>
      <c r="E47">
        <v>1</v>
      </c>
      <c r="F47">
        <v>0.98</v>
      </c>
      <c r="G47">
        <v>0.92</v>
      </c>
      <c r="H47">
        <v>1</v>
      </c>
      <c r="I47">
        <v>0.96</v>
      </c>
      <c r="J47">
        <v>0.95</v>
      </c>
      <c r="K47">
        <v>0.96</v>
      </c>
      <c r="L47">
        <v>0.93</v>
      </c>
      <c r="M47">
        <v>0.9</v>
      </c>
      <c r="N47">
        <v>0.91</v>
      </c>
      <c r="O47">
        <v>0.9</v>
      </c>
      <c r="P47">
        <v>0.96</v>
      </c>
      <c r="Q47">
        <v>1.1000000000000001</v>
      </c>
      <c r="R47">
        <v>0.89</v>
      </c>
      <c r="S47">
        <v>0.98</v>
      </c>
      <c r="T47">
        <v>0.92</v>
      </c>
      <c r="U47">
        <v>0.88</v>
      </c>
      <c r="V47">
        <v>0.89</v>
      </c>
      <c r="W47">
        <v>0.94</v>
      </c>
      <c r="X47">
        <v>0.95</v>
      </c>
      <c r="Y47">
        <v>0.92</v>
      </c>
      <c r="Z47">
        <v>0.92</v>
      </c>
      <c r="AA47" s="8">
        <v>0.83626073380171739</v>
      </c>
      <c r="AB47" s="8">
        <v>1.0070000000000001</v>
      </c>
      <c r="AC47" s="8">
        <v>0.96299999999999997</v>
      </c>
      <c r="AE47">
        <v>102313</v>
      </c>
      <c r="AF47" t="s">
        <v>108</v>
      </c>
      <c r="AG47">
        <v>3590</v>
      </c>
      <c r="AH47">
        <v>3842</v>
      </c>
      <c r="AI47">
        <v>93.4</v>
      </c>
      <c r="AJ47" s="8">
        <f t="shared" si="1"/>
        <v>0.93400000000000005</v>
      </c>
      <c r="AL47">
        <v>102708</v>
      </c>
      <c r="AM47" s="8">
        <f t="shared" si="0"/>
        <v>0.96299999999999997</v>
      </c>
    </row>
    <row r="48" spans="1:39" x14ac:dyDescent="0.25">
      <c r="A48">
        <v>102509</v>
      </c>
      <c r="B48" t="s">
        <v>246</v>
      </c>
      <c r="C48">
        <v>1.0900000000000001</v>
      </c>
      <c r="D48">
        <v>0.98</v>
      </c>
      <c r="E48">
        <v>1.03</v>
      </c>
      <c r="F48">
        <v>0.99</v>
      </c>
      <c r="G48">
        <v>0.9</v>
      </c>
      <c r="H48">
        <v>1.01</v>
      </c>
      <c r="I48">
        <v>0.97</v>
      </c>
      <c r="J48">
        <v>0.98</v>
      </c>
      <c r="K48">
        <v>0.96</v>
      </c>
      <c r="L48">
        <v>0.94</v>
      </c>
      <c r="M48">
        <v>0.92</v>
      </c>
      <c r="N48">
        <v>0.93</v>
      </c>
      <c r="O48">
        <v>0.91</v>
      </c>
      <c r="P48">
        <v>0.97</v>
      </c>
      <c r="Q48">
        <v>1.1100000000000001</v>
      </c>
      <c r="R48">
        <v>0.91</v>
      </c>
      <c r="S48">
        <v>1.01</v>
      </c>
      <c r="T48">
        <v>0.96</v>
      </c>
      <c r="U48">
        <v>0.88</v>
      </c>
      <c r="V48">
        <v>0.92</v>
      </c>
      <c r="W48">
        <v>0.95</v>
      </c>
      <c r="X48">
        <v>0.96</v>
      </c>
      <c r="Y48">
        <v>0.92</v>
      </c>
      <c r="Z48">
        <v>0.92</v>
      </c>
      <c r="AA48" s="8">
        <v>0.83860759493670889</v>
      </c>
      <c r="AB48" s="8">
        <v>1.006</v>
      </c>
      <c r="AC48" s="8">
        <v>0.94900000000000007</v>
      </c>
      <c r="AE48">
        <v>102215</v>
      </c>
      <c r="AF48" t="s">
        <v>106</v>
      </c>
      <c r="AG48">
        <v>4241</v>
      </c>
      <c r="AH48">
        <v>4498</v>
      </c>
      <c r="AI48">
        <v>94.3</v>
      </c>
      <c r="AJ48" s="8">
        <f t="shared" si="1"/>
        <v>0.94299999999999995</v>
      </c>
      <c r="AL48">
        <v>102509</v>
      </c>
      <c r="AM48" s="8">
        <f t="shared" si="0"/>
        <v>0.94900000000000007</v>
      </c>
    </row>
    <row r="49" spans="1:39" x14ac:dyDescent="0.25">
      <c r="A49">
        <v>102631</v>
      </c>
      <c r="B49" t="s">
        <v>447</v>
      </c>
      <c r="C49">
        <v>1.08</v>
      </c>
      <c r="D49">
        <v>0.98</v>
      </c>
      <c r="E49">
        <v>1.03</v>
      </c>
      <c r="F49">
        <v>0.95</v>
      </c>
      <c r="G49">
        <v>0.92</v>
      </c>
      <c r="H49">
        <v>0.99</v>
      </c>
      <c r="I49">
        <v>0.97</v>
      </c>
      <c r="J49">
        <v>0.98</v>
      </c>
      <c r="K49">
        <v>0.99</v>
      </c>
      <c r="L49">
        <v>0.96</v>
      </c>
      <c r="M49">
        <v>0.93</v>
      </c>
      <c r="N49">
        <v>0.95</v>
      </c>
      <c r="O49">
        <v>0.93</v>
      </c>
      <c r="P49">
        <v>0.97</v>
      </c>
      <c r="Q49">
        <v>1.1299999999999999</v>
      </c>
      <c r="R49">
        <v>0.93</v>
      </c>
      <c r="S49">
        <v>1.02</v>
      </c>
      <c r="T49">
        <v>0.97</v>
      </c>
      <c r="U49">
        <v>0.93</v>
      </c>
      <c r="V49">
        <v>0.93</v>
      </c>
      <c r="W49">
        <v>0.96</v>
      </c>
      <c r="X49">
        <v>0.97</v>
      </c>
      <c r="Y49">
        <v>0.93</v>
      </c>
      <c r="Z49">
        <v>0.93</v>
      </c>
      <c r="AA49" s="8">
        <v>0.8441367736521922</v>
      </c>
      <c r="AB49" s="8">
        <v>1.002</v>
      </c>
      <c r="AC49" s="8">
        <v>0.95900000000000007</v>
      </c>
      <c r="AE49">
        <v>102121</v>
      </c>
      <c r="AF49" t="s">
        <v>451</v>
      </c>
      <c r="AG49">
        <v>3214</v>
      </c>
      <c r="AH49">
        <v>3533</v>
      </c>
      <c r="AI49">
        <v>91</v>
      </c>
      <c r="AJ49" s="8">
        <f t="shared" si="1"/>
        <v>0.91</v>
      </c>
      <c r="AL49">
        <v>102631</v>
      </c>
      <c r="AM49" s="8">
        <f t="shared" si="0"/>
        <v>0.95900000000000007</v>
      </c>
    </row>
    <row r="50" spans="1:39" x14ac:dyDescent="0.25">
      <c r="A50">
        <v>102408</v>
      </c>
      <c r="B50" t="s">
        <v>113</v>
      </c>
      <c r="C50">
        <v>1.1000000000000001</v>
      </c>
      <c r="D50">
        <v>0.99</v>
      </c>
      <c r="E50">
        <v>1.04</v>
      </c>
      <c r="F50">
        <v>0.95</v>
      </c>
      <c r="G50">
        <v>0.9</v>
      </c>
      <c r="H50">
        <v>1.01</v>
      </c>
      <c r="I50">
        <v>0.95</v>
      </c>
      <c r="J50">
        <v>0.98</v>
      </c>
      <c r="K50">
        <v>0.97</v>
      </c>
      <c r="L50">
        <v>0.95</v>
      </c>
      <c r="M50">
        <v>0.93</v>
      </c>
      <c r="N50">
        <v>0.93</v>
      </c>
      <c r="O50">
        <v>0.92</v>
      </c>
      <c r="P50">
        <v>0.98</v>
      </c>
      <c r="Q50">
        <v>1.1399999999999999</v>
      </c>
      <c r="R50">
        <v>0.91</v>
      </c>
      <c r="S50">
        <v>1</v>
      </c>
      <c r="T50">
        <v>0.97</v>
      </c>
      <c r="U50">
        <v>0.9</v>
      </c>
      <c r="V50">
        <v>0.89</v>
      </c>
      <c r="W50">
        <v>0.94</v>
      </c>
      <c r="X50">
        <v>0.94</v>
      </c>
      <c r="Y50">
        <v>0.92</v>
      </c>
      <c r="Z50">
        <v>0.9</v>
      </c>
      <c r="AA50" s="8">
        <v>0.82690162837385683</v>
      </c>
      <c r="AB50" s="8">
        <v>1.0190000000000001</v>
      </c>
      <c r="AC50" s="8">
        <v>0.94400000000000006</v>
      </c>
      <c r="AE50">
        <v>102708</v>
      </c>
      <c r="AF50" t="s">
        <v>110</v>
      </c>
      <c r="AG50">
        <v>4697</v>
      </c>
      <c r="AH50">
        <v>4878</v>
      </c>
      <c r="AI50">
        <v>96.3</v>
      </c>
      <c r="AJ50" s="8">
        <f t="shared" si="1"/>
        <v>0.96299999999999997</v>
      </c>
      <c r="AL50">
        <v>102408</v>
      </c>
      <c r="AM50" s="8">
        <f t="shared" si="0"/>
        <v>0.94400000000000006</v>
      </c>
    </row>
    <row r="51" spans="1:39" x14ac:dyDescent="0.25">
      <c r="A51">
        <v>102412</v>
      </c>
      <c r="B51" t="s">
        <v>239</v>
      </c>
      <c r="C51">
        <v>1.1100000000000001</v>
      </c>
      <c r="D51">
        <v>1</v>
      </c>
      <c r="E51">
        <v>1.06</v>
      </c>
      <c r="F51">
        <v>0.97</v>
      </c>
      <c r="G51">
        <v>0.92</v>
      </c>
      <c r="H51">
        <v>0.99</v>
      </c>
      <c r="I51">
        <v>0.95</v>
      </c>
      <c r="J51">
        <v>0.98</v>
      </c>
      <c r="K51">
        <v>0.98</v>
      </c>
      <c r="L51">
        <v>0.95</v>
      </c>
      <c r="M51">
        <v>0.93</v>
      </c>
      <c r="N51">
        <v>0.92</v>
      </c>
      <c r="O51">
        <v>0.9</v>
      </c>
      <c r="P51">
        <v>0.96</v>
      </c>
      <c r="Q51">
        <v>1.1200000000000001</v>
      </c>
      <c r="R51">
        <v>0.91</v>
      </c>
      <c r="S51">
        <v>1.01</v>
      </c>
      <c r="T51">
        <v>0.97</v>
      </c>
      <c r="U51">
        <v>0.89</v>
      </c>
      <c r="V51">
        <v>0.89</v>
      </c>
      <c r="W51">
        <v>0.95</v>
      </c>
      <c r="X51">
        <v>0.94</v>
      </c>
      <c r="Y51">
        <v>0.92</v>
      </c>
      <c r="Z51">
        <v>0.9</v>
      </c>
      <c r="AA51" s="8">
        <v>0.81810231744643636</v>
      </c>
      <c r="AB51" s="8">
        <v>1.01</v>
      </c>
      <c r="AC51" s="8">
        <v>0.94700000000000006</v>
      </c>
      <c r="AE51">
        <v>102509</v>
      </c>
      <c r="AF51" t="s">
        <v>246</v>
      </c>
      <c r="AG51">
        <v>4632</v>
      </c>
      <c r="AH51">
        <v>4880</v>
      </c>
      <c r="AI51">
        <v>94.9</v>
      </c>
      <c r="AJ51" s="8">
        <f t="shared" si="1"/>
        <v>0.94900000000000007</v>
      </c>
      <c r="AL51">
        <v>102412</v>
      </c>
      <c r="AM51" s="8">
        <f t="shared" si="0"/>
        <v>0.94700000000000006</v>
      </c>
    </row>
    <row r="52" spans="1:39" x14ac:dyDescent="0.25">
      <c r="A52">
        <v>102528</v>
      </c>
      <c r="B52" t="s">
        <v>849</v>
      </c>
      <c r="Y52">
        <v>0.91</v>
      </c>
      <c r="Z52">
        <v>0.9</v>
      </c>
      <c r="AA52" s="8">
        <v>0.81949685534591199</v>
      </c>
      <c r="AB52" s="8">
        <v>1.0070000000000001</v>
      </c>
      <c r="AC52" s="8">
        <v>0.94599999999999995</v>
      </c>
      <c r="AE52">
        <v>102631</v>
      </c>
      <c r="AF52" t="s">
        <v>447</v>
      </c>
      <c r="AG52">
        <v>4451</v>
      </c>
      <c r="AH52">
        <v>4641</v>
      </c>
      <c r="AI52">
        <v>95.9</v>
      </c>
      <c r="AJ52" s="8">
        <f t="shared" si="1"/>
        <v>0.95900000000000007</v>
      </c>
      <c r="AL52">
        <v>102528</v>
      </c>
      <c r="AM52" s="8">
        <f t="shared" si="0"/>
        <v>0.94599999999999995</v>
      </c>
    </row>
    <row r="53" spans="1:39" x14ac:dyDescent="0.25">
      <c r="A53">
        <v>102903</v>
      </c>
      <c r="B53" t="s">
        <v>537</v>
      </c>
      <c r="C53">
        <v>1.05</v>
      </c>
      <c r="D53">
        <v>0.98</v>
      </c>
      <c r="E53">
        <v>1.03</v>
      </c>
      <c r="F53">
        <v>1.01</v>
      </c>
      <c r="G53">
        <v>0.94</v>
      </c>
      <c r="H53">
        <v>1.01</v>
      </c>
      <c r="I53">
        <v>0.95</v>
      </c>
      <c r="J53">
        <v>0.97</v>
      </c>
      <c r="K53">
        <v>0.98</v>
      </c>
      <c r="L53">
        <v>0.94</v>
      </c>
      <c r="M53">
        <v>0.91</v>
      </c>
      <c r="N53">
        <v>0.95</v>
      </c>
      <c r="O53">
        <v>0.94</v>
      </c>
      <c r="P53">
        <v>0.98</v>
      </c>
      <c r="Q53">
        <v>1.07</v>
      </c>
      <c r="R53">
        <v>0.9</v>
      </c>
      <c r="S53">
        <v>1</v>
      </c>
      <c r="T53">
        <v>0.93</v>
      </c>
      <c r="U53">
        <v>0.92</v>
      </c>
      <c r="V53">
        <v>0.91</v>
      </c>
      <c r="W53">
        <v>0.96</v>
      </c>
      <c r="X53">
        <v>0.98</v>
      </c>
      <c r="Y53">
        <v>0.95</v>
      </c>
      <c r="Z53">
        <v>0.97</v>
      </c>
      <c r="AA53" s="8">
        <v>0.87985978330146586</v>
      </c>
      <c r="AB53" s="8">
        <v>1.018</v>
      </c>
      <c r="AC53" s="8">
        <v>0.96700000000000008</v>
      </c>
      <c r="AE53">
        <v>102408</v>
      </c>
      <c r="AF53" t="s">
        <v>113</v>
      </c>
      <c r="AG53">
        <v>4096</v>
      </c>
      <c r="AH53">
        <v>4338</v>
      </c>
      <c r="AI53">
        <v>94.4</v>
      </c>
      <c r="AJ53" s="8">
        <f t="shared" si="1"/>
        <v>0.94400000000000006</v>
      </c>
      <c r="AL53">
        <v>102903</v>
      </c>
      <c r="AM53" s="8">
        <f t="shared" si="0"/>
        <v>0.96700000000000008</v>
      </c>
    </row>
    <row r="54" spans="1:39" x14ac:dyDescent="0.25">
      <c r="A54">
        <v>102249</v>
      </c>
      <c r="B54" t="s">
        <v>1036</v>
      </c>
      <c r="Y54">
        <v>0.92</v>
      </c>
      <c r="Z54">
        <v>0.92</v>
      </c>
      <c r="AA54" s="8">
        <v>0.8452914798206278</v>
      </c>
      <c r="AB54" s="8">
        <v>1.0070000000000001</v>
      </c>
      <c r="AC54" s="8">
        <v>0.93700000000000006</v>
      </c>
      <c r="AE54">
        <v>102529</v>
      </c>
      <c r="AF54" t="s">
        <v>1220</v>
      </c>
      <c r="AG54">
        <v>4231</v>
      </c>
      <c r="AH54">
        <v>4494</v>
      </c>
      <c r="AI54">
        <v>94.1</v>
      </c>
      <c r="AJ54" s="8">
        <f t="shared" si="1"/>
        <v>0.94099999999999995</v>
      </c>
      <c r="AL54">
        <v>102249</v>
      </c>
      <c r="AM54" s="8">
        <f t="shared" si="0"/>
        <v>0.93700000000000006</v>
      </c>
    </row>
    <row r="55" spans="1:39" x14ac:dyDescent="0.25">
      <c r="A55">
        <v>102820</v>
      </c>
      <c r="B55" t="s">
        <v>535</v>
      </c>
      <c r="C55">
        <v>1.04</v>
      </c>
      <c r="D55">
        <v>0.97</v>
      </c>
      <c r="E55">
        <v>1.02</v>
      </c>
      <c r="F55">
        <v>1</v>
      </c>
      <c r="G55">
        <v>0.95</v>
      </c>
      <c r="H55">
        <v>1.01</v>
      </c>
      <c r="I55">
        <v>0.93</v>
      </c>
      <c r="J55">
        <v>0.95</v>
      </c>
      <c r="K55">
        <v>0.96</v>
      </c>
      <c r="L55">
        <v>0.95</v>
      </c>
      <c r="M55">
        <v>0.92</v>
      </c>
      <c r="N55">
        <v>0.95</v>
      </c>
      <c r="O55">
        <v>0.95</v>
      </c>
      <c r="P55">
        <v>0.98</v>
      </c>
      <c r="Q55">
        <v>1.1000000000000001</v>
      </c>
      <c r="R55">
        <v>0.9</v>
      </c>
      <c r="S55">
        <v>1.02</v>
      </c>
      <c r="T55">
        <v>0.95</v>
      </c>
      <c r="U55">
        <v>0.92</v>
      </c>
      <c r="V55">
        <v>0.94</v>
      </c>
      <c r="W55">
        <v>0.97</v>
      </c>
      <c r="X55">
        <v>0.99</v>
      </c>
      <c r="Y55">
        <v>0.97</v>
      </c>
      <c r="Z55">
        <v>0.97</v>
      </c>
      <c r="AA55" s="8">
        <v>0.9045982654230077</v>
      </c>
      <c r="AB55" s="8">
        <v>1.0149999999999999</v>
      </c>
      <c r="AC55" s="8">
        <v>0.97</v>
      </c>
      <c r="AE55">
        <v>102412</v>
      </c>
      <c r="AF55" t="s">
        <v>239</v>
      </c>
      <c r="AG55">
        <v>4181</v>
      </c>
      <c r="AH55">
        <v>4414</v>
      </c>
      <c r="AI55">
        <v>94.7</v>
      </c>
      <c r="AJ55" s="8">
        <f t="shared" si="1"/>
        <v>0.94700000000000006</v>
      </c>
      <c r="AL55">
        <v>102820</v>
      </c>
      <c r="AM55" s="8">
        <f t="shared" si="0"/>
        <v>0.97</v>
      </c>
    </row>
    <row r="56" spans="1:39" x14ac:dyDescent="0.25">
      <c r="A56">
        <v>102725</v>
      </c>
      <c r="B56" t="s">
        <v>1037</v>
      </c>
      <c r="Y56">
        <v>0.93</v>
      </c>
      <c r="Z56">
        <v>0.94</v>
      </c>
      <c r="AA56" s="8">
        <v>0.86111111111111116</v>
      </c>
      <c r="AB56" s="8">
        <v>1.014</v>
      </c>
      <c r="AC56" s="8">
        <v>0.96599999999999997</v>
      </c>
      <c r="AE56">
        <v>102528</v>
      </c>
      <c r="AF56" t="s">
        <v>849</v>
      </c>
      <c r="AG56">
        <v>4357</v>
      </c>
      <c r="AH56">
        <v>4607</v>
      </c>
      <c r="AI56">
        <v>94.6</v>
      </c>
      <c r="AJ56" s="8">
        <f t="shared" si="1"/>
        <v>0.94599999999999995</v>
      </c>
      <c r="AL56">
        <v>102725</v>
      </c>
      <c r="AM56" s="8">
        <f t="shared" si="0"/>
        <v>0.96599999999999997</v>
      </c>
    </row>
    <row r="57" spans="1:39" x14ac:dyDescent="0.25">
      <c r="A57">
        <v>102317</v>
      </c>
      <c r="B57" t="s">
        <v>443</v>
      </c>
      <c r="C57">
        <v>1.1100000000000001</v>
      </c>
      <c r="D57">
        <v>1.02</v>
      </c>
      <c r="E57">
        <v>1.04</v>
      </c>
      <c r="F57">
        <v>0.98</v>
      </c>
      <c r="G57">
        <v>0.91</v>
      </c>
      <c r="H57">
        <v>1.02</v>
      </c>
      <c r="I57">
        <v>0.96</v>
      </c>
      <c r="J57">
        <v>0.98</v>
      </c>
      <c r="K57">
        <v>1</v>
      </c>
      <c r="L57">
        <v>0.97</v>
      </c>
      <c r="M57">
        <v>0.93</v>
      </c>
      <c r="N57">
        <v>0.91</v>
      </c>
      <c r="O57">
        <v>0.92</v>
      </c>
      <c r="P57">
        <v>0.96</v>
      </c>
      <c r="Q57">
        <v>1.1100000000000001</v>
      </c>
      <c r="R57">
        <v>0.92</v>
      </c>
      <c r="S57">
        <v>1.03</v>
      </c>
      <c r="T57">
        <v>0.99</v>
      </c>
      <c r="U57">
        <v>0.89</v>
      </c>
      <c r="V57">
        <v>0.93</v>
      </c>
      <c r="W57">
        <v>0.96</v>
      </c>
      <c r="X57">
        <v>0.95</v>
      </c>
      <c r="Y57">
        <v>0.9</v>
      </c>
      <c r="Z57">
        <v>0.88</v>
      </c>
      <c r="AA57" s="8">
        <v>0.8571428571428571</v>
      </c>
      <c r="AB57" s="8">
        <v>1.0090000000000001</v>
      </c>
      <c r="AC57" s="8">
        <v>0.94799999999999995</v>
      </c>
      <c r="AE57">
        <v>102903</v>
      </c>
      <c r="AF57" t="s">
        <v>537</v>
      </c>
      <c r="AG57">
        <v>5894</v>
      </c>
      <c r="AH57">
        <v>6097</v>
      </c>
      <c r="AI57">
        <v>96.7</v>
      </c>
      <c r="AJ57" s="8">
        <f t="shared" si="1"/>
        <v>0.96700000000000008</v>
      </c>
      <c r="AL57">
        <v>102317</v>
      </c>
      <c r="AM57" s="8">
        <f t="shared" si="0"/>
        <v>0.94799999999999995</v>
      </c>
    </row>
    <row r="58" spans="1:39" x14ac:dyDescent="0.25">
      <c r="A58">
        <v>102419</v>
      </c>
      <c r="B58" t="s">
        <v>241</v>
      </c>
      <c r="C58">
        <v>1.1000000000000001</v>
      </c>
      <c r="D58">
        <v>1</v>
      </c>
      <c r="E58">
        <v>1.04</v>
      </c>
      <c r="F58">
        <v>0.95</v>
      </c>
      <c r="G58">
        <v>0.91</v>
      </c>
      <c r="H58">
        <v>1.01</v>
      </c>
      <c r="I58">
        <v>0.97</v>
      </c>
      <c r="J58">
        <v>0.99</v>
      </c>
      <c r="K58">
        <v>0.99</v>
      </c>
      <c r="L58">
        <v>0.97</v>
      </c>
      <c r="M58">
        <v>0.93</v>
      </c>
      <c r="N58">
        <v>0.93</v>
      </c>
      <c r="O58">
        <v>0.91</v>
      </c>
      <c r="P58">
        <v>0.97</v>
      </c>
      <c r="Q58">
        <v>1.1299999999999999</v>
      </c>
      <c r="R58">
        <v>0.92</v>
      </c>
      <c r="S58">
        <v>1.01</v>
      </c>
      <c r="T58">
        <v>0.98</v>
      </c>
      <c r="U58">
        <v>0.9</v>
      </c>
      <c r="V58">
        <v>0.9</v>
      </c>
      <c r="W58">
        <v>0.96</v>
      </c>
      <c r="X58">
        <v>0.95</v>
      </c>
      <c r="Y58">
        <v>0.93</v>
      </c>
      <c r="Z58">
        <v>0.91</v>
      </c>
      <c r="AA58" s="8">
        <v>0.82302253645603185</v>
      </c>
      <c r="AB58" s="8">
        <v>1.022</v>
      </c>
      <c r="AC58" s="8">
        <v>0.95900000000000007</v>
      </c>
      <c r="AE58">
        <v>102249</v>
      </c>
      <c r="AF58" t="s">
        <v>1036</v>
      </c>
      <c r="AG58">
        <v>4121</v>
      </c>
      <c r="AH58">
        <v>4398</v>
      </c>
      <c r="AI58">
        <v>93.7</v>
      </c>
      <c r="AJ58" s="8">
        <f t="shared" si="1"/>
        <v>0.93700000000000006</v>
      </c>
      <c r="AL58">
        <v>102419</v>
      </c>
      <c r="AM58" s="8">
        <f t="shared" si="0"/>
        <v>0.95900000000000007</v>
      </c>
    </row>
    <row r="59" spans="1:39" x14ac:dyDescent="0.25">
      <c r="A59">
        <v>102344</v>
      </c>
      <c r="B59" t="s">
        <v>1038</v>
      </c>
      <c r="Y59">
        <v>0.9</v>
      </c>
      <c r="Z59">
        <v>0.88</v>
      </c>
      <c r="AA59" s="8">
        <v>0.85190039318479682</v>
      </c>
      <c r="AB59" s="8">
        <v>1</v>
      </c>
      <c r="AC59" s="8">
        <v>0.94099999999999995</v>
      </c>
      <c r="AE59">
        <v>102820</v>
      </c>
      <c r="AF59" t="s">
        <v>398</v>
      </c>
      <c r="AG59">
        <v>5774</v>
      </c>
      <c r="AH59">
        <v>5950</v>
      </c>
      <c r="AI59">
        <v>97</v>
      </c>
      <c r="AJ59" s="8">
        <f t="shared" si="1"/>
        <v>0.97</v>
      </c>
      <c r="AL59">
        <v>102344</v>
      </c>
      <c r="AM59" s="8">
        <f t="shared" si="0"/>
        <v>0.94099999999999995</v>
      </c>
    </row>
    <row r="60" spans="1:39" x14ac:dyDescent="0.25">
      <c r="A60">
        <v>102535</v>
      </c>
      <c r="B60" t="s">
        <v>123</v>
      </c>
      <c r="Y60">
        <v>0.92</v>
      </c>
      <c r="Z60">
        <v>0.91</v>
      </c>
      <c r="AA60" s="8">
        <v>0.82417346500644051</v>
      </c>
      <c r="AB60" s="8">
        <v>1.0049999999999999</v>
      </c>
      <c r="AC60" s="8">
        <v>0.94499999999999995</v>
      </c>
      <c r="AE60">
        <v>102317</v>
      </c>
      <c r="AF60" t="s">
        <v>443</v>
      </c>
      <c r="AG60">
        <v>4192</v>
      </c>
      <c r="AH60">
        <v>4423</v>
      </c>
      <c r="AI60">
        <v>94.8</v>
      </c>
      <c r="AJ60" s="8">
        <f t="shared" si="1"/>
        <v>0.94799999999999995</v>
      </c>
      <c r="AL60">
        <v>102535</v>
      </c>
      <c r="AM60" s="8">
        <f t="shared" si="0"/>
        <v>0.94499999999999995</v>
      </c>
    </row>
    <row r="61" spans="1:39" x14ac:dyDescent="0.25">
      <c r="A61">
        <v>102248</v>
      </c>
      <c r="B61" t="s">
        <v>180</v>
      </c>
      <c r="Y61">
        <v>0.91</v>
      </c>
      <c r="Z61">
        <v>0.9</v>
      </c>
      <c r="AA61" s="8">
        <v>0.84441398217957508</v>
      </c>
      <c r="AB61" s="8">
        <v>1.0190000000000001</v>
      </c>
      <c r="AC61" s="8">
        <v>0.93900000000000006</v>
      </c>
      <c r="AE61">
        <v>102419</v>
      </c>
      <c r="AF61" t="s">
        <v>241</v>
      </c>
      <c r="AG61">
        <v>4188</v>
      </c>
      <c r="AH61">
        <v>4366</v>
      </c>
      <c r="AI61">
        <v>95.9</v>
      </c>
      <c r="AJ61" s="8">
        <f t="shared" si="1"/>
        <v>0.95900000000000007</v>
      </c>
      <c r="AL61">
        <v>102248</v>
      </c>
      <c r="AM61" s="8">
        <f t="shared" si="0"/>
        <v>0.93900000000000006</v>
      </c>
    </row>
    <row r="62" spans="1:39" x14ac:dyDescent="0.25">
      <c r="A62">
        <v>102813</v>
      </c>
      <c r="B62" t="s">
        <v>452</v>
      </c>
      <c r="C62">
        <v>1.07</v>
      </c>
      <c r="D62">
        <v>0.99</v>
      </c>
      <c r="E62">
        <v>1.04</v>
      </c>
      <c r="F62">
        <v>1.01</v>
      </c>
      <c r="G62">
        <v>0.96</v>
      </c>
      <c r="H62">
        <v>1.02</v>
      </c>
      <c r="I62">
        <v>0.95</v>
      </c>
      <c r="J62">
        <v>0.98</v>
      </c>
      <c r="K62">
        <v>0.98</v>
      </c>
      <c r="L62">
        <v>0.95</v>
      </c>
      <c r="M62">
        <v>0.93</v>
      </c>
      <c r="N62">
        <v>0.96</v>
      </c>
      <c r="O62">
        <v>0.94</v>
      </c>
      <c r="P62">
        <v>0.99</v>
      </c>
      <c r="Q62">
        <v>1.0900000000000001</v>
      </c>
      <c r="R62">
        <v>0.91</v>
      </c>
      <c r="S62">
        <v>1.01</v>
      </c>
      <c r="T62">
        <v>0.95</v>
      </c>
      <c r="U62">
        <v>0.9</v>
      </c>
      <c r="V62">
        <v>0.91</v>
      </c>
      <c r="W62">
        <v>0.97</v>
      </c>
      <c r="X62">
        <v>0.98</v>
      </c>
      <c r="Y62">
        <v>0.96</v>
      </c>
      <c r="Z62">
        <v>0.98</v>
      </c>
      <c r="AA62" s="8">
        <v>0.89288997854734908</v>
      </c>
      <c r="AB62" s="8">
        <v>1.028</v>
      </c>
      <c r="AC62" s="8">
        <v>0.9840000000000001</v>
      </c>
      <c r="AE62">
        <v>102344</v>
      </c>
      <c r="AF62" t="s">
        <v>1038</v>
      </c>
      <c r="AG62">
        <v>4211</v>
      </c>
      <c r="AH62">
        <v>4477</v>
      </c>
      <c r="AI62">
        <v>94.1</v>
      </c>
      <c r="AJ62" s="8">
        <f t="shared" si="1"/>
        <v>0.94099999999999995</v>
      </c>
      <c r="AL62">
        <v>102813</v>
      </c>
      <c r="AM62" s="8">
        <f t="shared" si="0"/>
        <v>0.9840000000000001</v>
      </c>
    </row>
    <row r="63" spans="1:39" x14ac:dyDescent="0.25">
      <c r="A63">
        <v>102012</v>
      </c>
      <c r="B63" t="s">
        <v>504</v>
      </c>
      <c r="C63">
        <v>1.03</v>
      </c>
      <c r="D63">
        <v>0.99</v>
      </c>
      <c r="E63">
        <v>1.07</v>
      </c>
      <c r="F63">
        <v>1.01</v>
      </c>
      <c r="G63">
        <v>0.95</v>
      </c>
      <c r="H63">
        <v>1</v>
      </c>
      <c r="I63">
        <v>0.98</v>
      </c>
      <c r="J63">
        <v>0.97</v>
      </c>
      <c r="K63">
        <v>1</v>
      </c>
      <c r="L63">
        <v>0.95</v>
      </c>
      <c r="M63">
        <v>0.95</v>
      </c>
      <c r="N63">
        <v>0.96</v>
      </c>
      <c r="O63">
        <v>0.98</v>
      </c>
      <c r="P63">
        <v>0.97</v>
      </c>
      <c r="Q63">
        <v>1.05</v>
      </c>
      <c r="R63">
        <v>0.92</v>
      </c>
      <c r="S63">
        <v>1.03</v>
      </c>
      <c r="T63">
        <v>0.95</v>
      </c>
      <c r="U63">
        <v>0.94</v>
      </c>
      <c r="V63">
        <v>0.93</v>
      </c>
      <c r="W63">
        <v>0.96</v>
      </c>
      <c r="X63">
        <v>1</v>
      </c>
      <c r="Y63">
        <v>0.97</v>
      </c>
      <c r="Z63">
        <v>1</v>
      </c>
      <c r="AA63" s="8">
        <v>0.91804905713880613</v>
      </c>
      <c r="AB63" s="8">
        <v>1.008</v>
      </c>
      <c r="AC63" s="8">
        <v>0.96700000000000008</v>
      </c>
      <c r="AE63">
        <v>102535</v>
      </c>
      <c r="AF63" t="s">
        <v>123</v>
      </c>
      <c r="AG63">
        <v>4249</v>
      </c>
      <c r="AH63">
        <v>4495</v>
      </c>
      <c r="AI63">
        <v>94.5</v>
      </c>
      <c r="AJ63" s="8">
        <f t="shared" si="1"/>
        <v>0.94499999999999995</v>
      </c>
      <c r="AL63">
        <v>102012</v>
      </c>
      <c r="AM63" s="8">
        <f t="shared" si="0"/>
        <v>0.96700000000000008</v>
      </c>
    </row>
    <row r="64" spans="1:39" x14ac:dyDescent="0.25">
      <c r="A64">
        <v>102711</v>
      </c>
      <c r="B64" t="s">
        <v>138</v>
      </c>
      <c r="C64">
        <v>1.0900000000000001</v>
      </c>
      <c r="D64">
        <v>0.97</v>
      </c>
      <c r="E64">
        <v>1.04</v>
      </c>
      <c r="F64">
        <v>0.98</v>
      </c>
      <c r="G64">
        <v>0.92</v>
      </c>
      <c r="H64">
        <v>0.99</v>
      </c>
      <c r="I64">
        <v>0.96</v>
      </c>
      <c r="J64">
        <v>0.98</v>
      </c>
      <c r="K64">
        <v>0.99</v>
      </c>
      <c r="L64">
        <v>0.96</v>
      </c>
      <c r="M64">
        <v>0.92</v>
      </c>
      <c r="N64">
        <v>0.94</v>
      </c>
      <c r="O64">
        <v>0.93</v>
      </c>
      <c r="P64">
        <v>0.97</v>
      </c>
      <c r="Q64">
        <v>1.1399999999999999</v>
      </c>
      <c r="R64">
        <v>0.95</v>
      </c>
      <c r="S64">
        <v>1.01</v>
      </c>
      <c r="T64">
        <v>0.95</v>
      </c>
      <c r="U64">
        <v>0.91</v>
      </c>
      <c r="V64">
        <v>0.91</v>
      </c>
      <c r="W64">
        <v>0.96</v>
      </c>
      <c r="X64">
        <v>0.95</v>
      </c>
      <c r="Y64">
        <v>0.91</v>
      </c>
      <c r="Z64">
        <v>0.93</v>
      </c>
      <c r="AA64" s="8">
        <v>0.82590927666530445</v>
      </c>
      <c r="AB64" s="8">
        <v>0.98699999999999999</v>
      </c>
      <c r="AC64" s="8">
        <v>0.93299999999999994</v>
      </c>
      <c r="AE64">
        <v>102248</v>
      </c>
      <c r="AF64" t="s">
        <v>180</v>
      </c>
      <c r="AG64">
        <v>3944</v>
      </c>
      <c r="AH64">
        <v>4200</v>
      </c>
      <c r="AI64">
        <v>93.9</v>
      </c>
      <c r="AJ64" s="8">
        <f t="shared" si="1"/>
        <v>0.93900000000000006</v>
      </c>
      <c r="AL64">
        <v>102711</v>
      </c>
      <c r="AM64" s="8">
        <f t="shared" si="0"/>
        <v>0.93299999999999994</v>
      </c>
    </row>
    <row r="65" spans="1:39" x14ac:dyDescent="0.25">
      <c r="A65">
        <v>102201</v>
      </c>
      <c r="B65" t="s">
        <v>510</v>
      </c>
      <c r="C65">
        <v>1.0900000000000001</v>
      </c>
      <c r="D65">
        <v>0.99</v>
      </c>
      <c r="E65">
        <v>1.03</v>
      </c>
      <c r="F65">
        <v>0.96</v>
      </c>
      <c r="G65">
        <v>0.88</v>
      </c>
      <c r="H65">
        <v>1.02</v>
      </c>
      <c r="I65">
        <v>0.95</v>
      </c>
      <c r="J65">
        <v>0.98</v>
      </c>
      <c r="K65">
        <v>0.97</v>
      </c>
      <c r="L65">
        <v>0.95</v>
      </c>
      <c r="M65">
        <v>0.92</v>
      </c>
      <c r="N65">
        <v>0.91</v>
      </c>
      <c r="O65">
        <v>0.91</v>
      </c>
      <c r="P65">
        <v>0.97</v>
      </c>
      <c r="Q65">
        <v>1.1599999999999999</v>
      </c>
      <c r="R65">
        <v>0.94</v>
      </c>
      <c r="S65">
        <v>1.02</v>
      </c>
      <c r="T65">
        <v>0.99</v>
      </c>
      <c r="U65">
        <v>0.87</v>
      </c>
      <c r="V65">
        <v>0.92</v>
      </c>
      <c r="W65">
        <v>0.94</v>
      </c>
      <c r="X65">
        <v>0.92</v>
      </c>
      <c r="Y65">
        <v>0.9</v>
      </c>
      <c r="Z65">
        <v>0.87</v>
      </c>
      <c r="AA65" s="8">
        <v>0.83160434258142335</v>
      </c>
      <c r="AB65" s="8">
        <v>1.01</v>
      </c>
      <c r="AC65" s="8">
        <v>0.92</v>
      </c>
      <c r="AE65">
        <v>102625</v>
      </c>
      <c r="AF65" t="s">
        <v>340</v>
      </c>
      <c r="AG65">
        <v>4084</v>
      </c>
      <c r="AH65">
        <v>4218</v>
      </c>
      <c r="AI65">
        <v>96.8</v>
      </c>
      <c r="AJ65" s="8">
        <f t="shared" si="1"/>
        <v>0.96799999999999997</v>
      </c>
      <c r="AL65">
        <v>102201</v>
      </c>
      <c r="AM65" s="8">
        <f t="shared" si="0"/>
        <v>0.92</v>
      </c>
    </row>
    <row r="66" spans="1:39" x14ac:dyDescent="0.25">
      <c r="A66">
        <v>102519</v>
      </c>
      <c r="B66" t="s">
        <v>139</v>
      </c>
      <c r="C66">
        <v>1.0900000000000001</v>
      </c>
      <c r="D66">
        <v>0.98</v>
      </c>
      <c r="E66">
        <v>1.02</v>
      </c>
      <c r="F66">
        <v>0.96</v>
      </c>
      <c r="G66">
        <v>0.9</v>
      </c>
      <c r="H66">
        <v>1.02</v>
      </c>
      <c r="I66">
        <v>0.96</v>
      </c>
      <c r="J66">
        <v>0.97</v>
      </c>
      <c r="K66">
        <v>0.97</v>
      </c>
      <c r="L66">
        <v>0.94</v>
      </c>
      <c r="M66">
        <v>0.92</v>
      </c>
      <c r="N66">
        <v>0.9</v>
      </c>
      <c r="O66">
        <v>0.89</v>
      </c>
      <c r="P66">
        <v>0.94</v>
      </c>
      <c r="Q66">
        <v>1.1200000000000001</v>
      </c>
      <c r="R66">
        <v>0.89</v>
      </c>
      <c r="S66">
        <v>0.98</v>
      </c>
      <c r="T66">
        <v>0.96</v>
      </c>
      <c r="U66">
        <v>0.87</v>
      </c>
      <c r="V66">
        <v>0.9</v>
      </c>
      <c r="W66">
        <v>0.94</v>
      </c>
      <c r="X66">
        <v>0.92</v>
      </c>
      <c r="Y66">
        <v>0.9</v>
      </c>
      <c r="Z66">
        <v>0.89</v>
      </c>
      <c r="AA66" s="8">
        <v>0.83042895442359255</v>
      </c>
      <c r="AB66" s="8">
        <v>1.006</v>
      </c>
      <c r="AC66" s="8">
        <v>0.93</v>
      </c>
      <c r="AE66">
        <v>102813</v>
      </c>
      <c r="AF66" t="s">
        <v>452</v>
      </c>
      <c r="AG66">
        <v>6300</v>
      </c>
      <c r="AH66">
        <v>6402</v>
      </c>
      <c r="AI66">
        <v>98.4</v>
      </c>
      <c r="AJ66" s="8">
        <f t="shared" si="1"/>
        <v>0.9840000000000001</v>
      </c>
      <c r="AL66">
        <v>102519</v>
      </c>
      <c r="AM66" s="8">
        <f t="shared" si="0"/>
        <v>0.93</v>
      </c>
    </row>
    <row r="67" spans="1:39" x14ac:dyDescent="0.25">
      <c r="A67">
        <v>102345</v>
      </c>
      <c r="B67" t="s">
        <v>141</v>
      </c>
      <c r="Y67">
        <v>0.9</v>
      </c>
      <c r="Z67">
        <v>0.88</v>
      </c>
      <c r="AA67" s="8">
        <v>0.83926621533085821</v>
      </c>
      <c r="AB67" s="8">
        <v>0.996</v>
      </c>
      <c r="AC67" s="8">
        <v>0.93400000000000005</v>
      </c>
      <c r="AE67">
        <v>102012</v>
      </c>
      <c r="AF67" t="s">
        <v>504</v>
      </c>
      <c r="AG67">
        <v>6724</v>
      </c>
      <c r="AH67">
        <v>6950</v>
      </c>
      <c r="AI67">
        <v>96.7</v>
      </c>
      <c r="AJ67" s="8">
        <f t="shared" si="1"/>
        <v>0.96700000000000008</v>
      </c>
      <c r="AL67">
        <v>102345</v>
      </c>
      <c r="AM67" s="8">
        <f t="shared" ref="AM67:AM130" si="2">_xlfn.XLOOKUP(AL67,$AE$5:$AE$314,$AJ$5:$AJ$314)</f>
        <v>0.93400000000000005</v>
      </c>
    </row>
    <row r="68" spans="1:39" x14ac:dyDescent="0.25">
      <c r="A68">
        <v>102506</v>
      </c>
      <c r="B68" t="s">
        <v>520</v>
      </c>
      <c r="C68">
        <v>1.1000000000000001</v>
      </c>
      <c r="D68">
        <v>0.99</v>
      </c>
      <c r="E68">
        <v>1.03</v>
      </c>
      <c r="F68">
        <v>1</v>
      </c>
      <c r="G68">
        <v>0.92</v>
      </c>
      <c r="H68">
        <v>1.02</v>
      </c>
      <c r="I68">
        <v>0.97</v>
      </c>
      <c r="J68">
        <v>0.96</v>
      </c>
      <c r="K68">
        <v>0.96</v>
      </c>
      <c r="L68">
        <v>0.93</v>
      </c>
      <c r="M68">
        <v>0.92</v>
      </c>
      <c r="N68">
        <v>0.92</v>
      </c>
      <c r="O68">
        <v>0.9</v>
      </c>
      <c r="P68">
        <v>0.96</v>
      </c>
      <c r="Q68">
        <v>1.1100000000000001</v>
      </c>
      <c r="R68">
        <v>0.9</v>
      </c>
      <c r="S68">
        <v>0.99</v>
      </c>
      <c r="T68">
        <v>0.96</v>
      </c>
      <c r="U68">
        <v>0.87</v>
      </c>
      <c r="V68">
        <v>0.91</v>
      </c>
      <c r="W68">
        <v>0.95</v>
      </c>
      <c r="X68">
        <v>0.96</v>
      </c>
      <c r="Y68">
        <v>0.92</v>
      </c>
      <c r="Z68">
        <v>0.93</v>
      </c>
      <c r="AA68" s="8">
        <v>0.83842879256965941</v>
      </c>
      <c r="AB68" s="8">
        <v>1.0109999999999999</v>
      </c>
      <c r="AC68" s="8">
        <v>0.94499999999999995</v>
      </c>
      <c r="AE68">
        <v>102711</v>
      </c>
      <c r="AF68" t="s">
        <v>138</v>
      </c>
      <c r="AG68">
        <v>4362</v>
      </c>
      <c r="AH68">
        <v>4675</v>
      </c>
      <c r="AI68">
        <v>93.3</v>
      </c>
      <c r="AJ68" s="8">
        <f t="shared" si="1"/>
        <v>0.93299999999999994</v>
      </c>
      <c r="AL68">
        <v>102506</v>
      </c>
      <c r="AM68" s="8">
        <f t="shared" si="2"/>
        <v>0.94499999999999995</v>
      </c>
    </row>
    <row r="69" spans="1:39" x14ac:dyDescent="0.25">
      <c r="A69">
        <v>102530</v>
      </c>
      <c r="B69" t="s">
        <v>1039</v>
      </c>
      <c r="Y69">
        <v>0.91</v>
      </c>
      <c r="Z69">
        <v>0.9</v>
      </c>
      <c r="AA69" s="8">
        <v>0.82383419689119175</v>
      </c>
      <c r="AB69" s="8">
        <v>1.0090000000000001</v>
      </c>
      <c r="AC69" s="8">
        <v>0.92900000000000005</v>
      </c>
      <c r="AE69">
        <v>102201</v>
      </c>
      <c r="AF69" t="s">
        <v>510</v>
      </c>
      <c r="AG69">
        <v>3564</v>
      </c>
      <c r="AH69">
        <v>3876</v>
      </c>
      <c r="AI69">
        <v>92</v>
      </c>
      <c r="AJ69" s="8">
        <f t="shared" ref="AJ69:AJ132" si="3">AI69/100</f>
        <v>0.92</v>
      </c>
      <c r="AL69">
        <v>102530</v>
      </c>
      <c r="AM69" s="8">
        <f t="shared" si="2"/>
        <v>0.92900000000000005</v>
      </c>
    </row>
    <row r="70" spans="1:39" x14ac:dyDescent="0.25">
      <c r="A70">
        <v>102634</v>
      </c>
      <c r="B70" t="s">
        <v>208</v>
      </c>
      <c r="Y70">
        <v>0.92</v>
      </c>
      <c r="Z70">
        <v>0.92</v>
      </c>
      <c r="AA70" s="8">
        <v>0.82858367259481469</v>
      </c>
      <c r="AB70" s="8">
        <v>1.018</v>
      </c>
      <c r="AC70" s="8">
        <v>0.94900000000000007</v>
      </c>
      <c r="AE70">
        <v>102519</v>
      </c>
      <c r="AF70" t="s">
        <v>139</v>
      </c>
      <c r="AG70">
        <v>3947</v>
      </c>
      <c r="AH70">
        <v>4244</v>
      </c>
      <c r="AI70">
        <v>93</v>
      </c>
      <c r="AJ70" s="8">
        <f t="shared" si="3"/>
        <v>0.93</v>
      </c>
      <c r="AL70">
        <v>102634</v>
      </c>
      <c r="AM70" s="8">
        <f t="shared" si="2"/>
        <v>0.94900000000000007</v>
      </c>
    </row>
    <row r="71" spans="1:39" x14ac:dyDescent="0.25">
      <c r="A71">
        <v>102302</v>
      </c>
      <c r="B71" t="s">
        <v>142</v>
      </c>
      <c r="C71">
        <v>1.0900000000000001</v>
      </c>
      <c r="D71">
        <v>1.01</v>
      </c>
      <c r="E71">
        <v>1.02</v>
      </c>
      <c r="F71">
        <v>0.94</v>
      </c>
      <c r="G71">
        <v>0.88</v>
      </c>
      <c r="H71">
        <v>1</v>
      </c>
      <c r="I71">
        <v>0.95</v>
      </c>
      <c r="J71">
        <v>0.98</v>
      </c>
      <c r="K71">
        <v>0.98</v>
      </c>
      <c r="L71">
        <v>0.96</v>
      </c>
      <c r="M71">
        <v>0.92</v>
      </c>
      <c r="N71">
        <v>0.9</v>
      </c>
      <c r="O71">
        <v>0.9</v>
      </c>
      <c r="P71">
        <v>0.94</v>
      </c>
      <c r="Q71">
        <v>1.1299999999999999</v>
      </c>
      <c r="R71">
        <v>0.92</v>
      </c>
      <c r="S71">
        <v>1</v>
      </c>
      <c r="T71">
        <v>0.96</v>
      </c>
      <c r="U71">
        <v>0.85</v>
      </c>
      <c r="V71">
        <v>0.91</v>
      </c>
      <c r="W71">
        <v>0.95</v>
      </c>
      <c r="X71">
        <v>0.94</v>
      </c>
      <c r="Y71">
        <v>0.87</v>
      </c>
      <c r="Z71">
        <v>0.85</v>
      </c>
      <c r="AA71" s="8">
        <v>0.83353673419575303</v>
      </c>
      <c r="AB71" s="8">
        <v>1.0070000000000001</v>
      </c>
      <c r="AC71" s="8">
        <v>0.92500000000000004</v>
      </c>
      <c r="AE71">
        <v>102345</v>
      </c>
      <c r="AF71" t="s">
        <v>141</v>
      </c>
      <c r="AG71">
        <v>4084</v>
      </c>
      <c r="AH71">
        <v>4372</v>
      </c>
      <c r="AI71">
        <v>93.4</v>
      </c>
      <c r="AJ71" s="8">
        <f t="shared" si="3"/>
        <v>0.93400000000000005</v>
      </c>
      <c r="AL71">
        <v>102302</v>
      </c>
      <c r="AM71" s="8">
        <f t="shared" si="2"/>
        <v>0.92500000000000004</v>
      </c>
    </row>
    <row r="72" spans="1:39" x14ac:dyDescent="0.25">
      <c r="A72">
        <v>102811</v>
      </c>
      <c r="B72" t="s">
        <v>533</v>
      </c>
      <c r="C72">
        <v>1.08</v>
      </c>
      <c r="D72">
        <v>0.97</v>
      </c>
      <c r="E72">
        <v>1.02</v>
      </c>
      <c r="F72">
        <v>1.02</v>
      </c>
      <c r="G72">
        <v>0.95</v>
      </c>
      <c r="H72">
        <v>1.01</v>
      </c>
      <c r="I72">
        <v>0.94</v>
      </c>
      <c r="J72">
        <v>0.97</v>
      </c>
      <c r="K72">
        <v>0.96</v>
      </c>
      <c r="L72">
        <v>0.94</v>
      </c>
      <c r="M72">
        <v>0.9</v>
      </c>
      <c r="N72">
        <v>0.94</v>
      </c>
      <c r="O72">
        <v>0.93</v>
      </c>
      <c r="P72">
        <v>0.98</v>
      </c>
      <c r="Q72">
        <v>1.1100000000000001</v>
      </c>
      <c r="R72">
        <v>0.91</v>
      </c>
      <c r="S72">
        <v>1</v>
      </c>
      <c r="T72">
        <v>0.96</v>
      </c>
      <c r="U72">
        <v>0.9</v>
      </c>
      <c r="V72">
        <v>0.92</v>
      </c>
      <c r="W72">
        <v>0.97</v>
      </c>
      <c r="X72">
        <v>0.98</v>
      </c>
      <c r="Y72">
        <v>0.96</v>
      </c>
      <c r="Z72">
        <v>0.96</v>
      </c>
      <c r="AA72" s="8">
        <v>0.86546628163750638</v>
      </c>
      <c r="AB72" s="8">
        <v>1.024</v>
      </c>
      <c r="AC72" s="8">
        <v>0.97299999999999998</v>
      </c>
      <c r="AE72">
        <v>102506</v>
      </c>
      <c r="AF72" t="s">
        <v>520</v>
      </c>
      <c r="AG72">
        <v>4756</v>
      </c>
      <c r="AH72">
        <v>5034</v>
      </c>
      <c r="AI72">
        <v>94.5</v>
      </c>
      <c r="AJ72" s="8">
        <f t="shared" si="3"/>
        <v>0.94499999999999995</v>
      </c>
      <c r="AL72">
        <v>102811</v>
      </c>
      <c r="AM72" s="8">
        <f t="shared" si="2"/>
        <v>0.97299999999999998</v>
      </c>
    </row>
    <row r="73" spans="1:39" x14ac:dyDescent="0.25">
      <c r="A73">
        <v>102525</v>
      </c>
      <c r="B73" t="s">
        <v>1040</v>
      </c>
      <c r="Y73">
        <v>0.93</v>
      </c>
      <c r="Z73">
        <v>0.92</v>
      </c>
      <c r="AA73" s="8">
        <v>0.83203294321629817</v>
      </c>
      <c r="AB73" s="8">
        <v>1.002</v>
      </c>
      <c r="AC73" s="8">
        <v>0.94</v>
      </c>
      <c r="AE73">
        <v>102530</v>
      </c>
      <c r="AF73" t="s">
        <v>1039</v>
      </c>
      <c r="AG73">
        <v>4158</v>
      </c>
      <c r="AH73">
        <v>4475</v>
      </c>
      <c r="AI73">
        <v>92.9</v>
      </c>
      <c r="AJ73" s="8">
        <f t="shared" si="3"/>
        <v>0.92900000000000005</v>
      </c>
      <c r="AL73">
        <v>102525</v>
      </c>
      <c r="AM73" s="8">
        <f t="shared" si="2"/>
        <v>0.94</v>
      </c>
    </row>
    <row r="74" spans="1:39" x14ac:dyDescent="0.25">
      <c r="A74">
        <v>102610</v>
      </c>
      <c r="B74" t="s">
        <v>453</v>
      </c>
      <c r="C74">
        <v>1.1100000000000001</v>
      </c>
      <c r="D74">
        <v>1.01</v>
      </c>
      <c r="E74">
        <v>1.05</v>
      </c>
      <c r="F74">
        <v>0.96</v>
      </c>
      <c r="G74">
        <v>0.92</v>
      </c>
      <c r="H74">
        <v>0.98</v>
      </c>
      <c r="I74">
        <v>0.95</v>
      </c>
      <c r="J74">
        <v>0.99</v>
      </c>
      <c r="K74">
        <v>0.97</v>
      </c>
      <c r="L74">
        <v>0.96</v>
      </c>
      <c r="M74">
        <v>0.92</v>
      </c>
      <c r="N74">
        <v>0.92</v>
      </c>
      <c r="O74">
        <v>0.91</v>
      </c>
      <c r="P74">
        <v>0.97</v>
      </c>
      <c r="Q74">
        <v>1.1100000000000001</v>
      </c>
      <c r="R74">
        <v>0.91</v>
      </c>
      <c r="S74">
        <v>1</v>
      </c>
      <c r="T74">
        <v>0.95</v>
      </c>
      <c r="U74">
        <v>0.9</v>
      </c>
      <c r="V74">
        <v>0.88</v>
      </c>
      <c r="W74">
        <v>0.93</v>
      </c>
      <c r="X74">
        <v>0.92</v>
      </c>
      <c r="Y74">
        <v>0.9</v>
      </c>
      <c r="Z74">
        <v>0.89</v>
      </c>
      <c r="AA74" s="8">
        <v>0.81254040077569489</v>
      </c>
      <c r="AB74" s="8">
        <v>1.01</v>
      </c>
      <c r="AC74" s="8">
        <v>0.95799999999999996</v>
      </c>
      <c r="AE74">
        <v>102634</v>
      </c>
      <c r="AF74" t="s">
        <v>208</v>
      </c>
      <c r="AG74">
        <v>4290</v>
      </c>
      <c r="AH74">
        <v>4518</v>
      </c>
      <c r="AI74">
        <v>94.9</v>
      </c>
      <c r="AJ74" s="8">
        <f t="shared" si="3"/>
        <v>0.94900000000000007</v>
      </c>
      <c r="AL74">
        <v>102610</v>
      </c>
      <c r="AM74" s="8">
        <f t="shared" si="2"/>
        <v>0.95799999999999996</v>
      </c>
    </row>
    <row r="75" spans="1:39" x14ac:dyDescent="0.25">
      <c r="A75">
        <v>102010</v>
      </c>
      <c r="B75" t="s">
        <v>345</v>
      </c>
      <c r="C75">
        <v>1</v>
      </c>
      <c r="D75">
        <v>0.99</v>
      </c>
      <c r="E75">
        <v>1.05</v>
      </c>
      <c r="F75">
        <v>1</v>
      </c>
      <c r="G75">
        <v>0.93</v>
      </c>
      <c r="H75">
        <v>1</v>
      </c>
      <c r="I75">
        <v>1.01</v>
      </c>
      <c r="J75">
        <v>0.99</v>
      </c>
      <c r="K75">
        <v>0.99</v>
      </c>
      <c r="L75">
        <v>0.94</v>
      </c>
      <c r="M75">
        <v>0.97</v>
      </c>
      <c r="N75">
        <v>0.96</v>
      </c>
      <c r="O75">
        <v>0.96</v>
      </c>
      <c r="P75">
        <v>0.97</v>
      </c>
      <c r="Q75">
        <v>1.08</v>
      </c>
      <c r="R75">
        <v>0.94</v>
      </c>
      <c r="S75">
        <v>1.04</v>
      </c>
      <c r="T75">
        <v>0.95</v>
      </c>
      <c r="U75">
        <v>0.92</v>
      </c>
      <c r="V75">
        <v>0.9</v>
      </c>
      <c r="W75">
        <v>0.96</v>
      </c>
      <c r="X75">
        <v>1</v>
      </c>
      <c r="Y75">
        <v>0.96</v>
      </c>
      <c r="Z75">
        <v>0.99</v>
      </c>
      <c r="AA75" s="8">
        <v>0.87431781701444622</v>
      </c>
      <c r="AB75" s="8">
        <v>1.038</v>
      </c>
      <c r="AC75" s="8">
        <v>0.96400000000000008</v>
      </c>
      <c r="AE75">
        <v>102302</v>
      </c>
      <c r="AF75" t="s">
        <v>142</v>
      </c>
      <c r="AG75">
        <v>3568</v>
      </c>
      <c r="AH75">
        <v>3857</v>
      </c>
      <c r="AI75">
        <v>92.5</v>
      </c>
      <c r="AJ75" s="8">
        <f t="shared" si="3"/>
        <v>0.92500000000000004</v>
      </c>
      <c r="AL75">
        <v>102010</v>
      </c>
      <c r="AM75" s="8">
        <f t="shared" si="2"/>
        <v>0.96400000000000008</v>
      </c>
    </row>
    <row r="76" spans="1:39" x14ac:dyDescent="0.25">
      <c r="A76">
        <v>102801</v>
      </c>
      <c r="B76" t="s">
        <v>64</v>
      </c>
      <c r="C76">
        <v>1.07</v>
      </c>
      <c r="D76">
        <v>0.97</v>
      </c>
      <c r="E76">
        <v>1.01</v>
      </c>
      <c r="F76">
        <v>0.98</v>
      </c>
      <c r="G76">
        <v>0.95</v>
      </c>
      <c r="H76">
        <v>1.05</v>
      </c>
      <c r="I76">
        <v>0.98</v>
      </c>
      <c r="J76">
        <v>0.97</v>
      </c>
      <c r="K76">
        <v>0.98</v>
      </c>
      <c r="L76">
        <v>0.96</v>
      </c>
      <c r="M76">
        <v>0.93</v>
      </c>
      <c r="N76">
        <v>0.96</v>
      </c>
      <c r="O76">
        <v>0.98</v>
      </c>
      <c r="P76">
        <v>1.02</v>
      </c>
      <c r="Q76">
        <v>1.1299999999999999</v>
      </c>
      <c r="R76">
        <v>0.94</v>
      </c>
      <c r="S76">
        <v>1.07</v>
      </c>
      <c r="T76">
        <v>1</v>
      </c>
      <c r="U76">
        <v>0.95</v>
      </c>
      <c r="V76">
        <v>0.97</v>
      </c>
      <c r="W76">
        <v>0.97</v>
      </c>
      <c r="X76">
        <v>0.99</v>
      </c>
      <c r="Y76">
        <v>0.95</v>
      </c>
      <c r="Z76">
        <v>0.96</v>
      </c>
      <c r="AA76" s="8">
        <v>0.89482895783611771</v>
      </c>
      <c r="AB76" s="8">
        <v>1.0109999999999999</v>
      </c>
      <c r="AC76" s="8">
        <v>0.96</v>
      </c>
      <c r="AE76">
        <v>102811</v>
      </c>
      <c r="AF76" t="s">
        <v>533</v>
      </c>
      <c r="AG76">
        <v>5596</v>
      </c>
      <c r="AH76">
        <v>5749</v>
      </c>
      <c r="AI76">
        <v>97.3</v>
      </c>
      <c r="AJ76" s="8">
        <f t="shared" si="3"/>
        <v>0.97299999999999998</v>
      </c>
      <c r="AL76">
        <v>102801</v>
      </c>
      <c r="AM76" s="8">
        <f t="shared" si="2"/>
        <v>0.96</v>
      </c>
    </row>
    <row r="77" spans="1:39" x14ac:dyDescent="0.25">
      <c r="A77">
        <v>102722</v>
      </c>
      <c r="B77" t="s">
        <v>145</v>
      </c>
      <c r="C77">
        <v>1.07</v>
      </c>
      <c r="D77">
        <v>0.95</v>
      </c>
      <c r="E77">
        <v>1.01</v>
      </c>
      <c r="F77">
        <v>0.97</v>
      </c>
      <c r="G77">
        <v>0.9</v>
      </c>
      <c r="H77">
        <v>1</v>
      </c>
      <c r="I77">
        <v>0.96</v>
      </c>
      <c r="J77">
        <v>0.97</v>
      </c>
      <c r="K77">
        <v>0.97</v>
      </c>
      <c r="L77">
        <v>0.94</v>
      </c>
      <c r="M77">
        <v>0.92</v>
      </c>
      <c r="N77">
        <v>0.94</v>
      </c>
      <c r="O77">
        <v>0.92</v>
      </c>
      <c r="P77">
        <v>0.97</v>
      </c>
      <c r="Q77">
        <v>1.1299999999999999</v>
      </c>
      <c r="R77">
        <v>0.91</v>
      </c>
      <c r="S77">
        <v>1</v>
      </c>
      <c r="T77">
        <v>0.95</v>
      </c>
      <c r="U77">
        <v>0.91</v>
      </c>
      <c r="V77">
        <v>0.92</v>
      </c>
      <c r="W77">
        <v>0.96</v>
      </c>
      <c r="X77">
        <v>0.95</v>
      </c>
      <c r="Y77">
        <v>0.92</v>
      </c>
      <c r="Z77">
        <v>0.92</v>
      </c>
      <c r="AA77" s="8">
        <v>0.83163367326534698</v>
      </c>
      <c r="AB77" s="8">
        <v>0.996</v>
      </c>
      <c r="AC77" s="8">
        <v>0.94400000000000006</v>
      </c>
      <c r="AE77">
        <v>102010</v>
      </c>
      <c r="AF77" t="s">
        <v>345</v>
      </c>
      <c r="AG77">
        <v>5788</v>
      </c>
      <c r="AH77">
        <v>6004</v>
      </c>
      <c r="AI77">
        <v>96.4</v>
      </c>
      <c r="AJ77" s="8">
        <f t="shared" si="3"/>
        <v>0.96400000000000008</v>
      </c>
      <c r="AL77">
        <v>102722</v>
      </c>
      <c r="AM77" s="8">
        <f t="shared" si="2"/>
        <v>0.94400000000000006</v>
      </c>
    </row>
    <row r="78" spans="1:39" x14ac:dyDescent="0.25">
      <c r="A78">
        <v>102109</v>
      </c>
      <c r="B78" t="s">
        <v>373</v>
      </c>
      <c r="C78">
        <v>1.1100000000000001</v>
      </c>
      <c r="D78">
        <v>1.01</v>
      </c>
      <c r="E78">
        <v>1.02</v>
      </c>
      <c r="F78">
        <v>0.96</v>
      </c>
      <c r="G78">
        <v>0.91</v>
      </c>
      <c r="H78">
        <v>0.99</v>
      </c>
      <c r="I78">
        <v>0.94</v>
      </c>
      <c r="J78">
        <v>0.96</v>
      </c>
      <c r="K78">
        <v>0.97</v>
      </c>
      <c r="L78">
        <v>0.95</v>
      </c>
      <c r="M78">
        <v>0.91</v>
      </c>
      <c r="N78">
        <v>0.89</v>
      </c>
      <c r="O78">
        <v>0.89</v>
      </c>
      <c r="P78">
        <v>0.93</v>
      </c>
      <c r="Q78">
        <v>1.1100000000000001</v>
      </c>
      <c r="R78">
        <v>0.91</v>
      </c>
      <c r="S78">
        <v>1</v>
      </c>
      <c r="T78">
        <v>0.97</v>
      </c>
      <c r="U78">
        <v>0.85</v>
      </c>
      <c r="V78">
        <v>0.91</v>
      </c>
      <c r="W78">
        <v>0.93</v>
      </c>
      <c r="X78">
        <v>0.93</v>
      </c>
      <c r="Y78">
        <v>0.88</v>
      </c>
      <c r="Z78">
        <v>0.85</v>
      </c>
      <c r="AA78" s="8">
        <v>0.82150971976773546</v>
      </c>
      <c r="AB78" s="8">
        <v>0.995</v>
      </c>
      <c r="AC78" s="8">
        <v>0.92599999999999993</v>
      </c>
      <c r="AE78">
        <v>102801</v>
      </c>
      <c r="AF78" t="s">
        <v>64</v>
      </c>
      <c r="AG78">
        <v>5907</v>
      </c>
      <c r="AH78">
        <v>6156</v>
      </c>
      <c r="AI78">
        <v>96</v>
      </c>
      <c r="AJ78" s="8">
        <f t="shared" si="3"/>
        <v>0.96</v>
      </c>
      <c r="AL78">
        <v>102109</v>
      </c>
      <c r="AM78" s="8">
        <f t="shared" si="2"/>
        <v>0.92599999999999993</v>
      </c>
    </row>
    <row r="79" spans="1:39" x14ac:dyDescent="0.25">
      <c r="A79">
        <v>102908</v>
      </c>
      <c r="B79" t="s">
        <v>454</v>
      </c>
      <c r="C79">
        <v>1.02</v>
      </c>
      <c r="D79">
        <v>0.98</v>
      </c>
      <c r="E79">
        <v>1.02</v>
      </c>
      <c r="F79">
        <v>1</v>
      </c>
      <c r="G79">
        <v>0.97</v>
      </c>
      <c r="H79">
        <v>0.99</v>
      </c>
      <c r="I79">
        <v>0.94</v>
      </c>
      <c r="J79">
        <v>0.95</v>
      </c>
      <c r="K79">
        <v>0.96</v>
      </c>
      <c r="L79">
        <v>0.92</v>
      </c>
      <c r="M79">
        <v>0.93</v>
      </c>
      <c r="N79">
        <v>0.96</v>
      </c>
      <c r="O79">
        <v>0.97</v>
      </c>
      <c r="P79">
        <v>0.99</v>
      </c>
      <c r="Q79">
        <v>1.0900000000000001</v>
      </c>
      <c r="R79">
        <v>0.94</v>
      </c>
      <c r="S79">
        <v>1.03</v>
      </c>
      <c r="T79">
        <v>0.93</v>
      </c>
      <c r="U79">
        <v>0.93</v>
      </c>
      <c r="V79">
        <v>0.93</v>
      </c>
      <c r="W79">
        <v>0.93</v>
      </c>
      <c r="X79">
        <v>0.95</v>
      </c>
      <c r="Y79">
        <v>0.94</v>
      </c>
      <c r="Z79">
        <v>0.94</v>
      </c>
      <c r="AA79" s="8">
        <v>0.89556451612903221</v>
      </c>
      <c r="AB79" s="8">
        <v>1.028</v>
      </c>
      <c r="AC79" s="8">
        <v>0.97699999999999998</v>
      </c>
      <c r="AE79">
        <v>102722</v>
      </c>
      <c r="AF79" t="s">
        <v>145</v>
      </c>
      <c r="AG79">
        <v>4558</v>
      </c>
      <c r="AH79">
        <v>4828</v>
      </c>
      <c r="AI79">
        <v>94.4</v>
      </c>
      <c r="AJ79" s="8">
        <f t="shared" si="3"/>
        <v>0.94400000000000006</v>
      </c>
      <c r="AL79">
        <v>102908</v>
      </c>
      <c r="AM79" s="8">
        <f t="shared" si="2"/>
        <v>0.97699999999999998</v>
      </c>
    </row>
    <row r="80" spans="1:39" x14ac:dyDescent="0.25">
      <c r="A80">
        <v>102331</v>
      </c>
      <c r="B80" t="s">
        <v>134</v>
      </c>
      <c r="C80">
        <v>1.1100000000000001</v>
      </c>
      <c r="D80">
        <v>1.01</v>
      </c>
      <c r="E80">
        <v>1.04</v>
      </c>
      <c r="F80">
        <v>0.96</v>
      </c>
      <c r="G80">
        <v>0.9</v>
      </c>
      <c r="H80">
        <v>1.02</v>
      </c>
      <c r="I80">
        <v>0.97</v>
      </c>
      <c r="J80">
        <v>0.99</v>
      </c>
      <c r="K80">
        <v>0.99</v>
      </c>
      <c r="L80">
        <v>0.99</v>
      </c>
      <c r="M80">
        <v>0.91</v>
      </c>
      <c r="N80">
        <v>0.92</v>
      </c>
      <c r="O80">
        <v>0.91</v>
      </c>
      <c r="P80">
        <v>0.96</v>
      </c>
      <c r="Q80">
        <v>1.08</v>
      </c>
      <c r="R80">
        <v>0.93</v>
      </c>
      <c r="S80">
        <v>0.99</v>
      </c>
      <c r="T80">
        <v>0.96</v>
      </c>
      <c r="U80">
        <v>0.91</v>
      </c>
      <c r="V80">
        <v>0.89</v>
      </c>
      <c r="W80">
        <v>0.95</v>
      </c>
      <c r="X80">
        <v>0.96</v>
      </c>
      <c r="Y80">
        <v>0.91</v>
      </c>
      <c r="Z80">
        <v>0.89</v>
      </c>
      <c r="AA80" s="8">
        <v>0.84155597722960152</v>
      </c>
      <c r="AB80" s="8">
        <v>1.0070000000000001</v>
      </c>
      <c r="AC80" s="8">
        <v>0.94400000000000006</v>
      </c>
      <c r="AE80">
        <v>102109</v>
      </c>
      <c r="AF80" t="s">
        <v>373</v>
      </c>
      <c r="AG80">
        <v>3442</v>
      </c>
      <c r="AH80">
        <v>3716</v>
      </c>
      <c r="AI80">
        <v>92.6</v>
      </c>
      <c r="AJ80" s="8">
        <f t="shared" si="3"/>
        <v>0.92599999999999993</v>
      </c>
      <c r="AL80">
        <v>102331</v>
      </c>
      <c r="AM80" s="8">
        <f t="shared" si="2"/>
        <v>0.94400000000000006</v>
      </c>
    </row>
    <row r="81" spans="1:39" x14ac:dyDescent="0.25">
      <c r="A81">
        <v>102232</v>
      </c>
      <c r="B81" t="s">
        <v>446</v>
      </c>
      <c r="C81">
        <v>1.1100000000000001</v>
      </c>
      <c r="D81">
        <v>1</v>
      </c>
      <c r="E81">
        <v>1.03</v>
      </c>
      <c r="F81">
        <v>0.96</v>
      </c>
      <c r="G81">
        <v>0.9</v>
      </c>
      <c r="H81">
        <v>1</v>
      </c>
      <c r="I81">
        <v>0.95</v>
      </c>
      <c r="J81">
        <v>0.98</v>
      </c>
      <c r="K81">
        <v>0.99</v>
      </c>
      <c r="L81">
        <v>0.97</v>
      </c>
      <c r="M81">
        <v>0.94</v>
      </c>
      <c r="N81">
        <v>0.92</v>
      </c>
      <c r="O81">
        <v>0.91</v>
      </c>
      <c r="P81">
        <v>0.96</v>
      </c>
      <c r="Q81">
        <v>1.1299999999999999</v>
      </c>
      <c r="R81">
        <v>0.93</v>
      </c>
      <c r="S81">
        <v>1.01</v>
      </c>
      <c r="T81">
        <v>0.99</v>
      </c>
      <c r="U81">
        <v>0.88</v>
      </c>
      <c r="V81">
        <v>0.93</v>
      </c>
      <c r="W81">
        <v>0.96</v>
      </c>
      <c r="X81">
        <v>0.94</v>
      </c>
      <c r="Y81">
        <v>0.91</v>
      </c>
      <c r="Z81">
        <v>0.9</v>
      </c>
      <c r="AA81" s="8">
        <v>0.85229540918163671</v>
      </c>
      <c r="AB81" s="8">
        <v>1.0129999999999999</v>
      </c>
      <c r="AC81" s="8">
        <v>0.93799999999999994</v>
      </c>
      <c r="AE81">
        <v>102908</v>
      </c>
      <c r="AF81" t="s">
        <v>454</v>
      </c>
      <c r="AG81">
        <v>6650</v>
      </c>
      <c r="AH81">
        <v>6804</v>
      </c>
      <c r="AI81">
        <v>97.7</v>
      </c>
      <c r="AJ81" s="8">
        <f t="shared" si="3"/>
        <v>0.97699999999999998</v>
      </c>
      <c r="AL81">
        <v>102232</v>
      </c>
      <c r="AM81" s="8">
        <f t="shared" si="2"/>
        <v>0.93799999999999994</v>
      </c>
    </row>
    <row r="82" spans="1:39" x14ac:dyDescent="0.25">
      <c r="A82">
        <v>102217</v>
      </c>
      <c r="B82" t="s">
        <v>148</v>
      </c>
      <c r="C82">
        <v>1.08</v>
      </c>
      <c r="D82">
        <v>0.97</v>
      </c>
      <c r="E82">
        <v>1.03</v>
      </c>
      <c r="F82">
        <v>0.95</v>
      </c>
      <c r="G82">
        <v>0.9</v>
      </c>
      <c r="H82">
        <v>1.01</v>
      </c>
      <c r="I82">
        <v>0.96</v>
      </c>
      <c r="J82">
        <v>0.98</v>
      </c>
      <c r="K82">
        <v>0.98</v>
      </c>
      <c r="L82">
        <v>0.95</v>
      </c>
      <c r="M82">
        <v>0.92</v>
      </c>
      <c r="N82">
        <v>0.91</v>
      </c>
      <c r="O82">
        <v>0.91</v>
      </c>
      <c r="P82">
        <v>0.95</v>
      </c>
      <c r="Q82">
        <v>1.1100000000000001</v>
      </c>
      <c r="R82">
        <v>0.88</v>
      </c>
      <c r="S82">
        <v>0.97</v>
      </c>
      <c r="T82">
        <v>0.94</v>
      </c>
      <c r="U82">
        <v>0.86</v>
      </c>
      <c r="V82">
        <v>0.88</v>
      </c>
      <c r="W82">
        <v>0.95</v>
      </c>
      <c r="X82">
        <v>0.94</v>
      </c>
      <c r="Y82">
        <v>0.92</v>
      </c>
      <c r="Z82">
        <v>0.89</v>
      </c>
      <c r="AA82" s="8">
        <v>0.83675723437154848</v>
      </c>
      <c r="AB82" s="8">
        <v>1</v>
      </c>
      <c r="AC82" s="8">
        <v>0.94200000000000006</v>
      </c>
      <c r="AE82">
        <v>102331</v>
      </c>
      <c r="AF82" t="s">
        <v>134</v>
      </c>
      <c r="AG82">
        <v>3740</v>
      </c>
      <c r="AH82">
        <v>3962</v>
      </c>
      <c r="AI82">
        <v>94.4</v>
      </c>
      <c r="AJ82" s="8">
        <f t="shared" si="3"/>
        <v>0.94400000000000006</v>
      </c>
      <c r="AL82">
        <v>102217</v>
      </c>
      <c r="AM82" s="8">
        <f t="shared" si="2"/>
        <v>0.94200000000000006</v>
      </c>
    </row>
    <row r="83" spans="1:39" x14ac:dyDescent="0.25">
      <c r="A83">
        <v>102709</v>
      </c>
      <c r="B83" t="s">
        <v>116</v>
      </c>
      <c r="C83">
        <v>1.08</v>
      </c>
      <c r="D83">
        <v>0.97</v>
      </c>
      <c r="E83">
        <v>1.03</v>
      </c>
      <c r="F83">
        <v>0.99</v>
      </c>
      <c r="G83">
        <v>0.92</v>
      </c>
      <c r="H83">
        <v>0.99</v>
      </c>
      <c r="I83">
        <v>0.95</v>
      </c>
      <c r="J83">
        <v>0.96</v>
      </c>
      <c r="K83">
        <v>0.97</v>
      </c>
      <c r="L83">
        <v>0.94</v>
      </c>
      <c r="M83">
        <v>0.91</v>
      </c>
      <c r="N83">
        <v>0.95</v>
      </c>
      <c r="O83">
        <v>0.93</v>
      </c>
      <c r="P83">
        <v>0.98</v>
      </c>
      <c r="Q83">
        <v>1.1200000000000001</v>
      </c>
      <c r="R83">
        <v>0.91</v>
      </c>
      <c r="S83">
        <v>1.01</v>
      </c>
      <c r="T83">
        <v>0.95</v>
      </c>
      <c r="U83">
        <v>0.91</v>
      </c>
      <c r="V83">
        <v>0.92</v>
      </c>
      <c r="W83">
        <v>0.95</v>
      </c>
      <c r="X83">
        <v>0.95</v>
      </c>
      <c r="Y83">
        <v>0.92</v>
      </c>
      <c r="Z83">
        <v>0.93</v>
      </c>
      <c r="AA83" s="8">
        <v>0.84093132459401287</v>
      </c>
      <c r="AB83" s="8">
        <v>0.99099999999999999</v>
      </c>
      <c r="AC83" s="8">
        <v>0.94599999999999995</v>
      </c>
      <c r="AE83">
        <v>102240</v>
      </c>
      <c r="AF83" t="s">
        <v>1142</v>
      </c>
      <c r="AG83">
        <v>3807</v>
      </c>
      <c r="AH83">
        <v>4046</v>
      </c>
      <c r="AI83">
        <v>94.1</v>
      </c>
      <c r="AJ83" s="8">
        <f t="shared" si="3"/>
        <v>0.94099999999999995</v>
      </c>
      <c r="AL83">
        <v>102709</v>
      </c>
      <c r="AM83" s="8">
        <f t="shared" si="2"/>
        <v>0.94599999999999995</v>
      </c>
    </row>
    <row r="84" spans="1:39" x14ac:dyDescent="0.25">
      <c r="A84">
        <v>102524</v>
      </c>
      <c r="B84" t="s">
        <v>524</v>
      </c>
      <c r="C84">
        <v>1.0900000000000001</v>
      </c>
      <c r="D84">
        <v>0.98</v>
      </c>
      <c r="E84">
        <v>1.04</v>
      </c>
      <c r="F84">
        <v>0.97</v>
      </c>
      <c r="G84">
        <v>0.91</v>
      </c>
      <c r="H84">
        <v>1.02</v>
      </c>
      <c r="I84">
        <v>0.98</v>
      </c>
      <c r="J84">
        <v>0.98</v>
      </c>
      <c r="K84">
        <v>0.97</v>
      </c>
      <c r="L84">
        <v>0.95</v>
      </c>
      <c r="M84">
        <v>0.93</v>
      </c>
      <c r="N84">
        <v>0.93</v>
      </c>
      <c r="O84">
        <v>0.92</v>
      </c>
      <c r="P84">
        <v>0.94</v>
      </c>
      <c r="Q84">
        <v>1.1299999999999999</v>
      </c>
      <c r="R84">
        <v>0.92</v>
      </c>
      <c r="S84">
        <v>1.01</v>
      </c>
      <c r="T84">
        <v>0.98</v>
      </c>
      <c r="U84">
        <v>0.89</v>
      </c>
      <c r="V84">
        <v>0.91</v>
      </c>
      <c r="W84">
        <v>0.94</v>
      </c>
      <c r="X84">
        <v>0.93</v>
      </c>
      <c r="Y84">
        <v>0.91</v>
      </c>
      <c r="Z84">
        <v>0.89</v>
      </c>
      <c r="AA84" s="8">
        <v>0.82530381944444442</v>
      </c>
      <c r="AB84" s="8">
        <v>1.0049999999999999</v>
      </c>
      <c r="AC84" s="8">
        <v>0.93599999999999994</v>
      </c>
      <c r="AE84">
        <v>102232</v>
      </c>
      <c r="AF84" t="s">
        <v>446</v>
      </c>
      <c r="AG84">
        <v>4100</v>
      </c>
      <c r="AH84">
        <v>4372</v>
      </c>
      <c r="AI84">
        <v>93.8</v>
      </c>
      <c r="AJ84" s="8">
        <f t="shared" si="3"/>
        <v>0.93799999999999994</v>
      </c>
      <c r="AL84">
        <v>102524</v>
      </c>
      <c r="AM84" s="8">
        <f t="shared" si="2"/>
        <v>0.93599999999999994</v>
      </c>
    </row>
    <row r="85" spans="1:39" x14ac:dyDescent="0.25">
      <c r="A85">
        <v>102624</v>
      </c>
      <c r="B85" t="s">
        <v>488</v>
      </c>
      <c r="C85">
        <v>1.1000000000000001</v>
      </c>
      <c r="D85">
        <v>1.01</v>
      </c>
      <c r="E85">
        <v>1.05</v>
      </c>
      <c r="F85">
        <v>0.96</v>
      </c>
      <c r="G85">
        <v>0.92</v>
      </c>
      <c r="H85">
        <v>0.98</v>
      </c>
      <c r="I85">
        <v>0.95</v>
      </c>
      <c r="J85">
        <v>0.97</v>
      </c>
      <c r="K85">
        <v>0.96</v>
      </c>
      <c r="L85">
        <v>0.95</v>
      </c>
      <c r="M85">
        <v>0.91</v>
      </c>
      <c r="N85">
        <v>0.92</v>
      </c>
      <c r="O85">
        <v>0.89</v>
      </c>
      <c r="P85">
        <v>0.96</v>
      </c>
      <c r="Q85">
        <v>1.1100000000000001</v>
      </c>
      <c r="R85">
        <v>0.91</v>
      </c>
      <c r="S85">
        <v>0.99</v>
      </c>
      <c r="T85">
        <v>0.95</v>
      </c>
      <c r="U85">
        <v>0.9</v>
      </c>
      <c r="V85">
        <v>0.88</v>
      </c>
      <c r="W85">
        <v>0.91</v>
      </c>
      <c r="X85">
        <v>0.9</v>
      </c>
      <c r="Y85">
        <v>0.88</v>
      </c>
      <c r="Z85">
        <v>0.87</v>
      </c>
      <c r="AA85" s="8">
        <v>0.79240397065170476</v>
      </c>
      <c r="AB85" s="8">
        <v>1.002</v>
      </c>
      <c r="AC85" s="8">
        <v>0.94499999999999995</v>
      </c>
      <c r="AE85">
        <v>102217</v>
      </c>
      <c r="AF85" t="s">
        <v>148</v>
      </c>
      <c r="AG85">
        <v>4006</v>
      </c>
      <c r="AH85">
        <v>4252</v>
      </c>
      <c r="AI85">
        <v>94.2</v>
      </c>
      <c r="AJ85" s="8">
        <f t="shared" si="3"/>
        <v>0.94200000000000006</v>
      </c>
      <c r="AL85">
        <v>102624</v>
      </c>
      <c r="AM85" s="8">
        <f t="shared" si="2"/>
        <v>0.94499999999999995</v>
      </c>
    </row>
    <row r="86" spans="1:39" x14ac:dyDescent="0.25">
      <c r="A86">
        <v>102720</v>
      </c>
      <c r="B86" t="s">
        <v>117</v>
      </c>
      <c r="C86">
        <v>1.07</v>
      </c>
      <c r="D86">
        <v>0.95</v>
      </c>
      <c r="E86">
        <v>1.02</v>
      </c>
      <c r="F86">
        <v>0.98</v>
      </c>
      <c r="G86">
        <v>0.93</v>
      </c>
      <c r="H86">
        <v>1</v>
      </c>
      <c r="I86">
        <v>0.95</v>
      </c>
      <c r="J86">
        <v>0.95</v>
      </c>
      <c r="K86">
        <v>0.96</v>
      </c>
      <c r="L86">
        <v>0.95</v>
      </c>
      <c r="M86">
        <v>0.91</v>
      </c>
      <c r="N86">
        <v>0.91</v>
      </c>
      <c r="O86">
        <v>0.92</v>
      </c>
      <c r="P86">
        <v>0.97</v>
      </c>
      <c r="Q86">
        <v>1.1100000000000001</v>
      </c>
      <c r="R86">
        <v>0.9</v>
      </c>
      <c r="S86">
        <v>0.99</v>
      </c>
      <c r="T86">
        <v>0.95</v>
      </c>
      <c r="U86">
        <v>0.89</v>
      </c>
      <c r="V86">
        <v>0.9</v>
      </c>
      <c r="W86">
        <v>0.93</v>
      </c>
      <c r="X86">
        <v>0.94</v>
      </c>
      <c r="Y86">
        <v>0.93</v>
      </c>
      <c r="Z86">
        <v>0.93</v>
      </c>
      <c r="AA86" s="8">
        <v>0.81696687972109239</v>
      </c>
      <c r="AB86" s="8">
        <v>0.99900000000000011</v>
      </c>
      <c r="AC86" s="8">
        <v>0.94700000000000006</v>
      </c>
      <c r="AE86">
        <v>102709</v>
      </c>
      <c r="AF86" t="s">
        <v>116</v>
      </c>
      <c r="AG86">
        <v>4665</v>
      </c>
      <c r="AH86">
        <v>4932</v>
      </c>
      <c r="AI86">
        <v>94.6</v>
      </c>
      <c r="AJ86" s="8">
        <f t="shared" si="3"/>
        <v>0.94599999999999995</v>
      </c>
      <c r="AL86">
        <v>102720</v>
      </c>
      <c r="AM86" s="8">
        <f t="shared" si="2"/>
        <v>0.94700000000000006</v>
      </c>
    </row>
    <row r="87" spans="1:39" x14ac:dyDescent="0.25">
      <c r="A87">
        <v>102326</v>
      </c>
      <c r="B87" t="s">
        <v>215</v>
      </c>
      <c r="C87">
        <v>1.1200000000000001</v>
      </c>
      <c r="D87">
        <v>1.01</v>
      </c>
      <c r="E87">
        <v>1.04</v>
      </c>
      <c r="F87">
        <v>0.96</v>
      </c>
      <c r="G87">
        <v>0.91</v>
      </c>
      <c r="H87">
        <v>1.01</v>
      </c>
      <c r="I87">
        <v>0.95</v>
      </c>
      <c r="J87">
        <v>0.99</v>
      </c>
      <c r="K87">
        <v>1.01</v>
      </c>
      <c r="L87">
        <v>0.97</v>
      </c>
      <c r="M87">
        <v>0.94</v>
      </c>
      <c r="N87">
        <v>0.92</v>
      </c>
      <c r="O87">
        <v>0.92</v>
      </c>
      <c r="P87">
        <v>0.98</v>
      </c>
      <c r="Q87">
        <v>1.1200000000000001</v>
      </c>
      <c r="R87">
        <v>0.92</v>
      </c>
      <c r="S87">
        <v>1.02</v>
      </c>
      <c r="T87">
        <v>0.99</v>
      </c>
      <c r="U87">
        <v>0.89</v>
      </c>
      <c r="V87">
        <v>0.91</v>
      </c>
      <c r="W87">
        <v>0.95</v>
      </c>
      <c r="X87">
        <v>0.94</v>
      </c>
      <c r="Y87">
        <v>0.9</v>
      </c>
      <c r="Z87">
        <v>0.89</v>
      </c>
      <c r="AA87" s="8">
        <v>0.83850100379210346</v>
      </c>
      <c r="AB87" s="8">
        <v>1.0070000000000001</v>
      </c>
      <c r="AC87" s="8">
        <v>0.93099999999999994</v>
      </c>
      <c r="AE87">
        <v>102524</v>
      </c>
      <c r="AF87" t="s">
        <v>524</v>
      </c>
      <c r="AG87">
        <v>4127</v>
      </c>
      <c r="AH87">
        <v>4407</v>
      </c>
      <c r="AI87">
        <v>93.6</v>
      </c>
      <c r="AJ87" s="8">
        <f t="shared" si="3"/>
        <v>0.93599999999999994</v>
      </c>
      <c r="AL87">
        <v>102326</v>
      </c>
      <c r="AM87" s="8">
        <f t="shared" si="2"/>
        <v>0.93099999999999994</v>
      </c>
    </row>
    <row r="88" spans="1:39" x14ac:dyDescent="0.25">
      <c r="A88">
        <v>102316</v>
      </c>
      <c r="B88" t="s">
        <v>516</v>
      </c>
      <c r="C88">
        <v>1.1100000000000001</v>
      </c>
      <c r="D88">
        <v>1.02</v>
      </c>
      <c r="E88">
        <v>1.03</v>
      </c>
      <c r="F88">
        <v>0.97</v>
      </c>
      <c r="G88">
        <v>0.91</v>
      </c>
      <c r="H88">
        <v>0.99</v>
      </c>
      <c r="I88">
        <v>0.94</v>
      </c>
      <c r="J88">
        <v>0.98</v>
      </c>
      <c r="K88">
        <v>0.99</v>
      </c>
      <c r="L88">
        <v>0.96</v>
      </c>
      <c r="M88">
        <v>0.92</v>
      </c>
      <c r="N88">
        <v>0.9</v>
      </c>
      <c r="O88">
        <v>0.9</v>
      </c>
      <c r="P88">
        <v>0.94</v>
      </c>
      <c r="Q88">
        <v>1.1200000000000001</v>
      </c>
      <c r="R88">
        <v>0.92</v>
      </c>
      <c r="S88">
        <v>1.02</v>
      </c>
      <c r="T88">
        <v>0.98</v>
      </c>
      <c r="U88">
        <v>0.87</v>
      </c>
      <c r="V88">
        <v>0.93</v>
      </c>
      <c r="W88">
        <v>0.95</v>
      </c>
      <c r="X88">
        <v>0.93</v>
      </c>
      <c r="Y88">
        <v>0.89</v>
      </c>
      <c r="Z88">
        <v>0.87</v>
      </c>
      <c r="AA88" s="8">
        <v>0.84279670452015143</v>
      </c>
      <c r="AB88" s="8">
        <v>1.0090000000000001</v>
      </c>
      <c r="AC88" s="8">
        <v>0.94200000000000006</v>
      </c>
      <c r="AE88">
        <v>102624</v>
      </c>
      <c r="AF88" t="s">
        <v>488</v>
      </c>
      <c r="AG88">
        <v>4100</v>
      </c>
      <c r="AH88">
        <v>4337</v>
      </c>
      <c r="AI88">
        <v>94.5</v>
      </c>
      <c r="AJ88" s="8">
        <f t="shared" si="3"/>
        <v>0.94499999999999995</v>
      </c>
      <c r="AL88">
        <v>102316</v>
      </c>
      <c r="AM88" s="8">
        <f t="shared" si="2"/>
        <v>0.94200000000000006</v>
      </c>
    </row>
    <row r="89" spans="1:39" x14ac:dyDescent="0.25">
      <c r="A89">
        <v>102637</v>
      </c>
      <c r="B89" t="s">
        <v>1041</v>
      </c>
      <c r="Y89">
        <v>0.9</v>
      </c>
      <c r="Z89">
        <v>0.89</v>
      </c>
      <c r="AA89" s="8">
        <v>0.81445783132530125</v>
      </c>
      <c r="AB89" s="8">
        <v>1.026</v>
      </c>
      <c r="AC89" s="8">
        <v>0.96299999999999997</v>
      </c>
      <c r="AE89">
        <v>102720</v>
      </c>
      <c r="AF89" t="s">
        <v>117</v>
      </c>
      <c r="AG89">
        <v>4665</v>
      </c>
      <c r="AH89">
        <v>4924</v>
      </c>
      <c r="AI89">
        <v>94.7</v>
      </c>
      <c r="AJ89" s="8">
        <f t="shared" si="3"/>
        <v>0.94700000000000006</v>
      </c>
      <c r="AL89">
        <v>102637</v>
      </c>
      <c r="AM89" s="8">
        <f t="shared" si="2"/>
        <v>0.96299999999999997</v>
      </c>
    </row>
    <row r="90" spans="1:39" x14ac:dyDescent="0.25">
      <c r="A90">
        <v>102531</v>
      </c>
      <c r="B90" t="s">
        <v>125</v>
      </c>
      <c r="Y90">
        <v>0.93</v>
      </c>
      <c r="Z90">
        <v>0.93</v>
      </c>
      <c r="AA90" s="8">
        <v>0.84290808240887483</v>
      </c>
      <c r="AB90" s="8">
        <v>1.004</v>
      </c>
      <c r="AC90" s="8">
        <v>0.94700000000000006</v>
      </c>
      <c r="AE90">
        <v>102326</v>
      </c>
      <c r="AF90" t="s">
        <v>215</v>
      </c>
      <c r="AG90">
        <v>4043</v>
      </c>
      <c r="AH90">
        <v>4342</v>
      </c>
      <c r="AI90">
        <v>93.1</v>
      </c>
      <c r="AJ90" s="8">
        <f t="shared" si="3"/>
        <v>0.93099999999999994</v>
      </c>
      <c r="AL90">
        <v>102531</v>
      </c>
      <c r="AM90" s="8">
        <f t="shared" si="2"/>
        <v>0.94700000000000006</v>
      </c>
    </row>
    <row r="91" spans="1:39" x14ac:dyDescent="0.25">
      <c r="A91">
        <v>102806</v>
      </c>
      <c r="B91" t="s">
        <v>150</v>
      </c>
      <c r="C91">
        <v>1.04</v>
      </c>
      <c r="D91">
        <v>0.95</v>
      </c>
      <c r="E91">
        <v>1.01</v>
      </c>
      <c r="F91">
        <v>0.98</v>
      </c>
      <c r="G91">
        <v>0.91</v>
      </c>
      <c r="H91">
        <v>0.98</v>
      </c>
      <c r="I91">
        <v>0.94</v>
      </c>
      <c r="J91">
        <v>0.96</v>
      </c>
      <c r="K91">
        <v>0.95</v>
      </c>
      <c r="L91">
        <v>0.94</v>
      </c>
      <c r="M91">
        <v>0.9</v>
      </c>
      <c r="N91">
        <v>0.91</v>
      </c>
      <c r="O91">
        <v>0.9</v>
      </c>
      <c r="P91">
        <v>0.94</v>
      </c>
      <c r="Q91">
        <v>1.08</v>
      </c>
      <c r="R91">
        <v>0.88</v>
      </c>
      <c r="S91">
        <v>0.97</v>
      </c>
      <c r="T91">
        <v>0.92</v>
      </c>
      <c r="U91">
        <v>0.87</v>
      </c>
      <c r="V91">
        <v>0.88</v>
      </c>
      <c r="W91">
        <v>0.94</v>
      </c>
      <c r="X91">
        <v>0.94</v>
      </c>
      <c r="Y91">
        <v>0.93</v>
      </c>
      <c r="Z91">
        <v>0.93</v>
      </c>
      <c r="AA91" s="8">
        <v>0.82826086956521738</v>
      </c>
      <c r="AB91" s="8">
        <v>1.0070000000000001</v>
      </c>
      <c r="AC91" s="8">
        <v>0.96700000000000008</v>
      </c>
      <c r="AE91">
        <v>102316</v>
      </c>
      <c r="AF91" t="s">
        <v>516</v>
      </c>
      <c r="AG91">
        <v>4056</v>
      </c>
      <c r="AH91">
        <v>4305</v>
      </c>
      <c r="AI91">
        <v>94.2</v>
      </c>
      <c r="AJ91" s="8">
        <f t="shared" si="3"/>
        <v>0.94200000000000006</v>
      </c>
      <c r="AL91">
        <v>102806</v>
      </c>
      <c r="AM91" s="8">
        <f t="shared" si="2"/>
        <v>0.96700000000000008</v>
      </c>
    </row>
    <row r="92" spans="1:39" x14ac:dyDescent="0.25">
      <c r="A92">
        <v>102254</v>
      </c>
      <c r="B92" t="s">
        <v>882</v>
      </c>
      <c r="Y92">
        <v>0.91</v>
      </c>
      <c r="Z92">
        <v>0.88</v>
      </c>
      <c r="AA92" s="8">
        <v>0.84513692162417375</v>
      </c>
      <c r="AB92" s="8">
        <v>1.02</v>
      </c>
      <c r="AC92" s="8">
        <v>0.93099999999999994</v>
      </c>
      <c r="AE92">
        <v>102531</v>
      </c>
      <c r="AF92" t="s">
        <v>125</v>
      </c>
      <c r="AG92">
        <v>4651</v>
      </c>
      <c r="AH92">
        <v>4911</v>
      </c>
      <c r="AI92">
        <v>94.7</v>
      </c>
      <c r="AJ92" s="8">
        <f t="shared" si="3"/>
        <v>0.94700000000000006</v>
      </c>
      <c r="AL92">
        <v>102254</v>
      </c>
      <c r="AM92" s="8">
        <f t="shared" si="2"/>
        <v>0.93099999999999994</v>
      </c>
    </row>
    <row r="93" spans="1:39" x14ac:dyDescent="0.25">
      <c r="A93">
        <v>102112</v>
      </c>
      <c r="B93" t="s">
        <v>151</v>
      </c>
      <c r="C93">
        <v>1.1000000000000001</v>
      </c>
      <c r="D93">
        <v>1.01</v>
      </c>
      <c r="E93">
        <v>1.02</v>
      </c>
      <c r="F93">
        <v>0.96</v>
      </c>
      <c r="G93">
        <v>0.9</v>
      </c>
      <c r="H93">
        <v>0.98</v>
      </c>
      <c r="I93">
        <v>0.94</v>
      </c>
      <c r="J93">
        <v>0.98</v>
      </c>
      <c r="K93">
        <v>0.98</v>
      </c>
      <c r="L93">
        <v>0.96</v>
      </c>
      <c r="M93">
        <v>0.92</v>
      </c>
      <c r="N93">
        <v>0.9</v>
      </c>
      <c r="O93">
        <v>0.91</v>
      </c>
      <c r="P93">
        <v>0.95</v>
      </c>
      <c r="Q93">
        <v>1.1200000000000001</v>
      </c>
      <c r="R93">
        <v>0.93</v>
      </c>
      <c r="S93">
        <v>1.02</v>
      </c>
      <c r="T93">
        <v>0.98</v>
      </c>
      <c r="U93">
        <v>0.88</v>
      </c>
      <c r="V93">
        <v>0.93</v>
      </c>
      <c r="W93">
        <v>0.94</v>
      </c>
      <c r="X93">
        <v>0.93</v>
      </c>
      <c r="Y93">
        <v>0.89</v>
      </c>
      <c r="Z93">
        <v>0.87</v>
      </c>
      <c r="AA93" s="8">
        <v>0.84274381707886137</v>
      </c>
      <c r="AB93" s="8">
        <v>1.0149999999999999</v>
      </c>
      <c r="AC93" s="8">
        <v>0.94200000000000006</v>
      </c>
      <c r="AE93">
        <v>102806</v>
      </c>
      <c r="AF93" t="s">
        <v>150</v>
      </c>
      <c r="AG93">
        <v>4932</v>
      </c>
      <c r="AH93">
        <v>5098</v>
      </c>
      <c r="AI93">
        <v>96.7</v>
      </c>
      <c r="AJ93" s="8">
        <f t="shared" si="3"/>
        <v>0.96700000000000008</v>
      </c>
      <c r="AL93">
        <v>102112</v>
      </c>
      <c r="AM93" s="8">
        <f t="shared" si="2"/>
        <v>0.94200000000000006</v>
      </c>
    </row>
    <row r="94" spans="1:39" x14ac:dyDescent="0.25">
      <c r="A94">
        <v>102129</v>
      </c>
      <c r="B94" t="s">
        <v>153</v>
      </c>
      <c r="C94">
        <v>1.1000000000000001</v>
      </c>
      <c r="D94">
        <v>1</v>
      </c>
      <c r="E94">
        <v>1.01</v>
      </c>
      <c r="F94">
        <v>0.95</v>
      </c>
      <c r="G94">
        <v>0.91</v>
      </c>
      <c r="H94">
        <v>0.97</v>
      </c>
      <c r="I94">
        <v>0.94</v>
      </c>
      <c r="J94">
        <v>0.96</v>
      </c>
      <c r="K94">
        <v>0.97</v>
      </c>
      <c r="L94">
        <v>0.94</v>
      </c>
      <c r="M94">
        <v>0.91</v>
      </c>
      <c r="N94">
        <v>0.89</v>
      </c>
      <c r="O94">
        <v>0.88</v>
      </c>
      <c r="P94">
        <v>0.93</v>
      </c>
      <c r="Q94">
        <v>1.1100000000000001</v>
      </c>
      <c r="R94">
        <v>0.93</v>
      </c>
      <c r="S94">
        <v>1.01</v>
      </c>
      <c r="T94">
        <v>0.97</v>
      </c>
      <c r="U94">
        <v>0.86</v>
      </c>
      <c r="V94">
        <v>0.91</v>
      </c>
      <c r="W94">
        <v>0.95</v>
      </c>
      <c r="X94">
        <v>0.95</v>
      </c>
      <c r="Y94">
        <v>0.9</v>
      </c>
      <c r="Z94">
        <v>0.87</v>
      </c>
      <c r="AA94" s="8">
        <v>0.83825025432349953</v>
      </c>
      <c r="AB94" s="8">
        <v>0.996</v>
      </c>
      <c r="AC94" s="8">
        <v>0.93</v>
      </c>
      <c r="AE94">
        <v>102112</v>
      </c>
      <c r="AF94" t="s">
        <v>151</v>
      </c>
      <c r="AG94">
        <v>3821</v>
      </c>
      <c r="AH94">
        <v>4056</v>
      </c>
      <c r="AI94">
        <v>94.2</v>
      </c>
      <c r="AJ94" s="8">
        <f t="shared" si="3"/>
        <v>0.94200000000000006</v>
      </c>
      <c r="AL94">
        <v>102129</v>
      </c>
      <c r="AM94" s="8">
        <f t="shared" si="2"/>
        <v>0.93</v>
      </c>
    </row>
    <row r="95" spans="1:39" x14ac:dyDescent="0.25">
      <c r="A95">
        <v>102340</v>
      </c>
      <c r="B95" t="s">
        <v>1042</v>
      </c>
      <c r="Y95">
        <v>0.9</v>
      </c>
      <c r="Z95">
        <v>0.88</v>
      </c>
      <c r="AA95" s="8">
        <v>0.82998382998383002</v>
      </c>
      <c r="AB95" s="8">
        <v>1.0049999999999999</v>
      </c>
      <c r="AC95" s="8">
        <v>0.93400000000000005</v>
      </c>
      <c r="AE95">
        <v>102129</v>
      </c>
      <c r="AF95" t="s">
        <v>153</v>
      </c>
      <c r="AG95">
        <v>3428</v>
      </c>
      <c r="AH95">
        <v>3686</v>
      </c>
      <c r="AI95">
        <v>93</v>
      </c>
      <c r="AJ95" s="8">
        <f t="shared" si="3"/>
        <v>0.93</v>
      </c>
      <c r="AL95">
        <v>102340</v>
      </c>
      <c r="AM95" s="8">
        <f t="shared" si="2"/>
        <v>0.93400000000000005</v>
      </c>
    </row>
    <row r="96" spans="1:39" x14ac:dyDescent="0.25">
      <c r="A96">
        <v>102125</v>
      </c>
      <c r="B96" t="s">
        <v>508</v>
      </c>
      <c r="C96">
        <v>1.1299999999999999</v>
      </c>
      <c r="D96">
        <v>1.03</v>
      </c>
      <c r="E96">
        <v>1.05</v>
      </c>
      <c r="F96">
        <v>0.98</v>
      </c>
      <c r="G96">
        <v>0.93</v>
      </c>
      <c r="H96">
        <v>0.97</v>
      </c>
      <c r="I96">
        <v>0.93</v>
      </c>
      <c r="J96">
        <v>0.96</v>
      </c>
      <c r="K96">
        <v>0.98</v>
      </c>
      <c r="L96">
        <v>0.96</v>
      </c>
      <c r="M96">
        <v>0.92</v>
      </c>
      <c r="N96">
        <v>0.9</v>
      </c>
      <c r="O96">
        <v>0.9</v>
      </c>
      <c r="P96">
        <v>0.95</v>
      </c>
      <c r="Q96">
        <v>1.1100000000000001</v>
      </c>
      <c r="R96">
        <v>0.93</v>
      </c>
      <c r="S96">
        <v>1</v>
      </c>
      <c r="T96">
        <v>0.97</v>
      </c>
      <c r="U96">
        <v>0.86</v>
      </c>
      <c r="V96">
        <v>0.91</v>
      </c>
      <c r="W96">
        <v>0.93</v>
      </c>
      <c r="X96">
        <v>0.94</v>
      </c>
      <c r="Y96">
        <v>0.88</v>
      </c>
      <c r="Z96">
        <v>0.87</v>
      </c>
      <c r="AA96" s="8">
        <v>0.84093623119178407</v>
      </c>
      <c r="AB96" s="8">
        <v>0.998</v>
      </c>
      <c r="AC96" s="8">
        <v>0.93599999999999994</v>
      </c>
      <c r="AE96">
        <v>102340</v>
      </c>
      <c r="AF96" t="s">
        <v>1042</v>
      </c>
      <c r="AG96">
        <v>3927</v>
      </c>
      <c r="AH96">
        <v>4207</v>
      </c>
      <c r="AI96">
        <v>93.4</v>
      </c>
      <c r="AJ96" s="8">
        <f t="shared" si="3"/>
        <v>0.93400000000000005</v>
      </c>
      <c r="AL96">
        <v>102125</v>
      </c>
      <c r="AM96" s="8">
        <f t="shared" si="2"/>
        <v>0.93599999999999994</v>
      </c>
    </row>
    <row r="97" spans="1:39" x14ac:dyDescent="0.25">
      <c r="A97">
        <v>102127</v>
      </c>
      <c r="B97" t="s">
        <v>243</v>
      </c>
      <c r="C97">
        <v>1.1200000000000001</v>
      </c>
      <c r="D97">
        <v>1.02</v>
      </c>
      <c r="E97">
        <v>1.03</v>
      </c>
      <c r="F97">
        <v>0.97</v>
      </c>
      <c r="G97">
        <v>0.91</v>
      </c>
      <c r="H97">
        <v>0.98</v>
      </c>
      <c r="I97">
        <v>0.94</v>
      </c>
      <c r="J97">
        <v>0.98</v>
      </c>
      <c r="K97">
        <v>0.99</v>
      </c>
      <c r="L97">
        <v>0.96</v>
      </c>
      <c r="M97">
        <v>0.92</v>
      </c>
      <c r="N97">
        <v>0.89</v>
      </c>
      <c r="O97">
        <v>0.9</v>
      </c>
      <c r="P97">
        <v>0.95</v>
      </c>
      <c r="Q97">
        <v>1.1200000000000001</v>
      </c>
      <c r="R97">
        <v>0.92</v>
      </c>
      <c r="S97">
        <v>1</v>
      </c>
      <c r="T97">
        <v>0.98</v>
      </c>
      <c r="U97">
        <v>0.86</v>
      </c>
      <c r="V97">
        <v>0.92</v>
      </c>
      <c r="W97">
        <v>0.93</v>
      </c>
      <c r="X97">
        <v>0.93</v>
      </c>
      <c r="Y97">
        <v>0.87</v>
      </c>
      <c r="Z97">
        <v>0.86</v>
      </c>
      <c r="AA97" s="8">
        <v>0.83544303797468356</v>
      </c>
      <c r="AB97" s="8">
        <v>1.004</v>
      </c>
      <c r="AC97" s="8">
        <v>0.93700000000000006</v>
      </c>
      <c r="AE97">
        <v>102125</v>
      </c>
      <c r="AF97" t="s">
        <v>242</v>
      </c>
      <c r="AG97">
        <v>3718</v>
      </c>
      <c r="AH97">
        <v>3974</v>
      </c>
      <c r="AI97">
        <v>93.6</v>
      </c>
      <c r="AJ97" s="8">
        <f t="shared" si="3"/>
        <v>0.93599999999999994</v>
      </c>
      <c r="AL97">
        <v>102127</v>
      </c>
      <c r="AM97" s="8">
        <f t="shared" si="2"/>
        <v>0.93700000000000006</v>
      </c>
    </row>
    <row r="98" spans="1:39" x14ac:dyDescent="0.25">
      <c r="A98">
        <v>102008</v>
      </c>
      <c r="B98" t="s">
        <v>154</v>
      </c>
      <c r="C98">
        <v>1.04</v>
      </c>
      <c r="D98">
        <v>0.99</v>
      </c>
      <c r="E98">
        <v>1.07</v>
      </c>
      <c r="F98">
        <v>1</v>
      </c>
      <c r="G98">
        <v>0.94</v>
      </c>
      <c r="H98">
        <v>1.01</v>
      </c>
      <c r="I98">
        <v>0.97</v>
      </c>
      <c r="J98">
        <v>0.95</v>
      </c>
      <c r="K98">
        <v>1</v>
      </c>
      <c r="L98">
        <v>0.94</v>
      </c>
      <c r="M98">
        <v>0.93</v>
      </c>
      <c r="N98">
        <v>0.94</v>
      </c>
      <c r="O98">
        <v>0.95</v>
      </c>
      <c r="P98">
        <v>0.96</v>
      </c>
      <c r="Q98">
        <v>1.07</v>
      </c>
      <c r="R98">
        <v>0.92</v>
      </c>
      <c r="S98">
        <v>1.03</v>
      </c>
      <c r="T98">
        <v>0.96</v>
      </c>
      <c r="U98">
        <v>0.93</v>
      </c>
      <c r="V98">
        <v>0.9</v>
      </c>
      <c r="W98">
        <v>0.96</v>
      </c>
      <c r="X98">
        <v>0.98</v>
      </c>
      <c r="Y98">
        <v>0.97</v>
      </c>
      <c r="Z98">
        <v>1</v>
      </c>
      <c r="AA98" s="8">
        <v>0.88374113218474015</v>
      </c>
      <c r="AB98" s="8">
        <v>1.0109999999999999</v>
      </c>
      <c r="AC98" s="8">
        <v>0.95200000000000007</v>
      </c>
      <c r="AE98">
        <v>102127</v>
      </c>
      <c r="AF98" t="s">
        <v>243</v>
      </c>
      <c r="AG98">
        <v>3709</v>
      </c>
      <c r="AH98">
        <v>3958</v>
      </c>
      <c r="AI98">
        <v>93.7</v>
      </c>
      <c r="AJ98" s="8">
        <f t="shared" si="3"/>
        <v>0.93700000000000006</v>
      </c>
      <c r="AL98">
        <v>102008</v>
      </c>
      <c r="AM98" s="8">
        <f t="shared" si="2"/>
        <v>0.95200000000000007</v>
      </c>
    </row>
    <row r="99" spans="1:39" x14ac:dyDescent="0.25">
      <c r="A99">
        <v>102815</v>
      </c>
      <c r="B99" t="s">
        <v>47</v>
      </c>
      <c r="C99">
        <v>1.07</v>
      </c>
      <c r="D99">
        <v>0.97</v>
      </c>
      <c r="E99">
        <v>1.01</v>
      </c>
      <c r="F99">
        <v>1.01</v>
      </c>
      <c r="G99">
        <v>0.94</v>
      </c>
      <c r="H99">
        <v>1.01</v>
      </c>
      <c r="I99">
        <v>0.94</v>
      </c>
      <c r="J99">
        <v>0.97</v>
      </c>
      <c r="K99">
        <v>0.97</v>
      </c>
      <c r="L99">
        <v>0.95</v>
      </c>
      <c r="M99">
        <v>0.91</v>
      </c>
      <c r="N99">
        <v>0.95</v>
      </c>
      <c r="O99">
        <v>0.94</v>
      </c>
      <c r="P99">
        <v>0.99</v>
      </c>
      <c r="Q99">
        <v>1.1200000000000001</v>
      </c>
      <c r="R99">
        <v>0.92</v>
      </c>
      <c r="S99">
        <v>1</v>
      </c>
      <c r="T99">
        <v>0.96</v>
      </c>
      <c r="U99">
        <v>0.9</v>
      </c>
      <c r="V99">
        <v>0.92</v>
      </c>
      <c r="W99">
        <v>0.97</v>
      </c>
      <c r="X99">
        <v>0.97</v>
      </c>
      <c r="Y99">
        <v>0.96</v>
      </c>
      <c r="Z99">
        <v>0.95</v>
      </c>
      <c r="AA99" s="8">
        <v>0.86105610561056101</v>
      </c>
      <c r="AB99" s="8">
        <v>1.0270000000000001</v>
      </c>
      <c r="AC99" s="8">
        <v>0.96799999999999997</v>
      </c>
      <c r="AE99">
        <v>102626</v>
      </c>
      <c r="AF99" t="s">
        <v>1221</v>
      </c>
      <c r="AG99">
        <v>4000</v>
      </c>
      <c r="AH99">
        <v>4212</v>
      </c>
      <c r="AI99">
        <v>95</v>
      </c>
      <c r="AJ99" s="8">
        <f t="shared" si="3"/>
        <v>0.95</v>
      </c>
      <c r="AL99">
        <v>102815</v>
      </c>
      <c r="AM99" s="8">
        <f t="shared" si="2"/>
        <v>0.96799999999999997</v>
      </c>
    </row>
    <row r="100" spans="1:39" x14ac:dyDescent="0.25">
      <c r="A100">
        <v>102626</v>
      </c>
      <c r="B100" t="s">
        <v>66</v>
      </c>
      <c r="C100">
        <v>1.0900000000000001</v>
      </c>
      <c r="D100">
        <v>1.01</v>
      </c>
      <c r="E100">
        <v>1.03</v>
      </c>
      <c r="F100">
        <v>0.94</v>
      </c>
      <c r="G100">
        <v>0.89</v>
      </c>
      <c r="H100">
        <v>0.96</v>
      </c>
      <c r="I100">
        <v>0.93</v>
      </c>
      <c r="J100">
        <v>0.95</v>
      </c>
      <c r="K100">
        <v>0.94</v>
      </c>
      <c r="L100">
        <v>0.93</v>
      </c>
      <c r="M100">
        <v>0.9</v>
      </c>
      <c r="N100">
        <v>0.89</v>
      </c>
      <c r="O100">
        <v>0.87</v>
      </c>
      <c r="P100">
        <v>0.92</v>
      </c>
      <c r="Q100">
        <v>1.0900000000000001</v>
      </c>
      <c r="R100">
        <v>0.87</v>
      </c>
      <c r="S100">
        <v>0.96</v>
      </c>
      <c r="T100">
        <v>0.91</v>
      </c>
      <c r="U100">
        <v>0.87</v>
      </c>
      <c r="V100">
        <v>0.85</v>
      </c>
      <c r="W100">
        <v>0.91</v>
      </c>
      <c r="X100">
        <v>0.9</v>
      </c>
      <c r="Y100">
        <v>0.87</v>
      </c>
      <c r="Z100">
        <v>0.87</v>
      </c>
      <c r="AA100" s="8">
        <v>0.79077936333699228</v>
      </c>
      <c r="AB100" s="8">
        <v>1.018</v>
      </c>
      <c r="AC100" s="8">
        <v>0.95</v>
      </c>
      <c r="AE100">
        <v>102008</v>
      </c>
      <c r="AF100" t="s">
        <v>154</v>
      </c>
      <c r="AG100">
        <v>6474</v>
      </c>
      <c r="AH100">
        <v>6799</v>
      </c>
      <c r="AI100">
        <v>95.2</v>
      </c>
      <c r="AJ100" s="8">
        <f t="shared" si="3"/>
        <v>0.95200000000000007</v>
      </c>
      <c r="AL100">
        <v>102626</v>
      </c>
      <c r="AM100" s="8">
        <f t="shared" si="2"/>
        <v>0.95</v>
      </c>
    </row>
    <row r="101" spans="1:39" x14ac:dyDescent="0.25">
      <c r="A101">
        <v>102320</v>
      </c>
      <c r="B101" t="s">
        <v>160</v>
      </c>
      <c r="C101">
        <v>1.1000000000000001</v>
      </c>
      <c r="D101">
        <v>1</v>
      </c>
      <c r="E101">
        <v>1.04</v>
      </c>
      <c r="F101">
        <v>0.97</v>
      </c>
      <c r="G101">
        <v>0.91</v>
      </c>
      <c r="H101">
        <v>1.01</v>
      </c>
      <c r="I101">
        <v>0.95</v>
      </c>
      <c r="J101">
        <v>0.97</v>
      </c>
      <c r="K101">
        <v>0.99</v>
      </c>
      <c r="L101">
        <v>0.96</v>
      </c>
      <c r="M101">
        <v>0.92</v>
      </c>
      <c r="N101">
        <v>0.89</v>
      </c>
      <c r="O101">
        <v>0.89</v>
      </c>
      <c r="P101">
        <v>0.93</v>
      </c>
      <c r="Q101">
        <v>1.0900000000000001</v>
      </c>
      <c r="R101">
        <v>0.9</v>
      </c>
      <c r="S101">
        <v>0.98</v>
      </c>
      <c r="T101">
        <v>0.97</v>
      </c>
      <c r="U101">
        <v>0.87</v>
      </c>
      <c r="V101">
        <v>0.89</v>
      </c>
      <c r="W101">
        <v>0.95</v>
      </c>
      <c r="X101">
        <v>0.93</v>
      </c>
      <c r="Y101">
        <v>0.89</v>
      </c>
      <c r="Z101">
        <v>0.87</v>
      </c>
      <c r="AA101" s="8">
        <v>0.83365487674169347</v>
      </c>
      <c r="AB101" s="8">
        <v>0.99</v>
      </c>
      <c r="AC101" s="8">
        <v>0.92700000000000005</v>
      </c>
      <c r="AE101">
        <v>102815</v>
      </c>
      <c r="AF101" t="s">
        <v>47</v>
      </c>
      <c r="AG101">
        <v>5749</v>
      </c>
      <c r="AH101">
        <v>5937</v>
      </c>
      <c r="AI101">
        <v>96.8</v>
      </c>
      <c r="AJ101" s="8">
        <f t="shared" si="3"/>
        <v>0.96799999999999997</v>
      </c>
      <c r="AL101">
        <v>102320</v>
      </c>
      <c r="AM101" s="8">
        <f t="shared" si="2"/>
        <v>0.92700000000000005</v>
      </c>
    </row>
    <row r="102" spans="1:39" x14ac:dyDescent="0.25">
      <c r="A102">
        <v>102017</v>
      </c>
      <c r="B102" t="s">
        <v>346</v>
      </c>
      <c r="C102">
        <v>1.02</v>
      </c>
      <c r="D102">
        <v>1</v>
      </c>
      <c r="E102">
        <v>1.06</v>
      </c>
      <c r="F102">
        <v>1.01</v>
      </c>
      <c r="G102">
        <v>0.94</v>
      </c>
      <c r="H102">
        <v>0.99</v>
      </c>
      <c r="I102">
        <v>0.98</v>
      </c>
      <c r="J102">
        <v>0.96</v>
      </c>
      <c r="K102">
        <v>0.99</v>
      </c>
      <c r="L102">
        <v>0.93</v>
      </c>
      <c r="M102">
        <v>0.95</v>
      </c>
      <c r="N102">
        <v>0.94</v>
      </c>
      <c r="O102">
        <v>0.95</v>
      </c>
      <c r="P102">
        <v>0.95</v>
      </c>
      <c r="Q102">
        <v>1.06</v>
      </c>
      <c r="R102">
        <v>0.92</v>
      </c>
      <c r="S102">
        <v>1.01</v>
      </c>
      <c r="T102">
        <v>0.94</v>
      </c>
      <c r="U102">
        <v>0.91</v>
      </c>
      <c r="V102">
        <v>0.89</v>
      </c>
      <c r="W102">
        <v>0.96</v>
      </c>
      <c r="X102">
        <v>0.99</v>
      </c>
      <c r="Y102">
        <v>0.96</v>
      </c>
      <c r="Z102">
        <v>0.98</v>
      </c>
      <c r="AA102" s="8">
        <v>0.86244301210501495</v>
      </c>
      <c r="AB102" s="8">
        <v>1.0309999999999999</v>
      </c>
      <c r="AC102" s="8">
        <v>0.97</v>
      </c>
      <c r="AE102">
        <v>102320</v>
      </c>
      <c r="AF102" t="s">
        <v>160</v>
      </c>
      <c r="AG102">
        <v>4088</v>
      </c>
      <c r="AH102">
        <v>4411</v>
      </c>
      <c r="AI102">
        <v>92.7</v>
      </c>
      <c r="AJ102" s="8">
        <f t="shared" si="3"/>
        <v>0.92700000000000005</v>
      </c>
      <c r="AL102">
        <v>102017</v>
      </c>
      <c r="AM102" s="8">
        <f t="shared" si="2"/>
        <v>0.97</v>
      </c>
    </row>
    <row r="103" spans="1:39" x14ac:dyDescent="0.25">
      <c r="A103">
        <v>102307</v>
      </c>
      <c r="B103" t="s">
        <v>162</v>
      </c>
      <c r="C103">
        <v>1.1299999999999999</v>
      </c>
      <c r="D103">
        <v>1.01</v>
      </c>
      <c r="E103">
        <v>1.04</v>
      </c>
      <c r="F103">
        <v>0.98</v>
      </c>
      <c r="G103">
        <v>0.89</v>
      </c>
      <c r="H103">
        <v>0.99</v>
      </c>
      <c r="I103">
        <v>0.94</v>
      </c>
      <c r="J103">
        <v>0.98</v>
      </c>
      <c r="K103">
        <v>0.98</v>
      </c>
      <c r="L103">
        <v>0.96</v>
      </c>
      <c r="M103">
        <v>0.91</v>
      </c>
      <c r="N103">
        <v>0.91</v>
      </c>
      <c r="O103">
        <v>0.9</v>
      </c>
      <c r="P103">
        <v>0.96</v>
      </c>
      <c r="Q103">
        <v>1.0900000000000001</v>
      </c>
      <c r="R103">
        <v>0.9</v>
      </c>
      <c r="S103">
        <v>0.97</v>
      </c>
      <c r="T103">
        <v>0.95</v>
      </c>
      <c r="U103">
        <v>0.85</v>
      </c>
      <c r="V103">
        <v>0.84</v>
      </c>
      <c r="W103">
        <v>0.94</v>
      </c>
      <c r="X103">
        <v>0.92</v>
      </c>
      <c r="Y103">
        <v>0.89</v>
      </c>
      <c r="Z103">
        <v>0.86</v>
      </c>
      <c r="AA103" s="8">
        <v>0.81880952380952376</v>
      </c>
      <c r="AB103" s="8">
        <v>1.0029999999999999</v>
      </c>
      <c r="AC103" s="8">
        <v>0.92500000000000004</v>
      </c>
      <c r="AE103">
        <v>102017</v>
      </c>
      <c r="AF103" t="s">
        <v>346</v>
      </c>
      <c r="AG103">
        <v>5913</v>
      </c>
      <c r="AH103">
        <v>6094</v>
      </c>
      <c r="AI103">
        <v>97</v>
      </c>
      <c r="AJ103" s="8">
        <f t="shared" si="3"/>
        <v>0.97</v>
      </c>
      <c r="AL103">
        <v>102307</v>
      </c>
      <c r="AM103" s="8">
        <f t="shared" si="2"/>
        <v>0.92500000000000004</v>
      </c>
    </row>
    <row r="104" spans="1:39" x14ac:dyDescent="0.25">
      <c r="A104">
        <v>102016</v>
      </c>
      <c r="B104" t="s">
        <v>455</v>
      </c>
      <c r="C104">
        <v>1.02</v>
      </c>
      <c r="D104">
        <v>0.98</v>
      </c>
      <c r="E104">
        <v>1.07</v>
      </c>
      <c r="F104">
        <v>1.02</v>
      </c>
      <c r="G104">
        <v>0.96</v>
      </c>
      <c r="H104">
        <v>0.99</v>
      </c>
      <c r="I104">
        <v>0.98</v>
      </c>
      <c r="J104">
        <v>0.98</v>
      </c>
      <c r="K104">
        <v>0.98</v>
      </c>
      <c r="L104">
        <v>0.95</v>
      </c>
      <c r="M104">
        <v>0.94</v>
      </c>
      <c r="N104">
        <v>0.95</v>
      </c>
      <c r="O104">
        <v>0.99</v>
      </c>
      <c r="P104">
        <v>0.97</v>
      </c>
      <c r="Q104">
        <v>1.05</v>
      </c>
      <c r="R104">
        <v>0.92</v>
      </c>
      <c r="S104">
        <v>1.03</v>
      </c>
      <c r="T104">
        <v>0.93</v>
      </c>
      <c r="U104">
        <v>0.96</v>
      </c>
      <c r="V104">
        <v>0.93</v>
      </c>
      <c r="W104">
        <v>0.94</v>
      </c>
      <c r="X104">
        <v>0.99</v>
      </c>
      <c r="Y104">
        <v>0.97</v>
      </c>
      <c r="Z104">
        <v>1</v>
      </c>
      <c r="AA104" s="8">
        <v>0.91646586345381531</v>
      </c>
      <c r="AB104" s="8">
        <v>1.018</v>
      </c>
      <c r="AC104" s="8">
        <v>0.97299999999999998</v>
      </c>
      <c r="AE104">
        <v>102307</v>
      </c>
      <c r="AF104" t="s">
        <v>162</v>
      </c>
      <c r="AG104">
        <v>3636</v>
      </c>
      <c r="AH104">
        <v>3930</v>
      </c>
      <c r="AI104">
        <v>92.5</v>
      </c>
      <c r="AJ104" s="8">
        <f t="shared" si="3"/>
        <v>0.92500000000000004</v>
      </c>
      <c r="AL104">
        <v>102016</v>
      </c>
      <c r="AM104" s="8">
        <f t="shared" si="2"/>
        <v>0.97299999999999998</v>
      </c>
    </row>
    <row r="105" spans="1:39" x14ac:dyDescent="0.25">
      <c r="A105">
        <v>102218</v>
      </c>
      <c r="B105" t="s">
        <v>237</v>
      </c>
      <c r="C105">
        <v>1.07</v>
      </c>
      <c r="D105">
        <v>0.96</v>
      </c>
      <c r="E105">
        <v>1.02</v>
      </c>
      <c r="F105">
        <v>0.95</v>
      </c>
      <c r="G105">
        <v>0.89</v>
      </c>
      <c r="H105">
        <v>1.02</v>
      </c>
      <c r="I105">
        <v>0.96</v>
      </c>
      <c r="J105">
        <v>0.99</v>
      </c>
      <c r="K105">
        <v>0.98</v>
      </c>
      <c r="L105">
        <v>0.96</v>
      </c>
      <c r="M105">
        <v>0.94</v>
      </c>
      <c r="N105">
        <v>0.95</v>
      </c>
      <c r="O105">
        <v>0.94</v>
      </c>
      <c r="P105">
        <v>0.98</v>
      </c>
      <c r="Q105">
        <v>1.1100000000000001</v>
      </c>
      <c r="R105">
        <v>0.91</v>
      </c>
      <c r="S105">
        <v>0.99</v>
      </c>
      <c r="T105">
        <v>0.96</v>
      </c>
      <c r="U105">
        <v>0.89</v>
      </c>
      <c r="V105">
        <v>0.9</v>
      </c>
      <c r="W105">
        <v>0.95</v>
      </c>
      <c r="X105">
        <v>0.94</v>
      </c>
      <c r="Y105">
        <v>0.92</v>
      </c>
      <c r="Z105">
        <v>0.89</v>
      </c>
      <c r="AA105" s="8">
        <v>0.83134920634920639</v>
      </c>
      <c r="AB105" s="8">
        <v>0.9890000000000001</v>
      </c>
      <c r="AC105" s="8">
        <v>0.92799999999999994</v>
      </c>
      <c r="AE105">
        <v>102016</v>
      </c>
      <c r="AF105" t="s">
        <v>455</v>
      </c>
      <c r="AG105">
        <v>7091</v>
      </c>
      <c r="AH105">
        <v>7287</v>
      </c>
      <c r="AI105">
        <v>97.3</v>
      </c>
      <c r="AJ105" s="8">
        <f t="shared" si="3"/>
        <v>0.97299999999999998</v>
      </c>
      <c r="AL105">
        <v>102218</v>
      </c>
      <c r="AM105" s="8">
        <f t="shared" si="2"/>
        <v>0.92799999999999994</v>
      </c>
    </row>
    <row r="106" spans="1:39" x14ac:dyDescent="0.25">
      <c r="A106">
        <v>102118</v>
      </c>
      <c r="B106" t="s">
        <v>164</v>
      </c>
      <c r="C106">
        <v>1.1100000000000001</v>
      </c>
      <c r="D106">
        <v>1.01</v>
      </c>
      <c r="E106">
        <v>1.03</v>
      </c>
      <c r="F106">
        <v>0.97</v>
      </c>
      <c r="G106">
        <v>0.9</v>
      </c>
      <c r="H106">
        <v>1.01</v>
      </c>
      <c r="I106">
        <v>0.96</v>
      </c>
      <c r="J106">
        <v>0.99</v>
      </c>
      <c r="K106">
        <v>1</v>
      </c>
      <c r="L106">
        <v>0.99</v>
      </c>
      <c r="M106">
        <v>0.95</v>
      </c>
      <c r="N106">
        <v>0.94</v>
      </c>
      <c r="O106">
        <v>0.93</v>
      </c>
      <c r="P106">
        <v>0.98</v>
      </c>
      <c r="Q106">
        <v>1.1200000000000001</v>
      </c>
      <c r="R106">
        <v>0.94</v>
      </c>
      <c r="S106">
        <v>1.01</v>
      </c>
      <c r="T106">
        <v>0.97</v>
      </c>
      <c r="U106">
        <v>0.88</v>
      </c>
      <c r="V106">
        <v>0.92</v>
      </c>
      <c r="W106">
        <v>0.96</v>
      </c>
      <c r="X106">
        <v>0.95</v>
      </c>
      <c r="Y106">
        <v>0.91</v>
      </c>
      <c r="Z106">
        <v>0.88</v>
      </c>
      <c r="AA106" s="8">
        <v>0.84201720841300187</v>
      </c>
      <c r="AB106" s="8">
        <v>1.0109999999999999</v>
      </c>
      <c r="AC106" s="8">
        <v>0.93599999999999994</v>
      </c>
      <c r="AE106">
        <v>102218</v>
      </c>
      <c r="AF106" t="s">
        <v>237</v>
      </c>
      <c r="AG106">
        <v>3950</v>
      </c>
      <c r="AH106">
        <v>4258</v>
      </c>
      <c r="AI106">
        <v>92.8</v>
      </c>
      <c r="AJ106" s="8">
        <f t="shared" si="3"/>
        <v>0.92799999999999994</v>
      </c>
      <c r="AL106">
        <v>102118</v>
      </c>
      <c r="AM106" s="8">
        <f t="shared" si="2"/>
        <v>0.93599999999999994</v>
      </c>
    </row>
    <row r="107" spans="1:39" x14ac:dyDescent="0.25">
      <c r="A107">
        <v>102510</v>
      </c>
      <c r="B107" t="s">
        <v>165</v>
      </c>
      <c r="C107">
        <v>1.0900000000000001</v>
      </c>
      <c r="D107">
        <v>0.98</v>
      </c>
      <c r="E107">
        <v>1.04</v>
      </c>
      <c r="F107">
        <v>0.98</v>
      </c>
      <c r="G107">
        <v>0.9</v>
      </c>
      <c r="H107">
        <v>1.02</v>
      </c>
      <c r="I107">
        <v>0.97</v>
      </c>
      <c r="J107">
        <v>0.99</v>
      </c>
      <c r="K107">
        <v>0.98</v>
      </c>
      <c r="L107">
        <v>0.96</v>
      </c>
      <c r="M107">
        <v>0.94</v>
      </c>
      <c r="N107">
        <v>0.95</v>
      </c>
      <c r="O107">
        <v>0.93</v>
      </c>
      <c r="P107">
        <v>1.01</v>
      </c>
      <c r="Q107">
        <v>1.1499999999999999</v>
      </c>
      <c r="R107">
        <v>0.94</v>
      </c>
      <c r="S107">
        <v>1.02</v>
      </c>
      <c r="T107">
        <v>0.98</v>
      </c>
      <c r="U107">
        <v>0.92</v>
      </c>
      <c r="V107">
        <v>0.94</v>
      </c>
      <c r="W107">
        <v>0.97</v>
      </c>
      <c r="X107">
        <v>0.96</v>
      </c>
      <c r="Y107">
        <v>0.93</v>
      </c>
      <c r="Z107">
        <v>0.93</v>
      </c>
      <c r="AA107" s="8">
        <v>0.852397757940627</v>
      </c>
      <c r="AB107" s="8">
        <v>1.02</v>
      </c>
      <c r="AC107" s="8">
        <v>0.94799999999999995</v>
      </c>
      <c r="AE107">
        <v>102118</v>
      </c>
      <c r="AF107" t="s">
        <v>164</v>
      </c>
      <c r="AG107">
        <v>3691</v>
      </c>
      <c r="AH107">
        <v>3946</v>
      </c>
      <c r="AI107">
        <v>93.6</v>
      </c>
      <c r="AJ107" s="8">
        <f t="shared" si="3"/>
        <v>0.93599999999999994</v>
      </c>
      <c r="AL107">
        <v>102510</v>
      </c>
      <c r="AM107" s="8">
        <f t="shared" si="2"/>
        <v>0.94799999999999995</v>
      </c>
    </row>
    <row r="108" spans="1:39" x14ac:dyDescent="0.25">
      <c r="A108">
        <v>102120</v>
      </c>
      <c r="B108" t="s">
        <v>0</v>
      </c>
      <c r="C108">
        <v>1.1100000000000001</v>
      </c>
      <c r="D108">
        <v>1.02</v>
      </c>
      <c r="E108">
        <v>1.04</v>
      </c>
      <c r="F108">
        <v>0.98</v>
      </c>
      <c r="G108">
        <v>0.89</v>
      </c>
      <c r="H108">
        <v>1.01</v>
      </c>
      <c r="I108">
        <v>0.99</v>
      </c>
      <c r="J108">
        <v>1</v>
      </c>
      <c r="K108">
        <v>1.01</v>
      </c>
      <c r="L108">
        <v>1.01</v>
      </c>
      <c r="M108">
        <v>0.95</v>
      </c>
      <c r="N108">
        <v>0.91</v>
      </c>
      <c r="O108">
        <v>0.91</v>
      </c>
      <c r="P108">
        <v>0.96</v>
      </c>
      <c r="Q108">
        <v>1.1100000000000001</v>
      </c>
      <c r="R108">
        <v>0.92</v>
      </c>
      <c r="S108">
        <v>0.99</v>
      </c>
      <c r="T108">
        <v>0.96</v>
      </c>
      <c r="U108">
        <v>0.86</v>
      </c>
      <c r="V108">
        <v>0.89</v>
      </c>
      <c r="W108">
        <v>0.93</v>
      </c>
      <c r="X108">
        <v>0.92</v>
      </c>
      <c r="Y108">
        <v>0.89</v>
      </c>
      <c r="Z108">
        <v>0.86</v>
      </c>
      <c r="AA108" s="8">
        <v>0.81684006774739903</v>
      </c>
      <c r="AB108" s="8">
        <v>1.0049999999999999</v>
      </c>
      <c r="AC108" s="8">
        <v>0.93</v>
      </c>
      <c r="AE108">
        <v>102510</v>
      </c>
      <c r="AF108" t="s">
        <v>165</v>
      </c>
      <c r="AG108">
        <v>4443</v>
      </c>
      <c r="AH108">
        <v>4687</v>
      </c>
      <c r="AI108">
        <v>94.8</v>
      </c>
      <c r="AJ108" s="8">
        <f t="shared" si="3"/>
        <v>0.94799999999999995</v>
      </c>
      <c r="AL108">
        <v>102120</v>
      </c>
      <c r="AM108" s="8">
        <f t="shared" si="2"/>
        <v>0.93</v>
      </c>
    </row>
    <row r="109" spans="1:39" x14ac:dyDescent="0.25">
      <c r="A109">
        <v>102507</v>
      </c>
      <c r="B109" t="s">
        <v>166</v>
      </c>
      <c r="C109">
        <v>1.07</v>
      </c>
      <c r="D109">
        <v>0.98</v>
      </c>
      <c r="E109">
        <v>1.03</v>
      </c>
      <c r="F109">
        <v>0.99</v>
      </c>
      <c r="G109">
        <v>0.91</v>
      </c>
      <c r="H109">
        <v>1</v>
      </c>
      <c r="I109">
        <v>0.96</v>
      </c>
      <c r="J109">
        <v>0.96</v>
      </c>
      <c r="K109">
        <v>0.94</v>
      </c>
      <c r="L109">
        <v>0.93</v>
      </c>
      <c r="M109">
        <v>0.92</v>
      </c>
      <c r="N109">
        <v>0.92</v>
      </c>
      <c r="O109">
        <v>0.9</v>
      </c>
      <c r="P109">
        <v>0.97</v>
      </c>
      <c r="Q109">
        <v>1.1399999999999999</v>
      </c>
      <c r="R109">
        <v>0.89</v>
      </c>
      <c r="S109">
        <v>0.97</v>
      </c>
      <c r="T109">
        <v>0.95</v>
      </c>
      <c r="U109">
        <v>0.87</v>
      </c>
      <c r="V109">
        <v>0.88</v>
      </c>
      <c r="W109">
        <v>0.94</v>
      </c>
      <c r="X109">
        <v>0.93</v>
      </c>
      <c r="Y109">
        <v>0.91</v>
      </c>
      <c r="Z109">
        <v>0.9</v>
      </c>
      <c r="AA109" s="8">
        <v>0.82211844618976859</v>
      </c>
      <c r="AB109" s="8">
        <v>1.0029999999999999</v>
      </c>
      <c r="AC109" s="8">
        <v>0.94</v>
      </c>
      <c r="AE109">
        <v>102120</v>
      </c>
      <c r="AF109" t="s">
        <v>0</v>
      </c>
      <c r="AG109">
        <v>3604</v>
      </c>
      <c r="AH109">
        <v>3876</v>
      </c>
      <c r="AI109">
        <v>93</v>
      </c>
      <c r="AJ109" s="8">
        <f t="shared" si="3"/>
        <v>0.93</v>
      </c>
      <c r="AL109">
        <v>102507</v>
      </c>
      <c r="AM109" s="8">
        <f t="shared" si="2"/>
        <v>0.94</v>
      </c>
    </row>
    <row r="110" spans="1:39" x14ac:dyDescent="0.25">
      <c r="A110">
        <v>102411</v>
      </c>
      <c r="B110" t="s">
        <v>168</v>
      </c>
      <c r="C110">
        <v>1.1000000000000001</v>
      </c>
      <c r="D110">
        <v>0.99</v>
      </c>
      <c r="E110">
        <v>1.04</v>
      </c>
      <c r="F110">
        <v>0.96</v>
      </c>
      <c r="G110">
        <v>0.9</v>
      </c>
      <c r="H110">
        <v>1</v>
      </c>
      <c r="I110">
        <v>0.96</v>
      </c>
      <c r="J110">
        <v>0.99</v>
      </c>
      <c r="K110">
        <v>0.99</v>
      </c>
      <c r="L110">
        <v>0.96</v>
      </c>
      <c r="M110">
        <v>0.93</v>
      </c>
      <c r="N110">
        <v>0.92</v>
      </c>
      <c r="O110">
        <v>0.9</v>
      </c>
      <c r="P110">
        <v>0.96</v>
      </c>
      <c r="Q110">
        <v>1.1299999999999999</v>
      </c>
      <c r="R110">
        <v>0.9</v>
      </c>
      <c r="S110">
        <v>1</v>
      </c>
      <c r="T110">
        <v>0.97</v>
      </c>
      <c r="U110">
        <v>0.89</v>
      </c>
      <c r="V110">
        <v>0.89</v>
      </c>
      <c r="W110">
        <v>0.94</v>
      </c>
      <c r="X110">
        <v>0.93</v>
      </c>
      <c r="Y110">
        <v>0.91</v>
      </c>
      <c r="Z110">
        <v>0.89</v>
      </c>
      <c r="AA110" s="8">
        <v>0.8150894025294374</v>
      </c>
      <c r="AB110" s="8">
        <v>1.014</v>
      </c>
      <c r="AC110" s="8">
        <v>0.94400000000000006</v>
      </c>
      <c r="AE110">
        <v>102507</v>
      </c>
      <c r="AF110" t="s">
        <v>166</v>
      </c>
      <c r="AG110">
        <v>4188</v>
      </c>
      <c r="AH110">
        <v>4454</v>
      </c>
      <c r="AI110">
        <v>94</v>
      </c>
      <c r="AJ110" s="8">
        <f t="shared" si="3"/>
        <v>0.94</v>
      </c>
      <c r="AL110">
        <v>102411</v>
      </c>
      <c r="AM110" s="8">
        <f t="shared" si="2"/>
        <v>0.94400000000000006</v>
      </c>
    </row>
    <row r="111" spans="1:39" x14ac:dyDescent="0.25">
      <c r="A111">
        <v>102520</v>
      </c>
      <c r="B111" t="s">
        <v>170</v>
      </c>
      <c r="C111">
        <v>1.0900000000000001</v>
      </c>
      <c r="D111">
        <v>0.99</v>
      </c>
      <c r="E111">
        <v>1.04</v>
      </c>
      <c r="F111">
        <v>1</v>
      </c>
      <c r="G111">
        <v>0.92</v>
      </c>
      <c r="H111">
        <v>1</v>
      </c>
      <c r="I111">
        <v>0.97</v>
      </c>
      <c r="J111">
        <v>0.95</v>
      </c>
      <c r="K111">
        <v>0.94</v>
      </c>
      <c r="L111">
        <v>0.93</v>
      </c>
      <c r="M111">
        <v>0.92</v>
      </c>
      <c r="N111">
        <v>0.91</v>
      </c>
      <c r="O111">
        <v>0.9</v>
      </c>
      <c r="P111">
        <v>0.97</v>
      </c>
      <c r="Q111">
        <v>1.1399999999999999</v>
      </c>
      <c r="R111">
        <v>0.9</v>
      </c>
      <c r="S111">
        <v>0.98</v>
      </c>
      <c r="T111">
        <v>0.95</v>
      </c>
      <c r="U111">
        <v>0.87</v>
      </c>
      <c r="V111">
        <v>0.88</v>
      </c>
      <c r="W111">
        <v>0.95</v>
      </c>
      <c r="X111">
        <v>0.94</v>
      </c>
      <c r="Y111">
        <v>0.92</v>
      </c>
      <c r="Z111">
        <v>0.91</v>
      </c>
      <c r="AA111" s="8">
        <v>0.82435843500210348</v>
      </c>
      <c r="AB111" s="8">
        <v>1.0090000000000001</v>
      </c>
      <c r="AC111" s="8">
        <v>0.94799999999999995</v>
      </c>
      <c r="AE111">
        <v>102411</v>
      </c>
      <c r="AF111" t="s">
        <v>168</v>
      </c>
      <c r="AG111">
        <v>4160</v>
      </c>
      <c r="AH111">
        <v>4407</v>
      </c>
      <c r="AI111">
        <v>94.4</v>
      </c>
      <c r="AJ111" s="8">
        <f t="shared" si="3"/>
        <v>0.94400000000000006</v>
      </c>
      <c r="AL111">
        <v>102520</v>
      </c>
      <c r="AM111" s="8">
        <f t="shared" si="2"/>
        <v>0.94799999999999995</v>
      </c>
    </row>
    <row r="112" spans="1:39" x14ac:dyDescent="0.25">
      <c r="A112">
        <v>102205</v>
      </c>
      <c r="B112" t="s">
        <v>203</v>
      </c>
      <c r="C112">
        <v>1.1100000000000001</v>
      </c>
      <c r="D112">
        <v>1.01</v>
      </c>
      <c r="E112">
        <v>1.04</v>
      </c>
      <c r="F112">
        <v>0.98</v>
      </c>
      <c r="G112">
        <v>0.9</v>
      </c>
      <c r="H112">
        <v>1.03</v>
      </c>
      <c r="I112">
        <v>0.96</v>
      </c>
      <c r="J112">
        <v>0.99</v>
      </c>
      <c r="K112">
        <v>1</v>
      </c>
      <c r="L112">
        <v>0.98</v>
      </c>
      <c r="M112">
        <v>0.94</v>
      </c>
      <c r="N112">
        <v>0.92</v>
      </c>
      <c r="O112">
        <v>0.91</v>
      </c>
      <c r="P112">
        <v>0.95</v>
      </c>
      <c r="Q112">
        <v>1.1299999999999999</v>
      </c>
      <c r="R112">
        <v>0.93</v>
      </c>
      <c r="S112">
        <v>1.02</v>
      </c>
      <c r="T112">
        <v>0.99</v>
      </c>
      <c r="U112">
        <v>0.88</v>
      </c>
      <c r="V112">
        <v>0.92</v>
      </c>
      <c r="W112">
        <v>0.96</v>
      </c>
      <c r="X112">
        <v>0.95</v>
      </c>
      <c r="Y112">
        <v>0.91</v>
      </c>
      <c r="Z112">
        <v>0.89</v>
      </c>
      <c r="AA112" s="8">
        <v>0.85717566016073476</v>
      </c>
      <c r="AB112" s="8">
        <v>1.022</v>
      </c>
      <c r="AC112" s="8">
        <v>0.94599999999999995</v>
      </c>
      <c r="AE112">
        <v>102520</v>
      </c>
      <c r="AF112" t="s">
        <v>170</v>
      </c>
      <c r="AG112">
        <v>4355</v>
      </c>
      <c r="AH112">
        <v>4594</v>
      </c>
      <c r="AI112">
        <v>94.8</v>
      </c>
      <c r="AJ112" s="8">
        <f t="shared" si="3"/>
        <v>0.94799999999999995</v>
      </c>
      <c r="AL112">
        <v>102205</v>
      </c>
      <c r="AM112" s="8">
        <f t="shared" si="2"/>
        <v>0.94599999999999995</v>
      </c>
    </row>
    <row r="113" spans="1:39" x14ac:dyDescent="0.25">
      <c r="A113">
        <v>102014</v>
      </c>
      <c r="B113" t="s">
        <v>505</v>
      </c>
      <c r="C113">
        <v>1.02</v>
      </c>
      <c r="D113">
        <v>0.99</v>
      </c>
      <c r="E113">
        <v>1.07</v>
      </c>
      <c r="F113">
        <v>1</v>
      </c>
      <c r="G113">
        <v>0.95</v>
      </c>
      <c r="H113">
        <v>0.99</v>
      </c>
      <c r="I113">
        <v>0.97</v>
      </c>
      <c r="J113">
        <v>0.97</v>
      </c>
      <c r="K113">
        <v>0.97</v>
      </c>
      <c r="L113">
        <v>0.95</v>
      </c>
      <c r="M113">
        <v>0.94</v>
      </c>
      <c r="N113">
        <v>0.95</v>
      </c>
      <c r="O113">
        <v>0.97</v>
      </c>
      <c r="P113">
        <v>0.96</v>
      </c>
      <c r="Q113">
        <v>1.03</v>
      </c>
      <c r="R113">
        <v>0.91</v>
      </c>
      <c r="S113">
        <v>1.01</v>
      </c>
      <c r="T113">
        <v>0.93</v>
      </c>
      <c r="U113">
        <v>0.94</v>
      </c>
      <c r="V113">
        <v>0.92</v>
      </c>
      <c r="W113">
        <v>0.95</v>
      </c>
      <c r="X113">
        <v>0.98</v>
      </c>
      <c r="Y113">
        <v>0.95</v>
      </c>
      <c r="Z113">
        <v>0.99</v>
      </c>
      <c r="AA113" s="8">
        <v>0.90503401360544222</v>
      </c>
      <c r="AB113" s="8">
        <v>1.002</v>
      </c>
      <c r="AC113" s="8">
        <v>0.95599999999999996</v>
      </c>
      <c r="AE113">
        <v>102205</v>
      </c>
      <c r="AF113" t="s">
        <v>203</v>
      </c>
      <c r="AG113">
        <v>4005</v>
      </c>
      <c r="AH113">
        <v>4232</v>
      </c>
      <c r="AI113">
        <v>94.6</v>
      </c>
      <c r="AJ113" s="8">
        <f t="shared" si="3"/>
        <v>0.94599999999999995</v>
      </c>
      <c r="AL113">
        <v>102014</v>
      </c>
      <c r="AM113" s="8">
        <f t="shared" si="2"/>
        <v>0.95599999999999996</v>
      </c>
    </row>
    <row r="114" spans="1:39" x14ac:dyDescent="0.25">
      <c r="A114">
        <v>102403</v>
      </c>
      <c r="B114" t="s">
        <v>307</v>
      </c>
      <c r="C114">
        <v>1.1100000000000001</v>
      </c>
      <c r="D114">
        <v>1</v>
      </c>
      <c r="E114">
        <v>1.04</v>
      </c>
      <c r="F114">
        <v>0.96</v>
      </c>
      <c r="G114">
        <v>0.91</v>
      </c>
      <c r="H114">
        <v>1</v>
      </c>
      <c r="I114">
        <v>0.94</v>
      </c>
      <c r="J114">
        <v>0.98</v>
      </c>
      <c r="K114">
        <v>1</v>
      </c>
      <c r="L114">
        <v>0.97</v>
      </c>
      <c r="M114">
        <v>0.93</v>
      </c>
      <c r="N114">
        <v>0.92</v>
      </c>
      <c r="O114">
        <v>0.93</v>
      </c>
      <c r="P114">
        <v>0.98</v>
      </c>
      <c r="Q114">
        <v>1.1299999999999999</v>
      </c>
      <c r="R114">
        <v>0.92</v>
      </c>
      <c r="S114">
        <v>1.02</v>
      </c>
      <c r="T114">
        <v>0.99</v>
      </c>
      <c r="U114">
        <v>0.89</v>
      </c>
      <c r="V114">
        <v>0.92</v>
      </c>
      <c r="W114">
        <v>0.95</v>
      </c>
      <c r="X114">
        <v>0.94</v>
      </c>
      <c r="Y114">
        <v>0.91</v>
      </c>
      <c r="Z114">
        <v>0.89</v>
      </c>
      <c r="AA114" s="8">
        <v>0.83228192299325643</v>
      </c>
      <c r="AB114" s="8">
        <v>1.0109999999999999</v>
      </c>
      <c r="AC114" s="8">
        <v>0.94599999999999995</v>
      </c>
      <c r="AE114">
        <v>102014</v>
      </c>
      <c r="AF114" t="s">
        <v>505</v>
      </c>
      <c r="AG114">
        <v>6798</v>
      </c>
      <c r="AH114">
        <v>7111</v>
      </c>
      <c r="AI114">
        <v>95.6</v>
      </c>
      <c r="AJ114" s="8">
        <f t="shared" si="3"/>
        <v>0.95599999999999996</v>
      </c>
      <c r="AL114">
        <v>102403</v>
      </c>
      <c r="AM114" s="8">
        <f t="shared" si="2"/>
        <v>0.94599999999999995</v>
      </c>
    </row>
    <row r="115" spans="1:39" x14ac:dyDescent="0.25">
      <c r="A115">
        <v>102110</v>
      </c>
      <c r="B115" t="s">
        <v>448</v>
      </c>
      <c r="C115">
        <v>1.1200000000000001</v>
      </c>
      <c r="D115">
        <v>1.03</v>
      </c>
      <c r="E115">
        <v>1.03</v>
      </c>
      <c r="F115">
        <v>0.97</v>
      </c>
      <c r="G115">
        <v>0.92</v>
      </c>
      <c r="H115">
        <v>0.98</v>
      </c>
      <c r="I115">
        <v>0.93</v>
      </c>
      <c r="J115">
        <v>0.96</v>
      </c>
      <c r="K115">
        <v>0.97</v>
      </c>
      <c r="L115">
        <v>0.95</v>
      </c>
      <c r="M115">
        <v>0.92</v>
      </c>
      <c r="N115">
        <v>0.9</v>
      </c>
      <c r="O115">
        <v>0.9</v>
      </c>
      <c r="P115">
        <v>0.94</v>
      </c>
      <c r="Q115">
        <v>1.1200000000000001</v>
      </c>
      <c r="R115">
        <v>0.92</v>
      </c>
      <c r="S115">
        <v>1</v>
      </c>
      <c r="T115">
        <v>0.97</v>
      </c>
      <c r="U115">
        <v>0.86</v>
      </c>
      <c r="V115">
        <v>0.92</v>
      </c>
      <c r="W115">
        <v>0.94</v>
      </c>
      <c r="X115">
        <v>0.93</v>
      </c>
      <c r="Y115">
        <v>0.87</v>
      </c>
      <c r="Z115">
        <v>0.84</v>
      </c>
      <c r="AA115" s="8">
        <v>0.82937365010799136</v>
      </c>
      <c r="AB115" s="8">
        <v>1.0049999999999999</v>
      </c>
      <c r="AC115" s="8">
        <v>0.93599999999999994</v>
      </c>
      <c r="AE115">
        <v>102403</v>
      </c>
      <c r="AF115" t="s">
        <v>307</v>
      </c>
      <c r="AG115">
        <v>4187</v>
      </c>
      <c r="AH115">
        <v>4425</v>
      </c>
      <c r="AI115">
        <v>94.6</v>
      </c>
      <c r="AJ115" s="8">
        <f t="shared" si="3"/>
        <v>0.94599999999999995</v>
      </c>
      <c r="AL115">
        <v>102110</v>
      </c>
      <c r="AM115" s="8">
        <f t="shared" si="2"/>
        <v>0.93599999999999994</v>
      </c>
    </row>
    <row r="116" spans="1:39" x14ac:dyDescent="0.25">
      <c r="A116">
        <v>102638</v>
      </c>
      <c r="B116" t="s">
        <v>341</v>
      </c>
      <c r="Y116">
        <v>0.91</v>
      </c>
      <c r="Z116">
        <v>0.92</v>
      </c>
      <c r="AA116" s="8">
        <v>0.83485639686684077</v>
      </c>
      <c r="AB116" s="8">
        <v>1.028</v>
      </c>
      <c r="AC116" s="8">
        <v>0.97</v>
      </c>
      <c r="AE116">
        <v>102110</v>
      </c>
      <c r="AF116" t="s">
        <v>448</v>
      </c>
      <c r="AG116">
        <v>3697</v>
      </c>
      <c r="AH116">
        <v>3950</v>
      </c>
      <c r="AI116">
        <v>93.6</v>
      </c>
      <c r="AJ116" s="8">
        <f t="shared" si="3"/>
        <v>0.93599999999999994</v>
      </c>
      <c r="AL116">
        <v>102638</v>
      </c>
      <c r="AM116" s="8">
        <f t="shared" si="2"/>
        <v>0.97</v>
      </c>
    </row>
    <row r="117" spans="1:39" x14ac:dyDescent="0.25">
      <c r="A117">
        <v>102516</v>
      </c>
      <c r="B117" t="s">
        <v>126</v>
      </c>
      <c r="C117">
        <v>1.07</v>
      </c>
      <c r="D117">
        <v>0.96</v>
      </c>
      <c r="E117">
        <v>1.02</v>
      </c>
      <c r="F117">
        <v>0.97</v>
      </c>
      <c r="G117">
        <v>0.9</v>
      </c>
      <c r="H117">
        <v>1.02</v>
      </c>
      <c r="I117">
        <v>0.97</v>
      </c>
      <c r="J117">
        <v>0.98</v>
      </c>
      <c r="K117">
        <v>0.98</v>
      </c>
      <c r="L117">
        <v>0.95</v>
      </c>
      <c r="M117">
        <v>0.93</v>
      </c>
      <c r="N117">
        <v>0.96</v>
      </c>
      <c r="O117">
        <v>0.94</v>
      </c>
      <c r="P117">
        <v>1</v>
      </c>
      <c r="Q117">
        <v>1.1299999999999999</v>
      </c>
      <c r="R117">
        <v>0.93</v>
      </c>
      <c r="S117">
        <v>1.04</v>
      </c>
      <c r="T117">
        <v>0.98</v>
      </c>
      <c r="U117">
        <v>0.93</v>
      </c>
      <c r="V117">
        <v>0.95</v>
      </c>
      <c r="W117">
        <v>0.97</v>
      </c>
      <c r="X117">
        <v>0.98</v>
      </c>
      <c r="Y117">
        <v>0.93</v>
      </c>
      <c r="Z117">
        <v>0.94</v>
      </c>
      <c r="AA117" s="8">
        <v>0.86164761529365397</v>
      </c>
      <c r="AB117" s="8">
        <v>1.012</v>
      </c>
      <c r="AC117" s="8">
        <v>0.95599999999999996</v>
      </c>
      <c r="AE117">
        <v>102638</v>
      </c>
      <c r="AF117" t="s">
        <v>341</v>
      </c>
      <c r="AG117">
        <v>4294</v>
      </c>
      <c r="AH117">
        <v>4425</v>
      </c>
      <c r="AI117">
        <v>97</v>
      </c>
      <c r="AJ117" s="8">
        <f t="shared" si="3"/>
        <v>0.97</v>
      </c>
      <c r="AL117">
        <v>102516</v>
      </c>
      <c r="AM117" s="8">
        <f t="shared" si="2"/>
        <v>0.95599999999999996</v>
      </c>
    </row>
    <row r="118" spans="1:39" x14ac:dyDescent="0.25">
      <c r="A118">
        <v>102807</v>
      </c>
      <c r="B118" t="s">
        <v>211</v>
      </c>
      <c r="C118">
        <v>1.05</v>
      </c>
      <c r="D118">
        <v>0.96</v>
      </c>
      <c r="E118">
        <v>1.01</v>
      </c>
      <c r="F118">
        <v>1</v>
      </c>
      <c r="G118">
        <v>0.93</v>
      </c>
      <c r="H118">
        <v>1.01</v>
      </c>
      <c r="I118">
        <v>0.96</v>
      </c>
      <c r="J118">
        <v>0.99</v>
      </c>
      <c r="K118">
        <v>0.98</v>
      </c>
      <c r="L118">
        <v>0.96</v>
      </c>
      <c r="M118">
        <v>0.92</v>
      </c>
      <c r="N118">
        <v>0.94</v>
      </c>
      <c r="O118">
        <v>0.92</v>
      </c>
      <c r="P118">
        <v>0.97</v>
      </c>
      <c r="Q118">
        <v>1.1100000000000001</v>
      </c>
      <c r="R118">
        <v>0.92</v>
      </c>
      <c r="S118">
        <v>0.99</v>
      </c>
      <c r="T118">
        <v>0.95</v>
      </c>
      <c r="U118">
        <v>0.9</v>
      </c>
      <c r="V118">
        <v>0.91</v>
      </c>
      <c r="W118">
        <v>0.96</v>
      </c>
      <c r="X118">
        <v>0.97</v>
      </c>
      <c r="Y118">
        <v>0.95</v>
      </c>
      <c r="Z118">
        <v>0.94</v>
      </c>
      <c r="AA118" s="8">
        <v>0.84335839598997497</v>
      </c>
      <c r="AB118" s="8">
        <v>1.02</v>
      </c>
      <c r="AC118" s="8">
        <v>0.96900000000000008</v>
      </c>
      <c r="AE118">
        <v>102516</v>
      </c>
      <c r="AF118" t="s">
        <v>126</v>
      </c>
      <c r="AG118">
        <v>4710</v>
      </c>
      <c r="AH118">
        <v>4927</v>
      </c>
      <c r="AI118">
        <v>95.6</v>
      </c>
      <c r="AJ118" s="8">
        <f t="shared" si="3"/>
        <v>0.95599999999999996</v>
      </c>
      <c r="AL118">
        <v>102807</v>
      </c>
      <c r="AM118" s="8">
        <f t="shared" si="2"/>
        <v>0.96900000000000008</v>
      </c>
    </row>
    <row r="119" spans="1:39" x14ac:dyDescent="0.25">
      <c r="A119">
        <v>102113</v>
      </c>
      <c r="B119" t="s">
        <v>34</v>
      </c>
      <c r="C119">
        <v>1.1100000000000001</v>
      </c>
      <c r="D119">
        <v>1.01</v>
      </c>
      <c r="E119">
        <v>1.04</v>
      </c>
      <c r="F119">
        <v>0.96</v>
      </c>
      <c r="G119">
        <v>0.9</v>
      </c>
      <c r="H119">
        <v>0.96</v>
      </c>
      <c r="I119">
        <v>0.92</v>
      </c>
      <c r="J119">
        <v>0.96</v>
      </c>
      <c r="K119">
        <v>0.97</v>
      </c>
      <c r="L119">
        <v>0.95</v>
      </c>
      <c r="M119">
        <v>0.9</v>
      </c>
      <c r="N119">
        <v>0.87</v>
      </c>
      <c r="O119">
        <v>0.87</v>
      </c>
      <c r="P119">
        <v>0.92</v>
      </c>
      <c r="Q119">
        <v>1.08</v>
      </c>
      <c r="R119">
        <v>0.89</v>
      </c>
      <c r="S119">
        <v>0.96</v>
      </c>
      <c r="T119">
        <v>0.93</v>
      </c>
      <c r="U119">
        <v>0.83</v>
      </c>
      <c r="V119">
        <v>0.87</v>
      </c>
      <c r="W119">
        <v>0.92</v>
      </c>
      <c r="X119">
        <v>0.91</v>
      </c>
      <c r="Y119">
        <v>0.86</v>
      </c>
      <c r="Z119">
        <v>0.83</v>
      </c>
      <c r="AA119" s="8">
        <v>0.80422772039394663</v>
      </c>
      <c r="AB119" s="8">
        <v>1.012</v>
      </c>
      <c r="AC119" s="8">
        <v>0.93700000000000006</v>
      </c>
      <c r="AE119">
        <v>102807</v>
      </c>
      <c r="AF119" t="s">
        <v>211</v>
      </c>
      <c r="AG119">
        <v>5217</v>
      </c>
      <c r="AH119">
        <v>5382</v>
      </c>
      <c r="AI119">
        <v>96.9</v>
      </c>
      <c r="AJ119" s="8">
        <f t="shared" si="3"/>
        <v>0.96900000000000008</v>
      </c>
      <c r="AL119">
        <v>102113</v>
      </c>
      <c r="AM119" s="8">
        <f t="shared" si="2"/>
        <v>0.93700000000000006</v>
      </c>
    </row>
    <row r="120" spans="1:39" x14ac:dyDescent="0.25">
      <c r="A120">
        <v>102508</v>
      </c>
      <c r="B120" t="s">
        <v>172</v>
      </c>
      <c r="C120">
        <v>1.07</v>
      </c>
      <c r="D120">
        <v>0.97</v>
      </c>
      <c r="E120">
        <v>1.02</v>
      </c>
      <c r="F120">
        <v>0.97</v>
      </c>
      <c r="G120">
        <v>0.89</v>
      </c>
      <c r="H120">
        <v>1.02</v>
      </c>
      <c r="I120">
        <v>0.97</v>
      </c>
      <c r="J120">
        <v>0.98</v>
      </c>
      <c r="K120">
        <v>0.97</v>
      </c>
      <c r="L120">
        <v>0.94</v>
      </c>
      <c r="M120">
        <v>0.93</v>
      </c>
      <c r="N120">
        <v>0.93</v>
      </c>
      <c r="O120">
        <v>0.91</v>
      </c>
      <c r="P120">
        <v>0.98</v>
      </c>
      <c r="Q120">
        <v>1.1299999999999999</v>
      </c>
      <c r="R120">
        <v>0.9</v>
      </c>
      <c r="S120">
        <v>0.99</v>
      </c>
      <c r="T120">
        <v>0.95</v>
      </c>
      <c r="U120">
        <v>0.88</v>
      </c>
      <c r="V120">
        <v>0.9</v>
      </c>
      <c r="W120">
        <v>0.96</v>
      </c>
      <c r="X120">
        <v>0.95</v>
      </c>
      <c r="Y120">
        <v>0.92</v>
      </c>
      <c r="Z120">
        <v>0.91</v>
      </c>
      <c r="AA120" s="8">
        <v>0.84695393759286774</v>
      </c>
      <c r="AB120" s="8">
        <v>1.0270000000000001</v>
      </c>
      <c r="AC120" s="8">
        <v>0.95700000000000007</v>
      </c>
      <c r="AE120">
        <v>102113</v>
      </c>
      <c r="AF120" t="s">
        <v>34</v>
      </c>
      <c r="AG120">
        <v>3582</v>
      </c>
      <c r="AH120">
        <v>3824</v>
      </c>
      <c r="AI120">
        <v>93.7</v>
      </c>
      <c r="AJ120" s="8">
        <f t="shared" si="3"/>
        <v>0.93700000000000006</v>
      </c>
      <c r="AL120">
        <v>102508</v>
      </c>
      <c r="AM120" s="8">
        <f t="shared" si="2"/>
        <v>0.95700000000000007</v>
      </c>
    </row>
    <row r="121" spans="1:39" x14ac:dyDescent="0.25">
      <c r="A121">
        <v>102513</v>
      </c>
      <c r="B121" t="s">
        <v>456</v>
      </c>
      <c r="C121">
        <v>1.0900000000000001</v>
      </c>
      <c r="D121">
        <v>0.98</v>
      </c>
      <c r="E121">
        <v>1.03</v>
      </c>
      <c r="F121">
        <v>0.96</v>
      </c>
      <c r="G121">
        <v>0.89</v>
      </c>
      <c r="H121">
        <v>1.01</v>
      </c>
      <c r="I121">
        <v>0.96</v>
      </c>
      <c r="J121">
        <v>0.98</v>
      </c>
      <c r="K121">
        <v>0.97</v>
      </c>
      <c r="L121">
        <v>0.95</v>
      </c>
      <c r="M121">
        <v>0.92</v>
      </c>
      <c r="N121">
        <v>0.92</v>
      </c>
      <c r="O121">
        <v>0.91</v>
      </c>
      <c r="P121">
        <v>0.97</v>
      </c>
      <c r="Q121">
        <v>1.1299999999999999</v>
      </c>
      <c r="R121">
        <v>0.9</v>
      </c>
      <c r="S121">
        <v>0.99</v>
      </c>
      <c r="T121">
        <v>0.95</v>
      </c>
      <c r="U121">
        <v>0.89</v>
      </c>
      <c r="V121">
        <v>0.89</v>
      </c>
      <c r="W121">
        <v>0.95</v>
      </c>
      <c r="X121">
        <v>0.94</v>
      </c>
      <c r="Y121">
        <v>0.92</v>
      </c>
      <c r="Z121">
        <v>0.91</v>
      </c>
      <c r="AA121" s="8">
        <v>0.82817571954122482</v>
      </c>
      <c r="AB121" s="8">
        <v>1.014</v>
      </c>
      <c r="AC121" s="8">
        <v>0.93400000000000005</v>
      </c>
      <c r="AE121">
        <v>102508</v>
      </c>
      <c r="AF121" t="s">
        <v>172</v>
      </c>
      <c r="AG121">
        <v>4304</v>
      </c>
      <c r="AH121">
        <v>4497</v>
      </c>
      <c r="AI121">
        <v>95.7</v>
      </c>
      <c r="AJ121" s="8">
        <f t="shared" si="3"/>
        <v>0.95700000000000007</v>
      </c>
      <c r="AL121">
        <v>102513</v>
      </c>
      <c r="AM121" s="8">
        <f t="shared" si="2"/>
        <v>0.93400000000000005</v>
      </c>
    </row>
    <row r="122" spans="1:39" x14ac:dyDescent="0.25">
      <c r="A122">
        <v>102315</v>
      </c>
      <c r="B122" t="s">
        <v>283</v>
      </c>
      <c r="C122">
        <v>1.0900000000000001</v>
      </c>
      <c r="D122">
        <v>0.99</v>
      </c>
      <c r="E122">
        <v>1.04</v>
      </c>
      <c r="F122">
        <v>0.96</v>
      </c>
      <c r="G122">
        <v>0.89</v>
      </c>
      <c r="H122">
        <v>1.02</v>
      </c>
      <c r="I122">
        <v>0.95</v>
      </c>
      <c r="J122">
        <v>0.98</v>
      </c>
      <c r="K122">
        <v>0.97</v>
      </c>
      <c r="L122">
        <v>0.95</v>
      </c>
      <c r="M122">
        <v>0.91</v>
      </c>
      <c r="N122">
        <v>0.89</v>
      </c>
      <c r="O122">
        <v>0.88</v>
      </c>
      <c r="P122">
        <v>0.94</v>
      </c>
      <c r="Q122">
        <v>1.1200000000000001</v>
      </c>
      <c r="R122">
        <v>0.91</v>
      </c>
      <c r="S122">
        <v>1.01</v>
      </c>
      <c r="T122">
        <v>0.97</v>
      </c>
      <c r="U122">
        <v>0.85</v>
      </c>
      <c r="V122">
        <v>0.9</v>
      </c>
      <c r="W122">
        <v>0.94</v>
      </c>
      <c r="X122">
        <v>0.93</v>
      </c>
      <c r="Y122">
        <v>0.9</v>
      </c>
      <c r="Z122">
        <v>0.87</v>
      </c>
      <c r="AA122" s="8">
        <v>0.83669064748201438</v>
      </c>
      <c r="AB122" s="8">
        <v>1.0209999999999999</v>
      </c>
      <c r="AC122" s="8">
        <v>0.93700000000000006</v>
      </c>
      <c r="AE122">
        <v>102513</v>
      </c>
      <c r="AF122" t="s">
        <v>456</v>
      </c>
      <c r="AG122">
        <v>4139</v>
      </c>
      <c r="AH122">
        <v>4431</v>
      </c>
      <c r="AI122">
        <v>93.4</v>
      </c>
      <c r="AJ122" s="8">
        <f t="shared" si="3"/>
        <v>0.93400000000000005</v>
      </c>
      <c r="AL122">
        <v>102315</v>
      </c>
      <c r="AM122" s="8">
        <f t="shared" si="2"/>
        <v>0.93700000000000006</v>
      </c>
    </row>
    <row r="123" spans="1:39" x14ac:dyDescent="0.25">
      <c r="A123">
        <v>102633</v>
      </c>
      <c r="B123" t="s">
        <v>209</v>
      </c>
      <c r="Y123">
        <v>0.91</v>
      </c>
      <c r="Z123">
        <v>0.91</v>
      </c>
      <c r="AA123" s="8">
        <v>0.81380065717415118</v>
      </c>
      <c r="AB123" s="8">
        <v>1.016</v>
      </c>
      <c r="AC123" s="8">
        <v>0.93400000000000005</v>
      </c>
      <c r="AE123">
        <v>102315</v>
      </c>
      <c r="AF123" t="s">
        <v>283</v>
      </c>
      <c r="AG123">
        <v>3655</v>
      </c>
      <c r="AH123">
        <v>3902</v>
      </c>
      <c r="AI123">
        <v>93.7</v>
      </c>
      <c r="AJ123" s="8">
        <f t="shared" si="3"/>
        <v>0.93700000000000006</v>
      </c>
      <c r="AL123">
        <v>102633</v>
      </c>
      <c r="AM123" s="8">
        <f t="shared" si="2"/>
        <v>0.93400000000000005</v>
      </c>
    </row>
    <row r="124" spans="1:39" x14ac:dyDescent="0.25">
      <c r="A124">
        <v>102202</v>
      </c>
      <c r="B124" t="s">
        <v>173</v>
      </c>
      <c r="C124">
        <v>1.1100000000000001</v>
      </c>
      <c r="D124">
        <v>1.01</v>
      </c>
      <c r="E124">
        <v>1.04</v>
      </c>
      <c r="F124">
        <v>0.98</v>
      </c>
      <c r="G124">
        <v>0.9</v>
      </c>
      <c r="H124">
        <v>1.02</v>
      </c>
      <c r="I124">
        <v>0.95</v>
      </c>
      <c r="J124">
        <v>0.98</v>
      </c>
      <c r="K124">
        <v>0.98</v>
      </c>
      <c r="L124">
        <v>0.96</v>
      </c>
      <c r="M124">
        <v>0.92</v>
      </c>
      <c r="N124">
        <v>0.9</v>
      </c>
      <c r="O124">
        <v>0.89</v>
      </c>
      <c r="P124">
        <v>0.94</v>
      </c>
      <c r="Q124">
        <v>1.1299999999999999</v>
      </c>
      <c r="R124">
        <v>0.9</v>
      </c>
      <c r="S124">
        <v>0.98</v>
      </c>
      <c r="T124">
        <v>0.96</v>
      </c>
      <c r="U124">
        <v>0.84</v>
      </c>
      <c r="V124">
        <v>0.9</v>
      </c>
      <c r="W124">
        <v>0.96</v>
      </c>
      <c r="X124">
        <v>0.93</v>
      </c>
      <c r="Y124">
        <v>0.91</v>
      </c>
      <c r="Z124">
        <v>0.89</v>
      </c>
      <c r="AA124" s="8">
        <v>0.83919597989949746</v>
      </c>
      <c r="AB124" s="8">
        <v>1.0270000000000001</v>
      </c>
      <c r="AC124" s="8">
        <v>0.93</v>
      </c>
      <c r="AE124">
        <v>102235</v>
      </c>
      <c r="AF124" t="s">
        <v>1222</v>
      </c>
      <c r="AG124">
        <v>3603</v>
      </c>
      <c r="AH124">
        <v>3843</v>
      </c>
      <c r="AI124">
        <v>93.8</v>
      </c>
      <c r="AJ124" s="8">
        <f t="shared" si="3"/>
        <v>0.93799999999999994</v>
      </c>
      <c r="AL124">
        <v>102202</v>
      </c>
      <c r="AM124" s="8">
        <f t="shared" si="2"/>
        <v>0.93</v>
      </c>
    </row>
    <row r="125" spans="1:39" x14ac:dyDescent="0.25">
      <c r="A125">
        <v>102007</v>
      </c>
      <c r="B125" t="s">
        <v>457</v>
      </c>
      <c r="C125">
        <v>1</v>
      </c>
      <c r="D125">
        <v>0.96</v>
      </c>
      <c r="E125">
        <v>1.02</v>
      </c>
      <c r="F125">
        <v>0.97</v>
      </c>
      <c r="G125">
        <v>0.92</v>
      </c>
      <c r="H125">
        <v>0.99</v>
      </c>
      <c r="I125">
        <v>0.94</v>
      </c>
      <c r="J125">
        <v>0.95</v>
      </c>
      <c r="K125">
        <v>0.97</v>
      </c>
      <c r="L125">
        <v>0.93</v>
      </c>
      <c r="M125">
        <v>0.9</v>
      </c>
      <c r="N125">
        <v>0.91</v>
      </c>
      <c r="O125">
        <v>0.93</v>
      </c>
      <c r="P125">
        <v>0.92</v>
      </c>
      <c r="Q125">
        <v>1.01</v>
      </c>
      <c r="R125">
        <v>0.87</v>
      </c>
      <c r="S125">
        <v>0.99</v>
      </c>
      <c r="T125">
        <v>0.91</v>
      </c>
      <c r="U125">
        <v>0.9</v>
      </c>
      <c r="V125">
        <v>0.9</v>
      </c>
      <c r="W125">
        <v>0.93</v>
      </c>
      <c r="X125">
        <v>0.95</v>
      </c>
      <c r="Y125">
        <v>0.95</v>
      </c>
      <c r="Z125">
        <v>0.96</v>
      </c>
      <c r="AA125" s="8">
        <v>0.89075067024128685</v>
      </c>
      <c r="AB125" s="8">
        <v>1.03</v>
      </c>
      <c r="AC125" s="8">
        <v>0.98</v>
      </c>
      <c r="AE125">
        <v>102633</v>
      </c>
      <c r="AF125" t="s">
        <v>209</v>
      </c>
      <c r="AG125">
        <v>4102</v>
      </c>
      <c r="AH125">
        <v>4394</v>
      </c>
      <c r="AI125">
        <v>93.4</v>
      </c>
      <c r="AJ125" s="8">
        <f t="shared" si="3"/>
        <v>0.93400000000000005</v>
      </c>
      <c r="AL125">
        <v>102007</v>
      </c>
      <c r="AM125" s="8">
        <f t="shared" si="2"/>
        <v>0.98</v>
      </c>
    </row>
    <row r="126" spans="1:39" x14ac:dyDescent="0.25">
      <c r="A126">
        <v>102124</v>
      </c>
      <c r="B126" t="s">
        <v>458</v>
      </c>
      <c r="C126">
        <v>1.1100000000000001</v>
      </c>
      <c r="D126">
        <v>1.01</v>
      </c>
      <c r="E126">
        <v>1</v>
      </c>
      <c r="F126">
        <v>0.95</v>
      </c>
      <c r="G126">
        <v>0.9</v>
      </c>
      <c r="H126">
        <v>0.98</v>
      </c>
      <c r="I126">
        <v>0.93</v>
      </c>
      <c r="J126">
        <v>0.97</v>
      </c>
      <c r="K126">
        <v>0.97</v>
      </c>
      <c r="L126">
        <v>0.95</v>
      </c>
      <c r="M126">
        <v>0.91</v>
      </c>
      <c r="N126">
        <v>0.87</v>
      </c>
      <c r="O126">
        <v>0.87</v>
      </c>
      <c r="P126">
        <v>0.93</v>
      </c>
      <c r="Q126">
        <v>1.1000000000000001</v>
      </c>
      <c r="R126">
        <v>0.91</v>
      </c>
      <c r="S126">
        <v>0.98</v>
      </c>
      <c r="T126">
        <v>0.95</v>
      </c>
      <c r="U126">
        <v>0.83</v>
      </c>
      <c r="V126">
        <v>0.89</v>
      </c>
      <c r="W126">
        <v>0.91</v>
      </c>
      <c r="X126">
        <v>0.91</v>
      </c>
      <c r="Y126">
        <v>0.86</v>
      </c>
      <c r="Z126">
        <v>0.84</v>
      </c>
      <c r="AA126" s="8">
        <v>0.80700428319475936</v>
      </c>
      <c r="AB126" s="8">
        <v>0.99400000000000011</v>
      </c>
      <c r="AC126" s="8">
        <v>0.92500000000000004</v>
      </c>
      <c r="AE126">
        <v>102202</v>
      </c>
      <c r="AF126" t="s">
        <v>173</v>
      </c>
      <c r="AG126">
        <v>3707</v>
      </c>
      <c r="AH126">
        <v>3986</v>
      </c>
      <c r="AI126">
        <v>93</v>
      </c>
      <c r="AJ126" s="8">
        <f t="shared" si="3"/>
        <v>0.93</v>
      </c>
      <c r="AL126">
        <v>102124</v>
      </c>
      <c r="AM126" s="8">
        <f t="shared" si="2"/>
        <v>0.92500000000000004</v>
      </c>
    </row>
    <row r="127" spans="1:39" x14ac:dyDescent="0.25">
      <c r="A127">
        <v>102602</v>
      </c>
      <c r="B127" t="s">
        <v>174</v>
      </c>
      <c r="C127">
        <v>1.0900000000000001</v>
      </c>
      <c r="D127">
        <v>0.99</v>
      </c>
      <c r="E127">
        <v>1.04</v>
      </c>
      <c r="F127">
        <v>0.97</v>
      </c>
      <c r="G127">
        <v>0.89</v>
      </c>
      <c r="H127">
        <v>0.99</v>
      </c>
      <c r="I127">
        <v>0.96</v>
      </c>
      <c r="J127">
        <v>0.97</v>
      </c>
      <c r="K127">
        <v>0.97</v>
      </c>
      <c r="L127">
        <v>0.94</v>
      </c>
      <c r="M127">
        <v>0.92</v>
      </c>
      <c r="N127">
        <v>0.92</v>
      </c>
      <c r="O127">
        <v>0.9</v>
      </c>
      <c r="P127">
        <v>0.97</v>
      </c>
      <c r="Q127">
        <v>1.1299999999999999</v>
      </c>
      <c r="R127">
        <v>0.9</v>
      </c>
      <c r="S127">
        <v>1</v>
      </c>
      <c r="T127">
        <v>0.95</v>
      </c>
      <c r="U127">
        <v>0.89</v>
      </c>
      <c r="V127">
        <v>0.9</v>
      </c>
      <c r="W127">
        <v>0.96</v>
      </c>
      <c r="X127">
        <v>0.95</v>
      </c>
      <c r="Y127">
        <v>0.92</v>
      </c>
      <c r="Z127">
        <v>0.92</v>
      </c>
      <c r="AA127" s="8">
        <v>0.82356756756756755</v>
      </c>
      <c r="AB127" s="8">
        <v>1.0149999999999999</v>
      </c>
      <c r="AC127" s="8">
        <v>0.94</v>
      </c>
      <c r="AE127">
        <v>102007</v>
      </c>
      <c r="AF127" t="s">
        <v>457</v>
      </c>
      <c r="AG127">
        <v>6771</v>
      </c>
      <c r="AH127">
        <v>6909</v>
      </c>
      <c r="AI127">
        <v>98</v>
      </c>
      <c r="AJ127" s="8">
        <f t="shared" si="3"/>
        <v>0.98</v>
      </c>
      <c r="AL127">
        <v>102602</v>
      </c>
      <c r="AM127" s="8">
        <f t="shared" si="2"/>
        <v>0.94</v>
      </c>
    </row>
    <row r="128" spans="1:39" x14ac:dyDescent="0.25">
      <c r="A128">
        <v>102301</v>
      </c>
      <c r="B128" t="s">
        <v>459</v>
      </c>
      <c r="C128">
        <v>1.0900000000000001</v>
      </c>
      <c r="D128">
        <v>1.01</v>
      </c>
      <c r="E128">
        <v>1.01</v>
      </c>
      <c r="F128">
        <v>0.94</v>
      </c>
      <c r="G128">
        <v>0.88</v>
      </c>
      <c r="H128">
        <v>0.99</v>
      </c>
      <c r="I128">
        <v>0.94</v>
      </c>
      <c r="J128">
        <v>0.97</v>
      </c>
      <c r="K128">
        <v>0.98</v>
      </c>
      <c r="L128">
        <v>0.95</v>
      </c>
      <c r="M128">
        <v>0.91</v>
      </c>
      <c r="N128">
        <v>0.89</v>
      </c>
      <c r="O128">
        <v>0.89</v>
      </c>
      <c r="P128">
        <v>0.93</v>
      </c>
      <c r="Q128">
        <v>1.1200000000000001</v>
      </c>
      <c r="R128">
        <v>0.92</v>
      </c>
      <c r="S128">
        <v>1</v>
      </c>
      <c r="T128">
        <v>0.97</v>
      </c>
      <c r="U128">
        <v>0.86</v>
      </c>
      <c r="V128">
        <v>0.92</v>
      </c>
      <c r="W128">
        <v>0.94</v>
      </c>
      <c r="X128">
        <v>0.93</v>
      </c>
      <c r="Y128">
        <v>0.86</v>
      </c>
      <c r="Z128">
        <v>0.84</v>
      </c>
      <c r="AA128" s="8">
        <v>0.82329029172644663</v>
      </c>
      <c r="AB128" s="8">
        <v>1.014</v>
      </c>
      <c r="AC128" s="8">
        <v>0.93500000000000005</v>
      </c>
      <c r="AE128">
        <v>102124</v>
      </c>
      <c r="AF128" t="s">
        <v>458</v>
      </c>
      <c r="AG128">
        <v>3416</v>
      </c>
      <c r="AH128">
        <v>3694</v>
      </c>
      <c r="AI128">
        <v>92.5</v>
      </c>
      <c r="AJ128" s="8">
        <f t="shared" si="3"/>
        <v>0.92500000000000004</v>
      </c>
      <c r="AL128">
        <v>102301</v>
      </c>
      <c r="AM128" s="8">
        <f t="shared" si="2"/>
        <v>0.93500000000000005</v>
      </c>
    </row>
    <row r="129" spans="1:39" x14ac:dyDescent="0.25">
      <c r="A129">
        <v>102108</v>
      </c>
      <c r="B129" t="s">
        <v>176</v>
      </c>
      <c r="C129">
        <v>1.1100000000000001</v>
      </c>
      <c r="D129">
        <v>1</v>
      </c>
      <c r="E129">
        <v>1.01</v>
      </c>
      <c r="F129">
        <v>0.96</v>
      </c>
      <c r="G129">
        <v>0.9</v>
      </c>
      <c r="H129">
        <v>0.98</v>
      </c>
      <c r="I129">
        <v>0.94</v>
      </c>
      <c r="J129">
        <v>0.96</v>
      </c>
      <c r="K129">
        <v>0.97</v>
      </c>
      <c r="L129">
        <v>0.94</v>
      </c>
      <c r="M129">
        <v>0.91</v>
      </c>
      <c r="N129">
        <v>0.89</v>
      </c>
      <c r="O129">
        <v>0.89</v>
      </c>
      <c r="P129">
        <v>0.94</v>
      </c>
      <c r="Q129">
        <v>1.1200000000000001</v>
      </c>
      <c r="R129">
        <v>0.93</v>
      </c>
      <c r="S129">
        <v>1.01</v>
      </c>
      <c r="T129">
        <v>0.98</v>
      </c>
      <c r="U129">
        <v>0.86</v>
      </c>
      <c r="V129">
        <v>0.91</v>
      </c>
      <c r="W129">
        <v>0.92</v>
      </c>
      <c r="X129">
        <v>0.92</v>
      </c>
      <c r="Y129">
        <v>0.88</v>
      </c>
      <c r="Z129">
        <v>0.85</v>
      </c>
      <c r="AA129" s="8">
        <v>0.81832061068702289</v>
      </c>
      <c r="AB129" s="8">
        <v>0.99</v>
      </c>
      <c r="AC129" s="8">
        <v>0.92400000000000004</v>
      </c>
      <c r="AE129">
        <v>102602</v>
      </c>
      <c r="AF129" t="s">
        <v>174</v>
      </c>
      <c r="AG129">
        <v>4195</v>
      </c>
      <c r="AH129">
        <v>4462</v>
      </c>
      <c r="AI129">
        <v>94</v>
      </c>
      <c r="AJ129" s="8">
        <f t="shared" si="3"/>
        <v>0.94</v>
      </c>
      <c r="AL129">
        <v>102108</v>
      </c>
      <c r="AM129" s="8">
        <f t="shared" si="2"/>
        <v>0.92400000000000004</v>
      </c>
    </row>
    <row r="130" spans="1:39" x14ac:dyDescent="0.25">
      <c r="A130">
        <v>102511</v>
      </c>
      <c r="B130" t="s">
        <v>184</v>
      </c>
      <c r="C130">
        <v>1.1000000000000001</v>
      </c>
      <c r="D130">
        <v>0.99</v>
      </c>
      <c r="E130">
        <v>1.04</v>
      </c>
      <c r="F130">
        <v>0.97</v>
      </c>
      <c r="G130">
        <v>0.9</v>
      </c>
      <c r="H130">
        <v>1.02</v>
      </c>
      <c r="I130">
        <v>0.96</v>
      </c>
      <c r="J130">
        <v>0.98</v>
      </c>
      <c r="K130">
        <v>0.97</v>
      </c>
      <c r="L130">
        <v>0.96</v>
      </c>
      <c r="M130">
        <v>0.93</v>
      </c>
      <c r="N130">
        <v>0.93</v>
      </c>
      <c r="O130">
        <v>0.92</v>
      </c>
      <c r="P130">
        <v>0.97</v>
      </c>
      <c r="Q130">
        <v>1.1399999999999999</v>
      </c>
      <c r="R130">
        <v>0.92</v>
      </c>
      <c r="S130">
        <v>1.01</v>
      </c>
      <c r="T130">
        <v>0.96</v>
      </c>
      <c r="U130">
        <v>0.9</v>
      </c>
      <c r="V130">
        <v>0.91</v>
      </c>
      <c r="W130">
        <v>0.94</v>
      </c>
      <c r="X130">
        <v>0.93</v>
      </c>
      <c r="Y130">
        <v>0.91</v>
      </c>
      <c r="Z130">
        <v>0.9</v>
      </c>
      <c r="AA130" s="8">
        <v>0.82060012768674184</v>
      </c>
      <c r="AB130" s="8">
        <v>1.006</v>
      </c>
      <c r="AC130" s="8">
        <v>0.93200000000000005</v>
      </c>
      <c r="AE130">
        <v>102301</v>
      </c>
      <c r="AF130" t="s">
        <v>459</v>
      </c>
      <c r="AG130">
        <v>3656</v>
      </c>
      <c r="AH130">
        <v>3910</v>
      </c>
      <c r="AI130">
        <v>93.5</v>
      </c>
      <c r="AJ130" s="8">
        <f t="shared" si="3"/>
        <v>0.93500000000000005</v>
      </c>
      <c r="AL130">
        <v>102511</v>
      </c>
      <c r="AM130" s="8">
        <f t="shared" si="2"/>
        <v>0.93200000000000005</v>
      </c>
    </row>
    <row r="131" spans="1:39" x14ac:dyDescent="0.25">
      <c r="A131">
        <v>102529</v>
      </c>
      <c r="B131" t="s">
        <v>857</v>
      </c>
      <c r="Y131">
        <v>0.92</v>
      </c>
      <c r="Z131">
        <v>0.91</v>
      </c>
      <c r="AA131" s="8">
        <v>0.82763072950290506</v>
      </c>
      <c r="AB131" s="8">
        <v>1.016</v>
      </c>
      <c r="AC131" s="8">
        <v>0.94099999999999995</v>
      </c>
      <c r="AE131">
        <v>102108</v>
      </c>
      <c r="AF131" t="s">
        <v>176</v>
      </c>
      <c r="AG131">
        <v>3380</v>
      </c>
      <c r="AH131">
        <v>3659</v>
      </c>
      <c r="AI131">
        <v>92.4</v>
      </c>
      <c r="AJ131" s="8">
        <f t="shared" si="3"/>
        <v>0.92400000000000004</v>
      </c>
      <c r="AL131">
        <v>102529</v>
      </c>
      <c r="AM131" s="8">
        <f t="shared" ref="AM131:AM194" si="4">_xlfn.XLOOKUP(AL131,$AE$5:$AE$314,$AJ$5:$AJ$314)</f>
        <v>0.94099999999999995</v>
      </c>
    </row>
    <row r="132" spans="1:39" x14ac:dyDescent="0.25">
      <c r="A132">
        <v>102706</v>
      </c>
      <c r="B132" t="s">
        <v>38</v>
      </c>
      <c r="C132">
        <v>1.05</v>
      </c>
      <c r="D132">
        <v>0.95</v>
      </c>
      <c r="E132">
        <v>0.99</v>
      </c>
      <c r="F132">
        <v>0.97</v>
      </c>
      <c r="G132">
        <v>0.92</v>
      </c>
      <c r="H132">
        <v>1.01</v>
      </c>
      <c r="I132">
        <v>0.97</v>
      </c>
      <c r="J132">
        <v>0.95</v>
      </c>
      <c r="K132">
        <v>0.95</v>
      </c>
      <c r="L132">
        <v>0.93</v>
      </c>
      <c r="M132">
        <v>0.9</v>
      </c>
      <c r="N132">
        <v>0.92</v>
      </c>
      <c r="O132">
        <v>0.91</v>
      </c>
      <c r="P132">
        <v>0.96</v>
      </c>
      <c r="Q132">
        <v>1.1000000000000001</v>
      </c>
      <c r="R132">
        <v>0.89</v>
      </c>
      <c r="S132">
        <v>1</v>
      </c>
      <c r="T132">
        <v>0.94</v>
      </c>
      <c r="U132">
        <v>0.88</v>
      </c>
      <c r="V132">
        <v>0.9</v>
      </c>
      <c r="W132">
        <v>0.95</v>
      </c>
      <c r="X132">
        <v>0.96</v>
      </c>
      <c r="Y132">
        <v>0.93</v>
      </c>
      <c r="Z132">
        <v>0.93</v>
      </c>
      <c r="AA132" s="8">
        <v>0.84819231497255343</v>
      </c>
      <c r="AB132" s="8">
        <v>1.012</v>
      </c>
      <c r="AC132" s="8">
        <v>0.96799999999999997</v>
      </c>
      <c r="AE132">
        <v>102511</v>
      </c>
      <c r="AF132" t="s">
        <v>184</v>
      </c>
      <c r="AG132">
        <v>4207</v>
      </c>
      <c r="AH132">
        <v>4513</v>
      </c>
      <c r="AI132">
        <v>93.2</v>
      </c>
      <c r="AJ132" s="8">
        <f t="shared" si="3"/>
        <v>0.93200000000000005</v>
      </c>
      <c r="AL132">
        <v>102706</v>
      </c>
      <c r="AM132" s="8">
        <f t="shared" si="4"/>
        <v>0.96799999999999997</v>
      </c>
    </row>
    <row r="133" spans="1:39" x14ac:dyDescent="0.25">
      <c r="A133">
        <v>102203</v>
      </c>
      <c r="B133" t="s">
        <v>186</v>
      </c>
      <c r="C133">
        <v>1.1100000000000001</v>
      </c>
      <c r="D133">
        <v>1.01</v>
      </c>
      <c r="E133">
        <v>1.04</v>
      </c>
      <c r="F133">
        <v>0.98</v>
      </c>
      <c r="G133">
        <v>0.9</v>
      </c>
      <c r="H133">
        <v>1.01</v>
      </c>
      <c r="I133">
        <v>0.94</v>
      </c>
      <c r="J133">
        <v>0.97</v>
      </c>
      <c r="K133">
        <v>0.97</v>
      </c>
      <c r="L133">
        <v>0.95</v>
      </c>
      <c r="M133">
        <v>0.93</v>
      </c>
      <c r="N133">
        <v>0.91</v>
      </c>
      <c r="O133">
        <v>0.9</v>
      </c>
      <c r="P133">
        <v>0.95</v>
      </c>
      <c r="Q133">
        <v>1.1399999999999999</v>
      </c>
      <c r="R133">
        <v>0.92</v>
      </c>
      <c r="S133">
        <v>1</v>
      </c>
      <c r="T133">
        <v>0.99</v>
      </c>
      <c r="U133">
        <v>0.87</v>
      </c>
      <c r="V133">
        <v>0.93</v>
      </c>
      <c r="W133">
        <v>0.97</v>
      </c>
      <c r="X133">
        <v>0.95</v>
      </c>
      <c r="Y133">
        <v>0.91</v>
      </c>
      <c r="Z133">
        <v>0.89</v>
      </c>
      <c r="AA133" s="8">
        <v>0.85429696548529066</v>
      </c>
      <c r="AB133" s="8">
        <v>1.0190000000000001</v>
      </c>
      <c r="AC133" s="8">
        <v>0.93</v>
      </c>
      <c r="AE133">
        <v>102706</v>
      </c>
      <c r="AF133" t="s">
        <v>38</v>
      </c>
      <c r="AG133">
        <v>4893</v>
      </c>
      <c r="AH133">
        <v>5056</v>
      </c>
      <c r="AI133">
        <v>96.8</v>
      </c>
      <c r="AJ133" s="8">
        <f t="shared" ref="AJ133:AJ196" si="5">AI133/100</f>
        <v>0.96799999999999997</v>
      </c>
      <c r="AL133">
        <v>102203</v>
      </c>
      <c r="AM133" s="8">
        <f t="shared" si="4"/>
        <v>0.93</v>
      </c>
    </row>
    <row r="134" spans="1:39" x14ac:dyDescent="0.25">
      <c r="A134">
        <v>102310</v>
      </c>
      <c r="B134" t="s">
        <v>515</v>
      </c>
      <c r="C134">
        <v>1.1200000000000001</v>
      </c>
      <c r="D134">
        <v>1.02</v>
      </c>
      <c r="E134">
        <v>1.04</v>
      </c>
      <c r="F134">
        <v>0.97</v>
      </c>
      <c r="G134">
        <v>0.91</v>
      </c>
      <c r="H134">
        <v>1.02</v>
      </c>
      <c r="I134">
        <v>0.97</v>
      </c>
      <c r="J134">
        <v>0.99</v>
      </c>
      <c r="K134">
        <v>1.01</v>
      </c>
      <c r="L134">
        <v>0.98</v>
      </c>
      <c r="M134">
        <v>0.95</v>
      </c>
      <c r="N134">
        <v>0.93</v>
      </c>
      <c r="O134">
        <v>0.94</v>
      </c>
      <c r="P134">
        <v>0.98</v>
      </c>
      <c r="Q134">
        <v>1.1299999999999999</v>
      </c>
      <c r="R134">
        <v>0.95</v>
      </c>
      <c r="S134">
        <v>1.02</v>
      </c>
      <c r="T134">
        <v>0.99</v>
      </c>
      <c r="U134">
        <v>0.89</v>
      </c>
      <c r="V134">
        <v>0.92</v>
      </c>
      <c r="W134">
        <v>0.96</v>
      </c>
      <c r="X134">
        <v>0.94</v>
      </c>
      <c r="Y134">
        <v>0.9</v>
      </c>
      <c r="Z134">
        <v>0.89</v>
      </c>
      <c r="AA134" s="8">
        <v>0.85736642074670244</v>
      </c>
      <c r="AB134" s="8">
        <v>1.0090000000000001</v>
      </c>
      <c r="AC134" s="8">
        <v>0.94499999999999995</v>
      </c>
      <c r="AE134">
        <v>102203</v>
      </c>
      <c r="AF134" t="s">
        <v>186</v>
      </c>
      <c r="AG134">
        <v>3858</v>
      </c>
      <c r="AH134">
        <v>4149</v>
      </c>
      <c r="AI134">
        <v>93</v>
      </c>
      <c r="AJ134" s="8">
        <f t="shared" si="5"/>
        <v>0.93</v>
      </c>
      <c r="AL134">
        <v>102310</v>
      </c>
      <c r="AM134" s="8">
        <f t="shared" si="4"/>
        <v>0.94499999999999995</v>
      </c>
    </row>
    <row r="135" spans="1:39" x14ac:dyDescent="0.25">
      <c r="A135">
        <v>102647</v>
      </c>
      <c r="B135" t="s">
        <v>403</v>
      </c>
      <c r="Y135">
        <v>0.88</v>
      </c>
      <c r="Z135">
        <v>0.87</v>
      </c>
      <c r="AA135" s="8">
        <v>0.78416794226984476</v>
      </c>
      <c r="AB135" s="8">
        <v>1.0149999999999999</v>
      </c>
      <c r="AC135" s="8">
        <v>0.95400000000000007</v>
      </c>
      <c r="AE135">
        <v>102310</v>
      </c>
      <c r="AF135" t="s">
        <v>515</v>
      </c>
      <c r="AG135">
        <v>4100</v>
      </c>
      <c r="AH135">
        <v>4340</v>
      </c>
      <c r="AI135">
        <v>94.5</v>
      </c>
      <c r="AJ135" s="8">
        <f t="shared" si="5"/>
        <v>0.94499999999999995</v>
      </c>
      <c r="AL135">
        <v>102647</v>
      </c>
      <c r="AM135" s="8">
        <f t="shared" si="4"/>
        <v>0.95400000000000007</v>
      </c>
    </row>
    <row r="136" spans="1:39" x14ac:dyDescent="0.25">
      <c r="A136">
        <v>102213</v>
      </c>
      <c r="B136" t="s">
        <v>188</v>
      </c>
      <c r="C136">
        <v>1.08</v>
      </c>
      <c r="D136">
        <v>0.97</v>
      </c>
      <c r="E136">
        <v>1.02</v>
      </c>
      <c r="F136">
        <v>0.95</v>
      </c>
      <c r="G136">
        <v>0.88</v>
      </c>
      <c r="H136">
        <v>1.01</v>
      </c>
      <c r="I136">
        <v>0.96</v>
      </c>
      <c r="J136">
        <v>0.99</v>
      </c>
      <c r="K136">
        <v>0.98</v>
      </c>
      <c r="L136">
        <v>0.95</v>
      </c>
      <c r="M136">
        <v>0.93</v>
      </c>
      <c r="N136">
        <v>0.91</v>
      </c>
      <c r="O136">
        <v>0.9</v>
      </c>
      <c r="P136">
        <v>0.94</v>
      </c>
      <c r="Q136">
        <v>1.1299999999999999</v>
      </c>
      <c r="R136">
        <v>0.9</v>
      </c>
      <c r="S136">
        <v>0.99</v>
      </c>
      <c r="T136">
        <v>0.96</v>
      </c>
      <c r="U136">
        <v>0.86</v>
      </c>
      <c r="V136">
        <v>0.9</v>
      </c>
      <c r="W136">
        <v>0.94</v>
      </c>
      <c r="X136">
        <v>0.92</v>
      </c>
      <c r="Y136">
        <v>0.9</v>
      </c>
      <c r="Z136">
        <v>0.89</v>
      </c>
      <c r="AA136" s="8">
        <v>0.82985480943738654</v>
      </c>
      <c r="AB136" s="8">
        <v>1.0009999999999999</v>
      </c>
      <c r="AC136" s="8">
        <v>0.92700000000000005</v>
      </c>
      <c r="AE136">
        <v>102647</v>
      </c>
      <c r="AF136" t="s">
        <v>403</v>
      </c>
      <c r="AG136">
        <v>4027</v>
      </c>
      <c r="AH136">
        <v>4223</v>
      </c>
      <c r="AI136">
        <v>95.4</v>
      </c>
      <c r="AJ136" s="8">
        <f t="shared" si="5"/>
        <v>0.95400000000000007</v>
      </c>
      <c r="AL136">
        <v>102213</v>
      </c>
      <c r="AM136" s="8">
        <f t="shared" si="4"/>
        <v>0.92700000000000005</v>
      </c>
    </row>
    <row r="137" spans="1:39" x14ac:dyDescent="0.25">
      <c r="A137">
        <v>102253</v>
      </c>
      <c r="B137" t="s">
        <v>189</v>
      </c>
      <c r="Y137">
        <v>0.92</v>
      </c>
      <c r="Z137">
        <v>0.91</v>
      </c>
      <c r="AA137" s="8">
        <v>0.84577922077922074</v>
      </c>
      <c r="AB137" s="8">
        <v>1.0209999999999999</v>
      </c>
      <c r="AC137" s="8">
        <v>0.93200000000000005</v>
      </c>
      <c r="AE137">
        <v>102213</v>
      </c>
      <c r="AF137" t="s">
        <v>188</v>
      </c>
      <c r="AG137">
        <v>3851</v>
      </c>
      <c r="AH137">
        <v>4154</v>
      </c>
      <c r="AI137">
        <v>92.7</v>
      </c>
      <c r="AJ137" s="8">
        <f t="shared" si="5"/>
        <v>0.92700000000000005</v>
      </c>
      <c r="AL137">
        <v>102253</v>
      </c>
      <c r="AM137" s="8">
        <f t="shared" si="4"/>
        <v>0.93200000000000005</v>
      </c>
    </row>
    <row r="138" spans="1:39" x14ac:dyDescent="0.25">
      <c r="A138">
        <v>102515</v>
      </c>
      <c r="B138" t="s">
        <v>190</v>
      </c>
      <c r="C138">
        <v>1.08</v>
      </c>
      <c r="D138">
        <v>0.97</v>
      </c>
      <c r="E138">
        <v>1.02</v>
      </c>
      <c r="F138">
        <v>0.97</v>
      </c>
      <c r="G138">
        <v>0.89</v>
      </c>
      <c r="H138">
        <v>1</v>
      </c>
      <c r="I138">
        <v>0.97</v>
      </c>
      <c r="J138">
        <v>0.99</v>
      </c>
      <c r="K138">
        <v>0.98</v>
      </c>
      <c r="L138">
        <v>0.95</v>
      </c>
      <c r="M138">
        <v>0.93</v>
      </c>
      <c r="N138">
        <v>0.94</v>
      </c>
      <c r="O138">
        <v>0.92</v>
      </c>
      <c r="P138">
        <v>0.97</v>
      </c>
      <c r="Q138">
        <v>1.1200000000000001</v>
      </c>
      <c r="R138">
        <v>0.9</v>
      </c>
      <c r="S138">
        <v>0.99</v>
      </c>
      <c r="T138">
        <v>0.95</v>
      </c>
      <c r="U138">
        <v>0.91</v>
      </c>
      <c r="V138">
        <v>0.92</v>
      </c>
      <c r="W138">
        <v>0.96</v>
      </c>
      <c r="X138">
        <v>0.96</v>
      </c>
      <c r="Y138">
        <v>0.93</v>
      </c>
      <c r="Z138">
        <v>0.93</v>
      </c>
      <c r="AA138" s="8">
        <v>0.84360683048729701</v>
      </c>
      <c r="AB138" s="8">
        <v>1.016</v>
      </c>
      <c r="AC138" s="8">
        <v>0.95799999999999996</v>
      </c>
      <c r="AE138">
        <v>102253</v>
      </c>
      <c r="AF138" t="s">
        <v>189</v>
      </c>
      <c r="AG138">
        <v>3907</v>
      </c>
      <c r="AH138">
        <v>4190</v>
      </c>
      <c r="AI138">
        <v>93.2</v>
      </c>
      <c r="AJ138" s="8">
        <f t="shared" si="5"/>
        <v>0.93200000000000005</v>
      </c>
      <c r="AL138">
        <v>102515</v>
      </c>
      <c r="AM138" s="8">
        <f t="shared" si="4"/>
        <v>0.95799999999999996</v>
      </c>
    </row>
    <row r="139" spans="1:39" x14ac:dyDescent="0.25">
      <c r="A139">
        <v>102406</v>
      </c>
      <c r="B139" t="s">
        <v>308</v>
      </c>
      <c r="C139">
        <v>1.1000000000000001</v>
      </c>
      <c r="D139">
        <v>0.98</v>
      </c>
      <c r="E139">
        <v>1.03</v>
      </c>
      <c r="F139">
        <v>0.95</v>
      </c>
      <c r="G139">
        <v>0.89</v>
      </c>
      <c r="H139">
        <v>1</v>
      </c>
      <c r="I139">
        <v>0.94</v>
      </c>
      <c r="J139">
        <v>0.97</v>
      </c>
      <c r="K139">
        <v>0.96</v>
      </c>
      <c r="L139">
        <v>0.94</v>
      </c>
      <c r="M139">
        <v>0.92</v>
      </c>
      <c r="N139">
        <v>0.9</v>
      </c>
      <c r="O139">
        <v>0.89</v>
      </c>
      <c r="P139">
        <v>0.97</v>
      </c>
      <c r="Q139">
        <v>1.1299999999999999</v>
      </c>
      <c r="R139">
        <v>0.89</v>
      </c>
      <c r="S139">
        <v>0.99</v>
      </c>
      <c r="T139">
        <v>0.96</v>
      </c>
      <c r="U139">
        <v>0.88</v>
      </c>
      <c r="V139">
        <v>0.87</v>
      </c>
      <c r="W139">
        <v>0.93</v>
      </c>
      <c r="X139">
        <v>0.92</v>
      </c>
      <c r="Y139">
        <v>0.9</v>
      </c>
      <c r="Z139">
        <v>0.88</v>
      </c>
      <c r="AA139" s="8">
        <v>0.80921201174079926</v>
      </c>
      <c r="AB139" s="8">
        <v>1.0109999999999999</v>
      </c>
      <c r="AC139" s="8">
        <v>0.93099999999999994</v>
      </c>
      <c r="AE139">
        <v>102515</v>
      </c>
      <c r="AF139" t="s">
        <v>190</v>
      </c>
      <c r="AG139">
        <v>4448</v>
      </c>
      <c r="AH139">
        <v>4646</v>
      </c>
      <c r="AI139">
        <v>95.8</v>
      </c>
      <c r="AJ139" s="8">
        <f t="shared" si="5"/>
        <v>0.95799999999999996</v>
      </c>
      <c r="AL139">
        <v>102406</v>
      </c>
      <c r="AM139" s="8">
        <f t="shared" si="4"/>
        <v>0.93099999999999994</v>
      </c>
    </row>
    <row r="140" spans="1:39" x14ac:dyDescent="0.25">
      <c r="A140">
        <v>102312</v>
      </c>
      <c r="B140" t="s">
        <v>78</v>
      </c>
      <c r="C140">
        <v>1.1100000000000001</v>
      </c>
      <c r="D140">
        <v>1.02</v>
      </c>
      <c r="E140">
        <v>1.04</v>
      </c>
      <c r="F140">
        <v>0.97</v>
      </c>
      <c r="G140">
        <v>0.91</v>
      </c>
      <c r="H140">
        <v>0.99</v>
      </c>
      <c r="I140">
        <v>0.94</v>
      </c>
      <c r="J140">
        <v>0.97</v>
      </c>
      <c r="K140">
        <v>0.99</v>
      </c>
      <c r="L140">
        <v>0.96</v>
      </c>
      <c r="M140">
        <v>0.93</v>
      </c>
      <c r="N140">
        <v>0.91</v>
      </c>
      <c r="O140">
        <v>0.91</v>
      </c>
      <c r="P140">
        <v>0.95</v>
      </c>
      <c r="Q140">
        <v>1.1100000000000001</v>
      </c>
      <c r="R140">
        <v>0.92</v>
      </c>
      <c r="S140">
        <v>1.01</v>
      </c>
      <c r="T140">
        <v>0.98</v>
      </c>
      <c r="U140">
        <v>0.87</v>
      </c>
      <c r="V140">
        <v>0.92</v>
      </c>
      <c r="W140">
        <v>0.95</v>
      </c>
      <c r="X140">
        <v>0.94</v>
      </c>
      <c r="Y140">
        <v>0.89</v>
      </c>
      <c r="Z140">
        <v>0.87</v>
      </c>
      <c r="AA140" s="8">
        <v>0.83789801825873966</v>
      </c>
      <c r="AB140" s="8">
        <v>1.002</v>
      </c>
      <c r="AC140" s="8">
        <v>0.93400000000000005</v>
      </c>
      <c r="AE140">
        <v>102406</v>
      </c>
      <c r="AF140" t="s">
        <v>308</v>
      </c>
      <c r="AG140">
        <v>3938</v>
      </c>
      <c r="AH140">
        <v>4229</v>
      </c>
      <c r="AI140">
        <v>93.1</v>
      </c>
      <c r="AJ140" s="8">
        <f t="shared" si="5"/>
        <v>0.93099999999999994</v>
      </c>
      <c r="AL140">
        <v>102312</v>
      </c>
      <c r="AM140" s="8">
        <f t="shared" si="4"/>
        <v>0.93400000000000005</v>
      </c>
    </row>
    <row r="141" spans="1:39" x14ac:dyDescent="0.25">
      <c r="A141">
        <v>102721</v>
      </c>
      <c r="B141" t="s">
        <v>193</v>
      </c>
      <c r="C141">
        <v>1.08</v>
      </c>
      <c r="D141">
        <v>0.96</v>
      </c>
      <c r="E141">
        <v>1.01</v>
      </c>
      <c r="F141">
        <v>0.99</v>
      </c>
      <c r="G141">
        <v>0.93</v>
      </c>
      <c r="H141">
        <v>1.01</v>
      </c>
      <c r="I141">
        <v>0.96</v>
      </c>
      <c r="J141">
        <v>0.96</v>
      </c>
      <c r="K141">
        <v>0.95</v>
      </c>
      <c r="L141">
        <v>0.93</v>
      </c>
      <c r="M141">
        <v>0.91</v>
      </c>
      <c r="N141">
        <v>0.94</v>
      </c>
      <c r="O141">
        <v>0.94</v>
      </c>
      <c r="P141">
        <v>0.99</v>
      </c>
      <c r="Q141">
        <v>1.1299999999999999</v>
      </c>
      <c r="R141">
        <v>0.92</v>
      </c>
      <c r="S141">
        <v>1</v>
      </c>
      <c r="T141">
        <v>0.96</v>
      </c>
      <c r="U141">
        <v>0.89</v>
      </c>
      <c r="V141">
        <v>0.92</v>
      </c>
      <c r="W141">
        <v>0.95</v>
      </c>
      <c r="X141">
        <v>0.97</v>
      </c>
      <c r="Y141">
        <v>0.94</v>
      </c>
      <c r="Z141">
        <v>0.93</v>
      </c>
      <c r="AA141" s="8">
        <v>0.83766115852551304</v>
      </c>
      <c r="AB141" s="8">
        <v>1.0049999999999999</v>
      </c>
      <c r="AC141" s="8">
        <v>0.96099999999999997</v>
      </c>
      <c r="AE141">
        <v>102312</v>
      </c>
      <c r="AF141" t="s">
        <v>78</v>
      </c>
      <c r="AG141">
        <v>4021</v>
      </c>
      <c r="AH141">
        <v>4307</v>
      </c>
      <c r="AI141">
        <v>93.4</v>
      </c>
      <c r="AJ141" s="8">
        <f t="shared" si="5"/>
        <v>0.93400000000000005</v>
      </c>
      <c r="AL141">
        <v>102721</v>
      </c>
      <c r="AM141" s="8">
        <f t="shared" si="4"/>
        <v>0.96099999999999997</v>
      </c>
    </row>
    <row r="142" spans="1:39" x14ac:dyDescent="0.25">
      <c r="A142">
        <v>102135</v>
      </c>
      <c r="B142" t="s">
        <v>1044</v>
      </c>
      <c r="Y142">
        <v>0.85</v>
      </c>
      <c r="Z142">
        <v>0.82</v>
      </c>
      <c r="AA142" s="8">
        <v>0.791497975708502</v>
      </c>
      <c r="AB142" s="8">
        <v>0.9840000000000001</v>
      </c>
      <c r="AC142" s="8">
        <v>0.91099999999999992</v>
      </c>
      <c r="AE142">
        <v>102721</v>
      </c>
      <c r="AF142" t="s">
        <v>193</v>
      </c>
      <c r="AG142">
        <v>5155</v>
      </c>
      <c r="AH142">
        <v>5365</v>
      </c>
      <c r="AI142">
        <v>96.1</v>
      </c>
      <c r="AJ142" s="8">
        <f t="shared" si="5"/>
        <v>0.96099999999999997</v>
      </c>
      <c r="AL142">
        <v>102135</v>
      </c>
      <c r="AM142" s="8">
        <f t="shared" si="4"/>
        <v>0.91099999999999992</v>
      </c>
    </row>
    <row r="143" spans="1:39" x14ac:dyDescent="0.25">
      <c r="A143">
        <v>102701</v>
      </c>
      <c r="B143" t="s">
        <v>359</v>
      </c>
      <c r="C143">
        <v>1.07</v>
      </c>
      <c r="D143">
        <v>0.96</v>
      </c>
      <c r="E143">
        <v>1.01</v>
      </c>
      <c r="F143">
        <v>0.98</v>
      </c>
      <c r="G143">
        <v>0.91</v>
      </c>
      <c r="H143">
        <v>1.02</v>
      </c>
      <c r="I143">
        <v>0.98</v>
      </c>
      <c r="J143">
        <v>0.99</v>
      </c>
      <c r="K143">
        <v>0.98</v>
      </c>
      <c r="L143">
        <v>0.95</v>
      </c>
      <c r="M143">
        <v>0.91</v>
      </c>
      <c r="N143">
        <v>0.93</v>
      </c>
      <c r="O143">
        <v>0.92</v>
      </c>
      <c r="P143">
        <v>0.96</v>
      </c>
      <c r="Q143">
        <v>1.1000000000000001</v>
      </c>
      <c r="R143">
        <v>0.89</v>
      </c>
      <c r="S143">
        <v>1</v>
      </c>
      <c r="T143">
        <v>0.94</v>
      </c>
      <c r="U143">
        <v>0.9</v>
      </c>
      <c r="V143">
        <v>0.91</v>
      </c>
      <c r="W143">
        <v>0.96</v>
      </c>
      <c r="X143">
        <v>0.96</v>
      </c>
      <c r="Y143">
        <v>0.92</v>
      </c>
      <c r="Z143">
        <v>0.92</v>
      </c>
      <c r="AA143" s="8">
        <v>0.84672970843183604</v>
      </c>
      <c r="AB143" s="8">
        <v>1.01</v>
      </c>
      <c r="AC143" s="8">
        <v>0.96</v>
      </c>
      <c r="AE143">
        <v>102135</v>
      </c>
      <c r="AF143" t="s">
        <v>1044</v>
      </c>
      <c r="AG143">
        <v>3301</v>
      </c>
      <c r="AH143">
        <v>3622</v>
      </c>
      <c r="AI143">
        <v>91.1</v>
      </c>
      <c r="AJ143" s="8">
        <f t="shared" si="5"/>
        <v>0.91099999999999992</v>
      </c>
      <c r="AL143">
        <v>102701</v>
      </c>
      <c r="AM143" s="8">
        <f t="shared" si="4"/>
        <v>0.96</v>
      </c>
    </row>
    <row r="144" spans="1:39" x14ac:dyDescent="0.25">
      <c r="A144">
        <v>102005</v>
      </c>
      <c r="B144" t="s">
        <v>196</v>
      </c>
      <c r="C144">
        <v>1.03</v>
      </c>
      <c r="D144">
        <v>0.99</v>
      </c>
      <c r="E144">
        <v>1.06</v>
      </c>
      <c r="F144">
        <v>1.01</v>
      </c>
      <c r="G144">
        <v>0.93</v>
      </c>
      <c r="H144">
        <v>0.99</v>
      </c>
      <c r="I144">
        <v>0.97</v>
      </c>
      <c r="J144">
        <v>0.95</v>
      </c>
      <c r="K144">
        <v>0.98</v>
      </c>
      <c r="L144">
        <v>0.92</v>
      </c>
      <c r="M144">
        <v>0.92</v>
      </c>
      <c r="N144">
        <v>0.93</v>
      </c>
      <c r="O144">
        <v>0.93</v>
      </c>
      <c r="P144">
        <v>0.94</v>
      </c>
      <c r="Q144">
        <v>1.06</v>
      </c>
      <c r="R144">
        <v>0.89</v>
      </c>
      <c r="S144">
        <v>0.98</v>
      </c>
      <c r="T144">
        <v>0.93</v>
      </c>
      <c r="U144">
        <v>0.89</v>
      </c>
      <c r="V144">
        <v>0.86</v>
      </c>
      <c r="W144">
        <v>0.96</v>
      </c>
      <c r="X144">
        <v>0.97</v>
      </c>
      <c r="Y144">
        <v>0.97</v>
      </c>
      <c r="Z144">
        <v>0.98</v>
      </c>
      <c r="AA144" s="8">
        <v>0.84915036870791916</v>
      </c>
      <c r="AB144" s="8">
        <v>1.026</v>
      </c>
      <c r="AC144" s="8">
        <v>0.96</v>
      </c>
      <c r="AE144">
        <v>102701</v>
      </c>
      <c r="AF144" t="s">
        <v>359</v>
      </c>
      <c r="AG144">
        <v>4676</v>
      </c>
      <c r="AH144">
        <v>4870</v>
      </c>
      <c r="AI144">
        <v>96</v>
      </c>
      <c r="AJ144" s="8">
        <f t="shared" si="5"/>
        <v>0.96</v>
      </c>
      <c r="AL144">
        <v>102005</v>
      </c>
      <c r="AM144" s="8">
        <f t="shared" si="4"/>
        <v>0.96</v>
      </c>
    </row>
    <row r="145" spans="1:39" x14ac:dyDescent="0.25">
      <c r="A145">
        <v>102106</v>
      </c>
      <c r="B145" t="s">
        <v>199</v>
      </c>
      <c r="C145">
        <v>1.1200000000000001</v>
      </c>
      <c r="D145">
        <v>1.01</v>
      </c>
      <c r="E145">
        <v>1.01</v>
      </c>
      <c r="F145">
        <v>0.96</v>
      </c>
      <c r="G145">
        <v>0.9</v>
      </c>
      <c r="H145">
        <v>0.98</v>
      </c>
      <c r="I145">
        <v>0.93</v>
      </c>
      <c r="J145">
        <v>0.97</v>
      </c>
      <c r="K145">
        <v>0.97</v>
      </c>
      <c r="L145">
        <v>0.95</v>
      </c>
      <c r="M145">
        <v>0.91</v>
      </c>
      <c r="N145">
        <v>0.87</v>
      </c>
      <c r="O145">
        <v>0.87</v>
      </c>
      <c r="P145">
        <v>0.93</v>
      </c>
      <c r="Q145">
        <v>1.1000000000000001</v>
      </c>
      <c r="R145">
        <v>0.91</v>
      </c>
      <c r="S145">
        <v>0.97</v>
      </c>
      <c r="T145">
        <v>0.95</v>
      </c>
      <c r="U145">
        <v>0.83</v>
      </c>
      <c r="V145">
        <v>0.88</v>
      </c>
      <c r="W145">
        <v>0.91</v>
      </c>
      <c r="X145">
        <v>0.91</v>
      </c>
      <c r="Y145">
        <v>0.86</v>
      </c>
      <c r="Z145">
        <v>0.83</v>
      </c>
      <c r="AA145" s="8">
        <v>0.80296930045294412</v>
      </c>
      <c r="AB145" s="8">
        <v>0.98599999999999999</v>
      </c>
      <c r="AC145" s="8">
        <v>0.91599999999999993</v>
      </c>
      <c r="AE145">
        <v>102005</v>
      </c>
      <c r="AF145" t="s">
        <v>196</v>
      </c>
      <c r="AG145">
        <v>5648</v>
      </c>
      <c r="AH145">
        <v>5886</v>
      </c>
      <c r="AI145">
        <v>96</v>
      </c>
      <c r="AJ145" s="8">
        <f t="shared" si="5"/>
        <v>0.96</v>
      </c>
      <c r="AL145">
        <v>102106</v>
      </c>
      <c r="AM145" s="8">
        <f t="shared" si="4"/>
        <v>0.91599999999999993</v>
      </c>
    </row>
    <row r="146" spans="1:39" x14ac:dyDescent="0.25">
      <c r="A146">
        <v>102907</v>
      </c>
      <c r="B146" t="s">
        <v>259</v>
      </c>
      <c r="C146">
        <v>1.04</v>
      </c>
      <c r="D146">
        <v>0.97</v>
      </c>
      <c r="E146">
        <v>1.03</v>
      </c>
      <c r="F146">
        <v>1</v>
      </c>
      <c r="G146">
        <v>0.93</v>
      </c>
      <c r="H146">
        <v>1.03</v>
      </c>
      <c r="I146">
        <v>0.95</v>
      </c>
      <c r="J146">
        <v>0.97</v>
      </c>
      <c r="K146">
        <v>0.98</v>
      </c>
      <c r="L146">
        <v>0.94</v>
      </c>
      <c r="M146">
        <v>0.92</v>
      </c>
      <c r="N146">
        <v>0.95</v>
      </c>
      <c r="O146">
        <v>0.94</v>
      </c>
      <c r="P146">
        <v>0.98</v>
      </c>
      <c r="Q146">
        <v>1.0900000000000001</v>
      </c>
      <c r="R146">
        <v>0.91</v>
      </c>
      <c r="S146">
        <v>1.01</v>
      </c>
      <c r="T146">
        <v>0.93</v>
      </c>
      <c r="U146">
        <v>0.9</v>
      </c>
      <c r="V146">
        <v>0.9</v>
      </c>
      <c r="W146">
        <v>0.96</v>
      </c>
      <c r="X146">
        <v>0.97</v>
      </c>
      <c r="Y146">
        <v>0.97</v>
      </c>
      <c r="Z146">
        <v>0.98</v>
      </c>
      <c r="AA146" s="8">
        <v>0.87191650853889946</v>
      </c>
      <c r="AB146" s="8">
        <v>1.03</v>
      </c>
      <c r="AC146" s="8">
        <v>0.95599999999999996</v>
      </c>
      <c r="AE146">
        <v>102106</v>
      </c>
      <c r="AF146" t="s">
        <v>199</v>
      </c>
      <c r="AG146">
        <v>3393</v>
      </c>
      <c r="AH146">
        <v>3704</v>
      </c>
      <c r="AI146">
        <v>91.6</v>
      </c>
      <c r="AJ146" s="8">
        <f t="shared" si="5"/>
        <v>0.91599999999999993</v>
      </c>
      <c r="AL146">
        <v>102907</v>
      </c>
      <c r="AM146" s="8">
        <f t="shared" si="4"/>
        <v>0.95599999999999996</v>
      </c>
    </row>
    <row r="147" spans="1:39" x14ac:dyDescent="0.25">
      <c r="A147">
        <v>102209</v>
      </c>
      <c r="B147" t="s">
        <v>187</v>
      </c>
      <c r="C147">
        <v>1.0900000000000001</v>
      </c>
      <c r="D147">
        <v>0.97</v>
      </c>
      <c r="E147">
        <v>1.01</v>
      </c>
      <c r="F147">
        <v>0.96</v>
      </c>
      <c r="G147">
        <v>0.88</v>
      </c>
      <c r="H147">
        <v>1.02</v>
      </c>
      <c r="I147">
        <v>0.97</v>
      </c>
      <c r="J147">
        <v>0.99</v>
      </c>
      <c r="K147">
        <v>0.97</v>
      </c>
      <c r="L147">
        <v>0.96</v>
      </c>
      <c r="M147">
        <v>0.93</v>
      </c>
      <c r="N147">
        <v>0.94</v>
      </c>
      <c r="O147">
        <v>0.94</v>
      </c>
      <c r="P147">
        <v>1</v>
      </c>
      <c r="Q147">
        <v>1.19</v>
      </c>
      <c r="R147">
        <v>0.98</v>
      </c>
      <c r="S147">
        <v>1.05</v>
      </c>
      <c r="T147">
        <v>1.02</v>
      </c>
      <c r="U147">
        <v>0.91</v>
      </c>
      <c r="V147">
        <v>0.95</v>
      </c>
      <c r="W147">
        <v>0.98</v>
      </c>
      <c r="X147">
        <v>0.96</v>
      </c>
      <c r="Y147">
        <v>0.95</v>
      </c>
      <c r="Z147">
        <v>0.92</v>
      </c>
      <c r="AA147" s="8">
        <v>0.86298421807747494</v>
      </c>
      <c r="AB147" s="8">
        <v>1.0390000000000001</v>
      </c>
      <c r="AC147" s="8">
        <v>0.94799999999999995</v>
      </c>
      <c r="AE147">
        <v>102907</v>
      </c>
      <c r="AF147" t="s">
        <v>259</v>
      </c>
      <c r="AG147">
        <v>5891</v>
      </c>
      <c r="AH147">
        <v>6162</v>
      </c>
      <c r="AI147">
        <v>95.6</v>
      </c>
      <c r="AJ147" s="8">
        <f t="shared" si="5"/>
        <v>0.95599999999999996</v>
      </c>
      <c r="AL147">
        <v>102209</v>
      </c>
      <c r="AM147" s="8">
        <f t="shared" si="4"/>
        <v>0.94799999999999995</v>
      </c>
    </row>
    <row r="148" spans="1:39" x14ac:dyDescent="0.25">
      <c r="A148">
        <v>102420</v>
      </c>
      <c r="B148" t="s">
        <v>519</v>
      </c>
      <c r="C148">
        <v>1.1100000000000001</v>
      </c>
      <c r="D148">
        <v>1</v>
      </c>
      <c r="E148">
        <v>1.05</v>
      </c>
      <c r="F148">
        <v>0.96</v>
      </c>
      <c r="G148">
        <v>0.9</v>
      </c>
      <c r="H148">
        <v>1</v>
      </c>
      <c r="I148">
        <v>0.94</v>
      </c>
      <c r="J148">
        <v>0.97</v>
      </c>
      <c r="K148">
        <v>0.99</v>
      </c>
      <c r="L148">
        <v>0.96</v>
      </c>
      <c r="M148">
        <v>0.92</v>
      </c>
      <c r="N148">
        <v>0.92</v>
      </c>
      <c r="O148">
        <v>0.93</v>
      </c>
      <c r="P148">
        <v>0.98</v>
      </c>
      <c r="Q148">
        <v>1.1299999999999999</v>
      </c>
      <c r="R148">
        <v>0.92</v>
      </c>
      <c r="S148">
        <v>1.01</v>
      </c>
      <c r="T148">
        <v>0.97</v>
      </c>
      <c r="U148">
        <v>0.89</v>
      </c>
      <c r="V148">
        <v>0.91</v>
      </c>
      <c r="W148">
        <v>0.93</v>
      </c>
      <c r="X148">
        <v>0.93</v>
      </c>
      <c r="Y148">
        <v>0.9</v>
      </c>
      <c r="Z148">
        <v>0.88</v>
      </c>
      <c r="AA148" s="8">
        <v>0.82392385896603937</v>
      </c>
      <c r="AB148" s="8">
        <v>0.998</v>
      </c>
      <c r="AC148" s="8">
        <v>0.92799999999999994</v>
      </c>
      <c r="AE148">
        <v>102209</v>
      </c>
      <c r="AF148" t="s">
        <v>187</v>
      </c>
      <c r="AG148">
        <v>3701</v>
      </c>
      <c r="AH148">
        <v>3906</v>
      </c>
      <c r="AI148">
        <v>94.8</v>
      </c>
      <c r="AJ148" s="8">
        <f t="shared" si="5"/>
        <v>0.94799999999999995</v>
      </c>
      <c r="AL148">
        <v>102420</v>
      </c>
      <c r="AM148" s="8">
        <f t="shared" si="4"/>
        <v>0.92799999999999994</v>
      </c>
    </row>
    <row r="149" spans="1:39" x14ac:dyDescent="0.25">
      <c r="A149">
        <v>102105</v>
      </c>
      <c r="B149" t="s">
        <v>43</v>
      </c>
      <c r="C149">
        <v>1.1200000000000001</v>
      </c>
      <c r="D149">
        <v>1.01</v>
      </c>
      <c r="E149">
        <v>1.01</v>
      </c>
      <c r="F149">
        <v>0.95</v>
      </c>
      <c r="G149">
        <v>0.9</v>
      </c>
      <c r="H149">
        <v>0.99</v>
      </c>
      <c r="I149">
        <v>0.94</v>
      </c>
      <c r="J149">
        <v>0.97</v>
      </c>
      <c r="K149">
        <v>0.97</v>
      </c>
      <c r="L149">
        <v>0.94</v>
      </c>
      <c r="M149">
        <v>0.91</v>
      </c>
      <c r="N149">
        <v>0.88</v>
      </c>
      <c r="O149">
        <v>0.88</v>
      </c>
      <c r="P149">
        <v>0.93</v>
      </c>
      <c r="Q149">
        <v>1.1100000000000001</v>
      </c>
      <c r="R149">
        <v>0.92</v>
      </c>
      <c r="S149">
        <v>0.98</v>
      </c>
      <c r="T149">
        <v>0.96</v>
      </c>
      <c r="U149">
        <v>0.84</v>
      </c>
      <c r="V149">
        <v>0.89</v>
      </c>
      <c r="W149">
        <v>0.91</v>
      </c>
      <c r="X149">
        <v>0.9</v>
      </c>
      <c r="Y149">
        <v>0.86</v>
      </c>
      <c r="Z149">
        <v>0.83</v>
      </c>
      <c r="AA149" s="8">
        <v>0.79928131416837778</v>
      </c>
      <c r="AB149" s="8">
        <v>0.98299999999999998</v>
      </c>
      <c r="AC149" s="8">
        <v>0.91200000000000003</v>
      </c>
      <c r="AE149">
        <v>102420</v>
      </c>
      <c r="AF149" t="s">
        <v>1223</v>
      </c>
      <c r="AG149">
        <v>4105</v>
      </c>
      <c r="AH149">
        <v>4423</v>
      </c>
      <c r="AI149">
        <v>92.8</v>
      </c>
      <c r="AJ149" s="8">
        <f t="shared" si="5"/>
        <v>0.92799999999999994</v>
      </c>
      <c r="AL149">
        <v>102105</v>
      </c>
      <c r="AM149" s="8">
        <f t="shared" si="4"/>
        <v>0.91200000000000003</v>
      </c>
    </row>
    <row r="150" spans="1:39" x14ac:dyDescent="0.25">
      <c r="A150">
        <v>102704</v>
      </c>
      <c r="B150" t="s">
        <v>201</v>
      </c>
      <c r="C150">
        <v>1.08</v>
      </c>
      <c r="D150">
        <v>0.96</v>
      </c>
      <c r="E150">
        <v>1</v>
      </c>
      <c r="F150">
        <v>0.98</v>
      </c>
      <c r="G150">
        <v>0.92</v>
      </c>
      <c r="H150">
        <v>1.01</v>
      </c>
      <c r="I150">
        <v>0.97</v>
      </c>
      <c r="J150">
        <v>0.97</v>
      </c>
      <c r="K150">
        <v>0.96</v>
      </c>
      <c r="L150">
        <v>0.94</v>
      </c>
      <c r="M150">
        <v>0.92</v>
      </c>
      <c r="N150">
        <v>0.94</v>
      </c>
      <c r="O150">
        <v>0.93</v>
      </c>
      <c r="P150">
        <v>0.98</v>
      </c>
      <c r="Q150">
        <v>1.1100000000000001</v>
      </c>
      <c r="R150">
        <v>0.92</v>
      </c>
      <c r="S150">
        <v>1.01</v>
      </c>
      <c r="T150">
        <v>0.96</v>
      </c>
      <c r="U150">
        <v>0.89</v>
      </c>
      <c r="V150">
        <v>0.93</v>
      </c>
      <c r="W150">
        <v>0.96</v>
      </c>
      <c r="X150">
        <v>0.99</v>
      </c>
      <c r="Y150">
        <v>0.95</v>
      </c>
      <c r="Z150">
        <v>0.95</v>
      </c>
      <c r="AA150" s="8">
        <v>0.86587558432218625</v>
      </c>
      <c r="AB150" s="8">
        <v>1.01</v>
      </c>
      <c r="AC150" s="8">
        <v>0.96400000000000008</v>
      </c>
      <c r="AE150">
        <v>102105</v>
      </c>
      <c r="AF150" t="s">
        <v>43</v>
      </c>
      <c r="AG150">
        <v>3291</v>
      </c>
      <c r="AH150">
        <v>3608</v>
      </c>
      <c r="AI150">
        <v>91.2</v>
      </c>
      <c r="AJ150" s="8">
        <f t="shared" si="5"/>
        <v>0.91200000000000003</v>
      </c>
      <c r="AL150">
        <v>102704</v>
      </c>
      <c r="AM150" s="8">
        <f t="shared" si="4"/>
        <v>0.96400000000000008</v>
      </c>
    </row>
    <row r="151" spans="1:39" x14ac:dyDescent="0.25">
      <c r="A151">
        <v>102915</v>
      </c>
      <c r="B151" t="s">
        <v>257</v>
      </c>
      <c r="C151">
        <v>1.03</v>
      </c>
      <c r="D151">
        <v>0.98</v>
      </c>
      <c r="E151">
        <v>1.04</v>
      </c>
      <c r="F151">
        <v>1</v>
      </c>
      <c r="G151">
        <v>0.93</v>
      </c>
      <c r="H151">
        <v>1.01</v>
      </c>
      <c r="I151">
        <v>0.95</v>
      </c>
      <c r="J151">
        <v>0.96</v>
      </c>
      <c r="K151">
        <v>0.98</v>
      </c>
      <c r="L151">
        <v>0.95</v>
      </c>
      <c r="M151">
        <v>0.92</v>
      </c>
      <c r="N151">
        <v>0.95</v>
      </c>
      <c r="O151">
        <v>0.95</v>
      </c>
      <c r="P151">
        <v>0.99</v>
      </c>
      <c r="Q151">
        <v>1.07</v>
      </c>
      <c r="R151">
        <v>0.91</v>
      </c>
      <c r="S151">
        <v>1.03</v>
      </c>
      <c r="T151">
        <v>0.95</v>
      </c>
      <c r="U151">
        <v>0.92</v>
      </c>
      <c r="V151">
        <v>0.93</v>
      </c>
      <c r="W151">
        <v>0.97</v>
      </c>
      <c r="X151">
        <v>0.99</v>
      </c>
      <c r="Y151">
        <v>0.97</v>
      </c>
      <c r="Z151">
        <v>1</v>
      </c>
      <c r="AA151" s="8">
        <v>0.89933090024330897</v>
      </c>
      <c r="AB151" s="8">
        <v>1.0270000000000001</v>
      </c>
      <c r="AC151" s="8">
        <v>0.96599999999999997</v>
      </c>
      <c r="AE151">
        <v>102704</v>
      </c>
      <c r="AF151" t="s">
        <v>201</v>
      </c>
      <c r="AG151">
        <v>5219</v>
      </c>
      <c r="AH151">
        <v>5412</v>
      </c>
      <c r="AI151">
        <v>96.4</v>
      </c>
      <c r="AJ151" s="8">
        <f t="shared" si="5"/>
        <v>0.96400000000000008</v>
      </c>
      <c r="AL151">
        <v>102915</v>
      </c>
      <c r="AM151" s="8">
        <f t="shared" si="4"/>
        <v>0.96599999999999997</v>
      </c>
    </row>
    <row r="152" spans="1:39" x14ac:dyDescent="0.25">
      <c r="A152">
        <v>102219</v>
      </c>
      <c r="B152" t="s">
        <v>202</v>
      </c>
      <c r="C152">
        <v>1.08</v>
      </c>
      <c r="D152">
        <v>0.97</v>
      </c>
      <c r="E152">
        <v>1.02</v>
      </c>
      <c r="F152">
        <v>0.95</v>
      </c>
      <c r="G152">
        <v>0.89</v>
      </c>
      <c r="H152">
        <v>1.03</v>
      </c>
      <c r="I152">
        <v>0.97</v>
      </c>
      <c r="J152">
        <v>0.99</v>
      </c>
      <c r="K152">
        <v>0.98</v>
      </c>
      <c r="L152">
        <v>0.95</v>
      </c>
      <c r="M152">
        <v>0.92</v>
      </c>
      <c r="N152">
        <v>0.88</v>
      </c>
      <c r="O152">
        <v>0.87</v>
      </c>
      <c r="P152">
        <v>0.93</v>
      </c>
      <c r="Q152">
        <v>1.1200000000000001</v>
      </c>
      <c r="R152">
        <v>0.89</v>
      </c>
      <c r="S152">
        <v>0.97</v>
      </c>
      <c r="T152">
        <v>0.95</v>
      </c>
      <c r="U152">
        <v>0.86</v>
      </c>
      <c r="V152">
        <v>0.87</v>
      </c>
      <c r="W152">
        <v>0.94</v>
      </c>
      <c r="X152">
        <v>0.92</v>
      </c>
      <c r="Y152">
        <v>0.9</v>
      </c>
      <c r="Z152">
        <v>0.88</v>
      </c>
      <c r="AA152" s="8">
        <v>0.8220319891867538</v>
      </c>
      <c r="AB152" s="8">
        <v>1.01</v>
      </c>
      <c r="AC152" s="8">
        <v>0.93900000000000006</v>
      </c>
      <c r="AE152">
        <v>102915</v>
      </c>
      <c r="AF152" t="s">
        <v>257</v>
      </c>
      <c r="AG152">
        <v>6222</v>
      </c>
      <c r="AH152">
        <v>6440</v>
      </c>
      <c r="AI152">
        <v>96.6</v>
      </c>
      <c r="AJ152" s="8">
        <f t="shared" si="5"/>
        <v>0.96599999999999997</v>
      </c>
      <c r="AL152">
        <v>102219</v>
      </c>
      <c r="AM152" s="8">
        <f t="shared" si="4"/>
        <v>0.93900000000000006</v>
      </c>
    </row>
    <row r="153" spans="1:39" x14ac:dyDescent="0.25">
      <c r="A153">
        <v>102303</v>
      </c>
      <c r="B153" t="s">
        <v>82</v>
      </c>
      <c r="C153">
        <v>1.1100000000000001</v>
      </c>
      <c r="D153">
        <v>1.02</v>
      </c>
      <c r="E153">
        <v>1.03</v>
      </c>
      <c r="F153">
        <v>0.97</v>
      </c>
      <c r="G153">
        <v>0.9</v>
      </c>
      <c r="H153">
        <v>0.97</v>
      </c>
      <c r="I153">
        <v>0.92</v>
      </c>
      <c r="J153">
        <v>0.96</v>
      </c>
      <c r="K153">
        <v>0.96</v>
      </c>
      <c r="L153">
        <v>0.94</v>
      </c>
      <c r="M153">
        <v>0.92</v>
      </c>
      <c r="N153">
        <v>0.9</v>
      </c>
      <c r="O153">
        <v>0.9</v>
      </c>
      <c r="P153">
        <v>0.95</v>
      </c>
      <c r="Q153">
        <v>1.1200000000000001</v>
      </c>
      <c r="R153">
        <v>0.93</v>
      </c>
      <c r="S153">
        <v>1.02</v>
      </c>
      <c r="T153">
        <v>0.98</v>
      </c>
      <c r="U153">
        <v>0.87</v>
      </c>
      <c r="V153">
        <v>0.93</v>
      </c>
      <c r="W153">
        <v>0.93</v>
      </c>
      <c r="X153">
        <v>0.92</v>
      </c>
      <c r="Y153">
        <v>0.86</v>
      </c>
      <c r="Z153">
        <v>0.84</v>
      </c>
      <c r="AA153" s="8">
        <v>0.82362134405001119</v>
      </c>
      <c r="AB153" s="8">
        <v>1.0109999999999999</v>
      </c>
      <c r="AC153" s="8">
        <v>0.93599999999999994</v>
      </c>
      <c r="AE153">
        <v>102219</v>
      </c>
      <c r="AF153" t="s">
        <v>202</v>
      </c>
      <c r="AG153">
        <v>3908</v>
      </c>
      <c r="AH153">
        <v>4162</v>
      </c>
      <c r="AI153">
        <v>93.9</v>
      </c>
      <c r="AJ153" s="8">
        <f t="shared" si="5"/>
        <v>0.93900000000000006</v>
      </c>
      <c r="AL153">
        <v>102303</v>
      </c>
      <c r="AM153" s="8">
        <f t="shared" si="4"/>
        <v>0.93599999999999994</v>
      </c>
    </row>
    <row r="154" spans="1:39" x14ac:dyDescent="0.25">
      <c r="A154">
        <v>102220</v>
      </c>
      <c r="B154" t="s">
        <v>511</v>
      </c>
      <c r="C154">
        <v>1.0900000000000001</v>
      </c>
      <c r="D154">
        <v>0.98</v>
      </c>
      <c r="E154">
        <v>1.04</v>
      </c>
      <c r="F154">
        <v>0.98</v>
      </c>
      <c r="G154">
        <v>0.93</v>
      </c>
      <c r="H154">
        <v>1.02</v>
      </c>
      <c r="I154">
        <v>0.96</v>
      </c>
      <c r="J154">
        <v>0.98</v>
      </c>
      <c r="K154">
        <v>0.98</v>
      </c>
      <c r="L154">
        <v>0.96</v>
      </c>
      <c r="M154">
        <v>0.93</v>
      </c>
      <c r="N154">
        <v>0.91</v>
      </c>
      <c r="O154">
        <v>0.9</v>
      </c>
      <c r="P154">
        <v>0.96</v>
      </c>
      <c r="Q154">
        <v>1.1399999999999999</v>
      </c>
      <c r="R154">
        <v>0.9</v>
      </c>
      <c r="S154">
        <v>0.98</v>
      </c>
      <c r="T154">
        <v>0.96</v>
      </c>
      <c r="U154">
        <v>0.86</v>
      </c>
      <c r="V154">
        <v>0.89</v>
      </c>
      <c r="W154">
        <v>0.94</v>
      </c>
      <c r="X154">
        <v>0.93</v>
      </c>
      <c r="Y154">
        <v>0.92</v>
      </c>
      <c r="Z154">
        <v>0.9</v>
      </c>
      <c r="AA154" s="8">
        <v>0.82818791946308723</v>
      </c>
      <c r="AB154" s="8">
        <v>0.98799999999999999</v>
      </c>
      <c r="AC154" s="8">
        <v>0.93299999999999994</v>
      </c>
      <c r="AE154">
        <v>102303</v>
      </c>
      <c r="AF154" t="s">
        <v>82</v>
      </c>
      <c r="AG154">
        <v>3917</v>
      </c>
      <c r="AH154">
        <v>4184</v>
      </c>
      <c r="AI154">
        <v>93.6</v>
      </c>
      <c r="AJ154" s="8">
        <f t="shared" si="5"/>
        <v>0.93599999999999994</v>
      </c>
      <c r="AL154">
        <v>102220</v>
      </c>
      <c r="AM154" s="8">
        <f t="shared" si="4"/>
        <v>0.93299999999999994</v>
      </c>
    </row>
    <row r="155" spans="1:39" x14ac:dyDescent="0.25">
      <c r="A155">
        <v>102402</v>
      </c>
      <c r="B155" t="s">
        <v>205</v>
      </c>
      <c r="C155">
        <v>1.1000000000000001</v>
      </c>
      <c r="D155">
        <v>0.99</v>
      </c>
      <c r="E155">
        <v>1.04</v>
      </c>
      <c r="F155">
        <v>0.96</v>
      </c>
      <c r="G155">
        <v>0.9</v>
      </c>
      <c r="H155">
        <v>1</v>
      </c>
      <c r="I155">
        <v>0.95</v>
      </c>
      <c r="J155">
        <v>0.97</v>
      </c>
      <c r="K155">
        <v>0.97</v>
      </c>
      <c r="L155">
        <v>0.95</v>
      </c>
      <c r="M155">
        <v>0.92</v>
      </c>
      <c r="N155">
        <v>0.91</v>
      </c>
      <c r="O155">
        <v>0.9</v>
      </c>
      <c r="P155">
        <v>0.96</v>
      </c>
      <c r="Q155">
        <v>1.1299999999999999</v>
      </c>
      <c r="R155">
        <v>0.9</v>
      </c>
      <c r="S155">
        <v>0.99</v>
      </c>
      <c r="T155">
        <v>0.96</v>
      </c>
      <c r="U155">
        <v>0.87</v>
      </c>
      <c r="V155">
        <v>0.88</v>
      </c>
      <c r="W155">
        <v>0.91</v>
      </c>
      <c r="X155">
        <v>0.9</v>
      </c>
      <c r="Y155">
        <v>0.89</v>
      </c>
      <c r="Z155">
        <v>0.86</v>
      </c>
      <c r="AA155" s="8">
        <v>0.8028384279475983</v>
      </c>
      <c r="AB155" s="8">
        <v>1.002</v>
      </c>
      <c r="AC155" s="8">
        <v>0.92799999999999994</v>
      </c>
      <c r="AE155">
        <v>102220</v>
      </c>
      <c r="AF155" t="s">
        <v>511</v>
      </c>
      <c r="AG155">
        <v>3976</v>
      </c>
      <c r="AH155">
        <v>4260</v>
      </c>
      <c r="AI155">
        <v>93.3</v>
      </c>
      <c r="AJ155" s="8">
        <f t="shared" si="5"/>
        <v>0.93299999999999994</v>
      </c>
      <c r="AL155">
        <v>102402</v>
      </c>
      <c r="AM155" s="8">
        <f t="shared" si="4"/>
        <v>0.92799999999999994</v>
      </c>
    </row>
    <row r="156" spans="1:39" x14ac:dyDescent="0.25">
      <c r="A156">
        <v>102716</v>
      </c>
      <c r="B156" t="s">
        <v>52</v>
      </c>
      <c r="C156">
        <v>1.06</v>
      </c>
      <c r="D156">
        <v>0.94</v>
      </c>
      <c r="E156">
        <v>0.98</v>
      </c>
      <c r="F156">
        <v>0.96</v>
      </c>
      <c r="G156">
        <v>0.91</v>
      </c>
      <c r="H156">
        <v>1</v>
      </c>
      <c r="I156">
        <v>0.97</v>
      </c>
      <c r="J156">
        <v>0.94</v>
      </c>
      <c r="K156">
        <v>0.93</v>
      </c>
      <c r="L156">
        <v>0.91</v>
      </c>
      <c r="M156">
        <v>0.88</v>
      </c>
      <c r="N156">
        <v>0.9</v>
      </c>
      <c r="O156">
        <v>0.89</v>
      </c>
      <c r="P156">
        <v>0.96</v>
      </c>
      <c r="Q156">
        <v>1.1000000000000001</v>
      </c>
      <c r="R156">
        <v>0.88</v>
      </c>
      <c r="S156">
        <v>0.96</v>
      </c>
      <c r="T156">
        <v>0.92</v>
      </c>
      <c r="U156">
        <v>0.85</v>
      </c>
      <c r="V156">
        <v>0.87</v>
      </c>
      <c r="W156">
        <v>0.92</v>
      </c>
      <c r="X156">
        <v>0.95</v>
      </c>
      <c r="Y156">
        <v>0.92</v>
      </c>
      <c r="Z156">
        <v>0.92</v>
      </c>
      <c r="AA156" s="8">
        <v>0.82560952912711705</v>
      </c>
      <c r="AB156" s="8">
        <v>1.008</v>
      </c>
      <c r="AC156" s="8">
        <v>0.96400000000000008</v>
      </c>
      <c r="AE156">
        <v>102402</v>
      </c>
      <c r="AF156" t="s">
        <v>205</v>
      </c>
      <c r="AG156">
        <v>4024</v>
      </c>
      <c r="AH156">
        <v>4334</v>
      </c>
      <c r="AI156">
        <v>92.8</v>
      </c>
      <c r="AJ156" s="8">
        <f t="shared" si="5"/>
        <v>0.92799999999999994</v>
      </c>
      <c r="AL156">
        <v>102716</v>
      </c>
      <c r="AM156" s="8">
        <f t="shared" si="4"/>
        <v>0.96400000000000008</v>
      </c>
    </row>
    <row r="157" spans="1:39" x14ac:dyDescent="0.25">
      <c r="A157">
        <v>102407</v>
      </c>
      <c r="B157" t="s">
        <v>336</v>
      </c>
      <c r="C157">
        <v>1.1000000000000001</v>
      </c>
      <c r="D157">
        <v>0.99</v>
      </c>
      <c r="E157">
        <v>1.05</v>
      </c>
      <c r="F157">
        <v>0.97</v>
      </c>
      <c r="G157">
        <v>0.91</v>
      </c>
      <c r="H157">
        <v>1.01</v>
      </c>
      <c r="I157">
        <v>0.95</v>
      </c>
      <c r="J157">
        <v>0.97</v>
      </c>
      <c r="K157">
        <v>0.96</v>
      </c>
      <c r="L157">
        <v>0.94</v>
      </c>
      <c r="M157">
        <v>0.91</v>
      </c>
      <c r="N157">
        <v>0.9</v>
      </c>
      <c r="O157">
        <v>0.91</v>
      </c>
      <c r="P157">
        <v>0.97</v>
      </c>
      <c r="Q157">
        <v>1.1200000000000001</v>
      </c>
      <c r="R157">
        <v>0.9</v>
      </c>
      <c r="S157">
        <v>0.99</v>
      </c>
      <c r="T157">
        <v>0.94</v>
      </c>
      <c r="U157">
        <v>0.87</v>
      </c>
      <c r="V157">
        <v>0.89</v>
      </c>
      <c r="W157">
        <v>0.93</v>
      </c>
      <c r="X157">
        <v>0.92</v>
      </c>
      <c r="Y157">
        <v>0.9</v>
      </c>
      <c r="Z157">
        <v>0.88</v>
      </c>
      <c r="AA157" s="8">
        <v>0.81993918331885318</v>
      </c>
      <c r="AB157" s="8">
        <v>1</v>
      </c>
      <c r="AC157" s="8">
        <v>0.93500000000000005</v>
      </c>
      <c r="AE157">
        <v>102716</v>
      </c>
      <c r="AF157" t="s">
        <v>52</v>
      </c>
      <c r="AG157">
        <v>4908</v>
      </c>
      <c r="AH157">
        <v>5094</v>
      </c>
      <c r="AI157">
        <v>96.4</v>
      </c>
      <c r="AJ157" s="8">
        <f t="shared" si="5"/>
        <v>0.96400000000000008</v>
      </c>
      <c r="AL157">
        <v>102407</v>
      </c>
      <c r="AM157" s="8">
        <f t="shared" si="4"/>
        <v>0.93500000000000005</v>
      </c>
    </row>
    <row r="158" spans="1:39" x14ac:dyDescent="0.25">
      <c r="A158">
        <v>102342</v>
      </c>
      <c r="B158" t="s">
        <v>493</v>
      </c>
      <c r="Y158">
        <v>0.91</v>
      </c>
      <c r="Z158">
        <v>0.9</v>
      </c>
      <c r="AA158" s="8">
        <v>0.85659163987138265</v>
      </c>
      <c r="AB158" s="8">
        <v>0.996</v>
      </c>
      <c r="AC158" s="8">
        <v>0.93299999999999994</v>
      </c>
      <c r="AE158">
        <v>102407</v>
      </c>
      <c r="AF158" t="s">
        <v>336</v>
      </c>
      <c r="AG158">
        <v>4041</v>
      </c>
      <c r="AH158">
        <v>4322</v>
      </c>
      <c r="AI158">
        <v>93.5</v>
      </c>
      <c r="AJ158" s="8">
        <f t="shared" si="5"/>
        <v>0.93500000000000005</v>
      </c>
      <c r="AL158">
        <v>102342</v>
      </c>
      <c r="AM158" s="8">
        <f t="shared" si="4"/>
        <v>0.93299999999999994</v>
      </c>
    </row>
    <row r="159" spans="1:39" x14ac:dyDescent="0.25">
      <c r="A159">
        <v>102234</v>
      </c>
      <c r="B159" t="s">
        <v>319</v>
      </c>
      <c r="C159">
        <v>1.1100000000000001</v>
      </c>
      <c r="D159">
        <v>1</v>
      </c>
      <c r="E159">
        <v>1.04</v>
      </c>
      <c r="F159">
        <v>1</v>
      </c>
      <c r="G159">
        <v>0.92</v>
      </c>
      <c r="H159">
        <v>1.04</v>
      </c>
      <c r="I159">
        <v>0.97</v>
      </c>
      <c r="J159">
        <v>0.99</v>
      </c>
      <c r="K159">
        <v>0.97</v>
      </c>
      <c r="L159">
        <v>0.96</v>
      </c>
      <c r="M159">
        <v>0.94</v>
      </c>
      <c r="N159">
        <v>0.93</v>
      </c>
      <c r="O159">
        <v>0.92</v>
      </c>
      <c r="P159">
        <v>0.98</v>
      </c>
      <c r="Q159">
        <v>1.17</v>
      </c>
      <c r="R159">
        <v>0.94</v>
      </c>
      <c r="S159">
        <v>1.02</v>
      </c>
      <c r="T159">
        <v>0.99</v>
      </c>
      <c r="U159">
        <v>0.88</v>
      </c>
      <c r="V159">
        <v>0.92</v>
      </c>
      <c r="W159">
        <v>0.97</v>
      </c>
      <c r="X159">
        <v>0.95</v>
      </c>
      <c r="Y159">
        <v>0.93</v>
      </c>
      <c r="Z159">
        <v>0.91</v>
      </c>
      <c r="AA159" s="8">
        <v>0.84163208852005533</v>
      </c>
      <c r="AB159" s="8">
        <v>1.0270000000000001</v>
      </c>
      <c r="AC159" s="8">
        <v>0.94200000000000006</v>
      </c>
      <c r="AE159">
        <v>102342</v>
      </c>
      <c r="AF159" t="s">
        <v>493</v>
      </c>
      <c r="AG159">
        <v>4269</v>
      </c>
      <c r="AH159">
        <v>4574</v>
      </c>
      <c r="AI159">
        <v>93.3</v>
      </c>
      <c r="AJ159" s="8">
        <f t="shared" si="5"/>
        <v>0.93299999999999994</v>
      </c>
      <c r="AL159">
        <v>102234</v>
      </c>
      <c r="AM159" s="8">
        <f t="shared" si="4"/>
        <v>0.94200000000000006</v>
      </c>
    </row>
    <row r="160" spans="1:39" x14ac:dyDescent="0.25">
      <c r="A160">
        <v>102527</v>
      </c>
      <c r="B160" t="s">
        <v>206</v>
      </c>
      <c r="Y160">
        <v>0.92</v>
      </c>
      <c r="Z160">
        <v>0.93</v>
      </c>
      <c r="AA160" s="8">
        <v>0.84230614704700679</v>
      </c>
      <c r="AB160" s="8">
        <v>1.0109999999999999</v>
      </c>
      <c r="AC160" s="8">
        <v>0.95</v>
      </c>
      <c r="AE160">
        <v>102234</v>
      </c>
      <c r="AF160" t="s">
        <v>319</v>
      </c>
      <c r="AG160">
        <v>3980</v>
      </c>
      <c r="AH160">
        <v>4223</v>
      </c>
      <c r="AI160">
        <v>94.2</v>
      </c>
      <c r="AJ160" s="8">
        <f t="shared" si="5"/>
        <v>0.94200000000000006</v>
      </c>
      <c r="AL160">
        <v>102527</v>
      </c>
      <c r="AM160" s="8">
        <f t="shared" si="4"/>
        <v>0.95</v>
      </c>
    </row>
    <row r="161" spans="1:39" x14ac:dyDescent="0.25">
      <c r="A161">
        <v>102615</v>
      </c>
      <c r="B161" t="s">
        <v>526</v>
      </c>
      <c r="C161">
        <v>1.08</v>
      </c>
      <c r="D161">
        <v>0.98</v>
      </c>
      <c r="E161">
        <v>1.03</v>
      </c>
      <c r="F161">
        <v>0.95</v>
      </c>
      <c r="G161">
        <v>0.9</v>
      </c>
      <c r="H161">
        <v>0.98</v>
      </c>
      <c r="I161">
        <v>0.96</v>
      </c>
      <c r="J161">
        <v>0.98</v>
      </c>
      <c r="K161">
        <v>0.98</v>
      </c>
      <c r="L161">
        <v>0.95</v>
      </c>
      <c r="M161">
        <v>0.91</v>
      </c>
      <c r="N161">
        <v>0.92</v>
      </c>
      <c r="O161">
        <v>0.9</v>
      </c>
      <c r="P161">
        <v>0.97</v>
      </c>
      <c r="Q161">
        <v>1.1399999999999999</v>
      </c>
      <c r="R161">
        <v>0.92</v>
      </c>
      <c r="S161">
        <v>1.01</v>
      </c>
      <c r="T161">
        <v>0.95</v>
      </c>
      <c r="U161">
        <v>0.91</v>
      </c>
      <c r="V161">
        <v>0.9</v>
      </c>
      <c r="W161">
        <v>0.94</v>
      </c>
      <c r="X161">
        <v>0.95</v>
      </c>
      <c r="Y161">
        <v>0.91</v>
      </c>
      <c r="Z161">
        <v>0.91</v>
      </c>
      <c r="AA161" s="8">
        <v>0.82624492412908745</v>
      </c>
      <c r="AB161" s="8">
        <v>1.008</v>
      </c>
      <c r="AC161" s="8">
        <v>0.95</v>
      </c>
      <c r="AE161">
        <v>102527</v>
      </c>
      <c r="AF161" t="s">
        <v>206</v>
      </c>
      <c r="AG161">
        <v>4599</v>
      </c>
      <c r="AH161">
        <v>4843</v>
      </c>
      <c r="AI161">
        <v>95</v>
      </c>
      <c r="AJ161" s="8">
        <f t="shared" si="5"/>
        <v>0.95</v>
      </c>
      <c r="AL161">
        <v>102615</v>
      </c>
      <c r="AM161" s="8">
        <f t="shared" si="4"/>
        <v>0.95</v>
      </c>
    </row>
    <row r="162" spans="1:39" x14ac:dyDescent="0.25">
      <c r="A162">
        <v>102242</v>
      </c>
      <c r="B162" t="s">
        <v>210</v>
      </c>
      <c r="Y162">
        <v>0.91</v>
      </c>
      <c r="Z162">
        <v>0.88</v>
      </c>
      <c r="AA162" s="8">
        <v>0.84138755980861246</v>
      </c>
      <c r="AB162" s="8">
        <v>1.022</v>
      </c>
      <c r="AC162" s="8">
        <v>0.93200000000000005</v>
      </c>
      <c r="AE162">
        <v>102615</v>
      </c>
      <c r="AF162" t="s">
        <v>526</v>
      </c>
      <c r="AG162">
        <v>4266</v>
      </c>
      <c r="AH162">
        <v>4492</v>
      </c>
      <c r="AI162">
        <v>95</v>
      </c>
      <c r="AJ162" s="8">
        <f t="shared" si="5"/>
        <v>0.95</v>
      </c>
      <c r="AL162">
        <v>102242</v>
      </c>
      <c r="AM162" s="8">
        <f t="shared" si="4"/>
        <v>0.93200000000000005</v>
      </c>
    </row>
    <row r="163" spans="1:39" x14ac:dyDescent="0.25">
      <c r="A163">
        <v>102333</v>
      </c>
      <c r="B163" t="s">
        <v>80</v>
      </c>
      <c r="C163">
        <v>1.1200000000000001</v>
      </c>
      <c r="D163">
        <v>1</v>
      </c>
      <c r="E163">
        <v>1.02</v>
      </c>
      <c r="F163">
        <v>0.96</v>
      </c>
      <c r="G163">
        <v>0.88</v>
      </c>
      <c r="H163">
        <v>0.98</v>
      </c>
      <c r="I163">
        <v>0.94</v>
      </c>
      <c r="J163">
        <v>0.97</v>
      </c>
      <c r="K163">
        <v>0.98</v>
      </c>
      <c r="L163">
        <v>0.97</v>
      </c>
      <c r="M163">
        <v>0.91</v>
      </c>
      <c r="N163">
        <v>0.9</v>
      </c>
      <c r="O163">
        <v>0.89</v>
      </c>
      <c r="P163">
        <v>0.96</v>
      </c>
      <c r="Q163">
        <v>1.1000000000000001</v>
      </c>
      <c r="R163">
        <v>0.9</v>
      </c>
      <c r="S163">
        <v>0.98</v>
      </c>
      <c r="T163">
        <v>0.96</v>
      </c>
      <c r="U163">
        <v>0.87</v>
      </c>
      <c r="V163">
        <v>0.87</v>
      </c>
      <c r="W163">
        <v>0.93</v>
      </c>
      <c r="X163">
        <v>0.91</v>
      </c>
      <c r="Y163">
        <v>0.89</v>
      </c>
      <c r="Z163">
        <v>0.86</v>
      </c>
      <c r="AA163" s="8">
        <v>0.81047440112728986</v>
      </c>
      <c r="AB163" s="8">
        <v>1.0090000000000001</v>
      </c>
      <c r="AC163" s="8">
        <v>0.93099999999999994</v>
      </c>
      <c r="AE163">
        <v>102242</v>
      </c>
      <c r="AF163" t="s">
        <v>210</v>
      </c>
      <c r="AG163">
        <v>3653</v>
      </c>
      <c r="AH163">
        <v>3919</v>
      </c>
      <c r="AI163">
        <v>93.2</v>
      </c>
      <c r="AJ163" s="8">
        <f t="shared" si="5"/>
        <v>0.93200000000000005</v>
      </c>
      <c r="AL163">
        <v>102333</v>
      </c>
      <c r="AM163" s="8">
        <f t="shared" si="4"/>
        <v>0.93099999999999994</v>
      </c>
    </row>
    <row r="164" spans="1:39" x14ac:dyDescent="0.25">
      <c r="A164">
        <v>102339</v>
      </c>
      <c r="B164" t="s">
        <v>863</v>
      </c>
      <c r="Y164">
        <v>0.92</v>
      </c>
      <c r="Z164">
        <v>0.88</v>
      </c>
      <c r="AA164" s="8">
        <v>0.83972468043264503</v>
      </c>
      <c r="AB164" s="8">
        <v>1.006</v>
      </c>
      <c r="AC164" s="8">
        <v>0.92900000000000005</v>
      </c>
      <c r="AE164">
        <v>102254</v>
      </c>
      <c r="AF164" t="s">
        <v>84</v>
      </c>
      <c r="AG164">
        <v>3744</v>
      </c>
      <c r="AH164">
        <v>4023</v>
      </c>
      <c r="AI164">
        <v>93.1</v>
      </c>
      <c r="AJ164" s="8">
        <f t="shared" si="5"/>
        <v>0.93099999999999994</v>
      </c>
      <c r="AL164">
        <v>102339</v>
      </c>
      <c r="AM164" s="8">
        <f t="shared" si="4"/>
        <v>0.92900000000000005</v>
      </c>
    </row>
    <row r="165" spans="1:39" x14ac:dyDescent="0.25">
      <c r="A165">
        <v>102648</v>
      </c>
      <c r="B165" t="s">
        <v>408</v>
      </c>
      <c r="Y165">
        <v>0.87</v>
      </c>
      <c r="Z165">
        <v>0.87</v>
      </c>
      <c r="AA165" s="8">
        <v>0.7831194257124211</v>
      </c>
      <c r="AB165" s="8">
        <v>1.006</v>
      </c>
      <c r="AC165" s="8">
        <v>0.94400000000000006</v>
      </c>
      <c r="AE165">
        <v>102333</v>
      </c>
      <c r="AF165" t="s">
        <v>80</v>
      </c>
      <c r="AG165">
        <v>3717</v>
      </c>
      <c r="AH165">
        <v>3993</v>
      </c>
      <c r="AI165">
        <v>93.1</v>
      </c>
      <c r="AJ165" s="8">
        <f t="shared" si="5"/>
        <v>0.93099999999999994</v>
      </c>
      <c r="AL165">
        <v>102648</v>
      </c>
      <c r="AM165" s="8">
        <f t="shared" si="4"/>
        <v>0.94400000000000006</v>
      </c>
    </row>
    <row r="166" spans="1:39" x14ac:dyDescent="0.25">
      <c r="A166">
        <v>102533</v>
      </c>
      <c r="B166" t="s">
        <v>70</v>
      </c>
      <c r="Y166">
        <v>0.93</v>
      </c>
      <c r="Z166">
        <v>0.93</v>
      </c>
      <c r="AA166" s="8">
        <v>0.8443708609271523</v>
      </c>
      <c r="AB166" s="8">
        <v>1.01</v>
      </c>
      <c r="AC166" s="8">
        <v>0.94700000000000006</v>
      </c>
      <c r="AE166">
        <v>102339</v>
      </c>
      <c r="AF166" t="s">
        <v>863</v>
      </c>
      <c r="AG166">
        <v>3613</v>
      </c>
      <c r="AH166">
        <v>3888</v>
      </c>
      <c r="AI166">
        <v>92.9</v>
      </c>
      <c r="AJ166" s="8">
        <f t="shared" si="5"/>
        <v>0.92900000000000005</v>
      </c>
      <c r="AL166">
        <v>102533</v>
      </c>
      <c r="AM166" s="8">
        <f t="shared" si="4"/>
        <v>0.94700000000000006</v>
      </c>
    </row>
    <row r="167" spans="1:39" x14ac:dyDescent="0.25">
      <c r="A167">
        <v>102632</v>
      </c>
      <c r="B167" t="s">
        <v>356</v>
      </c>
      <c r="Y167">
        <v>0.91</v>
      </c>
      <c r="Z167">
        <v>0.9</v>
      </c>
      <c r="AA167" s="8">
        <v>0.80512315270935964</v>
      </c>
      <c r="AB167" s="8">
        <v>0.97299999999999998</v>
      </c>
      <c r="AC167" s="8">
        <v>0.92099999999999993</v>
      </c>
      <c r="AE167">
        <v>102648</v>
      </c>
      <c r="AF167" t="s">
        <v>408</v>
      </c>
      <c r="AG167">
        <v>3995</v>
      </c>
      <c r="AH167">
        <v>4231</v>
      </c>
      <c r="AI167">
        <v>94.4</v>
      </c>
      <c r="AJ167" s="8">
        <f t="shared" si="5"/>
        <v>0.94400000000000006</v>
      </c>
      <c r="AL167">
        <v>102632</v>
      </c>
      <c r="AM167" s="8">
        <f t="shared" si="4"/>
        <v>0.92099999999999993</v>
      </c>
    </row>
    <row r="168" spans="1:39" x14ac:dyDescent="0.25">
      <c r="A168">
        <v>102728</v>
      </c>
      <c r="B168" t="s">
        <v>870</v>
      </c>
      <c r="Y168">
        <v>0.93</v>
      </c>
      <c r="Z168">
        <v>0.94</v>
      </c>
      <c r="AA168" s="8">
        <v>0.84203556564510029</v>
      </c>
      <c r="AB168" s="8">
        <v>1.0070000000000001</v>
      </c>
      <c r="AC168" s="8">
        <v>0.95599999999999996</v>
      </c>
      <c r="AE168">
        <v>102533</v>
      </c>
      <c r="AF168" t="s">
        <v>70</v>
      </c>
      <c r="AG168">
        <v>4441</v>
      </c>
      <c r="AH168">
        <v>4690</v>
      </c>
      <c r="AI168">
        <v>94.7</v>
      </c>
      <c r="AJ168" s="8">
        <f t="shared" si="5"/>
        <v>0.94700000000000006</v>
      </c>
      <c r="AL168">
        <v>102728</v>
      </c>
      <c r="AM168" s="8">
        <f t="shared" si="4"/>
        <v>0.95599999999999996</v>
      </c>
    </row>
    <row r="169" spans="1:39" x14ac:dyDescent="0.25">
      <c r="A169">
        <v>102916</v>
      </c>
      <c r="B169" t="s">
        <v>51</v>
      </c>
      <c r="C169">
        <v>1.04</v>
      </c>
      <c r="D169">
        <v>0.97</v>
      </c>
      <c r="E169">
        <v>1.04</v>
      </c>
      <c r="F169">
        <v>1</v>
      </c>
      <c r="G169">
        <v>0.94</v>
      </c>
      <c r="H169">
        <v>0.99</v>
      </c>
      <c r="I169">
        <v>0.95</v>
      </c>
      <c r="J169">
        <v>0.95</v>
      </c>
      <c r="K169">
        <v>0.96</v>
      </c>
      <c r="L169">
        <v>0.93</v>
      </c>
      <c r="M169">
        <v>0.9</v>
      </c>
      <c r="N169">
        <v>0.91</v>
      </c>
      <c r="O169">
        <v>0.9</v>
      </c>
      <c r="P169">
        <v>0.95</v>
      </c>
      <c r="Q169">
        <v>1.06</v>
      </c>
      <c r="R169">
        <v>0.9</v>
      </c>
      <c r="S169">
        <v>0.98</v>
      </c>
      <c r="T169">
        <v>0.92</v>
      </c>
      <c r="U169">
        <v>0.89</v>
      </c>
      <c r="V169">
        <v>0.88</v>
      </c>
      <c r="W169">
        <v>0.96</v>
      </c>
      <c r="X169">
        <v>0.96</v>
      </c>
      <c r="Y169">
        <v>0.94</v>
      </c>
      <c r="Z169">
        <v>0.96</v>
      </c>
      <c r="AA169" s="8">
        <v>0.84805467928496314</v>
      </c>
      <c r="AB169" s="8">
        <v>1.028</v>
      </c>
      <c r="AC169" s="8">
        <v>0.97699999999999998</v>
      </c>
      <c r="AE169">
        <v>102632</v>
      </c>
      <c r="AF169" t="s">
        <v>356</v>
      </c>
      <c r="AG169">
        <v>4498</v>
      </c>
      <c r="AH169">
        <v>4882</v>
      </c>
      <c r="AI169">
        <v>92.1</v>
      </c>
      <c r="AJ169" s="8">
        <f t="shared" si="5"/>
        <v>0.92099999999999993</v>
      </c>
      <c r="AL169">
        <v>102916</v>
      </c>
      <c r="AM169" s="8">
        <f t="shared" si="4"/>
        <v>0.97699999999999998</v>
      </c>
    </row>
    <row r="170" spans="1:39" x14ac:dyDescent="0.25">
      <c r="A170">
        <v>102409</v>
      </c>
      <c r="B170" t="s">
        <v>88</v>
      </c>
      <c r="C170">
        <v>1.1100000000000001</v>
      </c>
      <c r="D170">
        <v>0.99</v>
      </c>
      <c r="E170">
        <v>1.04</v>
      </c>
      <c r="F170">
        <v>0.95</v>
      </c>
      <c r="G170">
        <v>0.89</v>
      </c>
      <c r="H170">
        <v>1</v>
      </c>
      <c r="I170">
        <v>0.95</v>
      </c>
      <c r="J170">
        <v>0.98</v>
      </c>
      <c r="K170">
        <v>0.97</v>
      </c>
      <c r="L170">
        <v>0.94</v>
      </c>
      <c r="M170">
        <v>0.92</v>
      </c>
      <c r="N170">
        <v>0.91</v>
      </c>
      <c r="O170">
        <v>0.9</v>
      </c>
      <c r="P170">
        <v>0.96</v>
      </c>
      <c r="Q170">
        <v>1.1299999999999999</v>
      </c>
      <c r="R170">
        <v>0.9</v>
      </c>
      <c r="S170">
        <v>0.99</v>
      </c>
      <c r="T170">
        <v>0.96</v>
      </c>
      <c r="U170">
        <v>0.89</v>
      </c>
      <c r="V170">
        <v>0.88</v>
      </c>
      <c r="W170">
        <v>0.94</v>
      </c>
      <c r="X170">
        <v>0.93</v>
      </c>
      <c r="Y170">
        <v>0.91</v>
      </c>
      <c r="Z170">
        <v>0.88</v>
      </c>
      <c r="AA170" s="8">
        <v>0.80864475461503826</v>
      </c>
      <c r="AB170" s="8">
        <v>1.012</v>
      </c>
      <c r="AC170" s="8">
        <v>0.93599999999999994</v>
      </c>
      <c r="AE170">
        <v>102916</v>
      </c>
      <c r="AF170" t="s">
        <v>51</v>
      </c>
      <c r="AG170">
        <v>5269</v>
      </c>
      <c r="AH170">
        <v>5394</v>
      </c>
      <c r="AI170">
        <v>97.7</v>
      </c>
      <c r="AJ170" s="8">
        <f t="shared" si="5"/>
        <v>0.97699999999999998</v>
      </c>
      <c r="AL170">
        <v>102409</v>
      </c>
      <c r="AM170" s="8">
        <f t="shared" si="4"/>
        <v>0.93599999999999994</v>
      </c>
    </row>
    <row r="171" spans="1:39" x14ac:dyDescent="0.25">
      <c r="A171">
        <v>102616</v>
      </c>
      <c r="B171" t="s">
        <v>221</v>
      </c>
      <c r="C171">
        <v>1.08</v>
      </c>
      <c r="D171">
        <v>0.99</v>
      </c>
      <c r="E171">
        <v>1.03</v>
      </c>
      <c r="F171">
        <v>0.94</v>
      </c>
      <c r="G171">
        <v>0.91</v>
      </c>
      <c r="H171">
        <v>1</v>
      </c>
      <c r="I171">
        <v>0.98</v>
      </c>
      <c r="J171">
        <v>1</v>
      </c>
      <c r="K171">
        <v>1.01</v>
      </c>
      <c r="L171">
        <v>0.97</v>
      </c>
      <c r="M171">
        <v>0.93</v>
      </c>
      <c r="N171">
        <v>0.92</v>
      </c>
      <c r="O171">
        <v>0.91</v>
      </c>
      <c r="P171">
        <v>0.96</v>
      </c>
      <c r="Q171">
        <v>1.1200000000000001</v>
      </c>
      <c r="R171">
        <v>0.92</v>
      </c>
      <c r="S171">
        <v>1.01</v>
      </c>
      <c r="T171">
        <v>0.96</v>
      </c>
      <c r="U171">
        <v>0.91</v>
      </c>
      <c r="V171">
        <v>0.9</v>
      </c>
      <c r="W171">
        <v>0.96</v>
      </c>
      <c r="X171">
        <v>0.95</v>
      </c>
      <c r="Y171">
        <v>0.93</v>
      </c>
      <c r="Z171">
        <v>0.92</v>
      </c>
      <c r="AA171" s="8">
        <v>0.82795004306632214</v>
      </c>
      <c r="AB171" s="8">
        <v>1.004</v>
      </c>
      <c r="AC171" s="8">
        <v>0.95599999999999996</v>
      </c>
      <c r="AE171">
        <v>102409</v>
      </c>
      <c r="AF171" t="s">
        <v>88</v>
      </c>
      <c r="AG171">
        <v>3974</v>
      </c>
      <c r="AH171">
        <v>4243</v>
      </c>
      <c r="AI171">
        <v>93.6</v>
      </c>
      <c r="AJ171" s="8">
        <f t="shared" si="5"/>
        <v>0.93599999999999994</v>
      </c>
      <c r="AL171">
        <v>102616</v>
      </c>
      <c r="AM171" s="8">
        <f t="shared" si="4"/>
        <v>0.95599999999999996</v>
      </c>
    </row>
    <row r="172" spans="1:39" x14ac:dyDescent="0.25">
      <c r="A172">
        <v>102914</v>
      </c>
      <c r="B172" t="s">
        <v>539</v>
      </c>
      <c r="C172">
        <v>1.03</v>
      </c>
      <c r="D172">
        <v>0.99</v>
      </c>
      <c r="E172">
        <v>1.05</v>
      </c>
      <c r="F172">
        <v>1</v>
      </c>
      <c r="G172">
        <v>0.94</v>
      </c>
      <c r="H172">
        <v>1.01</v>
      </c>
      <c r="I172">
        <v>0.95</v>
      </c>
      <c r="J172">
        <v>0.95</v>
      </c>
      <c r="K172">
        <v>0.98</v>
      </c>
      <c r="L172">
        <v>0.94</v>
      </c>
      <c r="M172">
        <v>0.91</v>
      </c>
      <c r="N172">
        <v>0.94</v>
      </c>
      <c r="O172">
        <v>0.95</v>
      </c>
      <c r="P172">
        <v>0.98</v>
      </c>
      <c r="Q172">
        <v>1.07</v>
      </c>
      <c r="R172">
        <v>0.91</v>
      </c>
      <c r="S172">
        <v>1.02</v>
      </c>
      <c r="T172">
        <v>0.93</v>
      </c>
      <c r="U172">
        <v>0.91</v>
      </c>
      <c r="V172">
        <v>0.92</v>
      </c>
      <c r="W172">
        <v>0.97</v>
      </c>
      <c r="X172">
        <v>0.99</v>
      </c>
      <c r="Y172">
        <v>0.96</v>
      </c>
      <c r="Z172">
        <v>0.99</v>
      </c>
      <c r="AA172" s="8">
        <v>0.89067123501012302</v>
      </c>
      <c r="AB172" s="8">
        <v>1.0170000000000001</v>
      </c>
      <c r="AC172" s="8">
        <v>0.95599999999999996</v>
      </c>
      <c r="AE172">
        <v>102616</v>
      </c>
      <c r="AF172" t="s">
        <v>221</v>
      </c>
      <c r="AG172">
        <v>4264</v>
      </c>
      <c r="AH172">
        <v>4458</v>
      </c>
      <c r="AI172">
        <v>95.6</v>
      </c>
      <c r="AJ172" s="8">
        <f t="shared" si="5"/>
        <v>0.95599999999999996</v>
      </c>
      <c r="AL172">
        <v>102914</v>
      </c>
      <c r="AM172" s="8">
        <f t="shared" si="4"/>
        <v>0.95599999999999996</v>
      </c>
    </row>
    <row r="173" spans="1:39" x14ac:dyDescent="0.25">
      <c r="A173">
        <v>102309</v>
      </c>
      <c r="B173" t="s">
        <v>163</v>
      </c>
      <c r="C173">
        <v>1.1399999999999999</v>
      </c>
      <c r="D173">
        <v>1.02</v>
      </c>
      <c r="E173">
        <v>1.04</v>
      </c>
      <c r="F173">
        <v>0.98</v>
      </c>
      <c r="G173">
        <v>0.91</v>
      </c>
      <c r="H173">
        <v>0.99</v>
      </c>
      <c r="I173">
        <v>0.94</v>
      </c>
      <c r="J173">
        <v>0.99</v>
      </c>
      <c r="K173">
        <v>1</v>
      </c>
      <c r="L173">
        <v>0.99</v>
      </c>
      <c r="M173">
        <v>0.94</v>
      </c>
      <c r="N173">
        <v>0.92</v>
      </c>
      <c r="O173">
        <v>0.92</v>
      </c>
      <c r="P173">
        <v>0.98</v>
      </c>
      <c r="Q173">
        <v>1.1200000000000001</v>
      </c>
      <c r="R173">
        <v>0.93</v>
      </c>
      <c r="S173">
        <v>1.01</v>
      </c>
      <c r="T173">
        <v>0.99</v>
      </c>
      <c r="U173">
        <v>0.89</v>
      </c>
      <c r="V173">
        <v>0.9</v>
      </c>
      <c r="W173">
        <v>0.95</v>
      </c>
      <c r="X173">
        <v>0.93</v>
      </c>
      <c r="Y173">
        <v>0.9</v>
      </c>
      <c r="Z173">
        <v>0.87</v>
      </c>
      <c r="AA173" s="8">
        <v>0.83772441128468178</v>
      </c>
      <c r="AB173" s="8">
        <v>1.006</v>
      </c>
      <c r="AC173" s="8">
        <v>0.93500000000000005</v>
      </c>
      <c r="AE173">
        <v>102914</v>
      </c>
      <c r="AF173" t="s">
        <v>258</v>
      </c>
      <c r="AG173">
        <v>5983</v>
      </c>
      <c r="AH173">
        <v>6257</v>
      </c>
      <c r="AI173">
        <v>95.6</v>
      </c>
      <c r="AJ173" s="8">
        <f t="shared" si="5"/>
        <v>0.95599999999999996</v>
      </c>
      <c r="AL173">
        <v>102309</v>
      </c>
      <c r="AM173" s="8">
        <f t="shared" si="4"/>
        <v>0.93500000000000005</v>
      </c>
    </row>
    <row r="174" spans="1:39" x14ac:dyDescent="0.25">
      <c r="A174">
        <v>102645</v>
      </c>
      <c r="B174" t="s">
        <v>313</v>
      </c>
      <c r="Y174">
        <v>0.92</v>
      </c>
      <c r="Z174">
        <v>0.9</v>
      </c>
      <c r="AA174" s="8">
        <v>0.8116769095697981</v>
      </c>
      <c r="AB174" s="8">
        <v>1.014</v>
      </c>
      <c r="AC174" s="8">
        <v>0.95</v>
      </c>
      <c r="AE174">
        <v>102244</v>
      </c>
      <c r="AF174" t="s">
        <v>1224</v>
      </c>
      <c r="AG174">
        <v>4038</v>
      </c>
      <c r="AH174">
        <v>4280</v>
      </c>
      <c r="AI174">
        <v>94.4</v>
      </c>
      <c r="AJ174" s="8">
        <f t="shared" si="5"/>
        <v>0.94400000000000006</v>
      </c>
      <c r="AL174">
        <v>102645</v>
      </c>
      <c r="AM174" s="8">
        <f t="shared" si="4"/>
        <v>0.95</v>
      </c>
    </row>
    <row r="175" spans="1:39" x14ac:dyDescent="0.25">
      <c r="A175">
        <v>102413</v>
      </c>
      <c r="B175" t="s">
        <v>337</v>
      </c>
      <c r="C175">
        <v>1.1100000000000001</v>
      </c>
      <c r="D175">
        <v>1</v>
      </c>
      <c r="E175">
        <v>1.05</v>
      </c>
      <c r="F175">
        <v>0.96</v>
      </c>
      <c r="G175">
        <v>0.92</v>
      </c>
      <c r="H175">
        <v>1.01</v>
      </c>
      <c r="I175">
        <v>0.96</v>
      </c>
      <c r="J175">
        <v>0.99</v>
      </c>
      <c r="K175">
        <v>0.98</v>
      </c>
      <c r="L175">
        <v>0.97</v>
      </c>
      <c r="M175">
        <v>0.93</v>
      </c>
      <c r="N175">
        <v>0.92</v>
      </c>
      <c r="O175">
        <v>0.9</v>
      </c>
      <c r="P175">
        <v>0.97</v>
      </c>
      <c r="Q175">
        <v>1.1299999999999999</v>
      </c>
      <c r="R175">
        <v>0.91</v>
      </c>
      <c r="S175">
        <v>1</v>
      </c>
      <c r="T175">
        <v>0.96</v>
      </c>
      <c r="U175">
        <v>0.89</v>
      </c>
      <c r="V175">
        <v>0.88</v>
      </c>
      <c r="W175">
        <v>0.95</v>
      </c>
      <c r="X175">
        <v>0.93</v>
      </c>
      <c r="Y175">
        <v>0.91</v>
      </c>
      <c r="Z175">
        <v>0.89</v>
      </c>
      <c r="AA175" s="8">
        <v>0.81982585398526453</v>
      </c>
      <c r="AB175" s="8">
        <v>1.0170000000000001</v>
      </c>
      <c r="AC175" s="8">
        <v>0.94900000000000007</v>
      </c>
      <c r="AE175">
        <v>102309</v>
      </c>
      <c r="AF175" t="s">
        <v>163</v>
      </c>
      <c r="AG175">
        <v>3902</v>
      </c>
      <c r="AH175">
        <v>4175</v>
      </c>
      <c r="AI175">
        <v>93.5</v>
      </c>
      <c r="AJ175" s="8">
        <f t="shared" si="5"/>
        <v>0.93500000000000005</v>
      </c>
      <c r="AL175">
        <v>102413</v>
      </c>
      <c r="AM175" s="8">
        <f t="shared" si="4"/>
        <v>0.94900000000000007</v>
      </c>
    </row>
    <row r="176" spans="1:39" x14ac:dyDescent="0.25">
      <c r="A176">
        <v>102609</v>
      </c>
      <c r="B176" t="s">
        <v>121</v>
      </c>
      <c r="C176">
        <v>1.08</v>
      </c>
      <c r="D176">
        <v>0.99</v>
      </c>
      <c r="E176">
        <v>1.03</v>
      </c>
      <c r="F176">
        <v>0.94</v>
      </c>
      <c r="G176">
        <v>0.89</v>
      </c>
      <c r="H176">
        <v>1.01</v>
      </c>
      <c r="I176">
        <v>0.98</v>
      </c>
      <c r="J176">
        <v>1.02</v>
      </c>
      <c r="K176">
        <v>1</v>
      </c>
      <c r="L176">
        <v>1</v>
      </c>
      <c r="M176">
        <v>0.95</v>
      </c>
      <c r="N176">
        <v>0.96</v>
      </c>
      <c r="O176">
        <v>0.94</v>
      </c>
      <c r="P176">
        <v>1</v>
      </c>
      <c r="Q176">
        <v>1.1399999999999999</v>
      </c>
      <c r="R176">
        <v>0.97</v>
      </c>
      <c r="S176">
        <v>1.05</v>
      </c>
      <c r="T176">
        <v>1</v>
      </c>
      <c r="U176">
        <v>0.94</v>
      </c>
      <c r="V176">
        <v>0.93</v>
      </c>
      <c r="W176">
        <v>0.97</v>
      </c>
      <c r="X176">
        <v>0.95</v>
      </c>
      <c r="Y176">
        <v>0.92</v>
      </c>
      <c r="Z176">
        <v>0.91</v>
      </c>
      <c r="AA176" s="8">
        <v>0.8287521815008726</v>
      </c>
      <c r="AB176" s="8">
        <v>1.0070000000000001</v>
      </c>
      <c r="AC176" s="8">
        <v>0.94799999999999995</v>
      </c>
      <c r="AE176">
        <v>102645</v>
      </c>
      <c r="AF176" t="s">
        <v>313</v>
      </c>
      <c r="AG176">
        <v>4142</v>
      </c>
      <c r="AH176">
        <v>4362</v>
      </c>
      <c r="AI176">
        <v>95</v>
      </c>
      <c r="AJ176" s="8">
        <f t="shared" si="5"/>
        <v>0.95</v>
      </c>
      <c r="AL176">
        <v>102609</v>
      </c>
      <c r="AM176" s="8">
        <f t="shared" si="4"/>
        <v>0.94799999999999995</v>
      </c>
    </row>
    <row r="177" spans="1:39" x14ac:dyDescent="0.25">
      <c r="A177">
        <v>102321</v>
      </c>
      <c r="B177" t="s">
        <v>223</v>
      </c>
      <c r="C177">
        <v>1.1299999999999999</v>
      </c>
      <c r="D177">
        <v>1.02</v>
      </c>
      <c r="E177">
        <v>1.07</v>
      </c>
      <c r="F177">
        <v>0.99</v>
      </c>
      <c r="G177">
        <v>0.94</v>
      </c>
      <c r="H177">
        <v>1.01</v>
      </c>
      <c r="I177">
        <v>0.95</v>
      </c>
      <c r="J177">
        <v>0.98</v>
      </c>
      <c r="K177">
        <v>1</v>
      </c>
      <c r="L177">
        <v>0.96</v>
      </c>
      <c r="M177">
        <v>0.93</v>
      </c>
      <c r="N177">
        <v>0.93</v>
      </c>
      <c r="O177">
        <v>0.93</v>
      </c>
      <c r="P177">
        <v>0.97</v>
      </c>
      <c r="Q177">
        <v>1.1200000000000001</v>
      </c>
      <c r="R177">
        <v>0.93</v>
      </c>
      <c r="S177">
        <v>1.02</v>
      </c>
      <c r="T177">
        <v>0.99</v>
      </c>
      <c r="U177">
        <v>0.9</v>
      </c>
      <c r="V177">
        <v>0.95</v>
      </c>
      <c r="W177">
        <v>0.96</v>
      </c>
      <c r="X177">
        <v>0.96</v>
      </c>
      <c r="Y177">
        <v>0.91</v>
      </c>
      <c r="Z177">
        <v>0.91</v>
      </c>
      <c r="AA177" s="8">
        <v>0.86655476290390265</v>
      </c>
      <c r="AB177" s="8">
        <v>0.996</v>
      </c>
      <c r="AC177" s="8">
        <v>0.93900000000000006</v>
      </c>
      <c r="AE177">
        <v>102413</v>
      </c>
      <c r="AF177" t="s">
        <v>337</v>
      </c>
      <c r="AG177">
        <v>4077</v>
      </c>
      <c r="AH177">
        <v>4295</v>
      </c>
      <c r="AI177">
        <v>94.9</v>
      </c>
      <c r="AJ177" s="8">
        <f t="shared" si="5"/>
        <v>0.94900000000000007</v>
      </c>
      <c r="AL177">
        <v>102321</v>
      </c>
      <c r="AM177" s="8">
        <f t="shared" si="4"/>
        <v>0.93900000000000006</v>
      </c>
    </row>
    <row r="178" spans="1:39" x14ac:dyDescent="0.25">
      <c r="A178">
        <v>102712</v>
      </c>
      <c r="B178" t="s">
        <v>8</v>
      </c>
      <c r="C178">
        <v>1.0900000000000001</v>
      </c>
      <c r="D178">
        <v>0.97</v>
      </c>
      <c r="E178">
        <v>1.04</v>
      </c>
      <c r="F178">
        <v>0.99</v>
      </c>
      <c r="G178">
        <v>0.93</v>
      </c>
      <c r="H178">
        <v>0.99</v>
      </c>
      <c r="I178">
        <v>0.95</v>
      </c>
      <c r="J178">
        <v>0.96</v>
      </c>
      <c r="K178">
        <v>0.97</v>
      </c>
      <c r="L178">
        <v>0.95</v>
      </c>
      <c r="M178">
        <v>0.92</v>
      </c>
      <c r="N178">
        <v>0.94</v>
      </c>
      <c r="O178">
        <v>0.93</v>
      </c>
      <c r="P178">
        <v>0.98</v>
      </c>
      <c r="Q178">
        <v>1.1200000000000001</v>
      </c>
      <c r="R178">
        <v>0.91</v>
      </c>
      <c r="S178">
        <v>1.01</v>
      </c>
      <c r="T178">
        <v>0.97</v>
      </c>
      <c r="U178">
        <v>0.92</v>
      </c>
      <c r="V178">
        <v>0.93</v>
      </c>
      <c r="W178">
        <v>0.96</v>
      </c>
      <c r="X178">
        <v>0.97</v>
      </c>
      <c r="Y178">
        <v>0.93</v>
      </c>
      <c r="Z178">
        <v>0.95</v>
      </c>
      <c r="AA178" s="8">
        <v>0.84423799169796399</v>
      </c>
      <c r="AB178" s="8">
        <v>0.995</v>
      </c>
      <c r="AC178" s="8">
        <v>0.95099999999999996</v>
      </c>
      <c r="AE178">
        <v>102609</v>
      </c>
      <c r="AF178" t="s">
        <v>121</v>
      </c>
      <c r="AG178">
        <v>4041</v>
      </c>
      <c r="AH178">
        <v>4261</v>
      </c>
      <c r="AI178">
        <v>94.8</v>
      </c>
      <c r="AJ178" s="8">
        <f t="shared" si="5"/>
        <v>0.94799999999999995</v>
      </c>
      <c r="AL178">
        <v>102712</v>
      </c>
      <c r="AM178" s="8">
        <f t="shared" si="4"/>
        <v>0.95099999999999996</v>
      </c>
    </row>
    <row r="179" spans="1:39" x14ac:dyDescent="0.25">
      <c r="A179">
        <v>102116</v>
      </c>
      <c r="B179" t="s">
        <v>226</v>
      </c>
      <c r="C179">
        <v>1.1200000000000001</v>
      </c>
      <c r="D179">
        <v>1.02</v>
      </c>
      <c r="E179">
        <v>1.04</v>
      </c>
      <c r="F179">
        <v>0.98</v>
      </c>
      <c r="G179">
        <v>0.92</v>
      </c>
      <c r="H179">
        <v>0.99</v>
      </c>
      <c r="I179">
        <v>0.94</v>
      </c>
      <c r="J179">
        <v>0.97</v>
      </c>
      <c r="K179">
        <v>0.98</v>
      </c>
      <c r="L179">
        <v>0.96</v>
      </c>
      <c r="M179">
        <v>0.92</v>
      </c>
      <c r="N179">
        <v>0.9</v>
      </c>
      <c r="O179">
        <v>0.9</v>
      </c>
      <c r="P179">
        <v>0.95</v>
      </c>
      <c r="Q179">
        <v>1.1100000000000001</v>
      </c>
      <c r="R179">
        <v>0.92</v>
      </c>
      <c r="S179">
        <v>1.01</v>
      </c>
      <c r="T179">
        <v>0.97</v>
      </c>
      <c r="U179">
        <v>0.88</v>
      </c>
      <c r="V179">
        <v>0.92</v>
      </c>
      <c r="W179">
        <v>0.95</v>
      </c>
      <c r="X179">
        <v>0.92</v>
      </c>
      <c r="Y179">
        <v>0.88</v>
      </c>
      <c r="Z179">
        <v>0.86</v>
      </c>
      <c r="AA179" s="8">
        <v>0.82773790229219724</v>
      </c>
      <c r="AB179" s="8">
        <v>1.008</v>
      </c>
      <c r="AC179" s="8">
        <v>0.93900000000000006</v>
      </c>
      <c r="AE179">
        <v>102321</v>
      </c>
      <c r="AF179" t="s">
        <v>223</v>
      </c>
      <c r="AG179">
        <v>4339</v>
      </c>
      <c r="AH179">
        <v>4621</v>
      </c>
      <c r="AI179">
        <v>93.9</v>
      </c>
      <c r="AJ179" s="8">
        <f t="shared" si="5"/>
        <v>0.93900000000000006</v>
      </c>
      <c r="AL179">
        <v>102116</v>
      </c>
      <c r="AM179" s="8">
        <f t="shared" si="4"/>
        <v>0.93900000000000006</v>
      </c>
    </row>
    <row r="180" spans="1:39" x14ac:dyDescent="0.25">
      <c r="A180">
        <v>102727</v>
      </c>
      <c r="B180" t="s">
        <v>53</v>
      </c>
      <c r="Y180">
        <v>0.93</v>
      </c>
      <c r="Z180">
        <v>0.93</v>
      </c>
      <c r="AA180" s="8">
        <v>0.84001471129091576</v>
      </c>
      <c r="AB180" s="8">
        <v>1.0029999999999999</v>
      </c>
      <c r="AC180" s="8">
        <v>0.96200000000000008</v>
      </c>
      <c r="AE180">
        <v>102252</v>
      </c>
      <c r="AF180" t="s">
        <v>1225</v>
      </c>
      <c r="AG180">
        <v>3774</v>
      </c>
      <c r="AH180">
        <v>4070</v>
      </c>
      <c r="AI180">
        <v>92.7</v>
      </c>
      <c r="AJ180" s="8">
        <f t="shared" si="5"/>
        <v>0.92700000000000005</v>
      </c>
      <c r="AL180">
        <v>102727</v>
      </c>
      <c r="AM180" s="8">
        <f t="shared" si="4"/>
        <v>0.96200000000000008</v>
      </c>
    </row>
    <row r="181" spans="1:39" x14ac:dyDescent="0.25">
      <c r="A181">
        <v>102240</v>
      </c>
      <c r="B181" t="s">
        <v>1045</v>
      </c>
      <c r="Y181">
        <v>0.92</v>
      </c>
      <c r="Z181">
        <v>0.9</v>
      </c>
      <c r="AA181" s="8">
        <v>0.83478260869565213</v>
      </c>
      <c r="AB181" s="8">
        <v>1.0290000000000001</v>
      </c>
      <c r="AC181" s="8">
        <v>0.94099999999999995</v>
      </c>
      <c r="AE181">
        <v>102712</v>
      </c>
      <c r="AF181" t="s">
        <v>8</v>
      </c>
      <c r="AG181">
        <v>4664</v>
      </c>
      <c r="AH181">
        <v>4903</v>
      </c>
      <c r="AI181">
        <v>95.1</v>
      </c>
      <c r="AJ181" s="8">
        <f t="shared" si="5"/>
        <v>0.95099999999999996</v>
      </c>
      <c r="AL181">
        <v>102240</v>
      </c>
      <c r="AM181" s="8">
        <f t="shared" si="4"/>
        <v>0.94099999999999995</v>
      </c>
    </row>
    <row r="182" spans="1:39" x14ac:dyDescent="0.25">
      <c r="A182">
        <v>102117</v>
      </c>
      <c r="B182" t="s">
        <v>114</v>
      </c>
      <c r="C182">
        <v>1.1100000000000001</v>
      </c>
      <c r="D182">
        <v>1.02</v>
      </c>
      <c r="E182">
        <v>1.03</v>
      </c>
      <c r="F182">
        <v>0.96</v>
      </c>
      <c r="G182">
        <v>0.9</v>
      </c>
      <c r="H182">
        <v>0.98</v>
      </c>
      <c r="I182">
        <v>0.93</v>
      </c>
      <c r="J182">
        <v>0.97</v>
      </c>
      <c r="K182">
        <v>0.98</v>
      </c>
      <c r="L182">
        <v>0.95</v>
      </c>
      <c r="M182">
        <v>0.91</v>
      </c>
      <c r="N182">
        <v>0.89</v>
      </c>
      <c r="O182">
        <v>0.9</v>
      </c>
      <c r="P182">
        <v>0.94</v>
      </c>
      <c r="Q182">
        <v>1.1100000000000001</v>
      </c>
      <c r="R182">
        <v>0.92</v>
      </c>
      <c r="S182">
        <v>1.02</v>
      </c>
      <c r="T182">
        <v>0.97</v>
      </c>
      <c r="U182">
        <v>0.87</v>
      </c>
      <c r="V182">
        <v>0.92</v>
      </c>
      <c r="W182">
        <v>0.94</v>
      </c>
      <c r="X182">
        <v>0.93</v>
      </c>
      <c r="Y182">
        <v>0.87</v>
      </c>
      <c r="Z182">
        <v>0.86</v>
      </c>
      <c r="AA182" s="8">
        <v>0.84071801863212903</v>
      </c>
      <c r="AB182" s="8">
        <v>1.0129999999999999</v>
      </c>
      <c r="AC182" s="8">
        <v>0.93599999999999994</v>
      </c>
      <c r="AE182">
        <v>102116</v>
      </c>
      <c r="AF182" t="s">
        <v>226</v>
      </c>
      <c r="AG182">
        <v>3842</v>
      </c>
      <c r="AH182">
        <v>4091</v>
      </c>
      <c r="AI182">
        <v>93.9</v>
      </c>
      <c r="AJ182" s="8">
        <f t="shared" si="5"/>
        <v>0.93900000000000006</v>
      </c>
      <c r="AL182">
        <v>102117</v>
      </c>
      <c r="AM182" s="8">
        <f t="shared" si="4"/>
        <v>0.93599999999999994</v>
      </c>
    </row>
    <row r="183" spans="1:39" x14ac:dyDescent="0.25">
      <c r="A183">
        <v>102325</v>
      </c>
      <c r="B183" t="s">
        <v>227</v>
      </c>
      <c r="C183">
        <v>1.1100000000000001</v>
      </c>
      <c r="D183">
        <v>0.99</v>
      </c>
      <c r="E183">
        <v>1.02</v>
      </c>
      <c r="F183">
        <v>0.95</v>
      </c>
      <c r="G183">
        <v>0.87</v>
      </c>
      <c r="H183">
        <v>1</v>
      </c>
      <c r="I183">
        <v>0.95</v>
      </c>
      <c r="J183">
        <v>0.99</v>
      </c>
      <c r="K183">
        <v>0.99</v>
      </c>
      <c r="L183">
        <v>0.96</v>
      </c>
      <c r="M183">
        <v>0.92</v>
      </c>
      <c r="N183">
        <v>0.92</v>
      </c>
      <c r="O183">
        <v>0.91</v>
      </c>
      <c r="P183">
        <v>0.98</v>
      </c>
      <c r="Q183">
        <v>1.1299999999999999</v>
      </c>
      <c r="R183">
        <v>0.94</v>
      </c>
      <c r="S183">
        <v>1.03</v>
      </c>
      <c r="T183">
        <v>1</v>
      </c>
      <c r="U183">
        <v>0.9</v>
      </c>
      <c r="V183">
        <v>0.88</v>
      </c>
      <c r="W183">
        <v>0.94</v>
      </c>
      <c r="X183">
        <v>0.94</v>
      </c>
      <c r="Y183">
        <v>0.91</v>
      </c>
      <c r="Z183">
        <v>0.89</v>
      </c>
      <c r="AA183" s="8">
        <v>0.84191006026889192</v>
      </c>
      <c r="AB183" s="8">
        <v>1.012</v>
      </c>
      <c r="AC183" s="8">
        <v>0.93599999999999994</v>
      </c>
      <c r="AE183">
        <v>102727</v>
      </c>
      <c r="AF183" t="s">
        <v>53</v>
      </c>
      <c r="AG183">
        <v>5055</v>
      </c>
      <c r="AH183">
        <v>5256</v>
      </c>
      <c r="AI183">
        <v>96.2</v>
      </c>
      <c r="AJ183" s="8">
        <f t="shared" si="5"/>
        <v>0.96200000000000008</v>
      </c>
      <c r="AL183">
        <v>102325</v>
      </c>
      <c r="AM183" s="8">
        <f t="shared" si="4"/>
        <v>0.93599999999999994</v>
      </c>
    </row>
    <row r="184" spans="1:39" x14ac:dyDescent="0.25">
      <c r="A184">
        <v>102414</v>
      </c>
      <c r="B184" t="s">
        <v>228</v>
      </c>
      <c r="C184">
        <v>1.0900000000000001</v>
      </c>
      <c r="D184">
        <v>0.98</v>
      </c>
      <c r="E184">
        <v>1.03</v>
      </c>
      <c r="F184">
        <v>0.94</v>
      </c>
      <c r="G184">
        <v>0.89</v>
      </c>
      <c r="H184">
        <v>1.02</v>
      </c>
      <c r="I184">
        <v>0.98</v>
      </c>
      <c r="J184">
        <v>1.01</v>
      </c>
      <c r="K184">
        <v>1</v>
      </c>
      <c r="L184">
        <v>0.99</v>
      </c>
      <c r="M184">
        <v>0.94</v>
      </c>
      <c r="N184">
        <v>0.96</v>
      </c>
      <c r="O184">
        <v>0.94</v>
      </c>
      <c r="P184">
        <v>1</v>
      </c>
      <c r="Q184">
        <v>1.1399999999999999</v>
      </c>
      <c r="R184">
        <v>0.94</v>
      </c>
      <c r="S184">
        <v>1.02</v>
      </c>
      <c r="T184">
        <v>0.98</v>
      </c>
      <c r="U184">
        <v>0.91</v>
      </c>
      <c r="V184">
        <v>0.88</v>
      </c>
      <c r="W184">
        <v>0.98</v>
      </c>
      <c r="X184">
        <v>0.96</v>
      </c>
      <c r="Y184">
        <v>0.94</v>
      </c>
      <c r="Z184">
        <v>0.92</v>
      </c>
      <c r="AA184" s="8">
        <v>0.8407239819004525</v>
      </c>
      <c r="AB184" s="8">
        <v>1.014</v>
      </c>
      <c r="AC184" s="8">
        <v>0.94499999999999995</v>
      </c>
      <c r="AE184">
        <v>102117</v>
      </c>
      <c r="AF184" t="s">
        <v>114</v>
      </c>
      <c r="AG184">
        <v>3893</v>
      </c>
      <c r="AH184">
        <v>4160</v>
      </c>
      <c r="AI184">
        <v>93.6</v>
      </c>
      <c r="AJ184" s="8">
        <f t="shared" si="5"/>
        <v>0.93599999999999994</v>
      </c>
      <c r="AL184">
        <v>102414</v>
      </c>
      <c r="AM184" s="8">
        <f t="shared" si="4"/>
        <v>0.94499999999999995</v>
      </c>
    </row>
    <row r="185" spans="1:39" x14ac:dyDescent="0.25">
      <c r="A185">
        <v>102013</v>
      </c>
      <c r="B185" t="s">
        <v>412</v>
      </c>
      <c r="C185">
        <v>1.02</v>
      </c>
      <c r="D185">
        <v>0.99</v>
      </c>
      <c r="E185">
        <v>1.06</v>
      </c>
      <c r="F185">
        <v>1</v>
      </c>
      <c r="G185">
        <v>0.93</v>
      </c>
      <c r="H185">
        <v>0.99</v>
      </c>
      <c r="I185">
        <v>0.99</v>
      </c>
      <c r="J185">
        <v>0.97</v>
      </c>
      <c r="K185">
        <v>0.98</v>
      </c>
      <c r="L185">
        <v>0.93</v>
      </c>
      <c r="M185">
        <v>0.95</v>
      </c>
      <c r="N185">
        <v>0.96</v>
      </c>
      <c r="O185">
        <v>0.98</v>
      </c>
      <c r="P185">
        <v>0.97</v>
      </c>
      <c r="Q185">
        <v>1.06</v>
      </c>
      <c r="R185">
        <v>0.93</v>
      </c>
      <c r="S185">
        <v>1.03</v>
      </c>
      <c r="T185">
        <v>0.95</v>
      </c>
      <c r="U185">
        <v>0.94</v>
      </c>
      <c r="V185">
        <v>0.92</v>
      </c>
      <c r="W185">
        <v>0.95</v>
      </c>
      <c r="X185">
        <v>1</v>
      </c>
      <c r="Y185">
        <v>0.97</v>
      </c>
      <c r="Z185">
        <v>1.01</v>
      </c>
      <c r="AA185" s="8">
        <v>0.89409190371991243</v>
      </c>
      <c r="AB185" s="8">
        <v>1.0170000000000001</v>
      </c>
      <c r="AC185" s="8">
        <v>0.95900000000000007</v>
      </c>
      <c r="AE185">
        <v>102325</v>
      </c>
      <c r="AF185" t="s">
        <v>227</v>
      </c>
      <c r="AG185">
        <v>3801</v>
      </c>
      <c r="AH185">
        <v>4061</v>
      </c>
      <c r="AI185">
        <v>93.6</v>
      </c>
      <c r="AJ185" s="8">
        <f t="shared" si="5"/>
        <v>0.93599999999999994</v>
      </c>
      <c r="AL185">
        <v>102013</v>
      </c>
      <c r="AM185" s="8">
        <f t="shared" si="4"/>
        <v>0.95900000000000007</v>
      </c>
    </row>
    <row r="186" spans="1:39" x14ac:dyDescent="0.25">
      <c r="A186">
        <v>102238</v>
      </c>
      <c r="B186" t="s">
        <v>932</v>
      </c>
      <c r="Y186">
        <v>0.9</v>
      </c>
      <c r="Z186">
        <v>0.88</v>
      </c>
      <c r="AA186" s="8">
        <v>0.83936120244246126</v>
      </c>
      <c r="AB186" s="8">
        <v>1.0190000000000001</v>
      </c>
      <c r="AC186" s="8">
        <v>0.92299999999999993</v>
      </c>
      <c r="AE186">
        <v>102414</v>
      </c>
      <c r="AF186" t="s">
        <v>228</v>
      </c>
      <c r="AG186">
        <v>3960</v>
      </c>
      <c r="AH186">
        <v>4191</v>
      </c>
      <c r="AI186">
        <v>94.5</v>
      </c>
      <c r="AJ186" s="8">
        <f t="shared" si="5"/>
        <v>0.94499999999999995</v>
      </c>
      <c r="AL186">
        <v>102238</v>
      </c>
      <c r="AM186" s="8">
        <f t="shared" si="4"/>
        <v>0.92299999999999993</v>
      </c>
    </row>
    <row r="187" spans="1:39" x14ac:dyDescent="0.25">
      <c r="A187">
        <v>102139</v>
      </c>
      <c r="B187" t="s">
        <v>229</v>
      </c>
      <c r="Y187">
        <v>0.87</v>
      </c>
      <c r="Z187">
        <v>0.85</v>
      </c>
      <c r="AA187" s="8">
        <v>0.8370786516853933</v>
      </c>
      <c r="AB187" s="8">
        <v>1.01</v>
      </c>
      <c r="AC187" s="8">
        <v>0.94099999999999995</v>
      </c>
      <c r="AE187">
        <v>102013</v>
      </c>
      <c r="AF187" t="s">
        <v>412</v>
      </c>
      <c r="AG187">
        <v>6456</v>
      </c>
      <c r="AH187">
        <v>6732</v>
      </c>
      <c r="AI187">
        <v>95.9</v>
      </c>
      <c r="AJ187" s="8">
        <f t="shared" si="5"/>
        <v>0.95900000000000007</v>
      </c>
      <c r="AL187">
        <v>102139</v>
      </c>
      <c r="AM187" s="8">
        <f t="shared" si="4"/>
        <v>0.94099999999999995</v>
      </c>
    </row>
    <row r="188" spans="1:39" x14ac:dyDescent="0.25">
      <c r="A188">
        <v>102004</v>
      </c>
      <c r="B188" t="s">
        <v>230</v>
      </c>
      <c r="C188">
        <v>1.01</v>
      </c>
      <c r="D188">
        <v>0.96</v>
      </c>
      <c r="E188">
        <v>1.04</v>
      </c>
      <c r="F188">
        <v>1</v>
      </c>
      <c r="G188">
        <v>0.9</v>
      </c>
      <c r="H188">
        <v>1.01</v>
      </c>
      <c r="I188">
        <v>0.98</v>
      </c>
      <c r="J188">
        <v>0.96</v>
      </c>
      <c r="K188">
        <v>1</v>
      </c>
      <c r="L188">
        <v>0.94</v>
      </c>
      <c r="M188">
        <v>0.93</v>
      </c>
      <c r="N188">
        <v>0.95</v>
      </c>
      <c r="O188">
        <v>0.96</v>
      </c>
      <c r="P188">
        <v>0.97</v>
      </c>
      <c r="Q188">
        <v>1.0900000000000001</v>
      </c>
      <c r="R188">
        <v>0.92</v>
      </c>
      <c r="S188">
        <v>1</v>
      </c>
      <c r="T188">
        <v>0.93</v>
      </c>
      <c r="U188">
        <v>0.91</v>
      </c>
      <c r="V188">
        <v>0.89</v>
      </c>
      <c r="W188">
        <v>0.98</v>
      </c>
      <c r="X188">
        <v>0.97</v>
      </c>
      <c r="Y188">
        <v>0.96</v>
      </c>
      <c r="Z188">
        <v>0.99</v>
      </c>
      <c r="AA188" s="8">
        <v>0.87000989772352355</v>
      </c>
      <c r="AB188" s="8">
        <v>1.024</v>
      </c>
      <c r="AC188" s="8">
        <v>0.95799999999999996</v>
      </c>
      <c r="AE188">
        <v>102238</v>
      </c>
      <c r="AF188" t="s">
        <v>932</v>
      </c>
      <c r="AG188">
        <v>3720</v>
      </c>
      <c r="AH188">
        <v>4029</v>
      </c>
      <c r="AI188">
        <v>92.3</v>
      </c>
      <c r="AJ188" s="8">
        <f t="shared" si="5"/>
        <v>0.92299999999999993</v>
      </c>
      <c r="AL188">
        <v>102004</v>
      </c>
      <c r="AM188" s="8">
        <f t="shared" si="4"/>
        <v>0.95799999999999996</v>
      </c>
    </row>
    <row r="189" spans="1:39" x14ac:dyDescent="0.25">
      <c r="A189">
        <v>102011</v>
      </c>
      <c r="B189" t="s">
        <v>503</v>
      </c>
      <c r="C189">
        <v>1</v>
      </c>
      <c r="D189">
        <v>0.97</v>
      </c>
      <c r="E189">
        <v>1.01</v>
      </c>
      <c r="F189">
        <v>0.97</v>
      </c>
      <c r="G189">
        <v>0.94</v>
      </c>
      <c r="H189">
        <v>0.95</v>
      </c>
      <c r="I189">
        <v>0.92</v>
      </c>
      <c r="J189">
        <v>0.91</v>
      </c>
      <c r="K189">
        <v>0.9</v>
      </c>
      <c r="L189">
        <v>0.89</v>
      </c>
      <c r="M189">
        <v>0.88</v>
      </c>
      <c r="N189">
        <v>0.88</v>
      </c>
      <c r="O189">
        <v>0.92</v>
      </c>
      <c r="P189">
        <v>0.92</v>
      </c>
      <c r="Q189">
        <v>1</v>
      </c>
      <c r="R189">
        <v>0.87</v>
      </c>
      <c r="S189">
        <v>0.98</v>
      </c>
      <c r="T189">
        <v>0.89</v>
      </c>
      <c r="U189">
        <v>0.88</v>
      </c>
      <c r="V189">
        <v>0.87</v>
      </c>
      <c r="W189">
        <v>0.91</v>
      </c>
      <c r="X189">
        <v>0.97</v>
      </c>
      <c r="Y189">
        <v>0.94</v>
      </c>
      <c r="Z189">
        <v>0.95</v>
      </c>
      <c r="AA189" s="8">
        <v>0.91329554238598298</v>
      </c>
      <c r="AB189" s="8">
        <v>1.034</v>
      </c>
      <c r="AC189" s="8">
        <v>0.9890000000000001</v>
      </c>
      <c r="AE189">
        <v>102139</v>
      </c>
      <c r="AF189" t="s">
        <v>229</v>
      </c>
      <c r="AG189">
        <v>3832</v>
      </c>
      <c r="AH189">
        <v>4071</v>
      </c>
      <c r="AI189">
        <v>94.1</v>
      </c>
      <c r="AJ189" s="8">
        <f t="shared" si="5"/>
        <v>0.94099999999999995</v>
      </c>
      <c r="AL189">
        <v>102011</v>
      </c>
      <c r="AM189" s="8">
        <f t="shared" si="4"/>
        <v>0.9890000000000001</v>
      </c>
    </row>
    <row r="190" spans="1:39" x14ac:dyDescent="0.25">
      <c r="A190">
        <v>102913</v>
      </c>
      <c r="B190" t="s">
        <v>262</v>
      </c>
      <c r="C190">
        <v>1.02</v>
      </c>
      <c r="D190">
        <v>0.98</v>
      </c>
      <c r="E190">
        <v>1.05</v>
      </c>
      <c r="F190">
        <v>1</v>
      </c>
      <c r="G190">
        <v>0.93</v>
      </c>
      <c r="H190">
        <v>1</v>
      </c>
      <c r="I190">
        <v>0.96</v>
      </c>
      <c r="J190">
        <v>0.96</v>
      </c>
      <c r="K190">
        <v>0.97</v>
      </c>
      <c r="L190">
        <v>0.93</v>
      </c>
      <c r="M190">
        <v>0.92</v>
      </c>
      <c r="N190">
        <v>0.93</v>
      </c>
      <c r="O190">
        <v>0.93</v>
      </c>
      <c r="P190">
        <v>0.97</v>
      </c>
      <c r="Q190">
        <v>1.06</v>
      </c>
      <c r="R190">
        <v>0.9</v>
      </c>
      <c r="S190">
        <v>0.99</v>
      </c>
      <c r="T190">
        <v>0.92</v>
      </c>
      <c r="U190">
        <v>0.9</v>
      </c>
      <c r="V190">
        <v>0.88</v>
      </c>
      <c r="W190">
        <v>0.97</v>
      </c>
      <c r="X190">
        <v>0.97</v>
      </c>
      <c r="Y190">
        <v>0.95</v>
      </c>
      <c r="Z190">
        <v>0.98</v>
      </c>
      <c r="AA190" s="8">
        <v>0.86196266483986983</v>
      </c>
      <c r="AB190" s="8">
        <v>1.0309999999999999</v>
      </c>
      <c r="AC190" s="8">
        <v>0.98299999999999998</v>
      </c>
      <c r="AE190">
        <v>102004</v>
      </c>
      <c r="AF190" t="s">
        <v>230</v>
      </c>
      <c r="AG190">
        <v>5579</v>
      </c>
      <c r="AH190">
        <v>5826</v>
      </c>
      <c r="AI190">
        <v>95.8</v>
      </c>
      <c r="AJ190" s="8">
        <f t="shared" si="5"/>
        <v>0.95799999999999996</v>
      </c>
      <c r="AL190">
        <v>102913</v>
      </c>
      <c r="AM190" s="8">
        <f t="shared" si="4"/>
        <v>0.98299999999999998</v>
      </c>
    </row>
    <row r="191" spans="1:39" x14ac:dyDescent="0.25">
      <c r="A191">
        <v>102119</v>
      </c>
      <c r="B191" t="s">
        <v>507</v>
      </c>
      <c r="C191">
        <v>1.1100000000000001</v>
      </c>
      <c r="D191">
        <v>1.02</v>
      </c>
      <c r="E191">
        <v>1.03</v>
      </c>
      <c r="F191">
        <v>0.98</v>
      </c>
      <c r="G191">
        <v>0.9</v>
      </c>
      <c r="H191">
        <v>1.01</v>
      </c>
      <c r="I191">
        <v>0.98</v>
      </c>
      <c r="J191">
        <v>0.99</v>
      </c>
      <c r="K191">
        <v>1.01</v>
      </c>
      <c r="L191">
        <v>0.99</v>
      </c>
      <c r="M191">
        <v>0.94</v>
      </c>
      <c r="N191">
        <v>0.92</v>
      </c>
      <c r="O191">
        <v>0.91</v>
      </c>
      <c r="P191">
        <v>0.96</v>
      </c>
      <c r="Q191">
        <v>1.1100000000000001</v>
      </c>
      <c r="R191">
        <v>0.92</v>
      </c>
      <c r="S191">
        <v>0.99</v>
      </c>
      <c r="T191">
        <v>0.96</v>
      </c>
      <c r="U191">
        <v>0.87</v>
      </c>
      <c r="V191">
        <v>0.89</v>
      </c>
      <c r="W191">
        <v>0.95</v>
      </c>
      <c r="X191">
        <v>0.93</v>
      </c>
      <c r="Y191">
        <v>0.9</v>
      </c>
      <c r="Z191">
        <v>0.87</v>
      </c>
      <c r="AA191" s="8">
        <v>0.83341334613538165</v>
      </c>
      <c r="AB191" s="8">
        <v>1.016</v>
      </c>
      <c r="AC191" s="8">
        <v>0.93900000000000006</v>
      </c>
      <c r="AE191">
        <v>102011</v>
      </c>
      <c r="AF191" t="s">
        <v>503</v>
      </c>
      <c r="AG191">
        <v>6771</v>
      </c>
      <c r="AH191">
        <v>6847</v>
      </c>
      <c r="AI191">
        <v>98.9</v>
      </c>
      <c r="AJ191" s="8">
        <f t="shared" si="5"/>
        <v>0.9890000000000001</v>
      </c>
      <c r="AL191">
        <v>102119</v>
      </c>
      <c r="AM191" s="8">
        <f t="shared" si="4"/>
        <v>0.93900000000000006</v>
      </c>
    </row>
    <row r="192" spans="1:39" x14ac:dyDescent="0.25">
      <c r="A192">
        <v>102723</v>
      </c>
      <c r="B192" t="s">
        <v>252</v>
      </c>
      <c r="C192">
        <v>1.06</v>
      </c>
      <c r="D192">
        <v>0.96</v>
      </c>
      <c r="E192">
        <v>1</v>
      </c>
      <c r="F192">
        <v>0.98</v>
      </c>
      <c r="G192">
        <v>0.92</v>
      </c>
      <c r="H192">
        <v>0.99</v>
      </c>
      <c r="I192">
        <v>0.94</v>
      </c>
      <c r="J192">
        <v>0.93</v>
      </c>
      <c r="K192">
        <v>0.93</v>
      </c>
      <c r="L192">
        <v>0.91</v>
      </c>
      <c r="M192">
        <v>0.9</v>
      </c>
      <c r="N192">
        <v>0.93</v>
      </c>
      <c r="O192">
        <v>0.92</v>
      </c>
      <c r="P192">
        <v>0.98</v>
      </c>
      <c r="Q192">
        <v>1.1200000000000001</v>
      </c>
      <c r="R192">
        <v>0.91</v>
      </c>
      <c r="S192">
        <v>1</v>
      </c>
      <c r="T192">
        <v>0.95</v>
      </c>
      <c r="U192">
        <v>0.89</v>
      </c>
      <c r="V192">
        <v>0.91</v>
      </c>
      <c r="W192">
        <v>0.94</v>
      </c>
      <c r="X192">
        <v>0.96</v>
      </c>
      <c r="Y192">
        <v>0.92</v>
      </c>
      <c r="Z192">
        <v>0.93</v>
      </c>
      <c r="AA192" s="8">
        <v>0.84238928172683292</v>
      </c>
      <c r="AB192" s="8">
        <v>1.006</v>
      </c>
      <c r="AC192" s="8">
        <v>0.96400000000000008</v>
      </c>
      <c r="AE192">
        <v>102913</v>
      </c>
      <c r="AF192" t="s">
        <v>262</v>
      </c>
      <c r="AG192">
        <v>5446</v>
      </c>
      <c r="AH192">
        <v>5542</v>
      </c>
      <c r="AI192">
        <v>98.3</v>
      </c>
      <c r="AJ192" s="8">
        <f t="shared" si="5"/>
        <v>0.98299999999999998</v>
      </c>
      <c r="AL192">
        <v>102723</v>
      </c>
      <c r="AM192" s="8">
        <f t="shared" si="4"/>
        <v>0.96400000000000008</v>
      </c>
    </row>
    <row r="193" spans="1:39" x14ac:dyDescent="0.25">
      <c r="A193">
        <v>102604</v>
      </c>
      <c r="B193" t="s">
        <v>253</v>
      </c>
      <c r="C193">
        <v>1.0900000000000001</v>
      </c>
      <c r="D193">
        <v>0.97</v>
      </c>
      <c r="E193">
        <v>1.03</v>
      </c>
      <c r="F193">
        <v>0.96</v>
      </c>
      <c r="G193">
        <v>0.9</v>
      </c>
      <c r="H193">
        <v>0.99</v>
      </c>
      <c r="I193">
        <v>0.96</v>
      </c>
      <c r="J193">
        <v>0.98</v>
      </c>
      <c r="K193">
        <v>0.98</v>
      </c>
      <c r="L193">
        <v>0.94</v>
      </c>
      <c r="M193">
        <v>0.92</v>
      </c>
      <c r="N193">
        <v>0.94</v>
      </c>
      <c r="O193">
        <v>0.92</v>
      </c>
      <c r="P193">
        <v>0.98</v>
      </c>
      <c r="Q193">
        <v>1.1299999999999999</v>
      </c>
      <c r="R193">
        <v>0.91</v>
      </c>
      <c r="S193">
        <v>1.01</v>
      </c>
      <c r="T193">
        <v>0.96</v>
      </c>
      <c r="U193">
        <v>0.91</v>
      </c>
      <c r="V193">
        <v>0.91</v>
      </c>
      <c r="W193">
        <v>0.96</v>
      </c>
      <c r="X193">
        <v>0.96</v>
      </c>
      <c r="Y193">
        <v>0.93</v>
      </c>
      <c r="Z193">
        <v>0.93</v>
      </c>
      <c r="AA193" s="8">
        <v>0.83547717842323654</v>
      </c>
      <c r="AB193" s="8">
        <v>1.0049999999999999</v>
      </c>
      <c r="AC193" s="8">
        <v>0.94499999999999995</v>
      </c>
      <c r="AE193">
        <v>102119</v>
      </c>
      <c r="AF193" t="s">
        <v>507</v>
      </c>
      <c r="AG193">
        <v>3683</v>
      </c>
      <c r="AH193">
        <v>3924</v>
      </c>
      <c r="AI193">
        <v>93.9</v>
      </c>
      <c r="AJ193" s="8">
        <f t="shared" si="5"/>
        <v>0.93900000000000006</v>
      </c>
      <c r="AL193">
        <v>102604</v>
      </c>
      <c r="AM193" s="8">
        <f t="shared" si="4"/>
        <v>0.94499999999999995</v>
      </c>
    </row>
    <row r="194" spans="1:39" x14ac:dyDescent="0.25">
      <c r="A194">
        <v>102643</v>
      </c>
      <c r="B194" t="s">
        <v>1046</v>
      </c>
      <c r="Y194">
        <v>0.89</v>
      </c>
      <c r="Z194">
        <v>0.88</v>
      </c>
      <c r="AA194" s="8">
        <v>0.801056338028169</v>
      </c>
      <c r="AB194" s="8">
        <v>1.0109999999999999</v>
      </c>
      <c r="AC194" s="8">
        <v>0.94799999999999995</v>
      </c>
      <c r="AE194">
        <v>102723</v>
      </c>
      <c r="AF194" t="s">
        <v>252</v>
      </c>
      <c r="AG194">
        <v>4969</v>
      </c>
      <c r="AH194">
        <v>5155</v>
      </c>
      <c r="AI194">
        <v>96.4</v>
      </c>
      <c r="AJ194" s="8">
        <f t="shared" si="5"/>
        <v>0.96400000000000008</v>
      </c>
      <c r="AL194">
        <v>102643</v>
      </c>
      <c r="AM194" s="8">
        <f t="shared" si="4"/>
        <v>0.94799999999999995</v>
      </c>
    </row>
    <row r="195" spans="1:39" x14ac:dyDescent="0.25">
      <c r="A195">
        <v>102710</v>
      </c>
      <c r="B195" t="s">
        <v>255</v>
      </c>
      <c r="C195">
        <v>1.0900000000000001</v>
      </c>
      <c r="D195">
        <v>0.97</v>
      </c>
      <c r="E195">
        <v>1.04</v>
      </c>
      <c r="F195">
        <v>0.99</v>
      </c>
      <c r="G195">
        <v>0.92</v>
      </c>
      <c r="H195">
        <v>0.99</v>
      </c>
      <c r="I195">
        <v>0.96</v>
      </c>
      <c r="J195">
        <v>0.97</v>
      </c>
      <c r="K195">
        <v>0.98</v>
      </c>
      <c r="L195">
        <v>0.95</v>
      </c>
      <c r="M195">
        <v>0.91</v>
      </c>
      <c r="N195">
        <v>0.93</v>
      </c>
      <c r="O195">
        <v>0.93</v>
      </c>
      <c r="P195">
        <v>0.97</v>
      </c>
      <c r="Q195">
        <v>1.1100000000000001</v>
      </c>
      <c r="R195">
        <v>0.93</v>
      </c>
      <c r="S195">
        <v>1.01</v>
      </c>
      <c r="T195">
        <v>0.94</v>
      </c>
      <c r="U195">
        <v>0.91</v>
      </c>
      <c r="V195">
        <v>0.9</v>
      </c>
      <c r="W195">
        <v>0.95</v>
      </c>
      <c r="X195">
        <v>0.95</v>
      </c>
      <c r="Y195">
        <v>0.91</v>
      </c>
      <c r="Z195">
        <v>0.92</v>
      </c>
      <c r="AA195" s="8">
        <v>0.82551143200962696</v>
      </c>
      <c r="AB195" s="8">
        <v>0.98799999999999999</v>
      </c>
      <c r="AC195" s="8">
        <v>0.94299999999999995</v>
      </c>
      <c r="AE195">
        <v>102604</v>
      </c>
      <c r="AF195" t="s">
        <v>253</v>
      </c>
      <c r="AG195">
        <v>4423</v>
      </c>
      <c r="AH195">
        <v>4679</v>
      </c>
      <c r="AI195">
        <v>94.5</v>
      </c>
      <c r="AJ195" s="8">
        <f t="shared" si="5"/>
        <v>0.94499999999999995</v>
      </c>
      <c r="AL195">
        <v>102710</v>
      </c>
      <c r="AM195" s="8">
        <f t="shared" ref="AM195:AM258" si="6">_xlfn.XLOOKUP(AL195,$AE$5:$AE$314,$AJ$5:$AJ$314)</f>
        <v>0.94299999999999995</v>
      </c>
    </row>
    <row r="196" spans="1:39" x14ac:dyDescent="0.25">
      <c r="A196">
        <v>102642</v>
      </c>
      <c r="B196" t="s">
        <v>1047</v>
      </c>
      <c r="Y196">
        <v>0.91</v>
      </c>
      <c r="Z196">
        <v>0.9</v>
      </c>
      <c r="AA196" s="8">
        <v>0.82952045754509462</v>
      </c>
      <c r="AB196" s="8">
        <v>1.036</v>
      </c>
      <c r="AC196" s="8">
        <v>0.97599999999999998</v>
      </c>
      <c r="AE196">
        <v>102643</v>
      </c>
      <c r="AF196" t="s">
        <v>1046</v>
      </c>
      <c r="AG196">
        <v>4061</v>
      </c>
      <c r="AH196">
        <v>4283</v>
      </c>
      <c r="AI196">
        <v>94.8</v>
      </c>
      <c r="AJ196" s="8">
        <f t="shared" si="5"/>
        <v>0.94799999999999995</v>
      </c>
      <c r="AL196">
        <v>102642</v>
      </c>
      <c r="AM196" s="8">
        <f t="shared" si="6"/>
        <v>0.97599999999999998</v>
      </c>
    </row>
    <row r="197" spans="1:39" x14ac:dyDescent="0.25">
      <c r="A197">
        <v>102103</v>
      </c>
      <c r="B197" t="s">
        <v>375</v>
      </c>
      <c r="C197">
        <v>1.1000000000000001</v>
      </c>
      <c r="D197">
        <v>1</v>
      </c>
      <c r="E197">
        <v>1.04</v>
      </c>
      <c r="F197">
        <v>0.97</v>
      </c>
      <c r="G197">
        <v>0.9</v>
      </c>
      <c r="H197">
        <v>0.99</v>
      </c>
      <c r="I197">
        <v>0.95</v>
      </c>
      <c r="J197">
        <v>0.98</v>
      </c>
      <c r="K197">
        <v>1</v>
      </c>
      <c r="L197">
        <v>0.97</v>
      </c>
      <c r="M197">
        <v>0.95</v>
      </c>
      <c r="N197">
        <v>0.92</v>
      </c>
      <c r="O197">
        <v>0.91</v>
      </c>
      <c r="P197">
        <v>0.97</v>
      </c>
      <c r="Q197">
        <v>1.1200000000000001</v>
      </c>
      <c r="R197">
        <v>0.96</v>
      </c>
      <c r="S197">
        <v>1</v>
      </c>
      <c r="T197">
        <v>0.98</v>
      </c>
      <c r="U197">
        <v>0.86</v>
      </c>
      <c r="V197">
        <v>0.9</v>
      </c>
      <c r="W197">
        <v>0.93</v>
      </c>
      <c r="X197">
        <v>0.94</v>
      </c>
      <c r="Y197">
        <v>0.91</v>
      </c>
      <c r="Z197">
        <v>0.87</v>
      </c>
      <c r="AA197" s="8">
        <v>0.81861042183622834</v>
      </c>
      <c r="AB197" s="8">
        <v>0.9840000000000001</v>
      </c>
      <c r="AC197" s="8">
        <v>0.91500000000000004</v>
      </c>
      <c r="AE197">
        <v>102710</v>
      </c>
      <c r="AF197" t="s">
        <v>255</v>
      </c>
      <c r="AG197">
        <v>4511</v>
      </c>
      <c r="AH197">
        <v>4781</v>
      </c>
      <c r="AI197">
        <v>94.3</v>
      </c>
      <c r="AJ197" s="8">
        <f t="shared" ref="AJ197:AJ260" si="7">AI197/100</f>
        <v>0.94299999999999995</v>
      </c>
      <c r="AL197">
        <v>102103</v>
      </c>
      <c r="AM197" s="8">
        <f t="shared" si="6"/>
        <v>0.91500000000000004</v>
      </c>
    </row>
    <row r="198" spans="1:39" x14ac:dyDescent="0.25">
      <c r="A198">
        <v>102104</v>
      </c>
      <c r="B198" t="s">
        <v>244</v>
      </c>
      <c r="C198">
        <v>1.1200000000000001</v>
      </c>
      <c r="D198">
        <v>1.01</v>
      </c>
      <c r="E198">
        <v>1.03</v>
      </c>
      <c r="F198">
        <v>0.97</v>
      </c>
      <c r="G198">
        <v>0.91</v>
      </c>
      <c r="H198">
        <v>0.99</v>
      </c>
      <c r="I198">
        <v>0.94</v>
      </c>
      <c r="J198">
        <v>0.98</v>
      </c>
      <c r="K198">
        <v>0.99</v>
      </c>
      <c r="L198">
        <v>0.96</v>
      </c>
      <c r="M198">
        <v>0.93</v>
      </c>
      <c r="N198">
        <v>0.9</v>
      </c>
      <c r="O198">
        <v>0.9</v>
      </c>
      <c r="P198">
        <v>0.95</v>
      </c>
      <c r="Q198">
        <v>1.1100000000000001</v>
      </c>
      <c r="R198">
        <v>0.93</v>
      </c>
      <c r="S198">
        <v>1.01</v>
      </c>
      <c r="T198">
        <v>0.98</v>
      </c>
      <c r="U198">
        <v>0.87</v>
      </c>
      <c r="V198">
        <v>0.91</v>
      </c>
      <c r="W198">
        <v>0.92</v>
      </c>
      <c r="X198">
        <v>0.93</v>
      </c>
      <c r="Y198">
        <v>0.88</v>
      </c>
      <c r="Z198">
        <v>0.87</v>
      </c>
      <c r="AA198" s="8">
        <v>0.83308859520313261</v>
      </c>
      <c r="AB198" s="8">
        <v>0.99900000000000011</v>
      </c>
      <c r="AC198" s="8">
        <v>0.94</v>
      </c>
      <c r="AE198">
        <v>102642</v>
      </c>
      <c r="AF198" t="s">
        <v>1047</v>
      </c>
      <c r="AG198">
        <v>4235</v>
      </c>
      <c r="AH198">
        <v>4339</v>
      </c>
      <c r="AI198">
        <v>97.6</v>
      </c>
      <c r="AJ198" s="8">
        <f t="shared" si="7"/>
        <v>0.97599999999999998</v>
      </c>
      <c r="AL198">
        <v>102104</v>
      </c>
      <c r="AM198" s="8">
        <f t="shared" si="6"/>
        <v>0.94</v>
      </c>
    </row>
    <row r="199" spans="1:39" x14ac:dyDescent="0.25">
      <c r="A199">
        <v>102214</v>
      </c>
      <c r="B199" t="s">
        <v>256</v>
      </c>
      <c r="C199">
        <v>1.1000000000000001</v>
      </c>
      <c r="D199">
        <v>0.99</v>
      </c>
      <c r="E199">
        <v>1.03</v>
      </c>
      <c r="F199">
        <v>0.96</v>
      </c>
      <c r="G199">
        <v>0.9</v>
      </c>
      <c r="H199">
        <v>1.02</v>
      </c>
      <c r="I199">
        <v>0.96</v>
      </c>
      <c r="J199">
        <v>0.99</v>
      </c>
      <c r="K199">
        <v>0.98</v>
      </c>
      <c r="L199">
        <v>0.95</v>
      </c>
      <c r="M199">
        <v>0.93</v>
      </c>
      <c r="N199">
        <v>0.92</v>
      </c>
      <c r="O199">
        <v>0.91</v>
      </c>
      <c r="P199">
        <v>0.96</v>
      </c>
      <c r="Q199">
        <v>1.1299999999999999</v>
      </c>
      <c r="R199">
        <v>0.91</v>
      </c>
      <c r="S199">
        <v>1</v>
      </c>
      <c r="T199">
        <v>0.98</v>
      </c>
      <c r="U199">
        <v>0.88</v>
      </c>
      <c r="V199">
        <v>0.92</v>
      </c>
      <c r="W199">
        <v>0.95</v>
      </c>
      <c r="X199">
        <v>0.93</v>
      </c>
      <c r="Y199">
        <v>0.9</v>
      </c>
      <c r="Z199">
        <v>0.89</v>
      </c>
      <c r="AA199" s="8">
        <v>0.84041842866681504</v>
      </c>
      <c r="AB199" s="8">
        <v>1.002</v>
      </c>
      <c r="AC199" s="8">
        <v>0.92299999999999993</v>
      </c>
      <c r="AE199">
        <v>102103</v>
      </c>
      <c r="AF199" t="s">
        <v>375</v>
      </c>
      <c r="AG199">
        <v>3399</v>
      </c>
      <c r="AH199">
        <v>3714</v>
      </c>
      <c r="AI199">
        <v>91.5</v>
      </c>
      <c r="AJ199" s="8">
        <f t="shared" si="7"/>
        <v>0.91500000000000004</v>
      </c>
      <c r="AL199">
        <v>102214</v>
      </c>
      <c r="AM199" s="8">
        <f t="shared" si="6"/>
        <v>0.92299999999999993</v>
      </c>
    </row>
    <row r="200" spans="1:39" x14ac:dyDescent="0.25">
      <c r="A200">
        <v>102911</v>
      </c>
      <c r="B200" t="s">
        <v>261</v>
      </c>
      <c r="C200">
        <v>1.03</v>
      </c>
      <c r="D200">
        <v>0.98</v>
      </c>
      <c r="E200">
        <v>1.05</v>
      </c>
      <c r="F200">
        <v>1</v>
      </c>
      <c r="G200">
        <v>0.92</v>
      </c>
      <c r="H200">
        <v>1</v>
      </c>
      <c r="I200">
        <v>0.96</v>
      </c>
      <c r="J200">
        <v>0.95</v>
      </c>
      <c r="K200">
        <v>0.98</v>
      </c>
      <c r="L200">
        <v>0.93</v>
      </c>
      <c r="M200">
        <v>0.92</v>
      </c>
      <c r="N200">
        <v>0.92</v>
      </c>
      <c r="O200">
        <v>0.93</v>
      </c>
      <c r="P200">
        <v>0.96</v>
      </c>
      <c r="Q200">
        <v>1.07</v>
      </c>
      <c r="R200">
        <v>0.89</v>
      </c>
      <c r="S200">
        <v>0.99</v>
      </c>
      <c r="T200">
        <v>0.92</v>
      </c>
      <c r="U200">
        <v>0.9</v>
      </c>
      <c r="V200">
        <v>0.87</v>
      </c>
      <c r="W200">
        <v>0.95</v>
      </c>
      <c r="X200">
        <v>0.96</v>
      </c>
      <c r="Y200">
        <v>0.93</v>
      </c>
      <c r="Z200">
        <v>0.97</v>
      </c>
      <c r="AA200" s="8">
        <v>0.84715284715284711</v>
      </c>
      <c r="AB200" s="8">
        <v>1.016</v>
      </c>
      <c r="AC200" s="8">
        <v>0.95299999999999996</v>
      </c>
      <c r="AE200">
        <v>102104</v>
      </c>
      <c r="AF200" t="s">
        <v>244</v>
      </c>
      <c r="AG200">
        <v>3631</v>
      </c>
      <c r="AH200">
        <v>3864</v>
      </c>
      <c r="AI200">
        <v>94</v>
      </c>
      <c r="AJ200" s="8">
        <f t="shared" si="7"/>
        <v>0.94</v>
      </c>
      <c r="AL200">
        <v>102911</v>
      </c>
      <c r="AM200" s="8">
        <f t="shared" si="6"/>
        <v>0.95299999999999996</v>
      </c>
    </row>
    <row r="201" spans="1:39" x14ac:dyDescent="0.25">
      <c r="A201">
        <v>102635</v>
      </c>
      <c r="B201" t="s">
        <v>55</v>
      </c>
      <c r="Y201">
        <v>0.93</v>
      </c>
      <c r="Z201">
        <v>0.93</v>
      </c>
      <c r="AA201" s="8">
        <v>0.84393536510533851</v>
      </c>
      <c r="AB201" s="8">
        <v>1.0070000000000001</v>
      </c>
      <c r="AC201" s="8">
        <v>0.95299999999999996</v>
      </c>
      <c r="AE201">
        <v>102214</v>
      </c>
      <c r="AF201" t="s">
        <v>256</v>
      </c>
      <c r="AG201">
        <v>4006</v>
      </c>
      <c r="AH201">
        <v>4341</v>
      </c>
      <c r="AI201">
        <v>92.3</v>
      </c>
      <c r="AJ201" s="8">
        <f t="shared" si="7"/>
        <v>0.92299999999999993</v>
      </c>
      <c r="AL201">
        <v>102635</v>
      </c>
      <c r="AM201" s="8">
        <f t="shared" si="6"/>
        <v>0.95299999999999996</v>
      </c>
    </row>
    <row r="202" spans="1:39" x14ac:dyDescent="0.25">
      <c r="A202">
        <v>102137</v>
      </c>
      <c r="B202" t="s">
        <v>183</v>
      </c>
      <c r="Y202">
        <v>0.88</v>
      </c>
      <c r="Z202">
        <v>0.87</v>
      </c>
      <c r="AA202" s="8">
        <v>0.82928642220019821</v>
      </c>
      <c r="AB202" s="8">
        <v>0.99</v>
      </c>
      <c r="AC202" s="8">
        <v>0.92700000000000005</v>
      </c>
      <c r="AE202">
        <v>102911</v>
      </c>
      <c r="AF202" t="s">
        <v>261</v>
      </c>
      <c r="AG202">
        <v>5438</v>
      </c>
      <c r="AH202">
        <v>5709</v>
      </c>
      <c r="AI202">
        <v>95.3</v>
      </c>
      <c r="AJ202" s="8">
        <f t="shared" si="7"/>
        <v>0.95299999999999996</v>
      </c>
      <c r="AL202">
        <v>102137</v>
      </c>
      <c r="AM202" s="8">
        <f t="shared" si="6"/>
        <v>0.92700000000000005</v>
      </c>
    </row>
    <row r="203" spans="1:39" x14ac:dyDescent="0.25">
      <c r="A203">
        <v>102630</v>
      </c>
      <c r="B203" t="s">
        <v>15</v>
      </c>
      <c r="C203">
        <v>1.08</v>
      </c>
      <c r="D203">
        <v>0.97</v>
      </c>
      <c r="E203">
        <v>1.04</v>
      </c>
      <c r="F203">
        <v>0.98</v>
      </c>
      <c r="G203">
        <v>0.93</v>
      </c>
      <c r="H203">
        <v>0.96</v>
      </c>
      <c r="I203">
        <v>0.94</v>
      </c>
      <c r="J203">
        <v>0.97</v>
      </c>
      <c r="K203">
        <v>0.98</v>
      </c>
      <c r="L203">
        <v>0.96</v>
      </c>
      <c r="M203">
        <v>0.91</v>
      </c>
      <c r="N203">
        <v>0.93</v>
      </c>
      <c r="O203">
        <v>0.92</v>
      </c>
      <c r="P203">
        <v>0.97</v>
      </c>
      <c r="Q203">
        <v>1.1299999999999999</v>
      </c>
      <c r="R203">
        <v>0.95</v>
      </c>
      <c r="S203">
        <v>1.01</v>
      </c>
      <c r="T203">
        <v>0.95</v>
      </c>
      <c r="U203">
        <v>0.9</v>
      </c>
      <c r="V203">
        <v>0.9</v>
      </c>
      <c r="W203">
        <v>0.96</v>
      </c>
      <c r="X203">
        <v>0.96</v>
      </c>
      <c r="Y203">
        <v>0.92</v>
      </c>
      <c r="Z203">
        <v>0.94</v>
      </c>
      <c r="AA203" s="8">
        <v>0.83503888661481784</v>
      </c>
      <c r="AB203" s="8">
        <v>0.98799999999999999</v>
      </c>
      <c r="AC203" s="8">
        <v>0.93299999999999994</v>
      </c>
      <c r="AE203">
        <v>102635</v>
      </c>
      <c r="AF203" t="s">
        <v>55</v>
      </c>
      <c r="AG203">
        <v>4506</v>
      </c>
      <c r="AH203">
        <v>4730</v>
      </c>
      <c r="AI203">
        <v>95.3</v>
      </c>
      <c r="AJ203" s="8">
        <f t="shared" si="7"/>
        <v>0.95299999999999996</v>
      </c>
      <c r="AL203">
        <v>102630</v>
      </c>
      <c r="AM203" s="8">
        <f t="shared" si="6"/>
        <v>0.93299999999999994</v>
      </c>
    </row>
    <row r="204" spans="1:39" x14ac:dyDescent="0.25">
      <c r="A204">
        <v>102216</v>
      </c>
      <c r="B204" t="s">
        <v>275</v>
      </c>
      <c r="C204">
        <v>1.1000000000000001</v>
      </c>
      <c r="D204">
        <v>0.99</v>
      </c>
      <c r="E204">
        <v>1.03</v>
      </c>
      <c r="F204">
        <v>0.97</v>
      </c>
      <c r="G204">
        <v>0.91</v>
      </c>
      <c r="H204">
        <v>1.03</v>
      </c>
      <c r="I204">
        <v>0.97</v>
      </c>
      <c r="J204">
        <v>0.99</v>
      </c>
      <c r="K204">
        <v>0.99</v>
      </c>
      <c r="L204">
        <v>0.95</v>
      </c>
      <c r="M204">
        <v>0.93</v>
      </c>
      <c r="N204">
        <v>0.92</v>
      </c>
      <c r="O204">
        <v>0.92</v>
      </c>
      <c r="P204">
        <v>0.98</v>
      </c>
      <c r="Q204">
        <v>1.1399999999999999</v>
      </c>
      <c r="R204">
        <v>0.92</v>
      </c>
      <c r="S204">
        <v>1.01</v>
      </c>
      <c r="T204">
        <v>0.99</v>
      </c>
      <c r="U204">
        <v>0.89</v>
      </c>
      <c r="V204">
        <v>0.93</v>
      </c>
      <c r="W204">
        <v>0.95</v>
      </c>
      <c r="X204">
        <v>0.94</v>
      </c>
      <c r="Y204">
        <v>0.91</v>
      </c>
      <c r="Z204">
        <v>0.9</v>
      </c>
      <c r="AA204" s="8">
        <v>0.8446346280447663</v>
      </c>
      <c r="AB204" s="8">
        <v>1.0049999999999999</v>
      </c>
      <c r="AC204" s="8">
        <v>0.93900000000000006</v>
      </c>
      <c r="AE204">
        <v>102525</v>
      </c>
      <c r="AF204" t="s">
        <v>143</v>
      </c>
      <c r="AG204">
        <v>4126</v>
      </c>
      <c r="AH204">
        <v>4391</v>
      </c>
      <c r="AI204">
        <v>94</v>
      </c>
      <c r="AJ204" s="8">
        <f t="shared" si="7"/>
        <v>0.94</v>
      </c>
      <c r="AL204">
        <v>102216</v>
      </c>
      <c r="AM204" s="8">
        <f t="shared" si="6"/>
        <v>0.93900000000000006</v>
      </c>
    </row>
    <row r="205" spans="1:39" x14ac:dyDescent="0.25">
      <c r="A205">
        <v>102726</v>
      </c>
      <c r="B205" t="s">
        <v>278</v>
      </c>
      <c r="Y205">
        <v>0.93</v>
      </c>
      <c r="Z205">
        <v>0.92</v>
      </c>
      <c r="AA205" s="8">
        <v>0.84180904522613065</v>
      </c>
      <c r="AB205" s="8">
        <v>1.0070000000000001</v>
      </c>
      <c r="AC205" s="8">
        <v>0.95499999999999996</v>
      </c>
      <c r="AE205">
        <v>102137</v>
      </c>
      <c r="AF205" t="s">
        <v>183</v>
      </c>
      <c r="AG205">
        <v>3515</v>
      </c>
      <c r="AH205">
        <v>3793</v>
      </c>
      <c r="AI205">
        <v>92.7</v>
      </c>
      <c r="AJ205" s="8">
        <f t="shared" si="7"/>
        <v>0.92700000000000005</v>
      </c>
      <c r="AL205">
        <v>102726</v>
      </c>
      <c r="AM205" s="8">
        <f t="shared" si="6"/>
        <v>0.95499999999999996</v>
      </c>
    </row>
    <row r="206" spans="1:39" x14ac:dyDescent="0.25">
      <c r="A206">
        <v>102812</v>
      </c>
      <c r="B206" t="s">
        <v>49</v>
      </c>
      <c r="C206">
        <v>1.07</v>
      </c>
      <c r="D206">
        <v>0.96</v>
      </c>
      <c r="E206">
        <v>1.01</v>
      </c>
      <c r="F206">
        <v>1.01</v>
      </c>
      <c r="G206">
        <v>0.93</v>
      </c>
      <c r="H206">
        <v>1.01</v>
      </c>
      <c r="I206">
        <v>0.95</v>
      </c>
      <c r="J206">
        <v>0.97</v>
      </c>
      <c r="K206">
        <v>0.97</v>
      </c>
      <c r="L206">
        <v>0.95</v>
      </c>
      <c r="M206">
        <v>0.91</v>
      </c>
      <c r="N206">
        <v>0.94</v>
      </c>
      <c r="O206">
        <v>0.92</v>
      </c>
      <c r="P206">
        <v>0.99</v>
      </c>
      <c r="Q206">
        <v>1.1100000000000001</v>
      </c>
      <c r="R206">
        <v>0.92</v>
      </c>
      <c r="S206">
        <v>1</v>
      </c>
      <c r="T206">
        <v>0.96</v>
      </c>
      <c r="U206">
        <v>0.91</v>
      </c>
      <c r="V206">
        <v>0.93</v>
      </c>
      <c r="W206">
        <v>0.97</v>
      </c>
      <c r="X206">
        <v>0.96</v>
      </c>
      <c r="Y206">
        <v>0.96</v>
      </c>
      <c r="Z206">
        <v>0.95</v>
      </c>
      <c r="AA206" s="8">
        <v>0.86224665063552042</v>
      </c>
      <c r="AB206" s="8">
        <v>1.0349999999999999</v>
      </c>
      <c r="AC206" s="8">
        <v>0.97599999999999998</v>
      </c>
      <c r="AE206">
        <v>102630</v>
      </c>
      <c r="AF206" t="s">
        <v>15</v>
      </c>
      <c r="AG206">
        <v>4303</v>
      </c>
      <c r="AH206">
        <v>4610</v>
      </c>
      <c r="AI206">
        <v>93.3</v>
      </c>
      <c r="AJ206" s="8">
        <f t="shared" si="7"/>
        <v>0.93299999999999994</v>
      </c>
      <c r="AL206">
        <v>102812</v>
      </c>
      <c r="AM206" s="8">
        <f t="shared" si="6"/>
        <v>0.97599999999999998</v>
      </c>
    </row>
    <row r="207" spans="1:39" x14ac:dyDescent="0.25">
      <c r="A207">
        <v>102628</v>
      </c>
      <c r="B207" t="s">
        <v>280</v>
      </c>
      <c r="C207">
        <v>1.1000000000000001</v>
      </c>
      <c r="D207">
        <v>1.01</v>
      </c>
      <c r="E207">
        <v>1.04</v>
      </c>
      <c r="F207">
        <v>0.94</v>
      </c>
      <c r="G207">
        <v>0.89</v>
      </c>
      <c r="H207">
        <v>0.96</v>
      </c>
      <c r="I207">
        <v>0.93</v>
      </c>
      <c r="J207">
        <v>0.96</v>
      </c>
      <c r="K207">
        <v>0.94</v>
      </c>
      <c r="L207">
        <v>0.92</v>
      </c>
      <c r="M207">
        <v>0.9</v>
      </c>
      <c r="N207">
        <v>0.89</v>
      </c>
      <c r="O207">
        <v>0.86</v>
      </c>
      <c r="P207">
        <v>0.93</v>
      </c>
      <c r="Q207">
        <v>1.0900000000000001</v>
      </c>
      <c r="R207">
        <v>0.87</v>
      </c>
      <c r="S207">
        <v>0.97</v>
      </c>
      <c r="T207">
        <v>0.92</v>
      </c>
      <c r="U207">
        <v>0.88</v>
      </c>
      <c r="V207">
        <v>0.86</v>
      </c>
      <c r="W207">
        <v>0.91</v>
      </c>
      <c r="X207">
        <v>0.9</v>
      </c>
      <c r="Y207">
        <v>0.87</v>
      </c>
      <c r="Z207">
        <v>0.87</v>
      </c>
      <c r="AA207" s="8">
        <v>0.7930807970221152</v>
      </c>
      <c r="AB207" s="8">
        <v>1.022</v>
      </c>
      <c r="AC207" s="8">
        <v>0.95599999999999996</v>
      </c>
      <c r="AE207">
        <v>102237</v>
      </c>
      <c r="AF207" t="s">
        <v>1226</v>
      </c>
      <c r="AG207">
        <v>3591</v>
      </c>
      <c r="AH207">
        <v>3827</v>
      </c>
      <c r="AI207">
        <v>93.8</v>
      </c>
      <c r="AJ207" s="8">
        <f t="shared" si="7"/>
        <v>0.93799999999999994</v>
      </c>
      <c r="AL207">
        <v>102628</v>
      </c>
      <c r="AM207" s="8">
        <f t="shared" si="6"/>
        <v>0.95599999999999996</v>
      </c>
    </row>
    <row r="208" spans="1:39" x14ac:dyDescent="0.25">
      <c r="A208">
        <v>102641</v>
      </c>
      <c r="B208" t="s">
        <v>1048</v>
      </c>
      <c r="Y208">
        <v>0.87</v>
      </c>
      <c r="Z208">
        <v>0.86</v>
      </c>
      <c r="AA208" s="8">
        <v>0.78298991670320039</v>
      </c>
      <c r="AB208" s="8">
        <v>1.012</v>
      </c>
      <c r="AC208" s="8">
        <v>0.94499999999999995</v>
      </c>
      <c r="AE208">
        <v>102216</v>
      </c>
      <c r="AF208" t="s">
        <v>275</v>
      </c>
      <c r="AG208">
        <v>4144</v>
      </c>
      <c r="AH208">
        <v>4413</v>
      </c>
      <c r="AI208">
        <v>93.9</v>
      </c>
      <c r="AJ208" s="8">
        <f t="shared" si="7"/>
        <v>0.93900000000000006</v>
      </c>
      <c r="AL208">
        <v>102641</v>
      </c>
      <c r="AM208" s="8">
        <f t="shared" si="6"/>
        <v>0.94499999999999995</v>
      </c>
    </row>
    <row r="209" spans="1:39" x14ac:dyDescent="0.25">
      <c r="A209">
        <v>102910</v>
      </c>
      <c r="B209" t="s">
        <v>538</v>
      </c>
      <c r="C209">
        <v>1.04</v>
      </c>
      <c r="D209">
        <v>0.97</v>
      </c>
      <c r="E209">
        <v>1.04</v>
      </c>
      <c r="F209">
        <v>1.01</v>
      </c>
      <c r="G209">
        <v>0.94</v>
      </c>
      <c r="H209">
        <v>1.02</v>
      </c>
      <c r="I209">
        <v>0.95</v>
      </c>
      <c r="J209">
        <v>0.96</v>
      </c>
      <c r="K209">
        <v>0.99</v>
      </c>
      <c r="L209">
        <v>0.95</v>
      </c>
      <c r="M209">
        <v>0.92</v>
      </c>
      <c r="N209">
        <v>0.95</v>
      </c>
      <c r="O209">
        <v>0.94</v>
      </c>
      <c r="P209">
        <v>0.97</v>
      </c>
      <c r="Q209">
        <v>1.06</v>
      </c>
      <c r="R209">
        <v>0.9</v>
      </c>
      <c r="S209">
        <v>1.02</v>
      </c>
      <c r="T209">
        <v>0.95</v>
      </c>
      <c r="U209">
        <v>0.91</v>
      </c>
      <c r="V209">
        <v>0.92</v>
      </c>
      <c r="W209">
        <v>0.96</v>
      </c>
      <c r="X209">
        <v>0.97</v>
      </c>
      <c r="Y209">
        <v>0.97</v>
      </c>
      <c r="Z209">
        <v>0.98</v>
      </c>
      <c r="AA209" s="8">
        <v>0.88171724648408589</v>
      </c>
      <c r="AB209" s="8">
        <v>1.024</v>
      </c>
      <c r="AC209" s="8">
        <v>0.96299999999999997</v>
      </c>
      <c r="AE209">
        <v>102726</v>
      </c>
      <c r="AF209" t="s">
        <v>278</v>
      </c>
      <c r="AG209">
        <v>4594</v>
      </c>
      <c r="AH209">
        <v>4810</v>
      </c>
      <c r="AI209">
        <v>95.5</v>
      </c>
      <c r="AJ209" s="8">
        <f t="shared" si="7"/>
        <v>0.95499999999999996</v>
      </c>
      <c r="AL209">
        <v>102910</v>
      </c>
      <c r="AM209" s="8">
        <f t="shared" si="6"/>
        <v>0.96299999999999997</v>
      </c>
    </row>
    <row r="210" spans="1:39" x14ac:dyDescent="0.25">
      <c r="A210">
        <v>102235</v>
      </c>
      <c r="B210" t="s">
        <v>1049</v>
      </c>
      <c r="Y210">
        <v>0.98</v>
      </c>
      <c r="Z210">
        <v>0.95</v>
      </c>
      <c r="AA210" s="8">
        <v>0.89133119288713258</v>
      </c>
      <c r="AB210" s="8">
        <v>1.0290000000000001</v>
      </c>
      <c r="AC210" s="8">
        <v>0.93799999999999994</v>
      </c>
      <c r="AE210">
        <v>102812</v>
      </c>
      <c r="AF210" t="s">
        <v>49</v>
      </c>
      <c r="AG210">
        <v>5561</v>
      </c>
      <c r="AH210">
        <v>5696</v>
      </c>
      <c r="AI210">
        <v>97.6</v>
      </c>
      <c r="AJ210" s="8">
        <f t="shared" si="7"/>
        <v>0.97599999999999998</v>
      </c>
      <c r="AL210">
        <v>102235</v>
      </c>
      <c r="AM210" s="8">
        <f t="shared" si="6"/>
        <v>0.93799999999999994</v>
      </c>
    </row>
    <row r="211" spans="1:39" x14ac:dyDescent="0.25">
      <c r="A211">
        <v>102136</v>
      </c>
      <c r="B211" t="s">
        <v>44</v>
      </c>
      <c r="Y211">
        <v>0.86</v>
      </c>
      <c r="Z211">
        <v>0.84</v>
      </c>
      <c r="AA211" s="8">
        <v>0.80831234256926954</v>
      </c>
      <c r="AB211" s="8">
        <v>0.9890000000000001</v>
      </c>
      <c r="AC211" s="8">
        <v>0.92</v>
      </c>
      <c r="AE211">
        <v>102628</v>
      </c>
      <c r="AF211" t="s">
        <v>280</v>
      </c>
      <c r="AG211">
        <v>4056</v>
      </c>
      <c r="AH211">
        <v>4241</v>
      </c>
      <c r="AI211">
        <v>95.6</v>
      </c>
      <c r="AJ211" s="8">
        <f t="shared" si="7"/>
        <v>0.95599999999999996</v>
      </c>
      <c r="AL211">
        <v>102136</v>
      </c>
      <c r="AM211" s="8">
        <f t="shared" si="6"/>
        <v>0.92</v>
      </c>
    </row>
    <row r="212" spans="1:39" x14ac:dyDescent="0.25">
      <c r="A212">
        <v>102208</v>
      </c>
      <c r="B212" t="s">
        <v>418</v>
      </c>
      <c r="C212">
        <v>1.0900000000000001</v>
      </c>
      <c r="D212">
        <v>0.99</v>
      </c>
      <c r="E212">
        <v>1.02</v>
      </c>
      <c r="F212">
        <v>0.96</v>
      </c>
      <c r="G212">
        <v>0.88</v>
      </c>
      <c r="H212">
        <v>1.02</v>
      </c>
      <c r="I212">
        <v>0.96</v>
      </c>
      <c r="J212">
        <v>0.99</v>
      </c>
      <c r="K212">
        <v>0.98</v>
      </c>
      <c r="L212">
        <v>0.96</v>
      </c>
      <c r="M212">
        <v>0.93</v>
      </c>
      <c r="N212">
        <v>0.93</v>
      </c>
      <c r="O212">
        <v>0.92</v>
      </c>
      <c r="P212">
        <v>0.99</v>
      </c>
      <c r="Q212">
        <v>1.1599999999999999</v>
      </c>
      <c r="R212">
        <v>0.93</v>
      </c>
      <c r="S212">
        <v>1.02</v>
      </c>
      <c r="T212">
        <v>0.99</v>
      </c>
      <c r="U212">
        <v>0.87</v>
      </c>
      <c r="V212">
        <v>0.91</v>
      </c>
      <c r="W212">
        <v>0.97</v>
      </c>
      <c r="X212">
        <v>0.95</v>
      </c>
      <c r="Y212">
        <v>0.93</v>
      </c>
      <c r="Z212">
        <v>0.91</v>
      </c>
      <c r="AA212" s="8">
        <v>0.85731300619342543</v>
      </c>
      <c r="AB212" s="8">
        <v>1.0329999999999999</v>
      </c>
      <c r="AC212" s="8">
        <v>0.94299999999999995</v>
      </c>
      <c r="AE212">
        <v>102641</v>
      </c>
      <c r="AF212" t="s">
        <v>1048</v>
      </c>
      <c r="AG212">
        <v>3961</v>
      </c>
      <c r="AH212">
        <v>4194</v>
      </c>
      <c r="AI212">
        <v>94.5</v>
      </c>
      <c r="AJ212" s="8">
        <f t="shared" si="7"/>
        <v>0.94499999999999995</v>
      </c>
      <c r="AL212">
        <v>102208</v>
      </c>
      <c r="AM212" s="8">
        <f t="shared" si="6"/>
        <v>0.94299999999999995</v>
      </c>
    </row>
    <row r="213" spans="1:39" x14ac:dyDescent="0.25">
      <c r="A213">
        <v>102612</v>
      </c>
      <c r="B213" t="s">
        <v>420</v>
      </c>
      <c r="C213">
        <v>1.0900000000000001</v>
      </c>
      <c r="D213">
        <v>1.01</v>
      </c>
      <c r="E213">
        <v>1.04</v>
      </c>
      <c r="F213">
        <v>0.95</v>
      </c>
      <c r="G213">
        <v>0.91</v>
      </c>
      <c r="H213">
        <v>0.96</v>
      </c>
      <c r="I213">
        <v>0.93</v>
      </c>
      <c r="J213">
        <v>0.97</v>
      </c>
      <c r="K213">
        <v>0.95</v>
      </c>
      <c r="L213">
        <v>0.93</v>
      </c>
      <c r="M213">
        <v>0.9</v>
      </c>
      <c r="N213">
        <v>0.89</v>
      </c>
      <c r="O213">
        <v>0.88</v>
      </c>
      <c r="P213">
        <v>0.93</v>
      </c>
      <c r="Q213">
        <v>1.0900000000000001</v>
      </c>
      <c r="R213">
        <v>0.88</v>
      </c>
      <c r="S213">
        <v>0.96</v>
      </c>
      <c r="T213">
        <v>0.92</v>
      </c>
      <c r="U213">
        <v>0.88</v>
      </c>
      <c r="V213">
        <v>0.85</v>
      </c>
      <c r="W213">
        <v>0.89</v>
      </c>
      <c r="X213">
        <v>0.88</v>
      </c>
      <c r="Y213">
        <v>0.86</v>
      </c>
      <c r="Z213">
        <v>0.85</v>
      </c>
      <c r="AA213" s="8">
        <v>0.77237521514629948</v>
      </c>
      <c r="AB213" s="8">
        <v>1.002</v>
      </c>
      <c r="AC213" s="8">
        <v>0.93799999999999994</v>
      </c>
      <c r="AE213">
        <v>102910</v>
      </c>
      <c r="AF213" t="s">
        <v>538</v>
      </c>
      <c r="AG213">
        <v>6358</v>
      </c>
      <c r="AH213">
        <v>6605</v>
      </c>
      <c r="AI213">
        <v>96.3</v>
      </c>
      <c r="AJ213" s="8">
        <f t="shared" si="7"/>
        <v>0.96299999999999997</v>
      </c>
      <c r="AL213">
        <v>102612</v>
      </c>
      <c r="AM213" s="8">
        <f t="shared" si="6"/>
        <v>0.93799999999999994</v>
      </c>
    </row>
    <row r="214" spans="1:39" x14ac:dyDescent="0.25">
      <c r="A214">
        <v>102613</v>
      </c>
      <c r="B214" t="s">
        <v>444</v>
      </c>
      <c r="C214">
        <v>1.08</v>
      </c>
      <c r="D214">
        <v>1.01</v>
      </c>
      <c r="E214">
        <v>1.04</v>
      </c>
      <c r="F214">
        <v>0.94</v>
      </c>
      <c r="G214">
        <v>0.89</v>
      </c>
      <c r="H214">
        <v>0.96</v>
      </c>
      <c r="I214">
        <v>0.94</v>
      </c>
      <c r="J214">
        <v>0.97</v>
      </c>
      <c r="K214">
        <v>0.95</v>
      </c>
      <c r="L214">
        <v>0.93</v>
      </c>
      <c r="M214">
        <v>0.9</v>
      </c>
      <c r="N214">
        <v>0.88</v>
      </c>
      <c r="O214">
        <v>0.87</v>
      </c>
      <c r="P214">
        <v>0.91</v>
      </c>
      <c r="Q214">
        <v>1.08</v>
      </c>
      <c r="R214">
        <v>0.86</v>
      </c>
      <c r="S214">
        <v>0.95</v>
      </c>
      <c r="T214">
        <v>0.9</v>
      </c>
      <c r="U214">
        <v>0.87</v>
      </c>
      <c r="V214">
        <v>0.84</v>
      </c>
      <c r="W214">
        <v>0.89</v>
      </c>
      <c r="X214">
        <v>0.89</v>
      </c>
      <c r="Y214">
        <v>0.86</v>
      </c>
      <c r="Z214">
        <v>0.85</v>
      </c>
      <c r="AA214" s="8">
        <v>0.776278563656148</v>
      </c>
      <c r="AB214" s="8">
        <v>1.012</v>
      </c>
      <c r="AC214" s="8">
        <v>0.94400000000000006</v>
      </c>
      <c r="AE214">
        <v>102136</v>
      </c>
      <c r="AF214" t="s">
        <v>44</v>
      </c>
      <c r="AG214">
        <v>3396</v>
      </c>
      <c r="AH214">
        <v>3693</v>
      </c>
      <c r="AI214">
        <v>92</v>
      </c>
      <c r="AJ214" s="8">
        <f t="shared" si="7"/>
        <v>0.92</v>
      </c>
      <c r="AL214">
        <v>102613</v>
      </c>
      <c r="AM214" s="8">
        <f t="shared" si="6"/>
        <v>0.94400000000000006</v>
      </c>
    </row>
    <row r="215" spans="1:39" x14ac:dyDescent="0.25">
      <c r="A215">
        <v>102534</v>
      </c>
      <c r="B215" t="s">
        <v>247</v>
      </c>
      <c r="Y215">
        <v>0.92</v>
      </c>
      <c r="Z215">
        <v>0.92</v>
      </c>
      <c r="AA215" s="8">
        <v>0.84714813295034874</v>
      </c>
      <c r="AB215" s="8">
        <v>1.016</v>
      </c>
      <c r="AC215" s="8">
        <v>0.95099999999999996</v>
      </c>
      <c r="AE215">
        <v>102208</v>
      </c>
      <c r="AF215" t="s">
        <v>418</v>
      </c>
      <c r="AG215">
        <v>3787</v>
      </c>
      <c r="AH215">
        <v>4014</v>
      </c>
      <c r="AI215">
        <v>94.3</v>
      </c>
      <c r="AJ215" s="8">
        <f t="shared" si="7"/>
        <v>0.94299999999999995</v>
      </c>
      <c r="AL215">
        <v>102534</v>
      </c>
      <c r="AM215" s="8">
        <f t="shared" si="6"/>
        <v>0.95099999999999996</v>
      </c>
    </row>
    <row r="216" spans="1:39" x14ac:dyDescent="0.25">
      <c r="A216">
        <v>102808</v>
      </c>
      <c r="B216" t="s">
        <v>532</v>
      </c>
      <c r="C216">
        <v>1.04</v>
      </c>
      <c r="D216">
        <v>1.02</v>
      </c>
      <c r="E216">
        <v>1.02</v>
      </c>
      <c r="F216">
        <v>0.99</v>
      </c>
      <c r="G216">
        <v>0.99</v>
      </c>
      <c r="H216">
        <v>1.02</v>
      </c>
      <c r="I216">
        <v>0.95</v>
      </c>
      <c r="J216">
        <v>0.97</v>
      </c>
      <c r="K216">
        <v>0.95</v>
      </c>
      <c r="L216">
        <v>0.93</v>
      </c>
      <c r="M216">
        <v>0.9</v>
      </c>
      <c r="N216">
        <v>0.94</v>
      </c>
      <c r="O216">
        <v>0.93</v>
      </c>
      <c r="P216">
        <v>0.96</v>
      </c>
      <c r="Q216">
        <v>1.1000000000000001</v>
      </c>
      <c r="R216">
        <v>0.91</v>
      </c>
      <c r="S216">
        <v>1.03</v>
      </c>
      <c r="T216">
        <v>0.96</v>
      </c>
      <c r="U216">
        <v>0.91</v>
      </c>
      <c r="V216">
        <v>0.92</v>
      </c>
      <c r="W216">
        <v>0.97</v>
      </c>
      <c r="X216">
        <v>1</v>
      </c>
      <c r="Y216">
        <v>0.97</v>
      </c>
      <c r="Z216">
        <v>0.99</v>
      </c>
      <c r="AA216" s="8">
        <v>0.95089421036677779</v>
      </c>
      <c r="AB216" s="8">
        <v>1.038</v>
      </c>
      <c r="AC216" s="8">
        <v>0.9890000000000001</v>
      </c>
      <c r="AE216">
        <v>102612</v>
      </c>
      <c r="AF216" t="s">
        <v>420</v>
      </c>
      <c r="AG216">
        <v>3990</v>
      </c>
      <c r="AH216">
        <v>4253</v>
      </c>
      <c r="AI216">
        <v>93.8</v>
      </c>
      <c r="AJ216" s="8">
        <f t="shared" si="7"/>
        <v>0.93799999999999994</v>
      </c>
      <c r="AL216">
        <v>102808</v>
      </c>
      <c r="AM216" s="8">
        <f t="shared" si="6"/>
        <v>0.9890000000000001</v>
      </c>
    </row>
    <row r="217" spans="1:39" x14ac:dyDescent="0.25">
      <c r="A217">
        <v>102909</v>
      </c>
      <c r="B217" t="s">
        <v>272</v>
      </c>
      <c r="C217">
        <v>1.04</v>
      </c>
      <c r="D217">
        <v>0.97</v>
      </c>
      <c r="E217">
        <v>1.04</v>
      </c>
      <c r="F217">
        <v>1</v>
      </c>
      <c r="G217">
        <v>0.95</v>
      </c>
      <c r="H217">
        <v>1.02</v>
      </c>
      <c r="I217">
        <v>0.95</v>
      </c>
      <c r="J217">
        <v>0.97</v>
      </c>
      <c r="K217">
        <v>0.99</v>
      </c>
      <c r="L217">
        <v>0.95</v>
      </c>
      <c r="M217">
        <v>0.93</v>
      </c>
      <c r="N217">
        <v>0.96</v>
      </c>
      <c r="O217">
        <v>0.95</v>
      </c>
      <c r="P217">
        <v>0.98</v>
      </c>
      <c r="Q217">
        <v>1.08</v>
      </c>
      <c r="R217">
        <v>0.9</v>
      </c>
      <c r="S217">
        <v>1.02</v>
      </c>
      <c r="T217">
        <v>0.94</v>
      </c>
      <c r="U217">
        <v>0.9</v>
      </c>
      <c r="V217">
        <v>0.92</v>
      </c>
      <c r="W217">
        <v>0.95</v>
      </c>
      <c r="X217">
        <v>0.97</v>
      </c>
      <c r="Y217">
        <v>0.96</v>
      </c>
      <c r="Z217">
        <v>0.97</v>
      </c>
      <c r="AA217" s="8">
        <v>0.88189331329827203</v>
      </c>
      <c r="AB217" s="8">
        <v>1.0190000000000001</v>
      </c>
      <c r="AC217" s="8">
        <v>0.96200000000000008</v>
      </c>
      <c r="AE217">
        <v>102613</v>
      </c>
      <c r="AF217" t="s">
        <v>444</v>
      </c>
      <c r="AG217">
        <v>3954</v>
      </c>
      <c r="AH217">
        <v>4189</v>
      </c>
      <c r="AI217">
        <v>94.4</v>
      </c>
      <c r="AJ217" s="8">
        <f t="shared" si="7"/>
        <v>0.94400000000000006</v>
      </c>
      <c r="AL217">
        <v>102909</v>
      </c>
      <c r="AM217" s="8">
        <f t="shared" si="6"/>
        <v>0.96200000000000008</v>
      </c>
    </row>
    <row r="218" spans="1:39" x14ac:dyDescent="0.25">
      <c r="A218">
        <v>102416</v>
      </c>
      <c r="B218" t="s">
        <v>285</v>
      </c>
      <c r="C218">
        <v>1.08</v>
      </c>
      <c r="D218">
        <v>0.99</v>
      </c>
      <c r="E218">
        <v>1.03</v>
      </c>
      <c r="F218">
        <v>0.95</v>
      </c>
      <c r="G218">
        <v>0.9</v>
      </c>
      <c r="H218">
        <v>0.99</v>
      </c>
      <c r="I218">
        <v>0.96</v>
      </c>
      <c r="J218">
        <v>0.99</v>
      </c>
      <c r="K218">
        <v>0.98</v>
      </c>
      <c r="L218">
        <v>0.95</v>
      </c>
      <c r="M218">
        <v>0.92</v>
      </c>
      <c r="N218">
        <v>0.91</v>
      </c>
      <c r="O218">
        <v>0.9</v>
      </c>
      <c r="P218">
        <v>0.96</v>
      </c>
      <c r="Q218">
        <v>1.1299999999999999</v>
      </c>
      <c r="R218">
        <v>0.91</v>
      </c>
      <c r="S218">
        <v>0.99</v>
      </c>
      <c r="T218">
        <v>0.96</v>
      </c>
      <c r="U218">
        <v>0.9</v>
      </c>
      <c r="V218">
        <v>0.89</v>
      </c>
      <c r="W218">
        <v>0.95</v>
      </c>
      <c r="X218">
        <v>0.93</v>
      </c>
      <c r="Y218">
        <v>0.91</v>
      </c>
      <c r="Z218">
        <v>0.9</v>
      </c>
      <c r="AA218" s="8">
        <v>0.81300458215142923</v>
      </c>
      <c r="AB218" s="8">
        <v>1.0290000000000001</v>
      </c>
      <c r="AC218" s="8">
        <v>0.95</v>
      </c>
      <c r="AE218">
        <v>102534</v>
      </c>
      <c r="AF218" t="s">
        <v>247</v>
      </c>
      <c r="AG218">
        <v>4524</v>
      </c>
      <c r="AH218">
        <v>4758</v>
      </c>
      <c r="AI218">
        <v>95.1</v>
      </c>
      <c r="AJ218" s="8">
        <f t="shared" si="7"/>
        <v>0.95099999999999996</v>
      </c>
      <c r="AL218">
        <v>102416</v>
      </c>
      <c r="AM218" s="8">
        <f t="shared" si="6"/>
        <v>0.95</v>
      </c>
    </row>
    <row r="219" spans="1:39" x14ac:dyDescent="0.25">
      <c r="A219">
        <v>102221</v>
      </c>
      <c r="B219" t="s">
        <v>512</v>
      </c>
      <c r="C219">
        <v>1.0900000000000001</v>
      </c>
      <c r="D219">
        <v>0.97</v>
      </c>
      <c r="E219">
        <v>1</v>
      </c>
      <c r="F219">
        <v>0.96</v>
      </c>
      <c r="G219">
        <v>0.89</v>
      </c>
      <c r="H219">
        <v>1.05</v>
      </c>
      <c r="I219">
        <v>1</v>
      </c>
      <c r="J219">
        <v>1.01</v>
      </c>
      <c r="K219">
        <v>0.98</v>
      </c>
      <c r="L219">
        <v>0.97</v>
      </c>
      <c r="M219">
        <v>0.93</v>
      </c>
      <c r="N219">
        <v>0.93</v>
      </c>
      <c r="O219">
        <v>0.92</v>
      </c>
      <c r="P219">
        <v>0.98</v>
      </c>
      <c r="Q219">
        <v>1.1599999999999999</v>
      </c>
      <c r="R219">
        <v>0.94</v>
      </c>
      <c r="S219">
        <v>1.02</v>
      </c>
      <c r="T219">
        <v>1</v>
      </c>
      <c r="U219">
        <v>0.88</v>
      </c>
      <c r="V219">
        <v>0.92</v>
      </c>
      <c r="W219">
        <v>0.95</v>
      </c>
      <c r="X219">
        <v>0.94</v>
      </c>
      <c r="Y219">
        <v>0.93</v>
      </c>
      <c r="Z219">
        <v>0.91</v>
      </c>
      <c r="AA219" s="8">
        <v>0.84018583042973283</v>
      </c>
      <c r="AB219" s="8">
        <v>1.004</v>
      </c>
      <c r="AC219" s="8">
        <v>0.92099999999999993</v>
      </c>
      <c r="AE219">
        <v>102808</v>
      </c>
      <c r="AF219" t="s">
        <v>532</v>
      </c>
      <c r="AG219">
        <v>6025</v>
      </c>
      <c r="AH219">
        <v>6092</v>
      </c>
      <c r="AI219">
        <v>98.9</v>
      </c>
      <c r="AJ219" s="8">
        <f t="shared" si="7"/>
        <v>0.9890000000000001</v>
      </c>
      <c r="AL219">
        <v>102221</v>
      </c>
      <c r="AM219" s="8">
        <f t="shared" si="6"/>
        <v>0.92099999999999993</v>
      </c>
    </row>
    <row r="220" spans="1:39" x14ac:dyDescent="0.25">
      <c r="A220">
        <v>102814</v>
      </c>
      <c r="B220" t="s">
        <v>466</v>
      </c>
      <c r="C220">
        <v>1.04</v>
      </c>
      <c r="D220">
        <v>0.96</v>
      </c>
      <c r="E220">
        <v>1.01</v>
      </c>
      <c r="F220">
        <v>0.99</v>
      </c>
      <c r="G220">
        <v>0.94</v>
      </c>
      <c r="H220">
        <v>1</v>
      </c>
      <c r="I220">
        <v>0.93</v>
      </c>
      <c r="J220">
        <v>0.97</v>
      </c>
      <c r="K220">
        <v>0.96</v>
      </c>
      <c r="L220">
        <v>0.95</v>
      </c>
      <c r="M220">
        <v>0.92</v>
      </c>
      <c r="N220">
        <v>0.96</v>
      </c>
      <c r="O220">
        <v>0.95</v>
      </c>
      <c r="P220">
        <v>0.99</v>
      </c>
      <c r="Q220">
        <v>1.1000000000000001</v>
      </c>
      <c r="R220">
        <v>0.92</v>
      </c>
      <c r="S220">
        <v>1.01</v>
      </c>
      <c r="T220">
        <v>0.95</v>
      </c>
      <c r="U220">
        <v>0.92</v>
      </c>
      <c r="V220">
        <v>0.93</v>
      </c>
      <c r="W220">
        <v>0.97</v>
      </c>
      <c r="X220">
        <v>0.97</v>
      </c>
      <c r="Y220">
        <v>0.97</v>
      </c>
      <c r="Z220">
        <v>0.96</v>
      </c>
      <c r="AA220" s="8">
        <v>0.88776343734683871</v>
      </c>
      <c r="AB220" s="8">
        <v>1.022</v>
      </c>
      <c r="AC220" s="8">
        <v>0.97199999999999998</v>
      </c>
      <c r="AE220">
        <v>102909</v>
      </c>
      <c r="AF220" t="s">
        <v>272</v>
      </c>
      <c r="AG220">
        <v>6208</v>
      </c>
      <c r="AH220">
        <v>6454</v>
      </c>
      <c r="AI220">
        <v>96.2</v>
      </c>
      <c r="AJ220" s="8">
        <f t="shared" si="7"/>
        <v>0.96200000000000008</v>
      </c>
      <c r="AL220">
        <v>102814</v>
      </c>
      <c r="AM220" s="8">
        <f t="shared" si="6"/>
        <v>0.97199999999999998</v>
      </c>
    </row>
    <row r="221" spans="1:39" x14ac:dyDescent="0.25">
      <c r="A221">
        <v>102640</v>
      </c>
      <c r="B221" t="s">
        <v>1050</v>
      </c>
      <c r="Y221">
        <v>0.87</v>
      </c>
      <c r="Z221">
        <v>0.87</v>
      </c>
      <c r="AA221" s="8">
        <v>0.78651438611904234</v>
      </c>
      <c r="AB221" s="8">
        <v>1.0129999999999999</v>
      </c>
      <c r="AC221" s="8">
        <v>0.94499999999999995</v>
      </c>
      <c r="AE221">
        <v>102416</v>
      </c>
      <c r="AF221" t="s">
        <v>285</v>
      </c>
      <c r="AG221">
        <v>4146</v>
      </c>
      <c r="AH221">
        <v>4367</v>
      </c>
      <c r="AI221">
        <v>95</v>
      </c>
      <c r="AJ221" s="8">
        <f t="shared" si="7"/>
        <v>0.95</v>
      </c>
      <c r="AL221">
        <v>102640</v>
      </c>
      <c r="AM221" s="8">
        <f t="shared" si="6"/>
        <v>0.94499999999999995</v>
      </c>
    </row>
    <row r="222" spans="1:39" x14ac:dyDescent="0.25">
      <c r="A222">
        <v>102805</v>
      </c>
      <c r="B222" t="s">
        <v>288</v>
      </c>
      <c r="C222">
        <v>1.07</v>
      </c>
      <c r="D222">
        <v>0.95</v>
      </c>
      <c r="E222">
        <v>1.02</v>
      </c>
      <c r="F222">
        <v>1</v>
      </c>
      <c r="G222">
        <v>0.93</v>
      </c>
      <c r="H222">
        <v>0.99</v>
      </c>
      <c r="I222">
        <v>0.94</v>
      </c>
      <c r="J222">
        <v>0.95</v>
      </c>
      <c r="K222">
        <v>0.94</v>
      </c>
      <c r="L222">
        <v>0.94</v>
      </c>
      <c r="M222">
        <v>0.9</v>
      </c>
      <c r="N222">
        <v>0.91</v>
      </c>
      <c r="O222">
        <v>0.91</v>
      </c>
      <c r="P222">
        <v>0.96</v>
      </c>
      <c r="Q222">
        <v>1.0900000000000001</v>
      </c>
      <c r="R222">
        <v>0.89</v>
      </c>
      <c r="S222">
        <v>0.98</v>
      </c>
      <c r="T222">
        <v>0.93</v>
      </c>
      <c r="U222">
        <v>0.88</v>
      </c>
      <c r="V222">
        <v>0.89</v>
      </c>
      <c r="W222">
        <v>0.93</v>
      </c>
      <c r="X222">
        <v>0.93</v>
      </c>
      <c r="Y222">
        <v>0.92</v>
      </c>
      <c r="Z222">
        <v>0.92</v>
      </c>
      <c r="AA222" s="8">
        <v>0.82845034088815184</v>
      </c>
      <c r="AB222" s="8">
        <v>1.0070000000000001</v>
      </c>
      <c r="AC222" s="8">
        <v>0.96</v>
      </c>
      <c r="AE222">
        <v>102221</v>
      </c>
      <c r="AF222" t="s">
        <v>512</v>
      </c>
      <c r="AG222">
        <v>3789</v>
      </c>
      <c r="AH222">
        <v>4113</v>
      </c>
      <c r="AI222">
        <v>92.1</v>
      </c>
      <c r="AJ222" s="8">
        <f t="shared" si="7"/>
        <v>0.92099999999999993</v>
      </c>
      <c r="AL222">
        <v>102805</v>
      </c>
      <c r="AM222" s="8">
        <f t="shared" si="6"/>
        <v>0.96</v>
      </c>
    </row>
    <row r="223" spans="1:39" x14ac:dyDescent="0.25">
      <c r="A223">
        <v>102504</v>
      </c>
      <c r="B223" t="s">
        <v>236</v>
      </c>
      <c r="C223">
        <v>1.08</v>
      </c>
      <c r="D223">
        <v>0.97</v>
      </c>
      <c r="E223">
        <v>1.01</v>
      </c>
      <c r="F223">
        <v>0.98</v>
      </c>
      <c r="G223">
        <v>0.89</v>
      </c>
      <c r="H223">
        <v>1.01</v>
      </c>
      <c r="I223">
        <v>0.97</v>
      </c>
      <c r="J223">
        <v>0.96</v>
      </c>
      <c r="K223">
        <v>0.96</v>
      </c>
      <c r="L223">
        <v>0.92</v>
      </c>
      <c r="M223">
        <v>0.91</v>
      </c>
      <c r="N223">
        <v>0.92</v>
      </c>
      <c r="O223">
        <v>0.9</v>
      </c>
      <c r="P223">
        <v>0.96</v>
      </c>
      <c r="Q223">
        <v>1.1299999999999999</v>
      </c>
      <c r="R223">
        <v>0.91</v>
      </c>
      <c r="S223">
        <v>0.99</v>
      </c>
      <c r="T223">
        <v>0.96</v>
      </c>
      <c r="U223">
        <v>0.88</v>
      </c>
      <c r="V223">
        <v>0.9</v>
      </c>
      <c r="W223">
        <v>0.94</v>
      </c>
      <c r="X223">
        <v>0.95</v>
      </c>
      <c r="Y223">
        <v>0.91</v>
      </c>
      <c r="Z223">
        <v>0.92</v>
      </c>
      <c r="AA223" s="8">
        <v>0.82998795664391811</v>
      </c>
      <c r="AB223" s="8">
        <v>1.004</v>
      </c>
      <c r="AC223" s="8">
        <v>0.94099999999999995</v>
      </c>
      <c r="AE223">
        <v>102814</v>
      </c>
      <c r="AF223" t="s">
        <v>466</v>
      </c>
      <c r="AG223">
        <v>5791</v>
      </c>
      <c r="AH223">
        <v>5959</v>
      </c>
      <c r="AI223">
        <v>97.2</v>
      </c>
      <c r="AJ223" s="8">
        <f t="shared" si="7"/>
        <v>0.97199999999999998</v>
      </c>
      <c r="AL223">
        <v>102504</v>
      </c>
      <c r="AM223" s="8">
        <f t="shared" si="6"/>
        <v>0.94099999999999995</v>
      </c>
    </row>
    <row r="224" spans="1:39" x14ac:dyDescent="0.25">
      <c r="A224">
        <v>102636</v>
      </c>
      <c r="B224" t="s">
        <v>296</v>
      </c>
      <c r="Y224">
        <v>0.92</v>
      </c>
      <c r="Z224">
        <v>0.92</v>
      </c>
      <c r="AA224" s="8">
        <v>0.82537688442211055</v>
      </c>
      <c r="AB224" s="8">
        <v>1.012</v>
      </c>
      <c r="AC224" s="8">
        <v>0.95</v>
      </c>
      <c r="AE224">
        <v>102640</v>
      </c>
      <c r="AF224" t="s">
        <v>1050</v>
      </c>
      <c r="AG224">
        <v>3971</v>
      </c>
      <c r="AH224">
        <v>4203</v>
      </c>
      <c r="AI224">
        <v>94.5</v>
      </c>
      <c r="AJ224" s="8">
        <f t="shared" si="7"/>
        <v>0.94499999999999995</v>
      </c>
      <c r="AL224">
        <v>102636</v>
      </c>
      <c r="AM224" s="8">
        <f t="shared" si="6"/>
        <v>0.95</v>
      </c>
    </row>
    <row r="225" spans="1:39" x14ac:dyDescent="0.25">
      <c r="A225">
        <v>102126</v>
      </c>
      <c r="B225" t="s">
        <v>42</v>
      </c>
      <c r="C225">
        <v>1.1100000000000001</v>
      </c>
      <c r="D225">
        <v>1.01</v>
      </c>
      <c r="E225">
        <v>1.01</v>
      </c>
      <c r="F225">
        <v>0.96</v>
      </c>
      <c r="G225">
        <v>0.91</v>
      </c>
      <c r="H225">
        <v>0.98</v>
      </c>
      <c r="I225">
        <v>0.93</v>
      </c>
      <c r="J225">
        <v>0.97</v>
      </c>
      <c r="K225">
        <v>0.98</v>
      </c>
      <c r="L225">
        <v>0.95</v>
      </c>
      <c r="M225">
        <v>0.92</v>
      </c>
      <c r="N225">
        <v>0.88</v>
      </c>
      <c r="O225">
        <v>0.89</v>
      </c>
      <c r="P225">
        <v>0.94</v>
      </c>
      <c r="Q225">
        <v>1.1100000000000001</v>
      </c>
      <c r="R225">
        <v>0.92</v>
      </c>
      <c r="S225">
        <v>0.99</v>
      </c>
      <c r="T225">
        <v>0.96</v>
      </c>
      <c r="U225">
        <v>0.85</v>
      </c>
      <c r="V225">
        <v>0.9</v>
      </c>
      <c r="W225">
        <v>0.93</v>
      </c>
      <c r="X225">
        <v>0.92</v>
      </c>
      <c r="Y225">
        <v>0.87</v>
      </c>
      <c r="Z225">
        <v>0.85</v>
      </c>
      <c r="AA225" s="8">
        <v>0.82139328063241102</v>
      </c>
      <c r="AB225" s="8">
        <v>1</v>
      </c>
      <c r="AC225" s="8">
        <v>0.93200000000000005</v>
      </c>
      <c r="AE225">
        <v>102805</v>
      </c>
      <c r="AF225" t="s">
        <v>288</v>
      </c>
      <c r="AG225">
        <v>4941</v>
      </c>
      <c r="AH225">
        <v>5150</v>
      </c>
      <c r="AI225">
        <v>96</v>
      </c>
      <c r="AJ225" s="8">
        <f t="shared" si="7"/>
        <v>0.96</v>
      </c>
      <c r="AL225">
        <v>102126</v>
      </c>
      <c r="AM225" s="8">
        <f t="shared" si="6"/>
        <v>0.93200000000000005</v>
      </c>
    </row>
    <row r="226" spans="1:39" x14ac:dyDescent="0.25">
      <c r="A226">
        <v>102122</v>
      </c>
      <c r="B226" t="s">
        <v>460</v>
      </c>
      <c r="C226">
        <v>1.1399999999999999</v>
      </c>
      <c r="D226">
        <v>1.02</v>
      </c>
      <c r="E226">
        <v>1.04</v>
      </c>
      <c r="F226">
        <v>0.97</v>
      </c>
      <c r="G226">
        <v>0.92</v>
      </c>
      <c r="H226">
        <v>0.98</v>
      </c>
      <c r="I226">
        <v>0.94</v>
      </c>
      <c r="J226">
        <v>0.96</v>
      </c>
      <c r="K226">
        <v>0.96</v>
      </c>
      <c r="L226">
        <v>0.94</v>
      </c>
      <c r="M226">
        <v>0.92</v>
      </c>
      <c r="N226">
        <v>0.88</v>
      </c>
      <c r="O226">
        <v>0.89</v>
      </c>
      <c r="P226">
        <v>0.94</v>
      </c>
      <c r="Q226">
        <v>1.1000000000000001</v>
      </c>
      <c r="R226">
        <v>0.92</v>
      </c>
      <c r="S226">
        <v>0.98</v>
      </c>
      <c r="T226">
        <v>0.97</v>
      </c>
      <c r="U226">
        <v>0.85</v>
      </c>
      <c r="V226">
        <v>0.9</v>
      </c>
      <c r="W226">
        <v>0.92</v>
      </c>
      <c r="X226">
        <v>0.92</v>
      </c>
      <c r="Y226">
        <v>0.87</v>
      </c>
      <c r="Z226">
        <v>0.85</v>
      </c>
      <c r="AA226" s="8">
        <v>0.81718006511394936</v>
      </c>
      <c r="AB226" s="8">
        <v>0.98799999999999999</v>
      </c>
      <c r="AC226" s="8">
        <v>0.92200000000000004</v>
      </c>
      <c r="AE226">
        <v>102504</v>
      </c>
      <c r="AF226" t="s">
        <v>236</v>
      </c>
      <c r="AG226">
        <v>4526</v>
      </c>
      <c r="AH226">
        <v>4807</v>
      </c>
      <c r="AI226">
        <v>94.1</v>
      </c>
      <c r="AJ226" s="8">
        <f t="shared" si="7"/>
        <v>0.94099999999999995</v>
      </c>
      <c r="AL226">
        <v>102122</v>
      </c>
      <c r="AM226" s="8">
        <f t="shared" si="6"/>
        <v>0.92200000000000004</v>
      </c>
    </row>
    <row r="227" spans="1:39" x14ac:dyDescent="0.25">
      <c r="A227">
        <v>102802</v>
      </c>
      <c r="B227" t="s">
        <v>48</v>
      </c>
      <c r="C227">
        <v>1.07</v>
      </c>
      <c r="D227">
        <v>0.95</v>
      </c>
      <c r="E227">
        <v>0.99</v>
      </c>
      <c r="F227">
        <v>0.96</v>
      </c>
      <c r="G227">
        <v>0.92</v>
      </c>
      <c r="H227">
        <v>1.02</v>
      </c>
      <c r="I227">
        <v>0.96</v>
      </c>
      <c r="J227">
        <v>0.95</v>
      </c>
      <c r="K227">
        <v>0.95</v>
      </c>
      <c r="L227">
        <v>0.94</v>
      </c>
      <c r="M227">
        <v>0.91</v>
      </c>
      <c r="N227">
        <v>0.96</v>
      </c>
      <c r="O227">
        <v>0.96</v>
      </c>
      <c r="P227">
        <v>1.01</v>
      </c>
      <c r="Q227">
        <v>1.1399999999999999</v>
      </c>
      <c r="R227">
        <v>0.93</v>
      </c>
      <c r="S227">
        <v>1.03</v>
      </c>
      <c r="T227">
        <v>0.98</v>
      </c>
      <c r="U227">
        <v>0.91</v>
      </c>
      <c r="V227">
        <v>0.94</v>
      </c>
      <c r="W227">
        <v>0.97</v>
      </c>
      <c r="X227">
        <v>0.99</v>
      </c>
      <c r="Y227">
        <v>0.97</v>
      </c>
      <c r="Z227">
        <v>0.96</v>
      </c>
      <c r="AA227" s="8">
        <v>0.8778982485404504</v>
      </c>
      <c r="AB227" s="8">
        <v>1.02</v>
      </c>
      <c r="AC227" s="8">
        <v>0.97</v>
      </c>
      <c r="AE227">
        <v>102636</v>
      </c>
      <c r="AF227" t="s">
        <v>296</v>
      </c>
      <c r="AG227">
        <v>4378</v>
      </c>
      <c r="AH227">
        <v>4610</v>
      </c>
      <c r="AI227">
        <v>95</v>
      </c>
      <c r="AJ227" s="8">
        <f t="shared" si="7"/>
        <v>0.95</v>
      </c>
      <c r="AL227">
        <v>102802</v>
      </c>
      <c r="AM227" s="8">
        <f t="shared" si="6"/>
        <v>0.97</v>
      </c>
    </row>
    <row r="228" spans="1:39" x14ac:dyDescent="0.25">
      <c r="A228">
        <v>102245</v>
      </c>
      <c r="B228" t="s">
        <v>298</v>
      </c>
      <c r="Y228">
        <v>0.91</v>
      </c>
      <c r="Z228">
        <v>0.89</v>
      </c>
      <c r="AA228" s="8">
        <v>0.86759198061246967</v>
      </c>
      <c r="AB228" s="8">
        <v>1.0170000000000001</v>
      </c>
      <c r="AC228" s="8">
        <v>0.94799999999999995</v>
      </c>
      <c r="AE228">
        <v>102126</v>
      </c>
      <c r="AF228" t="s">
        <v>42</v>
      </c>
      <c r="AG228">
        <v>3557</v>
      </c>
      <c r="AH228">
        <v>3818</v>
      </c>
      <c r="AI228">
        <v>93.2</v>
      </c>
      <c r="AJ228" s="8">
        <f t="shared" si="7"/>
        <v>0.93200000000000005</v>
      </c>
      <c r="AL228">
        <v>102245</v>
      </c>
      <c r="AM228" s="8">
        <f t="shared" si="6"/>
        <v>0.94799999999999995</v>
      </c>
    </row>
    <row r="229" spans="1:39" x14ac:dyDescent="0.25">
      <c r="A229">
        <v>102821</v>
      </c>
      <c r="B229" t="s">
        <v>536</v>
      </c>
      <c r="C229">
        <v>1.05</v>
      </c>
      <c r="D229">
        <v>0.96</v>
      </c>
      <c r="E229">
        <v>1</v>
      </c>
      <c r="F229">
        <v>0.98</v>
      </c>
      <c r="G229">
        <v>0.95</v>
      </c>
      <c r="H229">
        <v>1.01</v>
      </c>
      <c r="I229">
        <v>0.95</v>
      </c>
      <c r="J229">
        <v>0.95</v>
      </c>
      <c r="K229">
        <v>0.95</v>
      </c>
      <c r="L229">
        <v>0.94</v>
      </c>
      <c r="M229">
        <v>0.9</v>
      </c>
      <c r="N229">
        <v>0.94</v>
      </c>
      <c r="O229">
        <v>0.94</v>
      </c>
      <c r="P229">
        <v>0.98</v>
      </c>
      <c r="Q229">
        <v>1.1000000000000001</v>
      </c>
      <c r="R229">
        <v>0.9</v>
      </c>
      <c r="S229">
        <v>1.01</v>
      </c>
      <c r="T229">
        <v>0.95</v>
      </c>
      <c r="U229">
        <v>0.9</v>
      </c>
      <c r="V229">
        <v>0.92</v>
      </c>
      <c r="W229">
        <v>0.97</v>
      </c>
      <c r="X229">
        <v>0.98</v>
      </c>
      <c r="Y229">
        <v>0.96</v>
      </c>
      <c r="Z229">
        <v>0.96</v>
      </c>
      <c r="AA229" s="8">
        <v>0.88139534883720927</v>
      </c>
      <c r="AB229" s="8">
        <v>1.04</v>
      </c>
      <c r="AC229" s="8">
        <v>0.97499999999999998</v>
      </c>
      <c r="AE229">
        <v>102122</v>
      </c>
      <c r="AF229" t="s">
        <v>460</v>
      </c>
      <c r="AG229">
        <v>3453</v>
      </c>
      <c r="AH229">
        <v>3744</v>
      </c>
      <c r="AI229">
        <v>92.2</v>
      </c>
      <c r="AJ229" s="8">
        <f t="shared" si="7"/>
        <v>0.92200000000000004</v>
      </c>
      <c r="AL229">
        <v>102821</v>
      </c>
      <c r="AM229" s="8">
        <f t="shared" si="6"/>
        <v>0.97499999999999998</v>
      </c>
    </row>
    <row r="230" spans="1:39" x14ac:dyDescent="0.25">
      <c r="A230">
        <v>102518</v>
      </c>
      <c r="B230" t="s">
        <v>461</v>
      </c>
      <c r="C230">
        <v>1.0900000000000001</v>
      </c>
      <c r="D230">
        <v>0.99</v>
      </c>
      <c r="E230">
        <v>1.03</v>
      </c>
      <c r="F230">
        <v>0.96</v>
      </c>
      <c r="G230">
        <v>0.89</v>
      </c>
      <c r="H230">
        <v>1</v>
      </c>
      <c r="I230">
        <v>0.94</v>
      </c>
      <c r="J230">
        <v>0.98</v>
      </c>
      <c r="K230">
        <v>0.97</v>
      </c>
      <c r="L230">
        <v>0.95</v>
      </c>
      <c r="M230">
        <v>0.92</v>
      </c>
      <c r="N230">
        <v>0.92</v>
      </c>
      <c r="O230">
        <v>0.91</v>
      </c>
      <c r="P230">
        <v>0.97</v>
      </c>
      <c r="Q230">
        <v>1.1399999999999999</v>
      </c>
      <c r="R230">
        <v>0.92</v>
      </c>
      <c r="S230">
        <v>0.99</v>
      </c>
      <c r="T230">
        <v>0.96</v>
      </c>
      <c r="U230">
        <v>0.86</v>
      </c>
      <c r="V230">
        <v>0.9</v>
      </c>
      <c r="W230">
        <v>0.95</v>
      </c>
      <c r="X230">
        <v>0.93</v>
      </c>
      <c r="Y230">
        <v>0.9</v>
      </c>
      <c r="Z230">
        <v>0.89</v>
      </c>
      <c r="AA230" s="8">
        <v>0.83728813559322035</v>
      </c>
      <c r="AB230" s="8">
        <v>1.008</v>
      </c>
      <c r="AC230" s="8">
        <v>0.93</v>
      </c>
      <c r="AE230">
        <v>102802</v>
      </c>
      <c r="AF230" t="s">
        <v>48</v>
      </c>
      <c r="AG230">
        <v>5652</v>
      </c>
      <c r="AH230">
        <v>5825</v>
      </c>
      <c r="AI230">
        <v>97</v>
      </c>
      <c r="AJ230" s="8">
        <f t="shared" si="7"/>
        <v>0.97</v>
      </c>
      <c r="AL230">
        <v>102518</v>
      </c>
      <c r="AM230" s="8">
        <f t="shared" si="6"/>
        <v>0.93</v>
      </c>
    </row>
    <row r="231" spans="1:39" x14ac:dyDescent="0.25">
      <c r="A231">
        <v>102502</v>
      </c>
      <c r="B231" t="s">
        <v>120</v>
      </c>
      <c r="C231">
        <v>1.08</v>
      </c>
      <c r="D231">
        <v>0.97</v>
      </c>
      <c r="E231">
        <v>1.02</v>
      </c>
      <c r="F231">
        <v>0.97</v>
      </c>
      <c r="G231">
        <v>0.9</v>
      </c>
      <c r="H231">
        <v>1.01</v>
      </c>
      <c r="I231">
        <v>0.97</v>
      </c>
      <c r="J231">
        <v>0.97</v>
      </c>
      <c r="K231">
        <v>0.96</v>
      </c>
      <c r="L231">
        <v>0.95</v>
      </c>
      <c r="M231">
        <v>0.93</v>
      </c>
      <c r="N231">
        <v>0.91</v>
      </c>
      <c r="O231">
        <v>0.91</v>
      </c>
      <c r="P231">
        <v>0.97</v>
      </c>
      <c r="Q231">
        <v>1.1499999999999999</v>
      </c>
      <c r="R231">
        <v>0.9</v>
      </c>
      <c r="S231">
        <v>0.98</v>
      </c>
      <c r="T231">
        <v>0.97</v>
      </c>
      <c r="U231">
        <v>0.87</v>
      </c>
      <c r="V231">
        <v>0.88</v>
      </c>
      <c r="W231">
        <v>0.93</v>
      </c>
      <c r="X231">
        <v>0.93</v>
      </c>
      <c r="Y231">
        <v>0.91</v>
      </c>
      <c r="Z231">
        <v>0.9</v>
      </c>
      <c r="AA231" s="8">
        <v>0.81990521327014221</v>
      </c>
      <c r="AB231" s="8">
        <v>1.0009999999999999</v>
      </c>
      <c r="AC231" s="8">
        <v>0.94799999999999995</v>
      </c>
      <c r="AE231">
        <v>102245</v>
      </c>
      <c r="AF231" t="s">
        <v>298</v>
      </c>
      <c r="AG231">
        <v>4208</v>
      </c>
      <c r="AH231">
        <v>4439</v>
      </c>
      <c r="AI231">
        <v>94.8</v>
      </c>
      <c r="AJ231" s="8">
        <f t="shared" si="7"/>
        <v>0.94799999999999995</v>
      </c>
      <c r="AL231">
        <v>102502</v>
      </c>
      <c r="AM231" s="8">
        <f t="shared" si="6"/>
        <v>0.94799999999999995</v>
      </c>
    </row>
    <row r="232" spans="1:39" x14ac:dyDescent="0.25">
      <c r="A232">
        <v>102714</v>
      </c>
      <c r="B232" t="s">
        <v>531</v>
      </c>
      <c r="C232">
        <v>1.0900000000000001</v>
      </c>
      <c r="D232">
        <v>0.99</v>
      </c>
      <c r="E232">
        <v>1.04</v>
      </c>
      <c r="F232">
        <v>1</v>
      </c>
      <c r="G232">
        <v>0.96</v>
      </c>
      <c r="H232">
        <v>1.02</v>
      </c>
      <c r="I232">
        <v>0.97</v>
      </c>
      <c r="J232">
        <v>0.96</v>
      </c>
      <c r="K232">
        <v>0.96</v>
      </c>
      <c r="L232">
        <v>0.94</v>
      </c>
      <c r="M232">
        <v>0.93</v>
      </c>
      <c r="N232">
        <v>0.97</v>
      </c>
      <c r="O232">
        <v>0.97</v>
      </c>
      <c r="P232">
        <v>0.98</v>
      </c>
      <c r="Q232">
        <v>1.1100000000000001</v>
      </c>
      <c r="R232">
        <v>0.94</v>
      </c>
      <c r="S232">
        <v>1.03</v>
      </c>
      <c r="T232">
        <v>1</v>
      </c>
      <c r="U232">
        <v>0.94</v>
      </c>
      <c r="V232">
        <v>0.94</v>
      </c>
      <c r="W232">
        <v>0.96</v>
      </c>
      <c r="X232">
        <v>0.98</v>
      </c>
      <c r="Y232">
        <v>0.93</v>
      </c>
      <c r="Z232">
        <v>0.95</v>
      </c>
      <c r="AA232" s="8">
        <v>0.88174892348459755</v>
      </c>
      <c r="AB232" s="8">
        <v>0.9890000000000001</v>
      </c>
      <c r="AC232" s="8">
        <v>0.95400000000000007</v>
      </c>
      <c r="AE232">
        <v>102821</v>
      </c>
      <c r="AF232" t="s">
        <v>536</v>
      </c>
      <c r="AG232">
        <v>5631</v>
      </c>
      <c r="AH232">
        <v>5777</v>
      </c>
      <c r="AI232">
        <v>97.5</v>
      </c>
      <c r="AJ232" s="8">
        <f t="shared" si="7"/>
        <v>0.97499999999999998</v>
      </c>
      <c r="AL232">
        <v>102714</v>
      </c>
      <c r="AM232" s="8">
        <f t="shared" si="6"/>
        <v>0.95400000000000007</v>
      </c>
    </row>
    <row r="233" spans="1:39" x14ac:dyDescent="0.25">
      <c r="A233">
        <v>102713</v>
      </c>
      <c r="B233" t="s">
        <v>462</v>
      </c>
      <c r="C233">
        <v>1.08</v>
      </c>
      <c r="D233">
        <v>0.96</v>
      </c>
      <c r="E233">
        <v>1</v>
      </c>
      <c r="F233">
        <v>0.96</v>
      </c>
      <c r="G233">
        <v>0.91</v>
      </c>
      <c r="H233">
        <v>1.03</v>
      </c>
      <c r="I233">
        <v>0.99</v>
      </c>
      <c r="J233">
        <v>0.98</v>
      </c>
      <c r="K233">
        <v>0.98</v>
      </c>
      <c r="L233">
        <v>0.96</v>
      </c>
      <c r="M233">
        <v>0.93</v>
      </c>
      <c r="N233">
        <v>0.98</v>
      </c>
      <c r="O233">
        <v>0.96</v>
      </c>
      <c r="P233">
        <v>1</v>
      </c>
      <c r="Q233">
        <v>1.1200000000000001</v>
      </c>
      <c r="R233">
        <v>0.95</v>
      </c>
      <c r="S233">
        <v>1.02</v>
      </c>
      <c r="T233">
        <v>0.99</v>
      </c>
      <c r="U233">
        <v>0.91</v>
      </c>
      <c r="V233">
        <v>0.95</v>
      </c>
      <c r="W233">
        <v>0.98</v>
      </c>
      <c r="X233">
        <v>1.01</v>
      </c>
      <c r="Y233">
        <v>0.96</v>
      </c>
      <c r="Z233">
        <v>0.96</v>
      </c>
      <c r="AA233" s="8">
        <v>0.89088595514553837</v>
      </c>
      <c r="AB233" s="8">
        <v>1.0170000000000001</v>
      </c>
      <c r="AC233" s="8">
        <v>0.98099999999999998</v>
      </c>
      <c r="AE233">
        <v>102518</v>
      </c>
      <c r="AF233" t="s">
        <v>461</v>
      </c>
      <c r="AG233">
        <v>3864</v>
      </c>
      <c r="AH233">
        <v>4157</v>
      </c>
      <c r="AI233">
        <v>93</v>
      </c>
      <c r="AJ233" s="8">
        <f t="shared" si="7"/>
        <v>0.93</v>
      </c>
      <c r="AL233">
        <v>102713</v>
      </c>
      <c r="AM233" s="8">
        <f t="shared" si="6"/>
        <v>0.98099999999999998</v>
      </c>
    </row>
    <row r="234" spans="1:39" x14ac:dyDescent="0.25">
      <c r="A234">
        <v>102703</v>
      </c>
      <c r="B234" t="s">
        <v>144</v>
      </c>
      <c r="C234">
        <v>1.07</v>
      </c>
      <c r="D234">
        <v>0.96</v>
      </c>
      <c r="E234">
        <v>1.02</v>
      </c>
      <c r="F234">
        <v>0.99</v>
      </c>
      <c r="G234">
        <v>0.92</v>
      </c>
      <c r="H234">
        <v>1</v>
      </c>
      <c r="I234">
        <v>0.96</v>
      </c>
      <c r="J234">
        <v>0.96</v>
      </c>
      <c r="K234">
        <v>0.96</v>
      </c>
      <c r="L234">
        <v>0.93</v>
      </c>
      <c r="M234">
        <v>0.92</v>
      </c>
      <c r="N234">
        <v>0.92</v>
      </c>
      <c r="O234">
        <v>0.91</v>
      </c>
      <c r="P234">
        <v>0.96</v>
      </c>
      <c r="Q234">
        <v>1.1100000000000001</v>
      </c>
      <c r="R234">
        <v>0.9</v>
      </c>
      <c r="S234">
        <v>0.99</v>
      </c>
      <c r="T234">
        <v>0.93</v>
      </c>
      <c r="U234">
        <v>0.9</v>
      </c>
      <c r="V234">
        <v>0.91</v>
      </c>
      <c r="W234">
        <v>0.96</v>
      </c>
      <c r="X234">
        <v>0.95</v>
      </c>
      <c r="Y234">
        <v>0.93</v>
      </c>
      <c r="Z234">
        <v>0.93</v>
      </c>
      <c r="AA234" s="8">
        <v>0.8418336971621353</v>
      </c>
      <c r="AB234" s="8">
        <v>1.0009999999999999</v>
      </c>
      <c r="AC234" s="8">
        <v>0.95299999999999996</v>
      </c>
      <c r="AE234">
        <v>102502</v>
      </c>
      <c r="AF234" t="s">
        <v>120</v>
      </c>
      <c r="AG234">
        <v>4187</v>
      </c>
      <c r="AH234">
        <v>4419</v>
      </c>
      <c r="AI234">
        <v>94.8</v>
      </c>
      <c r="AJ234" s="8">
        <f t="shared" si="7"/>
        <v>0.94799999999999995</v>
      </c>
      <c r="AL234">
        <v>102703</v>
      </c>
      <c r="AM234" s="8">
        <f t="shared" si="6"/>
        <v>0.95299999999999996</v>
      </c>
    </row>
    <row r="235" spans="1:39" x14ac:dyDescent="0.25">
      <c r="A235">
        <v>102334</v>
      </c>
      <c r="B235" t="s">
        <v>299</v>
      </c>
      <c r="C235">
        <v>1.1200000000000001</v>
      </c>
      <c r="D235">
        <v>1.02</v>
      </c>
      <c r="E235">
        <v>1.06</v>
      </c>
      <c r="F235">
        <v>0.98</v>
      </c>
      <c r="G235">
        <v>0.93</v>
      </c>
      <c r="H235">
        <v>1.01</v>
      </c>
      <c r="I235">
        <v>0.96</v>
      </c>
      <c r="J235">
        <v>0.98</v>
      </c>
      <c r="K235">
        <v>1</v>
      </c>
      <c r="L235">
        <v>0.97</v>
      </c>
      <c r="M235">
        <v>0.94</v>
      </c>
      <c r="N235">
        <v>0.93</v>
      </c>
      <c r="O235">
        <v>0.93</v>
      </c>
      <c r="P235">
        <v>0.97</v>
      </c>
      <c r="Q235">
        <v>1.1200000000000001</v>
      </c>
      <c r="R235">
        <v>0.93</v>
      </c>
      <c r="S235">
        <v>1.02</v>
      </c>
      <c r="T235">
        <v>1</v>
      </c>
      <c r="U235">
        <v>0.9</v>
      </c>
      <c r="V235">
        <v>0.94</v>
      </c>
      <c r="W235">
        <v>0.96</v>
      </c>
      <c r="X235">
        <v>0.95</v>
      </c>
      <c r="Y235">
        <v>0.9</v>
      </c>
      <c r="Z235">
        <v>0.9</v>
      </c>
      <c r="AA235" s="8">
        <v>0.859142978362325</v>
      </c>
      <c r="AB235" s="8">
        <v>1.0049999999999999</v>
      </c>
      <c r="AC235" s="8">
        <v>0.94499999999999995</v>
      </c>
      <c r="AE235">
        <v>102714</v>
      </c>
      <c r="AF235" t="s">
        <v>531</v>
      </c>
      <c r="AG235">
        <v>5662</v>
      </c>
      <c r="AH235">
        <v>5938</v>
      </c>
      <c r="AI235">
        <v>95.4</v>
      </c>
      <c r="AJ235" s="8">
        <f t="shared" si="7"/>
        <v>0.95400000000000007</v>
      </c>
      <c r="AL235">
        <v>102334</v>
      </c>
      <c r="AM235" s="8">
        <f t="shared" si="6"/>
        <v>0.94499999999999995</v>
      </c>
    </row>
    <row r="236" spans="1:39" x14ac:dyDescent="0.25">
      <c r="A236">
        <v>102719</v>
      </c>
      <c r="B236" t="s">
        <v>301</v>
      </c>
      <c r="C236">
        <v>1.08</v>
      </c>
      <c r="D236">
        <v>0.96</v>
      </c>
      <c r="E236">
        <v>1.01</v>
      </c>
      <c r="F236">
        <v>0.97</v>
      </c>
      <c r="G236">
        <v>0.92</v>
      </c>
      <c r="H236">
        <v>1.01</v>
      </c>
      <c r="I236">
        <v>0.95</v>
      </c>
      <c r="J236">
        <v>0.96</v>
      </c>
      <c r="K236">
        <v>0.96</v>
      </c>
      <c r="L236">
        <v>0.95</v>
      </c>
      <c r="M236">
        <v>0.91</v>
      </c>
      <c r="N236">
        <v>0.91</v>
      </c>
      <c r="O236">
        <v>0.91</v>
      </c>
      <c r="P236">
        <v>0.95</v>
      </c>
      <c r="Q236">
        <v>1.08</v>
      </c>
      <c r="R236">
        <v>0.88</v>
      </c>
      <c r="S236">
        <v>0.97</v>
      </c>
      <c r="T236">
        <v>0.94</v>
      </c>
      <c r="U236">
        <v>0.89</v>
      </c>
      <c r="V236">
        <v>0.89</v>
      </c>
      <c r="W236">
        <v>0.94</v>
      </c>
      <c r="X236">
        <v>0.95</v>
      </c>
      <c r="Y236">
        <v>0.93</v>
      </c>
      <c r="Z236">
        <v>0.94</v>
      </c>
      <c r="AA236" s="8">
        <v>0.81743065119024194</v>
      </c>
      <c r="AB236" s="8">
        <v>0.99099999999999999</v>
      </c>
      <c r="AC236" s="8">
        <v>0.94</v>
      </c>
      <c r="AE236">
        <v>102713</v>
      </c>
      <c r="AF236" t="s">
        <v>462</v>
      </c>
      <c r="AG236">
        <v>6020</v>
      </c>
      <c r="AH236">
        <v>6137</v>
      </c>
      <c r="AI236">
        <v>98.1</v>
      </c>
      <c r="AJ236" s="8">
        <f t="shared" si="7"/>
        <v>0.98099999999999998</v>
      </c>
      <c r="AL236">
        <v>102719</v>
      </c>
      <c r="AM236" s="8">
        <f t="shared" si="6"/>
        <v>0.94</v>
      </c>
    </row>
    <row r="237" spans="1:39" x14ac:dyDescent="0.25">
      <c r="A237">
        <v>102421</v>
      </c>
      <c r="B237" t="s">
        <v>75</v>
      </c>
      <c r="C237">
        <v>1.1100000000000001</v>
      </c>
      <c r="D237">
        <v>1</v>
      </c>
      <c r="E237">
        <v>1.05</v>
      </c>
      <c r="F237">
        <v>0.96</v>
      </c>
      <c r="G237">
        <v>0.9</v>
      </c>
      <c r="H237">
        <v>0.99</v>
      </c>
      <c r="I237">
        <v>0.94</v>
      </c>
      <c r="J237">
        <v>0.96</v>
      </c>
      <c r="K237">
        <v>0.96</v>
      </c>
      <c r="L237">
        <v>0.94</v>
      </c>
      <c r="M237">
        <v>0.91</v>
      </c>
      <c r="N237">
        <v>0.89</v>
      </c>
      <c r="O237">
        <v>0.89</v>
      </c>
      <c r="P237">
        <v>0.95</v>
      </c>
      <c r="Q237">
        <v>1.1200000000000001</v>
      </c>
      <c r="R237">
        <v>0.89</v>
      </c>
      <c r="S237">
        <v>0.98</v>
      </c>
      <c r="T237">
        <v>0.96</v>
      </c>
      <c r="U237">
        <v>0.88</v>
      </c>
      <c r="V237">
        <v>0.88</v>
      </c>
      <c r="W237">
        <v>0.93</v>
      </c>
      <c r="X237">
        <v>0.92</v>
      </c>
      <c r="Y237">
        <v>0.91</v>
      </c>
      <c r="Z237">
        <v>0.88</v>
      </c>
      <c r="AA237" s="8">
        <v>0.80511543684925302</v>
      </c>
      <c r="AB237" s="8">
        <v>1.0149999999999999</v>
      </c>
      <c r="AC237" s="8">
        <v>0.94099999999999995</v>
      </c>
      <c r="AE237">
        <v>102703</v>
      </c>
      <c r="AF237" t="s">
        <v>144</v>
      </c>
      <c r="AG237">
        <v>4631</v>
      </c>
      <c r="AH237">
        <v>4857</v>
      </c>
      <c r="AI237">
        <v>95.3</v>
      </c>
      <c r="AJ237" s="8">
        <f t="shared" si="7"/>
        <v>0.95299999999999996</v>
      </c>
      <c r="AL237">
        <v>102421</v>
      </c>
      <c r="AM237" s="8">
        <f t="shared" si="6"/>
        <v>0.94099999999999995</v>
      </c>
    </row>
    <row r="238" spans="1:39" x14ac:dyDescent="0.25">
      <c r="A238">
        <v>102608</v>
      </c>
      <c r="B238" t="s">
        <v>311</v>
      </c>
      <c r="C238">
        <v>1.1100000000000001</v>
      </c>
      <c r="D238">
        <v>1.01</v>
      </c>
      <c r="E238">
        <v>1.05</v>
      </c>
      <c r="F238">
        <v>0.97</v>
      </c>
      <c r="G238">
        <v>0.92</v>
      </c>
      <c r="H238">
        <v>0.99</v>
      </c>
      <c r="I238">
        <v>0.96</v>
      </c>
      <c r="J238">
        <v>0.98</v>
      </c>
      <c r="K238">
        <v>0.97</v>
      </c>
      <c r="L238">
        <v>0.95</v>
      </c>
      <c r="M238">
        <v>0.91</v>
      </c>
      <c r="N238">
        <v>0.9</v>
      </c>
      <c r="O238">
        <v>0.88</v>
      </c>
      <c r="P238">
        <v>0.95</v>
      </c>
      <c r="Q238">
        <v>1.1100000000000001</v>
      </c>
      <c r="R238">
        <v>0.9</v>
      </c>
      <c r="S238">
        <v>0.99</v>
      </c>
      <c r="T238">
        <v>0.95</v>
      </c>
      <c r="U238">
        <v>0.89</v>
      </c>
      <c r="V238">
        <v>0.88</v>
      </c>
      <c r="W238">
        <v>0.93</v>
      </c>
      <c r="X238">
        <v>0.92</v>
      </c>
      <c r="Y238">
        <v>0.9</v>
      </c>
      <c r="Z238">
        <v>0.89</v>
      </c>
      <c r="AA238" s="8">
        <v>0.8053543998244459</v>
      </c>
      <c r="AB238" s="8">
        <v>1.0109999999999999</v>
      </c>
      <c r="AC238" s="8">
        <v>0.94900000000000007</v>
      </c>
      <c r="AE238">
        <v>102334</v>
      </c>
      <c r="AF238" t="s">
        <v>299</v>
      </c>
      <c r="AG238">
        <v>4311</v>
      </c>
      <c r="AH238">
        <v>4562</v>
      </c>
      <c r="AI238">
        <v>94.5</v>
      </c>
      <c r="AJ238" s="8">
        <f t="shared" si="7"/>
        <v>0.94499999999999995</v>
      </c>
      <c r="AL238">
        <v>102608</v>
      </c>
      <c r="AM238" s="8">
        <f t="shared" si="6"/>
        <v>0.94900000000000007</v>
      </c>
    </row>
    <row r="239" spans="1:39" x14ac:dyDescent="0.25">
      <c r="A239">
        <v>102115</v>
      </c>
      <c r="B239" t="s">
        <v>463</v>
      </c>
      <c r="C239">
        <v>1.0900000000000001</v>
      </c>
      <c r="D239">
        <v>0.99</v>
      </c>
      <c r="E239">
        <v>1.02</v>
      </c>
      <c r="F239">
        <v>0.95</v>
      </c>
      <c r="G239">
        <v>0.89</v>
      </c>
      <c r="H239">
        <v>0.99</v>
      </c>
      <c r="I239">
        <v>0.96</v>
      </c>
      <c r="J239">
        <v>0.99</v>
      </c>
      <c r="K239">
        <v>1</v>
      </c>
      <c r="L239">
        <v>0.99</v>
      </c>
      <c r="M239">
        <v>0.95</v>
      </c>
      <c r="N239">
        <v>0.93</v>
      </c>
      <c r="O239">
        <v>0.93</v>
      </c>
      <c r="P239">
        <v>0.98</v>
      </c>
      <c r="Q239">
        <v>1.1299999999999999</v>
      </c>
      <c r="R239">
        <v>0.95</v>
      </c>
      <c r="S239">
        <v>1.01</v>
      </c>
      <c r="T239">
        <v>0.97</v>
      </c>
      <c r="U239">
        <v>0.88</v>
      </c>
      <c r="V239">
        <v>0.91</v>
      </c>
      <c r="W239">
        <v>0.95</v>
      </c>
      <c r="X239">
        <v>0.95</v>
      </c>
      <c r="Y239">
        <v>0.92</v>
      </c>
      <c r="Z239">
        <v>0.87</v>
      </c>
      <c r="AA239" s="8">
        <v>0.83087345753689812</v>
      </c>
      <c r="AB239" s="8">
        <v>0.998</v>
      </c>
      <c r="AC239" s="8">
        <v>0.91799999999999993</v>
      </c>
      <c r="AE239">
        <v>102719</v>
      </c>
      <c r="AF239" t="s">
        <v>301</v>
      </c>
      <c r="AG239">
        <v>4497</v>
      </c>
      <c r="AH239">
        <v>4785</v>
      </c>
      <c r="AI239">
        <v>94</v>
      </c>
      <c r="AJ239" s="8">
        <f t="shared" si="7"/>
        <v>0.94</v>
      </c>
      <c r="AL239">
        <v>102115</v>
      </c>
      <c r="AM239" s="8">
        <f t="shared" si="6"/>
        <v>0.91799999999999993</v>
      </c>
    </row>
    <row r="240" spans="1:39" x14ac:dyDescent="0.25">
      <c r="A240">
        <v>102247</v>
      </c>
      <c r="B240" t="s">
        <v>865</v>
      </c>
      <c r="Y240">
        <v>0.94</v>
      </c>
      <c r="Z240">
        <v>0.93</v>
      </c>
      <c r="AA240" s="8">
        <v>0.85402999062792873</v>
      </c>
      <c r="AB240" s="8">
        <v>1.02</v>
      </c>
      <c r="AC240" s="8">
        <v>0.93299999999999994</v>
      </c>
      <c r="AE240">
        <v>102421</v>
      </c>
      <c r="AF240" t="s">
        <v>75</v>
      </c>
      <c r="AG240">
        <v>3974</v>
      </c>
      <c r="AH240">
        <v>4225</v>
      </c>
      <c r="AI240">
        <v>94.1</v>
      </c>
      <c r="AJ240" s="8">
        <f t="shared" si="7"/>
        <v>0.94099999999999995</v>
      </c>
      <c r="AL240">
        <v>102247</v>
      </c>
      <c r="AM240" s="8">
        <f t="shared" si="6"/>
        <v>0.93299999999999994</v>
      </c>
    </row>
    <row r="241" spans="1:39" x14ac:dyDescent="0.25">
      <c r="A241">
        <v>102241</v>
      </c>
      <c r="B241" t="s">
        <v>216</v>
      </c>
      <c r="Y241">
        <v>0.9</v>
      </c>
      <c r="Z241">
        <v>0.88</v>
      </c>
      <c r="AA241" s="8">
        <v>0.82382847038019447</v>
      </c>
      <c r="AB241" s="8">
        <v>1.0070000000000001</v>
      </c>
      <c r="AC241" s="8">
        <v>0.94400000000000006</v>
      </c>
      <c r="AE241">
        <v>102608</v>
      </c>
      <c r="AF241" t="s">
        <v>311</v>
      </c>
      <c r="AG241">
        <v>4104</v>
      </c>
      <c r="AH241">
        <v>4324</v>
      </c>
      <c r="AI241">
        <v>94.9</v>
      </c>
      <c r="AJ241" s="8">
        <f t="shared" si="7"/>
        <v>0.94900000000000007</v>
      </c>
      <c r="AL241">
        <v>102241</v>
      </c>
      <c r="AM241" s="8">
        <f t="shared" si="6"/>
        <v>0.94400000000000006</v>
      </c>
    </row>
    <row r="242" spans="1:39" x14ac:dyDescent="0.25">
      <c r="A242">
        <v>102251</v>
      </c>
      <c r="B242" t="s">
        <v>314</v>
      </c>
      <c r="Y242">
        <v>0.92</v>
      </c>
      <c r="Z242">
        <v>0.9</v>
      </c>
      <c r="AA242" s="8">
        <v>0.85520856082113994</v>
      </c>
      <c r="AB242" s="8">
        <v>1.01</v>
      </c>
      <c r="AC242" s="8">
        <v>0.94799999999999995</v>
      </c>
      <c r="AE242">
        <v>102115</v>
      </c>
      <c r="AF242" t="s">
        <v>463</v>
      </c>
      <c r="AG242">
        <v>3534</v>
      </c>
      <c r="AH242">
        <v>3851</v>
      </c>
      <c r="AI242">
        <v>91.8</v>
      </c>
      <c r="AJ242" s="8">
        <f t="shared" si="7"/>
        <v>0.91799999999999993</v>
      </c>
      <c r="AL242">
        <v>102251</v>
      </c>
      <c r="AM242" s="8">
        <f t="shared" si="6"/>
        <v>0.94799999999999995</v>
      </c>
    </row>
    <row r="243" spans="1:39" x14ac:dyDescent="0.25">
      <c r="A243">
        <v>102619</v>
      </c>
      <c r="B243" t="s">
        <v>315</v>
      </c>
      <c r="C243">
        <v>1.0900000000000001</v>
      </c>
      <c r="D243">
        <v>0.98</v>
      </c>
      <c r="E243">
        <v>1.04</v>
      </c>
      <c r="F243">
        <v>0.97</v>
      </c>
      <c r="G243">
        <v>0.93</v>
      </c>
      <c r="H243">
        <v>0.99</v>
      </c>
      <c r="I243">
        <v>0.97</v>
      </c>
      <c r="J243">
        <v>0.98</v>
      </c>
      <c r="K243">
        <v>0.98</v>
      </c>
      <c r="L243">
        <v>0.95</v>
      </c>
      <c r="M243">
        <v>0.92</v>
      </c>
      <c r="N243">
        <v>0.94</v>
      </c>
      <c r="O243">
        <v>0.92</v>
      </c>
      <c r="P243">
        <v>0.96</v>
      </c>
      <c r="Q243">
        <v>1.1200000000000001</v>
      </c>
      <c r="R243">
        <v>0.91</v>
      </c>
      <c r="S243">
        <v>1.01</v>
      </c>
      <c r="T243">
        <v>0.95</v>
      </c>
      <c r="U243">
        <v>0.92</v>
      </c>
      <c r="V243">
        <v>0.92</v>
      </c>
      <c r="W243">
        <v>0.95</v>
      </c>
      <c r="X243">
        <v>0.96</v>
      </c>
      <c r="Y243">
        <v>0.91</v>
      </c>
      <c r="Z243">
        <v>0.93</v>
      </c>
      <c r="AA243" s="8">
        <v>0.83471245345469591</v>
      </c>
      <c r="AB243" s="8">
        <v>0.998</v>
      </c>
      <c r="AC243" s="8">
        <v>0.94900000000000007</v>
      </c>
      <c r="AE243">
        <v>102247</v>
      </c>
      <c r="AF243" t="s">
        <v>426</v>
      </c>
      <c r="AG243">
        <v>3884</v>
      </c>
      <c r="AH243">
        <v>4163</v>
      </c>
      <c r="AI243">
        <v>93.3</v>
      </c>
      <c r="AJ243" s="8">
        <f t="shared" si="7"/>
        <v>0.93299999999999994</v>
      </c>
      <c r="AL243">
        <v>102619</v>
      </c>
      <c r="AM243" s="8">
        <f t="shared" si="6"/>
        <v>0.94900000000000007</v>
      </c>
    </row>
    <row r="244" spans="1:39" x14ac:dyDescent="0.25">
      <c r="A244">
        <v>102822</v>
      </c>
      <c r="B244" t="s">
        <v>54</v>
      </c>
      <c r="Y244">
        <v>0.94</v>
      </c>
      <c r="Z244">
        <v>0.94</v>
      </c>
      <c r="AA244" s="8">
        <v>0.8454762341714076</v>
      </c>
      <c r="AB244" s="8">
        <v>1.0149999999999999</v>
      </c>
      <c r="AC244" s="8">
        <v>0.97699999999999998</v>
      </c>
      <c r="AE244">
        <v>102241</v>
      </c>
      <c r="AF244" t="s">
        <v>216</v>
      </c>
      <c r="AG244">
        <v>4075</v>
      </c>
      <c r="AH244">
        <v>4316</v>
      </c>
      <c r="AI244">
        <v>94.4</v>
      </c>
      <c r="AJ244" s="8">
        <f t="shared" si="7"/>
        <v>0.94400000000000006</v>
      </c>
      <c r="AL244">
        <v>102822</v>
      </c>
      <c r="AM244" s="8">
        <f t="shared" si="6"/>
        <v>0.97699999999999998</v>
      </c>
    </row>
    <row r="245" spans="1:39" x14ac:dyDescent="0.25">
      <c r="A245">
        <v>102305</v>
      </c>
      <c r="B245" t="s">
        <v>464</v>
      </c>
      <c r="C245">
        <v>1.1299999999999999</v>
      </c>
      <c r="D245">
        <v>1.04</v>
      </c>
      <c r="E245">
        <v>1.05</v>
      </c>
      <c r="F245">
        <v>0.99</v>
      </c>
      <c r="G245">
        <v>0.92</v>
      </c>
      <c r="H245">
        <v>1.01</v>
      </c>
      <c r="I245">
        <v>0.96</v>
      </c>
      <c r="J245">
        <v>0.98</v>
      </c>
      <c r="K245">
        <v>1.01</v>
      </c>
      <c r="L245">
        <v>0.98</v>
      </c>
      <c r="M245">
        <v>0.94</v>
      </c>
      <c r="N245">
        <v>0.92</v>
      </c>
      <c r="O245">
        <v>0.93</v>
      </c>
      <c r="P245">
        <v>0.96</v>
      </c>
      <c r="Q245">
        <v>1.1200000000000001</v>
      </c>
      <c r="R245">
        <v>0.93</v>
      </c>
      <c r="S245">
        <v>1.01</v>
      </c>
      <c r="T245">
        <v>0.98</v>
      </c>
      <c r="U245">
        <v>0.88</v>
      </c>
      <c r="V245">
        <v>0.92</v>
      </c>
      <c r="W245">
        <v>0.96</v>
      </c>
      <c r="X245">
        <v>0.94</v>
      </c>
      <c r="Y245">
        <v>0.89</v>
      </c>
      <c r="Z245">
        <v>0.87</v>
      </c>
      <c r="AA245" s="8">
        <v>0.85062429057888767</v>
      </c>
      <c r="AB245" s="8">
        <v>1.006</v>
      </c>
      <c r="AC245" s="8">
        <v>0.94799999999999995</v>
      </c>
      <c r="AE245">
        <v>102251</v>
      </c>
      <c r="AF245" t="s">
        <v>314</v>
      </c>
      <c r="AG245">
        <v>4177</v>
      </c>
      <c r="AH245">
        <v>4406</v>
      </c>
      <c r="AI245">
        <v>94.8</v>
      </c>
      <c r="AJ245" s="8">
        <f t="shared" si="7"/>
        <v>0.94799999999999995</v>
      </c>
      <c r="AL245">
        <v>102305</v>
      </c>
      <c r="AM245" s="8">
        <f t="shared" si="6"/>
        <v>0.94799999999999995</v>
      </c>
    </row>
    <row r="246" spans="1:39" x14ac:dyDescent="0.25">
      <c r="A246">
        <v>102237</v>
      </c>
      <c r="B246" t="s">
        <v>1051</v>
      </c>
      <c r="Y246">
        <v>0.96</v>
      </c>
      <c r="Z246">
        <v>0.93</v>
      </c>
      <c r="AA246" s="8">
        <v>0.88504326328800986</v>
      </c>
      <c r="AB246" s="8">
        <v>1.0249999999999999</v>
      </c>
      <c r="AC246" s="8">
        <v>0.93799999999999994</v>
      </c>
      <c r="AE246">
        <v>102619</v>
      </c>
      <c r="AF246" t="s">
        <v>315</v>
      </c>
      <c r="AG246">
        <v>4436</v>
      </c>
      <c r="AH246">
        <v>4674</v>
      </c>
      <c r="AI246">
        <v>94.9</v>
      </c>
      <c r="AJ246" s="8">
        <f t="shared" si="7"/>
        <v>0.94900000000000007</v>
      </c>
      <c r="AL246">
        <v>102237</v>
      </c>
      <c r="AM246" s="8">
        <f t="shared" si="6"/>
        <v>0.93799999999999994</v>
      </c>
    </row>
    <row r="247" spans="1:39" x14ac:dyDescent="0.25">
      <c r="A247">
        <v>102123</v>
      </c>
      <c r="B247" t="s">
        <v>245</v>
      </c>
      <c r="C247">
        <v>1.1200000000000001</v>
      </c>
      <c r="D247">
        <v>1.01</v>
      </c>
      <c r="E247">
        <v>1.04</v>
      </c>
      <c r="F247">
        <v>0.97</v>
      </c>
      <c r="G247">
        <v>0.92</v>
      </c>
      <c r="H247">
        <v>1</v>
      </c>
      <c r="I247">
        <v>0.96</v>
      </c>
      <c r="J247">
        <v>0.99</v>
      </c>
      <c r="K247">
        <v>0.99</v>
      </c>
      <c r="L247">
        <v>0.97</v>
      </c>
      <c r="M247">
        <v>0.94</v>
      </c>
      <c r="N247">
        <v>0.9</v>
      </c>
      <c r="O247">
        <v>0.91</v>
      </c>
      <c r="P247">
        <v>0.95</v>
      </c>
      <c r="Q247">
        <v>1.1100000000000001</v>
      </c>
      <c r="R247">
        <v>0.94</v>
      </c>
      <c r="S247">
        <v>1</v>
      </c>
      <c r="T247">
        <v>0.98</v>
      </c>
      <c r="U247">
        <v>0.87</v>
      </c>
      <c r="V247">
        <v>0.9</v>
      </c>
      <c r="W247">
        <v>0.93</v>
      </c>
      <c r="X247">
        <v>0.95</v>
      </c>
      <c r="Y247">
        <v>0.9</v>
      </c>
      <c r="Z247">
        <v>0.88</v>
      </c>
      <c r="AA247" s="8">
        <v>0.83750000000000002</v>
      </c>
      <c r="AB247" s="8">
        <v>1</v>
      </c>
      <c r="AC247" s="8">
        <v>0.94099999999999995</v>
      </c>
      <c r="AE247">
        <v>102822</v>
      </c>
      <c r="AF247" t="s">
        <v>54</v>
      </c>
      <c r="AG247">
        <v>5144</v>
      </c>
      <c r="AH247">
        <v>5263</v>
      </c>
      <c r="AI247">
        <v>97.7</v>
      </c>
      <c r="AJ247" s="8">
        <f t="shared" si="7"/>
        <v>0.97699999999999998</v>
      </c>
      <c r="AL247">
        <v>102123</v>
      </c>
      <c r="AM247" s="8">
        <f t="shared" si="6"/>
        <v>0.94099999999999995</v>
      </c>
    </row>
    <row r="248" spans="1:39" x14ac:dyDescent="0.25">
      <c r="A248">
        <v>102505</v>
      </c>
      <c r="B248" t="s">
        <v>130</v>
      </c>
      <c r="C248">
        <v>1.07</v>
      </c>
      <c r="D248">
        <v>0.95</v>
      </c>
      <c r="E248">
        <v>0.99</v>
      </c>
      <c r="F248">
        <v>0.97</v>
      </c>
      <c r="G248">
        <v>0.88</v>
      </c>
      <c r="H248">
        <v>1.04</v>
      </c>
      <c r="I248">
        <v>1</v>
      </c>
      <c r="J248">
        <v>0.98</v>
      </c>
      <c r="K248">
        <v>0.98</v>
      </c>
      <c r="L248">
        <v>0.95</v>
      </c>
      <c r="M248">
        <v>0.93</v>
      </c>
      <c r="N248">
        <v>0.93</v>
      </c>
      <c r="O248">
        <v>0.91</v>
      </c>
      <c r="P248">
        <v>0.97</v>
      </c>
      <c r="Q248">
        <v>1.1299999999999999</v>
      </c>
      <c r="R248">
        <v>0.91</v>
      </c>
      <c r="S248">
        <v>1</v>
      </c>
      <c r="T248">
        <v>0.95</v>
      </c>
      <c r="U248">
        <v>0.87</v>
      </c>
      <c r="V248">
        <v>0.9</v>
      </c>
      <c r="W248">
        <v>0.95</v>
      </c>
      <c r="X248">
        <v>0.96</v>
      </c>
      <c r="Y248">
        <v>0.93</v>
      </c>
      <c r="Z248">
        <v>0.93</v>
      </c>
      <c r="AA248" s="8">
        <v>0.83041510918748773</v>
      </c>
      <c r="AB248" s="8">
        <v>1.0149999999999999</v>
      </c>
      <c r="AC248" s="8">
        <v>0.95</v>
      </c>
      <c r="AE248">
        <v>102305</v>
      </c>
      <c r="AF248" t="s">
        <v>464</v>
      </c>
      <c r="AG248">
        <v>4030</v>
      </c>
      <c r="AH248">
        <v>4249</v>
      </c>
      <c r="AI248">
        <v>94.8</v>
      </c>
      <c r="AJ248" s="8">
        <f t="shared" si="7"/>
        <v>0.94799999999999995</v>
      </c>
      <c r="AL248">
        <v>102505</v>
      </c>
      <c r="AM248" s="8">
        <f t="shared" si="6"/>
        <v>0.95</v>
      </c>
    </row>
    <row r="249" spans="1:39" x14ac:dyDescent="0.25">
      <c r="A249">
        <v>102306</v>
      </c>
      <c r="B249" t="s">
        <v>514</v>
      </c>
      <c r="C249">
        <v>1.1299999999999999</v>
      </c>
      <c r="D249">
        <v>1.02</v>
      </c>
      <c r="E249">
        <v>1.04</v>
      </c>
      <c r="F249">
        <v>0.98</v>
      </c>
      <c r="G249">
        <v>0.9</v>
      </c>
      <c r="H249">
        <v>1</v>
      </c>
      <c r="I249">
        <v>0.96</v>
      </c>
      <c r="J249">
        <v>0.98</v>
      </c>
      <c r="K249">
        <v>0.99</v>
      </c>
      <c r="L249">
        <v>0.98</v>
      </c>
      <c r="M249">
        <v>0.94</v>
      </c>
      <c r="N249">
        <v>0.92</v>
      </c>
      <c r="O249">
        <v>0.91</v>
      </c>
      <c r="P249">
        <v>0.97</v>
      </c>
      <c r="Q249">
        <v>1.1000000000000001</v>
      </c>
      <c r="R249">
        <v>0.92</v>
      </c>
      <c r="S249">
        <v>0.98</v>
      </c>
      <c r="T249">
        <v>0.96</v>
      </c>
      <c r="U249">
        <v>0.87</v>
      </c>
      <c r="V249">
        <v>0.87</v>
      </c>
      <c r="W249">
        <v>0.94</v>
      </c>
      <c r="X249">
        <v>0.93</v>
      </c>
      <c r="Y249">
        <v>0.9</v>
      </c>
      <c r="Z249">
        <v>0.87</v>
      </c>
      <c r="AA249" s="8">
        <v>0.82922155688622756</v>
      </c>
      <c r="AB249" s="8">
        <v>1.02</v>
      </c>
      <c r="AC249" s="8">
        <v>0.95299999999999996</v>
      </c>
      <c r="AE249">
        <v>102123</v>
      </c>
      <c r="AF249" t="s">
        <v>245</v>
      </c>
      <c r="AG249">
        <v>3627</v>
      </c>
      <c r="AH249">
        <v>3854</v>
      </c>
      <c r="AI249">
        <v>94.1</v>
      </c>
      <c r="AJ249" s="8">
        <f t="shared" si="7"/>
        <v>0.94099999999999995</v>
      </c>
      <c r="AL249">
        <v>102306</v>
      </c>
      <c r="AM249" s="8">
        <f t="shared" si="6"/>
        <v>0.95299999999999996</v>
      </c>
    </row>
    <row r="250" spans="1:39" x14ac:dyDescent="0.25">
      <c r="A250">
        <v>102250</v>
      </c>
      <c r="B250" t="s">
        <v>901</v>
      </c>
      <c r="Y250">
        <v>0.91</v>
      </c>
      <c r="Z250">
        <v>0.89</v>
      </c>
      <c r="AA250" s="8">
        <v>0.86779734724940205</v>
      </c>
      <c r="AB250" s="8">
        <v>1.0129999999999999</v>
      </c>
      <c r="AC250" s="8">
        <v>0.95</v>
      </c>
      <c r="AE250">
        <v>102505</v>
      </c>
      <c r="AF250" t="s">
        <v>130</v>
      </c>
      <c r="AG250">
        <v>4695</v>
      </c>
      <c r="AH250">
        <v>4942</v>
      </c>
      <c r="AI250">
        <v>95</v>
      </c>
      <c r="AJ250" s="8">
        <f t="shared" si="7"/>
        <v>0.95</v>
      </c>
      <c r="AL250">
        <v>102250</v>
      </c>
      <c r="AM250" s="8">
        <f t="shared" si="6"/>
        <v>0.95</v>
      </c>
    </row>
    <row r="251" spans="1:39" x14ac:dyDescent="0.25">
      <c r="A251">
        <v>102328</v>
      </c>
      <c r="B251" t="s">
        <v>316</v>
      </c>
      <c r="C251">
        <v>1.1100000000000001</v>
      </c>
      <c r="D251">
        <v>0.99</v>
      </c>
      <c r="E251">
        <v>1.04</v>
      </c>
      <c r="F251">
        <v>0.96</v>
      </c>
      <c r="G251">
        <v>0.9</v>
      </c>
      <c r="H251">
        <v>1.01</v>
      </c>
      <c r="I251">
        <v>0.94</v>
      </c>
      <c r="J251">
        <v>0.97</v>
      </c>
      <c r="K251">
        <v>0.98</v>
      </c>
      <c r="L251">
        <v>0.95</v>
      </c>
      <c r="M251">
        <v>0.92</v>
      </c>
      <c r="N251">
        <v>0.92</v>
      </c>
      <c r="O251">
        <v>0.92</v>
      </c>
      <c r="P251">
        <v>0.98</v>
      </c>
      <c r="Q251">
        <v>1.1299999999999999</v>
      </c>
      <c r="R251">
        <v>0.92</v>
      </c>
      <c r="S251">
        <v>1.01</v>
      </c>
      <c r="T251">
        <v>0.98</v>
      </c>
      <c r="U251">
        <v>0.89</v>
      </c>
      <c r="V251">
        <v>0.91</v>
      </c>
      <c r="W251">
        <v>0.94</v>
      </c>
      <c r="X251">
        <v>0.93</v>
      </c>
      <c r="Y251">
        <v>0.9</v>
      </c>
      <c r="Z251">
        <v>0.88</v>
      </c>
      <c r="AA251" s="8">
        <v>0.82912621359223304</v>
      </c>
      <c r="AB251" s="8">
        <v>1.002</v>
      </c>
      <c r="AC251" s="8">
        <v>0.93599999999999994</v>
      </c>
      <c r="AE251">
        <v>102306</v>
      </c>
      <c r="AF251" t="s">
        <v>514</v>
      </c>
      <c r="AG251">
        <v>3767</v>
      </c>
      <c r="AH251">
        <v>3952</v>
      </c>
      <c r="AI251">
        <v>95.3</v>
      </c>
      <c r="AJ251" s="8">
        <f t="shared" si="7"/>
        <v>0.95299999999999996</v>
      </c>
      <c r="AL251">
        <v>102328</v>
      </c>
      <c r="AM251" s="8">
        <f t="shared" si="6"/>
        <v>0.93599999999999994</v>
      </c>
    </row>
    <row r="252" spans="1:39" x14ac:dyDescent="0.25">
      <c r="A252">
        <v>102101</v>
      </c>
      <c r="B252" t="s">
        <v>317</v>
      </c>
      <c r="C252">
        <v>1.1299999999999999</v>
      </c>
      <c r="D252">
        <v>1.01</v>
      </c>
      <c r="E252">
        <v>1.03</v>
      </c>
      <c r="F252">
        <v>0.96</v>
      </c>
      <c r="G252">
        <v>0.89</v>
      </c>
      <c r="H252">
        <v>0.98</v>
      </c>
      <c r="I252">
        <v>0.93</v>
      </c>
      <c r="J252">
        <v>0.96</v>
      </c>
      <c r="K252">
        <v>0.97</v>
      </c>
      <c r="L252">
        <v>0.95</v>
      </c>
      <c r="M252">
        <v>0.92</v>
      </c>
      <c r="N252">
        <v>0.89</v>
      </c>
      <c r="O252">
        <v>0.9</v>
      </c>
      <c r="P252">
        <v>0.95</v>
      </c>
      <c r="Q252">
        <v>1.1200000000000001</v>
      </c>
      <c r="R252">
        <v>0.95</v>
      </c>
      <c r="S252">
        <v>0.99</v>
      </c>
      <c r="T252">
        <v>0.98</v>
      </c>
      <c r="U252">
        <v>0.86</v>
      </c>
      <c r="V252">
        <v>0.9</v>
      </c>
      <c r="W252">
        <v>0.92</v>
      </c>
      <c r="X252">
        <v>0.94</v>
      </c>
      <c r="Y252">
        <v>0.88</v>
      </c>
      <c r="Z252">
        <v>0.86</v>
      </c>
      <c r="AA252" s="8">
        <v>0.81602223907000249</v>
      </c>
      <c r="AB252" s="8">
        <v>0.98299999999999998</v>
      </c>
      <c r="AC252" s="8">
        <v>0.91400000000000003</v>
      </c>
      <c r="AE252">
        <v>102250</v>
      </c>
      <c r="AF252" t="s">
        <v>901</v>
      </c>
      <c r="AG252">
        <v>4259</v>
      </c>
      <c r="AH252">
        <v>4482</v>
      </c>
      <c r="AI252">
        <v>95</v>
      </c>
      <c r="AJ252" s="8">
        <f t="shared" si="7"/>
        <v>0.95</v>
      </c>
      <c r="AL252">
        <v>102101</v>
      </c>
      <c r="AM252" s="8">
        <f t="shared" si="6"/>
        <v>0.91400000000000003</v>
      </c>
    </row>
    <row r="253" spans="1:39" x14ac:dyDescent="0.25">
      <c r="A253">
        <v>102212</v>
      </c>
      <c r="B253" t="s">
        <v>318</v>
      </c>
      <c r="C253">
        <v>1.1100000000000001</v>
      </c>
      <c r="D253">
        <v>1</v>
      </c>
      <c r="E253">
        <v>1.04</v>
      </c>
      <c r="F253">
        <v>0.98</v>
      </c>
      <c r="G253">
        <v>0.91</v>
      </c>
      <c r="H253">
        <v>1</v>
      </c>
      <c r="I253">
        <v>0.94</v>
      </c>
      <c r="J253">
        <v>0.97</v>
      </c>
      <c r="K253">
        <v>0.96</v>
      </c>
      <c r="L253">
        <v>0.95</v>
      </c>
      <c r="M253">
        <v>0.92</v>
      </c>
      <c r="N253">
        <v>0.91</v>
      </c>
      <c r="O253">
        <v>0.9</v>
      </c>
      <c r="P253">
        <v>0.96</v>
      </c>
      <c r="Q253">
        <v>1.1399999999999999</v>
      </c>
      <c r="R253">
        <v>0.91</v>
      </c>
      <c r="S253">
        <v>0.99</v>
      </c>
      <c r="T253">
        <v>0.96</v>
      </c>
      <c r="U253">
        <v>0.86</v>
      </c>
      <c r="V253">
        <v>0.9</v>
      </c>
      <c r="W253">
        <v>0.95</v>
      </c>
      <c r="X253">
        <v>0.93</v>
      </c>
      <c r="Y253">
        <v>0.91</v>
      </c>
      <c r="Z253">
        <v>0.9</v>
      </c>
      <c r="AA253" s="8">
        <v>0.83576309794988612</v>
      </c>
      <c r="AB253" s="8">
        <v>1.024</v>
      </c>
      <c r="AC253" s="8">
        <v>0.94099999999999995</v>
      </c>
      <c r="AE253">
        <v>102328</v>
      </c>
      <c r="AF253" t="s">
        <v>316</v>
      </c>
      <c r="AG253">
        <v>4147</v>
      </c>
      <c r="AH253">
        <v>4431</v>
      </c>
      <c r="AI253">
        <v>93.6</v>
      </c>
      <c r="AJ253" s="8">
        <f t="shared" si="7"/>
        <v>0.93599999999999994</v>
      </c>
      <c r="AL253">
        <v>102212</v>
      </c>
      <c r="AM253" s="8">
        <f t="shared" si="6"/>
        <v>0.94099999999999995</v>
      </c>
    </row>
    <row r="254" spans="1:39" x14ac:dyDescent="0.25">
      <c r="A254">
        <v>102415</v>
      </c>
      <c r="B254" t="s">
        <v>282</v>
      </c>
      <c r="C254">
        <v>1.1000000000000001</v>
      </c>
      <c r="D254">
        <v>1</v>
      </c>
      <c r="E254">
        <v>1.05</v>
      </c>
      <c r="F254">
        <v>0.96</v>
      </c>
      <c r="G254">
        <v>0.91</v>
      </c>
      <c r="H254">
        <v>1.01</v>
      </c>
      <c r="I254">
        <v>0.97</v>
      </c>
      <c r="J254">
        <v>1</v>
      </c>
      <c r="K254">
        <v>0.99</v>
      </c>
      <c r="L254">
        <v>0.99</v>
      </c>
      <c r="M254">
        <v>0.93</v>
      </c>
      <c r="N254">
        <v>0.93</v>
      </c>
      <c r="O254">
        <v>0.91</v>
      </c>
      <c r="P254">
        <v>0.97</v>
      </c>
      <c r="Q254">
        <v>1.1200000000000001</v>
      </c>
      <c r="R254">
        <v>0.93</v>
      </c>
      <c r="S254">
        <v>1.01</v>
      </c>
      <c r="T254">
        <v>0.97</v>
      </c>
      <c r="U254">
        <v>0.9</v>
      </c>
      <c r="V254">
        <v>0.9</v>
      </c>
      <c r="W254">
        <v>0.95</v>
      </c>
      <c r="X254">
        <v>0.94</v>
      </c>
      <c r="Y254">
        <v>0.92</v>
      </c>
      <c r="Z254">
        <v>0.9</v>
      </c>
      <c r="AA254" s="8">
        <v>0.81780311335233502</v>
      </c>
      <c r="AB254" s="8">
        <v>1.016</v>
      </c>
      <c r="AC254" s="8">
        <v>0.95200000000000007</v>
      </c>
      <c r="AE254">
        <v>102101</v>
      </c>
      <c r="AF254" t="s">
        <v>317</v>
      </c>
      <c r="AG254">
        <v>3315</v>
      </c>
      <c r="AH254">
        <v>3627</v>
      </c>
      <c r="AI254">
        <v>91.4</v>
      </c>
      <c r="AJ254" s="8">
        <f t="shared" si="7"/>
        <v>0.91400000000000003</v>
      </c>
      <c r="AL254">
        <v>102415</v>
      </c>
      <c r="AM254" s="8">
        <f t="shared" si="6"/>
        <v>0.95200000000000007</v>
      </c>
    </row>
    <row r="255" spans="1:39" x14ac:dyDescent="0.25">
      <c r="A255">
        <v>102611</v>
      </c>
      <c r="B255" t="s">
        <v>525</v>
      </c>
      <c r="C255">
        <v>1.0900000000000001</v>
      </c>
      <c r="D255">
        <v>1</v>
      </c>
      <c r="E255">
        <v>1.03</v>
      </c>
      <c r="F255">
        <v>0.95</v>
      </c>
      <c r="G255">
        <v>0.9</v>
      </c>
      <c r="H255">
        <v>0.99</v>
      </c>
      <c r="I255">
        <v>0.96</v>
      </c>
      <c r="J255">
        <v>1</v>
      </c>
      <c r="K255">
        <v>0.98</v>
      </c>
      <c r="L255">
        <v>0.97</v>
      </c>
      <c r="M255">
        <v>0.92</v>
      </c>
      <c r="N255">
        <v>0.9</v>
      </c>
      <c r="O255">
        <v>0.88</v>
      </c>
      <c r="P255">
        <v>0.94</v>
      </c>
      <c r="Q255">
        <v>1.0900000000000001</v>
      </c>
      <c r="R255">
        <v>0.89</v>
      </c>
      <c r="S255">
        <v>0.96</v>
      </c>
      <c r="T255">
        <v>0.92</v>
      </c>
      <c r="U255">
        <v>0.88</v>
      </c>
      <c r="V255">
        <v>0.85</v>
      </c>
      <c r="W255">
        <v>0.92</v>
      </c>
      <c r="X255">
        <v>0.91</v>
      </c>
      <c r="Y255">
        <v>0.89</v>
      </c>
      <c r="Z255">
        <v>0.88</v>
      </c>
      <c r="AA255" s="8">
        <v>0.80043572984749456</v>
      </c>
      <c r="AB255" s="8">
        <v>1.014</v>
      </c>
      <c r="AC255" s="8">
        <v>0.95900000000000007</v>
      </c>
      <c r="AE255">
        <v>102212</v>
      </c>
      <c r="AF255" t="s">
        <v>318</v>
      </c>
      <c r="AG255">
        <v>3946</v>
      </c>
      <c r="AH255">
        <v>4193</v>
      </c>
      <c r="AI255">
        <v>94.1</v>
      </c>
      <c r="AJ255" s="8">
        <f t="shared" si="7"/>
        <v>0.94099999999999995</v>
      </c>
      <c r="AL255">
        <v>102611</v>
      </c>
      <c r="AM255" s="8">
        <f t="shared" si="6"/>
        <v>0.95900000000000007</v>
      </c>
    </row>
    <row r="256" spans="1:39" x14ac:dyDescent="0.25">
      <c r="A256">
        <v>102629</v>
      </c>
      <c r="B256" t="s">
        <v>442</v>
      </c>
      <c r="C256">
        <v>1.0900000000000001</v>
      </c>
      <c r="D256">
        <v>1.01</v>
      </c>
      <c r="E256">
        <v>1.03</v>
      </c>
      <c r="F256">
        <v>0.94</v>
      </c>
      <c r="G256">
        <v>0.89</v>
      </c>
      <c r="H256">
        <v>0.95</v>
      </c>
      <c r="I256">
        <v>0.93</v>
      </c>
      <c r="J256">
        <v>0.95</v>
      </c>
      <c r="K256">
        <v>0.94</v>
      </c>
      <c r="L256">
        <v>0.92</v>
      </c>
      <c r="M256">
        <v>0.89</v>
      </c>
      <c r="N256">
        <v>0.89</v>
      </c>
      <c r="O256">
        <v>0.87</v>
      </c>
      <c r="P256">
        <v>0.93</v>
      </c>
      <c r="Q256">
        <v>1.08</v>
      </c>
      <c r="R256">
        <v>0.88</v>
      </c>
      <c r="S256">
        <v>0.96</v>
      </c>
      <c r="T256">
        <v>0.91</v>
      </c>
      <c r="U256">
        <v>0.87</v>
      </c>
      <c r="V256">
        <v>0.85</v>
      </c>
      <c r="W256">
        <v>0.9</v>
      </c>
      <c r="X256">
        <v>0.9</v>
      </c>
      <c r="Y256">
        <v>0.87</v>
      </c>
      <c r="Z256">
        <v>0.86</v>
      </c>
      <c r="AA256" s="8">
        <v>0.77859142795606284</v>
      </c>
      <c r="AB256" s="8">
        <v>1.018</v>
      </c>
      <c r="AC256" s="8">
        <v>0.95599999999999996</v>
      </c>
      <c r="AE256">
        <v>102415</v>
      </c>
      <c r="AF256" t="s">
        <v>282</v>
      </c>
      <c r="AG256">
        <v>4089</v>
      </c>
      <c r="AH256">
        <v>4295</v>
      </c>
      <c r="AI256">
        <v>95.2</v>
      </c>
      <c r="AJ256" s="8">
        <f t="shared" si="7"/>
        <v>0.95200000000000007</v>
      </c>
      <c r="AL256">
        <v>102629</v>
      </c>
      <c r="AM256" s="8">
        <f t="shared" si="6"/>
        <v>0.95599999999999996</v>
      </c>
    </row>
    <row r="257" spans="1:39" x14ac:dyDescent="0.25">
      <c r="A257">
        <v>102819</v>
      </c>
      <c r="B257" t="s">
        <v>534</v>
      </c>
      <c r="C257">
        <v>1.05</v>
      </c>
      <c r="D257">
        <v>0.99</v>
      </c>
      <c r="E257">
        <v>1.02</v>
      </c>
      <c r="F257">
        <v>0.99</v>
      </c>
      <c r="G257">
        <v>0.97</v>
      </c>
      <c r="H257">
        <v>1.01</v>
      </c>
      <c r="I257">
        <v>0.94</v>
      </c>
      <c r="J257">
        <v>0.94</v>
      </c>
      <c r="K257">
        <v>0.97</v>
      </c>
      <c r="L257">
        <v>0.95</v>
      </c>
      <c r="M257">
        <v>0.92</v>
      </c>
      <c r="N257">
        <v>0.95</v>
      </c>
      <c r="O257">
        <v>0.95</v>
      </c>
      <c r="P257">
        <v>0.99</v>
      </c>
      <c r="Q257">
        <v>1.1000000000000001</v>
      </c>
      <c r="R257">
        <v>0.92</v>
      </c>
      <c r="S257">
        <v>1.03</v>
      </c>
      <c r="T257">
        <v>0.97</v>
      </c>
      <c r="U257">
        <v>0.92</v>
      </c>
      <c r="V257">
        <v>0.95</v>
      </c>
      <c r="W257">
        <v>0.97</v>
      </c>
      <c r="X257">
        <v>1</v>
      </c>
      <c r="Y257">
        <v>0.94</v>
      </c>
      <c r="Z257">
        <v>0.97</v>
      </c>
      <c r="AA257" s="8">
        <v>0.91066768994627778</v>
      </c>
      <c r="AB257" s="8">
        <v>1.0070000000000001</v>
      </c>
      <c r="AC257" s="8">
        <v>0.96299999999999997</v>
      </c>
      <c r="AE257">
        <v>102623</v>
      </c>
      <c r="AF257" t="s">
        <v>1227</v>
      </c>
      <c r="AG257">
        <v>4140</v>
      </c>
      <c r="AH257">
        <v>4375</v>
      </c>
      <c r="AI257">
        <v>94.6</v>
      </c>
      <c r="AJ257" s="8">
        <f t="shared" si="7"/>
        <v>0.94599999999999995</v>
      </c>
      <c r="AL257">
        <v>102819</v>
      </c>
      <c r="AM257" s="8">
        <f t="shared" si="6"/>
        <v>0.96299999999999997</v>
      </c>
    </row>
    <row r="258" spans="1:39" x14ac:dyDescent="0.25">
      <c r="A258">
        <v>102618</v>
      </c>
      <c r="B258" t="s">
        <v>527</v>
      </c>
      <c r="C258">
        <v>1.08</v>
      </c>
      <c r="D258">
        <v>0.97</v>
      </c>
      <c r="E258">
        <v>1.03</v>
      </c>
      <c r="F258">
        <v>0.97</v>
      </c>
      <c r="G258">
        <v>0.91</v>
      </c>
      <c r="H258">
        <v>1</v>
      </c>
      <c r="I258">
        <v>0.98</v>
      </c>
      <c r="J258">
        <v>0.99</v>
      </c>
      <c r="K258">
        <v>1</v>
      </c>
      <c r="L258">
        <v>0.96</v>
      </c>
      <c r="M258">
        <v>0.92</v>
      </c>
      <c r="N258">
        <v>0.93</v>
      </c>
      <c r="O258">
        <v>0.91</v>
      </c>
      <c r="P258">
        <v>0.97</v>
      </c>
      <c r="Q258">
        <v>1.1200000000000001</v>
      </c>
      <c r="R258">
        <v>0.89</v>
      </c>
      <c r="S258">
        <v>1.01</v>
      </c>
      <c r="T258">
        <v>0.95</v>
      </c>
      <c r="U258">
        <v>0.91</v>
      </c>
      <c r="V258">
        <v>0.92</v>
      </c>
      <c r="W258">
        <v>0.96</v>
      </c>
      <c r="X258">
        <v>0.96</v>
      </c>
      <c r="Y258">
        <v>0.92</v>
      </c>
      <c r="Z258">
        <v>0.93</v>
      </c>
      <c r="AA258" s="8">
        <v>0.83582399335823998</v>
      </c>
      <c r="AB258" s="8">
        <v>1.004</v>
      </c>
      <c r="AC258" s="8">
        <v>0.95</v>
      </c>
      <c r="AE258">
        <v>102611</v>
      </c>
      <c r="AF258" t="s">
        <v>525</v>
      </c>
      <c r="AG258">
        <v>4079</v>
      </c>
      <c r="AH258">
        <v>4254</v>
      </c>
      <c r="AI258">
        <v>95.9</v>
      </c>
      <c r="AJ258" s="8">
        <f t="shared" si="7"/>
        <v>0.95900000000000007</v>
      </c>
      <c r="AL258">
        <v>102618</v>
      </c>
      <c r="AM258" s="8">
        <f t="shared" si="6"/>
        <v>0.95</v>
      </c>
    </row>
    <row r="259" spans="1:39" x14ac:dyDescent="0.25">
      <c r="A259">
        <v>102239</v>
      </c>
      <c r="B259" t="s">
        <v>430</v>
      </c>
      <c r="Y259">
        <v>0.9</v>
      </c>
      <c r="Z259">
        <v>0.88</v>
      </c>
      <c r="AA259" s="8">
        <v>0.81562014643887282</v>
      </c>
      <c r="AB259" s="8">
        <v>1.0090000000000001</v>
      </c>
      <c r="AC259" s="8">
        <v>0.94099999999999995</v>
      </c>
      <c r="AE259">
        <v>102629</v>
      </c>
      <c r="AF259" t="s">
        <v>442</v>
      </c>
      <c r="AG259">
        <v>4082</v>
      </c>
      <c r="AH259">
        <v>4267</v>
      </c>
      <c r="AI259">
        <v>95.6</v>
      </c>
      <c r="AJ259" s="8">
        <f t="shared" si="7"/>
        <v>0.95599999999999996</v>
      </c>
      <c r="AL259">
        <v>102239</v>
      </c>
      <c r="AM259" s="8">
        <f t="shared" ref="AM259:AM311" si="8">_xlfn.XLOOKUP(AL259,$AE$5:$AE$314,$AJ$5:$AJ$314)</f>
        <v>0.94099999999999995</v>
      </c>
    </row>
    <row r="260" spans="1:39" x14ac:dyDescent="0.25">
      <c r="A260">
        <v>102210</v>
      </c>
      <c r="B260" t="s">
        <v>320</v>
      </c>
      <c r="C260">
        <v>1.1000000000000001</v>
      </c>
      <c r="D260">
        <v>1</v>
      </c>
      <c r="E260">
        <v>1.03</v>
      </c>
      <c r="F260">
        <v>0.98</v>
      </c>
      <c r="G260">
        <v>0.91</v>
      </c>
      <c r="H260">
        <v>1.03</v>
      </c>
      <c r="I260">
        <v>0.96</v>
      </c>
      <c r="J260">
        <v>0.99</v>
      </c>
      <c r="K260">
        <v>0.97</v>
      </c>
      <c r="L260">
        <v>0.96</v>
      </c>
      <c r="M260">
        <v>0.92</v>
      </c>
      <c r="N260">
        <v>0.92</v>
      </c>
      <c r="O260">
        <v>0.91</v>
      </c>
      <c r="P260">
        <v>0.98</v>
      </c>
      <c r="Q260">
        <v>1.1599999999999999</v>
      </c>
      <c r="R260">
        <v>0.92</v>
      </c>
      <c r="S260">
        <v>1.01</v>
      </c>
      <c r="T260">
        <v>0.98</v>
      </c>
      <c r="U260">
        <v>0.87</v>
      </c>
      <c r="V260">
        <v>0.9</v>
      </c>
      <c r="W260">
        <v>0.96</v>
      </c>
      <c r="X260">
        <v>0.94</v>
      </c>
      <c r="Y260">
        <v>0.92</v>
      </c>
      <c r="Z260">
        <v>0.9</v>
      </c>
      <c r="AA260" s="8">
        <v>0.83489023820644559</v>
      </c>
      <c r="AB260" s="8">
        <v>1.0290000000000001</v>
      </c>
      <c r="AC260" s="8">
        <v>0.94299999999999995</v>
      </c>
      <c r="AE260">
        <v>102819</v>
      </c>
      <c r="AF260" t="s">
        <v>1228</v>
      </c>
      <c r="AG260">
        <v>6067</v>
      </c>
      <c r="AH260">
        <v>6302</v>
      </c>
      <c r="AI260">
        <v>96.3</v>
      </c>
      <c r="AJ260" s="8">
        <f t="shared" si="7"/>
        <v>0.96299999999999997</v>
      </c>
      <c r="AL260">
        <v>102210</v>
      </c>
      <c r="AM260" s="8">
        <f t="shared" si="8"/>
        <v>0.94299999999999995</v>
      </c>
    </row>
    <row r="261" spans="1:39" x14ac:dyDescent="0.25">
      <c r="A261">
        <v>102231</v>
      </c>
      <c r="B261" t="s">
        <v>513</v>
      </c>
      <c r="C261">
        <v>1.1299999999999999</v>
      </c>
      <c r="D261">
        <v>1.04</v>
      </c>
      <c r="E261">
        <v>1.05</v>
      </c>
      <c r="F261">
        <v>0.99</v>
      </c>
      <c r="G261">
        <v>0.93</v>
      </c>
      <c r="H261">
        <v>1.01</v>
      </c>
      <c r="I261">
        <v>0.95</v>
      </c>
      <c r="J261">
        <v>0.98</v>
      </c>
      <c r="K261">
        <v>1</v>
      </c>
      <c r="L261">
        <v>0.98</v>
      </c>
      <c r="M261">
        <v>0.94</v>
      </c>
      <c r="N261">
        <v>0.91</v>
      </c>
      <c r="O261">
        <v>0.91</v>
      </c>
      <c r="P261">
        <v>0.93</v>
      </c>
      <c r="Q261">
        <v>1.1100000000000001</v>
      </c>
      <c r="R261">
        <v>0.93</v>
      </c>
      <c r="S261">
        <v>1.04</v>
      </c>
      <c r="T261">
        <v>1</v>
      </c>
      <c r="U261">
        <v>0.88</v>
      </c>
      <c r="V261">
        <v>0.93</v>
      </c>
      <c r="W261">
        <v>0.95</v>
      </c>
      <c r="X261">
        <v>0.95</v>
      </c>
      <c r="Y261">
        <v>0.9</v>
      </c>
      <c r="Z261">
        <v>0.88</v>
      </c>
      <c r="AA261" s="8">
        <v>0.85278483938063321</v>
      </c>
      <c r="AB261" s="8">
        <v>1.0129999999999999</v>
      </c>
      <c r="AC261" s="8">
        <v>0.93799999999999994</v>
      </c>
      <c r="AE261">
        <v>102618</v>
      </c>
      <c r="AF261" t="s">
        <v>527</v>
      </c>
      <c r="AG261">
        <v>4439</v>
      </c>
      <c r="AH261">
        <v>4671</v>
      </c>
      <c r="AI261">
        <v>95</v>
      </c>
      <c r="AJ261" s="8">
        <f t="shared" ref="AJ261:AJ313" si="9">AI261/100</f>
        <v>0.95</v>
      </c>
      <c r="AL261">
        <v>102231</v>
      </c>
      <c r="AM261" s="8">
        <f t="shared" si="8"/>
        <v>0.93799999999999994</v>
      </c>
    </row>
    <row r="262" spans="1:39" x14ac:dyDescent="0.25">
      <c r="A262">
        <v>102207</v>
      </c>
      <c r="B262" t="s">
        <v>321</v>
      </c>
      <c r="C262">
        <v>1.1000000000000001</v>
      </c>
      <c r="D262">
        <v>1</v>
      </c>
      <c r="E262">
        <v>1.04</v>
      </c>
      <c r="F262">
        <v>0.98</v>
      </c>
      <c r="G262">
        <v>0.92</v>
      </c>
      <c r="H262">
        <v>1.02</v>
      </c>
      <c r="I262">
        <v>0.95</v>
      </c>
      <c r="J262">
        <v>0.98</v>
      </c>
      <c r="K262">
        <v>1</v>
      </c>
      <c r="L262">
        <v>0.98</v>
      </c>
      <c r="M262">
        <v>0.94</v>
      </c>
      <c r="N262">
        <v>0.94</v>
      </c>
      <c r="O262">
        <v>0.94</v>
      </c>
      <c r="P262">
        <v>0.98</v>
      </c>
      <c r="Q262">
        <v>1.1399999999999999</v>
      </c>
      <c r="R262">
        <v>0.95</v>
      </c>
      <c r="S262">
        <v>1.03</v>
      </c>
      <c r="T262">
        <v>1</v>
      </c>
      <c r="U262">
        <v>0.9</v>
      </c>
      <c r="V262">
        <v>0.94</v>
      </c>
      <c r="W262">
        <v>0.97</v>
      </c>
      <c r="X262">
        <v>0.96</v>
      </c>
      <c r="Y262">
        <v>0.91</v>
      </c>
      <c r="Z262">
        <v>0.9</v>
      </c>
      <c r="AA262" s="8">
        <v>0.86772486772486768</v>
      </c>
      <c r="AB262" s="8">
        <v>1.006</v>
      </c>
      <c r="AC262" s="8">
        <v>0.93799999999999994</v>
      </c>
      <c r="AE262">
        <v>102239</v>
      </c>
      <c r="AF262" t="s">
        <v>430</v>
      </c>
      <c r="AG262">
        <v>4065</v>
      </c>
      <c r="AH262">
        <v>4320</v>
      </c>
      <c r="AI262">
        <v>94.1</v>
      </c>
      <c r="AJ262" s="8">
        <f t="shared" si="9"/>
        <v>0.94099999999999995</v>
      </c>
      <c r="AL262">
        <v>102207</v>
      </c>
      <c r="AM262" s="8">
        <f t="shared" si="8"/>
        <v>0.93799999999999994</v>
      </c>
    </row>
    <row r="263" spans="1:39" x14ac:dyDescent="0.25">
      <c r="A263">
        <v>102905</v>
      </c>
      <c r="B263" t="s">
        <v>324</v>
      </c>
      <c r="C263">
        <v>1.03</v>
      </c>
      <c r="D263">
        <v>0.97</v>
      </c>
      <c r="E263">
        <v>1.04</v>
      </c>
      <c r="F263">
        <v>1</v>
      </c>
      <c r="G263">
        <v>0.94</v>
      </c>
      <c r="H263">
        <v>1</v>
      </c>
      <c r="I263">
        <v>0.95</v>
      </c>
      <c r="J263">
        <v>0.97</v>
      </c>
      <c r="K263">
        <v>0.97</v>
      </c>
      <c r="L263">
        <v>0.93</v>
      </c>
      <c r="M263">
        <v>0.92</v>
      </c>
      <c r="N263">
        <v>0.92</v>
      </c>
      <c r="O263">
        <v>0.92</v>
      </c>
      <c r="P263">
        <v>0.97</v>
      </c>
      <c r="Q263">
        <v>1.07</v>
      </c>
      <c r="R263">
        <v>0.91</v>
      </c>
      <c r="S263">
        <v>1</v>
      </c>
      <c r="T263">
        <v>0.93</v>
      </c>
      <c r="U263">
        <v>0.9</v>
      </c>
      <c r="V263">
        <v>0.89</v>
      </c>
      <c r="W263">
        <v>0.96</v>
      </c>
      <c r="X263">
        <v>0.96</v>
      </c>
      <c r="Y263">
        <v>0.94</v>
      </c>
      <c r="Z263">
        <v>0.96</v>
      </c>
      <c r="AA263" s="8">
        <v>0.85200698080279236</v>
      </c>
      <c r="AB263" s="8">
        <v>1.032</v>
      </c>
      <c r="AC263" s="8">
        <v>0.97299999999999998</v>
      </c>
      <c r="AE263">
        <v>102210</v>
      </c>
      <c r="AF263" t="s">
        <v>320</v>
      </c>
      <c r="AG263">
        <v>3887</v>
      </c>
      <c r="AH263">
        <v>4123</v>
      </c>
      <c r="AI263">
        <v>94.3</v>
      </c>
      <c r="AJ263" s="8">
        <f t="shared" si="9"/>
        <v>0.94299999999999995</v>
      </c>
      <c r="AL263">
        <v>102905</v>
      </c>
      <c r="AM263" s="8">
        <f t="shared" si="8"/>
        <v>0.97299999999999998</v>
      </c>
    </row>
    <row r="264" spans="1:39" x14ac:dyDescent="0.25">
      <c r="A264">
        <v>102607</v>
      </c>
      <c r="B264" t="s">
        <v>441</v>
      </c>
      <c r="C264">
        <v>1.08</v>
      </c>
      <c r="D264">
        <v>0.99</v>
      </c>
      <c r="E264">
        <v>1.03</v>
      </c>
      <c r="F264">
        <v>0.94</v>
      </c>
      <c r="G264">
        <v>0.89</v>
      </c>
      <c r="H264">
        <v>0.98</v>
      </c>
      <c r="I264">
        <v>0.96</v>
      </c>
      <c r="J264">
        <v>0.98</v>
      </c>
      <c r="K264">
        <v>0.96</v>
      </c>
      <c r="L264">
        <v>0.95</v>
      </c>
      <c r="M264">
        <v>0.92</v>
      </c>
      <c r="N264">
        <v>0.91</v>
      </c>
      <c r="O264">
        <v>0.9</v>
      </c>
      <c r="P264">
        <v>0.95</v>
      </c>
      <c r="Q264">
        <v>1.1100000000000001</v>
      </c>
      <c r="R264">
        <v>0.89</v>
      </c>
      <c r="S264">
        <v>0.99</v>
      </c>
      <c r="T264">
        <v>0.93</v>
      </c>
      <c r="U264">
        <v>0.9</v>
      </c>
      <c r="V264">
        <v>0.87</v>
      </c>
      <c r="W264">
        <v>0.94</v>
      </c>
      <c r="X264">
        <v>0.94</v>
      </c>
      <c r="Y264">
        <v>0.9</v>
      </c>
      <c r="Z264">
        <v>0.89</v>
      </c>
      <c r="AA264" s="8">
        <v>0.81836239240785702</v>
      </c>
      <c r="AB264" s="8">
        <v>1.026</v>
      </c>
      <c r="AC264" s="8">
        <v>0.96200000000000008</v>
      </c>
      <c r="AE264">
        <v>102231</v>
      </c>
      <c r="AF264" t="s">
        <v>1229</v>
      </c>
      <c r="AG264">
        <v>3970</v>
      </c>
      <c r="AH264">
        <v>4235</v>
      </c>
      <c r="AI264">
        <v>93.8</v>
      </c>
      <c r="AJ264" s="8">
        <f t="shared" si="9"/>
        <v>0.93799999999999994</v>
      </c>
      <c r="AL264">
        <v>102607</v>
      </c>
      <c r="AM264" s="8">
        <f t="shared" si="8"/>
        <v>0.96200000000000008</v>
      </c>
    </row>
    <row r="265" spans="1:39" x14ac:dyDescent="0.25">
      <c r="A265">
        <v>102639</v>
      </c>
      <c r="B265" t="s">
        <v>1052</v>
      </c>
      <c r="Y265">
        <v>0.89</v>
      </c>
      <c r="Z265">
        <v>0.89</v>
      </c>
      <c r="AA265" s="8">
        <v>0.81281544876014922</v>
      </c>
      <c r="AB265" s="8">
        <v>1.032</v>
      </c>
      <c r="AC265" s="8">
        <v>0.97099999999999997</v>
      </c>
      <c r="AE265">
        <v>102207</v>
      </c>
      <c r="AF265" t="s">
        <v>321</v>
      </c>
      <c r="AG265">
        <v>4304</v>
      </c>
      <c r="AH265">
        <v>4590</v>
      </c>
      <c r="AI265">
        <v>93.8</v>
      </c>
      <c r="AJ265" s="8">
        <f t="shared" si="9"/>
        <v>0.93799999999999994</v>
      </c>
      <c r="AL265">
        <v>102639</v>
      </c>
      <c r="AM265" s="8">
        <f t="shared" si="8"/>
        <v>0.97099999999999997</v>
      </c>
    </row>
    <row r="266" spans="1:39" x14ac:dyDescent="0.25">
      <c r="A266">
        <v>102617</v>
      </c>
      <c r="B266" t="s">
        <v>335</v>
      </c>
      <c r="C266">
        <v>1.08</v>
      </c>
      <c r="D266">
        <v>0.98</v>
      </c>
      <c r="E266">
        <v>1.03</v>
      </c>
      <c r="F266">
        <v>0.95</v>
      </c>
      <c r="G266">
        <v>0.9</v>
      </c>
      <c r="H266">
        <v>0.98</v>
      </c>
      <c r="I266">
        <v>0.96</v>
      </c>
      <c r="J266">
        <v>0.98</v>
      </c>
      <c r="K266">
        <v>0.97</v>
      </c>
      <c r="L266">
        <v>0.95</v>
      </c>
      <c r="M266">
        <v>0.91</v>
      </c>
      <c r="N266">
        <v>0.92</v>
      </c>
      <c r="O266">
        <v>0.9</v>
      </c>
      <c r="P266">
        <v>0.98</v>
      </c>
      <c r="Q266">
        <v>1.1399999999999999</v>
      </c>
      <c r="R266">
        <v>0.92</v>
      </c>
      <c r="S266">
        <v>1.01</v>
      </c>
      <c r="T266">
        <v>0.96</v>
      </c>
      <c r="U266">
        <v>0.9</v>
      </c>
      <c r="V266">
        <v>0.89</v>
      </c>
      <c r="W266">
        <v>0.94</v>
      </c>
      <c r="X266">
        <v>0.94</v>
      </c>
      <c r="Y266">
        <v>0.91</v>
      </c>
      <c r="Z266">
        <v>0.91</v>
      </c>
      <c r="AA266" s="8">
        <v>0.82302589343034449</v>
      </c>
      <c r="AB266" s="8">
        <v>1.0070000000000001</v>
      </c>
      <c r="AC266" s="8">
        <v>0.94700000000000006</v>
      </c>
      <c r="AE266">
        <v>102905</v>
      </c>
      <c r="AF266" t="s">
        <v>324</v>
      </c>
      <c r="AG266">
        <v>5325</v>
      </c>
      <c r="AH266">
        <v>5471</v>
      </c>
      <c r="AI266">
        <v>97.3</v>
      </c>
      <c r="AJ266" s="8">
        <f t="shared" si="9"/>
        <v>0.97299999999999998</v>
      </c>
      <c r="AL266">
        <v>102617</v>
      </c>
      <c r="AM266" s="8">
        <f t="shared" si="8"/>
        <v>0.94700000000000006</v>
      </c>
    </row>
    <row r="267" spans="1:39" x14ac:dyDescent="0.25">
      <c r="A267">
        <v>102418</v>
      </c>
      <c r="B267" t="s">
        <v>238</v>
      </c>
      <c r="C267">
        <v>1.08</v>
      </c>
      <c r="D267">
        <v>0.97</v>
      </c>
      <c r="E267">
        <v>1.03</v>
      </c>
      <c r="F267">
        <v>0.95</v>
      </c>
      <c r="G267">
        <v>0.9</v>
      </c>
      <c r="H267">
        <v>1</v>
      </c>
      <c r="I267">
        <v>0.94</v>
      </c>
      <c r="J267">
        <v>0.98</v>
      </c>
      <c r="K267">
        <v>0.97</v>
      </c>
      <c r="L267">
        <v>0.95</v>
      </c>
      <c r="M267">
        <v>0.92</v>
      </c>
      <c r="N267">
        <v>0.91</v>
      </c>
      <c r="O267">
        <v>0.91</v>
      </c>
      <c r="P267">
        <v>0.98</v>
      </c>
      <c r="Q267">
        <v>1.1399999999999999</v>
      </c>
      <c r="R267">
        <v>0.93</v>
      </c>
      <c r="S267">
        <v>0.99</v>
      </c>
      <c r="T267">
        <v>0.95</v>
      </c>
      <c r="U267">
        <v>0.87</v>
      </c>
      <c r="V267">
        <v>0.89</v>
      </c>
      <c r="W267">
        <v>0.94</v>
      </c>
      <c r="X267">
        <v>0.93</v>
      </c>
      <c r="Y267">
        <v>0.9</v>
      </c>
      <c r="Z267">
        <v>0.88</v>
      </c>
      <c r="AA267" s="8">
        <v>0.82794053344993446</v>
      </c>
      <c r="AB267" s="8">
        <v>0.998</v>
      </c>
      <c r="AC267" s="8">
        <v>0.93200000000000005</v>
      </c>
      <c r="AE267">
        <v>102639</v>
      </c>
      <c r="AF267" t="s">
        <v>1230</v>
      </c>
      <c r="AG267">
        <v>4166</v>
      </c>
      <c r="AH267">
        <v>4290</v>
      </c>
      <c r="AI267">
        <v>97.1</v>
      </c>
      <c r="AJ267" s="8">
        <f t="shared" si="9"/>
        <v>0.97099999999999997</v>
      </c>
      <c r="AL267">
        <v>102418</v>
      </c>
      <c r="AM267" s="8">
        <f t="shared" si="8"/>
        <v>0.93200000000000005</v>
      </c>
    </row>
    <row r="268" spans="1:39" x14ac:dyDescent="0.25">
      <c r="A268">
        <v>102319</v>
      </c>
      <c r="B268" t="s">
        <v>328</v>
      </c>
      <c r="C268">
        <v>1.1100000000000001</v>
      </c>
      <c r="D268">
        <v>1.01</v>
      </c>
      <c r="E268">
        <v>1.05</v>
      </c>
      <c r="F268">
        <v>0.98</v>
      </c>
      <c r="G268">
        <v>0.92</v>
      </c>
      <c r="H268">
        <v>1.01</v>
      </c>
      <c r="I268">
        <v>0.95</v>
      </c>
      <c r="J268">
        <v>0.98</v>
      </c>
      <c r="K268">
        <v>1</v>
      </c>
      <c r="L268">
        <v>0.97</v>
      </c>
      <c r="M268">
        <v>0.93</v>
      </c>
      <c r="N268">
        <v>0.91</v>
      </c>
      <c r="O268">
        <v>0.91</v>
      </c>
      <c r="P268">
        <v>0.96</v>
      </c>
      <c r="Q268">
        <v>1.1100000000000001</v>
      </c>
      <c r="R268">
        <v>0.92</v>
      </c>
      <c r="S268">
        <v>1.01</v>
      </c>
      <c r="T268">
        <v>0.98</v>
      </c>
      <c r="U268">
        <v>0.88</v>
      </c>
      <c r="V268">
        <v>0.91</v>
      </c>
      <c r="W268">
        <v>0.95</v>
      </c>
      <c r="X268">
        <v>0.93</v>
      </c>
      <c r="Y268">
        <v>0.89</v>
      </c>
      <c r="Z268">
        <v>0.88</v>
      </c>
      <c r="AA268" s="8">
        <v>0.84816865417376486</v>
      </c>
      <c r="AB268" s="8">
        <v>0.996</v>
      </c>
      <c r="AC268" s="8">
        <v>0.93400000000000005</v>
      </c>
      <c r="AE268">
        <v>102617</v>
      </c>
      <c r="AF268" t="s">
        <v>335</v>
      </c>
      <c r="AG268">
        <v>4247</v>
      </c>
      <c r="AH268">
        <v>4485</v>
      </c>
      <c r="AI268">
        <v>94.7</v>
      </c>
      <c r="AJ268" s="8">
        <f t="shared" si="9"/>
        <v>0.94700000000000006</v>
      </c>
      <c r="AL268">
        <v>102319</v>
      </c>
      <c r="AM268" s="8">
        <f t="shared" si="8"/>
        <v>0.93400000000000005</v>
      </c>
    </row>
    <row r="269" spans="1:39" x14ac:dyDescent="0.25">
      <c r="A269">
        <v>102405</v>
      </c>
      <c r="B269" t="s">
        <v>517</v>
      </c>
      <c r="C269">
        <v>1.1000000000000001</v>
      </c>
      <c r="D269">
        <v>0.98</v>
      </c>
      <c r="E269">
        <v>1.03</v>
      </c>
      <c r="F269">
        <v>0.94</v>
      </c>
      <c r="G269">
        <v>0.9</v>
      </c>
      <c r="H269">
        <v>1</v>
      </c>
      <c r="I269">
        <v>0.95</v>
      </c>
      <c r="J269">
        <v>0.98</v>
      </c>
      <c r="K269">
        <v>0.99</v>
      </c>
      <c r="L269">
        <v>0.97</v>
      </c>
      <c r="M269">
        <v>0.93</v>
      </c>
      <c r="N269">
        <v>0.91</v>
      </c>
      <c r="O269">
        <v>0.9</v>
      </c>
      <c r="P269">
        <v>0.97</v>
      </c>
      <c r="Q269">
        <v>1.1200000000000001</v>
      </c>
      <c r="R269">
        <v>0.9</v>
      </c>
      <c r="S269">
        <v>1</v>
      </c>
      <c r="T269">
        <v>0.98</v>
      </c>
      <c r="U269">
        <v>0.9</v>
      </c>
      <c r="V269">
        <v>0.88</v>
      </c>
      <c r="W269">
        <v>0.93</v>
      </c>
      <c r="X269">
        <v>0.92</v>
      </c>
      <c r="Y269">
        <v>0.91</v>
      </c>
      <c r="Z269">
        <v>0.88</v>
      </c>
      <c r="AA269" s="8">
        <v>0.80584074834588182</v>
      </c>
      <c r="AB269" s="8">
        <v>1.0109999999999999</v>
      </c>
      <c r="AC269" s="8">
        <v>0.94299999999999995</v>
      </c>
      <c r="AE269">
        <v>102418</v>
      </c>
      <c r="AF269" t="s">
        <v>238</v>
      </c>
      <c r="AG269">
        <v>3972</v>
      </c>
      <c r="AH269">
        <v>4263</v>
      </c>
      <c r="AI269">
        <v>93.2</v>
      </c>
      <c r="AJ269" s="8">
        <f t="shared" si="9"/>
        <v>0.93200000000000005</v>
      </c>
      <c r="AL269">
        <v>102405</v>
      </c>
      <c r="AM269" s="8">
        <f t="shared" si="8"/>
        <v>0.94299999999999995</v>
      </c>
    </row>
    <row r="270" spans="1:39" x14ac:dyDescent="0.25">
      <c r="A270">
        <v>102649</v>
      </c>
      <c r="B270" t="s">
        <v>59</v>
      </c>
      <c r="Y270">
        <v>0.92</v>
      </c>
      <c r="Z270">
        <v>0.92</v>
      </c>
      <c r="AA270" s="8">
        <v>0.83417195362065188</v>
      </c>
      <c r="AB270" s="8">
        <v>1.0349999999999999</v>
      </c>
      <c r="AC270" s="8">
        <v>0.98499999999999999</v>
      </c>
      <c r="AE270">
        <v>102319</v>
      </c>
      <c r="AF270" t="s">
        <v>328</v>
      </c>
      <c r="AG270">
        <v>4226</v>
      </c>
      <c r="AH270">
        <v>4525</v>
      </c>
      <c r="AI270">
        <v>93.4</v>
      </c>
      <c r="AJ270" s="8">
        <f t="shared" si="9"/>
        <v>0.93400000000000005</v>
      </c>
      <c r="AL270">
        <v>102649</v>
      </c>
      <c r="AM270" s="8">
        <f t="shared" si="8"/>
        <v>0.98499999999999999</v>
      </c>
    </row>
    <row r="271" spans="1:39" x14ac:dyDescent="0.25">
      <c r="A271">
        <v>102705</v>
      </c>
      <c r="B271" t="s">
        <v>235</v>
      </c>
      <c r="C271">
        <v>1.06</v>
      </c>
      <c r="D271">
        <v>0.95</v>
      </c>
      <c r="E271">
        <v>0.99</v>
      </c>
      <c r="F271">
        <v>0.97</v>
      </c>
      <c r="G271">
        <v>0.91</v>
      </c>
      <c r="H271">
        <v>1.03</v>
      </c>
      <c r="I271">
        <v>0.98</v>
      </c>
      <c r="J271">
        <v>0.97</v>
      </c>
      <c r="K271">
        <v>0.96</v>
      </c>
      <c r="L271">
        <v>0.95</v>
      </c>
      <c r="M271">
        <v>0.92</v>
      </c>
      <c r="N271">
        <v>0.93</v>
      </c>
      <c r="O271">
        <v>0.93</v>
      </c>
      <c r="P271">
        <v>0.99</v>
      </c>
      <c r="Q271">
        <v>1.1200000000000001</v>
      </c>
      <c r="R271">
        <v>0.92</v>
      </c>
      <c r="S271">
        <v>1.01</v>
      </c>
      <c r="T271">
        <v>0.96</v>
      </c>
      <c r="U271">
        <v>0.89</v>
      </c>
      <c r="V271">
        <v>0.92</v>
      </c>
      <c r="W271">
        <v>0.95</v>
      </c>
      <c r="X271">
        <v>0.96</v>
      </c>
      <c r="Y271">
        <v>0.93</v>
      </c>
      <c r="Z271">
        <v>0.93</v>
      </c>
      <c r="AA271" s="8">
        <v>0.84894483524620512</v>
      </c>
      <c r="AB271" s="8">
        <v>1.0149999999999999</v>
      </c>
      <c r="AC271" s="8">
        <v>0.97199999999999998</v>
      </c>
      <c r="AE271">
        <v>102405</v>
      </c>
      <c r="AF271" t="s">
        <v>517</v>
      </c>
      <c r="AG271">
        <v>3954</v>
      </c>
      <c r="AH271">
        <v>4195</v>
      </c>
      <c r="AI271">
        <v>94.3</v>
      </c>
      <c r="AJ271" s="8">
        <f t="shared" si="9"/>
        <v>0.94299999999999995</v>
      </c>
      <c r="AL271">
        <v>102705</v>
      </c>
      <c r="AM271" s="8">
        <f t="shared" si="8"/>
        <v>0.97199999999999998</v>
      </c>
    </row>
    <row r="272" spans="1:39" x14ac:dyDescent="0.25">
      <c r="A272">
        <v>102523</v>
      </c>
      <c r="B272" t="s">
        <v>523</v>
      </c>
      <c r="C272">
        <v>1.1000000000000001</v>
      </c>
      <c r="D272">
        <v>0.99</v>
      </c>
      <c r="E272">
        <v>1.03</v>
      </c>
      <c r="F272">
        <v>0.96</v>
      </c>
      <c r="G272">
        <v>0.9</v>
      </c>
      <c r="H272">
        <v>1</v>
      </c>
      <c r="I272">
        <v>0.95</v>
      </c>
      <c r="J272">
        <v>0.97</v>
      </c>
      <c r="K272">
        <v>0.97</v>
      </c>
      <c r="L272">
        <v>0.95</v>
      </c>
      <c r="M272">
        <v>0.93</v>
      </c>
      <c r="N272">
        <v>0.91</v>
      </c>
      <c r="O272">
        <v>0.9</v>
      </c>
      <c r="P272">
        <v>0.94</v>
      </c>
      <c r="Q272">
        <v>1.1200000000000001</v>
      </c>
      <c r="R272">
        <v>0.9</v>
      </c>
      <c r="S272">
        <v>0.99</v>
      </c>
      <c r="T272">
        <v>0.97</v>
      </c>
      <c r="U272">
        <v>0.86</v>
      </c>
      <c r="V272">
        <v>0.91</v>
      </c>
      <c r="W272">
        <v>0.96</v>
      </c>
      <c r="X272">
        <v>0.94</v>
      </c>
      <c r="Y272">
        <v>0.91</v>
      </c>
      <c r="Z272">
        <v>0.9</v>
      </c>
      <c r="AA272" s="8">
        <v>0.84658706915972071</v>
      </c>
      <c r="AB272" s="8">
        <v>1.0149999999999999</v>
      </c>
      <c r="AC272" s="8">
        <v>0.93200000000000005</v>
      </c>
      <c r="AE272">
        <v>102649</v>
      </c>
      <c r="AF272" t="s">
        <v>59</v>
      </c>
      <c r="AG272">
        <v>4340</v>
      </c>
      <c r="AH272">
        <v>4406</v>
      </c>
      <c r="AI272">
        <v>98.5</v>
      </c>
      <c r="AJ272" s="8">
        <f t="shared" si="9"/>
        <v>0.98499999999999999</v>
      </c>
      <c r="AL272">
        <v>102523</v>
      </c>
      <c r="AM272" s="8">
        <f t="shared" si="8"/>
        <v>0.93200000000000005</v>
      </c>
    </row>
    <row r="273" spans="1:39" x14ac:dyDescent="0.25">
      <c r="A273">
        <v>102314</v>
      </c>
      <c r="B273" t="s">
        <v>445</v>
      </c>
      <c r="C273">
        <v>1.0900000000000001</v>
      </c>
      <c r="D273">
        <v>1</v>
      </c>
      <c r="E273">
        <v>1.02</v>
      </c>
      <c r="F273">
        <v>0.94</v>
      </c>
      <c r="G273">
        <v>0.88</v>
      </c>
      <c r="H273">
        <v>1.01</v>
      </c>
      <c r="I273">
        <v>0.96</v>
      </c>
      <c r="J273">
        <v>1</v>
      </c>
      <c r="K273">
        <v>0.99</v>
      </c>
      <c r="L273">
        <v>0.97</v>
      </c>
      <c r="M273">
        <v>0.93</v>
      </c>
      <c r="N273">
        <v>0.91</v>
      </c>
      <c r="O273">
        <v>0.91</v>
      </c>
      <c r="P273">
        <v>0.96</v>
      </c>
      <c r="Q273">
        <v>1.1499999999999999</v>
      </c>
      <c r="R273">
        <v>0.96</v>
      </c>
      <c r="S273">
        <v>1.04</v>
      </c>
      <c r="T273">
        <v>1</v>
      </c>
      <c r="U273">
        <v>0.88</v>
      </c>
      <c r="V273">
        <v>0.93</v>
      </c>
      <c r="W273">
        <v>0.96</v>
      </c>
      <c r="X273">
        <v>0.96</v>
      </c>
      <c r="Y273">
        <v>0.92</v>
      </c>
      <c r="Z273">
        <v>0.89</v>
      </c>
      <c r="AA273" s="8">
        <v>0.864951768488746</v>
      </c>
      <c r="AB273" s="8">
        <v>1.0109999999999999</v>
      </c>
      <c r="AC273" s="8">
        <v>0.93099999999999994</v>
      </c>
      <c r="AE273">
        <v>102705</v>
      </c>
      <c r="AF273" t="s">
        <v>235</v>
      </c>
      <c r="AG273">
        <v>5082</v>
      </c>
      <c r="AH273">
        <v>5226</v>
      </c>
      <c r="AI273">
        <v>97.2</v>
      </c>
      <c r="AJ273" s="8">
        <f t="shared" si="9"/>
        <v>0.97199999999999998</v>
      </c>
      <c r="AL273">
        <v>102314</v>
      </c>
      <c r="AM273" s="8">
        <f t="shared" si="8"/>
        <v>0.93099999999999994</v>
      </c>
    </row>
    <row r="274" spans="1:39" x14ac:dyDescent="0.25">
      <c r="A274">
        <v>102644</v>
      </c>
      <c r="B274" t="s">
        <v>58</v>
      </c>
      <c r="Y274">
        <v>0.9</v>
      </c>
      <c r="Z274">
        <v>0.88</v>
      </c>
      <c r="AA274" s="8">
        <v>0.79501203237803542</v>
      </c>
      <c r="AB274" s="8">
        <v>1.004</v>
      </c>
      <c r="AC274" s="8">
        <v>0.94900000000000007</v>
      </c>
      <c r="AE274">
        <v>102523</v>
      </c>
      <c r="AF274" t="s">
        <v>330</v>
      </c>
      <c r="AG274">
        <v>3941</v>
      </c>
      <c r="AH274">
        <v>4231</v>
      </c>
      <c r="AI274">
        <v>93.2</v>
      </c>
      <c r="AJ274" s="8">
        <f t="shared" si="9"/>
        <v>0.93200000000000005</v>
      </c>
      <c r="AL274">
        <v>102644</v>
      </c>
      <c r="AM274" s="8">
        <f t="shared" si="8"/>
        <v>0.94900000000000007</v>
      </c>
    </row>
    <row r="275" spans="1:39" x14ac:dyDescent="0.25">
      <c r="A275">
        <v>102323</v>
      </c>
      <c r="B275" t="s">
        <v>348</v>
      </c>
      <c r="C275">
        <v>1.1200000000000001</v>
      </c>
      <c r="D275">
        <v>1.01</v>
      </c>
      <c r="E275">
        <v>1.05</v>
      </c>
      <c r="F275">
        <v>0.97</v>
      </c>
      <c r="G275">
        <v>0.92</v>
      </c>
      <c r="H275">
        <v>1.02</v>
      </c>
      <c r="I275">
        <v>0.96</v>
      </c>
      <c r="J275">
        <v>0.98</v>
      </c>
      <c r="K275">
        <v>1.01</v>
      </c>
      <c r="L275">
        <v>0.96</v>
      </c>
      <c r="M275">
        <v>0.93</v>
      </c>
      <c r="N275">
        <v>0.92</v>
      </c>
      <c r="O275">
        <v>0.93</v>
      </c>
      <c r="P275">
        <v>0.96</v>
      </c>
      <c r="Q275">
        <v>1.1100000000000001</v>
      </c>
      <c r="R275">
        <v>0.92</v>
      </c>
      <c r="S275">
        <v>1.01</v>
      </c>
      <c r="T275">
        <v>0.99</v>
      </c>
      <c r="U275">
        <v>0.89</v>
      </c>
      <c r="V275">
        <v>0.93</v>
      </c>
      <c r="W275">
        <v>0.95</v>
      </c>
      <c r="X275">
        <v>0.95</v>
      </c>
      <c r="Y275">
        <v>0.9</v>
      </c>
      <c r="Z275">
        <v>0.9</v>
      </c>
      <c r="AA275" s="8">
        <v>0.85413985413985416</v>
      </c>
      <c r="AB275" s="8">
        <v>1.0049999999999999</v>
      </c>
      <c r="AC275" s="8">
        <v>0.94599999999999995</v>
      </c>
      <c r="AE275">
        <v>102314</v>
      </c>
      <c r="AF275" t="s">
        <v>445</v>
      </c>
      <c r="AG275">
        <v>3570</v>
      </c>
      <c r="AH275">
        <v>3835</v>
      </c>
      <c r="AI275">
        <v>93.1</v>
      </c>
      <c r="AJ275" s="8">
        <f t="shared" si="9"/>
        <v>0.93099999999999994</v>
      </c>
      <c r="AL275">
        <v>102323</v>
      </c>
      <c r="AM275" s="8">
        <f t="shared" si="8"/>
        <v>0.94599999999999995</v>
      </c>
    </row>
    <row r="276" spans="1:39" x14ac:dyDescent="0.25">
      <c r="A276">
        <v>102902</v>
      </c>
      <c r="B276" t="s">
        <v>45</v>
      </c>
      <c r="C276">
        <v>1.05</v>
      </c>
      <c r="D276">
        <v>0.97</v>
      </c>
      <c r="E276">
        <v>1.03</v>
      </c>
      <c r="F276">
        <v>1.01</v>
      </c>
      <c r="G276">
        <v>0.95</v>
      </c>
      <c r="H276">
        <v>1.03</v>
      </c>
      <c r="I276">
        <v>0.96</v>
      </c>
      <c r="J276">
        <v>0.97</v>
      </c>
      <c r="K276">
        <v>0.98</v>
      </c>
      <c r="L276">
        <v>0.96</v>
      </c>
      <c r="M276">
        <v>0.93</v>
      </c>
      <c r="N276">
        <v>0.95</v>
      </c>
      <c r="O276">
        <v>0.93</v>
      </c>
      <c r="P276">
        <v>0.99</v>
      </c>
      <c r="Q276">
        <v>1.1000000000000001</v>
      </c>
      <c r="R276">
        <v>0.9</v>
      </c>
      <c r="S276">
        <v>1.01</v>
      </c>
      <c r="T276">
        <v>0.95</v>
      </c>
      <c r="U276">
        <v>0.9</v>
      </c>
      <c r="V276">
        <v>0.91</v>
      </c>
      <c r="W276">
        <v>0.97</v>
      </c>
      <c r="X276">
        <v>0.97</v>
      </c>
      <c r="Y276">
        <v>0.98</v>
      </c>
      <c r="Z276">
        <v>0.98</v>
      </c>
      <c r="AA276" s="8">
        <v>0.88029465930018413</v>
      </c>
      <c r="AB276" s="8">
        <v>1.0270000000000001</v>
      </c>
      <c r="AC276" s="8">
        <v>0.97299999999999998</v>
      </c>
      <c r="AE276">
        <v>102644</v>
      </c>
      <c r="AF276" t="s">
        <v>58</v>
      </c>
      <c r="AG276">
        <v>4060</v>
      </c>
      <c r="AH276">
        <v>4278</v>
      </c>
      <c r="AI276">
        <v>94.9</v>
      </c>
      <c r="AJ276" s="8">
        <f t="shared" si="9"/>
        <v>0.94900000000000007</v>
      </c>
      <c r="AL276">
        <v>102902</v>
      </c>
      <c r="AM276" s="8">
        <f t="shared" si="8"/>
        <v>0.97299999999999998</v>
      </c>
    </row>
    <row r="277" spans="1:39" x14ac:dyDescent="0.25">
      <c r="A277">
        <v>102327</v>
      </c>
      <c r="B277" t="s">
        <v>350</v>
      </c>
      <c r="C277">
        <v>1.1200000000000001</v>
      </c>
      <c r="D277">
        <v>1.01</v>
      </c>
      <c r="E277">
        <v>1.05</v>
      </c>
      <c r="F277">
        <v>0.96</v>
      </c>
      <c r="G277">
        <v>0.91</v>
      </c>
      <c r="H277">
        <v>1.01</v>
      </c>
      <c r="I277">
        <v>0.95</v>
      </c>
      <c r="J277">
        <v>0.99</v>
      </c>
      <c r="K277">
        <v>1.01</v>
      </c>
      <c r="L277">
        <v>0.97</v>
      </c>
      <c r="M277">
        <v>0.94</v>
      </c>
      <c r="N277">
        <v>0.92</v>
      </c>
      <c r="O277">
        <v>0.93</v>
      </c>
      <c r="P277">
        <v>0.98</v>
      </c>
      <c r="Q277">
        <v>1.1299999999999999</v>
      </c>
      <c r="R277">
        <v>0.92</v>
      </c>
      <c r="S277">
        <v>1.03</v>
      </c>
      <c r="T277">
        <v>1</v>
      </c>
      <c r="U277">
        <v>0.9</v>
      </c>
      <c r="V277">
        <v>0.91</v>
      </c>
      <c r="W277">
        <v>0.95</v>
      </c>
      <c r="X277">
        <v>0.94</v>
      </c>
      <c r="Y277">
        <v>0.91</v>
      </c>
      <c r="Z277">
        <v>0.89</v>
      </c>
      <c r="AA277" s="8">
        <v>0.8360619469026549</v>
      </c>
      <c r="AB277" s="8">
        <v>1.01</v>
      </c>
      <c r="AC277" s="8">
        <v>0.93799999999999994</v>
      </c>
      <c r="AE277">
        <v>102323</v>
      </c>
      <c r="AF277" t="s">
        <v>348</v>
      </c>
      <c r="AG277">
        <v>4260</v>
      </c>
      <c r="AH277">
        <v>4505</v>
      </c>
      <c r="AI277">
        <v>94.6</v>
      </c>
      <c r="AJ277" s="8">
        <f t="shared" si="9"/>
        <v>0.94599999999999995</v>
      </c>
      <c r="AL277">
        <v>102327</v>
      </c>
      <c r="AM277" s="8">
        <f t="shared" si="8"/>
        <v>0.93799999999999994</v>
      </c>
    </row>
    <row r="278" spans="1:39" x14ac:dyDescent="0.25">
      <c r="A278">
        <v>102906</v>
      </c>
      <c r="B278" t="s">
        <v>260</v>
      </c>
      <c r="C278">
        <v>1.03</v>
      </c>
      <c r="D278">
        <v>0.97</v>
      </c>
      <c r="E278">
        <v>1.03</v>
      </c>
      <c r="F278">
        <v>0.99</v>
      </c>
      <c r="G278">
        <v>0.94</v>
      </c>
      <c r="H278">
        <v>1.02</v>
      </c>
      <c r="I278">
        <v>0.96</v>
      </c>
      <c r="J278">
        <v>0.98</v>
      </c>
      <c r="K278">
        <v>0.99</v>
      </c>
      <c r="L278">
        <v>0.95</v>
      </c>
      <c r="M278">
        <v>0.92</v>
      </c>
      <c r="N278">
        <v>0.95</v>
      </c>
      <c r="O278">
        <v>0.94</v>
      </c>
      <c r="P278">
        <v>0.99</v>
      </c>
      <c r="Q278">
        <v>1.0900000000000001</v>
      </c>
      <c r="R278">
        <v>0.91</v>
      </c>
      <c r="S278">
        <v>1.01</v>
      </c>
      <c r="T278">
        <v>0.95</v>
      </c>
      <c r="U278">
        <v>0.91</v>
      </c>
      <c r="V278">
        <v>0.92</v>
      </c>
      <c r="W278">
        <v>0.98</v>
      </c>
      <c r="X278">
        <v>0.98</v>
      </c>
      <c r="Y278">
        <v>0.96</v>
      </c>
      <c r="Z278">
        <v>0.98</v>
      </c>
      <c r="AA278" s="8">
        <v>0.87622789783889976</v>
      </c>
      <c r="AB278" s="8">
        <v>1.0309999999999999</v>
      </c>
      <c r="AC278" s="8">
        <v>0.97900000000000009</v>
      </c>
      <c r="AE278">
        <v>102902</v>
      </c>
      <c r="AF278" t="s">
        <v>45</v>
      </c>
      <c r="AG278">
        <v>6211</v>
      </c>
      <c r="AH278">
        <v>6382</v>
      </c>
      <c r="AI278">
        <v>97.3</v>
      </c>
      <c r="AJ278" s="8">
        <f t="shared" si="9"/>
        <v>0.97299999999999998</v>
      </c>
      <c r="AL278">
        <v>102906</v>
      </c>
      <c r="AM278" s="8">
        <f t="shared" si="8"/>
        <v>0.97900000000000009</v>
      </c>
    </row>
    <row r="279" spans="1:39" x14ac:dyDescent="0.25">
      <c r="A279">
        <v>102410</v>
      </c>
      <c r="B279" t="s">
        <v>240</v>
      </c>
      <c r="C279">
        <v>1.0900000000000001</v>
      </c>
      <c r="D279">
        <v>0.99</v>
      </c>
      <c r="E279">
        <v>1.04</v>
      </c>
      <c r="F279">
        <v>0.96</v>
      </c>
      <c r="G279">
        <v>0.9</v>
      </c>
      <c r="H279">
        <v>1</v>
      </c>
      <c r="I279">
        <v>0.96</v>
      </c>
      <c r="J279">
        <v>0.98</v>
      </c>
      <c r="K279">
        <v>0.99</v>
      </c>
      <c r="L279">
        <v>0.96</v>
      </c>
      <c r="M279">
        <v>0.93</v>
      </c>
      <c r="N279">
        <v>0.92</v>
      </c>
      <c r="O279">
        <v>0.9</v>
      </c>
      <c r="P279">
        <v>0.97</v>
      </c>
      <c r="Q279">
        <v>1.1299999999999999</v>
      </c>
      <c r="R279">
        <v>0.9</v>
      </c>
      <c r="S279">
        <v>1</v>
      </c>
      <c r="T279">
        <v>0.96</v>
      </c>
      <c r="U279">
        <v>0.89</v>
      </c>
      <c r="V279">
        <v>0.89</v>
      </c>
      <c r="W279">
        <v>0.94</v>
      </c>
      <c r="X279">
        <v>0.93</v>
      </c>
      <c r="Y279">
        <v>0.91</v>
      </c>
      <c r="Z279">
        <v>0.89</v>
      </c>
      <c r="AA279" s="8">
        <v>0.81937172774869105</v>
      </c>
      <c r="AB279" s="8">
        <v>1.014</v>
      </c>
      <c r="AC279" s="8">
        <v>0.93900000000000006</v>
      </c>
      <c r="AE279">
        <v>102327</v>
      </c>
      <c r="AF279" t="s">
        <v>350</v>
      </c>
      <c r="AG279">
        <v>4114</v>
      </c>
      <c r="AH279">
        <v>4387</v>
      </c>
      <c r="AI279">
        <v>93.8</v>
      </c>
      <c r="AJ279" s="8">
        <f t="shared" si="9"/>
        <v>0.93799999999999994</v>
      </c>
      <c r="AL279">
        <v>102410</v>
      </c>
      <c r="AM279" s="8">
        <f t="shared" si="8"/>
        <v>0.93900000000000006</v>
      </c>
    </row>
    <row r="280" spans="1:39" x14ac:dyDescent="0.25">
      <c r="A280">
        <v>102330</v>
      </c>
      <c r="B280" t="s">
        <v>133</v>
      </c>
      <c r="C280">
        <v>1.1100000000000001</v>
      </c>
      <c r="D280">
        <v>1</v>
      </c>
      <c r="E280">
        <v>1.04</v>
      </c>
      <c r="F280">
        <v>0.95</v>
      </c>
      <c r="G280">
        <v>0.9</v>
      </c>
      <c r="H280">
        <v>1</v>
      </c>
      <c r="I280">
        <v>0.97</v>
      </c>
      <c r="J280">
        <v>1</v>
      </c>
      <c r="K280">
        <v>1</v>
      </c>
      <c r="L280">
        <v>1</v>
      </c>
      <c r="M280">
        <v>0.93</v>
      </c>
      <c r="N280">
        <v>0.93</v>
      </c>
      <c r="O280">
        <v>0.92</v>
      </c>
      <c r="P280">
        <v>0.98</v>
      </c>
      <c r="Q280">
        <v>1.1100000000000001</v>
      </c>
      <c r="R280">
        <v>0.96</v>
      </c>
      <c r="S280">
        <v>1.02</v>
      </c>
      <c r="T280">
        <v>0.98</v>
      </c>
      <c r="U280">
        <v>0.93</v>
      </c>
      <c r="V280">
        <v>0.9</v>
      </c>
      <c r="W280">
        <v>0.97</v>
      </c>
      <c r="X280">
        <v>0.98</v>
      </c>
      <c r="Y280">
        <v>0.92</v>
      </c>
      <c r="Z280">
        <v>0.92</v>
      </c>
      <c r="AA280" s="8">
        <v>0.86347475705143395</v>
      </c>
      <c r="AB280" s="8">
        <v>0.99400000000000011</v>
      </c>
      <c r="AC280" s="8">
        <v>0.94900000000000007</v>
      </c>
      <c r="AE280">
        <v>102906</v>
      </c>
      <c r="AF280" t="s">
        <v>260</v>
      </c>
      <c r="AG280">
        <v>5811</v>
      </c>
      <c r="AH280">
        <v>5938</v>
      </c>
      <c r="AI280">
        <v>97.9</v>
      </c>
      <c r="AJ280" s="8">
        <f t="shared" si="9"/>
        <v>0.97900000000000009</v>
      </c>
      <c r="AL280">
        <v>102330</v>
      </c>
      <c r="AM280" s="8">
        <f t="shared" si="8"/>
        <v>0.94900000000000007</v>
      </c>
    </row>
    <row r="281" spans="1:39" x14ac:dyDescent="0.25">
      <c r="A281">
        <v>102246</v>
      </c>
      <c r="B281" t="s">
        <v>248</v>
      </c>
      <c r="Y281">
        <v>0.91</v>
      </c>
      <c r="Z281">
        <v>0.9</v>
      </c>
      <c r="AA281" s="8">
        <v>0.85621354867653654</v>
      </c>
      <c r="AB281" s="8">
        <v>1.0170000000000001</v>
      </c>
      <c r="AC281" s="8">
        <v>0.94099999999999995</v>
      </c>
      <c r="AE281">
        <v>102410</v>
      </c>
      <c r="AF281" t="s">
        <v>240</v>
      </c>
      <c r="AG281">
        <v>4130</v>
      </c>
      <c r="AH281">
        <v>4396</v>
      </c>
      <c r="AI281">
        <v>93.9</v>
      </c>
      <c r="AJ281" s="8">
        <f t="shared" si="9"/>
        <v>0.93900000000000006</v>
      </c>
      <c r="AL281">
        <v>102246</v>
      </c>
      <c r="AM281" s="8">
        <f t="shared" si="8"/>
        <v>0.94099999999999995</v>
      </c>
    </row>
    <row r="282" spans="1:39" x14ac:dyDescent="0.25">
      <c r="A282">
        <v>102211</v>
      </c>
      <c r="B282" t="s">
        <v>338</v>
      </c>
      <c r="C282">
        <v>1.1100000000000001</v>
      </c>
      <c r="D282">
        <v>1</v>
      </c>
      <c r="E282">
        <v>1.04</v>
      </c>
      <c r="F282">
        <v>0.98</v>
      </c>
      <c r="G282">
        <v>0.91</v>
      </c>
      <c r="H282">
        <v>1.01</v>
      </c>
      <c r="I282">
        <v>0.95</v>
      </c>
      <c r="J282">
        <v>0.98</v>
      </c>
      <c r="K282">
        <v>0.97</v>
      </c>
      <c r="L282">
        <v>0.95</v>
      </c>
      <c r="M282">
        <v>0.92</v>
      </c>
      <c r="N282">
        <v>0.9</v>
      </c>
      <c r="O282">
        <v>0.89</v>
      </c>
      <c r="P282">
        <v>0.96</v>
      </c>
      <c r="Q282">
        <v>1.1299999999999999</v>
      </c>
      <c r="R282">
        <v>0.89</v>
      </c>
      <c r="S282">
        <v>0.97</v>
      </c>
      <c r="T282">
        <v>0.95</v>
      </c>
      <c r="U282">
        <v>0.85</v>
      </c>
      <c r="V282">
        <v>0.89</v>
      </c>
      <c r="W282">
        <v>0.95</v>
      </c>
      <c r="X282">
        <v>0.93</v>
      </c>
      <c r="Y282">
        <v>0.9</v>
      </c>
      <c r="Z282">
        <v>0.9</v>
      </c>
      <c r="AA282" s="8">
        <v>0.82981620149761748</v>
      </c>
      <c r="AB282" s="8">
        <v>1.018</v>
      </c>
      <c r="AC282" s="8">
        <v>0.94099999999999995</v>
      </c>
      <c r="AE282">
        <v>102330</v>
      </c>
      <c r="AF282" t="s">
        <v>133</v>
      </c>
      <c r="AG282">
        <v>3778</v>
      </c>
      <c r="AH282">
        <v>3981</v>
      </c>
      <c r="AI282">
        <v>94.9</v>
      </c>
      <c r="AJ282" s="8">
        <f t="shared" si="9"/>
        <v>0.94900000000000007</v>
      </c>
      <c r="AL282">
        <v>102211</v>
      </c>
      <c r="AM282" s="8">
        <f t="shared" si="8"/>
        <v>0.94099999999999995</v>
      </c>
    </row>
    <row r="283" spans="1:39" x14ac:dyDescent="0.25">
      <c r="A283">
        <v>102904</v>
      </c>
      <c r="B283" t="s">
        <v>50</v>
      </c>
      <c r="C283">
        <v>1.03</v>
      </c>
      <c r="D283">
        <v>0.97</v>
      </c>
      <c r="E283">
        <v>1.04</v>
      </c>
      <c r="F283">
        <v>1</v>
      </c>
      <c r="G283">
        <v>0.95</v>
      </c>
      <c r="H283">
        <v>1</v>
      </c>
      <c r="I283">
        <v>0.95</v>
      </c>
      <c r="J283">
        <v>0.96</v>
      </c>
      <c r="K283">
        <v>0.96</v>
      </c>
      <c r="L283">
        <v>0.92</v>
      </c>
      <c r="M283">
        <v>0.91</v>
      </c>
      <c r="N283">
        <v>0.93</v>
      </c>
      <c r="O283">
        <v>0.93</v>
      </c>
      <c r="P283">
        <v>0.97</v>
      </c>
      <c r="Q283">
        <v>1.07</v>
      </c>
      <c r="R283">
        <v>0.9</v>
      </c>
      <c r="S283">
        <v>1</v>
      </c>
      <c r="T283">
        <v>0.93</v>
      </c>
      <c r="U283">
        <v>0.9</v>
      </c>
      <c r="V283">
        <v>0.9</v>
      </c>
      <c r="W283">
        <v>0.96</v>
      </c>
      <c r="X283">
        <v>0.97</v>
      </c>
      <c r="Y283">
        <v>0.94</v>
      </c>
      <c r="Z283">
        <v>0.96</v>
      </c>
      <c r="AA283" s="8">
        <v>0.85844748858447484</v>
      </c>
      <c r="AB283" s="8">
        <v>1.0349999999999999</v>
      </c>
      <c r="AC283" s="8">
        <v>0.98</v>
      </c>
      <c r="AE283">
        <v>102246</v>
      </c>
      <c r="AF283" t="s">
        <v>248</v>
      </c>
      <c r="AG283">
        <v>4093</v>
      </c>
      <c r="AH283">
        <v>4349</v>
      </c>
      <c r="AI283">
        <v>94.1</v>
      </c>
      <c r="AJ283" s="8">
        <f t="shared" si="9"/>
        <v>0.94099999999999995</v>
      </c>
      <c r="AL283">
        <v>102904</v>
      </c>
      <c r="AM283" s="8">
        <f t="shared" si="8"/>
        <v>0.98</v>
      </c>
    </row>
    <row r="284" spans="1:39" x14ac:dyDescent="0.25">
      <c r="A284">
        <v>102625</v>
      </c>
      <c r="B284" t="s">
        <v>529</v>
      </c>
      <c r="C284">
        <v>1.08</v>
      </c>
      <c r="D284">
        <v>0.99</v>
      </c>
      <c r="E284">
        <v>1.03</v>
      </c>
      <c r="F284">
        <v>0.94</v>
      </c>
      <c r="G284">
        <v>0.89</v>
      </c>
      <c r="H284">
        <v>0.97</v>
      </c>
      <c r="I284">
        <v>0.95</v>
      </c>
      <c r="J284">
        <v>0.98</v>
      </c>
      <c r="K284">
        <v>0.97</v>
      </c>
      <c r="L284">
        <v>0.95</v>
      </c>
      <c r="M284">
        <v>0.91</v>
      </c>
      <c r="N284">
        <v>0.89</v>
      </c>
      <c r="O284">
        <v>0.87</v>
      </c>
      <c r="P284">
        <v>0.93</v>
      </c>
      <c r="Q284">
        <v>1.08</v>
      </c>
      <c r="R284">
        <v>0.87</v>
      </c>
      <c r="S284">
        <v>0.95</v>
      </c>
      <c r="T284">
        <v>0.91</v>
      </c>
      <c r="U284">
        <v>0.87</v>
      </c>
      <c r="V284">
        <v>0.84</v>
      </c>
      <c r="W284">
        <v>0.91</v>
      </c>
      <c r="X284">
        <v>0.91</v>
      </c>
      <c r="Y284">
        <v>0.89</v>
      </c>
      <c r="Z284">
        <v>0.88</v>
      </c>
      <c r="AA284" s="8">
        <v>0.79484402079722705</v>
      </c>
      <c r="AB284" s="8">
        <v>1.0190000000000001</v>
      </c>
      <c r="AC284" s="8">
        <v>0.96799999999999997</v>
      </c>
      <c r="AE284">
        <v>102211</v>
      </c>
      <c r="AF284" t="s">
        <v>338</v>
      </c>
      <c r="AG284">
        <v>3948</v>
      </c>
      <c r="AH284">
        <v>4197</v>
      </c>
      <c r="AI284">
        <v>94.1</v>
      </c>
      <c r="AJ284" s="8">
        <f t="shared" si="9"/>
        <v>0.94099999999999995</v>
      </c>
      <c r="AL284">
        <v>102625</v>
      </c>
      <c r="AM284" s="8">
        <f t="shared" si="8"/>
        <v>0.96799999999999997</v>
      </c>
    </row>
    <row r="285" spans="1:39" x14ac:dyDescent="0.25">
      <c r="A285">
        <v>102318</v>
      </c>
      <c r="B285" t="s">
        <v>355</v>
      </c>
      <c r="C285">
        <v>1.1100000000000001</v>
      </c>
      <c r="D285">
        <v>1.02</v>
      </c>
      <c r="E285">
        <v>1.04</v>
      </c>
      <c r="F285">
        <v>0.98</v>
      </c>
      <c r="G285">
        <v>0.91</v>
      </c>
      <c r="H285">
        <v>0.99</v>
      </c>
      <c r="I285">
        <v>0.94</v>
      </c>
      <c r="J285">
        <v>0.96</v>
      </c>
      <c r="K285">
        <v>0.98</v>
      </c>
      <c r="L285">
        <v>0.95</v>
      </c>
      <c r="M285">
        <v>0.92</v>
      </c>
      <c r="N285">
        <v>0.9</v>
      </c>
      <c r="O285">
        <v>0.91</v>
      </c>
      <c r="P285">
        <v>0.95</v>
      </c>
      <c r="Q285">
        <v>1.1100000000000001</v>
      </c>
      <c r="R285">
        <v>0.91</v>
      </c>
      <c r="S285">
        <v>1</v>
      </c>
      <c r="T285">
        <v>0.98</v>
      </c>
      <c r="U285">
        <v>0.87</v>
      </c>
      <c r="V285">
        <v>0.91</v>
      </c>
      <c r="W285">
        <v>0.95</v>
      </c>
      <c r="X285">
        <v>0.93</v>
      </c>
      <c r="Y285">
        <v>0.88</v>
      </c>
      <c r="Z285">
        <v>0.86</v>
      </c>
      <c r="AA285" s="8">
        <v>0.83177975287231731</v>
      </c>
      <c r="AB285" s="8">
        <v>1</v>
      </c>
      <c r="AC285" s="8">
        <v>0.93599999999999994</v>
      </c>
      <c r="AE285">
        <v>102904</v>
      </c>
      <c r="AF285" t="s">
        <v>50</v>
      </c>
      <c r="AG285">
        <v>5576</v>
      </c>
      <c r="AH285">
        <v>5688</v>
      </c>
      <c r="AI285">
        <v>98</v>
      </c>
      <c r="AJ285" s="8">
        <f t="shared" si="9"/>
        <v>0.98</v>
      </c>
      <c r="AL285">
        <v>102318</v>
      </c>
      <c r="AM285" s="8">
        <f t="shared" si="8"/>
        <v>0.93599999999999994</v>
      </c>
    </row>
    <row r="286" spans="1:39" x14ac:dyDescent="0.25">
      <c r="A286">
        <v>102329</v>
      </c>
      <c r="B286" t="s">
        <v>362</v>
      </c>
      <c r="C286">
        <v>1.1000000000000001</v>
      </c>
      <c r="D286">
        <v>0.97</v>
      </c>
      <c r="E286">
        <v>1.01</v>
      </c>
      <c r="F286">
        <v>0.93</v>
      </c>
      <c r="G286">
        <v>0.86</v>
      </c>
      <c r="H286">
        <v>1.01</v>
      </c>
      <c r="I286">
        <v>0.96</v>
      </c>
      <c r="J286">
        <v>1</v>
      </c>
      <c r="K286">
        <v>1</v>
      </c>
      <c r="L286">
        <v>0.98</v>
      </c>
      <c r="M286">
        <v>0.93</v>
      </c>
      <c r="N286">
        <v>0.93</v>
      </c>
      <c r="O286">
        <v>0.91</v>
      </c>
      <c r="P286">
        <v>0.99</v>
      </c>
      <c r="Q286">
        <v>1.1499999999999999</v>
      </c>
      <c r="R286">
        <v>0.94</v>
      </c>
      <c r="S286">
        <v>1.03</v>
      </c>
      <c r="T286">
        <v>1</v>
      </c>
      <c r="U286">
        <v>0.9</v>
      </c>
      <c r="V286">
        <v>0.88</v>
      </c>
      <c r="W286">
        <v>0.95</v>
      </c>
      <c r="X286">
        <v>0.94</v>
      </c>
      <c r="Y286">
        <v>0.92</v>
      </c>
      <c r="Z286">
        <v>0.89</v>
      </c>
      <c r="AA286" s="8">
        <v>0.81924062427207078</v>
      </c>
      <c r="AB286" s="8">
        <v>1.0009999999999999</v>
      </c>
      <c r="AC286" s="8">
        <v>0.93700000000000006</v>
      </c>
      <c r="AE286">
        <v>102318</v>
      </c>
      <c r="AF286" t="s">
        <v>355</v>
      </c>
      <c r="AG286">
        <v>4105</v>
      </c>
      <c r="AH286">
        <v>4388</v>
      </c>
      <c r="AI286">
        <v>93.6</v>
      </c>
      <c r="AJ286" s="8">
        <f t="shared" si="9"/>
        <v>0.93599999999999994</v>
      </c>
      <c r="AL286">
        <v>102329</v>
      </c>
      <c r="AM286" s="8">
        <f t="shared" si="8"/>
        <v>0.93700000000000006</v>
      </c>
    </row>
    <row r="287" spans="1:39" x14ac:dyDescent="0.25">
      <c r="A287">
        <v>102605</v>
      </c>
      <c r="B287" t="s">
        <v>207</v>
      </c>
      <c r="C287">
        <v>1.08</v>
      </c>
      <c r="D287">
        <v>0.98</v>
      </c>
      <c r="E287">
        <v>1.03</v>
      </c>
      <c r="F287">
        <v>0.95</v>
      </c>
      <c r="G287">
        <v>0.89</v>
      </c>
      <c r="H287">
        <v>0.99</v>
      </c>
      <c r="I287">
        <v>0.96</v>
      </c>
      <c r="J287">
        <v>0.98</v>
      </c>
      <c r="K287">
        <v>0.98</v>
      </c>
      <c r="L287">
        <v>0.94</v>
      </c>
      <c r="M287">
        <v>0.92</v>
      </c>
      <c r="N287">
        <v>0.92</v>
      </c>
      <c r="O287">
        <v>0.89</v>
      </c>
      <c r="P287">
        <v>0.96</v>
      </c>
      <c r="Q287">
        <v>1.1200000000000001</v>
      </c>
      <c r="R287">
        <v>0.9</v>
      </c>
      <c r="S287">
        <v>0.99</v>
      </c>
      <c r="T287">
        <v>0.94</v>
      </c>
      <c r="U287">
        <v>0.9</v>
      </c>
      <c r="V287">
        <v>0.88</v>
      </c>
      <c r="W287">
        <v>0.94</v>
      </c>
      <c r="X287">
        <v>0.93</v>
      </c>
      <c r="Y287">
        <v>0.91</v>
      </c>
      <c r="Z287">
        <v>0.91</v>
      </c>
      <c r="AA287" s="8">
        <v>0.8163702592671952</v>
      </c>
      <c r="AB287" s="8">
        <v>1.016</v>
      </c>
      <c r="AC287" s="8">
        <v>0.94499999999999995</v>
      </c>
      <c r="AE287">
        <v>102610</v>
      </c>
      <c r="AF287" t="s">
        <v>1231</v>
      </c>
      <c r="AG287">
        <v>4196</v>
      </c>
      <c r="AH287">
        <v>4378</v>
      </c>
      <c r="AI287">
        <v>95.8</v>
      </c>
      <c r="AJ287" s="8">
        <f t="shared" si="9"/>
        <v>0.95799999999999996</v>
      </c>
      <c r="AL287">
        <v>102605</v>
      </c>
      <c r="AM287" s="8">
        <f t="shared" si="8"/>
        <v>0.94499999999999995</v>
      </c>
    </row>
    <row r="288" spans="1:39" x14ac:dyDescent="0.25">
      <c r="A288">
        <v>102311</v>
      </c>
      <c r="B288" t="s">
        <v>363</v>
      </c>
      <c r="C288">
        <v>1.1100000000000001</v>
      </c>
      <c r="D288">
        <v>1.02</v>
      </c>
      <c r="E288">
        <v>1.04</v>
      </c>
      <c r="F288">
        <v>0.97</v>
      </c>
      <c r="G288">
        <v>0.91</v>
      </c>
      <c r="H288">
        <v>0.99</v>
      </c>
      <c r="I288">
        <v>0.94</v>
      </c>
      <c r="J288">
        <v>0.97</v>
      </c>
      <c r="K288">
        <v>0.99</v>
      </c>
      <c r="L288">
        <v>0.95</v>
      </c>
      <c r="M288">
        <v>0.91</v>
      </c>
      <c r="N288">
        <v>0.9</v>
      </c>
      <c r="O288">
        <v>0.91</v>
      </c>
      <c r="P288">
        <v>0.95</v>
      </c>
      <c r="Q288">
        <v>1.1000000000000001</v>
      </c>
      <c r="R288">
        <v>0.92</v>
      </c>
      <c r="S288">
        <v>0.99</v>
      </c>
      <c r="T288">
        <v>0.97</v>
      </c>
      <c r="U288">
        <v>0.87</v>
      </c>
      <c r="V288">
        <v>0.91</v>
      </c>
      <c r="W288">
        <v>0.95</v>
      </c>
      <c r="X288">
        <v>0.93</v>
      </c>
      <c r="Y288">
        <v>0.88</v>
      </c>
      <c r="Z288">
        <v>0.87</v>
      </c>
      <c r="AA288" s="8">
        <v>0.84387351778656128</v>
      </c>
      <c r="AB288" s="8">
        <v>1.0129999999999999</v>
      </c>
      <c r="AC288" s="8">
        <v>0.94200000000000006</v>
      </c>
      <c r="AE288">
        <v>102329</v>
      </c>
      <c r="AF288" t="s">
        <v>362</v>
      </c>
      <c r="AG288">
        <v>3786</v>
      </c>
      <c r="AH288">
        <v>4040</v>
      </c>
      <c r="AI288">
        <v>93.7</v>
      </c>
      <c r="AJ288" s="8">
        <f t="shared" si="9"/>
        <v>0.93700000000000006</v>
      </c>
      <c r="AL288">
        <v>102311</v>
      </c>
      <c r="AM288" s="8">
        <f t="shared" si="8"/>
        <v>0.94200000000000006</v>
      </c>
    </row>
    <row r="289" spans="1:39" x14ac:dyDescent="0.25">
      <c r="A289">
        <v>102422</v>
      </c>
      <c r="B289" t="s">
        <v>910</v>
      </c>
      <c r="Y289">
        <v>0.91</v>
      </c>
      <c r="Z289">
        <v>0.9</v>
      </c>
      <c r="AA289" s="8">
        <v>0.85031229808313591</v>
      </c>
      <c r="AB289" s="8">
        <v>1.002</v>
      </c>
      <c r="AC289" s="8">
        <v>0.93900000000000006</v>
      </c>
      <c r="AE289">
        <v>102605</v>
      </c>
      <c r="AF289" t="s">
        <v>207</v>
      </c>
      <c r="AG289">
        <v>4200</v>
      </c>
      <c r="AH289">
        <v>4443</v>
      </c>
      <c r="AI289">
        <v>94.5</v>
      </c>
      <c r="AJ289" s="8">
        <f t="shared" si="9"/>
        <v>0.94499999999999995</v>
      </c>
      <c r="AL289">
        <v>102422</v>
      </c>
      <c r="AM289" s="8">
        <f t="shared" si="8"/>
        <v>0.93900000000000006</v>
      </c>
    </row>
    <row r="290" spans="1:39" x14ac:dyDescent="0.25">
      <c r="A290">
        <v>102102</v>
      </c>
      <c r="B290" t="s">
        <v>367</v>
      </c>
      <c r="C290">
        <v>1.1000000000000001</v>
      </c>
      <c r="D290">
        <v>0.99</v>
      </c>
      <c r="E290">
        <v>1.02</v>
      </c>
      <c r="F290">
        <v>0.95</v>
      </c>
      <c r="G290">
        <v>0.89</v>
      </c>
      <c r="H290">
        <v>1</v>
      </c>
      <c r="I290">
        <v>0.96</v>
      </c>
      <c r="J290">
        <v>1</v>
      </c>
      <c r="K290">
        <v>1.01</v>
      </c>
      <c r="L290">
        <v>0.98</v>
      </c>
      <c r="M290">
        <v>0.95</v>
      </c>
      <c r="N290">
        <v>0.92</v>
      </c>
      <c r="O290">
        <v>0.92</v>
      </c>
      <c r="P290">
        <v>0.97</v>
      </c>
      <c r="Q290">
        <v>1.1299999999999999</v>
      </c>
      <c r="R290">
        <v>0.97</v>
      </c>
      <c r="S290">
        <v>1.01</v>
      </c>
      <c r="T290">
        <v>1</v>
      </c>
      <c r="U290">
        <v>0.87</v>
      </c>
      <c r="V290">
        <v>0.92</v>
      </c>
      <c r="W290">
        <v>0.95</v>
      </c>
      <c r="X290">
        <v>0.97</v>
      </c>
      <c r="Y290">
        <v>0.91</v>
      </c>
      <c r="Z290">
        <v>0.9</v>
      </c>
      <c r="AA290" s="8">
        <v>0.84258096911875469</v>
      </c>
      <c r="AB290" s="8">
        <v>0.98799999999999999</v>
      </c>
      <c r="AC290" s="8">
        <v>0.92400000000000004</v>
      </c>
      <c r="AE290">
        <v>102311</v>
      </c>
      <c r="AF290" t="s">
        <v>363</v>
      </c>
      <c r="AG290">
        <v>4054</v>
      </c>
      <c r="AH290">
        <v>4304</v>
      </c>
      <c r="AI290">
        <v>94.2</v>
      </c>
      <c r="AJ290" s="8">
        <f t="shared" si="9"/>
        <v>0.94200000000000006</v>
      </c>
      <c r="AL290">
        <v>102102</v>
      </c>
      <c r="AM290" s="8">
        <f t="shared" si="8"/>
        <v>0.92400000000000004</v>
      </c>
    </row>
    <row r="291" spans="1:39" x14ac:dyDescent="0.25">
      <c r="A291">
        <v>102224</v>
      </c>
      <c r="B291" t="s">
        <v>281</v>
      </c>
      <c r="C291">
        <v>1.07</v>
      </c>
      <c r="D291">
        <v>0.97</v>
      </c>
      <c r="E291">
        <v>1.02</v>
      </c>
      <c r="F291">
        <v>0.97</v>
      </c>
      <c r="G291">
        <v>0.9</v>
      </c>
      <c r="H291">
        <v>1.01</v>
      </c>
      <c r="I291">
        <v>0.97</v>
      </c>
      <c r="J291">
        <v>0.98</v>
      </c>
      <c r="K291">
        <v>0.97</v>
      </c>
      <c r="L291">
        <v>0.96</v>
      </c>
      <c r="M291">
        <v>0.93</v>
      </c>
      <c r="N291">
        <v>0.92</v>
      </c>
      <c r="O291">
        <v>0.92</v>
      </c>
      <c r="P291">
        <v>0.97</v>
      </c>
      <c r="Q291">
        <v>1.1399999999999999</v>
      </c>
      <c r="R291">
        <v>0.89</v>
      </c>
      <c r="S291">
        <v>0.98</v>
      </c>
      <c r="T291">
        <v>0.96</v>
      </c>
      <c r="U291">
        <v>0.86</v>
      </c>
      <c r="V291">
        <v>0.88</v>
      </c>
      <c r="W291">
        <v>0.94</v>
      </c>
      <c r="X291">
        <v>0.93</v>
      </c>
      <c r="Y291">
        <v>0.92</v>
      </c>
      <c r="Z291">
        <v>0.9</v>
      </c>
      <c r="AA291" s="8">
        <v>0.82272431023245707</v>
      </c>
      <c r="AB291" s="8">
        <v>0.99099999999999999</v>
      </c>
      <c r="AC291" s="8">
        <v>0.94</v>
      </c>
      <c r="AE291">
        <v>102102</v>
      </c>
      <c r="AF291" t="s">
        <v>367</v>
      </c>
      <c r="AG291">
        <v>3445</v>
      </c>
      <c r="AH291">
        <v>3729</v>
      </c>
      <c r="AI291">
        <v>92.4</v>
      </c>
      <c r="AJ291" s="8">
        <f t="shared" si="9"/>
        <v>0.92400000000000004</v>
      </c>
      <c r="AL291">
        <v>102224</v>
      </c>
      <c r="AM291" s="8">
        <f t="shared" si="8"/>
        <v>0.94</v>
      </c>
    </row>
    <row r="292" spans="1:39" x14ac:dyDescent="0.25">
      <c r="A292">
        <v>102804</v>
      </c>
      <c r="B292" t="s">
        <v>370</v>
      </c>
      <c r="C292">
        <v>1.0900000000000001</v>
      </c>
      <c r="D292">
        <v>0.97</v>
      </c>
      <c r="E292">
        <v>1.01</v>
      </c>
      <c r="F292">
        <v>1</v>
      </c>
      <c r="G292">
        <v>0.94</v>
      </c>
      <c r="H292">
        <v>1.01</v>
      </c>
      <c r="I292">
        <v>0.95</v>
      </c>
      <c r="J292">
        <v>0.96</v>
      </c>
      <c r="K292">
        <v>0.96</v>
      </c>
      <c r="L292">
        <v>0.94</v>
      </c>
      <c r="M292">
        <v>0.91</v>
      </c>
      <c r="N292">
        <v>0.95</v>
      </c>
      <c r="O292">
        <v>0.95</v>
      </c>
      <c r="P292">
        <v>1</v>
      </c>
      <c r="Q292">
        <v>1.1200000000000001</v>
      </c>
      <c r="R292">
        <v>0.92</v>
      </c>
      <c r="S292">
        <v>1</v>
      </c>
      <c r="T292">
        <v>0.96</v>
      </c>
      <c r="U292">
        <v>0.9</v>
      </c>
      <c r="V292">
        <v>0.94</v>
      </c>
      <c r="W292">
        <v>0.96</v>
      </c>
      <c r="X292">
        <v>0.97</v>
      </c>
      <c r="Y292">
        <v>0.96</v>
      </c>
      <c r="Z292">
        <v>0.95</v>
      </c>
      <c r="AA292" s="8">
        <v>0.8613691090471276</v>
      </c>
      <c r="AB292" s="8">
        <v>1.016</v>
      </c>
      <c r="AC292" s="8">
        <v>0.96200000000000008</v>
      </c>
      <c r="AE292">
        <v>102614</v>
      </c>
      <c r="AF292" t="s">
        <v>437</v>
      </c>
      <c r="AG292">
        <v>4169</v>
      </c>
      <c r="AH292">
        <v>4258</v>
      </c>
      <c r="AI292">
        <v>97.9</v>
      </c>
      <c r="AJ292" s="8">
        <f t="shared" si="9"/>
        <v>0.97900000000000009</v>
      </c>
      <c r="AL292">
        <v>102804</v>
      </c>
      <c r="AM292" s="8">
        <f t="shared" si="8"/>
        <v>0.96200000000000008</v>
      </c>
    </row>
    <row r="293" spans="1:39" x14ac:dyDescent="0.25">
      <c r="A293">
        <v>102809</v>
      </c>
      <c r="B293" t="s">
        <v>156</v>
      </c>
      <c r="C293">
        <v>1.1000000000000001</v>
      </c>
      <c r="D293">
        <v>1.05</v>
      </c>
      <c r="E293">
        <v>1.06</v>
      </c>
      <c r="F293">
        <v>1.02</v>
      </c>
      <c r="G293">
        <v>1.02</v>
      </c>
      <c r="H293">
        <v>1.01</v>
      </c>
      <c r="I293">
        <v>0.92</v>
      </c>
      <c r="J293">
        <v>0.91</v>
      </c>
      <c r="K293">
        <v>0.92</v>
      </c>
      <c r="L293">
        <v>0.89</v>
      </c>
      <c r="M293">
        <v>0.89</v>
      </c>
      <c r="N293">
        <v>0.93</v>
      </c>
      <c r="O293">
        <v>0.93</v>
      </c>
      <c r="P293">
        <v>0.96</v>
      </c>
      <c r="Q293">
        <v>1.0900000000000001</v>
      </c>
      <c r="R293">
        <v>0.88</v>
      </c>
      <c r="S293">
        <v>1.01</v>
      </c>
      <c r="T293">
        <v>0.95</v>
      </c>
      <c r="U293">
        <v>0.9</v>
      </c>
      <c r="V293">
        <v>0.9</v>
      </c>
      <c r="W293">
        <v>0.95</v>
      </c>
      <c r="X293">
        <v>0.96</v>
      </c>
      <c r="Y293">
        <v>0.93</v>
      </c>
      <c r="Z293">
        <v>0.96</v>
      </c>
      <c r="AA293" s="8">
        <v>0.89064208717387905</v>
      </c>
      <c r="AB293" s="8">
        <v>1.012</v>
      </c>
      <c r="AC293" s="8">
        <v>0.95400000000000007</v>
      </c>
      <c r="AE293">
        <v>102224</v>
      </c>
      <c r="AF293" t="s">
        <v>281</v>
      </c>
      <c r="AG293">
        <v>4115</v>
      </c>
      <c r="AH293">
        <v>4380</v>
      </c>
      <c r="AI293">
        <v>94</v>
      </c>
      <c r="AJ293" s="8">
        <f t="shared" si="9"/>
        <v>0.94</v>
      </c>
      <c r="AL293">
        <v>102809</v>
      </c>
      <c r="AM293" s="8">
        <f t="shared" si="8"/>
        <v>0.95400000000000007</v>
      </c>
    </row>
    <row r="294" spans="1:39" x14ac:dyDescent="0.25">
      <c r="A294">
        <v>102501</v>
      </c>
      <c r="B294" t="s">
        <v>217</v>
      </c>
      <c r="C294">
        <v>1.08</v>
      </c>
      <c r="D294">
        <v>0.98</v>
      </c>
      <c r="E294">
        <v>1.04</v>
      </c>
      <c r="F294">
        <v>0.99</v>
      </c>
      <c r="G294">
        <v>0.92</v>
      </c>
      <c r="H294">
        <v>1.03</v>
      </c>
      <c r="I294">
        <v>0.98</v>
      </c>
      <c r="J294">
        <v>0.98</v>
      </c>
      <c r="K294">
        <v>0.97</v>
      </c>
      <c r="L294">
        <v>0.95</v>
      </c>
      <c r="M294">
        <v>0.93</v>
      </c>
      <c r="N294">
        <v>0.93</v>
      </c>
      <c r="O294">
        <v>0.93</v>
      </c>
      <c r="P294">
        <v>0.98</v>
      </c>
      <c r="Q294">
        <v>1.1499999999999999</v>
      </c>
      <c r="R294">
        <v>0.92</v>
      </c>
      <c r="S294">
        <v>1.02</v>
      </c>
      <c r="T294">
        <v>0.98</v>
      </c>
      <c r="U294">
        <v>0.89</v>
      </c>
      <c r="V294">
        <v>0.92</v>
      </c>
      <c r="W294">
        <v>0.96</v>
      </c>
      <c r="X294">
        <v>0.96</v>
      </c>
      <c r="Y294">
        <v>0.93</v>
      </c>
      <c r="Z294">
        <v>0.93</v>
      </c>
      <c r="AA294" s="8">
        <v>0.84648850217526417</v>
      </c>
      <c r="AB294" s="8">
        <v>1.01</v>
      </c>
      <c r="AC294" s="8">
        <v>0.95299999999999996</v>
      </c>
      <c r="AE294">
        <v>102804</v>
      </c>
      <c r="AF294" t="s">
        <v>370</v>
      </c>
      <c r="AG294">
        <v>5472</v>
      </c>
      <c r="AH294">
        <v>5685</v>
      </c>
      <c r="AI294">
        <v>96.2</v>
      </c>
      <c r="AJ294" s="8">
        <f t="shared" si="9"/>
        <v>0.96200000000000008</v>
      </c>
      <c r="AL294">
        <v>102501</v>
      </c>
      <c r="AM294" s="8">
        <f t="shared" si="8"/>
        <v>0.95299999999999996</v>
      </c>
    </row>
    <row r="295" spans="1:39" x14ac:dyDescent="0.25">
      <c r="A295">
        <v>102324</v>
      </c>
      <c r="B295" t="s">
        <v>77</v>
      </c>
      <c r="C295">
        <v>1.1200000000000001</v>
      </c>
      <c r="D295">
        <v>1.02</v>
      </c>
      <c r="E295">
        <v>1.05</v>
      </c>
      <c r="F295">
        <v>0.98</v>
      </c>
      <c r="G295">
        <v>0.92</v>
      </c>
      <c r="H295">
        <v>1</v>
      </c>
      <c r="I295">
        <v>0.95</v>
      </c>
      <c r="J295">
        <v>0.99</v>
      </c>
      <c r="K295">
        <v>1.01</v>
      </c>
      <c r="L295">
        <v>0.98</v>
      </c>
      <c r="M295">
        <v>0.95</v>
      </c>
      <c r="N295">
        <v>0.95</v>
      </c>
      <c r="O295">
        <v>0.95</v>
      </c>
      <c r="P295">
        <v>1</v>
      </c>
      <c r="Q295">
        <v>1.1299999999999999</v>
      </c>
      <c r="R295">
        <v>0.96</v>
      </c>
      <c r="S295">
        <v>1.04</v>
      </c>
      <c r="T295">
        <v>1</v>
      </c>
      <c r="U295">
        <v>0.9</v>
      </c>
      <c r="V295">
        <v>0.93</v>
      </c>
      <c r="W295">
        <v>0.96</v>
      </c>
      <c r="X295">
        <v>0.95</v>
      </c>
      <c r="Y295">
        <v>0.9</v>
      </c>
      <c r="Z295">
        <v>0.9</v>
      </c>
      <c r="AA295" s="8">
        <v>0.86044003451251083</v>
      </c>
      <c r="AB295" s="8">
        <v>1.0049999999999999</v>
      </c>
      <c r="AC295" s="8">
        <v>0.95</v>
      </c>
      <c r="AE295">
        <v>102809</v>
      </c>
      <c r="AF295" t="s">
        <v>156</v>
      </c>
      <c r="AG295">
        <v>5818</v>
      </c>
      <c r="AH295">
        <v>6097</v>
      </c>
      <c r="AI295">
        <v>95.4</v>
      </c>
      <c r="AJ295" s="8">
        <f t="shared" si="9"/>
        <v>0.95400000000000007</v>
      </c>
      <c r="AL295">
        <v>102324</v>
      </c>
      <c r="AM295" s="8">
        <f t="shared" si="8"/>
        <v>0.95</v>
      </c>
    </row>
    <row r="296" spans="1:39" x14ac:dyDescent="0.25">
      <c r="A296">
        <v>102140</v>
      </c>
      <c r="B296" t="s">
        <v>482</v>
      </c>
      <c r="Y296">
        <v>0.87</v>
      </c>
      <c r="Z296">
        <v>0.85</v>
      </c>
      <c r="AA296" s="8">
        <v>0.83037721708718459</v>
      </c>
      <c r="AB296" s="8">
        <v>1.0090000000000001</v>
      </c>
      <c r="AC296" s="8">
        <v>0.93900000000000006</v>
      </c>
      <c r="AE296">
        <v>102501</v>
      </c>
      <c r="AF296" t="s">
        <v>217</v>
      </c>
      <c r="AG296">
        <v>4462</v>
      </c>
      <c r="AH296">
        <v>4685</v>
      </c>
      <c r="AI296">
        <v>95.3</v>
      </c>
      <c r="AJ296" s="8">
        <f t="shared" si="9"/>
        <v>0.95299999999999996</v>
      </c>
      <c r="AL296">
        <v>102140</v>
      </c>
      <c r="AM296" s="8">
        <f t="shared" si="8"/>
        <v>0.93900000000000006</v>
      </c>
    </row>
    <row r="297" spans="1:39" x14ac:dyDescent="0.25">
      <c r="A297">
        <v>102404</v>
      </c>
      <c r="B297" t="s">
        <v>310</v>
      </c>
      <c r="C297">
        <v>1.1200000000000001</v>
      </c>
      <c r="D297">
        <v>1.01</v>
      </c>
      <c r="E297">
        <v>1.05</v>
      </c>
      <c r="F297">
        <v>0.97</v>
      </c>
      <c r="G297">
        <v>0.91</v>
      </c>
      <c r="H297">
        <v>0.99</v>
      </c>
      <c r="I297">
        <v>0.94</v>
      </c>
      <c r="J297">
        <v>0.98</v>
      </c>
      <c r="K297">
        <v>0.98</v>
      </c>
      <c r="L297">
        <v>0.96</v>
      </c>
      <c r="M297">
        <v>0.92</v>
      </c>
      <c r="N297">
        <v>0.92</v>
      </c>
      <c r="O297">
        <v>0.91</v>
      </c>
      <c r="P297">
        <v>0.98</v>
      </c>
      <c r="Q297">
        <v>1.1299999999999999</v>
      </c>
      <c r="R297">
        <v>0.91</v>
      </c>
      <c r="S297">
        <v>1.02</v>
      </c>
      <c r="T297">
        <v>0.98</v>
      </c>
      <c r="U297">
        <v>0.9</v>
      </c>
      <c r="V297">
        <v>0.91</v>
      </c>
      <c r="W297">
        <v>0.94</v>
      </c>
      <c r="X297">
        <v>0.93</v>
      </c>
      <c r="Y297">
        <v>0.91</v>
      </c>
      <c r="Z297">
        <v>0.88</v>
      </c>
      <c r="AA297" s="8">
        <v>0.81558556564091211</v>
      </c>
      <c r="AB297" s="8">
        <v>1.0070000000000001</v>
      </c>
      <c r="AC297" s="8">
        <v>0.93900000000000006</v>
      </c>
      <c r="AE297">
        <v>102324</v>
      </c>
      <c r="AF297" t="s">
        <v>77</v>
      </c>
      <c r="AG297">
        <v>4283</v>
      </c>
      <c r="AH297">
        <v>4509</v>
      </c>
      <c r="AI297">
        <v>95</v>
      </c>
      <c r="AJ297" s="8">
        <f t="shared" si="9"/>
        <v>0.95</v>
      </c>
      <c r="AL297">
        <v>102404</v>
      </c>
      <c r="AM297" s="8">
        <f t="shared" si="8"/>
        <v>0.93900000000000006</v>
      </c>
    </row>
    <row r="298" spans="1:39" x14ac:dyDescent="0.25">
      <c r="A298">
        <v>102304</v>
      </c>
      <c r="B298" t="s">
        <v>79</v>
      </c>
      <c r="C298">
        <v>1.1200000000000001</v>
      </c>
      <c r="D298">
        <v>1.02</v>
      </c>
      <c r="E298">
        <v>1.04</v>
      </c>
      <c r="F298">
        <v>0.97</v>
      </c>
      <c r="G298">
        <v>0.91</v>
      </c>
      <c r="H298">
        <v>0.99</v>
      </c>
      <c r="I298">
        <v>0.95</v>
      </c>
      <c r="J298">
        <v>0.98</v>
      </c>
      <c r="K298">
        <v>1</v>
      </c>
      <c r="L298">
        <v>0.95</v>
      </c>
      <c r="M298">
        <v>0.92</v>
      </c>
      <c r="N298">
        <v>0.9</v>
      </c>
      <c r="O298">
        <v>0.91</v>
      </c>
      <c r="P298">
        <v>0.95</v>
      </c>
      <c r="Q298">
        <v>1.1100000000000001</v>
      </c>
      <c r="R298">
        <v>0.92</v>
      </c>
      <c r="S298">
        <v>1.01</v>
      </c>
      <c r="T298">
        <v>0.97</v>
      </c>
      <c r="U298">
        <v>0.87</v>
      </c>
      <c r="V298">
        <v>0.91</v>
      </c>
      <c r="W298">
        <v>0.95</v>
      </c>
      <c r="X298">
        <v>0.94</v>
      </c>
      <c r="Y298">
        <v>0.89</v>
      </c>
      <c r="Z298">
        <v>0.88</v>
      </c>
      <c r="AA298" s="8">
        <v>0.85746251957932418</v>
      </c>
      <c r="AB298" s="8">
        <v>1.016</v>
      </c>
      <c r="AC298" s="8">
        <v>0.94099999999999995</v>
      </c>
      <c r="AE298">
        <v>102140</v>
      </c>
      <c r="AF298" t="s">
        <v>482</v>
      </c>
      <c r="AG298">
        <v>3578</v>
      </c>
      <c r="AH298">
        <v>3810</v>
      </c>
      <c r="AI298">
        <v>93.9</v>
      </c>
      <c r="AJ298" s="8">
        <f t="shared" si="9"/>
        <v>0.93900000000000006</v>
      </c>
      <c r="AL298">
        <v>102304</v>
      </c>
      <c r="AM298" s="8">
        <f t="shared" si="8"/>
        <v>0.94099999999999995</v>
      </c>
    </row>
    <row r="299" spans="1:39" x14ac:dyDescent="0.25">
      <c r="A299">
        <v>102715</v>
      </c>
      <c r="B299" t="s">
        <v>438</v>
      </c>
      <c r="C299">
        <v>1.07</v>
      </c>
      <c r="D299">
        <v>0.96</v>
      </c>
      <c r="E299">
        <v>1</v>
      </c>
      <c r="F299">
        <v>0.97</v>
      </c>
      <c r="G299">
        <v>0.92</v>
      </c>
      <c r="H299">
        <v>1.02</v>
      </c>
      <c r="I299">
        <v>0.98</v>
      </c>
      <c r="J299">
        <v>0.96</v>
      </c>
      <c r="K299">
        <v>0.96</v>
      </c>
      <c r="L299">
        <v>0.94</v>
      </c>
      <c r="M299">
        <v>0.91</v>
      </c>
      <c r="N299">
        <v>0.93</v>
      </c>
      <c r="O299">
        <v>0.93</v>
      </c>
      <c r="P299">
        <v>0.97</v>
      </c>
      <c r="Q299">
        <v>1.08</v>
      </c>
      <c r="R299">
        <v>0.9</v>
      </c>
      <c r="S299">
        <v>0.99</v>
      </c>
      <c r="T299">
        <v>0.96</v>
      </c>
      <c r="U299">
        <v>0.88</v>
      </c>
      <c r="V299">
        <v>0.92</v>
      </c>
      <c r="W299">
        <v>0.94</v>
      </c>
      <c r="X299">
        <v>0.98</v>
      </c>
      <c r="Y299">
        <v>0.93</v>
      </c>
      <c r="Z299">
        <v>0.93</v>
      </c>
      <c r="AA299" s="8">
        <v>0.85831729928284062</v>
      </c>
      <c r="AB299" s="8">
        <v>1.0049999999999999</v>
      </c>
      <c r="AC299" s="8">
        <v>0.96099999999999997</v>
      </c>
      <c r="AE299">
        <v>102404</v>
      </c>
      <c r="AF299" t="s">
        <v>310</v>
      </c>
      <c r="AG299">
        <v>4108</v>
      </c>
      <c r="AH299">
        <v>4377</v>
      </c>
      <c r="AI299">
        <v>93.9</v>
      </c>
      <c r="AJ299" s="8">
        <f t="shared" si="9"/>
        <v>0.93900000000000006</v>
      </c>
      <c r="AL299">
        <v>102715</v>
      </c>
      <c r="AM299" s="8">
        <f t="shared" si="8"/>
        <v>0.96099999999999997</v>
      </c>
    </row>
    <row r="300" spans="1:39" x14ac:dyDescent="0.25">
      <c r="A300">
        <v>102003</v>
      </c>
      <c r="B300" t="s">
        <v>371</v>
      </c>
      <c r="C300">
        <v>1.04</v>
      </c>
      <c r="D300">
        <v>0.99</v>
      </c>
      <c r="E300">
        <v>1.06</v>
      </c>
      <c r="F300">
        <v>1.01</v>
      </c>
      <c r="G300">
        <v>0.93</v>
      </c>
      <c r="H300">
        <v>1.02</v>
      </c>
      <c r="I300">
        <v>0.98</v>
      </c>
      <c r="J300">
        <v>0.97</v>
      </c>
      <c r="K300">
        <v>1</v>
      </c>
      <c r="L300">
        <v>0.94</v>
      </c>
      <c r="M300">
        <v>0.94</v>
      </c>
      <c r="N300">
        <v>0.95</v>
      </c>
      <c r="O300">
        <v>0.95</v>
      </c>
      <c r="P300">
        <v>0.96</v>
      </c>
      <c r="Q300">
        <v>1.07</v>
      </c>
      <c r="R300">
        <v>0.91</v>
      </c>
      <c r="S300">
        <v>1.01</v>
      </c>
      <c r="T300">
        <v>0.95</v>
      </c>
      <c r="U300">
        <v>0.91</v>
      </c>
      <c r="V300">
        <v>0.89</v>
      </c>
      <c r="W300">
        <v>0.96</v>
      </c>
      <c r="X300">
        <v>0.97</v>
      </c>
      <c r="Y300">
        <v>0.96</v>
      </c>
      <c r="Z300">
        <v>1</v>
      </c>
      <c r="AA300" s="8">
        <v>0.87231035024344272</v>
      </c>
      <c r="AB300" s="8">
        <v>1.016</v>
      </c>
      <c r="AC300" s="8">
        <v>0.95200000000000007</v>
      </c>
      <c r="AE300">
        <v>102304</v>
      </c>
      <c r="AF300" t="s">
        <v>79</v>
      </c>
      <c r="AG300">
        <v>4016</v>
      </c>
      <c r="AH300">
        <v>4266</v>
      </c>
      <c r="AI300">
        <v>94.1</v>
      </c>
      <c r="AJ300" s="8">
        <f t="shared" si="9"/>
        <v>0.94099999999999995</v>
      </c>
      <c r="AL300">
        <v>102003</v>
      </c>
      <c r="AM300" s="8">
        <f t="shared" si="8"/>
        <v>0.95200000000000007</v>
      </c>
    </row>
    <row r="301" spans="1:39" x14ac:dyDescent="0.25">
      <c r="A301">
        <v>102111</v>
      </c>
      <c r="B301" t="s">
        <v>372</v>
      </c>
      <c r="C301">
        <v>1.1000000000000001</v>
      </c>
      <c r="D301">
        <v>1.01</v>
      </c>
      <c r="E301">
        <v>1.02</v>
      </c>
      <c r="F301">
        <v>0.95</v>
      </c>
      <c r="G301">
        <v>0.9</v>
      </c>
      <c r="H301">
        <v>0.99</v>
      </c>
      <c r="I301">
        <v>0.94</v>
      </c>
      <c r="J301">
        <v>0.96</v>
      </c>
      <c r="K301">
        <v>0.97</v>
      </c>
      <c r="L301">
        <v>0.94</v>
      </c>
      <c r="M301">
        <v>0.91</v>
      </c>
      <c r="N301">
        <v>0.89</v>
      </c>
      <c r="O301">
        <v>0.88</v>
      </c>
      <c r="P301">
        <v>0.93</v>
      </c>
      <c r="Q301">
        <v>1.1200000000000001</v>
      </c>
      <c r="R301">
        <v>0.91</v>
      </c>
      <c r="S301">
        <v>1</v>
      </c>
      <c r="T301">
        <v>0.97</v>
      </c>
      <c r="U301">
        <v>0.86</v>
      </c>
      <c r="V301">
        <v>0.92</v>
      </c>
      <c r="W301">
        <v>0.94</v>
      </c>
      <c r="X301">
        <v>0.94</v>
      </c>
      <c r="Y301">
        <v>0.88</v>
      </c>
      <c r="Z301">
        <v>0.86</v>
      </c>
      <c r="AA301" s="8">
        <v>0.8340341330695028</v>
      </c>
      <c r="AB301" s="8">
        <v>1.01</v>
      </c>
      <c r="AC301" s="8">
        <v>0.93799999999999994</v>
      </c>
      <c r="AE301">
        <v>102715</v>
      </c>
      <c r="AF301" t="s">
        <v>438</v>
      </c>
      <c r="AG301">
        <v>5334</v>
      </c>
      <c r="AH301">
        <v>5550</v>
      </c>
      <c r="AI301">
        <v>96.1</v>
      </c>
      <c r="AJ301" s="8">
        <f t="shared" si="9"/>
        <v>0.96099999999999997</v>
      </c>
      <c r="AL301">
        <v>102111</v>
      </c>
      <c r="AM301" s="8">
        <f t="shared" si="8"/>
        <v>0.93799999999999994</v>
      </c>
    </row>
    <row r="302" spans="1:39" x14ac:dyDescent="0.25">
      <c r="A302">
        <v>102236</v>
      </c>
      <c r="B302" t="s">
        <v>1053</v>
      </c>
      <c r="Y302">
        <v>0.95</v>
      </c>
      <c r="Z302">
        <v>0.91</v>
      </c>
      <c r="AA302" s="8">
        <v>0.87358062074186227</v>
      </c>
      <c r="AB302" s="8">
        <v>1.0090000000000001</v>
      </c>
      <c r="AC302" s="8">
        <v>0.92</v>
      </c>
      <c r="AE302">
        <v>102003</v>
      </c>
      <c r="AF302" t="s">
        <v>371</v>
      </c>
      <c r="AG302">
        <v>5928</v>
      </c>
      <c r="AH302">
        <v>6225</v>
      </c>
      <c r="AI302">
        <v>95.2</v>
      </c>
      <c r="AJ302" s="8">
        <f t="shared" si="9"/>
        <v>0.95200000000000007</v>
      </c>
      <c r="AL302">
        <v>102236</v>
      </c>
      <c r="AM302" s="8">
        <f t="shared" si="8"/>
        <v>0.92</v>
      </c>
    </row>
    <row r="303" spans="1:39" x14ac:dyDescent="0.25">
      <c r="A303">
        <v>102401</v>
      </c>
      <c r="B303" t="s">
        <v>177</v>
      </c>
      <c r="C303">
        <v>1.0900000000000001</v>
      </c>
      <c r="D303">
        <v>0.98</v>
      </c>
      <c r="E303">
        <v>1.03</v>
      </c>
      <c r="F303">
        <v>0.95</v>
      </c>
      <c r="G303">
        <v>0.9</v>
      </c>
      <c r="H303">
        <v>1</v>
      </c>
      <c r="I303">
        <v>0.96</v>
      </c>
      <c r="J303">
        <v>0.98</v>
      </c>
      <c r="K303">
        <v>0.98</v>
      </c>
      <c r="L303">
        <v>0.95</v>
      </c>
      <c r="M303">
        <v>0.92</v>
      </c>
      <c r="N303">
        <v>0.9</v>
      </c>
      <c r="O303">
        <v>0.89</v>
      </c>
      <c r="P303">
        <v>0.95</v>
      </c>
      <c r="Q303">
        <v>1.1000000000000001</v>
      </c>
      <c r="R303">
        <v>0.88</v>
      </c>
      <c r="S303">
        <v>0.96</v>
      </c>
      <c r="T303">
        <v>0.94</v>
      </c>
      <c r="U303">
        <v>0.85</v>
      </c>
      <c r="V303">
        <v>0.87</v>
      </c>
      <c r="W303">
        <v>0.93</v>
      </c>
      <c r="X303">
        <v>0.92</v>
      </c>
      <c r="Y303">
        <v>0.89</v>
      </c>
      <c r="Z303">
        <v>0.87</v>
      </c>
      <c r="AA303" s="8">
        <v>0.82295081967213113</v>
      </c>
      <c r="AB303" s="8">
        <v>1.006</v>
      </c>
      <c r="AC303" s="8">
        <v>0.94299999999999995</v>
      </c>
      <c r="AE303">
        <v>102111</v>
      </c>
      <c r="AF303" t="s">
        <v>372</v>
      </c>
      <c r="AG303">
        <v>3570</v>
      </c>
      <c r="AH303">
        <v>3806</v>
      </c>
      <c r="AI303">
        <v>93.8</v>
      </c>
      <c r="AJ303" s="8">
        <f t="shared" si="9"/>
        <v>0.93799999999999994</v>
      </c>
      <c r="AL303">
        <v>102401</v>
      </c>
      <c r="AM303" s="8">
        <f t="shared" si="8"/>
        <v>0.94299999999999995</v>
      </c>
    </row>
    <row r="304" spans="1:39" x14ac:dyDescent="0.25">
      <c r="A304">
        <v>102514</v>
      </c>
      <c r="B304" t="s">
        <v>521</v>
      </c>
      <c r="C304">
        <v>1.0900000000000001</v>
      </c>
      <c r="D304">
        <v>0.98</v>
      </c>
      <c r="E304">
        <v>1.03</v>
      </c>
      <c r="F304">
        <v>0.96</v>
      </c>
      <c r="G304">
        <v>0.89</v>
      </c>
      <c r="H304">
        <v>1</v>
      </c>
      <c r="I304">
        <v>0.96</v>
      </c>
      <c r="J304">
        <v>0.98</v>
      </c>
      <c r="K304">
        <v>0.97</v>
      </c>
      <c r="L304">
        <v>0.94</v>
      </c>
      <c r="M304">
        <v>0.92</v>
      </c>
      <c r="N304">
        <v>0.92</v>
      </c>
      <c r="O304">
        <v>0.9</v>
      </c>
      <c r="P304">
        <v>0.96</v>
      </c>
      <c r="Q304">
        <v>1.1200000000000001</v>
      </c>
      <c r="R304">
        <v>0.89</v>
      </c>
      <c r="S304">
        <v>0.98</v>
      </c>
      <c r="T304">
        <v>0.94</v>
      </c>
      <c r="U304">
        <v>0.89</v>
      </c>
      <c r="V304">
        <v>0.89</v>
      </c>
      <c r="W304">
        <v>0.94</v>
      </c>
      <c r="X304">
        <v>0.93</v>
      </c>
      <c r="Y304">
        <v>0.91</v>
      </c>
      <c r="Z304">
        <v>0.91</v>
      </c>
      <c r="AA304" s="8">
        <v>0.82047413793103452</v>
      </c>
      <c r="AB304" s="8">
        <v>1.0090000000000001</v>
      </c>
      <c r="AC304" s="8">
        <v>0.93299999999999994</v>
      </c>
      <c r="AE304">
        <v>102236</v>
      </c>
      <c r="AF304" t="s">
        <v>1053</v>
      </c>
      <c r="AG304">
        <v>3426</v>
      </c>
      <c r="AH304">
        <v>3723</v>
      </c>
      <c r="AI304">
        <v>92</v>
      </c>
      <c r="AJ304" s="8">
        <f t="shared" si="9"/>
        <v>0.92</v>
      </c>
      <c r="AL304">
        <v>102514</v>
      </c>
      <c r="AM304" s="8">
        <f t="shared" si="8"/>
        <v>0.93299999999999994</v>
      </c>
    </row>
    <row r="305" spans="1:39" x14ac:dyDescent="0.25">
      <c r="A305">
        <v>102131</v>
      </c>
      <c r="B305" t="s">
        <v>374</v>
      </c>
      <c r="C305">
        <v>1.1200000000000001</v>
      </c>
      <c r="D305">
        <v>1.03</v>
      </c>
      <c r="E305">
        <v>1.04</v>
      </c>
      <c r="F305">
        <v>0.97</v>
      </c>
      <c r="G305">
        <v>0.91</v>
      </c>
      <c r="H305">
        <v>0.97</v>
      </c>
      <c r="I305">
        <v>0.93</v>
      </c>
      <c r="J305">
        <v>0.96</v>
      </c>
      <c r="K305">
        <v>0.96</v>
      </c>
      <c r="L305">
        <v>0.95</v>
      </c>
      <c r="M305">
        <v>0.92</v>
      </c>
      <c r="N305">
        <v>0.91</v>
      </c>
      <c r="O305">
        <v>0.91</v>
      </c>
      <c r="P305">
        <v>0.96</v>
      </c>
      <c r="Q305">
        <v>1.1299999999999999</v>
      </c>
      <c r="R305">
        <v>0.93</v>
      </c>
      <c r="S305">
        <v>1.02</v>
      </c>
      <c r="T305">
        <v>0.98</v>
      </c>
      <c r="U305">
        <v>0.87</v>
      </c>
      <c r="V305">
        <v>0.93</v>
      </c>
      <c r="W305">
        <v>0.93</v>
      </c>
      <c r="X305">
        <v>0.93</v>
      </c>
      <c r="Y305">
        <v>0.87</v>
      </c>
      <c r="Z305">
        <v>0.85</v>
      </c>
      <c r="AA305" s="8">
        <v>0.83110290724503921</v>
      </c>
      <c r="AB305" s="8">
        <v>1.0090000000000001</v>
      </c>
      <c r="AC305" s="8">
        <v>0.93799999999999994</v>
      </c>
      <c r="AE305">
        <v>102401</v>
      </c>
      <c r="AF305" t="s">
        <v>177</v>
      </c>
      <c r="AG305">
        <v>4012</v>
      </c>
      <c r="AH305">
        <v>4257</v>
      </c>
      <c r="AI305">
        <v>94.3</v>
      </c>
      <c r="AJ305" s="8">
        <f t="shared" si="9"/>
        <v>0.94299999999999995</v>
      </c>
      <c r="AL305">
        <v>102131</v>
      </c>
      <c r="AM305" s="8">
        <f t="shared" si="8"/>
        <v>0.93799999999999994</v>
      </c>
    </row>
    <row r="306" spans="1:39" x14ac:dyDescent="0.25">
      <c r="A306">
        <v>102816</v>
      </c>
      <c r="B306" t="s">
        <v>376</v>
      </c>
      <c r="C306">
        <v>1.04</v>
      </c>
      <c r="D306">
        <v>0.96</v>
      </c>
      <c r="E306">
        <v>1.02</v>
      </c>
      <c r="F306">
        <v>0.99</v>
      </c>
      <c r="G306">
        <v>0.93</v>
      </c>
      <c r="H306">
        <v>1</v>
      </c>
      <c r="I306">
        <v>0.95</v>
      </c>
      <c r="J306">
        <v>0.96</v>
      </c>
      <c r="K306">
        <v>0.97</v>
      </c>
      <c r="L306">
        <v>0.95</v>
      </c>
      <c r="M306">
        <v>0.9</v>
      </c>
      <c r="N306">
        <v>0.92</v>
      </c>
      <c r="O306">
        <v>0.91</v>
      </c>
      <c r="P306">
        <v>0.96</v>
      </c>
      <c r="Q306">
        <v>1.07</v>
      </c>
      <c r="R306">
        <v>0.89</v>
      </c>
      <c r="S306">
        <v>0.97</v>
      </c>
      <c r="T306">
        <v>0.92</v>
      </c>
      <c r="U306">
        <v>0.89</v>
      </c>
      <c r="V306">
        <v>0.89</v>
      </c>
      <c r="W306">
        <v>0.96</v>
      </c>
      <c r="X306">
        <v>0.96</v>
      </c>
      <c r="Y306">
        <v>0.95</v>
      </c>
      <c r="Z306">
        <v>0.95</v>
      </c>
      <c r="AA306" s="8">
        <v>0.85407038748666908</v>
      </c>
      <c r="AB306" s="8">
        <v>1.038</v>
      </c>
      <c r="AC306" s="8">
        <v>0.97900000000000009</v>
      </c>
      <c r="AE306">
        <v>102514</v>
      </c>
      <c r="AF306" t="s">
        <v>521</v>
      </c>
      <c r="AG306">
        <v>4123</v>
      </c>
      <c r="AH306">
        <v>4421</v>
      </c>
      <c r="AI306">
        <v>93.3</v>
      </c>
      <c r="AJ306" s="8">
        <f t="shared" si="9"/>
        <v>0.93299999999999994</v>
      </c>
      <c r="AL306">
        <v>102816</v>
      </c>
      <c r="AM306" s="8">
        <f t="shared" si="8"/>
        <v>0.97900000000000009</v>
      </c>
    </row>
    <row r="307" spans="1:39" x14ac:dyDescent="0.25">
      <c r="A307">
        <v>102810</v>
      </c>
      <c r="B307" t="s">
        <v>157</v>
      </c>
      <c r="C307">
        <v>1.04</v>
      </c>
      <c r="D307">
        <v>0.97</v>
      </c>
      <c r="E307">
        <v>1</v>
      </c>
      <c r="F307">
        <v>0.98</v>
      </c>
      <c r="G307">
        <v>0.95</v>
      </c>
      <c r="H307">
        <v>1</v>
      </c>
      <c r="I307">
        <v>0.92</v>
      </c>
      <c r="J307">
        <v>0.94</v>
      </c>
      <c r="K307">
        <v>0.94</v>
      </c>
      <c r="L307">
        <v>0.93</v>
      </c>
      <c r="M307">
        <v>0.91</v>
      </c>
      <c r="N307">
        <v>0.95</v>
      </c>
      <c r="O307">
        <v>0.94</v>
      </c>
      <c r="P307">
        <v>0.98</v>
      </c>
      <c r="Q307">
        <v>1.1200000000000001</v>
      </c>
      <c r="R307">
        <v>0.9</v>
      </c>
      <c r="S307">
        <v>1.02</v>
      </c>
      <c r="T307">
        <v>0.95</v>
      </c>
      <c r="U307">
        <v>0.92</v>
      </c>
      <c r="V307">
        <v>0.93</v>
      </c>
      <c r="W307">
        <v>0.96</v>
      </c>
      <c r="X307">
        <v>0.98</v>
      </c>
      <c r="Y307">
        <v>0.96</v>
      </c>
      <c r="Z307">
        <v>0.95</v>
      </c>
      <c r="AA307" s="8">
        <v>0.87990685296074522</v>
      </c>
      <c r="AB307" s="8">
        <v>1.0270000000000001</v>
      </c>
      <c r="AC307" s="8">
        <v>0.96799999999999997</v>
      </c>
      <c r="AE307">
        <v>102131</v>
      </c>
      <c r="AF307" t="s">
        <v>374</v>
      </c>
      <c r="AG307">
        <v>3845</v>
      </c>
      <c r="AH307">
        <v>4097</v>
      </c>
      <c r="AI307">
        <v>93.8</v>
      </c>
      <c r="AJ307" s="8">
        <f t="shared" si="9"/>
        <v>0.93799999999999994</v>
      </c>
      <c r="AL307">
        <v>102810</v>
      </c>
      <c r="AM307" s="8">
        <f t="shared" si="8"/>
        <v>0.96799999999999997</v>
      </c>
    </row>
    <row r="308" spans="1:39" x14ac:dyDescent="0.25">
      <c r="A308">
        <v>102614</v>
      </c>
      <c r="B308" t="s">
        <v>57</v>
      </c>
      <c r="C308">
        <v>1.08</v>
      </c>
      <c r="D308">
        <v>1</v>
      </c>
      <c r="E308">
        <v>1.03</v>
      </c>
      <c r="F308">
        <v>0.95</v>
      </c>
      <c r="G308">
        <v>0.9</v>
      </c>
      <c r="H308">
        <v>0.96</v>
      </c>
      <c r="I308">
        <v>0.94</v>
      </c>
      <c r="J308">
        <v>0.97</v>
      </c>
      <c r="K308">
        <v>0.96</v>
      </c>
      <c r="L308">
        <v>0.94</v>
      </c>
      <c r="M308">
        <v>0.89</v>
      </c>
      <c r="N308">
        <v>0.9</v>
      </c>
      <c r="O308">
        <v>0.88</v>
      </c>
      <c r="P308">
        <v>0.94</v>
      </c>
      <c r="Q308">
        <v>1.08</v>
      </c>
      <c r="R308">
        <v>0.87</v>
      </c>
      <c r="S308">
        <v>0.96</v>
      </c>
      <c r="T308">
        <v>0.91</v>
      </c>
      <c r="U308">
        <v>0.87</v>
      </c>
      <c r="V308">
        <v>0.85</v>
      </c>
      <c r="W308">
        <v>0.91</v>
      </c>
      <c r="X308">
        <v>0.91</v>
      </c>
      <c r="Y308">
        <v>0.89</v>
      </c>
      <c r="Z308">
        <v>0.89</v>
      </c>
      <c r="AA308" s="8">
        <v>0.7977189584678287</v>
      </c>
      <c r="AB308" s="8">
        <v>1.0329999999999999</v>
      </c>
      <c r="AC308" s="8">
        <v>0.97900000000000009</v>
      </c>
      <c r="AE308">
        <v>102816</v>
      </c>
      <c r="AF308" t="s">
        <v>376</v>
      </c>
      <c r="AG308">
        <v>5229</v>
      </c>
      <c r="AH308">
        <v>5343</v>
      </c>
      <c r="AI308">
        <v>97.9</v>
      </c>
      <c r="AJ308" s="8">
        <f t="shared" si="9"/>
        <v>0.97900000000000009</v>
      </c>
      <c r="AL308">
        <v>102614</v>
      </c>
      <c r="AM308" s="8">
        <f t="shared" si="8"/>
        <v>0.97900000000000009</v>
      </c>
    </row>
    <row r="309" spans="1:39" x14ac:dyDescent="0.25">
      <c r="A309">
        <v>102620</v>
      </c>
      <c r="B309" t="s">
        <v>528</v>
      </c>
      <c r="C309">
        <v>1.07</v>
      </c>
      <c r="D309">
        <v>0.98</v>
      </c>
      <c r="E309">
        <v>1.03</v>
      </c>
      <c r="F309">
        <v>0.95</v>
      </c>
      <c r="G309">
        <v>0.93</v>
      </c>
      <c r="H309">
        <v>1.01</v>
      </c>
      <c r="I309">
        <v>0.95</v>
      </c>
      <c r="J309">
        <v>0.98</v>
      </c>
      <c r="K309">
        <v>1.01</v>
      </c>
      <c r="L309">
        <v>0.99</v>
      </c>
      <c r="M309">
        <v>0.93</v>
      </c>
      <c r="N309">
        <v>0.93</v>
      </c>
      <c r="O309">
        <v>0.94</v>
      </c>
      <c r="P309">
        <v>0.96</v>
      </c>
      <c r="Q309">
        <v>1.1200000000000001</v>
      </c>
      <c r="R309">
        <v>0.94</v>
      </c>
      <c r="S309">
        <v>1.03</v>
      </c>
      <c r="T309">
        <v>0.96</v>
      </c>
      <c r="U309">
        <v>0.92</v>
      </c>
      <c r="V309">
        <v>0.92</v>
      </c>
      <c r="W309">
        <v>0.97</v>
      </c>
      <c r="X309">
        <v>0.98</v>
      </c>
      <c r="Y309">
        <v>0.93</v>
      </c>
      <c r="Z309">
        <v>0.94</v>
      </c>
      <c r="AA309" s="8">
        <v>0.84807448159119758</v>
      </c>
      <c r="AB309" s="8">
        <v>0.99099999999999999</v>
      </c>
      <c r="AC309" s="8">
        <v>0.95700000000000007</v>
      </c>
      <c r="AE309">
        <v>102422</v>
      </c>
      <c r="AF309" t="s">
        <v>1232</v>
      </c>
      <c r="AG309">
        <v>4233</v>
      </c>
      <c r="AH309">
        <v>4506</v>
      </c>
      <c r="AI309">
        <v>93.9</v>
      </c>
      <c r="AJ309" s="8">
        <f t="shared" si="9"/>
        <v>0.93900000000000006</v>
      </c>
      <c r="AL309">
        <v>102620</v>
      </c>
      <c r="AM309" s="8">
        <f t="shared" si="8"/>
        <v>0.95700000000000007</v>
      </c>
    </row>
    <row r="310" spans="1:39" x14ac:dyDescent="0.25">
      <c r="A310">
        <v>102522</v>
      </c>
      <c r="B310" t="s">
        <v>522</v>
      </c>
      <c r="C310">
        <v>1.07</v>
      </c>
      <c r="D310">
        <v>0.96</v>
      </c>
      <c r="E310">
        <v>1</v>
      </c>
      <c r="F310">
        <v>0.98</v>
      </c>
      <c r="G310">
        <v>0.91</v>
      </c>
      <c r="H310">
        <v>1.02</v>
      </c>
      <c r="I310">
        <v>0.97</v>
      </c>
      <c r="J310">
        <v>0.96</v>
      </c>
      <c r="K310">
        <v>0.95</v>
      </c>
      <c r="L310">
        <v>0.92</v>
      </c>
      <c r="M310">
        <v>0.92</v>
      </c>
      <c r="N310">
        <v>0.94</v>
      </c>
      <c r="O310">
        <v>0.92</v>
      </c>
      <c r="P310">
        <v>0.99</v>
      </c>
      <c r="Q310">
        <v>1.1399999999999999</v>
      </c>
      <c r="R310">
        <v>0.92</v>
      </c>
      <c r="S310">
        <v>1.01</v>
      </c>
      <c r="T310">
        <v>0.98</v>
      </c>
      <c r="U310">
        <v>0.88</v>
      </c>
      <c r="V310">
        <v>0.93</v>
      </c>
      <c r="W310">
        <v>0.95</v>
      </c>
      <c r="X310">
        <v>0.96</v>
      </c>
      <c r="Y310">
        <v>0.92</v>
      </c>
      <c r="Z310">
        <v>0.93</v>
      </c>
      <c r="AA310" s="8">
        <v>0.83440662373505059</v>
      </c>
      <c r="AB310" s="8">
        <v>1.0029999999999999</v>
      </c>
      <c r="AC310" s="8">
        <v>0.95</v>
      </c>
      <c r="AE310">
        <v>102810</v>
      </c>
      <c r="AF310" t="s">
        <v>157</v>
      </c>
      <c r="AG310">
        <v>5524</v>
      </c>
      <c r="AH310">
        <v>5707</v>
      </c>
      <c r="AI310">
        <v>96.8</v>
      </c>
      <c r="AJ310" s="8">
        <f t="shared" si="9"/>
        <v>0.96799999999999997</v>
      </c>
      <c r="AL310">
        <v>102522</v>
      </c>
      <c r="AM310" s="8">
        <f t="shared" si="8"/>
        <v>0.95</v>
      </c>
    </row>
    <row r="311" spans="1:39" x14ac:dyDescent="0.25">
      <c r="A311">
        <v>102009</v>
      </c>
      <c r="B311" t="s">
        <v>344</v>
      </c>
      <c r="C311">
        <v>1.03</v>
      </c>
      <c r="D311">
        <v>0.98</v>
      </c>
      <c r="E311">
        <v>1.06</v>
      </c>
      <c r="F311">
        <v>1</v>
      </c>
      <c r="G311">
        <v>0.93</v>
      </c>
      <c r="H311">
        <v>1</v>
      </c>
      <c r="I311">
        <v>0.99</v>
      </c>
      <c r="J311">
        <v>0.97</v>
      </c>
      <c r="K311">
        <v>0.99</v>
      </c>
      <c r="L311">
        <v>0.93</v>
      </c>
      <c r="M311">
        <v>0.94</v>
      </c>
      <c r="N311">
        <v>0.94</v>
      </c>
      <c r="O311">
        <v>0.95</v>
      </c>
      <c r="P311">
        <v>0.96</v>
      </c>
      <c r="Q311">
        <v>1.06</v>
      </c>
      <c r="R311">
        <v>0.91</v>
      </c>
      <c r="S311">
        <v>1</v>
      </c>
      <c r="T311">
        <v>0.94</v>
      </c>
      <c r="U311">
        <v>0.91</v>
      </c>
      <c r="V311">
        <v>0.89</v>
      </c>
      <c r="W311">
        <v>0.96</v>
      </c>
      <c r="X311">
        <v>1</v>
      </c>
      <c r="Y311">
        <v>0.97</v>
      </c>
      <c r="Z311">
        <v>0.99</v>
      </c>
      <c r="AA311" s="8">
        <v>0.86926499923277578</v>
      </c>
      <c r="AB311" s="8">
        <v>1.014</v>
      </c>
      <c r="AC311" s="8">
        <v>0.95299999999999996</v>
      </c>
      <c r="AE311">
        <v>102620</v>
      </c>
      <c r="AF311" t="s">
        <v>528</v>
      </c>
      <c r="AG311">
        <v>4343</v>
      </c>
      <c r="AH311">
        <v>4538</v>
      </c>
      <c r="AI311">
        <v>95.7</v>
      </c>
      <c r="AJ311" s="8">
        <f t="shared" si="9"/>
        <v>0.95700000000000007</v>
      </c>
      <c r="AL311">
        <v>102009</v>
      </c>
      <c r="AM311" s="8">
        <f t="shared" si="8"/>
        <v>0.95299999999999996</v>
      </c>
    </row>
    <row r="312" spans="1:39" x14ac:dyDescent="0.25">
      <c r="A312">
        <v>102024</v>
      </c>
      <c r="B312" t="s">
        <v>347</v>
      </c>
      <c r="Y312">
        <v>0.95</v>
      </c>
      <c r="Z312">
        <v>0.98</v>
      </c>
      <c r="AA312" s="8">
        <v>0.86292548298068072</v>
      </c>
      <c r="AB312" s="8">
        <v>1.016</v>
      </c>
      <c r="AC312" s="8">
        <v>0.94900000000000007</v>
      </c>
      <c r="AE312">
        <v>102522</v>
      </c>
      <c r="AF312" t="s">
        <v>522</v>
      </c>
      <c r="AG312">
        <v>5026</v>
      </c>
      <c r="AH312">
        <v>5288</v>
      </c>
      <c r="AI312">
        <v>95</v>
      </c>
      <c r="AJ312" s="8">
        <f t="shared" si="9"/>
        <v>0.95</v>
      </c>
      <c r="AL312">
        <v>102024</v>
      </c>
      <c r="AM312" s="8">
        <f>_xlfn.XLOOKUP(AL312,$AE$5:$AE$314,$AJ$5:$AJ$314)</f>
        <v>0.94900000000000007</v>
      </c>
    </row>
    <row r="313" spans="1:39" s="93" customFormat="1" x14ac:dyDescent="0.25">
      <c r="B313" s="93" t="s">
        <v>594</v>
      </c>
      <c r="C313" s="93">
        <f t="shared" ref="C313:W313" si="10">AVERAGE(C$41,C$145)</f>
        <v>1.1200000000000001</v>
      </c>
      <c r="D313" s="93">
        <f t="shared" si="10"/>
        <v>1.0150000000000001</v>
      </c>
      <c r="E313" s="93">
        <f t="shared" si="10"/>
        <v>1.0150000000000001</v>
      </c>
      <c r="F313" s="93">
        <f t="shared" si="10"/>
        <v>0.96499999999999997</v>
      </c>
      <c r="G313" s="93">
        <f t="shared" si="10"/>
        <v>0.91</v>
      </c>
      <c r="H313" s="93">
        <f t="shared" si="10"/>
        <v>0.98</v>
      </c>
      <c r="I313" s="93">
        <f t="shared" si="10"/>
        <v>0.93</v>
      </c>
      <c r="J313" s="93">
        <f t="shared" si="10"/>
        <v>0.97</v>
      </c>
      <c r="K313" s="93">
        <f t="shared" si="10"/>
        <v>0.97499999999999998</v>
      </c>
      <c r="L313" s="93">
        <f t="shared" si="10"/>
        <v>0.95</v>
      </c>
      <c r="M313" s="93">
        <f t="shared" si="10"/>
        <v>0.91</v>
      </c>
      <c r="N313" s="93">
        <f t="shared" si="10"/>
        <v>0.86499999999999999</v>
      </c>
      <c r="O313" s="93">
        <f t="shared" si="10"/>
        <v>0.87</v>
      </c>
      <c r="P313" s="93">
        <f t="shared" si="10"/>
        <v>0.93</v>
      </c>
      <c r="Q313" s="93">
        <f t="shared" si="10"/>
        <v>1.0950000000000002</v>
      </c>
      <c r="R313" s="93">
        <f t="shared" si="10"/>
        <v>0.90500000000000003</v>
      </c>
      <c r="S313" s="93">
        <f t="shared" si="10"/>
        <v>0.97</v>
      </c>
      <c r="T313" s="93">
        <f t="shared" si="10"/>
        <v>0.95</v>
      </c>
      <c r="U313" s="93">
        <f t="shared" si="10"/>
        <v>0.83</v>
      </c>
      <c r="V313" s="94">
        <f t="shared" si="10"/>
        <v>0.88500000000000001</v>
      </c>
      <c r="W313" s="93">
        <f t="shared" si="10"/>
        <v>0.91</v>
      </c>
      <c r="X313" s="93">
        <f t="shared" ref="X313" si="11">AVERAGE(X$41,X$145)</f>
        <v>0.91500000000000004</v>
      </c>
      <c r="Y313" s="94">
        <f>AVERAGE(Y$41,Y$145,Y$142)</f>
        <v>0.85666666666666658</v>
      </c>
      <c r="Z313" s="94">
        <f>AVERAGE(Z$41,Z$145,Z$142)</f>
        <v>0.83</v>
      </c>
      <c r="AA313" s="94">
        <f>AVERAGE(AA$41,AA$145,AA$142)</f>
        <v>0.80438644035379914</v>
      </c>
      <c r="AB313" s="94">
        <f>AVERAGE(AB$41,AB$145,AB$142)</f>
        <v>0.98833333333333329</v>
      </c>
      <c r="AC313" s="94">
        <f>AVERAGE(AC$41,AC$145,AC$142)</f>
        <v>0.91900000000000004</v>
      </c>
      <c r="AE313">
        <v>102009</v>
      </c>
      <c r="AF313" t="s">
        <v>344</v>
      </c>
      <c r="AG313">
        <v>6061</v>
      </c>
      <c r="AH313">
        <v>6358</v>
      </c>
      <c r="AI313">
        <v>95.3</v>
      </c>
      <c r="AJ313" s="8">
        <f t="shared" si="9"/>
        <v>0.95299999999999996</v>
      </c>
    </row>
    <row r="314" spans="1:39" s="93" customFormat="1" x14ac:dyDescent="0.25">
      <c r="B314" s="93" t="s">
        <v>1064</v>
      </c>
      <c r="C314" s="94">
        <f>AVERAGE(C121,C69,C304)</f>
        <v>1.0900000000000001</v>
      </c>
      <c r="D314" s="94">
        <f t="shared" ref="D314:Y314" si="12">AVERAGE(D121,D69,D304)</f>
        <v>0.98</v>
      </c>
      <c r="E314" s="94">
        <f t="shared" si="12"/>
        <v>1.03</v>
      </c>
      <c r="F314" s="94">
        <f t="shared" si="12"/>
        <v>0.96</v>
      </c>
      <c r="G314" s="94">
        <f t="shared" si="12"/>
        <v>0.89</v>
      </c>
      <c r="H314" s="94">
        <f t="shared" si="12"/>
        <v>1.0049999999999999</v>
      </c>
      <c r="I314" s="94">
        <f t="shared" si="12"/>
        <v>0.96</v>
      </c>
      <c r="J314" s="94">
        <f t="shared" si="12"/>
        <v>0.98</v>
      </c>
      <c r="K314" s="94">
        <f t="shared" si="12"/>
        <v>0.97</v>
      </c>
      <c r="L314" s="94">
        <f t="shared" si="12"/>
        <v>0.94499999999999995</v>
      </c>
      <c r="M314" s="94">
        <f t="shared" si="12"/>
        <v>0.92</v>
      </c>
      <c r="N314" s="94">
        <f t="shared" si="12"/>
        <v>0.92</v>
      </c>
      <c r="O314" s="94">
        <f t="shared" si="12"/>
        <v>0.90500000000000003</v>
      </c>
      <c r="P314" s="94">
        <f t="shared" si="12"/>
        <v>0.96499999999999997</v>
      </c>
      <c r="Q314" s="94">
        <f t="shared" si="12"/>
        <v>1.125</v>
      </c>
      <c r="R314" s="94">
        <f t="shared" si="12"/>
        <v>0.89500000000000002</v>
      </c>
      <c r="S314" s="94">
        <f t="shared" si="12"/>
        <v>0.98499999999999999</v>
      </c>
      <c r="T314" s="94">
        <f t="shared" si="12"/>
        <v>0.94499999999999995</v>
      </c>
      <c r="U314" s="94">
        <f t="shared" si="12"/>
        <v>0.89</v>
      </c>
      <c r="V314" s="94">
        <f t="shared" si="12"/>
        <v>0.89</v>
      </c>
      <c r="W314" s="94">
        <f t="shared" si="12"/>
        <v>0.94499999999999995</v>
      </c>
      <c r="X314" s="94">
        <f t="shared" si="12"/>
        <v>0.93500000000000005</v>
      </c>
      <c r="Y314" s="94">
        <f t="shared" si="12"/>
        <v>0.91333333333333344</v>
      </c>
      <c r="Z314" s="94">
        <f t="shared" ref="Z314:AA314" si="13">AVERAGE(Z121,Z69,Z304)</f>
        <v>0.90666666666666673</v>
      </c>
      <c r="AA314" s="94">
        <f t="shared" si="13"/>
        <v>0.82416135145448377</v>
      </c>
      <c r="AB314" s="94">
        <f t="shared" ref="AB314" si="14">AVERAGE(AB121,AB69,AB304)</f>
        <v>1.0106666666666666</v>
      </c>
      <c r="AC314" s="94">
        <f>AVERAGE(AC121,AC69,AC304)</f>
        <v>0.93199999999999994</v>
      </c>
      <c r="AE314">
        <v>102024</v>
      </c>
      <c r="AF314" t="s">
        <v>347</v>
      </c>
      <c r="AG314">
        <v>6032</v>
      </c>
      <c r="AH314">
        <v>6354</v>
      </c>
      <c r="AI314">
        <v>94.9</v>
      </c>
      <c r="AJ314" s="8">
        <f>AI314/100</f>
        <v>0.94900000000000007</v>
      </c>
    </row>
    <row r="315" spans="1:39" s="96" customFormat="1" x14ac:dyDescent="0.25">
      <c r="B315" s="96" t="s">
        <v>219</v>
      </c>
      <c r="Y315" s="96">
        <f t="shared" ref="Y315:Z315" si="15">AVERAGE(Y221,Y208)</f>
        <v>0.87</v>
      </c>
      <c r="Z315" s="96">
        <f t="shared" si="15"/>
        <v>0.86499999999999999</v>
      </c>
      <c r="AA315" s="96">
        <f t="shared" ref="AA315" si="16">AVERAGE(AA221,AA208)</f>
        <v>0.78475215141112131</v>
      </c>
      <c r="AB315" s="96">
        <f t="shared" ref="AB315" si="17">AVERAGE(AB221,AB208)</f>
        <v>1.0125</v>
      </c>
      <c r="AC315" s="97">
        <f>AVERAGE(AC221,AC208)</f>
        <v>0.94499999999999995</v>
      </c>
      <c r="AE315"/>
      <c r="AF315"/>
      <c r="AG315"/>
      <c r="AH315"/>
      <c r="AI315"/>
    </row>
    <row r="316" spans="1:39" x14ac:dyDescent="0.25">
      <c r="B316" t="s">
        <v>483</v>
      </c>
      <c r="C316">
        <f>ROUND(AVERAGE(C3:C311),4)</f>
        <v>1.0847</v>
      </c>
      <c r="D316">
        <f t="shared" ref="D316:V316" si="18">ROUND(AVERAGE(D3:D311),4)</f>
        <v>0.98929999999999996</v>
      </c>
      <c r="E316">
        <f t="shared" si="18"/>
        <v>1.0310999999999999</v>
      </c>
      <c r="F316">
        <f t="shared" si="18"/>
        <v>0.97340000000000004</v>
      </c>
      <c r="G316">
        <f t="shared" si="18"/>
        <v>0.9133</v>
      </c>
      <c r="H316">
        <f t="shared" si="18"/>
        <v>1.0006999999999999</v>
      </c>
      <c r="I316">
        <f t="shared" si="18"/>
        <v>0.95469999999999999</v>
      </c>
      <c r="J316">
        <f t="shared" si="18"/>
        <v>0.97260000000000002</v>
      </c>
      <c r="K316">
        <f t="shared" si="18"/>
        <v>0.97550000000000003</v>
      </c>
      <c r="L316">
        <f t="shared" si="18"/>
        <v>0.95050000000000001</v>
      </c>
      <c r="M316">
        <f t="shared" si="18"/>
        <v>0.9214</v>
      </c>
      <c r="N316">
        <f t="shared" si="18"/>
        <v>0.92120000000000002</v>
      </c>
      <c r="O316">
        <f t="shared" si="18"/>
        <v>0.91559999999999997</v>
      </c>
      <c r="P316">
        <f t="shared" si="18"/>
        <v>0.96389999999999998</v>
      </c>
      <c r="Q316">
        <f t="shared" si="18"/>
        <v>1.1122000000000001</v>
      </c>
      <c r="R316">
        <f t="shared" si="18"/>
        <v>0.91390000000000005</v>
      </c>
      <c r="S316">
        <f t="shared" si="18"/>
        <v>1.0022</v>
      </c>
      <c r="T316">
        <f t="shared" si="18"/>
        <v>0.96009999999999995</v>
      </c>
      <c r="U316">
        <f t="shared" si="18"/>
        <v>0.88800000000000001</v>
      </c>
      <c r="V316">
        <f t="shared" si="18"/>
        <v>0.90500000000000003</v>
      </c>
      <c r="W316">
        <f>ROUND(AVERAGE(W3:W311),4)</f>
        <v>0.94740000000000002</v>
      </c>
      <c r="X316">
        <f t="shared" ref="X316" si="19">ROUND(AVERAGE(X3:X311),4)</f>
        <v>0.94689999999999996</v>
      </c>
      <c r="Y316">
        <f>ROUND(AVERAGE(Y3:Y312),4)</f>
        <v>0.91469999999999996</v>
      </c>
      <c r="Z316">
        <f>ROUND(AVERAGE(Z3:Z312),4)</f>
        <v>0.90720000000000001</v>
      </c>
      <c r="AA316">
        <f>ROUND(AVERAGE(AA3:AA312),4)</f>
        <v>0.83989999999999998</v>
      </c>
      <c r="AB316">
        <f>ROUND(AVERAGE(AB3:AB312),4)</f>
        <v>1.0105999999999999</v>
      </c>
      <c r="AC316" s="8">
        <f>ROUND(AVERAGE(AC3:AC312),4)</f>
        <v>0.94650000000000001</v>
      </c>
    </row>
    <row r="318" spans="1:39" x14ac:dyDescent="0.25">
      <c r="A318" t="s">
        <v>541</v>
      </c>
    </row>
  </sheetData>
  <autoFilter ref="A2:Y311" xr:uid="{00000000-0009-0000-0000-000002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AEC3-03FE-482D-B94F-E99AAD8655C7}">
  <sheetPr codeName="Blad17"/>
  <dimension ref="A1:B67"/>
  <sheetViews>
    <sheetView workbookViewId="0">
      <selection activeCell="O22" sqref="O22"/>
    </sheetView>
  </sheetViews>
  <sheetFormatPr defaultRowHeight="15" x14ac:dyDescent="0.25"/>
  <sheetData>
    <row r="1" spans="1:2" x14ac:dyDescent="0.25">
      <c r="A1">
        <v>102252</v>
      </c>
      <c r="B1" t="s">
        <v>1032</v>
      </c>
    </row>
    <row r="2" spans="1:2" x14ac:dyDescent="0.25">
      <c r="A2">
        <v>102343</v>
      </c>
      <c r="B2" t="s">
        <v>792</v>
      </c>
    </row>
    <row r="3" spans="1:2" x14ac:dyDescent="0.25">
      <c r="A3">
        <v>102243</v>
      </c>
      <c r="B3" t="s">
        <v>1033</v>
      </c>
    </row>
    <row r="4" spans="1:2" x14ac:dyDescent="0.25">
      <c r="A4">
        <v>102138</v>
      </c>
      <c r="B4" t="s">
        <v>1034</v>
      </c>
    </row>
    <row r="5" spans="1:2" x14ac:dyDescent="0.25">
      <c r="A5">
        <v>102646</v>
      </c>
      <c r="B5" t="s">
        <v>395</v>
      </c>
    </row>
    <row r="6" spans="1:2" x14ac:dyDescent="0.25">
      <c r="A6">
        <v>102532</v>
      </c>
      <c r="B6" t="s">
        <v>1035</v>
      </c>
    </row>
    <row r="7" spans="1:2" x14ac:dyDescent="0.25">
      <c r="A7">
        <v>102341</v>
      </c>
      <c r="B7" t="s">
        <v>98</v>
      </c>
    </row>
    <row r="8" spans="1:2" x14ac:dyDescent="0.25">
      <c r="A8">
        <v>102244</v>
      </c>
      <c r="B8" t="s">
        <v>872</v>
      </c>
    </row>
    <row r="9" spans="1:2" x14ac:dyDescent="0.25">
      <c r="A9">
        <v>102528</v>
      </c>
      <c r="B9" t="s">
        <v>849</v>
      </c>
    </row>
    <row r="10" spans="1:2" x14ac:dyDescent="0.25">
      <c r="A10">
        <v>102249</v>
      </c>
      <c r="B10" t="s">
        <v>1036</v>
      </c>
    </row>
    <row r="11" spans="1:2" x14ac:dyDescent="0.25">
      <c r="A11">
        <v>102725</v>
      </c>
      <c r="B11" t="s">
        <v>1037</v>
      </c>
    </row>
    <row r="12" spans="1:2" x14ac:dyDescent="0.25">
      <c r="A12">
        <v>102344</v>
      </c>
      <c r="B12" t="s">
        <v>1038</v>
      </c>
    </row>
    <row r="13" spans="1:2" x14ac:dyDescent="0.25">
      <c r="A13">
        <v>102535</v>
      </c>
      <c r="B13" t="s">
        <v>123</v>
      </c>
    </row>
    <row r="14" spans="1:2" x14ac:dyDescent="0.25">
      <c r="A14">
        <v>102248</v>
      </c>
      <c r="B14" t="s">
        <v>180</v>
      </c>
    </row>
    <row r="15" spans="1:2" x14ac:dyDescent="0.25">
      <c r="A15">
        <v>102345</v>
      </c>
      <c r="B15" t="s">
        <v>141</v>
      </c>
    </row>
    <row r="16" spans="1:2" x14ac:dyDescent="0.25">
      <c r="A16">
        <v>102530</v>
      </c>
      <c r="B16" t="s">
        <v>1039</v>
      </c>
    </row>
    <row r="17" spans="1:2" x14ac:dyDescent="0.25">
      <c r="A17">
        <v>102634</v>
      </c>
      <c r="B17" t="s">
        <v>208</v>
      </c>
    </row>
    <row r="18" spans="1:2" x14ac:dyDescent="0.25">
      <c r="A18">
        <v>102525</v>
      </c>
      <c r="B18" t="s">
        <v>1040</v>
      </c>
    </row>
    <row r="19" spans="1:2" x14ac:dyDescent="0.25">
      <c r="A19">
        <v>102637</v>
      </c>
      <c r="B19" t="s">
        <v>1041</v>
      </c>
    </row>
    <row r="20" spans="1:2" x14ac:dyDescent="0.25">
      <c r="A20">
        <v>102531</v>
      </c>
      <c r="B20" t="s">
        <v>125</v>
      </c>
    </row>
    <row r="21" spans="1:2" x14ac:dyDescent="0.25">
      <c r="A21">
        <v>102254</v>
      </c>
      <c r="B21" t="s">
        <v>882</v>
      </c>
    </row>
    <row r="22" spans="1:2" x14ac:dyDescent="0.25">
      <c r="A22">
        <v>102340</v>
      </c>
      <c r="B22" t="s">
        <v>1042</v>
      </c>
    </row>
    <row r="23" spans="1:2" x14ac:dyDescent="0.25">
      <c r="A23">
        <v>102638</v>
      </c>
      <c r="B23" t="s">
        <v>341</v>
      </c>
    </row>
    <row r="24" spans="1:2" x14ac:dyDescent="0.25">
      <c r="A24">
        <v>102633</v>
      </c>
      <c r="B24" t="s">
        <v>209</v>
      </c>
    </row>
    <row r="25" spans="1:2" x14ac:dyDescent="0.25">
      <c r="A25">
        <v>102529</v>
      </c>
      <c r="B25" t="s">
        <v>857</v>
      </c>
    </row>
    <row r="26" spans="1:2" x14ac:dyDescent="0.25">
      <c r="A26">
        <v>102647</v>
      </c>
      <c r="B26" t="s">
        <v>403</v>
      </c>
    </row>
    <row r="27" spans="1:2" x14ac:dyDescent="0.25">
      <c r="A27">
        <v>102253</v>
      </c>
      <c r="B27" t="s">
        <v>1043</v>
      </c>
    </row>
    <row r="28" spans="1:2" x14ac:dyDescent="0.25">
      <c r="A28">
        <v>102135</v>
      </c>
      <c r="B28" t="s">
        <v>1044</v>
      </c>
    </row>
    <row r="29" spans="1:2" x14ac:dyDescent="0.25">
      <c r="A29">
        <v>102342</v>
      </c>
      <c r="B29" t="s">
        <v>493</v>
      </c>
    </row>
    <row r="30" spans="1:2" x14ac:dyDescent="0.25">
      <c r="A30">
        <v>102527</v>
      </c>
      <c r="B30" t="s">
        <v>206</v>
      </c>
    </row>
    <row r="31" spans="1:2" x14ac:dyDescent="0.25">
      <c r="A31">
        <v>102242</v>
      </c>
      <c r="B31" t="s">
        <v>210</v>
      </c>
    </row>
    <row r="32" spans="1:2" x14ac:dyDescent="0.25">
      <c r="A32">
        <v>102339</v>
      </c>
      <c r="B32" t="s">
        <v>863</v>
      </c>
    </row>
    <row r="33" spans="1:2" x14ac:dyDescent="0.25">
      <c r="A33">
        <v>102648</v>
      </c>
      <c r="B33" t="s">
        <v>408</v>
      </c>
    </row>
    <row r="34" spans="1:2" x14ac:dyDescent="0.25">
      <c r="A34">
        <v>102533</v>
      </c>
      <c r="B34" t="s">
        <v>70</v>
      </c>
    </row>
    <row r="35" spans="1:2" x14ac:dyDescent="0.25">
      <c r="A35">
        <v>102632</v>
      </c>
      <c r="B35" t="s">
        <v>356</v>
      </c>
    </row>
    <row r="36" spans="1:2" x14ac:dyDescent="0.25">
      <c r="A36">
        <v>102728</v>
      </c>
      <c r="B36" t="s">
        <v>870</v>
      </c>
    </row>
    <row r="37" spans="1:2" x14ac:dyDescent="0.25">
      <c r="A37">
        <v>102645</v>
      </c>
      <c r="B37" t="s">
        <v>313</v>
      </c>
    </row>
    <row r="38" spans="1:2" x14ac:dyDescent="0.25">
      <c r="A38">
        <v>102727</v>
      </c>
      <c r="B38" t="s">
        <v>53</v>
      </c>
    </row>
    <row r="39" spans="1:2" x14ac:dyDescent="0.25">
      <c r="A39">
        <v>102240</v>
      </c>
      <c r="B39" t="s">
        <v>1045</v>
      </c>
    </row>
    <row r="40" spans="1:2" x14ac:dyDescent="0.25">
      <c r="A40">
        <v>102238</v>
      </c>
      <c r="B40" t="s">
        <v>932</v>
      </c>
    </row>
    <row r="41" spans="1:2" x14ac:dyDescent="0.25">
      <c r="A41">
        <v>102139</v>
      </c>
      <c r="B41" t="s">
        <v>229</v>
      </c>
    </row>
    <row r="42" spans="1:2" x14ac:dyDescent="0.25">
      <c r="A42">
        <v>102643</v>
      </c>
      <c r="B42" t="s">
        <v>1046</v>
      </c>
    </row>
    <row r="43" spans="1:2" x14ac:dyDescent="0.25">
      <c r="A43">
        <v>102642</v>
      </c>
      <c r="B43" t="s">
        <v>1047</v>
      </c>
    </row>
    <row r="44" spans="1:2" x14ac:dyDescent="0.25">
      <c r="A44">
        <v>102635</v>
      </c>
      <c r="B44" t="s">
        <v>55</v>
      </c>
    </row>
    <row r="45" spans="1:2" x14ac:dyDescent="0.25">
      <c r="A45">
        <v>102137</v>
      </c>
      <c r="B45" t="s">
        <v>183</v>
      </c>
    </row>
    <row r="46" spans="1:2" x14ac:dyDescent="0.25">
      <c r="A46">
        <v>102726</v>
      </c>
      <c r="B46" t="s">
        <v>278</v>
      </c>
    </row>
    <row r="47" spans="1:2" x14ac:dyDescent="0.25">
      <c r="A47">
        <v>102641</v>
      </c>
      <c r="B47" t="s">
        <v>1048</v>
      </c>
    </row>
    <row r="48" spans="1:2" x14ac:dyDescent="0.25">
      <c r="A48">
        <v>102235</v>
      </c>
      <c r="B48" t="s">
        <v>1049</v>
      </c>
    </row>
    <row r="49" spans="1:2" x14ac:dyDescent="0.25">
      <c r="A49">
        <v>102136</v>
      </c>
      <c r="B49" t="s">
        <v>44</v>
      </c>
    </row>
    <row r="50" spans="1:2" x14ac:dyDescent="0.25">
      <c r="A50">
        <v>102534</v>
      </c>
      <c r="B50" t="s">
        <v>247</v>
      </c>
    </row>
    <row r="51" spans="1:2" x14ac:dyDescent="0.25">
      <c r="A51">
        <v>102640</v>
      </c>
      <c r="B51" t="s">
        <v>1050</v>
      </c>
    </row>
    <row r="52" spans="1:2" x14ac:dyDescent="0.25">
      <c r="A52">
        <v>102636</v>
      </c>
      <c r="B52" t="s">
        <v>296</v>
      </c>
    </row>
    <row r="53" spans="1:2" x14ac:dyDescent="0.25">
      <c r="A53">
        <v>102245</v>
      </c>
      <c r="B53" t="s">
        <v>298</v>
      </c>
    </row>
    <row r="54" spans="1:2" x14ac:dyDescent="0.25">
      <c r="A54">
        <v>102247</v>
      </c>
      <c r="B54" t="s">
        <v>865</v>
      </c>
    </row>
    <row r="55" spans="1:2" x14ac:dyDescent="0.25">
      <c r="A55">
        <v>102241</v>
      </c>
      <c r="B55" t="s">
        <v>216</v>
      </c>
    </row>
    <row r="56" spans="1:2" x14ac:dyDescent="0.25">
      <c r="A56">
        <v>102251</v>
      </c>
      <c r="B56" t="s">
        <v>314</v>
      </c>
    </row>
    <row r="57" spans="1:2" x14ac:dyDescent="0.25">
      <c r="A57">
        <v>102822</v>
      </c>
      <c r="B57" t="s">
        <v>54</v>
      </c>
    </row>
    <row r="58" spans="1:2" x14ac:dyDescent="0.25">
      <c r="A58">
        <v>102237</v>
      </c>
      <c r="B58" t="s">
        <v>1051</v>
      </c>
    </row>
    <row r="59" spans="1:2" x14ac:dyDescent="0.25">
      <c r="A59">
        <v>102250</v>
      </c>
      <c r="B59" t="s">
        <v>901</v>
      </c>
    </row>
    <row r="60" spans="1:2" x14ac:dyDescent="0.25">
      <c r="A60">
        <v>102239</v>
      </c>
      <c r="B60" t="s">
        <v>430</v>
      </c>
    </row>
    <row r="61" spans="1:2" x14ac:dyDescent="0.25">
      <c r="A61">
        <v>102639</v>
      </c>
      <c r="B61" t="s">
        <v>1052</v>
      </c>
    </row>
    <row r="62" spans="1:2" x14ac:dyDescent="0.25">
      <c r="A62">
        <v>102649</v>
      </c>
      <c r="B62" t="s">
        <v>59</v>
      </c>
    </row>
    <row r="63" spans="1:2" x14ac:dyDescent="0.25">
      <c r="A63">
        <v>102644</v>
      </c>
      <c r="B63" t="s">
        <v>58</v>
      </c>
    </row>
    <row r="64" spans="1:2" x14ac:dyDescent="0.25">
      <c r="A64">
        <v>102246</v>
      </c>
      <c r="B64" t="s">
        <v>248</v>
      </c>
    </row>
    <row r="65" spans="1:2" x14ac:dyDescent="0.25">
      <c r="A65">
        <v>102422</v>
      </c>
      <c r="B65" t="s">
        <v>910</v>
      </c>
    </row>
    <row r="66" spans="1:2" x14ac:dyDescent="0.25">
      <c r="A66">
        <v>102140</v>
      </c>
      <c r="B66" t="s">
        <v>482</v>
      </c>
    </row>
    <row r="67" spans="1:2" x14ac:dyDescent="0.25">
      <c r="A67">
        <v>102236</v>
      </c>
      <c r="B67" t="s">
        <v>1053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2"/>
  <dimension ref="A1:AD493"/>
  <sheetViews>
    <sheetView zoomScale="90" zoomScaleNormal="90" workbookViewId="0">
      <pane xSplit="2" ySplit="2" topLeftCell="W10" activePane="bottomRight" state="frozen"/>
      <selection activeCell="O22" sqref="O22"/>
      <selection pane="topRight" activeCell="O22" sqref="O22"/>
      <selection pane="bottomLeft" activeCell="O22" sqref="O22"/>
      <selection pane="bottomRight" activeCell="O22" sqref="O22"/>
    </sheetView>
  </sheetViews>
  <sheetFormatPr defaultRowHeight="15" x14ac:dyDescent="0.25"/>
  <cols>
    <col min="1" max="1" width="26" bestFit="1" customWidth="1"/>
    <col min="2" max="2" width="22.7109375" bestFit="1" customWidth="1"/>
    <col min="3" max="12" width="12.7109375" bestFit="1" customWidth="1"/>
    <col min="13" max="13" width="11.5703125" style="8" bestFit="1" customWidth="1"/>
    <col min="14" max="15" width="12" style="8" bestFit="1" customWidth="1"/>
    <col min="16" max="16" width="11.42578125" bestFit="1" customWidth="1"/>
    <col min="17" max="19" width="12.7109375" bestFit="1" customWidth="1"/>
    <col min="20" max="20" width="9.85546875" bestFit="1" customWidth="1"/>
    <col min="21" max="21" width="12.7109375" bestFit="1" customWidth="1"/>
    <col min="23" max="24" width="11.5703125" bestFit="1" customWidth="1"/>
    <col min="25" max="26" width="9.28515625" customWidth="1"/>
    <col min="27" max="27" width="12.28515625" customWidth="1"/>
    <col min="28" max="28" width="10.42578125" customWidth="1"/>
    <col min="29" max="29" width="12.5703125" customWidth="1"/>
  </cols>
  <sheetData>
    <row r="1" spans="1:30" x14ac:dyDescent="0.25">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row>
    <row r="2" spans="1:30" x14ac:dyDescent="0.25">
      <c r="A2" s="1" t="s">
        <v>467</v>
      </c>
      <c r="B2" s="1" t="s">
        <v>468</v>
      </c>
      <c r="C2" s="1">
        <v>1996</v>
      </c>
      <c r="D2" s="1">
        <v>1997</v>
      </c>
      <c r="E2" s="1">
        <v>1998</v>
      </c>
      <c r="F2" s="1">
        <v>1999</v>
      </c>
      <c r="G2" s="1">
        <v>2000</v>
      </c>
      <c r="H2" s="1">
        <v>2001</v>
      </c>
      <c r="I2" s="1">
        <v>2002</v>
      </c>
      <c r="J2" s="1">
        <v>2003</v>
      </c>
      <c r="K2" s="1">
        <v>2004</v>
      </c>
      <c r="L2" s="1">
        <v>2005</v>
      </c>
      <c r="M2" s="7">
        <v>2006</v>
      </c>
      <c r="N2" s="7">
        <v>2007</v>
      </c>
      <c r="O2" s="7">
        <v>2008</v>
      </c>
      <c r="P2" s="7">
        <v>2009</v>
      </c>
      <c r="Q2" s="7">
        <v>2010</v>
      </c>
      <c r="R2" s="7">
        <v>2011</v>
      </c>
      <c r="S2" s="7">
        <v>2012</v>
      </c>
      <c r="T2" s="7">
        <v>2013</v>
      </c>
      <c r="U2" s="7">
        <v>2014</v>
      </c>
      <c r="V2" s="7">
        <v>2015</v>
      </c>
      <c r="W2" s="7">
        <v>2016</v>
      </c>
      <c r="X2" s="7">
        <v>2017</v>
      </c>
      <c r="Y2" s="7">
        <v>2018</v>
      </c>
      <c r="Z2" s="7">
        <v>2019</v>
      </c>
      <c r="AA2" s="7">
        <v>2020</v>
      </c>
      <c r="AB2" s="7">
        <v>2021</v>
      </c>
      <c r="AC2" s="7">
        <v>2022</v>
      </c>
    </row>
    <row r="3" spans="1:30" x14ac:dyDescent="0.25">
      <c r="A3" t="s">
        <v>484</v>
      </c>
      <c r="C3" s="17">
        <f t="shared" ref="C3:Y3" si="0">C490+C493</f>
        <v>39908.924137931041</v>
      </c>
      <c r="D3" s="17">
        <f t="shared" si="0"/>
        <v>40412.598039215685</v>
      </c>
      <c r="E3" s="17">
        <f t="shared" si="0"/>
        <v>43316.125252525249</v>
      </c>
      <c r="F3" s="17">
        <f t="shared" si="0"/>
        <v>44453.41864512123</v>
      </c>
      <c r="G3" s="17">
        <f t="shared" si="0"/>
        <v>44993.323574582413</v>
      </c>
      <c r="H3" s="17">
        <f t="shared" si="0"/>
        <v>46463.371486969852</v>
      </c>
      <c r="I3" s="17">
        <f t="shared" si="0"/>
        <v>48193.918639865427</v>
      </c>
      <c r="J3" s="17">
        <f t="shared" si="0"/>
        <v>48384.403860337297</v>
      </c>
      <c r="K3" s="17">
        <f t="shared" si="0"/>
        <v>48714.291720864865</v>
      </c>
      <c r="L3" s="17">
        <f t="shared" si="0"/>
        <v>50629.957062505644</v>
      </c>
      <c r="M3" s="17">
        <f t="shared" si="0"/>
        <v>50365.739265329918</v>
      </c>
      <c r="N3" s="17">
        <f t="shared" si="0"/>
        <v>53870.902313866092</v>
      </c>
      <c r="O3" s="17">
        <f t="shared" si="0"/>
        <v>54896.656794641283</v>
      </c>
      <c r="P3" s="17">
        <f t="shared" si="0"/>
        <v>53872.628832496368</v>
      </c>
      <c r="Q3" s="17">
        <f t="shared" si="0"/>
        <v>54637.195565624286</v>
      </c>
      <c r="R3" s="17">
        <f t="shared" si="0"/>
        <v>54220.87952494176</v>
      </c>
      <c r="S3" s="17">
        <f t="shared" si="0"/>
        <v>52943.193010005503</v>
      </c>
      <c r="T3" s="17">
        <f t="shared" si="0"/>
        <v>53418.749999999985</v>
      </c>
      <c r="U3" s="17">
        <f t="shared" si="0"/>
        <v>52980.243808049512</v>
      </c>
      <c r="V3" s="17">
        <f t="shared" si="0"/>
        <v>53095.226310648024</v>
      </c>
      <c r="W3" s="17">
        <f t="shared" si="0"/>
        <v>53845.242718446621</v>
      </c>
      <c r="X3" s="17">
        <f>X490+X493</f>
        <v>53162.054173832534</v>
      </c>
      <c r="Y3" s="17">
        <f t="shared" si="0"/>
        <v>53900.719810002833</v>
      </c>
      <c r="Z3" s="17">
        <f>Z490+Z493</f>
        <v>53778.339028788199</v>
      </c>
      <c r="AA3" s="17">
        <f t="shared" ref="AA3:AB3" si="1">AA490+AA493</f>
        <v>53278.790095081938</v>
      </c>
      <c r="AB3" s="17">
        <f t="shared" si="1"/>
        <v>52591.935345572623</v>
      </c>
      <c r="AC3" s="17">
        <f t="shared" ref="AC3" si="2">AC490+AC493</f>
        <v>50780.94305315175</v>
      </c>
    </row>
    <row r="4" spans="1:30" x14ac:dyDescent="0.25">
      <c r="A4" t="s">
        <v>95</v>
      </c>
      <c r="B4" t="s">
        <v>96</v>
      </c>
      <c r="C4" s="18">
        <f>IFERROR(
                  Andel_oberoende_av_klimat*VLOOKUP($A4,Leveranser_per_nät,'Leveranser per nät'!C$1,FALSE)
               +Andel_beroende_av_klimat*VLOOKUP($A4,Leveranser_per_nät,'Leveranser per nät'!C$1,FALSE)/VLOOKUP($B4,Korrigeringsfaktor_GD,'Korrigeringsfaktor GD'!C$1,FALSE),
"")</f>
        <v>1.8727272727272726</v>
      </c>
      <c r="D4" s="18">
        <f>IFERROR(
                  Andel_oberoende_av_klimat*VLOOKUP($A4,Leveranser_per_nät,'Leveranser per nät'!D$1,FALSE)
               +Andel_beroende_av_klimat*VLOOKUP($A4,Leveranser_per_nät,'Leveranser per nät'!D$1,FALSE)/VLOOKUP($B4,Korrigeringsfaktor_GD,'Korrigeringsfaktor GD'!D$1,FALSE),
"")</f>
        <v>13.204208333333334</v>
      </c>
      <c r="E4" s="18">
        <f>IFERROR(
                  Andel_oberoende_av_klimat*VLOOKUP($A4,Leveranser_per_nät,'Leveranser per nät'!E$1,FALSE)
               +Andel_beroende_av_klimat*VLOOKUP($A4,Leveranser_per_nät,'Leveranser per nät'!E$1,FALSE)/VLOOKUP($B4,Korrigeringsfaktor_GD,'Korrigeringsfaktor GD'!E$1,FALSE),
"")</f>
        <v>15</v>
      </c>
      <c r="F4" s="18">
        <f>IFERROR(
                  Andel_oberoende_av_klimat*VLOOKUP($A4,Leveranser_per_nät,'Leveranser per nät'!F$1,FALSE)
               +Andel_beroende_av_klimat*VLOOKUP($A4,Leveranser_per_nät,'Leveranser per nät'!F$1,FALSE)/VLOOKUP($B4,Korrigeringsfaktor_GD,'Korrigeringsfaktor GD'!F$1,FALSE),
"")</f>
        <v>14.2</v>
      </c>
      <c r="G4" s="18">
        <f>IFERROR(
                  Andel_oberoende_av_klimat*VLOOKUP($A4,Leveranser_per_nät,'Leveranser per nät'!G$1,FALSE)
               +Andel_beroende_av_klimat*VLOOKUP($A4,Leveranser_per_nät,'Leveranser per nät'!G$1,FALSE)/VLOOKUP($B4,Korrigeringsfaktor_GD,'Korrigeringsfaktor GD'!G$1,FALSE),
"")</f>
        <v>14.969230769230769</v>
      </c>
      <c r="H4" s="18">
        <f>IFERROR(
                  Andel_oberoende_av_klimat*VLOOKUP($A4,Leveranser_per_nät,'Leveranser per nät'!H$1,FALSE)
               +Andel_beroende_av_klimat*VLOOKUP($A4,Leveranser_per_nät,'Leveranser per nät'!H$1,FALSE)/VLOOKUP($B4,Korrigeringsfaktor_GD,'Korrigeringsfaktor GD'!H$1,FALSE),
"")</f>
        <v>14.794117647058822</v>
      </c>
      <c r="I4" s="18">
        <f>IFERROR(
                  Andel_oberoende_av_klimat*VLOOKUP($A4,Leveranser_per_nät,'Leveranser per nät'!I$1,FALSE)
               +Andel_beroende_av_klimat*VLOOKUP($A4,Leveranser_per_nät,'Leveranser per nät'!I$1,FALSE)/VLOOKUP($B4,Korrigeringsfaktor_GD,'Korrigeringsfaktor GD'!I$1,FALSE),
"")</f>
        <v>14.098989898989899</v>
      </c>
      <c r="J4" s="18">
        <f>IFERROR(
                  Andel_oberoende_av_klimat*VLOOKUP($A4,Leveranser_per_nät,'Leveranser per nät'!J$1,FALSE)
               +Andel_beroende_av_klimat*VLOOKUP($A4,Leveranser_per_nät,'Leveranser per nät'!J$1,FALSE)/VLOOKUP($B4,Korrigeringsfaktor_GD,'Korrigeringsfaktor GD'!J$1,FALSE),
"")</f>
        <v>15.4375</v>
      </c>
      <c r="K4" s="18">
        <f>IFERROR(
                  Andel_oberoende_av_klimat*VLOOKUP($A4,Leveranser_per_nät,'Leveranser per nät'!K$1,FALSE)
               +Andel_beroende_av_klimat*VLOOKUP($A4,Leveranser_per_nät,'Leveranser per nät'!K$1,FALSE)/VLOOKUP($B4,Korrigeringsfaktor_GD,'Korrigeringsfaktor GD'!K$1,FALSE),
"")</f>
        <v>12.853146122989044</v>
      </c>
      <c r="L4" s="18">
        <f>IFERROR(
                  Andel_oberoende_av_klimat*VLOOKUP($A4,Leveranser_per_nät,'Leveranser per nät'!L$1,FALSE)
               +Andel_beroende_av_klimat*VLOOKUP($A4,Leveranser_per_nät,'Leveranser per nät'!L$1,FALSE)/VLOOKUP($B4,Korrigeringsfaktor_GD,'Korrigeringsfaktor GD'!L$1,FALSE),
"")</f>
        <v>13.142898649539454</v>
      </c>
      <c r="M4" s="18">
        <f>IFERROR(
                  Andel_oberoende_av_klimat*VLOOKUP($A4,Leveranser_per_nät,'Leveranser per nät'!M$1,FALSE)
               +Andel_beroende_av_klimat*VLOOKUP($A4,Leveranser_per_nät,'Leveranser per nät'!M$1,FALSE)/VLOOKUP($B4,Korrigeringsfaktor_GD,'Korrigeringsfaktor GD'!M$1,FALSE),
"")</f>
        <v>14.05015652173913</v>
      </c>
      <c r="N4" s="18">
        <f>IFERROR(
                  Andel_oberoende_av_klimat*VLOOKUP($A4,Leveranser_per_nät,'Leveranser per nät'!N$1,FALSE)
               +Andel_beroende_av_klimat*VLOOKUP($A4,Leveranser_per_nät,'Leveranser per nät'!N$1,FALSE)/VLOOKUP($B4,Korrigeringsfaktor_GD,'Korrigeringsfaktor GD'!N$1,FALSE),
"")</f>
        <v>14.386300000000002</v>
      </c>
      <c r="O4" s="18">
        <f>IFERROR(
                  Andel_oberoende_av_klimat*VLOOKUP($A4,Leveranser_per_nät,'Leveranser per nät'!O$1,FALSE)
               +Andel_beroende_av_klimat*VLOOKUP($A4,Leveranser_per_nät,'Leveranser per nät'!O$1,FALSE)/VLOOKUP($B4,Korrigeringsfaktor_GD,'Korrigeringsfaktor GD'!O$1,FALSE),
"")</f>
        <v>15.724536170212765</v>
      </c>
      <c r="P4" s="18">
        <f>IFERROR(
                  Andel_oberoende_av_klimat*VLOOKUP($A4,Leveranser_per_nät,'Leveranser per nät'!P$1,FALSE)
               +Andel_beroende_av_klimat*VLOOKUP($A4,Leveranser_per_nät,'Leveranser per nät'!P$1,FALSE)/VLOOKUP($B4,Korrigeringsfaktor_GD,'Korrigeringsfaktor GD'!P$1,FALSE),
"")</f>
        <v>18.010000000000002</v>
      </c>
      <c r="Q4" s="18">
        <f>IFERROR(
                  Andel_oberoende_av_klimat*VLOOKUP($A4,Leveranser_per_nät,'Leveranser per nät'!Q$1,FALSE)
               +Andel_beroende_av_klimat*VLOOKUP($A4,Leveranser_per_nät,'Leveranser per nät'!Q$1,FALSE)/VLOOKUP($B4,Korrigeringsfaktor_GD,'Korrigeringsfaktor GD'!Q$1,FALSE),
"")</f>
        <v>18.58736956521739</v>
      </c>
      <c r="R4" s="18">
        <f>IFERROR(
                  Andel_oberoende_av_klimat*VLOOKUP($A4,Leveranser_per_nät,'Leveranser per nät'!R$1,FALSE)
               +Andel_beroende_av_klimat*VLOOKUP($A4,Leveranser_per_nät,'Leveranser per nät'!R$1,FALSE)/VLOOKUP($B4,Korrigeringsfaktor_GD,'Korrigeringsfaktor GD'!R$1,FALSE),
"")</f>
        <v>17.698486956521741</v>
      </c>
      <c r="S4" s="18">
        <f>IFERROR(
                  Andel_oberoende_av_klimat*VLOOKUP($A4,Leveranser_per_nät,'Leveranser per nät'!S$1,FALSE)
               +Andel_beroende_av_klimat*VLOOKUP($A4,Leveranser_per_nät,'Leveranser per nät'!S$1,FALSE)/VLOOKUP($B4,Korrigeringsfaktor_GD,'Korrigeringsfaktor GD'!S$1,FALSE),
"")</f>
        <v>18.401574257425743</v>
      </c>
      <c r="T4" s="18">
        <f>IFERROR(
                  Andel_oberoende_av_klimat*VLOOKUP($A4,Leveranser_per_nät,'Leveranser per nät'!T$1,FALSE)
               +Andel_beroende_av_klimat*VLOOKUP($A4,Leveranser_per_nät,'Leveranser per nät'!T$1,FALSE)/VLOOKUP($B4,Korrigeringsfaktor_GD,'Korrigeringsfaktor GD'!T$1,FALSE),
"")</f>
        <v>17.137148453608248</v>
      </c>
      <c r="U4" s="18">
        <f>IFERROR(
                  Andel_oberoende_av_klimat*VLOOKUP($A4,Leveranser_per_nät,'Leveranser per nät'!U$1,FALSE)
               +Andel_beroende_av_klimat*VLOOKUP($A4,Leveranser_per_nät,'Leveranser per nät'!U$1,FALSE)/VLOOKUP($B4,Korrigeringsfaktor_GD,'Korrigeringsfaktor GD'!U$1,FALSE),
"")</f>
        <v>17.448399999999999</v>
      </c>
      <c r="V4" s="18">
        <f>IFERROR(
                  Andel_oberoende_av_klimat*VLOOKUP($A4,Leveranser_per_nät,'Leveranser per nät'!V$1,FALSE)
               +Andel_beroende_av_klimat*VLOOKUP($A4,Leveranser_per_nät,'Leveranser per nät'!V$1,FALSE)/VLOOKUP($B4,Korrigeringsfaktor_GD,'Korrigeringsfaktor GD'!V$1,FALSE),
"")</f>
        <v>18.992314606741573</v>
      </c>
      <c r="W4" s="18">
        <f>IFERROR(
                  Andel_oberoende_av_klimat*VLOOKUP($A4,Leveranser_per_nät,'Leveranser per nät'!W$1,FALSE)
               +Andel_beroende_av_klimat*VLOOKUP($A4,Leveranser_per_nät,'Leveranser per nät'!W$1,FALSE)/VLOOKUP($B4,Korrigeringsfaktor_GD,'Korrigeringsfaktor GD'!W$1,FALSE),
"")</f>
        <v>19.417095652173913</v>
      </c>
      <c r="X4" s="18">
        <f>IFERROR(
                  Andel_oberoende_av_klimat*VLOOKUP($A4,Leveranser_per_nät,'Leveranser per nät'!X$1,FALSE)
               +Andel_beroende_av_klimat*VLOOKUP($A4,Leveranser_per_nät,'Leveranser per nät'!X$1,FALSE)/VLOOKUP($B4,Korrigeringsfaktor_GD,'Korrigeringsfaktor GD'!X$1,FALSE),
"")</f>
        <v>20.539470212765959</v>
      </c>
      <c r="Y4" s="18">
        <f>IFERROR(
                  Andel_oberoende_av_klimat*VLOOKUP($A4,Leveranser_per_nät,'Leveranser per nät'!Y$1,FALSE)
               +Andel_beroende_av_klimat*VLOOKUP($A4,Leveranser_per_nät,'Leveranser per nät'!Y$1,FALSE)/VLOOKUP($B4,Korrigeringsfaktor_GD,'Korrigeringsfaktor GD'!Y$1,FALSE),
"")</f>
        <v>19.6852688172043</v>
      </c>
      <c r="Z4" s="18">
        <f>IFERROR(
                  Andel_oberoende_av_klimat*VLOOKUP($A4,Leveranser_per_nät,'Leveranser per nät'!Z$1,FALSE)
               +Andel_beroende_av_klimat*VLOOKUP($A4,Leveranser_per_nät,'Leveranser per nät'!Z$1,FALSE)/VLOOKUP($B4,Korrigeringsfaktor_GD,'Korrigeringsfaktor GD'!Z$1,FALSE),
"")</f>
        <v>19.462776404494385</v>
      </c>
      <c r="AA4" s="18">
        <f>IFERROR(
                  Andel_oberoende_av_klimat*VLOOKUP($A4,Leveranser_per_nät,'Leveranser per nät'!AA$1,FALSE)
               +Andel_beroende_av_klimat*VLOOKUP($A4,Leveranser_per_nät,'Leveranser per nät'!AA$1,FALSE)/VLOOKUP($B4,Korrigeringsfaktor_GD,'Korrigeringsfaktor GD'!AA$1,FALSE),
"")</f>
        <v>18.060904185742316</v>
      </c>
      <c r="AB4" s="18">
        <f>IFERROR(
                  Andel_oberoende_av_klimat*VLOOKUP($A4,Leveranser_per_nät,'Leveranser per nät'!AB$1,FALSE)
               +Andel_beroende_av_klimat*VLOOKUP($A4,Leveranser_per_nät,'Leveranser per nät'!AB$1,FALSE)/VLOOKUP($B4,Korrigeringsfaktor_GD,'Korrigeringsfaktor GD'!AB$1,FALSE),
"")</f>
        <v>17.36361650485437</v>
      </c>
      <c r="AC4" s="18">
        <f>IFERROR(
                  Andel_oberoende_av_klimat*VLOOKUP($A4,Leveranser_per_nät,'Leveranser per nät'!AC$1,FALSE)
               +Andel_beroende_av_klimat*VLOOKUP($A4,Leveranser_per_nät,'Leveranser per nät'!AC$1,FALSE)/VLOOKUP($B4,Korrigeringsfaktor_GD,'Korrigeringsfaktor GD'!AC$1,FALSE),
"")</f>
        <v>16.652886597938146</v>
      </c>
      <c r="AD4">
        <v>31.07</v>
      </c>
    </row>
    <row r="5" spans="1:30" x14ac:dyDescent="0.25">
      <c r="A5" t="s">
        <v>1</v>
      </c>
      <c r="B5" t="s">
        <v>1</v>
      </c>
      <c r="C5" s="18">
        <f>IFERROR(
                  Andel_oberoende_av_klimat*VLOOKUP($A5,Leveranser_per_nät,'Leveranser per nät'!C$1,FALSE)
               +Andel_beroende_av_klimat*VLOOKUP($A5,Leveranser_per_nät,'Leveranser per nät'!C$1,FALSE)/VLOOKUP($B5,Korrigeringsfaktor_GD,'Korrigeringsfaktor GD'!C$1,FALSE),
"")</f>
        <v>63.443362831858408</v>
      </c>
      <c r="D5" s="18">
        <f>IFERROR(
                  Andel_oberoende_av_klimat*VLOOKUP($A5,Leveranser_per_nät,'Leveranser per nät'!D$1,FALSE)
               +Andel_beroende_av_klimat*VLOOKUP($A5,Leveranser_per_nät,'Leveranser per nät'!D$1,FALSE)/VLOOKUP($B5,Korrigeringsfaktor_GD,'Korrigeringsfaktor GD'!D$1,FALSE),
"")</f>
        <v>63.3</v>
      </c>
      <c r="E5" s="18">
        <f>IFERROR(
                  Andel_oberoende_av_klimat*VLOOKUP($A5,Leveranser_per_nät,'Leveranser per nät'!E$1,FALSE)
               +Andel_beroende_av_klimat*VLOOKUP($A5,Leveranser_per_nät,'Leveranser per nät'!E$1,FALSE)/VLOOKUP($B5,Korrigeringsfaktor_GD,'Korrigeringsfaktor GD'!E$1,FALSE),
"")</f>
        <v>63.556435643564356</v>
      </c>
      <c r="F5" s="18">
        <f>IFERROR(
                  Andel_oberoende_av_klimat*VLOOKUP($A5,Leveranser_per_nät,'Leveranser per nät'!F$1,FALSE)
               +Andel_beroende_av_klimat*VLOOKUP($A5,Leveranser_per_nät,'Leveranser per nät'!F$1,FALSE)/VLOOKUP($B5,Korrigeringsfaktor_GD,'Korrigeringsfaktor GD'!F$1,FALSE),
"")</f>
        <v>75.217021276595744</v>
      </c>
      <c r="G5" s="18">
        <f>IFERROR(
                  Andel_oberoende_av_klimat*VLOOKUP($A5,Leveranser_per_nät,'Leveranser per nät'!G$1,FALSE)
               +Andel_beroende_av_klimat*VLOOKUP($A5,Leveranser_per_nät,'Leveranser per nät'!G$1,FALSE)/VLOOKUP($B5,Korrigeringsfaktor_GD,'Korrigeringsfaktor GD'!G$1,FALSE),
"")</f>
        <v>81.318604651162786</v>
      </c>
      <c r="H5" s="18">
        <f>IFERROR(
                  Andel_oberoende_av_klimat*VLOOKUP($A5,Leveranser_per_nät,'Leveranser per nät'!H$1,FALSE)
               +Andel_beroende_av_klimat*VLOOKUP($A5,Leveranser_per_nät,'Leveranser per nät'!H$1,FALSE)/VLOOKUP($B5,Korrigeringsfaktor_GD,'Korrigeringsfaktor GD'!H$1,FALSE),
"")</f>
        <v>88.383168316831686</v>
      </c>
      <c r="I5" s="18">
        <f>IFERROR(
                  Andel_oberoende_av_klimat*VLOOKUP($A5,Leveranser_per_nät,'Leveranser per nät'!I$1,FALSE)
               +Andel_beroende_av_klimat*VLOOKUP($A5,Leveranser_per_nät,'Leveranser per nät'!I$1,FALSE)/VLOOKUP($B5,Korrigeringsfaktor_GD,'Korrigeringsfaktor GD'!I$1,FALSE),
"")</f>
        <v>89.842553191489372</v>
      </c>
      <c r="J5" s="18">
        <f>IFERROR(
                  Andel_oberoende_av_klimat*VLOOKUP($A5,Leveranser_per_nät,'Leveranser per nät'!J$1,FALSE)
               +Andel_beroende_av_klimat*VLOOKUP($A5,Leveranser_per_nät,'Leveranser per nät'!J$1,FALSE)/VLOOKUP($B5,Korrigeringsfaktor_GD,'Korrigeringsfaktor GD'!J$1,FALSE),
"")</f>
        <v>99.7</v>
      </c>
      <c r="K5" s="18">
        <f>IFERROR(
                  Andel_oberoende_av_klimat*VLOOKUP($A5,Leveranser_per_nät,'Leveranser per nät'!K$1,FALSE)
               +Andel_beroende_av_klimat*VLOOKUP($A5,Leveranser_per_nät,'Leveranser per nät'!K$1,FALSE)/VLOOKUP($B5,Korrigeringsfaktor_GD,'Korrigeringsfaktor GD'!K$1,FALSE),
"")</f>
        <v>101.51272727272726</v>
      </c>
      <c r="L5" s="18">
        <f>IFERROR(
                  Andel_oberoende_av_klimat*VLOOKUP($A5,Leveranser_per_nät,'Leveranser per nät'!L$1,FALSE)
               +Andel_beroende_av_klimat*VLOOKUP($A5,Leveranser_per_nät,'Leveranser per nät'!L$1,FALSE)/VLOOKUP($B5,Korrigeringsfaktor_GD,'Korrigeringsfaktor GD'!L$1,FALSE),
"")</f>
        <v>102.91255</v>
      </c>
      <c r="M5" s="18">
        <f>IFERROR(
                  Andel_oberoende_av_klimat*VLOOKUP($A5,Leveranser_per_nät,'Leveranser per nät'!M$1,FALSE)
               +Andel_beroende_av_klimat*VLOOKUP($A5,Leveranser_per_nät,'Leveranser per nät'!M$1,FALSE)/VLOOKUP($B5,Korrigeringsfaktor_GD,'Korrigeringsfaktor GD'!M$1,FALSE),
"")</f>
        <v>111.05860215053762</v>
      </c>
      <c r="N5" s="18">
        <f>IFERROR(
                  Andel_oberoende_av_klimat*VLOOKUP($A5,Leveranser_per_nät,'Leveranser per nät'!N$1,FALSE)
               +Andel_beroende_av_klimat*VLOOKUP($A5,Leveranser_per_nät,'Leveranser per nät'!N$1,FALSE)/VLOOKUP($B5,Korrigeringsfaktor_GD,'Korrigeringsfaktor GD'!N$1,FALSE),
"")</f>
        <v>113.49</v>
      </c>
      <c r="O5" s="18">
        <f>IFERROR(
                  Andel_oberoende_av_klimat*VLOOKUP($A5,Leveranser_per_nät,'Leveranser per nät'!O$1,FALSE)
               +Andel_beroende_av_klimat*VLOOKUP($A5,Leveranser_per_nät,'Leveranser per nät'!O$1,FALSE)/VLOOKUP($B5,Korrigeringsfaktor_GD,'Korrigeringsfaktor GD'!O$1,FALSE),
"")</f>
        <v>118.6476404494382</v>
      </c>
      <c r="P5" s="18">
        <f>IFERROR(
                  Andel_oberoende_av_klimat*VLOOKUP($A5,Leveranser_per_nät,'Leveranser per nät'!P$1,FALSE)
               +Andel_beroende_av_klimat*VLOOKUP($A5,Leveranser_per_nät,'Leveranser per nät'!P$1,FALSE)/VLOOKUP($B5,Korrigeringsfaktor_GD,'Korrigeringsfaktor GD'!P$1,FALSE),
"")</f>
        <v>124.13041237113403</v>
      </c>
      <c r="Q5" s="18">
        <f>IFERROR(
                  Andel_oberoende_av_klimat*VLOOKUP($A5,Leveranser_per_nät,'Leveranser per nät'!Q$1,FALSE)
               +Andel_beroende_av_klimat*VLOOKUP($A5,Leveranser_per_nät,'Leveranser per nät'!Q$1,FALSE)/VLOOKUP($B5,Korrigeringsfaktor_GD,'Korrigeringsfaktor GD'!Q$1,FALSE),
"")</f>
        <v>127.55186440677969</v>
      </c>
      <c r="R5" s="18">
        <f>IFERROR(
                  Andel_oberoende_av_klimat*VLOOKUP($A5,Leveranser_per_nät,'Leveranser per nät'!R$1,FALSE)
               +Andel_beroende_av_klimat*VLOOKUP($A5,Leveranser_per_nät,'Leveranser per nät'!R$1,FALSE)/VLOOKUP($B5,Korrigeringsfaktor_GD,'Korrigeringsfaktor GD'!R$1,FALSE),
"")</f>
        <v>121.99923076923076</v>
      </c>
      <c r="S5" s="18">
        <f>IFERROR(
                  Andel_oberoende_av_klimat*VLOOKUP($A5,Leveranser_per_nät,'Leveranser per nät'!S$1,FALSE)
               +Andel_beroende_av_klimat*VLOOKUP($A5,Leveranser_per_nät,'Leveranser per nät'!S$1,FALSE)/VLOOKUP($B5,Korrigeringsfaktor_GD,'Korrigeringsfaktor GD'!S$1,FALSE),
"")</f>
        <v>122.29803921568627</v>
      </c>
      <c r="T5" s="18">
        <f>IFERROR(
                  Andel_oberoende_av_klimat*VLOOKUP($A5,Leveranser_per_nät,'Leveranser per nät'!T$1,FALSE)
               +Andel_beroende_av_klimat*VLOOKUP($A5,Leveranser_per_nät,'Leveranser per nät'!T$1,FALSE)/VLOOKUP($B5,Korrigeringsfaktor_GD,'Korrigeringsfaktor GD'!T$1,FALSE),
"")</f>
        <v>123.64142857142858</v>
      </c>
      <c r="U5" s="18">
        <f>IFERROR(
                  Andel_oberoende_av_klimat*VLOOKUP($A5,Leveranser_per_nät,'Leveranser per nät'!U$1,FALSE)
               +Andel_beroende_av_klimat*VLOOKUP($A5,Leveranser_per_nät,'Leveranser per nät'!U$1,FALSE)/VLOOKUP($B5,Korrigeringsfaktor_GD,'Korrigeringsfaktor GD'!U$1,FALSE),
"")</f>
        <v>120.77941176470588</v>
      </c>
      <c r="V5" s="18">
        <f>IFERROR(
                  Andel_oberoende_av_klimat*VLOOKUP($A5,Leveranser_per_nät,'Leveranser per nät'!V$1,FALSE)
               +Andel_beroende_av_klimat*VLOOKUP($A5,Leveranser_per_nät,'Leveranser per nät'!V$1,FALSE)/VLOOKUP($B5,Korrigeringsfaktor_GD,'Korrigeringsfaktor GD'!V$1,FALSE),
"")</f>
        <v>121.14222222222222</v>
      </c>
      <c r="W5" s="18">
        <f>IFERROR(
                  Andel_oberoende_av_klimat*VLOOKUP($A5,Leveranser_per_nät,'Leveranser per nät'!W$1,FALSE)
               +Andel_beroende_av_klimat*VLOOKUP($A5,Leveranser_per_nät,'Leveranser per nät'!W$1,FALSE)/VLOOKUP($B5,Korrigeringsfaktor_GD,'Korrigeringsfaktor GD'!W$1,FALSE),
"")</f>
        <v>125.14666666666666</v>
      </c>
      <c r="X5" s="18">
        <f>IFERROR(
                  Andel_oberoende_av_klimat*VLOOKUP($A5,Leveranser_per_nät,'Leveranser per nät'!X$1,FALSE)
               +Andel_beroende_av_klimat*VLOOKUP($A5,Leveranser_per_nät,'Leveranser per nät'!X$1,FALSE)/VLOOKUP($B5,Korrigeringsfaktor_GD,'Korrigeringsfaktor GD'!X$1,FALSE),
"")</f>
        <v>124.6304255319149</v>
      </c>
      <c r="Y5" s="18">
        <f>IFERROR(
                  Andel_oberoende_av_klimat*VLOOKUP($A5,Leveranser_per_nät,'Leveranser per nät'!Y$1,FALSE)
               +Andel_beroende_av_klimat*VLOOKUP($A5,Leveranser_per_nät,'Leveranser per nät'!Y$1,FALSE)/VLOOKUP($B5,Korrigeringsfaktor_GD,'Korrigeringsfaktor GD'!Y$1,FALSE),
"")</f>
        <v>127.9016129032258</v>
      </c>
      <c r="Z5" s="18">
        <f>IFERROR(
                  Andel_oberoende_av_klimat*VLOOKUP($A5,Leveranser_per_nät,'Leveranser per nät'!Z$1,FALSE)
               +Andel_beroende_av_klimat*VLOOKUP($A5,Leveranser_per_nät,'Leveranser per nät'!Z$1,FALSE)/VLOOKUP($B5,Korrigeringsfaktor_GD,'Korrigeringsfaktor GD'!Z$1,FALSE),
"")</f>
        <v>122.67666666666668</v>
      </c>
      <c r="AA5" s="18">
        <f>IFERROR(
                  Andel_oberoende_av_klimat*VLOOKUP($A5,Leveranser_per_nät,'Leveranser per nät'!AA$1,FALSE)
               +Andel_beroende_av_klimat*VLOOKUP($A5,Leveranser_per_nät,'Leveranser per nät'!AA$1,FALSE)/VLOOKUP($B5,Korrigeringsfaktor_GD,'Korrigeringsfaktor GD'!AA$1,FALSE),
"")</f>
        <v>123.84856126482214</v>
      </c>
      <c r="AB5" s="18">
        <f>IFERROR(
                  Andel_oberoende_av_klimat*VLOOKUP($A5,Leveranser_per_nät,'Leveranser per nät'!AB$1,FALSE)
               +Andel_beroende_av_klimat*VLOOKUP($A5,Leveranser_per_nät,'Leveranser per nät'!AB$1,FALSE)/VLOOKUP($B5,Korrigeringsfaktor_GD,'Korrigeringsfaktor GD'!AB$1,FALSE),
"")</f>
        <v>129.52589338598222</v>
      </c>
      <c r="AC5" s="18">
        <f>IFERROR(
                  Andel_oberoende_av_klimat*VLOOKUP($A5,Leveranser_per_nät,'Leveranser per nät'!AC$1,FALSE)
               +Andel_beroende_av_klimat*VLOOKUP($A5,Leveranser_per_nät,'Leveranser per nät'!AC$1,FALSE)/VLOOKUP($B5,Korrigeringsfaktor_GD,'Korrigeringsfaktor GD'!AC$1,FALSE),
"")</f>
        <v>124.93577586206897</v>
      </c>
      <c r="AD5">
        <v>118.5</v>
      </c>
    </row>
    <row r="6" spans="1:30" x14ac:dyDescent="0.25">
      <c r="A6" t="s">
        <v>2</v>
      </c>
      <c r="B6" t="s">
        <v>2</v>
      </c>
      <c r="C6" s="18">
        <f>IFERROR(
                  Andel_oberoende_av_klimat*VLOOKUP($A6,Leveranser_per_nät,'Leveranser per nät'!C$1,FALSE)
               +Andel_beroende_av_klimat*VLOOKUP($A6,Leveranser_per_nät,'Leveranser per nät'!C$1,FALSE)/VLOOKUP($B6,Korrigeringsfaktor_GD,'Korrigeringsfaktor GD'!C$1,FALSE),
"")</f>
        <v>0</v>
      </c>
      <c r="D6" s="18">
        <f>IFERROR(
                  Andel_oberoende_av_klimat*VLOOKUP($A6,Leveranser_per_nät,'Leveranser per nät'!D$1,FALSE)
               +Andel_beroende_av_klimat*VLOOKUP($A6,Leveranser_per_nät,'Leveranser per nät'!D$1,FALSE)/VLOOKUP($B6,Korrigeringsfaktor_GD,'Korrigeringsfaktor GD'!D$1,FALSE),
"")</f>
        <v>0</v>
      </c>
      <c r="E6" s="18">
        <f>IFERROR(
                  Andel_oberoende_av_klimat*VLOOKUP($A6,Leveranser_per_nät,'Leveranser per nät'!E$1,FALSE)
               +Andel_beroende_av_klimat*VLOOKUP($A6,Leveranser_per_nät,'Leveranser per nät'!E$1,FALSE)/VLOOKUP($B6,Korrigeringsfaktor_GD,'Korrigeringsfaktor GD'!E$1,FALSE),
"")</f>
        <v>35.203313861386135</v>
      </c>
      <c r="F6" s="18">
        <f>IFERROR(
                  Andel_oberoende_av_klimat*VLOOKUP($A6,Leveranser_per_nät,'Leveranser per nät'!F$1,FALSE)
               +Andel_beroende_av_klimat*VLOOKUP($A6,Leveranser_per_nät,'Leveranser per nät'!F$1,FALSE)/VLOOKUP($B6,Korrigeringsfaktor_GD,'Korrigeringsfaktor GD'!F$1,FALSE),
"")</f>
        <v>54.323404255319154</v>
      </c>
      <c r="G6" s="18">
        <f>IFERROR(
                  Andel_oberoende_av_klimat*VLOOKUP($A6,Leveranser_per_nät,'Leveranser per nät'!G$1,FALSE)
               +Andel_beroende_av_klimat*VLOOKUP($A6,Leveranser_per_nät,'Leveranser per nät'!G$1,FALSE)/VLOOKUP($B6,Korrigeringsfaktor_GD,'Korrigeringsfaktor GD'!G$1,FALSE),
"")</f>
        <v>57.439080459770118</v>
      </c>
      <c r="H6" s="18">
        <f>IFERROR(
                  Andel_oberoende_av_klimat*VLOOKUP($A6,Leveranser_per_nät,'Leveranser per nät'!H$1,FALSE)
               +Andel_beroende_av_klimat*VLOOKUP($A6,Leveranser_per_nät,'Leveranser per nät'!H$1,FALSE)/VLOOKUP($B6,Korrigeringsfaktor_GD,'Korrigeringsfaktor GD'!H$1,FALSE),
"")</f>
        <v>82</v>
      </c>
      <c r="I6" s="18">
        <f>IFERROR(
                  Andel_oberoende_av_klimat*VLOOKUP($A6,Leveranser_per_nät,'Leveranser per nät'!I$1,FALSE)
               +Andel_beroende_av_klimat*VLOOKUP($A6,Leveranser_per_nät,'Leveranser per nät'!I$1,FALSE)/VLOOKUP($B6,Korrigeringsfaktor_GD,'Korrigeringsfaktor GD'!I$1,FALSE),
"")</f>
        <v>77.306382978723406</v>
      </c>
      <c r="J6" s="18">
        <f>IFERROR(
                  Andel_oberoende_av_klimat*VLOOKUP($A6,Leveranser_per_nät,'Leveranser per nät'!J$1,FALSE)
               +Andel_beroende_av_klimat*VLOOKUP($A6,Leveranser_per_nät,'Leveranser per nät'!J$1,FALSE)/VLOOKUP($B6,Korrigeringsfaktor_GD,'Korrigeringsfaktor GD'!J$1,FALSE),
"")</f>
        <v>84.185714285714283</v>
      </c>
      <c r="K6" s="18">
        <f>IFERROR(
                  Andel_oberoende_av_klimat*VLOOKUP($A6,Leveranser_per_nät,'Leveranser per nät'!K$1,FALSE)
               +Andel_beroende_av_klimat*VLOOKUP($A6,Leveranser_per_nät,'Leveranser per nät'!K$1,FALSE)/VLOOKUP($B6,Korrigeringsfaktor_GD,'Korrigeringsfaktor GD'!K$1,FALSE),
"")</f>
        <v>92.328000000000003</v>
      </c>
      <c r="L6" s="18">
        <f>IFERROR(
                  Andel_oberoende_av_klimat*VLOOKUP($A6,Leveranser_per_nät,'Leveranser per nät'!L$1,FALSE)
               +Andel_beroende_av_klimat*VLOOKUP($A6,Leveranser_per_nät,'Leveranser per nät'!L$1,FALSE)/VLOOKUP($B6,Korrigeringsfaktor_GD,'Korrigeringsfaktor GD'!L$1,FALSE),
"")</f>
        <v>94.326853608247433</v>
      </c>
      <c r="M6" s="18">
        <f>IFERROR(
                  Andel_oberoende_av_klimat*VLOOKUP($A6,Leveranser_per_nät,'Leveranser per nät'!M$1,FALSE)
               +Andel_beroende_av_klimat*VLOOKUP($A6,Leveranser_per_nät,'Leveranser per nät'!M$1,FALSE)/VLOOKUP($B6,Korrigeringsfaktor_GD,'Korrigeringsfaktor GD'!M$1,FALSE),
"")</f>
        <v>89.478494623655905</v>
      </c>
      <c r="N6" s="18">
        <f>IFERROR(
                  Andel_oberoende_av_klimat*VLOOKUP($A6,Leveranser_per_nät,'Leveranser per nät'!N$1,FALSE)
               +Andel_beroende_av_klimat*VLOOKUP($A6,Leveranser_per_nät,'Leveranser per nät'!N$1,FALSE)/VLOOKUP($B6,Korrigeringsfaktor_GD,'Korrigeringsfaktor GD'!N$1,FALSE),
"")</f>
        <v>99.155555555555551</v>
      </c>
      <c r="O6" s="18">
        <f>IFERROR(
                  Andel_oberoende_av_klimat*VLOOKUP($A6,Leveranser_per_nät,'Leveranser per nät'!O$1,FALSE)
               +Andel_beroende_av_klimat*VLOOKUP($A6,Leveranser_per_nät,'Leveranser per nät'!O$1,FALSE)/VLOOKUP($B6,Korrigeringsfaktor_GD,'Korrigeringsfaktor GD'!O$1,FALSE),
"")</f>
        <v>98.077777777777783</v>
      </c>
      <c r="P6" s="18">
        <f>IFERROR(
                  Andel_oberoende_av_klimat*VLOOKUP($A6,Leveranser_per_nät,'Leveranser per nät'!P$1,FALSE)
               +Andel_beroende_av_klimat*VLOOKUP($A6,Leveranser_per_nät,'Leveranser per nät'!P$1,FALSE)/VLOOKUP($B6,Korrigeringsfaktor_GD,'Korrigeringsfaktor GD'!P$1,FALSE),
"")</f>
        <v>102.16494845360825</v>
      </c>
      <c r="Q6" s="18">
        <f>IFERROR(
                  Andel_oberoende_av_klimat*VLOOKUP($A6,Leveranser_per_nät,'Leveranser per nät'!Q$1,FALSE)
               +Andel_beroende_av_klimat*VLOOKUP($A6,Leveranser_per_nät,'Leveranser per nät'!Q$1,FALSE)/VLOOKUP($B6,Korrigeringsfaktor_GD,'Korrigeringsfaktor GD'!Q$1,FALSE),
"")</f>
        <v>101.77391304347827</v>
      </c>
      <c r="R6" s="18">
        <f>IFERROR(
                  Andel_oberoende_av_klimat*VLOOKUP($A6,Leveranser_per_nät,'Leveranser per nät'!R$1,FALSE)
               +Andel_beroende_av_klimat*VLOOKUP($A6,Leveranser_per_nät,'Leveranser per nät'!R$1,FALSE)/VLOOKUP($B6,Korrigeringsfaktor_GD,'Korrigeringsfaktor GD'!R$1,FALSE),
"")</f>
        <v>107.39819130434783</v>
      </c>
      <c r="S6" s="18">
        <f>IFERROR(
                  Andel_oberoende_av_klimat*VLOOKUP($A6,Leveranser_per_nät,'Leveranser per nät'!S$1,FALSE)
               +Andel_beroende_av_klimat*VLOOKUP($A6,Leveranser_per_nät,'Leveranser per nät'!S$1,FALSE)/VLOOKUP($B6,Korrigeringsfaktor_GD,'Korrigeringsfaktor GD'!S$1,FALSE),
"")</f>
        <v>105.26534653465345</v>
      </c>
      <c r="T6" s="18">
        <f>IFERROR(
                  Andel_oberoende_av_klimat*VLOOKUP($A6,Leveranser_per_nät,'Leveranser per nät'!T$1,FALSE)
               +Andel_beroende_av_klimat*VLOOKUP($A6,Leveranser_per_nät,'Leveranser per nät'!T$1,FALSE)/VLOOKUP($B6,Korrigeringsfaktor_GD,'Korrigeringsfaktor GD'!T$1,FALSE),
"")</f>
        <v>92.300000000000011</v>
      </c>
      <c r="U6" s="18">
        <f>IFERROR(
                  Andel_oberoende_av_klimat*VLOOKUP($A6,Leveranser_per_nät,'Leveranser per nät'!U$1,FALSE)
               +Andel_beroende_av_klimat*VLOOKUP($A6,Leveranser_per_nät,'Leveranser per nät'!U$1,FALSE)/VLOOKUP($B6,Korrigeringsfaktor_GD,'Korrigeringsfaktor GD'!U$1,FALSE),
"")</f>
        <v>98.027906976744191</v>
      </c>
      <c r="V6" s="18">
        <f>IFERROR(
                  Andel_oberoende_av_klimat*VLOOKUP($A6,Leveranser_per_nät,'Leveranser per nät'!V$1,FALSE)
               +Andel_beroende_av_klimat*VLOOKUP($A6,Leveranser_per_nät,'Leveranser per nät'!V$1,FALSE)/VLOOKUP($B6,Korrigeringsfaktor_GD,'Korrigeringsfaktor GD'!V$1,FALSE),
"")</f>
        <v>98.077777777777783</v>
      </c>
      <c r="W6" s="18">
        <f>IFERROR(
                  Andel_oberoende_av_klimat*VLOOKUP($A6,Leveranser_per_nät,'Leveranser per nät'!W$1,FALSE)
               +Andel_beroende_av_klimat*VLOOKUP($A6,Leveranser_per_nät,'Leveranser per nät'!W$1,FALSE)/VLOOKUP($B6,Korrigeringsfaktor_GD,'Korrigeringsfaktor GD'!W$1,FALSE),
"")</f>
        <v>58.374210526315785</v>
      </c>
      <c r="X6" s="18">
        <f>IFERROR(
                  Andel_oberoende_av_klimat*VLOOKUP($A6,Leveranser_per_nät,'Leveranser per nät'!X$1,FALSE)
               +Andel_beroende_av_klimat*VLOOKUP($A6,Leveranser_per_nät,'Leveranser per nät'!X$1,FALSE)/VLOOKUP($B6,Korrigeringsfaktor_GD,'Korrigeringsfaktor GD'!X$1,FALSE),
"")</f>
        <v>61.792795698924735</v>
      </c>
      <c r="Y6" s="18">
        <f>IFERROR(
                  Andel_oberoende_av_klimat*VLOOKUP($A6,Leveranser_per_nät,'Leveranser per nät'!Y$1,FALSE)
               +Andel_beroende_av_klimat*VLOOKUP($A6,Leveranser_per_nät,'Leveranser per nät'!Y$1,FALSE)/VLOOKUP($B6,Korrigeringsfaktor_GD,'Korrigeringsfaktor GD'!Y$1,FALSE),
"")</f>
        <v>60.323222222222213</v>
      </c>
      <c r="Z6" s="18">
        <f>IFERROR(
                  Andel_oberoende_av_klimat*VLOOKUP($A6,Leveranser_per_nät,'Leveranser per nät'!Z$1,FALSE)
               +Andel_beroende_av_klimat*VLOOKUP($A6,Leveranser_per_nät,'Leveranser per nät'!Z$1,FALSE)/VLOOKUP($B6,Korrigeringsfaktor_GD,'Korrigeringsfaktor GD'!Z$1,FALSE),
"")</f>
        <v>59.443337078651687</v>
      </c>
      <c r="AA6" s="18">
        <f>IFERROR(
                  Andel_oberoende_av_klimat*VLOOKUP($A6,Leveranser_per_nät,'Leveranser per nät'!AA$1,FALSE)
               +Andel_beroende_av_klimat*VLOOKUP($A6,Leveranser_per_nät,'Leveranser per nät'!AA$1,FALSE)/VLOOKUP($B6,Korrigeringsfaktor_GD,'Korrigeringsfaktor GD'!AA$1,FALSE),
"")</f>
        <v>58.73025350233489</v>
      </c>
      <c r="AB6" s="18">
        <f>IFERROR(
                  Andel_oberoende_av_klimat*VLOOKUP($A6,Leveranser_per_nät,'Leveranser per nät'!AB$1,FALSE)
               +Andel_beroende_av_klimat*VLOOKUP($A6,Leveranser_per_nät,'Leveranser per nät'!AB$1,FALSE)/VLOOKUP($B6,Korrigeringsfaktor_GD,'Korrigeringsfaktor GD'!AB$1,FALSE),
"")</f>
        <v>57.470753424657538</v>
      </c>
      <c r="AC6" s="18">
        <f>IFERROR(
                  Andel_oberoende_av_klimat*VLOOKUP($A6,Leveranser_per_nät,'Leveranser per nät'!AC$1,FALSE)
               +Andel_beroende_av_klimat*VLOOKUP($A6,Leveranser_per_nät,'Leveranser per nät'!AC$1,FALSE)/VLOOKUP($B6,Korrigeringsfaktor_GD,'Korrigeringsfaktor GD'!AC$1,FALSE),
"")</f>
        <v>55.141062761506277</v>
      </c>
      <c r="AD6">
        <v>53.42</v>
      </c>
    </row>
    <row r="7" spans="1:30" x14ac:dyDescent="0.25">
      <c r="A7" t="s">
        <v>792</v>
      </c>
      <c r="B7" t="s">
        <v>792</v>
      </c>
      <c r="C7" s="18">
        <f>IFERROR(
                  Andel_oberoende_av_klimat*VLOOKUP($A7,Leveranser_per_nät,'Leveranser per nät'!C$1,FALSE)
               +Andel_beroende_av_klimat*VLOOKUP($A7,Leveranser_per_nät,'Leveranser per nät'!C$1,FALSE)/VLOOKUP("Jönköping",Korrigeringsfaktor_GD,'Korrigeringsfaktor GD'!C$1,FALSE),
"")</f>
        <v>0</v>
      </c>
      <c r="D7" s="18">
        <f>IFERROR(
                  Andel_oberoende_av_klimat*VLOOKUP($A7,Leveranser_per_nät,'Leveranser per nät'!D$1,FALSE)
               +Andel_beroende_av_klimat*VLOOKUP($A7,Leveranser_per_nät,'Leveranser per nät'!D$1,FALSE)/VLOOKUP("Jönköping",Korrigeringsfaktor_GD,'Korrigeringsfaktor GD'!D$1,FALSE),
"")</f>
        <v>0</v>
      </c>
      <c r="E7" s="18">
        <f>IFERROR(
                  Andel_oberoende_av_klimat*VLOOKUP($A7,Leveranser_per_nät,'Leveranser per nät'!E$1,FALSE)
               +Andel_beroende_av_klimat*VLOOKUP($A7,Leveranser_per_nät,'Leveranser per nät'!E$1,FALSE)/VLOOKUP("Jönköping",Korrigeringsfaktor_GD,'Korrigeringsfaktor GD'!E$1,FALSE),
"")</f>
        <v>0</v>
      </c>
      <c r="F7" s="18">
        <f>IFERROR(
                  Andel_oberoende_av_klimat*VLOOKUP($A7,Leveranser_per_nät,'Leveranser per nät'!F$1,FALSE)
               +Andel_beroende_av_klimat*VLOOKUP($A7,Leveranser_per_nät,'Leveranser per nät'!F$1,FALSE)/VLOOKUP("Jönköping",Korrigeringsfaktor_GD,'Korrigeringsfaktor GD'!F$1,FALSE),
"")</f>
        <v>0</v>
      </c>
      <c r="G7" s="18">
        <f>IFERROR(
                  Andel_oberoende_av_klimat*VLOOKUP($A7,Leveranser_per_nät,'Leveranser per nät'!G$1,FALSE)
               +Andel_beroende_av_klimat*VLOOKUP($A7,Leveranser_per_nät,'Leveranser per nät'!G$1,FALSE)/VLOOKUP("Jönköping",Korrigeringsfaktor_GD,'Korrigeringsfaktor GD'!G$1,FALSE),
"")</f>
        <v>0</v>
      </c>
      <c r="H7" s="18">
        <f>IFERROR(
                  Andel_oberoende_av_klimat*VLOOKUP($A7,Leveranser_per_nät,'Leveranser per nät'!H$1,FALSE)
               +Andel_beroende_av_klimat*VLOOKUP($A7,Leveranser_per_nät,'Leveranser per nät'!H$1,FALSE)/VLOOKUP("Jönköping",Korrigeringsfaktor_GD,'Korrigeringsfaktor GD'!H$1,FALSE),
"")</f>
        <v>0</v>
      </c>
      <c r="I7" s="18">
        <f>IFERROR(
                  Andel_oberoende_av_klimat*VLOOKUP($A7,Leveranser_per_nät,'Leveranser per nät'!I$1,FALSE)
               +Andel_beroende_av_klimat*VLOOKUP($A7,Leveranser_per_nät,'Leveranser per nät'!I$1,FALSE)/VLOOKUP("Jönköping",Korrigeringsfaktor_GD,'Korrigeringsfaktor GD'!I$1,FALSE),
"")</f>
        <v>0</v>
      </c>
      <c r="J7" s="18">
        <f>IFERROR(
                  Andel_oberoende_av_klimat*VLOOKUP($A7,Leveranser_per_nät,'Leveranser per nät'!J$1,FALSE)
               +Andel_beroende_av_klimat*VLOOKUP($A7,Leveranser_per_nät,'Leveranser per nät'!J$1,FALSE)/VLOOKUP("Jönköping",Korrigeringsfaktor_GD,'Korrigeringsfaktor GD'!J$1,FALSE),
"")</f>
        <v>0</v>
      </c>
      <c r="K7" s="18">
        <f>IFERROR(
                  Andel_oberoende_av_klimat*VLOOKUP($A7,Leveranser_per_nät,'Leveranser per nät'!K$1,FALSE)
               +Andel_beroende_av_klimat*VLOOKUP($A7,Leveranser_per_nät,'Leveranser per nät'!K$1,FALSE)/VLOOKUP("Jönköping",Korrigeringsfaktor_GD,'Korrigeringsfaktor GD'!K$1,FALSE),
"")</f>
        <v>0</v>
      </c>
      <c r="L7" s="18">
        <f>IFERROR(
                  Andel_oberoende_av_klimat*VLOOKUP($A7,Leveranser_per_nät,'Leveranser per nät'!L$1,FALSE)
               +Andel_beroende_av_klimat*VLOOKUP($A7,Leveranser_per_nät,'Leveranser per nät'!L$1,FALSE)/VLOOKUP("Jönköping",Korrigeringsfaktor_GD,'Korrigeringsfaktor GD'!L$1,FALSE),
"")</f>
        <v>0</v>
      </c>
      <c r="M7" s="18">
        <f>IFERROR(
                  Andel_oberoende_av_klimat*VLOOKUP($A7,Leveranser_per_nät,'Leveranser per nät'!M$1,FALSE)
               +Andel_beroende_av_klimat*VLOOKUP($A7,Leveranser_per_nät,'Leveranser per nät'!M$1,FALSE)/VLOOKUP("Jönköping",Korrigeringsfaktor_GD,'Korrigeringsfaktor GD'!M$1,FALSE),
"")</f>
        <v>0</v>
      </c>
      <c r="N7" s="18">
        <f>IFERROR(
                  Andel_oberoende_av_klimat*VLOOKUP($A7,Leveranser_per_nät,'Leveranser per nät'!N$1,FALSE)
               +Andel_beroende_av_klimat*VLOOKUP($A7,Leveranser_per_nät,'Leveranser per nät'!N$1,FALSE)/VLOOKUP("Jönköping",Korrigeringsfaktor_GD,'Korrigeringsfaktor GD'!N$1,FALSE),
"")</f>
        <v>0</v>
      </c>
      <c r="O7" s="18">
        <f>IFERROR(
                  Andel_oberoende_av_klimat*VLOOKUP($A7,Leveranser_per_nät,'Leveranser per nät'!O$1,FALSE)
               +Andel_beroende_av_klimat*VLOOKUP($A7,Leveranser_per_nät,'Leveranser per nät'!O$1,FALSE)/VLOOKUP("Jönköping",Korrigeringsfaktor_GD,'Korrigeringsfaktor GD'!O$1,FALSE),
"")</f>
        <v>0</v>
      </c>
      <c r="P7" s="18">
        <f>IFERROR(
                  Andel_oberoende_av_klimat*VLOOKUP($A7,Leveranser_per_nät,'Leveranser per nät'!P$1,FALSE)
               +Andel_beroende_av_klimat*VLOOKUP($A7,Leveranser_per_nät,'Leveranser per nät'!P$1,FALSE)/VLOOKUP("Jönköping",Korrigeringsfaktor_GD,'Korrigeringsfaktor GD'!P$1,FALSE),
"")</f>
        <v>0</v>
      </c>
      <c r="Q7" s="18">
        <f>IFERROR(
                  Andel_oberoende_av_klimat*VLOOKUP($A7,Leveranser_per_nät,'Leveranser per nät'!Q$1,FALSE)
               +Andel_beroende_av_klimat*VLOOKUP($A7,Leveranser_per_nät,'Leveranser per nät'!Q$1,FALSE)/VLOOKUP("Jönköping",Korrigeringsfaktor_GD,'Korrigeringsfaktor GD'!Q$1,FALSE),
"")</f>
        <v>0</v>
      </c>
      <c r="R7" s="18">
        <f>IFERROR(
                  Andel_oberoende_av_klimat*VLOOKUP($A7,Leveranser_per_nät,'Leveranser per nät'!R$1,FALSE)
               +Andel_beroende_av_klimat*VLOOKUP($A7,Leveranser_per_nät,'Leveranser per nät'!R$1,FALSE)/VLOOKUP("Jönköping",Korrigeringsfaktor_GD,'Korrigeringsfaktor GD'!R$1,FALSE),
"")</f>
        <v>0</v>
      </c>
      <c r="S7" s="18" t="str">
        <f>IFERROR(
                  Andel_oberoende_av_klimat*VLOOKUP($A7,Leveranser_per_nät,'Leveranser per nät'!S$1,FALSE)
               +Andel_beroende_av_klimat*VLOOKUP($A7,Leveranser_per_nät,'Leveranser per nät'!S$1,FALSE)/VLOOKUP("Jönköping",Korrigeringsfaktor_GD,'Korrigeringsfaktor GD'!S$1,FALSE),
"")</f>
        <v/>
      </c>
      <c r="T7" s="18" t="str">
        <f>IFERROR(
                  Andel_oberoende_av_klimat*VLOOKUP($A7,Leveranser_per_nät,'Leveranser per nät'!T$1,FALSE)
               +Andel_beroende_av_klimat*VLOOKUP($A7,Leveranser_per_nät,'Leveranser per nät'!T$1,FALSE)/VLOOKUP("Jönköping",Korrigeringsfaktor_GD,'Korrigeringsfaktor GD'!T$1,FALSE),
"")</f>
        <v/>
      </c>
      <c r="U7" s="18">
        <f>IFERROR(
                  Andel_oberoende_av_klimat*VLOOKUP($A7,Leveranser_per_nät,'Leveranser per nät'!U$1,FALSE)
               +Andel_beroende_av_klimat*VLOOKUP($A7,Leveranser_per_nät,'Leveranser per nät'!U$1,FALSE)/VLOOKUP("Jönköping",Korrigeringsfaktor_GD,'Korrigeringsfaktor GD'!U$1,FALSE),
"")</f>
        <v>23.762647058823525</v>
      </c>
      <c r="V7" s="18">
        <f>IFERROR(
                  Andel_oberoende_av_klimat*VLOOKUP($A7,Leveranser_per_nät,'Leveranser per nät'!V$1,FALSE)
               +Andel_beroende_av_klimat*VLOOKUP($A7,Leveranser_per_nät,'Leveranser per nät'!V$1,FALSE)/VLOOKUP("Jönköping",Korrigeringsfaktor_GD,'Korrigeringsfaktor GD'!V$1,FALSE),
"")</f>
        <v>24.698804597701152</v>
      </c>
      <c r="W7" s="18">
        <f>IFERROR(
                  Andel_oberoende_av_klimat*VLOOKUP($A7,Leveranser_per_nät,'Leveranser per nät'!W$1,FALSE)
               +Andel_beroende_av_klimat*VLOOKUP($A7,Leveranser_per_nät,'Leveranser per nät'!W$1,FALSE)/VLOOKUP("Jönköping",Korrigeringsfaktor_GD,'Korrigeringsfaktor GD'!W$1,FALSE),
"")</f>
        <v>26.277739130434782</v>
      </c>
      <c r="X7" s="18">
        <f>IFERROR(
                  Andel_oberoende_av_klimat*VLOOKUP($A7,Leveranser_per_nät,'Leveranser per nät'!X$1,FALSE)
               +Andel_beroende_av_klimat*VLOOKUP($A7,Leveranser_per_nät,'Leveranser per nät'!X$1,FALSE)/VLOOKUP("Jönköping",Korrigeringsfaktor_GD,'Korrigeringsfaktor GD'!X$1,FALSE),
"")</f>
        <v>26.438869230769228</v>
      </c>
      <c r="Y7" s="18">
        <f>IFERROR(
                  Andel_oberoende_av_klimat*VLOOKUP($A7,Leveranser_per_nät,'Leveranser per nät'!Y$1,FALSE)
               +Andel_beroende_av_klimat*VLOOKUP($A7,Leveranser_per_nät,'Leveranser per nät'!Y$1,FALSE)/VLOOKUP($B7,Korrigeringsfaktor_GD,'Korrigeringsfaktor GD'!Y$1,FALSE),
"")</f>
        <v>27.767923076923076</v>
      </c>
      <c r="Z7" s="18">
        <f>IFERROR(
                  Andel_oberoende_av_klimat*VLOOKUP($A7,Leveranser_per_nät,'Leveranser per nät'!Z$1,FALSE)
               +Andel_beroende_av_klimat*VLOOKUP($A7,Leveranser_per_nät,'Leveranser per nät'!Z$1,FALSE)/VLOOKUP($B7,Korrigeringsfaktor_GD,'Korrigeringsfaktor GD'!Z$1,FALSE),
"")</f>
        <v>25.10255714285714</v>
      </c>
      <c r="AA7" s="18">
        <f>IFERROR(
                  Andel_oberoende_av_klimat*VLOOKUP($A7,Leveranser_per_nät,'Leveranser per nät'!AA$1,FALSE)
               +Andel_beroende_av_klimat*VLOOKUP($A7,Leveranser_per_nät,'Leveranser per nät'!AA$1,FALSE)/VLOOKUP($B7,Korrigeringsfaktor_GD,'Korrigeringsfaktor GD'!AA$1,FALSE),
"")</f>
        <v>24.951062346368715</v>
      </c>
      <c r="AB7" s="18">
        <f>IFERROR(
                  Andel_oberoende_av_klimat*VLOOKUP($A7,Leveranser_per_nät,'Leveranser per nät'!AB$1,FALSE)
               +Andel_beroende_av_klimat*VLOOKUP($A7,Leveranser_per_nät,'Leveranser per nät'!AB$1,FALSE)/VLOOKUP($B7,Korrigeringsfaktor_GD,'Korrigeringsfaktor GD'!AB$1,FALSE),
"")</f>
        <v>25.79783346418057</v>
      </c>
      <c r="AC7" s="18">
        <f>IFERROR(
                  Andel_oberoende_av_klimat*VLOOKUP($A7,Leveranser_per_nät,'Leveranser per nät'!AC$1,FALSE)
               +Andel_beroende_av_klimat*VLOOKUP($A7,Leveranser_per_nät,'Leveranser per nät'!AC$1,FALSE)/VLOOKUP($B7,Korrigeringsfaktor_GD,'Korrigeringsfaktor GD'!AC$1,FALSE),
"")</f>
        <v>24.639774345549739</v>
      </c>
      <c r="AD7" t="e">
        <v>#N/A</v>
      </c>
    </row>
    <row r="8" spans="1:30" x14ac:dyDescent="0.25">
      <c r="A8" t="s">
        <v>360</v>
      </c>
      <c r="B8" t="s">
        <v>362</v>
      </c>
      <c r="C8" s="18">
        <f>IFERROR(
                  Andel_oberoende_av_klimat*VLOOKUP($A8,Leveranser_per_nät,'Leveranser per nät'!C$1,FALSE)
               +Andel_beroende_av_klimat*VLOOKUP($A8,Leveranser_per_nät,'Leveranser per nät'!C$1,FALSE)/VLOOKUP($B8,Korrigeringsfaktor_GD,'Korrigeringsfaktor GD'!C$1,FALSE),
"")</f>
        <v>0</v>
      </c>
      <c r="D8" s="18">
        <f>IFERROR(
                  Andel_oberoende_av_klimat*VLOOKUP($A8,Leveranser_per_nät,'Leveranser per nät'!D$1,FALSE)
               +Andel_beroende_av_klimat*VLOOKUP($A8,Leveranser_per_nät,'Leveranser per nät'!D$1,FALSE)/VLOOKUP($B8,Korrigeringsfaktor_GD,'Korrigeringsfaktor GD'!D$1,FALSE),
"")</f>
        <v>5.8410101010101005</v>
      </c>
      <c r="E8" s="18">
        <f>IFERROR(
                  Andel_oberoende_av_klimat*VLOOKUP($A8,Leveranser_per_nät,'Leveranser per nät'!E$1,FALSE)
               +Andel_beroende_av_klimat*VLOOKUP($A8,Leveranser_per_nät,'Leveranser per nät'!E$1,FALSE)/VLOOKUP($B8,Korrigeringsfaktor_GD,'Korrigeringsfaktor GD'!E$1,FALSE),
"")</f>
        <v>5.9176470588235297</v>
      </c>
      <c r="F8" s="18">
        <f>IFERROR(
                  Andel_oberoende_av_klimat*VLOOKUP($A8,Leveranser_per_nät,'Leveranser per nät'!F$1,FALSE)
               +Andel_beroende_av_klimat*VLOOKUP($A8,Leveranser_per_nät,'Leveranser per nät'!F$1,FALSE)/VLOOKUP($B8,Korrigeringsfaktor_GD,'Korrigeringsfaktor GD'!F$1,FALSE),
"")</f>
        <v>7.3688172043010747</v>
      </c>
      <c r="G8" s="18">
        <f>IFERROR(
                  Andel_oberoende_av_klimat*VLOOKUP($A8,Leveranser_per_nät,'Leveranser per nät'!G$1,FALSE)
               +Andel_beroende_av_klimat*VLOOKUP($A8,Leveranser_per_nät,'Leveranser per nät'!G$1,FALSE)/VLOOKUP($B8,Korrigeringsfaktor_GD,'Korrigeringsfaktor GD'!G$1,FALSE),
"")</f>
        <v>6.6275862068965505</v>
      </c>
      <c r="H8" s="18">
        <f>IFERROR(
                  Andel_oberoende_av_klimat*VLOOKUP($A8,Leveranser_per_nät,'Leveranser per nät'!H$1,FALSE)
               +Andel_beroende_av_klimat*VLOOKUP($A8,Leveranser_per_nät,'Leveranser per nät'!H$1,FALSE)/VLOOKUP($B8,Korrigeringsfaktor_GD,'Korrigeringsfaktor GD'!H$1,FALSE),
"")</f>
        <v>7.0494949494949495</v>
      </c>
      <c r="I8" s="18">
        <f>IFERROR(
                  Andel_oberoende_av_klimat*VLOOKUP($A8,Leveranser_per_nät,'Leveranser per nät'!I$1,FALSE)
               +Andel_beroende_av_klimat*VLOOKUP($A8,Leveranser_per_nät,'Leveranser per nät'!I$1,FALSE)/VLOOKUP($B8,Korrigeringsfaktor_GD,'Korrigeringsfaktor GD'!I$1,FALSE),
"")</f>
        <v>5.1842105263157903</v>
      </c>
      <c r="J8" s="18">
        <f>IFERROR(
                  Andel_oberoende_av_klimat*VLOOKUP($A8,Leveranser_per_nät,'Leveranser per nät'!J$1,FALSE)
               +Andel_beroende_av_klimat*VLOOKUP($A8,Leveranser_per_nät,'Leveranser per nät'!J$1,FALSE)/VLOOKUP($B8,Korrigeringsfaktor_GD,'Korrigeringsfaktor GD'!J$1,FALSE),
"")</f>
        <v>8.056565656565656</v>
      </c>
      <c r="K8" s="18">
        <f>IFERROR(
                  Andel_oberoende_av_klimat*VLOOKUP($A8,Leveranser_per_nät,'Leveranser per nät'!K$1,FALSE)
               +Andel_beroende_av_klimat*VLOOKUP($A8,Leveranser_per_nät,'Leveranser per nät'!K$1,FALSE)/VLOOKUP($B8,Korrigeringsfaktor_GD,'Korrigeringsfaktor GD'!K$1,FALSE),
"")</f>
        <v>4.9669999999999996</v>
      </c>
      <c r="L8" s="18">
        <f>IFERROR(
                  Andel_oberoende_av_klimat*VLOOKUP($A8,Leveranser_per_nät,'Leveranser per nät'!L$1,FALSE)
               +Andel_beroende_av_klimat*VLOOKUP($A8,Leveranser_per_nät,'Leveranser per nät'!L$1,FALSE)/VLOOKUP($B8,Korrigeringsfaktor_GD,'Korrigeringsfaktor GD'!L$1,FALSE),
"")</f>
        <v>7.4748375000000005</v>
      </c>
      <c r="M8" s="18">
        <f>IFERROR(
                  Andel_oberoende_av_klimat*VLOOKUP($A8,Leveranser_per_nät,'Leveranser per nät'!M$1,FALSE)
               +Andel_beroende_av_klimat*VLOOKUP($A8,Leveranser_per_nät,'Leveranser per nät'!M$1,FALSE)/VLOOKUP($B8,Korrigeringsfaktor_GD,'Korrigeringsfaktor GD'!M$1,FALSE),
"")</f>
        <v>6.8056290322580644</v>
      </c>
      <c r="N8" s="18">
        <f>IFERROR(
                  Andel_oberoende_av_klimat*VLOOKUP($A8,Leveranser_per_nät,'Leveranser per nät'!N$1,FALSE)
               +Andel_beroende_av_klimat*VLOOKUP($A8,Leveranser_per_nät,'Leveranser per nät'!N$1,FALSE)/VLOOKUP($B8,Korrigeringsfaktor_GD,'Korrigeringsfaktor GD'!N$1,FALSE),
"")</f>
        <v>6.9937000000000005</v>
      </c>
      <c r="O8" s="18">
        <f>IFERROR(
                  Andel_oberoende_av_klimat*VLOOKUP($A8,Leveranser_per_nät,'Leveranser per nät'!O$1,FALSE)
               +Andel_beroende_av_klimat*VLOOKUP($A8,Leveranser_per_nät,'Leveranser per nät'!O$1,FALSE)/VLOOKUP($B8,Korrigeringsfaktor_GD,'Korrigeringsfaktor GD'!O$1,FALSE),
"")</f>
        <v>6.7852977528089884</v>
      </c>
      <c r="P8" s="18">
        <f>IFERROR(
                  Andel_oberoende_av_klimat*VLOOKUP($A8,Leveranser_per_nät,'Leveranser per nät'!P$1,FALSE)
               +Andel_beroende_av_klimat*VLOOKUP($A8,Leveranser_per_nät,'Leveranser per nät'!P$1,FALSE)/VLOOKUP($B8,Korrigeringsfaktor_GD,'Korrigeringsfaktor GD'!P$1,FALSE),
"")</f>
        <v>6.8667142857142842</v>
      </c>
      <c r="Q8" s="18">
        <f>IFERROR(
                  Andel_oberoende_av_klimat*VLOOKUP($A8,Leveranser_per_nät,'Leveranser per nät'!Q$1,FALSE)
               +Andel_beroende_av_klimat*VLOOKUP($A8,Leveranser_per_nät,'Leveranser per nät'!Q$1,FALSE)/VLOOKUP($B8,Korrigeringsfaktor_GD,'Korrigeringsfaktor GD'!Q$1,FALSE),
"")</f>
        <v>6.8397521739130429</v>
      </c>
      <c r="R8" s="18">
        <f>IFERROR(
                  Andel_oberoende_av_klimat*VLOOKUP($A8,Leveranser_per_nät,'Leveranser per nät'!R$1,FALSE)
               +Andel_beroende_av_klimat*VLOOKUP($A8,Leveranser_per_nät,'Leveranser per nät'!R$1,FALSE)/VLOOKUP($B8,Korrigeringsfaktor_GD,'Korrigeringsfaktor GD'!R$1,FALSE),
"")</f>
        <v>6.9895615384615386</v>
      </c>
      <c r="S8" s="18">
        <f>IFERROR(
                  Andel_oberoende_av_klimat*VLOOKUP($A8,Leveranser_per_nät,'Leveranser per nät'!S$1,FALSE)
               +Andel_beroende_av_klimat*VLOOKUP($A8,Leveranser_per_nät,'Leveranser per nät'!S$1,FALSE)/VLOOKUP($B8,Korrigeringsfaktor_GD,'Korrigeringsfaktor GD'!S$1,FALSE),
"")</f>
        <v>6.5</v>
      </c>
      <c r="T8" s="18">
        <f>IFERROR(
                  Andel_oberoende_av_klimat*VLOOKUP($A8,Leveranser_per_nät,'Leveranser per nät'!T$1,FALSE)
               +Andel_beroende_av_klimat*VLOOKUP($A8,Leveranser_per_nät,'Leveranser per nät'!T$1,FALSE)/VLOOKUP($B8,Korrigeringsfaktor_GD,'Korrigeringsfaktor GD'!T$1,FALSE),
"")</f>
        <v>6.4914285714285711</v>
      </c>
      <c r="U8" s="18">
        <f>IFERROR(
                  Andel_oberoende_av_klimat*VLOOKUP($A8,Leveranser_per_nät,'Leveranser per nät'!U$1,FALSE)
               +Andel_beroende_av_klimat*VLOOKUP($A8,Leveranser_per_nät,'Leveranser per nät'!U$1,FALSE)/VLOOKUP($B8,Korrigeringsfaktor_GD,'Korrigeringsfaktor GD'!U$1,FALSE),
"")</f>
        <v>6.4066666666666663</v>
      </c>
      <c r="V8" s="18">
        <f>IFERROR(
                  Andel_oberoende_av_klimat*VLOOKUP($A8,Leveranser_per_nät,'Leveranser per nät'!V$1,FALSE)
               +Andel_beroende_av_klimat*VLOOKUP($A8,Leveranser_per_nät,'Leveranser per nät'!V$1,FALSE)/VLOOKUP($B8,Korrigeringsfaktor_GD,'Korrigeringsfaktor GD'!V$1,FALSE),
"")</f>
        <v>6.6288235294117648</v>
      </c>
      <c r="W8" s="18">
        <f>IFERROR(
                  Andel_oberoende_av_klimat*VLOOKUP($A8,Leveranser_per_nät,'Leveranser per nät'!W$1,FALSE)
               +Andel_beroende_av_klimat*VLOOKUP($A8,Leveranser_per_nät,'Leveranser per nät'!W$1,FALSE)/VLOOKUP($B8,Korrigeringsfaktor_GD,'Korrigeringsfaktor GD'!W$1,FALSE),
"")</f>
        <v>6.6089153846153845</v>
      </c>
      <c r="X8" s="18">
        <f>IFERROR(
                  Andel_oberoende_av_klimat*VLOOKUP($A8,Leveranser_per_nät,'Leveranser per nät'!X$1,FALSE)
               +Andel_beroende_av_klimat*VLOOKUP($A8,Leveranser_per_nät,'Leveranser per nät'!X$1,FALSE)/VLOOKUP($B8,Korrigeringsfaktor_GD,'Korrigeringsfaktor GD'!X$1,FALSE),
"")</f>
        <v>6.9537078651685391</v>
      </c>
      <c r="Y8" s="18">
        <f>IFERROR(
                  Andel_oberoende_av_klimat*VLOOKUP($A8,Leveranser_per_nät,'Leveranser per nät'!Y$1,FALSE)
               +Andel_beroende_av_klimat*VLOOKUP($A8,Leveranser_per_nät,'Leveranser per nät'!Y$1,FALSE)/VLOOKUP($B8,Korrigeringsfaktor_GD,'Korrigeringsfaktor GD'!Y$1,FALSE),
"")</f>
        <v>6.7899999999999991</v>
      </c>
      <c r="Z8" s="18">
        <f>IFERROR(
                  Andel_oberoende_av_klimat*VLOOKUP($A8,Leveranser_per_nät,'Leveranser per nät'!Z$1,FALSE)
               +Andel_beroende_av_klimat*VLOOKUP($A8,Leveranser_per_nät,'Leveranser per nät'!Z$1,FALSE)/VLOOKUP($B8,Korrigeringsfaktor_GD,'Korrigeringsfaktor GD'!Z$1,FALSE),
"")</f>
        <v>6.7364044943820227</v>
      </c>
      <c r="AA8" s="18">
        <f>IFERROR(
                  Andel_oberoende_av_klimat*VLOOKUP($A8,Leveranser_per_nät,'Leveranser per nät'!AA$1,FALSE)
               +Andel_beroende_av_klimat*VLOOKUP($A8,Leveranser_per_nät,'Leveranser per nät'!AA$1,FALSE)/VLOOKUP($B8,Korrigeringsfaktor_GD,'Korrigeringsfaktor GD'!AA$1,FALSE),
"")</f>
        <v>6.4744996869129618</v>
      </c>
      <c r="AB8" s="18">
        <f>IFERROR(
                  Andel_oberoende_av_klimat*VLOOKUP($A8,Leveranser_per_nät,'Leveranser per nät'!AB$1,FALSE)
               +Andel_beroende_av_klimat*VLOOKUP($A8,Leveranser_per_nät,'Leveranser per nät'!AB$1,FALSE)/VLOOKUP($B8,Korrigeringsfaktor_GD,'Korrigeringsfaktor GD'!AB$1,FALSE),
"")</f>
        <v>6.7019025844930429</v>
      </c>
      <c r="AC8" s="18">
        <f>IFERROR(
                  Andel_oberoende_av_klimat*VLOOKUP($A8,Leveranser_per_nät,'Leveranser per nät'!AC$1,FALSE)
               +Andel_beroende_av_klimat*VLOOKUP($A8,Leveranser_per_nät,'Leveranser per nät'!AC$1,FALSE)/VLOOKUP($B8,Korrigeringsfaktor_GD,'Korrigeringsfaktor GD'!AC$1,FALSE),
"")</f>
        <v>6.5556259298618498</v>
      </c>
      <c r="AD8">
        <v>167.4</v>
      </c>
    </row>
    <row r="9" spans="1:30" x14ac:dyDescent="0.25">
      <c r="A9" t="s">
        <v>224</v>
      </c>
      <c r="B9" t="s">
        <v>223</v>
      </c>
      <c r="C9" s="18">
        <f>IFERROR(
                  Andel_oberoende_av_klimat*VLOOKUP($A9,Leveranser_per_nät,'Leveranser per nät'!C$1,FALSE)
               +Andel_beroende_av_klimat*VLOOKUP($A9,Leveranser_per_nät,'Leveranser per nät'!C$1,FALSE)/VLOOKUP($B9,Korrigeringsfaktor_GD,'Korrigeringsfaktor GD'!C$1,FALSE),
"")</f>
        <v>0</v>
      </c>
      <c r="D9" s="18">
        <f>IFERROR(
                  Andel_oberoende_av_klimat*VLOOKUP($A9,Leveranser_per_nät,'Leveranser per nät'!D$1,FALSE)
               +Andel_beroende_av_klimat*VLOOKUP($A9,Leveranser_per_nät,'Leveranser per nät'!D$1,FALSE)/VLOOKUP($B9,Korrigeringsfaktor_GD,'Korrigeringsfaktor GD'!D$1,FALSE),
"")</f>
        <v>0</v>
      </c>
      <c r="E9" s="18">
        <f>IFERROR(
                  Andel_oberoende_av_klimat*VLOOKUP($A9,Leveranser_per_nät,'Leveranser per nät'!E$1,FALSE)
               +Andel_beroende_av_klimat*VLOOKUP($A9,Leveranser_per_nät,'Leveranser per nät'!E$1,FALSE)/VLOOKUP($B9,Korrigeringsfaktor_GD,'Korrigeringsfaktor GD'!E$1,FALSE),
"")</f>
        <v>0</v>
      </c>
      <c r="F9" s="18">
        <f>IFERROR(
                  Andel_oberoende_av_klimat*VLOOKUP($A9,Leveranser_per_nät,'Leveranser per nät'!F$1,FALSE)
               +Andel_beroende_av_klimat*VLOOKUP($A9,Leveranser_per_nät,'Leveranser per nät'!F$1,FALSE)/VLOOKUP($B9,Korrigeringsfaktor_GD,'Korrigeringsfaktor GD'!F$1,FALSE),
"")</f>
        <v>0</v>
      </c>
      <c r="G9" s="18">
        <f>IFERROR(
                  Andel_oberoende_av_klimat*VLOOKUP($A9,Leveranser_per_nät,'Leveranser per nät'!G$1,FALSE)
               +Andel_beroende_av_klimat*VLOOKUP($A9,Leveranser_per_nät,'Leveranser per nät'!G$1,FALSE)/VLOOKUP($B9,Korrigeringsfaktor_GD,'Korrigeringsfaktor GD'!G$1,FALSE),
"")</f>
        <v>0</v>
      </c>
      <c r="H9" s="18">
        <f>IFERROR(
                  Andel_oberoende_av_klimat*VLOOKUP($A9,Leveranser_per_nät,'Leveranser per nät'!H$1,FALSE)
               +Andel_beroende_av_klimat*VLOOKUP($A9,Leveranser_per_nät,'Leveranser per nät'!H$1,FALSE)/VLOOKUP($B9,Korrigeringsfaktor_GD,'Korrigeringsfaktor GD'!H$1,FALSE),
"")</f>
        <v>0</v>
      </c>
      <c r="I9" s="18">
        <f>IFERROR(
                  Andel_oberoende_av_klimat*VLOOKUP($A9,Leveranser_per_nät,'Leveranser per nät'!I$1,FALSE)
               +Andel_beroende_av_klimat*VLOOKUP($A9,Leveranser_per_nät,'Leveranser per nät'!I$1,FALSE)/VLOOKUP($B9,Korrigeringsfaktor_GD,'Korrigeringsfaktor GD'!I$1,FALSE),
"")</f>
        <v>0</v>
      </c>
      <c r="J9" s="18">
        <f>IFERROR(
                  Andel_oberoende_av_klimat*VLOOKUP($A9,Leveranser_per_nät,'Leveranser per nät'!J$1,FALSE)
               +Andel_beroende_av_klimat*VLOOKUP($A9,Leveranser_per_nät,'Leveranser per nät'!J$1,FALSE)/VLOOKUP($B9,Korrigeringsfaktor_GD,'Korrigeringsfaktor GD'!J$1,FALSE),
"")</f>
        <v>0</v>
      </c>
      <c r="K9" s="18">
        <f>IFERROR(
                  Andel_oberoende_av_klimat*VLOOKUP($A9,Leveranser_per_nät,'Leveranser per nät'!K$1,FALSE)
               +Andel_beroende_av_klimat*VLOOKUP($A9,Leveranser_per_nät,'Leveranser per nät'!K$1,FALSE)/VLOOKUP($B9,Korrigeringsfaktor_GD,'Korrigeringsfaktor GD'!K$1,FALSE),
"")</f>
        <v>1.81</v>
      </c>
      <c r="L9" s="18">
        <f>IFERROR(
                  Andel_oberoende_av_klimat*VLOOKUP($A9,Leveranser_per_nät,'Leveranser per nät'!L$1,FALSE)
               +Andel_beroende_av_klimat*VLOOKUP($A9,Leveranser_per_nät,'Leveranser per nät'!L$1,FALSE)/VLOOKUP($B9,Korrigeringsfaktor_GD,'Korrigeringsfaktor GD'!L$1,FALSE),
"")</f>
        <v>1.8339750000000001</v>
      </c>
      <c r="M9" s="18">
        <f>IFERROR(
                  Andel_oberoende_av_klimat*VLOOKUP($A9,Leveranser_per_nät,'Leveranser per nät'!M$1,FALSE)
               +Andel_beroende_av_klimat*VLOOKUP($A9,Leveranser_per_nät,'Leveranser per nät'!M$1,FALSE)/VLOOKUP($B9,Korrigeringsfaktor_GD,'Korrigeringsfaktor GD'!M$1,FALSE),
"")</f>
        <v>1.9295774193548385</v>
      </c>
      <c r="N9" s="18">
        <f>IFERROR(
                  Andel_oberoende_av_klimat*VLOOKUP($A9,Leveranser_per_nät,'Leveranser per nät'!N$1,FALSE)
               +Andel_beroende_av_klimat*VLOOKUP($A9,Leveranser_per_nät,'Leveranser per nät'!N$1,FALSE)/VLOOKUP($B9,Korrigeringsfaktor_GD,'Korrigeringsfaktor GD'!N$1,FALSE),
"")</f>
        <v>2.0604076923076926</v>
      </c>
      <c r="O9" s="18">
        <f>IFERROR(
                  Andel_oberoende_av_klimat*VLOOKUP($A9,Leveranser_per_nät,'Leveranser per nät'!O$1,FALSE)
               +Andel_beroende_av_klimat*VLOOKUP($A9,Leveranser_per_nät,'Leveranser per nät'!O$1,FALSE)/VLOOKUP($B9,Korrigeringsfaktor_GD,'Korrigeringsfaktor GD'!O$1,FALSE),
"")</f>
        <v>2.1170769230769233</v>
      </c>
      <c r="P9" s="18">
        <f>IFERROR(
                  Andel_oberoende_av_klimat*VLOOKUP($A9,Leveranser_per_nät,'Leveranser per nät'!P$1,FALSE)
               +Andel_beroende_av_klimat*VLOOKUP($A9,Leveranser_per_nät,'Leveranser per nät'!P$1,FALSE)/VLOOKUP($B9,Korrigeringsfaktor_GD,'Korrigeringsfaktor GD'!P$1,FALSE),
"")</f>
        <v>2.1381142857142859</v>
      </c>
      <c r="Q9" s="18">
        <f>IFERROR(
                  Andel_oberoende_av_klimat*VLOOKUP($A9,Leveranser_per_nät,'Leveranser per nät'!Q$1,FALSE)
               +Andel_beroende_av_klimat*VLOOKUP($A9,Leveranser_per_nät,'Leveranser per nät'!Q$1,FALSE)/VLOOKUP($B9,Korrigeringsfaktor_GD,'Korrigeringsfaktor GD'!Q$1,FALSE),
"")</f>
        <v>2.1772315789473686</v>
      </c>
      <c r="R9" s="18">
        <f>IFERROR(
                  Andel_oberoende_av_klimat*VLOOKUP($A9,Leveranser_per_nät,'Leveranser per nät'!R$1,FALSE)
               +Andel_beroende_av_klimat*VLOOKUP($A9,Leveranser_per_nät,'Leveranser per nät'!R$1,FALSE)/VLOOKUP($B9,Korrigeringsfaktor_GD,'Korrigeringsfaktor GD'!R$1,FALSE),
"")</f>
        <v>2.0633913043478262</v>
      </c>
      <c r="S9" s="18">
        <f>IFERROR(
                  Andel_oberoende_av_klimat*VLOOKUP($A9,Leveranser_per_nät,'Leveranser per nät'!S$1,FALSE)
               +Andel_beroende_av_klimat*VLOOKUP($A9,Leveranser_per_nät,'Leveranser per nät'!S$1,FALSE)/VLOOKUP($B9,Korrigeringsfaktor_GD,'Korrigeringsfaktor GD'!S$1,FALSE),
"")</f>
        <v>1.9861386138613861</v>
      </c>
      <c r="T9" s="18">
        <f>IFERROR(
                  Andel_oberoende_av_klimat*VLOOKUP($A9,Leveranser_per_nät,'Leveranser per nät'!T$1,FALSE)
               +Andel_beroende_av_klimat*VLOOKUP($A9,Leveranser_per_nät,'Leveranser per nät'!T$1,FALSE)/VLOOKUP($B9,Korrigeringsfaktor_GD,'Korrigeringsfaktor GD'!T$1,FALSE),
"")</f>
        <v>2.1492714285714287</v>
      </c>
      <c r="U9" s="18">
        <f>IFERROR(
                  Andel_oberoende_av_klimat*VLOOKUP($A9,Leveranser_per_nät,'Leveranser per nät'!U$1,FALSE)
               +Andel_beroende_av_klimat*VLOOKUP($A9,Leveranser_per_nät,'Leveranser per nät'!U$1,FALSE)/VLOOKUP($B9,Korrigeringsfaktor_GD,'Korrigeringsfaktor GD'!U$1,FALSE),
"")</f>
        <v>2.0026356321839081</v>
      </c>
      <c r="V9" s="18">
        <f>IFERROR(
                  Andel_oberoende_av_klimat*VLOOKUP($A9,Leveranser_per_nät,'Leveranser per nät'!V$1,FALSE)
               +Andel_beroende_av_klimat*VLOOKUP($A9,Leveranser_per_nät,'Leveranser per nät'!V$1,FALSE)/VLOOKUP($B9,Korrigeringsfaktor_GD,'Korrigeringsfaktor GD'!V$1,FALSE),
"")</f>
        <v>1.9130555555555557</v>
      </c>
      <c r="W9" s="18">
        <f>IFERROR(
                  Andel_oberoende_av_klimat*VLOOKUP($A9,Leveranser_per_nät,'Leveranser per nät'!W$1,FALSE)
               +Andel_beroende_av_klimat*VLOOKUP($A9,Leveranser_per_nät,'Leveranser per nät'!W$1,FALSE)/VLOOKUP($B9,Korrigeringsfaktor_GD,'Korrigeringsfaktor GD'!W$1,FALSE),
"")</f>
        <v>1.7264086021505374</v>
      </c>
      <c r="X9" s="18">
        <f>IFERROR(
                  Andel_oberoende_av_klimat*VLOOKUP($A9,Leveranser_per_nät,'Leveranser per nät'!X$1,FALSE)
               +Andel_beroende_av_klimat*VLOOKUP($A9,Leveranser_per_nät,'Leveranser per nät'!X$1,FALSE)/VLOOKUP($B9,Korrigeringsfaktor_GD,'Korrigeringsfaktor GD'!X$1,FALSE),
"")</f>
        <v>1.8034782608695652</v>
      </c>
      <c r="Y9" s="18">
        <f>IFERROR(
                  Andel_oberoende_av_klimat*VLOOKUP($A9,Leveranser_per_nät,'Leveranser per nät'!Y$1,FALSE)
               +Andel_beroende_av_klimat*VLOOKUP($A9,Leveranser_per_nät,'Leveranser per nät'!Y$1,FALSE)/VLOOKUP($B9,Korrigeringsfaktor_GD,'Korrigeringsfaktor GD'!Y$1,FALSE),
"")</f>
        <v>1.8688089887640449</v>
      </c>
      <c r="Z9" s="18">
        <f>IFERROR(
                  Andel_oberoende_av_klimat*VLOOKUP($A9,Leveranser_per_nät,'Leveranser per nät'!Z$1,FALSE)
               +Andel_beroende_av_klimat*VLOOKUP($A9,Leveranser_per_nät,'Leveranser per nät'!Z$1,FALSE)/VLOOKUP($B9,Korrigeringsfaktor_GD,'Korrigeringsfaktor GD'!Z$1,FALSE),
"")</f>
        <v>1.7823255813953489</v>
      </c>
      <c r="AA9" s="18">
        <f>IFERROR(
                  Andel_oberoende_av_klimat*VLOOKUP($A9,Leveranser_per_nät,'Leveranser per nät'!AA$1,FALSE)
               +Andel_beroende_av_klimat*VLOOKUP($A9,Leveranser_per_nät,'Leveranser per nät'!AA$1,FALSE)/VLOOKUP($B9,Korrigeringsfaktor_GD,'Korrigeringsfaktor GD'!AA$1,FALSE),
"")</f>
        <v>1.64866692396758</v>
      </c>
      <c r="AB9" s="18">
        <f>IFERROR(
                  Andel_oberoende_av_klimat*VLOOKUP($A9,Leveranser_per_nät,'Leveranser per nät'!AB$1,FALSE)
               +Andel_beroende_av_klimat*VLOOKUP($A9,Leveranser_per_nät,'Leveranser per nät'!AB$1,FALSE)/VLOOKUP($B9,Korrigeringsfaktor_GD,'Korrigeringsfaktor GD'!AB$1,FALSE),
"")</f>
        <v>1.5757166831194473</v>
      </c>
      <c r="AC9" s="18">
        <f>IFERROR(
                  Andel_oberoende_av_klimat*VLOOKUP($A9,Leveranser_per_nät,'Leveranser per nät'!AC$1,FALSE)
               +Andel_beroende_av_klimat*VLOOKUP($A9,Leveranser_per_nät,'Leveranser per nät'!AC$1,FALSE)/VLOOKUP($B9,Korrigeringsfaktor_GD,'Korrigeringsfaktor GD'!AC$1,FALSE),
"")</f>
        <v>1.5598062827225132</v>
      </c>
      <c r="AD9">
        <v>146.80000000000001</v>
      </c>
    </row>
    <row r="10" spans="1:30" x14ac:dyDescent="0.25">
      <c r="A10" t="s">
        <v>5</v>
      </c>
      <c r="B10" t="s">
        <v>5</v>
      </c>
      <c r="C10" s="18">
        <f>IFERROR(
                  Andel_oberoende_av_klimat*VLOOKUP($A10,Leveranser_per_nät,'Leveranser per nät'!C$1,FALSE)
               +Andel_beroende_av_klimat*VLOOKUP($A10,Leveranser_per_nät,'Leveranser per nät'!C$1,FALSE)/VLOOKUP($B10,Korrigeringsfaktor_GD,'Korrigeringsfaktor GD'!C$1,FALSE),
"")</f>
        <v>69.797297297297291</v>
      </c>
      <c r="D10" s="18">
        <f>IFERROR(
                  Andel_oberoende_av_klimat*VLOOKUP($A10,Leveranser_per_nät,'Leveranser per nät'!D$1,FALSE)
               +Andel_beroende_av_klimat*VLOOKUP($A10,Leveranser_per_nät,'Leveranser per nät'!D$1,FALSE)/VLOOKUP($B10,Korrigeringsfaktor_GD,'Korrigeringsfaktor GD'!D$1,FALSE),
"")</f>
        <v>67.632571428571438</v>
      </c>
      <c r="E10" s="18">
        <f>IFERROR(
                  Andel_oberoende_av_klimat*VLOOKUP($A10,Leveranser_per_nät,'Leveranser per nät'!E$1,FALSE)
               +Andel_beroende_av_klimat*VLOOKUP($A10,Leveranser_per_nät,'Leveranser per nät'!E$1,FALSE)/VLOOKUP($B10,Korrigeringsfaktor_GD,'Korrigeringsfaktor GD'!E$1,FALSE),
"")</f>
        <v>73.970588235294116</v>
      </c>
      <c r="F10" s="18">
        <f>IFERROR(
                  Andel_oberoende_av_klimat*VLOOKUP($A10,Leveranser_per_nät,'Leveranser per nät'!F$1,FALSE)
               +Andel_beroende_av_klimat*VLOOKUP($A10,Leveranser_per_nät,'Leveranser per nät'!F$1,FALSE)/VLOOKUP($B10,Korrigeringsfaktor_GD,'Korrigeringsfaktor GD'!F$1,FALSE),
"")</f>
        <v>80.274999999999991</v>
      </c>
      <c r="G10" s="18">
        <f>IFERROR(
                  Andel_oberoende_av_klimat*VLOOKUP($A10,Leveranser_per_nät,'Leveranser per nät'!G$1,FALSE)
               +Andel_beroende_av_klimat*VLOOKUP($A10,Leveranser_per_nät,'Leveranser per nät'!G$1,FALSE)/VLOOKUP($B10,Korrigeringsfaktor_GD,'Korrigeringsfaktor GD'!G$1,FALSE),
"")</f>
        <v>79.968181818181819</v>
      </c>
      <c r="H10" s="18">
        <f>IFERROR(
                  Andel_oberoende_av_klimat*VLOOKUP($A10,Leveranser_per_nät,'Leveranser per nät'!H$1,FALSE)
               +Andel_beroende_av_klimat*VLOOKUP($A10,Leveranser_per_nät,'Leveranser per nät'!H$1,FALSE)/VLOOKUP($B10,Korrigeringsfaktor_GD,'Korrigeringsfaktor GD'!H$1,FALSE),
"")</f>
        <v>84</v>
      </c>
      <c r="I10" s="18">
        <f>IFERROR(
                  Andel_oberoende_av_klimat*VLOOKUP($A10,Leveranser_per_nät,'Leveranser per nät'!I$1,FALSE)
               +Andel_beroende_av_klimat*VLOOKUP($A10,Leveranser_per_nät,'Leveranser per nät'!I$1,FALSE)/VLOOKUP($B10,Korrigeringsfaktor_GD,'Korrigeringsfaktor GD'!I$1,FALSE),
"")</f>
        <v>92.301014285714288</v>
      </c>
      <c r="J10" s="18">
        <f>IFERROR(
                  Andel_oberoende_av_klimat*VLOOKUP($A10,Leveranser_per_nät,'Leveranser per nät'!J$1,FALSE)
               +Andel_beroende_av_klimat*VLOOKUP($A10,Leveranser_per_nät,'Leveranser per nät'!J$1,FALSE)/VLOOKUP($B10,Korrigeringsfaktor_GD,'Korrigeringsfaktor GD'!J$1,FALSE),
"")</f>
        <v>89.257142857142867</v>
      </c>
      <c r="K10" s="18">
        <f>IFERROR(
                  Andel_oberoende_av_klimat*VLOOKUP($A10,Leveranser_per_nät,'Leveranser per nät'!K$1,FALSE)
               +Andel_beroende_av_klimat*VLOOKUP($A10,Leveranser_per_nät,'Leveranser per nät'!K$1,FALSE)/VLOOKUP($B10,Korrigeringsfaktor_GD,'Korrigeringsfaktor GD'!K$1,FALSE),
"")</f>
        <v>84.532600000000002</v>
      </c>
      <c r="L10" s="18">
        <f>IFERROR(
                  Andel_oberoende_av_klimat*VLOOKUP($A10,Leveranser_per_nät,'Leveranser per nät'!L$1,FALSE)
               +Andel_beroende_av_klimat*VLOOKUP($A10,Leveranser_per_nät,'Leveranser per nät'!L$1,FALSE)/VLOOKUP($B10,Korrigeringsfaktor_GD,'Korrigeringsfaktor GD'!L$1,FALSE),
"")</f>
        <v>86.778504255319135</v>
      </c>
      <c r="M10" s="18">
        <f>IFERROR(
                  Andel_oberoende_av_klimat*VLOOKUP($A10,Leveranser_per_nät,'Leveranser per nät'!M$1,FALSE)
               +Andel_beroende_av_klimat*VLOOKUP($A10,Leveranser_per_nät,'Leveranser per nät'!M$1,FALSE)/VLOOKUP($B10,Korrigeringsfaktor_GD,'Korrigeringsfaktor GD'!M$1,FALSE),
"")</f>
        <v>86.991304347826087</v>
      </c>
      <c r="N10" s="18">
        <f>IFERROR(
                  Andel_oberoende_av_klimat*VLOOKUP($A10,Leveranser_per_nät,'Leveranser per nät'!N$1,FALSE)
               +Andel_beroende_av_klimat*VLOOKUP($A10,Leveranser_per_nät,'Leveranser per nät'!N$1,FALSE)/VLOOKUP($B10,Korrigeringsfaktor_GD,'Korrigeringsfaktor GD'!N$1,FALSE),
"")</f>
        <v>85.571860869565228</v>
      </c>
      <c r="O10" s="18">
        <f>IFERROR(
                  Andel_oberoende_av_klimat*VLOOKUP($A10,Leveranser_per_nät,'Leveranser per nät'!O$1,FALSE)
               +Andel_beroende_av_klimat*VLOOKUP($A10,Leveranser_per_nät,'Leveranser per nät'!O$1,FALSE)/VLOOKUP($B10,Korrigeringsfaktor_GD,'Korrigeringsfaktor GD'!O$1,FALSE),
"")</f>
        <v>85.097086516853921</v>
      </c>
      <c r="P10" s="18">
        <f>IFERROR(
                  Andel_oberoende_av_klimat*VLOOKUP($A10,Leveranser_per_nät,'Leveranser per nät'!P$1,FALSE)
               +Andel_beroende_av_klimat*VLOOKUP($A10,Leveranser_per_nät,'Leveranser per nät'!P$1,FALSE)/VLOOKUP($B10,Korrigeringsfaktor_GD,'Korrigeringsfaktor GD'!P$1,FALSE),
"")</f>
        <v>90.527028571428559</v>
      </c>
      <c r="Q10" s="18">
        <f>IFERROR(
                  Andel_oberoende_av_klimat*VLOOKUP($A10,Leveranser_per_nät,'Leveranser per nät'!Q$1,FALSE)
               +Andel_beroende_av_klimat*VLOOKUP($A10,Leveranser_per_nät,'Leveranser per nät'!Q$1,FALSE)/VLOOKUP($B10,Korrigeringsfaktor_GD,'Korrigeringsfaktor GD'!Q$1,FALSE),
"")</f>
        <v>95.285786206896546</v>
      </c>
      <c r="R10" s="18">
        <f>IFERROR(
                  Andel_oberoende_av_klimat*VLOOKUP($A10,Leveranser_per_nät,'Leveranser per nät'!R$1,FALSE)
               +Andel_beroende_av_klimat*VLOOKUP($A10,Leveranser_per_nät,'Leveranser per nät'!R$1,FALSE)/VLOOKUP($B10,Korrigeringsfaktor_GD,'Korrigeringsfaktor GD'!R$1,FALSE),
"")</f>
        <v>95.708822222222224</v>
      </c>
      <c r="S10" s="18">
        <f>IFERROR(
                  Andel_oberoende_av_klimat*VLOOKUP($A10,Leveranser_per_nät,'Leveranser per nät'!S$1,FALSE)
               +Andel_beroende_av_klimat*VLOOKUP($A10,Leveranser_per_nät,'Leveranser per nät'!S$1,FALSE)/VLOOKUP($B10,Korrigeringsfaktor_GD,'Korrigeringsfaktor GD'!S$1,FALSE),
"")</f>
        <v>100</v>
      </c>
      <c r="T10" s="18">
        <f>IFERROR(
                  Andel_oberoende_av_klimat*VLOOKUP($A10,Leveranser_per_nät,'Leveranser per nät'!T$1,FALSE)
               +Andel_beroende_av_klimat*VLOOKUP($A10,Leveranser_per_nät,'Leveranser per nät'!T$1,FALSE)/VLOOKUP($B10,Korrigeringsfaktor_GD,'Korrigeringsfaktor GD'!T$1,FALSE),
"")</f>
        <v>99.108750000000001</v>
      </c>
      <c r="U10" s="18">
        <f>IFERROR(
                  Andel_oberoende_av_klimat*VLOOKUP($A10,Leveranser_per_nät,'Leveranser per nät'!U$1,FALSE)
               +Andel_beroende_av_klimat*VLOOKUP($A10,Leveranser_per_nät,'Leveranser per nät'!U$1,FALSE)/VLOOKUP($B10,Korrigeringsfaktor_GD,'Korrigeringsfaktor GD'!U$1,FALSE),
"")</f>
        <v>96.50954545454546</v>
      </c>
      <c r="V10" s="18">
        <f>IFERROR(
                  Andel_oberoende_av_klimat*VLOOKUP($A10,Leveranser_per_nät,'Leveranser per nät'!V$1,FALSE)
               +Andel_beroende_av_klimat*VLOOKUP($A10,Leveranser_per_nät,'Leveranser per nät'!V$1,FALSE)/VLOOKUP($B10,Korrigeringsfaktor_GD,'Korrigeringsfaktor GD'!V$1,FALSE),
"")</f>
        <v>98.971954022988513</v>
      </c>
      <c r="W10" s="18">
        <f>IFERROR(
                  Andel_oberoende_av_klimat*VLOOKUP($A10,Leveranser_per_nät,'Leveranser per nät'!W$1,FALSE)
               +Andel_beroende_av_klimat*VLOOKUP($A10,Leveranser_per_nät,'Leveranser per nät'!W$1,FALSE)/VLOOKUP($B10,Korrigeringsfaktor_GD,'Korrigeringsfaktor GD'!W$1,FALSE),
"")</f>
        <v>102.64615384615382</v>
      </c>
      <c r="X10" s="18" t="str">
        <f>IFERROR(
                  Andel_oberoende_av_klimat*VLOOKUP($A10,Leveranser_per_nät,'Leveranser per nät'!X$1,FALSE)
               +Andel_beroende_av_klimat*VLOOKUP($A10,Leveranser_per_nät,'Leveranser per nät'!X$1,FALSE)/VLOOKUP($B10,Korrigeringsfaktor_GD,'Korrigeringsfaktor GD'!X$1,FALSE),
"")</f>
        <v/>
      </c>
      <c r="Y10" s="18" t="str">
        <f>IFERROR(
                  Andel_oberoende_av_klimat*VLOOKUP($A10,Leveranser_per_nät,'Leveranser per nät'!Y$1,FALSE)
               +Andel_beroende_av_klimat*VLOOKUP($A10,Leveranser_per_nät,'Leveranser per nät'!Y$1,FALSE)/VLOOKUP($B10,Korrigeringsfaktor_GD,'Korrigeringsfaktor GD'!Y$1,FALSE),
"")</f>
        <v/>
      </c>
      <c r="Z10" s="18">
        <f>IFERROR(
                  Andel_oberoende_av_klimat*VLOOKUP($A10,Leveranser_per_nät,'Leveranser per nät'!Z$1,FALSE)
               +Andel_beroende_av_klimat*VLOOKUP($A10,Leveranser_per_nät,'Leveranser per nät'!Z$1,FALSE)/VLOOKUP($B10,Korrigeringsfaktor_GD,'Korrigeringsfaktor GD'!Z$1,FALSE),
"")</f>
        <v>0</v>
      </c>
      <c r="AA10" s="18" t="str">
        <f>IFERROR(
                  Andel_oberoende_av_klimat*VLOOKUP($A10,Leveranser_per_nät,'Leveranser per nät'!AA$1,FALSE)
               +Andel_beroende_av_klimat*VLOOKUP($A10,Leveranser_per_nät,'Leveranser per nät'!AA$1,FALSE)/VLOOKUP($B10,Korrigeringsfaktor_GD,'Korrigeringsfaktor GD'!AA$1,FALSE),
"")</f>
        <v/>
      </c>
      <c r="AB10" s="18">
        <f>IFERROR(
                  Andel_oberoende_av_klimat*VLOOKUP($A10,Leveranser_per_nät,'Leveranser per nät'!AB$1,FALSE)
               +Andel_beroende_av_klimat*VLOOKUP($A10,Leveranser_per_nät,'Leveranser per nät'!AB$1,FALSE)/VLOOKUP($B10,Korrigeringsfaktor_GD,'Korrigeringsfaktor GD'!AB$1,FALSE),
"")</f>
        <v>0</v>
      </c>
      <c r="AC10" s="18">
        <f>IFERROR(
                  Andel_oberoende_av_klimat*VLOOKUP($A10,Leveranser_per_nät,'Leveranser per nät'!AC$1,FALSE)
               +Andel_beroende_av_klimat*VLOOKUP($A10,Leveranser_per_nät,'Leveranser per nät'!AC$1,FALSE)/VLOOKUP($B10,Korrigeringsfaktor_GD,'Korrigeringsfaktor GD'!AC$1,FALSE),
"")</f>
        <v>0</v>
      </c>
      <c r="AD10" t="e">
        <v>#N/A</v>
      </c>
    </row>
    <row r="11" spans="1:30" x14ac:dyDescent="0.25">
      <c r="A11" t="s">
        <v>938</v>
      </c>
      <c r="B11" t="s">
        <v>5</v>
      </c>
      <c r="C11" s="18"/>
      <c r="D11" s="18"/>
      <c r="E11" s="18"/>
      <c r="F11" s="18"/>
      <c r="G11" s="18"/>
      <c r="H11" s="18"/>
      <c r="I11" s="18"/>
      <c r="J11" s="18"/>
      <c r="K11" s="18"/>
      <c r="L11" s="18"/>
      <c r="M11" s="18"/>
      <c r="N11" s="18"/>
      <c r="O11" s="18"/>
      <c r="P11" s="18"/>
      <c r="Q11" s="18"/>
      <c r="R11" s="18">
        <f>IFERROR(
                  Andel_oberoende_av_klimat*VLOOKUP($A11,Leveranser_per_nät,'Leveranser per nät'!R$1,FALSE)
               +Andel_beroende_av_klimat*VLOOKUP($A11,Leveranser_per_nät,'Leveranser per nät'!R$1,FALSE)/VLOOKUP($B11,Korrigeringsfaktor_GD,'Korrigeringsfaktor GD'!R$1,FALSE),
"")</f>
        <v>0</v>
      </c>
      <c r="S11" s="18">
        <f>IFERROR(
                  Andel_oberoende_av_klimat*VLOOKUP($A11,Leveranser_per_nät,'Leveranser per nät'!S$1,FALSE)
               +Andel_beroende_av_klimat*VLOOKUP($A11,Leveranser_per_nät,'Leveranser per nät'!S$1,FALSE)/VLOOKUP($B11,Korrigeringsfaktor_GD,'Korrigeringsfaktor GD'!S$1,FALSE),
"")</f>
        <v>0</v>
      </c>
      <c r="T11" s="18">
        <f>IFERROR(
                  Andel_oberoende_av_klimat*VLOOKUP($A11,Leveranser_per_nät,'Leveranser per nät'!T$1,FALSE)
               +Andel_beroende_av_klimat*VLOOKUP($A11,Leveranser_per_nät,'Leveranser per nät'!T$1,FALSE)/VLOOKUP($B11,Korrigeringsfaktor_GD,'Korrigeringsfaktor GD'!T$1,FALSE),
"")</f>
        <v>0</v>
      </c>
      <c r="U11" s="18">
        <f>IFERROR(
                  Andel_oberoende_av_klimat*VLOOKUP($A11,Leveranser_per_nät,'Leveranser per nät'!U$1,FALSE)
               +Andel_beroende_av_klimat*VLOOKUP($A11,Leveranser_per_nät,'Leveranser per nät'!U$1,FALSE)/VLOOKUP($B11,Korrigeringsfaktor_GD,'Korrigeringsfaktor GD'!U$1,FALSE),
"")</f>
        <v>0</v>
      </c>
      <c r="V11" s="18">
        <f>IFERROR(
                  Andel_oberoende_av_klimat*VLOOKUP($A11,Leveranser_per_nät,'Leveranser per nät'!V$1,FALSE)
               +Andel_beroende_av_klimat*VLOOKUP($A11,Leveranser_per_nät,'Leveranser per nät'!V$1,FALSE)/VLOOKUP($B11,Korrigeringsfaktor_GD,'Korrigeringsfaktor GD'!V$1,FALSE),
"")</f>
        <v>0</v>
      </c>
      <c r="W11" s="18">
        <f>IFERROR(
                  Andel_oberoende_av_klimat*VLOOKUP($A11,Leveranser_per_nät,'Leveranser per nät'!W$1,FALSE)
               +Andel_beroende_av_klimat*VLOOKUP($A11,Leveranser_per_nät,'Leveranser per nät'!W$1,FALSE)/VLOOKUP($B11,Korrigeringsfaktor_GD,'Korrigeringsfaktor GD'!W$1,FALSE),
"")</f>
        <v>0</v>
      </c>
      <c r="X11" s="18">
        <f>IFERROR(
                  Andel_oberoende_av_klimat*VLOOKUP($A11,Leveranser_per_nät,'Leveranser per nät'!X$1,FALSE)
               +Andel_beroende_av_klimat*VLOOKUP($A11,Leveranser_per_nät,'Leveranser per nät'!X$1,FALSE)/VLOOKUP($B11,Korrigeringsfaktor_GD,'Korrigeringsfaktor GD'!X$1,FALSE),
"")</f>
        <v>325.48888888888888</v>
      </c>
      <c r="Y11" s="18">
        <f>IFERROR(
                  Andel_oberoende_av_klimat*VLOOKUP($A11,Leveranser_per_nät,'Leveranser per nät'!Y$1,FALSE)
               +Andel_beroende_av_klimat*VLOOKUP($A11,Leveranser_per_nät,'Leveranser per nät'!Y$1,FALSE)/VLOOKUP($B11,Korrigeringsfaktor_GD,'Korrigeringsfaktor GD'!Y$1,FALSE),
"")</f>
        <v>328.12808988764044</v>
      </c>
      <c r="Z11" s="18">
        <f>IFERROR(
                  Andel_oberoende_av_klimat*VLOOKUP($A11,Leveranser_per_nät,'Leveranser per nät'!Z$1,FALSE)
               +Andel_beroende_av_klimat*VLOOKUP($A11,Leveranser_per_nät,'Leveranser per nät'!Z$1,FALSE)/VLOOKUP($B11,Korrigeringsfaktor_GD,'Korrigeringsfaktor GD'!Z$1,FALSE),
"")</f>
        <v>334.18604651162792</v>
      </c>
      <c r="AA11" s="18">
        <f>IFERROR(
                  Andel_oberoende_av_klimat*VLOOKUP($A11,Leveranser_per_nät,'Leveranser per nät'!AA$1,FALSE)
               +Andel_beroende_av_klimat*VLOOKUP($A11,Leveranser_per_nät,'Leveranser per nät'!AA$1,FALSE)/VLOOKUP($B11,Korrigeringsfaktor_GD,'Korrigeringsfaktor GD'!AA$1,FALSE),
"")</f>
        <v>312.34309185959671</v>
      </c>
      <c r="AB11" s="18">
        <f>IFERROR(
                  Andel_oberoende_av_klimat*VLOOKUP($A11,Leveranser_per_nät,'Leveranser per nät'!AB$1,FALSE)
               +Andel_beroende_av_klimat*VLOOKUP($A11,Leveranser_per_nät,'Leveranser per nät'!AB$1,FALSE)/VLOOKUP($B11,Korrigeringsfaktor_GD,'Korrigeringsfaktor GD'!AB$1,FALSE),
"")</f>
        <v>314.46236345580928</v>
      </c>
      <c r="AC11" s="18">
        <f>IFERROR(
                  Andel_oberoende_av_klimat*VLOOKUP($A11,Leveranser_per_nät,'Leveranser per nät'!AC$1,FALSE)
               +Andel_beroende_av_klimat*VLOOKUP($A11,Leveranser_per_nät,'Leveranser per nät'!AC$1,FALSE)/VLOOKUP($B11,Korrigeringsfaktor_GD,'Korrigeringsfaktor GD'!AC$1,FALSE),
"")</f>
        <v>312.07586206896553</v>
      </c>
      <c r="AD11" t="e">
        <v>#N/A</v>
      </c>
    </row>
    <row r="12" spans="1:30" x14ac:dyDescent="0.25">
      <c r="A12" t="s">
        <v>20</v>
      </c>
      <c r="B12" t="s">
        <v>21</v>
      </c>
      <c r="C12" s="18">
        <f>IFERROR(
                  Andel_oberoende_av_klimat*VLOOKUP($A12,Leveranser_per_nät,'Leveranser per nät'!C$1,FALSE)
               +Andel_beroende_av_klimat*VLOOKUP($A12,Leveranser_per_nät,'Leveranser per nät'!C$1,FALSE)/VLOOKUP($B12,Korrigeringsfaktor_GD,'Korrigeringsfaktor GD'!C$1,FALSE),
"")</f>
        <v>11.236363636363635</v>
      </c>
      <c r="D12" s="18">
        <f>IFERROR(
                  Andel_oberoende_av_klimat*VLOOKUP($A12,Leveranser_per_nät,'Leveranser per nät'!D$1,FALSE)
               +Andel_beroende_av_klimat*VLOOKUP($A12,Leveranser_per_nät,'Leveranser per nät'!D$1,FALSE)/VLOOKUP($B12,Korrigeringsfaktor_GD,'Korrigeringsfaktor GD'!D$1,FALSE),
"")</f>
        <v>9.8697083333333335</v>
      </c>
      <c r="E12" s="18">
        <f>IFERROR(
                  Andel_oberoende_av_klimat*VLOOKUP($A12,Leveranser_per_nät,'Leveranser per nät'!E$1,FALSE)
               +Andel_beroende_av_klimat*VLOOKUP($A12,Leveranser_per_nät,'Leveranser per nät'!E$1,FALSE)/VLOOKUP($B12,Korrigeringsfaktor_GD,'Korrigeringsfaktor GD'!E$1,FALSE),
"")</f>
        <v>10.923762376237624</v>
      </c>
      <c r="F12" s="18">
        <f>IFERROR(
                  Andel_oberoende_av_klimat*VLOOKUP($A12,Leveranser_per_nät,'Leveranser per nät'!F$1,FALSE)
               +Andel_beroende_av_klimat*VLOOKUP($A12,Leveranser_per_nät,'Leveranser per nät'!F$1,FALSE)/VLOOKUP($B12,Korrigeringsfaktor_GD,'Korrigeringsfaktor GD'!F$1,FALSE),
"")</f>
        <v>10.142857142857144</v>
      </c>
      <c r="G12" s="18">
        <f>IFERROR(
                  Andel_oberoende_av_klimat*VLOOKUP($A12,Leveranser_per_nät,'Leveranser per nät'!G$1,FALSE)
               +Andel_beroende_av_klimat*VLOOKUP($A12,Leveranser_per_nät,'Leveranser per nät'!G$1,FALSE)/VLOOKUP($B12,Korrigeringsfaktor_GD,'Korrigeringsfaktor GD'!G$1,FALSE),
"")</f>
        <v>10.777777777777779</v>
      </c>
      <c r="H12" s="18">
        <f>IFERROR(
                  Andel_oberoende_av_klimat*VLOOKUP($A12,Leveranser_per_nät,'Leveranser per nät'!H$1,FALSE)
               +Andel_beroende_av_klimat*VLOOKUP($A12,Leveranser_per_nät,'Leveranser per nät'!H$1,FALSE)/VLOOKUP($B12,Korrigeringsfaktor_GD,'Korrigeringsfaktor GD'!H$1,FALSE),
"")</f>
        <v>10.849019607843136</v>
      </c>
      <c r="I12" s="18">
        <f>IFERROR(
                  Andel_oberoende_av_klimat*VLOOKUP($A12,Leveranser_per_nät,'Leveranser per nät'!I$1,FALSE)
               +Andel_beroende_av_klimat*VLOOKUP($A12,Leveranser_per_nät,'Leveranser per nät'!I$1,FALSE)/VLOOKUP($B12,Korrigeringsfaktor_GD,'Korrigeringsfaktor GD'!I$1,FALSE),
"")</f>
        <v>10.070707070707071</v>
      </c>
      <c r="J12" s="18">
        <f>IFERROR(
                  Andel_oberoende_av_klimat*VLOOKUP($A12,Leveranser_per_nät,'Leveranser per nät'!J$1,FALSE)
               +Andel_beroende_av_klimat*VLOOKUP($A12,Leveranser_per_nät,'Leveranser per nät'!J$1,FALSE)/VLOOKUP($B12,Korrigeringsfaktor_GD,'Korrigeringsfaktor GD'!J$1,FALSE),
"")</f>
        <v>11.238144329896908</v>
      </c>
      <c r="K12" s="18">
        <f>IFERROR(
                  Andel_oberoende_av_klimat*VLOOKUP($A12,Leveranser_per_nät,'Leveranser per nät'!K$1,FALSE)
               +Andel_beroende_av_klimat*VLOOKUP($A12,Leveranser_per_nät,'Leveranser per nät'!K$1,FALSE)/VLOOKUP($B12,Korrigeringsfaktor_GD,'Korrigeringsfaktor GD'!K$1,FALSE),
"")</f>
        <v>11.407227319587628</v>
      </c>
      <c r="L12" s="18">
        <f>IFERROR(
                  Andel_oberoende_av_klimat*VLOOKUP($A12,Leveranser_per_nät,'Leveranser per nät'!L$1,FALSE)
               +Andel_beroende_av_klimat*VLOOKUP($A12,Leveranser_per_nät,'Leveranser per nät'!L$1,FALSE)/VLOOKUP($B12,Korrigeringsfaktor_GD,'Korrigeringsfaktor GD'!L$1,FALSE),
"")</f>
        <v>11.975526315789477</v>
      </c>
      <c r="M12" s="18">
        <f>IFERROR(
                  Andel_oberoende_av_klimat*VLOOKUP($A12,Leveranser_per_nät,'Leveranser per nät'!M$1,FALSE)
               +Andel_beroende_av_klimat*VLOOKUP($A12,Leveranser_per_nät,'Leveranser per nät'!M$1,FALSE)/VLOOKUP($B12,Korrigeringsfaktor_GD,'Korrigeringsfaktor GD'!M$1,FALSE),
"")</f>
        <v>11.096695652173914</v>
      </c>
      <c r="N12" s="18">
        <f>IFERROR(
                  Andel_oberoende_av_klimat*VLOOKUP($A12,Leveranser_per_nät,'Leveranser per nät'!N$1,FALSE)
               +Andel_beroende_av_klimat*VLOOKUP($A12,Leveranser_per_nät,'Leveranser per nät'!N$1,FALSE)/VLOOKUP($B12,Korrigeringsfaktor_GD,'Korrigeringsfaktor GD'!N$1,FALSE),
"")</f>
        <v>12.640638297872341</v>
      </c>
      <c r="O12" s="18">
        <f>IFERROR(
                  Andel_oberoende_av_klimat*VLOOKUP($A12,Leveranser_per_nät,'Leveranser per nät'!O$1,FALSE)
               +Andel_beroende_av_klimat*VLOOKUP($A12,Leveranser_per_nät,'Leveranser per nät'!O$1,FALSE)/VLOOKUP($B12,Korrigeringsfaktor_GD,'Korrigeringsfaktor GD'!O$1,FALSE),
"")</f>
        <v>11.804893617021278</v>
      </c>
      <c r="P12" s="18">
        <f>IFERROR(
                  Andel_oberoende_av_klimat*VLOOKUP($A12,Leveranser_per_nät,'Leveranser per nät'!P$1,FALSE)
               +Andel_beroende_av_klimat*VLOOKUP($A12,Leveranser_per_nät,'Leveranser per nät'!P$1,FALSE)/VLOOKUP($B12,Korrigeringsfaktor_GD,'Korrigeringsfaktor GD'!P$1,FALSE),
"")</f>
        <v>13.399999999999999</v>
      </c>
      <c r="Q12" s="18">
        <f>IFERROR(
                  Andel_oberoende_av_klimat*VLOOKUP($A12,Leveranser_per_nät,'Leveranser per nät'!Q$1,FALSE)
               +Andel_beroende_av_klimat*VLOOKUP($A12,Leveranser_per_nät,'Leveranser per nät'!Q$1,FALSE)/VLOOKUP($B12,Korrigeringsfaktor_GD,'Korrigeringsfaktor GD'!Q$1,FALSE),
"")</f>
        <v>14.493918803418808</v>
      </c>
      <c r="R12" s="18">
        <f>IFERROR(
                  Andel_oberoende_av_klimat*VLOOKUP($A12,Leveranser_per_nät,'Leveranser per nät'!R$1,FALSE)
               +Andel_beroende_av_klimat*VLOOKUP($A12,Leveranser_per_nät,'Leveranser per nät'!R$1,FALSE)/VLOOKUP($B12,Korrigeringsfaktor_GD,'Korrigeringsfaktor GD'!R$1,FALSE),
"")</f>
        <v>15.132243478260868</v>
      </c>
      <c r="S12" s="18">
        <f>IFERROR(
                  Andel_oberoende_av_klimat*VLOOKUP($A12,Leveranser_per_nät,'Leveranser per nät'!S$1,FALSE)
               +Andel_beroende_av_klimat*VLOOKUP($A12,Leveranser_per_nät,'Leveranser per nät'!S$1,FALSE)/VLOOKUP($B12,Korrigeringsfaktor_GD,'Korrigeringsfaktor GD'!S$1,FALSE),
"")</f>
        <v>15.790868686868686</v>
      </c>
      <c r="T12" s="18">
        <f>IFERROR(
                  Andel_oberoende_av_klimat*VLOOKUP($A12,Leveranser_per_nät,'Leveranser per nät'!T$1,FALSE)
               +Andel_beroende_av_klimat*VLOOKUP($A12,Leveranser_per_nät,'Leveranser per nät'!T$1,FALSE)/VLOOKUP($B12,Korrigeringsfaktor_GD,'Korrigeringsfaktor GD'!T$1,FALSE),
"")</f>
        <v>15.326599999999999</v>
      </c>
      <c r="U12" s="18">
        <f>IFERROR(
                  Andel_oberoende_av_klimat*VLOOKUP($A12,Leveranser_per_nät,'Leveranser per nät'!U$1,FALSE)
               +Andel_beroende_av_klimat*VLOOKUP($A12,Leveranser_per_nät,'Leveranser per nät'!U$1,FALSE)/VLOOKUP($B12,Korrigeringsfaktor_GD,'Korrigeringsfaktor GD'!U$1,FALSE),
"")</f>
        <v>15.088790909090907</v>
      </c>
      <c r="V12" s="18">
        <f>IFERROR(
                  Andel_oberoende_av_klimat*VLOOKUP($A12,Leveranser_per_nät,'Leveranser per nät'!V$1,FALSE)
               +Andel_beroende_av_klimat*VLOOKUP($A12,Leveranser_per_nät,'Leveranser per nät'!V$1,FALSE)/VLOOKUP($B12,Korrigeringsfaktor_GD,'Korrigeringsfaktor GD'!V$1,FALSE),
"")</f>
        <v>15.849021348314606</v>
      </c>
      <c r="W12" s="18">
        <f>IFERROR(
                  Andel_oberoende_av_klimat*VLOOKUP($A12,Leveranser_per_nät,'Leveranser per nät'!W$1,FALSE)
               +Andel_beroende_av_klimat*VLOOKUP($A12,Leveranser_per_nät,'Leveranser per nät'!W$1,FALSE)/VLOOKUP($B12,Korrigeringsfaktor_GD,'Korrigeringsfaktor GD'!W$1,FALSE),
"")</f>
        <v>17.174553191489366</v>
      </c>
      <c r="X12" s="18">
        <f>IFERROR(
                  Andel_oberoende_av_klimat*VLOOKUP($A12,Leveranser_per_nät,'Leveranser per nät'!X$1,FALSE)
               +Andel_beroende_av_klimat*VLOOKUP($A12,Leveranser_per_nät,'Leveranser per nät'!X$1,FALSE)/VLOOKUP($B12,Korrigeringsfaktor_GD,'Korrigeringsfaktor GD'!X$1,FALSE),
"")</f>
        <v>17.302655670103093</v>
      </c>
      <c r="Y12" s="18">
        <f>IFERROR(
                  Andel_oberoende_av_klimat*VLOOKUP($A12,Leveranser_per_nät,'Leveranser per nät'!Y$1,FALSE)
               +Andel_beroende_av_klimat*VLOOKUP($A12,Leveranser_per_nät,'Leveranser per nät'!Y$1,FALSE)/VLOOKUP($B12,Korrigeringsfaktor_GD,'Korrigeringsfaktor GD'!Y$1,FALSE),
"")</f>
        <v>17.703142268041237</v>
      </c>
      <c r="Z12" s="18">
        <f>IFERROR(
                  Andel_oberoende_av_klimat*VLOOKUP($A12,Leveranser_per_nät,'Leveranser per nät'!Z$1,FALSE)
               +Andel_beroende_av_klimat*VLOOKUP($A12,Leveranser_per_nät,'Leveranser per nät'!Z$1,FALSE)/VLOOKUP($B12,Korrigeringsfaktor_GD,'Korrigeringsfaktor GD'!Z$1,FALSE),
"")</f>
        <v>18.530838461538458</v>
      </c>
      <c r="AA12" s="18">
        <f>IFERROR(
                  Andel_oberoende_av_klimat*VLOOKUP($A12,Leveranser_per_nät,'Leveranser per nät'!AA$1,FALSE)
               +Andel_beroende_av_klimat*VLOOKUP($A12,Leveranser_per_nät,'Leveranser per nät'!AA$1,FALSE)/VLOOKUP($B12,Korrigeringsfaktor_GD,'Korrigeringsfaktor GD'!AA$1,FALSE),
"")</f>
        <v>18.009398109640834</v>
      </c>
      <c r="AB12" s="18">
        <f>IFERROR(
                  Andel_oberoende_av_klimat*VLOOKUP($A12,Leveranser_per_nät,'Leveranser per nät'!AB$1,FALSE)
               +Andel_beroende_av_klimat*VLOOKUP($A12,Leveranser_per_nät,'Leveranser per nät'!AB$1,FALSE)/VLOOKUP($B12,Korrigeringsfaktor_GD,'Korrigeringsfaktor GD'!AB$1,FALSE),
"")</f>
        <v>17.528329273084481</v>
      </c>
      <c r="AC12" s="18">
        <f>IFERROR(
                  Andel_oberoende_av_klimat*VLOOKUP($A12,Leveranser_per_nät,'Leveranser per nät'!AC$1,FALSE)
               +Andel_beroende_av_klimat*VLOOKUP($A12,Leveranser_per_nät,'Leveranser per nät'!AC$1,FALSE)/VLOOKUP($B12,Korrigeringsfaktor_GD,'Korrigeringsfaktor GD'!AC$1,FALSE),
"")</f>
        <v>17.264120289855072</v>
      </c>
      <c r="AD12">
        <v>122.995</v>
      </c>
    </row>
    <row r="13" spans="1:30" x14ac:dyDescent="0.25">
      <c r="A13" t="s">
        <v>449</v>
      </c>
      <c r="B13" t="s">
        <v>449</v>
      </c>
      <c r="C13" s="18">
        <f>IFERROR(
                  Andel_oberoende_av_klimat*VLOOKUP($A13,Leveranser_per_nät,'Leveranser per nät'!C$1,FALSE)
               +Andel_beroende_av_klimat*VLOOKUP($A13,Leveranser_per_nät,'Leveranser per nät'!C$1,FALSE)/VLOOKUP($B13,Korrigeringsfaktor_GD,'Korrigeringsfaktor GD'!C$1,FALSE),
"")</f>
        <v>0</v>
      </c>
      <c r="D13" s="18">
        <f>IFERROR(
                  Andel_oberoende_av_klimat*VLOOKUP($A13,Leveranser_per_nät,'Leveranser per nät'!D$1,FALSE)
               +Andel_beroende_av_klimat*VLOOKUP($A13,Leveranser_per_nät,'Leveranser per nät'!D$1,FALSE)/VLOOKUP($B13,Korrigeringsfaktor_GD,'Korrigeringsfaktor GD'!D$1,FALSE),
"")</f>
        <v>0</v>
      </c>
      <c r="E13" s="18">
        <f>IFERROR(
                  Andel_oberoende_av_klimat*VLOOKUP($A13,Leveranser_per_nät,'Leveranser per nät'!E$1,FALSE)
               +Andel_beroende_av_klimat*VLOOKUP($A13,Leveranser_per_nät,'Leveranser per nät'!E$1,FALSE)/VLOOKUP($B13,Korrigeringsfaktor_GD,'Korrigeringsfaktor GD'!E$1,FALSE),
"")</f>
        <v>0</v>
      </c>
      <c r="F13" s="18">
        <f>IFERROR(
                  Andel_oberoende_av_klimat*VLOOKUP($A13,Leveranser_per_nät,'Leveranser per nät'!F$1,FALSE)
               +Andel_beroende_av_klimat*VLOOKUP($A13,Leveranser_per_nät,'Leveranser per nät'!F$1,FALSE)/VLOOKUP($B13,Korrigeringsfaktor_GD,'Korrigeringsfaktor GD'!F$1,FALSE),
"")</f>
        <v>0</v>
      </c>
      <c r="G13" s="18">
        <f>IFERROR(
                  Andel_oberoende_av_klimat*VLOOKUP($A13,Leveranser_per_nät,'Leveranser per nät'!G$1,FALSE)
               +Andel_beroende_av_klimat*VLOOKUP($A13,Leveranser_per_nät,'Leveranser per nät'!G$1,FALSE)/VLOOKUP($B13,Korrigeringsfaktor_GD,'Korrigeringsfaktor GD'!G$1,FALSE),
"")</f>
        <v>0</v>
      </c>
      <c r="H13" s="18">
        <f>IFERROR(
                  Andel_oberoende_av_klimat*VLOOKUP($A13,Leveranser_per_nät,'Leveranser per nät'!H$1,FALSE)
               +Andel_beroende_av_klimat*VLOOKUP($A13,Leveranser_per_nät,'Leveranser per nät'!H$1,FALSE)/VLOOKUP($B13,Korrigeringsfaktor_GD,'Korrigeringsfaktor GD'!H$1,FALSE),
"")</f>
        <v>0</v>
      </c>
      <c r="I13" s="18">
        <f>IFERROR(
                  Andel_oberoende_av_klimat*VLOOKUP($A13,Leveranser_per_nät,'Leveranser per nät'!I$1,FALSE)
               +Andel_beroende_av_klimat*VLOOKUP($A13,Leveranser_per_nät,'Leveranser per nät'!I$1,FALSE)/VLOOKUP($B13,Korrigeringsfaktor_GD,'Korrigeringsfaktor GD'!I$1,FALSE),
"")</f>
        <v>0</v>
      </c>
      <c r="J13" s="18">
        <f>IFERROR(
                  Andel_oberoende_av_klimat*VLOOKUP($A13,Leveranser_per_nät,'Leveranser per nät'!J$1,FALSE)
               +Andel_beroende_av_klimat*VLOOKUP($A13,Leveranser_per_nät,'Leveranser per nät'!J$1,FALSE)/VLOOKUP($B13,Korrigeringsfaktor_GD,'Korrigeringsfaktor GD'!J$1,FALSE),
"")</f>
        <v>0</v>
      </c>
      <c r="K13" s="18">
        <f>IFERROR(
                  Andel_oberoende_av_klimat*VLOOKUP($A13,Leveranser_per_nät,'Leveranser per nät'!K$1,FALSE)
               +Andel_beroende_av_klimat*VLOOKUP($A13,Leveranser_per_nät,'Leveranser per nät'!K$1,FALSE)/VLOOKUP($B13,Korrigeringsfaktor_GD,'Korrigeringsfaktor GD'!K$1,FALSE),
"")</f>
        <v>0</v>
      </c>
      <c r="L13" s="18">
        <f>IFERROR(
                  Andel_oberoende_av_klimat*VLOOKUP($A13,Leveranser_per_nät,'Leveranser per nät'!L$1,FALSE)
               +Andel_beroende_av_klimat*VLOOKUP($A13,Leveranser_per_nät,'Leveranser per nät'!L$1,FALSE)/VLOOKUP($B13,Korrigeringsfaktor_GD,'Korrigeringsfaktor GD'!L$1,FALSE),
"")</f>
        <v>0</v>
      </c>
      <c r="M13" s="18">
        <f>IFERROR(
                  Andel_oberoende_av_klimat*VLOOKUP($A13,Leveranser_per_nät,'Leveranser per nät'!M$1,FALSE)
               +Andel_beroende_av_klimat*VLOOKUP($A13,Leveranser_per_nät,'Leveranser per nät'!M$1,FALSE)/VLOOKUP($B13,Korrigeringsfaktor_GD,'Korrigeringsfaktor GD'!M$1,FALSE),
"")</f>
        <v>0</v>
      </c>
      <c r="N13" s="18">
        <f>IFERROR(
                  Andel_oberoende_av_klimat*VLOOKUP($A13,Leveranser_per_nät,'Leveranser per nät'!N$1,FALSE)
               +Andel_beroende_av_klimat*VLOOKUP($A13,Leveranser_per_nät,'Leveranser per nät'!N$1,FALSE)/VLOOKUP($B13,Korrigeringsfaktor_GD,'Korrigeringsfaktor GD'!N$1,FALSE),
"")</f>
        <v>0</v>
      </c>
      <c r="O13" s="18">
        <f>IFERROR(
                  Andel_oberoende_av_klimat*VLOOKUP($A13,Leveranser_per_nät,'Leveranser per nät'!O$1,FALSE)
               +Andel_beroende_av_klimat*VLOOKUP($A13,Leveranser_per_nät,'Leveranser per nät'!O$1,FALSE)/VLOOKUP($B13,Korrigeringsfaktor_GD,'Korrigeringsfaktor GD'!O$1,FALSE),
"")</f>
        <v>0</v>
      </c>
      <c r="P13" s="18">
        <f>IFERROR(
                  Andel_oberoende_av_klimat*VLOOKUP($A13,Leveranser_per_nät,'Leveranser per nät'!P$1,FALSE)
               +Andel_beroende_av_klimat*VLOOKUP($A13,Leveranser_per_nät,'Leveranser per nät'!P$1,FALSE)/VLOOKUP($B13,Korrigeringsfaktor_GD,'Korrigeringsfaktor GD'!P$1,FALSE),
"")</f>
        <v>0</v>
      </c>
      <c r="Q13" s="18">
        <f>IFERROR(
                  Andel_oberoende_av_klimat*VLOOKUP($A13,Leveranser_per_nät,'Leveranser per nät'!Q$1,FALSE)
               +Andel_beroende_av_klimat*VLOOKUP($A13,Leveranser_per_nät,'Leveranser per nät'!Q$1,FALSE)/VLOOKUP($B13,Korrigeringsfaktor_GD,'Korrigeringsfaktor GD'!Q$1,FALSE),
"")</f>
        <v>0</v>
      </c>
      <c r="R13" s="18">
        <f>IFERROR(
                  Andel_oberoende_av_klimat*VLOOKUP($A13,Leveranser_per_nät,'Leveranser per nät'!R$1,FALSE)
               +Andel_beroende_av_klimat*VLOOKUP($A13,Leveranser_per_nät,'Leveranser per nät'!R$1,FALSE)/VLOOKUP($B13,Korrigeringsfaktor_GD,'Korrigeringsfaktor GD'!R$1,FALSE),
"")</f>
        <v>0</v>
      </c>
      <c r="S13" s="18">
        <f>IFERROR(
                  Andel_oberoende_av_klimat*VLOOKUP($A13,Leveranser_per_nät,'Leveranser per nät'!S$1,FALSE)
               +Andel_beroende_av_klimat*VLOOKUP($A13,Leveranser_per_nät,'Leveranser per nät'!S$1,FALSE)/VLOOKUP($B13,Korrigeringsfaktor_GD,'Korrigeringsfaktor GD'!S$1,FALSE),
"")</f>
        <v>14.103725490196078</v>
      </c>
      <c r="T13" s="18">
        <f>IFERROR(
                  Andel_oberoende_av_klimat*VLOOKUP($A13,Leveranser_per_nät,'Leveranser per nät'!T$1,FALSE)
               +Andel_beroende_av_klimat*VLOOKUP($A13,Leveranser_per_nät,'Leveranser per nät'!T$1,FALSE)/VLOOKUP($B13,Korrigeringsfaktor_GD,'Korrigeringsfaktor GD'!T$1,FALSE),
"")</f>
        <v>15.137894736842105</v>
      </c>
      <c r="U13" s="18">
        <f>IFERROR(
                  Andel_oberoende_av_klimat*VLOOKUP($A13,Leveranser_per_nät,'Leveranser per nät'!U$1,FALSE)
               +Andel_beroende_av_klimat*VLOOKUP($A13,Leveranser_per_nät,'Leveranser per nät'!U$1,FALSE)/VLOOKUP($B13,Korrigeringsfaktor_GD,'Korrigeringsfaktor GD'!U$1,FALSE),
"")</f>
        <v>14.657777777777778</v>
      </c>
      <c r="V13" s="18">
        <f>IFERROR(
                  Andel_oberoende_av_klimat*VLOOKUP($A13,Leveranser_per_nät,'Leveranser per nät'!V$1,FALSE)
               +Andel_beroende_av_klimat*VLOOKUP($A13,Leveranser_per_nät,'Leveranser per nät'!V$1,FALSE)/VLOOKUP($B13,Korrigeringsfaktor_GD,'Korrigeringsfaktor GD'!V$1,FALSE),
"")</f>
        <v>14.776629213483146</v>
      </c>
      <c r="W13" s="18">
        <f>IFERROR(
                  Andel_oberoende_av_klimat*VLOOKUP($A13,Leveranser_per_nät,'Leveranser per nät'!W$1,FALSE)
               +Andel_beroende_av_klimat*VLOOKUP($A13,Leveranser_per_nät,'Leveranser per nät'!W$1,FALSE)/VLOOKUP($B13,Korrigeringsfaktor_GD,'Korrigeringsfaktor GD'!W$1,FALSE),
"")</f>
        <v>15.369247311827955</v>
      </c>
      <c r="X13" s="18">
        <f>IFERROR(
                  Andel_oberoende_av_klimat*VLOOKUP($A13,Leveranser_per_nät,'Leveranser per nät'!X$1,FALSE)
               +Andel_beroende_av_klimat*VLOOKUP($A13,Leveranser_per_nät,'Leveranser per nät'!X$1,FALSE)/VLOOKUP($B13,Korrigeringsfaktor_GD,'Korrigeringsfaktor GD'!X$1,FALSE),
"")</f>
        <v>16.055</v>
      </c>
      <c r="Y13" s="18">
        <f>IFERROR(
                  Andel_oberoende_av_klimat*VLOOKUP($A13,Leveranser_per_nät,'Leveranser per nät'!Y$1,FALSE)
               +Andel_beroende_av_klimat*VLOOKUP($A13,Leveranser_per_nät,'Leveranser per nät'!Y$1,FALSE)/VLOOKUP($B13,Korrigeringsfaktor_GD,'Korrigeringsfaktor GD'!Y$1,FALSE),
"")</f>
        <v>16.959381443298973</v>
      </c>
      <c r="Z13" s="18">
        <f>IFERROR(
                  Andel_oberoende_av_klimat*VLOOKUP($A13,Leveranser_per_nät,'Leveranser per nät'!Z$1,FALSE)
               +Andel_beroende_av_klimat*VLOOKUP($A13,Leveranser_per_nät,'Leveranser per nät'!Z$1,FALSE)/VLOOKUP($B13,Korrigeringsfaktor_GD,'Korrigeringsfaktor GD'!Z$1,FALSE),
"")</f>
        <v>15.869708737864077</v>
      </c>
      <c r="AA13" s="18">
        <f>IFERROR(
                  Andel_oberoende_av_klimat*VLOOKUP($A13,Leveranser_per_nät,'Leveranser per nät'!AA$1,FALSE)
               +Andel_beroende_av_klimat*VLOOKUP($A13,Leveranser_per_nät,'Leveranser per nät'!AA$1,FALSE)/VLOOKUP($B13,Korrigeringsfaktor_GD,'Korrigeringsfaktor GD'!AA$1,FALSE),
"")</f>
        <v>14.752808737530101</v>
      </c>
      <c r="AB13" s="18">
        <f>IFERROR(
                  Andel_oberoende_av_klimat*VLOOKUP($A13,Leveranser_per_nät,'Leveranser per nät'!AB$1,FALSE)
               +Andel_beroende_av_klimat*VLOOKUP($A13,Leveranser_per_nät,'Leveranser per nät'!AB$1,FALSE)/VLOOKUP($B13,Korrigeringsfaktor_GD,'Korrigeringsfaktor GD'!AB$1,FALSE),
"")</f>
        <v>15.642207163601162</v>
      </c>
      <c r="AC13" s="18">
        <f>IFERROR(
                  Andel_oberoende_av_klimat*VLOOKUP($A13,Leveranser_per_nät,'Leveranser per nät'!AC$1,FALSE)
               +Andel_beroende_av_klimat*VLOOKUP($A13,Leveranser_per_nät,'Leveranser per nät'!AC$1,FALSE)/VLOOKUP($B13,Korrigeringsfaktor_GD,'Korrigeringsfaktor GD'!AC$1,FALSE),
"")</f>
        <v>15.28019937694704</v>
      </c>
      <c r="AD13" t="e">
        <v>#N/A</v>
      </c>
    </row>
    <row r="14" spans="1:30" x14ac:dyDescent="0.25">
      <c r="A14" t="s">
        <v>6</v>
      </c>
      <c r="B14" t="s">
        <v>6</v>
      </c>
      <c r="C14" s="18">
        <f>IFERROR(
                  Andel_oberoende_av_klimat*VLOOKUP($A14,Leveranser_per_nät,'Leveranser per nät'!C$1,FALSE)
               +Andel_beroende_av_klimat*VLOOKUP($A14,Leveranser_per_nät,'Leveranser per nät'!C$1,FALSE)/VLOOKUP($B14,Korrigeringsfaktor_GD,'Korrigeringsfaktor GD'!C$1,FALSE),
"")</f>
        <v>0</v>
      </c>
      <c r="D14" s="18">
        <f>IFERROR(
                  Andel_oberoende_av_klimat*VLOOKUP($A14,Leveranser_per_nät,'Leveranser per nät'!D$1,FALSE)
               +Andel_beroende_av_klimat*VLOOKUP($A14,Leveranser_per_nät,'Leveranser per nät'!D$1,FALSE)/VLOOKUP($B14,Korrigeringsfaktor_GD,'Korrigeringsfaktor GD'!D$1,FALSE),
"")</f>
        <v>0</v>
      </c>
      <c r="E14" s="18">
        <f>IFERROR(
                  Andel_oberoende_av_klimat*VLOOKUP($A14,Leveranser_per_nät,'Leveranser per nät'!E$1,FALSE)
               +Andel_beroende_av_klimat*VLOOKUP($A14,Leveranser_per_nät,'Leveranser per nät'!E$1,FALSE)/VLOOKUP($B14,Korrigeringsfaktor_GD,'Korrigeringsfaktor GD'!E$1,FALSE),
"")</f>
        <v>0</v>
      </c>
      <c r="F14" s="18">
        <f>IFERROR(
                  Andel_oberoende_av_klimat*VLOOKUP($A14,Leveranser_per_nät,'Leveranser per nät'!F$1,FALSE)
               +Andel_beroende_av_klimat*VLOOKUP($A14,Leveranser_per_nät,'Leveranser per nät'!F$1,FALSE)/VLOOKUP($B14,Korrigeringsfaktor_GD,'Korrigeringsfaktor GD'!F$1,FALSE),
"")</f>
        <v>0</v>
      </c>
      <c r="G14" s="18">
        <f>IFERROR(
                  Andel_oberoende_av_klimat*VLOOKUP($A14,Leveranser_per_nät,'Leveranser per nät'!G$1,FALSE)
               +Andel_beroende_av_klimat*VLOOKUP($A14,Leveranser_per_nät,'Leveranser per nät'!G$1,FALSE)/VLOOKUP($B14,Korrigeringsfaktor_GD,'Korrigeringsfaktor GD'!G$1,FALSE),
"")</f>
        <v>0</v>
      </c>
      <c r="H14" s="18">
        <f>IFERROR(
                  Andel_oberoende_av_klimat*VLOOKUP($A14,Leveranser_per_nät,'Leveranser per nät'!H$1,FALSE)
               +Andel_beroende_av_klimat*VLOOKUP($A14,Leveranser_per_nät,'Leveranser per nät'!H$1,FALSE)/VLOOKUP($B14,Korrigeringsfaktor_GD,'Korrigeringsfaktor GD'!H$1,FALSE),
"")</f>
        <v>0</v>
      </c>
      <c r="I14" s="18">
        <f>IFERROR(
                  Andel_oberoende_av_klimat*VLOOKUP($A14,Leveranser_per_nät,'Leveranser per nät'!I$1,FALSE)
               +Andel_beroende_av_klimat*VLOOKUP($A14,Leveranser_per_nät,'Leveranser per nät'!I$1,FALSE)/VLOOKUP($B14,Korrigeringsfaktor_GD,'Korrigeringsfaktor GD'!I$1,FALSE),
"")</f>
        <v>0</v>
      </c>
      <c r="J14" s="18">
        <f>IFERROR(
                  Andel_oberoende_av_klimat*VLOOKUP($A14,Leveranser_per_nät,'Leveranser per nät'!J$1,FALSE)
               +Andel_beroende_av_klimat*VLOOKUP($A14,Leveranser_per_nät,'Leveranser per nät'!J$1,FALSE)/VLOOKUP($B14,Korrigeringsfaktor_GD,'Korrigeringsfaktor GD'!J$1,FALSE),
"")</f>
        <v>0</v>
      </c>
      <c r="K14" s="18">
        <f>IFERROR(
                  Andel_oberoende_av_klimat*VLOOKUP($A14,Leveranser_per_nät,'Leveranser per nät'!K$1,FALSE)
               +Andel_beroende_av_klimat*VLOOKUP($A14,Leveranser_per_nät,'Leveranser per nät'!K$1,FALSE)/VLOOKUP($B14,Korrigeringsfaktor_GD,'Korrigeringsfaktor GD'!K$1,FALSE),
"")</f>
        <v>0</v>
      </c>
      <c r="L14" s="18">
        <f>IFERROR(
                  Andel_oberoende_av_klimat*VLOOKUP($A14,Leveranser_per_nät,'Leveranser per nät'!L$1,FALSE)
               +Andel_beroende_av_klimat*VLOOKUP($A14,Leveranser_per_nät,'Leveranser per nät'!L$1,FALSE)/VLOOKUP($B14,Korrigeringsfaktor_GD,'Korrigeringsfaktor GD'!L$1,FALSE),
"")</f>
        <v>0</v>
      </c>
      <c r="M14" s="18">
        <f>IFERROR(
                  Andel_oberoende_av_klimat*VLOOKUP($A14,Leveranser_per_nät,'Leveranser per nät'!M$1,FALSE)
               +Andel_beroende_av_klimat*VLOOKUP($A14,Leveranser_per_nät,'Leveranser per nät'!M$1,FALSE)/VLOOKUP($B14,Korrigeringsfaktor_GD,'Korrigeringsfaktor GD'!M$1,FALSE),
"")</f>
        <v>30.41426666666667</v>
      </c>
      <c r="N14" s="18">
        <f>IFERROR(
                  Andel_oberoende_av_klimat*VLOOKUP($A14,Leveranser_per_nät,'Leveranser per nät'!N$1,FALSE)
               +Andel_beroende_av_klimat*VLOOKUP($A14,Leveranser_per_nät,'Leveranser per nät'!N$1,FALSE)/VLOOKUP($B14,Korrigeringsfaktor_GD,'Korrigeringsfaktor GD'!N$1,FALSE),
"")</f>
        <v>33.341731578947361</v>
      </c>
      <c r="O14" s="18">
        <f>IFERROR(
                  Andel_oberoende_av_klimat*VLOOKUP($A14,Leveranser_per_nät,'Leveranser per nät'!O$1,FALSE)
               +Andel_beroende_av_klimat*VLOOKUP($A14,Leveranser_per_nät,'Leveranser per nät'!O$1,FALSE)/VLOOKUP($B14,Korrigeringsfaktor_GD,'Korrigeringsfaktor GD'!O$1,FALSE),
"")</f>
        <v>35.832226315789477</v>
      </c>
      <c r="P14" s="18">
        <f>IFERROR(
                  Andel_oberoende_av_klimat*VLOOKUP($A14,Leveranser_per_nät,'Leveranser per nät'!P$1,FALSE)
               +Andel_beroende_av_klimat*VLOOKUP($A14,Leveranser_per_nät,'Leveranser per nät'!P$1,FALSE)/VLOOKUP($B14,Korrigeringsfaktor_GD,'Korrigeringsfaktor GD'!P$1,FALSE),
"")</f>
        <v>38.032671428571433</v>
      </c>
      <c r="Q14" s="18">
        <f>IFERROR(
                  Andel_oberoende_av_klimat*VLOOKUP($A14,Leveranser_per_nät,'Leveranser per nät'!Q$1,FALSE)
               +Andel_beroende_av_klimat*VLOOKUP($A14,Leveranser_per_nät,'Leveranser per nät'!Q$1,FALSE)/VLOOKUP($B14,Korrigeringsfaktor_GD,'Korrigeringsfaktor GD'!Q$1,FALSE),
"")</f>
        <v>39.949357798165131</v>
      </c>
      <c r="R14" s="18">
        <f>IFERROR(
                  Andel_oberoende_av_klimat*VLOOKUP($A14,Leveranser_per_nät,'Leveranser per nät'!R$1,FALSE)
               +Andel_beroende_av_klimat*VLOOKUP($A14,Leveranser_per_nät,'Leveranser per nät'!R$1,FALSE)/VLOOKUP($B14,Korrigeringsfaktor_GD,'Korrigeringsfaktor GD'!R$1,FALSE),
"")</f>
        <v>45.266666666666666</v>
      </c>
      <c r="S14" s="18">
        <f>IFERROR(
                  Andel_oberoende_av_klimat*VLOOKUP($A14,Leveranser_per_nät,'Leveranser per nät'!S$1,FALSE)
               +Andel_beroende_av_klimat*VLOOKUP($A14,Leveranser_per_nät,'Leveranser per nät'!S$1,FALSE)/VLOOKUP($B14,Korrigeringsfaktor_GD,'Korrigeringsfaktor GD'!S$1,FALSE),
"")</f>
        <v>40.437254901960785</v>
      </c>
      <c r="T14" s="18">
        <f>IFERROR(
                  Andel_oberoende_av_klimat*VLOOKUP($A14,Leveranser_per_nät,'Leveranser per nät'!T$1,FALSE)
               +Andel_beroende_av_klimat*VLOOKUP($A14,Leveranser_per_nät,'Leveranser per nät'!T$1,FALSE)/VLOOKUP($B14,Korrigeringsfaktor_GD,'Korrigeringsfaktor GD'!T$1,FALSE),
"")</f>
        <v>39.697872340425533</v>
      </c>
      <c r="U14" s="18">
        <f>IFERROR(
                  Andel_oberoende_av_klimat*VLOOKUP($A14,Leveranser_per_nät,'Leveranser per nät'!U$1,FALSE)
               +Andel_beroende_av_klimat*VLOOKUP($A14,Leveranser_per_nät,'Leveranser per nät'!U$1,FALSE)/VLOOKUP($B14,Korrigeringsfaktor_GD,'Korrigeringsfaktor GD'!U$1,FALSE),
"")</f>
        <v>40.955555555555556</v>
      </c>
      <c r="V14" s="18">
        <f>IFERROR(
                  Andel_oberoende_av_klimat*VLOOKUP($A14,Leveranser_per_nät,'Leveranser per nät'!V$1,FALSE)
               +Andel_beroende_av_klimat*VLOOKUP($A14,Leveranser_per_nät,'Leveranser per nät'!V$1,FALSE)/VLOOKUP($B14,Korrigeringsfaktor_GD,'Korrigeringsfaktor GD'!V$1,FALSE),
"")</f>
        <v>41.2876404494382</v>
      </c>
      <c r="W14" s="18">
        <f>IFERROR(
                  Andel_oberoende_av_klimat*VLOOKUP($A14,Leveranser_per_nät,'Leveranser per nät'!W$1,FALSE)
               +Andel_beroende_av_klimat*VLOOKUP($A14,Leveranser_per_nät,'Leveranser per nät'!W$1,FALSE)/VLOOKUP($B14,Korrigeringsfaktor_GD,'Korrigeringsfaktor GD'!W$1,FALSE),
"")</f>
        <v>41.787234042553195</v>
      </c>
      <c r="X14" s="18">
        <f>IFERROR(
                  Andel_oberoende_av_klimat*VLOOKUP($A14,Leveranser_per_nät,'Leveranser per nät'!X$1,FALSE)
               +Andel_beroende_av_klimat*VLOOKUP($A14,Leveranser_per_nät,'Leveranser per nät'!X$1,FALSE)/VLOOKUP($B14,Korrigeringsfaktor_GD,'Korrigeringsfaktor GD'!X$1,FALSE),
"")</f>
        <v>41.166666666666671</v>
      </c>
      <c r="Y14" s="18">
        <f>IFERROR(
                  Andel_oberoende_av_klimat*VLOOKUP($A14,Leveranser_per_nät,'Leveranser per nät'!Y$1,FALSE)
               +Andel_beroende_av_klimat*VLOOKUP($A14,Leveranser_per_nät,'Leveranser per nät'!Y$1,FALSE)/VLOOKUP($B14,Korrigeringsfaktor_GD,'Korrigeringsfaktor GD'!Y$1,FALSE),
"")</f>
        <v>41.68105263157895</v>
      </c>
      <c r="Z14" s="18">
        <f>IFERROR(
                  Andel_oberoende_av_klimat*VLOOKUP($A14,Leveranser_per_nät,'Leveranser per nät'!Z$1,FALSE)
               +Andel_beroende_av_klimat*VLOOKUP($A14,Leveranser_per_nät,'Leveranser per nät'!Z$1,FALSE)/VLOOKUP($B14,Korrigeringsfaktor_GD,'Korrigeringsfaktor GD'!Z$1,FALSE),
"")</f>
        <v>45.951264367816094</v>
      </c>
      <c r="AA14" s="18">
        <f>IFERROR(
                  Andel_oberoende_av_klimat*VLOOKUP($A14,Leveranser_per_nät,'Leveranser per nät'!AA$1,FALSE)
               +Andel_beroende_av_klimat*VLOOKUP($A14,Leveranser_per_nät,'Leveranser per nät'!AA$1,FALSE)/VLOOKUP($B14,Korrigeringsfaktor_GD,'Korrigeringsfaktor GD'!AA$1,FALSE),
"")</f>
        <v>45.209525111035191</v>
      </c>
      <c r="AB14" s="18">
        <f>IFERROR(
                  Andel_oberoende_av_klimat*VLOOKUP($A14,Leveranser_per_nät,'Leveranser per nät'!AB$1,FALSE)
               +Andel_beroende_av_klimat*VLOOKUP($A14,Leveranser_per_nät,'Leveranser per nät'!AB$1,FALSE)/VLOOKUP($B14,Korrigeringsfaktor_GD,'Korrigeringsfaktor GD'!AB$1,FALSE),
"")</f>
        <v>40.763840155945417</v>
      </c>
      <c r="AC14" s="18">
        <f>IFERROR(
                  Andel_oberoende_av_klimat*VLOOKUP($A14,Leveranser_per_nät,'Leveranser per nät'!AC$1,FALSE)
               +Andel_beroende_av_klimat*VLOOKUP($A14,Leveranser_per_nät,'Leveranser per nät'!AC$1,FALSE)/VLOOKUP($B14,Korrigeringsfaktor_GD,'Korrigeringsfaktor GD'!AC$1,FALSE),
"")</f>
        <v>40.833228511530393</v>
      </c>
      <c r="AD14">
        <v>39.5</v>
      </c>
    </row>
    <row r="15" spans="1:30" x14ac:dyDescent="0.25">
      <c r="A15" t="s">
        <v>119</v>
      </c>
      <c r="B15" t="s">
        <v>119</v>
      </c>
      <c r="C15" s="18">
        <f>IFERROR(
                  Andel_oberoende_av_klimat*VLOOKUP($A15,Leveranser_per_nät,'Leveranser per nät'!C$1,FALSE)
               +Andel_beroende_av_klimat*VLOOKUP($A15,Leveranser_per_nät,'Leveranser per nät'!C$1,FALSE)/VLOOKUP($B15,Korrigeringsfaktor_GD,'Korrigeringsfaktor GD'!C$1,FALSE),
"")</f>
        <v>0</v>
      </c>
      <c r="D15" s="18">
        <f>IFERROR(
                  Andel_oberoende_av_klimat*VLOOKUP($A15,Leveranser_per_nät,'Leveranser per nät'!D$1,FALSE)
               +Andel_beroende_av_klimat*VLOOKUP($A15,Leveranser_per_nät,'Leveranser per nät'!D$1,FALSE)/VLOOKUP($B15,Korrigeringsfaktor_GD,'Korrigeringsfaktor GD'!D$1,FALSE),
"")</f>
        <v>0</v>
      </c>
      <c r="E15" s="18">
        <f>IFERROR(
                  Andel_oberoende_av_klimat*VLOOKUP($A15,Leveranser_per_nät,'Leveranser per nät'!E$1,FALSE)
               +Andel_beroende_av_klimat*VLOOKUP($A15,Leveranser_per_nät,'Leveranser per nät'!E$1,FALSE)/VLOOKUP($B15,Korrigeringsfaktor_GD,'Korrigeringsfaktor GD'!E$1,FALSE),
"")</f>
        <v>0</v>
      </c>
      <c r="F15" s="18">
        <f>IFERROR(
                  Andel_oberoende_av_klimat*VLOOKUP($A15,Leveranser_per_nät,'Leveranser per nät'!F$1,FALSE)
               +Andel_beroende_av_klimat*VLOOKUP($A15,Leveranser_per_nät,'Leveranser per nät'!F$1,FALSE)/VLOOKUP($B15,Korrigeringsfaktor_GD,'Korrigeringsfaktor GD'!F$1,FALSE),
"")</f>
        <v>53.516666666666666</v>
      </c>
      <c r="G15" s="18">
        <f>IFERROR(
                  Andel_oberoende_av_klimat*VLOOKUP($A15,Leveranser_per_nät,'Leveranser per nät'!G$1,FALSE)
               +Andel_beroende_av_klimat*VLOOKUP($A15,Leveranser_per_nät,'Leveranser per nät'!G$1,FALSE)/VLOOKUP($B15,Korrigeringsfaktor_GD,'Korrigeringsfaktor GD'!G$1,FALSE),
"")</f>
        <v>55.229885057471265</v>
      </c>
      <c r="H15" s="18">
        <f>IFERROR(
                  Andel_oberoende_av_klimat*VLOOKUP($A15,Leveranser_per_nät,'Leveranser per nät'!H$1,FALSE)
               +Andel_beroende_av_klimat*VLOOKUP($A15,Leveranser_per_nät,'Leveranser per nät'!H$1,FALSE)/VLOOKUP($B15,Korrigeringsfaktor_GD,'Korrigeringsfaktor GD'!H$1,FALSE),
"")</f>
        <v>74.956862745098036</v>
      </c>
      <c r="I15" s="18">
        <f>IFERROR(
                  Andel_oberoende_av_klimat*VLOOKUP($A15,Leveranser_per_nät,'Leveranser per nät'!I$1,FALSE)
               +Andel_beroende_av_klimat*VLOOKUP($A15,Leveranser_per_nät,'Leveranser per nät'!I$1,FALSE)/VLOOKUP($B15,Korrigeringsfaktor_GD,'Korrigeringsfaktor GD'!I$1,FALSE),
"")</f>
        <v>82.420857142857145</v>
      </c>
      <c r="J15" s="18">
        <f>IFERROR(
                  Andel_oberoende_av_klimat*VLOOKUP($A15,Leveranser_per_nät,'Leveranser per nät'!J$1,FALSE)
               +Andel_beroende_av_klimat*VLOOKUP($A15,Leveranser_per_nät,'Leveranser per nät'!J$1,FALSE)/VLOOKUP($B15,Korrigeringsfaktor_GD,'Korrigeringsfaktor GD'!J$1,FALSE),
"")</f>
        <v>84.185714285714283</v>
      </c>
      <c r="K15" s="18">
        <f>IFERROR(
                  Andel_oberoende_av_klimat*VLOOKUP($A15,Leveranser_per_nät,'Leveranser per nät'!K$1,FALSE)
               +Andel_beroende_av_klimat*VLOOKUP($A15,Leveranser_per_nät,'Leveranser per nät'!K$1,FALSE)/VLOOKUP($B15,Korrigeringsfaktor_GD,'Korrigeringsfaktor GD'!K$1,FALSE),
"")</f>
        <v>84.391666666666666</v>
      </c>
      <c r="L15" s="18">
        <f>IFERROR(
                  Andel_oberoende_av_klimat*VLOOKUP($A15,Leveranser_per_nät,'Leveranser per nät'!L$1,FALSE)
               +Andel_beroende_av_klimat*VLOOKUP($A15,Leveranser_per_nät,'Leveranser per nät'!L$1,FALSE)/VLOOKUP($B15,Korrigeringsfaktor_GD,'Korrigeringsfaktor GD'!L$1,FALSE),
"")</f>
        <v>85.267741935483869</v>
      </c>
      <c r="M15" s="18">
        <f>IFERROR(
                  Andel_oberoende_av_klimat*VLOOKUP($A15,Leveranser_per_nät,'Leveranser per nät'!M$1,FALSE)
               +Andel_beroende_av_klimat*VLOOKUP($A15,Leveranser_per_nät,'Leveranser per nät'!M$1,FALSE)/VLOOKUP($B15,Korrigeringsfaktor_GD,'Korrigeringsfaktor GD'!M$1,FALSE),
"")</f>
        <v>93.211648936170207</v>
      </c>
      <c r="N15" s="18">
        <f>IFERROR(
                  Andel_oberoende_av_klimat*VLOOKUP($A15,Leveranser_per_nät,'Leveranser per nät'!N$1,FALSE)
               +Andel_beroende_av_klimat*VLOOKUP($A15,Leveranser_per_nät,'Leveranser per nät'!N$1,FALSE)/VLOOKUP($B15,Korrigeringsfaktor_GD,'Korrigeringsfaktor GD'!N$1,FALSE),
"")</f>
        <v>102.58446236559141</v>
      </c>
      <c r="O15" s="18">
        <f>IFERROR(
                  Andel_oberoende_av_klimat*VLOOKUP($A15,Leveranser_per_nät,'Leveranser per nät'!O$1,FALSE)
               +Andel_beroende_av_klimat*VLOOKUP($A15,Leveranser_per_nät,'Leveranser per nät'!O$1,FALSE)/VLOOKUP($B15,Korrigeringsfaktor_GD,'Korrigeringsfaktor GD'!O$1,FALSE),
"")</f>
        <v>105.02944444444447</v>
      </c>
      <c r="P15" s="18">
        <f>IFERROR(
                  Andel_oberoende_av_klimat*VLOOKUP($A15,Leveranser_per_nät,'Leveranser per nät'!P$1,FALSE)
               +Andel_beroende_av_klimat*VLOOKUP($A15,Leveranser_per_nät,'Leveranser per nät'!P$1,FALSE)/VLOOKUP($B15,Korrigeringsfaktor_GD,'Korrigeringsfaktor GD'!P$1,FALSE),
"")</f>
        <v>114.70535353535354</v>
      </c>
      <c r="Q15" s="18">
        <f>IFERROR(
                  Andel_oberoende_av_klimat*VLOOKUP($A15,Leveranser_per_nät,'Leveranser per nät'!Q$1,FALSE)
               +Andel_beroende_av_klimat*VLOOKUP($A15,Leveranser_per_nät,'Leveranser per nät'!Q$1,FALSE)/VLOOKUP($B15,Korrigeringsfaktor_GD,'Korrigeringsfaktor GD'!Q$1,FALSE),
"")</f>
        <v>123.0795867768595</v>
      </c>
      <c r="R15" s="18">
        <f>IFERROR(
                  Andel_oberoende_av_klimat*VLOOKUP($A15,Leveranser_per_nät,'Leveranser per nät'!R$1,FALSE)
               +Andel_beroende_av_klimat*VLOOKUP($A15,Leveranser_per_nät,'Leveranser per nät'!R$1,FALSE)/VLOOKUP($B15,Korrigeringsfaktor_GD,'Korrigeringsfaktor GD'!R$1,FALSE),
"")</f>
        <v>118.28695652173913</v>
      </c>
      <c r="S15" s="18">
        <f>IFERROR(
                  Andel_oberoende_av_klimat*VLOOKUP($A15,Leveranser_per_nät,'Leveranser per nät'!S$1,FALSE)
               +Andel_beroende_av_klimat*VLOOKUP($A15,Leveranser_per_nät,'Leveranser per nät'!S$1,FALSE)/VLOOKUP($B15,Korrigeringsfaktor_GD,'Korrigeringsfaktor GD'!S$1,FALSE),
"")</f>
        <v>117</v>
      </c>
      <c r="T15" s="18">
        <f>IFERROR(
                  Andel_oberoende_av_klimat*VLOOKUP($A15,Leveranser_per_nät,'Leveranser per nät'!T$1,FALSE)
               +Andel_beroende_av_klimat*VLOOKUP($A15,Leveranser_per_nät,'Leveranser per nät'!T$1,FALSE)/VLOOKUP($B15,Korrigeringsfaktor_GD,'Korrigeringsfaktor GD'!T$1,FALSE),
"")</f>
        <v>116.33857142857141</v>
      </c>
      <c r="U15" s="18">
        <f>IFERROR(
                  Andel_oberoende_av_klimat*VLOOKUP($A15,Leveranser_per_nät,'Leveranser per nät'!U$1,FALSE)
               +Andel_beroende_av_klimat*VLOOKUP($A15,Leveranser_per_nät,'Leveranser per nät'!U$1,FALSE)/VLOOKUP($B15,Korrigeringsfaktor_GD,'Korrigeringsfaktor GD'!U$1,FALSE),
"")</f>
        <v>111.90352941176468</v>
      </c>
      <c r="V15" s="18">
        <f>IFERROR(
                  Andel_oberoende_av_klimat*VLOOKUP($A15,Leveranser_per_nät,'Leveranser per nät'!V$1,FALSE)
               +Andel_beroende_av_klimat*VLOOKUP($A15,Leveranser_per_nät,'Leveranser per nät'!V$1,FALSE)/VLOOKUP($B15,Korrigeringsfaktor_GD,'Korrigeringsfaktor GD'!V$1,FALSE),
"")</f>
        <v>109.24471264367817</v>
      </c>
      <c r="W15" s="18">
        <f>IFERROR(
                  Andel_oberoende_av_klimat*VLOOKUP($A15,Leveranser_per_nät,'Leveranser per nät'!W$1,FALSE)
               +Andel_beroende_av_klimat*VLOOKUP($A15,Leveranser_per_nät,'Leveranser per nät'!W$1,FALSE)/VLOOKUP($B15,Korrigeringsfaktor_GD,'Korrigeringsfaktor GD'!W$1,FALSE),
"")</f>
        <v>113.24340425531915</v>
      </c>
      <c r="X15" s="18">
        <f>IFERROR(
                  Andel_oberoende_av_klimat*VLOOKUP($A15,Leveranser_per_nät,'Leveranser per nät'!X$1,FALSE)
               +Andel_beroende_av_klimat*VLOOKUP($A15,Leveranser_per_nät,'Leveranser per nät'!X$1,FALSE)/VLOOKUP($B15,Korrigeringsfaktor_GD,'Korrigeringsfaktor GD'!X$1,FALSE),
"")</f>
        <v>112.19872340425533</v>
      </c>
      <c r="Y15" s="18">
        <f>IFERROR(
                  Andel_oberoende_av_klimat*VLOOKUP($A15,Leveranser_per_nät,'Leveranser per nät'!Y$1,FALSE)
               +Andel_beroende_av_klimat*VLOOKUP($A15,Leveranser_per_nät,'Leveranser per nät'!Y$1,FALSE)/VLOOKUP($B15,Korrigeringsfaktor_GD,'Korrigeringsfaktor GD'!Y$1,FALSE),
"")</f>
        <v>114.00612903225806</v>
      </c>
      <c r="Z15" s="18">
        <f>IFERROR(
                  Andel_oberoende_av_klimat*VLOOKUP($A15,Leveranser_per_nät,'Leveranser per nät'!Z$1,FALSE)
               +Andel_beroende_av_klimat*VLOOKUP($A15,Leveranser_per_nät,'Leveranser per nät'!Z$1,FALSE)/VLOOKUP($B15,Korrigeringsfaktor_GD,'Korrigeringsfaktor GD'!Z$1,FALSE),
"")</f>
        <v>114.08692307692307</v>
      </c>
      <c r="AA15" s="18">
        <f>IFERROR(
                  Andel_oberoende_av_klimat*VLOOKUP($A15,Leveranser_per_nät,'Leveranser per nät'!AA$1,FALSE)
               +Andel_beroende_av_klimat*VLOOKUP($A15,Leveranser_per_nät,'Leveranser per nät'!AA$1,FALSE)/VLOOKUP($B15,Korrigeringsfaktor_GD,'Korrigeringsfaktor GD'!AA$1,FALSE),
"")</f>
        <v>101.81302099655279</v>
      </c>
      <c r="AB15" s="18">
        <f>IFERROR(
                  Andel_oberoende_av_klimat*VLOOKUP($A15,Leveranser_per_nät,'Leveranser per nät'!AB$1,FALSE)
               +Andel_beroende_av_klimat*VLOOKUP($A15,Leveranser_per_nät,'Leveranser per nät'!AB$1,FALSE)/VLOOKUP($B15,Korrigeringsfaktor_GD,'Korrigeringsfaktor GD'!AB$1,FALSE),
"")</f>
        <v>109.54478176527644</v>
      </c>
      <c r="AC15" s="18">
        <f>IFERROR(
                  Andel_oberoende_av_klimat*VLOOKUP($A15,Leveranser_per_nät,'Leveranser per nät'!AC$1,FALSE)
               +Andel_beroende_av_klimat*VLOOKUP($A15,Leveranser_per_nät,'Leveranser per nät'!AC$1,FALSE)/VLOOKUP($B15,Korrigeringsfaktor_GD,'Korrigeringsfaktor GD'!AC$1,FALSE),
"")</f>
        <v>106.62166666666667</v>
      </c>
      <c r="AD15">
        <v>103.6</v>
      </c>
    </row>
    <row r="16" spans="1:30" x14ac:dyDescent="0.25">
      <c r="A16" t="s">
        <v>334</v>
      </c>
      <c r="B16" t="s">
        <v>334</v>
      </c>
      <c r="C16" s="18">
        <f>IFERROR(
                  Andel_oberoende_av_klimat*VLOOKUP($A16,Leveranser_per_nät,'Leveranser per nät'!C$1,FALSE)
               +Andel_beroende_av_klimat*VLOOKUP($A16,Leveranser_per_nät,'Leveranser per nät'!C$1,FALSE)/VLOOKUP($B16,Korrigeringsfaktor_GD,'Korrigeringsfaktor GD'!C$1,FALSE),
"")</f>
        <v>20.47387387387387</v>
      </c>
      <c r="D16" s="18">
        <f>IFERROR(
                  Andel_oberoende_av_klimat*VLOOKUP($A16,Leveranser_per_nät,'Leveranser per nät'!D$1,FALSE)
               +Andel_beroende_av_klimat*VLOOKUP($A16,Leveranser_per_nät,'Leveranser per nät'!D$1,FALSE)/VLOOKUP($B16,Korrigeringsfaktor_GD,'Korrigeringsfaktor GD'!D$1,FALSE),
"")</f>
        <v>18.754142857142856</v>
      </c>
      <c r="E16" s="18">
        <f>IFERROR(
                  Andel_oberoende_av_klimat*VLOOKUP($A16,Leveranser_per_nät,'Leveranser per nät'!E$1,FALSE)
               +Andel_beroende_av_klimat*VLOOKUP($A16,Leveranser_per_nät,'Leveranser per nät'!E$1,FALSE)/VLOOKUP($B16,Korrigeringsfaktor_GD,'Korrigeringsfaktor GD'!E$1,FALSE),
"")</f>
        <v>18.612621359223301</v>
      </c>
      <c r="F16" s="18">
        <f>IFERROR(
                  Andel_oberoende_av_klimat*VLOOKUP($A16,Leveranser_per_nät,'Leveranser per nät'!F$1,FALSE)
               +Andel_beroende_av_klimat*VLOOKUP($A16,Leveranser_per_nät,'Leveranser per nät'!F$1,FALSE)/VLOOKUP($B16,Korrigeringsfaktor_GD,'Korrigeringsfaktor GD'!F$1,FALSE),
"")</f>
        <v>23.847368421052632</v>
      </c>
      <c r="G16" s="18">
        <f>IFERROR(
                  Andel_oberoende_av_klimat*VLOOKUP($A16,Leveranser_per_nät,'Leveranser per nät'!G$1,FALSE)
               +Andel_beroende_av_klimat*VLOOKUP($A16,Leveranser_per_nät,'Leveranser per nät'!G$1,FALSE)/VLOOKUP($B16,Korrigeringsfaktor_GD,'Korrigeringsfaktor GD'!G$1,FALSE),
"")</f>
        <v>17.673563218390804</v>
      </c>
      <c r="H16" s="18">
        <f>IFERROR(
                  Andel_oberoende_av_klimat*VLOOKUP($A16,Leveranser_per_nät,'Leveranser per nät'!H$1,FALSE)
               +Andel_beroende_av_klimat*VLOOKUP($A16,Leveranser_per_nät,'Leveranser per nät'!H$1,FALSE)/VLOOKUP($B16,Korrigeringsfaktor_GD,'Korrigeringsfaktor GD'!H$1,FALSE),
"")</f>
        <v>17.875247524752474</v>
      </c>
      <c r="I16" s="18">
        <f>IFERROR(
                  Andel_oberoende_av_klimat*VLOOKUP($A16,Leveranser_per_nät,'Leveranser per nät'!I$1,FALSE)
               +Andel_beroende_av_klimat*VLOOKUP($A16,Leveranser_per_nät,'Leveranser per nät'!I$1,FALSE)/VLOOKUP($B16,Korrigeringsfaktor_GD,'Korrigeringsfaktor GD'!I$1,FALSE),
"")</f>
        <v>18.524485416666664</v>
      </c>
      <c r="J16" s="18">
        <f>IFERROR(
                  Andel_oberoende_av_klimat*VLOOKUP($A16,Leveranser_per_nät,'Leveranser per nät'!J$1,FALSE)
               +Andel_beroende_av_klimat*VLOOKUP($A16,Leveranser_per_nät,'Leveranser per nät'!J$1,FALSE)/VLOOKUP($B16,Korrigeringsfaktor_GD,'Korrigeringsfaktor GD'!J$1,FALSE),
"")</f>
        <v>18.256128571428569</v>
      </c>
      <c r="K16" s="18">
        <f>IFERROR(
                  Andel_oberoende_av_klimat*VLOOKUP($A16,Leveranser_per_nät,'Leveranser per nät'!K$1,FALSE)
               +Andel_beroende_av_klimat*VLOOKUP($A16,Leveranser_per_nät,'Leveranser per nät'!K$1,FALSE)/VLOOKUP($B16,Korrigeringsfaktor_GD,'Korrigeringsfaktor GD'!K$1,FALSE),
"")</f>
        <v>16.567097642537561</v>
      </c>
      <c r="L16" s="18">
        <f>IFERROR(
                  Andel_oberoende_av_klimat*VLOOKUP($A16,Leveranser_per_nät,'Leveranser per nät'!L$1,FALSE)
               +Andel_beroende_av_klimat*VLOOKUP($A16,Leveranser_per_nät,'Leveranser per nät'!L$1,FALSE)/VLOOKUP($B16,Korrigeringsfaktor_GD,'Korrigeringsfaktor GD'!L$1,FALSE),
"")</f>
        <v>16.813461620439231</v>
      </c>
      <c r="M16" s="18">
        <f>IFERROR(
                  Andel_oberoende_av_klimat*VLOOKUP($A16,Leveranser_per_nät,'Leveranser per nät'!M$1,FALSE)
               +Andel_beroende_av_klimat*VLOOKUP($A16,Leveranser_per_nät,'Leveranser per nät'!M$1,FALSE)/VLOOKUP($B16,Korrigeringsfaktor_GD,'Korrigeringsfaktor GD'!M$1,FALSE),
"")</f>
        <v>21.308626086956519</v>
      </c>
      <c r="N16" s="18">
        <f>IFERROR(
                  Andel_oberoende_av_klimat*VLOOKUP($A16,Leveranser_per_nät,'Leveranser per nät'!N$1,FALSE)
               +Andel_beroende_av_klimat*VLOOKUP($A16,Leveranser_per_nät,'Leveranser per nät'!N$1,FALSE)/VLOOKUP($B16,Korrigeringsfaktor_GD,'Korrigeringsfaktor GD'!N$1,FALSE),
"")</f>
        <v>19.139230769230767</v>
      </c>
      <c r="O16" s="18">
        <f>IFERROR(
                  Andel_oberoende_av_klimat*VLOOKUP($A16,Leveranser_per_nät,'Leveranser per nät'!O$1,FALSE)
               +Andel_beroende_av_klimat*VLOOKUP($A16,Leveranser_per_nät,'Leveranser per nät'!O$1,FALSE)/VLOOKUP($B16,Korrigeringsfaktor_GD,'Korrigeringsfaktor GD'!O$1,FALSE),
"")</f>
        <v>18.968888888888891</v>
      </c>
      <c r="P16" s="18">
        <f>IFERROR(
                  Andel_oberoende_av_klimat*VLOOKUP($A16,Leveranser_per_nät,'Leveranser per nät'!P$1,FALSE)
               +Andel_beroende_av_klimat*VLOOKUP($A16,Leveranser_per_nät,'Leveranser per nät'!P$1,FALSE)/VLOOKUP($B16,Korrigeringsfaktor_GD,'Korrigeringsfaktor GD'!P$1,FALSE),
"")</f>
        <v>19.372857142857146</v>
      </c>
      <c r="Q16" s="18">
        <f>IFERROR(
                  Andel_oberoende_av_klimat*VLOOKUP($A16,Leveranser_per_nät,'Leveranser per nät'!Q$1,FALSE)
               +Andel_beroende_av_klimat*VLOOKUP($A16,Leveranser_per_nät,'Leveranser per nät'!Q$1,FALSE)/VLOOKUP($B16,Korrigeringsfaktor_GD,'Korrigeringsfaktor GD'!Q$1,FALSE),
"")</f>
        <v>20.247470085470084</v>
      </c>
      <c r="R16" s="18">
        <f>IFERROR(
                  Andel_oberoende_av_klimat*VLOOKUP($A16,Leveranser_per_nät,'Leveranser per nät'!R$1,FALSE)
               +Andel_beroende_av_klimat*VLOOKUP($A16,Leveranser_per_nät,'Leveranser per nät'!R$1,FALSE)/VLOOKUP($B16,Korrigeringsfaktor_GD,'Korrigeringsfaktor GD'!R$1,FALSE),
"")</f>
        <v>19.83111111111111</v>
      </c>
      <c r="S16" s="18">
        <f>IFERROR(
                  Andel_oberoende_av_klimat*VLOOKUP($A16,Leveranser_per_nät,'Leveranser per nät'!S$1,FALSE)
               +Andel_beroende_av_klimat*VLOOKUP($A16,Leveranser_per_nät,'Leveranser per nät'!S$1,FALSE)/VLOOKUP($B16,Korrigeringsfaktor_GD,'Korrigeringsfaktor GD'!S$1,FALSE),
"")</f>
        <v>19.2</v>
      </c>
      <c r="T16" s="18">
        <f>IFERROR(
                  Andel_oberoende_av_klimat*VLOOKUP($A16,Leveranser_per_nät,'Leveranser per nät'!T$1,FALSE)
               +Andel_beroende_av_klimat*VLOOKUP($A16,Leveranser_per_nät,'Leveranser per nät'!T$1,FALSE)/VLOOKUP($B16,Korrigeringsfaktor_GD,'Korrigeringsfaktor GD'!T$1,FALSE),
"")</f>
        <v>19.173375</v>
      </c>
      <c r="U16" s="18">
        <f>IFERROR(
                  Andel_oberoende_av_klimat*VLOOKUP($A16,Leveranser_per_nät,'Leveranser per nät'!U$1,FALSE)
               +Andel_beroende_av_klimat*VLOOKUP($A16,Leveranser_per_nät,'Leveranser per nät'!U$1,FALSE)/VLOOKUP($B16,Korrigeringsfaktor_GD,'Korrigeringsfaktor GD'!U$1,FALSE),
"")</f>
        <v>18.546045454545457</v>
      </c>
      <c r="V16" s="18">
        <f>IFERROR(
                  Andel_oberoende_av_klimat*VLOOKUP($A16,Leveranser_per_nät,'Leveranser per nät'!V$1,FALSE)
               +Andel_beroende_av_klimat*VLOOKUP($A16,Leveranser_per_nät,'Leveranser per nät'!V$1,FALSE)/VLOOKUP($B16,Korrigeringsfaktor_GD,'Korrigeringsfaktor GD'!V$1,FALSE),
"")</f>
        <v>18.645555555555553</v>
      </c>
      <c r="W16" s="18">
        <f>IFERROR(
                  Andel_oberoende_av_klimat*VLOOKUP($A16,Leveranser_per_nät,'Leveranser per nät'!W$1,FALSE)
               +Andel_beroende_av_klimat*VLOOKUP($A16,Leveranser_per_nät,'Leveranser per nät'!W$1,FALSE)/VLOOKUP($B16,Korrigeringsfaktor_GD,'Korrigeringsfaktor GD'!W$1,FALSE),
"")</f>
        <v>19.948842105263157</v>
      </c>
      <c r="X16" s="18">
        <f>IFERROR(
                  Andel_oberoende_av_klimat*VLOOKUP($A16,Leveranser_per_nät,'Leveranser per nät'!X$1,FALSE)
               +Andel_beroende_av_klimat*VLOOKUP($A16,Leveranser_per_nät,'Leveranser per nät'!X$1,FALSE)/VLOOKUP($B16,Korrigeringsfaktor_GD,'Korrigeringsfaktor GD'!X$1,FALSE),
"")</f>
        <v>19.477889247311829</v>
      </c>
      <c r="Y16" s="18">
        <f>IFERROR(
                  Andel_oberoende_av_klimat*VLOOKUP($A16,Leveranser_per_nät,'Leveranser per nät'!Y$1,FALSE)
               +Andel_beroende_av_klimat*VLOOKUP($A16,Leveranser_per_nät,'Leveranser per nät'!Y$1,FALSE)/VLOOKUP($B16,Korrigeringsfaktor_GD,'Korrigeringsfaktor GD'!Y$1,FALSE),
"")</f>
        <v>19.916860215053763</v>
      </c>
      <c r="Z16" s="18">
        <f>IFERROR(
                  Andel_oberoende_av_klimat*VLOOKUP($A16,Leveranser_per_nät,'Leveranser per nät'!Z$1,FALSE)
               +Andel_beroende_av_klimat*VLOOKUP($A16,Leveranser_per_nät,'Leveranser per nät'!Z$1,FALSE)/VLOOKUP($B16,Korrigeringsfaktor_GD,'Korrigeringsfaktor GD'!Z$1,FALSE),
"")</f>
        <v>19.649879166666668</v>
      </c>
      <c r="AA16" s="18">
        <f>IFERROR(
                  Andel_oberoende_av_klimat*VLOOKUP($A16,Leveranser_per_nät,'Leveranser per nät'!AA$1,FALSE)
               +Andel_beroende_av_klimat*VLOOKUP($A16,Leveranser_per_nät,'Leveranser per nät'!AA$1,FALSE)/VLOOKUP($B16,Korrigeringsfaktor_GD,'Korrigeringsfaktor GD'!AA$1,FALSE),
"")</f>
        <v>18.92813639846743</v>
      </c>
      <c r="AB16" s="18">
        <f>IFERROR(
                  Andel_oberoende_av_klimat*VLOOKUP($A16,Leveranser_per_nät,'Leveranser per nät'!AB$1,FALSE)
               +Andel_beroende_av_klimat*VLOOKUP($A16,Leveranser_per_nät,'Leveranser per nät'!AB$1,FALSE)/VLOOKUP($B16,Korrigeringsfaktor_GD,'Korrigeringsfaktor GD'!AB$1,FALSE),
"")</f>
        <v>19.13708888888889</v>
      </c>
      <c r="AC16" s="18">
        <f>IFERROR(
                  Andel_oberoende_av_klimat*VLOOKUP($A16,Leveranser_per_nät,'Leveranser per nät'!AC$1,FALSE)
               +Andel_beroende_av_klimat*VLOOKUP($A16,Leveranser_per_nät,'Leveranser per nät'!AC$1,FALSE)/VLOOKUP($B16,Korrigeringsfaktor_GD,'Korrigeringsfaktor GD'!AC$1,FALSE),
"")</f>
        <v>18.875160683760686</v>
      </c>
      <c r="AD16">
        <v>18.013000000000002</v>
      </c>
    </row>
    <row r="17" spans="1:30" x14ac:dyDescent="0.25">
      <c r="A17" t="s">
        <v>861</v>
      </c>
      <c r="B17" t="s">
        <v>203</v>
      </c>
      <c r="C17" s="18"/>
      <c r="D17" s="18"/>
      <c r="E17" s="18"/>
      <c r="F17" s="18"/>
      <c r="G17" s="18"/>
      <c r="H17" s="18"/>
      <c r="I17" s="18"/>
      <c r="J17" s="18"/>
      <c r="K17" s="18"/>
      <c r="L17" s="18"/>
      <c r="M17" s="18"/>
      <c r="N17" s="18"/>
      <c r="O17" s="18"/>
      <c r="P17" s="18"/>
      <c r="Q17" s="18"/>
      <c r="R17" s="18">
        <f>IFERROR(
                  Andel_oberoende_av_klimat*VLOOKUP($A17,Leveranser_per_nät,'Leveranser per nät'!R$1,FALSE)
               +Andel_beroende_av_klimat*VLOOKUP($A17,Leveranser_per_nät,'Leveranser per nät'!R$1,FALSE)/VLOOKUP($B17,Korrigeringsfaktor_GD,'Korrigeringsfaktor GD'!R$1,FALSE),
"")</f>
        <v>0</v>
      </c>
      <c r="S17" s="18">
        <f>IFERROR(
                  Andel_oberoende_av_klimat*VLOOKUP($A17,Leveranser_per_nät,'Leveranser per nät'!S$1,FALSE)
               +Andel_beroende_av_klimat*VLOOKUP($A17,Leveranser_per_nät,'Leveranser per nät'!S$1,FALSE)/VLOOKUP($B17,Korrigeringsfaktor_GD,'Korrigeringsfaktor GD'!S$1,FALSE),
"")</f>
        <v>0</v>
      </c>
      <c r="T17" s="18">
        <f>IFERROR(
                  Andel_oberoende_av_klimat*VLOOKUP($A17,Leveranser_per_nät,'Leveranser per nät'!T$1,FALSE)
               +Andel_beroende_av_klimat*VLOOKUP($A17,Leveranser_per_nät,'Leveranser per nät'!T$1,FALSE)/VLOOKUP($B17,Korrigeringsfaktor_GD,'Korrigeringsfaktor GD'!T$1,FALSE),
"")</f>
        <v>0</v>
      </c>
      <c r="U17" s="18">
        <f>IFERROR(
                  Andel_oberoende_av_klimat*VLOOKUP($A17,Leveranser_per_nät,'Leveranser per nät'!U$1,FALSE)
               +Andel_beroende_av_klimat*VLOOKUP($A17,Leveranser_per_nät,'Leveranser per nät'!U$1,FALSE)/VLOOKUP($B17,Korrigeringsfaktor_GD,'Korrigeringsfaktor GD'!U$1,FALSE),
"")</f>
        <v>0</v>
      </c>
      <c r="V17" s="18">
        <f>IFERROR(
                  Andel_oberoende_av_klimat*VLOOKUP($A17,Leveranser_per_nät,'Leveranser per nät'!V$1,FALSE)
               +Andel_beroende_av_klimat*VLOOKUP($A17,Leveranser_per_nät,'Leveranser per nät'!V$1,FALSE)/VLOOKUP($B17,Korrigeringsfaktor_GD,'Korrigeringsfaktor GD'!V$1,FALSE),
"")</f>
        <v>0</v>
      </c>
      <c r="W17" s="18">
        <f>IFERROR(
                  Andel_oberoende_av_klimat*VLOOKUP($A17,Leveranser_per_nät,'Leveranser per nät'!W$1,FALSE)
               +Andel_beroende_av_klimat*VLOOKUP($A17,Leveranser_per_nät,'Leveranser per nät'!W$1,FALSE)/VLOOKUP($B17,Korrigeringsfaktor_GD,'Korrigeringsfaktor GD'!W$1,FALSE),
"")</f>
        <v>0</v>
      </c>
      <c r="X17" s="18">
        <f>IFERROR(
                  Andel_oberoende_av_klimat*VLOOKUP($A17,Leveranser_per_nät,'Leveranser per nät'!X$1,FALSE)
               +Andel_beroende_av_klimat*VLOOKUP($A17,Leveranser_per_nät,'Leveranser per nät'!X$1,FALSE)/VLOOKUP($B17,Korrigeringsfaktor_GD,'Korrigeringsfaktor GD'!X$1,FALSE),
"")</f>
        <v>94.086416666666665</v>
      </c>
      <c r="Y17" s="18">
        <f>IFERROR(
                  Andel_oberoende_av_klimat*VLOOKUP($A17,Leveranser_per_nät,'Leveranser per nät'!Y$1,FALSE)
               +Andel_beroende_av_klimat*VLOOKUP($A17,Leveranser_per_nät,'Leveranser per nät'!Y$1,FALSE)/VLOOKUP($B17,Korrigeringsfaktor_GD,'Korrigeringsfaktor GD'!Y$1,FALSE),
"")</f>
        <v>97.22844680851064</v>
      </c>
      <c r="Z17" s="18">
        <f>IFERROR(
                  Andel_oberoende_av_klimat*VLOOKUP($A17,Leveranser_per_nät,'Leveranser per nät'!Z$1,FALSE)
               +Andel_beroende_av_klimat*VLOOKUP($A17,Leveranser_per_nät,'Leveranser per nät'!Z$1,FALSE)/VLOOKUP($B17,Korrigeringsfaktor_GD,'Korrigeringsfaktor GD'!Z$1,FALSE),
"")</f>
        <v>90.04</v>
      </c>
      <c r="AA17" s="18">
        <f>IFERROR(
                  Andel_oberoende_av_klimat*VLOOKUP($A17,Leveranser_per_nät,'Leveranser per nät'!AA$1,FALSE)
               +Andel_beroende_av_klimat*VLOOKUP($A17,Leveranser_per_nät,'Leveranser per nät'!AA$1,FALSE)/VLOOKUP($B17,Korrigeringsfaktor_GD,'Korrigeringsfaktor GD'!AA$1,FALSE),
"")</f>
        <v>92.223952800281779</v>
      </c>
      <c r="AB17" s="18">
        <f>IFERROR(
                  Andel_oberoende_av_klimat*VLOOKUP($A17,Leveranser_per_nät,'Leveranser per nät'!AB$1,FALSE)
               +Andel_beroende_av_klimat*VLOOKUP($A17,Leveranser_per_nät,'Leveranser per nät'!AB$1,FALSE)/VLOOKUP($B17,Korrigeringsfaktor_GD,'Korrigeringsfaktor GD'!AB$1,FALSE),
"")</f>
        <v>94.15273234200744</v>
      </c>
      <c r="AC17" s="18">
        <f>IFERROR(
                  Andel_oberoende_av_klimat*VLOOKUP($A17,Leveranser_per_nät,'Leveranser per nät'!AC$1,FALSE)
               +Andel_beroende_av_klimat*VLOOKUP($A17,Leveranser_per_nät,'Leveranser per nät'!AC$1,FALSE)/VLOOKUP($B17,Korrigeringsfaktor_GD,'Korrigeringsfaktor GD'!AC$1,FALSE),
"")</f>
        <v>87.564797979797973</v>
      </c>
      <c r="AD17" t="e">
        <v>#N/A</v>
      </c>
    </row>
    <row r="18" spans="1:30" x14ac:dyDescent="0.25">
      <c r="A18" s="4" t="s">
        <v>392</v>
      </c>
      <c r="B18" t="s">
        <v>203</v>
      </c>
      <c r="C18" s="18">
        <f>IFERROR(
                  Andel_oberoende_av_klimat*VLOOKUP($A18,Leveranser_per_nät,'Leveranser per nät'!C$1,FALSE)
               +Andel_beroende_av_klimat*VLOOKUP($A18,Leveranser_per_nät,'Leveranser per nät'!C$1,FALSE)/VLOOKUP($B18,Korrigeringsfaktor_GD,'Korrigeringsfaktor GD'!C$1,FALSE),
"")</f>
        <v>0</v>
      </c>
      <c r="D18" s="18">
        <f>IFERROR(
                  Andel_oberoende_av_klimat*VLOOKUP($A18,Leveranser_per_nät,'Leveranser per nät'!D$1,FALSE)
               +Andel_beroende_av_klimat*VLOOKUP($A18,Leveranser_per_nät,'Leveranser per nät'!D$1,FALSE)/VLOOKUP($B18,Korrigeringsfaktor_GD,'Korrigeringsfaktor GD'!D$1,FALSE),
"")</f>
        <v>0</v>
      </c>
      <c r="E18" s="18">
        <f>IFERROR(
                  Andel_oberoende_av_klimat*VLOOKUP($A18,Leveranser_per_nät,'Leveranser per nät'!E$1,FALSE)
               +Andel_beroende_av_klimat*VLOOKUP($A18,Leveranser_per_nät,'Leveranser per nät'!E$1,FALSE)/VLOOKUP($B18,Korrigeringsfaktor_GD,'Korrigeringsfaktor GD'!E$1,FALSE),
"")</f>
        <v>0</v>
      </c>
      <c r="F18" s="18">
        <f>IFERROR(
                  Andel_oberoende_av_klimat*VLOOKUP($A18,Leveranser_per_nät,'Leveranser per nät'!F$1,FALSE)
               +Andel_beroende_av_klimat*VLOOKUP($A18,Leveranser_per_nät,'Leveranser per nät'!F$1,FALSE)/VLOOKUP($B18,Korrigeringsfaktor_GD,'Korrigeringsfaktor GD'!F$1,FALSE),
"")</f>
        <v>0</v>
      </c>
      <c r="G18" s="18">
        <f>IFERROR(
                  Andel_oberoende_av_klimat*VLOOKUP($A18,Leveranser_per_nät,'Leveranser per nät'!G$1,FALSE)
               +Andel_beroende_av_klimat*VLOOKUP($A18,Leveranser_per_nät,'Leveranser per nät'!G$1,FALSE)/VLOOKUP($B18,Korrigeringsfaktor_GD,'Korrigeringsfaktor GD'!G$1,FALSE),
"")</f>
        <v>0</v>
      </c>
      <c r="H18" s="18">
        <f>IFERROR(
                  Andel_oberoende_av_klimat*VLOOKUP($A18,Leveranser_per_nät,'Leveranser per nät'!H$1,FALSE)
               +Andel_beroende_av_klimat*VLOOKUP($A18,Leveranser_per_nät,'Leveranser per nät'!H$1,FALSE)/VLOOKUP($B18,Korrigeringsfaktor_GD,'Korrigeringsfaktor GD'!H$1,FALSE),
"")</f>
        <v>0</v>
      </c>
      <c r="I18" s="18">
        <f>IFERROR(
                  Andel_oberoende_av_klimat*VLOOKUP($A18,Leveranser_per_nät,'Leveranser per nät'!I$1,FALSE)
               +Andel_beroende_av_klimat*VLOOKUP($A18,Leveranser_per_nät,'Leveranser per nät'!I$1,FALSE)/VLOOKUP($B18,Korrigeringsfaktor_GD,'Korrigeringsfaktor GD'!I$1,FALSE),
"")</f>
        <v>0</v>
      </c>
      <c r="J18" s="18">
        <f>IFERROR(
                  Andel_oberoende_av_klimat*VLOOKUP($A18,Leveranser_per_nät,'Leveranser per nät'!J$1,FALSE)
               +Andel_beroende_av_klimat*VLOOKUP($A18,Leveranser_per_nät,'Leveranser per nät'!J$1,FALSE)/VLOOKUP($B18,Korrigeringsfaktor_GD,'Korrigeringsfaktor GD'!J$1,FALSE),
"")</f>
        <v>0</v>
      </c>
      <c r="K18" s="18">
        <f>IFERROR(
                  Andel_oberoende_av_klimat*VLOOKUP($A18,Leveranser_per_nät,'Leveranser per nät'!K$1,FALSE)
               +Andel_beroende_av_klimat*VLOOKUP($A18,Leveranser_per_nät,'Leveranser per nät'!K$1,FALSE)/VLOOKUP($B18,Korrigeringsfaktor_GD,'Korrigeringsfaktor GD'!K$1,FALSE),
"")</f>
        <v>0</v>
      </c>
      <c r="L18" s="18">
        <f>IFERROR(
                  Andel_oberoende_av_klimat*VLOOKUP($A18,Leveranser_per_nät,'Leveranser per nät'!L$1,FALSE)
               +Andel_beroende_av_klimat*VLOOKUP($A18,Leveranser_per_nät,'Leveranser per nät'!L$1,FALSE)/VLOOKUP($B18,Korrigeringsfaktor_GD,'Korrigeringsfaktor GD'!L$1,FALSE),
"")</f>
        <v>0</v>
      </c>
      <c r="M18" s="18">
        <f>IFERROR(
                  Andel_oberoende_av_klimat*VLOOKUP($A18,Leveranser_per_nät,'Leveranser per nät'!M$1,FALSE)
               +Andel_beroende_av_klimat*VLOOKUP($A18,Leveranser_per_nät,'Leveranser per nät'!M$1,FALSE)/VLOOKUP($B18,Korrigeringsfaktor_GD,'Korrigeringsfaktor GD'!M$1,FALSE),
"")</f>
        <v>0</v>
      </c>
      <c r="N18" s="18">
        <f>IFERROR(
                  Andel_oberoende_av_klimat*VLOOKUP($A18,Leveranser_per_nät,'Leveranser per nät'!N$1,FALSE)
               +Andel_beroende_av_klimat*VLOOKUP($A18,Leveranser_per_nät,'Leveranser per nät'!N$1,FALSE)/VLOOKUP($B18,Korrigeringsfaktor_GD,'Korrigeringsfaktor GD'!N$1,FALSE),
"")</f>
        <v>86.921348314606746</v>
      </c>
      <c r="O18" s="18">
        <f>IFERROR(
                  Andel_oberoende_av_klimat*VLOOKUP($A18,Leveranser_per_nät,'Leveranser per nät'!O$1,FALSE)
               +Andel_beroende_av_klimat*VLOOKUP($A18,Leveranser_per_nät,'Leveranser per nät'!O$1,FALSE)/VLOOKUP($B18,Korrigeringsfaktor_GD,'Korrigeringsfaktor GD'!O$1,FALSE),
"")</f>
        <v>86.486741573033697</v>
      </c>
      <c r="P18" s="18">
        <f>IFERROR(
                  Andel_oberoende_av_klimat*VLOOKUP($A18,Leveranser_per_nät,'Leveranser per nät'!P$1,FALSE)
               +Andel_beroende_av_klimat*VLOOKUP($A18,Leveranser_per_nät,'Leveranser per nät'!P$1,FALSE)/VLOOKUP($B18,Korrigeringsfaktor_GD,'Korrigeringsfaktor GD'!P$1,FALSE),
"")</f>
        <v>82.056487500000003</v>
      </c>
      <c r="Q18" s="18">
        <f>IFERROR(
                  Andel_oberoende_av_klimat*VLOOKUP($A18,Leveranser_per_nät,'Leveranser per nät'!Q$1,FALSE)
               +Andel_beroende_av_klimat*VLOOKUP($A18,Leveranser_per_nät,'Leveranser per nät'!Q$1,FALSE)/VLOOKUP($B18,Korrigeringsfaktor_GD,'Korrigeringsfaktor GD'!Q$1,FALSE),
"")</f>
        <v>91.837637606837632</v>
      </c>
      <c r="R18" s="18">
        <f>IFERROR(
                  Andel_oberoende_av_klimat*VLOOKUP($A18,Leveranser_per_nät,'Leveranser per nät'!R$1,FALSE)
               +Andel_beroende_av_klimat*VLOOKUP($A18,Leveranser_per_nät,'Leveranser per nät'!R$1,FALSE)/VLOOKUP($B18,Korrigeringsfaktor_GD,'Korrigeringsfaktor GD'!R$1,FALSE),
"")</f>
        <v>88.425384615384615</v>
      </c>
      <c r="S18" s="18">
        <f>IFERROR(
                  Andel_oberoende_av_klimat*VLOOKUP($A18,Leveranser_per_nät,'Leveranser per nät'!S$1,FALSE)
               +Andel_beroende_av_klimat*VLOOKUP($A18,Leveranser_per_nät,'Leveranser per nät'!S$1,FALSE)/VLOOKUP($B18,Korrigeringsfaktor_GD,'Korrigeringsfaktor GD'!S$1,FALSE),
"")</f>
        <v>88.165048543689309</v>
      </c>
      <c r="T18" s="18">
        <f>IFERROR(
                  Andel_oberoende_av_klimat*VLOOKUP($A18,Leveranser_per_nät,'Leveranser per nät'!T$1,FALSE)
               +Andel_beroende_av_klimat*VLOOKUP($A18,Leveranser_per_nät,'Leveranser per nät'!T$1,FALSE)/VLOOKUP($B18,Korrigeringsfaktor_GD,'Korrigeringsfaktor GD'!T$1,FALSE),
"")</f>
        <v>88.62222222222222</v>
      </c>
      <c r="U18" s="18">
        <f>IFERROR(
                  Andel_oberoende_av_klimat*VLOOKUP($A18,Leveranser_per_nät,'Leveranser per nät'!U$1,FALSE)
               +Andel_beroende_av_klimat*VLOOKUP($A18,Leveranser_per_nät,'Leveranser per nät'!U$1,FALSE)/VLOOKUP($B18,Korrigeringsfaktor_GD,'Korrigeringsfaktor GD'!U$1,FALSE),
"")</f>
        <v>78.42235294117647</v>
      </c>
      <c r="V18" s="18">
        <f>IFERROR(
                  Andel_oberoende_av_klimat*VLOOKUP($A18,Leveranser_per_nät,'Leveranser per nät'!V$1,FALSE)
               +Andel_beroende_av_klimat*VLOOKUP($A18,Leveranser_per_nät,'Leveranser per nät'!V$1,FALSE)/VLOOKUP($B18,Korrigeringsfaktor_GD,'Korrigeringsfaktor GD'!V$1,FALSE),
"")</f>
        <v>88.532307692307683</v>
      </c>
      <c r="W18" s="18">
        <f>IFERROR(
                  Andel_oberoende_av_klimat*VLOOKUP($A18,Leveranser_per_nät,'Leveranser per nät'!W$1,FALSE)
               +Andel_beroende_av_klimat*VLOOKUP($A18,Leveranser_per_nät,'Leveranser per nät'!W$1,FALSE)/VLOOKUP($B18,Korrigeringsfaktor_GD,'Korrigeringsfaktor GD'!W$1,FALSE),
"")</f>
        <v>86.62</v>
      </c>
      <c r="X18" s="18" t="str">
        <f>IFERROR(
                  Andel_oberoende_av_klimat*VLOOKUP($A18,Leveranser_per_nät,'Leveranser per nät'!X$1,FALSE)
               +Andel_beroende_av_klimat*VLOOKUP($A18,Leveranser_per_nät,'Leveranser per nät'!X$1,FALSE)/VLOOKUP($B18,Korrigeringsfaktor_GD,'Korrigeringsfaktor GD'!X$1,FALSE),
"")</f>
        <v/>
      </c>
      <c r="Y18" s="18" t="str">
        <f>IFERROR(
                  Andel_oberoende_av_klimat*VLOOKUP($A18,Leveranser_per_nät,'Leveranser per nät'!Y$1,FALSE)
               +Andel_beroende_av_klimat*VLOOKUP($A18,Leveranser_per_nät,'Leveranser per nät'!Y$1,FALSE)/VLOOKUP($B18,Korrigeringsfaktor_GD,'Korrigeringsfaktor GD'!Y$1,FALSE),
"")</f>
        <v/>
      </c>
      <c r="Z18" s="18">
        <f>IFERROR(
                  Andel_oberoende_av_klimat*VLOOKUP($A18,Leveranser_per_nät,'Leveranser per nät'!Z$1,FALSE)
               +Andel_beroende_av_klimat*VLOOKUP($A18,Leveranser_per_nät,'Leveranser per nät'!Z$1,FALSE)/VLOOKUP($B18,Korrigeringsfaktor_GD,'Korrigeringsfaktor GD'!Z$1,FALSE),
"")</f>
        <v>0</v>
      </c>
      <c r="AA18" s="18" t="str">
        <f>IFERROR(
                  Andel_oberoende_av_klimat*VLOOKUP($A18,Leveranser_per_nät,'Leveranser per nät'!AA$1,FALSE)
               +Andel_beroende_av_klimat*VLOOKUP($A18,Leveranser_per_nät,'Leveranser per nät'!AA$1,FALSE)/VLOOKUP($B18,Korrigeringsfaktor_GD,'Korrigeringsfaktor GD'!AA$1,FALSE),
"")</f>
        <v/>
      </c>
      <c r="AB18" s="18">
        <f>IFERROR(
                  Andel_oberoende_av_klimat*VLOOKUP($A18,Leveranser_per_nät,'Leveranser per nät'!AB$1,FALSE)
               +Andel_beroende_av_klimat*VLOOKUP($A18,Leveranser_per_nät,'Leveranser per nät'!AB$1,FALSE)/VLOOKUP($B18,Korrigeringsfaktor_GD,'Korrigeringsfaktor GD'!AB$1,FALSE),
"")</f>
        <v>0</v>
      </c>
      <c r="AC18" s="18">
        <f>IFERROR(
                  Andel_oberoende_av_klimat*VLOOKUP($A18,Leveranser_per_nät,'Leveranser per nät'!AC$1,FALSE)
               +Andel_beroende_av_klimat*VLOOKUP($A18,Leveranser_per_nät,'Leveranser per nät'!AC$1,FALSE)/VLOOKUP($B18,Korrigeringsfaktor_GD,'Korrigeringsfaktor GD'!AC$1,FALSE),
"")</f>
        <v>0</v>
      </c>
      <c r="AD18" t="e">
        <v>#N/A</v>
      </c>
    </row>
    <row r="19" spans="1:30" x14ac:dyDescent="0.25">
      <c r="A19" t="s">
        <v>118</v>
      </c>
      <c r="B19" t="s">
        <v>118</v>
      </c>
      <c r="C19" s="18">
        <f>IFERROR(
                  Andel_oberoende_av_klimat*VLOOKUP($A19,Leveranser_per_nät,'Leveranser per nät'!C$1,FALSE)
               +Andel_beroende_av_klimat*VLOOKUP($A19,Leveranser_per_nät,'Leveranser per nät'!C$1,FALSE)/VLOOKUP($B19,Korrigeringsfaktor_GD,'Korrigeringsfaktor GD'!C$1,FALSE),
"")</f>
        <v>146.04128440366972</v>
      </c>
      <c r="D19" s="18">
        <f>IFERROR(
                  Andel_oberoende_av_klimat*VLOOKUP($A19,Leveranser_per_nät,'Leveranser per nät'!D$1,FALSE)
               +Andel_beroende_av_klimat*VLOOKUP($A19,Leveranser_per_nät,'Leveranser per nät'!D$1,FALSE)/VLOOKUP($B19,Korrigeringsfaktor_GD,'Korrigeringsfaktor GD'!D$1,FALSE),
"")</f>
        <v>157.32870833333334</v>
      </c>
      <c r="E19" s="18">
        <f>IFERROR(
                  Andel_oberoende_av_klimat*VLOOKUP($A19,Leveranser_per_nät,'Leveranser per nät'!E$1,FALSE)
               +Andel_beroende_av_klimat*VLOOKUP($A19,Leveranser_per_nät,'Leveranser per nät'!E$1,FALSE)/VLOOKUP($B19,Korrigeringsfaktor_GD,'Korrigeringsfaktor GD'!E$1,FALSE),
"")</f>
        <v>169.81485148514849</v>
      </c>
      <c r="F19" s="18">
        <f>IFERROR(
                  Andel_oberoende_av_klimat*VLOOKUP($A19,Leveranser_per_nät,'Leveranser per nät'!F$1,FALSE)
               +Andel_beroende_av_klimat*VLOOKUP($A19,Leveranser_per_nät,'Leveranser per nät'!F$1,FALSE)/VLOOKUP($B19,Korrigeringsfaktor_GD,'Korrigeringsfaktor GD'!F$1,FALSE),
"")</f>
        <v>179.01016250000001</v>
      </c>
      <c r="G19" s="18">
        <f>IFERROR(
                  Andel_oberoende_av_klimat*VLOOKUP($A19,Leveranser_per_nät,'Leveranser per nät'!G$1,FALSE)
               +Andel_beroende_av_klimat*VLOOKUP($A19,Leveranser_per_nät,'Leveranser per nät'!G$1,FALSE)/VLOOKUP($B19,Korrigeringsfaktor_GD,'Korrigeringsfaktor GD'!G$1,FALSE),
"")</f>
        <v>178.68745632183908</v>
      </c>
      <c r="H19" s="18">
        <f>IFERROR(
                  Andel_oberoende_av_klimat*VLOOKUP($A19,Leveranser_per_nät,'Leveranser per nät'!H$1,FALSE)
               +Andel_beroende_av_klimat*VLOOKUP($A19,Leveranser_per_nät,'Leveranser per nät'!H$1,FALSE)/VLOOKUP($B19,Korrigeringsfaktor_GD,'Korrigeringsfaktor GD'!H$1,FALSE),
"")</f>
        <v>186</v>
      </c>
      <c r="I19" s="18">
        <f>IFERROR(
                  Andel_oberoende_av_klimat*VLOOKUP($A19,Leveranser_per_nät,'Leveranser per nät'!I$1,FALSE)
               +Andel_beroende_av_klimat*VLOOKUP($A19,Leveranser_per_nät,'Leveranser per nät'!I$1,FALSE)/VLOOKUP($B19,Korrigeringsfaktor_GD,'Korrigeringsfaktor GD'!I$1,FALSE),
"")</f>
        <v>230.24285714285713</v>
      </c>
      <c r="J19" s="18">
        <f>IFERROR(
                  Andel_oberoende_av_klimat*VLOOKUP($A19,Leveranser_per_nät,'Leveranser per nät'!J$1,FALSE)
               +Andel_beroende_av_klimat*VLOOKUP($A19,Leveranser_per_nät,'Leveranser per nät'!J$1,FALSE)/VLOOKUP($B19,Korrigeringsfaktor_GD,'Korrigeringsfaktor GD'!J$1,FALSE),
"")</f>
        <v>199.22164948453607</v>
      </c>
      <c r="K19" s="18">
        <f>IFERROR(
                  Andel_oberoende_av_klimat*VLOOKUP($A19,Leveranser_per_nät,'Leveranser per nät'!K$1,FALSE)
               +Andel_beroende_av_klimat*VLOOKUP($A19,Leveranser_per_nät,'Leveranser per nät'!K$1,FALSE)/VLOOKUP($B19,Korrigeringsfaktor_GD,'Korrigeringsfaktor GD'!K$1,FALSE),
"")</f>
        <v>0</v>
      </c>
      <c r="L19" s="18">
        <f>IFERROR(
                  Andel_oberoende_av_klimat*VLOOKUP($A19,Leveranser_per_nät,'Leveranser per nät'!L$1,FALSE)
               +Andel_beroende_av_klimat*VLOOKUP($A19,Leveranser_per_nät,'Leveranser per nät'!L$1,FALSE)/VLOOKUP($B19,Korrigeringsfaktor_GD,'Korrigeringsfaktor GD'!L$1,FALSE),
"")</f>
        <v>0</v>
      </c>
      <c r="M19" s="18">
        <f>IFERROR(
                  Andel_oberoende_av_klimat*VLOOKUP($A19,Leveranser_per_nät,'Leveranser per nät'!M$1,FALSE)
               +Andel_beroende_av_klimat*VLOOKUP($A19,Leveranser_per_nät,'Leveranser per nät'!M$1,FALSE)/VLOOKUP($B19,Korrigeringsfaktor_GD,'Korrigeringsfaktor GD'!M$1,FALSE),
"")</f>
        <v>0</v>
      </c>
      <c r="N19" s="18">
        <f>IFERROR(
                  Andel_oberoende_av_klimat*VLOOKUP($A19,Leveranser_per_nät,'Leveranser per nät'!N$1,FALSE)
               +Andel_beroende_av_klimat*VLOOKUP($A19,Leveranser_per_nät,'Leveranser per nät'!N$1,FALSE)/VLOOKUP($B19,Korrigeringsfaktor_GD,'Korrigeringsfaktor GD'!N$1,FALSE),
"")</f>
        <v>0</v>
      </c>
      <c r="O19" s="18">
        <f>IFERROR(
                  Andel_oberoende_av_klimat*VLOOKUP($A19,Leveranser_per_nät,'Leveranser per nät'!O$1,FALSE)
               +Andel_beroende_av_klimat*VLOOKUP($A19,Leveranser_per_nät,'Leveranser per nät'!O$1,FALSE)/VLOOKUP($B19,Korrigeringsfaktor_GD,'Korrigeringsfaktor GD'!O$1,FALSE),
"")</f>
        <v>0</v>
      </c>
      <c r="P19" s="18">
        <f>IFERROR(
                  Andel_oberoende_av_klimat*VLOOKUP($A19,Leveranser_per_nät,'Leveranser per nät'!P$1,FALSE)
               +Andel_beroende_av_klimat*VLOOKUP($A19,Leveranser_per_nät,'Leveranser per nät'!P$1,FALSE)/VLOOKUP($B19,Korrigeringsfaktor_GD,'Korrigeringsfaktor GD'!P$1,FALSE),
"")</f>
        <v>204.23393939393941</v>
      </c>
      <c r="Q19" s="18">
        <f>IFERROR(
                  Andel_oberoende_av_klimat*VLOOKUP($A19,Leveranser_per_nät,'Leveranser per nät'!Q$1,FALSE)
               +Andel_beroende_av_klimat*VLOOKUP($A19,Leveranser_per_nät,'Leveranser per nät'!Q$1,FALSE)/VLOOKUP($B19,Korrigeringsfaktor_GD,'Korrigeringsfaktor GD'!Q$1,FALSE),
"")</f>
        <v>198.75862068965517</v>
      </c>
      <c r="R19" s="18">
        <f>IFERROR(
                  Andel_oberoende_av_klimat*VLOOKUP($A19,Leveranser_per_nät,'Leveranser per nät'!R$1,FALSE)
               +Andel_beroende_av_klimat*VLOOKUP($A19,Leveranser_per_nät,'Leveranser per nät'!R$1,FALSE)/VLOOKUP($B19,Korrigeringsfaktor_GD,'Korrigeringsfaktor GD'!R$1,FALSE),
"")</f>
        <v>210.63846153846151</v>
      </c>
      <c r="S19" s="18">
        <f>IFERROR(
                  Andel_oberoende_av_klimat*VLOOKUP($A19,Leveranser_per_nät,'Leveranser per nät'!S$1,FALSE)
               +Andel_beroende_av_klimat*VLOOKUP($A19,Leveranser_per_nät,'Leveranser per nät'!S$1,FALSE)/VLOOKUP($B19,Korrigeringsfaktor_GD,'Korrigeringsfaktor GD'!S$1,FALSE),
"")</f>
        <v>221</v>
      </c>
      <c r="T19" s="18">
        <f>IFERROR(
                  Andel_oberoende_av_klimat*VLOOKUP($A19,Leveranser_per_nät,'Leveranser per nät'!T$1,FALSE)
               +Andel_beroende_av_klimat*VLOOKUP($A19,Leveranser_per_nät,'Leveranser per nät'!T$1,FALSE)/VLOOKUP($B19,Korrigeringsfaktor_GD,'Korrigeringsfaktor GD'!T$1,FALSE),
"")</f>
        <v>227.7340736842105</v>
      </c>
      <c r="U19" s="18">
        <f>IFERROR(
                  Andel_oberoende_av_klimat*VLOOKUP($A19,Leveranser_per_nät,'Leveranser per nät'!U$1,FALSE)
               +Andel_beroende_av_klimat*VLOOKUP($A19,Leveranser_per_nät,'Leveranser per nät'!U$1,FALSE)/VLOOKUP($B19,Korrigeringsfaktor_GD,'Korrigeringsfaktor GD'!U$1,FALSE),
"")</f>
        <v>221.17939999999999</v>
      </c>
      <c r="V19" s="18">
        <f>IFERROR(
                  Andel_oberoende_av_klimat*VLOOKUP($A19,Leveranser_per_nät,'Leveranser per nät'!V$1,FALSE)
               +Andel_beroende_av_klimat*VLOOKUP($A19,Leveranser_per_nät,'Leveranser per nät'!V$1,FALSE)/VLOOKUP($B19,Korrigeringsfaktor_GD,'Korrigeringsfaktor GD'!V$1,FALSE),
"")</f>
        <v>224.21127692307692</v>
      </c>
      <c r="W19" s="18">
        <f>IFERROR(
                  Andel_oberoende_av_klimat*VLOOKUP($A19,Leveranser_per_nät,'Leveranser per nät'!W$1,FALSE)
               +Andel_beroende_av_klimat*VLOOKUP($A19,Leveranser_per_nät,'Leveranser per nät'!W$1,FALSE)/VLOOKUP($B19,Korrigeringsfaktor_GD,'Korrigeringsfaktor GD'!W$1,FALSE),
"")</f>
        <v>230.7720210526316</v>
      </c>
      <c r="X19" s="18">
        <f>IFERROR(
                  Andel_oberoende_av_klimat*VLOOKUP($A19,Leveranser_per_nät,'Leveranser per nät'!X$1,FALSE)
               +Andel_beroende_av_klimat*VLOOKUP($A19,Leveranser_per_nät,'Leveranser per nät'!X$1,FALSE)/VLOOKUP($B19,Korrigeringsfaktor_GD,'Korrigeringsfaktor GD'!X$1,FALSE),
"")</f>
        <v>221.10410833333333</v>
      </c>
      <c r="Y19" s="18">
        <f>IFERROR(
                  Andel_oberoende_av_klimat*VLOOKUP($A19,Leveranser_per_nät,'Leveranser per nät'!Y$1,FALSE)
               +Andel_beroende_av_klimat*VLOOKUP($A19,Leveranser_per_nät,'Leveranser per nät'!Y$1,FALSE)/VLOOKUP($B19,Korrigeringsfaktor_GD,'Korrigeringsfaktor GD'!Y$1,FALSE),
"")</f>
        <v>210.79000000000002</v>
      </c>
      <c r="Z19" s="18">
        <f>IFERROR(
                  Andel_oberoende_av_klimat*VLOOKUP($A19,Leveranser_per_nät,'Leveranser per nät'!Z$1,FALSE)
               +Andel_beroende_av_klimat*VLOOKUP($A19,Leveranser_per_nät,'Leveranser per nät'!Z$1,FALSE)/VLOOKUP($B19,Korrigeringsfaktor_GD,'Korrigeringsfaktor GD'!Z$1,FALSE),
"")</f>
        <v>137.57833333333335</v>
      </c>
      <c r="AA19" s="18">
        <f>IFERROR(
                  Andel_oberoende_av_klimat*VLOOKUP($A19,Leveranser_per_nät,'Leveranser per nät'!AA$1,FALSE)
               +Andel_beroende_av_klimat*VLOOKUP($A19,Leveranser_per_nät,'Leveranser per nät'!AA$1,FALSE)/VLOOKUP($B19,Korrigeringsfaktor_GD,'Korrigeringsfaktor GD'!AA$1,FALSE),
"")</f>
        <v>125.82102990682296</v>
      </c>
      <c r="AB19" s="18">
        <f>IFERROR(
                  Andel_oberoende_av_klimat*VLOOKUP($A19,Leveranser_per_nät,'Leveranser per nät'!AB$1,FALSE)
               +Andel_beroende_av_klimat*VLOOKUP($A19,Leveranser_per_nät,'Leveranser per nät'!AB$1,FALSE)/VLOOKUP($B19,Korrigeringsfaktor_GD,'Korrigeringsfaktor GD'!AB$1,FALSE),
"")</f>
        <v>124.59266201550386</v>
      </c>
      <c r="AC19" s="18">
        <f>IFERROR(
                  Andel_oberoende_av_klimat*VLOOKUP($A19,Leveranser_per_nät,'Leveranser per nät'!AC$1,FALSE)
               +Andel_beroende_av_klimat*VLOOKUP($A19,Leveranser_per_nät,'Leveranser per nät'!AC$1,FALSE)/VLOOKUP($B19,Korrigeringsfaktor_GD,'Korrigeringsfaktor GD'!AC$1,FALSE),
"")</f>
        <v>117.63146727828747</v>
      </c>
      <c r="AD19">
        <v>116.05800000000001</v>
      </c>
    </row>
    <row r="20" spans="1:30" x14ac:dyDescent="0.25">
      <c r="A20" t="s">
        <v>158</v>
      </c>
      <c r="B20" t="s">
        <v>160</v>
      </c>
      <c r="C20" s="18">
        <f>IFERROR(
                  Andel_oberoende_av_klimat*VLOOKUP($A20,Leveranser_per_nät,'Leveranser per nät'!C$1,FALSE)
               +Andel_beroende_av_klimat*VLOOKUP($A20,Leveranser_per_nät,'Leveranser per nät'!C$1,FALSE)/VLOOKUP($B20,Korrigeringsfaktor_GD,'Korrigeringsfaktor GD'!C$1,FALSE),
"")</f>
        <v>12.098198198198197</v>
      </c>
      <c r="D20" s="18">
        <f>IFERROR(
                  Andel_oberoende_av_klimat*VLOOKUP($A20,Leveranser_per_nät,'Leveranser per nät'!D$1,FALSE)
               +Andel_beroende_av_klimat*VLOOKUP($A20,Leveranser_per_nät,'Leveranser per nät'!D$1,FALSE)/VLOOKUP($B20,Korrigeringsfaktor_GD,'Korrigeringsfaktor GD'!D$1,FALSE),
"")</f>
        <v>11.248979797979798</v>
      </c>
      <c r="E20" s="18">
        <f>IFERROR(
                  Andel_oberoende_av_klimat*VLOOKUP($A20,Leveranser_per_nät,'Leveranser per nät'!E$1,FALSE)
               +Andel_beroende_av_klimat*VLOOKUP($A20,Leveranser_per_nät,'Leveranser per nät'!E$1,FALSE)/VLOOKUP($B20,Korrigeringsfaktor_GD,'Korrigeringsfaktor GD'!E$1,FALSE),
"")</f>
        <v>11.916831683168315</v>
      </c>
      <c r="F20" s="18">
        <f>IFERROR(
                  Andel_oberoende_av_klimat*VLOOKUP($A20,Leveranser_per_nät,'Leveranser per nät'!F$1,FALSE)
               +Andel_beroende_av_klimat*VLOOKUP($A20,Leveranser_per_nät,'Leveranser per nät'!F$1,FALSE)/VLOOKUP($B20,Korrigeringsfaktor_GD,'Korrigeringsfaktor GD'!F$1,FALSE),
"")</f>
        <v>11.491489361702127</v>
      </c>
      <c r="G20" s="18">
        <f>IFERROR(
                  Andel_oberoende_av_klimat*VLOOKUP($A20,Leveranser_per_nät,'Leveranser per nät'!G$1,FALSE)
               +Andel_beroende_av_klimat*VLOOKUP($A20,Leveranser_per_nät,'Leveranser per nät'!G$1,FALSE)/VLOOKUP($B20,Korrigeringsfaktor_GD,'Korrigeringsfaktor GD'!G$1,FALSE),
"")</f>
        <v>12.05</v>
      </c>
      <c r="H20" s="18">
        <f>IFERROR(
                  Andel_oberoende_av_klimat*VLOOKUP($A20,Leveranser_per_nät,'Leveranser per nät'!H$1,FALSE)
               +Andel_beroende_av_klimat*VLOOKUP($A20,Leveranser_per_nät,'Leveranser per nät'!H$1,FALSE)/VLOOKUP($B20,Korrigeringsfaktor_GD,'Korrigeringsfaktor GD'!H$1,FALSE),
"")</f>
        <v>12.909900990099009</v>
      </c>
      <c r="I20" s="18">
        <f>IFERROR(
                  Andel_oberoende_av_klimat*VLOOKUP($A20,Leveranser_per_nät,'Leveranser per nät'!I$1,FALSE)
               +Andel_beroende_av_klimat*VLOOKUP($A20,Leveranser_per_nät,'Leveranser per nät'!I$1,FALSE)/VLOOKUP($B20,Korrigeringsfaktor_GD,'Korrigeringsfaktor GD'!I$1,FALSE),
"")</f>
        <v>17.626315789473683</v>
      </c>
      <c r="J20" s="18">
        <f>IFERROR(
                  Andel_oberoende_av_klimat*VLOOKUP($A20,Leveranser_per_nät,'Leveranser per nät'!J$1,FALSE)
               +Andel_beroende_av_klimat*VLOOKUP($A20,Leveranser_per_nät,'Leveranser per nät'!J$1,FALSE)/VLOOKUP($B20,Korrigeringsfaktor_GD,'Korrigeringsfaktor GD'!J$1,FALSE),
"")</f>
        <v>17.120202020202019</v>
      </c>
      <c r="K20" s="18">
        <f>IFERROR(
                  Andel_oberoende_av_klimat*VLOOKUP($A20,Leveranser_per_nät,'Leveranser per nät'!K$1,FALSE)
               +Andel_beroende_av_klimat*VLOOKUP($A20,Leveranser_per_nät,'Leveranser per nät'!K$1,FALSE)/VLOOKUP($B20,Korrigeringsfaktor_GD,'Korrigeringsfaktor GD'!K$1,FALSE),
"")</f>
        <v>22.447606060606059</v>
      </c>
      <c r="L20" s="18">
        <f>IFERROR(
                  Andel_oberoende_av_klimat*VLOOKUP($A20,Leveranser_per_nät,'Leveranser per nät'!L$1,FALSE)
               +Andel_beroende_av_klimat*VLOOKUP($A20,Leveranser_per_nät,'Leveranser per nät'!L$1,FALSE)/VLOOKUP($B20,Korrigeringsfaktor_GD,'Korrigeringsfaktor GD'!L$1,FALSE),
"")</f>
        <v>26.23242916666667</v>
      </c>
      <c r="M20" s="18">
        <f>IFERROR(
                  Andel_oberoende_av_klimat*VLOOKUP($A20,Leveranser_per_nät,'Leveranser per nät'!M$1,FALSE)
               +Andel_beroende_av_klimat*VLOOKUP($A20,Leveranser_per_nät,'Leveranser per nät'!M$1,FALSE)/VLOOKUP($B20,Korrigeringsfaktor_GD,'Korrigeringsfaktor GD'!M$1,FALSE),
"")</f>
        <v>31.054301075268818</v>
      </c>
      <c r="N20" s="18">
        <f>IFERROR(
                  Andel_oberoende_av_klimat*VLOOKUP($A20,Leveranser_per_nät,'Leveranser per nät'!N$1,FALSE)
               +Andel_beroende_av_klimat*VLOOKUP($A20,Leveranser_per_nät,'Leveranser per nät'!N$1,FALSE)/VLOOKUP($B20,Korrigeringsfaktor_GD,'Korrigeringsfaktor GD'!N$1,FALSE),
"")</f>
        <v>33.146153846153844</v>
      </c>
      <c r="O20" s="18">
        <f>IFERROR(
                  Andel_oberoende_av_klimat*VLOOKUP($A20,Leveranser_per_nät,'Leveranser per nät'!O$1,FALSE)
               +Andel_beroende_av_klimat*VLOOKUP($A20,Leveranser_per_nät,'Leveranser per nät'!O$1,FALSE)/VLOOKUP($B20,Korrigeringsfaktor_GD,'Korrigeringsfaktor GD'!O$1,FALSE),
"")</f>
        <v>32.256811111111112</v>
      </c>
      <c r="P20" s="18">
        <f>IFERROR(
                  Andel_oberoende_av_klimat*VLOOKUP($A20,Leveranser_per_nät,'Leveranser per nät'!P$1,FALSE)
               +Andel_beroende_av_klimat*VLOOKUP($A20,Leveranser_per_nät,'Leveranser per nät'!P$1,FALSE)/VLOOKUP($B20,Korrigeringsfaktor_GD,'Korrigeringsfaktor GD'!P$1,FALSE),
"")</f>
        <v>34.389743298969073</v>
      </c>
      <c r="Q20" s="18">
        <f>IFERROR(
                  Andel_oberoende_av_klimat*VLOOKUP($A20,Leveranser_per_nät,'Leveranser per nät'!Q$1,FALSE)
               +Andel_beroende_av_klimat*VLOOKUP($A20,Leveranser_per_nät,'Leveranser per nät'!Q$1,FALSE)/VLOOKUP($B20,Korrigeringsfaktor_GD,'Korrigeringsfaktor GD'!Q$1,FALSE),
"")</f>
        <v>35.151073913043483</v>
      </c>
      <c r="R20" s="18">
        <f>IFERROR(
                  Andel_oberoende_av_klimat*VLOOKUP($A20,Leveranser_per_nät,'Leveranser per nät'!R$1,FALSE)
               +Andel_beroende_av_klimat*VLOOKUP($A20,Leveranser_per_nät,'Leveranser per nät'!R$1,FALSE)/VLOOKUP($B20,Korrigeringsfaktor_GD,'Korrigeringsfaktor GD'!R$1,FALSE),
"")</f>
        <v>34.963846153846156</v>
      </c>
      <c r="S20" s="18">
        <f>IFERROR(
                  Andel_oberoende_av_klimat*VLOOKUP($A20,Leveranser_per_nät,'Leveranser per nät'!S$1,FALSE)
               +Andel_beroende_av_klimat*VLOOKUP($A20,Leveranser_per_nät,'Leveranser per nät'!S$1,FALSE)/VLOOKUP($B20,Korrigeringsfaktor_GD,'Korrigeringsfaktor GD'!S$1,FALSE),
"")</f>
        <v>35.750495049504948</v>
      </c>
      <c r="T20" s="18" t="str">
        <f>IFERROR(
                  Andel_oberoende_av_klimat*VLOOKUP($A20,Leveranser_per_nät,'Leveranser per nät'!T$1,FALSE)
               +Andel_beroende_av_klimat*VLOOKUP($A20,Leveranser_per_nät,'Leveranser per nät'!T$1,FALSE)/VLOOKUP($B20,Korrigeringsfaktor_GD,'Korrigeringsfaktor GD'!T$1,FALSE),
"")</f>
        <v/>
      </c>
      <c r="U20" s="18">
        <f>IFERROR(
                  Andel_oberoende_av_klimat*VLOOKUP($A20,Leveranser_per_nät,'Leveranser per nät'!U$1,FALSE)
               +Andel_beroende_av_klimat*VLOOKUP($A20,Leveranser_per_nät,'Leveranser per nät'!U$1,FALSE)/VLOOKUP($B20,Korrigeringsfaktor_GD,'Korrigeringsfaktor GD'!U$1,FALSE),
"")</f>
        <v>0</v>
      </c>
      <c r="V20" s="18" t="str">
        <f>IFERROR(
                  Andel_oberoende_av_klimat*VLOOKUP($A20,Leveranser_per_nät,'Leveranser per nät'!V$1,FALSE)
               +Andel_beroende_av_klimat*VLOOKUP($A20,Leveranser_per_nät,'Leveranser per nät'!V$1,FALSE)/VLOOKUP($B20,Korrigeringsfaktor_GD,'Korrigeringsfaktor GD'!V$1,FALSE),
"")</f>
        <v/>
      </c>
      <c r="W20" s="18" t="str">
        <f>IFERROR(
                  Andel_oberoende_av_klimat*VLOOKUP($A20,Leveranser_per_nät,'Leveranser per nät'!W$1,FALSE)
               +Andel_beroende_av_klimat*VLOOKUP($A20,Leveranser_per_nät,'Leveranser per nät'!W$1,FALSE)/VLOOKUP($B20,Korrigeringsfaktor_GD,'Korrigeringsfaktor GD'!W$1,FALSE),
"")</f>
        <v/>
      </c>
      <c r="X20" s="18" t="str">
        <f>IFERROR(
                  Andel_oberoende_av_klimat*VLOOKUP($A20,Leveranser_per_nät,'Leveranser per nät'!X$1,FALSE)
               +Andel_beroende_av_klimat*VLOOKUP($A20,Leveranser_per_nät,'Leveranser per nät'!X$1,FALSE)/VLOOKUP($B20,Korrigeringsfaktor_GD,'Korrigeringsfaktor GD'!X$1,FALSE),
"")</f>
        <v/>
      </c>
      <c r="Y20" s="18" t="str">
        <f>IFERROR(
                  Andel_oberoende_av_klimat*VLOOKUP($A20,Leveranser_per_nät,'Leveranser per nät'!Y$1,FALSE)
               +Andel_beroende_av_klimat*VLOOKUP($A20,Leveranser_per_nät,'Leveranser per nät'!Y$1,FALSE)/VLOOKUP($B20,Korrigeringsfaktor_GD,'Korrigeringsfaktor GD'!Y$1,FALSE),
"")</f>
        <v/>
      </c>
      <c r="Z20" s="18">
        <f>IFERROR(
                  Andel_oberoende_av_klimat*VLOOKUP($A20,Leveranser_per_nät,'Leveranser per nät'!Z$1,FALSE)
               +Andel_beroende_av_klimat*VLOOKUP($A20,Leveranser_per_nät,'Leveranser per nät'!Z$1,FALSE)/VLOOKUP($B20,Korrigeringsfaktor_GD,'Korrigeringsfaktor GD'!Z$1,FALSE),
"")</f>
        <v>0</v>
      </c>
      <c r="AA20" s="18" t="str">
        <f>IFERROR(
                  Andel_oberoende_av_klimat*VLOOKUP($A20,Leveranser_per_nät,'Leveranser per nät'!AA$1,FALSE)
               +Andel_beroende_av_klimat*VLOOKUP($A20,Leveranser_per_nät,'Leveranser per nät'!AA$1,FALSE)/VLOOKUP($B20,Korrigeringsfaktor_GD,'Korrigeringsfaktor GD'!AA$1,FALSE),
"")</f>
        <v/>
      </c>
      <c r="AB20" s="18">
        <f>IFERROR(
                  Andel_oberoende_av_klimat*VLOOKUP($A20,Leveranser_per_nät,'Leveranser per nät'!AB$1,FALSE)
               +Andel_beroende_av_klimat*VLOOKUP($A20,Leveranser_per_nät,'Leveranser per nät'!AB$1,FALSE)/VLOOKUP($B20,Korrigeringsfaktor_GD,'Korrigeringsfaktor GD'!AB$1,FALSE),
"")</f>
        <v>0</v>
      </c>
      <c r="AC20" s="18">
        <f>IFERROR(
                  Andel_oberoende_av_klimat*VLOOKUP($A20,Leveranser_per_nät,'Leveranser per nät'!AC$1,FALSE)
               +Andel_beroende_av_klimat*VLOOKUP($A20,Leveranser_per_nät,'Leveranser per nät'!AC$1,FALSE)/VLOOKUP($B20,Korrigeringsfaktor_GD,'Korrigeringsfaktor GD'!AC$1,FALSE),
"")</f>
        <v>0</v>
      </c>
      <c r="AD20">
        <v>711.67200000000003</v>
      </c>
    </row>
    <row r="21" spans="1:30" x14ac:dyDescent="0.25">
      <c r="A21" t="s">
        <v>85</v>
      </c>
      <c r="B21" t="s">
        <v>460</v>
      </c>
      <c r="C21" s="18">
        <f>IFERROR(
                  Andel_oberoende_av_klimat*VLOOKUP($A21,Leveranser_per_nät,'Leveranser per nät'!C$1,FALSE)
               +Andel_beroende_av_klimat*VLOOKUP($A21,Leveranser_per_nät,'Leveranser per nät'!C$1,FALSE)/VLOOKUP($B21,Korrigeringsfaktor_GD,'Korrigeringsfaktor GD'!C$1,FALSE),
"")</f>
        <v>0</v>
      </c>
      <c r="D21" s="18">
        <f>IFERROR(
                  Andel_oberoende_av_klimat*VLOOKUP($A21,Leveranser_per_nät,'Leveranser per nät'!D$1,FALSE)
               +Andel_beroende_av_klimat*VLOOKUP($A21,Leveranser_per_nät,'Leveranser per nät'!D$1,FALSE)/VLOOKUP($B21,Korrigeringsfaktor_GD,'Korrigeringsfaktor GD'!D$1,FALSE),
"")</f>
        <v>0</v>
      </c>
      <c r="E21" s="18">
        <f>IFERROR(
                  Andel_oberoende_av_klimat*VLOOKUP($A21,Leveranser_per_nät,'Leveranser per nät'!E$1,FALSE)
               +Andel_beroende_av_klimat*VLOOKUP($A21,Leveranser_per_nät,'Leveranser per nät'!E$1,FALSE)/VLOOKUP($B21,Korrigeringsfaktor_GD,'Korrigeringsfaktor GD'!E$1,FALSE),
"")</f>
        <v>0</v>
      </c>
      <c r="F21" s="18">
        <f>IFERROR(
                  Andel_oberoende_av_klimat*VLOOKUP($A21,Leveranser_per_nät,'Leveranser per nät'!F$1,FALSE)
               +Andel_beroende_av_klimat*VLOOKUP($A21,Leveranser_per_nät,'Leveranser per nät'!F$1,FALSE)/VLOOKUP($B21,Korrigeringsfaktor_GD,'Korrigeringsfaktor GD'!F$1,FALSE),
"")</f>
        <v>0</v>
      </c>
      <c r="G21" s="18">
        <f>IFERROR(
                  Andel_oberoende_av_klimat*VLOOKUP($A21,Leveranser_per_nät,'Leveranser per nät'!G$1,FALSE)
               +Andel_beroende_av_klimat*VLOOKUP($A21,Leveranser_per_nät,'Leveranser per nät'!G$1,FALSE)/VLOOKUP($B21,Korrigeringsfaktor_GD,'Korrigeringsfaktor GD'!G$1,FALSE),
"")</f>
        <v>0</v>
      </c>
      <c r="H21" s="18">
        <f>IFERROR(
                  Andel_oberoende_av_klimat*VLOOKUP($A21,Leveranser_per_nät,'Leveranser per nät'!H$1,FALSE)
               +Andel_beroende_av_klimat*VLOOKUP($A21,Leveranser_per_nät,'Leveranser per nät'!H$1,FALSE)/VLOOKUP($B21,Korrigeringsfaktor_GD,'Korrigeringsfaktor GD'!H$1,FALSE),
"")</f>
        <v>0</v>
      </c>
      <c r="I21" s="18">
        <f>IFERROR(
                  Andel_oberoende_av_klimat*VLOOKUP($A21,Leveranser_per_nät,'Leveranser per nät'!I$1,FALSE)
               +Andel_beroende_av_klimat*VLOOKUP($A21,Leveranser_per_nät,'Leveranser per nät'!I$1,FALSE)/VLOOKUP($B21,Korrigeringsfaktor_GD,'Korrigeringsfaktor GD'!I$1,FALSE),
"")</f>
        <v>0</v>
      </c>
      <c r="J21" s="18">
        <f>IFERROR(
                  Andel_oberoende_av_klimat*VLOOKUP($A21,Leveranser_per_nät,'Leveranser per nät'!J$1,FALSE)
               +Andel_beroende_av_klimat*VLOOKUP($A21,Leveranser_per_nät,'Leveranser per nät'!J$1,FALSE)/VLOOKUP($B21,Korrigeringsfaktor_GD,'Korrigeringsfaktor GD'!J$1,FALSE),
"")</f>
        <v>0</v>
      </c>
      <c r="K21" s="18">
        <f>IFERROR(
                  Andel_oberoende_av_klimat*VLOOKUP($A21,Leveranser_per_nät,'Leveranser per nät'!K$1,FALSE)
               +Andel_beroende_av_klimat*VLOOKUP($A21,Leveranser_per_nät,'Leveranser per nät'!K$1,FALSE)/VLOOKUP($B21,Korrigeringsfaktor_GD,'Korrigeringsfaktor GD'!K$1,FALSE),
"")</f>
        <v>0</v>
      </c>
      <c r="L21" s="18">
        <f>IFERROR(
                  Andel_oberoende_av_klimat*VLOOKUP($A21,Leveranser_per_nät,'Leveranser per nät'!L$1,FALSE)
               +Andel_beroende_av_klimat*VLOOKUP($A21,Leveranser_per_nät,'Leveranser per nät'!L$1,FALSE)/VLOOKUP($B21,Korrigeringsfaktor_GD,'Korrigeringsfaktor GD'!L$1,FALSE),
"")</f>
        <v>9.7472958382622288</v>
      </c>
      <c r="M21" s="18">
        <f>IFERROR(
                  Andel_oberoende_av_klimat*VLOOKUP($A21,Leveranser_per_nät,'Leveranser per nät'!M$1,FALSE)
               +Andel_beroende_av_klimat*VLOOKUP($A21,Leveranser_per_nät,'Leveranser per nät'!M$1,FALSE)/VLOOKUP($B21,Korrigeringsfaktor_GD,'Korrigeringsfaktor GD'!M$1,FALSE),
"")</f>
        <v>7.6846236559139776</v>
      </c>
      <c r="N21" s="18">
        <f>IFERROR(
                  Andel_oberoende_av_klimat*VLOOKUP($A21,Leveranser_per_nät,'Leveranser per nät'!N$1,FALSE)
               +Andel_beroende_av_klimat*VLOOKUP($A21,Leveranser_per_nät,'Leveranser per nät'!N$1,FALSE)/VLOOKUP($B21,Korrigeringsfaktor_GD,'Korrigeringsfaktor GD'!N$1,FALSE),
"")</f>
        <v>7.7185727272727274</v>
      </c>
      <c r="O21" s="18">
        <f>IFERROR(
                  Andel_oberoende_av_klimat*VLOOKUP($A21,Leveranser_per_nät,'Leveranser per nät'!O$1,FALSE)
               +Andel_beroende_av_klimat*VLOOKUP($A21,Leveranser_per_nät,'Leveranser per nät'!O$1,FALSE)/VLOOKUP($B21,Korrigeringsfaktor_GD,'Korrigeringsfaktor GD'!O$1,FALSE),
"")</f>
        <v>7.630607865168539</v>
      </c>
      <c r="P21" s="18">
        <f>IFERROR(
                  Andel_oberoende_av_klimat*VLOOKUP($A21,Leveranser_per_nät,'Leveranser per nät'!P$1,FALSE)
               +Andel_beroende_av_klimat*VLOOKUP($A21,Leveranser_per_nät,'Leveranser per nät'!P$1,FALSE)/VLOOKUP($B21,Korrigeringsfaktor_GD,'Korrigeringsfaktor GD'!P$1,FALSE),
"")</f>
        <v>7.8033587628865977</v>
      </c>
      <c r="Q21" s="18">
        <f>IFERROR(
                  Andel_oberoende_av_klimat*VLOOKUP($A21,Leveranser_per_nät,'Leveranser per nät'!Q$1,FALSE)
               +Andel_beroende_av_klimat*VLOOKUP($A21,Leveranser_per_nät,'Leveranser per nät'!Q$1,FALSE)/VLOOKUP($B21,Korrigeringsfaktor_GD,'Korrigeringsfaktor GD'!Q$1,FALSE),
"")</f>
        <v>7.269565217391305</v>
      </c>
      <c r="R21" s="18">
        <f>IFERROR(
                  Andel_oberoende_av_klimat*VLOOKUP($A21,Leveranser_per_nät,'Leveranser per nät'!R$1,FALSE)
               +Andel_beroende_av_klimat*VLOOKUP($A21,Leveranser_per_nät,'Leveranser per nät'!R$1,FALSE)/VLOOKUP($B21,Korrigeringsfaktor_GD,'Korrigeringsfaktor GD'!R$1,FALSE),
"")</f>
        <v>7.686353222580645</v>
      </c>
      <c r="S21" s="18">
        <f>IFERROR(
                  Andel_oberoende_av_klimat*VLOOKUP($A21,Leveranser_per_nät,'Leveranser per nät'!S$1,FALSE)
               +Andel_beroende_av_klimat*VLOOKUP($A21,Leveranser_per_nät,'Leveranser per nät'!S$1,FALSE)/VLOOKUP($B21,Korrigeringsfaktor_GD,'Korrigeringsfaktor GD'!S$1,FALSE),
"")</f>
        <v>7.99</v>
      </c>
      <c r="T21" s="18">
        <f>IFERROR(
                  Andel_oberoende_av_klimat*VLOOKUP($A21,Leveranser_per_nät,'Leveranser per nät'!T$1,FALSE)
               +Andel_beroende_av_klimat*VLOOKUP($A21,Leveranser_per_nät,'Leveranser per nät'!T$1,FALSE)/VLOOKUP($B21,Korrigeringsfaktor_GD,'Korrigeringsfaktor GD'!T$1,FALSE),
"")</f>
        <v>8.1472020202020197</v>
      </c>
      <c r="U21" s="18">
        <f>IFERROR(
                  Andel_oberoende_av_klimat*VLOOKUP($A21,Leveranser_per_nät,'Leveranser per nät'!U$1,FALSE)
               +Andel_beroende_av_klimat*VLOOKUP($A21,Leveranser_per_nät,'Leveranser per nät'!U$1,FALSE)/VLOOKUP($B21,Korrigeringsfaktor_GD,'Korrigeringsfaktor GD'!U$1,FALSE),
"")</f>
        <v>7.9464457831325319</v>
      </c>
      <c r="V21" s="18">
        <f>IFERROR(
                  Andel_oberoende_av_klimat*VLOOKUP($A21,Leveranser_per_nät,'Leveranser per nät'!V$1,FALSE)
               +Andel_beroende_av_klimat*VLOOKUP($A21,Leveranser_per_nät,'Leveranser per nät'!V$1,FALSE)/VLOOKUP($B21,Korrigeringsfaktor_GD,'Korrigeringsfaktor GD'!V$1,FALSE),
"")</f>
        <v>7.8011910112359555</v>
      </c>
      <c r="W21" s="18">
        <f>IFERROR(
                  Andel_oberoende_av_klimat*VLOOKUP($A21,Leveranser_per_nät,'Leveranser per nät'!W$1,FALSE)
               +Andel_beroende_av_klimat*VLOOKUP($A21,Leveranser_per_nät,'Leveranser per nät'!W$1,FALSE)/VLOOKUP($B21,Korrigeringsfaktor_GD,'Korrigeringsfaktor GD'!W$1,FALSE),
"")</f>
        <v>8.1261538461538443</v>
      </c>
      <c r="X21" s="18">
        <f>IFERROR(
                  Andel_oberoende_av_klimat*VLOOKUP($A21,Leveranser_per_nät,'Leveranser per nät'!X$1,FALSE)
               +Andel_beroende_av_klimat*VLOOKUP($A21,Leveranser_per_nät,'Leveranser per nät'!X$1,FALSE)/VLOOKUP($B21,Korrigeringsfaktor_GD,'Korrigeringsfaktor GD'!X$1,FALSE),
"")</f>
        <v>8.052077777777777</v>
      </c>
      <c r="Y21" s="18">
        <f>IFERROR(
                  Andel_oberoende_av_klimat*VLOOKUP($A21,Leveranser_per_nät,'Leveranser per nät'!Y$1,FALSE)
               +Andel_beroende_av_klimat*VLOOKUP($A21,Leveranser_per_nät,'Leveranser per nät'!Y$1,FALSE)/VLOOKUP($B21,Korrigeringsfaktor_GD,'Korrigeringsfaktor GD'!Y$1,FALSE),
"")</f>
        <v>8.2767505747126435</v>
      </c>
      <c r="Z21" s="18">
        <f>IFERROR(
                  Andel_oberoende_av_klimat*VLOOKUP($A21,Leveranser_per_nät,'Leveranser per nät'!Z$1,FALSE)
               +Andel_beroende_av_klimat*VLOOKUP($A21,Leveranser_per_nät,'Leveranser per nät'!Z$1,FALSE)/VLOOKUP($B21,Korrigeringsfaktor_GD,'Korrigeringsfaktor GD'!Z$1,FALSE),
"")</f>
        <v>7.9486615384615398</v>
      </c>
      <c r="AA21" s="18">
        <f>IFERROR(
                  Andel_oberoende_av_klimat*VLOOKUP($A21,Leveranser_per_nät,'Leveranser per nät'!AA$1,FALSE)
               +Andel_beroende_av_klimat*VLOOKUP($A21,Leveranser_per_nät,'Leveranser per nät'!AA$1,FALSE)/VLOOKUP($B21,Korrigeringsfaktor_GD,'Korrigeringsfaktor GD'!AA$1,FALSE),
"")</f>
        <v>8.3633593675195215</v>
      </c>
      <c r="AB21" s="18">
        <f>IFERROR(
                  Andel_oberoende_av_klimat*VLOOKUP($A21,Leveranser_per_nät,'Leveranser per nät'!AB$1,FALSE)
               +Andel_beroende_av_klimat*VLOOKUP($A21,Leveranser_per_nät,'Leveranser per nät'!AB$1,FALSE)/VLOOKUP($B21,Korrigeringsfaktor_GD,'Korrigeringsfaktor GD'!AB$1,FALSE),
"")</f>
        <v>8.4684350132625994</v>
      </c>
      <c r="AC21" s="18">
        <f>IFERROR(
                  Andel_oberoende_av_klimat*VLOOKUP($A21,Leveranser_per_nät,'Leveranser per nät'!AC$1,FALSE)
               +Andel_beroende_av_klimat*VLOOKUP($A21,Leveranser_per_nät,'Leveranser per nät'!AC$1,FALSE)/VLOOKUP($B21,Korrigeringsfaktor_GD,'Korrigeringsfaktor GD'!AC$1,FALSE),
"")</f>
        <v>8.2664618736383453</v>
      </c>
      <c r="AD21" t="e">
        <v>#N/A</v>
      </c>
    </row>
    <row r="22" spans="1:30" x14ac:dyDescent="0.25">
      <c r="A22" t="s">
        <v>7</v>
      </c>
      <c r="B22" t="s">
        <v>7</v>
      </c>
      <c r="C22" s="18">
        <f>IFERROR(
                  Andel_oberoende_av_klimat*VLOOKUP($A22,Leveranser_per_nät,'Leveranser per nät'!C$1,FALSE)
               +Andel_beroende_av_klimat*VLOOKUP($A22,Leveranser_per_nät,'Leveranser per nät'!C$1,FALSE)/VLOOKUP($B22,Korrigeringsfaktor_GD,'Korrigeringsfaktor GD'!C$1,FALSE),
"")</f>
        <v>0</v>
      </c>
      <c r="D22" s="18">
        <f>IFERROR(
                  Andel_oberoende_av_klimat*VLOOKUP($A22,Leveranser_per_nät,'Leveranser per nät'!D$1,FALSE)
               +Andel_beroende_av_klimat*VLOOKUP($A22,Leveranser_per_nät,'Leveranser per nät'!D$1,FALSE)/VLOOKUP($B22,Korrigeringsfaktor_GD,'Korrigeringsfaktor GD'!D$1,FALSE),
"")</f>
        <v>0</v>
      </c>
      <c r="E22" s="18">
        <f>IFERROR(
                  Andel_oberoende_av_klimat*VLOOKUP($A22,Leveranser_per_nät,'Leveranser per nät'!E$1,FALSE)
               +Andel_beroende_av_klimat*VLOOKUP($A22,Leveranser_per_nät,'Leveranser per nät'!E$1,FALSE)/VLOOKUP($B22,Korrigeringsfaktor_GD,'Korrigeringsfaktor GD'!E$1,FALSE),
"")</f>
        <v>0</v>
      </c>
      <c r="F22" s="18">
        <f>IFERROR(
                  Andel_oberoende_av_klimat*VLOOKUP($A22,Leveranser_per_nät,'Leveranser per nät'!F$1,FALSE)
               +Andel_beroende_av_klimat*VLOOKUP($A22,Leveranser_per_nät,'Leveranser per nät'!F$1,FALSE)/VLOOKUP($B22,Korrigeringsfaktor_GD,'Korrigeringsfaktor GD'!F$1,FALSE),
"")</f>
        <v>0</v>
      </c>
      <c r="G22" s="18">
        <f>IFERROR(
                  Andel_oberoende_av_klimat*VLOOKUP($A22,Leveranser_per_nät,'Leveranser per nät'!G$1,FALSE)
               +Andel_beroende_av_klimat*VLOOKUP($A22,Leveranser_per_nät,'Leveranser per nät'!G$1,FALSE)/VLOOKUP($B22,Korrigeringsfaktor_GD,'Korrigeringsfaktor GD'!G$1,FALSE),
"")</f>
        <v>0</v>
      </c>
      <c r="H22" s="18">
        <f>IFERROR(
                  Andel_oberoende_av_klimat*VLOOKUP($A22,Leveranser_per_nät,'Leveranser per nät'!H$1,FALSE)
               +Andel_beroende_av_klimat*VLOOKUP($A22,Leveranser_per_nät,'Leveranser per nät'!H$1,FALSE)/VLOOKUP($B22,Korrigeringsfaktor_GD,'Korrigeringsfaktor GD'!H$1,FALSE),
"")</f>
        <v>0</v>
      </c>
      <c r="I22" s="18">
        <f>IFERROR(
                  Andel_oberoende_av_klimat*VLOOKUP($A22,Leveranser_per_nät,'Leveranser per nät'!I$1,FALSE)
               +Andel_beroende_av_klimat*VLOOKUP($A22,Leveranser_per_nät,'Leveranser per nät'!I$1,FALSE)/VLOOKUP($B22,Korrigeringsfaktor_GD,'Korrigeringsfaktor GD'!I$1,FALSE),
"")</f>
        <v>0</v>
      </c>
      <c r="J22" s="18">
        <f>IFERROR(
                  Andel_oberoende_av_klimat*VLOOKUP($A22,Leveranser_per_nät,'Leveranser per nät'!J$1,FALSE)
               +Andel_beroende_av_klimat*VLOOKUP($A22,Leveranser_per_nät,'Leveranser per nät'!J$1,FALSE)/VLOOKUP($B22,Korrigeringsfaktor_GD,'Korrigeringsfaktor GD'!J$1,FALSE),
"")</f>
        <v>0</v>
      </c>
      <c r="K22" s="18">
        <f>IFERROR(
                  Andel_oberoende_av_klimat*VLOOKUP($A22,Leveranser_per_nät,'Leveranser per nät'!K$1,FALSE)
               +Andel_beroende_av_klimat*VLOOKUP($A22,Leveranser_per_nät,'Leveranser per nät'!K$1,FALSE)/VLOOKUP($B22,Korrigeringsfaktor_GD,'Korrigeringsfaktor GD'!K$1,FALSE),
"")</f>
        <v>0</v>
      </c>
      <c r="L22" s="18">
        <f>IFERROR(
                  Andel_oberoende_av_klimat*VLOOKUP($A22,Leveranser_per_nät,'Leveranser per nät'!L$1,FALSE)
               +Andel_beroende_av_klimat*VLOOKUP($A22,Leveranser_per_nät,'Leveranser per nät'!L$1,FALSE)/VLOOKUP($B22,Korrigeringsfaktor_GD,'Korrigeringsfaktor GD'!L$1,FALSE),
"")</f>
        <v>0</v>
      </c>
      <c r="M22" s="18">
        <f>IFERROR(
                  Andel_oberoende_av_klimat*VLOOKUP($A22,Leveranser_per_nät,'Leveranser per nät'!M$1,FALSE)
               +Andel_beroende_av_klimat*VLOOKUP($A22,Leveranser_per_nät,'Leveranser per nät'!M$1,FALSE)/VLOOKUP($B22,Korrigeringsfaktor_GD,'Korrigeringsfaktor GD'!M$1,FALSE),
"")</f>
        <v>8.0626086956521732</v>
      </c>
      <c r="N22" s="18">
        <f>IFERROR(
                  Andel_oberoende_av_klimat*VLOOKUP($A22,Leveranser_per_nät,'Leveranser per nät'!N$1,FALSE)
               +Andel_beroende_av_klimat*VLOOKUP($A22,Leveranser_per_nät,'Leveranser per nät'!N$1,FALSE)/VLOOKUP($B22,Korrigeringsfaktor_GD,'Korrigeringsfaktor GD'!N$1,FALSE),
"")</f>
        <v>7.2139130434782608</v>
      </c>
      <c r="O22" s="18">
        <f>IFERROR(
                  Andel_oberoende_av_klimat*VLOOKUP($A22,Leveranser_per_nät,'Leveranser per nät'!O$1,FALSE)
               +Andel_beroende_av_klimat*VLOOKUP($A22,Leveranser_per_nät,'Leveranser per nät'!O$1,FALSE)/VLOOKUP($B22,Korrigeringsfaktor_GD,'Korrigeringsfaktor GD'!O$1,FALSE),
"")</f>
        <v>8.6222222222222218</v>
      </c>
      <c r="P22" s="18">
        <f>IFERROR(
                  Andel_oberoende_av_klimat*VLOOKUP($A22,Leveranser_per_nät,'Leveranser per nät'!P$1,FALSE)
               +Andel_beroende_av_klimat*VLOOKUP($A22,Leveranser_per_nät,'Leveranser per nät'!P$1,FALSE)/VLOOKUP($B22,Korrigeringsfaktor_GD,'Korrigeringsfaktor GD'!P$1,FALSE),
"")</f>
        <v>8.3171428571428567</v>
      </c>
      <c r="Q22" s="18">
        <f>IFERROR(
                  Andel_oberoende_av_klimat*VLOOKUP($A22,Leveranser_per_nät,'Leveranser per nät'!Q$1,FALSE)
               +Andel_beroende_av_klimat*VLOOKUP($A22,Leveranser_per_nät,'Leveranser per nät'!Q$1,FALSE)/VLOOKUP($B22,Korrigeringsfaktor_GD,'Korrigeringsfaktor GD'!Q$1,FALSE),
"")</f>
        <v>9.0599999999999987</v>
      </c>
      <c r="R22" s="18">
        <f>IFERROR(
                  Andel_oberoende_av_klimat*VLOOKUP($A22,Leveranser_per_nät,'Leveranser per nät'!R$1,FALSE)
               +Andel_beroende_av_klimat*VLOOKUP($A22,Leveranser_per_nät,'Leveranser per nät'!R$1,FALSE)/VLOOKUP($B22,Korrigeringsfaktor_GD,'Korrigeringsfaktor GD'!R$1,FALSE),
"")</f>
        <v>8.5645384615384614</v>
      </c>
      <c r="S22" s="18">
        <f>IFERROR(
                  Andel_oberoende_av_klimat*VLOOKUP($A22,Leveranser_per_nät,'Leveranser per nät'!S$1,FALSE)
               +Andel_beroende_av_klimat*VLOOKUP($A22,Leveranser_per_nät,'Leveranser per nät'!S$1,FALSE)/VLOOKUP($B22,Korrigeringsfaktor_GD,'Korrigeringsfaktor GD'!S$1,FALSE),
"")</f>
        <v>8.14</v>
      </c>
      <c r="T22" s="18">
        <f>IFERROR(
                  Andel_oberoende_av_klimat*VLOOKUP($A22,Leveranser_per_nät,'Leveranser per nät'!T$1,FALSE)
               +Andel_beroende_av_klimat*VLOOKUP($A22,Leveranser_per_nät,'Leveranser per nät'!T$1,FALSE)/VLOOKUP($B22,Korrigeringsfaktor_GD,'Korrigeringsfaktor GD'!T$1,FALSE),
"")</f>
        <v>8.2242783505154637</v>
      </c>
      <c r="U22" s="18">
        <f>IFERROR(
                  Andel_oberoende_av_klimat*VLOOKUP($A22,Leveranser_per_nät,'Leveranser per nät'!U$1,FALSE)
               +Andel_beroende_av_klimat*VLOOKUP($A22,Leveranser_per_nät,'Leveranser per nät'!U$1,FALSE)/VLOOKUP($B22,Korrigeringsfaktor_GD,'Korrigeringsfaktor GD'!U$1,FALSE),
"")</f>
        <v>8.4264705882352953</v>
      </c>
      <c r="V22" s="18">
        <f>IFERROR(
                  Andel_oberoende_av_klimat*VLOOKUP($A22,Leveranser_per_nät,'Leveranser per nät'!V$1,FALSE)
               +Andel_beroende_av_klimat*VLOOKUP($A22,Leveranser_per_nät,'Leveranser per nät'!V$1,FALSE)/VLOOKUP($B22,Korrigeringsfaktor_GD,'Korrigeringsfaktor GD'!V$1,FALSE),
"")</f>
        <v>8.8758823529411774</v>
      </c>
      <c r="W22" s="18">
        <f>IFERROR(
                  Andel_oberoende_av_klimat*VLOOKUP($A22,Leveranser_per_nät,'Leveranser per nät'!W$1,FALSE)
               +Andel_beroende_av_klimat*VLOOKUP($A22,Leveranser_per_nät,'Leveranser per nät'!W$1,FALSE)/VLOOKUP($B22,Korrigeringsfaktor_GD,'Korrigeringsfaktor GD'!W$1,FALSE),
"")</f>
        <v>9.3766666666666652</v>
      </c>
      <c r="X22" s="18">
        <f>IFERROR(
                  Andel_oberoende_av_klimat*VLOOKUP($A22,Leveranser_per_nät,'Leveranser per nät'!X$1,FALSE)
               +Andel_beroende_av_klimat*VLOOKUP($A22,Leveranser_per_nät,'Leveranser per nät'!X$1,FALSE)/VLOOKUP($B22,Korrigeringsfaktor_GD,'Korrigeringsfaktor GD'!X$1,FALSE),
"")</f>
        <v>9.0180898876404498</v>
      </c>
      <c r="Y22" s="18">
        <f>IFERROR(
                  Andel_oberoende_av_klimat*VLOOKUP($A22,Leveranser_per_nät,'Leveranser per nät'!Y$1,FALSE)
               +Andel_beroende_av_klimat*VLOOKUP($A22,Leveranser_per_nät,'Leveranser per nät'!Y$1,FALSE)/VLOOKUP($B22,Korrigeringsfaktor_GD,'Korrigeringsfaktor GD'!Y$1,FALSE),
"")</f>
        <v>9.1267415730337085</v>
      </c>
      <c r="Z22" s="18">
        <f>IFERROR(
                  Andel_oberoende_av_klimat*VLOOKUP($A22,Leveranser_per_nät,'Leveranser per nät'!Z$1,FALSE)
               +Andel_beroende_av_klimat*VLOOKUP($A22,Leveranser_per_nät,'Leveranser per nät'!Z$1,FALSE)/VLOOKUP($B22,Korrigeringsfaktor_GD,'Korrigeringsfaktor GD'!Z$1,FALSE),
"")</f>
        <v>9.3023076923076911</v>
      </c>
      <c r="AA22" s="18">
        <f>IFERROR(
                  Andel_oberoende_av_klimat*VLOOKUP($A22,Leveranser_per_nät,'Leveranser per nät'!AA$1,FALSE)
               +Andel_beroende_av_klimat*VLOOKUP($A22,Leveranser_per_nät,'Leveranser per nät'!AA$1,FALSE)/VLOOKUP($B22,Korrigeringsfaktor_GD,'Korrigeringsfaktor GD'!AA$1,FALSE),
"")</f>
        <v>9.9646733668341714</v>
      </c>
      <c r="AB22" s="18">
        <f>IFERROR(
                  Andel_oberoende_av_klimat*VLOOKUP($A22,Leveranser_per_nät,'Leveranser per nät'!AB$1,FALSE)
               +Andel_beroende_av_klimat*VLOOKUP($A22,Leveranser_per_nät,'Leveranser per nät'!AB$1,FALSE)/VLOOKUP($B22,Korrigeringsfaktor_GD,'Korrigeringsfaktor GD'!AB$1,FALSE),
"")</f>
        <v>9.8344723618090466</v>
      </c>
      <c r="AC22" s="18">
        <f>IFERROR(
                  Andel_oberoende_av_klimat*VLOOKUP($A22,Leveranser_per_nät,'Leveranser per nät'!AC$1,FALSE)
               +Andel_beroende_av_klimat*VLOOKUP($A22,Leveranser_per_nät,'Leveranser per nät'!AC$1,FALSE)/VLOOKUP($B22,Korrigeringsfaktor_GD,'Korrigeringsfaktor GD'!AC$1,FALSE),
"")</f>
        <v>9.827454739084132</v>
      </c>
      <c r="AD22">
        <v>9.4</v>
      </c>
    </row>
    <row r="23" spans="1:30" x14ac:dyDescent="0.25">
      <c r="A23" t="s">
        <v>845</v>
      </c>
      <c r="B23" t="s">
        <v>536</v>
      </c>
      <c r="C23" s="18"/>
      <c r="D23" s="18"/>
      <c r="E23" s="18"/>
      <c r="F23" s="18"/>
      <c r="G23" s="18"/>
      <c r="H23" s="18"/>
      <c r="I23" s="18"/>
      <c r="J23" s="18"/>
      <c r="K23" s="18"/>
      <c r="L23" s="18"/>
      <c r="M23" s="18"/>
      <c r="N23" s="18"/>
      <c r="O23" s="18"/>
      <c r="P23" s="18"/>
      <c r="Q23" s="18"/>
      <c r="R23" s="18">
        <f>IFERROR(
                  Andel_oberoende_av_klimat*VLOOKUP($A23,Leveranser_per_nät,'Leveranser per nät'!R$1,FALSE)
               +Andel_beroende_av_klimat*VLOOKUP($A23,Leveranser_per_nät,'Leveranser per nät'!R$1,FALSE)/VLOOKUP($B23,Korrigeringsfaktor_GD,'Korrigeringsfaktor GD'!R$1,FALSE),
"")</f>
        <v>0</v>
      </c>
      <c r="S23" s="18">
        <f>IFERROR(
                  Andel_oberoende_av_klimat*VLOOKUP($A23,Leveranser_per_nät,'Leveranser per nät'!S$1,FALSE)
               +Andel_beroende_av_klimat*VLOOKUP($A23,Leveranser_per_nät,'Leveranser per nät'!S$1,FALSE)/VLOOKUP($B23,Korrigeringsfaktor_GD,'Korrigeringsfaktor GD'!S$1,FALSE),
"")</f>
        <v>0</v>
      </c>
      <c r="T23" s="18">
        <f>IFERROR(
                  Andel_oberoende_av_klimat*VLOOKUP($A23,Leveranser_per_nät,'Leveranser per nät'!T$1,FALSE)
               +Andel_beroende_av_klimat*VLOOKUP($A23,Leveranser_per_nät,'Leveranser per nät'!T$1,FALSE)/VLOOKUP($B23,Korrigeringsfaktor_GD,'Korrigeringsfaktor GD'!T$1,FALSE),
"")</f>
        <v>0</v>
      </c>
      <c r="U23" s="18">
        <f>IFERROR(
                  Andel_oberoende_av_klimat*VLOOKUP($A23,Leveranser_per_nät,'Leveranser per nät'!U$1,FALSE)
               +Andel_beroende_av_klimat*VLOOKUP($A23,Leveranser_per_nät,'Leveranser per nät'!U$1,FALSE)/VLOOKUP($B23,Korrigeringsfaktor_GD,'Korrigeringsfaktor GD'!U$1,FALSE),
"")</f>
        <v>0</v>
      </c>
      <c r="V23" s="18">
        <f>IFERROR(
                  Andel_oberoende_av_klimat*VLOOKUP($A23,Leveranser_per_nät,'Leveranser per nät'!V$1,FALSE)
               +Andel_beroende_av_klimat*VLOOKUP($A23,Leveranser_per_nät,'Leveranser per nät'!V$1,FALSE)/VLOOKUP($B23,Korrigeringsfaktor_GD,'Korrigeringsfaktor GD'!V$1,FALSE),
"")</f>
        <v>11.12</v>
      </c>
      <c r="W23" s="18">
        <f>IFERROR(
                  Andel_oberoende_av_klimat*VLOOKUP($A23,Leveranser_per_nät,'Leveranser per nät'!W$1,FALSE)
               +Andel_beroende_av_klimat*VLOOKUP($A23,Leveranser_per_nät,'Leveranser per nät'!W$1,FALSE)/VLOOKUP($B23,Korrigeringsfaktor_GD,'Korrigeringsfaktor GD'!W$1,FALSE),
"")</f>
        <v>11.923684210526316</v>
      </c>
      <c r="X23" s="18">
        <f>IFERROR(
                  Andel_oberoende_av_klimat*VLOOKUP($A23,Leveranser_per_nät,'Leveranser per nät'!X$1,FALSE)
               +Andel_beroende_av_klimat*VLOOKUP($A23,Leveranser_per_nät,'Leveranser per nät'!X$1,FALSE)/VLOOKUP($B23,Korrigeringsfaktor_GD,'Korrigeringsfaktor GD'!X$1,FALSE),
"")</f>
        <v>11.356655670103091</v>
      </c>
      <c r="Y23" s="18">
        <f>IFERROR(
                  Andel_oberoende_av_klimat*VLOOKUP($A23,Leveranser_per_nät,'Leveranser per nät'!Y$1,FALSE)
               +Andel_beroende_av_klimat*VLOOKUP($A23,Leveranser_per_nät,'Leveranser per nät'!Y$1,FALSE)/VLOOKUP($B23,Korrigeringsfaktor_GD,'Korrigeringsfaktor GD'!Y$1,FALSE),
"")</f>
        <v>11.435322680412371</v>
      </c>
      <c r="Z23" s="18">
        <f>IFERROR(
                  Andel_oberoende_av_klimat*VLOOKUP($A23,Leveranser_per_nät,'Leveranser per nät'!Z$1,FALSE)
               +Andel_beroende_av_klimat*VLOOKUP($A23,Leveranser_per_nät,'Leveranser per nät'!Z$1,FALSE)/VLOOKUP($B23,Korrigeringsfaktor_GD,'Korrigeringsfaktor GD'!Z$1,FALSE),
"")</f>
        <v>12.535318604651163</v>
      </c>
      <c r="AA23" s="18">
        <f>IFERROR(
                  Andel_oberoende_av_klimat*VLOOKUP($A23,Leveranser_per_nät,'Leveranser per nät'!AA$1,FALSE)
               +Andel_beroende_av_klimat*VLOOKUP($A23,Leveranser_per_nät,'Leveranser per nät'!AA$1,FALSE)/VLOOKUP($B23,Korrigeringsfaktor_GD,'Korrigeringsfaktor GD'!AA$1,FALSE),
"")</f>
        <v>12.018245816854273</v>
      </c>
      <c r="AB23" s="18">
        <f>IFERROR(
                  Andel_oberoende_av_klimat*VLOOKUP($A23,Leveranser_per_nät,'Leveranser per nät'!AB$1,FALSE)
               +Andel_beroende_av_klimat*VLOOKUP($A23,Leveranser_per_nät,'Leveranser per nät'!AB$1,FALSE)/VLOOKUP($B23,Korrigeringsfaktor_GD,'Korrigeringsfaktor GD'!AB$1,FALSE),
"")</f>
        <v>10.90376958614052</v>
      </c>
      <c r="AC23" s="18">
        <f>IFERROR(
                  Andel_oberoende_av_klimat*VLOOKUP($A23,Leveranser_per_nät,'Leveranser per nät'!AC$1,FALSE)
               +Andel_beroende_av_klimat*VLOOKUP($A23,Leveranser_per_nät,'Leveranser per nät'!AC$1,FALSE)/VLOOKUP($B23,Korrigeringsfaktor_GD,'Korrigeringsfaktor GD'!AC$1,FALSE),
"")</f>
        <v>11.041857585139319</v>
      </c>
      <c r="AD23" t="e">
        <v>#N/A</v>
      </c>
    </row>
    <row r="24" spans="1:30" x14ac:dyDescent="0.25">
      <c r="A24" s="4" t="s">
        <v>9</v>
      </c>
      <c r="B24" t="s">
        <v>138</v>
      </c>
      <c r="C24" s="18">
        <f>IFERROR(
                  Andel_oberoende_av_klimat*VLOOKUP($A24,Leveranser_per_nät,'Leveranser per nät'!C$1,FALSE)
               +Andel_beroende_av_klimat*VLOOKUP($A24,Leveranser_per_nät,'Leveranser per nät'!C$1,FALSE)/VLOOKUP($B24,Korrigeringsfaktor_GD,'Korrigeringsfaktor GD'!C$1,FALSE),
"")</f>
        <v>0</v>
      </c>
      <c r="D24" s="18">
        <f>IFERROR(
                  Andel_oberoende_av_klimat*VLOOKUP($A24,Leveranser_per_nät,'Leveranser per nät'!D$1,FALSE)
               +Andel_beroende_av_klimat*VLOOKUP($A24,Leveranser_per_nät,'Leveranser per nät'!D$1,FALSE)/VLOOKUP($B24,Korrigeringsfaktor_GD,'Korrigeringsfaktor GD'!D$1,FALSE),
"")</f>
        <v>0</v>
      </c>
      <c r="E24" s="18">
        <f>IFERROR(
                  Andel_oberoende_av_klimat*VLOOKUP($A24,Leveranser_per_nät,'Leveranser per nät'!E$1,FALSE)
               +Andel_beroende_av_klimat*VLOOKUP($A24,Leveranser_per_nät,'Leveranser per nät'!E$1,FALSE)/VLOOKUP($B24,Korrigeringsfaktor_GD,'Korrigeringsfaktor GD'!E$1,FALSE),
"")</f>
        <v>0</v>
      </c>
      <c r="F24" s="18">
        <f>IFERROR(
                  Andel_oberoende_av_klimat*VLOOKUP($A24,Leveranser_per_nät,'Leveranser per nät'!F$1,FALSE)
               +Andel_beroende_av_klimat*VLOOKUP($A24,Leveranser_per_nät,'Leveranser per nät'!F$1,FALSE)/VLOOKUP($B24,Korrigeringsfaktor_GD,'Korrigeringsfaktor GD'!F$1,FALSE),
"")</f>
        <v>0</v>
      </c>
      <c r="G24" s="18">
        <f>IFERROR(
                  Andel_oberoende_av_klimat*VLOOKUP($A24,Leveranser_per_nät,'Leveranser per nät'!G$1,FALSE)
               +Andel_beroende_av_klimat*VLOOKUP($A24,Leveranser_per_nät,'Leveranser per nät'!G$1,FALSE)/VLOOKUP($B24,Korrigeringsfaktor_GD,'Korrigeringsfaktor GD'!G$1,FALSE),
"")</f>
        <v>0</v>
      </c>
      <c r="H24" s="18">
        <f>IFERROR(
                  Andel_oberoende_av_klimat*VLOOKUP($A24,Leveranser_per_nät,'Leveranser per nät'!H$1,FALSE)
               +Andel_beroende_av_klimat*VLOOKUP($A24,Leveranser_per_nät,'Leveranser per nät'!H$1,FALSE)/VLOOKUP($B24,Korrigeringsfaktor_GD,'Korrigeringsfaktor GD'!H$1,FALSE),
"")</f>
        <v>0</v>
      </c>
      <c r="I24" s="18">
        <f>IFERROR(
                  Andel_oberoende_av_klimat*VLOOKUP($A24,Leveranser_per_nät,'Leveranser per nät'!I$1,FALSE)
               +Andel_beroende_av_klimat*VLOOKUP($A24,Leveranser_per_nät,'Leveranser per nät'!I$1,FALSE)/VLOOKUP($B24,Korrigeringsfaktor_GD,'Korrigeringsfaktor GD'!I$1,FALSE),
"")</f>
        <v>0</v>
      </c>
      <c r="J24" s="18">
        <f>IFERROR(
                  Andel_oberoende_av_klimat*VLOOKUP($A24,Leveranser_per_nät,'Leveranser per nät'!J$1,FALSE)
               +Andel_beroende_av_klimat*VLOOKUP($A24,Leveranser_per_nät,'Leveranser per nät'!J$1,FALSE)/VLOOKUP($B24,Korrigeringsfaktor_GD,'Korrigeringsfaktor GD'!J$1,FALSE),
"")</f>
        <v>0</v>
      </c>
      <c r="K24" s="18">
        <f>IFERROR(
                  Andel_oberoende_av_klimat*VLOOKUP($A24,Leveranser_per_nät,'Leveranser per nät'!K$1,FALSE)
               +Andel_beroende_av_klimat*VLOOKUP($A24,Leveranser_per_nät,'Leveranser per nät'!K$1,FALSE)/VLOOKUP($B24,Korrigeringsfaktor_GD,'Korrigeringsfaktor GD'!K$1,FALSE),
"")</f>
        <v>0</v>
      </c>
      <c r="L24" s="18">
        <f>IFERROR(
                  Andel_oberoende_av_klimat*VLOOKUP($A24,Leveranser_per_nät,'Leveranser per nät'!L$1,FALSE)
               +Andel_beroende_av_klimat*VLOOKUP($A24,Leveranser_per_nät,'Leveranser per nät'!L$1,FALSE)/VLOOKUP($B24,Korrigeringsfaktor_GD,'Korrigeringsfaktor GD'!L$1,FALSE),
"")</f>
        <v>0</v>
      </c>
      <c r="M24" s="18">
        <f>IFERROR(
                  Andel_oberoende_av_klimat*VLOOKUP($A24,Leveranser_per_nät,'Leveranser per nät'!M$1,FALSE)
               +Andel_beroende_av_klimat*VLOOKUP($A24,Leveranser_per_nät,'Leveranser per nät'!M$1,FALSE)/VLOOKUP($B24,Korrigeringsfaktor_GD,'Korrigeringsfaktor GD'!M$1,FALSE),
"")</f>
        <v>0</v>
      </c>
      <c r="N24" s="18">
        <f>IFERROR(
                  Andel_oberoende_av_klimat*VLOOKUP($A24,Leveranser_per_nät,'Leveranser per nät'!N$1,FALSE)
               +Andel_beroende_av_klimat*VLOOKUP($A24,Leveranser_per_nät,'Leveranser per nät'!N$1,FALSE)/VLOOKUP($B24,Korrigeringsfaktor_GD,'Korrigeringsfaktor GD'!N$1,FALSE),
"")</f>
        <v>0</v>
      </c>
      <c r="O24" s="18">
        <f>IFERROR(
                  Andel_oberoende_av_klimat*VLOOKUP($A24,Leveranser_per_nät,'Leveranser per nät'!O$1,FALSE)
               +Andel_beroende_av_klimat*VLOOKUP($A24,Leveranser_per_nät,'Leveranser per nät'!O$1,FALSE)/VLOOKUP($B24,Korrigeringsfaktor_GD,'Korrigeringsfaktor GD'!O$1,FALSE),
"")</f>
        <v>0</v>
      </c>
      <c r="P24" s="18">
        <f>IFERROR(
                  Andel_oberoende_av_klimat*VLOOKUP($A24,Leveranser_per_nät,'Leveranser per nät'!P$1,FALSE)
               +Andel_beroende_av_klimat*VLOOKUP($A24,Leveranser_per_nät,'Leveranser per nät'!P$1,FALSE)/VLOOKUP($B24,Korrigeringsfaktor_GD,'Korrigeringsfaktor GD'!P$1,FALSE),
"")</f>
        <v>0</v>
      </c>
      <c r="Q24" s="18">
        <f>IFERROR(
                  Andel_oberoende_av_klimat*VLOOKUP($A24,Leveranser_per_nät,'Leveranser per nät'!Q$1,FALSE)
               +Andel_beroende_av_klimat*VLOOKUP($A24,Leveranser_per_nät,'Leveranser per nät'!Q$1,FALSE)/VLOOKUP($B24,Korrigeringsfaktor_GD,'Korrigeringsfaktor GD'!Q$1,FALSE),
"")</f>
        <v>3.5439130434782609</v>
      </c>
      <c r="R24" s="18">
        <f>IFERROR(
                  Andel_oberoende_av_klimat*VLOOKUP($A24,Leveranser_per_nät,'Leveranser per nät'!R$1,FALSE)
               +Andel_beroende_av_klimat*VLOOKUP($A24,Leveranser_per_nät,'Leveranser per nät'!R$1,FALSE)/VLOOKUP($B24,Korrigeringsfaktor_GD,'Korrigeringsfaktor GD'!R$1,FALSE),
"")</f>
        <v>3.5284615384615381</v>
      </c>
      <c r="S24" s="18">
        <f>IFERROR(
                  Andel_oberoende_av_klimat*VLOOKUP($A24,Leveranser_per_nät,'Leveranser per nät'!S$1,FALSE)
               +Andel_beroende_av_klimat*VLOOKUP($A24,Leveranser_per_nät,'Leveranser per nät'!S$1,FALSE)/VLOOKUP($B24,Korrigeringsfaktor_GD,'Korrigeringsfaktor GD'!S$1,FALSE),
"")</f>
        <v>3.5</v>
      </c>
      <c r="T24" s="18">
        <f>IFERROR(
                  Andel_oberoende_av_klimat*VLOOKUP($A24,Leveranser_per_nät,'Leveranser per nät'!T$1,FALSE)
               +Andel_beroende_av_klimat*VLOOKUP($A24,Leveranser_per_nät,'Leveranser per nät'!T$1,FALSE)/VLOOKUP($B24,Korrigeringsfaktor_GD,'Korrigeringsfaktor GD'!T$1,FALSE),
"")</f>
        <v>3.3962499999999998</v>
      </c>
      <c r="U24" s="18">
        <f>IFERROR(
                  Andel_oberoende_av_klimat*VLOOKUP($A24,Leveranser_per_nät,'Leveranser per nät'!U$1,FALSE)
               +Andel_beroende_av_klimat*VLOOKUP($A24,Leveranser_per_nät,'Leveranser per nät'!U$1,FALSE)/VLOOKUP($B24,Korrigeringsfaktor_GD,'Korrigeringsfaktor GD'!U$1,FALSE),
"")</f>
        <v>3.4488888888888889</v>
      </c>
      <c r="V24" s="18">
        <f>IFERROR(
                  Andel_oberoende_av_klimat*VLOOKUP($A24,Leveranser_per_nät,'Leveranser per nät'!V$1,FALSE)
               +Andel_beroende_av_klimat*VLOOKUP($A24,Leveranser_per_nät,'Leveranser per nät'!V$1,FALSE)/VLOOKUP($B24,Korrigeringsfaktor_GD,'Korrigeringsfaktor GD'!V$1,FALSE),
"")</f>
        <v>3.5523555555555557</v>
      </c>
      <c r="W24" s="18">
        <f>IFERROR(
                  Andel_oberoende_av_klimat*VLOOKUP($A24,Leveranser_per_nät,'Leveranser per nät'!W$1,FALSE)
               +Andel_beroende_av_klimat*VLOOKUP($A24,Leveranser_per_nät,'Leveranser per nät'!W$1,FALSE)/VLOOKUP($B24,Korrigeringsfaktor_GD,'Korrigeringsfaktor GD'!W$1,FALSE),
"")</f>
        <v>3.5968052631578948</v>
      </c>
      <c r="X24" s="18">
        <f>IFERROR(
                  Andel_oberoende_av_klimat*VLOOKUP($A24,Leveranser_per_nät,'Leveranser per nät'!X$1,FALSE)
               +Andel_beroende_av_klimat*VLOOKUP($A24,Leveranser_per_nät,'Leveranser per nät'!X$1,FALSE)/VLOOKUP($B24,Korrigeringsfaktor_GD,'Korrigeringsfaktor GD'!X$1,FALSE),
"")</f>
        <v>3.6289473684210529</v>
      </c>
      <c r="Y24" s="18">
        <f>IFERROR(
                  Andel_oberoende_av_klimat*VLOOKUP($A24,Leveranser_per_nät,'Leveranser per nät'!Y$1,FALSE)
               +Andel_beroende_av_klimat*VLOOKUP($A24,Leveranser_per_nät,'Leveranser per nät'!Y$1,FALSE)/VLOOKUP($B24,Korrigeringsfaktor_GD,'Korrigeringsfaktor GD'!Y$1,FALSE),
"")</f>
        <v>3.6563829787234043</v>
      </c>
      <c r="Z24" s="18">
        <f>IFERROR(
                  Andel_oberoende_av_klimat*VLOOKUP($A24,Leveranser_per_nät,'Leveranser per nät'!Z$1,FALSE)
               +Andel_beroende_av_klimat*VLOOKUP($A24,Leveranser_per_nät,'Leveranser per nät'!Z$1,FALSE)/VLOOKUP($B24,Korrigeringsfaktor_GD,'Korrigeringsfaktor GD'!Z$1,FALSE),
"")</f>
        <v>3.7245454545454546</v>
      </c>
      <c r="AA24" s="18">
        <f>IFERROR(
                  Andel_oberoende_av_klimat*VLOOKUP($A24,Leveranser_per_nät,'Leveranser per nät'!AA$1,FALSE)
               +Andel_beroende_av_klimat*VLOOKUP($A24,Leveranser_per_nät,'Leveranser per nät'!AA$1,FALSE)/VLOOKUP($B24,Korrigeringsfaktor_GD,'Korrigeringsfaktor GD'!AA$1,FALSE),
"")</f>
        <v>3.6326947091685837</v>
      </c>
      <c r="AB24" s="18">
        <f>IFERROR(
                  Andel_oberoende_av_klimat*VLOOKUP($A24,Leveranser_per_nät,'Leveranser per nät'!AB$1,FALSE)
               +Andel_beroende_av_klimat*VLOOKUP($A24,Leveranser_per_nät,'Leveranser per nät'!AB$1,FALSE)/VLOOKUP($B24,Korrigeringsfaktor_GD,'Korrigeringsfaktor GD'!AB$1,FALSE),
"")</f>
        <v>3.3162839879154076</v>
      </c>
      <c r="AC24" s="18">
        <f>IFERROR(
                  Andel_oberoende_av_klimat*VLOOKUP($A24,Leveranser_per_nät,'Leveranser per nät'!AC$1,FALSE)
               +Andel_beroende_av_klimat*VLOOKUP($A24,Leveranser_per_nät,'Leveranser per nät'!AC$1,FALSE)/VLOOKUP($B24,Korrigeringsfaktor_GD,'Korrigeringsfaktor GD'!AC$1,FALSE),
"")</f>
        <v>3.2109985074626861</v>
      </c>
      <c r="AD24">
        <v>662.10699999999997</v>
      </c>
    </row>
    <row r="25" spans="1:30" x14ac:dyDescent="0.25">
      <c r="A25" t="s">
        <v>323</v>
      </c>
      <c r="B25" t="s">
        <v>323</v>
      </c>
      <c r="C25" s="18">
        <f>IFERROR(
                  Andel_oberoende_av_klimat*VLOOKUP($A25,Leveranser_per_nät,'Leveranser per nät'!C$1,FALSE)
               +Andel_beroende_av_klimat*VLOOKUP($A25,Leveranser_per_nät,'Leveranser per nät'!C$1,FALSE)/VLOOKUP($B25,Korrigeringsfaktor_GD,'Korrigeringsfaktor GD'!C$1,FALSE),
"")</f>
        <v>0</v>
      </c>
      <c r="D25" s="18">
        <f>IFERROR(
                  Andel_oberoende_av_klimat*VLOOKUP($A25,Leveranser_per_nät,'Leveranser per nät'!D$1,FALSE)
               +Andel_beroende_av_klimat*VLOOKUP($A25,Leveranser_per_nät,'Leveranser per nät'!D$1,FALSE)/VLOOKUP($B25,Korrigeringsfaktor_GD,'Korrigeringsfaktor GD'!D$1,FALSE),
"")</f>
        <v>0</v>
      </c>
      <c r="E25" s="18">
        <f>IFERROR(
                  Andel_oberoende_av_klimat*VLOOKUP($A25,Leveranser_per_nät,'Leveranser per nät'!E$1,FALSE)
               +Andel_beroende_av_klimat*VLOOKUP($A25,Leveranser_per_nät,'Leveranser per nät'!E$1,FALSE)/VLOOKUP($B25,Korrigeringsfaktor_GD,'Korrigeringsfaktor GD'!E$1,FALSE),
"")</f>
        <v>0</v>
      </c>
      <c r="F25" s="18">
        <f>IFERROR(
                  Andel_oberoende_av_klimat*VLOOKUP($A25,Leveranser_per_nät,'Leveranser per nät'!F$1,FALSE)
               +Andel_beroende_av_klimat*VLOOKUP($A25,Leveranser_per_nät,'Leveranser per nät'!F$1,FALSE)/VLOOKUP($B25,Korrigeringsfaktor_GD,'Korrigeringsfaktor GD'!F$1,FALSE),
"")</f>
        <v>0</v>
      </c>
      <c r="G25" s="18">
        <f>IFERROR(
                  Andel_oberoende_av_klimat*VLOOKUP($A25,Leveranser_per_nät,'Leveranser per nät'!G$1,FALSE)
               +Andel_beroende_av_klimat*VLOOKUP($A25,Leveranser_per_nät,'Leveranser per nät'!G$1,FALSE)/VLOOKUP($B25,Korrigeringsfaktor_GD,'Korrigeringsfaktor GD'!G$1,FALSE),
"")</f>
        <v>0</v>
      </c>
      <c r="H25" s="18">
        <f>IFERROR(
                  Andel_oberoende_av_klimat*VLOOKUP($A25,Leveranser_per_nät,'Leveranser per nät'!H$1,FALSE)
               +Andel_beroende_av_klimat*VLOOKUP($A25,Leveranser_per_nät,'Leveranser per nät'!H$1,FALSE)/VLOOKUP($B25,Korrigeringsfaktor_GD,'Korrigeringsfaktor GD'!H$1,FALSE),
"")</f>
        <v>0</v>
      </c>
      <c r="I25" s="18">
        <f>IFERROR(
                  Andel_oberoende_av_klimat*VLOOKUP($A25,Leveranser_per_nät,'Leveranser per nät'!I$1,FALSE)
               +Andel_beroende_av_klimat*VLOOKUP($A25,Leveranser_per_nät,'Leveranser per nät'!I$1,FALSE)/VLOOKUP($B25,Korrigeringsfaktor_GD,'Korrigeringsfaktor GD'!I$1,FALSE),
"")</f>
        <v>0</v>
      </c>
      <c r="J25" s="18">
        <f>IFERROR(
                  Andel_oberoende_av_klimat*VLOOKUP($A25,Leveranser_per_nät,'Leveranser per nät'!J$1,FALSE)
               +Andel_beroende_av_klimat*VLOOKUP($A25,Leveranser_per_nät,'Leveranser per nät'!J$1,FALSE)/VLOOKUP($B25,Korrigeringsfaktor_GD,'Korrigeringsfaktor GD'!J$1,FALSE),
"")</f>
        <v>4.2453125000000007</v>
      </c>
      <c r="K25" s="18">
        <f>IFERROR(
                  Andel_oberoende_av_klimat*VLOOKUP($A25,Leveranser_per_nät,'Leveranser per nät'!K$1,FALSE)
               +Andel_beroende_av_klimat*VLOOKUP($A25,Leveranser_per_nät,'Leveranser per nät'!K$1,FALSE)/VLOOKUP($B25,Korrigeringsfaktor_GD,'Korrigeringsfaktor GD'!K$1,FALSE),
"")</f>
        <v>4.8538567010309279</v>
      </c>
      <c r="L25" s="18">
        <f>IFERROR(
                  Andel_oberoende_av_klimat*VLOOKUP($A25,Leveranser_per_nät,'Leveranser per nät'!L$1,FALSE)
               +Andel_beroende_av_klimat*VLOOKUP($A25,Leveranser_per_nät,'Leveranser per nät'!L$1,FALSE)/VLOOKUP($B25,Korrigeringsfaktor_GD,'Korrigeringsfaktor GD'!L$1,FALSE),
"")</f>
        <v>7.0196006463958138</v>
      </c>
      <c r="M25" s="18">
        <f>IFERROR(
                  Andel_oberoende_av_klimat*VLOOKUP($A25,Leveranser_per_nät,'Leveranser per nät'!M$1,FALSE)
               +Andel_beroende_av_klimat*VLOOKUP($A25,Leveranser_per_nät,'Leveranser per nät'!M$1,FALSE)/VLOOKUP($B25,Korrigeringsfaktor_GD,'Korrigeringsfaktor GD'!M$1,FALSE),
"")</f>
        <v>7.0692433776261003</v>
      </c>
      <c r="N25" s="18">
        <f>IFERROR(
                  Andel_oberoende_av_klimat*VLOOKUP($A25,Leveranser_per_nät,'Leveranser per nät'!N$1,FALSE)
               +Andel_beroende_av_klimat*VLOOKUP($A25,Leveranser_per_nät,'Leveranser per nät'!N$1,FALSE)/VLOOKUP($B25,Korrigeringsfaktor_GD,'Korrigeringsfaktor GD'!N$1,FALSE),
"")</f>
        <v>6.956529787234043</v>
      </c>
      <c r="O25" s="18">
        <f>IFERROR(
                  Andel_oberoende_av_klimat*VLOOKUP($A25,Leveranser_per_nät,'Leveranser per nät'!O$1,FALSE)
               +Andel_beroende_av_klimat*VLOOKUP($A25,Leveranser_per_nät,'Leveranser per nät'!O$1,FALSE)/VLOOKUP($B25,Korrigeringsfaktor_GD,'Korrigeringsfaktor GD'!O$1,FALSE),
"")</f>
        <v>7.1629913043478268</v>
      </c>
      <c r="P25" s="18">
        <f>IFERROR(
                  Andel_oberoende_av_klimat*VLOOKUP($A25,Leveranser_per_nät,'Leveranser per nät'!P$1,FALSE)
               +Andel_beroende_av_klimat*VLOOKUP($A25,Leveranser_per_nät,'Leveranser per nät'!P$1,FALSE)/VLOOKUP($B25,Korrigeringsfaktor_GD,'Korrigeringsfaktor GD'!P$1,FALSE),
"")</f>
        <v>7.4377571428571434</v>
      </c>
      <c r="Q25" s="18">
        <f>IFERROR(
                  Andel_oberoende_av_klimat*VLOOKUP($A25,Leveranser_per_nät,'Leveranser per nät'!Q$1,FALSE)
               +Andel_beroende_av_klimat*VLOOKUP($A25,Leveranser_per_nät,'Leveranser per nät'!Q$1,FALSE)/VLOOKUP($B25,Korrigeringsfaktor_GD,'Korrigeringsfaktor GD'!Q$1,FALSE),
"")</f>
        <v>8.0812651376146789</v>
      </c>
      <c r="R25" s="18">
        <f>IFERROR(
                  Andel_oberoende_av_klimat*VLOOKUP($A25,Leveranser_per_nät,'Leveranser per nät'!R$1,FALSE)
               +Andel_beroende_av_klimat*VLOOKUP($A25,Leveranser_per_nät,'Leveranser per nät'!R$1,FALSE)/VLOOKUP($B25,Korrigeringsfaktor_GD,'Korrigeringsfaktor GD'!R$1,FALSE),
"")</f>
        <v>7.3883146067415728</v>
      </c>
      <c r="S25" s="18">
        <f>IFERROR(
                  Andel_oberoende_av_klimat*VLOOKUP($A25,Leveranser_per_nät,'Leveranser per nät'!S$1,FALSE)
               +Andel_beroende_av_klimat*VLOOKUP($A25,Leveranser_per_nät,'Leveranser per nät'!S$1,FALSE)/VLOOKUP($B25,Korrigeringsfaktor_GD,'Korrigeringsfaktor GD'!S$1,FALSE),
"")</f>
        <v>7.77</v>
      </c>
      <c r="T25" s="18">
        <f>IFERROR(
                  Andel_oberoende_av_klimat*VLOOKUP($A25,Leveranser_per_nät,'Leveranser per nät'!T$1,FALSE)
               +Andel_beroende_av_klimat*VLOOKUP($A25,Leveranser_per_nät,'Leveranser per nät'!T$1,FALSE)/VLOOKUP($B25,Korrigeringsfaktor_GD,'Korrigeringsfaktor GD'!T$1,FALSE),
"")</f>
        <v>7.983587096774194</v>
      </c>
      <c r="U25" s="18">
        <f>IFERROR(
                  Andel_oberoende_av_klimat*VLOOKUP($A25,Leveranser_per_nät,'Leveranser per nät'!U$1,FALSE)
               +Andel_beroende_av_klimat*VLOOKUP($A25,Leveranser_per_nät,'Leveranser per nät'!U$1,FALSE)/VLOOKUP($B25,Korrigeringsfaktor_GD,'Korrigeringsfaktor GD'!U$1,FALSE),
"")</f>
        <v>8.1955966292134832</v>
      </c>
      <c r="V25" s="18">
        <f>IFERROR(
                  Andel_oberoende_av_klimat*VLOOKUP($A25,Leveranser_per_nät,'Leveranser per nät'!V$1,FALSE)
               +Andel_beroende_av_klimat*VLOOKUP($A25,Leveranser_per_nät,'Leveranser per nät'!V$1,FALSE)/VLOOKUP($B25,Korrigeringsfaktor_GD,'Korrigeringsfaktor GD'!V$1,FALSE),
"")</f>
        <v>7.7711545454545456</v>
      </c>
      <c r="W25" s="18">
        <f>IFERROR(
                  Andel_oberoende_av_klimat*VLOOKUP($A25,Leveranser_per_nät,'Leveranser per nät'!W$1,FALSE)
               +Andel_beroende_av_klimat*VLOOKUP($A25,Leveranser_per_nät,'Leveranser per nät'!W$1,FALSE)/VLOOKUP($B25,Korrigeringsfaktor_GD,'Korrigeringsfaktor GD'!W$1,FALSE),
"")</f>
        <v>7.9740489361702132</v>
      </c>
      <c r="X25" s="18">
        <f>IFERROR(
                  Andel_oberoende_av_klimat*VLOOKUP($A25,Leveranser_per_nät,'Leveranser per nät'!X$1,FALSE)
               +Andel_beroende_av_klimat*VLOOKUP($A25,Leveranser_per_nät,'Leveranser per nät'!X$1,FALSE)/VLOOKUP($B25,Korrigeringsfaktor_GD,'Korrigeringsfaktor GD'!X$1,FALSE),
"")</f>
        <v>7.9554583333333326</v>
      </c>
      <c r="Y25" s="18">
        <f>IFERROR(
                  Andel_oberoende_av_klimat*VLOOKUP($A25,Leveranser_per_nät,'Leveranser per nät'!Y$1,FALSE)
               +Andel_beroende_av_klimat*VLOOKUP($A25,Leveranser_per_nät,'Leveranser per nät'!Y$1,FALSE)/VLOOKUP($B25,Korrigeringsfaktor_GD,'Korrigeringsfaktor GD'!Y$1,FALSE),
"")</f>
        <v>7.8873404255319137</v>
      </c>
      <c r="Z25" s="18">
        <f>IFERROR(
                  Andel_oberoende_av_klimat*VLOOKUP($A25,Leveranser_per_nät,'Leveranser per nät'!Z$1,FALSE)
               +Andel_beroende_av_klimat*VLOOKUP($A25,Leveranser_per_nät,'Leveranser per nät'!Z$1,FALSE)/VLOOKUP($B25,Korrigeringsfaktor_GD,'Korrigeringsfaktor GD'!Z$1,FALSE),
"")</f>
        <v>7.8530537634408599</v>
      </c>
      <c r="AA25" s="18">
        <f>IFERROR(
                  Andel_oberoende_av_klimat*VLOOKUP($A25,Leveranser_per_nät,'Leveranser per nät'!AA$1,FALSE)
               +Andel_beroende_av_klimat*VLOOKUP($A25,Leveranser_per_nät,'Leveranser per nät'!AA$1,FALSE)/VLOOKUP($B25,Korrigeringsfaktor_GD,'Korrigeringsfaktor GD'!AA$1,FALSE),
"")</f>
        <v>7.8708019672131151</v>
      </c>
      <c r="AB25" s="18">
        <f>IFERROR(
                  Andel_oberoende_av_klimat*VLOOKUP($A25,Leveranser_per_nät,'Leveranser per nät'!AB$1,FALSE)
               +Andel_beroende_av_klimat*VLOOKUP($A25,Leveranser_per_nät,'Leveranser per nät'!AB$1,FALSE)/VLOOKUP($B25,Korrigeringsfaktor_GD,'Korrigeringsfaktor GD'!AB$1,FALSE),
"")</f>
        <v>7.3665581395348836</v>
      </c>
      <c r="AC25" s="18">
        <f>IFERROR(
                  Andel_oberoende_av_klimat*VLOOKUP($A25,Leveranser_per_nät,'Leveranser per nät'!AC$1,FALSE)
               +Andel_beroende_av_klimat*VLOOKUP($A25,Leveranser_per_nät,'Leveranser per nät'!AC$1,FALSE)/VLOOKUP($B25,Korrigeringsfaktor_GD,'Korrigeringsfaktor GD'!AC$1,FALSE),
"")</f>
        <v>6.7890267765190533</v>
      </c>
      <c r="AD25">
        <v>6.65</v>
      </c>
    </row>
    <row r="26" spans="1:30" x14ac:dyDescent="0.25">
      <c r="A26" t="s">
        <v>109</v>
      </c>
      <c r="B26" t="s">
        <v>110</v>
      </c>
      <c r="C26" s="18">
        <f>IFERROR(
                  Andel_oberoende_av_klimat*VLOOKUP($A26,Leveranser_per_nät,'Leveranser per nät'!C$1,FALSE)
               +Andel_beroende_av_klimat*VLOOKUP($A26,Leveranser_per_nät,'Leveranser per nät'!C$1,FALSE)/VLOOKUP($B26,Korrigeringsfaktor_GD,'Korrigeringsfaktor GD'!C$1,FALSE),
"")</f>
        <v>0</v>
      </c>
      <c r="D26" s="18">
        <f>IFERROR(
                  Andel_oberoende_av_klimat*VLOOKUP($A26,Leveranser_per_nät,'Leveranser per nät'!D$1,FALSE)
               +Andel_beroende_av_klimat*VLOOKUP($A26,Leveranser_per_nät,'Leveranser per nät'!D$1,FALSE)/VLOOKUP($B26,Korrigeringsfaktor_GD,'Korrigeringsfaktor GD'!D$1,FALSE),
"")</f>
        <v>0</v>
      </c>
      <c r="E26" s="18">
        <f>IFERROR(
                  Andel_oberoende_av_klimat*VLOOKUP($A26,Leveranser_per_nät,'Leveranser per nät'!E$1,FALSE)
               +Andel_beroende_av_klimat*VLOOKUP($A26,Leveranser_per_nät,'Leveranser per nät'!E$1,FALSE)/VLOOKUP($B26,Korrigeringsfaktor_GD,'Korrigeringsfaktor GD'!E$1,FALSE),
"")</f>
        <v>0</v>
      </c>
      <c r="F26" s="18">
        <f>IFERROR(
                  Andel_oberoende_av_klimat*VLOOKUP($A26,Leveranser_per_nät,'Leveranser per nät'!F$1,FALSE)
               +Andel_beroende_av_klimat*VLOOKUP($A26,Leveranser_per_nät,'Leveranser per nät'!F$1,FALSE)/VLOOKUP($B26,Korrigeringsfaktor_GD,'Korrigeringsfaktor GD'!F$1,FALSE),
"")</f>
        <v>0</v>
      </c>
      <c r="G26" s="18">
        <f>IFERROR(
                  Andel_oberoende_av_klimat*VLOOKUP($A26,Leveranser_per_nät,'Leveranser per nät'!G$1,FALSE)
               +Andel_beroende_av_klimat*VLOOKUP($A26,Leveranser_per_nät,'Leveranser per nät'!G$1,FALSE)/VLOOKUP($B26,Korrigeringsfaktor_GD,'Korrigeringsfaktor GD'!G$1,FALSE),
"")</f>
        <v>0</v>
      </c>
      <c r="H26" s="18">
        <f>IFERROR(
                  Andel_oberoende_av_klimat*VLOOKUP($A26,Leveranser_per_nät,'Leveranser per nät'!H$1,FALSE)
               +Andel_beroende_av_klimat*VLOOKUP($A26,Leveranser_per_nät,'Leveranser per nät'!H$1,FALSE)/VLOOKUP($B26,Korrigeringsfaktor_GD,'Korrigeringsfaktor GD'!H$1,FALSE),
"")</f>
        <v>0</v>
      </c>
      <c r="I26" s="18">
        <f>IFERROR(
                  Andel_oberoende_av_klimat*VLOOKUP($A26,Leveranser_per_nät,'Leveranser per nät'!I$1,FALSE)
               +Andel_beroende_av_klimat*VLOOKUP($A26,Leveranser_per_nät,'Leveranser per nät'!I$1,FALSE)/VLOOKUP($B26,Korrigeringsfaktor_GD,'Korrigeringsfaktor GD'!I$1,FALSE),
"")</f>
        <v>0</v>
      </c>
      <c r="J26" s="18">
        <f>IFERROR(
                  Andel_oberoende_av_klimat*VLOOKUP($A26,Leveranser_per_nät,'Leveranser per nät'!J$1,FALSE)
               +Andel_beroende_av_klimat*VLOOKUP($A26,Leveranser_per_nät,'Leveranser per nät'!J$1,FALSE)/VLOOKUP($B26,Korrigeringsfaktor_GD,'Korrigeringsfaktor GD'!J$1,FALSE),
"")</f>
        <v>0</v>
      </c>
      <c r="K26" s="18">
        <f>IFERROR(
                  Andel_oberoende_av_klimat*VLOOKUP($A26,Leveranser_per_nät,'Leveranser per nät'!K$1,FALSE)
               +Andel_beroende_av_klimat*VLOOKUP($A26,Leveranser_per_nät,'Leveranser per nät'!K$1,FALSE)/VLOOKUP($B26,Korrigeringsfaktor_GD,'Korrigeringsfaktor GD'!K$1,FALSE),
"")</f>
        <v>0</v>
      </c>
      <c r="L26" s="18">
        <f>IFERROR(
                  Andel_oberoende_av_klimat*VLOOKUP($A26,Leveranser_per_nät,'Leveranser per nät'!L$1,FALSE)
               +Andel_beroende_av_klimat*VLOOKUP($A26,Leveranser_per_nät,'Leveranser per nät'!L$1,FALSE)/VLOOKUP($B26,Korrigeringsfaktor_GD,'Korrigeringsfaktor GD'!L$1,FALSE),
"")</f>
        <v>0</v>
      </c>
      <c r="M26" s="18">
        <f>IFERROR(
                  Andel_oberoende_av_klimat*VLOOKUP($A26,Leveranser_per_nät,'Leveranser per nät'!M$1,FALSE)
               +Andel_beroende_av_klimat*VLOOKUP($A26,Leveranser_per_nät,'Leveranser per nät'!M$1,FALSE)/VLOOKUP($B26,Korrigeringsfaktor_GD,'Korrigeringsfaktor GD'!M$1,FALSE),
"")</f>
        <v>0</v>
      </c>
      <c r="N26" s="18">
        <f>IFERROR(
                  Andel_oberoende_av_klimat*VLOOKUP($A26,Leveranser_per_nät,'Leveranser per nät'!N$1,FALSE)
               +Andel_beroende_av_klimat*VLOOKUP($A26,Leveranser_per_nät,'Leveranser per nät'!N$1,FALSE)/VLOOKUP($B26,Korrigeringsfaktor_GD,'Korrigeringsfaktor GD'!N$1,FALSE),
"")</f>
        <v>1.3048695652173914</v>
      </c>
      <c r="O26" s="18">
        <f>IFERROR(
                  Andel_oberoende_av_klimat*VLOOKUP($A26,Leveranser_per_nät,'Leveranser per nät'!O$1,FALSE)
               +Andel_beroende_av_klimat*VLOOKUP($A26,Leveranser_per_nät,'Leveranser per nät'!O$1,FALSE)/VLOOKUP($B26,Korrigeringsfaktor_GD,'Korrigeringsfaktor GD'!O$1,FALSE),
"")</f>
        <v>3.2397692307692303</v>
      </c>
      <c r="P26" s="18">
        <f>IFERROR(
                  Andel_oberoende_av_klimat*VLOOKUP($A26,Leveranser_per_nät,'Leveranser per nät'!P$1,FALSE)
               +Andel_beroende_av_klimat*VLOOKUP($A26,Leveranser_per_nät,'Leveranser per nät'!P$1,FALSE)/VLOOKUP($B26,Korrigeringsfaktor_GD,'Korrigeringsfaktor GD'!P$1,FALSE),
"")</f>
        <v>3.1250142857142857</v>
      </c>
      <c r="Q26" s="18">
        <f>IFERROR(
                  Andel_oberoende_av_klimat*VLOOKUP($A26,Leveranser_per_nät,'Leveranser per nät'!Q$1,FALSE)
               +Andel_beroende_av_klimat*VLOOKUP($A26,Leveranser_per_nät,'Leveranser per nät'!Q$1,FALSE)/VLOOKUP($B26,Korrigeringsfaktor_GD,'Korrigeringsfaktor GD'!Q$1,FALSE),
"")</f>
        <v>3.6693130434782613</v>
      </c>
      <c r="R26" s="18">
        <f>IFERROR(
                  Andel_oberoende_av_klimat*VLOOKUP($A26,Leveranser_per_nät,'Leveranser per nät'!R$1,FALSE)
               +Andel_beroende_av_klimat*VLOOKUP($A26,Leveranser_per_nät,'Leveranser per nät'!R$1,FALSE)/VLOOKUP($B26,Korrigeringsfaktor_GD,'Korrigeringsfaktor GD'!R$1,FALSE),
"")</f>
        <v>4.4188888888888886</v>
      </c>
      <c r="S26" s="18">
        <f>IFERROR(
                  Andel_oberoende_av_klimat*VLOOKUP($A26,Leveranser_per_nät,'Leveranser per nät'!S$1,FALSE)
               +Andel_beroende_av_klimat*VLOOKUP($A26,Leveranser_per_nät,'Leveranser per nät'!S$1,FALSE)/VLOOKUP($B26,Korrigeringsfaktor_GD,'Korrigeringsfaktor GD'!S$1,FALSE),
"")</f>
        <v>4.9346464646464652</v>
      </c>
      <c r="T26" s="18">
        <f>IFERROR(
                  Andel_oberoende_av_klimat*VLOOKUP($A26,Leveranser_per_nät,'Leveranser per nät'!T$1,FALSE)
               +Andel_beroende_av_klimat*VLOOKUP($A26,Leveranser_per_nät,'Leveranser per nät'!T$1,FALSE)/VLOOKUP($B26,Korrigeringsfaktor_GD,'Korrigeringsfaktor GD'!T$1,FALSE),
"")</f>
        <v>4.8588106382978724</v>
      </c>
      <c r="U26" s="18">
        <f>IFERROR(
                  Andel_oberoende_av_klimat*VLOOKUP($A26,Leveranser_per_nät,'Leveranser per nät'!U$1,FALSE)
               +Andel_beroende_av_klimat*VLOOKUP($A26,Leveranser_per_nät,'Leveranser per nät'!U$1,FALSE)/VLOOKUP($B26,Korrigeringsfaktor_GD,'Korrigeringsfaktor GD'!U$1,FALSE),
"")</f>
        <v>4.8528636363636366</v>
      </c>
      <c r="V26" s="18">
        <f>IFERROR(
                  Andel_oberoende_av_klimat*VLOOKUP($A26,Leveranser_per_nät,'Leveranser per nät'!V$1,FALSE)
               +Andel_beroende_av_klimat*VLOOKUP($A26,Leveranser_per_nät,'Leveranser per nät'!V$1,FALSE)/VLOOKUP($B26,Korrigeringsfaktor_GD,'Korrigeringsfaktor GD'!V$1,FALSE),
"")</f>
        <v>4.8931111111111116</v>
      </c>
      <c r="W26" s="18">
        <f>IFERROR(
                  Andel_oberoende_av_klimat*VLOOKUP($A26,Leveranser_per_nät,'Leveranser per nät'!W$1,FALSE)
               +Andel_beroende_av_klimat*VLOOKUP($A26,Leveranser_per_nät,'Leveranser per nät'!W$1,FALSE)/VLOOKUP($B26,Korrigeringsfaktor_GD,'Korrigeringsfaktor GD'!W$1,FALSE),
"")</f>
        <v>3.8339787234042557</v>
      </c>
      <c r="X26" s="18">
        <f>IFERROR(
                  Andel_oberoende_av_klimat*VLOOKUP($A26,Leveranser_per_nät,'Leveranser per nät'!X$1,FALSE)
               +Andel_beroende_av_klimat*VLOOKUP($A26,Leveranser_per_nät,'Leveranser per nät'!X$1,FALSE)/VLOOKUP($B26,Korrigeringsfaktor_GD,'Korrigeringsfaktor GD'!X$1,FALSE),
"")</f>
        <v>3.2521666666666667</v>
      </c>
      <c r="Y26" s="18">
        <f>IFERROR(
                  Andel_oberoende_av_klimat*VLOOKUP($A26,Leveranser_per_nät,'Leveranser per nät'!Y$1,FALSE)
               +Andel_beroende_av_klimat*VLOOKUP($A26,Leveranser_per_nät,'Leveranser per nät'!Y$1,FALSE)/VLOOKUP($B26,Korrigeringsfaktor_GD,'Korrigeringsfaktor GD'!Y$1,FALSE),
"")</f>
        <v>3.8466842105263161</v>
      </c>
      <c r="Z26" s="18">
        <f>IFERROR(
                  Andel_oberoende_av_klimat*VLOOKUP($A26,Leveranser_per_nät,'Leveranser per nät'!Z$1,FALSE)
               +Andel_beroende_av_klimat*VLOOKUP($A26,Leveranser_per_nät,'Leveranser per nät'!Z$1,FALSE)/VLOOKUP($B26,Korrigeringsfaktor_GD,'Korrigeringsfaktor GD'!Z$1,FALSE),
"")</f>
        <v>4.3026067415730331</v>
      </c>
      <c r="AA26" s="18">
        <f>IFERROR(
                  Andel_oberoende_av_klimat*VLOOKUP($A26,Leveranser_per_nät,'Leveranser per nät'!AA$1,FALSE)
               +Andel_beroende_av_klimat*VLOOKUP($A26,Leveranser_per_nät,'Leveranser per nät'!AA$1,FALSE)/VLOOKUP($B26,Korrigeringsfaktor_GD,'Korrigeringsfaktor GD'!AA$1,FALSE),
"")</f>
        <v>4.1046686746987948</v>
      </c>
      <c r="AB26" s="18">
        <f>IFERROR(
                  Andel_oberoende_av_klimat*VLOOKUP($A26,Leveranser_per_nät,'Leveranser per nät'!AB$1,FALSE)
               +Andel_beroende_av_klimat*VLOOKUP($A26,Leveranser_per_nät,'Leveranser per nät'!AB$1,FALSE)/VLOOKUP($B26,Korrigeringsfaktor_GD,'Korrigeringsfaktor GD'!AB$1,FALSE),
"")</f>
        <v>3.8885750736015696</v>
      </c>
      <c r="AC26" s="18">
        <f>IFERROR(
                  Andel_oberoende_av_klimat*VLOOKUP($A26,Leveranser_per_nät,'Leveranser per nät'!AC$1,FALSE)
               +Andel_beroende_av_klimat*VLOOKUP($A26,Leveranser_per_nät,'Leveranser per nät'!AC$1,FALSE)/VLOOKUP($B26,Korrigeringsfaktor_GD,'Korrigeringsfaktor GD'!AC$1,FALSE),
"")</f>
        <v>3.8654098360655738</v>
      </c>
      <c r="AD26">
        <v>374.2</v>
      </c>
    </row>
    <row r="27" spans="1:30" x14ac:dyDescent="0.25">
      <c r="A27" t="s">
        <v>213</v>
      </c>
      <c r="B27" t="s">
        <v>213</v>
      </c>
      <c r="C27" s="18">
        <f>IFERROR(
                  Andel_oberoende_av_klimat*VLOOKUP($A27,Leveranser_per_nät,'Leveranser per nät'!C$1,FALSE)
               +Andel_beroende_av_klimat*VLOOKUP($A27,Leveranser_per_nät,'Leveranser per nät'!C$1,FALSE)/VLOOKUP($B27,Korrigeringsfaktor_GD,'Korrigeringsfaktor GD'!C$1,FALSE),
"")</f>
        <v>0</v>
      </c>
      <c r="D27" s="18">
        <f>IFERROR(
                  Andel_oberoende_av_klimat*VLOOKUP($A27,Leveranser_per_nät,'Leveranser per nät'!D$1,FALSE)
               +Andel_beroende_av_klimat*VLOOKUP($A27,Leveranser_per_nät,'Leveranser per nät'!D$1,FALSE)/VLOOKUP($B27,Korrigeringsfaktor_GD,'Korrigeringsfaktor GD'!D$1,FALSE),
"")</f>
        <v>0</v>
      </c>
      <c r="E27" s="18">
        <f>IFERROR(
                  Andel_oberoende_av_klimat*VLOOKUP($A27,Leveranser_per_nät,'Leveranser per nät'!E$1,FALSE)
               +Andel_beroende_av_klimat*VLOOKUP($A27,Leveranser_per_nät,'Leveranser per nät'!E$1,FALSE)/VLOOKUP($B27,Korrigeringsfaktor_GD,'Korrigeringsfaktor GD'!E$1,FALSE),
"")</f>
        <v>0</v>
      </c>
      <c r="F27" s="18">
        <f>IFERROR(
                  Andel_oberoende_av_klimat*VLOOKUP($A27,Leveranser_per_nät,'Leveranser per nät'!F$1,FALSE)
               +Andel_beroende_av_klimat*VLOOKUP($A27,Leveranser_per_nät,'Leveranser per nät'!F$1,FALSE)/VLOOKUP($B27,Korrigeringsfaktor_GD,'Korrigeringsfaktor GD'!F$1,FALSE),
"")</f>
        <v>0</v>
      </c>
      <c r="G27" s="18">
        <f>IFERROR(
                  Andel_oberoende_av_klimat*VLOOKUP($A27,Leveranser_per_nät,'Leveranser per nät'!G$1,FALSE)
               +Andel_beroende_av_klimat*VLOOKUP($A27,Leveranser_per_nät,'Leveranser per nät'!G$1,FALSE)/VLOOKUP($B27,Korrigeringsfaktor_GD,'Korrigeringsfaktor GD'!G$1,FALSE),
"")</f>
        <v>0</v>
      </c>
      <c r="H27" s="18">
        <f>IFERROR(
                  Andel_oberoende_av_klimat*VLOOKUP($A27,Leveranser_per_nät,'Leveranser per nät'!H$1,FALSE)
               +Andel_beroende_av_klimat*VLOOKUP($A27,Leveranser_per_nät,'Leveranser per nät'!H$1,FALSE)/VLOOKUP($B27,Korrigeringsfaktor_GD,'Korrigeringsfaktor GD'!H$1,FALSE),
"")</f>
        <v>18.868316831683167</v>
      </c>
      <c r="I27" s="18">
        <f>IFERROR(
                  Andel_oberoende_av_klimat*VLOOKUP($A27,Leveranser_per_nät,'Leveranser per nät'!I$1,FALSE)
               +Andel_beroende_av_klimat*VLOOKUP($A27,Leveranser_per_nät,'Leveranser per nät'!I$1,FALSE)/VLOOKUP($B27,Korrigeringsfaktor_GD,'Korrigeringsfaktor GD'!I$1,FALSE),
"")</f>
        <v>21.267705263157897</v>
      </c>
      <c r="J27" s="18">
        <f>IFERROR(
                  Andel_oberoende_av_klimat*VLOOKUP($A27,Leveranser_per_nät,'Leveranser per nät'!J$1,FALSE)
               +Andel_beroende_av_klimat*VLOOKUP($A27,Leveranser_per_nät,'Leveranser per nät'!J$1,FALSE)/VLOOKUP($B27,Korrigeringsfaktor_GD,'Korrigeringsfaktor GD'!J$1,FALSE),
"")</f>
        <v>21.304580808080811</v>
      </c>
      <c r="K27" s="18">
        <f>IFERROR(
                  Andel_oberoende_av_klimat*VLOOKUP($A27,Leveranser_per_nät,'Leveranser per nät'!K$1,FALSE)
               +Andel_beroende_av_klimat*VLOOKUP($A27,Leveranser_per_nät,'Leveranser per nät'!K$1,FALSE)/VLOOKUP($B27,Korrigeringsfaktor_GD,'Korrigeringsfaktor GD'!K$1,FALSE),
"")</f>
        <v>22.279425252525254</v>
      </c>
      <c r="L27" s="18">
        <f>IFERROR(
                  Andel_oberoende_av_klimat*VLOOKUP($A27,Leveranser_per_nät,'Leveranser per nät'!L$1,FALSE)
               +Andel_beroende_av_klimat*VLOOKUP($A27,Leveranser_per_nät,'Leveranser per nät'!L$1,FALSE)/VLOOKUP($B27,Korrigeringsfaktor_GD,'Korrigeringsfaktor GD'!L$1,FALSE),
"")</f>
        <v>22.107473195876288</v>
      </c>
      <c r="M27" s="18">
        <f>IFERROR(
                  Andel_oberoende_av_klimat*VLOOKUP($A27,Leveranser_per_nät,'Leveranser per nät'!M$1,FALSE)
               +Andel_beroende_av_klimat*VLOOKUP($A27,Leveranser_per_nät,'Leveranser per nät'!M$1,FALSE)/VLOOKUP($B27,Korrigeringsfaktor_GD,'Korrigeringsfaktor GD'!M$1,FALSE),
"")</f>
        <v>23.79812150537634</v>
      </c>
      <c r="N27" s="18">
        <f>IFERROR(
                  Andel_oberoende_av_klimat*VLOOKUP($A27,Leveranser_per_nät,'Leveranser per nät'!N$1,FALSE)
               +Andel_beroende_av_klimat*VLOOKUP($A27,Leveranser_per_nät,'Leveranser per nät'!N$1,FALSE)/VLOOKUP($B27,Korrigeringsfaktor_GD,'Korrigeringsfaktor GD'!N$1,FALSE),
"")</f>
        <v>5.6963636363636363</v>
      </c>
      <c r="O27" s="18">
        <f>IFERROR(
                  Andel_oberoende_av_klimat*VLOOKUP($A27,Leveranser_per_nät,'Leveranser per nät'!O$1,FALSE)
               +Andel_beroende_av_klimat*VLOOKUP($A27,Leveranser_per_nät,'Leveranser per nät'!O$1,FALSE)/VLOOKUP($B27,Korrigeringsfaktor_GD,'Korrigeringsfaktor GD'!O$1,FALSE),
"")</f>
        <v>23.771363636363635</v>
      </c>
      <c r="P27" s="18">
        <f>IFERROR(
                  Andel_oberoende_av_klimat*VLOOKUP($A27,Leveranser_per_nät,'Leveranser per nät'!P$1,FALSE)
               +Andel_beroende_av_klimat*VLOOKUP($A27,Leveranser_per_nät,'Leveranser per nät'!P$1,FALSE)/VLOOKUP($B27,Korrigeringsfaktor_GD,'Korrigeringsfaktor GD'!P$1,FALSE),
"")</f>
        <v>27.890416666666667</v>
      </c>
      <c r="Q27" s="18">
        <f>IFERROR(
                  Andel_oberoende_av_klimat*VLOOKUP($A27,Leveranser_per_nät,'Leveranser per nät'!Q$1,FALSE)
               +Andel_beroende_av_klimat*VLOOKUP($A27,Leveranser_per_nät,'Leveranser per nät'!Q$1,FALSE)/VLOOKUP($B27,Korrigeringsfaktor_GD,'Korrigeringsfaktor GD'!Q$1,FALSE),
"")</f>
        <v>30.748487179487178</v>
      </c>
      <c r="R27" s="18">
        <f>IFERROR(
                  Andel_oberoende_av_klimat*VLOOKUP($A27,Leveranser_per_nät,'Leveranser per nät'!R$1,FALSE)
               +Andel_beroende_av_klimat*VLOOKUP($A27,Leveranser_per_nät,'Leveranser per nät'!R$1,FALSE)/VLOOKUP($B27,Korrigeringsfaktor_GD,'Korrigeringsfaktor GD'!R$1,FALSE),
"")</f>
        <v>36.738817204301071</v>
      </c>
      <c r="S27" s="18">
        <f>IFERROR(
                  Andel_oberoende_av_klimat*VLOOKUP($A27,Leveranser_per_nät,'Leveranser per nät'!S$1,FALSE)
               +Andel_beroende_av_klimat*VLOOKUP($A27,Leveranser_per_nät,'Leveranser per nät'!S$1,FALSE)/VLOOKUP($B27,Korrigeringsfaktor_GD,'Korrigeringsfaktor GD'!S$1,FALSE),
"")</f>
        <v>35.21</v>
      </c>
      <c r="T27" s="18">
        <f>IFERROR(
                  Andel_oberoende_av_klimat*VLOOKUP($A27,Leveranser_per_nät,'Leveranser per nät'!T$1,FALSE)
               +Andel_beroende_av_klimat*VLOOKUP($A27,Leveranser_per_nät,'Leveranser per nät'!T$1,FALSE)/VLOOKUP($B27,Korrigeringsfaktor_GD,'Korrigeringsfaktor GD'!T$1,FALSE),
"")</f>
        <v>50.399999999999991</v>
      </c>
      <c r="U27" s="18">
        <f>IFERROR(
                  Andel_oberoende_av_klimat*VLOOKUP($A27,Leveranser_per_nät,'Leveranser per nät'!U$1,FALSE)
               +Andel_beroende_av_klimat*VLOOKUP($A27,Leveranser_per_nät,'Leveranser per nät'!U$1,FALSE)/VLOOKUP($B27,Korrigeringsfaktor_GD,'Korrigeringsfaktor GD'!U$1,FALSE),
"")</f>
        <v>27.638823529411766</v>
      </c>
      <c r="V27" s="18">
        <f>IFERROR(
                  Andel_oberoende_av_klimat*VLOOKUP($A27,Leveranser_per_nät,'Leveranser per nät'!V$1,FALSE)
               +Andel_beroende_av_klimat*VLOOKUP($A27,Leveranser_per_nät,'Leveranser per nät'!V$1,FALSE)/VLOOKUP($B27,Korrigeringsfaktor_GD,'Korrigeringsfaktor GD'!V$1,FALSE),
"")</f>
        <v>26.946086956521736</v>
      </c>
      <c r="W27" s="18">
        <f>IFERROR(
                  Andel_oberoende_av_klimat*VLOOKUP($A27,Leveranser_per_nät,'Leveranser per nät'!W$1,FALSE)
               +Andel_beroende_av_klimat*VLOOKUP($A27,Leveranser_per_nät,'Leveranser per nät'!W$1,FALSE)/VLOOKUP($B27,Korrigeringsfaktor_GD,'Korrigeringsfaktor GD'!W$1,FALSE),
"")</f>
        <v>26.543157894736844</v>
      </c>
      <c r="X27" s="18">
        <f>IFERROR(
                  Andel_oberoende_av_klimat*VLOOKUP($A27,Leveranser_per_nät,'Leveranser per nät'!X$1,FALSE)
               +Andel_beroende_av_klimat*VLOOKUP($A27,Leveranser_per_nät,'Leveranser per nät'!X$1,FALSE)/VLOOKUP($B27,Korrigeringsfaktor_GD,'Korrigeringsfaktor GD'!X$1,FALSE),
"")</f>
        <v>28.101914893617021</v>
      </c>
      <c r="Y27" s="18">
        <f>IFERROR(
                  Andel_oberoende_av_klimat*VLOOKUP($A27,Leveranser_per_nät,'Leveranser per nät'!Y$1,FALSE)
               +Andel_beroende_av_klimat*VLOOKUP($A27,Leveranser_per_nät,'Leveranser per nät'!Y$1,FALSE)/VLOOKUP($B27,Korrigeringsfaktor_GD,'Korrigeringsfaktor GD'!Y$1,FALSE),
"")</f>
        <v>27.609433333333335</v>
      </c>
      <c r="Z27" s="18">
        <f>IFERROR(
                  Andel_oberoende_av_klimat*VLOOKUP($A27,Leveranser_per_nät,'Leveranser per nät'!Z$1,FALSE)
               +Andel_beroende_av_klimat*VLOOKUP($A27,Leveranser_per_nät,'Leveranser per nät'!Z$1,FALSE)/VLOOKUP($B27,Korrigeringsfaktor_GD,'Korrigeringsfaktor GD'!Z$1,FALSE),
"")</f>
        <v>25.080295698924729</v>
      </c>
      <c r="AA27" s="18">
        <f>IFERROR(
                  Andel_oberoende_av_klimat*VLOOKUP($A27,Leveranser_per_nät,'Leveranser per nät'!AA$1,FALSE)
               +Andel_beroende_av_klimat*VLOOKUP($A27,Leveranser_per_nät,'Leveranser per nät'!AA$1,FALSE)/VLOOKUP($B27,Korrigeringsfaktor_GD,'Korrigeringsfaktor GD'!AA$1,FALSE),
"")</f>
        <v>24.391464960629918</v>
      </c>
      <c r="AB27" s="18">
        <f>IFERROR(
                  Andel_oberoende_av_klimat*VLOOKUP($A27,Leveranser_per_nät,'Leveranser per nät'!AB$1,FALSE)
               +Andel_beroende_av_klimat*VLOOKUP($A27,Leveranser_per_nät,'Leveranser per nät'!AB$1,FALSE)/VLOOKUP($B27,Korrigeringsfaktor_GD,'Korrigeringsfaktor GD'!AB$1,FALSE),
"")</f>
        <v>25.898432416502946</v>
      </c>
      <c r="AC27" s="18">
        <f>IFERROR(
                  Andel_oberoende_av_klimat*VLOOKUP($A27,Leveranser_per_nät,'Leveranser per nät'!AC$1,FALSE)
               +Andel_beroende_av_klimat*VLOOKUP($A27,Leveranser_per_nät,'Leveranser per nät'!AC$1,FALSE)/VLOOKUP($B27,Korrigeringsfaktor_GD,'Korrigeringsfaktor GD'!AC$1,FALSE),
"")</f>
        <v>28.907387460148779</v>
      </c>
      <c r="AD27">
        <v>24.338999999999999</v>
      </c>
    </row>
    <row r="28" spans="1:30" x14ac:dyDescent="0.25">
      <c r="A28" t="s">
        <v>178</v>
      </c>
      <c r="B28" t="s">
        <v>151</v>
      </c>
      <c r="C28" s="18">
        <f>IFERROR(
                  Andel_oberoende_av_klimat*VLOOKUP($A28,Leveranser_per_nät,'Leveranser per nät'!C$1,FALSE)
               +Andel_beroende_av_klimat*VLOOKUP($A28,Leveranser_per_nät,'Leveranser per nät'!C$1,FALSE)/VLOOKUP($B28,Korrigeringsfaktor_GD,'Korrigeringsfaktor GD'!C$1,FALSE),
"")</f>
        <v>0</v>
      </c>
      <c r="D28" s="18">
        <f>IFERROR(
                  Andel_oberoende_av_klimat*VLOOKUP($A28,Leveranser_per_nät,'Leveranser per nät'!D$1,FALSE)
               +Andel_beroende_av_klimat*VLOOKUP($A28,Leveranser_per_nät,'Leveranser per nät'!D$1,FALSE)/VLOOKUP($B28,Korrigeringsfaktor_GD,'Korrigeringsfaktor GD'!D$1,FALSE),
"")</f>
        <v>0</v>
      </c>
      <c r="E28" s="18">
        <f>IFERROR(
                  Andel_oberoende_av_klimat*VLOOKUP($A28,Leveranser_per_nät,'Leveranser per nät'!E$1,FALSE)
               +Andel_beroende_av_klimat*VLOOKUP($A28,Leveranser_per_nät,'Leveranser per nät'!E$1,FALSE)/VLOOKUP($B28,Korrigeringsfaktor_GD,'Korrigeringsfaktor GD'!E$1,FALSE),
"")</f>
        <v>0</v>
      </c>
      <c r="F28" s="18">
        <f>IFERROR(
                  Andel_oberoende_av_klimat*VLOOKUP($A28,Leveranser_per_nät,'Leveranser per nät'!F$1,FALSE)
               +Andel_beroende_av_klimat*VLOOKUP($A28,Leveranser_per_nät,'Leveranser per nät'!F$1,FALSE)/VLOOKUP($B28,Korrigeringsfaktor_GD,'Korrigeringsfaktor GD'!F$1,FALSE),
"")</f>
        <v>0</v>
      </c>
      <c r="G28" s="18">
        <f>IFERROR(
                  Andel_oberoende_av_klimat*VLOOKUP($A28,Leveranser_per_nät,'Leveranser per nät'!G$1,FALSE)
               +Andel_beroende_av_klimat*VLOOKUP($A28,Leveranser_per_nät,'Leveranser per nät'!G$1,FALSE)/VLOOKUP($B28,Korrigeringsfaktor_GD,'Korrigeringsfaktor GD'!G$1,FALSE),
"")</f>
        <v>0</v>
      </c>
      <c r="H28" s="18">
        <f>IFERROR(
                  Andel_oberoende_av_klimat*VLOOKUP($A28,Leveranser_per_nät,'Leveranser per nät'!H$1,FALSE)
               +Andel_beroende_av_klimat*VLOOKUP($A28,Leveranser_per_nät,'Leveranser per nät'!H$1,FALSE)/VLOOKUP($B28,Korrigeringsfaktor_GD,'Korrigeringsfaktor GD'!H$1,FALSE),
"")</f>
        <v>0</v>
      </c>
      <c r="I28" s="18">
        <f>IFERROR(
                  Andel_oberoende_av_klimat*VLOOKUP($A28,Leveranser_per_nät,'Leveranser per nät'!I$1,FALSE)
               +Andel_beroende_av_klimat*VLOOKUP($A28,Leveranser_per_nät,'Leveranser per nät'!I$1,FALSE)/VLOOKUP($B28,Korrigeringsfaktor_GD,'Korrigeringsfaktor GD'!I$1,FALSE),
"")</f>
        <v>0</v>
      </c>
      <c r="J28" s="18">
        <f>IFERROR(
                  Andel_oberoende_av_klimat*VLOOKUP($A28,Leveranser_per_nät,'Leveranser per nät'!J$1,FALSE)
               +Andel_beroende_av_klimat*VLOOKUP($A28,Leveranser_per_nät,'Leveranser per nät'!J$1,FALSE)/VLOOKUP($B28,Korrigeringsfaktor_GD,'Korrigeringsfaktor GD'!J$1,FALSE),
"")</f>
        <v>0</v>
      </c>
      <c r="K28" s="18">
        <f>IFERROR(
                  Andel_oberoende_av_klimat*VLOOKUP($A28,Leveranser_per_nät,'Leveranser per nät'!K$1,FALSE)
               +Andel_beroende_av_klimat*VLOOKUP($A28,Leveranser_per_nät,'Leveranser per nät'!K$1,FALSE)/VLOOKUP($B28,Korrigeringsfaktor_GD,'Korrigeringsfaktor GD'!K$1,FALSE),
"")</f>
        <v>0</v>
      </c>
      <c r="L28" s="18">
        <f>IFERROR(
                  Andel_oberoende_av_klimat*VLOOKUP($A28,Leveranser_per_nät,'Leveranser per nät'!L$1,FALSE)
               +Andel_beroende_av_klimat*VLOOKUP($A28,Leveranser_per_nät,'Leveranser per nät'!L$1,FALSE)/VLOOKUP($B28,Korrigeringsfaktor_GD,'Korrigeringsfaktor GD'!L$1,FALSE),
"")</f>
        <v>0</v>
      </c>
      <c r="M28" s="18">
        <f>IFERROR(
                  Andel_oberoende_av_klimat*VLOOKUP($A28,Leveranser_per_nät,'Leveranser per nät'!M$1,FALSE)
               +Andel_beroende_av_klimat*VLOOKUP($A28,Leveranser_per_nät,'Leveranser per nät'!M$1,FALSE)/VLOOKUP($B28,Korrigeringsfaktor_GD,'Korrigeringsfaktor GD'!M$1,FALSE),
"")</f>
        <v>0.11263763440860214</v>
      </c>
      <c r="N28" s="18">
        <f>IFERROR(
                  Andel_oberoende_av_klimat*VLOOKUP($A28,Leveranser_per_nät,'Leveranser per nät'!N$1,FALSE)
               +Andel_beroende_av_klimat*VLOOKUP($A28,Leveranser_per_nät,'Leveranser per nät'!N$1,FALSE)/VLOOKUP($B28,Korrigeringsfaktor_GD,'Korrigeringsfaktor GD'!N$1,FALSE),
"")</f>
        <v>0.11625730337078652</v>
      </c>
      <c r="O28" s="18">
        <f>IFERROR(
                  Andel_oberoende_av_klimat*VLOOKUP($A28,Leveranser_per_nät,'Leveranser per nät'!O$1,FALSE)
               +Andel_beroende_av_klimat*VLOOKUP($A28,Leveranser_per_nät,'Leveranser per nät'!O$1,FALSE)/VLOOKUP($B28,Korrigeringsfaktor_GD,'Korrigeringsfaktor GD'!O$1,FALSE),
"")</f>
        <v>4.8132696629213489</v>
      </c>
      <c r="P28" s="18">
        <f>IFERROR(
                  Andel_oberoende_av_klimat*VLOOKUP($A28,Leveranser_per_nät,'Leveranser per nät'!P$1,FALSE)
               +Andel_beroende_av_klimat*VLOOKUP($A28,Leveranser_per_nät,'Leveranser per nät'!P$1,FALSE)/VLOOKUP($B28,Korrigeringsfaktor_GD,'Korrigeringsfaktor GD'!P$1,FALSE),
"")</f>
        <v>8.9424979381443315</v>
      </c>
      <c r="Q28" s="18">
        <f>IFERROR(
                  Andel_oberoende_av_klimat*VLOOKUP($A28,Leveranser_per_nät,'Leveranser per nät'!Q$1,FALSE)
               +Andel_beroende_av_klimat*VLOOKUP($A28,Leveranser_per_nät,'Leveranser per nät'!Q$1,FALSE)/VLOOKUP($B28,Korrigeringsfaktor_GD,'Korrigeringsfaktor GD'!Q$1,FALSE),
"")</f>
        <v>9.6258130434782618</v>
      </c>
      <c r="R28" s="18">
        <f>IFERROR(
                  Andel_oberoende_av_klimat*VLOOKUP($A28,Leveranser_per_nät,'Leveranser per nät'!R$1,FALSE)
               +Andel_beroende_av_klimat*VLOOKUP($A28,Leveranser_per_nät,'Leveranser per nät'!R$1,FALSE)/VLOOKUP($B28,Korrigeringsfaktor_GD,'Korrigeringsfaktor GD'!R$1,FALSE),
"")</f>
        <v>9.5594956521739114</v>
      </c>
      <c r="S28" s="18">
        <f>IFERROR(
                  Andel_oberoende_av_klimat*VLOOKUP($A28,Leveranser_per_nät,'Leveranser per nät'!S$1,FALSE)
               +Andel_beroende_av_klimat*VLOOKUP($A28,Leveranser_per_nät,'Leveranser per nät'!S$1,FALSE)/VLOOKUP($B28,Korrigeringsfaktor_GD,'Korrigeringsfaktor GD'!S$1,FALSE),
"")</f>
        <v>8.9972079207920785</v>
      </c>
      <c r="T28" s="18">
        <f>IFERROR(
                  Andel_oberoende_av_klimat*VLOOKUP($A28,Leveranser_per_nät,'Leveranser per nät'!T$1,FALSE)
               +Andel_beroende_av_klimat*VLOOKUP($A28,Leveranser_per_nät,'Leveranser per nät'!T$1,FALSE)/VLOOKUP($B28,Korrigeringsfaktor_GD,'Korrigeringsfaktor GD'!T$1,FALSE),
"")</f>
        <v>9.3811285714285724</v>
      </c>
      <c r="U28" s="18">
        <f>IFERROR(
                  Andel_oberoende_av_klimat*VLOOKUP($A28,Leveranser_per_nät,'Leveranser per nät'!U$1,FALSE)
               +Andel_beroende_av_klimat*VLOOKUP($A28,Leveranser_per_nät,'Leveranser per nät'!U$1,FALSE)/VLOOKUP($B28,Korrigeringsfaktor_GD,'Korrigeringsfaktor GD'!U$1,FALSE),
"")</f>
        <v>9.2185333333333332</v>
      </c>
      <c r="V28" s="18">
        <f>IFERROR(
                  Andel_oberoende_av_klimat*VLOOKUP($A28,Leveranser_per_nät,'Leveranser per nät'!V$1,FALSE)
               +Andel_beroende_av_klimat*VLOOKUP($A28,Leveranser_per_nät,'Leveranser per nät'!V$1,FALSE)/VLOOKUP($B28,Korrigeringsfaktor_GD,'Korrigeringsfaktor GD'!V$1,FALSE),
"")</f>
        <v>8.7299999999999986</v>
      </c>
      <c r="W28" s="18">
        <f>IFERROR(
                  Andel_oberoende_av_klimat*VLOOKUP($A28,Leveranser_per_nät,'Leveranser per nät'!W$1,FALSE)
               +Andel_beroende_av_klimat*VLOOKUP($A28,Leveranser_per_nät,'Leveranser per nät'!W$1,FALSE)/VLOOKUP($B28,Korrigeringsfaktor_GD,'Korrigeringsfaktor GD'!W$1,FALSE),
"")</f>
        <v>9.4995473684210534</v>
      </c>
      <c r="X28" s="18">
        <f>IFERROR(
                  Andel_oberoende_av_klimat*VLOOKUP($A28,Leveranser_per_nät,'Leveranser per nät'!X$1,FALSE)
               +Andel_beroende_av_klimat*VLOOKUP($A28,Leveranser_per_nät,'Leveranser per nät'!X$1,FALSE)/VLOOKUP($B28,Korrigeringsfaktor_GD,'Korrigeringsfaktor GD'!X$1,FALSE),
"")</f>
        <v>9.0257916666666667</v>
      </c>
      <c r="Y28" s="18">
        <f>IFERROR(
                  Andel_oberoende_av_klimat*VLOOKUP($A28,Leveranser_per_nät,'Leveranser per nät'!Y$1,FALSE)
               +Andel_beroende_av_klimat*VLOOKUP($A28,Leveranser_per_nät,'Leveranser per nät'!Y$1,FALSE)/VLOOKUP($B28,Korrigeringsfaktor_GD,'Korrigeringsfaktor GD'!Y$1,FALSE),
"")</f>
        <v>9.1373333333333324</v>
      </c>
      <c r="Z28" s="18">
        <f>IFERROR(
                  Andel_oberoende_av_klimat*VLOOKUP($A28,Leveranser_per_nät,'Leveranser per nät'!Z$1,FALSE)
               +Andel_beroende_av_klimat*VLOOKUP($A28,Leveranser_per_nät,'Leveranser per nät'!Z$1,FALSE)/VLOOKUP($B28,Korrigeringsfaktor_GD,'Korrigeringsfaktor GD'!Z$1,FALSE),
"")</f>
        <v>8.6460869565217386</v>
      </c>
      <c r="AA28" s="18">
        <f>IFERROR(
                  Andel_oberoende_av_klimat*VLOOKUP($A28,Leveranser_per_nät,'Leveranser per nät'!AA$1,FALSE)
               +Andel_beroende_av_klimat*VLOOKUP($A28,Leveranser_per_nät,'Leveranser per nät'!AA$1,FALSE)/VLOOKUP($B28,Korrigeringsfaktor_GD,'Korrigeringsfaktor GD'!AA$1,FALSE),
"")</f>
        <v>8.4130153015301516</v>
      </c>
      <c r="AB28" s="18">
        <f>IFERROR(
                  Andel_oberoende_av_klimat*VLOOKUP($A28,Leveranser_per_nät,'Leveranser per nät'!AB$1,FALSE)
               +Andel_beroende_av_klimat*VLOOKUP($A28,Leveranser_per_nät,'Leveranser per nät'!AB$1,FALSE)/VLOOKUP($B28,Korrigeringsfaktor_GD,'Korrigeringsfaktor GD'!AB$1,FALSE),
"")</f>
        <v>8.9287543859649112</v>
      </c>
      <c r="AC28" s="18">
        <f>IFERROR(
                  Andel_oberoende_av_klimat*VLOOKUP($A28,Leveranser_per_nät,'Leveranser per nät'!AC$1,FALSE)
               +Andel_beroende_av_klimat*VLOOKUP($A28,Leveranser_per_nät,'Leveranser per nät'!AC$1,FALSE)/VLOOKUP($B28,Korrigeringsfaktor_GD,'Korrigeringsfaktor GD'!AC$1,FALSE),
"")</f>
        <v>8.6797777777777778</v>
      </c>
      <c r="AD28">
        <v>177.02</v>
      </c>
    </row>
    <row r="29" spans="1:30" x14ac:dyDescent="0.25">
      <c r="A29" t="s">
        <v>377</v>
      </c>
      <c r="B29" t="s">
        <v>376</v>
      </c>
      <c r="C29" s="18">
        <f>IFERROR(
                  Andel_oberoende_av_klimat*VLOOKUP($A29,Leveranser_per_nät,'Leveranser per nät'!C$1,FALSE)
               +Andel_beroende_av_klimat*VLOOKUP($A29,Leveranser_per_nät,'Leveranser per nät'!C$1,FALSE)/VLOOKUP($B29,Korrigeringsfaktor_GD,'Korrigeringsfaktor GD'!C$1,FALSE),
"")</f>
        <v>0</v>
      </c>
      <c r="D29" s="18">
        <f>IFERROR(
                  Andel_oberoende_av_klimat*VLOOKUP($A29,Leveranser_per_nät,'Leveranser per nät'!D$1,FALSE)
               +Andel_beroende_av_klimat*VLOOKUP($A29,Leveranser_per_nät,'Leveranser per nät'!D$1,FALSE)/VLOOKUP($B29,Korrigeringsfaktor_GD,'Korrigeringsfaktor GD'!D$1,FALSE),
"")</f>
        <v>0</v>
      </c>
      <c r="E29" s="18">
        <f>IFERROR(
                  Andel_oberoende_av_klimat*VLOOKUP($A29,Leveranser_per_nät,'Leveranser per nät'!E$1,FALSE)
               +Andel_beroende_av_klimat*VLOOKUP($A29,Leveranser_per_nät,'Leveranser per nät'!E$1,FALSE)/VLOOKUP($B29,Korrigeringsfaktor_GD,'Korrigeringsfaktor GD'!E$1,FALSE),
"")</f>
        <v>0</v>
      </c>
      <c r="F29" s="18">
        <f>IFERROR(
                  Andel_oberoende_av_klimat*VLOOKUP($A29,Leveranser_per_nät,'Leveranser per nät'!F$1,FALSE)
               +Andel_beroende_av_klimat*VLOOKUP($A29,Leveranser_per_nät,'Leveranser per nät'!F$1,FALSE)/VLOOKUP($B29,Korrigeringsfaktor_GD,'Korrigeringsfaktor GD'!F$1,FALSE),
"")</f>
        <v>0</v>
      </c>
      <c r="G29" s="18">
        <f>IFERROR(
                  Andel_oberoende_av_klimat*VLOOKUP($A29,Leveranser_per_nät,'Leveranser per nät'!G$1,FALSE)
               +Andel_beroende_av_klimat*VLOOKUP($A29,Leveranser_per_nät,'Leveranser per nät'!G$1,FALSE)/VLOOKUP($B29,Korrigeringsfaktor_GD,'Korrigeringsfaktor GD'!G$1,FALSE),
"")</f>
        <v>0</v>
      </c>
      <c r="H29" s="18">
        <f>IFERROR(
                  Andel_oberoende_av_klimat*VLOOKUP($A29,Leveranser_per_nät,'Leveranser per nät'!H$1,FALSE)
               +Andel_beroende_av_klimat*VLOOKUP($A29,Leveranser_per_nät,'Leveranser per nät'!H$1,FALSE)/VLOOKUP($B29,Korrigeringsfaktor_GD,'Korrigeringsfaktor GD'!H$1,FALSE),
"")</f>
        <v>0</v>
      </c>
      <c r="I29" s="18">
        <f>IFERROR(
                  Andel_oberoende_av_klimat*VLOOKUP($A29,Leveranser_per_nät,'Leveranser per nät'!I$1,FALSE)
               +Andel_beroende_av_klimat*VLOOKUP($A29,Leveranser_per_nät,'Leveranser per nät'!I$1,FALSE)/VLOOKUP($B29,Korrigeringsfaktor_GD,'Korrigeringsfaktor GD'!I$1,FALSE),
"")</f>
        <v>0</v>
      </c>
      <c r="J29" s="18">
        <f>IFERROR(
                  Andel_oberoende_av_klimat*VLOOKUP($A29,Leveranser_per_nät,'Leveranser per nät'!J$1,FALSE)
               +Andel_beroende_av_klimat*VLOOKUP($A29,Leveranser_per_nät,'Leveranser per nät'!J$1,FALSE)/VLOOKUP($B29,Korrigeringsfaktor_GD,'Korrigeringsfaktor GD'!J$1,FALSE),
"")</f>
        <v>0</v>
      </c>
      <c r="K29" s="18">
        <f>IFERROR(
                  Andel_oberoende_av_klimat*VLOOKUP($A29,Leveranser_per_nät,'Leveranser per nät'!K$1,FALSE)
               +Andel_beroende_av_klimat*VLOOKUP($A29,Leveranser_per_nät,'Leveranser per nät'!K$1,FALSE)/VLOOKUP($B29,Korrigeringsfaktor_GD,'Korrigeringsfaktor GD'!K$1,FALSE),
"")</f>
        <v>0</v>
      </c>
      <c r="L29" s="18">
        <f>IFERROR(
                  Andel_oberoende_av_klimat*VLOOKUP($A29,Leveranser_per_nät,'Leveranser per nät'!L$1,FALSE)
               +Andel_beroende_av_klimat*VLOOKUP($A29,Leveranser_per_nät,'Leveranser per nät'!L$1,FALSE)/VLOOKUP($B29,Korrigeringsfaktor_GD,'Korrigeringsfaktor GD'!L$1,FALSE),
"")</f>
        <v>10.430198085106383</v>
      </c>
      <c r="M29" s="18">
        <f>IFERROR(
                  Andel_oberoende_av_klimat*VLOOKUP($A29,Leveranser_per_nät,'Leveranser per nät'!M$1,FALSE)
               +Andel_beroende_av_klimat*VLOOKUP($A29,Leveranser_per_nät,'Leveranser per nät'!M$1,FALSE)/VLOOKUP($B29,Korrigeringsfaktor_GD,'Korrigeringsfaktor GD'!M$1,FALSE),
"")</f>
        <v>10.820615384615383</v>
      </c>
      <c r="N29" s="18">
        <f>IFERROR(
                  Andel_oberoende_av_klimat*VLOOKUP($A29,Leveranser_per_nät,'Leveranser per nät'!N$1,FALSE)
               +Andel_beroende_av_klimat*VLOOKUP($A29,Leveranser_per_nät,'Leveranser per nät'!N$1,FALSE)/VLOOKUP($B29,Korrigeringsfaktor_GD,'Korrigeringsfaktor GD'!N$1,FALSE),
"")</f>
        <v>7.9468872340425527</v>
      </c>
      <c r="O29" s="18">
        <f>IFERROR(
                  Andel_oberoende_av_klimat*VLOOKUP($A29,Leveranser_per_nät,'Leveranser per nät'!O$1,FALSE)
               +Andel_beroende_av_klimat*VLOOKUP($A29,Leveranser_per_nät,'Leveranser per nät'!O$1,FALSE)/VLOOKUP($B29,Korrigeringsfaktor_GD,'Korrigeringsfaktor GD'!O$1,FALSE),
"")</f>
        <v>8.1165307692307689</v>
      </c>
      <c r="P29" s="18">
        <f>IFERROR(
                  Andel_oberoende_av_klimat*VLOOKUP($A29,Leveranser_per_nät,'Leveranser per nät'!P$1,FALSE)
               +Andel_beroende_av_klimat*VLOOKUP($A29,Leveranser_per_nät,'Leveranser per nät'!P$1,FALSE)/VLOOKUP($B29,Korrigeringsfaktor_GD,'Korrigeringsfaktor GD'!P$1,FALSE),
"")</f>
        <v>8.2747761428571422</v>
      </c>
      <c r="Q29" s="18">
        <f>IFERROR(
                  Andel_oberoende_av_klimat*VLOOKUP($A29,Leveranser_per_nät,'Leveranser per nät'!Q$1,FALSE)
               +Andel_beroende_av_klimat*VLOOKUP($A29,Leveranser_per_nät,'Leveranser per nät'!Q$1,FALSE)/VLOOKUP($B29,Korrigeringsfaktor_GD,'Korrigeringsfaktor GD'!Q$1,FALSE),
"")</f>
        <v>8.9535972972972981</v>
      </c>
      <c r="R29" s="18">
        <f>IFERROR(
                  Andel_oberoende_av_klimat*VLOOKUP($A29,Leveranser_per_nät,'Leveranser per nät'!R$1,FALSE)
               +Andel_beroende_av_klimat*VLOOKUP($A29,Leveranser_per_nät,'Leveranser per nät'!R$1,FALSE)/VLOOKUP($B29,Korrigeringsfaktor_GD,'Korrigeringsfaktor GD'!R$1,FALSE),
"")</f>
        <v>9.5227055555555538</v>
      </c>
      <c r="S29" s="18">
        <f>IFERROR(
                  Andel_oberoende_av_klimat*VLOOKUP($A29,Leveranser_per_nät,'Leveranser per nät'!S$1,FALSE)
               +Andel_beroende_av_klimat*VLOOKUP($A29,Leveranser_per_nät,'Leveranser per nät'!S$1,FALSE)/VLOOKUP($B29,Korrigeringsfaktor_GD,'Korrigeringsfaktor GD'!S$1,FALSE),
"")</f>
        <v>8.1650000000000009</v>
      </c>
      <c r="T29" s="18">
        <f>IFERROR(
                  Andel_oberoende_av_klimat*VLOOKUP($A29,Leveranser_per_nät,'Leveranser per nät'!T$1,FALSE)
               +Andel_beroende_av_klimat*VLOOKUP($A29,Leveranser_per_nät,'Leveranser per nät'!T$1,FALSE)/VLOOKUP($B29,Korrigeringsfaktor_GD,'Korrigeringsfaktor GD'!T$1,FALSE),
"")</f>
        <v>7.8256838709677421</v>
      </c>
      <c r="U29" s="18">
        <f>IFERROR(
                  Andel_oberoende_av_klimat*VLOOKUP($A29,Leveranser_per_nät,'Leveranser per nät'!U$1,FALSE)
               +Andel_beroende_av_klimat*VLOOKUP($A29,Leveranser_per_nät,'Leveranser per nät'!U$1,FALSE)/VLOOKUP($B29,Korrigeringsfaktor_GD,'Korrigeringsfaktor GD'!U$1,FALSE),
"")</f>
        <v>7.6407954545454544</v>
      </c>
      <c r="V29" s="18">
        <f>IFERROR(
                  Andel_oberoende_av_klimat*VLOOKUP($A29,Leveranser_per_nät,'Leveranser per nät'!V$1,FALSE)
               +Andel_beroende_av_klimat*VLOOKUP($A29,Leveranser_per_nät,'Leveranser per nät'!V$1,FALSE)/VLOOKUP($B29,Korrigeringsfaktor_GD,'Korrigeringsfaktor GD'!V$1,FALSE),
"")</f>
        <v>7.3599344827586197</v>
      </c>
      <c r="W29" s="18">
        <f>IFERROR(
                  Andel_oberoende_av_klimat*VLOOKUP($A29,Leveranser_per_nät,'Leveranser per nät'!W$1,FALSE)
               +Andel_beroende_av_klimat*VLOOKUP($A29,Leveranser_per_nät,'Leveranser per nät'!W$1,FALSE)/VLOOKUP($B29,Korrigeringsfaktor_GD,'Korrigeringsfaktor GD'!W$1,FALSE),
"")</f>
        <v>7.6710914893617019</v>
      </c>
      <c r="X29" s="18">
        <f>IFERROR(
                  Andel_oberoende_av_klimat*VLOOKUP($A29,Leveranser_per_nät,'Leveranser per nät'!X$1,FALSE)
               +Andel_beroende_av_klimat*VLOOKUP($A29,Leveranser_per_nät,'Leveranser per nät'!X$1,FALSE)/VLOOKUP($B29,Korrigeringsfaktor_GD,'Korrigeringsfaktor GD'!X$1,FALSE),
"")</f>
        <v>7.4548947368421068</v>
      </c>
      <c r="Y29" s="18">
        <f>IFERROR(
                  Andel_oberoende_av_klimat*VLOOKUP($A29,Leveranser_per_nät,'Leveranser per nät'!Y$1,FALSE)
               +Andel_beroende_av_klimat*VLOOKUP($A29,Leveranser_per_nät,'Leveranser per nät'!Y$1,FALSE)/VLOOKUP($B29,Korrigeringsfaktor_GD,'Korrigeringsfaktor GD'!Y$1,FALSE),
"")</f>
        <v>7.3997083333333347</v>
      </c>
      <c r="Z29" s="18">
        <f>IFERROR(
                  Andel_oberoende_av_klimat*VLOOKUP($A29,Leveranser_per_nät,'Leveranser per nät'!Z$1,FALSE)
               +Andel_beroende_av_klimat*VLOOKUP($A29,Leveranser_per_nät,'Leveranser per nät'!Z$1,FALSE)/VLOOKUP($B29,Korrigeringsfaktor_GD,'Korrigeringsfaktor GD'!Z$1,FALSE),
"")</f>
        <v>7.1898602150537636</v>
      </c>
      <c r="AA29" s="18">
        <f>IFERROR(
                  Andel_oberoende_av_klimat*VLOOKUP($A29,Leveranser_per_nät,'Leveranser per nät'!AA$1,FALSE)
               +Andel_beroende_av_klimat*VLOOKUP($A29,Leveranser_per_nät,'Leveranser per nät'!AA$1,FALSE)/VLOOKUP($B29,Korrigeringsfaktor_GD,'Korrigeringsfaktor GD'!AA$1,FALSE),
"")</f>
        <v>6.8913039057083427</v>
      </c>
      <c r="AB29" s="18">
        <f>IFERROR(
                  Andel_oberoende_av_klimat*VLOOKUP($A29,Leveranser_per_nät,'Leveranser per nät'!AB$1,FALSE)
               +Andel_beroende_av_klimat*VLOOKUP($A29,Leveranser_per_nät,'Leveranser per nät'!AB$1,FALSE)/VLOOKUP($B29,Korrigeringsfaktor_GD,'Korrigeringsfaktor GD'!AB$1,FALSE),
"")</f>
        <v>6.8206165703275525</v>
      </c>
      <c r="AC29" s="18">
        <f>IFERROR(
                  Andel_oberoende_av_klimat*VLOOKUP($A29,Leveranser_per_nät,'Leveranser per nät'!AC$1,FALSE)
               +Andel_beroende_av_klimat*VLOOKUP($A29,Leveranser_per_nät,'Leveranser per nät'!AC$1,FALSE)/VLOOKUP($B29,Korrigeringsfaktor_GD,'Korrigeringsfaktor GD'!AC$1,FALSE),
"")</f>
        <v>6.7326701030927838</v>
      </c>
      <c r="AD29">
        <v>223.7</v>
      </c>
    </row>
    <row r="30" spans="1:30" x14ac:dyDescent="0.25">
      <c r="A30" t="s">
        <v>570</v>
      </c>
      <c r="B30" t="s">
        <v>337</v>
      </c>
      <c r="C30" s="18"/>
      <c r="D30" s="18"/>
      <c r="E30" s="18"/>
      <c r="F30" s="18"/>
      <c r="G30" s="18"/>
      <c r="H30" s="18"/>
      <c r="I30" s="18"/>
      <c r="J30" s="18"/>
      <c r="K30" s="18"/>
      <c r="L30" s="18"/>
      <c r="M30" s="18"/>
      <c r="N30" s="18"/>
      <c r="O30" s="18"/>
      <c r="P30" s="18"/>
      <c r="Q30" s="18"/>
      <c r="R30" s="18">
        <f>IFERROR(
                  Andel_oberoende_av_klimat*VLOOKUP($A30,Leveranser_per_nät,'Leveranser per nät'!R$1,FALSE)
               +Andel_beroende_av_klimat*VLOOKUP($A30,Leveranser_per_nät,'Leveranser per nät'!R$1,FALSE)/VLOOKUP($B30,Korrigeringsfaktor_GD,'Korrigeringsfaktor GD'!R$1,FALSE),
"")</f>
        <v>0</v>
      </c>
      <c r="S30" s="18">
        <f>IFERROR(
                  Andel_oberoende_av_klimat*VLOOKUP($A30,Leveranser_per_nät,'Leveranser per nät'!S$1,FALSE)
               +Andel_beroende_av_klimat*VLOOKUP($A30,Leveranser_per_nät,'Leveranser per nät'!S$1,FALSE)/VLOOKUP($B30,Korrigeringsfaktor_GD,'Korrigeringsfaktor GD'!S$1,FALSE),
"")</f>
        <v>0</v>
      </c>
      <c r="T30" s="18">
        <f>IFERROR(
                  Andel_oberoende_av_klimat*VLOOKUP($A30,Leveranser_per_nät,'Leveranser per nät'!T$1,FALSE)
               +Andel_beroende_av_klimat*VLOOKUP($A30,Leveranser_per_nät,'Leveranser per nät'!T$1,FALSE)/VLOOKUP($B30,Korrigeringsfaktor_GD,'Korrigeringsfaktor GD'!T$1,FALSE),
"")</f>
        <v>0</v>
      </c>
      <c r="U30" s="18">
        <f>IFERROR(
                  Andel_oberoende_av_klimat*VLOOKUP($A30,Leveranser_per_nät,'Leveranser per nät'!U$1,FALSE)
               +Andel_beroende_av_klimat*VLOOKUP($A30,Leveranser_per_nät,'Leveranser per nät'!U$1,FALSE)/VLOOKUP($B30,Korrigeringsfaktor_GD,'Korrigeringsfaktor GD'!U$1,FALSE),
"")</f>
        <v>0</v>
      </c>
      <c r="V30" s="18">
        <f>IFERROR(
                  Andel_oberoende_av_klimat*VLOOKUP($A30,Leveranser_per_nät,'Leveranser per nät'!V$1,FALSE)
               +Andel_beroende_av_klimat*VLOOKUP($A30,Leveranser_per_nät,'Leveranser per nät'!V$1,FALSE)/VLOOKUP($B30,Korrigeringsfaktor_GD,'Korrigeringsfaktor GD'!V$1,FALSE),
"")</f>
        <v>0.86921348314606739</v>
      </c>
      <c r="W30" s="18">
        <f>IFERROR(
                  Andel_oberoende_av_klimat*VLOOKUP($A30,Leveranser_per_nät,'Leveranser per nät'!W$1,FALSE)
               +Andel_beroende_av_klimat*VLOOKUP($A30,Leveranser_per_nät,'Leveranser per nät'!W$1,FALSE)/VLOOKUP($B30,Korrigeringsfaktor_GD,'Korrigeringsfaktor GD'!W$1,FALSE),
"")</f>
        <v>0.82947368421052636</v>
      </c>
      <c r="X30" s="18">
        <f>IFERROR(
                  Andel_oberoende_av_klimat*VLOOKUP($A30,Leveranser_per_nät,'Leveranser per nät'!X$1,FALSE)
               +Andel_beroende_av_klimat*VLOOKUP($A30,Leveranser_per_nät,'Leveranser per nät'!X$1,FALSE)/VLOOKUP($B30,Korrigeringsfaktor_GD,'Korrigeringsfaktor GD'!X$1,FALSE),
"")</f>
        <v>0</v>
      </c>
      <c r="Y30" s="18" t="str">
        <f>IFERROR(
                  Andel_oberoende_av_klimat*VLOOKUP($A30,Leveranser_per_nät,'Leveranser per nät'!Y$1,FALSE)
               +Andel_beroende_av_klimat*VLOOKUP($A30,Leveranser_per_nät,'Leveranser per nät'!Y$1,FALSE)/VLOOKUP($B30,Korrigeringsfaktor_GD,'Korrigeringsfaktor GD'!Y$1,FALSE),
"")</f>
        <v/>
      </c>
      <c r="Z30" s="18">
        <f>IFERROR(
                  Andel_oberoende_av_klimat*VLOOKUP($A30,Leveranser_per_nät,'Leveranser per nät'!Z$1,FALSE)
               +Andel_beroende_av_klimat*VLOOKUP($A30,Leveranser_per_nät,'Leveranser per nät'!Z$1,FALSE)/VLOOKUP($B30,Korrigeringsfaktor_GD,'Korrigeringsfaktor GD'!Z$1,FALSE),
"")</f>
        <v>0</v>
      </c>
      <c r="AA30" s="18" t="str">
        <f>IFERROR(
                  Andel_oberoende_av_klimat*VLOOKUP($A30,Leveranser_per_nät,'Leveranser per nät'!AA$1,FALSE)
               +Andel_beroende_av_klimat*VLOOKUP($A30,Leveranser_per_nät,'Leveranser per nät'!AA$1,FALSE)/VLOOKUP($B30,Korrigeringsfaktor_GD,'Korrigeringsfaktor GD'!AA$1,FALSE),
"")</f>
        <v/>
      </c>
      <c r="AB30" s="18">
        <f>IFERROR(
                  Andel_oberoende_av_klimat*VLOOKUP($A30,Leveranser_per_nät,'Leveranser per nät'!AB$1,FALSE)
               +Andel_beroende_av_klimat*VLOOKUP($A30,Leveranser_per_nät,'Leveranser per nät'!AB$1,FALSE)/VLOOKUP($B30,Korrigeringsfaktor_GD,'Korrigeringsfaktor GD'!AB$1,FALSE),
"")</f>
        <v>0</v>
      </c>
      <c r="AC30" s="18">
        <f>IFERROR(
                  Andel_oberoende_av_klimat*VLOOKUP($A30,Leveranser_per_nät,'Leveranser per nät'!AC$1,FALSE)
               +Andel_beroende_av_klimat*VLOOKUP($A30,Leveranser_per_nät,'Leveranser per nät'!AC$1,FALSE)/VLOOKUP($B30,Korrigeringsfaktor_GD,'Korrigeringsfaktor GD'!AC$1,FALSE),
"")</f>
        <v>0</v>
      </c>
      <c r="AD30">
        <v>258.73</v>
      </c>
    </row>
    <row r="31" spans="1:30" x14ac:dyDescent="0.25">
      <c r="A31" t="s">
        <v>485</v>
      </c>
      <c r="B31" t="s">
        <v>80</v>
      </c>
      <c r="C31" s="18">
        <f>IFERROR(
                  Andel_oberoende_av_klimat*VLOOKUP($A31,Leveranser_per_nät,'Leveranser per nät'!C$1,FALSE)
               +Andel_beroende_av_klimat*VLOOKUP($A31,Leveranser_per_nät,'Leveranser per nät'!C$1,FALSE)/VLOOKUP($B31,Korrigeringsfaktor_GD,'Korrigeringsfaktor GD'!C$1,FALSE),
"")</f>
        <v>0</v>
      </c>
      <c r="D31" s="18">
        <f>IFERROR(
                  Andel_oberoende_av_klimat*VLOOKUP($A31,Leveranser_per_nät,'Leveranser per nät'!D$1,FALSE)
               +Andel_beroende_av_klimat*VLOOKUP($A31,Leveranser_per_nät,'Leveranser per nät'!D$1,FALSE)/VLOOKUP($B31,Korrigeringsfaktor_GD,'Korrigeringsfaktor GD'!D$1,FALSE),
"")</f>
        <v>0</v>
      </c>
      <c r="E31" s="18">
        <f>IFERROR(
                  Andel_oberoende_av_klimat*VLOOKUP($A31,Leveranser_per_nät,'Leveranser per nät'!E$1,FALSE)
               +Andel_beroende_av_klimat*VLOOKUP($A31,Leveranser_per_nät,'Leveranser per nät'!E$1,FALSE)/VLOOKUP($B31,Korrigeringsfaktor_GD,'Korrigeringsfaktor GD'!E$1,FALSE),
"")</f>
        <v>0</v>
      </c>
      <c r="F31" s="18">
        <f>IFERROR(
                  Andel_oberoende_av_klimat*VLOOKUP($A31,Leveranser_per_nät,'Leveranser per nät'!F$1,FALSE)
               +Andel_beroende_av_klimat*VLOOKUP($A31,Leveranser_per_nät,'Leveranser per nät'!F$1,FALSE)/VLOOKUP($B31,Korrigeringsfaktor_GD,'Korrigeringsfaktor GD'!F$1,FALSE),
"")</f>
        <v>0</v>
      </c>
      <c r="G31" s="18">
        <f>IFERROR(
                  Andel_oberoende_av_klimat*VLOOKUP($A31,Leveranser_per_nät,'Leveranser per nät'!G$1,FALSE)
               +Andel_beroende_av_klimat*VLOOKUP($A31,Leveranser_per_nät,'Leveranser per nät'!G$1,FALSE)/VLOOKUP($B31,Korrigeringsfaktor_GD,'Korrigeringsfaktor GD'!G$1,FALSE),
"")</f>
        <v>0</v>
      </c>
      <c r="H31" s="18">
        <f>IFERROR(
                  Andel_oberoende_av_klimat*VLOOKUP($A31,Leveranser_per_nät,'Leveranser per nät'!H$1,FALSE)
               +Andel_beroende_av_klimat*VLOOKUP($A31,Leveranser_per_nät,'Leveranser per nät'!H$1,FALSE)/VLOOKUP($B31,Korrigeringsfaktor_GD,'Korrigeringsfaktor GD'!H$1,FALSE),
"")</f>
        <v>0</v>
      </c>
      <c r="I31" s="18">
        <f>IFERROR(
                  Andel_oberoende_av_klimat*VLOOKUP($A31,Leveranser_per_nät,'Leveranser per nät'!I$1,FALSE)
               +Andel_beroende_av_klimat*VLOOKUP($A31,Leveranser_per_nät,'Leveranser per nät'!I$1,FALSE)/VLOOKUP($B31,Korrigeringsfaktor_GD,'Korrigeringsfaktor GD'!I$1,FALSE),
"")</f>
        <v>0</v>
      </c>
      <c r="J31" s="18">
        <f>IFERROR(
                  Andel_oberoende_av_klimat*VLOOKUP($A31,Leveranser_per_nät,'Leveranser per nät'!J$1,FALSE)
               +Andel_beroende_av_klimat*VLOOKUP($A31,Leveranser_per_nät,'Leveranser per nät'!J$1,FALSE)/VLOOKUP($B31,Korrigeringsfaktor_GD,'Korrigeringsfaktor GD'!J$1,FALSE),
"")</f>
        <v>0</v>
      </c>
      <c r="K31" s="18">
        <f>IFERROR(
                  Andel_oberoende_av_klimat*VLOOKUP($A31,Leveranser_per_nät,'Leveranser per nät'!K$1,FALSE)
               +Andel_beroende_av_klimat*VLOOKUP($A31,Leveranser_per_nät,'Leveranser per nät'!K$1,FALSE)/VLOOKUP($B31,Korrigeringsfaktor_GD,'Korrigeringsfaktor GD'!K$1,FALSE),
"")</f>
        <v>0</v>
      </c>
      <c r="L31" s="18">
        <f>IFERROR(
                  Andel_oberoende_av_klimat*VLOOKUP($A31,Leveranser_per_nät,'Leveranser per nät'!L$1,FALSE)
               +Andel_beroende_av_klimat*VLOOKUP($A31,Leveranser_per_nät,'Leveranser per nät'!L$1,FALSE)/VLOOKUP($B31,Korrigeringsfaktor_GD,'Korrigeringsfaktor GD'!L$1,FALSE),
"")</f>
        <v>0</v>
      </c>
      <c r="M31" s="18">
        <f>IFERROR(
                  Andel_oberoende_av_klimat*VLOOKUP($A31,Leveranser_per_nät,'Leveranser per nät'!M$1,FALSE)
               +Andel_beroende_av_klimat*VLOOKUP($A31,Leveranser_per_nät,'Leveranser per nät'!M$1,FALSE)/VLOOKUP($B31,Korrigeringsfaktor_GD,'Korrigeringsfaktor GD'!M$1,FALSE),
"")</f>
        <v>0</v>
      </c>
      <c r="N31" s="18">
        <f>IFERROR(
                  Andel_oberoende_av_klimat*VLOOKUP($A31,Leveranser_per_nät,'Leveranser per nät'!N$1,FALSE)
               +Andel_beroende_av_klimat*VLOOKUP($A31,Leveranser_per_nät,'Leveranser per nät'!N$1,FALSE)/VLOOKUP($B31,Korrigeringsfaktor_GD,'Korrigeringsfaktor GD'!N$1,FALSE),
"")</f>
        <v>0</v>
      </c>
      <c r="O31" s="18">
        <f>IFERROR(
                  Andel_oberoende_av_klimat*VLOOKUP($A31,Leveranser_per_nät,'Leveranser per nät'!O$1,FALSE)
               +Andel_beroende_av_klimat*VLOOKUP($A31,Leveranser_per_nät,'Leveranser per nät'!O$1,FALSE)/VLOOKUP($B31,Korrigeringsfaktor_GD,'Korrigeringsfaktor GD'!O$1,FALSE),
"")</f>
        <v>0</v>
      </c>
      <c r="P31" s="18">
        <f>IFERROR(
                  Andel_oberoende_av_klimat*VLOOKUP($A31,Leveranser_per_nät,'Leveranser per nät'!P$1,FALSE)
               +Andel_beroende_av_klimat*VLOOKUP($A31,Leveranser_per_nät,'Leveranser per nät'!P$1,FALSE)/VLOOKUP($B31,Korrigeringsfaktor_GD,'Korrigeringsfaktor GD'!P$1,FALSE),
"")</f>
        <v>0</v>
      </c>
      <c r="Q31" s="18">
        <f>IFERROR(
                  Andel_oberoende_av_klimat*VLOOKUP($A31,Leveranser_per_nät,'Leveranser per nät'!Q$1,FALSE)
               +Andel_beroende_av_klimat*VLOOKUP($A31,Leveranser_per_nät,'Leveranser per nät'!Q$1,FALSE)/VLOOKUP($B31,Korrigeringsfaktor_GD,'Korrigeringsfaktor GD'!Q$1,FALSE),
"")</f>
        <v>9.231754385964912</v>
      </c>
      <c r="R31" s="18">
        <f>IFERROR(
                  Andel_oberoende_av_klimat*VLOOKUP($A31,Leveranser_per_nät,'Leveranser per nät'!R$1,FALSE)
               +Andel_beroende_av_klimat*VLOOKUP($A31,Leveranser_per_nät,'Leveranser per nät'!R$1,FALSE)/VLOOKUP($B31,Korrigeringsfaktor_GD,'Korrigeringsfaktor GD'!R$1,FALSE),
"")</f>
        <v>9.338445553846153</v>
      </c>
      <c r="S31" s="18">
        <f>IFERROR(
                  Andel_oberoende_av_klimat*VLOOKUP($A31,Leveranser_per_nät,'Leveranser per nät'!S$1,FALSE)
               +Andel_beroende_av_klimat*VLOOKUP($A31,Leveranser_per_nät,'Leveranser per nät'!S$1,FALSE)/VLOOKUP($B31,Korrigeringsfaktor_GD,'Korrigeringsfaktor GD'!S$1,FALSE),
"")</f>
        <v>9.4700000000000006</v>
      </c>
      <c r="T31" s="18">
        <f>IFERROR(
                  Andel_oberoende_av_klimat*VLOOKUP($A31,Leveranser_per_nät,'Leveranser per nät'!T$1,FALSE)
               +Andel_beroende_av_klimat*VLOOKUP($A31,Leveranser_per_nät,'Leveranser per nät'!T$1,FALSE)/VLOOKUP($B31,Korrigeringsfaktor_GD,'Korrigeringsfaktor GD'!T$1,FALSE),
"")</f>
        <v>9.2050618556701025</v>
      </c>
      <c r="U31" s="18" t="str">
        <f>IFERROR(
                  Andel_oberoende_av_klimat*VLOOKUP($A31,Leveranser_per_nät,'Leveranser per nät'!U$1,FALSE)
               +Andel_beroende_av_klimat*VLOOKUP($A31,Leveranser_per_nät,'Leveranser per nät'!U$1,FALSE)/VLOOKUP($B31,Korrigeringsfaktor_GD,'Korrigeringsfaktor GD'!U$1,FALSE),
"")</f>
        <v/>
      </c>
      <c r="V31" s="18" t="str">
        <f>IFERROR(
                  Andel_oberoende_av_klimat*VLOOKUP($A31,Leveranser_per_nät,'Leveranser per nät'!V$1,FALSE)
               +Andel_beroende_av_klimat*VLOOKUP($A31,Leveranser_per_nät,'Leveranser per nät'!V$1,FALSE)/VLOOKUP($B31,Korrigeringsfaktor_GD,'Korrigeringsfaktor GD'!V$1,FALSE),
"")</f>
        <v/>
      </c>
      <c r="W31" s="18" t="str">
        <f>IFERROR(
                  Andel_oberoende_av_klimat*VLOOKUP($A31,Leveranser_per_nät,'Leveranser per nät'!W$1,FALSE)
               +Andel_beroende_av_klimat*VLOOKUP($A31,Leveranser_per_nät,'Leveranser per nät'!W$1,FALSE)/VLOOKUP($B31,Korrigeringsfaktor_GD,'Korrigeringsfaktor GD'!W$1,FALSE),
"")</f>
        <v/>
      </c>
      <c r="X31" s="18" t="str">
        <f>IFERROR(
                  Andel_oberoende_av_klimat*VLOOKUP($A31,Leveranser_per_nät,'Leveranser per nät'!X$1,FALSE)
               +Andel_beroende_av_klimat*VLOOKUP($A31,Leveranser_per_nät,'Leveranser per nät'!X$1,FALSE)/VLOOKUP($B31,Korrigeringsfaktor_GD,'Korrigeringsfaktor GD'!X$1,FALSE),
"")</f>
        <v/>
      </c>
      <c r="Y31" s="18" t="str">
        <f>IFERROR(
                  Andel_oberoende_av_klimat*VLOOKUP($A31,Leveranser_per_nät,'Leveranser per nät'!Y$1,FALSE)
               +Andel_beroende_av_klimat*VLOOKUP($A31,Leveranser_per_nät,'Leveranser per nät'!Y$1,FALSE)/VLOOKUP($B31,Korrigeringsfaktor_GD,'Korrigeringsfaktor GD'!Y$1,FALSE),
"")</f>
        <v/>
      </c>
      <c r="Z31" s="18">
        <f>IFERROR(
                  Andel_oberoende_av_klimat*VLOOKUP($A31,Leveranser_per_nät,'Leveranser per nät'!Z$1,FALSE)
               +Andel_beroende_av_klimat*VLOOKUP($A31,Leveranser_per_nät,'Leveranser per nät'!Z$1,FALSE)/VLOOKUP($B31,Korrigeringsfaktor_GD,'Korrigeringsfaktor GD'!Z$1,FALSE),
"")</f>
        <v>0</v>
      </c>
      <c r="AA31" s="18" t="str">
        <f>IFERROR(
                  Andel_oberoende_av_klimat*VLOOKUP($A31,Leveranser_per_nät,'Leveranser per nät'!AA$1,FALSE)
               +Andel_beroende_av_klimat*VLOOKUP($A31,Leveranser_per_nät,'Leveranser per nät'!AA$1,FALSE)/VLOOKUP($B31,Korrigeringsfaktor_GD,'Korrigeringsfaktor GD'!AA$1,FALSE),
"")</f>
        <v/>
      </c>
      <c r="AB31" s="18">
        <f>IFERROR(
                  Andel_oberoende_av_klimat*VLOOKUP($A31,Leveranser_per_nät,'Leveranser per nät'!AB$1,FALSE)
               +Andel_beroende_av_klimat*VLOOKUP($A31,Leveranser_per_nät,'Leveranser per nät'!AB$1,FALSE)/VLOOKUP($B31,Korrigeringsfaktor_GD,'Korrigeringsfaktor GD'!AB$1,FALSE),
"")</f>
        <v>0</v>
      </c>
      <c r="AC31" s="18">
        <f>IFERROR(
                  Andel_oberoende_av_klimat*VLOOKUP($A31,Leveranser_per_nät,'Leveranser per nät'!AC$1,FALSE)
               +Andel_beroende_av_klimat*VLOOKUP($A31,Leveranser_per_nät,'Leveranser per nät'!AC$1,FALSE)/VLOOKUP($B31,Korrigeringsfaktor_GD,'Korrigeringsfaktor GD'!AC$1,FALSE),
"")</f>
        <v>0</v>
      </c>
      <c r="AD31">
        <v>46.6</v>
      </c>
    </row>
    <row r="32" spans="1:30" x14ac:dyDescent="0.25">
      <c r="A32" t="s">
        <v>225</v>
      </c>
      <c r="B32" t="s">
        <v>223</v>
      </c>
      <c r="C32" s="18">
        <f>IFERROR(
                  Andel_oberoende_av_klimat*VLOOKUP($A32,Leveranser_per_nät,'Leveranser per nät'!C$1,FALSE)
               +Andel_beroende_av_klimat*VLOOKUP($A32,Leveranser_per_nät,'Leveranser per nät'!C$1,FALSE)/VLOOKUP($B32,Korrigeringsfaktor_GD,'Korrigeringsfaktor GD'!C$1,FALSE),
"")</f>
        <v>0</v>
      </c>
      <c r="D32" s="18">
        <f>IFERROR(
                  Andel_oberoende_av_klimat*VLOOKUP($A32,Leveranser_per_nät,'Leveranser per nät'!D$1,FALSE)
               +Andel_beroende_av_klimat*VLOOKUP($A32,Leveranser_per_nät,'Leveranser per nät'!D$1,FALSE)/VLOOKUP($B32,Korrigeringsfaktor_GD,'Korrigeringsfaktor GD'!D$1,FALSE),
"")</f>
        <v>0</v>
      </c>
      <c r="E32" s="18">
        <f>IFERROR(
                  Andel_oberoende_av_klimat*VLOOKUP($A32,Leveranser_per_nät,'Leveranser per nät'!E$1,FALSE)
               +Andel_beroende_av_klimat*VLOOKUP($A32,Leveranser_per_nät,'Leveranser per nät'!E$1,FALSE)/VLOOKUP($B32,Korrigeringsfaktor_GD,'Korrigeringsfaktor GD'!E$1,FALSE),
"")</f>
        <v>0</v>
      </c>
      <c r="F32" s="18">
        <f>IFERROR(
                  Andel_oberoende_av_klimat*VLOOKUP($A32,Leveranser_per_nät,'Leveranser per nät'!F$1,FALSE)
               +Andel_beroende_av_klimat*VLOOKUP($A32,Leveranser_per_nät,'Leveranser per nät'!F$1,FALSE)/VLOOKUP($B32,Korrigeringsfaktor_GD,'Korrigeringsfaktor GD'!F$1,FALSE),
"")</f>
        <v>0</v>
      </c>
      <c r="G32" s="18">
        <f>IFERROR(
                  Andel_oberoende_av_klimat*VLOOKUP($A32,Leveranser_per_nät,'Leveranser per nät'!G$1,FALSE)
               +Andel_beroende_av_klimat*VLOOKUP($A32,Leveranser_per_nät,'Leveranser per nät'!G$1,FALSE)/VLOOKUP($B32,Korrigeringsfaktor_GD,'Korrigeringsfaktor GD'!G$1,FALSE),
"")</f>
        <v>0</v>
      </c>
      <c r="H32" s="18">
        <f>IFERROR(
                  Andel_oberoende_av_klimat*VLOOKUP($A32,Leveranser_per_nät,'Leveranser per nät'!H$1,FALSE)
               +Andel_beroende_av_klimat*VLOOKUP($A32,Leveranser_per_nät,'Leveranser per nät'!H$1,FALSE)/VLOOKUP($B32,Korrigeringsfaktor_GD,'Korrigeringsfaktor GD'!H$1,FALSE),
"")</f>
        <v>0</v>
      </c>
      <c r="I32" s="18">
        <f>IFERROR(
                  Andel_oberoende_av_klimat*VLOOKUP($A32,Leveranser_per_nät,'Leveranser per nät'!I$1,FALSE)
               +Andel_beroende_av_klimat*VLOOKUP($A32,Leveranser_per_nät,'Leveranser per nät'!I$1,FALSE)/VLOOKUP($B32,Korrigeringsfaktor_GD,'Korrigeringsfaktor GD'!I$1,FALSE),
"")</f>
        <v>0</v>
      </c>
      <c r="J32" s="18">
        <f>IFERROR(
                  Andel_oberoende_av_klimat*VLOOKUP($A32,Leveranser_per_nät,'Leveranser per nät'!J$1,FALSE)
               +Andel_beroende_av_klimat*VLOOKUP($A32,Leveranser_per_nät,'Leveranser per nät'!J$1,FALSE)/VLOOKUP($B32,Korrigeringsfaktor_GD,'Korrigeringsfaktor GD'!J$1,FALSE),
"")</f>
        <v>0</v>
      </c>
      <c r="K32" s="18">
        <f>IFERROR(
                  Andel_oberoende_av_klimat*VLOOKUP($A32,Leveranser_per_nät,'Leveranser per nät'!K$1,FALSE)
               +Andel_beroende_av_klimat*VLOOKUP($A32,Leveranser_per_nät,'Leveranser per nät'!K$1,FALSE)/VLOOKUP($B32,Korrigeringsfaktor_GD,'Korrigeringsfaktor GD'!K$1,FALSE),
"")</f>
        <v>3.3360000000000003</v>
      </c>
      <c r="L32" s="18">
        <f>IFERROR(
                  Andel_oberoende_av_klimat*VLOOKUP($A32,Leveranser_per_nät,'Leveranser per nät'!L$1,FALSE)
               +Andel_beroende_av_klimat*VLOOKUP($A32,Leveranser_per_nät,'Leveranser per nät'!L$1,FALSE)/VLOOKUP($B32,Korrigeringsfaktor_GD,'Korrigeringsfaktor GD'!L$1,FALSE),
"")</f>
        <v>3.4260958333333336</v>
      </c>
      <c r="M32" s="18">
        <f>IFERROR(
                  Andel_oberoende_av_klimat*VLOOKUP($A32,Leveranser_per_nät,'Leveranser per nät'!M$1,FALSE)
               +Andel_beroende_av_klimat*VLOOKUP($A32,Leveranser_per_nät,'Leveranser per nät'!M$1,FALSE)/VLOOKUP($B32,Korrigeringsfaktor_GD,'Korrigeringsfaktor GD'!M$1,FALSE),
"")</f>
        <v>3.5212419354838711</v>
      </c>
      <c r="N32" s="18">
        <f>IFERROR(
                  Andel_oberoende_av_klimat*VLOOKUP($A32,Leveranser_per_nät,'Leveranser per nät'!N$1,FALSE)
               +Andel_beroende_av_klimat*VLOOKUP($A32,Leveranser_per_nät,'Leveranser per nät'!N$1,FALSE)/VLOOKUP($B32,Korrigeringsfaktor_GD,'Korrigeringsfaktor GD'!N$1,FALSE),
"")</f>
        <v>5.1825615384615382</v>
      </c>
      <c r="O32" s="18">
        <f>IFERROR(
                  Andel_oberoende_av_klimat*VLOOKUP($A32,Leveranser_per_nät,'Leveranser per nät'!O$1,FALSE)
               +Andel_beroende_av_klimat*VLOOKUP($A32,Leveranser_per_nät,'Leveranser per nät'!O$1,FALSE)/VLOOKUP($B32,Korrigeringsfaktor_GD,'Korrigeringsfaktor GD'!O$1,FALSE),
"")</f>
        <v>6.8698076923076918</v>
      </c>
      <c r="P32" s="18">
        <f>IFERROR(
                  Andel_oberoende_av_klimat*VLOOKUP($A32,Leveranser_per_nät,'Leveranser per nät'!P$1,FALSE)
               +Andel_beroende_av_klimat*VLOOKUP($A32,Leveranser_per_nät,'Leveranser per nät'!P$1,FALSE)/VLOOKUP($B32,Korrigeringsfaktor_GD,'Korrigeringsfaktor GD'!P$1,FALSE),
"")</f>
        <v>9.4135857142857144</v>
      </c>
      <c r="Q32" s="18">
        <f>IFERROR(
                  Andel_oberoende_av_klimat*VLOOKUP($A32,Leveranser_per_nät,'Leveranser per nät'!Q$1,FALSE)
               +Andel_beroende_av_klimat*VLOOKUP($A32,Leveranser_per_nät,'Leveranser per nät'!Q$1,FALSE)/VLOOKUP($B32,Korrigeringsfaktor_GD,'Korrigeringsfaktor GD'!Q$1,FALSE),
"")</f>
        <v>10.271012280701756</v>
      </c>
      <c r="R32" s="18">
        <f>IFERROR(
                  Andel_oberoende_av_klimat*VLOOKUP($A32,Leveranser_per_nät,'Leveranser per nät'!R$1,FALSE)
               +Andel_beroende_av_klimat*VLOOKUP($A32,Leveranser_per_nät,'Leveranser per nät'!R$1,FALSE)/VLOOKUP($B32,Korrigeringsfaktor_GD,'Korrigeringsfaktor GD'!R$1,FALSE),
"")</f>
        <v>10.396521739130435</v>
      </c>
      <c r="S32" s="18">
        <f>IFERROR(
                  Andel_oberoende_av_klimat*VLOOKUP($A32,Leveranser_per_nät,'Leveranser per nät'!S$1,FALSE)
               +Andel_beroende_av_klimat*VLOOKUP($A32,Leveranser_per_nät,'Leveranser per nät'!S$1,FALSE)/VLOOKUP($B32,Korrigeringsfaktor_GD,'Korrigeringsfaktor GD'!S$1,FALSE),
"")</f>
        <v>10.824455445544555</v>
      </c>
      <c r="T32" s="18">
        <f>IFERROR(
                  Andel_oberoende_av_klimat*VLOOKUP($A32,Leveranser_per_nät,'Leveranser per nät'!T$1,FALSE)
               +Andel_beroende_av_klimat*VLOOKUP($A32,Leveranser_per_nät,'Leveranser per nät'!T$1,FALSE)/VLOOKUP($B32,Korrigeringsfaktor_GD,'Korrigeringsfaktor GD'!T$1,FALSE),
"")</f>
        <v>11.003985714285715</v>
      </c>
      <c r="U32" s="18">
        <f>IFERROR(
                  Andel_oberoende_av_klimat*VLOOKUP($A32,Leveranser_per_nät,'Leveranser per nät'!U$1,FALSE)
               +Andel_beroende_av_klimat*VLOOKUP($A32,Leveranser_per_nät,'Leveranser per nät'!U$1,FALSE)/VLOOKUP($B32,Korrigeringsfaktor_GD,'Korrigeringsfaktor GD'!U$1,FALSE),
"")</f>
        <v>10.717911494252874</v>
      </c>
      <c r="V32" s="18">
        <f>IFERROR(
                  Andel_oberoende_av_klimat*VLOOKUP($A32,Leveranser_per_nät,'Leveranser per nät'!V$1,FALSE)
               +Andel_beroende_av_klimat*VLOOKUP($A32,Leveranser_per_nät,'Leveranser per nät'!V$1,FALSE)/VLOOKUP($B32,Korrigeringsfaktor_GD,'Korrigeringsfaktor GD'!V$1,FALSE),
"")</f>
        <v>11.111888888888888</v>
      </c>
      <c r="W32" s="18">
        <f>IFERROR(
                  Andel_oberoende_av_klimat*VLOOKUP($A32,Leveranser_per_nät,'Leveranser per nät'!W$1,FALSE)
               +Andel_beroende_av_klimat*VLOOKUP($A32,Leveranser_per_nät,'Leveranser per nät'!W$1,FALSE)/VLOOKUP($B32,Korrigeringsfaktor_GD,'Korrigeringsfaktor GD'!W$1,FALSE),
"")</f>
        <v>11.680627956989248</v>
      </c>
      <c r="X32" s="18">
        <f>IFERROR(
                  Andel_oberoende_av_klimat*VLOOKUP($A32,Leveranser_per_nät,'Leveranser per nät'!X$1,FALSE)
               +Andel_beroende_av_klimat*VLOOKUP($A32,Leveranser_per_nät,'Leveranser per nät'!X$1,FALSE)/VLOOKUP($B32,Korrigeringsfaktor_GD,'Korrigeringsfaktor GD'!X$1,FALSE),
"")</f>
        <v>11.245217391304346</v>
      </c>
      <c r="Y32" s="18">
        <f>IFERROR(
                  Andel_oberoende_av_klimat*VLOOKUP($A32,Leveranser_per_nät,'Leveranser per nät'!Y$1,FALSE)
               +Andel_beroende_av_klimat*VLOOKUP($A32,Leveranser_per_nät,'Leveranser per nät'!Y$1,FALSE)/VLOOKUP($B32,Korrigeringsfaktor_GD,'Korrigeringsfaktor GD'!Y$1,FALSE),
"")</f>
        <v>11.47361797752809</v>
      </c>
      <c r="Z32" s="18">
        <f>IFERROR(
                  Andel_oberoende_av_klimat*VLOOKUP($A32,Leveranser_per_nät,'Leveranser per nät'!Z$1,FALSE)
               +Andel_beroende_av_klimat*VLOOKUP($A32,Leveranser_per_nät,'Leveranser per nät'!Z$1,FALSE)/VLOOKUP($B32,Korrigeringsfaktor_GD,'Korrigeringsfaktor GD'!Z$1,FALSE),
"")</f>
        <v>11.540558139534884</v>
      </c>
      <c r="AA32" s="18">
        <f>IFERROR(
                  Andel_oberoende_av_klimat*VLOOKUP($A32,Leveranser_per_nät,'Leveranser per nät'!AA$1,FALSE)
               +Andel_beroende_av_klimat*VLOOKUP($A32,Leveranser_per_nät,'Leveranser per nät'!AA$1,FALSE)/VLOOKUP($B32,Korrigeringsfaktor_GD,'Korrigeringsfaktor GD'!AA$1,FALSE),
"")</f>
        <v>10.376225395600155</v>
      </c>
      <c r="AB32" s="18">
        <f>IFERROR(
                  Andel_oberoende_av_klimat*VLOOKUP($A32,Leveranser_per_nät,'Leveranser per nät'!AB$1,FALSE)
               +Andel_beroende_av_klimat*VLOOKUP($A32,Leveranser_per_nät,'Leveranser per nät'!AB$1,FALSE)/VLOOKUP($B32,Korrigeringsfaktor_GD,'Korrigeringsfaktor GD'!AB$1,FALSE),
"")</f>
        <v>9.1768153998025674</v>
      </c>
      <c r="AC32" s="18">
        <f>IFERROR(
                  Andel_oberoende_av_klimat*VLOOKUP($A32,Leveranser_per_nät,'Leveranser per nät'!AC$1,FALSE)
               +Andel_beroende_av_klimat*VLOOKUP($A32,Leveranser_per_nät,'Leveranser per nät'!AC$1,FALSE)/VLOOKUP($B32,Korrigeringsfaktor_GD,'Korrigeringsfaktor GD'!AC$1,FALSE),
"")</f>
        <v>9.7720314136125666</v>
      </c>
      <c r="AD32">
        <v>146.80000000000001</v>
      </c>
    </row>
    <row r="33" spans="1:30" x14ac:dyDescent="0.25">
      <c r="A33" t="s">
        <v>19</v>
      </c>
      <c r="B33" t="s">
        <v>19</v>
      </c>
      <c r="C33" s="18">
        <f>IFERROR(
                  Andel_oberoende_av_klimat*VLOOKUP($A33,Leveranser_per_nät,'Leveranser per nät'!C$1,FALSE)
               +Andel_beroende_av_klimat*VLOOKUP($A33,Leveranser_per_nät,'Leveranser per nät'!C$1,FALSE)/VLOOKUP($B33,Korrigeringsfaktor_GD,'Korrigeringsfaktor GD'!C$1,FALSE),
"")</f>
        <v>248.5411764705882</v>
      </c>
      <c r="D33" s="18">
        <f>IFERROR(
                  Andel_oberoende_av_klimat*VLOOKUP($A33,Leveranser_per_nät,'Leveranser per nät'!D$1,FALSE)
               +Andel_beroende_av_klimat*VLOOKUP($A33,Leveranser_per_nät,'Leveranser per nät'!D$1,FALSE)/VLOOKUP($B33,Korrigeringsfaktor_GD,'Korrigeringsfaktor GD'!D$1,FALSE),
"")</f>
        <v>245.0937113402062</v>
      </c>
      <c r="E33" s="18">
        <f>IFERROR(
                  Andel_oberoende_av_klimat*VLOOKUP($A33,Leveranser_per_nät,'Leveranser per nät'!E$1,FALSE)
               +Andel_beroende_av_klimat*VLOOKUP($A33,Leveranser_per_nät,'Leveranser per nät'!E$1,FALSE)/VLOOKUP($B33,Korrigeringsfaktor_GD,'Korrigeringsfaktor GD'!E$1,FALSE),
"")</f>
        <v>252.29999999999998</v>
      </c>
      <c r="F33" s="18">
        <f>IFERROR(
                  Andel_oberoende_av_klimat*VLOOKUP($A33,Leveranser_per_nät,'Leveranser per nät'!F$1,FALSE)
               +Andel_beroende_av_klimat*VLOOKUP($A33,Leveranser_per_nät,'Leveranser per nät'!F$1,FALSE)/VLOOKUP($B33,Korrigeringsfaktor_GD,'Korrigeringsfaktor GD'!F$1,FALSE),
"")</f>
        <v>266</v>
      </c>
      <c r="G33" s="18">
        <f>IFERROR(
                  Andel_oberoende_av_klimat*VLOOKUP($A33,Leveranser_per_nät,'Leveranser per nät'!G$1,FALSE)
               +Andel_beroende_av_klimat*VLOOKUP($A33,Leveranser_per_nät,'Leveranser per nät'!G$1,FALSE)/VLOOKUP($B33,Korrigeringsfaktor_GD,'Korrigeringsfaktor GD'!G$1,FALSE),
"")</f>
        <v>251.26923076923077</v>
      </c>
      <c r="H33" s="18">
        <f>IFERROR(
                  Andel_oberoende_av_klimat*VLOOKUP($A33,Leveranser_per_nät,'Leveranser per nät'!H$1,FALSE)
               +Andel_beroende_av_klimat*VLOOKUP($A33,Leveranser_per_nät,'Leveranser per nät'!H$1,FALSE)/VLOOKUP($B33,Korrigeringsfaktor_GD,'Korrigeringsfaktor GD'!H$1,FALSE),
"")</f>
        <v>257.2049504950495</v>
      </c>
      <c r="I33" s="18">
        <f>IFERROR(
                  Andel_oberoende_av_klimat*VLOOKUP($A33,Leveranser_per_nät,'Leveranser per nät'!I$1,FALSE)
               +Andel_beroende_av_klimat*VLOOKUP($A33,Leveranser_per_nät,'Leveranser per nät'!I$1,FALSE)/VLOOKUP($B33,Korrigeringsfaktor_GD,'Korrigeringsfaktor GD'!I$1,FALSE),
"")</f>
        <v>259</v>
      </c>
      <c r="J33" s="18">
        <f>IFERROR(
                  Andel_oberoende_av_klimat*VLOOKUP($A33,Leveranser_per_nät,'Leveranser per nät'!J$1,FALSE)
               +Andel_beroende_av_klimat*VLOOKUP($A33,Leveranser_per_nät,'Leveranser per nät'!J$1,FALSE)/VLOOKUP($B33,Korrigeringsfaktor_GD,'Korrigeringsfaktor GD'!J$1,FALSE),
"")</f>
        <v>264.60721649484537</v>
      </c>
      <c r="K33" s="18">
        <f>IFERROR(
                  Andel_oberoende_av_klimat*VLOOKUP($A33,Leveranser_per_nät,'Leveranser per nät'!K$1,FALSE)
               +Andel_beroende_av_klimat*VLOOKUP($A33,Leveranser_per_nät,'Leveranser per nät'!K$1,FALSE)/VLOOKUP($B33,Korrigeringsfaktor_GD,'Korrigeringsfaktor GD'!K$1,FALSE),
"")</f>
        <v>259</v>
      </c>
      <c r="L33" s="18">
        <f>IFERROR(
                  Andel_oberoende_av_klimat*VLOOKUP($A33,Leveranser_per_nät,'Leveranser per nät'!L$1,FALSE)
               +Andel_beroende_av_klimat*VLOOKUP($A33,Leveranser_per_nät,'Leveranser per nät'!L$1,FALSE)/VLOOKUP($B33,Korrigeringsfaktor_GD,'Korrigeringsfaktor GD'!L$1,FALSE),
"")</f>
        <v>272.64623655913977</v>
      </c>
      <c r="M33" s="18">
        <f>IFERROR(
                  Andel_oberoende_av_klimat*VLOOKUP($A33,Leveranser_per_nät,'Leveranser per nät'!M$1,FALSE)
               +Andel_beroende_av_klimat*VLOOKUP($A33,Leveranser_per_nät,'Leveranser per nät'!M$1,FALSE)/VLOOKUP($B33,Korrigeringsfaktor_GD,'Korrigeringsfaktor GD'!M$1,FALSE),
"")</f>
        <v>244.45531914893618</v>
      </c>
      <c r="N33" s="18">
        <f>IFERROR(
                  Andel_oberoende_av_klimat*VLOOKUP($A33,Leveranser_per_nät,'Leveranser per nät'!N$1,FALSE)
               +Andel_beroende_av_klimat*VLOOKUP($A33,Leveranser_per_nät,'Leveranser per nät'!N$1,FALSE)/VLOOKUP($B33,Korrigeringsfaktor_GD,'Korrigeringsfaktor GD'!N$1,FALSE),
"")</f>
        <v>246.54468085106384</v>
      </c>
      <c r="O33" s="18">
        <f>IFERROR(
                  Andel_oberoende_av_klimat*VLOOKUP($A33,Leveranser_per_nät,'Leveranser per nät'!O$1,FALSE)
               +Andel_beroende_av_klimat*VLOOKUP($A33,Leveranser_per_nät,'Leveranser per nät'!O$1,FALSE)/VLOOKUP($B33,Korrigeringsfaktor_GD,'Korrigeringsfaktor GD'!O$1,FALSE),
"")</f>
        <v>237.43684210526317</v>
      </c>
      <c r="P33" s="18">
        <f>IFERROR(
                  Andel_oberoende_av_klimat*VLOOKUP($A33,Leveranser_per_nät,'Leveranser per nät'!P$1,FALSE)
               +Andel_beroende_av_klimat*VLOOKUP($A33,Leveranser_per_nät,'Leveranser per nät'!P$1,FALSE)/VLOOKUP($B33,Korrigeringsfaktor_GD,'Korrigeringsfaktor GD'!P$1,FALSE),
"")</f>
        <v>249.51428571428571</v>
      </c>
      <c r="Q33" s="18">
        <f>IFERROR(
                  Andel_oberoende_av_klimat*VLOOKUP($A33,Leveranser_per_nät,'Leveranser per nät'!Q$1,FALSE)
               +Andel_beroende_av_klimat*VLOOKUP($A33,Leveranser_per_nät,'Leveranser per nät'!Q$1,FALSE)/VLOOKUP($B33,Korrigeringsfaktor_GD,'Korrigeringsfaktor GD'!Q$1,FALSE),
"")</f>
        <v>272.29633027522937</v>
      </c>
      <c r="R33" s="18">
        <f>IFERROR(
                  Andel_oberoende_av_klimat*VLOOKUP($A33,Leveranser_per_nät,'Leveranser per nät'!R$1,FALSE)
               +Andel_beroende_av_klimat*VLOOKUP($A33,Leveranser_per_nät,'Leveranser per nät'!R$1,FALSE)/VLOOKUP($B33,Korrigeringsfaktor_GD,'Korrigeringsfaktor GD'!R$1,FALSE),
"")</f>
        <v>259.74444444444441</v>
      </c>
      <c r="S33" s="18">
        <f>IFERROR(
                  Andel_oberoende_av_klimat*VLOOKUP($A33,Leveranser_per_nät,'Leveranser per nät'!S$1,FALSE)
               +Andel_beroende_av_klimat*VLOOKUP($A33,Leveranser_per_nät,'Leveranser per nät'!S$1,FALSE)/VLOOKUP($B33,Korrigeringsfaktor_GD,'Korrigeringsfaktor GD'!S$1,FALSE),
"")</f>
        <v>271</v>
      </c>
      <c r="T33" s="18">
        <f>IFERROR(
                  Andel_oberoende_av_klimat*VLOOKUP($A33,Leveranser_per_nät,'Leveranser per nät'!T$1,FALSE)
               +Andel_beroende_av_klimat*VLOOKUP($A33,Leveranser_per_nät,'Leveranser per nät'!T$1,FALSE)/VLOOKUP($B33,Korrigeringsfaktor_GD,'Korrigeringsfaktor GD'!T$1,FALSE),
"")</f>
        <v>267.4382978723404</v>
      </c>
      <c r="U33" s="18">
        <f>IFERROR(
                  Andel_oberoende_av_klimat*VLOOKUP($A33,Leveranser_per_nät,'Leveranser per nät'!U$1,FALSE)
               +Andel_beroende_av_klimat*VLOOKUP($A33,Leveranser_per_nät,'Leveranser per nät'!U$1,FALSE)/VLOOKUP($B33,Korrigeringsfaktor_GD,'Korrigeringsfaktor GD'!U$1,FALSE),
"")</f>
        <v>268.37692307692305</v>
      </c>
      <c r="V33" s="18">
        <f>IFERROR(
                  Andel_oberoende_av_klimat*VLOOKUP($A33,Leveranser_per_nät,'Leveranser per nät'!V$1,FALSE)
               +Andel_beroende_av_klimat*VLOOKUP($A33,Leveranser_per_nät,'Leveranser per nät'!V$1,FALSE)/VLOOKUP($B33,Korrigeringsfaktor_GD,'Korrigeringsfaktor GD'!V$1,FALSE),
"")</f>
        <v>268.5277011494253</v>
      </c>
      <c r="W33" s="18">
        <f>IFERROR(
                  Andel_oberoende_av_klimat*VLOOKUP($A33,Leveranser_per_nät,'Leveranser per nät'!W$1,FALSE)
               +Andel_beroende_av_klimat*VLOOKUP($A33,Leveranser_per_nät,'Leveranser per nät'!W$1,FALSE)/VLOOKUP($B33,Korrigeringsfaktor_GD,'Korrigeringsfaktor GD'!W$1,FALSE),
"")</f>
        <v>274.89041666666674</v>
      </c>
      <c r="X33" s="18">
        <f>IFERROR(
                  Andel_oberoende_av_klimat*VLOOKUP($A33,Leveranser_per_nät,'Leveranser per nät'!X$1,FALSE)
               +Andel_beroende_av_klimat*VLOOKUP($A33,Leveranser_per_nät,'Leveranser per nät'!X$1,FALSE)/VLOOKUP($B33,Korrigeringsfaktor_GD,'Korrigeringsfaktor GD'!X$1,FALSE),
"")</f>
        <v>275.8857142857143</v>
      </c>
      <c r="Y33" s="18">
        <f>IFERROR(
                  Andel_oberoende_av_klimat*VLOOKUP($A33,Leveranser_per_nät,'Leveranser per nät'!Y$1,FALSE)
               +Andel_beroende_av_klimat*VLOOKUP($A33,Leveranser_per_nät,'Leveranser per nät'!Y$1,FALSE)/VLOOKUP($B33,Korrigeringsfaktor_GD,'Korrigeringsfaktor GD'!Y$1,FALSE),
"")</f>
        <v>274.93030303030304</v>
      </c>
      <c r="Z33" s="18">
        <f>IFERROR(
                  Andel_oberoende_av_klimat*VLOOKUP($A33,Leveranser_per_nät,'Leveranser per nät'!Z$1,FALSE)
               +Andel_beroende_av_klimat*VLOOKUP($A33,Leveranser_per_nät,'Leveranser per nät'!Z$1,FALSE)/VLOOKUP($B33,Korrigeringsfaktor_GD,'Korrigeringsfaktor GD'!Z$1,FALSE),
"")</f>
        <v>296.38888888888891</v>
      </c>
      <c r="AA33" s="18">
        <f>IFERROR(
                  Andel_oberoende_av_klimat*VLOOKUP($A33,Leveranser_per_nät,'Leveranser per nät'!AA$1,FALSE)
               +Andel_beroende_av_klimat*VLOOKUP($A33,Leveranser_per_nät,'Leveranser per nät'!AA$1,FALSE)/VLOOKUP($B33,Korrigeringsfaktor_GD,'Korrigeringsfaktor GD'!AA$1,FALSE),
"")</f>
        <v>276.20528052805275</v>
      </c>
      <c r="AB33" s="18">
        <f>IFERROR(
                  Andel_oberoende_av_klimat*VLOOKUP($A33,Leveranser_per_nät,'Leveranser per nät'!AB$1,FALSE)
               +Andel_beroende_av_klimat*VLOOKUP($A33,Leveranser_per_nät,'Leveranser per nät'!AB$1,FALSE)/VLOOKUP($B33,Korrigeringsfaktor_GD,'Korrigeringsfaktor GD'!AB$1,FALSE),
"")</f>
        <v>258.09937381404177</v>
      </c>
      <c r="AC33" s="18">
        <f>IFERROR(
                  Andel_oberoende_av_klimat*VLOOKUP($A33,Leveranser_per_nät,'Leveranser per nät'!AC$1,FALSE)
               +Andel_beroende_av_klimat*VLOOKUP($A33,Leveranser_per_nät,'Leveranser per nät'!AC$1,FALSE)/VLOOKUP($B33,Korrigeringsfaktor_GD,'Korrigeringsfaktor GD'!AC$1,FALSE),
"")</f>
        <v>264.75401221995924</v>
      </c>
      <c r="AD33">
        <v>261.39999999999998</v>
      </c>
    </row>
    <row r="34" spans="1:30" x14ac:dyDescent="0.25">
      <c r="A34" t="s">
        <v>263</v>
      </c>
      <c r="B34" t="s">
        <v>261</v>
      </c>
      <c r="C34" s="18">
        <f>IFERROR(
                  Andel_oberoende_av_klimat*VLOOKUP($A34,Leveranser_per_nät,'Leveranser per nät'!C$1,FALSE)
               +Andel_beroende_av_klimat*VLOOKUP($A34,Leveranser_per_nät,'Leveranser per nät'!C$1,FALSE)/VLOOKUP($B34,Korrigeringsfaktor_GD,'Korrigeringsfaktor GD'!C$1,FALSE),
"")</f>
        <v>0</v>
      </c>
      <c r="D34" s="18">
        <f>IFERROR(
                  Andel_oberoende_av_klimat*VLOOKUP($A34,Leveranser_per_nät,'Leveranser per nät'!D$1,FALSE)
               +Andel_beroende_av_klimat*VLOOKUP($A34,Leveranser_per_nät,'Leveranser per nät'!D$1,FALSE)/VLOOKUP($B34,Korrigeringsfaktor_GD,'Korrigeringsfaktor GD'!D$1,FALSE),
"")</f>
        <v>0</v>
      </c>
      <c r="E34" s="18">
        <f>IFERROR(
                  Andel_oberoende_av_klimat*VLOOKUP($A34,Leveranser_per_nät,'Leveranser per nät'!E$1,FALSE)
               +Andel_beroende_av_klimat*VLOOKUP($A34,Leveranser_per_nät,'Leveranser per nät'!E$1,FALSE)/VLOOKUP($B34,Korrigeringsfaktor_GD,'Korrigeringsfaktor GD'!E$1,FALSE),
"")</f>
        <v>0</v>
      </c>
      <c r="F34" s="18">
        <f>IFERROR(
                  Andel_oberoende_av_klimat*VLOOKUP($A34,Leveranser_per_nät,'Leveranser per nät'!F$1,FALSE)
               +Andel_beroende_av_klimat*VLOOKUP($A34,Leveranser_per_nät,'Leveranser per nät'!F$1,FALSE)/VLOOKUP($B34,Korrigeringsfaktor_GD,'Korrigeringsfaktor GD'!F$1,FALSE),
"")</f>
        <v>3</v>
      </c>
      <c r="G34" s="18">
        <f>IFERROR(
                  Andel_oberoende_av_klimat*VLOOKUP($A34,Leveranser_per_nät,'Leveranser per nät'!G$1,FALSE)
               +Andel_beroende_av_klimat*VLOOKUP($A34,Leveranser_per_nät,'Leveranser per nät'!G$1,FALSE)/VLOOKUP($B34,Korrigeringsfaktor_GD,'Korrigeringsfaktor GD'!G$1,FALSE),
"")</f>
        <v>3.2333333333333334</v>
      </c>
      <c r="H34" s="18">
        <f>IFERROR(
                  Andel_oberoende_av_klimat*VLOOKUP($A34,Leveranser_per_nät,'Leveranser per nät'!H$1,FALSE)
               +Andel_beroende_av_klimat*VLOOKUP($A34,Leveranser_per_nät,'Leveranser per nät'!H$1,FALSE)/VLOOKUP($B34,Korrigeringsfaktor_GD,'Korrigeringsfaktor GD'!H$1,FALSE),
"")</f>
        <v>5.7119999999999997</v>
      </c>
      <c r="I34" s="18">
        <f>IFERROR(
                  Andel_oberoende_av_klimat*VLOOKUP($A34,Leveranser_per_nät,'Leveranser per nät'!I$1,FALSE)
               +Andel_beroende_av_klimat*VLOOKUP($A34,Leveranser_per_nät,'Leveranser per nät'!I$1,FALSE)/VLOOKUP($B34,Korrigeringsfaktor_GD,'Korrigeringsfaktor GD'!I$1,FALSE),
"")</f>
        <v>6.1298969072164944</v>
      </c>
      <c r="J34" s="18">
        <f>IFERROR(
                  Andel_oberoende_av_klimat*VLOOKUP($A34,Leveranser_per_nät,'Leveranser per nät'!J$1,FALSE)
               +Andel_beroende_av_klimat*VLOOKUP($A34,Leveranser_per_nät,'Leveranser per nät'!J$1,FALSE)/VLOOKUP($B34,Korrigeringsfaktor_GD,'Korrigeringsfaktor GD'!J$1,FALSE),
"")</f>
        <v>6.1749999999999989</v>
      </c>
      <c r="K34" s="18">
        <f>IFERROR(
                  Andel_oberoende_av_klimat*VLOOKUP($A34,Leveranser_per_nät,'Leveranser per nät'!K$1,FALSE)
               +Andel_beroende_av_klimat*VLOOKUP($A34,Leveranser_per_nät,'Leveranser per nät'!K$1,FALSE)/VLOOKUP($B34,Korrigeringsfaktor_GD,'Korrigeringsfaktor GD'!K$1,FALSE),
"")</f>
        <v>5.8183485714285714</v>
      </c>
      <c r="L34" s="18">
        <f>IFERROR(
                  Andel_oberoende_av_klimat*VLOOKUP($A34,Leveranser_per_nät,'Leveranser per nät'!L$1,FALSE)
               +Andel_beroende_av_klimat*VLOOKUP($A34,Leveranser_per_nät,'Leveranser per nät'!L$1,FALSE)/VLOOKUP($B34,Korrigeringsfaktor_GD,'Korrigeringsfaktor GD'!L$1,FALSE),
"")</f>
        <v>5.9084069565217385</v>
      </c>
      <c r="M34" s="18">
        <f>IFERROR(
                  Andel_oberoende_av_klimat*VLOOKUP($A34,Leveranser_per_nät,'Leveranser per nät'!M$1,FALSE)
               +Andel_beroende_av_klimat*VLOOKUP($A34,Leveranser_per_nät,'Leveranser per nät'!M$1,FALSE)/VLOOKUP($B34,Korrigeringsfaktor_GD,'Korrigeringsfaktor GD'!M$1,FALSE),
"")</f>
        <v>7.0982782608695647</v>
      </c>
      <c r="N34" s="18">
        <f>IFERROR(
                  Andel_oberoende_av_klimat*VLOOKUP($A34,Leveranser_per_nät,'Leveranser per nät'!N$1,FALSE)
               +Andel_beroende_av_klimat*VLOOKUP($A34,Leveranser_per_nät,'Leveranser per nät'!N$1,FALSE)/VLOOKUP($B34,Korrigeringsfaktor_GD,'Korrigeringsfaktor GD'!N$1,FALSE),
"")</f>
        <v>7.5204043010752688</v>
      </c>
      <c r="O34" s="18">
        <f>IFERROR(
                  Andel_oberoende_av_klimat*VLOOKUP($A34,Leveranser_per_nät,'Leveranser per nät'!O$1,FALSE)
               +Andel_beroende_av_klimat*VLOOKUP($A34,Leveranser_per_nät,'Leveranser per nät'!O$1,FALSE)/VLOOKUP($B34,Korrigeringsfaktor_GD,'Korrigeringsfaktor GD'!O$1,FALSE),
"")</f>
        <v>7.908846236559139</v>
      </c>
      <c r="P34" s="18">
        <f>IFERROR(
                  Andel_oberoende_av_klimat*VLOOKUP($A34,Leveranser_per_nät,'Leveranser per nät'!P$1,FALSE)
               +Andel_beroende_av_klimat*VLOOKUP($A34,Leveranser_per_nät,'Leveranser per nät'!P$1,FALSE)/VLOOKUP($B34,Korrigeringsfaktor_GD,'Korrigeringsfaktor GD'!P$1,FALSE),
"")</f>
        <v>8.4124857142857152</v>
      </c>
      <c r="Q34" s="18">
        <f>IFERROR(
                  Andel_oberoende_av_klimat*VLOOKUP($A34,Leveranser_per_nät,'Leveranser per nät'!Q$1,FALSE)
               +Andel_beroende_av_klimat*VLOOKUP($A34,Leveranser_per_nät,'Leveranser per nät'!Q$1,FALSE)/VLOOKUP($B34,Korrigeringsfaktor_GD,'Korrigeringsfaktor GD'!Q$1,FALSE),
"")</f>
        <v>8.3179765765765765</v>
      </c>
      <c r="R34" s="18">
        <f>IFERROR(
                  Andel_oberoende_av_klimat*VLOOKUP($A34,Leveranser_per_nät,'Leveranser per nät'!R$1,FALSE)
               +Andel_beroende_av_klimat*VLOOKUP($A34,Leveranser_per_nät,'Leveranser per nät'!R$1,FALSE)/VLOOKUP($B34,Korrigeringsfaktor_GD,'Korrigeringsfaktor GD'!R$1,FALSE),
"")</f>
        <v>8.3344555555555537</v>
      </c>
      <c r="S34" s="18">
        <f>IFERROR(
                  Andel_oberoende_av_klimat*VLOOKUP($A34,Leveranser_per_nät,'Leveranser per nät'!S$1,FALSE)
               +Andel_beroende_av_klimat*VLOOKUP($A34,Leveranser_per_nät,'Leveranser per nät'!S$1,FALSE)/VLOOKUP($B34,Korrigeringsfaktor_GD,'Korrigeringsfaktor GD'!S$1,FALSE),
"")</f>
        <v>8.64</v>
      </c>
      <c r="T34" s="18">
        <f>IFERROR(
                  Andel_oberoende_av_klimat*VLOOKUP($A34,Leveranser_per_nät,'Leveranser per nät'!T$1,FALSE)
               +Andel_beroende_av_klimat*VLOOKUP($A34,Leveranser_per_nät,'Leveranser per nät'!T$1,FALSE)/VLOOKUP($B34,Korrigeringsfaktor_GD,'Korrigeringsfaktor GD'!T$1,FALSE),
"")</f>
        <v>8.518782608695652</v>
      </c>
      <c r="U34" s="18">
        <f>IFERROR(
                  Andel_oberoende_av_klimat*VLOOKUP($A34,Leveranser_per_nät,'Leveranser per nät'!U$1,FALSE)
               +Andel_beroende_av_klimat*VLOOKUP($A34,Leveranser_per_nät,'Leveranser per nät'!U$1,FALSE)/VLOOKUP($B34,Korrigeringsfaktor_GD,'Korrigeringsfaktor GD'!U$1,FALSE),
"")</f>
        <v>8.4616333333333333</v>
      </c>
      <c r="V34" s="18">
        <f>IFERROR(
                  Andel_oberoende_av_klimat*VLOOKUP($A34,Leveranser_per_nät,'Leveranser per nät'!V$1,FALSE)
               +Andel_beroende_av_klimat*VLOOKUP($A34,Leveranser_per_nät,'Leveranser per nät'!V$1,FALSE)/VLOOKUP($B34,Korrigeringsfaktor_GD,'Korrigeringsfaktor GD'!V$1,FALSE),
"")</f>
        <v>8.5219712643678154</v>
      </c>
      <c r="W34" s="18">
        <f>IFERROR(
                  Andel_oberoende_av_klimat*VLOOKUP($A34,Leveranser_per_nät,'Leveranser per nät'!W$1,FALSE)
               +Andel_beroende_av_klimat*VLOOKUP($A34,Leveranser_per_nät,'Leveranser per nät'!W$1,FALSE)/VLOOKUP($B34,Korrigeringsfaktor_GD,'Korrigeringsfaktor GD'!W$1,FALSE),
"")</f>
        <v>8.3064041666666668</v>
      </c>
      <c r="X34" s="18">
        <f>IFERROR(
                  Andel_oberoende_av_klimat*VLOOKUP($A34,Leveranser_per_nät,'Leveranser per nät'!X$1,FALSE)
               +Andel_beroende_av_klimat*VLOOKUP($A34,Leveranser_per_nät,'Leveranser per nät'!X$1,FALSE)/VLOOKUP($B34,Korrigeringsfaktor_GD,'Korrigeringsfaktor GD'!X$1,FALSE),
"")</f>
        <v>8.0767571428571436</v>
      </c>
      <c r="Y34" s="18">
        <f>IFERROR(
                  Andel_oberoende_av_klimat*VLOOKUP($A34,Leveranser_per_nät,'Leveranser per nät'!Y$1,FALSE)
               +Andel_beroende_av_klimat*VLOOKUP($A34,Leveranser_per_nät,'Leveranser per nät'!Y$1,FALSE)/VLOOKUP($B34,Korrigeringsfaktor_GD,'Korrigeringsfaktor GD'!Y$1,FALSE),
"")</f>
        <v>8.0740958762886592</v>
      </c>
      <c r="Z34" s="18">
        <f>IFERROR(
                  Andel_oberoende_av_klimat*VLOOKUP($A34,Leveranser_per_nät,'Leveranser per nät'!Z$1,FALSE)
               +Andel_beroende_av_klimat*VLOOKUP($A34,Leveranser_per_nät,'Leveranser per nät'!Z$1,FALSE)/VLOOKUP($B34,Korrigeringsfaktor_GD,'Korrigeringsfaktor GD'!Z$1,FALSE),
"")</f>
        <v>7.9206111111111115</v>
      </c>
      <c r="AA34" s="18">
        <f>IFERROR(
                  Andel_oberoende_av_klimat*VLOOKUP($A34,Leveranser_per_nät,'Leveranser per nät'!AA$1,FALSE)
               +Andel_beroende_av_klimat*VLOOKUP($A34,Leveranser_per_nät,'Leveranser per nät'!AA$1,FALSE)/VLOOKUP($B34,Korrigeringsfaktor_GD,'Korrigeringsfaktor GD'!AA$1,FALSE),
"")</f>
        <v>7.5879196382022478</v>
      </c>
      <c r="AB34" s="18">
        <f>IFERROR(
                  Andel_oberoende_av_klimat*VLOOKUP($A34,Leveranser_per_nät,'Leveranser per nät'!AB$1,FALSE)
               +Andel_beroende_av_klimat*VLOOKUP($A34,Leveranser_per_nät,'Leveranser per nät'!AB$1,FALSE)/VLOOKUP($B34,Korrigeringsfaktor_GD,'Korrigeringsfaktor GD'!AB$1,FALSE),
"")</f>
        <v>7.444412203389831</v>
      </c>
      <c r="AC34" s="18">
        <f>IFERROR(
                  Andel_oberoende_av_klimat*VLOOKUP($A34,Leveranser_per_nät,'Leveranser per nät'!AC$1,FALSE)
               +Andel_beroende_av_klimat*VLOOKUP($A34,Leveranser_per_nät,'Leveranser per nät'!AC$1,FALSE)/VLOOKUP($B34,Korrigeringsfaktor_GD,'Korrigeringsfaktor GD'!AC$1,FALSE),
"")</f>
        <v>7.0279947320525782</v>
      </c>
      <c r="AD34">
        <v>351.95330000000001</v>
      </c>
    </row>
    <row r="35" spans="1:30" x14ac:dyDescent="0.25">
      <c r="A35" t="s">
        <v>21</v>
      </c>
      <c r="B35" t="s">
        <v>21</v>
      </c>
      <c r="C35" s="18">
        <f>IFERROR(
                  Andel_oberoende_av_klimat*VLOOKUP($A35,Leveranser_per_nät,'Leveranser per nät'!C$1,FALSE)
               +Andel_beroende_av_klimat*VLOOKUP($A35,Leveranser_per_nät,'Leveranser per nät'!C$1,FALSE)/VLOOKUP($B35,Korrigeringsfaktor_GD,'Korrigeringsfaktor GD'!C$1,FALSE),
"")</f>
        <v>104.87272727272727</v>
      </c>
      <c r="D35" s="18">
        <f>IFERROR(
                  Andel_oberoende_av_klimat*VLOOKUP($A35,Leveranser_per_nät,'Leveranser per nät'!D$1,FALSE)
               +Andel_beroende_av_klimat*VLOOKUP($A35,Leveranser_per_nät,'Leveranser per nät'!D$1,FALSE)/VLOOKUP($B35,Korrigeringsfaktor_GD,'Korrigeringsfaktor GD'!D$1,FALSE),
"")</f>
        <v>108.08308333333333</v>
      </c>
      <c r="E35" s="18">
        <f>IFERROR(
                  Andel_oberoende_av_klimat*VLOOKUP($A35,Leveranser_per_nät,'Leveranser per nät'!E$1,FALSE)
               +Andel_beroende_av_klimat*VLOOKUP($A35,Leveranser_per_nät,'Leveranser per nät'!E$1,FALSE)/VLOOKUP($B35,Korrigeringsfaktor_GD,'Korrigeringsfaktor GD'!E$1,FALSE),
"")</f>
        <v>106.25841584158414</v>
      </c>
      <c r="F35" s="18">
        <f>IFERROR(
                  Andel_oberoende_av_klimat*VLOOKUP($A35,Leveranser_per_nät,'Leveranser per nät'!F$1,FALSE)
               +Andel_beroende_av_klimat*VLOOKUP($A35,Leveranser_per_nät,'Leveranser per nät'!F$1,FALSE)/VLOOKUP($B35,Korrigeringsfaktor_GD,'Korrigeringsfaktor GD'!F$1,FALSE),
"")</f>
        <v>117.65714285714284</v>
      </c>
      <c r="G35" s="18">
        <f>IFERROR(
                  Andel_oberoende_av_klimat*VLOOKUP($A35,Leveranser_per_nät,'Leveranser per nät'!G$1,FALSE)
               +Andel_beroende_av_klimat*VLOOKUP($A35,Leveranser_per_nät,'Leveranser per nät'!G$1,FALSE)/VLOOKUP($B35,Korrigeringsfaktor_GD,'Korrigeringsfaktor GD'!G$1,FALSE),
"")</f>
        <v>123.94444444444446</v>
      </c>
      <c r="H35" s="18">
        <f>IFERROR(
                  Andel_oberoende_av_klimat*VLOOKUP($A35,Leveranser_per_nät,'Leveranser per nät'!H$1,FALSE)
               +Andel_beroende_av_klimat*VLOOKUP($A35,Leveranser_per_nät,'Leveranser per nät'!H$1,FALSE)/VLOOKUP($B35,Korrigeringsfaktor_GD,'Korrigeringsfaktor GD'!H$1,FALSE),
"")</f>
        <v>128.21568627450981</v>
      </c>
      <c r="I35" s="18">
        <f>IFERROR(
                  Andel_oberoende_av_klimat*VLOOKUP($A35,Leveranser_per_nät,'Leveranser per nät'!I$1,FALSE)
               +Andel_beroende_av_klimat*VLOOKUP($A35,Leveranser_per_nät,'Leveranser per nät'!I$1,FALSE)/VLOOKUP($B35,Korrigeringsfaktor_GD,'Korrigeringsfaktor GD'!I$1,FALSE),
"")</f>
        <v>126.89090909090908</v>
      </c>
      <c r="J35" s="18">
        <f>IFERROR(
                  Andel_oberoende_av_klimat*VLOOKUP($A35,Leveranser_per_nät,'Leveranser per nät'!J$1,FALSE)
               +Andel_beroende_av_klimat*VLOOKUP($A35,Leveranser_per_nät,'Leveranser per nät'!J$1,FALSE)/VLOOKUP($B35,Korrigeringsfaktor_GD,'Korrigeringsfaktor GD'!J$1,FALSE),
"")</f>
        <v>130.77113402061855</v>
      </c>
      <c r="K35" s="18">
        <f>IFERROR(
                  Andel_oberoende_av_klimat*VLOOKUP($A35,Leveranser_per_nät,'Leveranser per nät'!K$1,FALSE)
               +Andel_beroende_av_klimat*VLOOKUP($A35,Leveranser_per_nät,'Leveranser per nät'!K$1,FALSE)/VLOOKUP($B35,Korrigeringsfaktor_GD,'Korrigeringsfaktor GD'!K$1,FALSE),
"")</f>
        <v>132.84916907216495</v>
      </c>
      <c r="L35" s="18">
        <f>IFERROR(
                  Andel_oberoende_av_klimat*VLOOKUP($A35,Leveranser_per_nät,'Leveranser per nät'!L$1,FALSE)
               +Andel_beroende_av_klimat*VLOOKUP($A35,Leveranser_per_nät,'Leveranser per nät'!L$1,FALSE)/VLOOKUP($B35,Korrigeringsfaktor_GD,'Korrigeringsfaktor GD'!L$1,FALSE),
"")</f>
        <v>129.88313684210527</v>
      </c>
      <c r="M35" s="18">
        <f>IFERROR(
                  Andel_oberoende_av_klimat*VLOOKUP($A35,Leveranser_per_nät,'Leveranser per nät'!M$1,FALSE)
               +Andel_beroende_av_klimat*VLOOKUP($A35,Leveranser_per_nät,'Leveranser per nät'!M$1,FALSE)/VLOOKUP($B35,Korrigeringsfaktor_GD,'Korrigeringsfaktor GD'!M$1,FALSE),
"")</f>
        <v>139.55518469565217</v>
      </c>
      <c r="N35" s="18">
        <f>IFERROR(
                  Andel_oberoende_av_klimat*VLOOKUP($A35,Leveranser_per_nät,'Leveranser per nät'!N$1,FALSE)
               +Andel_beroende_av_klimat*VLOOKUP($A35,Leveranser_per_nät,'Leveranser per nät'!N$1,FALSE)/VLOOKUP($B35,Korrigeringsfaktor_GD,'Korrigeringsfaktor GD'!N$1,FALSE),
"")</f>
        <v>127.76446808510639</v>
      </c>
      <c r="O35" s="18">
        <f>IFERROR(
                  Andel_oberoende_av_klimat*VLOOKUP($A35,Leveranser_per_nät,'Leveranser per nät'!O$1,FALSE)
               +Andel_beroende_av_klimat*VLOOKUP($A35,Leveranser_per_nät,'Leveranser per nät'!O$1,FALSE)/VLOOKUP($B35,Korrigeringsfaktor_GD,'Korrigeringsfaktor GD'!O$1,FALSE),
"")</f>
        <v>132.88340425531916</v>
      </c>
      <c r="P35" s="18">
        <f>IFERROR(
                  Andel_oberoende_av_klimat*VLOOKUP($A35,Leveranser_per_nät,'Leveranser per nät'!P$1,FALSE)
               +Andel_beroende_av_klimat*VLOOKUP($A35,Leveranser_per_nät,'Leveranser per nät'!P$1,FALSE)/VLOOKUP($B35,Korrigeringsfaktor_GD,'Korrigeringsfaktor GD'!P$1,FALSE),
"")</f>
        <v>133.9</v>
      </c>
      <c r="Q35" s="18">
        <f>IFERROR(
                  Andel_oberoende_av_klimat*VLOOKUP($A35,Leveranser_per_nät,'Leveranser per nät'!Q$1,FALSE)
               +Andel_beroende_av_klimat*VLOOKUP($A35,Leveranser_per_nät,'Leveranser per nät'!Q$1,FALSE)/VLOOKUP($B35,Korrigeringsfaktor_GD,'Korrigeringsfaktor GD'!Q$1,FALSE),
"")</f>
        <v>136.22397264957266</v>
      </c>
      <c r="R35" s="18">
        <f>IFERROR(
                  Andel_oberoende_av_klimat*VLOOKUP($A35,Leveranser_per_nät,'Leveranser per nät'!R$1,FALSE)
               +Andel_beroende_av_klimat*VLOOKUP($A35,Leveranser_per_nät,'Leveranser per nät'!R$1,FALSE)/VLOOKUP($B35,Korrigeringsfaktor_GD,'Korrigeringsfaktor GD'!R$1,FALSE),
"")</f>
        <v>130.22598260869566</v>
      </c>
      <c r="S35" s="18">
        <f>IFERROR(
                  Andel_oberoende_av_klimat*VLOOKUP($A35,Leveranser_per_nät,'Leveranser per nät'!S$1,FALSE)
               +Andel_beroende_av_klimat*VLOOKUP($A35,Leveranser_per_nät,'Leveranser per nät'!S$1,FALSE)/VLOOKUP($B35,Korrigeringsfaktor_GD,'Korrigeringsfaktor GD'!S$1,FALSE),
"")</f>
        <v>130.91919191919192</v>
      </c>
      <c r="T35" s="18">
        <f>IFERROR(
                  Andel_oberoende_av_klimat*VLOOKUP($A35,Leveranser_per_nät,'Leveranser per nät'!T$1,FALSE)
               +Andel_beroende_av_klimat*VLOOKUP($A35,Leveranser_per_nät,'Leveranser per nät'!T$1,FALSE)/VLOOKUP($B35,Korrigeringsfaktor_GD,'Korrigeringsfaktor GD'!T$1,FALSE),
"")</f>
        <v>130.37978421052634</v>
      </c>
      <c r="U35" s="18">
        <f>IFERROR(
                  Andel_oberoende_av_klimat*VLOOKUP($A35,Leveranser_per_nät,'Leveranser per nät'!U$1,FALSE)
               +Andel_beroende_av_klimat*VLOOKUP($A35,Leveranser_per_nät,'Leveranser per nät'!U$1,FALSE)/VLOOKUP($B35,Korrigeringsfaktor_GD,'Korrigeringsfaktor GD'!U$1,FALSE),
"")</f>
        <v>127.70480454545454</v>
      </c>
      <c r="V35" s="18">
        <f>IFERROR(
                  Andel_oberoende_av_klimat*VLOOKUP($A35,Leveranser_per_nät,'Leveranser per nät'!V$1,FALSE)
               +Andel_beroende_av_klimat*VLOOKUP($A35,Leveranser_per_nät,'Leveranser per nät'!V$1,FALSE)/VLOOKUP($B35,Korrigeringsfaktor_GD,'Korrigeringsfaktor GD'!V$1,FALSE),
"")</f>
        <v>127.76786292134832</v>
      </c>
      <c r="W35" s="18">
        <f>IFERROR(
                  Andel_oberoende_av_klimat*VLOOKUP($A35,Leveranser_per_nät,'Leveranser per nät'!W$1,FALSE)
               +Andel_beroende_av_klimat*VLOOKUP($A35,Leveranser_per_nät,'Leveranser per nät'!W$1,FALSE)/VLOOKUP($B35,Korrigeringsfaktor_GD,'Korrigeringsfaktor GD'!W$1,FALSE),
"")</f>
        <v>128.62319574468086</v>
      </c>
      <c r="X35" s="18">
        <f>IFERROR(
                  Andel_oberoende_av_klimat*VLOOKUP($A35,Leveranser_per_nät,'Leveranser per nät'!X$1,FALSE)
               +Andel_beroende_av_klimat*VLOOKUP($A35,Leveranser_per_nät,'Leveranser per nät'!X$1,FALSE)/VLOOKUP($B35,Korrigeringsfaktor_GD,'Korrigeringsfaktor GD'!X$1,FALSE),
"")</f>
        <v>128.18840412371134</v>
      </c>
      <c r="Y35" s="18">
        <f>IFERROR(
                  Andel_oberoende_av_klimat*VLOOKUP($A35,Leveranser_per_nät,'Leveranser per nät'!Y$1,FALSE)
               +Andel_beroende_av_klimat*VLOOKUP($A35,Leveranser_per_nät,'Leveranser per nät'!Y$1,FALSE)/VLOOKUP($B35,Korrigeringsfaktor_GD,'Korrigeringsfaktor GD'!Y$1,FALSE),
"")</f>
        <v>128.5122670103093</v>
      </c>
      <c r="Z35" s="18">
        <f>IFERROR(
                  Andel_oberoende_av_klimat*VLOOKUP($A35,Leveranser_per_nät,'Leveranser per nät'!Z$1,FALSE)
               +Andel_beroende_av_klimat*VLOOKUP($A35,Leveranser_per_nät,'Leveranser per nät'!Z$1,FALSE)/VLOOKUP($B35,Korrigeringsfaktor_GD,'Korrigeringsfaktor GD'!Z$1,FALSE),
"")</f>
        <v>132.23497692307694</v>
      </c>
      <c r="AA35" s="18">
        <f>IFERROR(
                  Andel_oberoende_av_klimat*VLOOKUP($A35,Leveranser_per_nät,'Leveranser per nät'!AA$1,FALSE)
               +Andel_beroende_av_klimat*VLOOKUP($A35,Leveranser_per_nät,'Leveranser per nät'!AA$1,FALSE)/VLOOKUP($B35,Korrigeringsfaktor_GD,'Korrigeringsfaktor GD'!AA$1,FALSE),
"")</f>
        <v>127.72933383742911</v>
      </c>
      <c r="AB35" s="18">
        <f>IFERROR(
                  Andel_oberoende_av_klimat*VLOOKUP($A35,Leveranser_per_nät,'Leveranser per nät'!AB$1,FALSE)
               +Andel_beroende_av_klimat*VLOOKUP($A35,Leveranser_per_nät,'Leveranser per nät'!AB$1,FALSE)/VLOOKUP($B35,Korrigeringsfaktor_GD,'Korrigeringsfaktor GD'!AB$1,FALSE),
"")</f>
        <v>128.261584086444</v>
      </c>
      <c r="AC35" s="18">
        <f>IFERROR(
                  Andel_oberoende_av_klimat*VLOOKUP($A35,Leveranser_per_nät,'Leveranser per nät'!AC$1,FALSE)
               +Andel_beroende_av_klimat*VLOOKUP($A35,Leveranser_per_nät,'Leveranser per nät'!AC$1,FALSE)/VLOOKUP($B35,Korrigeringsfaktor_GD,'Korrigeringsfaktor GD'!AC$1,FALSE),
"")</f>
        <v>127.75592463768116</v>
      </c>
      <c r="AD35">
        <v>122.995</v>
      </c>
    </row>
    <row r="36" spans="1:30" x14ac:dyDescent="0.25">
      <c r="A36" t="s">
        <v>60</v>
      </c>
      <c r="B36" t="s">
        <v>211</v>
      </c>
      <c r="C36" s="18">
        <f>IFERROR(
                  Andel_oberoende_av_klimat*VLOOKUP($A36,Leveranser_per_nät,'Leveranser per nät'!C$1,FALSE)
               +Andel_beroende_av_klimat*VLOOKUP($A36,Leveranser_per_nät,'Leveranser per nät'!C$1,FALSE)/VLOOKUP($B36,Korrigeringsfaktor_GD,'Korrigeringsfaktor GD'!C$1,FALSE),
"")</f>
        <v>7.6336448598130842</v>
      </c>
      <c r="D36" s="18">
        <f>IFERROR(
                  Andel_oberoende_av_klimat*VLOOKUP($A36,Leveranser_per_nät,'Leveranser per nät'!D$1,FALSE)
               +Andel_beroende_av_klimat*VLOOKUP($A36,Leveranser_per_nät,'Leveranser per nät'!D$1,FALSE)/VLOOKUP($B36,Korrigeringsfaktor_GD,'Korrigeringsfaktor GD'!D$1,FALSE),
"")</f>
        <v>7.5091659574468075</v>
      </c>
      <c r="E36" s="18">
        <f>IFERROR(
                  Andel_oberoende_av_klimat*VLOOKUP($A36,Leveranser_per_nät,'Leveranser per nät'!E$1,FALSE)
               +Andel_beroende_av_klimat*VLOOKUP($A36,Leveranser_per_nät,'Leveranser per nät'!E$1,FALSE)/VLOOKUP($B36,Korrigeringsfaktor_GD,'Korrigeringsfaktor GD'!E$1,FALSE),
"")</f>
        <v>9.1999999999999993</v>
      </c>
      <c r="F36" s="18">
        <f>IFERROR(
                  Andel_oberoende_av_klimat*VLOOKUP($A36,Leveranser_per_nät,'Leveranser per nät'!F$1,FALSE)
               +Andel_beroende_av_klimat*VLOOKUP($A36,Leveranser_per_nät,'Leveranser per nät'!F$1,FALSE)/VLOOKUP($B36,Korrigeringsfaktor_GD,'Korrigeringsfaktor GD'!F$1,FALSE),
"")</f>
        <v>7.5308747474747468</v>
      </c>
      <c r="G36" s="18">
        <f>IFERROR(
                  Andel_oberoende_av_klimat*VLOOKUP($A36,Leveranser_per_nät,'Leveranser per nät'!G$1,FALSE)
               +Andel_beroende_av_klimat*VLOOKUP($A36,Leveranser_per_nät,'Leveranser per nät'!G$1,FALSE)/VLOOKUP($B36,Korrigeringsfaktor_GD,'Korrigeringsfaktor GD'!G$1,FALSE),
"")</f>
        <v>8.059622222222222</v>
      </c>
      <c r="H36" s="18">
        <f>IFERROR(
                  Andel_oberoende_av_klimat*VLOOKUP($A36,Leveranser_per_nät,'Leveranser per nät'!H$1,FALSE)
               +Andel_beroende_av_klimat*VLOOKUP($A36,Leveranser_per_nät,'Leveranser per nät'!H$1,FALSE)/VLOOKUP($B36,Korrigeringsfaktor_GD,'Korrigeringsfaktor GD'!H$1,FALSE),
"")</f>
        <v>8.1142857142857139</v>
      </c>
      <c r="I36" s="18">
        <f>IFERROR(
                  Andel_oberoende_av_klimat*VLOOKUP($A36,Leveranser_per_nät,'Leveranser per nät'!I$1,FALSE)
               +Andel_beroende_av_klimat*VLOOKUP($A36,Leveranser_per_nät,'Leveranser per nät'!I$1,FALSE)/VLOOKUP($B36,Korrigeringsfaktor_GD,'Korrigeringsfaktor GD'!I$1,FALSE),
"")</f>
        <v>7.2578947368421058</v>
      </c>
      <c r="J36" s="18">
        <f>IFERROR(
                  Andel_oberoende_av_klimat*VLOOKUP($A36,Leveranser_per_nät,'Leveranser per nät'!J$1,FALSE)
               +Andel_beroende_av_klimat*VLOOKUP($A36,Leveranser_per_nät,'Leveranser per nät'!J$1,FALSE)/VLOOKUP($B36,Korrigeringsfaktor_GD,'Korrigeringsfaktor GD'!J$1,FALSE),
"")</f>
        <v>7.0087142857142863</v>
      </c>
      <c r="K36" s="18">
        <f>IFERROR(
                  Andel_oberoende_av_klimat*VLOOKUP($A36,Leveranser_per_nät,'Leveranser per nät'!K$1,FALSE)
               +Andel_beroende_av_klimat*VLOOKUP($A36,Leveranser_per_nät,'Leveranser per nät'!K$1,FALSE)/VLOOKUP($B36,Korrigeringsfaktor_GD,'Korrigeringsfaktor GD'!K$1,FALSE),
"")</f>
        <v>6.9371345708466121</v>
      </c>
      <c r="L36" s="18">
        <f>IFERROR(
                  Andel_oberoende_av_klimat*VLOOKUP($A36,Leveranser_per_nät,'Leveranser per nät'!L$1,FALSE)
               +Andel_beroende_av_klimat*VLOOKUP($A36,Leveranser_per_nät,'Leveranser per nät'!L$1,FALSE)/VLOOKUP($B36,Korrigeringsfaktor_GD,'Korrigeringsfaktor GD'!L$1,FALSE),
"")</f>
        <v>7.093520583243051</v>
      </c>
      <c r="M36" s="18">
        <f>IFERROR(
                  Andel_oberoende_av_klimat*VLOOKUP($A36,Leveranser_per_nät,'Leveranser per nät'!M$1,FALSE)
               +Andel_beroende_av_klimat*VLOOKUP($A36,Leveranser_per_nät,'Leveranser per nät'!M$1,FALSE)/VLOOKUP($B36,Korrigeringsfaktor_GD,'Korrigeringsfaktor GD'!M$1,FALSE),
"")</f>
        <v>8.5217692307692303</v>
      </c>
      <c r="N36" s="18">
        <f>IFERROR(
                  Andel_oberoende_av_klimat*VLOOKUP($A36,Leveranser_per_nät,'Leveranser per nät'!N$1,FALSE)
               +Andel_beroende_av_klimat*VLOOKUP($A36,Leveranser_per_nät,'Leveranser per nät'!N$1,FALSE)/VLOOKUP($B36,Korrigeringsfaktor_GD,'Korrigeringsfaktor GD'!N$1,FALSE),
"")</f>
        <v>6.5814893617021273</v>
      </c>
      <c r="O36" s="18">
        <f>IFERROR(
                  Andel_oberoende_av_klimat*VLOOKUP($A36,Leveranser_per_nät,'Leveranser per nät'!O$1,FALSE)
               +Andel_beroende_av_klimat*VLOOKUP($A36,Leveranser_per_nät,'Leveranser per nät'!O$1,FALSE)/VLOOKUP($B36,Korrigeringsfaktor_GD,'Korrigeringsfaktor GD'!O$1,FALSE),
"")</f>
        <v>6.4153846153846139</v>
      </c>
      <c r="P36" s="18">
        <f>IFERROR(
                  Andel_oberoende_av_klimat*VLOOKUP($A36,Leveranser_per_nät,'Leveranser per nät'!P$1,FALSE)
               +Andel_beroende_av_klimat*VLOOKUP($A36,Leveranser_per_nät,'Leveranser per nät'!P$1,FALSE)/VLOOKUP($B36,Korrigeringsfaktor_GD,'Korrigeringsfaktor GD'!P$1,FALSE),
"")</f>
        <v>6.0857142857142854</v>
      </c>
      <c r="Q36" s="18">
        <f>IFERROR(
                  Andel_oberoende_av_klimat*VLOOKUP($A36,Leveranser_per_nät,'Leveranser per nät'!Q$1,FALSE)
               +Andel_beroende_av_klimat*VLOOKUP($A36,Leveranser_per_nät,'Leveranser per nät'!Q$1,FALSE)/VLOOKUP($B36,Korrigeringsfaktor_GD,'Korrigeringsfaktor GD'!Q$1,FALSE),
"")</f>
        <v>5.5499999999999989</v>
      </c>
      <c r="R36" s="18">
        <f>IFERROR(
                  Andel_oberoende_av_klimat*VLOOKUP($A36,Leveranser_per_nät,'Leveranser per nät'!R$1,FALSE)
               +Andel_beroende_av_klimat*VLOOKUP($A36,Leveranser_per_nät,'Leveranser per nät'!R$1,FALSE)/VLOOKUP($B36,Korrigeringsfaktor_GD,'Korrigeringsfaktor GD'!R$1,FALSE),
"")</f>
        <v>5.9075000000000006</v>
      </c>
      <c r="S36" s="18">
        <f>IFERROR(
                  Andel_oberoende_av_klimat*VLOOKUP($A36,Leveranser_per_nät,'Leveranser per nät'!S$1,FALSE)
               +Andel_beroende_av_klimat*VLOOKUP($A36,Leveranser_per_nät,'Leveranser per nät'!S$1,FALSE)/VLOOKUP($B36,Korrigeringsfaktor_GD,'Korrigeringsfaktor GD'!S$1,FALSE),
"")</f>
        <v>5.1221428571428564</v>
      </c>
      <c r="T36" s="18">
        <f>IFERROR(
                  Andel_oberoende_av_klimat*VLOOKUP($A36,Leveranser_per_nät,'Leveranser per nät'!T$1,FALSE)
               +Andel_beroende_av_klimat*VLOOKUP($A36,Leveranser_per_nät,'Leveranser per nät'!T$1,FALSE)/VLOOKUP($B36,Korrigeringsfaktor_GD,'Korrigeringsfaktor GD'!T$1,FALSE),
"")</f>
        <v>5.1189361702127671</v>
      </c>
      <c r="U36" s="18">
        <f>IFERROR(
                  Andel_oberoende_av_klimat*VLOOKUP($A36,Leveranser_per_nät,'Leveranser per nät'!U$1,FALSE)
               +Andel_beroende_av_klimat*VLOOKUP($A36,Leveranser_per_nät,'Leveranser per nät'!U$1,FALSE)/VLOOKUP($B36,Korrigeringsfaktor_GD,'Korrigeringsfaktor GD'!U$1,FALSE),
"")</f>
        <v>5.1241860465116282</v>
      </c>
      <c r="V36" s="18">
        <f>IFERROR(
                  Andel_oberoende_av_klimat*VLOOKUP($A36,Leveranser_per_nät,'Leveranser per nät'!V$1,FALSE)
               +Andel_beroende_av_klimat*VLOOKUP($A36,Leveranser_per_nät,'Leveranser per nät'!V$1,FALSE)/VLOOKUP($B36,Korrigeringsfaktor_GD,'Korrigeringsfaktor GD'!V$1,FALSE),
"")</f>
        <v>5.1241860465116282</v>
      </c>
      <c r="W36" s="18">
        <f>IFERROR(
                  Andel_oberoende_av_klimat*VLOOKUP($A36,Leveranser_per_nät,'Leveranser per nät'!W$1,FALSE)
               +Andel_beroende_av_klimat*VLOOKUP($A36,Leveranser_per_nät,'Leveranser per nät'!W$1,FALSE)/VLOOKUP($B36,Korrigeringsfaktor_GD,'Korrigeringsfaktor GD'!W$1,FALSE),
"")</f>
        <v>5.5165217391304342</v>
      </c>
      <c r="X36" s="18">
        <f>IFERROR(
                  Andel_oberoende_av_klimat*VLOOKUP($A36,Leveranser_per_nät,'Leveranser per nät'!X$1,FALSE)
               +Andel_beroende_av_klimat*VLOOKUP($A36,Leveranser_per_nät,'Leveranser per nät'!X$1,FALSE)/VLOOKUP($B36,Korrigeringsfaktor_GD,'Korrigeringsfaktor GD'!X$1,FALSE),
"")</f>
        <v>5.3278723404255315</v>
      </c>
      <c r="Y36" s="18">
        <f>IFERROR(
                  Andel_oberoende_av_klimat*VLOOKUP($A36,Leveranser_per_nät,'Leveranser per nät'!Y$1,FALSE)
               +Andel_beroende_av_klimat*VLOOKUP($A36,Leveranser_per_nät,'Leveranser per nät'!Y$1,FALSE)/VLOOKUP($B36,Korrigeringsfaktor_GD,'Korrigeringsfaktor GD'!Y$1,FALSE),
"")</f>
        <v>5.4952631578947368</v>
      </c>
      <c r="Z36" s="18">
        <f>IFERROR(
                  Andel_oberoende_av_klimat*VLOOKUP($A36,Leveranser_per_nät,'Leveranser per nät'!Z$1,FALSE)
               +Andel_beroende_av_klimat*VLOOKUP($A36,Leveranser_per_nät,'Leveranser per nät'!Z$1,FALSE)/VLOOKUP($B36,Korrigeringsfaktor_GD,'Korrigeringsfaktor GD'!Z$1,FALSE),
"")</f>
        <v>5.0060824742268046</v>
      </c>
      <c r="AA36" s="18">
        <f>IFERROR(
                  Andel_oberoende_av_klimat*VLOOKUP($A36,Leveranser_per_nät,'Leveranser per nät'!AA$1,FALSE)
               +Andel_beroende_av_klimat*VLOOKUP($A36,Leveranser_per_nät,'Leveranser per nät'!AA$1,FALSE)/VLOOKUP($B36,Korrigeringsfaktor_GD,'Korrigeringsfaktor GD'!AA$1,FALSE),
"")</f>
        <v>5.5380352322123088</v>
      </c>
      <c r="AB36" s="18">
        <f>IFERROR(
                  Andel_oberoende_av_klimat*VLOOKUP($A36,Leveranser_per_nät,'Leveranser per nät'!AB$1,FALSE)
               +Andel_beroende_av_klimat*VLOOKUP($A36,Leveranser_per_nät,'Leveranser per nät'!AB$1,FALSE)/VLOOKUP($B36,Korrigeringsfaktor_GD,'Korrigeringsfaktor GD'!AB$1,FALSE),
"")</f>
        <v>5.3504480938416421</v>
      </c>
      <c r="AC36" s="18">
        <f>IFERROR(
                  Andel_oberoende_av_klimat*VLOOKUP($A36,Leveranser_per_nät,'Leveranser per nät'!AC$1,FALSE)
               +Andel_beroende_av_klimat*VLOOKUP($A36,Leveranser_per_nät,'Leveranser per nät'!AC$1,FALSE)/VLOOKUP($B36,Korrigeringsfaktor_GD,'Korrigeringsfaktor GD'!AC$1,FALSE),
"")</f>
        <v>5.6457536231884058</v>
      </c>
      <c r="AD36">
        <v>41.512</v>
      </c>
    </row>
    <row r="37" spans="1:30" x14ac:dyDescent="0.25">
      <c r="A37" t="s">
        <v>306</v>
      </c>
      <c r="B37" t="s">
        <v>336</v>
      </c>
      <c r="C37" s="18">
        <f>IFERROR(
                  Andel_oberoende_av_klimat*VLOOKUP($A37,Leveranser_per_nät,'Leveranser per nät'!C$1,FALSE)
               +Andel_beroende_av_klimat*VLOOKUP($A37,Leveranser_per_nät,'Leveranser per nät'!C$1,FALSE)/VLOOKUP($B37,Korrigeringsfaktor_GD,'Korrigeringsfaktor GD'!C$1,FALSE),
"")</f>
        <v>0</v>
      </c>
      <c r="D37" s="18">
        <f>IFERROR(
                  Andel_oberoende_av_klimat*VLOOKUP($A37,Leveranser_per_nät,'Leveranser per nät'!D$1,FALSE)
               +Andel_beroende_av_klimat*VLOOKUP($A37,Leveranser_per_nät,'Leveranser per nät'!D$1,FALSE)/VLOOKUP($B37,Korrigeringsfaktor_GD,'Korrigeringsfaktor GD'!D$1,FALSE),
"")</f>
        <v>0</v>
      </c>
      <c r="E37" s="18">
        <f>IFERROR(
                  Andel_oberoende_av_klimat*VLOOKUP($A37,Leveranser_per_nät,'Leveranser per nät'!E$1,FALSE)
               +Andel_beroende_av_klimat*VLOOKUP($A37,Leveranser_per_nät,'Leveranser per nät'!E$1,FALSE)/VLOOKUP($B37,Korrigeringsfaktor_GD,'Korrigeringsfaktor GD'!E$1,FALSE),
"")</f>
        <v>0</v>
      </c>
      <c r="F37" s="18">
        <f>IFERROR(
                  Andel_oberoende_av_klimat*VLOOKUP($A37,Leveranser_per_nät,'Leveranser per nät'!F$1,FALSE)
               +Andel_beroende_av_klimat*VLOOKUP($A37,Leveranser_per_nät,'Leveranser per nät'!F$1,FALSE)/VLOOKUP($B37,Korrigeringsfaktor_GD,'Korrigeringsfaktor GD'!F$1,FALSE),
"")</f>
        <v>0</v>
      </c>
      <c r="G37" s="18">
        <f>IFERROR(
                  Andel_oberoende_av_klimat*VLOOKUP($A37,Leveranser_per_nät,'Leveranser per nät'!G$1,FALSE)
               +Andel_beroende_av_klimat*VLOOKUP($A37,Leveranser_per_nät,'Leveranser per nät'!G$1,FALSE)/VLOOKUP($B37,Korrigeringsfaktor_GD,'Korrigeringsfaktor GD'!G$1,FALSE),
"")</f>
        <v>0</v>
      </c>
      <c r="H37" s="18">
        <f>IFERROR(
                  Andel_oberoende_av_klimat*VLOOKUP($A37,Leveranser_per_nät,'Leveranser per nät'!H$1,FALSE)
               +Andel_beroende_av_klimat*VLOOKUP($A37,Leveranser_per_nät,'Leveranser per nät'!H$1,FALSE)/VLOOKUP($B37,Korrigeringsfaktor_GD,'Korrigeringsfaktor GD'!H$1,FALSE),
"")</f>
        <v>0</v>
      </c>
      <c r="I37" s="18">
        <f>IFERROR(
                  Andel_oberoende_av_klimat*VLOOKUP($A37,Leveranser_per_nät,'Leveranser per nät'!I$1,FALSE)
               +Andel_beroende_av_klimat*VLOOKUP($A37,Leveranser_per_nät,'Leveranser per nät'!I$1,FALSE)/VLOOKUP($B37,Korrigeringsfaktor_GD,'Korrigeringsfaktor GD'!I$1,FALSE),
"")</f>
        <v>0</v>
      </c>
      <c r="J37" s="18">
        <f>IFERROR(
                  Andel_oberoende_av_klimat*VLOOKUP($A37,Leveranser_per_nät,'Leveranser per nät'!J$1,FALSE)
               +Andel_beroende_av_klimat*VLOOKUP($A37,Leveranser_per_nät,'Leveranser per nät'!J$1,FALSE)/VLOOKUP($B37,Korrigeringsfaktor_GD,'Korrigeringsfaktor GD'!J$1,FALSE),
"")</f>
        <v>0</v>
      </c>
      <c r="K37" s="18">
        <f>IFERROR(
                  Andel_oberoende_av_klimat*VLOOKUP($A37,Leveranser_per_nät,'Leveranser per nät'!K$1,FALSE)
               +Andel_beroende_av_klimat*VLOOKUP($A37,Leveranser_per_nät,'Leveranser per nät'!K$1,FALSE)/VLOOKUP($B37,Korrigeringsfaktor_GD,'Korrigeringsfaktor GD'!K$1,FALSE),
"")</f>
        <v>8.6011428571428574</v>
      </c>
      <c r="L37" s="18">
        <f>IFERROR(
                  Andel_oberoende_av_klimat*VLOOKUP($A37,Leveranser_per_nät,'Leveranser per nät'!L$1,FALSE)
               +Andel_beroende_av_klimat*VLOOKUP($A37,Leveranser_per_nät,'Leveranser per nät'!L$1,FALSE)/VLOOKUP($B37,Korrigeringsfaktor_GD,'Korrigeringsfaktor GD'!L$1,FALSE),
"")</f>
        <v>10.057368421052631</v>
      </c>
      <c r="M37" s="18">
        <f>IFERROR(
                  Andel_oberoende_av_klimat*VLOOKUP($A37,Leveranser_per_nät,'Leveranser per nät'!M$1,FALSE)
               +Andel_beroende_av_klimat*VLOOKUP($A37,Leveranser_per_nät,'Leveranser per nät'!M$1,FALSE)/VLOOKUP($B37,Korrigeringsfaktor_GD,'Korrigeringsfaktor GD'!M$1,FALSE),
"")</f>
        <v>10.502608695652174</v>
      </c>
      <c r="N37" s="18">
        <f>IFERROR(
                  Andel_oberoende_av_klimat*VLOOKUP($A37,Leveranser_per_nät,'Leveranser per nät'!N$1,FALSE)
               +Andel_beroende_av_klimat*VLOOKUP($A37,Leveranser_per_nät,'Leveranser per nät'!N$1,FALSE)/VLOOKUP($B37,Korrigeringsfaktor_GD,'Korrigeringsfaktor GD'!N$1,FALSE),
"")</f>
        <v>13.579230769230769</v>
      </c>
      <c r="O37" s="18">
        <f>IFERROR(
                  Andel_oberoende_av_klimat*VLOOKUP($A37,Leveranser_per_nät,'Leveranser per nät'!O$1,FALSE)
               +Andel_beroende_av_klimat*VLOOKUP($A37,Leveranser_per_nät,'Leveranser per nät'!O$1,FALSE)/VLOOKUP($B37,Korrigeringsfaktor_GD,'Korrigeringsfaktor GD'!O$1,FALSE),
"")</f>
        <v>12.17888888888889</v>
      </c>
      <c r="P37" s="18">
        <f>IFERROR(
                  Andel_oberoende_av_klimat*VLOOKUP($A37,Leveranser_per_nät,'Leveranser per nät'!P$1,FALSE)
               +Andel_beroende_av_klimat*VLOOKUP($A37,Leveranser_per_nät,'Leveranser per nät'!P$1,FALSE)/VLOOKUP($B37,Korrigeringsfaktor_GD,'Korrigeringsfaktor GD'!P$1,FALSE),
"")</f>
        <v>11.984141414141414</v>
      </c>
      <c r="Q37" s="18">
        <f>IFERROR(
                  Andel_oberoende_av_klimat*VLOOKUP($A37,Leveranser_per_nät,'Leveranser per nät'!Q$1,FALSE)
               +Andel_beroende_av_klimat*VLOOKUP($A37,Leveranser_per_nät,'Leveranser per nät'!Q$1,FALSE)/VLOOKUP($B37,Korrigeringsfaktor_GD,'Korrigeringsfaktor GD'!Q$1,FALSE),
"")</f>
        <v>13.025213675213674</v>
      </c>
      <c r="R37" s="18">
        <f>IFERROR(
                  Andel_oberoende_av_klimat*VLOOKUP($A37,Leveranser_per_nät,'Leveranser per nät'!R$1,FALSE)
               +Andel_beroende_av_klimat*VLOOKUP($A37,Leveranser_per_nät,'Leveranser per nät'!R$1,FALSE)/VLOOKUP($B37,Korrigeringsfaktor_GD,'Korrigeringsfaktor GD'!R$1,FALSE),
"")</f>
        <v>12.830769230769228</v>
      </c>
      <c r="S37" s="18">
        <f>IFERROR(
                  Andel_oberoende_av_klimat*VLOOKUP($A37,Leveranser_per_nät,'Leveranser per nät'!S$1,FALSE)
               +Andel_beroende_av_klimat*VLOOKUP($A37,Leveranser_per_nät,'Leveranser per nät'!S$1,FALSE)/VLOOKUP($B37,Korrigeringsfaktor_GD,'Korrigeringsfaktor GD'!S$1,FALSE),
"")</f>
        <v>12.611980198019801</v>
      </c>
      <c r="T37" s="18">
        <f>IFERROR(
                  Andel_oberoende_av_klimat*VLOOKUP($A37,Leveranser_per_nät,'Leveranser per nät'!T$1,FALSE)
               +Andel_beroende_av_klimat*VLOOKUP($A37,Leveranser_per_nät,'Leveranser per nät'!T$1,FALSE)/VLOOKUP($B37,Korrigeringsfaktor_GD,'Korrigeringsfaktor GD'!T$1,FALSE),
"")</f>
        <v>12.272857142857143</v>
      </c>
      <c r="U37" s="18">
        <f>IFERROR(
                  Andel_oberoende_av_klimat*VLOOKUP($A37,Leveranser_per_nät,'Leveranser per nät'!U$1,FALSE)
               +Andel_beroende_av_klimat*VLOOKUP($A37,Leveranser_per_nät,'Leveranser per nät'!U$1,FALSE)/VLOOKUP($B37,Korrigeringsfaktor_GD,'Korrigeringsfaktor GD'!U$1,FALSE),
"")</f>
        <v>11.940454545454546</v>
      </c>
      <c r="V37" s="18">
        <f>IFERROR(
                  Andel_oberoende_av_klimat*VLOOKUP($A37,Leveranser_per_nät,'Leveranser per nät'!V$1,FALSE)
               +Andel_beroende_av_klimat*VLOOKUP($A37,Leveranser_per_nät,'Leveranser per nät'!V$1,FALSE)/VLOOKUP($B37,Korrigeringsfaktor_GD,'Korrigeringsfaktor GD'!V$1,FALSE),
"")</f>
        <v>11.940454545454546</v>
      </c>
      <c r="W37" s="18">
        <f>IFERROR(
                  Andel_oberoende_av_klimat*VLOOKUP($A37,Leveranser_per_nät,'Leveranser per nät'!W$1,FALSE)
               +Andel_beroende_av_klimat*VLOOKUP($A37,Leveranser_per_nät,'Leveranser per nät'!W$1,FALSE)/VLOOKUP($B37,Korrigeringsfaktor_GD,'Korrigeringsfaktor GD'!W$1,FALSE),
"")</f>
        <v>11.987826086956522</v>
      </c>
      <c r="X37" s="18">
        <f>IFERROR(
                  Andel_oberoende_av_klimat*VLOOKUP($A37,Leveranser_per_nät,'Leveranser per nät'!X$1,FALSE)
               +Andel_beroende_av_klimat*VLOOKUP($A37,Leveranser_per_nät,'Leveranser per nät'!X$1,FALSE)/VLOOKUP($B37,Korrigeringsfaktor_GD,'Korrigeringsfaktor GD'!X$1,FALSE),
"")</f>
        <v>11.963333333333333</v>
      </c>
      <c r="Y37" s="18">
        <f>IFERROR(
                  Andel_oberoende_av_klimat*VLOOKUP($A37,Leveranser_per_nät,'Leveranser per nät'!Y$1,FALSE)
               +Andel_beroende_av_klimat*VLOOKUP($A37,Leveranser_per_nät,'Leveranser per nät'!Y$1,FALSE)/VLOOKUP($B37,Korrigeringsfaktor_GD,'Korrigeringsfaktor GD'!Y$1,FALSE),
"")</f>
        <v>12.071111111111112</v>
      </c>
      <c r="Z37" s="18">
        <f>IFERROR(
                  Andel_oberoende_av_klimat*VLOOKUP($A37,Leveranser_per_nät,'Leveranser per nät'!Z$1,FALSE)
               +Andel_beroende_av_klimat*VLOOKUP($A37,Leveranser_per_nät,'Leveranser per nät'!Z$1,FALSE)/VLOOKUP($B37,Korrigeringsfaktor_GD,'Korrigeringsfaktor GD'!Z$1,FALSE),
"")</f>
        <v>12.026241860465117</v>
      </c>
      <c r="AA37" s="18">
        <f>IFERROR(
                  Andel_oberoende_av_klimat*VLOOKUP($A37,Leveranser_per_nät,'Leveranser per nät'!AA$1,FALSE)
               +Andel_beroende_av_klimat*VLOOKUP($A37,Leveranser_per_nät,'Leveranser per nät'!AA$1,FALSE)/VLOOKUP($B37,Korrigeringsfaktor_GD,'Korrigeringsfaktor GD'!AA$1,FALSE),
"")</f>
        <v>11.403190873533246</v>
      </c>
      <c r="AB37" s="18">
        <f>IFERROR(
                  Andel_oberoende_av_klimat*VLOOKUP($A37,Leveranser_per_nät,'Leveranser per nät'!AB$1,FALSE)
               +Andel_beroende_av_klimat*VLOOKUP($A37,Leveranser_per_nät,'Leveranser per nät'!AB$1,FALSE)/VLOOKUP($B37,Korrigeringsfaktor_GD,'Korrigeringsfaktor GD'!AB$1,FALSE),
"")</f>
        <v>11.380134615384616</v>
      </c>
      <c r="AC37" s="18">
        <f>IFERROR(
                  Andel_oberoende_av_klimat*VLOOKUP($A37,Leveranser_per_nät,'Leveranser per nät'!AC$1,FALSE)
               +Andel_beroende_av_klimat*VLOOKUP($A37,Leveranser_per_nät,'Leveranser per nät'!AC$1,FALSE)/VLOOKUP($B37,Korrigeringsfaktor_GD,'Korrigeringsfaktor GD'!AC$1,FALSE),
"")</f>
        <v>10.884653608247424</v>
      </c>
      <c r="AD37">
        <v>141.40199999999999</v>
      </c>
    </row>
    <row r="38" spans="1:30" x14ac:dyDescent="0.25">
      <c r="A38" s="3" t="s">
        <v>23</v>
      </c>
      <c r="B38" s="3" t="s">
        <v>23</v>
      </c>
      <c r="C38" s="18">
        <f>IFERROR(
                  Andel_oberoende_av_klimat*VLOOKUP($A38,Leveranser_per_nät,'Leveranser per nät'!C$1,FALSE)
               +Andel_beroende_av_klimat*VLOOKUP($A38,Leveranser_per_nät,'Leveranser per nät'!C$1,FALSE)/VLOOKUP($B38,Korrigeringsfaktor_GD,'Korrigeringsfaktor GD'!C$1,FALSE),
"")</f>
        <v>0</v>
      </c>
      <c r="D38" s="18">
        <f>IFERROR(
                  Andel_oberoende_av_klimat*VLOOKUP($A38,Leveranser_per_nät,'Leveranser per nät'!D$1,FALSE)
               +Andel_beroende_av_klimat*VLOOKUP($A38,Leveranser_per_nät,'Leveranser per nät'!D$1,FALSE)/VLOOKUP($B38,Korrigeringsfaktor_GD,'Korrigeringsfaktor GD'!D$1,FALSE),
"")</f>
        <v>0</v>
      </c>
      <c r="E38" s="18">
        <f>IFERROR(
                  Andel_oberoende_av_klimat*VLOOKUP($A38,Leveranser_per_nät,'Leveranser per nät'!E$1,FALSE)
               +Andel_beroende_av_klimat*VLOOKUP($A38,Leveranser_per_nät,'Leveranser per nät'!E$1,FALSE)/VLOOKUP($B38,Korrigeringsfaktor_GD,'Korrigeringsfaktor GD'!E$1,FALSE),
"")</f>
        <v>0</v>
      </c>
      <c r="F38" s="18">
        <f>IFERROR(
                  Andel_oberoende_av_klimat*VLOOKUP($A38,Leveranser_per_nät,'Leveranser per nät'!F$1,FALSE)
               +Andel_beroende_av_klimat*VLOOKUP($A38,Leveranser_per_nät,'Leveranser per nät'!F$1,FALSE)/VLOOKUP($B38,Korrigeringsfaktor_GD,'Korrigeringsfaktor GD'!F$1,FALSE),
"")</f>
        <v>0</v>
      </c>
      <c r="G38" s="18">
        <f>IFERROR(
                  Andel_oberoende_av_klimat*VLOOKUP($A38,Leveranser_per_nät,'Leveranser per nät'!G$1,FALSE)
               +Andel_beroende_av_klimat*VLOOKUP($A38,Leveranser_per_nät,'Leveranser per nät'!G$1,FALSE)/VLOOKUP($B38,Korrigeringsfaktor_GD,'Korrigeringsfaktor GD'!G$1,FALSE),
"")</f>
        <v>0</v>
      </c>
      <c r="H38" s="18">
        <f>IFERROR(
                  Andel_oberoende_av_klimat*VLOOKUP($A38,Leveranser_per_nät,'Leveranser per nät'!H$1,FALSE)
               +Andel_beroende_av_klimat*VLOOKUP($A38,Leveranser_per_nät,'Leveranser per nät'!H$1,FALSE)/VLOOKUP($B38,Korrigeringsfaktor_GD,'Korrigeringsfaktor GD'!H$1,FALSE),
"")</f>
        <v>0</v>
      </c>
      <c r="I38" s="18">
        <f>IFERROR(
                  Andel_oberoende_av_klimat*VLOOKUP($A38,Leveranser_per_nät,'Leveranser per nät'!I$1,FALSE)
               +Andel_beroende_av_klimat*VLOOKUP($A38,Leveranser_per_nät,'Leveranser per nät'!I$1,FALSE)/VLOOKUP($B38,Korrigeringsfaktor_GD,'Korrigeringsfaktor GD'!I$1,FALSE),
"")</f>
        <v>0</v>
      </c>
      <c r="J38" s="18">
        <f>IFERROR(
                  Andel_oberoende_av_klimat*VLOOKUP($A38,Leveranser_per_nät,'Leveranser per nät'!J$1,FALSE)
               +Andel_beroende_av_klimat*VLOOKUP($A38,Leveranser_per_nät,'Leveranser per nät'!J$1,FALSE)/VLOOKUP($B38,Korrigeringsfaktor_GD,'Korrigeringsfaktor GD'!J$1,FALSE),
"")</f>
        <v>0</v>
      </c>
      <c r="K38" s="18">
        <f>IFERROR(
                  Andel_oberoende_av_klimat*VLOOKUP($A38,Leveranser_per_nät,'Leveranser per nät'!K$1,FALSE)
               +Andel_beroende_av_klimat*VLOOKUP($A38,Leveranser_per_nät,'Leveranser per nät'!K$1,FALSE)/VLOOKUP($B38,Korrigeringsfaktor_GD,'Korrigeringsfaktor GD'!K$1,FALSE),
"")</f>
        <v>0</v>
      </c>
      <c r="L38" s="18">
        <f>IFERROR(
                  Andel_oberoende_av_klimat*VLOOKUP($A38,Leveranser_per_nät,'Leveranser per nät'!L$1,FALSE)
               +Andel_beroende_av_klimat*VLOOKUP($A38,Leveranser_per_nät,'Leveranser per nät'!L$1,FALSE)/VLOOKUP($B38,Korrigeringsfaktor_GD,'Korrigeringsfaktor GD'!L$1,FALSE),
"")</f>
        <v>0</v>
      </c>
      <c r="M38" s="18">
        <f>IFERROR(
                  Andel_oberoende_av_klimat*VLOOKUP($A38,Leveranser_per_nät,'Leveranser per nät'!M$1,FALSE)
               +Andel_beroende_av_klimat*VLOOKUP($A38,Leveranser_per_nät,'Leveranser per nät'!M$1,FALSE)/VLOOKUP($B38,Korrigeringsfaktor_GD,'Korrigeringsfaktor GD'!M$1,FALSE),
"")</f>
        <v>0</v>
      </c>
      <c r="N38" s="18">
        <f>IFERROR(
                  Andel_oberoende_av_klimat*VLOOKUP($A38,Leveranser_per_nät,'Leveranser per nät'!N$1,FALSE)
               +Andel_beroende_av_klimat*VLOOKUP($A38,Leveranser_per_nät,'Leveranser per nät'!N$1,FALSE)/VLOOKUP($B38,Korrigeringsfaktor_GD,'Korrigeringsfaktor GD'!N$1,FALSE),
"")</f>
        <v>0</v>
      </c>
      <c r="O38" s="18">
        <f>IFERROR(
                  Andel_oberoende_av_klimat*VLOOKUP($A38,Leveranser_per_nät,'Leveranser per nät'!O$1,FALSE)
               +Andel_beroende_av_klimat*VLOOKUP($A38,Leveranser_per_nät,'Leveranser per nät'!O$1,FALSE)/VLOOKUP($B38,Korrigeringsfaktor_GD,'Korrigeringsfaktor GD'!O$1,FALSE),
"")</f>
        <v>0</v>
      </c>
      <c r="P38" s="18">
        <f>IFERROR(
                  Andel_oberoende_av_klimat*VLOOKUP($A38,Leveranser_per_nät,'Leveranser per nät'!P$1,FALSE)
               +Andel_beroende_av_klimat*VLOOKUP($A38,Leveranser_per_nät,'Leveranser per nät'!P$1,FALSE)/VLOOKUP($B38,Korrigeringsfaktor_GD,'Korrigeringsfaktor GD'!P$1,FALSE),
"")</f>
        <v>28.606185567010311</v>
      </c>
      <c r="Q38" s="18">
        <f>IFERROR(
                  Andel_oberoende_av_klimat*VLOOKUP($A38,Leveranser_per_nät,'Leveranser per nät'!Q$1,FALSE)
               +Andel_beroende_av_klimat*VLOOKUP($A38,Leveranser_per_nät,'Leveranser per nät'!Q$1,FALSE)/VLOOKUP($B38,Korrigeringsfaktor_GD,'Korrigeringsfaktor GD'!Q$1,FALSE),
"")</f>
        <v>26.868723893805317</v>
      </c>
      <c r="R38" s="18">
        <f>IFERROR(
                  Andel_oberoende_av_klimat*VLOOKUP($A38,Leveranser_per_nät,'Leveranser per nät'!R$1,FALSE)
               +Andel_beroende_av_klimat*VLOOKUP($A38,Leveranser_per_nät,'Leveranser per nät'!R$1,FALSE)/VLOOKUP($B38,Korrigeringsfaktor_GD,'Korrigeringsfaktor GD'!R$1,FALSE),
"")</f>
        <v>27.688695652173912</v>
      </c>
      <c r="S38" s="18">
        <f>IFERROR(
                  Andel_oberoende_av_klimat*VLOOKUP($A38,Leveranser_per_nät,'Leveranser per nät'!S$1,FALSE)
               +Andel_beroende_av_klimat*VLOOKUP($A38,Leveranser_per_nät,'Leveranser per nät'!S$1,FALSE)/VLOOKUP($B38,Korrigeringsfaktor_GD,'Korrigeringsfaktor GD'!S$1,FALSE),
"")</f>
        <v>29</v>
      </c>
      <c r="T38" s="18">
        <f>IFERROR(
                  Andel_oberoende_av_klimat*VLOOKUP($A38,Leveranser_per_nät,'Leveranser per nät'!T$1,FALSE)
               +Andel_beroende_av_klimat*VLOOKUP($A38,Leveranser_per_nät,'Leveranser per nät'!T$1,FALSE)/VLOOKUP($B38,Korrigeringsfaktor_GD,'Korrigeringsfaktor GD'!T$1,FALSE),
"")</f>
        <v>27.457851546391751</v>
      </c>
      <c r="U38" s="18">
        <f>IFERROR(
                  Andel_oberoende_av_klimat*VLOOKUP($A38,Leveranser_per_nät,'Leveranser per nät'!U$1,FALSE)
               +Andel_beroende_av_klimat*VLOOKUP($A38,Leveranser_per_nät,'Leveranser per nät'!U$1,FALSE)/VLOOKUP($B38,Korrigeringsfaktor_GD,'Korrigeringsfaktor GD'!U$1,FALSE),
"")</f>
        <v>27.002232558139532</v>
      </c>
      <c r="V38" s="18">
        <f>IFERROR(
                  Andel_oberoende_av_klimat*VLOOKUP($A38,Leveranser_per_nät,'Leveranser per nät'!V$1,FALSE)
               +Andel_beroende_av_klimat*VLOOKUP($A38,Leveranser_per_nät,'Leveranser per nät'!V$1,FALSE)/VLOOKUP($B38,Korrigeringsfaktor_GD,'Korrigeringsfaktor GD'!V$1,FALSE),
"")</f>
        <v>27.120876470588236</v>
      </c>
      <c r="W38" s="18">
        <f>IFERROR(
                  Andel_oberoende_av_klimat*VLOOKUP($A38,Leveranser_per_nät,'Leveranser per nät'!W$1,FALSE)
               +Andel_beroende_av_klimat*VLOOKUP($A38,Leveranser_per_nät,'Leveranser per nät'!W$1,FALSE)/VLOOKUP($B38,Korrigeringsfaktor_GD,'Korrigeringsfaktor GD'!W$1,FALSE),
"")</f>
        <v>27.774333333333331</v>
      </c>
      <c r="X38" s="18">
        <f>IFERROR(
                  Andel_oberoende_av_klimat*VLOOKUP($A38,Leveranser_per_nät,'Leveranser per nät'!X$1,FALSE)
               +Andel_beroende_av_klimat*VLOOKUP($A38,Leveranser_per_nät,'Leveranser per nät'!X$1,FALSE)/VLOOKUP($B38,Korrigeringsfaktor_GD,'Korrigeringsfaktor GD'!X$1,FALSE),
"")</f>
        <v>28.120318181818185</v>
      </c>
      <c r="Y38" s="18">
        <f>IFERROR(
                  Andel_oberoende_av_klimat*VLOOKUP($A38,Leveranser_per_nät,'Leveranser per nät'!Y$1,FALSE)
               +Andel_beroende_av_klimat*VLOOKUP($A38,Leveranser_per_nät,'Leveranser per nät'!Y$1,FALSE)/VLOOKUP($B38,Korrigeringsfaktor_GD,'Korrigeringsfaktor GD'!Y$1,FALSE),
"")</f>
        <v>27.683427586206896</v>
      </c>
      <c r="Z38" s="18">
        <f>IFERROR(
                  Andel_oberoende_av_klimat*VLOOKUP($A38,Leveranser_per_nät,'Leveranser per nät'!Z$1,FALSE)
               +Andel_beroende_av_klimat*VLOOKUP($A38,Leveranser_per_nät,'Leveranser per nät'!Z$1,FALSE)/VLOOKUP($B38,Korrigeringsfaktor_GD,'Korrigeringsfaktor GD'!Z$1,FALSE),
"")</f>
        <v>23.579670103092781</v>
      </c>
      <c r="AA38" s="18">
        <f>IFERROR(
                  Andel_oberoende_av_klimat*VLOOKUP($A38,Leveranser_per_nät,'Leveranser per nät'!AA$1,FALSE)
               +Andel_beroende_av_klimat*VLOOKUP($A38,Leveranser_per_nät,'Leveranser per nät'!AA$1,FALSE)/VLOOKUP($B38,Korrigeringsfaktor_GD,'Korrigeringsfaktor GD'!AA$1,FALSE),
"")</f>
        <v>24.48474201898188</v>
      </c>
      <c r="AB38" s="18">
        <f>IFERROR(
                  Andel_oberoende_av_klimat*VLOOKUP($A38,Leveranser_per_nät,'Leveranser per nät'!AB$1,FALSE)
               +Andel_beroende_av_klimat*VLOOKUP($A38,Leveranser_per_nät,'Leveranser per nät'!AB$1,FALSE)/VLOOKUP($B38,Korrigeringsfaktor_GD,'Korrigeringsfaktor GD'!AB$1,FALSE),
"")</f>
        <v>24.758382642998029</v>
      </c>
      <c r="AC38" s="18">
        <f>IFERROR(
                  Andel_oberoende_av_klimat*VLOOKUP($A38,Leveranser_per_nät,'Leveranser per nät'!AC$1,FALSE)
               +Andel_beroende_av_klimat*VLOOKUP($A38,Leveranser_per_nät,'Leveranser per nät'!AC$1,FALSE)/VLOOKUP($B38,Korrigeringsfaktor_GD,'Korrigeringsfaktor GD'!AC$1,FALSE),
"")</f>
        <v>26.021410118406887</v>
      </c>
      <c r="AD38">
        <v>24.7</v>
      </c>
    </row>
    <row r="39" spans="1:30" x14ac:dyDescent="0.25">
      <c r="A39" t="s">
        <v>25</v>
      </c>
      <c r="B39" t="s">
        <v>25</v>
      </c>
      <c r="C39" s="18">
        <f>IFERROR(
                  Andel_oberoende_av_klimat*VLOOKUP($A39,Leveranser_per_nät,'Leveranser per nät'!C$1,FALSE)
               +Andel_beroende_av_klimat*VLOOKUP($A39,Leveranser_per_nät,'Leveranser per nät'!C$1,FALSE)/VLOOKUP($B39,Korrigeringsfaktor_GD,'Korrigeringsfaktor GD'!C$1,FALSE),
"")</f>
        <v>308.09999999999997</v>
      </c>
      <c r="D39" s="18">
        <f>IFERROR(
                  Andel_oberoende_av_klimat*VLOOKUP($A39,Leveranser_per_nät,'Leveranser per nät'!D$1,FALSE)
               +Andel_beroende_av_klimat*VLOOKUP($A39,Leveranser_per_nät,'Leveranser per nät'!D$1,FALSE)/VLOOKUP($B39,Korrigeringsfaktor_GD,'Korrigeringsfaktor GD'!D$1,FALSE),
"")</f>
        <v>297.04489473684214</v>
      </c>
      <c r="E39" s="18">
        <f>IFERROR(
                  Andel_oberoende_av_klimat*VLOOKUP($A39,Leveranser_per_nät,'Leveranser per nät'!E$1,FALSE)
               +Andel_beroende_av_klimat*VLOOKUP($A39,Leveranser_per_nät,'Leveranser per nät'!E$1,FALSE)/VLOOKUP($B39,Korrigeringsfaktor_GD,'Korrigeringsfaktor GD'!E$1,FALSE),
"")</f>
        <v>298</v>
      </c>
      <c r="F39" s="18">
        <f>IFERROR(
                  Andel_oberoende_av_klimat*VLOOKUP($A39,Leveranser_per_nät,'Leveranser per nät'!F$1,FALSE)
               +Andel_beroende_av_klimat*VLOOKUP($A39,Leveranser_per_nät,'Leveranser per nät'!F$1,FALSE)/VLOOKUP($B39,Korrigeringsfaktor_GD,'Korrigeringsfaktor GD'!F$1,FALSE),
"")</f>
        <v>305.66249999999997</v>
      </c>
      <c r="G39" s="18">
        <f>IFERROR(
                  Andel_oberoende_av_klimat*VLOOKUP($A39,Leveranser_per_nät,'Leveranser per nät'!G$1,FALSE)
               +Andel_beroende_av_klimat*VLOOKUP($A39,Leveranser_per_nät,'Leveranser per nät'!G$1,FALSE)/VLOOKUP($B39,Korrigeringsfaktor_GD,'Korrigeringsfaktor GD'!G$1,FALSE),
"")</f>
        <v>310.01363636363635</v>
      </c>
      <c r="H39" s="18">
        <f>IFERROR(
                  Andel_oberoende_av_klimat*VLOOKUP($A39,Leveranser_per_nät,'Leveranser per nät'!H$1,FALSE)
               +Andel_beroende_av_klimat*VLOOKUP($A39,Leveranser_per_nät,'Leveranser per nät'!H$1,FALSE)/VLOOKUP($B39,Korrigeringsfaktor_GD,'Korrigeringsfaktor GD'!H$1,FALSE),
"")</f>
        <v>337.6435643564356</v>
      </c>
      <c r="I39" s="18">
        <f>IFERROR(
                  Andel_oberoende_av_klimat*VLOOKUP($A39,Leveranser_per_nät,'Leveranser per nät'!I$1,FALSE)
               +Andel_beroende_av_klimat*VLOOKUP($A39,Leveranser_per_nät,'Leveranser per nät'!I$1,FALSE)/VLOOKUP($B39,Korrigeringsfaktor_GD,'Korrigeringsfaktor GD'!I$1,FALSE),
"")</f>
        <v>345.31752577319588</v>
      </c>
      <c r="J39" s="18">
        <f>IFERROR(
                  Andel_oberoende_av_klimat*VLOOKUP($A39,Leveranser_per_nät,'Leveranser per nät'!J$1,FALSE)
               +Andel_beroende_av_klimat*VLOOKUP($A39,Leveranser_per_nät,'Leveranser per nät'!J$1,FALSE)/VLOOKUP($B39,Korrigeringsfaktor_GD,'Korrigeringsfaktor GD'!J$1,FALSE),
"")</f>
        <v>381.27331666666669</v>
      </c>
      <c r="K39" s="18">
        <f>IFERROR(
                  Andel_oberoende_av_klimat*VLOOKUP($A39,Leveranser_per_nät,'Leveranser per nät'!K$1,FALSE)
               +Andel_beroende_av_klimat*VLOOKUP($A39,Leveranser_per_nät,'Leveranser per nät'!K$1,FALSE)/VLOOKUP($B39,Korrigeringsfaktor_GD,'Korrigeringsfaktor GD'!K$1,FALSE),
"")</f>
        <v>375.56555833333334</v>
      </c>
      <c r="L39" s="18">
        <f>IFERROR(
                  Andel_oberoende_av_klimat*VLOOKUP($A39,Leveranser_per_nät,'Leveranser per nät'!L$1,FALSE)
               +Andel_beroende_av_klimat*VLOOKUP($A39,Leveranser_per_nät,'Leveranser per nät'!L$1,FALSE)/VLOOKUP($B39,Korrigeringsfaktor_GD,'Korrigeringsfaktor GD'!L$1,FALSE),
"")</f>
        <v>369.97462688172038</v>
      </c>
      <c r="M39" s="18">
        <f>IFERROR(
                  Andel_oberoende_av_klimat*VLOOKUP($A39,Leveranser_per_nät,'Leveranser per nät'!M$1,FALSE)
               +Andel_beroende_av_klimat*VLOOKUP($A39,Leveranser_per_nät,'Leveranser per nät'!M$1,FALSE)/VLOOKUP($B39,Korrigeringsfaktor_GD,'Korrigeringsfaktor GD'!M$1,FALSE),
"")</f>
        <v>383.53307692307692</v>
      </c>
      <c r="N39" s="18">
        <f>IFERROR(
                  Andel_oberoende_av_klimat*VLOOKUP($A39,Leveranser_per_nät,'Leveranser per nät'!N$1,FALSE)
               +Andel_beroende_av_klimat*VLOOKUP($A39,Leveranser_per_nät,'Leveranser per nät'!N$1,FALSE)/VLOOKUP($B39,Korrigeringsfaktor_GD,'Korrigeringsfaktor GD'!N$1,FALSE),
"")</f>
        <v>381.48869565217387</v>
      </c>
      <c r="O39" s="18">
        <f>IFERROR(
                  Andel_oberoende_av_klimat*VLOOKUP($A39,Leveranser_per_nät,'Leveranser per nät'!O$1,FALSE)
               +Andel_beroende_av_klimat*VLOOKUP($A39,Leveranser_per_nät,'Leveranser per nät'!O$1,FALSE)/VLOOKUP($B39,Korrigeringsfaktor_GD,'Korrigeringsfaktor GD'!O$1,FALSE),
"")</f>
        <v>382.24999999999994</v>
      </c>
      <c r="P39" s="18">
        <f>IFERROR(
                  Andel_oberoende_av_klimat*VLOOKUP($A39,Leveranser_per_nät,'Leveranser per nät'!P$1,FALSE)
               +Andel_beroende_av_klimat*VLOOKUP($A39,Leveranser_per_nät,'Leveranser per nät'!P$1,FALSE)/VLOOKUP($B39,Korrigeringsfaktor_GD,'Korrigeringsfaktor GD'!P$1,FALSE),
"")</f>
        <v>379.46424242424246</v>
      </c>
      <c r="Q39" s="18">
        <f>IFERROR(
                  Andel_oberoende_av_klimat*VLOOKUP($A39,Leveranser_per_nät,'Leveranser per nät'!Q$1,FALSE)
               +Andel_beroende_av_klimat*VLOOKUP($A39,Leveranser_per_nät,'Leveranser per nät'!Q$1,FALSE)/VLOOKUP($B39,Korrigeringsfaktor_GD,'Korrigeringsfaktor GD'!Q$1,FALSE),
"")</f>
        <v>397.9178260869565</v>
      </c>
      <c r="R39" s="18">
        <f>IFERROR(
                  Andel_oberoende_av_klimat*VLOOKUP($A39,Leveranser_per_nät,'Leveranser per nät'!R$1,FALSE)
               +Andel_beroende_av_klimat*VLOOKUP($A39,Leveranser_per_nät,'Leveranser per nät'!R$1,FALSE)/VLOOKUP($B39,Korrigeringsfaktor_GD,'Korrigeringsfaktor GD'!R$1,FALSE),
"")</f>
        <v>387.99999999999994</v>
      </c>
      <c r="S39" s="18">
        <f>IFERROR(
                  Andel_oberoende_av_klimat*VLOOKUP($A39,Leveranser_per_nät,'Leveranser per nät'!S$1,FALSE)
               +Andel_beroende_av_klimat*VLOOKUP($A39,Leveranser_per_nät,'Leveranser per nät'!S$1,FALSE)/VLOOKUP($B39,Korrigeringsfaktor_GD,'Korrigeringsfaktor GD'!S$1,FALSE),
"")</f>
        <v>385</v>
      </c>
      <c r="T39" s="18">
        <f>IFERROR(
                  Andel_oberoende_av_klimat*VLOOKUP($A39,Leveranser_per_nät,'Leveranser per nät'!T$1,FALSE)
               +Andel_beroende_av_klimat*VLOOKUP($A39,Leveranser_per_nät,'Leveranser per nät'!T$1,FALSE)/VLOOKUP($B39,Korrigeringsfaktor_GD,'Korrigeringsfaktor GD'!T$1,FALSE),
"")</f>
        <v>387.33631914893618</v>
      </c>
      <c r="U39" s="18">
        <f>IFERROR(
                  Andel_oberoende_av_klimat*VLOOKUP($A39,Leveranser_per_nät,'Leveranser per nät'!U$1,FALSE)
               +Andel_beroende_av_klimat*VLOOKUP($A39,Leveranser_per_nät,'Leveranser per nät'!U$1,FALSE)/VLOOKUP($B39,Korrigeringsfaktor_GD,'Korrigeringsfaktor GD'!U$1,FALSE),
"")</f>
        <v>383.16151818181817</v>
      </c>
      <c r="V39" s="18">
        <f>IFERROR(
                  Andel_oberoende_av_klimat*VLOOKUP($A39,Leveranser_per_nät,'Leveranser per nät'!V$1,FALSE)
               +Andel_beroende_av_klimat*VLOOKUP($A39,Leveranser_per_nät,'Leveranser per nät'!V$1,FALSE)/VLOOKUP($B39,Korrigeringsfaktor_GD,'Korrigeringsfaktor GD'!V$1,FALSE),
"")</f>
        <v>386.94559325842698</v>
      </c>
      <c r="W39" s="18">
        <f>IFERROR(
                  Andel_oberoende_av_klimat*VLOOKUP($A39,Leveranser_per_nät,'Leveranser per nät'!W$1,FALSE)
               +Andel_beroende_av_klimat*VLOOKUP($A39,Leveranser_per_nät,'Leveranser per nät'!W$1,FALSE)/VLOOKUP($B39,Korrigeringsfaktor_GD,'Korrigeringsfaktor GD'!W$1,FALSE),
"")</f>
        <v>388.14176808510638</v>
      </c>
      <c r="X39" s="18">
        <f>IFERROR(
                  Andel_oberoende_av_klimat*VLOOKUP($A39,Leveranser_per_nät,'Leveranser per nät'!X$1,FALSE)
               +Andel_beroende_av_klimat*VLOOKUP($A39,Leveranser_per_nät,'Leveranser per nät'!X$1,FALSE)/VLOOKUP($B39,Korrigeringsfaktor_GD,'Korrigeringsfaktor GD'!X$1,FALSE),
"")</f>
        <v>382.55664948453602</v>
      </c>
      <c r="Y39" s="18">
        <f>IFERROR(
                  Andel_oberoende_av_klimat*VLOOKUP($A39,Leveranser_per_nät,'Leveranser per nät'!Y$1,FALSE)
               +Andel_beroende_av_klimat*VLOOKUP($A39,Leveranser_per_nät,'Leveranser per nät'!Y$1,FALSE)/VLOOKUP($B39,Korrigeringsfaktor_GD,'Korrigeringsfaktor GD'!Y$1,FALSE),
"")</f>
        <v>391.62673333333328</v>
      </c>
      <c r="Z39" s="18">
        <f>IFERROR(
                  Andel_oberoende_av_klimat*VLOOKUP($A39,Leveranser_per_nät,'Leveranser per nät'!Z$1,FALSE)
               +Andel_beroende_av_klimat*VLOOKUP($A39,Leveranser_per_nät,'Leveranser per nät'!Z$1,FALSE)/VLOOKUP($B39,Korrigeringsfaktor_GD,'Korrigeringsfaktor GD'!Z$1,FALSE),
"")</f>
        <v>410.37897777777778</v>
      </c>
      <c r="AA39" s="18">
        <f>IFERROR(
                  Andel_oberoende_av_klimat*VLOOKUP($A39,Leveranser_per_nät,'Leveranser per nät'!AA$1,FALSE)
               +Andel_beroende_av_klimat*VLOOKUP($A39,Leveranser_per_nät,'Leveranser per nät'!AA$1,FALSE)/VLOOKUP($B39,Korrigeringsfaktor_GD,'Korrigeringsfaktor GD'!AA$1,FALSE),
"")</f>
        <v>448.40561162790698</v>
      </c>
      <c r="AB39" s="18">
        <f>IFERROR(
                  Andel_oberoende_av_klimat*VLOOKUP($A39,Leveranser_per_nät,'Leveranser per nät'!AB$1,FALSE)
               +Andel_beroende_av_klimat*VLOOKUP($A39,Leveranser_per_nät,'Leveranser per nät'!AB$1,FALSE)/VLOOKUP($B39,Korrigeringsfaktor_GD,'Korrigeringsfaktor GD'!AB$1,FALSE),
"")</f>
        <v>370.04612915129144</v>
      </c>
      <c r="AC39" s="18">
        <f>IFERROR(
                  Andel_oberoende_av_klimat*VLOOKUP($A39,Leveranser_per_nät,'Leveranser per nät'!AC$1,FALSE)
               +Andel_beroende_av_klimat*VLOOKUP($A39,Leveranser_per_nät,'Leveranser per nät'!AC$1,FALSE)/VLOOKUP($B39,Korrigeringsfaktor_GD,'Korrigeringsfaktor GD'!AC$1,FALSE),
"")</f>
        <v>358.59662158760892</v>
      </c>
      <c r="AD39">
        <v>393.77699999999999</v>
      </c>
    </row>
    <row r="40" spans="1:30" x14ac:dyDescent="0.25">
      <c r="A40" t="s">
        <v>29</v>
      </c>
      <c r="B40" t="s">
        <v>29</v>
      </c>
      <c r="C40" s="18">
        <f>IFERROR(
                  Andel_oberoende_av_klimat*VLOOKUP($A40,Leveranser_per_nät,'Leveranser per nät'!C$1,FALSE)
               +Andel_beroende_av_klimat*VLOOKUP($A40,Leveranser_per_nät,'Leveranser per nät'!C$1,FALSE)/VLOOKUP($B40,Korrigeringsfaktor_GD,'Korrigeringsfaktor GD'!C$1,FALSE),
"")</f>
        <v>582.75</v>
      </c>
      <c r="D40" s="18">
        <f>IFERROR(
                  Andel_oberoende_av_klimat*VLOOKUP($A40,Leveranser_per_nät,'Leveranser per nät'!D$1,FALSE)
               +Andel_beroende_av_klimat*VLOOKUP($A40,Leveranser_per_nät,'Leveranser per nät'!D$1,FALSE)/VLOOKUP($B40,Korrigeringsfaktor_GD,'Korrigeringsfaktor GD'!D$1,FALSE),
"")</f>
        <v>589</v>
      </c>
      <c r="E40" s="18">
        <f>IFERROR(
                  Andel_oberoende_av_klimat*VLOOKUP($A40,Leveranser_per_nät,'Leveranser per nät'!E$1,FALSE)
               +Andel_beroende_av_klimat*VLOOKUP($A40,Leveranser_per_nät,'Leveranser per nät'!E$1,FALSE)/VLOOKUP($B40,Korrigeringsfaktor_GD,'Korrigeringsfaktor GD'!E$1,FALSE),
"")</f>
        <v>591.86930693069314</v>
      </c>
      <c r="F40" s="18">
        <f>IFERROR(
                  Andel_oberoende_av_klimat*VLOOKUP($A40,Leveranser_per_nät,'Leveranser per nät'!F$1,FALSE)
               +Andel_beroende_av_klimat*VLOOKUP($A40,Leveranser_per_nät,'Leveranser per nät'!F$1,FALSE)/VLOOKUP($B40,Korrigeringsfaktor_GD,'Korrigeringsfaktor GD'!F$1,FALSE),
"")</f>
        <v>613.22765957446813</v>
      </c>
      <c r="G40" s="18">
        <f>IFERROR(
                  Andel_oberoende_av_klimat*VLOOKUP($A40,Leveranser_per_nät,'Leveranser per nät'!G$1,FALSE)
               +Andel_beroende_av_klimat*VLOOKUP($A40,Leveranser_per_nät,'Leveranser per nät'!G$1,FALSE)/VLOOKUP($B40,Korrigeringsfaktor_GD,'Korrigeringsfaktor GD'!G$1,FALSE),
"")</f>
        <v>653.89069767441856</v>
      </c>
      <c r="H40" s="18">
        <f>IFERROR(
                  Andel_oberoende_av_klimat*VLOOKUP($A40,Leveranser_per_nät,'Leveranser per nät'!H$1,FALSE)
               +Andel_beroende_av_klimat*VLOOKUP($A40,Leveranser_per_nät,'Leveranser per nät'!H$1,FALSE)/VLOOKUP($B40,Korrigeringsfaktor_GD,'Korrigeringsfaktor GD'!H$1,FALSE),
"")</f>
        <v>598.82079207920788</v>
      </c>
      <c r="I40" s="18">
        <f>IFERROR(
                  Andel_oberoende_av_klimat*VLOOKUP($A40,Leveranser_per_nät,'Leveranser per nät'!I$1,FALSE)
               +Andel_beroende_av_klimat*VLOOKUP($A40,Leveranser_per_nät,'Leveranser per nät'!I$1,FALSE)/VLOOKUP($B40,Korrigeringsfaktor_GD,'Korrigeringsfaktor GD'!I$1,FALSE),
"")</f>
        <v>612.7996052631579</v>
      </c>
      <c r="J40" s="18">
        <f>IFERROR(
                  Andel_oberoende_av_klimat*VLOOKUP($A40,Leveranser_per_nät,'Leveranser per nät'!J$1,FALSE)
               +Andel_beroende_av_klimat*VLOOKUP($A40,Leveranser_per_nät,'Leveranser per nät'!J$1,FALSE)/VLOOKUP($B40,Korrigeringsfaktor_GD,'Korrigeringsfaktor GD'!J$1,FALSE),
"")</f>
        <v>600.78011515151525</v>
      </c>
      <c r="K40" s="18">
        <f>IFERROR(
                  Andel_oberoende_av_klimat*VLOOKUP($A40,Leveranser_per_nät,'Leveranser per nät'!K$1,FALSE)
               +Andel_beroende_av_klimat*VLOOKUP($A40,Leveranser_per_nät,'Leveranser per nät'!K$1,FALSE)/VLOOKUP($B40,Korrigeringsfaktor_GD,'Korrigeringsfaktor GD'!K$1,FALSE),
"")</f>
        <v>595.37214545454549</v>
      </c>
      <c r="L40" s="18">
        <f>IFERROR(
                  Andel_oberoende_av_klimat*VLOOKUP($A40,Leveranser_per_nät,'Leveranser per nät'!L$1,FALSE)
               +Andel_beroende_av_klimat*VLOOKUP($A40,Leveranser_per_nät,'Leveranser per nät'!L$1,FALSE)/VLOOKUP($B40,Korrigeringsfaktor_GD,'Korrigeringsfaktor GD'!L$1,FALSE),
"")</f>
        <v>647.47653749999995</v>
      </c>
      <c r="M40" s="18">
        <f>IFERROR(
                  Andel_oberoende_av_klimat*VLOOKUP($A40,Leveranser_per_nät,'Leveranser per nät'!M$1,FALSE)
               +Andel_beroende_av_klimat*VLOOKUP($A40,Leveranser_per_nät,'Leveranser per nät'!M$1,FALSE)/VLOOKUP($B40,Korrigeringsfaktor_GD,'Korrigeringsfaktor GD'!M$1,FALSE),
"")</f>
        <v>667.49062150537645</v>
      </c>
      <c r="N40" s="18">
        <f>IFERROR(
                  Andel_oberoende_av_klimat*VLOOKUP($A40,Leveranser_per_nät,'Leveranser per nät'!N$1,FALSE)
               +Andel_beroende_av_klimat*VLOOKUP($A40,Leveranser_per_nät,'Leveranser per nät'!N$1,FALSE)/VLOOKUP($B40,Korrigeringsfaktor_GD,'Korrigeringsfaktor GD'!N$1,FALSE),
"")</f>
        <v>674.5498555555555</v>
      </c>
      <c r="O40" s="18">
        <f>IFERROR(
                  Andel_oberoende_av_klimat*VLOOKUP($A40,Leveranser_per_nät,'Leveranser per nät'!O$1,FALSE)
               +Andel_beroende_av_klimat*VLOOKUP($A40,Leveranser_per_nät,'Leveranser per nät'!O$1,FALSE)/VLOOKUP($B40,Korrigeringsfaktor_GD,'Korrigeringsfaktor GD'!O$1,FALSE),
"")</f>
        <v>617.34033333333332</v>
      </c>
      <c r="P40" s="18">
        <f>IFERROR(
                  Andel_oberoende_av_klimat*VLOOKUP($A40,Leveranser_per_nät,'Leveranser per nät'!P$1,FALSE)
               +Andel_beroende_av_klimat*VLOOKUP($A40,Leveranser_per_nät,'Leveranser per nät'!P$1,FALSE)/VLOOKUP($B40,Korrigeringsfaktor_GD,'Korrigeringsfaktor GD'!P$1,FALSE),
"")</f>
        <v>627.2641773195877</v>
      </c>
      <c r="Q40" s="18">
        <f>IFERROR(
                  Andel_oberoende_av_klimat*VLOOKUP($A40,Leveranser_per_nät,'Leveranser per nät'!Q$1,FALSE)
               +Andel_beroende_av_klimat*VLOOKUP($A40,Leveranser_per_nät,'Leveranser per nät'!Q$1,FALSE)/VLOOKUP($B40,Korrigeringsfaktor_GD,'Korrigeringsfaktor GD'!Q$1,FALSE),
"")</f>
        <v>652.34671709401709</v>
      </c>
      <c r="R40" s="18">
        <f>IFERROR(
                  Andel_oberoende_av_klimat*VLOOKUP($A40,Leveranser_per_nät,'Leveranser per nät'!R$1,FALSE)
               +Andel_beroende_av_klimat*VLOOKUP($A40,Leveranser_per_nät,'Leveranser per nät'!R$1,FALSE)/VLOOKUP($B40,Korrigeringsfaktor_GD,'Korrigeringsfaktor GD'!R$1,FALSE),
"")</f>
        <v>638.02389999999991</v>
      </c>
      <c r="S40" s="18">
        <f>IFERROR(
                  Andel_oberoende_av_klimat*VLOOKUP($A40,Leveranser_per_nät,'Leveranser per nät'!S$1,FALSE)
               +Andel_beroende_av_klimat*VLOOKUP($A40,Leveranser_per_nät,'Leveranser per nät'!S$1,FALSE)/VLOOKUP($B40,Korrigeringsfaktor_GD,'Korrigeringsfaktor GD'!S$1,FALSE),
"")</f>
        <v>636.14705882352939</v>
      </c>
      <c r="T40" s="18">
        <f>IFERROR(
                  Andel_oberoende_av_klimat*VLOOKUP($A40,Leveranser_per_nät,'Leveranser per nät'!T$1,FALSE)
               +Andel_beroende_av_klimat*VLOOKUP($A40,Leveranser_per_nät,'Leveranser per nät'!T$1,FALSE)/VLOOKUP($B40,Korrigeringsfaktor_GD,'Korrigeringsfaktor GD'!T$1,FALSE),
"")</f>
        <v>637.77068571428572</v>
      </c>
      <c r="U40" s="18">
        <f>IFERROR(
                  Andel_oberoende_av_klimat*VLOOKUP($A40,Leveranser_per_nät,'Leveranser per nät'!U$1,FALSE)
               +Andel_beroende_av_klimat*VLOOKUP($A40,Leveranser_per_nät,'Leveranser per nät'!U$1,FALSE)/VLOOKUP($B40,Korrigeringsfaktor_GD,'Korrigeringsfaktor GD'!U$1,FALSE),
"")</f>
        <v>607.7375045977011</v>
      </c>
      <c r="V40" s="18">
        <f>IFERROR(
                  Andel_oberoende_av_klimat*VLOOKUP($A40,Leveranser_per_nät,'Leveranser per nät'!V$1,FALSE)
               +Andel_beroende_av_klimat*VLOOKUP($A40,Leveranser_per_nät,'Leveranser per nät'!V$1,FALSE)/VLOOKUP($B40,Korrigeringsfaktor_GD,'Korrigeringsfaktor GD'!V$1,FALSE),
"")</f>
        <v>594.73055789473688</v>
      </c>
      <c r="W40" s="18">
        <f>IFERROR(
                  Andel_oberoende_av_klimat*VLOOKUP($A40,Leveranser_per_nät,'Leveranser per nät'!W$1,FALSE)
               +Andel_beroende_av_klimat*VLOOKUP($A40,Leveranser_per_nät,'Leveranser per nät'!W$1,FALSE)/VLOOKUP($B40,Korrigeringsfaktor_GD,'Korrigeringsfaktor GD'!W$1,FALSE),
"")</f>
        <v>611.89918282828273</v>
      </c>
      <c r="X40" s="18">
        <f>IFERROR(
                  Andel_oberoende_av_klimat*VLOOKUP($A40,Leveranser_per_nät,'Leveranser per nät'!X$1,FALSE)
               +Andel_beroende_av_klimat*VLOOKUP($A40,Leveranser_per_nät,'Leveranser per nät'!X$1,FALSE)/VLOOKUP($B40,Korrigeringsfaktor_GD,'Korrigeringsfaktor GD'!X$1,FALSE),
"")</f>
        <v>606.47361030927834</v>
      </c>
      <c r="Y40" s="18">
        <f>IFERROR(
                  Andel_oberoende_av_klimat*VLOOKUP($A40,Leveranser_per_nät,'Leveranser per nät'!Y$1,FALSE)
               +Andel_beroende_av_klimat*VLOOKUP($A40,Leveranser_per_nät,'Leveranser per nät'!Y$1,FALSE)/VLOOKUP($B40,Korrigeringsfaktor_GD,'Korrigeringsfaktor GD'!Y$1,FALSE),
"")</f>
        <v>620.51682105263149</v>
      </c>
      <c r="Z40" s="18">
        <f>IFERROR(
                  Andel_oberoende_av_klimat*VLOOKUP($A40,Leveranser_per_nät,'Leveranser per nät'!Z$1,FALSE)
               +Andel_beroende_av_klimat*VLOOKUP($A40,Leveranser_per_nät,'Leveranser per nät'!Z$1,FALSE)/VLOOKUP($B40,Korrigeringsfaktor_GD,'Korrigeringsfaktor GD'!Z$1,FALSE),
"")</f>
        <v>612.38564680851061</v>
      </c>
      <c r="AA40" s="18">
        <f>IFERROR(
                  Andel_oberoende_av_klimat*VLOOKUP($A40,Leveranser_per_nät,'Leveranser per nät'!AA$1,FALSE)
               +Andel_beroende_av_klimat*VLOOKUP($A40,Leveranser_per_nät,'Leveranser per nät'!AA$1,FALSE)/VLOOKUP($B40,Korrigeringsfaktor_GD,'Korrigeringsfaktor GD'!AA$1,FALSE),
"")</f>
        <v>648.0661682131099</v>
      </c>
      <c r="AB40" s="18">
        <f>IFERROR(
                  Andel_oberoende_av_klimat*VLOOKUP($A40,Leveranser_per_nät,'Leveranser per nät'!AB$1,FALSE)
               +Andel_beroende_av_klimat*VLOOKUP($A40,Leveranser_per_nät,'Leveranser per nät'!AB$1,FALSE)/VLOOKUP($B40,Korrigeringsfaktor_GD,'Korrigeringsfaktor GD'!AB$1,FALSE),
"")</f>
        <v>642.52726862745089</v>
      </c>
      <c r="AC40" s="18">
        <f>IFERROR(
                  Andel_oberoende_av_klimat*VLOOKUP($A40,Leveranser_per_nät,'Leveranser per nät'!AC$1,FALSE)
               +Andel_beroende_av_klimat*VLOOKUP($A40,Leveranser_per_nät,'Leveranser per nät'!AC$1,FALSE)/VLOOKUP($B40,Korrigeringsfaktor_GD,'Korrigeringsfaktor GD'!AC$1,FALSE),
"")</f>
        <v>619.82903393810034</v>
      </c>
      <c r="AD40">
        <v>578.77</v>
      </c>
    </row>
    <row r="41" spans="1:30" x14ac:dyDescent="0.25">
      <c r="A41" t="s">
        <v>41</v>
      </c>
      <c r="B41" t="s">
        <v>316</v>
      </c>
      <c r="C41" s="18">
        <f>IFERROR(
                  Andel_oberoende_av_klimat*VLOOKUP($A41,Leveranser_per_nät,'Leveranser per nät'!C$1,FALSE)
               +Andel_beroende_av_klimat*VLOOKUP($A41,Leveranser_per_nät,'Leveranser per nät'!C$1,FALSE)/VLOOKUP($B41,Korrigeringsfaktor_GD,'Korrigeringsfaktor GD'!C$1,FALSE),
"")</f>
        <v>0</v>
      </c>
      <c r="D41" s="18">
        <f>IFERROR(
                  Andel_oberoende_av_klimat*VLOOKUP($A41,Leveranser_per_nät,'Leveranser per nät'!D$1,FALSE)
               +Andel_beroende_av_klimat*VLOOKUP($A41,Leveranser_per_nät,'Leveranser per nät'!D$1,FALSE)/VLOOKUP($B41,Korrigeringsfaktor_GD,'Korrigeringsfaktor GD'!D$1,FALSE),
"")</f>
        <v>0</v>
      </c>
      <c r="E41" s="18">
        <f>IFERROR(
                  Andel_oberoende_av_klimat*VLOOKUP($A41,Leveranser_per_nät,'Leveranser per nät'!E$1,FALSE)
               +Andel_beroende_av_klimat*VLOOKUP($A41,Leveranser_per_nät,'Leveranser per nät'!E$1,FALSE)/VLOOKUP($B41,Korrigeringsfaktor_GD,'Korrigeringsfaktor GD'!E$1,FALSE),
"")</f>
        <v>0</v>
      </c>
      <c r="F41" s="18">
        <f>IFERROR(
                  Andel_oberoende_av_klimat*VLOOKUP($A41,Leveranser_per_nät,'Leveranser per nät'!F$1,FALSE)
               +Andel_beroende_av_klimat*VLOOKUP($A41,Leveranser_per_nät,'Leveranser per nät'!F$1,FALSE)/VLOOKUP($B41,Korrigeringsfaktor_GD,'Korrigeringsfaktor GD'!F$1,FALSE),
"")</f>
        <v>0</v>
      </c>
      <c r="G41" s="18">
        <f>IFERROR(
                  Andel_oberoende_av_klimat*VLOOKUP($A41,Leveranser_per_nät,'Leveranser per nät'!G$1,FALSE)
               +Andel_beroende_av_klimat*VLOOKUP($A41,Leveranser_per_nät,'Leveranser per nät'!G$1,FALSE)/VLOOKUP($B41,Korrigeringsfaktor_GD,'Korrigeringsfaktor GD'!G$1,FALSE),
"")</f>
        <v>13.255172413793101</v>
      </c>
      <c r="H41" s="18">
        <f>IFERROR(
                  Andel_oberoende_av_klimat*VLOOKUP($A41,Leveranser_per_nät,'Leveranser per nät'!H$1,FALSE)
               +Andel_beroende_av_klimat*VLOOKUP($A41,Leveranser_per_nät,'Leveranser per nät'!H$1,FALSE)/VLOOKUP($B41,Korrigeringsfaktor_GD,'Korrigeringsfaktor GD'!H$1,FALSE),
"")</f>
        <v>13.902970297029704</v>
      </c>
      <c r="I41" s="18">
        <f>IFERROR(
                  Andel_oberoende_av_klimat*VLOOKUP($A41,Leveranser_per_nät,'Leveranser per nät'!I$1,FALSE)
               +Andel_beroende_av_klimat*VLOOKUP($A41,Leveranser_per_nät,'Leveranser per nät'!I$1,FALSE)/VLOOKUP($B41,Korrigeringsfaktor_GD,'Korrigeringsfaktor GD'!I$1,FALSE),
"")</f>
        <v>14.880239473684211</v>
      </c>
      <c r="J41" s="18">
        <f>IFERROR(
                  Andel_oberoende_av_klimat*VLOOKUP($A41,Leveranser_per_nät,'Leveranser per nät'!J$1,FALSE)
               +Andel_beroende_av_klimat*VLOOKUP($A41,Leveranser_per_nät,'Leveranser per nät'!J$1,FALSE)/VLOOKUP($B41,Korrigeringsfaktor_GD,'Korrigeringsfaktor GD'!J$1,FALSE),
"")</f>
        <v>14.806960606060606</v>
      </c>
      <c r="K41" s="18">
        <f>IFERROR(
                  Andel_oberoende_av_klimat*VLOOKUP($A41,Leveranser_per_nät,'Leveranser per nät'!K$1,FALSE)
               +Andel_beroende_av_klimat*VLOOKUP($A41,Leveranser_per_nät,'Leveranser per nät'!K$1,FALSE)/VLOOKUP($B41,Korrigeringsfaktor_GD,'Korrigeringsfaktor GD'!K$1,FALSE),
"")</f>
        <v>0</v>
      </c>
      <c r="L41" s="18">
        <f>IFERROR(
                  Andel_oberoende_av_klimat*VLOOKUP($A41,Leveranser_per_nät,'Leveranser per nät'!L$1,FALSE)
               +Andel_beroende_av_klimat*VLOOKUP($A41,Leveranser_per_nät,'Leveranser per nät'!L$1,FALSE)/VLOOKUP($B41,Korrigeringsfaktor_GD,'Korrigeringsfaktor GD'!L$1,FALSE),
"")</f>
        <v>0</v>
      </c>
      <c r="M41" s="18">
        <f>IFERROR(
                  Andel_oberoende_av_klimat*VLOOKUP($A41,Leveranser_per_nät,'Leveranser per nät'!M$1,FALSE)
               +Andel_beroende_av_klimat*VLOOKUP($A41,Leveranser_per_nät,'Leveranser per nät'!M$1,FALSE)/VLOOKUP($B41,Korrigeringsfaktor_GD,'Korrigeringsfaktor GD'!M$1,FALSE),
"")</f>
        <v>76.936767741935483</v>
      </c>
      <c r="N41" s="18">
        <f>IFERROR(
                  Andel_oberoende_av_klimat*VLOOKUP($A41,Leveranser_per_nät,'Leveranser per nät'!N$1,FALSE)
               +Andel_beroende_av_klimat*VLOOKUP($A41,Leveranser_per_nät,'Leveranser per nät'!N$1,FALSE)/VLOOKUP($B41,Korrigeringsfaktor_GD,'Korrigeringsfaktor GD'!N$1,FALSE),
"")</f>
        <v>86.500769230769237</v>
      </c>
      <c r="O41" s="18">
        <f>IFERROR(
                  Andel_oberoende_av_klimat*VLOOKUP($A41,Leveranser_per_nät,'Leveranser per nät'!O$1,FALSE)
               +Andel_beroende_av_klimat*VLOOKUP($A41,Leveranser_per_nät,'Leveranser per nät'!O$1,FALSE)/VLOOKUP($B41,Korrigeringsfaktor_GD,'Korrigeringsfaktor GD'!O$1,FALSE),
"")</f>
        <v>6.2748222222222232</v>
      </c>
      <c r="P41" s="18">
        <f>IFERROR(
                  Andel_oberoende_av_klimat*VLOOKUP($A41,Leveranser_per_nät,'Leveranser per nät'!P$1,FALSE)
               +Andel_beroende_av_klimat*VLOOKUP($A41,Leveranser_per_nät,'Leveranser per nät'!P$1,FALSE)/VLOOKUP($B41,Korrigeringsfaktor_GD,'Korrigeringsfaktor GD'!P$1,FALSE),
"")</f>
        <v>16.384771428571426</v>
      </c>
      <c r="Q41" s="18">
        <f>IFERROR(
                  Andel_oberoende_av_klimat*VLOOKUP($A41,Leveranser_per_nät,'Leveranser per nät'!Q$1,FALSE)
               +Andel_beroende_av_klimat*VLOOKUP($A41,Leveranser_per_nät,'Leveranser per nät'!Q$1,FALSE)/VLOOKUP($B41,Korrigeringsfaktor_GD,'Korrigeringsfaktor GD'!Q$1,FALSE),
"")</f>
        <v>17.165517241379312</v>
      </c>
      <c r="R41" s="18">
        <f>IFERROR(
                  Andel_oberoende_av_klimat*VLOOKUP($A41,Leveranser_per_nät,'Leveranser per nät'!R$1,FALSE)
               +Andel_beroende_av_klimat*VLOOKUP($A41,Leveranser_per_nät,'Leveranser per nät'!R$1,FALSE)/VLOOKUP($B41,Korrigeringsfaktor_GD,'Korrigeringsfaktor GD'!R$1,FALSE),
"")</f>
        <v>53.46153846153846</v>
      </c>
      <c r="S41" s="18">
        <f>IFERROR(
                  Andel_oberoende_av_klimat*VLOOKUP($A41,Leveranser_per_nät,'Leveranser per nät'!S$1,FALSE)
               +Andel_beroende_av_klimat*VLOOKUP($A41,Leveranser_per_nät,'Leveranser per nät'!S$1,FALSE)/VLOOKUP($B41,Korrigeringsfaktor_GD,'Korrigeringsfaktor GD'!S$1,FALSE),
"")</f>
        <v>53.625742574257423</v>
      </c>
      <c r="T41" s="18">
        <f>IFERROR(
                  Andel_oberoende_av_klimat*VLOOKUP($A41,Leveranser_per_nät,'Leveranser per nät'!T$1,FALSE)
               +Andel_beroende_av_klimat*VLOOKUP($A41,Leveranser_per_nät,'Leveranser per nät'!T$1,FALSE)/VLOOKUP($B41,Korrigeringsfaktor_GD,'Korrigeringsfaktor GD'!T$1,FALSE),
"")</f>
        <v>45.26782828282829</v>
      </c>
      <c r="U41" s="18">
        <f>IFERROR(
                  Andel_oberoende_av_klimat*VLOOKUP($A41,Leveranser_per_nät,'Leveranser per nät'!U$1,FALSE)
               +Andel_beroende_av_klimat*VLOOKUP($A41,Leveranser_per_nät,'Leveranser per nät'!U$1,FALSE)/VLOOKUP($B41,Korrigeringsfaktor_GD,'Korrigeringsfaktor GD'!U$1,FALSE),
"")</f>
        <v>59.669409090909092</v>
      </c>
      <c r="V41" s="18">
        <f>IFERROR(
                  Andel_oberoende_av_klimat*VLOOKUP($A41,Leveranser_per_nät,'Leveranser per nät'!V$1,FALSE)
               +Andel_beroende_av_klimat*VLOOKUP($A41,Leveranser_per_nät,'Leveranser per nät'!V$1,FALSE)/VLOOKUP($B41,Korrigeringsfaktor_GD,'Korrigeringsfaktor GD'!V$1,FALSE),
"")</f>
        <v>63.348544444444443</v>
      </c>
      <c r="W41" s="18">
        <f>IFERROR(
                  Andel_oberoende_av_klimat*VLOOKUP($A41,Leveranser_per_nät,'Leveranser per nät'!W$1,FALSE)
               +Andel_beroende_av_klimat*VLOOKUP($A41,Leveranser_per_nät,'Leveranser per nät'!W$1,FALSE)/VLOOKUP($B41,Korrigeringsfaktor_GD,'Korrigeringsfaktor GD'!W$1,FALSE),
"")</f>
        <v>45.234680851063828</v>
      </c>
      <c r="X41" s="18">
        <f>IFERROR(
                  Andel_oberoende_av_klimat*VLOOKUP($A41,Leveranser_per_nät,'Leveranser per nät'!X$1,FALSE)
               +Andel_beroende_av_klimat*VLOOKUP($A41,Leveranser_per_nät,'Leveranser per nät'!X$1,FALSE)/VLOOKUP($B41,Korrigeringsfaktor_GD,'Korrigeringsfaktor GD'!X$1,FALSE),
"")</f>
        <v>25.620324731182794</v>
      </c>
      <c r="Y41" s="18">
        <f>IFERROR(
                  Andel_oberoende_av_klimat*VLOOKUP($A41,Leveranser_per_nät,'Leveranser per nät'!Y$1,FALSE)
               +Andel_beroende_av_klimat*VLOOKUP($A41,Leveranser_per_nät,'Leveranser per nät'!Y$1,FALSE)/VLOOKUP($B41,Korrigeringsfaktor_GD,'Korrigeringsfaktor GD'!Y$1,FALSE),
"")</f>
        <v>17.186086956521738</v>
      </c>
      <c r="Z41" s="18">
        <f>IFERROR(
                  Andel_oberoende_av_klimat*VLOOKUP($A41,Leveranser_per_nät,'Leveranser per nät'!Z$1,FALSE)
               +Andel_beroende_av_klimat*VLOOKUP($A41,Leveranser_per_nät,'Leveranser per nät'!Z$1,FALSE)/VLOOKUP($B41,Korrigeringsfaktor_GD,'Korrigeringsfaktor GD'!Z$1,FALSE),
"")</f>
        <v>16.204782608695652</v>
      </c>
      <c r="AA41" s="18">
        <f>IFERROR(
                  Andel_oberoende_av_klimat*VLOOKUP($A41,Leveranser_per_nät,'Leveranser per nät'!AA$1,FALSE)
               +Andel_beroende_av_klimat*VLOOKUP($A41,Leveranser_per_nät,'Leveranser per nät'!AA$1,FALSE)/VLOOKUP($B41,Korrigeringsfaktor_GD,'Korrigeringsfaktor GD'!AA$1,FALSE),
"")</f>
        <v>14.772306060606063</v>
      </c>
      <c r="AB41" s="18">
        <f>IFERROR(
                  Andel_oberoende_av_klimat*VLOOKUP($A41,Leveranser_per_nät,'Leveranser per nät'!AB$1,FALSE)
               +Andel_beroende_av_klimat*VLOOKUP($A41,Leveranser_per_nät,'Leveranser per nät'!AB$1,FALSE)/VLOOKUP($B41,Korrigeringsfaktor_GD,'Korrigeringsfaktor GD'!AB$1,FALSE),
"")</f>
        <v>15.3642</v>
      </c>
      <c r="AC41" s="18">
        <f>IFERROR(
                  Andel_oberoende_av_klimat*VLOOKUP($A41,Leveranser_per_nät,'Leveranser per nät'!AC$1,FALSE)
               +Andel_beroende_av_klimat*VLOOKUP($A41,Leveranser_per_nät,'Leveranser per nät'!AC$1,FALSE)/VLOOKUP($B41,Korrigeringsfaktor_GD,'Korrigeringsfaktor GD'!AC$1,FALSE),
"")</f>
        <v>15.783683640081801</v>
      </c>
      <c r="AD41">
        <v>119.94799999999999</v>
      </c>
    </row>
    <row r="42" spans="1:30" x14ac:dyDescent="0.25">
      <c r="A42" t="s">
        <v>364</v>
      </c>
      <c r="B42" t="s">
        <v>363</v>
      </c>
      <c r="C42" s="18">
        <f>IFERROR(
                  Andel_oberoende_av_klimat*VLOOKUP($A42,Leveranser_per_nät,'Leveranser per nät'!C$1,FALSE)
               +Andel_beroende_av_klimat*VLOOKUP($A42,Leveranser_per_nät,'Leveranser per nät'!C$1,FALSE)/VLOOKUP($B42,Korrigeringsfaktor_GD,'Korrigeringsfaktor GD'!C$1,FALSE),
"")</f>
        <v>0</v>
      </c>
      <c r="D42" s="18">
        <f>IFERROR(
                  Andel_oberoende_av_klimat*VLOOKUP($A42,Leveranser_per_nät,'Leveranser per nät'!D$1,FALSE)
               +Andel_beroende_av_klimat*VLOOKUP($A42,Leveranser_per_nät,'Leveranser per nät'!D$1,FALSE)/VLOOKUP($B42,Korrigeringsfaktor_GD,'Korrigeringsfaktor GD'!D$1,FALSE),
"")</f>
        <v>0</v>
      </c>
      <c r="E42" s="18">
        <f>IFERROR(
                  Andel_oberoende_av_klimat*VLOOKUP($A42,Leveranser_per_nät,'Leveranser per nät'!E$1,FALSE)
               +Andel_beroende_av_klimat*VLOOKUP($A42,Leveranser_per_nät,'Leveranser per nät'!E$1,FALSE)/VLOOKUP($B42,Korrigeringsfaktor_GD,'Korrigeringsfaktor GD'!E$1,FALSE),
"")</f>
        <v>0</v>
      </c>
      <c r="F42" s="18">
        <f>IFERROR(
                  Andel_oberoende_av_klimat*VLOOKUP($A42,Leveranser_per_nät,'Leveranser per nät'!F$1,FALSE)
               +Andel_beroende_av_klimat*VLOOKUP($A42,Leveranser_per_nät,'Leveranser per nät'!F$1,FALSE)/VLOOKUP($B42,Korrigeringsfaktor_GD,'Korrigeringsfaktor GD'!F$1,FALSE),
"")</f>
        <v>7.3127659574468087</v>
      </c>
      <c r="G42" s="18">
        <f>IFERROR(
                  Andel_oberoende_av_klimat*VLOOKUP($A42,Leveranser_per_nät,'Leveranser per nät'!G$1,FALSE)
               +Andel_beroende_av_klimat*VLOOKUP($A42,Leveranser_per_nät,'Leveranser per nät'!G$1,FALSE)/VLOOKUP($B42,Korrigeringsfaktor_GD,'Korrigeringsfaktor GD'!G$1,FALSE),
"")</f>
        <v>14.359770114942529</v>
      </c>
      <c r="H42" s="18">
        <f>IFERROR(
                  Andel_oberoende_av_klimat*VLOOKUP($A42,Leveranser_per_nät,'Leveranser per nät'!H$1,FALSE)
               +Andel_beroende_av_klimat*VLOOKUP($A42,Leveranser_per_nät,'Leveranser per nät'!H$1,FALSE)/VLOOKUP($B42,Korrigeringsfaktor_GD,'Korrigeringsfaktor GD'!H$1,FALSE),
"")</f>
        <v>16.143000000000001</v>
      </c>
      <c r="I42" s="18">
        <f>IFERROR(
                  Andel_oberoende_av_klimat*VLOOKUP($A42,Leveranser_per_nät,'Leveranser per nät'!I$1,FALSE)
               +Andel_beroende_av_klimat*VLOOKUP($A42,Leveranser_per_nät,'Leveranser per nät'!I$1,FALSE)/VLOOKUP($B42,Korrigeringsfaktor_GD,'Korrigeringsfaktor GD'!I$1,FALSE),
"")</f>
        <v>15.670212765957448</v>
      </c>
      <c r="J42" s="18">
        <f>IFERROR(
                  Andel_oberoende_av_klimat*VLOOKUP($A42,Leveranser_per_nät,'Leveranser per nät'!J$1,FALSE)
               +Andel_beroende_av_klimat*VLOOKUP($A42,Leveranser_per_nät,'Leveranser per nät'!J$1,FALSE)/VLOOKUP($B42,Korrigeringsfaktor_GD,'Korrigeringsfaktor GD'!J$1,FALSE),
"")</f>
        <v>17.242857142857144</v>
      </c>
      <c r="K42" s="18">
        <f>IFERROR(
                  Andel_oberoende_av_klimat*VLOOKUP($A42,Leveranser_per_nät,'Leveranser per nät'!K$1,FALSE)
               +Andel_beroende_av_klimat*VLOOKUP($A42,Leveranser_per_nät,'Leveranser per nät'!K$1,FALSE)/VLOOKUP($B42,Korrigeringsfaktor_GD,'Korrigeringsfaktor GD'!K$1,FALSE),
"")</f>
        <v>17.399999999999999</v>
      </c>
      <c r="L42" s="18">
        <f>IFERROR(
                  Andel_oberoende_av_klimat*VLOOKUP($A42,Leveranser_per_nät,'Leveranser per nät'!L$1,FALSE)
               +Andel_beroende_av_klimat*VLOOKUP($A42,Leveranser_per_nät,'Leveranser per nät'!L$1,FALSE)/VLOOKUP($B42,Korrigeringsfaktor_GD,'Korrigeringsfaktor GD'!L$1,FALSE),
"")</f>
        <v>16.628367010309276</v>
      </c>
      <c r="M42" s="18">
        <f>IFERROR(
                  Andel_oberoende_av_klimat*VLOOKUP($A42,Leveranser_per_nät,'Leveranser per nät'!M$1,FALSE)
               +Andel_beroende_av_klimat*VLOOKUP($A42,Leveranser_per_nät,'Leveranser per nät'!M$1,FALSE)/VLOOKUP($B42,Korrigeringsfaktor_GD,'Korrigeringsfaktor GD'!M$1,FALSE),
"")</f>
        <v>18.165187096774194</v>
      </c>
      <c r="N42" s="18">
        <f>IFERROR(
                  Andel_oberoende_av_klimat*VLOOKUP($A42,Leveranser_per_nät,'Leveranser per nät'!N$1,FALSE)
               +Andel_beroende_av_klimat*VLOOKUP($A42,Leveranser_per_nät,'Leveranser per nät'!N$1,FALSE)/VLOOKUP($B42,Korrigeringsfaktor_GD,'Korrigeringsfaktor GD'!N$1,FALSE),
"")</f>
        <v>18.598133333333333</v>
      </c>
      <c r="O42" s="18">
        <f>IFERROR(
                  Andel_oberoende_av_klimat*VLOOKUP($A42,Leveranser_per_nät,'Leveranser per nät'!O$1,FALSE)
               +Andel_beroende_av_klimat*VLOOKUP($A42,Leveranser_per_nät,'Leveranser per nät'!O$1,FALSE)/VLOOKUP($B42,Korrigeringsfaktor_GD,'Korrigeringsfaktor GD'!O$1,FALSE),
"")</f>
        <v>19.009844444444447</v>
      </c>
      <c r="P42" s="18">
        <f>IFERROR(
                  Andel_oberoende_av_klimat*VLOOKUP($A42,Leveranser_per_nät,'Leveranser per nät'!P$1,FALSE)
               +Andel_beroende_av_klimat*VLOOKUP($A42,Leveranser_per_nät,'Leveranser per nät'!P$1,FALSE)/VLOOKUP($B42,Korrigeringsfaktor_GD,'Korrigeringsfaktor GD'!P$1,FALSE),
"")</f>
        <v>15.860385714285714</v>
      </c>
      <c r="Q42" s="18">
        <f>IFERROR(
                  Andel_oberoende_av_klimat*VLOOKUP($A42,Leveranser_per_nät,'Leveranser per nät'!Q$1,FALSE)
               +Andel_beroende_av_klimat*VLOOKUP($A42,Leveranser_per_nät,'Leveranser per nät'!Q$1,FALSE)/VLOOKUP($B42,Korrigeringsfaktor_GD,'Korrigeringsfaktor GD'!Q$1,FALSE),
"")</f>
        <v>17.90857391304348</v>
      </c>
      <c r="R42" s="18">
        <f>IFERROR(
                  Andel_oberoende_av_klimat*VLOOKUP($A42,Leveranser_per_nät,'Leveranser per nät'!R$1,FALSE)
               +Andel_beroende_av_klimat*VLOOKUP($A42,Leveranser_per_nät,'Leveranser per nät'!R$1,FALSE)/VLOOKUP($B42,Korrigeringsfaktor_GD,'Korrigeringsfaktor GD'!R$1,FALSE),
"")</f>
        <v>18.240591304347824</v>
      </c>
      <c r="S42" s="18">
        <f>IFERROR(
                  Andel_oberoende_av_klimat*VLOOKUP($A42,Leveranser_per_nät,'Leveranser per nät'!S$1,FALSE)
               +Andel_beroende_av_klimat*VLOOKUP($A42,Leveranser_per_nät,'Leveranser per nät'!S$1,FALSE)/VLOOKUP($B42,Korrigeringsfaktor_GD,'Korrigeringsfaktor GD'!S$1,FALSE),
"")</f>
        <v>18.014277227722772</v>
      </c>
      <c r="T42" s="18">
        <f>IFERROR(
                  Andel_oberoende_av_klimat*VLOOKUP($A42,Leveranser_per_nät,'Leveranser per nät'!T$1,FALSE)
               +Andel_beroende_av_klimat*VLOOKUP($A42,Leveranser_per_nät,'Leveranser per nät'!T$1,FALSE)/VLOOKUP($B42,Korrigeringsfaktor_GD,'Korrigeringsfaktor GD'!T$1,FALSE),
"")</f>
        <v>22.186485714285713</v>
      </c>
      <c r="U42" s="18">
        <f>IFERROR(
                  Andel_oberoende_av_klimat*VLOOKUP($A42,Leveranser_per_nät,'Leveranser per nät'!U$1,FALSE)
               +Andel_beroende_av_klimat*VLOOKUP($A42,Leveranser_per_nät,'Leveranser per nät'!U$1,FALSE)/VLOOKUP($B42,Korrigeringsfaktor_GD,'Korrigeringsfaktor GD'!U$1,FALSE),
"")</f>
        <v>17.221720930232557</v>
      </c>
      <c r="V42" s="18">
        <f>IFERROR(
                  Andel_oberoende_av_klimat*VLOOKUP($A42,Leveranser_per_nät,'Leveranser per nät'!V$1,FALSE)
               +Andel_beroende_av_klimat*VLOOKUP($A42,Leveranser_per_nät,'Leveranser per nät'!V$1,FALSE)/VLOOKUP($B42,Korrigeringsfaktor_GD,'Korrigeringsfaktor GD'!V$1,FALSE),
"")</f>
        <v>15.655799999999999</v>
      </c>
      <c r="W42" s="18">
        <f>IFERROR(
                  Andel_oberoende_av_klimat*VLOOKUP($A42,Leveranser_per_nät,'Leveranser per nät'!W$1,FALSE)
               +Andel_beroende_av_klimat*VLOOKUP($A42,Leveranser_per_nät,'Leveranser per nät'!W$1,FALSE)/VLOOKUP($B42,Korrigeringsfaktor_GD,'Korrigeringsfaktor GD'!W$1,FALSE),
"")</f>
        <v>15.492617021276597</v>
      </c>
      <c r="X42" s="18">
        <f>IFERROR(
                  Andel_oberoende_av_klimat*VLOOKUP($A42,Leveranser_per_nät,'Leveranser per nät'!X$1,FALSE)
               +Andel_beroende_av_klimat*VLOOKUP($A42,Leveranser_per_nät,'Leveranser per nät'!X$1,FALSE)/VLOOKUP($B42,Korrigeringsfaktor_GD,'Korrigeringsfaktor GD'!X$1,FALSE),
"")</f>
        <v>13.869166666666667</v>
      </c>
      <c r="Y42" s="18">
        <f>IFERROR(
                  Andel_oberoende_av_klimat*VLOOKUP($A42,Leveranser_per_nät,'Leveranser per nät'!Y$1,FALSE)
               +Andel_beroende_av_klimat*VLOOKUP($A42,Leveranser_per_nät,'Leveranser per nät'!Y$1,FALSE)/VLOOKUP($B42,Korrigeringsfaktor_GD,'Korrigeringsfaktor GD'!Y$1,FALSE),
"")</f>
        <v>14.905666666666667</v>
      </c>
      <c r="Z42" s="18">
        <f>IFERROR(
                  Andel_oberoende_av_klimat*VLOOKUP($A42,Leveranser_per_nät,'Leveranser per nät'!Z$1,FALSE)
               +Andel_beroende_av_klimat*VLOOKUP($A42,Leveranser_per_nät,'Leveranser per nät'!Z$1,FALSE)/VLOOKUP($B42,Korrigeringsfaktor_GD,'Korrigeringsfaktor GD'!Z$1,FALSE),
"")</f>
        <v>13.625207692307692</v>
      </c>
      <c r="AA42" s="18">
        <f>IFERROR(
                  Andel_oberoende_av_klimat*VLOOKUP($A42,Leveranser_per_nät,'Leveranser per nät'!AA$1,FALSE)
               +Andel_beroende_av_klimat*VLOOKUP($A42,Leveranser_per_nät,'Leveranser per nät'!AA$1,FALSE)/VLOOKUP($B42,Korrigeringsfaktor_GD,'Korrigeringsfaktor GD'!AA$1,FALSE),
"")</f>
        <v>12.919958265241986</v>
      </c>
      <c r="AB42" s="18">
        <f>IFERROR(
                  Andel_oberoende_av_klimat*VLOOKUP($A42,Leveranser_per_nät,'Leveranser per nät'!AB$1,FALSE)
               +Andel_beroende_av_klimat*VLOOKUP($A42,Leveranser_per_nät,'Leveranser per nät'!AB$1,FALSE)/VLOOKUP($B42,Korrigeringsfaktor_GD,'Korrigeringsfaktor GD'!AB$1,FALSE),
"")</f>
        <v>14.218959666339547</v>
      </c>
      <c r="AC42" s="18">
        <f>IFERROR(
                  Andel_oberoende_av_klimat*VLOOKUP($A42,Leveranser_per_nät,'Leveranser per nät'!AC$1,FALSE)
               +Andel_beroende_av_klimat*VLOOKUP($A42,Leveranser_per_nät,'Leveranser per nät'!AC$1,FALSE)/VLOOKUP($B42,Korrigeringsfaktor_GD,'Korrigeringsfaktor GD'!AC$1,FALSE),
"")</f>
        <v>13.826241288278775</v>
      </c>
      <c r="AD42" t="e">
        <v>#N/A</v>
      </c>
    </row>
    <row r="43" spans="1:30" x14ac:dyDescent="0.25">
      <c r="A43" t="s">
        <v>378</v>
      </c>
      <c r="B43" t="s">
        <v>376</v>
      </c>
      <c r="C43" s="18">
        <f>IFERROR(
                  Andel_oberoende_av_klimat*VLOOKUP($A43,Leveranser_per_nät,'Leveranser per nät'!C$1,FALSE)
               +Andel_beroende_av_klimat*VLOOKUP($A43,Leveranser_per_nät,'Leveranser per nät'!C$1,FALSE)/VLOOKUP($B43,Korrigeringsfaktor_GD,'Korrigeringsfaktor GD'!C$1,FALSE),
"")</f>
        <v>0</v>
      </c>
      <c r="D43" s="18">
        <f>IFERROR(
                  Andel_oberoende_av_klimat*VLOOKUP($A43,Leveranser_per_nät,'Leveranser per nät'!D$1,FALSE)
               +Andel_beroende_av_klimat*VLOOKUP($A43,Leveranser_per_nät,'Leveranser per nät'!D$1,FALSE)/VLOOKUP($B43,Korrigeringsfaktor_GD,'Korrigeringsfaktor GD'!D$1,FALSE),
"")</f>
        <v>0</v>
      </c>
      <c r="E43" s="18">
        <f>IFERROR(
                  Andel_oberoende_av_klimat*VLOOKUP($A43,Leveranser_per_nät,'Leveranser per nät'!E$1,FALSE)
               +Andel_beroende_av_klimat*VLOOKUP($A43,Leveranser_per_nät,'Leveranser per nät'!E$1,FALSE)/VLOOKUP($B43,Korrigeringsfaktor_GD,'Korrigeringsfaktor GD'!E$1,FALSE),
"")</f>
        <v>0</v>
      </c>
      <c r="F43" s="18">
        <f>IFERROR(
                  Andel_oberoende_av_klimat*VLOOKUP($A43,Leveranser_per_nät,'Leveranser per nät'!F$1,FALSE)
               +Andel_beroende_av_klimat*VLOOKUP($A43,Leveranser_per_nät,'Leveranser per nät'!F$1,FALSE)/VLOOKUP($B43,Korrigeringsfaktor_GD,'Korrigeringsfaktor GD'!F$1,FALSE),
"")</f>
        <v>0</v>
      </c>
      <c r="G43" s="18">
        <f>IFERROR(
                  Andel_oberoende_av_klimat*VLOOKUP($A43,Leveranser_per_nät,'Leveranser per nät'!G$1,FALSE)
               +Andel_beroende_av_klimat*VLOOKUP($A43,Leveranser_per_nät,'Leveranser per nät'!G$1,FALSE)/VLOOKUP($B43,Korrigeringsfaktor_GD,'Korrigeringsfaktor GD'!G$1,FALSE),
"")</f>
        <v>0</v>
      </c>
      <c r="H43" s="18">
        <f>IFERROR(
                  Andel_oberoende_av_klimat*VLOOKUP($A43,Leveranser_per_nät,'Leveranser per nät'!H$1,FALSE)
               +Andel_beroende_av_klimat*VLOOKUP($A43,Leveranser_per_nät,'Leveranser per nät'!H$1,FALSE)/VLOOKUP($B43,Korrigeringsfaktor_GD,'Korrigeringsfaktor GD'!H$1,FALSE),
"")</f>
        <v>0</v>
      </c>
      <c r="I43" s="18">
        <f>IFERROR(
                  Andel_oberoende_av_klimat*VLOOKUP($A43,Leveranser_per_nät,'Leveranser per nät'!I$1,FALSE)
               +Andel_beroende_av_klimat*VLOOKUP($A43,Leveranser_per_nät,'Leveranser per nät'!I$1,FALSE)/VLOOKUP($B43,Korrigeringsfaktor_GD,'Korrigeringsfaktor GD'!I$1,FALSE),
"")</f>
        <v>0</v>
      </c>
      <c r="J43" s="18">
        <f>IFERROR(
                  Andel_oberoende_av_klimat*VLOOKUP($A43,Leveranser_per_nät,'Leveranser per nät'!J$1,FALSE)
               +Andel_beroende_av_klimat*VLOOKUP($A43,Leveranser_per_nät,'Leveranser per nät'!J$1,FALSE)/VLOOKUP($B43,Korrigeringsfaktor_GD,'Korrigeringsfaktor GD'!J$1,FALSE),
"")</f>
        <v>0</v>
      </c>
      <c r="K43" s="18">
        <f>IFERROR(
                  Andel_oberoende_av_klimat*VLOOKUP($A43,Leveranser_per_nät,'Leveranser per nät'!K$1,FALSE)
               +Andel_beroende_av_klimat*VLOOKUP($A43,Leveranser_per_nät,'Leveranser per nät'!K$1,FALSE)/VLOOKUP($B43,Korrigeringsfaktor_GD,'Korrigeringsfaktor GD'!K$1,FALSE),
"")</f>
        <v>0</v>
      </c>
      <c r="L43" s="18">
        <f>IFERROR(
                  Andel_oberoende_av_klimat*VLOOKUP($A43,Leveranser_per_nät,'Leveranser per nät'!L$1,FALSE)
               +Andel_beroende_av_klimat*VLOOKUP($A43,Leveranser_per_nät,'Leveranser per nät'!L$1,FALSE)/VLOOKUP($B43,Korrigeringsfaktor_GD,'Korrigeringsfaktor GD'!L$1,FALSE),
"")</f>
        <v>0</v>
      </c>
      <c r="M43" s="18">
        <f>IFERROR(
                  Andel_oberoende_av_klimat*VLOOKUP($A43,Leveranser_per_nät,'Leveranser per nät'!M$1,FALSE)
               +Andel_beroende_av_klimat*VLOOKUP($A43,Leveranser_per_nät,'Leveranser per nät'!M$1,FALSE)/VLOOKUP($B43,Korrigeringsfaktor_GD,'Korrigeringsfaktor GD'!M$1,FALSE),
"")</f>
        <v>6.5223076923076917</v>
      </c>
      <c r="N43" s="18">
        <f>IFERROR(
                  Andel_oberoende_av_klimat*VLOOKUP($A43,Leveranser_per_nät,'Leveranser per nät'!N$1,FALSE)
               +Andel_beroende_av_klimat*VLOOKUP($A43,Leveranser_per_nät,'Leveranser per nät'!N$1,FALSE)/VLOOKUP($B43,Korrigeringsfaktor_GD,'Korrigeringsfaktor GD'!N$1,FALSE),
"")</f>
        <v>5.1043106382978731</v>
      </c>
      <c r="O43" s="18">
        <f>IFERROR(
                  Andel_oberoende_av_klimat*VLOOKUP($A43,Leveranser_per_nät,'Leveranser per nät'!O$1,FALSE)
               +Andel_beroende_av_klimat*VLOOKUP($A43,Leveranser_per_nät,'Leveranser per nät'!O$1,FALSE)/VLOOKUP($B43,Korrigeringsfaktor_GD,'Korrigeringsfaktor GD'!O$1,FALSE),
"")</f>
        <v>5.348292307692307</v>
      </c>
      <c r="P43" s="18">
        <f>IFERROR(
                  Andel_oberoende_av_klimat*VLOOKUP($A43,Leveranser_per_nät,'Leveranser per nät'!P$1,FALSE)
               +Andel_beroende_av_klimat*VLOOKUP($A43,Leveranser_per_nät,'Leveranser per nät'!P$1,FALSE)/VLOOKUP($B43,Korrigeringsfaktor_GD,'Korrigeringsfaktor GD'!P$1,FALSE),
"")</f>
        <v>5.3554792857142859</v>
      </c>
      <c r="Q43" s="18">
        <f>IFERROR(
                  Andel_oberoende_av_klimat*VLOOKUP($A43,Leveranser_per_nät,'Leveranser per nät'!Q$1,FALSE)
               +Andel_beroende_av_klimat*VLOOKUP($A43,Leveranser_per_nät,'Leveranser per nät'!Q$1,FALSE)/VLOOKUP($B43,Korrigeringsfaktor_GD,'Korrigeringsfaktor GD'!Q$1,FALSE),
"")</f>
        <v>5.8862387387387392</v>
      </c>
      <c r="R43" s="18">
        <f>IFERROR(
                  Andel_oberoende_av_klimat*VLOOKUP($A43,Leveranser_per_nät,'Leveranser per nät'!R$1,FALSE)
               +Andel_beroende_av_klimat*VLOOKUP($A43,Leveranser_per_nät,'Leveranser per nät'!R$1,FALSE)/VLOOKUP($B43,Korrigeringsfaktor_GD,'Korrigeringsfaktor GD'!R$1,FALSE),
"")</f>
        <v>5.6044444444444448</v>
      </c>
      <c r="S43" s="18">
        <f>IFERROR(
                  Andel_oberoende_av_klimat*VLOOKUP($A43,Leveranser_per_nät,'Leveranser per nät'!S$1,FALSE)
               +Andel_beroende_av_klimat*VLOOKUP($A43,Leveranser_per_nät,'Leveranser per nät'!S$1,FALSE)/VLOOKUP($B43,Korrigeringsfaktor_GD,'Korrigeringsfaktor GD'!S$1,FALSE),
"")</f>
        <v>5.8422857142857154</v>
      </c>
      <c r="T43" s="18">
        <f>IFERROR(
                  Andel_oberoende_av_klimat*VLOOKUP($A43,Leveranser_per_nät,'Leveranser per nät'!T$1,FALSE)
               +Andel_beroende_av_klimat*VLOOKUP($A43,Leveranser_per_nät,'Leveranser per nät'!T$1,FALSE)/VLOOKUP($B43,Korrigeringsfaktor_GD,'Korrigeringsfaktor GD'!T$1,FALSE),
"")</f>
        <v>5.800311827956989</v>
      </c>
      <c r="U43" s="18">
        <f>IFERROR(
                  Andel_oberoende_av_klimat*VLOOKUP($A43,Leveranser_per_nät,'Leveranser per nät'!U$1,FALSE)
               +Andel_beroende_av_klimat*VLOOKUP($A43,Leveranser_per_nät,'Leveranser per nät'!U$1,FALSE)/VLOOKUP($B43,Korrigeringsfaktor_GD,'Korrigeringsfaktor GD'!U$1,FALSE),
"")</f>
        <v>5.0993409090909099</v>
      </c>
      <c r="V43" s="18">
        <f>IFERROR(
                  Andel_oberoende_av_klimat*VLOOKUP($A43,Leveranser_per_nät,'Leveranser per nät'!V$1,FALSE)
               +Andel_beroende_av_klimat*VLOOKUP($A43,Leveranser_per_nät,'Leveranser per nät'!V$1,FALSE)/VLOOKUP($B43,Korrigeringsfaktor_GD,'Korrigeringsfaktor GD'!V$1,FALSE),
"")</f>
        <v>5.6930965517241372</v>
      </c>
      <c r="W43" s="18">
        <f>IFERROR(
                  Andel_oberoende_av_klimat*VLOOKUP($A43,Leveranser_per_nät,'Leveranser per nät'!W$1,FALSE)
               +Andel_beroende_av_klimat*VLOOKUP($A43,Leveranser_per_nät,'Leveranser per nät'!W$1,FALSE)/VLOOKUP($B43,Korrigeringsfaktor_GD,'Korrigeringsfaktor GD'!W$1,FALSE),
"")</f>
        <v>5.7394765957446809</v>
      </c>
      <c r="X43" s="18">
        <f>IFERROR(
                  Andel_oberoende_av_klimat*VLOOKUP($A43,Leveranser_per_nät,'Leveranser per nät'!X$1,FALSE)
               +Andel_beroende_av_klimat*VLOOKUP($A43,Leveranser_per_nät,'Leveranser per nät'!X$1,FALSE)/VLOOKUP($B43,Korrigeringsfaktor_GD,'Korrigeringsfaktor GD'!X$1,FALSE),
"")</f>
        <v>5.6290157894736845</v>
      </c>
      <c r="Y43" s="18">
        <f>IFERROR(
                  Andel_oberoende_av_klimat*VLOOKUP($A43,Leveranser_per_nät,'Leveranser per nät'!Y$1,FALSE)
               +Andel_beroende_av_klimat*VLOOKUP($A43,Leveranser_per_nät,'Leveranser per nät'!Y$1,FALSE)/VLOOKUP($B43,Korrigeringsfaktor_GD,'Korrigeringsfaktor GD'!Y$1,FALSE),
"")</f>
        <v>5.7839166666666664</v>
      </c>
      <c r="Z43" s="18">
        <f>IFERROR(
                  Andel_oberoende_av_klimat*VLOOKUP($A43,Leveranser_per_nät,'Leveranser per nät'!Z$1,FALSE)
               +Andel_beroende_av_klimat*VLOOKUP($A43,Leveranser_per_nät,'Leveranser per nät'!Z$1,FALSE)/VLOOKUP($B43,Korrigeringsfaktor_GD,'Korrigeringsfaktor GD'!Z$1,FALSE),
"")</f>
        <v>5.6318817204301075</v>
      </c>
      <c r="AA43" s="18">
        <f>IFERROR(
                  Andel_oberoende_av_klimat*VLOOKUP($A43,Leveranser_per_nät,'Leveranser per nät'!AA$1,FALSE)
               +Andel_beroende_av_klimat*VLOOKUP($A43,Leveranser_per_nät,'Leveranser per nät'!AA$1,FALSE)/VLOOKUP($B43,Korrigeringsfaktor_GD,'Korrigeringsfaktor GD'!AA$1,FALSE),
"")</f>
        <v>5.1281442107695856</v>
      </c>
      <c r="AB43" s="18">
        <f>IFERROR(
                  Andel_oberoende_av_klimat*VLOOKUP($A43,Leveranser_per_nät,'Leveranser per nät'!AB$1,FALSE)
               +Andel_beroende_av_klimat*VLOOKUP($A43,Leveranser_per_nät,'Leveranser per nät'!AB$1,FALSE)/VLOOKUP($B43,Korrigeringsfaktor_GD,'Korrigeringsfaktor GD'!AB$1,FALSE),
"")</f>
        <v>5.2226435452793831</v>
      </c>
      <c r="AC43" s="18">
        <f>IFERROR(
                  Andel_oberoende_av_klimat*VLOOKUP($A43,Leveranser_per_nät,'Leveranser per nät'!AC$1,FALSE)
               +Andel_beroende_av_klimat*VLOOKUP($A43,Leveranser_per_nät,'Leveranser per nät'!AC$1,FALSE)/VLOOKUP($B43,Korrigeringsfaktor_GD,'Korrigeringsfaktor GD'!AC$1,FALSE),
"")</f>
        <v>5.0265154639175265</v>
      </c>
      <c r="AD43">
        <v>223.7</v>
      </c>
    </row>
    <row r="44" spans="1:30" x14ac:dyDescent="0.25">
      <c r="A44" t="s">
        <v>61</v>
      </c>
      <c r="B44" t="s">
        <v>441</v>
      </c>
      <c r="C44" s="18">
        <f>IFERROR(
                  Andel_oberoende_av_klimat*VLOOKUP($A44,Leveranser_per_nät,'Leveranser per nät'!C$1,FALSE)
               +Andel_beroende_av_klimat*VLOOKUP($A44,Leveranser_per_nät,'Leveranser per nät'!C$1,FALSE)/VLOOKUP($B44,Korrigeringsfaktor_GD,'Korrigeringsfaktor GD'!C$1,FALSE),
"")</f>
        <v>26.988288288288288</v>
      </c>
      <c r="D44" s="18">
        <f>IFERROR(
                  Andel_oberoende_av_klimat*VLOOKUP($A44,Leveranser_per_nät,'Leveranser per nät'!D$1,FALSE)
               +Andel_beroende_av_klimat*VLOOKUP($A44,Leveranser_per_nät,'Leveranser per nät'!D$1,FALSE)/VLOOKUP($B44,Korrigeringsfaktor_GD,'Korrigeringsfaktor GD'!D$1,FALSE),
"")</f>
        <v>24.662154545454545</v>
      </c>
      <c r="E44" s="18">
        <f>IFERROR(
                  Andel_oberoende_av_klimat*VLOOKUP($A44,Leveranser_per_nät,'Leveranser per nät'!E$1,FALSE)
               +Andel_beroende_av_klimat*VLOOKUP($A44,Leveranser_per_nät,'Leveranser per nät'!E$1,FALSE)/VLOOKUP($B44,Korrigeringsfaktor_GD,'Korrigeringsfaktor GD'!E$1,FALSE),
"")</f>
        <v>25.643137254901962</v>
      </c>
      <c r="F44" s="18">
        <f>IFERROR(
                  Andel_oberoende_av_klimat*VLOOKUP($A44,Leveranser_per_nät,'Leveranser per nät'!F$1,FALSE)
               +Andel_beroende_av_klimat*VLOOKUP($A44,Leveranser_per_nät,'Leveranser per nät'!F$1,FALSE)/VLOOKUP($B44,Korrigeringsfaktor_GD,'Korrigeringsfaktor GD'!F$1,FALSE),
"")</f>
        <v>24.268980851063834</v>
      </c>
      <c r="G44" s="18">
        <f>IFERROR(
                  Andel_oberoende_av_klimat*VLOOKUP($A44,Leveranser_per_nät,'Leveranser per nät'!G$1,FALSE)
               +Andel_beroende_av_klimat*VLOOKUP($A44,Leveranser_per_nät,'Leveranser per nät'!G$1,FALSE)/VLOOKUP($B44,Korrigeringsfaktor_GD,'Korrigeringsfaktor GD'!G$1,FALSE),
"")</f>
        <v>28.919999999999998</v>
      </c>
      <c r="H44" s="18">
        <f>IFERROR(
                  Andel_oberoende_av_klimat*VLOOKUP($A44,Leveranser_per_nät,'Leveranser per nät'!H$1,FALSE)
               +Andel_beroende_av_klimat*VLOOKUP($A44,Leveranser_per_nät,'Leveranser per nät'!H$1,FALSE)/VLOOKUP($B44,Korrigeringsfaktor_GD,'Korrigeringsfaktor GD'!H$1,FALSE),
"")</f>
        <v>30.428571428571431</v>
      </c>
      <c r="I44" s="18">
        <f>IFERROR(
                  Andel_oberoende_av_klimat*VLOOKUP($A44,Leveranser_per_nät,'Leveranser per nät'!I$1,FALSE)
               +Andel_beroende_av_klimat*VLOOKUP($A44,Leveranser_per_nät,'Leveranser per nät'!I$1,FALSE)/VLOOKUP($B44,Korrigeringsfaktor_GD,'Korrigeringsfaktor GD'!I$1,FALSE),
"")</f>
        <v>27.175876288659797</v>
      </c>
      <c r="J44" s="18">
        <f>IFERROR(
                  Andel_oberoende_av_klimat*VLOOKUP($A44,Leveranser_per_nät,'Leveranser per nät'!J$1,FALSE)
               +Andel_beroende_av_klimat*VLOOKUP($A44,Leveranser_per_nät,'Leveranser per nät'!J$1,FALSE)/VLOOKUP($B44,Korrigeringsfaktor_GD,'Korrigeringsfaktor GD'!J$1,FALSE),
"")</f>
        <v>27.039848484848484</v>
      </c>
      <c r="K44" s="18">
        <f>IFERROR(
                  Andel_oberoende_av_klimat*VLOOKUP($A44,Leveranser_per_nät,'Leveranser per nät'!K$1,FALSE)
               +Andel_beroende_av_klimat*VLOOKUP($A44,Leveranser_per_nät,'Leveranser per nät'!K$1,FALSE)/VLOOKUP($B44,Korrigeringsfaktor_GD,'Korrigeringsfaktor GD'!K$1,FALSE),
"")</f>
        <v>49.8491</v>
      </c>
      <c r="L44" s="18">
        <f>IFERROR(
                  Andel_oberoende_av_klimat*VLOOKUP($A44,Leveranser_per_nät,'Leveranser per nät'!L$1,FALSE)
               +Andel_beroende_av_klimat*VLOOKUP($A44,Leveranser_per_nät,'Leveranser per nät'!L$1,FALSE)/VLOOKUP($B44,Korrigeringsfaktor_GD,'Korrigeringsfaktor GD'!L$1,FALSE),
"")</f>
        <v>31.246377330792129</v>
      </c>
      <c r="M44" s="18">
        <f>IFERROR(
                  Andel_oberoende_av_klimat*VLOOKUP($A44,Leveranser_per_nät,'Leveranser per nät'!M$1,FALSE)
               +Andel_beroende_av_klimat*VLOOKUP($A44,Leveranser_per_nät,'Leveranser per nät'!M$1,FALSE)/VLOOKUP($B44,Korrigeringsfaktor_GD,'Korrigeringsfaktor GD'!M$1,FALSE),
"")</f>
        <v>27.790967741935482</v>
      </c>
      <c r="N44" s="18">
        <f>IFERROR(
                  Andel_oberoende_av_klimat*VLOOKUP($A44,Leveranser_per_nät,'Leveranser per nät'!N$1,FALSE)
               +Andel_beroende_av_klimat*VLOOKUP($A44,Leveranser_per_nät,'Leveranser per nät'!N$1,FALSE)/VLOOKUP($B44,Korrigeringsfaktor_GD,'Korrigeringsfaktor GD'!N$1,FALSE),
"")</f>
        <v>29.651304347826084</v>
      </c>
      <c r="O44" s="18">
        <f>IFERROR(
                  Andel_oberoende_av_klimat*VLOOKUP($A44,Leveranser_per_nät,'Leveranser per nät'!O$1,FALSE)
               +Andel_beroende_av_klimat*VLOOKUP($A44,Leveranser_per_nät,'Leveranser per nät'!O$1,FALSE)/VLOOKUP($B44,Korrigeringsfaktor_GD,'Korrigeringsfaktor GD'!O$1,FALSE),
"")</f>
        <v>29.577272727272728</v>
      </c>
      <c r="P44" s="18">
        <f>IFERROR(
                  Andel_oberoende_av_klimat*VLOOKUP($A44,Leveranser_per_nät,'Leveranser per nät'!P$1,FALSE)
               +Andel_beroende_av_klimat*VLOOKUP($A44,Leveranser_per_nät,'Leveranser per nät'!P$1,FALSE)/VLOOKUP($B44,Korrigeringsfaktor_GD,'Korrigeringsfaktor GD'!P$1,FALSE),
"")</f>
        <v>29.627835051546391</v>
      </c>
      <c r="Q44" s="18">
        <f>IFERROR(
                  Andel_oberoende_av_klimat*VLOOKUP($A44,Leveranser_per_nät,'Leveranser per nät'!Q$1,FALSE)
               +Andel_beroende_av_klimat*VLOOKUP($A44,Leveranser_per_nät,'Leveranser per nät'!Q$1,FALSE)/VLOOKUP($B44,Korrigeringsfaktor_GD,'Korrigeringsfaktor GD'!Q$1,FALSE),
"")</f>
        <v>29.104615384615386</v>
      </c>
      <c r="R44" s="18">
        <f>IFERROR(
                  Andel_oberoende_av_klimat*VLOOKUP($A44,Leveranser_per_nät,'Leveranser per nät'!R$1,FALSE)
               +Andel_beroende_av_klimat*VLOOKUP($A44,Leveranser_per_nät,'Leveranser per nät'!R$1,FALSE)/VLOOKUP($B44,Korrigeringsfaktor_GD,'Korrigeringsfaktor GD'!R$1,FALSE),
"")</f>
        <v>28.345555555555556</v>
      </c>
      <c r="S44" s="18">
        <f>IFERROR(
                  Andel_oberoende_av_klimat*VLOOKUP($A44,Leveranser_per_nät,'Leveranser per nät'!S$1,FALSE)
               +Andel_beroende_av_klimat*VLOOKUP($A44,Leveranser_per_nät,'Leveranser per nät'!S$1,FALSE)/VLOOKUP($B44,Korrigeringsfaktor_GD,'Korrigeringsfaktor GD'!S$1,FALSE),
"")</f>
        <v>34</v>
      </c>
      <c r="T44" s="18">
        <f>IFERROR(
                  Andel_oberoende_av_klimat*VLOOKUP($A44,Leveranser_per_nät,'Leveranser per nät'!T$1,FALSE)
               +Andel_beroende_av_klimat*VLOOKUP($A44,Leveranser_per_nät,'Leveranser per nät'!T$1,FALSE)/VLOOKUP($B44,Korrigeringsfaktor_GD,'Korrigeringsfaktor GD'!T$1,FALSE),
"")</f>
        <v>30.669166666666669</v>
      </c>
      <c r="U44" s="18">
        <f>IFERROR(
                  Andel_oberoende_av_klimat*VLOOKUP($A44,Leveranser_per_nät,'Leveranser per nät'!U$1,FALSE)
               +Andel_beroende_av_klimat*VLOOKUP($A44,Leveranser_per_nät,'Leveranser per nät'!U$1,FALSE)/VLOOKUP($B44,Korrigeringsfaktor_GD,'Korrigeringsfaktor GD'!U$1,FALSE),
"")</f>
        <v>29.619995454545453</v>
      </c>
      <c r="V44" s="18">
        <f>IFERROR(
                  Andel_oberoende_av_klimat*VLOOKUP($A44,Leveranser_per_nät,'Leveranser per nät'!V$1,FALSE)
               +Andel_beroende_av_klimat*VLOOKUP($A44,Leveranser_per_nät,'Leveranser per nät'!V$1,FALSE)/VLOOKUP($B44,Korrigeringsfaktor_GD,'Korrigeringsfaktor GD'!V$1,FALSE),
"")</f>
        <v>31.149655172413791</v>
      </c>
      <c r="W44" s="18">
        <f>IFERROR(
                  Andel_oberoende_av_klimat*VLOOKUP($A44,Leveranser_per_nät,'Leveranser per nät'!W$1,FALSE)
               +Andel_beroende_av_klimat*VLOOKUP($A44,Leveranser_per_nät,'Leveranser per nät'!W$1,FALSE)/VLOOKUP($B44,Korrigeringsfaktor_GD,'Korrigeringsfaktor GD'!W$1,FALSE),
"")</f>
        <v>27.582608695652173</v>
      </c>
      <c r="X44" s="18">
        <f>IFERROR(
                  Andel_oberoende_av_klimat*VLOOKUP($A44,Leveranser_per_nät,'Leveranser per nät'!X$1,FALSE)
               +Andel_beroende_av_klimat*VLOOKUP($A44,Leveranser_per_nät,'Leveranser per nät'!X$1,FALSE)/VLOOKUP($B44,Korrigeringsfaktor_GD,'Korrigeringsfaktor GD'!X$1,FALSE),
"")</f>
        <v>30.765217391304347</v>
      </c>
      <c r="Y44" s="18">
        <f>IFERROR(
                  Andel_oberoende_av_klimat*VLOOKUP($A44,Leveranser_per_nät,'Leveranser per nät'!Y$1,FALSE)
               +Andel_beroende_av_klimat*VLOOKUP($A44,Leveranser_per_nät,'Leveranser per nät'!Y$1,FALSE)/VLOOKUP($B44,Korrigeringsfaktor_GD,'Korrigeringsfaktor GD'!Y$1,FALSE),
"")</f>
        <v>30.587333333333333</v>
      </c>
      <c r="Z44" s="18">
        <f>IFERROR(
                  Andel_oberoende_av_klimat*VLOOKUP($A44,Leveranser_per_nät,'Leveranser per nät'!Z$1,FALSE)
               +Andel_beroende_av_klimat*VLOOKUP($A44,Leveranser_per_nät,'Leveranser per nät'!Z$1,FALSE)/VLOOKUP($B44,Korrigeringsfaktor_GD,'Korrigeringsfaktor GD'!Z$1,FALSE),
"")</f>
        <v>0</v>
      </c>
      <c r="AA44" s="18" t="str">
        <f>IFERROR(
                  Andel_oberoende_av_klimat*VLOOKUP($A44,Leveranser_per_nät,'Leveranser per nät'!AA$1,FALSE)
               +Andel_beroende_av_klimat*VLOOKUP($A44,Leveranser_per_nät,'Leveranser per nät'!AA$1,FALSE)/VLOOKUP($B44,Korrigeringsfaktor_GD,'Korrigeringsfaktor GD'!AA$1,FALSE),
"")</f>
        <v/>
      </c>
      <c r="AB44" s="18">
        <f>IFERROR(
                  Andel_oberoende_av_klimat*VLOOKUP($A44,Leveranser_per_nät,'Leveranser per nät'!AB$1,FALSE)
               +Andel_beroende_av_klimat*VLOOKUP($A44,Leveranser_per_nät,'Leveranser per nät'!AB$1,FALSE)/VLOOKUP($B44,Korrigeringsfaktor_GD,'Korrigeringsfaktor GD'!AB$1,FALSE),
"")</f>
        <v>0</v>
      </c>
      <c r="AC44" s="18">
        <f>IFERROR(
                  Andel_oberoende_av_klimat*VLOOKUP($A44,Leveranser_per_nät,'Leveranser per nät'!AC$1,FALSE)
               +Andel_beroende_av_klimat*VLOOKUP($A44,Leveranser_per_nät,'Leveranser per nät'!AC$1,FALSE)/VLOOKUP($B44,Korrigeringsfaktor_GD,'Korrigeringsfaktor GD'!AC$1,FALSE),
"")</f>
        <v>0</v>
      </c>
      <c r="AD44" t="e">
        <v>#N/A</v>
      </c>
    </row>
    <row r="45" spans="1:30" x14ac:dyDescent="0.25">
      <c r="A45" t="s">
        <v>81</v>
      </c>
      <c r="B45" t="s">
        <v>81</v>
      </c>
      <c r="C45" s="18">
        <f>IFERROR(
                  Andel_oberoende_av_klimat*VLOOKUP($A45,Leveranser_per_nät,'Leveranser per nät'!C$1,FALSE)
               +Andel_beroende_av_klimat*VLOOKUP($A45,Leveranser_per_nät,'Leveranser per nät'!C$1,FALSE)/VLOOKUP($B45,Korrigeringsfaktor_GD,'Korrigeringsfaktor GD'!C$1,FALSE),
"")</f>
        <v>0</v>
      </c>
      <c r="D45" s="18">
        <f>IFERROR(
                  Andel_oberoende_av_klimat*VLOOKUP($A45,Leveranser_per_nät,'Leveranser per nät'!D$1,FALSE)
               +Andel_beroende_av_klimat*VLOOKUP($A45,Leveranser_per_nät,'Leveranser per nät'!D$1,FALSE)/VLOOKUP($B45,Korrigeringsfaktor_GD,'Korrigeringsfaktor GD'!D$1,FALSE),
"")</f>
        <v>0</v>
      </c>
      <c r="E45" s="18">
        <f>IFERROR(
                  Andel_oberoende_av_klimat*VLOOKUP($A45,Leveranser_per_nät,'Leveranser per nät'!E$1,FALSE)
               +Andel_beroende_av_klimat*VLOOKUP($A45,Leveranser_per_nät,'Leveranser per nät'!E$1,FALSE)/VLOOKUP($B45,Korrigeringsfaktor_GD,'Korrigeringsfaktor GD'!E$1,FALSE),
"")</f>
        <v>0</v>
      </c>
      <c r="F45" s="18">
        <f>IFERROR(
                  Andel_oberoende_av_klimat*VLOOKUP($A45,Leveranser_per_nät,'Leveranser per nät'!F$1,FALSE)
               +Andel_beroende_av_klimat*VLOOKUP($A45,Leveranser_per_nät,'Leveranser per nät'!F$1,FALSE)/VLOOKUP($B45,Korrigeringsfaktor_GD,'Korrigeringsfaktor GD'!F$1,FALSE),
"")</f>
        <v>0</v>
      </c>
      <c r="G45" s="18">
        <f>IFERROR(
                  Andel_oberoende_av_klimat*VLOOKUP($A45,Leveranser_per_nät,'Leveranser per nät'!G$1,FALSE)
               +Andel_beroende_av_klimat*VLOOKUP($A45,Leveranser_per_nät,'Leveranser per nät'!G$1,FALSE)/VLOOKUP($B45,Korrigeringsfaktor_GD,'Korrigeringsfaktor GD'!G$1,FALSE),
"")</f>
        <v>0</v>
      </c>
      <c r="H45" s="18">
        <f>IFERROR(
                  Andel_oberoende_av_klimat*VLOOKUP($A45,Leveranser_per_nät,'Leveranser per nät'!H$1,FALSE)
               +Andel_beroende_av_klimat*VLOOKUP($A45,Leveranser_per_nät,'Leveranser per nät'!H$1,FALSE)/VLOOKUP($B45,Korrigeringsfaktor_GD,'Korrigeringsfaktor GD'!H$1,FALSE),
"")</f>
        <v>0</v>
      </c>
      <c r="I45" s="18">
        <f>IFERROR(
                  Andel_oberoende_av_klimat*VLOOKUP($A45,Leveranser_per_nät,'Leveranser per nät'!I$1,FALSE)
               +Andel_beroende_av_klimat*VLOOKUP($A45,Leveranser_per_nät,'Leveranser per nät'!I$1,FALSE)/VLOOKUP($B45,Korrigeringsfaktor_GD,'Korrigeringsfaktor GD'!I$1,FALSE),
"")</f>
        <v>0</v>
      </c>
      <c r="J45" s="18">
        <f>IFERROR(
                  Andel_oberoende_av_klimat*VLOOKUP($A45,Leveranser_per_nät,'Leveranser per nät'!J$1,FALSE)
               +Andel_beroende_av_klimat*VLOOKUP($A45,Leveranser_per_nät,'Leveranser per nät'!J$1,FALSE)/VLOOKUP($B45,Korrigeringsfaktor_GD,'Korrigeringsfaktor GD'!J$1,FALSE),
"")</f>
        <v>0</v>
      </c>
      <c r="K45" s="18">
        <f>IFERROR(
                  Andel_oberoende_av_klimat*VLOOKUP($A45,Leveranser_per_nät,'Leveranser per nät'!K$1,FALSE)
               +Andel_beroende_av_klimat*VLOOKUP($A45,Leveranser_per_nät,'Leveranser per nät'!K$1,FALSE)/VLOOKUP($B45,Korrigeringsfaktor_GD,'Korrigeringsfaktor GD'!K$1,FALSE),
"")</f>
        <v>0</v>
      </c>
      <c r="L45" s="18">
        <f>IFERROR(
                  Andel_oberoende_av_klimat*VLOOKUP($A45,Leveranser_per_nät,'Leveranser per nät'!L$1,FALSE)
               +Andel_beroende_av_klimat*VLOOKUP($A45,Leveranser_per_nät,'Leveranser per nät'!L$1,FALSE)/VLOOKUP($B45,Korrigeringsfaktor_GD,'Korrigeringsfaktor GD'!L$1,FALSE),
"")</f>
        <v>5.0185416549658584</v>
      </c>
      <c r="M45" s="18">
        <f>IFERROR(
                  Andel_oberoende_av_klimat*VLOOKUP($A45,Leveranser_per_nät,'Leveranser per nät'!M$1,FALSE)
               +Andel_beroende_av_klimat*VLOOKUP($A45,Leveranser_per_nät,'Leveranser per nät'!M$1,FALSE)/VLOOKUP($B45,Korrigeringsfaktor_GD,'Korrigeringsfaktor GD'!M$1,FALSE),
"")</f>
        <v>6.179279569892473</v>
      </c>
      <c r="N45" s="18">
        <f>IFERROR(
                  Andel_oberoende_av_klimat*VLOOKUP($A45,Leveranser_per_nät,'Leveranser per nät'!N$1,FALSE)
               +Andel_beroende_av_klimat*VLOOKUP($A45,Leveranser_per_nät,'Leveranser per nät'!N$1,FALSE)/VLOOKUP($B45,Korrigeringsfaktor_GD,'Korrigeringsfaktor GD'!N$1,FALSE),
"")</f>
        <v>11.951685393258426</v>
      </c>
      <c r="O45" s="18">
        <f>IFERROR(
                  Andel_oberoende_av_klimat*VLOOKUP($A45,Leveranser_per_nät,'Leveranser per nät'!O$1,FALSE)
               +Andel_beroende_av_klimat*VLOOKUP($A45,Leveranser_per_nät,'Leveranser per nät'!O$1,FALSE)/VLOOKUP($B45,Korrigeringsfaktor_GD,'Korrigeringsfaktor GD'!O$1,FALSE),
"")</f>
        <v>11.836514606741574</v>
      </c>
      <c r="P45" s="18">
        <f>IFERROR(
                  Andel_oberoende_av_klimat*VLOOKUP($A45,Leveranser_per_nät,'Leveranser per nät'!P$1,FALSE)
               +Andel_beroende_av_klimat*VLOOKUP($A45,Leveranser_per_nät,'Leveranser per nät'!P$1,FALSE)/VLOOKUP($B45,Korrigeringsfaktor_GD,'Korrigeringsfaktor GD'!P$1,FALSE),
"")</f>
        <v>12.582635051546392</v>
      </c>
      <c r="Q45" s="18">
        <f>IFERROR(
                  Andel_oberoende_av_klimat*VLOOKUP($A45,Leveranser_per_nät,'Leveranser per nät'!Q$1,FALSE)
               +Andel_beroende_av_klimat*VLOOKUP($A45,Leveranser_per_nät,'Leveranser per nät'!Q$1,FALSE)/VLOOKUP($B45,Korrigeringsfaktor_GD,'Korrigeringsfaktor GD'!Q$1,FALSE),
"")</f>
        <v>12.721739130434784</v>
      </c>
      <c r="R45" s="18">
        <f>IFERROR(
                  Andel_oberoende_av_klimat*VLOOKUP($A45,Leveranser_per_nät,'Leveranser per nät'!R$1,FALSE)
               +Andel_beroende_av_klimat*VLOOKUP($A45,Leveranser_per_nät,'Leveranser per nät'!R$1,FALSE)/VLOOKUP($B45,Korrigeringsfaktor_GD,'Korrigeringsfaktor GD'!R$1,FALSE),
"")</f>
        <v>12.8182472</v>
      </c>
      <c r="S45" s="18">
        <f>IFERROR(
                  Andel_oberoende_av_klimat*VLOOKUP($A45,Leveranser_per_nät,'Leveranser per nät'!S$1,FALSE)
               +Andel_beroende_av_klimat*VLOOKUP($A45,Leveranser_per_nät,'Leveranser per nät'!S$1,FALSE)/VLOOKUP($B45,Korrigeringsfaktor_GD,'Korrigeringsfaktor GD'!S$1,FALSE),
"")</f>
        <v>12.085653465346535</v>
      </c>
      <c r="T45" s="18">
        <f>IFERROR(
                  Andel_oberoende_av_klimat*VLOOKUP($A45,Leveranser_per_nät,'Leveranser per nät'!T$1,FALSE)
               +Andel_beroende_av_klimat*VLOOKUP($A45,Leveranser_per_nät,'Leveranser per nät'!T$1,FALSE)/VLOOKUP($B45,Korrigeringsfaktor_GD,'Korrigeringsfaktor GD'!T$1,FALSE),
"")</f>
        <v>13.997142857142858</v>
      </c>
      <c r="U45" s="18">
        <f>IFERROR(
                  Andel_oberoende_av_klimat*VLOOKUP($A45,Leveranser_per_nät,'Leveranser per nät'!U$1,FALSE)
               +Andel_beroende_av_klimat*VLOOKUP($A45,Leveranser_per_nät,'Leveranser per nät'!U$1,FALSE)/VLOOKUP($B45,Korrigeringsfaktor_GD,'Korrigeringsfaktor GD'!U$1,FALSE),
"")</f>
        <v>13.826666666666666</v>
      </c>
      <c r="V45" s="18">
        <f>IFERROR(
                  Andel_oberoende_av_klimat*VLOOKUP($A45,Leveranser_per_nät,'Leveranser per nät'!V$1,FALSE)
               +Andel_beroende_av_klimat*VLOOKUP($A45,Leveranser_per_nät,'Leveranser per nät'!V$1,FALSE)/VLOOKUP($B45,Korrigeringsfaktor_GD,'Korrigeringsfaktor GD'!V$1,FALSE),
"")</f>
        <v>11.424444444444443</v>
      </c>
      <c r="W45" s="18">
        <f>IFERROR(
                  Andel_oberoende_av_klimat*VLOOKUP($A45,Leveranser_per_nät,'Leveranser per nät'!W$1,FALSE)
               +Andel_beroende_av_klimat*VLOOKUP($A45,Leveranser_per_nät,'Leveranser per nät'!W$1,FALSE)/VLOOKUP($B45,Korrigeringsfaktor_GD,'Korrigeringsfaktor GD'!W$1,FALSE),
"")</f>
        <v>11.59595744680851</v>
      </c>
      <c r="X45" s="18">
        <f>IFERROR(
                  Andel_oberoende_av_klimat*VLOOKUP($A45,Leveranser_per_nät,'Leveranser per nät'!X$1,FALSE)
               +Andel_beroende_av_klimat*VLOOKUP($A45,Leveranser_per_nät,'Leveranser per nät'!X$1,FALSE)/VLOOKUP($B45,Korrigeringsfaktor_GD,'Korrigeringsfaktor GD'!X$1,FALSE),
"")</f>
        <v>12.526989247311828</v>
      </c>
      <c r="Y45" s="18">
        <f>IFERROR(
                  Andel_oberoende_av_klimat*VLOOKUP($A45,Leveranser_per_nät,'Leveranser per nät'!Y$1,FALSE)
               +Andel_beroende_av_klimat*VLOOKUP($A45,Leveranser_per_nät,'Leveranser per nät'!Y$1,FALSE)/VLOOKUP($B45,Korrigeringsfaktor_GD,'Korrigeringsfaktor GD'!Y$1,FALSE),
"")</f>
        <v>13.687777777777777</v>
      </c>
      <c r="Z45" s="18">
        <f>IFERROR(
                  Andel_oberoende_av_klimat*VLOOKUP($A45,Leveranser_per_nät,'Leveranser per nät'!Z$1,FALSE)
               +Andel_beroende_av_klimat*VLOOKUP($A45,Leveranser_per_nät,'Leveranser per nät'!Z$1,FALSE)/VLOOKUP($B45,Korrigeringsfaktor_GD,'Korrigeringsfaktor GD'!Z$1,FALSE),
"")</f>
        <v>12.937692307692307</v>
      </c>
      <c r="AA45" s="18">
        <f>IFERROR(
                  Andel_oberoende_av_klimat*VLOOKUP($A45,Leveranser_per_nät,'Leveranser per nät'!AA$1,FALSE)
               +Andel_beroende_av_klimat*VLOOKUP($A45,Leveranser_per_nät,'Leveranser per nät'!AA$1,FALSE)/VLOOKUP($B45,Korrigeringsfaktor_GD,'Korrigeringsfaktor GD'!AA$1,FALSE),
"")</f>
        <v>13.910584615384616</v>
      </c>
      <c r="AB45" s="18">
        <f>IFERROR(
                  Andel_oberoende_av_klimat*VLOOKUP($A45,Leveranser_per_nät,'Leveranser per nät'!AB$1,FALSE)
               +Andel_beroende_av_klimat*VLOOKUP($A45,Leveranser_per_nät,'Leveranser per nät'!AB$1,FALSE)/VLOOKUP($B45,Korrigeringsfaktor_GD,'Korrigeringsfaktor GD'!AB$1,FALSE),
"")</f>
        <v>13.420679611650485</v>
      </c>
      <c r="AC45" s="18">
        <f>IFERROR(
                  Andel_oberoende_av_klimat*VLOOKUP($A45,Leveranser_per_nät,'Leveranser per nät'!AC$1,FALSE)
               +Andel_beroende_av_klimat*VLOOKUP($A45,Leveranser_per_nät,'Leveranser per nät'!AC$1,FALSE)/VLOOKUP($B45,Korrigeringsfaktor_GD,'Korrigeringsfaktor GD'!AC$1,FALSE),
"")</f>
        <v>12.658946259220231</v>
      </c>
      <c r="AD45">
        <v>12.2</v>
      </c>
    </row>
    <row r="46" spans="1:30" x14ac:dyDescent="0.25">
      <c r="A46" t="s">
        <v>30</v>
      </c>
      <c r="B46" t="s">
        <v>30</v>
      </c>
      <c r="C46" s="18">
        <f>IFERROR(
                  Andel_oberoende_av_klimat*VLOOKUP($A46,Leveranser_per_nät,'Leveranser per nät'!C$1,FALSE)
               +Andel_beroende_av_klimat*VLOOKUP($A46,Leveranser_per_nät,'Leveranser per nät'!C$1,FALSE)/VLOOKUP($B46,Korrigeringsfaktor_GD,'Korrigeringsfaktor GD'!C$1,FALSE),
"")</f>
        <v>0</v>
      </c>
      <c r="D46" s="18">
        <f>IFERROR(
                  Andel_oberoende_av_klimat*VLOOKUP($A46,Leveranser_per_nät,'Leveranser per nät'!D$1,FALSE)
               +Andel_beroende_av_klimat*VLOOKUP($A46,Leveranser_per_nät,'Leveranser per nät'!D$1,FALSE)/VLOOKUP($B46,Korrigeringsfaktor_GD,'Korrigeringsfaktor GD'!D$1,FALSE),
"")</f>
        <v>0</v>
      </c>
      <c r="E46" s="18">
        <f>IFERROR(
                  Andel_oberoende_av_klimat*VLOOKUP($A46,Leveranser_per_nät,'Leveranser per nät'!E$1,FALSE)
               +Andel_beroende_av_klimat*VLOOKUP($A46,Leveranser_per_nät,'Leveranser per nät'!E$1,FALSE)/VLOOKUP($B46,Korrigeringsfaktor_GD,'Korrigeringsfaktor GD'!E$1,FALSE),
"")</f>
        <v>0</v>
      </c>
      <c r="F46" s="18">
        <f>IFERROR(
                  Andel_oberoende_av_klimat*VLOOKUP($A46,Leveranser_per_nät,'Leveranser per nät'!F$1,FALSE)
               +Andel_beroende_av_klimat*VLOOKUP($A46,Leveranser_per_nät,'Leveranser per nät'!F$1,FALSE)/VLOOKUP($B46,Korrigeringsfaktor_GD,'Korrigeringsfaktor GD'!F$1,FALSE),
"")</f>
        <v>10.446808510638299</v>
      </c>
      <c r="G46" s="18">
        <f>IFERROR(
                  Andel_oberoende_av_klimat*VLOOKUP($A46,Leveranser_per_nät,'Leveranser per nät'!G$1,FALSE)
               +Andel_beroende_av_klimat*VLOOKUP($A46,Leveranser_per_nät,'Leveranser per nät'!G$1,FALSE)/VLOOKUP($B46,Korrigeringsfaktor_GD,'Korrigeringsfaktor GD'!G$1,FALSE),
"")</f>
        <v>39.765517241379314</v>
      </c>
      <c r="H46" s="18">
        <f>IFERROR(
                  Andel_oberoende_av_klimat*VLOOKUP($A46,Leveranser_per_nät,'Leveranser per nät'!H$1,FALSE)
               +Andel_beroende_av_klimat*VLOOKUP($A46,Leveranser_per_nät,'Leveranser per nät'!H$1,FALSE)/VLOOKUP($B46,Korrigeringsfaktor_GD,'Korrigeringsfaktor GD'!H$1,FALSE),
"")</f>
        <v>47.332323232323233</v>
      </c>
      <c r="I46" s="18">
        <f>IFERROR(
                  Andel_oberoende_av_klimat*VLOOKUP($A46,Leveranser_per_nät,'Leveranser per nät'!I$1,FALSE)
               +Andel_beroende_av_klimat*VLOOKUP($A46,Leveranser_per_nät,'Leveranser per nät'!I$1,FALSE)/VLOOKUP($B46,Korrigeringsfaktor_GD,'Korrigeringsfaktor GD'!I$1,FALSE),
"")</f>
        <v>51.189361702127663</v>
      </c>
      <c r="J46" s="18">
        <f>IFERROR(
                  Andel_oberoende_av_klimat*VLOOKUP($A46,Leveranser_per_nät,'Leveranser per nät'!J$1,FALSE)
               +Andel_beroende_av_klimat*VLOOKUP($A46,Leveranser_per_nät,'Leveranser per nät'!J$1,FALSE)/VLOOKUP($B46,Korrigeringsfaktor_GD,'Korrigeringsfaktor GD'!J$1,FALSE),
"")</f>
        <v>51.728571428571428</v>
      </c>
      <c r="K46" s="18">
        <f>IFERROR(
                  Andel_oberoende_av_klimat*VLOOKUP($A46,Leveranser_per_nät,'Leveranser per nät'!K$1,FALSE)
               +Andel_beroende_av_klimat*VLOOKUP($A46,Leveranser_per_nät,'Leveranser per nät'!K$1,FALSE)/VLOOKUP($B46,Korrigeringsfaktor_GD,'Korrigeringsfaktor GD'!K$1,FALSE),
"")</f>
        <v>50.256</v>
      </c>
      <c r="L46" s="18">
        <f>IFERROR(
                  Andel_oberoende_av_klimat*VLOOKUP($A46,Leveranser_per_nät,'Leveranser per nät'!L$1,FALSE)
               +Andel_beroende_av_klimat*VLOOKUP($A46,Leveranser_per_nät,'Leveranser per nät'!L$1,FALSE)/VLOOKUP($B46,Korrigeringsfaktor_GD,'Korrigeringsfaktor GD'!L$1,FALSE),
"")</f>
        <v>49.530614285714286</v>
      </c>
      <c r="M46" s="18">
        <f>IFERROR(
                  Andel_oberoende_av_klimat*VLOOKUP($A46,Leveranser_per_nät,'Leveranser per nät'!M$1,FALSE)
               +Andel_beroende_av_klimat*VLOOKUP($A46,Leveranser_per_nät,'Leveranser per nät'!M$1,FALSE)/VLOOKUP($B46,Korrigeringsfaktor_GD,'Korrigeringsfaktor GD'!M$1,FALSE),
"")</f>
        <v>50.980425531914889</v>
      </c>
      <c r="N46" s="18">
        <f>IFERROR(
                  Andel_oberoende_av_klimat*VLOOKUP($A46,Leveranser_per_nät,'Leveranser per nät'!N$1,FALSE)
               +Andel_beroende_av_klimat*VLOOKUP($A46,Leveranser_per_nät,'Leveranser per nät'!N$1,FALSE)/VLOOKUP($B46,Korrigeringsfaktor_GD,'Korrigeringsfaktor GD'!N$1,FALSE),
"")</f>
        <v>51.733333333333334</v>
      </c>
      <c r="O46" s="18">
        <f>IFERROR(
                  Andel_oberoende_av_klimat*VLOOKUP($A46,Leveranser_per_nät,'Leveranser per nät'!O$1,FALSE)
               +Andel_beroende_av_klimat*VLOOKUP($A46,Leveranser_per_nät,'Leveranser per nät'!O$1,FALSE)/VLOOKUP($B46,Korrigeringsfaktor_GD,'Korrigeringsfaktor GD'!O$1,FALSE),
"")</f>
        <v>49.762471910112353</v>
      </c>
      <c r="P46" s="18">
        <f>IFERROR(
                  Andel_oberoende_av_klimat*VLOOKUP($A46,Leveranser_per_nät,'Leveranser per nät'!P$1,FALSE)
               +Andel_beroende_av_klimat*VLOOKUP($A46,Leveranser_per_nät,'Leveranser per nät'!P$1,FALSE)/VLOOKUP($B46,Korrigeringsfaktor_GD,'Korrigeringsfaktor GD'!P$1,FALSE),
"")</f>
        <v>44.425714285714278</v>
      </c>
      <c r="Q46" s="18">
        <f>IFERROR(
                  Andel_oberoende_av_klimat*VLOOKUP($A46,Leveranser_per_nät,'Leveranser per nät'!Q$1,FALSE)
               +Andel_beroende_av_klimat*VLOOKUP($A46,Leveranser_per_nät,'Leveranser per nät'!Q$1,FALSE)/VLOOKUP($B46,Korrigeringsfaktor_GD,'Korrigeringsfaktor GD'!Q$1,FALSE),
"")</f>
        <v>44.253478260869571</v>
      </c>
      <c r="R46" s="18">
        <f>IFERROR(
                  Andel_oberoende_av_klimat*VLOOKUP($A46,Leveranser_per_nät,'Leveranser per nät'!R$1,FALSE)
               +Andel_beroende_av_klimat*VLOOKUP($A46,Leveranser_per_nät,'Leveranser per nät'!R$1,FALSE)/VLOOKUP($B46,Korrigeringsfaktor_GD,'Korrigeringsfaktor GD'!R$1,FALSE),
"")</f>
        <v>43.265483870967742</v>
      </c>
      <c r="S46" s="18">
        <f>IFERROR(
                  Andel_oberoende_av_klimat*VLOOKUP($A46,Leveranser_per_nät,'Leveranser per nät'!S$1,FALSE)
               +Andel_beroende_av_klimat*VLOOKUP($A46,Leveranser_per_nät,'Leveranser per nät'!S$1,FALSE)/VLOOKUP($B46,Korrigeringsfaktor_GD,'Korrigeringsfaktor GD'!S$1,FALSE),
"")</f>
        <v>38.729702970297026</v>
      </c>
      <c r="T46" s="18">
        <f>IFERROR(
                  Andel_oberoende_av_klimat*VLOOKUP($A46,Leveranser_per_nät,'Leveranser per nät'!T$1,FALSE)
               +Andel_beroende_av_klimat*VLOOKUP($A46,Leveranser_per_nät,'Leveranser per nät'!T$1,FALSE)/VLOOKUP($B46,Korrigeringsfaktor_GD,'Korrigeringsfaktor GD'!T$1,FALSE),
"")</f>
        <v>40.47</v>
      </c>
      <c r="U46" s="18">
        <f>IFERROR(
                  Andel_oberoende_av_klimat*VLOOKUP($A46,Leveranser_per_nät,'Leveranser per nät'!U$1,FALSE)
               +Andel_beroende_av_klimat*VLOOKUP($A46,Leveranser_per_nät,'Leveranser per nät'!U$1,FALSE)/VLOOKUP($B46,Korrigeringsfaktor_GD,'Korrigeringsfaktor GD'!U$1,FALSE),
"")</f>
        <v>39.789397590361446</v>
      </c>
      <c r="V46" s="18">
        <f>IFERROR(
                  Andel_oberoende_av_klimat*VLOOKUP($A46,Leveranser_per_nät,'Leveranser per nät'!V$1,FALSE)
               +Andel_beroende_av_klimat*VLOOKUP($A46,Leveranser_per_nät,'Leveranser per nät'!V$1,FALSE)/VLOOKUP($B46,Korrigeringsfaktor_GD,'Korrigeringsfaktor GD'!V$1,FALSE),
"")</f>
        <v>37.026363636363634</v>
      </c>
      <c r="W46" s="18">
        <f>IFERROR(
                  Andel_oberoende_av_klimat*VLOOKUP($A46,Leveranser_per_nät,'Leveranser per nät'!W$1,FALSE)
               +Andel_beroende_av_klimat*VLOOKUP($A46,Leveranser_per_nät,'Leveranser per nät'!W$1,FALSE)/VLOOKUP($B46,Korrigeringsfaktor_GD,'Korrigeringsfaktor GD'!W$1,FALSE),
"")</f>
        <v>37.370430107526879</v>
      </c>
      <c r="X46" s="18">
        <f>IFERROR(
                  Andel_oberoende_av_klimat*VLOOKUP($A46,Leveranser_per_nät,'Leveranser per nät'!X$1,FALSE)
               +Andel_beroende_av_klimat*VLOOKUP($A46,Leveranser_per_nät,'Leveranser per nät'!X$1,FALSE)/VLOOKUP($B46,Korrigeringsfaktor_GD,'Korrigeringsfaktor GD'!X$1,FALSE),
"")</f>
        <v>39.775384615384617</v>
      </c>
      <c r="Y46" s="18">
        <f>IFERROR(
                  Andel_oberoende_av_klimat*VLOOKUP($A46,Leveranser_per_nät,'Leveranser per nät'!Y$1,FALSE)
               +Andel_beroende_av_klimat*VLOOKUP($A46,Leveranser_per_nät,'Leveranser per nät'!Y$1,FALSE)/VLOOKUP($B46,Korrigeringsfaktor_GD,'Korrigeringsfaktor GD'!Y$1,FALSE),
"")</f>
        <v>39.766516853932586</v>
      </c>
      <c r="Z46" s="18">
        <f>IFERROR(
                  Andel_oberoende_av_klimat*VLOOKUP($A46,Leveranser_per_nät,'Leveranser per nät'!Z$1,FALSE)
               +Andel_beroende_av_klimat*VLOOKUP($A46,Leveranser_per_nät,'Leveranser per nät'!Z$1,FALSE)/VLOOKUP($B46,Korrigeringsfaktor_GD,'Korrigeringsfaktor GD'!Z$1,FALSE),
"")</f>
        <v>35.300416666666663</v>
      </c>
      <c r="AA46" s="18">
        <f>IFERROR(
                  Andel_oberoende_av_klimat*VLOOKUP($A46,Leveranser_per_nät,'Leveranser per nät'!AA$1,FALSE)
               +Andel_beroende_av_klimat*VLOOKUP($A46,Leveranser_per_nät,'Leveranser per nät'!AA$1,FALSE)/VLOOKUP($B46,Korrigeringsfaktor_GD,'Korrigeringsfaktor GD'!AA$1,FALSE),
"")</f>
        <v>35.522666527458753</v>
      </c>
      <c r="AB46" s="18">
        <f>IFERROR(
                  Andel_oberoende_av_klimat*VLOOKUP($A46,Leveranser_per_nät,'Leveranser per nät'!AB$1,FALSE)
               +Andel_beroende_av_klimat*VLOOKUP($A46,Leveranser_per_nät,'Leveranser per nät'!AB$1,FALSE)/VLOOKUP($B46,Korrigeringsfaktor_GD,'Korrigeringsfaktor GD'!AB$1,FALSE),
"")</f>
        <v>35.325882352941179</v>
      </c>
      <c r="AC46" s="18">
        <f>IFERROR(
                  Andel_oberoende_av_klimat*VLOOKUP($A46,Leveranser_per_nät,'Leveranser per nät'!AC$1,FALSE)
               +Andel_beroende_av_klimat*VLOOKUP($A46,Leveranser_per_nät,'Leveranser per nät'!AC$1,FALSE)/VLOOKUP($B46,Korrigeringsfaktor_GD,'Korrigeringsfaktor GD'!AC$1,FALSE),
"")</f>
        <v>35.062829508196714</v>
      </c>
      <c r="AD46" t="s">
        <v>805</v>
      </c>
    </row>
    <row r="47" spans="1:30" x14ac:dyDescent="0.25">
      <c r="A47" t="s">
        <v>31</v>
      </c>
      <c r="B47" s="41" t="s">
        <v>370</v>
      </c>
      <c r="C47" s="18">
        <f>IFERROR(
                  Andel_oberoende_av_klimat*VLOOKUP($A47,Leveranser_per_nät,'Leveranser per nät'!C$1,FALSE)
               +Andel_beroende_av_klimat*VLOOKUP($A47,Leveranser_per_nät,'Leveranser per nät'!C$1,FALSE)/VLOOKUP($B47,Korrigeringsfaktor_GD,'Korrigeringsfaktor GD'!C$1,FALSE),
"")</f>
        <v>16.017431192660549</v>
      </c>
      <c r="D47" s="18">
        <f>IFERROR(
                  Andel_oberoende_av_klimat*VLOOKUP($A47,Leveranser_per_nät,'Leveranser per nät'!D$1,FALSE)
               +Andel_beroende_av_klimat*VLOOKUP($A47,Leveranser_per_nät,'Leveranser per nät'!D$1,FALSE)/VLOOKUP($B47,Korrigeringsfaktor_GD,'Korrigeringsfaktor GD'!D$1,FALSE),
"")</f>
        <v>17.128631578947367</v>
      </c>
      <c r="E47" s="18">
        <f>IFERROR(
                  Andel_oberoende_av_klimat*VLOOKUP($A47,Leveranser_per_nät,'Leveranser per nät'!E$1,FALSE)
               +Andel_beroende_av_klimat*VLOOKUP($A47,Leveranser_per_nät,'Leveranser per nät'!E$1,FALSE)/VLOOKUP($B47,Korrigeringsfaktor_GD,'Korrigeringsfaktor GD'!E$1,FALSE),
"")</f>
        <v>16</v>
      </c>
      <c r="F47" s="18">
        <f>IFERROR(
                  Andel_oberoende_av_klimat*VLOOKUP($A47,Leveranser_per_nät,'Leveranser per nät'!F$1,FALSE)
               +Andel_beroende_av_klimat*VLOOKUP($A47,Leveranser_per_nät,'Leveranser per nät'!F$1,FALSE)/VLOOKUP($B47,Korrigeringsfaktor_GD,'Korrigeringsfaktor GD'!F$1,FALSE),
"")</f>
        <v>15.106060606060606</v>
      </c>
      <c r="G47" s="18">
        <f>IFERROR(
                  Andel_oberoende_av_klimat*VLOOKUP($A47,Leveranser_per_nät,'Leveranser per nät'!G$1,FALSE)
               +Andel_beroende_av_klimat*VLOOKUP($A47,Leveranser_per_nät,'Leveranser per nät'!G$1,FALSE)/VLOOKUP($B47,Korrigeringsfaktor_GD,'Korrigeringsfaktor GD'!G$1,FALSE),
"")</f>
        <v>15.913043478260871</v>
      </c>
      <c r="H47" s="18">
        <f>IFERROR(
                  Andel_oberoende_av_klimat*VLOOKUP($A47,Leveranser_per_nät,'Leveranser per nät'!H$1,FALSE)
               +Andel_beroende_av_klimat*VLOOKUP($A47,Leveranser_per_nät,'Leveranser per nät'!H$1,FALSE)/VLOOKUP($B47,Korrigeringsfaktor_GD,'Korrigeringsfaktor GD'!H$1,FALSE),
"")</f>
        <v>15.780392156862744</v>
      </c>
      <c r="I47" s="18">
        <f>IFERROR(
                  Andel_oberoende_av_klimat*VLOOKUP($A47,Leveranser_per_nät,'Leveranser per nät'!I$1,FALSE)
               +Andel_beroende_av_klimat*VLOOKUP($A47,Leveranser_per_nät,'Leveranser per nät'!I$1,FALSE)/VLOOKUP($B47,Korrigeringsfaktor_GD,'Korrigeringsfaktor GD'!I$1,FALSE),
"")</f>
        <v>16.346391752577318</v>
      </c>
      <c r="J47" s="18">
        <f>IFERROR(
                  Andel_oberoende_av_klimat*VLOOKUP($A47,Leveranser_per_nät,'Leveranser per nät'!J$1,FALSE)
               +Andel_beroende_av_klimat*VLOOKUP($A47,Leveranser_per_nät,'Leveranser per nät'!J$1,FALSE)/VLOOKUP($B47,Korrigeringsfaktor_GD,'Korrigeringsfaktor GD'!J$1,FALSE),
"")</f>
        <v>16.346391752577318</v>
      </c>
      <c r="K47" s="18">
        <f>IFERROR(
                  Andel_oberoende_av_klimat*VLOOKUP($A47,Leveranser_per_nät,'Leveranser per nät'!K$1,FALSE)
               +Andel_beroende_av_klimat*VLOOKUP($A47,Leveranser_per_nät,'Leveranser per nät'!K$1,FALSE)/VLOOKUP($B47,Korrigeringsfaktor_GD,'Korrigeringsfaktor GD'!K$1,FALSE),
"")</f>
        <v>16.493425000000002</v>
      </c>
      <c r="L47" s="18">
        <f>IFERROR(
                  Andel_oberoende_av_klimat*VLOOKUP($A47,Leveranser_per_nät,'Leveranser per nät'!L$1,FALSE)
               +Andel_beroende_av_klimat*VLOOKUP($A47,Leveranser_per_nät,'Leveranser per nät'!L$1,FALSE)/VLOOKUP($B47,Korrigeringsfaktor_GD,'Korrigeringsfaktor GD'!L$1,FALSE),
"")</f>
        <v>16.292842553191491</v>
      </c>
      <c r="M47" s="18">
        <f>IFERROR(
                  Andel_oberoende_av_klimat*VLOOKUP($A47,Leveranser_per_nät,'Leveranser per nät'!M$1,FALSE)
               +Andel_beroende_av_klimat*VLOOKUP($A47,Leveranser_per_nät,'Leveranser per nät'!M$1,FALSE)/VLOOKUP($B47,Korrigeringsfaktor_GD,'Korrigeringsfaktor GD'!M$1,FALSE),
"")</f>
        <v>12.958122222222222</v>
      </c>
      <c r="N47" s="18">
        <f>IFERROR(
                  Andel_oberoende_av_klimat*VLOOKUP($A47,Leveranser_per_nät,'Leveranser per nät'!N$1,FALSE)
               +Andel_beroende_av_klimat*VLOOKUP($A47,Leveranser_per_nät,'Leveranser per nät'!N$1,FALSE)/VLOOKUP($B47,Korrigeringsfaktor_GD,'Korrigeringsfaktor GD'!N$1,FALSE),
"")</f>
        <v>15.095638297872339</v>
      </c>
      <c r="O47" s="18">
        <f>IFERROR(
                  Andel_oberoende_av_klimat*VLOOKUP($A47,Leveranser_per_nät,'Leveranser per nät'!O$1,FALSE)
               +Andel_beroende_av_klimat*VLOOKUP($A47,Leveranser_per_nät,'Leveranser per nät'!O$1,FALSE)/VLOOKUP($B47,Korrigeringsfaktor_GD,'Korrigeringsfaktor GD'!O$1,FALSE),
"")</f>
        <v>14.982368421052632</v>
      </c>
      <c r="P47" s="18">
        <f>IFERROR(
                  Andel_oberoende_av_klimat*VLOOKUP($A47,Leveranser_per_nät,'Leveranser per nät'!P$1,FALSE)
               +Andel_beroende_av_klimat*VLOOKUP($A47,Leveranser_per_nät,'Leveranser per nät'!P$1,FALSE)/VLOOKUP($B47,Korrigeringsfaktor_GD,'Korrigeringsfaktor GD'!P$1,FALSE),
"")</f>
        <v>17</v>
      </c>
      <c r="Q47" s="18">
        <f>IFERROR(
                  Andel_oberoende_av_klimat*VLOOKUP($A47,Leveranser_per_nät,'Leveranser per nät'!Q$1,FALSE)
               +Andel_beroende_av_klimat*VLOOKUP($A47,Leveranser_per_nät,'Leveranser per nät'!Q$1,FALSE)/VLOOKUP($B47,Korrigeringsfaktor_GD,'Korrigeringsfaktor GD'!Q$1,FALSE),
"")</f>
        <v>16.178421052631577</v>
      </c>
      <c r="R47" s="18">
        <f>IFERROR(
                  Andel_oberoende_av_klimat*VLOOKUP($A47,Leveranser_per_nät,'Leveranser per nät'!R$1,FALSE)
               +Andel_beroende_av_klimat*VLOOKUP($A47,Leveranser_per_nät,'Leveranser per nät'!R$1,FALSE)/VLOOKUP($B47,Korrigeringsfaktor_GD,'Korrigeringsfaktor GD'!R$1,FALSE),
"")</f>
        <v>15.396923076923077</v>
      </c>
      <c r="S47" s="18">
        <f>IFERROR(
                  Andel_oberoende_av_klimat*VLOOKUP($A47,Leveranser_per_nät,'Leveranser per nät'!S$1,FALSE)
               +Andel_beroende_av_klimat*VLOOKUP($A47,Leveranser_per_nät,'Leveranser per nät'!S$1,FALSE)/VLOOKUP($B47,Korrigeringsfaktor_GD,'Korrigeringsfaktor GD'!S$1,FALSE),
"")</f>
        <v>16.5</v>
      </c>
      <c r="T47" s="18">
        <f>IFERROR(
                  Andel_oberoende_av_klimat*VLOOKUP($A47,Leveranser_per_nät,'Leveranser per nät'!T$1,FALSE)
               +Andel_beroende_av_klimat*VLOOKUP($A47,Leveranser_per_nät,'Leveranser per nät'!T$1,FALSE)/VLOOKUP($B47,Korrigeringsfaktor_GD,'Korrigeringsfaktor GD'!T$1,FALSE),
"")</f>
        <v>16.981250000000003</v>
      </c>
      <c r="U47" s="18">
        <f>IFERROR(
                  Andel_oberoende_av_klimat*VLOOKUP($A47,Leveranser_per_nät,'Leveranser per nät'!U$1,FALSE)
               +Andel_beroende_av_klimat*VLOOKUP($A47,Leveranser_per_nät,'Leveranser per nät'!U$1,FALSE)/VLOOKUP($B47,Korrigeringsfaktor_GD,'Korrigeringsfaktor GD'!U$1,FALSE),
"")</f>
        <v>15.884090909090908</v>
      </c>
      <c r="V47" s="18">
        <f>IFERROR(
                  Andel_oberoende_av_klimat*VLOOKUP($A47,Leveranser_per_nät,'Leveranser per nät'!V$1,FALSE)
               +Andel_beroende_av_klimat*VLOOKUP($A47,Leveranser_per_nät,'Leveranser per nät'!V$1,FALSE)/VLOOKUP($B47,Korrigeringsfaktor_GD,'Korrigeringsfaktor GD'!V$1,FALSE),
"")</f>
        <v>16.103181818181817</v>
      </c>
      <c r="W47" s="18">
        <f>IFERROR(
                  Andel_oberoende_av_klimat*VLOOKUP($A47,Leveranser_per_nät,'Leveranser per nät'!W$1,FALSE)
               +Andel_beroende_av_klimat*VLOOKUP($A47,Leveranser_per_nät,'Leveranser per nät'!W$1,FALSE)/VLOOKUP($B47,Korrigeringsfaktor_GD,'Korrigeringsfaktor GD'!W$1,FALSE),
"")</f>
        <v>17.186086956521738</v>
      </c>
      <c r="X47" s="18">
        <f>IFERROR(
                  Andel_oberoende_av_klimat*VLOOKUP($A47,Leveranser_per_nät,'Leveranser per nät'!X$1,FALSE)
               +Andel_beroende_av_klimat*VLOOKUP($A47,Leveranser_per_nät,'Leveranser per nät'!X$1,FALSE)/VLOOKUP($B47,Korrigeringsfaktor_GD,'Korrigeringsfaktor GD'!X$1,FALSE),
"")</f>
        <v>18.699787234042553</v>
      </c>
      <c r="Y47" s="18">
        <f>IFERROR(
                  Andel_oberoende_av_klimat*VLOOKUP($A47,Leveranser_per_nät,'Leveranser per nät'!Y$1,FALSE)
               +Andel_beroende_av_klimat*VLOOKUP($A47,Leveranser_per_nät,'Leveranser per nät'!Y$1,FALSE)/VLOOKUP($B47,Korrigeringsfaktor_GD,'Korrigeringsfaktor GD'!Y$1,FALSE),
"")</f>
        <v>19.013191489361702</v>
      </c>
      <c r="Z47" s="18">
        <f>IFERROR(
                  Andel_oberoende_av_klimat*VLOOKUP($A47,Leveranser_per_nät,'Leveranser per nät'!Z$1,FALSE)
               +Andel_beroende_av_klimat*VLOOKUP($A47,Leveranser_per_nät,'Leveranser per nät'!Z$1,FALSE)/VLOOKUP($B47,Korrigeringsfaktor_GD,'Korrigeringsfaktor GD'!Z$1,FALSE),
"")</f>
        <v>16.187531818181817</v>
      </c>
      <c r="AA47" s="18">
        <f>IFERROR(
                  Andel_oberoende_av_klimat*VLOOKUP($A47,Leveranser_per_nät,'Leveranser per nät'!AA$1,FALSE)
               +Andel_beroende_av_klimat*VLOOKUP($A47,Leveranser_per_nät,'Leveranser per nät'!AA$1,FALSE)/VLOOKUP($B47,Korrigeringsfaktor_GD,'Korrigeringsfaktor GD'!AA$1,FALSE),
"")</f>
        <v>19.323819201121236</v>
      </c>
      <c r="AB47" s="18">
        <f>IFERROR(
                  Andel_oberoende_av_klimat*VLOOKUP($A47,Leveranser_per_nät,'Leveranser per nät'!AB$1,FALSE)
               +Andel_beroende_av_klimat*VLOOKUP($A47,Leveranser_per_nät,'Leveranser per nät'!AB$1,FALSE)/VLOOKUP($B47,Korrigeringsfaktor_GD,'Korrigeringsfaktor GD'!AB$1,FALSE),
"")</f>
        <v>15.520006299212598</v>
      </c>
      <c r="AC47" s="18">
        <f>IFERROR(
                  Andel_oberoende_av_klimat*VLOOKUP($A47,Leveranser_per_nät,'Leveranser per nät'!AC$1,FALSE)
               +Andel_beroende_av_klimat*VLOOKUP($A47,Leveranser_per_nät,'Leveranser per nät'!AC$1,FALSE)/VLOOKUP($B47,Korrigeringsfaktor_GD,'Korrigeringsfaktor GD'!AC$1,FALSE),
"")</f>
        <v>14.876638766980147</v>
      </c>
      <c r="AD47">
        <v>21.763000000000002</v>
      </c>
    </row>
    <row r="48" spans="1:30" x14ac:dyDescent="0.25">
      <c r="A48" t="s">
        <v>250</v>
      </c>
      <c r="B48" t="s">
        <v>507</v>
      </c>
      <c r="C48" s="18">
        <f>IFERROR(
                  Andel_oberoende_av_klimat*VLOOKUP($A48,Leveranser_per_nät,'Leveranser per nät'!C$1,FALSE)
               +Andel_beroende_av_klimat*VLOOKUP($A48,Leveranser_per_nät,'Leveranser per nät'!C$1,FALSE)/VLOOKUP($B48,Korrigeringsfaktor_GD,'Korrigeringsfaktor GD'!C$1,FALSE),
"")</f>
        <v>0</v>
      </c>
      <c r="D48" s="18">
        <f>IFERROR(
                  Andel_oberoende_av_klimat*VLOOKUP($A48,Leveranser_per_nät,'Leveranser per nät'!D$1,FALSE)
               +Andel_beroende_av_klimat*VLOOKUP($A48,Leveranser_per_nät,'Leveranser per nät'!D$1,FALSE)/VLOOKUP($B48,Korrigeringsfaktor_GD,'Korrigeringsfaktor GD'!D$1,FALSE),
"")</f>
        <v>0</v>
      </c>
      <c r="E48" s="18">
        <f>IFERROR(
                  Andel_oberoende_av_klimat*VLOOKUP($A48,Leveranser_per_nät,'Leveranser per nät'!E$1,FALSE)
               +Andel_beroende_av_klimat*VLOOKUP($A48,Leveranser_per_nät,'Leveranser per nät'!E$1,FALSE)/VLOOKUP($B48,Korrigeringsfaktor_GD,'Korrigeringsfaktor GD'!E$1,FALSE),
"")</f>
        <v>0</v>
      </c>
      <c r="F48" s="18">
        <f>IFERROR(
                  Andel_oberoende_av_klimat*VLOOKUP($A48,Leveranser_per_nät,'Leveranser per nät'!F$1,FALSE)
               +Andel_beroende_av_klimat*VLOOKUP($A48,Leveranser_per_nät,'Leveranser per nät'!F$1,FALSE)/VLOOKUP($B48,Korrigeringsfaktor_GD,'Korrigeringsfaktor GD'!F$1,FALSE),
"")</f>
        <v>0</v>
      </c>
      <c r="G48" s="18">
        <f>IFERROR(
                  Andel_oberoende_av_klimat*VLOOKUP($A48,Leveranser_per_nät,'Leveranser per nät'!G$1,FALSE)
               +Andel_beroende_av_klimat*VLOOKUP($A48,Leveranser_per_nät,'Leveranser per nät'!G$1,FALSE)/VLOOKUP($B48,Korrigeringsfaktor_GD,'Korrigeringsfaktor GD'!G$1,FALSE),
"")</f>
        <v>0</v>
      </c>
      <c r="H48" s="18">
        <f>IFERROR(
                  Andel_oberoende_av_klimat*VLOOKUP($A48,Leveranser_per_nät,'Leveranser per nät'!H$1,FALSE)
               +Andel_beroende_av_klimat*VLOOKUP($A48,Leveranser_per_nät,'Leveranser per nät'!H$1,FALSE)/VLOOKUP($B48,Korrigeringsfaktor_GD,'Korrigeringsfaktor GD'!H$1,FALSE),
"")</f>
        <v>0</v>
      </c>
      <c r="I48" s="18">
        <f>IFERROR(
                  Andel_oberoende_av_klimat*VLOOKUP($A48,Leveranser_per_nät,'Leveranser per nät'!I$1,FALSE)
               +Andel_beroende_av_klimat*VLOOKUP($A48,Leveranser_per_nät,'Leveranser per nät'!I$1,FALSE)/VLOOKUP($B48,Korrigeringsfaktor_GD,'Korrigeringsfaktor GD'!I$1,FALSE),
"")</f>
        <v>0</v>
      </c>
      <c r="J48" s="18">
        <f>IFERROR(
                  Andel_oberoende_av_klimat*VLOOKUP($A48,Leveranser_per_nät,'Leveranser per nät'!J$1,FALSE)
               +Andel_beroende_av_klimat*VLOOKUP($A48,Leveranser_per_nät,'Leveranser per nät'!J$1,FALSE)/VLOOKUP($B48,Korrigeringsfaktor_GD,'Korrigeringsfaktor GD'!J$1,FALSE),
"")</f>
        <v>0</v>
      </c>
      <c r="K48" s="18">
        <f>IFERROR(
                  Andel_oberoende_av_klimat*VLOOKUP($A48,Leveranser_per_nät,'Leveranser per nät'!K$1,FALSE)
               +Andel_beroende_av_klimat*VLOOKUP($A48,Leveranser_per_nät,'Leveranser per nät'!K$1,FALSE)/VLOOKUP($B48,Korrigeringsfaktor_GD,'Korrigeringsfaktor GD'!K$1,FALSE),
"")</f>
        <v>0</v>
      </c>
      <c r="L48" s="18">
        <f>IFERROR(
                  Andel_oberoende_av_klimat*VLOOKUP($A48,Leveranser_per_nät,'Leveranser per nät'!L$1,FALSE)
               +Andel_beroende_av_klimat*VLOOKUP($A48,Leveranser_per_nät,'Leveranser per nät'!L$1,FALSE)/VLOOKUP($B48,Korrigeringsfaktor_GD,'Korrigeringsfaktor GD'!L$1,FALSE),
"")</f>
        <v>0</v>
      </c>
      <c r="M48" s="18">
        <f>IFERROR(
                  Andel_oberoende_av_klimat*VLOOKUP($A48,Leveranser_per_nät,'Leveranser per nät'!M$1,FALSE)
               +Andel_beroende_av_klimat*VLOOKUP($A48,Leveranser_per_nät,'Leveranser per nät'!M$1,FALSE)/VLOOKUP($B48,Korrigeringsfaktor_GD,'Korrigeringsfaktor GD'!M$1,FALSE),
"")</f>
        <v>30.485849462365589</v>
      </c>
      <c r="N48" s="18">
        <f>IFERROR(
                  Andel_oberoende_av_klimat*VLOOKUP($A48,Leveranser_per_nät,'Leveranser per nät'!N$1,FALSE)
               +Andel_beroende_av_klimat*VLOOKUP($A48,Leveranser_per_nät,'Leveranser per nät'!N$1,FALSE)/VLOOKUP($B48,Korrigeringsfaktor_GD,'Korrigeringsfaktor GD'!N$1,FALSE),
"")</f>
        <v>31.212444444444444</v>
      </c>
      <c r="O48" s="18">
        <f>IFERROR(
                  Andel_oberoende_av_klimat*VLOOKUP($A48,Leveranser_per_nät,'Leveranser per nät'!O$1,FALSE)
               +Andel_beroende_av_klimat*VLOOKUP($A48,Leveranser_per_nät,'Leveranser per nät'!O$1,FALSE)/VLOOKUP($B48,Korrigeringsfaktor_GD,'Korrigeringsfaktor GD'!O$1,FALSE),
"")</f>
        <v>31.074382022471912</v>
      </c>
      <c r="P48" s="18">
        <f>IFERROR(
                  Andel_oberoende_av_klimat*VLOOKUP($A48,Leveranser_per_nät,'Leveranser per nät'!P$1,FALSE)
               +Andel_beroende_av_klimat*VLOOKUP($A48,Leveranser_per_nät,'Leveranser per nät'!P$1,FALSE)/VLOOKUP($B48,Korrigeringsfaktor_GD,'Korrigeringsfaktor GD'!P$1,FALSE),
"")</f>
        <v>30.342989690721652</v>
      </c>
      <c r="Q48" s="18">
        <f>IFERROR(
                  Andel_oberoende_av_klimat*VLOOKUP($A48,Leveranser_per_nät,'Leveranser per nät'!Q$1,FALSE)
               +Andel_beroende_av_klimat*VLOOKUP($A48,Leveranser_per_nät,'Leveranser per nät'!Q$1,FALSE)/VLOOKUP($B48,Korrigeringsfaktor_GD,'Korrigeringsfaktor GD'!Q$1,FALSE),
"")</f>
        <v>32.64115044247788</v>
      </c>
      <c r="R48" s="18">
        <f>IFERROR(
                  Andel_oberoende_av_klimat*VLOOKUP($A48,Leveranser_per_nät,'Leveranser per nät'!R$1,FALSE)
               +Andel_beroende_av_klimat*VLOOKUP($A48,Leveranser_per_nät,'Leveranser per nät'!R$1,FALSE)/VLOOKUP($B48,Korrigeringsfaktor_GD,'Korrigeringsfaktor GD'!R$1,FALSE),
"")</f>
        <v>15.474516129032256</v>
      </c>
      <c r="S48" s="18">
        <f>IFERROR(
                  Andel_oberoende_av_klimat*VLOOKUP($A48,Leveranser_per_nät,'Leveranser per nät'!S$1,FALSE)
               +Andel_beroende_av_klimat*VLOOKUP($A48,Leveranser_per_nät,'Leveranser per nät'!S$1,FALSE)/VLOOKUP($B48,Korrigeringsfaktor_GD,'Korrigeringsfaktor GD'!S$1,FALSE),
"")</f>
        <v>14.60252525252525</v>
      </c>
      <c r="T48" s="18">
        <f>IFERROR(
                  Andel_oberoende_av_klimat*VLOOKUP($A48,Leveranser_per_nät,'Leveranser per nät'!T$1,FALSE)
               +Andel_beroende_av_klimat*VLOOKUP($A48,Leveranser_per_nät,'Leveranser per nät'!T$1,FALSE)/VLOOKUP($B48,Korrigeringsfaktor_GD,'Korrigeringsfaktor GD'!T$1,FALSE),
"")</f>
        <v>15.849166666666667</v>
      </c>
      <c r="U48" s="18">
        <f>IFERROR(
                  Andel_oberoende_av_klimat*VLOOKUP($A48,Leveranser_per_nät,'Leveranser per nät'!U$1,FALSE)
               +Andel_beroende_av_klimat*VLOOKUP($A48,Leveranser_per_nät,'Leveranser per nät'!U$1,FALSE)/VLOOKUP($B48,Korrigeringsfaktor_GD,'Korrigeringsfaktor GD'!U$1,FALSE),
"")</f>
        <v>14.959999999999999</v>
      </c>
      <c r="V48" s="18">
        <f>IFERROR(
                  Andel_oberoende_av_klimat*VLOOKUP($A48,Leveranser_per_nät,'Leveranser per nät'!V$1,FALSE)
               +Andel_beroende_av_klimat*VLOOKUP($A48,Leveranser_per_nät,'Leveranser per nät'!V$1,FALSE)/VLOOKUP($B48,Korrigeringsfaktor_GD,'Korrigeringsfaktor GD'!V$1,FALSE),
"")</f>
        <v>13.364545454545453</v>
      </c>
      <c r="W48" s="18">
        <f>IFERROR(
                  Andel_oberoende_av_klimat*VLOOKUP($A48,Leveranser_per_nät,'Leveranser per nät'!W$1,FALSE)
               +Andel_beroende_av_klimat*VLOOKUP($A48,Leveranser_per_nät,'Leveranser per nät'!W$1,FALSE)/VLOOKUP($B48,Korrigeringsfaktor_GD,'Korrigeringsfaktor GD'!W$1,FALSE),
"")</f>
        <v>15.170434782608696</v>
      </c>
      <c r="X48" s="18">
        <f>IFERROR(
                  Andel_oberoende_av_klimat*VLOOKUP($A48,Leveranser_per_nät,'Leveranser per nät'!X$1,FALSE)
               +Andel_beroende_av_klimat*VLOOKUP($A48,Leveranser_per_nät,'Leveranser per nät'!X$1,FALSE)/VLOOKUP($B48,Korrigeringsfaktor_GD,'Korrigeringsfaktor GD'!X$1,FALSE),
"")</f>
        <v>15.52</v>
      </c>
      <c r="Y48" s="18">
        <f>IFERROR(
                  Andel_oberoende_av_klimat*VLOOKUP($A48,Leveranser_per_nät,'Leveranser per nät'!Y$1,FALSE)
               +Andel_beroende_av_klimat*VLOOKUP($A48,Leveranser_per_nät,'Leveranser per nät'!Y$1,FALSE)/VLOOKUP($B48,Korrigeringsfaktor_GD,'Korrigeringsfaktor GD'!Y$1,FALSE),
"")</f>
        <v>15.86314606741573</v>
      </c>
      <c r="Z48" s="18">
        <f>IFERROR(
                  Andel_oberoende_av_klimat*VLOOKUP($A48,Leveranser_per_nät,'Leveranser per nät'!Z$1,FALSE)
               +Andel_beroende_av_klimat*VLOOKUP($A48,Leveranser_per_nät,'Leveranser per nät'!Z$1,FALSE)/VLOOKUP($B48,Korrigeringsfaktor_GD,'Korrigeringsfaktor GD'!Z$1,FALSE),
"")</f>
        <v>14.44222222222222</v>
      </c>
      <c r="AA48" s="18">
        <f>IFERROR(
                  Andel_oberoende_av_klimat*VLOOKUP($A48,Leveranser_per_nät,'Leveranser per nät'!AA$1,FALSE)
               +Andel_beroende_av_klimat*VLOOKUP($A48,Leveranser_per_nät,'Leveranser per nät'!AA$1,FALSE)/VLOOKUP($B48,Korrigeringsfaktor_GD,'Korrigeringsfaktor GD'!AA$1,FALSE),
"")</f>
        <v>15.313170731707316</v>
      </c>
      <c r="AB48" s="18">
        <f>IFERROR(
                  Andel_oberoende_av_klimat*VLOOKUP($A48,Leveranser_per_nät,'Leveranser per nät'!AB$1,FALSE)
               +Andel_beroende_av_klimat*VLOOKUP($A48,Leveranser_per_nät,'Leveranser per nät'!AB$1,FALSE)/VLOOKUP($B48,Korrigeringsfaktor_GD,'Korrigeringsfaktor GD'!AB$1,FALSE),
"")</f>
        <v>14.606830225711482</v>
      </c>
      <c r="AC48" s="18">
        <f>IFERROR(
                  Andel_oberoende_av_klimat*VLOOKUP($A48,Leveranser_per_nät,'Leveranser per nät'!AC$1,FALSE)
               +Andel_beroende_av_klimat*VLOOKUP($A48,Leveranser_per_nät,'Leveranser per nät'!AC$1,FALSE)/VLOOKUP($B48,Korrigeringsfaktor_GD,'Korrigeringsfaktor GD'!AC$1,FALSE),
"")</f>
        <v>13.915373134328359</v>
      </c>
      <c r="AD48" t="e">
        <v>#N/A</v>
      </c>
    </row>
    <row r="49" spans="1:30" x14ac:dyDescent="0.25">
      <c r="A49" t="s">
        <v>394</v>
      </c>
      <c r="B49" t="s">
        <v>160</v>
      </c>
      <c r="C49" s="18">
        <f>IFERROR(
                  Andel_oberoende_av_klimat*VLOOKUP($A49,Leveranser_per_nät,'Leveranser per nät'!C$1,FALSE)
               +Andel_beroende_av_klimat*VLOOKUP($A49,Leveranser_per_nät,'Leveranser per nät'!C$1,FALSE)/VLOOKUP($B49,Korrigeringsfaktor_GD,'Korrigeringsfaktor GD'!C$1,FALSE),
"")</f>
        <v>0</v>
      </c>
      <c r="D49" s="18">
        <f>IFERROR(
                  Andel_oberoende_av_klimat*VLOOKUP($A49,Leveranser_per_nät,'Leveranser per nät'!D$1,FALSE)
               +Andel_beroende_av_klimat*VLOOKUP($A49,Leveranser_per_nät,'Leveranser per nät'!D$1,FALSE)/VLOOKUP($B49,Korrigeringsfaktor_GD,'Korrigeringsfaktor GD'!D$1,FALSE),
"")</f>
        <v>3.2024848484848487</v>
      </c>
      <c r="E49" s="18">
        <f>IFERROR(
                  Andel_oberoende_av_klimat*VLOOKUP($A49,Leveranser_per_nät,'Leveranser per nät'!E$1,FALSE)
               +Andel_beroende_av_klimat*VLOOKUP($A49,Leveranser_per_nät,'Leveranser per nät'!E$1,FALSE)/VLOOKUP($B49,Korrigeringsfaktor_GD,'Korrigeringsfaktor GD'!E$1,FALSE),
"")</f>
        <v>8.9356376237623767</v>
      </c>
      <c r="F49" s="18">
        <f>IFERROR(
                  Andel_oberoende_av_klimat*VLOOKUP($A49,Leveranser_per_nät,'Leveranser per nät'!F$1,FALSE)
               +Andel_beroende_av_klimat*VLOOKUP($A49,Leveranser_per_nät,'Leveranser per nät'!F$1,FALSE)/VLOOKUP($B49,Korrigeringsfaktor_GD,'Korrigeringsfaktor GD'!F$1,FALSE),
"")</f>
        <v>9.4021276595744681</v>
      </c>
      <c r="G49" s="18">
        <f>IFERROR(
                  Andel_oberoende_av_klimat*VLOOKUP($A49,Leveranser_per_nät,'Leveranser per nät'!G$1,FALSE)
               +Andel_beroende_av_klimat*VLOOKUP($A49,Leveranser_per_nät,'Leveranser per nät'!G$1,FALSE)/VLOOKUP($B49,Korrigeringsfaktor_GD,'Korrigeringsfaktor GD'!G$1,FALSE),
"")</f>
        <v>0</v>
      </c>
      <c r="H49" s="18">
        <f>IFERROR(
                  Andel_oberoende_av_klimat*VLOOKUP($A49,Leveranser_per_nät,'Leveranser per nät'!H$1,FALSE)
               +Andel_beroende_av_klimat*VLOOKUP($A49,Leveranser_per_nät,'Leveranser per nät'!H$1,FALSE)/VLOOKUP($B49,Korrigeringsfaktor_GD,'Korrigeringsfaktor GD'!H$1,FALSE),
"")</f>
        <v>0</v>
      </c>
      <c r="I49" s="18">
        <f>IFERROR(
                  Andel_oberoende_av_klimat*VLOOKUP($A49,Leveranser_per_nät,'Leveranser per nät'!I$1,FALSE)
               +Andel_beroende_av_klimat*VLOOKUP($A49,Leveranser_per_nät,'Leveranser per nät'!I$1,FALSE)/VLOOKUP($B49,Korrigeringsfaktor_GD,'Korrigeringsfaktor GD'!I$1,FALSE),
"")</f>
        <v>0</v>
      </c>
      <c r="J49" s="18">
        <f>IFERROR(
                  Andel_oberoende_av_klimat*VLOOKUP($A49,Leveranser_per_nät,'Leveranser per nät'!J$1,FALSE)
               +Andel_beroende_av_klimat*VLOOKUP($A49,Leveranser_per_nät,'Leveranser per nät'!J$1,FALSE)/VLOOKUP($B49,Korrigeringsfaktor_GD,'Korrigeringsfaktor GD'!J$1,FALSE),
"")</f>
        <v>0</v>
      </c>
      <c r="K49" s="18">
        <f>IFERROR(
                  Andel_oberoende_av_klimat*VLOOKUP($A49,Leveranser_per_nät,'Leveranser per nät'!K$1,FALSE)
               +Andel_beroende_av_klimat*VLOOKUP($A49,Leveranser_per_nät,'Leveranser per nät'!K$1,FALSE)/VLOOKUP($B49,Korrigeringsfaktor_GD,'Korrigeringsfaktor GD'!K$1,FALSE),
"")</f>
        <v>0</v>
      </c>
      <c r="L49" s="18">
        <f>IFERROR(
                  Andel_oberoende_av_klimat*VLOOKUP($A49,Leveranser_per_nät,'Leveranser per nät'!L$1,FALSE)
               +Andel_beroende_av_klimat*VLOOKUP($A49,Leveranser_per_nät,'Leveranser per nät'!L$1,FALSE)/VLOOKUP($B49,Korrigeringsfaktor_GD,'Korrigeringsfaktor GD'!L$1,FALSE),
"")</f>
        <v>0</v>
      </c>
      <c r="M49" s="18">
        <f>IFERROR(
                  Andel_oberoende_av_klimat*VLOOKUP($A49,Leveranser_per_nät,'Leveranser per nät'!M$1,FALSE)
               +Andel_beroende_av_klimat*VLOOKUP($A49,Leveranser_per_nät,'Leveranser per nät'!M$1,FALSE)/VLOOKUP($B49,Korrigeringsfaktor_GD,'Korrigeringsfaktor GD'!M$1,FALSE),
"")</f>
        <v>0</v>
      </c>
      <c r="N49" s="18">
        <f>IFERROR(
                  Andel_oberoende_av_klimat*VLOOKUP($A49,Leveranser_per_nät,'Leveranser per nät'!N$1,FALSE)
               +Andel_beroende_av_klimat*VLOOKUP($A49,Leveranser_per_nät,'Leveranser per nät'!N$1,FALSE)/VLOOKUP($B49,Korrigeringsfaktor_GD,'Korrigeringsfaktor GD'!N$1,FALSE),
"")</f>
        <v>0</v>
      </c>
      <c r="O49" s="18">
        <f>IFERROR(
                  Andel_oberoende_av_klimat*VLOOKUP($A49,Leveranser_per_nät,'Leveranser per nät'!O$1,FALSE)
               +Andel_beroende_av_klimat*VLOOKUP($A49,Leveranser_per_nät,'Leveranser per nät'!O$1,FALSE)/VLOOKUP($B49,Korrigeringsfaktor_GD,'Korrigeringsfaktor GD'!O$1,FALSE),
"")</f>
        <v>0</v>
      </c>
      <c r="P49" s="18">
        <f>IFERROR(
                  Andel_oberoende_av_klimat*VLOOKUP($A49,Leveranser_per_nät,'Leveranser per nät'!P$1,FALSE)
               +Andel_beroende_av_klimat*VLOOKUP($A49,Leveranser_per_nät,'Leveranser per nät'!P$1,FALSE)/VLOOKUP($B49,Korrigeringsfaktor_GD,'Korrigeringsfaktor GD'!P$1,FALSE),
"")</f>
        <v>0</v>
      </c>
      <c r="Q49" s="18">
        <f>IFERROR(
                  Andel_oberoende_av_klimat*VLOOKUP($A49,Leveranser_per_nät,'Leveranser per nät'!Q$1,FALSE)
               +Andel_beroende_av_klimat*VLOOKUP($A49,Leveranser_per_nät,'Leveranser per nät'!Q$1,FALSE)/VLOOKUP($B49,Korrigeringsfaktor_GD,'Korrigeringsfaktor GD'!Q$1,FALSE),
"")</f>
        <v>0</v>
      </c>
      <c r="R49" s="18">
        <f>IFERROR(
                  Andel_oberoende_av_klimat*VLOOKUP($A49,Leveranser_per_nät,'Leveranser per nät'!R$1,FALSE)
               +Andel_beroende_av_klimat*VLOOKUP($A49,Leveranser_per_nät,'Leveranser per nät'!R$1,FALSE)/VLOOKUP($B49,Korrigeringsfaktor_GD,'Korrigeringsfaktor GD'!R$1,FALSE),
"")</f>
        <v>0</v>
      </c>
      <c r="S49" s="18" t="str">
        <f>IFERROR(
                  Andel_oberoende_av_klimat*VLOOKUP($A49,Leveranser_per_nät,'Leveranser per nät'!S$1,FALSE)
               +Andel_beroende_av_klimat*VLOOKUP($A49,Leveranser_per_nät,'Leveranser per nät'!S$1,FALSE)/VLOOKUP($B49,Korrigeringsfaktor_GD,'Korrigeringsfaktor GD'!S$1,FALSE),
"")</f>
        <v/>
      </c>
      <c r="T49" s="18" t="str">
        <f>IFERROR(
                  Andel_oberoende_av_klimat*VLOOKUP($A49,Leveranser_per_nät,'Leveranser per nät'!T$1,FALSE)
               +Andel_beroende_av_klimat*VLOOKUP($A49,Leveranser_per_nät,'Leveranser per nät'!T$1,FALSE)/VLOOKUP($B49,Korrigeringsfaktor_GD,'Korrigeringsfaktor GD'!T$1,FALSE),
"")</f>
        <v/>
      </c>
      <c r="U49" s="18" t="str">
        <f>IFERROR(
                  Andel_oberoende_av_klimat*VLOOKUP($A49,Leveranser_per_nät,'Leveranser per nät'!U$1,FALSE)
               +Andel_beroende_av_klimat*VLOOKUP($A49,Leveranser_per_nät,'Leveranser per nät'!U$1,FALSE)/VLOOKUP($B49,Korrigeringsfaktor_GD,'Korrigeringsfaktor GD'!U$1,FALSE),
"")</f>
        <v/>
      </c>
      <c r="V49" s="18" t="str">
        <f>IFERROR(
                  Andel_oberoende_av_klimat*VLOOKUP($A49,Leveranser_per_nät,'Leveranser per nät'!V$1,FALSE)
               +Andel_beroende_av_klimat*VLOOKUP($A49,Leveranser_per_nät,'Leveranser per nät'!V$1,FALSE)/VLOOKUP($B49,Korrigeringsfaktor_GD,'Korrigeringsfaktor GD'!V$1,FALSE),
"")</f>
        <v/>
      </c>
      <c r="W49" s="18" t="str">
        <f>IFERROR(
                  Andel_oberoende_av_klimat*VLOOKUP($A49,Leveranser_per_nät,'Leveranser per nät'!W$1,FALSE)
               +Andel_beroende_av_klimat*VLOOKUP($A49,Leveranser_per_nät,'Leveranser per nät'!W$1,FALSE)/VLOOKUP($B49,Korrigeringsfaktor_GD,'Korrigeringsfaktor GD'!W$1,FALSE),
"")</f>
        <v/>
      </c>
      <c r="X49" s="18" t="str">
        <f>IFERROR(
                  Andel_oberoende_av_klimat*VLOOKUP($A49,Leveranser_per_nät,'Leveranser per nät'!X$1,FALSE)
               +Andel_beroende_av_klimat*VLOOKUP($A49,Leveranser_per_nät,'Leveranser per nät'!X$1,FALSE)/VLOOKUP($B49,Korrigeringsfaktor_GD,'Korrigeringsfaktor GD'!X$1,FALSE),
"")</f>
        <v/>
      </c>
      <c r="Y49" s="18" t="str">
        <f>IFERROR(
                  Andel_oberoende_av_klimat*VLOOKUP($A49,Leveranser_per_nät,'Leveranser per nät'!Y$1,FALSE)
               +Andel_beroende_av_klimat*VLOOKUP($A49,Leveranser_per_nät,'Leveranser per nät'!Y$1,FALSE)/VLOOKUP($B49,Korrigeringsfaktor_GD,'Korrigeringsfaktor GD'!Y$1,FALSE),
"")</f>
        <v/>
      </c>
      <c r="Z49" s="18">
        <f>IFERROR(
                  Andel_oberoende_av_klimat*VLOOKUP($A49,Leveranser_per_nät,'Leveranser per nät'!Z$1,FALSE)
               +Andel_beroende_av_klimat*VLOOKUP($A49,Leveranser_per_nät,'Leveranser per nät'!Z$1,FALSE)/VLOOKUP($B49,Korrigeringsfaktor_GD,'Korrigeringsfaktor GD'!Z$1,FALSE),
"")</f>
        <v>0</v>
      </c>
      <c r="AA49" s="18" t="str">
        <f>IFERROR(
                  Andel_oberoende_av_klimat*VLOOKUP($A49,Leveranser_per_nät,'Leveranser per nät'!AA$1,FALSE)
               +Andel_beroende_av_klimat*VLOOKUP($A49,Leveranser_per_nät,'Leveranser per nät'!AA$1,FALSE)/VLOOKUP($B49,Korrigeringsfaktor_GD,'Korrigeringsfaktor GD'!AA$1,FALSE),
"")</f>
        <v/>
      </c>
      <c r="AB49" s="18">
        <f>IFERROR(
                  Andel_oberoende_av_klimat*VLOOKUP($A49,Leveranser_per_nät,'Leveranser per nät'!AB$1,FALSE)
               +Andel_beroende_av_klimat*VLOOKUP($A49,Leveranser_per_nät,'Leveranser per nät'!AB$1,FALSE)/VLOOKUP($B49,Korrigeringsfaktor_GD,'Korrigeringsfaktor GD'!AB$1,FALSE),
"")</f>
        <v>0</v>
      </c>
      <c r="AC49" s="18">
        <f>IFERROR(
                  Andel_oberoende_av_klimat*VLOOKUP($A49,Leveranser_per_nät,'Leveranser per nät'!AC$1,FALSE)
               +Andel_beroende_av_klimat*VLOOKUP($A49,Leveranser_per_nät,'Leveranser per nät'!AC$1,FALSE)/VLOOKUP($B49,Korrigeringsfaktor_GD,'Korrigeringsfaktor GD'!AC$1,FALSE),
"")</f>
        <v>0</v>
      </c>
      <c r="AD49">
        <v>711.67200000000003</v>
      </c>
    </row>
    <row r="50" spans="1:30" x14ac:dyDescent="0.25">
      <c r="A50" t="s">
        <v>264</v>
      </c>
      <c r="B50" t="s">
        <v>261</v>
      </c>
      <c r="C50" s="18">
        <f>IFERROR(
                  Andel_oberoende_av_klimat*VLOOKUP($A50,Leveranser_per_nät,'Leveranser per nät'!C$1,FALSE)
               +Andel_beroende_av_klimat*VLOOKUP($A50,Leveranser_per_nät,'Leveranser per nät'!C$1,FALSE)/VLOOKUP($B50,Korrigeringsfaktor_GD,'Korrigeringsfaktor GD'!C$1,FALSE),
"")</f>
        <v>0</v>
      </c>
      <c r="D50" s="18">
        <f>IFERROR(
                  Andel_oberoende_av_klimat*VLOOKUP($A50,Leveranser_per_nät,'Leveranser per nät'!D$1,FALSE)
               +Andel_beroende_av_klimat*VLOOKUP($A50,Leveranser_per_nät,'Leveranser per nät'!D$1,FALSE)/VLOOKUP($B50,Korrigeringsfaktor_GD,'Korrigeringsfaktor GD'!D$1,FALSE),
"")</f>
        <v>0</v>
      </c>
      <c r="E50" s="18">
        <f>IFERROR(
                  Andel_oberoende_av_klimat*VLOOKUP($A50,Leveranser_per_nät,'Leveranser per nät'!E$1,FALSE)
               +Andel_beroende_av_klimat*VLOOKUP($A50,Leveranser_per_nät,'Leveranser per nät'!E$1,FALSE)/VLOOKUP($B50,Korrigeringsfaktor_GD,'Korrigeringsfaktor GD'!E$1,FALSE),
"")</f>
        <v>0</v>
      </c>
      <c r="F50" s="18">
        <f>IFERROR(
                  Andel_oberoende_av_klimat*VLOOKUP($A50,Leveranser_per_nät,'Leveranser per nät'!F$1,FALSE)
               +Andel_beroende_av_klimat*VLOOKUP($A50,Leveranser_per_nät,'Leveranser per nät'!F$1,FALSE)/VLOOKUP($B50,Korrigeringsfaktor_GD,'Korrigeringsfaktor GD'!F$1,FALSE),
"")</f>
        <v>5</v>
      </c>
      <c r="G50" s="18">
        <f>IFERROR(
                  Andel_oberoende_av_klimat*VLOOKUP($A50,Leveranser_per_nät,'Leveranser per nät'!G$1,FALSE)
               +Andel_beroende_av_klimat*VLOOKUP($A50,Leveranser_per_nät,'Leveranser per nät'!G$1,FALSE)/VLOOKUP($B50,Korrigeringsfaktor_GD,'Korrigeringsfaktor GD'!G$1,FALSE),
"")</f>
        <v>5.3888888888888893</v>
      </c>
      <c r="H50" s="18">
        <f>IFERROR(
                  Andel_oberoende_av_klimat*VLOOKUP($A50,Leveranser_per_nät,'Leveranser per nät'!H$1,FALSE)
               +Andel_beroende_av_klimat*VLOOKUP($A50,Leveranser_per_nät,'Leveranser per nät'!H$1,FALSE)/VLOOKUP($B50,Korrigeringsfaktor_GD,'Korrigeringsfaktor GD'!H$1,FALSE),
"")</f>
        <v>6.3290000000000006</v>
      </c>
      <c r="I50" s="18">
        <f>IFERROR(
                  Andel_oberoende_av_klimat*VLOOKUP($A50,Leveranser_per_nät,'Leveranser per nät'!I$1,FALSE)
               +Andel_beroende_av_klimat*VLOOKUP($A50,Leveranser_per_nät,'Leveranser per nät'!I$1,FALSE)/VLOOKUP($B50,Korrigeringsfaktor_GD,'Korrigeringsfaktor GD'!I$1,FALSE),
"")</f>
        <v>6.1298969072164944</v>
      </c>
      <c r="J50" s="18">
        <f>IFERROR(
                  Andel_oberoende_av_klimat*VLOOKUP($A50,Leveranser_per_nät,'Leveranser per nät'!J$1,FALSE)
               +Andel_beroende_av_klimat*VLOOKUP($A50,Leveranser_per_nät,'Leveranser per nät'!J$1,FALSE)/VLOOKUP($B50,Korrigeringsfaktor_GD,'Korrigeringsfaktor GD'!J$1,FALSE),
"")</f>
        <v>6.1749999999999989</v>
      </c>
      <c r="K50" s="18">
        <f>IFERROR(
                  Andel_oberoende_av_klimat*VLOOKUP($A50,Leveranser_per_nät,'Leveranser per nät'!K$1,FALSE)
               +Andel_beroende_av_klimat*VLOOKUP($A50,Leveranser_per_nät,'Leveranser per nät'!K$1,FALSE)/VLOOKUP($B50,Korrigeringsfaktor_GD,'Korrigeringsfaktor GD'!K$1,FALSE),
"")</f>
        <v>6.2974971428571429</v>
      </c>
      <c r="L50" s="18">
        <f>IFERROR(
                  Andel_oberoende_av_klimat*VLOOKUP($A50,Leveranser_per_nät,'Leveranser per nät'!L$1,FALSE)
               +Andel_beroende_av_klimat*VLOOKUP($A50,Leveranser_per_nät,'Leveranser per nät'!L$1,FALSE)/VLOOKUP($B50,Korrigeringsfaktor_GD,'Korrigeringsfaktor GD'!L$1,FALSE),
"")</f>
        <v>6.0665826086956516</v>
      </c>
      <c r="M50" s="18">
        <f>IFERROR(
                  Andel_oberoende_av_klimat*VLOOKUP($A50,Leveranser_per_nät,'Leveranser per nät'!M$1,FALSE)
               +Andel_beroende_av_klimat*VLOOKUP($A50,Leveranser_per_nät,'Leveranser per nät'!M$1,FALSE)/VLOOKUP($B50,Korrigeringsfaktor_GD,'Korrigeringsfaktor GD'!M$1,FALSE),
"")</f>
        <v>7.2531652173913042</v>
      </c>
      <c r="N50" s="18">
        <f>IFERROR(
                  Andel_oberoende_av_klimat*VLOOKUP($A50,Leveranser_per_nät,'Leveranser per nät'!N$1,FALSE)
               +Andel_beroende_av_klimat*VLOOKUP($A50,Leveranser_per_nät,'Leveranser per nät'!N$1,FALSE)/VLOOKUP($B50,Korrigeringsfaktor_GD,'Korrigeringsfaktor GD'!N$1,FALSE),
"")</f>
        <v>8.1478064516129027</v>
      </c>
      <c r="O50" s="18">
        <f>IFERROR(
                  Andel_oberoende_av_klimat*VLOOKUP($A50,Leveranser_per_nät,'Leveranser per nät'!O$1,FALSE)
               +Andel_beroende_av_klimat*VLOOKUP($A50,Leveranser_per_nät,'Leveranser per nät'!O$1,FALSE)/VLOOKUP($B50,Korrigeringsfaktor_GD,'Korrigeringsfaktor GD'!O$1,FALSE),
"")</f>
        <v>8.208862365591397</v>
      </c>
      <c r="P50" s="18">
        <f>IFERROR(
                  Andel_oberoende_av_klimat*VLOOKUP($A50,Leveranser_per_nät,'Leveranser per nät'!P$1,FALSE)
               +Andel_beroende_av_klimat*VLOOKUP($A50,Leveranser_per_nät,'Leveranser per nät'!P$1,FALSE)/VLOOKUP($B50,Korrigeringsfaktor_GD,'Korrigeringsfaktor GD'!P$1,FALSE),
"")</f>
        <v>8.0595142857142861</v>
      </c>
      <c r="Q50" s="18">
        <f>IFERROR(
                  Andel_oberoende_av_klimat*VLOOKUP($A50,Leveranser_per_nät,'Leveranser per nät'!Q$1,FALSE)
               +Andel_beroende_av_klimat*VLOOKUP($A50,Leveranser_per_nät,'Leveranser per nät'!Q$1,FALSE)/VLOOKUP($B50,Korrigeringsfaktor_GD,'Korrigeringsfaktor GD'!Q$1,FALSE),
"")</f>
        <v>8.2174684684684678</v>
      </c>
      <c r="R50" s="18">
        <f>IFERROR(
                  Andel_oberoende_av_klimat*VLOOKUP($A50,Leveranser_per_nät,'Leveranser per nät'!R$1,FALSE)
               +Andel_beroende_av_klimat*VLOOKUP($A50,Leveranser_per_nät,'Leveranser per nät'!R$1,FALSE)/VLOOKUP($B50,Korrigeringsfaktor_GD,'Korrigeringsfaktor GD'!R$1,FALSE),
"")</f>
        <v>8.3269111111111105</v>
      </c>
      <c r="S50" s="18">
        <f>IFERROR(
                  Andel_oberoende_av_klimat*VLOOKUP($A50,Leveranser_per_nät,'Leveranser per nät'!S$1,FALSE)
               +Andel_beroende_av_klimat*VLOOKUP($A50,Leveranser_per_nät,'Leveranser per nät'!S$1,FALSE)/VLOOKUP($B50,Korrigeringsfaktor_GD,'Korrigeringsfaktor GD'!S$1,FALSE),
"")</f>
        <v>8.27</v>
      </c>
      <c r="T50" s="18">
        <f>IFERROR(
                  Andel_oberoende_av_klimat*VLOOKUP($A50,Leveranser_per_nät,'Leveranser per nät'!T$1,FALSE)
               +Andel_beroende_av_klimat*VLOOKUP($A50,Leveranser_per_nät,'Leveranser per nät'!T$1,FALSE)/VLOOKUP($B50,Korrigeringsfaktor_GD,'Korrigeringsfaktor GD'!T$1,FALSE),
"")</f>
        <v>8.3699426086956521</v>
      </c>
      <c r="U50" s="18">
        <f>IFERROR(
                  Andel_oberoende_av_klimat*VLOOKUP($A50,Leveranser_per_nät,'Leveranser per nät'!U$1,FALSE)
               +Andel_beroende_av_klimat*VLOOKUP($A50,Leveranser_per_nät,'Leveranser per nät'!U$1,FALSE)/VLOOKUP($B50,Korrigeringsfaktor_GD,'Korrigeringsfaktor GD'!U$1,FALSE),
"")</f>
        <v>8.1824888888888871</v>
      </c>
      <c r="V50" s="18">
        <f>IFERROR(
                  Andel_oberoende_av_klimat*VLOOKUP($A50,Leveranser_per_nät,'Leveranser per nät'!V$1,FALSE)
               +Andel_beroende_av_klimat*VLOOKUP($A50,Leveranser_per_nät,'Leveranser per nät'!V$1,FALSE)/VLOOKUP($B50,Korrigeringsfaktor_GD,'Korrigeringsfaktor GD'!V$1,FALSE),
"")</f>
        <v>7.7984597701149418</v>
      </c>
      <c r="W50" s="18">
        <f>IFERROR(
                  Andel_oberoende_av_klimat*VLOOKUP($A50,Leveranser_per_nät,'Leveranser per nät'!W$1,FALSE)
               +Andel_beroende_av_klimat*VLOOKUP($A50,Leveranser_per_nät,'Leveranser per nät'!W$1,FALSE)/VLOOKUP($B50,Korrigeringsfaktor_GD,'Korrigeringsfaktor GD'!W$1,FALSE),
"")</f>
        <v>8.0202958333333338</v>
      </c>
      <c r="X50" s="18">
        <f>IFERROR(
                  Andel_oberoende_av_klimat*VLOOKUP($A50,Leveranser_per_nät,'Leveranser per nät'!X$1,FALSE)
               +Andel_beroende_av_klimat*VLOOKUP($A50,Leveranser_per_nät,'Leveranser per nät'!X$1,FALSE)/VLOOKUP($B50,Korrigeringsfaktor_GD,'Korrigeringsfaktor GD'!X$1,FALSE),
"")</f>
        <v>8.1335571428571427</v>
      </c>
      <c r="Y50" s="18">
        <f>IFERROR(
                  Andel_oberoende_av_klimat*VLOOKUP($A50,Leveranser_per_nät,'Leveranser per nät'!Y$1,FALSE)
               +Andel_beroende_av_klimat*VLOOKUP($A50,Leveranser_per_nät,'Leveranser per nät'!Y$1,FALSE)/VLOOKUP($B50,Korrigeringsfaktor_GD,'Korrigeringsfaktor GD'!Y$1,FALSE),
"")</f>
        <v>8.0260783505154638</v>
      </c>
      <c r="Z50" s="18">
        <f>IFERROR(
                  Andel_oberoende_av_klimat*VLOOKUP($A50,Leveranser_per_nät,'Leveranser per nät'!Z$1,FALSE)
               +Andel_beroende_av_klimat*VLOOKUP($A50,Leveranser_per_nät,'Leveranser per nät'!Z$1,FALSE)/VLOOKUP($B50,Korrigeringsfaktor_GD,'Korrigeringsfaktor GD'!Z$1,FALSE),
"")</f>
        <v>8.0817424242424245</v>
      </c>
      <c r="AA50" s="18">
        <f>IFERROR(
                  Andel_oberoende_av_klimat*VLOOKUP($A50,Leveranser_per_nät,'Leveranser per nät'!AA$1,FALSE)
               +Andel_beroende_av_klimat*VLOOKUP($A50,Leveranser_per_nät,'Leveranser per nät'!AA$1,FALSE)/VLOOKUP($B50,Korrigeringsfaktor_GD,'Korrigeringsfaktor GD'!AA$1,FALSE),
"")</f>
        <v>7.411987092134833</v>
      </c>
      <c r="AB50" s="18">
        <f>IFERROR(
                  Andel_oberoende_av_klimat*VLOOKUP($A50,Leveranser_per_nät,'Leveranser per nät'!AB$1,FALSE)
               +Andel_beroende_av_klimat*VLOOKUP($A50,Leveranser_per_nät,'Leveranser per nät'!AB$1,FALSE)/VLOOKUP($B50,Korrigeringsfaktor_GD,'Korrigeringsfaktor GD'!AB$1,FALSE),
"")</f>
        <v>7.4742412617702447</v>
      </c>
      <c r="AC50" s="18">
        <f>IFERROR(
                  Andel_oberoende_av_klimat*VLOOKUP($A50,Leveranser_per_nät,'Leveranser per nät'!AC$1,FALSE)
               +Andel_beroende_av_klimat*VLOOKUP($A50,Leveranser_per_nät,'Leveranser per nät'!AC$1,FALSE)/VLOOKUP($B50,Korrigeringsfaktor_GD,'Korrigeringsfaktor GD'!AC$1,FALSE),
"")</f>
        <v>7.2971742770475228</v>
      </c>
      <c r="AD50">
        <v>351.95330000000001</v>
      </c>
    </row>
    <row r="51" spans="1:30" x14ac:dyDescent="0.25">
      <c r="A51" t="s">
        <v>265</v>
      </c>
      <c r="B51" t="s">
        <v>261</v>
      </c>
      <c r="C51" s="18">
        <f>IFERROR(
                  Andel_oberoende_av_klimat*VLOOKUP($A51,Leveranser_per_nät,'Leveranser per nät'!C$1,FALSE)
               +Andel_beroende_av_klimat*VLOOKUP($A51,Leveranser_per_nät,'Leveranser per nät'!C$1,FALSE)/VLOOKUP($B51,Korrigeringsfaktor_GD,'Korrigeringsfaktor GD'!C$1,FALSE),
"")</f>
        <v>0</v>
      </c>
      <c r="D51" s="18">
        <f>IFERROR(
                  Andel_oberoende_av_klimat*VLOOKUP($A51,Leveranser_per_nät,'Leveranser per nät'!D$1,FALSE)
               +Andel_beroende_av_klimat*VLOOKUP($A51,Leveranser_per_nät,'Leveranser per nät'!D$1,FALSE)/VLOOKUP($B51,Korrigeringsfaktor_GD,'Korrigeringsfaktor GD'!D$1,FALSE),
"")</f>
        <v>0</v>
      </c>
      <c r="E51" s="18">
        <f>IFERROR(
                  Andel_oberoende_av_klimat*VLOOKUP($A51,Leveranser_per_nät,'Leveranser per nät'!E$1,FALSE)
               +Andel_beroende_av_klimat*VLOOKUP($A51,Leveranser_per_nät,'Leveranser per nät'!E$1,FALSE)/VLOOKUP($B51,Korrigeringsfaktor_GD,'Korrigeringsfaktor GD'!E$1,FALSE),
"")</f>
        <v>0</v>
      </c>
      <c r="F51" s="18">
        <f>IFERROR(
                  Andel_oberoende_av_klimat*VLOOKUP($A51,Leveranser_per_nät,'Leveranser per nät'!F$1,FALSE)
               +Andel_beroende_av_klimat*VLOOKUP($A51,Leveranser_per_nät,'Leveranser per nät'!F$1,FALSE)/VLOOKUP($B51,Korrigeringsfaktor_GD,'Korrigeringsfaktor GD'!F$1,FALSE),
"")</f>
        <v>11</v>
      </c>
      <c r="G51" s="18">
        <f>IFERROR(
                  Andel_oberoende_av_klimat*VLOOKUP($A51,Leveranser_per_nät,'Leveranser per nät'!G$1,FALSE)
               +Andel_beroende_av_klimat*VLOOKUP($A51,Leveranser_per_nät,'Leveranser per nät'!G$1,FALSE)/VLOOKUP($B51,Korrigeringsfaktor_GD,'Korrigeringsfaktor GD'!G$1,FALSE),
"")</f>
        <v>11.855555555555556</v>
      </c>
      <c r="H51" s="18">
        <f>IFERROR(
                  Andel_oberoende_av_klimat*VLOOKUP($A51,Leveranser_per_nät,'Leveranser per nät'!H$1,FALSE)
               +Andel_beroende_av_klimat*VLOOKUP($A51,Leveranser_per_nät,'Leveranser per nät'!H$1,FALSE)/VLOOKUP($B51,Korrigeringsfaktor_GD,'Korrigeringsfaktor GD'!H$1,FALSE),
"")</f>
        <v>13.954000000000001</v>
      </c>
      <c r="I51" s="18">
        <f>IFERROR(
                  Andel_oberoende_av_klimat*VLOOKUP($A51,Leveranser_per_nät,'Leveranser per nät'!I$1,FALSE)
               +Andel_beroende_av_klimat*VLOOKUP($A51,Leveranser_per_nät,'Leveranser per nät'!I$1,FALSE)/VLOOKUP($B51,Korrigeringsfaktor_GD,'Korrigeringsfaktor GD'!I$1,FALSE),
"")</f>
        <v>13.281443298969073</v>
      </c>
      <c r="J51" s="18">
        <f>IFERROR(
                  Andel_oberoende_av_klimat*VLOOKUP($A51,Leveranser_per_nät,'Leveranser per nät'!J$1,FALSE)
               +Andel_beroende_av_klimat*VLOOKUP($A51,Leveranser_per_nät,'Leveranser per nät'!J$1,FALSE)/VLOOKUP($B51,Korrigeringsfaktor_GD,'Korrigeringsfaktor GD'!J$1,FALSE),
"")</f>
        <v>13.379166666666666</v>
      </c>
      <c r="K51" s="18">
        <f>IFERROR(
                  Andel_oberoende_av_klimat*VLOOKUP($A51,Leveranser_per_nät,'Leveranser per nät'!K$1,FALSE)
               +Andel_beroende_av_klimat*VLOOKUP($A51,Leveranser_per_nät,'Leveranser per nät'!K$1,FALSE)/VLOOKUP($B51,Korrigeringsfaktor_GD,'Korrigeringsfaktor GD'!K$1,FALSE),
"")</f>
        <v>13.44253142857143</v>
      </c>
      <c r="L51" s="18">
        <f>IFERROR(
                  Andel_oberoende_av_klimat*VLOOKUP($A51,Leveranser_per_nät,'Leveranser per nät'!L$1,FALSE)
               +Andel_beroende_av_klimat*VLOOKUP($A51,Leveranser_per_nät,'Leveranser per nät'!L$1,FALSE)/VLOOKUP($B51,Korrigeringsfaktor_GD,'Korrigeringsfaktor GD'!L$1,FALSE),
"")</f>
        <v>13.019309565217391</v>
      </c>
      <c r="M51" s="18">
        <f>IFERROR(
                  Andel_oberoende_av_klimat*VLOOKUP($A51,Leveranser_per_nät,'Leveranser per nät'!M$1,FALSE)
               +Andel_beroende_av_klimat*VLOOKUP($A51,Leveranser_per_nät,'Leveranser per nät'!M$1,FALSE)/VLOOKUP($B51,Korrigeringsfaktor_GD,'Korrigeringsfaktor GD'!M$1,FALSE),
"")</f>
        <v>14.425704347826088</v>
      </c>
      <c r="N51" s="18">
        <f>IFERROR(
                  Andel_oberoende_av_klimat*VLOOKUP($A51,Leveranser_per_nät,'Leveranser per nät'!N$1,FALSE)
               +Andel_beroende_av_klimat*VLOOKUP($A51,Leveranser_per_nät,'Leveranser per nät'!N$1,FALSE)/VLOOKUP($B51,Korrigeringsfaktor_GD,'Korrigeringsfaktor GD'!N$1,FALSE),
"")</f>
        <v>15.053440860215053</v>
      </c>
      <c r="O51" s="18">
        <f>IFERROR(
                  Andel_oberoende_av_klimat*VLOOKUP($A51,Leveranser_per_nät,'Leveranser per nät'!O$1,FALSE)
               +Andel_beroende_av_klimat*VLOOKUP($A51,Leveranser_per_nät,'Leveranser per nät'!O$1,FALSE)/VLOOKUP($B51,Korrigeringsfaktor_GD,'Korrigeringsfaktor GD'!O$1,FALSE),
"")</f>
        <v>14.95027741935484</v>
      </c>
      <c r="P51" s="18">
        <f>IFERROR(
                  Andel_oberoende_av_klimat*VLOOKUP($A51,Leveranser_per_nät,'Leveranser per nät'!P$1,FALSE)
               +Andel_beroende_av_klimat*VLOOKUP($A51,Leveranser_per_nät,'Leveranser per nät'!P$1,FALSE)/VLOOKUP($B51,Korrigeringsfaktor_GD,'Korrigeringsfaktor GD'!P$1,FALSE),
"")</f>
        <v>14.860300000000001</v>
      </c>
      <c r="Q51" s="18">
        <f>IFERROR(
                  Andel_oberoende_av_klimat*VLOOKUP($A51,Leveranser_per_nät,'Leveranser per nät'!Q$1,FALSE)
               +Andel_beroende_av_klimat*VLOOKUP($A51,Leveranser_per_nät,'Leveranser per nät'!Q$1,FALSE)/VLOOKUP($B51,Korrigeringsfaktor_GD,'Korrigeringsfaktor GD'!Q$1,FALSE),
"")</f>
        <v>14.518768468468469</v>
      </c>
      <c r="R51" s="18">
        <f>IFERROR(
                  Andel_oberoende_av_klimat*VLOOKUP($A51,Leveranser_per_nät,'Leveranser per nät'!R$1,FALSE)
               +Andel_beroende_av_klimat*VLOOKUP($A51,Leveranser_per_nät,'Leveranser per nät'!R$1,FALSE)/VLOOKUP($B51,Korrigeringsfaktor_GD,'Korrigeringsfaktor GD'!R$1,FALSE),
"")</f>
        <v>14.073622222222221</v>
      </c>
      <c r="S51" s="18">
        <f>IFERROR(
                  Andel_oberoende_av_klimat*VLOOKUP($A51,Leveranser_per_nät,'Leveranser per nät'!S$1,FALSE)
               +Andel_beroende_av_klimat*VLOOKUP($A51,Leveranser_per_nät,'Leveranser per nät'!S$1,FALSE)/VLOOKUP($B51,Korrigeringsfaktor_GD,'Korrigeringsfaktor GD'!S$1,FALSE),
"")</f>
        <v>14.64</v>
      </c>
      <c r="T51" s="18">
        <f>IFERROR(
                  Andel_oberoende_av_klimat*VLOOKUP($A51,Leveranser_per_nät,'Leveranser per nät'!T$1,FALSE)
               +Andel_beroende_av_klimat*VLOOKUP($A51,Leveranser_per_nät,'Leveranser per nät'!T$1,FALSE)/VLOOKUP($B51,Korrigeringsfaktor_GD,'Korrigeringsfaktor GD'!T$1,FALSE),
"")</f>
        <v>14.956139130434785</v>
      </c>
      <c r="U51" s="18">
        <f>IFERROR(
                  Andel_oberoende_av_klimat*VLOOKUP($A51,Leveranser_per_nät,'Leveranser per nät'!U$1,FALSE)
               +Andel_beroende_av_klimat*VLOOKUP($A51,Leveranser_per_nät,'Leveranser per nät'!U$1,FALSE)/VLOOKUP($B51,Korrigeringsfaktor_GD,'Korrigeringsfaktor GD'!U$1,FALSE),
"")</f>
        <v>14.921833333333334</v>
      </c>
      <c r="V51" s="18">
        <f>IFERROR(
                  Andel_oberoende_av_klimat*VLOOKUP($A51,Leveranser_per_nät,'Leveranser per nät'!V$1,FALSE)
               +Andel_beroende_av_klimat*VLOOKUP($A51,Leveranser_per_nät,'Leveranser per nät'!V$1,FALSE)/VLOOKUP($B51,Korrigeringsfaktor_GD,'Korrigeringsfaktor GD'!V$1,FALSE),
"")</f>
        <v>13.807471264367816</v>
      </c>
      <c r="W51" s="18">
        <f>IFERROR(
                  Andel_oberoende_av_klimat*VLOOKUP($A51,Leveranser_per_nät,'Leveranser per nät'!W$1,FALSE)
               +Andel_beroende_av_klimat*VLOOKUP($A51,Leveranser_per_nät,'Leveranser per nät'!W$1,FALSE)/VLOOKUP($B51,Korrigeringsfaktor_GD,'Korrigeringsfaktor GD'!W$1,FALSE),
"")</f>
        <v>14.785008333333334</v>
      </c>
      <c r="X51" s="18">
        <f>IFERROR(
                  Andel_oberoende_av_klimat*VLOOKUP($A51,Leveranser_per_nät,'Leveranser per nät'!X$1,FALSE)
               +Andel_beroende_av_klimat*VLOOKUP($A51,Leveranser_per_nät,'Leveranser per nät'!X$1,FALSE)/VLOOKUP($B51,Korrigeringsfaktor_GD,'Korrigeringsfaktor GD'!X$1,FALSE),
"")</f>
        <v>15.35222857142857</v>
      </c>
      <c r="Y51" s="18">
        <f>IFERROR(
                  Andel_oberoende_av_klimat*VLOOKUP($A51,Leveranser_per_nät,'Leveranser per nät'!Y$1,FALSE)
               +Andel_beroende_av_klimat*VLOOKUP($A51,Leveranser_per_nät,'Leveranser per nät'!Y$1,FALSE)/VLOOKUP($B51,Korrigeringsfaktor_GD,'Korrigeringsfaktor GD'!Y$1,FALSE),
"")</f>
        <v>15.835567010309278</v>
      </c>
      <c r="Z51" s="18">
        <f>IFERROR(
                  Andel_oberoende_av_klimat*VLOOKUP($A51,Leveranser_per_nät,'Leveranser per nät'!Z$1,FALSE)
               +Andel_beroende_av_klimat*VLOOKUP($A51,Leveranser_per_nät,'Leveranser per nät'!Z$1,FALSE)/VLOOKUP($B51,Korrigeringsfaktor_GD,'Korrigeringsfaktor GD'!Z$1,FALSE),
"")</f>
        <v>15.638801010101009</v>
      </c>
      <c r="AA51" s="18">
        <f>IFERROR(
                  Andel_oberoende_av_klimat*VLOOKUP($A51,Leveranser_per_nät,'Leveranser per nät'!AA$1,FALSE)
               +Andel_beroende_av_klimat*VLOOKUP($A51,Leveranser_per_nät,'Leveranser per nät'!AA$1,FALSE)/VLOOKUP($B51,Korrigeringsfaktor_GD,'Korrigeringsfaktor GD'!AA$1,FALSE),
"")</f>
        <v>14.302805258426966</v>
      </c>
      <c r="AB51" s="18">
        <f>IFERROR(
                  Andel_oberoende_av_klimat*VLOOKUP($A51,Leveranser_per_nät,'Leveranser per nät'!AB$1,FALSE)
               +Andel_beroende_av_klimat*VLOOKUP($A51,Leveranser_per_nät,'Leveranser per nät'!AB$1,FALSE)/VLOOKUP($B51,Korrigeringsfaktor_GD,'Korrigeringsfaktor GD'!AB$1,FALSE),
"")</f>
        <v>14.538836516007532</v>
      </c>
      <c r="AC51" s="18">
        <f>IFERROR(
                  Andel_oberoende_av_klimat*VLOOKUP($A51,Leveranser_per_nät,'Leveranser per nät'!AC$1,FALSE)
               +Andel_beroende_av_klimat*VLOOKUP($A51,Leveranser_per_nät,'Leveranser per nät'!AC$1,FALSE)/VLOOKUP($B51,Korrigeringsfaktor_GD,'Korrigeringsfaktor GD'!AC$1,FALSE),
"")</f>
        <v>14.091866632962589</v>
      </c>
      <c r="AD51">
        <v>351.95330000000001</v>
      </c>
    </row>
    <row r="52" spans="1:30" x14ac:dyDescent="0.25">
      <c r="A52" t="s">
        <v>266</v>
      </c>
      <c r="B52" t="s">
        <v>230</v>
      </c>
      <c r="C52" s="18">
        <f>IFERROR(
                  Andel_oberoende_av_klimat*VLOOKUP($A52,Leveranser_per_nät,'Leveranser per nät'!C$1,FALSE)
               +Andel_beroende_av_klimat*VLOOKUP($A52,Leveranser_per_nät,'Leveranser per nät'!C$1,FALSE)/VLOOKUP($B52,Korrigeringsfaktor_GD,'Korrigeringsfaktor GD'!C$1,FALSE),
"")</f>
        <v>0</v>
      </c>
      <c r="D52" s="18">
        <f>IFERROR(
                  Andel_oberoende_av_klimat*VLOOKUP($A52,Leveranser_per_nät,'Leveranser per nät'!D$1,FALSE)
               +Andel_beroende_av_klimat*VLOOKUP($A52,Leveranser_per_nät,'Leveranser per nät'!D$1,FALSE)/VLOOKUP($B52,Korrigeringsfaktor_GD,'Korrigeringsfaktor GD'!D$1,FALSE),
"")</f>
        <v>0</v>
      </c>
      <c r="E52" s="18">
        <f>IFERROR(
                  Andel_oberoende_av_klimat*VLOOKUP($A52,Leveranser_per_nät,'Leveranser per nät'!E$1,FALSE)
               +Andel_beroende_av_klimat*VLOOKUP($A52,Leveranser_per_nät,'Leveranser per nät'!E$1,FALSE)/VLOOKUP($B52,Korrigeringsfaktor_GD,'Korrigeringsfaktor GD'!E$1,FALSE),
"")</f>
        <v>0</v>
      </c>
      <c r="F52" s="18">
        <f>IFERROR(
                  Andel_oberoende_av_klimat*VLOOKUP($A52,Leveranser_per_nät,'Leveranser per nät'!F$1,FALSE)
               +Andel_beroende_av_klimat*VLOOKUP($A52,Leveranser_per_nät,'Leveranser per nät'!F$1,FALSE)/VLOOKUP($B52,Korrigeringsfaktor_GD,'Korrigeringsfaktor GD'!F$1,FALSE),
"")</f>
        <v>0</v>
      </c>
      <c r="G52" s="18">
        <f>IFERROR(
                  Andel_oberoende_av_klimat*VLOOKUP($A52,Leveranser_per_nät,'Leveranser per nät'!G$1,FALSE)
               +Andel_beroende_av_klimat*VLOOKUP($A52,Leveranser_per_nät,'Leveranser per nät'!G$1,FALSE)/VLOOKUP($B52,Korrigeringsfaktor_GD,'Korrigeringsfaktor GD'!G$1,FALSE),
"")</f>
        <v>0</v>
      </c>
      <c r="H52" s="18">
        <f>IFERROR(
                  Andel_oberoende_av_klimat*VLOOKUP($A52,Leveranser_per_nät,'Leveranser per nät'!H$1,FALSE)
               +Andel_beroende_av_klimat*VLOOKUP($A52,Leveranser_per_nät,'Leveranser per nät'!H$1,FALSE)/VLOOKUP($B52,Korrigeringsfaktor_GD,'Korrigeringsfaktor GD'!H$1,FALSE),
"")</f>
        <v>1.3029069306930694</v>
      </c>
      <c r="I52" s="18">
        <f>IFERROR(
                  Andel_oberoende_av_klimat*VLOOKUP($A52,Leveranser_per_nät,'Leveranser per nät'!I$1,FALSE)
               +Andel_beroende_av_klimat*VLOOKUP($A52,Leveranser_per_nät,'Leveranser per nät'!I$1,FALSE)/VLOOKUP($B52,Korrigeringsfaktor_GD,'Korrigeringsfaktor GD'!I$1,FALSE),
"")</f>
        <v>7.0494949494949495</v>
      </c>
      <c r="J52" s="18">
        <f>IFERROR(
                  Andel_oberoende_av_klimat*VLOOKUP($A52,Leveranser_per_nät,'Leveranser per nät'!J$1,FALSE)
               +Andel_beroende_av_klimat*VLOOKUP($A52,Leveranser_per_nät,'Leveranser per nät'!J$1,FALSE)/VLOOKUP($B52,Korrigeringsfaktor_GD,'Korrigeringsfaktor GD'!J$1,FALSE),
"")</f>
        <v>8.2333333333333343</v>
      </c>
      <c r="K52" s="18">
        <f>IFERROR(
                  Andel_oberoende_av_klimat*VLOOKUP($A52,Leveranser_per_nät,'Leveranser per nät'!K$1,FALSE)
               +Andel_beroende_av_klimat*VLOOKUP($A52,Leveranser_per_nät,'Leveranser per nät'!K$1,FALSE)/VLOOKUP($B52,Korrigeringsfaktor_GD,'Korrigeringsfaktor GD'!K$1,FALSE),
"")</f>
        <v>8.4672490909090907</v>
      </c>
      <c r="L52" s="18">
        <f>IFERROR(
                  Andel_oberoende_av_klimat*VLOOKUP($A52,Leveranser_per_nät,'Leveranser per nät'!L$1,FALSE)
               +Andel_beroende_av_klimat*VLOOKUP($A52,Leveranser_per_nät,'Leveranser per nät'!L$1,FALSE)/VLOOKUP($B52,Korrigeringsfaktor_GD,'Korrigeringsfaktor GD'!L$1,FALSE),
"")</f>
        <v>8.4416117204301067</v>
      </c>
      <c r="M52" s="18">
        <f>IFERROR(
                  Andel_oberoende_av_klimat*VLOOKUP($A52,Leveranser_per_nät,'Leveranser per nät'!M$1,FALSE)
               +Andel_beroende_av_klimat*VLOOKUP($A52,Leveranser_per_nät,'Leveranser per nät'!M$1,FALSE)/VLOOKUP($B52,Korrigeringsfaktor_GD,'Korrigeringsfaktor GD'!M$1,FALSE),
"")</f>
        <v>8.7067838709677421</v>
      </c>
      <c r="N52" s="18">
        <f>IFERROR(
                  Andel_oberoende_av_klimat*VLOOKUP($A52,Leveranser_per_nät,'Leveranser per nät'!N$1,FALSE)
               +Andel_beroende_av_klimat*VLOOKUP($A52,Leveranser_per_nät,'Leveranser per nät'!N$1,FALSE)/VLOOKUP($B52,Korrigeringsfaktor_GD,'Korrigeringsfaktor GD'!N$1,FALSE),
"")</f>
        <v>8.9699559139784952</v>
      </c>
      <c r="O52" s="18">
        <f>IFERROR(
                  Andel_oberoende_av_klimat*VLOOKUP($A52,Leveranser_per_nät,'Leveranser per nät'!O$1,FALSE)
               +Andel_beroende_av_klimat*VLOOKUP($A52,Leveranser_per_nät,'Leveranser per nät'!O$1,FALSE)/VLOOKUP($B52,Korrigeringsfaktor_GD,'Korrigeringsfaktor GD'!O$1,FALSE),
"")</f>
        <v>9.0078526881720418</v>
      </c>
      <c r="P52" s="18">
        <f>IFERROR(
                  Andel_oberoende_av_klimat*VLOOKUP($A52,Leveranser_per_nät,'Leveranser per nät'!P$1,FALSE)
               +Andel_beroende_av_klimat*VLOOKUP($A52,Leveranser_per_nät,'Leveranser per nät'!P$1,FALSE)/VLOOKUP($B52,Korrigeringsfaktor_GD,'Korrigeringsfaktor GD'!P$1,FALSE),
"")</f>
        <v>9.3324428571428566</v>
      </c>
      <c r="Q52" s="18">
        <f>IFERROR(
                  Andel_oberoende_av_klimat*VLOOKUP($A52,Leveranser_per_nät,'Leveranser per nät'!Q$1,FALSE)
               +Andel_beroende_av_klimat*VLOOKUP($A52,Leveranser_per_nät,'Leveranser per nät'!Q$1,FALSE)/VLOOKUP($B52,Korrigeringsfaktor_GD,'Korrigeringsfaktor GD'!Q$1,FALSE),
"")</f>
        <v>8.7190783783783772</v>
      </c>
      <c r="R52" s="18">
        <f>IFERROR(
                  Andel_oberoende_av_klimat*VLOOKUP($A52,Leveranser_per_nät,'Leveranser per nät'!R$1,FALSE)
               +Andel_beroende_av_klimat*VLOOKUP($A52,Leveranser_per_nät,'Leveranser per nät'!R$1,FALSE)/VLOOKUP($B52,Korrigeringsfaktor_GD,'Korrigeringsfaktor GD'!R$1,FALSE),
"")</f>
        <v>8.7634153846153851</v>
      </c>
      <c r="S52" s="18">
        <f>IFERROR(
                  Andel_oberoende_av_klimat*VLOOKUP($A52,Leveranser_per_nät,'Leveranser per nät'!S$1,FALSE)
               +Andel_beroende_av_klimat*VLOOKUP($A52,Leveranser_per_nät,'Leveranser per nät'!S$1,FALSE)/VLOOKUP($B52,Korrigeringsfaktor_GD,'Korrigeringsfaktor GD'!S$1,FALSE),
"")</f>
        <v>10.35</v>
      </c>
      <c r="T52" s="18">
        <f>IFERROR(
                  Andel_oberoende_av_klimat*VLOOKUP($A52,Leveranser_per_nät,'Leveranser per nät'!T$1,FALSE)
               +Andel_beroende_av_klimat*VLOOKUP($A52,Leveranser_per_nät,'Leveranser per nät'!T$1,FALSE)/VLOOKUP($B52,Korrigeringsfaktor_GD,'Korrigeringsfaktor GD'!T$1,FALSE),
"")</f>
        <v>10.239497849462365</v>
      </c>
      <c r="U52" s="18">
        <f>IFERROR(
                  Andel_oberoende_av_klimat*VLOOKUP($A52,Leveranser_per_nät,'Leveranser per nät'!U$1,FALSE)
               +Andel_beroende_av_klimat*VLOOKUP($A52,Leveranser_per_nät,'Leveranser per nät'!U$1,FALSE)/VLOOKUP($B52,Korrigeringsfaktor_GD,'Korrigeringsfaktor GD'!U$1,FALSE),
"")</f>
        <v>10.453366666666668</v>
      </c>
      <c r="V52" s="18">
        <f>IFERROR(
                  Andel_oberoende_av_klimat*VLOOKUP($A52,Leveranser_per_nät,'Leveranser per nät'!V$1,FALSE)
               +Andel_beroende_av_klimat*VLOOKUP($A52,Leveranser_per_nät,'Leveranser per nät'!V$1,FALSE)/VLOOKUP($B52,Korrigeringsfaktor_GD,'Korrigeringsfaktor GD'!V$1,FALSE),
"")</f>
        <v>10.589759090909091</v>
      </c>
      <c r="W52" s="18">
        <f>IFERROR(
                  Andel_oberoende_av_klimat*VLOOKUP($A52,Leveranser_per_nät,'Leveranser per nät'!W$1,FALSE)
               +Andel_beroende_av_klimat*VLOOKUP($A52,Leveranser_per_nät,'Leveranser per nät'!W$1,FALSE)/VLOOKUP($B52,Korrigeringsfaktor_GD,'Korrigeringsfaktor GD'!W$1,FALSE),
"")</f>
        <v>11.610024742268042</v>
      </c>
      <c r="X52" s="18">
        <f>IFERROR(
                  Andel_oberoende_av_klimat*VLOOKUP($A52,Leveranser_per_nät,'Leveranser per nät'!X$1,FALSE)
               +Andel_beroende_av_klimat*VLOOKUP($A52,Leveranser_per_nät,'Leveranser per nät'!X$1,FALSE)/VLOOKUP($B52,Korrigeringsfaktor_GD,'Korrigeringsfaktor GD'!X$1,FALSE),
"")</f>
        <v>10.808228571428572</v>
      </c>
      <c r="Y52" s="18">
        <f>IFERROR(
                  Andel_oberoende_av_klimat*VLOOKUP($A52,Leveranser_per_nät,'Leveranser per nät'!Y$1,FALSE)
               +Andel_beroende_av_klimat*VLOOKUP($A52,Leveranser_per_nät,'Leveranser per nät'!Y$1,FALSE)/VLOOKUP($B52,Korrigeringsfaktor_GD,'Korrigeringsfaktor GD'!Y$1,FALSE),
"")</f>
        <v>11.017353535353536</v>
      </c>
      <c r="Z52" s="18">
        <f>IFERROR(
                  Andel_oberoende_av_klimat*VLOOKUP($A52,Leveranser_per_nät,'Leveranser per nät'!Z$1,FALSE)
               +Andel_beroende_av_klimat*VLOOKUP($A52,Leveranser_per_nät,'Leveranser per nät'!Z$1,FALSE)/VLOOKUP($B52,Korrigeringsfaktor_GD,'Korrigeringsfaktor GD'!Z$1,FALSE),
"")</f>
        <v>11.6691</v>
      </c>
      <c r="AA52" s="18">
        <f>IFERROR(
                  Andel_oberoende_av_klimat*VLOOKUP($A52,Leveranser_per_nät,'Leveranser per nät'!AA$1,FALSE)
               +Andel_beroende_av_klimat*VLOOKUP($A52,Leveranser_per_nät,'Leveranser per nät'!AA$1,FALSE)/VLOOKUP($B52,Korrigeringsfaktor_GD,'Korrigeringsfaktor GD'!AA$1,FALSE),
"")</f>
        <v>9.8515992826866636</v>
      </c>
      <c r="AB52" s="18">
        <f>IFERROR(
                  Andel_oberoende_av_klimat*VLOOKUP($A52,Leveranser_per_nät,'Leveranser per nät'!AB$1,FALSE)
               +Andel_beroende_av_klimat*VLOOKUP($A52,Leveranser_per_nät,'Leveranser per nät'!AB$1,FALSE)/VLOOKUP($B52,Korrigeringsfaktor_GD,'Korrigeringsfaktor GD'!AB$1,FALSE),
"")</f>
        <v>10.075183064985453</v>
      </c>
      <c r="AC52" s="18">
        <f>IFERROR(
                  Andel_oberoende_av_klimat*VLOOKUP($A52,Leveranser_per_nät,'Leveranser per nät'!AC$1,FALSE)
               +Andel_beroende_av_klimat*VLOOKUP($A52,Leveranser_per_nät,'Leveranser per nät'!AC$1,FALSE)/VLOOKUP($B52,Korrigeringsfaktor_GD,'Korrigeringsfaktor GD'!AC$1,FALSE),
"")</f>
        <v>9.8747214822546976</v>
      </c>
      <c r="AD52">
        <v>240.6</v>
      </c>
    </row>
    <row r="53" spans="1:30" x14ac:dyDescent="0.25">
      <c r="A53" t="s">
        <v>62</v>
      </c>
      <c r="B53" t="s">
        <v>441</v>
      </c>
      <c r="C53" s="18">
        <f>IFERROR(
                  Andel_oberoende_av_klimat*VLOOKUP($A53,Leveranser_per_nät,'Leveranser per nät'!C$1,FALSE)
               +Andel_beroende_av_klimat*VLOOKUP($A53,Leveranser_per_nät,'Leveranser per nät'!C$1,FALSE)/VLOOKUP($B53,Korrigeringsfaktor_GD,'Korrigeringsfaktor GD'!C$1,FALSE),
"")</f>
        <v>17.281810810810811</v>
      </c>
      <c r="D53" s="18">
        <f>IFERROR(
                  Andel_oberoende_av_klimat*VLOOKUP($A53,Leveranser_per_nät,'Leveranser per nät'!D$1,FALSE)
               +Andel_beroende_av_klimat*VLOOKUP($A53,Leveranser_per_nät,'Leveranser per nät'!D$1,FALSE)/VLOOKUP($B53,Korrigeringsfaktor_GD,'Korrigeringsfaktor GD'!D$1,FALSE),
"")</f>
        <v>19.550263636363638</v>
      </c>
      <c r="E53" s="18">
        <f>IFERROR(
                  Andel_oberoende_av_klimat*VLOOKUP($A53,Leveranser_per_nät,'Leveranser per nät'!E$1,FALSE)
               +Andel_beroende_av_klimat*VLOOKUP($A53,Leveranser_per_nät,'Leveranser per nät'!E$1,FALSE)/VLOOKUP($B53,Korrigeringsfaktor_GD,'Korrigeringsfaktor GD'!E$1,FALSE),
"")</f>
        <v>18.739215686274509</v>
      </c>
      <c r="F53" s="18">
        <f>IFERROR(
                  Andel_oberoende_av_klimat*VLOOKUP($A53,Leveranser_per_nät,'Leveranser per nät'!F$1,FALSE)
               +Andel_beroende_av_klimat*VLOOKUP($A53,Leveranser_per_nät,'Leveranser per nät'!F$1,FALSE)/VLOOKUP($B53,Korrigeringsfaktor_GD,'Korrigeringsfaktor GD'!F$1,FALSE),
"")</f>
        <v>17.764797872340427</v>
      </c>
      <c r="G53" s="18">
        <f>IFERROR(
                  Andel_oberoende_av_klimat*VLOOKUP($A53,Leveranser_per_nät,'Leveranser per nät'!G$1,FALSE)
               +Andel_beroende_av_klimat*VLOOKUP($A53,Leveranser_per_nät,'Leveranser per nät'!G$1,FALSE)/VLOOKUP($B53,Korrigeringsfaktor_GD,'Korrigeringsfaktor GD'!G$1,FALSE),
"")</f>
        <v>21.90909090909091</v>
      </c>
      <c r="H53" s="18">
        <f>IFERROR(
                  Andel_oberoende_av_klimat*VLOOKUP($A53,Leveranser_per_nät,'Leveranser per nät'!H$1,FALSE)
               +Andel_beroende_av_klimat*VLOOKUP($A53,Leveranser_per_nät,'Leveranser per nät'!H$1,FALSE)/VLOOKUP($B53,Korrigeringsfaktor_GD,'Korrigeringsfaktor GD'!H$1,FALSE),
"")</f>
        <v>20.285714285714288</v>
      </c>
      <c r="I53" s="18">
        <f>IFERROR(
                  Andel_oberoende_av_klimat*VLOOKUP($A53,Leveranser_per_nät,'Leveranser per nät'!I$1,FALSE)
               +Andel_beroende_av_klimat*VLOOKUP($A53,Leveranser_per_nät,'Leveranser per nät'!I$1,FALSE)/VLOOKUP($B53,Korrigeringsfaktor_GD,'Korrigeringsfaktor GD'!I$1,FALSE),
"")</f>
        <v>23.90659793814433</v>
      </c>
      <c r="J53" s="18">
        <f>IFERROR(
                  Andel_oberoende_av_klimat*VLOOKUP($A53,Leveranser_per_nät,'Leveranser per nät'!J$1,FALSE)
               +Andel_beroende_av_klimat*VLOOKUP($A53,Leveranser_per_nät,'Leveranser per nät'!J$1,FALSE)/VLOOKUP($B53,Korrigeringsfaktor_GD,'Korrigeringsfaktor GD'!J$1,FALSE),
"")</f>
        <v>23.867575757575757</v>
      </c>
      <c r="K53" s="18">
        <f>IFERROR(
                  Andel_oberoende_av_klimat*VLOOKUP($A53,Leveranser_per_nät,'Leveranser per nät'!K$1,FALSE)
               +Andel_beroende_av_klimat*VLOOKUP($A53,Leveranser_per_nät,'Leveranser per nät'!K$1,FALSE)/VLOOKUP($B53,Korrigeringsfaktor_GD,'Korrigeringsfaktor GD'!K$1,FALSE),
"")</f>
        <v>28.919314285714286</v>
      </c>
      <c r="L53" s="18">
        <f>IFERROR(
                  Andel_oberoende_av_klimat*VLOOKUP($A53,Leveranser_per_nät,'Leveranser per nät'!L$1,FALSE)
               +Andel_beroende_av_klimat*VLOOKUP($A53,Leveranser_per_nät,'Leveranser per nät'!L$1,FALSE)/VLOOKUP($B53,Korrigeringsfaktor_GD,'Korrigeringsfaktor GD'!L$1,FALSE),
"")</f>
        <v>26.496499999999997</v>
      </c>
      <c r="M53" s="18">
        <f>IFERROR(
                  Andel_oberoende_av_klimat*VLOOKUP($A53,Leveranser_per_nät,'Leveranser per nät'!M$1,FALSE)
               +Andel_beroende_av_klimat*VLOOKUP($A53,Leveranser_per_nät,'Leveranser per nät'!M$1,FALSE)/VLOOKUP($B53,Korrigeringsfaktor_GD,'Korrigeringsfaktor GD'!M$1,FALSE),
"")</f>
        <v>23.790752688172045</v>
      </c>
      <c r="N53" s="18">
        <f>IFERROR(
                  Andel_oberoende_av_klimat*VLOOKUP($A53,Leveranser_per_nät,'Leveranser per nät'!N$1,FALSE)
               +Andel_beroende_av_klimat*VLOOKUP($A53,Leveranser_per_nät,'Leveranser per nät'!N$1,FALSE)/VLOOKUP($B53,Korrigeringsfaktor_GD,'Korrigeringsfaktor GD'!N$1,FALSE),
"")</f>
        <v>23.689217391304346</v>
      </c>
      <c r="O53" s="18">
        <f>IFERROR(
                  Andel_oberoende_av_klimat*VLOOKUP($A53,Leveranser_per_nät,'Leveranser per nät'!O$1,FALSE)
               +Andel_beroende_av_klimat*VLOOKUP($A53,Leveranser_per_nät,'Leveranser per nät'!O$1,FALSE)/VLOOKUP($B53,Korrigeringsfaktor_GD,'Korrigeringsfaktor GD'!O$1,FALSE),
"")</f>
        <v>29.46772727272727</v>
      </c>
      <c r="P53" s="18">
        <f>IFERROR(
                  Andel_oberoende_av_klimat*VLOOKUP($A53,Leveranser_per_nät,'Leveranser per nät'!P$1,FALSE)
               +Andel_beroende_av_klimat*VLOOKUP($A53,Leveranser_per_nät,'Leveranser per nät'!P$1,FALSE)/VLOOKUP($B53,Korrigeringsfaktor_GD,'Korrigeringsfaktor GD'!P$1,FALSE),
"")</f>
        <v>31.671134020618556</v>
      </c>
      <c r="Q53" s="18">
        <f>IFERROR(
                  Andel_oberoende_av_klimat*VLOOKUP($A53,Leveranser_per_nät,'Leveranser per nät'!Q$1,FALSE)
               +Andel_beroende_av_klimat*VLOOKUP($A53,Leveranser_per_nät,'Leveranser per nät'!Q$1,FALSE)/VLOOKUP($B53,Korrigeringsfaktor_GD,'Korrigeringsfaktor GD'!Q$1,FALSE),
"")</f>
        <v>33.685897435897438</v>
      </c>
      <c r="R53" s="18">
        <f>IFERROR(
                  Andel_oberoende_av_klimat*VLOOKUP($A53,Leveranser_per_nät,'Leveranser per nät'!R$1,FALSE)
               +Andel_beroende_av_klimat*VLOOKUP($A53,Leveranser_per_nät,'Leveranser per nät'!R$1,FALSE)/VLOOKUP($B53,Korrigeringsfaktor_GD,'Korrigeringsfaktor GD'!R$1,FALSE),
"")</f>
        <v>40.416666666666664</v>
      </c>
      <c r="S53" s="18">
        <f>IFERROR(
                  Andel_oberoende_av_klimat*VLOOKUP($A53,Leveranser_per_nät,'Leveranser per nät'!S$1,FALSE)
               +Andel_beroende_av_klimat*VLOOKUP($A53,Leveranser_per_nät,'Leveranser per nät'!S$1,FALSE)/VLOOKUP($B53,Korrigeringsfaktor_GD,'Korrigeringsfaktor GD'!S$1,FALSE),
"")</f>
        <v>34</v>
      </c>
      <c r="T53" s="18">
        <f>IFERROR(
                  Andel_oberoende_av_klimat*VLOOKUP($A53,Leveranser_per_nät,'Leveranser per nät'!T$1,FALSE)
               +Andel_beroende_av_klimat*VLOOKUP($A53,Leveranser_per_nät,'Leveranser per nät'!T$1,FALSE)/VLOOKUP($B53,Korrigeringsfaktor_GD,'Korrigeringsfaktor GD'!T$1,FALSE),
"")</f>
        <v>33.859583333333333</v>
      </c>
      <c r="U53" s="18">
        <f>IFERROR(
                  Andel_oberoende_av_klimat*VLOOKUP($A53,Leveranser_per_nät,'Leveranser per nät'!U$1,FALSE)
               +Andel_beroende_av_klimat*VLOOKUP($A53,Leveranser_per_nät,'Leveranser per nät'!U$1,FALSE)/VLOOKUP($B53,Korrigeringsfaktor_GD,'Korrigeringsfaktor GD'!U$1,FALSE),
"")</f>
        <v>28.810454545454547</v>
      </c>
      <c r="V53" s="18">
        <f>IFERROR(
                  Andel_oberoende_av_klimat*VLOOKUP($A53,Leveranser_per_nät,'Leveranser per nät'!V$1,FALSE)
               +Andel_beroende_av_klimat*VLOOKUP($A53,Leveranser_per_nät,'Leveranser per nät'!V$1,FALSE)/VLOOKUP($B53,Korrigeringsfaktor_GD,'Korrigeringsfaktor GD'!V$1,FALSE),
"")</f>
        <v>33.027471264367811</v>
      </c>
      <c r="W53" s="18">
        <f>IFERROR(
                  Andel_oberoende_av_klimat*VLOOKUP($A53,Leveranser_per_nät,'Leveranser per nät'!W$1,FALSE)
               +Andel_beroende_av_klimat*VLOOKUP($A53,Leveranser_per_nät,'Leveranser per nät'!W$1,FALSE)/VLOOKUP($B53,Korrigeringsfaktor_GD,'Korrigeringsfaktor GD'!W$1,FALSE),
"")</f>
        <v>34.159999999999997</v>
      </c>
      <c r="X53" s="18" t="str">
        <f>IFERROR(
                  Andel_oberoende_av_klimat*VLOOKUP($A53,Leveranser_per_nät,'Leveranser per nät'!X$1,FALSE)
               +Andel_beroende_av_klimat*VLOOKUP($A53,Leveranser_per_nät,'Leveranser per nät'!X$1,FALSE)/VLOOKUP($B53,Korrigeringsfaktor_GD,'Korrigeringsfaktor GD'!X$1,FALSE),
"")</f>
        <v/>
      </c>
      <c r="Y53" s="18" t="str">
        <f>IFERROR(
                  Andel_oberoende_av_klimat*VLOOKUP($A53,Leveranser_per_nät,'Leveranser per nät'!Y$1,FALSE)
               +Andel_beroende_av_klimat*VLOOKUP($A53,Leveranser_per_nät,'Leveranser per nät'!Y$1,FALSE)/VLOOKUP($B53,Korrigeringsfaktor_GD,'Korrigeringsfaktor GD'!Y$1,FALSE),
"")</f>
        <v/>
      </c>
      <c r="Z53" s="18">
        <f>IFERROR(
                  Andel_oberoende_av_klimat*VLOOKUP($A53,Leveranser_per_nät,'Leveranser per nät'!Z$1,FALSE)
               +Andel_beroende_av_klimat*VLOOKUP($A53,Leveranser_per_nät,'Leveranser per nät'!Z$1,FALSE)/VLOOKUP($B53,Korrigeringsfaktor_GD,'Korrigeringsfaktor GD'!Z$1,FALSE),
"")</f>
        <v>36.369090909090914</v>
      </c>
      <c r="AA53" s="18">
        <f>IFERROR(
                  Andel_oberoende_av_klimat*VLOOKUP($A53,Leveranser_per_nät,'Leveranser per nät'!AA$1,FALSE)
               +Andel_beroende_av_klimat*VLOOKUP($A53,Leveranser_per_nät,'Leveranser per nät'!AA$1,FALSE)/VLOOKUP($B53,Korrigeringsfaktor_GD,'Korrigeringsfaktor GD'!AA$1,FALSE),
"")</f>
        <v>36.013374485596707</v>
      </c>
      <c r="AB53" s="18">
        <f>IFERROR(
                  Andel_oberoende_av_klimat*VLOOKUP($A53,Leveranser_per_nät,'Leveranser per nät'!AB$1,FALSE)
               +Andel_beroende_av_klimat*VLOOKUP($A53,Leveranser_per_nät,'Leveranser per nät'!AB$1,FALSE)/VLOOKUP($B53,Korrigeringsfaktor_GD,'Korrigeringsfaktor GD'!AB$1,FALSE),
"")</f>
        <v>34.832989115646257</v>
      </c>
      <c r="AC53" s="18">
        <f>IFERROR(
                  Andel_oberoende_av_klimat*VLOOKUP($A53,Leveranser_per_nät,'Leveranser per nät'!AC$1,FALSE)
               +Andel_beroende_av_klimat*VLOOKUP($A53,Leveranser_per_nät,'Leveranser per nät'!AC$1,FALSE)/VLOOKUP($B53,Korrigeringsfaktor_GD,'Korrigeringsfaktor GD'!AC$1,FALSE),
"")</f>
        <v>34.427826086956529</v>
      </c>
      <c r="AD53" t="e">
        <v>#N/A</v>
      </c>
    </row>
    <row r="54" spans="1:30" x14ac:dyDescent="0.25">
      <c r="A54" t="s">
        <v>496</v>
      </c>
      <c r="B54" t="s">
        <v>126</v>
      </c>
      <c r="C54" s="18">
        <f>IFERROR(
                  Andel_oberoende_av_klimat*VLOOKUP($A54,Leveranser_per_nät,'Leveranser per nät'!C$1,FALSE)
               +Andel_beroende_av_klimat*VLOOKUP($A54,Leveranser_per_nät,'Leveranser per nät'!C$1,FALSE)/VLOOKUP($B54,Korrigeringsfaktor_GD,'Korrigeringsfaktor GD'!C$1,FALSE),
"")</f>
        <v>0</v>
      </c>
      <c r="D54" s="18">
        <f>IFERROR(
                  Andel_oberoende_av_klimat*VLOOKUP($A54,Leveranser_per_nät,'Leveranser per nät'!D$1,FALSE)
               +Andel_beroende_av_klimat*VLOOKUP($A54,Leveranser_per_nät,'Leveranser per nät'!D$1,FALSE)/VLOOKUP($B54,Korrigeringsfaktor_GD,'Korrigeringsfaktor GD'!D$1,FALSE),
"")</f>
        <v>0</v>
      </c>
      <c r="E54" s="18">
        <f>IFERROR(
                  Andel_oberoende_av_klimat*VLOOKUP($A54,Leveranser_per_nät,'Leveranser per nät'!E$1,FALSE)
               +Andel_beroende_av_klimat*VLOOKUP($A54,Leveranser_per_nät,'Leveranser per nät'!E$1,FALSE)/VLOOKUP($B54,Korrigeringsfaktor_GD,'Korrigeringsfaktor GD'!E$1,FALSE),
"")</f>
        <v>0</v>
      </c>
      <c r="F54" s="18">
        <f>IFERROR(
                  Andel_oberoende_av_klimat*VLOOKUP($A54,Leveranser_per_nät,'Leveranser per nät'!F$1,FALSE)
               +Andel_beroende_av_klimat*VLOOKUP($A54,Leveranser_per_nät,'Leveranser per nät'!F$1,FALSE)/VLOOKUP($B54,Korrigeringsfaktor_GD,'Korrigeringsfaktor GD'!F$1,FALSE),
"")</f>
        <v>0</v>
      </c>
      <c r="G54" s="18">
        <f>IFERROR(
                  Andel_oberoende_av_klimat*VLOOKUP($A54,Leveranser_per_nät,'Leveranser per nät'!G$1,FALSE)
               +Andel_beroende_av_klimat*VLOOKUP($A54,Leveranser_per_nät,'Leveranser per nät'!G$1,FALSE)/VLOOKUP($B54,Korrigeringsfaktor_GD,'Korrigeringsfaktor GD'!G$1,FALSE),
"")</f>
        <v>0</v>
      </c>
      <c r="H54" s="18">
        <f>IFERROR(
                  Andel_oberoende_av_klimat*VLOOKUP($A54,Leveranser_per_nät,'Leveranser per nät'!H$1,FALSE)
               +Andel_beroende_av_klimat*VLOOKUP($A54,Leveranser_per_nät,'Leveranser per nät'!H$1,FALSE)/VLOOKUP($B54,Korrigeringsfaktor_GD,'Korrigeringsfaktor GD'!H$1,FALSE),
"")</f>
        <v>0</v>
      </c>
      <c r="I54" s="18">
        <f>IFERROR(
                  Andel_oberoende_av_klimat*VLOOKUP($A54,Leveranser_per_nät,'Leveranser per nät'!I$1,FALSE)
               +Andel_beroende_av_klimat*VLOOKUP($A54,Leveranser_per_nät,'Leveranser per nät'!I$1,FALSE)/VLOOKUP($B54,Korrigeringsfaktor_GD,'Korrigeringsfaktor GD'!I$1,FALSE),
"")</f>
        <v>0</v>
      </c>
      <c r="J54" s="18">
        <f>IFERROR(
                  Andel_oberoende_av_klimat*VLOOKUP($A54,Leveranser_per_nät,'Leveranser per nät'!J$1,FALSE)
               +Andel_beroende_av_klimat*VLOOKUP($A54,Leveranser_per_nät,'Leveranser per nät'!J$1,FALSE)/VLOOKUP($B54,Korrigeringsfaktor_GD,'Korrigeringsfaktor GD'!J$1,FALSE),
"")</f>
        <v>0</v>
      </c>
      <c r="K54" s="18">
        <f>IFERROR(
                  Andel_oberoende_av_klimat*VLOOKUP($A54,Leveranser_per_nät,'Leveranser per nät'!K$1,FALSE)
               +Andel_beroende_av_klimat*VLOOKUP($A54,Leveranser_per_nät,'Leveranser per nät'!K$1,FALSE)/VLOOKUP($B54,Korrigeringsfaktor_GD,'Korrigeringsfaktor GD'!K$1,FALSE),
"")</f>
        <v>0</v>
      </c>
      <c r="L54" s="18">
        <f>IFERROR(
                  Andel_oberoende_av_klimat*VLOOKUP($A54,Leveranser_per_nät,'Leveranser per nät'!L$1,FALSE)
               +Andel_beroende_av_klimat*VLOOKUP($A54,Leveranser_per_nät,'Leveranser per nät'!L$1,FALSE)/VLOOKUP($B54,Korrigeringsfaktor_GD,'Korrigeringsfaktor GD'!L$1,FALSE),
"")</f>
        <v>0</v>
      </c>
      <c r="M54" s="18">
        <f>IFERROR(
                  Andel_oberoende_av_klimat*VLOOKUP($A54,Leveranser_per_nät,'Leveranser per nät'!M$1,FALSE)
               +Andel_beroende_av_klimat*VLOOKUP($A54,Leveranser_per_nät,'Leveranser per nät'!M$1,FALSE)/VLOOKUP($B54,Korrigeringsfaktor_GD,'Korrigeringsfaktor GD'!M$1,FALSE),
"")</f>
        <v>0</v>
      </c>
      <c r="N54" s="18">
        <f>IFERROR(
                  Andel_oberoende_av_klimat*VLOOKUP($A54,Leveranser_per_nät,'Leveranser per nät'!N$1,FALSE)
               +Andel_beroende_av_klimat*VLOOKUP($A54,Leveranser_per_nät,'Leveranser per nät'!N$1,FALSE)/VLOOKUP($B54,Korrigeringsfaktor_GD,'Korrigeringsfaktor GD'!N$1,FALSE),
"")</f>
        <v>0</v>
      </c>
      <c r="O54" s="18">
        <f>IFERROR(
                  Andel_oberoende_av_klimat*VLOOKUP($A54,Leveranser_per_nät,'Leveranser per nät'!O$1,FALSE)
               +Andel_beroende_av_klimat*VLOOKUP($A54,Leveranser_per_nät,'Leveranser per nät'!O$1,FALSE)/VLOOKUP($B54,Korrigeringsfaktor_GD,'Korrigeringsfaktor GD'!O$1,FALSE),
"")</f>
        <v>0</v>
      </c>
      <c r="P54" s="18">
        <f>IFERROR(
                  Andel_oberoende_av_klimat*VLOOKUP($A54,Leveranser_per_nät,'Leveranser per nät'!P$1,FALSE)
               +Andel_beroende_av_klimat*VLOOKUP($A54,Leveranser_per_nät,'Leveranser per nät'!P$1,FALSE)/VLOOKUP($B54,Korrigeringsfaktor_GD,'Korrigeringsfaktor GD'!P$1,FALSE),
"")</f>
        <v>0</v>
      </c>
      <c r="Q54" s="18">
        <f>IFERROR(
                  Andel_oberoende_av_klimat*VLOOKUP($A54,Leveranser_per_nät,'Leveranser per nät'!Q$1,FALSE)
               +Andel_beroende_av_klimat*VLOOKUP($A54,Leveranser_per_nät,'Leveranser per nät'!Q$1,FALSE)/VLOOKUP($B54,Korrigeringsfaktor_GD,'Korrigeringsfaktor GD'!Q$1,FALSE),
"")</f>
        <v>0</v>
      </c>
      <c r="R54" s="18">
        <f>IFERROR(
                  Andel_oberoende_av_klimat*VLOOKUP($A54,Leveranser_per_nät,'Leveranser per nät'!R$1,FALSE)
               +Andel_beroende_av_klimat*VLOOKUP($A54,Leveranser_per_nät,'Leveranser per nät'!R$1,FALSE)/VLOOKUP($B54,Korrigeringsfaktor_GD,'Korrigeringsfaktor GD'!R$1,FALSE),
"")</f>
        <v>2.0454384615384615</v>
      </c>
      <c r="S54" s="18">
        <f>IFERROR(
                  Andel_oberoende_av_klimat*VLOOKUP($A54,Leveranser_per_nät,'Leveranser per nät'!S$1,FALSE)
               +Andel_beroende_av_klimat*VLOOKUP($A54,Leveranser_per_nät,'Leveranser per nät'!S$1,FALSE)/VLOOKUP($B54,Korrigeringsfaktor_GD,'Korrigeringsfaktor GD'!S$1,FALSE),
"")</f>
        <v>2.06</v>
      </c>
      <c r="T54" s="18">
        <f>IFERROR(
                  Andel_oberoende_av_klimat*VLOOKUP($A54,Leveranser_per_nät,'Leveranser per nät'!T$1,FALSE)
               +Andel_beroende_av_klimat*VLOOKUP($A54,Leveranser_per_nät,'Leveranser per nät'!T$1,FALSE)/VLOOKUP($B54,Korrigeringsfaktor_GD,'Korrigeringsfaktor GD'!T$1,FALSE),
"")</f>
        <v>2.0767947368421051</v>
      </c>
      <c r="U54" s="18">
        <f>IFERROR(
                  Andel_oberoende_av_klimat*VLOOKUP($A54,Leveranser_per_nät,'Leveranser per nät'!U$1,FALSE)
               +Andel_beroende_av_klimat*VLOOKUP($A54,Leveranser_per_nät,'Leveranser per nät'!U$1,FALSE)/VLOOKUP($B54,Korrigeringsfaktor_GD,'Korrigeringsfaktor GD'!U$1,FALSE),
"")</f>
        <v>2.2988999999999997</v>
      </c>
      <c r="V54" s="18">
        <f>IFERROR(
                  Andel_oberoende_av_klimat*VLOOKUP($A54,Leveranser_per_nät,'Leveranser per nät'!V$1,FALSE)
               +Andel_beroende_av_klimat*VLOOKUP($A54,Leveranser_per_nät,'Leveranser per nät'!V$1,FALSE)/VLOOKUP($B54,Korrigeringsfaktor_GD,'Korrigeringsfaktor GD'!V$1,FALSE),
"")</f>
        <v>2.7275150537634412</v>
      </c>
      <c r="W54" s="18">
        <f>IFERROR(
                  Andel_oberoende_av_klimat*VLOOKUP($A54,Leveranser_per_nät,'Leveranser per nät'!W$1,FALSE)
               +Andel_beroende_av_klimat*VLOOKUP($A54,Leveranser_per_nät,'Leveranser per nät'!W$1,FALSE)/VLOOKUP($B54,Korrigeringsfaktor_GD,'Korrigeringsfaktor GD'!W$1,FALSE),
"")</f>
        <v>2.6562886597938147</v>
      </c>
      <c r="X54" s="18">
        <f>IFERROR(
                  Andel_oberoende_av_klimat*VLOOKUP($A54,Leveranser_per_nät,'Leveranser per nät'!X$1,FALSE)
               +Andel_beroende_av_klimat*VLOOKUP($A54,Leveranser_per_nät,'Leveranser per nät'!X$1,FALSE)/VLOOKUP($B54,Korrigeringsfaktor_GD,'Korrigeringsfaktor GD'!X$1,FALSE),
"")</f>
        <v>2.3162626262626262</v>
      </c>
      <c r="Y54" s="18">
        <f>IFERROR(
                  Andel_oberoende_av_klimat*VLOOKUP($A54,Leveranser_per_nät,'Leveranser per nät'!Y$1,FALSE)
               +Andel_beroende_av_klimat*VLOOKUP($A54,Leveranser_per_nät,'Leveranser per nät'!Y$1,FALSE)/VLOOKUP($B54,Korrigeringsfaktor_GD,'Korrigeringsfaktor GD'!Y$1,FALSE),
"")</f>
        <v>2.4519587628865982</v>
      </c>
      <c r="Z54" s="18">
        <f>IFERROR(
                  Andel_oberoende_av_klimat*VLOOKUP($A54,Leveranser_per_nät,'Leveranser per nät'!Z$1,FALSE)
               +Andel_beroende_av_klimat*VLOOKUP($A54,Leveranser_per_nät,'Leveranser per nät'!Z$1,FALSE)/VLOOKUP($B54,Korrigeringsfaktor_GD,'Korrigeringsfaktor GD'!Z$1,FALSE),
"")</f>
        <v>2.6730769230769229</v>
      </c>
      <c r="AA54" s="18">
        <f>IFERROR(
                  Andel_oberoende_av_klimat*VLOOKUP($A54,Leveranser_per_nät,'Leveranser per nät'!AA$1,FALSE)
               +Andel_beroende_av_klimat*VLOOKUP($A54,Leveranser_per_nät,'Leveranser per nät'!AA$1,FALSE)/VLOOKUP($B54,Korrigeringsfaktor_GD,'Korrigeringsfaktor GD'!AA$1,FALSE),
"")</f>
        <v>2.3426340801086218</v>
      </c>
      <c r="AB54" s="18">
        <f>IFERROR(
                  Andel_oberoende_av_klimat*VLOOKUP($A54,Leveranser_per_nät,'Leveranser per nät'!AB$1,FALSE)
               +Andel_beroende_av_klimat*VLOOKUP($A54,Leveranser_per_nät,'Leveranser per nät'!AB$1,FALSE)/VLOOKUP($B54,Korrigeringsfaktor_GD,'Korrigeringsfaktor GD'!AB$1,FALSE),
"")</f>
        <v>1.7826035502958582</v>
      </c>
      <c r="AC54" s="18">
        <f>IFERROR(
                  Andel_oberoende_av_klimat*VLOOKUP($A54,Leveranser_per_nät,'Leveranser per nät'!AC$1,FALSE)
               +Andel_beroende_av_klimat*VLOOKUP($A54,Leveranser_per_nät,'Leveranser per nät'!AC$1,FALSE)/VLOOKUP($B54,Korrigeringsfaktor_GD,'Korrigeringsfaktor GD'!AC$1,FALSE),
"")</f>
        <v>1.7215548387096775</v>
      </c>
      <c r="AD54">
        <v>10.417</v>
      </c>
    </row>
    <row r="55" spans="1:30" x14ac:dyDescent="0.25">
      <c r="A55" t="s">
        <v>828</v>
      </c>
      <c r="B55" t="s">
        <v>335</v>
      </c>
      <c r="C55" s="18">
        <f>IFERROR(
                  Andel_oberoende_av_klimat*VLOOKUP($A55,Leveranser_per_nät,'Leveranser per nät'!C$1,FALSE)
               +Andel_beroende_av_klimat*VLOOKUP($A55,Leveranser_per_nät,'Leveranser per nät'!C$1,FALSE)/VLOOKUP($B55,Korrigeringsfaktor_GD,'Korrigeringsfaktor GD'!C$1,FALSE),
"")</f>
        <v>0</v>
      </c>
      <c r="D55" s="18">
        <f>IFERROR(
                  Andel_oberoende_av_klimat*VLOOKUP($A55,Leveranser_per_nät,'Leveranser per nät'!D$1,FALSE)
               +Andel_beroende_av_klimat*VLOOKUP($A55,Leveranser_per_nät,'Leveranser per nät'!D$1,FALSE)/VLOOKUP($B55,Korrigeringsfaktor_GD,'Korrigeringsfaktor GD'!D$1,FALSE),
"")</f>
        <v>0</v>
      </c>
      <c r="E55" s="18">
        <f>IFERROR(
                  Andel_oberoende_av_klimat*VLOOKUP($A55,Leveranser_per_nät,'Leveranser per nät'!E$1,FALSE)
               +Andel_beroende_av_klimat*VLOOKUP($A55,Leveranser_per_nät,'Leveranser per nät'!E$1,FALSE)/VLOOKUP($B55,Korrigeringsfaktor_GD,'Korrigeringsfaktor GD'!E$1,FALSE),
"")</f>
        <v>0</v>
      </c>
      <c r="F55" s="18">
        <f>IFERROR(
                  Andel_oberoende_av_klimat*VLOOKUP($A55,Leveranser_per_nät,'Leveranser per nät'!F$1,FALSE)
               +Andel_beroende_av_klimat*VLOOKUP($A55,Leveranser_per_nät,'Leveranser per nät'!F$1,FALSE)/VLOOKUP($B55,Korrigeringsfaktor_GD,'Korrigeringsfaktor GD'!F$1,FALSE),
"")</f>
        <v>0</v>
      </c>
      <c r="G55" s="18">
        <f>IFERROR(
                  Andel_oberoende_av_klimat*VLOOKUP($A55,Leveranser_per_nät,'Leveranser per nät'!G$1,FALSE)
               +Andel_beroende_av_klimat*VLOOKUP($A55,Leveranser_per_nät,'Leveranser per nät'!G$1,FALSE)/VLOOKUP($B55,Korrigeringsfaktor_GD,'Korrigeringsfaktor GD'!G$1,FALSE),
"")</f>
        <v>0</v>
      </c>
      <c r="H55" s="18">
        <f>IFERROR(
                  Andel_oberoende_av_klimat*VLOOKUP($A55,Leveranser_per_nät,'Leveranser per nät'!H$1,FALSE)
               +Andel_beroende_av_klimat*VLOOKUP($A55,Leveranser_per_nät,'Leveranser per nät'!H$1,FALSE)/VLOOKUP($B55,Korrigeringsfaktor_GD,'Korrigeringsfaktor GD'!H$1,FALSE),
"")</f>
        <v>0</v>
      </c>
      <c r="I55" s="18">
        <f>IFERROR(
                  Andel_oberoende_av_klimat*VLOOKUP($A55,Leveranser_per_nät,'Leveranser per nät'!I$1,FALSE)
               +Andel_beroende_av_klimat*VLOOKUP($A55,Leveranser_per_nät,'Leveranser per nät'!I$1,FALSE)/VLOOKUP($B55,Korrigeringsfaktor_GD,'Korrigeringsfaktor GD'!I$1,FALSE),
"")</f>
        <v>0</v>
      </c>
      <c r="J55" s="18">
        <f>IFERROR(
                  Andel_oberoende_av_klimat*VLOOKUP($A55,Leveranser_per_nät,'Leveranser per nät'!J$1,FALSE)
               +Andel_beroende_av_klimat*VLOOKUP($A55,Leveranser_per_nät,'Leveranser per nät'!J$1,FALSE)/VLOOKUP($B55,Korrigeringsfaktor_GD,'Korrigeringsfaktor GD'!J$1,FALSE),
"")</f>
        <v>0</v>
      </c>
      <c r="K55" s="18">
        <f>IFERROR(
                  Andel_oberoende_av_klimat*VLOOKUP($A55,Leveranser_per_nät,'Leveranser per nät'!K$1,FALSE)
               +Andel_beroende_av_klimat*VLOOKUP($A55,Leveranser_per_nät,'Leveranser per nät'!K$1,FALSE)/VLOOKUP($B55,Korrigeringsfaktor_GD,'Korrigeringsfaktor GD'!K$1,FALSE),
"")</f>
        <v>0</v>
      </c>
      <c r="L55" s="18">
        <f>IFERROR(
                  Andel_oberoende_av_klimat*VLOOKUP($A55,Leveranser_per_nät,'Leveranser per nät'!L$1,FALSE)
               +Andel_beroende_av_klimat*VLOOKUP($A55,Leveranser_per_nät,'Leveranser per nät'!L$1,FALSE)/VLOOKUP($B55,Korrigeringsfaktor_GD,'Korrigeringsfaktor GD'!L$1,FALSE),
"")</f>
        <v>0</v>
      </c>
      <c r="M55" s="18">
        <f>IFERROR(
                  Andel_oberoende_av_klimat*VLOOKUP($A55,Leveranser_per_nät,'Leveranser per nät'!M$1,FALSE)
               +Andel_beroende_av_klimat*VLOOKUP($A55,Leveranser_per_nät,'Leveranser per nät'!M$1,FALSE)/VLOOKUP($B55,Korrigeringsfaktor_GD,'Korrigeringsfaktor GD'!M$1,FALSE),
"")</f>
        <v>0</v>
      </c>
      <c r="N55" s="18">
        <f>IFERROR(
                  Andel_oberoende_av_klimat*VLOOKUP($A55,Leveranser_per_nät,'Leveranser per nät'!N$1,FALSE)
               +Andel_beroende_av_klimat*VLOOKUP($A55,Leveranser_per_nät,'Leveranser per nät'!N$1,FALSE)/VLOOKUP($B55,Korrigeringsfaktor_GD,'Korrigeringsfaktor GD'!N$1,FALSE),
"")</f>
        <v>0</v>
      </c>
      <c r="O55" s="18">
        <f>IFERROR(
                  Andel_oberoende_av_klimat*VLOOKUP($A55,Leveranser_per_nät,'Leveranser per nät'!O$1,FALSE)
               +Andel_beroende_av_klimat*VLOOKUP($A55,Leveranser_per_nät,'Leveranser per nät'!O$1,FALSE)/VLOOKUP($B55,Korrigeringsfaktor_GD,'Korrigeringsfaktor GD'!O$1,FALSE),
"")</f>
        <v>0</v>
      </c>
      <c r="P55" s="18">
        <f>IFERROR(
                  Andel_oberoende_av_klimat*VLOOKUP($A55,Leveranser_per_nät,'Leveranser per nät'!P$1,FALSE)
               +Andel_beroende_av_klimat*VLOOKUP($A55,Leveranser_per_nät,'Leveranser per nät'!P$1,FALSE)/VLOOKUP($B55,Korrigeringsfaktor_GD,'Korrigeringsfaktor GD'!P$1,FALSE),
"")</f>
        <v>0</v>
      </c>
      <c r="Q55" s="18">
        <f>IFERROR(
                  Andel_oberoende_av_klimat*VLOOKUP($A55,Leveranser_per_nät,'Leveranser per nät'!Q$1,FALSE)
               +Andel_beroende_av_klimat*VLOOKUP($A55,Leveranser_per_nät,'Leveranser per nät'!Q$1,FALSE)/VLOOKUP($B55,Korrigeringsfaktor_GD,'Korrigeringsfaktor GD'!Q$1,FALSE),
"")</f>
        <v>0</v>
      </c>
      <c r="R55" s="18">
        <f>IFERROR(
                  Andel_oberoende_av_klimat*VLOOKUP($A55,Leveranser_per_nät,'Leveranser per nät'!R$1,FALSE)
               +Andel_beroende_av_klimat*VLOOKUP($A55,Leveranser_per_nät,'Leveranser per nät'!R$1,FALSE)/VLOOKUP($B55,Korrigeringsfaktor_GD,'Korrigeringsfaktor GD'!R$1,FALSE),
"")</f>
        <v>0</v>
      </c>
      <c r="S55" s="18">
        <f>IFERROR(
                  Andel_oberoende_av_klimat*VLOOKUP($A55,Leveranser_per_nät,'Leveranser per nät'!S$1,FALSE)
               +Andel_beroende_av_klimat*VLOOKUP($A55,Leveranser_per_nät,'Leveranser per nät'!S$1,FALSE)/VLOOKUP($B55,Korrigeringsfaktor_GD,'Korrigeringsfaktor GD'!S$1,FALSE),
"")</f>
        <v>2</v>
      </c>
      <c r="T55" s="18">
        <f>IFERROR(
                  Andel_oberoende_av_klimat*VLOOKUP($A55,Leveranser_per_nät,'Leveranser per nät'!T$1,FALSE)
               +Andel_beroende_av_klimat*VLOOKUP($A55,Leveranser_per_nät,'Leveranser per nät'!T$1,FALSE)/VLOOKUP($B55,Korrigeringsfaktor_GD,'Korrigeringsfaktor GD'!T$1,FALSE),
"")</f>
        <v>2.0736842105263156</v>
      </c>
      <c r="U55" s="18">
        <f>IFERROR(
                  Andel_oberoende_av_klimat*VLOOKUP($A55,Leveranser_per_nät,'Leveranser per nät'!U$1,FALSE)
               +Andel_beroende_av_klimat*VLOOKUP($A55,Leveranser_per_nät,'Leveranser per nät'!U$1,FALSE)/VLOOKUP($B55,Korrigeringsfaktor_GD,'Korrigeringsfaktor GD'!U$1,FALSE),
"")</f>
        <v>2.0122292134831463</v>
      </c>
      <c r="V55" s="18">
        <f>IFERROR(
                  Andel_oberoende_av_klimat*VLOOKUP($A55,Leveranser_per_nät,'Leveranser per nät'!V$1,FALSE)
               +Andel_beroende_av_klimat*VLOOKUP($A55,Leveranser_per_nät,'Leveranser per nät'!V$1,FALSE)/VLOOKUP($B55,Korrigeringsfaktor_GD,'Korrigeringsfaktor GD'!V$1,FALSE),
"")</f>
        <v>1.9915853932584269</v>
      </c>
      <c r="W55" s="18">
        <f>IFERROR(
                  Andel_oberoende_av_klimat*VLOOKUP($A55,Leveranser_per_nät,'Leveranser per nät'!W$1,FALSE)
               +Andel_beroende_av_klimat*VLOOKUP($A55,Leveranser_per_nät,'Leveranser per nät'!W$1,FALSE)/VLOOKUP($B55,Korrigeringsfaktor_GD,'Korrigeringsfaktor GD'!W$1,FALSE),
"")</f>
        <v>1.8443096774193548</v>
      </c>
      <c r="X55" s="18">
        <f>IFERROR(
                  Andel_oberoende_av_klimat*VLOOKUP($A55,Leveranser_per_nät,'Leveranser per nät'!X$1,FALSE)
               +Andel_beroende_av_klimat*VLOOKUP($A55,Leveranser_per_nät,'Leveranser per nät'!X$1,FALSE)/VLOOKUP($B55,Korrigeringsfaktor_GD,'Korrigeringsfaktor GD'!X$1,FALSE),
"")</f>
        <v>1.8804255319148937</v>
      </c>
      <c r="Y55" s="18">
        <f>IFERROR(
                  Andel_oberoende_av_klimat*VLOOKUP($A55,Leveranser_per_nät,'Leveranser per nät'!Y$1,FALSE)
               +Andel_beroende_av_klimat*VLOOKUP($A55,Leveranser_per_nät,'Leveranser per nät'!Y$1,FALSE)/VLOOKUP($B55,Korrigeringsfaktor_GD,'Korrigeringsfaktor GD'!Y$1,FALSE),
"")</f>
        <v>1.8034782608695652</v>
      </c>
      <c r="Z55" s="18">
        <f>IFERROR(
                  Andel_oberoende_av_klimat*VLOOKUP($A55,Leveranser_per_nät,'Leveranser per nät'!Z$1,FALSE)
               +Andel_beroende_av_klimat*VLOOKUP($A55,Leveranser_per_nät,'Leveranser per nät'!Z$1,FALSE)/VLOOKUP($B55,Korrigeringsfaktor_GD,'Korrigeringsfaktor GD'!Z$1,FALSE),
"")</f>
        <v>1.6431818181818181</v>
      </c>
      <c r="AA55" s="18">
        <f>IFERROR(
                  Andel_oberoende_av_klimat*VLOOKUP($A55,Leveranser_per_nät,'Leveranser per nät'!AA$1,FALSE)
               +Andel_beroende_av_klimat*VLOOKUP($A55,Leveranser_per_nät,'Leveranser per nät'!AA$1,FALSE)/VLOOKUP($B55,Korrigeringsfaktor_GD,'Korrigeringsfaktor GD'!AA$1,FALSE),
"")</f>
        <v>1.6885928827946457</v>
      </c>
      <c r="AB55" s="18">
        <f>IFERROR(
                  Andel_oberoende_av_klimat*VLOOKUP($A55,Leveranser_per_nät,'Leveranser per nät'!AB$1,FALSE)
               +Andel_beroende_av_klimat*VLOOKUP($A55,Leveranser_per_nät,'Leveranser per nät'!AB$1,FALSE)/VLOOKUP($B55,Korrigeringsfaktor_GD,'Korrigeringsfaktor GD'!AB$1,FALSE),
"")</f>
        <v>1.7400000000000002</v>
      </c>
      <c r="AC55" s="18">
        <f>IFERROR(
                  Andel_oberoende_av_klimat*VLOOKUP($A55,Leveranser_per_nät,'Leveranser per nät'!AC$1,FALSE)
               +Andel_beroende_av_klimat*VLOOKUP($A55,Leveranser_per_nät,'Leveranser per nät'!AC$1,FALSE)/VLOOKUP($B55,Korrigeringsfaktor_GD,'Korrigeringsfaktor GD'!AC$1,FALSE),
"")</f>
        <v>1.6882323886639679</v>
      </c>
      <c r="AD55">
        <v>1157.2149999999999</v>
      </c>
    </row>
    <row r="56" spans="1:30" x14ac:dyDescent="0.25">
      <c r="A56" t="s">
        <v>63</v>
      </c>
      <c r="B56" t="s">
        <v>126</v>
      </c>
      <c r="C56" s="18">
        <f>IFERROR(
                  Andel_oberoende_av_klimat*VLOOKUP($A56,Leveranser_per_nät,'Leveranser per nät'!C$1,FALSE)
               +Andel_beroende_av_klimat*VLOOKUP($A56,Leveranser_per_nät,'Leveranser per nät'!C$1,FALSE)/VLOOKUP($B56,Korrigeringsfaktor_GD,'Korrigeringsfaktor GD'!C$1,FALSE),
"")</f>
        <v>0</v>
      </c>
      <c r="D56" s="18">
        <f>IFERROR(
                  Andel_oberoende_av_klimat*VLOOKUP($A56,Leveranser_per_nät,'Leveranser per nät'!D$1,FALSE)
               +Andel_beroende_av_klimat*VLOOKUP($A56,Leveranser_per_nät,'Leveranser per nät'!D$1,FALSE)/VLOOKUP($B56,Korrigeringsfaktor_GD,'Korrigeringsfaktor GD'!D$1,FALSE),
"")</f>
        <v>0</v>
      </c>
      <c r="E56" s="18">
        <f>IFERROR(
                  Andel_oberoende_av_klimat*VLOOKUP($A56,Leveranser_per_nät,'Leveranser per nät'!E$1,FALSE)
               +Andel_beroende_av_klimat*VLOOKUP($A56,Leveranser_per_nät,'Leveranser per nät'!E$1,FALSE)/VLOOKUP($B56,Korrigeringsfaktor_GD,'Korrigeringsfaktor GD'!E$1,FALSE),
"")</f>
        <v>0</v>
      </c>
      <c r="F56" s="18">
        <f>IFERROR(
                  Andel_oberoende_av_klimat*VLOOKUP($A56,Leveranser_per_nät,'Leveranser per nät'!F$1,FALSE)
               +Andel_beroende_av_klimat*VLOOKUP($A56,Leveranser_per_nät,'Leveranser per nät'!F$1,FALSE)/VLOOKUP($B56,Korrigeringsfaktor_GD,'Korrigeringsfaktor GD'!F$1,FALSE),
"")</f>
        <v>0</v>
      </c>
      <c r="G56" s="18">
        <f>IFERROR(
                  Andel_oberoende_av_klimat*VLOOKUP($A56,Leveranser_per_nät,'Leveranser per nät'!G$1,FALSE)
               +Andel_beroende_av_klimat*VLOOKUP($A56,Leveranser_per_nät,'Leveranser per nät'!G$1,FALSE)/VLOOKUP($B56,Korrigeringsfaktor_GD,'Korrigeringsfaktor GD'!G$1,FALSE),
"")</f>
        <v>0</v>
      </c>
      <c r="H56" s="18">
        <f>IFERROR(
                  Andel_oberoende_av_klimat*VLOOKUP($A56,Leveranser_per_nät,'Leveranser per nät'!H$1,FALSE)
               +Andel_beroende_av_klimat*VLOOKUP($A56,Leveranser_per_nät,'Leveranser per nät'!H$1,FALSE)/VLOOKUP($B56,Korrigeringsfaktor_GD,'Korrigeringsfaktor GD'!H$1,FALSE),
"")</f>
        <v>0</v>
      </c>
      <c r="I56" s="18">
        <f>IFERROR(
                  Andel_oberoende_av_klimat*VLOOKUP($A56,Leveranser_per_nät,'Leveranser per nät'!I$1,FALSE)
               +Andel_beroende_av_klimat*VLOOKUP($A56,Leveranser_per_nät,'Leveranser per nät'!I$1,FALSE)/VLOOKUP($B56,Korrigeringsfaktor_GD,'Korrigeringsfaktor GD'!I$1,FALSE),
"")</f>
        <v>0</v>
      </c>
      <c r="J56" s="18">
        <f>IFERROR(
                  Andel_oberoende_av_klimat*VLOOKUP($A56,Leveranser_per_nät,'Leveranser per nät'!J$1,FALSE)
               +Andel_beroende_av_klimat*VLOOKUP($A56,Leveranser_per_nät,'Leveranser per nät'!J$1,FALSE)/VLOOKUP($B56,Korrigeringsfaktor_GD,'Korrigeringsfaktor GD'!J$1,FALSE),
"")</f>
        <v>0</v>
      </c>
      <c r="K56" s="18">
        <f>IFERROR(
                  Andel_oberoende_av_klimat*VLOOKUP($A56,Leveranser_per_nät,'Leveranser per nät'!K$1,FALSE)
               +Andel_beroende_av_klimat*VLOOKUP($A56,Leveranser_per_nät,'Leveranser per nät'!K$1,FALSE)/VLOOKUP($B56,Korrigeringsfaktor_GD,'Korrigeringsfaktor GD'!K$1,FALSE),
"")</f>
        <v>0</v>
      </c>
      <c r="L56" s="18">
        <f>IFERROR(
                  Andel_oberoende_av_klimat*VLOOKUP($A56,Leveranser_per_nät,'Leveranser per nät'!L$1,FALSE)
               +Andel_beroende_av_klimat*VLOOKUP($A56,Leveranser_per_nät,'Leveranser per nät'!L$1,FALSE)/VLOOKUP($B56,Korrigeringsfaktor_GD,'Korrigeringsfaktor GD'!L$1,FALSE),
"")</f>
        <v>0</v>
      </c>
      <c r="M56" s="18">
        <f>IFERROR(
                  Andel_oberoende_av_klimat*VLOOKUP($A56,Leveranser_per_nät,'Leveranser per nät'!M$1,FALSE)
               +Andel_beroende_av_klimat*VLOOKUP($A56,Leveranser_per_nät,'Leveranser per nät'!M$1,FALSE)/VLOOKUP($B56,Korrigeringsfaktor_GD,'Korrigeringsfaktor GD'!M$1,FALSE),
"")</f>
        <v>10.47846153846154</v>
      </c>
      <c r="N56" s="18">
        <f>IFERROR(
                  Andel_oberoende_av_klimat*VLOOKUP($A56,Leveranser_per_nät,'Leveranser per nät'!N$1,FALSE)
               +Andel_beroende_av_klimat*VLOOKUP($A56,Leveranser_per_nät,'Leveranser per nät'!N$1,FALSE)/VLOOKUP($B56,Korrigeringsfaktor_GD,'Korrigeringsfaktor GD'!N$1,FALSE),
"")</f>
        <v>9.2636559139784946</v>
      </c>
      <c r="O56" s="18">
        <f>IFERROR(
                  Andel_oberoende_av_klimat*VLOOKUP($A56,Leveranser_per_nät,'Leveranser per nät'!O$1,FALSE)
               +Andel_beroende_av_klimat*VLOOKUP($A56,Leveranser_per_nät,'Leveranser per nät'!O$1,FALSE)/VLOOKUP($B56,Korrigeringsfaktor_GD,'Korrigeringsfaktor GD'!O$1,FALSE),
"")</f>
        <v>8.8746153846153852</v>
      </c>
      <c r="P56" s="18">
        <f>IFERROR(
                  Andel_oberoende_av_klimat*VLOOKUP($A56,Leveranser_per_nät,'Leveranser per nät'!P$1,FALSE)
               +Andel_beroende_av_klimat*VLOOKUP($A56,Leveranser_per_nät,'Leveranser per nät'!P$1,FALSE)/VLOOKUP($B56,Korrigeringsfaktor_GD,'Korrigeringsfaktor GD'!P$1,FALSE),
"")</f>
        <v>0</v>
      </c>
      <c r="Q56" s="18">
        <f>IFERROR(
                  Andel_oberoende_av_klimat*VLOOKUP($A56,Leveranser_per_nät,'Leveranser per nät'!Q$1,FALSE)
               +Andel_beroende_av_klimat*VLOOKUP($A56,Leveranser_per_nät,'Leveranser per nät'!Q$1,FALSE)/VLOOKUP($B56,Korrigeringsfaktor_GD,'Korrigeringsfaktor GD'!Q$1,FALSE),
"")</f>
        <v>0</v>
      </c>
      <c r="R56" s="18">
        <f>IFERROR(
                  Andel_oberoende_av_klimat*VLOOKUP($A56,Leveranser_per_nät,'Leveranser per nät'!R$1,FALSE)
               +Andel_beroende_av_klimat*VLOOKUP($A56,Leveranser_per_nät,'Leveranser per nät'!R$1,FALSE)/VLOOKUP($B56,Korrigeringsfaktor_GD,'Korrigeringsfaktor GD'!R$1,FALSE),
"")</f>
        <v>0</v>
      </c>
      <c r="S56" s="18" t="str">
        <f>IFERROR(
                  Andel_oberoende_av_klimat*VLOOKUP($A56,Leveranser_per_nät,'Leveranser per nät'!S$1,FALSE)
               +Andel_beroende_av_klimat*VLOOKUP($A56,Leveranser_per_nät,'Leveranser per nät'!S$1,FALSE)/VLOOKUP($B56,Korrigeringsfaktor_GD,'Korrigeringsfaktor GD'!S$1,FALSE),
"")</f>
        <v/>
      </c>
      <c r="T56" s="18" t="str">
        <f>IFERROR(
                  Andel_oberoende_av_klimat*VLOOKUP($A56,Leveranser_per_nät,'Leveranser per nät'!T$1,FALSE)
               +Andel_beroende_av_klimat*VLOOKUP($A56,Leveranser_per_nät,'Leveranser per nät'!T$1,FALSE)/VLOOKUP($B56,Korrigeringsfaktor_GD,'Korrigeringsfaktor GD'!T$1,FALSE),
"")</f>
        <v/>
      </c>
      <c r="U56" s="18">
        <f>IFERROR(
                  Andel_oberoende_av_klimat*VLOOKUP($A56,Leveranser_per_nät,'Leveranser per nät'!U$1,FALSE)
               +Andel_beroende_av_klimat*VLOOKUP($A56,Leveranser_per_nät,'Leveranser per nät'!U$1,FALSE)/VLOOKUP($B56,Korrigeringsfaktor_GD,'Korrigeringsfaktor GD'!U$1,FALSE),
"")</f>
        <v>0</v>
      </c>
      <c r="V56" s="18" t="str">
        <f>IFERROR(
                  Andel_oberoende_av_klimat*VLOOKUP($A56,Leveranser_per_nät,'Leveranser per nät'!V$1,FALSE)
               +Andel_beroende_av_klimat*VLOOKUP($A56,Leveranser_per_nät,'Leveranser per nät'!V$1,FALSE)/VLOOKUP($B56,Korrigeringsfaktor_GD,'Korrigeringsfaktor GD'!V$1,FALSE),
"")</f>
        <v/>
      </c>
      <c r="W56" s="18" t="str">
        <f>IFERROR(
                  Andel_oberoende_av_klimat*VLOOKUP($A56,Leveranser_per_nät,'Leveranser per nät'!W$1,FALSE)
               +Andel_beroende_av_klimat*VLOOKUP($A56,Leveranser_per_nät,'Leveranser per nät'!W$1,FALSE)/VLOOKUP($B56,Korrigeringsfaktor_GD,'Korrigeringsfaktor GD'!W$1,FALSE),
"")</f>
        <v/>
      </c>
      <c r="X56" s="18" t="str">
        <f>IFERROR(
                  Andel_oberoende_av_klimat*VLOOKUP($A56,Leveranser_per_nät,'Leveranser per nät'!X$1,FALSE)
               +Andel_beroende_av_klimat*VLOOKUP($A56,Leveranser_per_nät,'Leveranser per nät'!X$1,FALSE)/VLOOKUP($B56,Korrigeringsfaktor_GD,'Korrigeringsfaktor GD'!X$1,FALSE),
"")</f>
        <v/>
      </c>
      <c r="Y56" s="18" t="str">
        <f>IFERROR(
                  Andel_oberoende_av_klimat*VLOOKUP($A56,Leveranser_per_nät,'Leveranser per nät'!Y$1,FALSE)
               +Andel_beroende_av_klimat*VLOOKUP($A56,Leveranser_per_nät,'Leveranser per nät'!Y$1,FALSE)/VLOOKUP($B56,Korrigeringsfaktor_GD,'Korrigeringsfaktor GD'!Y$1,FALSE),
"")</f>
        <v/>
      </c>
      <c r="Z56" s="18">
        <f>IFERROR(
                  Andel_oberoende_av_klimat*VLOOKUP($A56,Leveranser_per_nät,'Leveranser per nät'!Z$1,FALSE)
               +Andel_beroende_av_klimat*VLOOKUP($A56,Leveranser_per_nät,'Leveranser per nät'!Z$1,FALSE)/VLOOKUP($B56,Korrigeringsfaktor_GD,'Korrigeringsfaktor GD'!Z$1,FALSE),
"")</f>
        <v>0</v>
      </c>
      <c r="AA56" s="18" t="str">
        <f>IFERROR(
                  Andel_oberoende_av_klimat*VLOOKUP($A56,Leveranser_per_nät,'Leveranser per nät'!AA$1,FALSE)
               +Andel_beroende_av_klimat*VLOOKUP($A56,Leveranser_per_nät,'Leveranser per nät'!AA$1,FALSE)/VLOOKUP($B56,Korrigeringsfaktor_GD,'Korrigeringsfaktor GD'!AA$1,FALSE),
"")</f>
        <v/>
      </c>
      <c r="AB56" s="18">
        <f>IFERROR(
                  Andel_oberoende_av_klimat*VLOOKUP($A56,Leveranser_per_nät,'Leveranser per nät'!AB$1,FALSE)
               +Andel_beroende_av_klimat*VLOOKUP($A56,Leveranser_per_nät,'Leveranser per nät'!AB$1,FALSE)/VLOOKUP($B56,Korrigeringsfaktor_GD,'Korrigeringsfaktor GD'!AB$1,FALSE),
"")</f>
        <v>0</v>
      </c>
      <c r="AC56" s="18">
        <f>IFERROR(
                  Andel_oberoende_av_klimat*VLOOKUP($A56,Leveranser_per_nät,'Leveranser per nät'!AC$1,FALSE)
               +Andel_beroende_av_klimat*VLOOKUP($A56,Leveranser_per_nät,'Leveranser per nät'!AC$1,FALSE)/VLOOKUP($B56,Korrigeringsfaktor_GD,'Korrigeringsfaktor GD'!AC$1,FALSE),
"")</f>
        <v>0</v>
      </c>
      <c r="AD56">
        <v>10.417</v>
      </c>
    </row>
    <row r="57" spans="1:30" x14ac:dyDescent="0.25">
      <c r="A57" t="s">
        <v>395</v>
      </c>
      <c r="B57" t="s">
        <v>444</v>
      </c>
      <c r="C57" s="18">
        <f>IFERROR(
                  Andel_oberoende_av_klimat*VLOOKUP($A57,Leveranser_per_nät,'Leveranser per nät'!C$1,FALSE)
               +Andel_beroende_av_klimat*VLOOKUP($A57,Leveranser_per_nät,'Leveranser per nät'!C$1,FALSE)/VLOOKUP($B57,Korrigeringsfaktor_GD,'Korrigeringsfaktor GD'!C$1,FALSE),
"")</f>
        <v>4.8020540540540537</v>
      </c>
      <c r="D57" s="18">
        <f>IFERROR(
                  Andel_oberoende_av_klimat*VLOOKUP($A57,Leveranser_per_nät,'Leveranser per nät'!D$1,FALSE)
               +Andel_beroende_av_klimat*VLOOKUP($A57,Leveranser_per_nät,'Leveranser per nät'!D$1,FALSE)/VLOOKUP($B57,Korrigeringsfaktor_GD,'Korrigeringsfaktor GD'!D$1,FALSE),
"")</f>
        <v>5.1209545454545458</v>
      </c>
      <c r="E57" s="18">
        <f>IFERROR(
                  Andel_oberoende_av_klimat*VLOOKUP($A57,Leveranser_per_nät,'Leveranser per nät'!E$1,FALSE)
               +Andel_beroende_av_klimat*VLOOKUP($A57,Leveranser_per_nät,'Leveranser per nät'!E$1,FALSE)/VLOOKUP($B57,Korrigeringsfaktor_GD,'Korrigeringsfaktor GD'!E$1,FALSE),
"")</f>
        <v>5.9643742574257423</v>
      </c>
      <c r="F57" s="18">
        <f>IFERROR(
                  Andel_oberoende_av_klimat*VLOOKUP($A57,Leveranser_per_nät,'Leveranser per nät'!F$1,FALSE)
               +Andel_beroende_av_klimat*VLOOKUP($A57,Leveranser_per_nät,'Leveranser per nät'!F$1,FALSE)/VLOOKUP($B57,Korrigeringsfaktor_GD,'Korrigeringsfaktor GD'!F$1,FALSE),
"")</f>
        <v>5.263440860215054</v>
      </c>
      <c r="G57" s="18">
        <f>IFERROR(
                  Andel_oberoende_av_klimat*VLOOKUP($A57,Leveranser_per_nät,'Leveranser per nät'!G$1,FALSE)
               +Andel_beroende_av_klimat*VLOOKUP($A57,Leveranser_per_nät,'Leveranser per nät'!G$1,FALSE)/VLOOKUP($B57,Korrigeringsfaktor_GD,'Korrigeringsfaktor GD'!G$1,FALSE),
"")</f>
        <v>8.8367816091954019</v>
      </c>
      <c r="H57" s="18">
        <f>IFERROR(
                  Andel_oberoende_av_klimat*VLOOKUP($A57,Leveranser_per_nät,'Leveranser per nät'!H$1,FALSE)
               +Andel_beroende_av_klimat*VLOOKUP($A57,Leveranser_per_nät,'Leveranser per nät'!H$1,FALSE)/VLOOKUP($B57,Korrigeringsfaktor_GD,'Korrigeringsfaktor GD'!H$1,FALSE),
"")</f>
        <v>8.1142857142857139</v>
      </c>
      <c r="I57" s="18">
        <f>IFERROR(
                  Andel_oberoende_av_klimat*VLOOKUP($A57,Leveranser_per_nät,'Leveranser per nät'!I$1,FALSE)
               +Andel_beroende_av_klimat*VLOOKUP($A57,Leveranser_per_nät,'Leveranser per nät'!I$1,FALSE)/VLOOKUP($B57,Korrigeringsfaktor_GD,'Korrigeringsfaktor GD'!I$1,FALSE),
"")</f>
        <v>0</v>
      </c>
      <c r="J57" s="18">
        <f>IFERROR(
                  Andel_oberoende_av_klimat*VLOOKUP($A57,Leveranser_per_nät,'Leveranser per nät'!J$1,FALSE)
               +Andel_beroende_av_klimat*VLOOKUP($A57,Leveranser_per_nät,'Leveranser per nät'!J$1,FALSE)/VLOOKUP($B57,Korrigeringsfaktor_GD,'Korrigeringsfaktor GD'!J$1,FALSE),
"")</f>
        <v>0</v>
      </c>
      <c r="K57" s="18">
        <f>IFERROR(
                  Andel_oberoende_av_klimat*VLOOKUP($A57,Leveranser_per_nät,'Leveranser per nät'!K$1,FALSE)
               +Andel_beroende_av_klimat*VLOOKUP($A57,Leveranser_per_nät,'Leveranser per nät'!K$1,FALSE)/VLOOKUP($B57,Korrigeringsfaktor_GD,'Korrigeringsfaktor GD'!K$1,FALSE),
"")</f>
        <v>0</v>
      </c>
      <c r="L57" s="18">
        <f>IFERROR(
                  Andel_oberoende_av_klimat*VLOOKUP($A57,Leveranser_per_nät,'Leveranser per nät'!L$1,FALSE)
               +Andel_beroende_av_klimat*VLOOKUP($A57,Leveranser_per_nät,'Leveranser per nät'!L$1,FALSE)/VLOOKUP($B57,Korrigeringsfaktor_GD,'Korrigeringsfaktor GD'!L$1,FALSE),
"")</f>
        <v>0</v>
      </c>
      <c r="M57" s="18">
        <f>IFERROR(
                  Andel_oberoende_av_klimat*VLOOKUP($A57,Leveranser_per_nät,'Leveranser per nät'!M$1,FALSE)
               +Andel_beroende_av_klimat*VLOOKUP($A57,Leveranser_per_nät,'Leveranser per nät'!M$1,FALSE)/VLOOKUP($B57,Korrigeringsfaktor_GD,'Korrigeringsfaktor GD'!M$1,FALSE),
"")</f>
        <v>0</v>
      </c>
      <c r="N57" s="18">
        <f>IFERROR(
                  Andel_oberoende_av_klimat*VLOOKUP($A57,Leveranser_per_nät,'Leveranser per nät'!N$1,FALSE)
               +Andel_beroende_av_klimat*VLOOKUP($A57,Leveranser_per_nät,'Leveranser per nät'!N$1,FALSE)/VLOOKUP($B57,Korrigeringsfaktor_GD,'Korrigeringsfaktor GD'!N$1,FALSE),
"")</f>
        <v>0</v>
      </c>
      <c r="O57" s="18">
        <f>IFERROR(
                  Andel_oberoende_av_klimat*VLOOKUP($A57,Leveranser_per_nät,'Leveranser per nät'!O$1,FALSE)
               +Andel_beroende_av_klimat*VLOOKUP($A57,Leveranser_per_nät,'Leveranser per nät'!O$1,FALSE)/VLOOKUP($B57,Korrigeringsfaktor_GD,'Korrigeringsfaktor GD'!O$1,FALSE),
"")</f>
        <v>0</v>
      </c>
      <c r="P57" s="18">
        <f>IFERROR(
                  Andel_oberoende_av_klimat*VLOOKUP($A57,Leveranser_per_nät,'Leveranser per nät'!P$1,FALSE)
               +Andel_beroende_av_klimat*VLOOKUP($A57,Leveranser_per_nät,'Leveranser per nät'!P$1,FALSE)/VLOOKUP($B57,Korrigeringsfaktor_GD,'Korrigeringsfaktor GD'!P$1,FALSE),
"")</f>
        <v>0</v>
      </c>
      <c r="Q57" s="18">
        <f>IFERROR(
                  Andel_oberoende_av_klimat*VLOOKUP($A57,Leveranser_per_nät,'Leveranser per nät'!Q$1,FALSE)
               +Andel_beroende_av_klimat*VLOOKUP($A57,Leveranser_per_nät,'Leveranser per nät'!Q$1,FALSE)/VLOOKUP($B57,Korrigeringsfaktor_GD,'Korrigeringsfaktor GD'!Q$1,FALSE),
"")</f>
        <v>0</v>
      </c>
      <c r="R57" s="18">
        <f>IFERROR(
                  Andel_oberoende_av_klimat*VLOOKUP($A57,Leveranser_per_nät,'Leveranser per nät'!R$1,FALSE)
               +Andel_beroende_av_klimat*VLOOKUP($A57,Leveranser_per_nät,'Leveranser per nät'!R$1,FALSE)/VLOOKUP($B57,Korrigeringsfaktor_GD,'Korrigeringsfaktor GD'!R$1,FALSE),
"")</f>
        <v>0</v>
      </c>
      <c r="S57" s="18" t="str">
        <f>IFERROR(
                  Andel_oberoende_av_klimat*VLOOKUP($A57,Leveranser_per_nät,'Leveranser per nät'!S$1,FALSE)
               +Andel_beroende_av_klimat*VLOOKUP($A57,Leveranser_per_nät,'Leveranser per nät'!S$1,FALSE)/VLOOKUP($B57,Korrigeringsfaktor_GD,'Korrigeringsfaktor GD'!S$1,FALSE),
"")</f>
        <v/>
      </c>
      <c r="T57" s="18" t="str">
        <f>IFERROR(
                  Andel_oberoende_av_klimat*VLOOKUP($A57,Leveranser_per_nät,'Leveranser per nät'!T$1,FALSE)
               +Andel_beroende_av_klimat*VLOOKUP($A57,Leveranser_per_nät,'Leveranser per nät'!T$1,FALSE)/VLOOKUP($B57,Korrigeringsfaktor_GD,'Korrigeringsfaktor GD'!T$1,FALSE),
"")</f>
        <v/>
      </c>
      <c r="U57" s="18" t="str">
        <f>IFERROR(
                  Andel_oberoende_av_klimat*VLOOKUP($A57,Leveranser_per_nät,'Leveranser per nät'!U$1,FALSE)
               +Andel_beroende_av_klimat*VLOOKUP($A57,Leveranser_per_nät,'Leveranser per nät'!U$1,FALSE)/VLOOKUP($B57,Korrigeringsfaktor_GD,'Korrigeringsfaktor GD'!U$1,FALSE),
"")</f>
        <v/>
      </c>
      <c r="V57" s="18" t="str">
        <f>IFERROR(
                  Andel_oberoende_av_klimat*VLOOKUP($A57,Leveranser_per_nät,'Leveranser per nät'!V$1,FALSE)
               +Andel_beroende_av_klimat*VLOOKUP($A57,Leveranser_per_nät,'Leveranser per nät'!V$1,FALSE)/VLOOKUP($B57,Korrigeringsfaktor_GD,'Korrigeringsfaktor GD'!V$1,FALSE),
"")</f>
        <v/>
      </c>
      <c r="W57" s="18" t="str">
        <f>IFERROR(
                  Andel_oberoende_av_klimat*VLOOKUP($A57,Leveranser_per_nät,'Leveranser per nät'!W$1,FALSE)
               +Andel_beroende_av_klimat*VLOOKUP($A57,Leveranser_per_nät,'Leveranser per nät'!W$1,FALSE)/VLOOKUP($B57,Korrigeringsfaktor_GD,'Korrigeringsfaktor GD'!W$1,FALSE),
"")</f>
        <v/>
      </c>
      <c r="X57" s="18" t="str">
        <f>IFERROR(
                  Andel_oberoende_av_klimat*VLOOKUP($A57,Leveranser_per_nät,'Leveranser per nät'!X$1,FALSE)
               +Andel_beroende_av_klimat*VLOOKUP($A57,Leveranser_per_nät,'Leveranser per nät'!X$1,FALSE)/VLOOKUP($B57,Korrigeringsfaktor_GD,'Korrigeringsfaktor GD'!X$1,FALSE),
"")</f>
        <v/>
      </c>
      <c r="Y57" s="18" t="str">
        <f>IFERROR(
                  Andel_oberoende_av_klimat*VLOOKUP($A57,Leveranser_per_nät,'Leveranser per nät'!Y$1,FALSE)
               +Andel_beroende_av_klimat*VLOOKUP($A57,Leveranser_per_nät,'Leveranser per nät'!Y$1,FALSE)/VLOOKUP($B57,Korrigeringsfaktor_GD,'Korrigeringsfaktor GD'!Y$1,FALSE),
"")</f>
        <v/>
      </c>
      <c r="Z57" s="18">
        <f>IFERROR(
                  Andel_oberoende_av_klimat*VLOOKUP($A57,Leveranser_per_nät,'Leveranser per nät'!Z$1,FALSE)
               +Andel_beroende_av_klimat*VLOOKUP($A57,Leveranser_per_nät,'Leveranser per nät'!Z$1,FALSE)/VLOOKUP($B57,Korrigeringsfaktor_GD,'Korrigeringsfaktor GD'!Z$1,FALSE),
"")</f>
        <v>0</v>
      </c>
      <c r="AA57" s="18" t="str">
        <f>IFERROR(
                  Andel_oberoende_av_klimat*VLOOKUP($A57,Leveranser_per_nät,'Leveranser per nät'!AA$1,FALSE)
               +Andel_beroende_av_klimat*VLOOKUP($A57,Leveranser_per_nät,'Leveranser per nät'!AA$1,FALSE)/VLOOKUP($B57,Korrigeringsfaktor_GD,'Korrigeringsfaktor GD'!AA$1,FALSE),
"")</f>
        <v/>
      </c>
      <c r="AB57" s="18">
        <f>IFERROR(
                  Andel_oberoende_av_klimat*VLOOKUP($A57,Leveranser_per_nät,'Leveranser per nät'!AB$1,FALSE)
               +Andel_beroende_av_klimat*VLOOKUP($A57,Leveranser_per_nät,'Leveranser per nät'!AB$1,FALSE)/VLOOKUP($B57,Korrigeringsfaktor_GD,'Korrigeringsfaktor GD'!AB$1,FALSE),
"")</f>
        <v>0</v>
      </c>
      <c r="AC57" s="18">
        <f>IFERROR(
                  Andel_oberoende_av_klimat*VLOOKUP($A57,Leveranser_per_nät,'Leveranser per nät'!AC$1,FALSE)
               +Andel_beroende_av_klimat*VLOOKUP($A57,Leveranser_per_nät,'Leveranser per nät'!AC$1,FALSE)/VLOOKUP($B57,Korrigeringsfaktor_GD,'Korrigeringsfaktor GD'!AC$1,FALSE),
"")</f>
        <v>0</v>
      </c>
      <c r="AD57" t="e">
        <v>#N/A</v>
      </c>
    </row>
    <row r="58" spans="1:30" x14ac:dyDescent="0.25">
      <c r="A58" t="s">
        <v>115</v>
      </c>
      <c r="B58" t="s">
        <v>115</v>
      </c>
      <c r="C58" s="18">
        <f>IFERROR(
                  Andel_oberoende_av_klimat*VLOOKUP($A58,Leveranser_per_nät,'Leveranser per nät'!C$1,FALSE)
               +Andel_beroende_av_klimat*VLOOKUP($A58,Leveranser_per_nät,'Leveranser per nät'!C$1,FALSE)/VLOOKUP($B58,Korrigeringsfaktor_GD,'Korrigeringsfaktor GD'!C$1,FALSE),
"")</f>
        <v>0</v>
      </c>
      <c r="D58" s="18">
        <f>IFERROR(
                  Andel_oberoende_av_klimat*VLOOKUP($A58,Leveranser_per_nät,'Leveranser per nät'!D$1,FALSE)
               +Andel_beroende_av_klimat*VLOOKUP($A58,Leveranser_per_nät,'Leveranser per nät'!D$1,FALSE)/VLOOKUP($B58,Korrigeringsfaktor_GD,'Korrigeringsfaktor GD'!D$1,FALSE),
"")</f>
        <v>0</v>
      </c>
      <c r="E58" s="18">
        <f>IFERROR(
                  Andel_oberoende_av_klimat*VLOOKUP($A58,Leveranser_per_nät,'Leveranser per nät'!E$1,FALSE)
               +Andel_beroende_av_klimat*VLOOKUP($A58,Leveranser_per_nät,'Leveranser per nät'!E$1,FALSE)/VLOOKUP($B58,Korrigeringsfaktor_GD,'Korrigeringsfaktor GD'!E$1,FALSE),
"")</f>
        <v>0</v>
      </c>
      <c r="F58" s="18">
        <f>IFERROR(
                  Andel_oberoende_av_klimat*VLOOKUP($A58,Leveranser_per_nät,'Leveranser per nät'!F$1,FALSE)
               +Andel_beroende_av_klimat*VLOOKUP($A58,Leveranser_per_nät,'Leveranser per nät'!F$1,FALSE)/VLOOKUP($B58,Korrigeringsfaktor_GD,'Korrigeringsfaktor GD'!F$1,FALSE),
"")</f>
        <v>0</v>
      </c>
      <c r="G58" s="18">
        <f>IFERROR(
                  Andel_oberoende_av_klimat*VLOOKUP($A58,Leveranser_per_nät,'Leveranser per nät'!G$1,FALSE)
               +Andel_beroende_av_klimat*VLOOKUP($A58,Leveranser_per_nät,'Leveranser per nät'!G$1,FALSE)/VLOOKUP($B58,Korrigeringsfaktor_GD,'Korrigeringsfaktor GD'!G$1,FALSE),
"")</f>
        <v>0</v>
      </c>
      <c r="H58" s="18">
        <f>IFERROR(
                  Andel_oberoende_av_klimat*VLOOKUP($A58,Leveranser_per_nät,'Leveranser per nät'!H$1,FALSE)
               +Andel_beroende_av_klimat*VLOOKUP($A58,Leveranser_per_nät,'Leveranser per nät'!H$1,FALSE)/VLOOKUP($B58,Korrigeringsfaktor_GD,'Korrigeringsfaktor GD'!H$1,FALSE),
"")</f>
        <v>0</v>
      </c>
      <c r="I58" s="18">
        <f>IFERROR(
                  Andel_oberoende_av_klimat*VLOOKUP($A58,Leveranser_per_nät,'Leveranser per nät'!I$1,FALSE)
               +Andel_beroende_av_klimat*VLOOKUP($A58,Leveranser_per_nät,'Leveranser per nät'!I$1,FALSE)/VLOOKUP($B58,Korrigeringsfaktor_GD,'Korrigeringsfaktor GD'!I$1,FALSE),
"")</f>
        <v>0</v>
      </c>
      <c r="J58" s="18">
        <f>IFERROR(
                  Andel_oberoende_av_klimat*VLOOKUP($A58,Leveranser_per_nät,'Leveranser per nät'!J$1,FALSE)
               +Andel_beroende_av_klimat*VLOOKUP($A58,Leveranser_per_nät,'Leveranser per nät'!J$1,FALSE)/VLOOKUP($B58,Korrigeringsfaktor_GD,'Korrigeringsfaktor GD'!J$1,FALSE),
"")</f>
        <v>0</v>
      </c>
      <c r="K58" s="18">
        <f>IFERROR(
                  Andel_oberoende_av_klimat*VLOOKUP($A58,Leveranser_per_nät,'Leveranser per nät'!K$1,FALSE)
               +Andel_beroende_av_klimat*VLOOKUP($A58,Leveranser_per_nät,'Leveranser per nät'!K$1,FALSE)/VLOOKUP($B58,Korrigeringsfaktor_GD,'Korrigeringsfaktor GD'!K$1,FALSE),
"")</f>
        <v>0</v>
      </c>
      <c r="L58" s="18">
        <f>IFERROR(
                  Andel_oberoende_av_klimat*VLOOKUP($A58,Leveranser_per_nät,'Leveranser per nät'!L$1,FALSE)
               +Andel_beroende_av_klimat*VLOOKUP($A58,Leveranser_per_nät,'Leveranser per nät'!L$1,FALSE)/VLOOKUP($B58,Korrigeringsfaktor_GD,'Korrigeringsfaktor GD'!L$1,FALSE),
"")</f>
        <v>0</v>
      </c>
      <c r="M58" s="18">
        <f>IFERROR(
                  Andel_oberoende_av_klimat*VLOOKUP($A58,Leveranser_per_nät,'Leveranser per nät'!M$1,FALSE)
               +Andel_beroende_av_klimat*VLOOKUP($A58,Leveranser_per_nät,'Leveranser per nät'!M$1,FALSE)/VLOOKUP($B58,Korrigeringsfaktor_GD,'Korrigeringsfaktor GD'!M$1,FALSE),
"")</f>
        <v>0</v>
      </c>
      <c r="N58" s="18">
        <f>IFERROR(
                  Andel_oberoende_av_klimat*VLOOKUP($A58,Leveranser_per_nät,'Leveranser per nät'!N$1,FALSE)
               +Andel_beroende_av_klimat*VLOOKUP($A58,Leveranser_per_nät,'Leveranser per nät'!N$1,FALSE)/VLOOKUP($B58,Korrigeringsfaktor_GD,'Korrigeringsfaktor GD'!N$1,FALSE),
"")</f>
        <v>0</v>
      </c>
      <c r="O58" s="18">
        <f>IFERROR(
                  Andel_oberoende_av_klimat*VLOOKUP($A58,Leveranser_per_nät,'Leveranser per nät'!O$1,FALSE)
               +Andel_beroende_av_klimat*VLOOKUP($A58,Leveranser_per_nät,'Leveranser per nät'!O$1,FALSE)/VLOOKUP($B58,Korrigeringsfaktor_GD,'Korrigeringsfaktor GD'!O$1,FALSE),
"")</f>
        <v>0</v>
      </c>
      <c r="P58" s="18">
        <f>IFERROR(
                  Andel_oberoende_av_klimat*VLOOKUP($A58,Leveranser_per_nät,'Leveranser per nät'!P$1,FALSE)
               +Andel_beroende_av_klimat*VLOOKUP($A58,Leveranser_per_nät,'Leveranser per nät'!P$1,FALSE)/VLOOKUP($B58,Korrigeringsfaktor_GD,'Korrigeringsfaktor GD'!P$1,FALSE),
"")</f>
        <v>14.6</v>
      </c>
      <c r="Q58" s="18">
        <f>IFERROR(
                  Andel_oberoende_av_klimat*VLOOKUP($A58,Leveranser_per_nät,'Leveranser per nät'!Q$1,FALSE)
               +Andel_beroende_av_klimat*VLOOKUP($A58,Leveranser_per_nät,'Leveranser per nät'!Q$1,FALSE)/VLOOKUP($B58,Korrigeringsfaktor_GD,'Korrigeringsfaktor GD'!Q$1,FALSE),
"")</f>
        <v>15.509496551724141</v>
      </c>
      <c r="R58" s="18">
        <f>IFERROR(
                  Andel_oberoende_av_klimat*VLOOKUP($A58,Leveranser_per_nät,'Leveranser per nät'!R$1,FALSE)
               +Andel_beroende_av_klimat*VLOOKUP($A58,Leveranser_per_nät,'Leveranser per nät'!R$1,FALSE)/VLOOKUP($B58,Korrigeringsfaktor_GD,'Korrigeringsfaktor GD'!R$1,FALSE),
"")</f>
        <v>14.77048695652174</v>
      </c>
      <c r="S58" s="18">
        <f>IFERROR(
                  Andel_oberoende_av_klimat*VLOOKUP($A58,Leveranser_per_nät,'Leveranser per nät'!S$1,FALSE)
               +Andel_beroende_av_klimat*VLOOKUP($A58,Leveranser_per_nät,'Leveranser per nät'!S$1,FALSE)/VLOOKUP($B58,Korrigeringsfaktor_GD,'Korrigeringsfaktor GD'!S$1,FALSE),
"")</f>
        <v>15.04</v>
      </c>
      <c r="T58" s="18">
        <f>IFERROR(
                  Andel_oberoende_av_klimat*VLOOKUP($A58,Leveranser_per_nät,'Leveranser per nät'!T$1,FALSE)
               +Andel_beroende_av_klimat*VLOOKUP($A58,Leveranser_per_nät,'Leveranser per nät'!T$1,FALSE)/VLOOKUP($B58,Korrigeringsfaktor_GD,'Korrigeringsfaktor GD'!T$1,FALSE),
"")</f>
        <v>15.034066666666668</v>
      </c>
      <c r="U58" s="18">
        <f>IFERROR(
                  Andel_oberoende_av_klimat*VLOOKUP($A58,Leveranser_per_nät,'Leveranser per nät'!U$1,FALSE)
               +Andel_beroende_av_klimat*VLOOKUP($A58,Leveranser_per_nät,'Leveranser per nät'!U$1,FALSE)/VLOOKUP($B58,Korrigeringsfaktor_GD,'Korrigeringsfaktor GD'!U$1,FALSE),
"")</f>
        <v>14.411559550561797</v>
      </c>
      <c r="V58" s="18">
        <f>IFERROR(
                  Andel_oberoende_av_klimat*VLOOKUP($A58,Leveranser_per_nät,'Leveranser per nät'!V$1,FALSE)
               +Andel_beroende_av_klimat*VLOOKUP($A58,Leveranser_per_nät,'Leveranser per nät'!V$1,FALSE)/VLOOKUP($B58,Korrigeringsfaktor_GD,'Korrigeringsfaktor GD'!V$1,FALSE),
"")</f>
        <v>14.793577777777779</v>
      </c>
      <c r="W58" s="18">
        <f>IFERROR(
                  Andel_oberoende_av_klimat*VLOOKUP($A58,Leveranser_per_nät,'Leveranser per nät'!W$1,FALSE)
               +Andel_beroende_av_klimat*VLOOKUP($A58,Leveranser_per_nät,'Leveranser per nät'!W$1,FALSE)/VLOOKUP($B58,Korrigeringsfaktor_GD,'Korrigeringsfaktor GD'!W$1,FALSE),
"")</f>
        <v>14.764425000000001</v>
      </c>
      <c r="X58" s="18">
        <f>IFERROR(
                  Andel_oberoende_av_klimat*VLOOKUP($A58,Leveranser_per_nät,'Leveranser per nät'!X$1,FALSE)
               +Andel_beroende_av_klimat*VLOOKUP($A58,Leveranser_per_nät,'Leveranser per nät'!X$1,FALSE)/VLOOKUP($B58,Korrigeringsfaktor_GD,'Korrigeringsfaktor GD'!X$1,FALSE),
"")</f>
        <v>14.597489898989899</v>
      </c>
      <c r="Y58" s="18">
        <f>IFERROR(
                  Andel_oberoende_av_klimat*VLOOKUP($A58,Leveranser_per_nät,'Leveranser per nät'!Y$1,FALSE)
               +Andel_beroende_av_klimat*VLOOKUP($A58,Leveranser_per_nät,'Leveranser per nät'!Y$1,FALSE)/VLOOKUP($B58,Korrigeringsfaktor_GD,'Korrigeringsfaktor GD'!Y$1,FALSE),
"")</f>
        <v>14.904646464646465</v>
      </c>
      <c r="Z58" s="18">
        <f>IFERROR(
                  Andel_oberoende_av_klimat*VLOOKUP($A58,Leveranser_per_nät,'Leveranser per nät'!Z$1,FALSE)
               +Andel_beroende_av_klimat*VLOOKUP($A58,Leveranser_per_nät,'Leveranser per nät'!Z$1,FALSE)/VLOOKUP($B58,Korrigeringsfaktor_GD,'Korrigeringsfaktor GD'!Z$1,FALSE),
"")</f>
        <v>15.958759550561798</v>
      </c>
      <c r="AA58" s="18">
        <f>IFERROR(
                  Andel_oberoende_av_klimat*VLOOKUP($A58,Leveranser_per_nät,'Leveranser per nät'!AA$1,FALSE)
               +Andel_beroende_av_klimat*VLOOKUP($A58,Leveranser_per_nät,'Leveranser per nät'!AA$1,FALSE)/VLOOKUP($B58,Korrigeringsfaktor_GD,'Korrigeringsfaktor GD'!AA$1,FALSE),
"")</f>
        <v>15.269572748116609</v>
      </c>
      <c r="AB58" s="18">
        <f>IFERROR(
                  Andel_oberoende_av_klimat*VLOOKUP($A58,Leveranser_per_nät,'Leveranser per nät'!AB$1,FALSE)
               +Andel_beroende_av_klimat*VLOOKUP($A58,Leveranser_per_nät,'Leveranser per nät'!AB$1,FALSE)/VLOOKUP($B58,Korrigeringsfaktor_GD,'Korrigeringsfaktor GD'!AB$1,FALSE),
"")</f>
        <v>14.982496078431371</v>
      </c>
      <c r="AC58" s="18">
        <f>IFERROR(
                  Andel_oberoende_av_klimat*VLOOKUP($A58,Leveranser_per_nät,'Leveranser per nät'!AC$1,FALSE)
               +Andel_beroende_av_klimat*VLOOKUP($A58,Leveranser_per_nät,'Leveranser per nät'!AC$1,FALSE)/VLOOKUP($B58,Korrigeringsfaktor_GD,'Korrigeringsfaktor GD'!AC$1,FALSE),
"")</f>
        <v>14.340243884892086</v>
      </c>
      <c r="AD58">
        <v>14.067</v>
      </c>
    </row>
    <row r="59" spans="1:30" x14ac:dyDescent="0.25">
      <c r="A59" t="s">
        <v>46</v>
      </c>
      <c r="B59" t="s">
        <v>46</v>
      </c>
      <c r="C59" s="18">
        <f>IFERROR(
                  Andel_oberoende_av_klimat*VLOOKUP($A59,Leveranser_per_nät,'Leveranser per nät'!C$1,FALSE)
               +Andel_beroende_av_klimat*VLOOKUP($A59,Leveranser_per_nät,'Leveranser per nät'!C$1,FALSE)/VLOOKUP($B59,Korrigeringsfaktor_GD,'Korrigeringsfaktor GD'!C$1,FALSE),
"")</f>
        <v>0</v>
      </c>
      <c r="D59" s="18">
        <f>IFERROR(
                  Andel_oberoende_av_klimat*VLOOKUP($A59,Leveranser_per_nät,'Leveranser per nät'!D$1,FALSE)
               +Andel_beroende_av_klimat*VLOOKUP($A59,Leveranser_per_nät,'Leveranser per nät'!D$1,FALSE)/VLOOKUP($B59,Korrigeringsfaktor_GD,'Korrigeringsfaktor GD'!D$1,FALSE),
"")</f>
        <v>10.002415789473684</v>
      </c>
      <c r="E59" s="18">
        <f>IFERROR(
                  Andel_oberoende_av_klimat*VLOOKUP($A59,Leveranser_per_nät,'Leveranser per nät'!E$1,FALSE)
               +Andel_beroende_av_klimat*VLOOKUP($A59,Leveranser_per_nät,'Leveranser per nät'!E$1,FALSE)/VLOOKUP($B59,Korrigeringsfaktor_GD,'Korrigeringsfaktor GD'!E$1,FALSE),
"")</f>
        <v>13.399999999999999</v>
      </c>
      <c r="F59" s="18">
        <f>IFERROR(
                  Andel_oberoende_av_klimat*VLOOKUP($A59,Leveranser_per_nät,'Leveranser per nät'!F$1,FALSE)
               +Andel_beroende_av_klimat*VLOOKUP($A59,Leveranser_per_nät,'Leveranser per nät'!F$1,FALSE)/VLOOKUP($B59,Korrigeringsfaktor_GD,'Korrigeringsfaktor GD'!F$1,FALSE),
"")</f>
        <v>11.400040404040404</v>
      </c>
      <c r="G59" s="18">
        <f>IFERROR(
                  Andel_oberoende_av_klimat*VLOOKUP($A59,Leveranser_per_nät,'Leveranser per nät'!G$1,FALSE)
               +Andel_beroende_av_klimat*VLOOKUP($A59,Leveranser_per_nät,'Leveranser per nät'!G$1,FALSE)/VLOOKUP($B59,Korrigeringsfaktor_GD,'Korrigeringsfaktor GD'!G$1,FALSE),
"")</f>
        <v>13.197217391304346</v>
      </c>
      <c r="H59" s="18">
        <f>IFERROR(
                  Andel_oberoende_av_klimat*VLOOKUP($A59,Leveranser_per_nät,'Leveranser per nät'!H$1,FALSE)
               +Andel_beroende_av_klimat*VLOOKUP($A59,Leveranser_per_nät,'Leveranser per nät'!H$1,FALSE)/VLOOKUP($B59,Korrigeringsfaktor_GD,'Korrigeringsfaktor GD'!H$1,FALSE),
"")</f>
        <v>13.902970297029704</v>
      </c>
      <c r="I59" s="18">
        <f>IFERROR(
                  Andel_oberoende_av_klimat*VLOOKUP($A59,Leveranser_per_nät,'Leveranser per nät'!I$1,FALSE)
               +Andel_beroende_av_klimat*VLOOKUP($A59,Leveranser_per_nät,'Leveranser per nät'!I$1,FALSE)/VLOOKUP($B59,Korrigeringsfaktor_GD,'Korrigeringsfaktor GD'!I$1,FALSE),
"")</f>
        <v>13.580851063829789</v>
      </c>
      <c r="J59" s="18">
        <f>IFERROR(
                  Andel_oberoende_av_klimat*VLOOKUP($A59,Leveranser_per_nät,'Leveranser per nät'!J$1,FALSE)
               +Andel_beroende_av_klimat*VLOOKUP($A59,Leveranser_per_nät,'Leveranser per nät'!J$1,FALSE)/VLOOKUP($B59,Korrigeringsfaktor_GD,'Korrigeringsfaktor GD'!J$1,FALSE),
"")</f>
        <v>13.276250000000001</v>
      </c>
      <c r="K59" s="18">
        <f>IFERROR(
                  Andel_oberoende_av_klimat*VLOOKUP($A59,Leveranser_per_nät,'Leveranser per nät'!K$1,FALSE)
               +Andel_beroende_av_klimat*VLOOKUP($A59,Leveranser_per_nät,'Leveranser per nät'!K$1,FALSE)/VLOOKUP($B59,Korrigeringsfaktor_GD,'Korrigeringsfaktor GD'!K$1,FALSE),
"")</f>
        <v>13.276250000000001</v>
      </c>
      <c r="L59" s="18">
        <f>IFERROR(
                  Andel_oberoende_av_klimat*VLOOKUP($A59,Leveranser_per_nät,'Leveranser per nät'!L$1,FALSE)
               +Andel_beroende_av_klimat*VLOOKUP($A59,Leveranser_per_nät,'Leveranser per nät'!L$1,FALSE)/VLOOKUP($B59,Korrigeringsfaktor_GD,'Korrigeringsfaktor GD'!L$1,FALSE),
"")</f>
        <v>21.003542059858585</v>
      </c>
      <c r="M59" s="18">
        <f>IFERROR(
                  Andel_oberoende_av_klimat*VLOOKUP($A59,Leveranser_per_nät,'Leveranser per nät'!M$1,FALSE)
               +Andel_beroende_av_klimat*VLOOKUP($A59,Leveranser_per_nät,'Leveranser per nät'!M$1,FALSE)/VLOOKUP($B59,Korrigeringsfaktor_GD,'Korrigeringsfaktor GD'!M$1,FALSE),
"")</f>
        <v>16.68</v>
      </c>
      <c r="N59" s="18">
        <f>IFERROR(
                  Andel_oberoende_av_klimat*VLOOKUP($A59,Leveranser_per_nät,'Leveranser per nät'!N$1,FALSE)
               +Andel_beroende_av_klimat*VLOOKUP($A59,Leveranser_per_nät,'Leveranser per nät'!N$1,FALSE)/VLOOKUP($B59,Korrigeringsfaktor_GD,'Korrigeringsfaktor GD'!N$1,FALSE),
"")</f>
        <v>17.132765957446807</v>
      </c>
      <c r="O59" s="18">
        <f>IFERROR(
                  Andel_oberoende_av_klimat*VLOOKUP($A59,Leveranser_per_nät,'Leveranser per nät'!O$1,FALSE)
               +Andel_beroende_av_klimat*VLOOKUP($A59,Leveranser_per_nät,'Leveranser per nät'!O$1,FALSE)/VLOOKUP($B59,Korrigeringsfaktor_GD,'Korrigeringsfaktor GD'!O$1,FALSE),
"")</f>
        <v>16.737741935483871</v>
      </c>
      <c r="P59" s="18">
        <f>IFERROR(
                  Andel_oberoende_av_klimat*VLOOKUP($A59,Leveranser_per_nät,'Leveranser per nät'!P$1,FALSE)
               +Andel_beroende_av_klimat*VLOOKUP($A59,Leveranser_per_nät,'Leveranser per nät'!P$1,FALSE)/VLOOKUP($B59,Korrigeringsfaktor_GD,'Korrigeringsfaktor GD'!P$1,FALSE),
"")</f>
        <v>17.242857142857144</v>
      </c>
      <c r="Q59" s="18">
        <f>IFERROR(
                  Andel_oberoende_av_klimat*VLOOKUP($A59,Leveranser_per_nät,'Leveranser per nät'!Q$1,FALSE)
               +Andel_beroende_av_klimat*VLOOKUP($A59,Leveranser_per_nät,'Leveranser per nät'!Q$1,FALSE)/VLOOKUP($B59,Korrigeringsfaktor_GD,'Korrigeringsfaktor GD'!Q$1,FALSE),
"")</f>
        <v>18.147297297297296</v>
      </c>
      <c r="R59" s="18">
        <f>IFERROR(
                  Andel_oberoende_av_klimat*VLOOKUP($A59,Leveranser_per_nät,'Leveranser per nät'!R$1,FALSE)
               +Andel_beroende_av_klimat*VLOOKUP($A59,Leveranser_per_nät,'Leveranser per nät'!R$1,FALSE)/VLOOKUP($B59,Korrigeringsfaktor_GD,'Korrigeringsfaktor GD'!R$1,FALSE),
"")</f>
        <v>17.655898876404496</v>
      </c>
      <c r="S59" s="18">
        <f>IFERROR(
                  Andel_oberoende_av_klimat*VLOOKUP($A59,Leveranser_per_nät,'Leveranser per nät'!S$1,FALSE)
               +Andel_beroende_av_klimat*VLOOKUP($A59,Leveranser_per_nät,'Leveranser per nät'!S$1,FALSE)/VLOOKUP($B59,Korrigeringsfaktor_GD,'Korrigeringsfaktor GD'!S$1,FALSE),
"")</f>
        <v>17.02</v>
      </c>
      <c r="T59" s="18">
        <f>IFERROR(
                  Andel_oberoende_av_klimat*VLOOKUP($A59,Leveranser_per_nät,'Leveranser per nät'!T$1,FALSE)
               +Andel_beroende_av_klimat*VLOOKUP($A59,Leveranser_per_nät,'Leveranser per nät'!T$1,FALSE)/VLOOKUP($B59,Korrigeringsfaktor_GD,'Korrigeringsfaktor GD'!T$1,FALSE),
"")</f>
        <v>17.028297872340428</v>
      </c>
      <c r="U59" s="18">
        <f>IFERROR(
                  Andel_oberoende_av_klimat*VLOOKUP($A59,Leveranser_per_nät,'Leveranser per nät'!U$1,FALSE)
               +Andel_beroende_av_klimat*VLOOKUP($A59,Leveranser_per_nät,'Leveranser per nät'!U$1,FALSE)/VLOOKUP($B59,Korrigeringsfaktor_GD,'Korrigeringsfaktor GD'!U$1,FALSE),
"")</f>
        <v>13.690112359550561</v>
      </c>
      <c r="V59" s="18">
        <f>IFERROR(
                  Andel_oberoende_av_klimat*VLOOKUP($A59,Leveranser_per_nät,'Leveranser per nät'!V$1,FALSE)
               +Andel_beroende_av_klimat*VLOOKUP($A59,Leveranser_per_nät,'Leveranser per nät'!V$1,FALSE)/VLOOKUP($B59,Korrigeringsfaktor_GD,'Korrigeringsfaktor GD'!V$1,FALSE),
"")</f>
        <v>17.107692307692307</v>
      </c>
      <c r="W59" s="18">
        <f>IFERROR(
                  Andel_oberoende_av_klimat*VLOOKUP($A59,Leveranser_per_nät,'Leveranser per nät'!W$1,FALSE)
               +Andel_beroende_av_klimat*VLOOKUP($A59,Leveranser_per_nät,'Leveranser per nät'!W$1,FALSE)/VLOOKUP($B59,Korrigeringsfaktor_GD,'Korrigeringsfaktor GD'!W$1,FALSE),
"")</f>
        <v>17.626315789473683</v>
      </c>
      <c r="X59" s="18">
        <f>IFERROR(
                  Andel_oberoende_av_klimat*VLOOKUP($A59,Leveranser_per_nät,'Leveranser per nät'!X$1,FALSE)
               +Andel_beroende_av_klimat*VLOOKUP($A59,Leveranser_per_nät,'Leveranser per nät'!X$1,FALSE)/VLOOKUP($B59,Korrigeringsfaktor_GD,'Korrigeringsfaktor GD'!X$1,FALSE),
"")</f>
        <v>17.598750000000003</v>
      </c>
      <c r="Y59" s="18">
        <f>IFERROR(
                  Andel_oberoende_av_klimat*VLOOKUP($A59,Leveranser_per_nät,'Leveranser per nät'!Y$1,FALSE)
               +Andel_beroende_av_klimat*VLOOKUP($A59,Leveranser_per_nät,'Leveranser per nät'!Y$1,FALSE)/VLOOKUP($B59,Korrigeringsfaktor_GD,'Korrigeringsfaktor GD'!Y$1,FALSE),
"")</f>
        <v>16.85721649484536</v>
      </c>
      <c r="Z59" s="18">
        <f>IFERROR(
                  Andel_oberoende_av_klimat*VLOOKUP($A59,Leveranser_per_nät,'Leveranser per nät'!Z$1,FALSE)
               +Andel_beroende_av_klimat*VLOOKUP($A59,Leveranser_per_nät,'Leveranser per nät'!Z$1,FALSE)/VLOOKUP($B59,Korrigeringsfaktor_GD,'Korrigeringsfaktor GD'!Z$1,FALSE),
"")</f>
        <v>18.0361797752809</v>
      </c>
      <c r="AA59" s="18">
        <f>IFERROR(
                  Andel_oberoende_av_klimat*VLOOKUP($A59,Leveranser_per_nät,'Leveranser per nät'!AA$1,FALSE)
               +Andel_beroende_av_klimat*VLOOKUP($A59,Leveranser_per_nät,'Leveranser per nät'!AA$1,FALSE)/VLOOKUP($B59,Korrigeringsfaktor_GD,'Korrigeringsfaktor GD'!AA$1,FALSE),
"")</f>
        <v>17.064585388127853</v>
      </c>
      <c r="AB59" s="18">
        <f>IFERROR(
                  Andel_oberoende_av_klimat*VLOOKUP($A59,Leveranser_per_nät,'Leveranser per nät'!AB$1,FALSE)
               +Andel_beroende_av_klimat*VLOOKUP($A59,Leveranser_per_nät,'Leveranser per nät'!AB$1,FALSE)/VLOOKUP($B59,Korrigeringsfaktor_GD,'Korrigeringsfaktor GD'!AB$1,FALSE),
"")</f>
        <v>16.366884872298623</v>
      </c>
      <c r="AC59" s="18">
        <f>IFERROR(
                  Andel_oberoende_av_klimat*VLOOKUP($A59,Leveranser_per_nät,'Leveranser per nät'!AC$1,FALSE)
               +Andel_beroende_av_klimat*VLOOKUP($A59,Leveranser_per_nät,'Leveranser per nät'!AC$1,FALSE)/VLOOKUP($B59,Korrigeringsfaktor_GD,'Korrigeringsfaktor GD'!AC$1,FALSE),
"")</f>
        <v>16.808201029866119</v>
      </c>
      <c r="AD59">
        <v>16.463999999999999</v>
      </c>
    </row>
    <row r="60" spans="1:30" x14ac:dyDescent="0.25">
      <c r="A60" t="s">
        <v>339</v>
      </c>
      <c r="B60" t="s">
        <v>808</v>
      </c>
      <c r="C60" s="18">
        <f>IFERROR(
                  Andel_oberoende_av_klimat*VLOOKUP($A60,Leveranser_per_nät,'Leveranser per nät'!C$1,FALSE)
               +Andel_beroende_av_klimat*VLOOKUP($A60,Leveranser_per_nät,'Leveranser per nät'!C$1,FALSE)/VLOOKUP($B60,Korrigeringsfaktor_GD,'Korrigeringsfaktor GD'!C$1,FALSE),
"")</f>
        <v>450.42522522522518</v>
      </c>
      <c r="D60" s="18">
        <f>IFERROR(
                  Andel_oberoende_av_klimat*VLOOKUP($A60,Leveranser_per_nät,'Leveranser per nät'!D$1,FALSE)
               +Andel_beroende_av_klimat*VLOOKUP($A60,Leveranser_per_nät,'Leveranser per nät'!D$1,FALSE)/VLOOKUP($B60,Korrigeringsfaktor_GD,'Korrigeringsfaktor GD'!D$1,FALSE),
"")</f>
        <v>448.05582828282826</v>
      </c>
      <c r="E60" s="18">
        <f>IFERROR(
                  Andel_oberoende_av_klimat*VLOOKUP($A60,Leveranser_per_nät,'Leveranser per nät'!E$1,FALSE)
               +Andel_beroende_av_klimat*VLOOKUP($A60,Leveranser_per_nät,'Leveranser per nät'!E$1,FALSE)/VLOOKUP($B60,Korrigeringsfaktor_GD,'Korrigeringsfaktor GD'!E$1,FALSE),
"")</f>
        <v>488.20588235294122</v>
      </c>
      <c r="F60" s="18">
        <f>IFERROR(
                  Andel_oberoende_av_klimat*VLOOKUP($A60,Leveranser_per_nät,'Leveranser per nät'!F$1,FALSE)
               +Andel_beroende_av_klimat*VLOOKUP($A60,Leveranser_per_nät,'Leveranser per nät'!F$1,FALSE)/VLOOKUP($B60,Korrigeringsfaktor_GD,'Korrigeringsfaktor GD'!F$1,FALSE),
"")</f>
        <v>459.65957446808511</v>
      </c>
      <c r="G60" s="18">
        <f>IFERROR(
                  Andel_oberoende_av_klimat*VLOOKUP($A60,Leveranser_per_nät,'Leveranser per nät'!G$1,FALSE)
               +Andel_beroende_av_klimat*VLOOKUP($A60,Leveranser_per_nät,'Leveranser per nät'!G$1,FALSE)/VLOOKUP($B60,Korrigeringsfaktor_GD,'Korrigeringsfaktor GD'!G$1,FALSE),
"")</f>
        <v>442.21235955056181</v>
      </c>
      <c r="H60" s="18">
        <f>IFERROR(
                  Andel_oberoende_av_klimat*VLOOKUP($A60,Leveranser_per_nät,'Leveranser per nät'!H$1,FALSE)
               +Andel_beroende_av_klimat*VLOOKUP($A60,Leveranser_per_nät,'Leveranser per nät'!H$1,FALSE)/VLOOKUP($B60,Korrigeringsfaktor_GD,'Korrigeringsfaktor GD'!H$1,FALSE),
"")</f>
        <v>482.38686868686864</v>
      </c>
      <c r="I60" s="18">
        <f>IFERROR(
                  Andel_oberoende_av_klimat*VLOOKUP($A60,Leveranser_per_nät,'Leveranser per nät'!I$1,FALSE)
               +Andel_beroende_av_klimat*VLOOKUP($A60,Leveranser_per_nät,'Leveranser per nät'!I$1,FALSE)/VLOOKUP($B60,Korrigeringsfaktor_GD,'Korrigeringsfaktor GD'!I$1,FALSE),
"")</f>
        <v>480.55531134020623</v>
      </c>
      <c r="J60" s="18">
        <f>IFERROR(
                  Andel_oberoende_av_klimat*VLOOKUP($A60,Leveranser_per_nät,'Leveranser per nät'!J$1,FALSE)
               +Andel_beroende_av_klimat*VLOOKUP($A60,Leveranser_per_nät,'Leveranser per nät'!J$1,FALSE)/VLOOKUP($B60,Korrigeringsfaktor_GD,'Korrigeringsfaktor GD'!J$1,FALSE),
"")</f>
        <v>475</v>
      </c>
      <c r="K60" s="18">
        <f>IFERROR(
                  Andel_oberoende_av_klimat*VLOOKUP($A60,Leveranser_per_nät,'Leveranser per nät'!K$1,FALSE)
               +Andel_beroende_av_klimat*VLOOKUP($A60,Leveranser_per_nät,'Leveranser per nät'!K$1,FALSE)/VLOOKUP($B60,Korrigeringsfaktor_GD,'Korrigeringsfaktor GD'!K$1,FALSE),
"")</f>
        <v>467.63126868686868</v>
      </c>
      <c r="L60" s="18">
        <f>IFERROR(
                  Andel_oberoende_av_klimat*VLOOKUP($A60,Leveranser_per_nät,'Leveranser per nät'!L$1,FALSE)
               +Andel_beroende_av_klimat*VLOOKUP($A60,Leveranser_per_nät,'Leveranser per nät'!L$1,FALSE)/VLOOKUP($B60,Korrigeringsfaktor_GD,'Korrigeringsfaktor GD'!L$1,FALSE),
"")</f>
        <v>434.49527853834297</v>
      </c>
      <c r="M60" s="18">
        <f>IFERROR(
                  Andel_oberoende_av_klimat*VLOOKUP($A60,Leveranser_per_nät,'Leveranser per nät'!M$1,FALSE)
               +Andel_beroende_av_klimat*VLOOKUP($A60,Leveranser_per_nät,'Leveranser per nät'!M$1,FALSE)/VLOOKUP($B60,Korrigeringsfaktor_GD,'Korrigeringsfaktor GD'!M$1,FALSE),
"")</f>
        <v>523.98266382978727</v>
      </c>
      <c r="N60" s="18">
        <f>IFERROR(
                  Andel_oberoende_av_klimat*VLOOKUP($A60,Leveranser_per_nät,'Leveranser per nät'!N$1,FALSE)
               +Andel_beroende_av_klimat*VLOOKUP($A60,Leveranser_per_nät,'Leveranser per nät'!N$1,FALSE)/VLOOKUP($B60,Korrigeringsfaktor_GD,'Korrigeringsfaktor GD'!N$1,FALSE),
"")</f>
        <v>484.76290322580644</v>
      </c>
      <c r="O60" s="18">
        <f>IFERROR(
                  Andel_oberoende_av_klimat*VLOOKUP($A60,Leveranser_per_nät,'Leveranser per nät'!O$1,FALSE)
               +Andel_beroende_av_klimat*VLOOKUP($A60,Leveranser_per_nät,'Leveranser per nät'!O$1,FALSE)/VLOOKUP($B60,Korrigeringsfaktor_GD,'Korrigeringsfaktor GD'!O$1,FALSE),
"")</f>
        <v>529.35101123595496</v>
      </c>
      <c r="P60" s="18">
        <f>IFERROR(
                  Andel_oberoende_av_klimat*VLOOKUP($A60,Leveranser_per_nät,'Leveranser per nät'!P$1,FALSE)
               +Andel_beroende_av_klimat*VLOOKUP($A60,Leveranser_per_nät,'Leveranser per nät'!P$1,FALSE)/VLOOKUP($B60,Korrigeringsfaktor_GD,'Korrigeringsfaktor GD'!P$1,FALSE),
"")</f>
        <v>475.80142857142857</v>
      </c>
      <c r="Q60" s="18">
        <f>IFERROR(
                  Andel_oberoende_av_klimat*VLOOKUP($A60,Leveranser_per_nät,'Leveranser per nät'!Q$1,FALSE)
               +Andel_beroende_av_klimat*VLOOKUP($A60,Leveranser_per_nät,'Leveranser per nät'!Q$1,FALSE)/VLOOKUP($B60,Korrigeringsfaktor_GD,'Korrigeringsfaktor GD'!Q$1,FALSE),
"")</f>
        <v>486.41655172413789</v>
      </c>
      <c r="R60" s="18">
        <f>IFERROR(
                  Andel_oberoende_av_klimat*VLOOKUP($A60,Leveranser_per_nät,'Leveranser per nät'!R$1,FALSE)
               +Andel_beroende_av_klimat*VLOOKUP($A60,Leveranser_per_nät,'Leveranser per nät'!R$1,FALSE)/VLOOKUP($B60,Korrigeringsfaktor_GD,'Korrigeringsfaktor GD'!R$1,FALSE),
"")</f>
        <v>477.60347826086957</v>
      </c>
      <c r="S60" s="18">
        <f>IFERROR(
                  Andel_oberoende_av_klimat*VLOOKUP($A60,Leveranser_per_nät,'Leveranser per nät'!S$1,FALSE)
               +Andel_beroende_av_klimat*VLOOKUP($A60,Leveranser_per_nät,'Leveranser per nät'!S$1,FALSE)/VLOOKUP($B60,Korrigeringsfaktor_GD,'Korrigeringsfaktor GD'!S$1,FALSE),
"")</f>
        <v>480.64554455445545</v>
      </c>
      <c r="T60" s="18">
        <f>IFERROR(
                  Andel_oberoende_av_klimat*VLOOKUP($A60,Leveranser_per_nät,'Leveranser per nät'!T$1,FALSE)
               +Andel_beroende_av_klimat*VLOOKUP($A60,Leveranser_per_nät,'Leveranser per nät'!T$1,FALSE)/VLOOKUP($B60,Korrigeringsfaktor_GD,'Korrigeringsfaktor GD'!T$1,FALSE),
"")</f>
        <v>489.80871428571425</v>
      </c>
      <c r="U60" s="18">
        <f>IFERROR(
                  Andel_oberoende_av_klimat*VLOOKUP($A60,Leveranser_per_nät,'Leveranser per nät'!U$1,FALSE)
               +Andel_beroende_av_klimat*VLOOKUP($A60,Leveranser_per_nät,'Leveranser per nät'!U$1,FALSE)/VLOOKUP($B60,Korrigeringsfaktor_GD,'Korrigeringsfaktor GD'!U$1,FALSE),
"")</f>
        <v>490.99696629213486</v>
      </c>
      <c r="V60" s="18">
        <f>IFERROR(
                  Andel_oberoende_av_klimat*VLOOKUP($A60,Leveranser_per_nät,'Leveranser per nät'!V$1,FALSE)
               +Andel_beroende_av_klimat*VLOOKUP($A60,Leveranser_per_nät,'Leveranser per nät'!V$1,FALSE)/VLOOKUP($B60,Korrigeringsfaktor_GD,'Korrigeringsfaktor GD'!V$1,FALSE),
"")</f>
        <v>493.31333333333333</v>
      </c>
      <c r="W60" s="18">
        <f>IFERROR(
                  Andel_oberoende_av_klimat*VLOOKUP($A60,Leveranser_per_nät,'Leveranser per nät'!W$1,FALSE)
               +Andel_beroende_av_klimat*VLOOKUP($A60,Leveranser_per_nät,'Leveranser per nät'!W$1,FALSE)/VLOOKUP($B60,Korrigeringsfaktor_GD,'Korrigeringsfaktor GD'!W$1,FALSE),
"")</f>
        <v>502.40595698924733</v>
      </c>
      <c r="X60" s="18">
        <f>IFERROR(
                  Andel_oberoende_av_klimat*VLOOKUP($A60,Leveranser_per_nät,'Leveranser per nät'!X$1,FALSE)
               +Andel_beroende_av_klimat*VLOOKUP($A60,Leveranser_per_nät,'Leveranser per nät'!X$1,FALSE)/VLOOKUP($B60,Korrigeringsfaktor_GD,'Korrigeringsfaktor GD'!X$1,FALSE),
"")</f>
        <v>503.50075268817204</v>
      </c>
      <c r="Y60" s="18">
        <f>IFERROR(
                  Andel_oberoende_av_klimat*VLOOKUP($A60,Leveranser_per_nät,'Leveranser per nät'!Y$1,FALSE)
               +Andel_beroende_av_klimat*VLOOKUP($A60,Leveranser_per_nät,'Leveranser per nät'!Y$1,FALSE)/VLOOKUP($B60,Korrigeringsfaktor_GD,'Korrigeringsfaktor GD'!Y$1,FALSE),
"")</f>
        <v>500.237476923077</v>
      </c>
      <c r="Z60" s="18">
        <f>IFERROR(
                  Andel_oberoende_av_klimat*VLOOKUP($A60,Leveranser_per_nät,'Leveranser per nät'!Z$1,FALSE)
               +Andel_beroende_av_klimat*VLOOKUP($A60,Leveranser_per_nät,'Leveranser per nät'!Z$1,FALSE)/VLOOKUP($B60,Korrigeringsfaktor_GD,'Korrigeringsfaktor GD'!Z$1,FALSE),
"")</f>
        <v>480.02332173913044</v>
      </c>
      <c r="AA60" s="18">
        <f>IFERROR(
                  Andel_oberoende_av_klimat*VLOOKUP($A60,Leveranser_per_nät,'Leveranser per nät'!AA$1,FALSE)
               +Andel_beroende_av_klimat*VLOOKUP($A60,Leveranser_per_nät,'Leveranser per nät'!AA$1,FALSE)/VLOOKUP($B60,Korrigeringsfaktor_GD,'Korrigeringsfaktor GD'!AA$1,FALSE),
"")</f>
        <v>482.27409886812313</v>
      </c>
      <c r="AB60" s="18">
        <f>IFERROR(
                  Andel_oberoende_av_klimat*VLOOKUP($A60,Leveranser_per_nät,'Leveranser per nät'!AB$1,FALSE)
               +Andel_beroende_av_klimat*VLOOKUP($A60,Leveranser_per_nät,'Leveranser per nät'!AB$1,FALSE)/VLOOKUP($B60,Korrigeringsfaktor_GD,'Korrigeringsfaktor GD'!AB$1,FALSE),
"")</f>
        <v>473.38996999999995</v>
      </c>
      <c r="AC60" s="18">
        <f>IFERROR(
                  Andel_oberoende_av_klimat*VLOOKUP($A60,Leveranser_per_nät,'Leveranser per nät'!AC$1,FALSE)
               +Andel_beroende_av_klimat*VLOOKUP($A60,Leveranser_per_nät,'Leveranser per nät'!AC$1,FALSE)/VLOOKUP($B60,Korrigeringsfaktor_GD,'Korrigeringsfaktor GD'!AC$1,FALSE),
"")</f>
        <v>466.07682639915515</v>
      </c>
      <c r="AD60" t="e">
        <v>#N/A</v>
      </c>
    </row>
    <row r="61" spans="1:30" x14ac:dyDescent="0.25">
      <c r="A61" t="s">
        <v>396</v>
      </c>
      <c r="B61" t="s">
        <v>157</v>
      </c>
      <c r="C61" s="18">
        <f>IFERROR(
                  Andel_oberoende_av_klimat*VLOOKUP($A61,Leveranser_per_nät,'Leveranser per nät'!C$1,FALSE)
               +Andel_beroende_av_klimat*VLOOKUP($A61,Leveranser_per_nät,'Leveranser per nät'!C$1,FALSE)/VLOOKUP($B61,Korrigeringsfaktor_GD,'Korrigeringsfaktor GD'!C$1,FALSE),
"")</f>
        <v>0</v>
      </c>
      <c r="D61" s="18">
        <f>IFERROR(
                  Andel_oberoende_av_klimat*VLOOKUP($A61,Leveranser_per_nät,'Leveranser per nät'!D$1,FALSE)
               +Andel_beroende_av_klimat*VLOOKUP($A61,Leveranser_per_nät,'Leveranser per nät'!D$1,FALSE)/VLOOKUP($B61,Korrigeringsfaktor_GD,'Korrigeringsfaktor GD'!D$1,FALSE),
"")</f>
        <v>0</v>
      </c>
      <c r="E61" s="18">
        <f>IFERROR(
                  Andel_oberoende_av_klimat*VLOOKUP($A61,Leveranser_per_nät,'Leveranser per nät'!E$1,FALSE)
               +Andel_beroende_av_klimat*VLOOKUP($A61,Leveranser_per_nät,'Leveranser per nät'!E$1,FALSE)/VLOOKUP($B61,Korrigeringsfaktor_GD,'Korrigeringsfaktor GD'!E$1,FALSE),
"")</f>
        <v>0</v>
      </c>
      <c r="F61" s="18">
        <f>IFERROR(
                  Andel_oberoende_av_klimat*VLOOKUP($A61,Leveranser_per_nät,'Leveranser per nät'!F$1,FALSE)
               +Andel_beroende_av_klimat*VLOOKUP($A61,Leveranser_per_nät,'Leveranser per nät'!F$1,FALSE)/VLOOKUP($B61,Korrigeringsfaktor_GD,'Korrigeringsfaktor GD'!F$1,FALSE),
"")</f>
        <v>0</v>
      </c>
      <c r="G61" s="18">
        <f>IFERROR(
                  Andel_oberoende_av_klimat*VLOOKUP($A61,Leveranser_per_nät,'Leveranser per nät'!G$1,FALSE)
               +Andel_beroende_av_klimat*VLOOKUP($A61,Leveranser_per_nät,'Leveranser per nät'!G$1,FALSE)/VLOOKUP($B61,Korrigeringsfaktor_GD,'Korrigeringsfaktor GD'!G$1,FALSE),
"")</f>
        <v>0</v>
      </c>
      <c r="H61" s="18">
        <f>IFERROR(
                  Andel_oberoende_av_klimat*VLOOKUP($A61,Leveranser_per_nät,'Leveranser per nät'!H$1,FALSE)
               +Andel_beroende_av_klimat*VLOOKUP($A61,Leveranser_per_nät,'Leveranser per nät'!H$1,FALSE)/VLOOKUP($B61,Korrigeringsfaktor_GD,'Korrigeringsfaktor GD'!H$1,FALSE),
"")</f>
        <v>0</v>
      </c>
      <c r="I61" s="18">
        <f>IFERROR(
                  Andel_oberoende_av_klimat*VLOOKUP($A61,Leveranser_per_nät,'Leveranser per nät'!I$1,FALSE)
               +Andel_beroende_av_klimat*VLOOKUP($A61,Leveranser_per_nät,'Leveranser per nät'!I$1,FALSE)/VLOOKUP($B61,Korrigeringsfaktor_GD,'Korrigeringsfaktor GD'!I$1,FALSE),
"")</f>
        <v>0</v>
      </c>
      <c r="J61" s="18">
        <f>IFERROR(
                  Andel_oberoende_av_klimat*VLOOKUP($A61,Leveranser_per_nät,'Leveranser per nät'!J$1,FALSE)
               +Andel_beroende_av_klimat*VLOOKUP($A61,Leveranser_per_nät,'Leveranser per nät'!J$1,FALSE)/VLOOKUP($B61,Korrigeringsfaktor_GD,'Korrigeringsfaktor GD'!J$1,FALSE),
"")</f>
        <v>0</v>
      </c>
      <c r="K61" s="18">
        <f>IFERROR(
                  Andel_oberoende_av_klimat*VLOOKUP($A61,Leveranser_per_nät,'Leveranser per nät'!K$1,FALSE)
               +Andel_beroende_av_klimat*VLOOKUP($A61,Leveranser_per_nät,'Leveranser per nät'!K$1,FALSE)/VLOOKUP($B61,Korrigeringsfaktor_GD,'Korrigeringsfaktor GD'!K$1,FALSE),
"")</f>
        <v>0</v>
      </c>
      <c r="L61" s="18">
        <f>IFERROR(
                  Andel_oberoende_av_klimat*VLOOKUP($A61,Leveranser_per_nät,'Leveranser per nät'!L$1,FALSE)
               +Andel_beroende_av_klimat*VLOOKUP($A61,Leveranser_per_nät,'Leveranser per nät'!L$1,FALSE)/VLOOKUP($B61,Korrigeringsfaktor_GD,'Korrigeringsfaktor GD'!L$1,FALSE),
"")</f>
        <v>3.4828188172043011</v>
      </c>
      <c r="M61" s="18">
        <f>IFERROR(
                  Andel_oberoende_av_klimat*VLOOKUP($A61,Leveranser_per_nät,'Leveranser per nät'!M$1,FALSE)
               +Andel_beroende_av_klimat*VLOOKUP($A61,Leveranser_per_nät,'Leveranser per nät'!M$1,FALSE)/VLOOKUP($B61,Korrigeringsfaktor_GD,'Korrigeringsfaktor GD'!M$1,FALSE),
"")</f>
        <v>0</v>
      </c>
      <c r="N61" s="18">
        <f>IFERROR(
                  Andel_oberoende_av_klimat*VLOOKUP($A61,Leveranser_per_nät,'Leveranser per nät'!N$1,FALSE)
               +Andel_beroende_av_klimat*VLOOKUP($A61,Leveranser_per_nät,'Leveranser per nät'!N$1,FALSE)/VLOOKUP($B61,Korrigeringsfaktor_GD,'Korrigeringsfaktor GD'!N$1,FALSE),
"")</f>
        <v>0</v>
      </c>
      <c r="O61" s="18">
        <f>IFERROR(
                  Andel_oberoende_av_klimat*VLOOKUP($A61,Leveranser_per_nät,'Leveranser per nät'!O$1,FALSE)
               +Andel_beroende_av_klimat*VLOOKUP($A61,Leveranser_per_nät,'Leveranser per nät'!O$1,FALSE)/VLOOKUP($B61,Korrigeringsfaktor_GD,'Korrigeringsfaktor GD'!O$1,FALSE),
"")</f>
        <v>0</v>
      </c>
      <c r="P61" s="18">
        <f>IFERROR(
                  Andel_oberoende_av_klimat*VLOOKUP($A61,Leveranser_per_nät,'Leveranser per nät'!P$1,FALSE)
               +Andel_beroende_av_klimat*VLOOKUP($A61,Leveranser_per_nät,'Leveranser per nät'!P$1,FALSE)/VLOOKUP($B61,Korrigeringsfaktor_GD,'Korrigeringsfaktor GD'!P$1,FALSE),
"")</f>
        <v>0</v>
      </c>
      <c r="Q61" s="18">
        <f>IFERROR(
                  Andel_oberoende_av_klimat*VLOOKUP($A61,Leveranser_per_nät,'Leveranser per nät'!Q$1,FALSE)
               +Andel_beroende_av_klimat*VLOOKUP($A61,Leveranser_per_nät,'Leveranser per nät'!Q$1,FALSE)/VLOOKUP($B61,Korrigeringsfaktor_GD,'Korrigeringsfaktor GD'!Q$1,FALSE),
"")</f>
        <v>0</v>
      </c>
      <c r="R61" s="18">
        <f>IFERROR(
                  Andel_oberoende_av_klimat*VLOOKUP($A61,Leveranser_per_nät,'Leveranser per nät'!R$1,FALSE)
               +Andel_beroende_av_klimat*VLOOKUP($A61,Leveranser_per_nät,'Leveranser per nät'!R$1,FALSE)/VLOOKUP($B61,Korrigeringsfaktor_GD,'Korrigeringsfaktor GD'!R$1,FALSE),
"")</f>
        <v>0</v>
      </c>
      <c r="S61" s="18" t="str">
        <f>IFERROR(
                  Andel_oberoende_av_klimat*VLOOKUP($A61,Leveranser_per_nät,'Leveranser per nät'!S$1,FALSE)
               +Andel_beroende_av_klimat*VLOOKUP($A61,Leveranser_per_nät,'Leveranser per nät'!S$1,FALSE)/VLOOKUP($B61,Korrigeringsfaktor_GD,'Korrigeringsfaktor GD'!S$1,FALSE),
"")</f>
        <v/>
      </c>
      <c r="T61" s="18" t="str">
        <f>IFERROR(
                  Andel_oberoende_av_klimat*VLOOKUP($A61,Leveranser_per_nät,'Leveranser per nät'!T$1,FALSE)
               +Andel_beroende_av_klimat*VLOOKUP($A61,Leveranser_per_nät,'Leveranser per nät'!T$1,FALSE)/VLOOKUP($B61,Korrigeringsfaktor_GD,'Korrigeringsfaktor GD'!T$1,FALSE),
"")</f>
        <v/>
      </c>
      <c r="U61" s="18" t="str">
        <f>IFERROR(
                  Andel_oberoende_av_klimat*VLOOKUP($A61,Leveranser_per_nät,'Leveranser per nät'!U$1,FALSE)
               +Andel_beroende_av_klimat*VLOOKUP($A61,Leveranser_per_nät,'Leveranser per nät'!U$1,FALSE)/VLOOKUP($B61,Korrigeringsfaktor_GD,'Korrigeringsfaktor GD'!U$1,FALSE),
"")</f>
        <v/>
      </c>
      <c r="V61" s="18" t="str">
        <f>IFERROR(
                  Andel_oberoende_av_klimat*VLOOKUP($A61,Leveranser_per_nät,'Leveranser per nät'!V$1,FALSE)
               +Andel_beroende_av_klimat*VLOOKUP($A61,Leveranser_per_nät,'Leveranser per nät'!V$1,FALSE)/VLOOKUP($B61,Korrigeringsfaktor_GD,'Korrigeringsfaktor GD'!V$1,FALSE),
"")</f>
        <v/>
      </c>
      <c r="W61" s="18" t="str">
        <f>IFERROR(
                  Andel_oberoende_av_klimat*VLOOKUP($A61,Leveranser_per_nät,'Leveranser per nät'!W$1,FALSE)
               +Andel_beroende_av_klimat*VLOOKUP($A61,Leveranser_per_nät,'Leveranser per nät'!W$1,FALSE)/VLOOKUP($B61,Korrigeringsfaktor_GD,'Korrigeringsfaktor GD'!W$1,FALSE),
"")</f>
        <v/>
      </c>
      <c r="X61" s="18" t="str">
        <f>IFERROR(
                  Andel_oberoende_av_klimat*VLOOKUP($A61,Leveranser_per_nät,'Leveranser per nät'!X$1,FALSE)
               +Andel_beroende_av_klimat*VLOOKUP($A61,Leveranser_per_nät,'Leveranser per nät'!X$1,FALSE)/VLOOKUP($B61,Korrigeringsfaktor_GD,'Korrigeringsfaktor GD'!X$1,FALSE),
"")</f>
        <v/>
      </c>
      <c r="Y61" s="18" t="str">
        <f>IFERROR(
                  Andel_oberoende_av_klimat*VLOOKUP($A61,Leveranser_per_nät,'Leveranser per nät'!Y$1,FALSE)
               +Andel_beroende_av_klimat*VLOOKUP($A61,Leveranser_per_nät,'Leveranser per nät'!Y$1,FALSE)/VLOOKUP($B61,Korrigeringsfaktor_GD,'Korrigeringsfaktor GD'!Y$1,FALSE),
"")</f>
        <v/>
      </c>
      <c r="Z61" s="18">
        <f>IFERROR(
                  Andel_oberoende_av_klimat*VLOOKUP($A61,Leveranser_per_nät,'Leveranser per nät'!Z$1,FALSE)
               +Andel_beroende_av_klimat*VLOOKUP($A61,Leveranser_per_nät,'Leveranser per nät'!Z$1,FALSE)/VLOOKUP($B61,Korrigeringsfaktor_GD,'Korrigeringsfaktor GD'!Z$1,FALSE),
"")</f>
        <v>0</v>
      </c>
      <c r="AA61" s="18" t="str">
        <f>IFERROR(
                  Andel_oberoende_av_klimat*VLOOKUP($A61,Leveranser_per_nät,'Leveranser per nät'!AA$1,FALSE)
               +Andel_beroende_av_klimat*VLOOKUP($A61,Leveranser_per_nät,'Leveranser per nät'!AA$1,FALSE)/VLOOKUP($B61,Korrigeringsfaktor_GD,'Korrigeringsfaktor GD'!AA$1,FALSE),
"")</f>
        <v/>
      </c>
      <c r="AB61" s="18">
        <f>IFERROR(
                  Andel_oberoende_av_klimat*VLOOKUP($A61,Leveranser_per_nät,'Leveranser per nät'!AB$1,FALSE)
               +Andel_beroende_av_klimat*VLOOKUP($A61,Leveranser_per_nät,'Leveranser per nät'!AB$1,FALSE)/VLOOKUP($B61,Korrigeringsfaktor_GD,'Korrigeringsfaktor GD'!AB$1,FALSE),
"")</f>
        <v>0</v>
      </c>
      <c r="AC61" s="18">
        <f>IFERROR(
                  Andel_oberoende_av_klimat*VLOOKUP($A61,Leveranser_per_nät,'Leveranser per nät'!AC$1,FALSE)
               +Andel_beroende_av_klimat*VLOOKUP($A61,Leveranser_per_nät,'Leveranser per nät'!AC$1,FALSE)/VLOOKUP($B61,Korrigeringsfaktor_GD,'Korrigeringsfaktor GD'!AC$1,FALSE),
"")</f>
        <v>4.8776825075834171</v>
      </c>
      <c r="AD61">
        <v>524.17999999999995</v>
      </c>
    </row>
    <row r="62" spans="1:30" x14ac:dyDescent="0.25">
      <c r="A62" t="s">
        <v>179</v>
      </c>
      <c r="B62" t="s">
        <v>520</v>
      </c>
      <c r="C62" s="18">
        <f>IFERROR(
                  Andel_oberoende_av_klimat*VLOOKUP($A62,Leveranser_per_nät,'Leveranser per nät'!C$1,FALSE)
               +Andel_beroende_av_klimat*VLOOKUP($A62,Leveranser_per_nät,'Leveranser per nät'!C$1,FALSE)/VLOOKUP($B62,Korrigeringsfaktor_GD,'Korrigeringsfaktor GD'!C$1,FALSE),
"")</f>
        <v>0</v>
      </c>
      <c r="D62" s="18">
        <f>IFERROR(
                  Andel_oberoende_av_klimat*VLOOKUP($A62,Leveranser_per_nät,'Leveranser per nät'!D$1,FALSE)
               +Andel_beroende_av_klimat*VLOOKUP($A62,Leveranser_per_nät,'Leveranser per nät'!D$1,FALSE)/VLOOKUP($B62,Korrigeringsfaktor_GD,'Korrigeringsfaktor GD'!D$1,FALSE),
"")</f>
        <v>0</v>
      </c>
      <c r="E62" s="18">
        <f>IFERROR(
                  Andel_oberoende_av_klimat*VLOOKUP($A62,Leveranser_per_nät,'Leveranser per nät'!E$1,FALSE)
               +Andel_beroende_av_klimat*VLOOKUP($A62,Leveranser_per_nät,'Leveranser per nät'!E$1,FALSE)/VLOOKUP($B62,Korrigeringsfaktor_GD,'Korrigeringsfaktor GD'!E$1,FALSE),
"")</f>
        <v>0</v>
      </c>
      <c r="F62" s="18">
        <f>IFERROR(
                  Andel_oberoende_av_klimat*VLOOKUP($A62,Leveranser_per_nät,'Leveranser per nät'!F$1,FALSE)
               +Andel_beroende_av_klimat*VLOOKUP($A62,Leveranser_per_nät,'Leveranser per nät'!F$1,FALSE)/VLOOKUP($B62,Korrigeringsfaktor_GD,'Korrigeringsfaktor GD'!F$1,FALSE),
"")</f>
        <v>0</v>
      </c>
      <c r="G62" s="18">
        <f>IFERROR(
                  Andel_oberoende_av_klimat*VLOOKUP($A62,Leveranser_per_nät,'Leveranser per nät'!G$1,FALSE)
               +Andel_beroende_av_klimat*VLOOKUP($A62,Leveranser_per_nät,'Leveranser per nät'!G$1,FALSE)/VLOOKUP($B62,Korrigeringsfaktor_GD,'Korrigeringsfaktor GD'!G$1,FALSE),
"")</f>
        <v>0</v>
      </c>
      <c r="H62" s="18">
        <f>IFERROR(
                  Andel_oberoende_av_klimat*VLOOKUP($A62,Leveranser_per_nät,'Leveranser per nät'!H$1,FALSE)
               +Andel_beroende_av_klimat*VLOOKUP($A62,Leveranser_per_nät,'Leveranser per nät'!H$1,FALSE)/VLOOKUP($B62,Korrigeringsfaktor_GD,'Korrigeringsfaktor GD'!H$1,FALSE),
"")</f>
        <v>0</v>
      </c>
      <c r="I62" s="18">
        <f>IFERROR(
                  Andel_oberoende_av_klimat*VLOOKUP($A62,Leveranser_per_nät,'Leveranser per nät'!I$1,FALSE)
               +Andel_beroende_av_klimat*VLOOKUP($A62,Leveranser_per_nät,'Leveranser per nät'!I$1,FALSE)/VLOOKUP($B62,Korrigeringsfaktor_GD,'Korrigeringsfaktor GD'!I$1,FALSE),
"")</f>
        <v>0</v>
      </c>
      <c r="J62" s="18">
        <f>IFERROR(
                  Andel_oberoende_av_klimat*VLOOKUP($A62,Leveranser_per_nät,'Leveranser per nät'!J$1,FALSE)
               +Andel_beroende_av_klimat*VLOOKUP($A62,Leveranser_per_nät,'Leveranser per nät'!J$1,FALSE)/VLOOKUP($B62,Korrigeringsfaktor_GD,'Korrigeringsfaktor GD'!J$1,FALSE),
"")</f>
        <v>0</v>
      </c>
      <c r="K62" s="18">
        <f>IFERROR(
                  Andel_oberoende_av_klimat*VLOOKUP($A62,Leveranser_per_nät,'Leveranser per nät'!K$1,FALSE)
               +Andel_beroende_av_klimat*VLOOKUP($A62,Leveranser_per_nät,'Leveranser per nät'!K$1,FALSE)/VLOOKUP($B62,Korrigeringsfaktor_GD,'Korrigeringsfaktor GD'!K$1,FALSE),
"")</f>
        <v>0</v>
      </c>
      <c r="L62" s="18">
        <f>IFERROR(
                  Andel_oberoende_av_klimat*VLOOKUP($A62,Leveranser_per_nät,'Leveranser per nät'!L$1,FALSE)
               +Andel_beroende_av_klimat*VLOOKUP($A62,Leveranser_per_nät,'Leveranser per nät'!L$1,FALSE)/VLOOKUP($B62,Korrigeringsfaktor_GD,'Korrigeringsfaktor GD'!L$1,FALSE),
"")</f>
        <v>0</v>
      </c>
      <c r="M62" s="18">
        <f>IFERROR(
                  Andel_oberoende_av_klimat*VLOOKUP($A62,Leveranser_per_nät,'Leveranser per nät'!M$1,FALSE)
               +Andel_beroende_av_klimat*VLOOKUP($A62,Leveranser_per_nät,'Leveranser per nät'!M$1,FALSE)/VLOOKUP($B62,Korrigeringsfaktor_GD,'Korrigeringsfaktor GD'!M$1,FALSE),
"")</f>
        <v>7.0672659574468089</v>
      </c>
      <c r="N62" s="18">
        <f>IFERROR(
                  Andel_oberoende_av_klimat*VLOOKUP($A62,Leveranser_per_nät,'Leveranser per nät'!N$1,FALSE)
               +Andel_beroende_av_klimat*VLOOKUP($A62,Leveranser_per_nät,'Leveranser per nät'!N$1,FALSE)/VLOOKUP($B62,Korrigeringsfaktor_GD,'Korrigeringsfaktor GD'!N$1,FALSE),
"")</f>
        <v>7.0142368421052623</v>
      </c>
      <c r="O62" s="18">
        <f>IFERROR(
                  Andel_oberoende_av_klimat*VLOOKUP($A62,Leveranser_per_nät,'Leveranser per nät'!O$1,FALSE)
               +Andel_beroende_av_klimat*VLOOKUP($A62,Leveranser_per_nät,'Leveranser per nät'!O$1,FALSE)/VLOOKUP($B62,Korrigeringsfaktor_GD,'Korrigeringsfaktor GD'!O$1,FALSE),
"")</f>
        <v>7.6129230769230762</v>
      </c>
      <c r="P62" s="18">
        <f>IFERROR(
                  Andel_oberoende_av_klimat*VLOOKUP($A62,Leveranser_per_nät,'Leveranser per nät'!P$1,FALSE)
               +Andel_beroende_av_klimat*VLOOKUP($A62,Leveranser_per_nät,'Leveranser per nät'!P$1,FALSE)/VLOOKUP($B62,Korrigeringsfaktor_GD,'Korrigeringsfaktor GD'!P$1,FALSE),
"")</f>
        <v>7.5278535353535343</v>
      </c>
      <c r="Q62" s="18">
        <f>IFERROR(
                  Andel_oberoende_av_klimat*VLOOKUP($A62,Leveranser_per_nät,'Leveranser per nät'!Q$1,FALSE)
               +Andel_beroende_av_klimat*VLOOKUP($A62,Leveranser_per_nät,'Leveranser per nät'!Q$1,FALSE)/VLOOKUP($B62,Korrigeringsfaktor_GD,'Korrigeringsfaktor GD'!Q$1,FALSE),
"")</f>
        <v>7.5447427350427345</v>
      </c>
      <c r="R62" s="18">
        <f>IFERROR(
                  Andel_oberoende_av_klimat*VLOOKUP($A62,Leveranser_per_nät,'Leveranser per nät'!R$1,FALSE)
               +Andel_beroende_av_klimat*VLOOKUP($A62,Leveranser_per_nät,'Leveranser per nät'!R$1,FALSE)/VLOOKUP($B62,Korrigeringsfaktor_GD,'Korrigeringsfaktor GD'!R$1,FALSE),
"")</f>
        <v>7.4761913978494627</v>
      </c>
      <c r="S62" s="18">
        <f>IFERROR(
                  Andel_oberoende_av_klimat*VLOOKUP($A62,Leveranser_per_nät,'Leveranser per nät'!S$1,FALSE)
               +Andel_beroende_av_klimat*VLOOKUP($A62,Leveranser_per_nät,'Leveranser per nät'!S$1,FALSE)/VLOOKUP($B62,Korrigeringsfaktor_GD,'Korrigeringsfaktor GD'!S$1,FALSE),
"")</f>
        <v>7.43</v>
      </c>
      <c r="T62" s="18">
        <f>IFERROR(
                  Andel_oberoende_av_klimat*VLOOKUP($A62,Leveranser_per_nät,'Leveranser per nät'!T$1,FALSE)
               +Andel_beroende_av_klimat*VLOOKUP($A62,Leveranser_per_nät,'Leveranser per nät'!T$1,FALSE)/VLOOKUP($B62,Korrigeringsfaktor_GD,'Korrigeringsfaktor GD'!T$1,FALSE),
"")</f>
        <v>7.6664577319587632</v>
      </c>
      <c r="U62" s="18">
        <f>IFERROR(
                  Andel_oberoende_av_klimat*VLOOKUP($A62,Leveranser_per_nät,'Leveranser per nät'!U$1,FALSE)
               +Andel_beroende_av_klimat*VLOOKUP($A62,Leveranser_per_nät,'Leveranser per nät'!U$1,FALSE)/VLOOKUP($B62,Korrigeringsfaktor_GD,'Korrigeringsfaktor GD'!U$1,FALSE),
"")</f>
        <v>7.4748126436781615</v>
      </c>
      <c r="V62" s="18">
        <f>IFERROR(
                  Andel_oberoende_av_klimat*VLOOKUP($A62,Leveranser_per_nät,'Leveranser per nät'!V$1,FALSE)
               +Andel_beroende_av_klimat*VLOOKUP($A62,Leveranser_per_nät,'Leveranser per nät'!V$1,FALSE)/VLOOKUP($B62,Korrigeringsfaktor_GD,'Korrigeringsfaktor GD'!V$1,FALSE),
"")</f>
        <v>7.6056179775280901</v>
      </c>
      <c r="W62" s="18">
        <f>IFERROR(
                  Andel_oberoende_av_klimat*VLOOKUP($A62,Leveranser_per_nät,'Leveranser per nät'!W$1,FALSE)
               +Andel_beroende_av_klimat*VLOOKUP($A62,Leveranser_per_nät,'Leveranser per nät'!W$1,FALSE)/VLOOKUP($B62,Korrigeringsfaktor_GD,'Korrigeringsfaktor GD'!W$1,FALSE),
"")</f>
        <v>7.9999846153846157</v>
      </c>
      <c r="X62" s="18">
        <f>IFERROR(
                  Andel_oberoende_av_klimat*VLOOKUP($A62,Leveranser_per_nät,'Leveranser per nät'!X$1,FALSE)
               +Andel_beroende_av_klimat*VLOOKUP($A62,Leveranser_per_nät,'Leveranser per nät'!X$1,FALSE)/VLOOKUP($B62,Korrigeringsfaktor_GD,'Korrigeringsfaktor GD'!X$1,FALSE),
"")</f>
        <v>7.7867826086956526</v>
      </c>
      <c r="Y62" s="18">
        <f>IFERROR(
                  Andel_oberoende_av_klimat*VLOOKUP($A62,Leveranser_per_nät,'Leveranser per nät'!Y$1,FALSE)
               +Andel_beroende_av_klimat*VLOOKUP($A62,Leveranser_per_nät,'Leveranser per nät'!Y$1,FALSE)/VLOOKUP($B62,Korrigeringsfaktor_GD,'Korrigeringsfaktor GD'!Y$1,FALSE),
"")</f>
        <v>7.5228888888888896</v>
      </c>
      <c r="Z62" s="18">
        <f>IFERROR(
                  Andel_oberoende_av_klimat*VLOOKUP($A62,Leveranser_per_nät,'Leveranser per nät'!Z$1,FALSE)
               +Andel_beroende_av_klimat*VLOOKUP($A62,Leveranser_per_nät,'Leveranser per nät'!Z$1,FALSE)/VLOOKUP($B62,Korrigeringsfaktor_GD,'Korrigeringsfaktor GD'!Z$1,FALSE),
"")</f>
        <v>7.4535056179775285</v>
      </c>
      <c r="AA62" s="18">
        <f>IFERROR(
                  Andel_oberoende_av_klimat*VLOOKUP($A62,Leveranser_per_nät,'Leveranser per nät'!AA$1,FALSE)
               +Andel_beroende_av_klimat*VLOOKUP($A62,Leveranser_per_nät,'Leveranser per nät'!AA$1,FALSE)/VLOOKUP($B62,Korrigeringsfaktor_GD,'Korrigeringsfaktor GD'!AA$1,FALSE),
"")</f>
        <v>7.7745347698334966</v>
      </c>
      <c r="AB62" s="18">
        <f>IFERROR(
                  Andel_oberoende_av_klimat*VLOOKUP($A62,Leveranser_per_nät,'Leveranser per nät'!AB$1,FALSE)
               +Andel_beroende_av_klimat*VLOOKUP($A62,Leveranser_per_nät,'Leveranser per nät'!AB$1,FALSE)/VLOOKUP($B62,Korrigeringsfaktor_GD,'Korrigeringsfaktor GD'!AB$1,FALSE),
"")</f>
        <v>7.4825736894164203</v>
      </c>
      <c r="AC62" s="18">
        <f>IFERROR(
                  Andel_oberoende_av_klimat*VLOOKUP($A62,Leveranser_per_nät,'Leveranser per nät'!AC$1,FALSE)
               +Andel_beroende_av_klimat*VLOOKUP($A62,Leveranser_per_nät,'Leveranser per nät'!AC$1,FALSE)/VLOOKUP($B62,Korrigeringsfaktor_GD,'Korrigeringsfaktor GD'!AC$1,FALSE),
"")</f>
        <v>7.2381057082452429</v>
      </c>
      <c r="AD62">
        <v>48.96</v>
      </c>
    </row>
    <row r="63" spans="1:30" x14ac:dyDescent="0.25">
      <c r="A63" s="3" t="s">
        <v>90</v>
      </c>
      <c r="B63" t="s">
        <v>119</v>
      </c>
      <c r="C63" s="18">
        <f>IFERROR(
                  Andel_oberoende_av_klimat*VLOOKUP($A63,Leveranser_per_nät,'Leveranser per nät'!C$1,FALSE)
               +Andel_beroende_av_klimat*VLOOKUP($A63,Leveranser_per_nät,'Leveranser per nät'!C$1,FALSE)/VLOOKUP($B63,Korrigeringsfaktor_GD,'Korrigeringsfaktor GD'!C$1,FALSE),
"")</f>
        <v>0</v>
      </c>
      <c r="D63" s="18">
        <f>IFERROR(
                  Andel_oberoende_av_klimat*VLOOKUP($A63,Leveranser_per_nät,'Leveranser per nät'!D$1,FALSE)
               +Andel_beroende_av_klimat*VLOOKUP($A63,Leveranser_per_nät,'Leveranser per nät'!D$1,FALSE)/VLOOKUP($B63,Korrigeringsfaktor_GD,'Korrigeringsfaktor GD'!D$1,FALSE),
"")</f>
        <v>0</v>
      </c>
      <c r="E63" s="18">
        <f>IFERROR(
                  Andel_oberoende_av_klimat*VLOOKUP($A63,Leveranser_per_nät,'Leveranser per nät'!E$1,FALSE)
               +Andel_beroende_av_klimat*VLOOKUP($A63,Leveranser_per_nät,'Leveranser per nät'!E$1,FALSE)/VLOOKUP($B63,Korrigeringsfaktor_GD,'Korrigeringsfaktor GD'!E$1,FALSE),
"")</f>
        <v>0</v>
      </c>
      <c r="F63" s="18">
        <f>IFERROR(
                  Andel_oberoende_av_klimat*VLOOKUP($A63,Leveranser_per_nät,'Leveranser per nät'!F$1,FALSE)
               +Andel_beroende_av_klimat*VLOOKUP($A63,Leveranser_per_nät,'Leveranser per nät'!F$1,FALSE)/VLOOKUP($B63,Korrigeringsfaktor_GD,'Korrigeringsfaktor GD'!F$1,FALSE),
"")</f>
        <v>0</v>
      </c>
      <c r="G63" s="18">
        <f>IFERROR(
                  Andel_oberoende_av_klimat*VLOOKUP($A63,Leveranser_per_nät,'Leveranser per nät'!G$1,FALSE)
               +Andel_beroende_av_klimat*VLOOKUP($A63,Leveranser_per_nät,'Leveranser per nät'!G$1,FALSE)/VLOOKUP($B63,Korrigeringsfaktor_GD,'Korrigeringsfaktor GD'!G$1,FALSE),
"")</f>
        <v>0</v>
      </c>
      <c r="H63" s="18">
        <f>IFERROR(
                  Andel_oberoende_av_klimat*VLOOKUP($A63,Leveranser_per_nät,'Leveranser per nät'!H$1,FALSE)
               +Andel_beroende_av_klimat*VLOOKUP($A63,Leveranser_per_nät,'Leveranser per nät'!H$1,FALSE)/VLOOKUP($B63,Korrigeringsfaktor_GD,'Korrigeringsfaktor GD'!H$1,FALSE),
"")</f>
        <v>0</v>
      </c>
      <c r="I63" s="18">
        <f>IFERROR(
                  Andel_oberoende_av_klimat*VLOOKUP($A63,Leveranser_per_nät,'Leveranser per nät'!I$1,FALSE)
               +Andel_beroende_av_klimat*VLOOKUP($A63,Leveranser_per_nät,'Leveranser per nät'!I$1,FALSE)/VLOOKUP($B63,Korrigeringsfaktor_GD,'Korrigeringsfaktor GD'!I$1,FALSE),
"")</f>
        <v>0</v>
      </c>
      <c r="J63" s="18">
        <f>IFERROR(
                  Andel_oberoende_av_klimat*VLOOKUP($A63,Leveranser_per_nät,'Leveranser per nät'!J$1,FALSE)
               +Andel_beroende_av_klimat*VLOOKUP($A63,Leveranser_per_nät,'Leveranser per nät'!J$1,FALSE)/VLOOKUP($B63,Korrigeringsfaktor_GD,'Korrigeringsfaktor GD'!J$1,FALSE),
"")</f>
        <v>0</v>
      </c>
      <c r="K63" s="18">
        <f>IFERROR(
                  Andel_oberoende_av_klimat*VLOOKUP($A63,Leveranser_per_nät,'Leveranser per nät'!K$1,FALSE)
               +Andel_beroende_av_klimat*VLOOKUP($A63,Leveranser_per_nät,'Leveranser per nät'!K$1,FALSE)/VLOOKUP($B63,Korrigeringsfaktor_GD,'Korrigeringsfaktor GD'!K$1,FALSE),
"")</f>
        <v>0</v>
      </c>
      <c r="L63" s="18">
        <f>IFERROR(
                  Andel_oberoende_av_klimat*VLOOKUP($A63,Leveranser_per_nät,'Leveranser per nät'!L$1,FALSE)
               +Andel_beroende_av_klimat*VLOOKUP($A63,Leveranser_per_nät,'Leveranser per nät'!L$1,FALSE)/VLOOKUP($B63,Korrigeringsfaktor_GD,'Korrigeringsfaktor GD'!L$1,FALSE),
"")</f>
        <v>0</v>
      </c>
      <c r="M63" s="18">
        <f>IFERROR(
                  Andel_oberoende_av_klimat*VLOOKUP($A63,Leveranser_per_nät,'Leveranser per nät'!M$1,FALSE)
               +Andel_beroende_av_klimat*VLOOKUP($A63,Leveranser_per_nät,'Leveranser per nät'!M$1,FALSE)/VLOOKUP($B63,Korrigeringsfaktor_GD,'Korrigeringsfaktor GD'!M$1,FALSE),
"")</f>
        <v>0</v>
      </c>
      <c r="N63" s="18">
        <f>IFERROR(
                  Andel_oberoende_av_klimat*VLOOKUP($A63,Leveranser_per_nät,'Leveranser per nät'!N$1,FALSE)
               +Andel_beroende_av_klimat*VLOOKUP($A63,Leveranser_per_nät,'Leveranser per nät'!N$1,FALSE)/VLOOKUP($B63,Korrigeringsfaktor_GD,'Korrigeringsfaktor GD'!N$1,FALSE),
"")</f>
        <v>0</v>
      </c>
      <c r="O63" s="18">
        <f>IFERROR(
                  Andel_oberoende_av_klimat*VLOOKUP($A63,Leveranser_per_nät,'Leveranser per nät'!O$1,FALSE)
               +Andel_beroende_av_klimat*VLOOKUP($A63,Leveranser_per_nät,'Leveranser per nät'!O$1,FALSE)/VLOOKUP($B63,Korrigeringsfaktor_GD,'Korrigeringsfaktor GD'!O$1,FALSE),
"")</f>
        <v>0</v>
      </c>
      <c r="P63" s="18">
        <f>IFERROR(
                  Andel_oberoende_av_klimat*VLOOKUP($A63,Leveranser_per_nät,'Leveranser per nät'!P$1,FALSE)
               +Andel_beroende_av_klimat*VLOOKUP($A63,Leveranser_per_nät,'Leveranser per nät'!P$1,FALSE)/VLOOKUP($B63,Korrigeringsfaktor_GD,'Korrigeringsfaktor GD'!P$1,FALSE),
"")</f>
        <v>0</v>
      </c>
      <c r="Q63" s="18">
        <f>IFERROR(
                  Andel_oberoende_av_klimat*VLOOKUP($A63,Leveranser_per_nät,'Leveranser per nät'!Q$1,FALSE)
               +Andel_beroende_av_klimat*VLOOKUP($A63,Leveranser_per_nät,'Leveranser per nät'!Q$1,FALSE)/VLOOKUP($B63,Korrigeringsfaktor_GD,'Korrigeringsfaktor GD'!Q$1,FALSE),
"")</f>
        <v>0</v>
      </c>
      <c r="R63" s="18">
        <f>IFERROR(
                  Andel_oberoende_av_klimat*VLOOKUP($A63,Leveranser_per_nät,'Leveranser per nät'!R$1,FALSE)
               +Andel_beroende_av_klimat*VLOOKUP($A63,Leveranser_per_nät,'Leveranser per nät'!R$1,FALSE)/VLOOKUP($B63,Korrigeringsfaktor_GD,'Korrigeringsfaktor GD'!R$1,FALSE),
"")</f>
        <v>0</v>
      </c>
      <c r="S63" s="18">
        <f>IFERROR(
                  Andel_oberoende_av_klimat*VLOOKUP($A63,Leveranser_per_nät,'Leveranser per nät'!S$1,FALSE)
               +Andel_beroende_av_klimat*VLOOKUP($A63,Leveranser_per_nät,'Leveranser per nät'!S$1,FALSE)/VLOOKUP($B63,Korrigeringsfaktor_GD,'Korrigeringsfaktor GD'!S$1,FALSE),
"")</f>
        <v>7</v>
      </c>
      <c r="T63" s="18">
        <f>IFERROR(
                  Andel_oberoende_av_klimat*VLOOKUP($A63,Leveranser_per_nät,'Leveranser per nät'!T$1,FALSE)
               +Andel_beroende_av_klimat*VLOOKUP($A63,Leveranser_per_nät,'Leveranser per nät'!T$1,FALSE)/VLOOKUP($B63,Korrigeringsfaktor_GD,'Korrigeringsfaktor GD'!T$1,FALSE),
"")</f>
        <v>7.7085714285714282</v>
      </c>
      <c r="U63" s="18">
        <f>IFERROR(
                  Andel_oberoende_av_klimat*VLOOKUP($A63,Leveranser_per_nät,'Leveranser per nät'!U$1,FALSE)
               +Andel_beroende_av_klimat*VLOOKUP($A63,Leveranser_per_nät,'Leveranser per nät'!U$1,FALSE)/VLOOKUP($B63,Korrigeringsfaktor_GD,'Korrigeringsfaktor GD'!U$1,FALSE),
"")</f>
        <v>7.9770588235294113</v>
      </c>
      <c r="V63" s="18">
        <f>IFERROR(
                  Andel_oberoende_av_klimat*VLOOKUP($A63,Leveranser_per_nät,'Leveranser per nät'!V$1,FALSE)
               +Andel_beroende_av_klimat*VLOOKUP($A63,Leveranser_per_nät,'Leveranser per nät'!V$1,FALSE)/VLOOKUP($B63,Korrigeringsfaktor_GD,'Korrigeringsfaktor GD'!V$1,FALSE),
"")</f>
        <v>8.1287344827586203</v>
      </c>
      <c r="W63" s="18">
        <f>IFERROR(
                  Andel_oberoende_av_klimat*VLOOKUP($A63,Leveranser_per_nät,'Leveranser per nät'!W$1,FALSE)
               +Andel_beroende_av_klimat*VLOOKUP($A63,Leveranser_per_nät,'Leveranser per nät'!W$1,FALSE)/VLOOKUP($B63,Korrigeringsfaktor_GD,'Korrigeringsfaktor GD'!W$1,FALSE),
"")</f>
        <v>8.2529787234042562</v>
      </c>
      <c r="X63" s="18">
        <f>IFERROR(
                  Andel_oberoende_av_klimat*VLOOKUP($A63,Leveranser_per_nät,'Leveranser per nät'!X$1,FALSE)
               +Andel_beroende_av_klimat*VLOOKUP($A63,Leveranser_per_nät,'Leveranser per nät'!X$1,FALSE)/VLOOKUP($B63,Korrigeringsfaktor_GD,'Korrigeringsfaktor GD'!X$1,FALSE),
"")</f>
        <v>8.2529787234042562</v>
      </c>
      <c r="Y63" s="18">
        <f>IFERROR(
                  Andel_oberoende_av_klimat*VLOOKUP($A63,Leveranser_per_nät,'Leveranser per nät'!Y$1,FALSE)
               +Andel_beroende_av_klimat*VLOOKUP($A63,Leveranser_per_nät,'Leveranser per nät'!Y$1,FALSE)/VLOOKUP($B63,Korrigeringsfaktor_GD,'Korrigeringsfaktor GD'!Y$1,FALSE),
"")</f>
        <v>8.3688709677419357</v>
      </c>
      <c r="Z63" s="18">
        <f>IFERROR(
                  Andel_oberoende_av_klimat*VLOOKUP($A63,Leveranser_per_nät,'Leveranser per nät'!Z$1,FALSE)
               +Andel_beroende_av_klimat*VLOOKUP($A63,Leveranser_per_nät,'Leveranser per nät'!Z$1,FALSE)/VLOOKUP($B63,Korrigeringsfaktor_GD,'Korrigeringsfaktor GD'!Z$1,FALSE),
"")</f>
        <v>8.5538461538461537</v>
      </c>
      <c r="AA63" s="18">
        <f>IFERROR(
                  Andel_oberoende_av_klimat*VLOOKUP($A63,Leveranser_per_nät,'Leveranser per nät'!AA$1,FALSE)
               +Andel_beroende_av_klimat*VLOOKUP($A63,Leveranser_per_nät,'Leveranser per nät'!AA$1,FALSE)/VLOOKUP($B63,Korrigeringsfaktor_GD,'Korrigeringsfaktor GD'!AA$1,FALSE),
"")</f>
        <v>8.2392040112817284</v>
      </c>
      <c r="AB63" s="18">
        <f>IFERROR(
                  Andel_oberoende_av_klimat*VLOOKUP($A63,Leveranser_per_nät,'Leveranser per nät'!AB$1,FALSE)
               +Andel_beroende_av_klimat*VLOOKUP($A63,Leveranser_per_nät,'Leveranser per nät'!AB$1,FALSE)/VLOOKUP($B63,Korrigeringsfaktor_GD,'Korrigeringsfaktor GD'!AB$1,FALSE),
"")</f>
        <v>8.6147817652764331</v>
      </c>
      <c r="AC63" s="18">
        <f>IFERROR(
                  Andel_oberoende_av_klimat*VLOOKUP($A63,Leveranser_per_nät,'Leveranser per nät'!AC$1,FALSE)
               +Andel_beroende_av_klimat*VLOOKUP($A63,Leveranser_per_nät,'Leveranser per nät'!AC$1,FALSE)/VLOOKUP($B63,Korrigeringsfaktor_GD,'Korrigeringsfaktor GD'!AC$1,FALSE),
"")</f>
        <v>8.422699999999999</v>
      </c>
      <c r="AD63">
        <v>103.6</v>
      </c>
    </row>
    <row r="64" spans="1:30" x14ac:dyDescent="0.25">
      <c r="A64" t="s">
        <v>96</v>
      </c>
      <c r="B64" t="s">
        <v>96</v>
      </c>
      <c r="C64" s="18">
        <f>IFERROR(
                  Andel_oberoende_av_klimat*VLOOKUP($A64,Leveranser_per_nät,'Leveranser per nät'!C$1,FALSE)
               +Andel_beroende_av_klimat*VLOOKUP($A64,Leveranser_per_nät,'Leveranser per nät'!C$1,FALSE)/VLOOKUP($B64,Korrigeringsfaktor_GD,'Korrigeringsfaktor GD'!C$1,FALSE),
"")</f>
        <v>16.854545454545452</v>
      </c>
      <c r="D64" s="18">
        <f>IFERROR(
                  Andel_oberoende_av_klimat*VLOOKUP($A64,Leveranser_per_nät,'Leveranser per nät'!D$1,FALSE)
               +Andel_beroende_av_klimat*VLOOKUP($A64,Leveranser_per_nät,'Leveranser per nät'!D$1,FALSE)/VLOOKUP($B64,Korrigeringsfaktor_GD,'Korrigeringsfaktor GD'!D$1,FALSE),
"")</f>
        <v>16.456375000000001</v>
      </c>
      <c r="E64" s="18">
        <f>IFERROR(
                  Andel_oberoende_av_klimat*VLOOKUP($A64,Leveranser_per_nät,'Leveranser per nät'!E$1,FALSE)
               +Andel_beroende_av_klimat*VLOOKUP($A64,Leveranser_per_nät,'Leveranser per nät'!E$1,FALSE)/VLOOKUP($B64,Korrigeringsfaktor_GD,'Korrigeringsfaktor GD'!E$1,FALSE),
"")</f>
        <v>17</v>
      </c>
      <c r="F64" s="18">
        <f>IFERROR(
                  Andel_oberoende_av_klimat*VLOOKUP($A64,Leveranser_per_nät,'Leveranser per nät'!F$1,FALSE)
               +Andel_beroende_av_klimat*VLOOKUP($A64,Leveranser_per_nät,'Leveranser per nät'!F$1,FALSE)/VLOOKUP($B64,Korrigeringsfaktor_GD,'Korrigeringsfaktor GD'!F$1,FALSE),
"")</f>
        <v>17.242857142857144</v>
      </c>
      <c r="G64" s="18">
        <f>IFERROR(
                  Andel_oberoende_av_klimat*VLOOKUP($A64,Leveranser_per_nät,'Leveranser per nät'!G$1,FALSE)
               +Andel_beroende_av_klimat*VLOOKUP($A64,Leveranser_per_nät,'Leveranser per nät'!G$1,FALSE)/VLOOKUP($B64,Korrigeringsfaktor_GD,'Korrigeringsfaktor GD'!G$1,FALSE),
"")</f>
        <v>18.176923076923075</v>
      </c>
      <c r="H64" s="18">
        <f>IFERROR(
                  Andel_oberoende_av_klimat*VLOOKUP($A64,Leveranser_per_nät,'Leveranser per nät'!H$1,FALSE)
               +Andel_beroende_av_klimat*VLOOKUP($A64,Leveranser_per_nät,'Leveranser per nät'!H$1,FALSE)/VLOOKUP($B64,Korrigeringsfaktor_GD,'Korrigeringsfaktor GD'!H$1,FALSE),
"")</f>
        <v>18.739215686274509</v>
      </c>
      <c r="I64" s="18">
        <f>IFERROR(
                  Andel_oberoende_av_klimat*VLOOKUP($A64,Leveranser_per_nät,'Leveranser per nät'!I$1,FALSE)
               +Andel_beroende_av_klimat*VLOOKUP($A64,Leveranser_per_nät,'Leveranser per nät'!I$1,FALSE)/VLOOKUP($B64,Korrigeringsfaktor_GD,'Korrigeringsfaktor GD'!I$1,FALSE),
"")</f>
        <v>20.141414141414142</v>
      </c>
      <c r="J64" s="18">
        <f>IFERROR(
                  Andel_oberoende_av_klimat*VLOOKUP($A64,Leveranser_per_nät,'Leveranser per nät'!J$1,FALSE)
               +Andel_beroende_av_klimat*VLOOKUP($A64,Leveranser_per_nät,'Leveranser per nät'!J$1,FALSE)/VLOOKUP($B64,Korrigeringsfaktor_GD,'Korrigeringsfaktor GD'!J$1,FALSE),
"")</f>
        <v>20.583333333333336</v>
      </c>
      <c r="K64" s="18">
        <f>IFERROR(
                  Andel_oberoende_av_klimat*VLOOKUP($A64,Leveranser_per_nät,'Leveranser per nät'!K$1,FALSE)
               +Andel_beroende_av_klimat*VLOOKUP($A64,Leveranser_per_nät,'Leveranser per nät'!K$1,FALSE)/VLOOKUP($B64,Korrigeringsfaktor_GD,'Korrigeringsfaktor GD'!K$1,FALSE),
"")</f>
        <v>35.547272164948453</v>
      </c>
      <c r="L64" s="18">
        <f>IFERROR(
                  Andel_oberoende_av_klimat*VLOOKUP($A64,Leveranser_per_nät,'Leveranser per nät'!L$1,FALSE)
               +Andel_beroende_av_klimat*VLOOKUP($A64,Leveranser_per_nät,'Leveranser per nät'!L$1,FALSE)/VLOOKUP($B64,Korrigeringsfaktor_GD,'Korrigeringsfaktor GD'!L$1,FALSE),
"")</f>
        <v>27.988275818545652</v>
      </c>
      <c r="M64" s="18">
        <f>IFERROR(
                  Andel_oberoende_av_klimat*VLOOKUP($A64,Leveranser_per_nät,'Leveranser per nät'!M$1,FALSE)
               +Andel_beroende_av_klimat*VLOOKUP($A64,Leveranser_per_nät,'Leveranser per nät'!M$1,FALSE)/VLOOKUP($B64,Korrigeringsfaktor_GD,'Korrigeringsfaktor GD'!M$1,FALSE),
"")</f>
        <v>31.952330434782606</v>
      </c>
      <c r="N64" s="18">
        <f>IFERROR(
                  Andel_oberoende_av_klimat*VLOOKUP($A64,Leveranser_per_nät,'Leveranser per nät'!N$1,FALSE)
               +Andel_beroende_av_klimat*VLOOKUP($A64,Leveranser_per_nät,'Leveranser per nät'!N$1,FALSE)/VLOOKUP($B64,Korrigeringsfaktor_GD,'Korrigeringsfaktor GD'!N$1,FALSE),
"")</f>
        <v>35.28618510638298</v>
      </c>
      <c r="O64" s="18">
        <f>IFERROR(
                  Andel_oberoende_av_klimat*VLOOKUP($A64,Leveranser_per_nät,'Leveranser per nät'!O$1,FALSE)
               +Andel_beroende_av_klimat*VLOOKUP($A64,Leveranser_per_nät,'Leveranser per nät'!O$1,FALSE)/VLOOKUP($B64,Korrigeringsfaktor_GD,'Korrigeringsfaktor GD'!O$1,FALSE),
"")</f>
        <v>33.867508510638295</v>
      </c>
      <c r="P64" s="18">
        <f>IFERROR(
                  Andel_oberoende_av_klimat*VLOOKUP($A64,Leveranser_per_nät,'Leveranser per nät'!P$1,FALSE)
               +Andel_beroende_av_klimat*VLOOKUP($A64,Leveranser_per_nät,'Leveranser per nät'!P$1,FALSE)/VLOOKUP($B64,Korrigeringsfaktor_GD,'Korrigeringsfaktor GD'!P$1,FALSE),
"")</f>
        <v>32.741</v>
      </c>
      <c r="Q64" s="18">
        <f>IFERROR(
                  Andel_oberoende_av_klimat*VLOOKUP($A64,Leveranser_per_nät,'Leveranser per nät'!Q$1,FALSE)
               +Andel_beroende_av_klimat*VLOOKUP($A64,Leveranser_per_nät,'Leveranser per nät'!Q$1,FALSE)/VLOOKUP($B64,Korrigeringsfaktor_GD,'Korrigeringsfaktor GD'!Q$1,FALSE),
"")</f>
        <v>34.646747826086958</v>
      </c>
      <c r="R64" s="18">
        <f>IFERROR(
                  Andel_oberoende_av_klimat*VLOOKUP($A64,Leveranser_per_nät,'Leveranser per nät'!R$1,FALSE)
               +Andel_beroende_av_klimat*VLOOKUP($A64,Leveranser_per_nät,'Leveranser per nät'!R$1,FALSE)/VLOOKUP($B64,Korrigeringsfaktor_GD,'Korrigeringsfaktor GD'!R$1,FALSE),
"")</f>
        <v>33.026991304347831</v>
      </c>
      <c r="S64" s="18">
        <f>IFERROR(
                  Andel_oberoende_av_klimat*VLOOKUP($A64,Leveranser_per_nät,'Leveranser per nät'!S$1,FALSE)
               +Andel_beroende_av_klimat*VLOOKUP($A64,Leveranser_per_nät,'Leveranser per nät'!S$1,FALSE)/VLOOKUP($B64,Korrigeringsfaktor_GD,'Korrigeringsfaktor GD'!S$1,FALSE),
"")</f>
        <v>32.771287128712871</v>
      </c>
      <c r="T64" s="18">
        <f>IFERROR(
                  Andel_oberoende_av_klimat*VLOOKUP($A64,Leveranser_per_nät,'Leveranser per nät'!T$1,FALSE)
               +Andel_beroende_av_klimat*VLOOKUP($A64,Leveranser_per_nät,'Leveranser per nät'!T$1,FALSE)/VLOOKUP($B64,Korrigeringsfaktor_GD,'Korrigeringsfaktor GD'!T$1,FALSE),
"")</f>
        <v>32.932871134020616</v>
      </c>
      <c r="U64" s="18">
        <f>IFERROR(
                  Andel_oberoende_av_klimat*VLOOKUP($A64,Leveranser_per_nät,'Leveranser per nät'!U$1,FALSE)
               +Andel_beroende_av_klimat*VLOOKUP($A64,Leveranser_per_nät,'Leveranser per nät'!U$1,FALSE)/VLOOKUP($B64,Korrigeringsfaktor_GD,'Korrigeringsfaktor GD'!U$1,FALSE),
"")</f>
        <v>32.115440909090907</v>
      </c>
      <c r="V64" s="18">
        <f>IFERROR(
                  Andel_oberoende_av_klimat*VLOOKUP($A64,Leveranser_per_nät,'Leveranser per nät'!V$1,FALSE)
               +Andel_beroende_av_klimat*VLOOKUP($A64,Leveranser_per_nät,'Leveranser per nät'!V$1,FALSE)/VLOOKUP($B64,Korrigeringsfaktor_GD,'Korrigeringsfaktor GD'!V$1,FALSE),
"")</f>
        <v>32.654177528089889</v>
      </c>
      <c r="W64" s="18">
        <f>IFERROR(
                  Andel_oberoende_av_klimat*VLOOKUP($A64,Leveranser_per_nät,'Leveranser per nät'!W$1,FALSE)
               +Andel_beroende_av_klimat*VLOOKUP($A64,Leveranser_per_nät,'Leveranser per nät'!W$1,FALSE)/VLOOKUP($B64,Korrigeringsfaktor_GD,'Korrigeringsfaktor GD'!W$1,FALSE),
"")</f>
        <v>33.536208695652171</v>
      </c>
      <c r="X64" s="18">
        <f>IFERROR(
                  Andel_oberoende_av_klimat*VLOOKUP($A64,Leveranser_per_nät,'Leveranser per nät'!X$1,FALSE)
               +Andel_beroende_av_klimat*VLOOKUP($A64,Leveranser_per_nät,'Leveranser per nät'!X$1,FALSE)/VLOOKUP($B64,Korrigeringsfaktor_GD,'Korrigeringsfaktor GD'!X$1,FALSE),
"")</f>
        <v>31.899329787234045</v>
      </c>
      <c r="Y64" s="18">
        <f>IFERROR(
                  Andel_oberoende_av_klimat*VLOOKUP($A64,Leveranser_per_nät,'Leveranser per nät'!Y$1,FALSE)
               +Andel_beroende_av_klimat*VLOOKUP($A64,Leveranser_per_nät,'Leveranser per nät'!Y$1,FALSE)/VLOOKUP($B64,Korrigeringsfaktor_GD,'Korrigeringsfaktor GD'!Y$1,FALSE),
"")</f>
        <v>34.001827956989246</v>
      </c>
      <c r="Z64" s="18">
        <f>IFERROR(
                  Andel_oberoende_av_klimat*VLOOKUP($A64,Leveranser_per_nät,'Leveranser per nät'!Z$1,FALSE)
               +Andel_beroende_av_klimat*VLOOKUP($A64,Leveranser_per_nät,'Leveranser per nät'!Z$1,FALSE)/VLOOKUP($B64,Korrigeringsfaktor_GD,'Korrigeringsfaktor GD'!Z$1,FALSE),
"")</f>
        <v>34.658801123595509</v>
      </c>
      <c r="AA64" s="18">
        <f>IFERROR(
                  Andel_oberoende_av_klimat*VLOOKUP($A64,Leveranser_per_nät,'Leveranser per nät'!AA$1,FALSE)
               +Andel_beroende_av_klimat*VLOOKUP($A64,Leveranser_per_nät,'Leveranser per nät'!AA$1,FALSE)/VLOOKUP($B64,Korrigeringsfaktor_GD,'Korrigeringsfaktor GD'!AA$1,FALSE),
"")</f>
        <v>34.051800850228908</v>
      </c>
      <c r="AB64" s="18">
        <f>IFERROR(
                  Andel_oberoende_av_klimat*VLOOKUP($A64,Leveranser_per_nät,'Leveranser per nät'!AB$1,FALSE)
               +Andel_beroende_av_klimat*VLOOKUP($A64,Leveranser_per_nät,'Leveranser per nät'!AB$1,FALSE)/VLOOKUP($B64,Korrigeringsfaktor_GD,'Korrigeringsfaktor GD'!AB$1,FALSE),
"")</f>
        <v>32.7249067961165</v>
      </c>
      <c r="AC64" s="18">
        <f>IFERROR(
                  Andel_oberoende_av_klimat*VLOOKUP($A64,Leveranser_per_nät,'Leveranser per nät'!AC$1,FALSE)
               +Andel_beroende_av_klimat*VLOOKUP($A64,Leveranser_per_nät,'Leveranser per nät'!AC$1,FALSE)/VLOOKUP($B64,Korrigeringsfaktor_GD,'Korrigeringsfaktor GD'!AC$1,FALSE),
"")</f>
        <v>31.742649484536084</v>
      </c>
      <c r="AD64">
        <v>31.07</v>
      </c>
    </row>
    <row r="65" spans="1:30" x14ac:dyDescent="0.25">
      <c r="A65" t="s">
        <v>586</v>
      </c>
      <c r="B65" t="s">
        <v>348</v>
      </c>
      <c r="C65" s="18">
        <f>IFERROR(
                  Andel_oberoende_av_klimat*VLOOKUP($A65,Leveranser_per_nät,'Leveranser per nät'!C$1,FALSE)
               +Andel_beroende_av_klimat*VLOOKUP($A65,Leveranser_per_nät,'Leveranser per nät'!C$1,FALSE)/VLOOKUP($B65,Korrigeringsfaktor_GD,'Korrigeringsfaktor GD'!C$1,FALSE),
"")</f>
        <v>0</v>
      </c>
      <c r="D65" s="18">
        <f>IFERROR(
                  Andel_oberoende_av_klimat*VLOOKUP($A65,Leveranser_per_nät,'Leveranser per nät'!D$1,FALSE)
               +Andel_beroende_av_klimat*VLOOKUP($A65,Leveranser_per_nät,'Leveranser per nät'!D$1,FALSE)/VLOOKUP($B65,Korrigeringsfaktor_GD,'Korrigeringsfaktor GD'!D$1,FALSE),
"")</f>
        <v>0</v>
      </c>
      <c r="E65" s="18">
        <f>IFERROR(
                  Andel_oberoende_av_klimat*VLOOKUP($A65,Leveranser_per_nät,'Leveranser per nät'!E$1,FALSE)
               +Andel_beroende_av_klimat*VLOOKUP($A65,Leveranser_per_nät,'Leveranser per nät'!E$1,FALSE)/VLOOKUP($B65,Korrigeringsfaktor_GD,'Korrigeringsfaktor GD'!E$1,FALSE),
"")</f>
        <v>0</v>
      </c>
      <c r="F65" s="18">
        <f>IFERROR(
                  Andel_oberoende_av_klimat*VLOOKUP($A65,Leveranser_per_nät,'Leveranser per nät'!F$1,FALSE)
               +Andel_beroende_av_klimat*VLOOKUP($A65,Leveranser_per_nät,'Leveranser per nät'!F$1,FALSE)/VLOOKUP($B65,Korrigeringsfaktor_GD,'Korrigeringsfaktor GD'!F$1,FALSE),
"")</f>
        <v>0</v>
      </c>
      <c r="G65" s="18">
        <f>IFERROR(
                  Andel_oberoende_av_klimat*VLOOKUP($A65,Leveranser_per_nät,'Leveranser per nät'!G$1,FALSE)
               +Andel_beroende_av_klimat*VLOOKUP($A65,Leveranser_per_nät,'Leveranser per nät'!G$1,FALSE)/VLOOKUP($B65,Korrigeringsfaktor_GD,'Korrigeringsfaktor GD'!G$1,FALSE),
"")</f>
        <v>0</v>
      </c>
      <c r="H65" s="18">
        <f>IFERROR(
                  Andel_oberoende_av_klimat*VLOOKUP($A65,Leveranser_per_nät,'Leveranser per nät'!H$1,FALSE)
               +Andel_beroende_av_klimat*VLOOKUP($A65,Leveranser_per_nät,'Leveranser per nät'!H$1,FALSE)/VLOOKUP($B65,Korrigeringsfaktor_GD,'Korrigeringsfaktor GD'!H$1,FALSE),
"")</f>
        <v>0</v>
      </c>
      <c r="I65" s="18">
        <f>IFERROR(
                  Andel_oberoende_av_klimat*VLOOKUP($A65,Leveranser_per_nät,'Leveranser per nät'!I$1,FALSE)
               +Andel_beroende_av_klimat*VLOOKUP($A65,Leveranser_per_nät,'Leveranser per nät'!I$1,FALSE)/VLOOKUP($B65,Korrigeringsfaktor_GD,'Korrigeringsfaktor GD'!I$1,FALSE),
"")</f>
        <v>0</v>
      </c>
      <c r="J65" s="18">
        <f>IFERROR(
                  Andel_oberoende_av_klimat*VLOOKUP($A65,Leveranser_per_nät,'Leveranser per nät'!J$1,FALSE)
               +Andel_beroende_av_klimat*VLOOKUP($A65,Leveranser_per_nät,'Leveranser per nät'!J$1,FALSE)/VLOOKUP($B65,Korrigeringsfaktor_GD,'Korrigeringsfaktor GD'!J$1,FALSE),
"")</f>
        <v>0</v>
      </c>
      <c r="K65" s="18">
        <f>IFERROR(
                  Andel_oberoende_av_klimat*VLOOKUP($A65,Leveranser_per_nät,'Leveranser per nät'!K$1,FALSE)
               +Andel_beroende_av_klimat*VLOOKUP($A65,Leveranser_per_nät,'Leveranser per nät'!K$1,FALSE)/VLOOKUP($B65,Korrigeringsfaktor_GD,'Korrigeringsfaktor GD'!K$1,FALSE),
"")</f>
        <v>0</v>
      </c>
      <c r="L65" s="18">
        <f>IFERROR(
                  Andel_oberoende_av_klimat*VLOOKUP($A65,Leveranser_per_nät,'Leveranser per nät'!L$1,FALSE)
               +Andel_beroende_av_klimat*VLOOKUP($A65,Leveranser_per_nät,'Leveranser per nät'!L$1,FALSE)/VLOOKUP($B65,Korrigeringsfaktor_GD,'Korrigeringsfaktor GD'!L$1,FALSE),
"")</f>
        <v>0</v>
      </c>
      <c r="M65" s="18">
        <f>IFERROR(
                  Andel_oberoende_av_klimat*VLOOKUP($A65,Leveranser_per_nät,'Leveranser per nät'!M$1,FALSE)
               +Andel_beroende_av_klimat*VLOOKUP($A65,Leveranser_per_nät,'Leveranser per nät'!M$1,FALSE)/VLOOKUP($B65,Korrigeringsfaktor_GD,'Korrigeringsfaktor GD'!M$1,FALSE),
"")</f>
        <v>0</v>
      </c>
      <c r="N65" s="18">
        <f>IFERROR(
                  Andel_oberoende_av_klimat*VLOOKUP($A65,Leveranser_per_nät,'Leveranser per nät'!N$1,FALSE)
               +Andel_beroende_av_klimat*VLOOKUP($A65,Leveranser_per_nät,'Leveranser per nät'!N$1,FALSE)/VLOOKUP($B65,Korrigeringsfaktor_GD,'Korrigeringsfaktor GD'!N$1,FALSE),
"")</f>
        <v>0</v>
      </c>
      <c r="O65" s="18">
        <f>IFERROR(
                  Andel_oberoende_av_klimat*VLOOKUP($A65,Leveranser_per_nät,'Leveranser per nät'!O$1,FALSE)
               +Andel_beroende_av_klimat*VLOOKUP($A65,Leveranser_per_nät,'Leveranser per nät'!O$1,FALSE)/VLOOKUP($B65,Korrigeringsfaktor_GD,'Korrigeringsfaktor GD'!O$1,FALSE),
"")</f>
        <v>0</v>
      </c>
      <c r="P65" s="18">
        <f>IFERROR(
                  Andel_oberoende_av_klimat*VLOOKUP($A65,Leveranser_per_nät,'Leveranser per nät'!P$1,FALSE)
               +Andel_beroende_av_klimat*VLOOKUP($A65,Leveranser_per_nät,'Leveranser per nät'!P$1,FALSE)/VLOOKUP($B65,Korrigeringsfaktor_GD,'Korrigeringsfaktor GD'!P$1,FALSE),
"")</f>
        <v>0.91285714285714303</v>
      </c>
      <c r="Q65" s="18">
        <f>IFERROR(
                  Andel_oberoende_av_klimat*VLOOKUP($A65,Leveranser_per_nät,'Leveranser per nät'!Q$1,FALSE)
               +Andel_beroende_av_klimat*VLOOKUP($A65,Leveranser_per_nät,'Leveranser per nät'!Q$1,FALSE)/VLOOKUP($B65,Korrigeringsfaktor_GD,'Korrigeringsfaktor GD'!Q$1,FALSE),
"")</f>
        <v>2.0602350877192981</v>
      </c>
      <c r="R65" s="18">
        <f>IFERROR(
                  Andel_oberoende_av_klimat*VLOOKUP($A65,Leveranser_per_nät,'Leveranser per nät'!R$1,FALSE)
               +Andel_beroende_av_klimat*VLOOKUP($A65,Leveranser_per_nät,'Leveranser per nät'!R$1,FALSE)/VLOOKUP($B65,Korrigeringsfaktor_GD,'Korrigeringsfaktor GD'!R$1,FALSE),
"")</f>
        <v>1.9353076923076924</v>
      </c>
      <c r="S65" s="18">
        <f>IFERROR(
                  Andel_oberoende_av_klimat*VLOOKUP($A65,Leveranser_per_nät,'Leveranser per nät'!S$1,FALSE)
               +Andel_beroende_av_klimat*VLOOKUP($A65,Leveranser_per_nät,'Leveranser per nät'!S$1,FALSE)/VLOOKUP($B65,Korrigeringsfaktor_GD,'Korrigeringsfaktor GD'!S$1,FALSE),
"")</f>
        <v>1.9166237623762377</v>
      </c>
      <c r="T65" s="18">
        <f>IFERROR(
                  Andel_oberoende_av_klimat*VLOOKUP($A65,Leveranser_per_nät,'Leveranser per nät'!T$1,FALSE)
               +Andel_beroende_av_klimat*VLOOKUP($A65,Leveranser_per_nät,'Leveranser per nät'!T$1,FALSE)/VLOOKUP($B65,Korrigeringsfaktor_GD,'Korrigeringsfaktor GD'!T$1,FALSE),
"")</f>
        <v>2.637142857142857</v>
      </c>
      <c r="U65" s="18">
        <f>IFERROR(
                  Andel_oberoende_av_klimat*VLOOKUP($A65,Leveranser_per_nät,'Leveranser per nät'!U$1,FALSE)
               +Andel_beroende_av_klimat*VLOOKUP($A65,Leveranser_per_nät,'Leveranser per nät'!U$1,FALSE)/VLOOKUP($B65,Korrigeringsfaktor_GD,'Korrigeringsfaktor GD'!U$1,FALSE),
"")</f>
        <v>4.344418604651163</v>
      </c>
      <c r="V65" s="18">
        <f>IFERROR(
                  Andel_oberoende_av_klimat*VLOOKUP($A65,Leveranser_per_nät,'Leveranser per nät'!V$1,FALSE)
               +Andel_beroende_av_klimat*VLOOKUP($A65,Leveranser_per_nät,'Leveranser per nät'!V$1,FALSE)/VLOOKUP($B65,Korrigeringsfaktor_GD,'Korrigeringsfaktor GD'!V$1,FALSE),
"")</f>
        <v>5.3239325842696639</v>
      </c>
      <c r="W65" s="18" t="str">
        <f>IFERROR(
                  Andel_oberoende_av_klimat*VLOOKUP($A65,Leveranser_per_nät,'Leveranser per nät'!W$1,FALSE)
               +Andel_beroende_av_klimat*VLOOKUP($A65,Leveranser_per_nät,'Leveranser per nät'!W$1,FALSE)/VLOOKUP($B65,Korrigeringsfaktor_GD,'Korrigeringsfaktor GD'!W$1,FALSE),
"")</f>
        <v/>
      </c>
      <c r="X65" s="18" t="str">
        <f>IFERROR(
                  Andel_oberoende_av_klimat*VLOOKUP($A65,Leveranser_per_nät,'Leveranser per nät'!X$1,FALSE)
               +Andel_beroende_av_klimat*VLOOKUP($A65,Leveranser_per_nät,'Leveranser per nät'!X$1,FALSE)/VLOOKUP($B65,Korrigeringsfaktor_GD,'Korrigeringsfaktor GD'!X$1,FALSE),
"")</f>
        <v/>
      </c>
      <c r="Y65" s="18" t="str">
        <f>IFERROR(
                  Andel_oberoende_av_klimat*VLOOKUP($A65,Leveranser_per_nät,'Leveranser per nät'!Y$1,FALSE)
               +Andel_beroende_av_klimat*VLOOKUP($A65,Leveranser_per_nät,'Leveranser per nät'!Y$1,FALSE)/VLOOKUP($B65,Korrigeringsfaktor_GD,'Korrigeringsfaktor GD'!Y$1,FALSE),
"")</f>
        <v/>
      </c>
      <c r="Z65" s="18">
        <f>IFERROR(
                  Andel_oberoende_av_klimat*VLOOKUP($A65,Leveranser_per_nät,'Leveranser per nät'!Z$1,FALSE)
               +Andel_beroende_av_klimat*VLOOKUP($A65,Leveranser_per_nät,'Leveranser per nät'!Z$1,FALSE)/VLOOKUP($B65,Korrigeringsfaktor_GD,'Korrigeringsfaktor GD'!Z$1,FALSE),
"")</f>
        <v>0</v>
      </c>
      <c r="AA65" s="18" t="str">
        <f>IFERROR(
                  Andel_oberoende_av_klimat*VLOOKUP($A65,Leveranser_per_nät,'Leveranser per nät'!AA$1,FALSE)
               +Andel_beroende_av_klimat*VLOOKUP($A65,Leveranser_per_nät,'Leveranser per nät'!AA$1,FALSE)/VLOOKUP($B65,Korrigeringsfaktor_GD,'Korrigeringsfaktor GD'!AA$1,FALSE),
"")</f>
        <v/>
      </c>
      <c r="AB65" s="18">
        <f>IFERROR(
                  Andel_oberoende_av_klimat*VLOOKUP($A65,Leveranser_per_nät,'Leveranser per nät'!AB$1,FALSE)
               +Andel_beroende_av_klimat*VLOOKUP($A65,Leveranser_per_nät,'Leveranser per nät'!AB$1,FALSE)/VLOOKUP($B65,Korrigeringsfaktor_GD,'Korrigeringsfaktor GD'!AB$1,FALSE),
"")</f>
        <v>0</v>
      </c>
      <c r="AC65" s="18">
        <f>IFERROR(
                  Andel_oberoende_av_klimat*VLOOKUP($A65,Leveranser_per_nät,'Leveranser per nät'!AC$1,FALSE)
               +Andel_beroende_av_klimat*VLOOKUP($A65,Leveranser_per_nät,'Leveranser per nät'!AC$1,FALSE)/VLOOKUP($B65,Korrigeringsfaktor_GD,'Korrigeringsfaktor GD'!AC$1,FALSE),
"")</f>
        <v>0</v>
      </c>
      <c r="AD65">
        <v>122.64</v>
      </c>
    </row>
    <row r="66" spans="1:30" x14ac:dyDescent="0.25">
      <c r="A66" t="s">
        <v>905</v>
      </c>
      <c r="B66" t="s">
        <v>530</v>
      </c>
      <c r="C66" s="18">
        <f>IFERROR(
                  Andel_oberoende_av_klimat*VLOOKUP($A66,Leveranser_per_nät,'Leveranser per nät'!C$1,FALSE)
               +Andel_beroende_av_klimat*VLOOKUP($A66,Leveranser_per_nät,'Leveranser per nät'!C$1,FALSE)/VLOOKUP($B66,Korrigeringsfaktor_GD,'Korrigeringsfaktor GD'!C$1,FALSE),
"")</f>
        <v>0</v>
      </c>
      <c r="D66" s="18">
        <f>IFERROR(
                  Andel_oberoende_av_klimat*VLOOKUP($A66,Leveranser_per_nät,'Leveranser per nät'!D$1,FALSE)
               +Andel_beroende_av_klimat*VLOOKUP($A66,Leveranser_per_nät,'Leveranser per nät'!D$1,FALSE)/VLOOKUP($B66,Korrigeringsfaktor_GD,'Korrigeringsfaktor GD'!D$1,FALSE),
"")</f>
        <v>0</v>
      </c>
      <c r="E66" s="18">
        <f>IFERROR(
                  Andel_oberoende_av_klimat*VLOOKUP($A66,Leveranser_per_nät,'Leveranser per nät'!E$1,FALSE)
               +Andel_beroende_av_klimat*VLOOKUP($A66,Leveranser_per_nät,'Leveranser per nät'!E$1,FALSE)/VLOOKUP($B66,Korrigeringsfaktor_GD,'Korrigeringsfaktor GD'!E$1,FALSE),
"")</f>
        <v>0</v>
      </c>
      <c r="F66" s="18">
        <f>IFERROR(
                  Andel_oberoende_av_klimat*VLOOKUP($A66,Leveranser_per_nät,'Leveranser per nät'!F$1,FALSE)
               +Andel_beroende_av_klimat*VLOOKUP($A66,Leveranser_per_nät,'Leveranser per nät'!F$1,FALSE)/VLOOKUP($B66,Korrigeringsfaktor_GD,'Korrigeringsfaktor GD'!F$1,FALSE),
"")</f>
        <v>0</v>
      </c>
      <c r="G66" s="18">
        <f>IFERROR(
                  Andel_oberoende_av_klimat*VLOOKUP($A66,Leveranser_per_nät,'Leveranser per nät'!G$1,FALSE)
               +Andel_beroende_av_klimat*VLOOKUP($A66,Leveranser_per_nät,'Leveranser per nät'!G$1,FALSE)/VLOOKUP($B66,Korrigeringsfaktor_GD,'Korrigeringsfaktor GD'!G$1,FALSE),
"")</f>
        <v>0</v>
      </c>
      <c r="H66" s="18">
        <f>IFERROR(
                  Andel_oberoende_av_klimat*VLOOKUP($A66,Leveranser_per_nät,'Leveranser per nät'!H$1,FALSE)
               +Andel_beroende_av_klimat*VLOOKUP($A66,Leveranser_per_nät,'Leveranser per nät'!H$1,FALSE)/VLOOKUP($B66,Korrigeringsfaktor_GD,'Korrigeringsfaktor GD'!H$1,FALSE),
"")</f>
        <v>0</v>
      </c>
      <c r="I66" s="18">
        <f>IFERROR(
                  Andel_oberoende_av_klimat*VLOOKUP($A66,Leveranser_per_nät,'Leveranser per nät'!I$1,FALSE)
               +Andel_beroende_av_klimat*VLOOKUP($A66,Leveranser_per_nät,'Leveranser per nät'!I$1,FALSE)/VLOOKUP($B66,Korrigeringsfaktor_GD,'Korrigeringsfaktor GD'!I$1,FALSE),
"")</f>
        <v>0</v>
      </c>
      <c r="J66" s="18">
        <f>IFERROR(
                  Andel_oberoende_av_klimat*VLOOKUP($A66,Leveranser_per_nät,'Leveranser per nät'!J$1,FALSE)
               +Andel_beroende_av_klimat*VLOOKUP($A66,Leveranser_per_nät,'Leveranser per nät'!J$1,FALSE)/VLOOKUP($B66,Korrigeringsfaktor_GD,'Korrigeringsfaktor GD'!J$1,FALSE),
"")</f>
        <v>0</v>
      </c>
      <c r="K66" s="18">
        <f>IFERROR(
                  Andel_oberoende_av_klimat*VLOOKUP($A66,Leveranser_per_nät,'Leveranser per nät'!K$1,FALSE)
               +Andel_beroende_av_klimat*VLOOKUP($A66,Leveranser_per_nät,'Leveranser per nät'!K$1,FALSE)/VLOOKUP($B66,Korrigeringsfaktor_GD,'Korrigeringsfaktor GD'!K$1,FALSE),
"")</f>
        <v>0</v>
      </c>
      <c r="L66" s="18">
        <f>IFERROR(
                  Andel_oberoende_av_klimat*VLOOKUP($A66,Leveranser_per_nät,'Leveranser per nät'!L$1,FALSE)
               +Andel_beroende_av_klimat*VLOOKUP($A66,Leveranser_per_nät,'Leveranser per nät'!L$1,FALSE)/VLOOKUP($B66,Korrigeringsfaktor_GD,'Korrigeringsfaktor GD'!L$1,FALSE),
"")</f>
        <v>0</v>
      </c>
      <c r="M66" s="18">
        <f>IFERROR(
                  Andel_oberoende_av_klimat*VLOOKUP($A66,Leveranser_per_nät,'Leveranser per nät'!M$1,FALSE)
               +Andel_beroende_av_klimat*VLOOKUP($A66,Leveranser_per_nät,'Leveranser per nät'!M$1,FALSE)/VLOOKUP($B66,Korrigeringsfaktor_GD,'Korrigeringsfaktor GD'!M$1,FALSE),
"")</f>
        <v>0</v>
      </c>
      <c r="N66" s="18">
        <f>IFERROR(
                  Andel_oberoende_av_klimat*VLOOKUP($A66,Leveranser_per_nät,'Leveranser per nät'!N$1,FALSE)
               +Andel_beroende_av_klimat*VLOOKUP($A66,Leveranser_per_nät,'Leveranser per nät'!N$1,FALSE)/VLOOKUP($B66,Korrigeringsfaktor_GD,'Korrigeringsfaktor GD'!N$1,FALSE),
"")</f>
        <v>0</v>
      </c>
      <c r="O66" s="18">
        <f>IFERROR(
                  Andel_oberoende_av_klimat*VLOOKUP($A66,Leveranser_per_nät,'Leveranser per nät'!O$1,FALSE)
               +Andel_beroende_av_klimat*VLOOKUP($A66,Leveranser_per_nät,'Leveranser per nät'!O$1,FALSE)/VLOOKUP($B66,Korrigeringsfaktor_GD,'Korrigeringsfaktor GD'!O$1,FALSE),
"")</f>
        <v>0</v>
      </c>
      <c r="P66" s="18">
        <f>IFERROR(
                  Andel_oberoende_av_klimat*VLOOKUP($A66,Leveranser_per_nät,'Leveranser per nät'!P$1,FALSE)
               +Andel_beroende_av_klimat*VLOOKUP($A66,Leveranser_per_nät,'Leveranser per nät'!P$1,FALSE)/VLOOKUP($B66,Korrigeringsfaktor_GD,'Korrigeringsfaktor GD'!P$1,FALSE),
"")</f>
        <v>0</v>
      </c>
      <c r="Q66" s="18">
        <f>IFERROR(
                  Andel_oberoende_av_klimat*VLOOKUP($A66,Leveranser_per_nät,'Leveranser per nät'!Q$1,FALSE)
               +Andel_beroende_av_klimat*VLOOKUP($A66,Leveranser_per_nät,'Leveranser per nät'!Q$1,FALSE)/VLOOKUP($B66,Korrigeringsfaktor_GD,'Korrigeringsfaktor GD'!Q$1,FALSE),
"")</f>
        <v>0</v>
      </c>
      <c r="R66" s="18">
        <f>IFERROR(
                  Andel_oberoende_av_klimat*VLOOKUP($A66,Leveranser_per_nät,'Leveranser per nät'!R$1,FALSE)
               +Andel_beroende_av_klimat*VLOOKUP($A66,Leveranser_per_nät,'Leveranser per nät'!R$1,FALSE)/VLOOKUP($B66,Korrigeringsfaktor_GD,'Korrigeringsfaktor GD'!R$1,FALSE),
"")</f>
        <v>0</v>
      </c>
      <c r="S66" s="18">
        <f>IFERROR(
                  Andel_oberoende_av_klimat*VLOOKUP($A66,Leveranser_per_nät,'Leveranser per nät'!S$1,FALSE)
               +Andel_beroende_av_klimat*VLOOKUP($A66,Leveranser_per_nät,'Leveranser per nät'!S$1,FALSE)/VLOOKUP($B66,Korrigeringsfaktor_GD,'Korrigeringsfaktor GD'!S$1,FALSE),
"")</f>
        <v>0</v>
      </c>
      <c r="T66" s="18">
        <f>IFERROR(
                  Andel_oberoende_av_klimat*VLOOKUP($A66,Leveranser_per_nät,'Leveranser per nät'!T$1,FALSE)
               +Andel_beroende_av_klimat*VLOOKUP($A66,Leveranser_per_nät,'Leveranser per nät'!T$1,FALSE)/VLOOKUP($B66,Korrigeringsfaktor_GD,'Korrigeringsfaktor GD'!T$1,FALSE),
"")</f>
        <v>0</v>
      </c>
      <c r="U66" s="18">
        <f>IFERROR(
                  Andel_oberoende_av_klimat*VLOOKUP($A66,Leveranser_per_nät,'Leveranser per nät'!U$1,FALSE)
               +Andel_beroende_av_klimat*VLOOKUP($A66,Leveranser_per_nät,'Leveranser per nät'!U$1,FALSE)/VLOOKUP($B66,Korrigeringsfaktor_GD,'Korrigeringsfaktor GD'!U$1,FALSE),
"")</f>
        <v>0</v>
      </c>
      <c r="V66" s="18">
        <f>IFERROR(
                  Andel_oberoende_av_klimat*VLOOKUP($A66,Leveranser_per_nät,'Leveranser per nät'!V$1,FALSE)
               +Andel_beroende_av_klimat*VLOOKUP($A66,Leveranser_per_nät,'Leveranser per nät'!V$1,FALSE)/VLOOKUP($B66,Korrigeringsfaktor_GD,'Korrigeringsfaktor GD'!V$1,FALSE),
"")</f>
        <v>5.1916091954022994</v>
      </c>
      <c r="W66" s="18">
        <f>IFERROR(
                  Andel_oberoende_av_klimat*VLOOKUP($A66,Leveranser_per_nät,'Leveranser per nät'!W$1,FALSE)
               +Andel_beroende_av_klimat*VLOOKUP($A66,Leveranser_per_nät,'Leveranser per nät'!W$1,FALSE)/VLOOKUP($B66,Korrigeringsfaktor_GD,'Korrigeringsfaktor GD'!W$1,FALSE),
"")</f>
        <v>5.7631538461538456</v>
      </c>
      <c r="X66" s="18">
        <f>IFERROR(
                  Andel_oberoende_av_klimat*VLOOKUP($A66,Leveranser_per_nät,'Leveranser per nät'!X$1,FALSE)
               +Andel_beroende_av_klimat*VLOOKUP($A66,Leveranser_per_nät,'Leveranser per nät'!X$1,FALSE)/VLOOKUP($B66,Korrigeringsfaktor_GD,'Korrigeringsfaktor GD'!X$1,FALSE),
"")</f>
        <v>5.6669230769230765</v>
      </c>
      <c r="Y66" s="18">
        <f>IFERROR(
                  Andel_oberoende_av_klimat*VLOOKUP($A66,Leveranser_per_nät,'Leveranser per nät'!Y$1,FALSE)
               +Andel_beroende_av_klimat*VLOOKUP($A66,Leveranser_per_nät,'Leveranser per nät'!Y$1,FALSE)/VLOOKUP($B66,Korrigeringsfaktor_GD,'Korrigeringsfaktor GD'!Y$1,FALSE),
"")</f>
        <v>5.9758426966292131</v>
      </c>
      <c r="Z66" s="18">
        <f>IFERROR(
                  Andel_oberoende_av_klimat*VLOOKUP($A66,Leveranser_per_nät,'Leveranser per nät'!Z$1,FALSE)
               +Andel_beroende_av_klimat*VLOOKUP($A66,Leveranser_per_nät,'Leveranser per nät'!Z$1,FALSE)/VLOOKUP($B66,Korrigeringsfaktor_GD,'Korrigeringsfaktor GD'!Z$1,FALSE),
"")</f>
        <v>0</v>
      </c>
      <c r="AA66" s="18" t="str">
        <f>IFERROR(
                  Andel_oberoende_av_klimat*VLOOKUP($A66,Leveranser_per_nät,'Leveranser per nät'!AA$1,FALSE)
               +Andel_beroende_av_klimat*VLOOKUP($A66,Leveranser_per_nät,'Leveranser per nät'!AA$1,FALSE)/VLOOKUP($B66,Korrigeringsfaktor_GD,'Korrigeringsfaktor GD'!AA$1,FALSE),
"")</f>
        <v/>
      </c>
      <c r="AB66" s="18">
        <f>IFERROR(
                  Andel_oberoende_av_klimat*VLOOKUP($A66,Leveranser_per_nät,'Leveranser per nät'!AB$1,FALSE)
               +Andel_beroende_av_klimat*VLOOKUP($A66,Leveranser_per_nät,'Leveranser per nät'!AB$1,FALSE)/VLOOKUP($B66,Korrigeringsfaktor_GD,'Korrigeringsfaktor GD'!AB$1,FALSE),
"")</f>
        <v>0</v>
      </c>
      <c r="AC66" s="18">
        <f>IFERROR(
                  Andel_oberoende_av_klimat*VLOOKUP($A66,Leveranser_per_nät,'Leveranser per nät'!AC$1,FALSE)
               +Andel_beroende_av_klimat*VLOOKUP($A66,Leveranser_per_nät,'Leveranser per nät'!AC$1,FALSE)/VLOOKUP($B66,Korrigeringsfaktor_GD,'Korrigeringsfaktor GD'!AC$1,FALSE),
"")</f>
        <v>0</v>
      </c>
      <c r="AD66" t="e">
        <v>#N/A</v>
      </c>
    </row>
    <row r="67" spans="1:30" x14ac:dyDescent="0.25">
      <c r="A67" t="s">
        <v>588</v>
      </c>
      <c r="B67" t="s">
        <v>520</v>
      </c>
      <c r="C67" s="18">
        <f>IFERROR(
                  Andel_oberoende_av_klimat*VLOOKUP($A67,Leveranser_per_nät,'Leveranser per nät'!C$1,FALSE)
               +Andel_beroende_av_klimat*VLOOKUP($A67,Leveranser_per_nät,'Leveranser per nät'!C$1,FALSE)/VLOOKUP($B67,Korrigeringsfaktor_GD,'Korrigeringsfaktor GD'!C$1,FALSE),
"")</f>
        <v>0</v>
      </c>
      <c r="D67" s="18">
        <f>IFERROR(
                  Andel_oberoende_av_klimat*VLOOKUP($A67,Leveranser_per_nät,'Leveranser per nät'!D$1,FALSE)
               +Andel_beroende_av_klimat*VLOOKUP($A67,Leveranser_per_nät,'Leveranser per nät'!D$1,FALSE)/VLOOKUP($B67,Korrigeringsfaktor_GD,'Korrigeringsfaktor GD'!D$1,FALSE),
"")</f>
        <v>0</v>
      </c>
      <c r="E67" s="18">
        <f>IFERROR(
                  Andel_oberoende_av_klimat*VLOOKUP($A67,Leveranser_per_nät,'Leveranser per nät'!E$1,FALSE)
               +Andel_beroende_av_klimat*VLOOKUP($A67,Leveranser_per_nät,'Leveranser per nät'!E$1,FALSE)/VLOOKUP($B67,Korrigeringsfaktor_GD,'Korrigeringsfaktor GD'!E$1,FALSE),
"")</f>
        <v>0</v>
      </c>
      <c r="F67" s="18">
        <f>IFERROR(
                  Andel_oberoende_av_klimat*VLOOKUP($A67,Leveranser_per_nät,'Leveranser per nät'!F$1,FALSE)
               +Andel_beroende_av_klimat*VLOOKUP($A67,Leveranser_per_nät,'Leveranser per nät'!F$1,FALSE)/VLOOKUP($B67,Korrigeringsfaktor_GD,'Korrigeringsfaktor GD'!F$1,FALSE),
"")</f>
        <v>0</v>
      </c>
      <c r="G67" s="18">
        <f>IFERROR(
                  Andel_oberoende_av_klimat*VLOOKUP($A67,Leveranser_per_nät,'Leveranser per nät'!G$1,FALSE)
               +Andel_beroende_av_klimat*VLOOKUP($A67,Leveranser_per_nät,'Leveranser per nät'!G$1,FALSE)/VLOOKUP($B67,Korrigeringsfaktor_GD,'Korrigeringsfaktor GD'!G$1,FALSE),
"")</f>
        <v>0</v>
      </c>
      <c r="H67" s="18">
        <f>IFERROR(
                  Andel_oberoende_av_klimat*VLOOKUP($A67,Leveranser_per_nät,'Leveranser per nät'!H$1,FALSE)
               +Andel_beroende_av_klimat*VLOOKUP($A67,Leveranser_per_nät,'Leveranser per nät'!H$1,FALSE)/VLOOKUP($B67,Korrigeringsfaktor_GD,'Korrigeringsfaktor GD'!H$1,FALSE),
"")</f>
        <v>0</v>
      </c>
      <c r="I67" s="18">
        <f>IFERROR(
                  Andel_oberoende_av_klimat*VLOOKUP($A67,Leveranser_per_nät,'Leveranser per nät'!I$1,FALSE)
               +Andel_beroende_av_klimat*VLOOKUP($A67,Leveranser_per_nät,'Leveranser per nät'!I$1,FALSE)/VLOOKUP($B67,Korrigeringsfaktor_GD,'Korrigeringsfaktor GD'!I$1,FALSE),
"")</f>
        <v>0</v>
      </c>
      <c r="J67" s="18">
        <f>IFERROR(
                  Andel_oberoende_av_klimat*VLOOKUP($A67,Leveranser_per_nät,'Leveranser per nät'!J$1,FALSE)
               +Andel_beroende_av_klimat*VLOOKUP($A67,Leveranser_per_nät,'Leveranser per nät'!J$1,FALSE)/VLOOKUP($B67,Korrigeringsfaktor_GD,'Korrigeringsfaktor GD'!J$1,FALSE),
"")</f>
        <v>0</v>
      </c>
      <c r="K67" s="18">
        <f>IFERROR(
                  Andel_oberoende_av_klimat*VLOOKUP($A67,Leveranser_per_nät,'Leveranser per nät'!K$1,FALSE)
               +Andel_beroende_av_klimat*VLOOKUP($A67,Leveranser_per_nät,'Leveranser per nät'!K$1,FALSE)/VLOOKUP($B67,Korrigeringsfaktor_GD,'Korrigeringsfaktor GD'!K$1,FALSE),
"")</f>
        <v>0</v>
      </c>
      <c r="L67" s="18">
        <f>IFERROR(
                  Andel_oberoende_av_klimat*VLOOKUP($A67,Leveranser_per_nät,'Leveranser per nät'!L$1,FALSE)
               +Andel_beroende_av_klimat*VLOOKUP($A67,Leveranser_per_nät,'Leveranser per nät'!L$1,FALSE)/VLOOKUP($B67,Korrigeringsfaktor_GD,'Korrigeringsfaktor GD'!L$1,FALSE),
"")</f>
        <v>0</v>
      </c>
      <c r="M67" s="18">
        <f>IFERROR(
                  Andel_oberoende_av_klimat*VLOOKUP($A67,Leveranser_per_nät,'Leveranser per nät'!M$1,FALSE)
               +Andel_beroende_av_klimat*VLOOKUP($A67,Leveranser_per_nät,'Leveranser per nät'!M$1,FALSE)/VLOOKUP($B67,Korrigeringsfaktor_GD,'Korrigeringsfaktor GD'!M$1,FALSE),
"")</f>
        <v>0</v>
      </c>
      <c r="N67" s="18">
        <f>IFERROR(
                  Andel_oberoende_av_klimat*VLOOKUP($A67,Leveranser_per_nät,'Leveranser per nät'!N$1,FALSE)
               +Andel_beroende_av_klimat*VLOOKUP($A67,Leveranser_per_nät,'Leveranser per nät'!N$1,FALSE)/VLOOKUP($B67,Korrigeringsfaktor_GD,'Korrigeringsfaktor GD'!N$1,FALSE),
"")</f>
        <v>0</v>
      </c>
      <c r="O67" s="18">
        <f>IFERROR(
                  Andel_oberoende_av_klimat*VLOOKUP($A67,Leveranser_per_nät,'Leveranser per nät'!O$1,FALSE)
               +Andel_beroende_av_klimat*VLOOKUP($A67,Leveranser_per_nät,'Leveranser per nät'!O$1,FALSE)/VLOOKUP($B67,Korrigeringsfaktor_GD,'Korrigeringsfaktor GD'!O$1,FALSE),
"")</f>
        <v>0</v>
      </c>
      <c r="P67" s="18">
        <f>IFERROR(
                  Andel_oberoende_av_klimat*VLOOKUP($A67,Leveranser_per_nät,'Leveranser per nät'!P$1,FALSE)
               +Andel_beroende_av_klimat*VLOOKUP($A67,Leveranser_per_nät,'Leveranser per nät'!P$1,FALSE)/VLOOKUP($B67,Korrigeringsfaktor_GD,'Korrigeringsfaktor GD'!P$1,FALSE),
"")</f>
        <v>0</v>
      </c>
      <c r="Q67" s="18">
        <f>IFERROR(
                  Andel_oberoende_av_klimat*VLOOKUP($A67,Leveranser_per_nät,'Leveranser per nät'!Q$1,FALSE)
               +Andel_beroende_av_klimat*VLOOKUP($A67,Leveranser_per_nät,'Leveranser per nät'!Q$1,FALSE)/VLOOKUP($B67,Korrigeringsfaktor_GD,'Korrigeringsfaktor GD'!Q$1,FALSE),
"")</f>
        <v>0</v>
      </c>
      <c r="R67" s="18">
        <f>IFERROR(
                  Andel_oberoende_av_klimat*VLOOKUP($A67,Leveranser_per_nät,'Leveranser per nät'!R$1,FALSE)
               +Andel_beroende_av_klimat*VLOOKUP($A67,Leveranser_per_nät,'Leveranser per nät'!R$1,FALSE)/VLOOKUP($B67,Korrigeringsfaktor_GD,'Korrigeringsfaktor GD'!R$1,FALSE),
"")</f>
        <v>0</v>
      </c>
      <c r="S67" s="18" t="str">
        <f>IFERROR(
                  Andel_oberoende_av_klimat*VLOOKUP($A67,Leveranser_per_nät,'Leveranser per nät'!S$1,FALSE)
               +Andel_beroende_av_klimat*VLOOKUP($A67,Leveranser_per_nät,'Leveranser per nät'!S$1,FALSE)/VLOOKUP($B67,Korrigeringsfaktor_GD,'Korrigeringsfaktor GD'!S$1,FALSE),
"")</f>
        <v/>
      </c>
      <c r="T67" s="18">
        <f>IFERROR(
                  Andel_oberoende_av_klimat*VLOOKUP($A67,Leveranser_per_nät,'Leveranser per nät'!T$1,FALSE)
               +Andel_beroende_av_klimat*VLOOKUP($A67,Leveranser_per_nät,'Leveranser per nät'!T$1,FALSE)/VLOOKUP($B67,Korrigeringsfaktor_GD,'Korrigeringsfaktor GD'!T$1,FALSE),
"")</f>
        <v>11.530336082474225</v>
      </c>
      <c r="U67" s="18">
        <f>IFERROR(
                  Andel_oberoende_av_klimat*VLOOKUP($A67,Leveranser_per_nät,'Leveranser per nät'!U$1,FALSE)
               +Andel_beroende_av_klimat*VLOOKUP($A67,Leveranser_per_nät,'Leveranser per nät'!U$1,FALSE)/VLOOKUP($B67,Korrigeringsfaktor_GD,'Korrigeringsfaktor GD'!U$1,FALSE),
"")</f>
        <v>11.587229885057472</v>
      </c>
      <c r="V67" s="18">
        <f>IFERROR(
                  Andel_oberoende_av_klimat*VLOOKUP($A67,Leveranser_per_nät,'Leveranser per nät'!V$1,FALSE)
               +Andel_beroende_av_klimat*VLOOKUP($A67,Leveranser_per_nät,'Leveranser per nät'!V$1,FALSE)/VLOOKUP($B67,Korrigeringsfaktor_GD,'Korrigeringsfaktor GD'!V$1,FALSE),
"")</f>
        <v>12.440617977528088</v>
      </c>
      <c r="W67" s="18">
        <f>IFERROR(
                  Andel_oberoende_av_klimat*VLOOKUP($A67,Leveranser_per_nät,'Leveranser per nät'!W$1,FALSE)
               +Andel_beroende_av_klimat*VLOOKUP($A67,Leveranser_per_nät,'Leveranser per nät'!W$1,FALSE)/VLOOKUP($B67,Korrigeringsfaktor_GD,'Korrigeringsfaktor GD'!W$1,FALSE),
"")</f>
        <v>12.365653846153847</v>
      </c>
      <c r="X67" s="18">
        <f>IFERROR(
                  Andel_oberoende_av_klimat*VLOOKUP($A67,Leveranser_per_nät,'Leveranser per nät'!X$1,FALSE)
               +Andel_beroende_av_klimat*VLOOKUP($A67,Leveranser_per_nät,'Leveranser per nät'!X$1,FALSE)/VLOOKUP($B67,Korrigeringsfaktor_GD,'Korrigeringsfaktor GD'!X$1,FALSE),
"")</f>
        <v>12.79408695652174</v>
      </c>
      <c r="Y67" s="18">
        <f>IFERROR(
                  Andel_oberoende_av_klimat*VLOOKUP($A67,Leveranser_per_nät,'Leveranser per nät'!Y$1,FALSE)
               +Andel_beroende_av_klimat*VLOOKUP($A67,Leveranser_per_nät,'Leveranser per nät'!Y$1,FALSE)/VLOOKUP($B67,Korrigeringsfaktor_GD,'Korrigeringsfaktor GD'!Y$1,FALSE),
"")</f>
        <v>12.200444444444445</v>
      </c>
      <c r="Z67" s="18">
        <f>IFERROR(
                  Andel_oberoende_av_klimat*VLOOKUP($A67,Leveranser_per_nät,'Leveranser per nät'!Z$1,FALSE)
               +Andel_beroende_av_klimat*VLOOKUP($A67,Leveranser_per_nät,'Leveranser per nät'!Z$1,FALSE)/VLOOKUP($B67,Korrigeringsfaktor_GD,'Korrigeringsfaktor GD'!Z$1,FALSE),
"")</f>
        <v>11.908224719101124</v>
      </c>
      <c r="AA67" s="18">
        <f>IFERROR(
                  Andel_oberoende_av_klimat*VLOOKUP($A67,Leveranser_per_nät,'Leveranser per nät'!AA$1,FALSE)
               +Andel_beroende_av_klimat*VLOOKUP($A67,Leveranser_per_nät,'Leveranser per nät'!AA$1,FALSE)/VLOOKUP($B67,Korrigeringsfaktor_GD,'Korrigeringsfaktor GD'!AA$1,FALSE),
"")</f>
        <v>11.840018413320273</v>
      </c>
      <c r="AB67" s="18">
        <f>IFERROR(
                  Andel_oberoende_av_klimat*VLOOKUP($A67,Leveranser_per_nät,'Leveranser per nät'!AB$1,FALSE)
               +Andel_beroende_av_klimat*VLOOKUP($A67,Leveranser_per_nät,'Leveranser per nät'!AB$1,FALSE)/VLOOKUP($B67,Korrigeringsfaktor_GD,'Korrigeringsfaktor GD'!AB$1,FALSE),
"")</f>
        <v>11.094850642927796</v>
      </c>
      <c r="AC67" s="18">
        <f>IFERROR(
                  Andel_oberoende_av_klimat*VLOOKUP($A67,Leveranser_per_nät,'Leveranser per nät'!AC$1,FALSE)
               +Andel_beroende_av_klimat*VLOOKUP($A67,Leveranser_per_nät,'Leveranser per nät'!AC$1,FALSE)/VLOOKUP($B67,Korrigeringsfaktor_GD,'Korrigeringsfaktor GD'!AC$1,FALSE),
"")</f>
        <v>10.844679069767443</v>
      </c>
      <c r="AD67">
        <v>48.96</v>
      </c>
    </row>
    <row r="68" spans="1:30" x14ac:dyDescent="0.25">
      <c r="A68" t="s">
        <v>91</v>
      </c>
      <c r="B68" t="s">
        <v>91</v>
      </c>
      <c r="C68" s="18">
        <f>IFERROR(
                  Andel_oberoende_av_klimat*VLOOKUP($A68,Leveranser_per_nät,'Leveranser per nät'!C$1,FALSE)
               +Andel_beroende_av_klimat*VLOOKUP($A68,Leveranser_per_nät,'Leveranser per nät'!C$1,FALSE)/VLOOKUP($B68,Korrigeringsfaktor_GD,'Korrigeringsfaktor GD'!C$1,FALSE),
"")</f>
        <v>98.646846846846842</v>
      </c>
      <c r="D68" s="18">
        <f>IFERROR(
                  Andel_oberoende_av_klimat*VLOOKUP($A68,Leveranser_per_nät,'Leveranser per nät'!D$1,FALSE)
               +Andel_beroende_av_klimat*VLOOKUP($A68,Leveranser_per_nät,'Leveranser per nät'!D$1,FALSE)/VLOOKUP($B68,Korrigeringsfaktor_GD,'Korrigeringsfaktor GD'!D$1,FALSE),
"")</f>
        <v>96.779494949494946</v>
      </c>
      <c r="E68" s="18">
        <f>IFERROR(
                  Andel_oberoende_av_klimat*VLOOKUP($A68,Leveranser_per_nät,'Leveranser per nät'!E$1,FALSE)
               +Andel_beroende_av_klimat*VLOOKUP($A68,Leveranser_per_nät,'Leveranser per nät'!E$1,FALSE)/VLOOKUP($B68,Korrigeringsfaktor_GD,'Korrigeringsfaktor GD'!E$1,FALSE),
"")</f>
        <v>94.32828039215687</v>
      </c>
      <c r="F68" s="18">
        <f>IFERROR(
                  Andel_oberoende_av_klimat*VLOOKUP($A68,Leveranser_per_nät,'Leveranser per nät'!F$1,FALSE)
               +Andel_beroende_av_klimat*VLOOKUP($A68,Leveranser_per_nät,'Leveranser per nät'!F$1,FALSE)/VLOOKUP($B68,Korrigeringsfaktor_GD,'Korrigeringsfaktor GD'!F$1,FALSE),
"")</f>
        <v>107.80479574468086</v>
      </c>
      <c r="G68" s="18">
        <f>IFERROR(
                  Andel_oberoende_av_klimat*VLOOKUP($A68,Leveranser_per_nät,'Leveranser per nät'!G$1,FALSE)
               +Andel_beroende_av_klimat*VLOOKUP($A68,Leveranser_per_nät,'Leveranser per nät'!G$1,FALSE)/VLOOKUP($B68,Korrigeringsfaktor_GD,'Korrigeringsfaktor GD'!G$1,FALSE),
"")</f>
        <v>99.686363636363637</v>
      </c>
      <c r="H68" s="18">
        <f>IFERROR(
                  Andel_oberoende_av_klimat*VLOOKUP($A68,Leveranser_per_nät,'Leveranser per nät'!H$1,FALSE)
               +Andel_beroende_av_klimat*VLOOKUP($A68,Leveranser_per_nät,'Leveranser per nät'!H$1,FALSE)/VLOOKUP($B68,Korrigeringsfaktor_GD,'Korrigeringsfaktor GD'!H$1,FALSE),
"")</f>
        <v>97</v>
      </c>
      <c r="I68" s="18">
        <f>IFERROR(
                  Andel_oberoende_av_klimat*VLOOKUP($A68,Leveranser_per_nät,'Leveranser per nät'!I$1,FALSE)
               +Andel_beroende_av_klimat*VLOOKUP($A68,Leveranser_per_nät,'Leveranser per nät'!I$1,FALSE)/VLOOKUP($B68,Korrigeringsfaktor_GD,'Korrigeringsfaktor GD'!I$1,FALSE),
"")</f>
        <v>101.33404255319149</v>
      </c>
      <c r="J68" s="18">
        <f>IFERROR(
                  Andel_oberoende_av_klimat*VLOOKUP($A68,Leveranser_per_nät,'Leveranser per nät'!J$1,FALSE)
               +Andel_beroende_av_klimat*VLOOKUP($A68,Leveranser_per_nät,'Leveranser per nät'!J$1,FALSE)/VLOOKUP($B68,Korrigeringsfaktor_GD,'Korrigeringsfaktor GD'!J$1,FALSE),
"")</f>
        <v>108.52857142857141</v>
      </c>
      <c r="K68" s="18">
        <f>IFERROR(
                  Andel_oberoende_av_klimat*VLOOKUP($A68,Leveranser_per_nät,'Leveranser per nät'!K$1,FALSE)
               +Andel_beroende_av_klimat*VLOOKUP($A68,Leveranser_per_nät,'Leveranser per nät'!K$1,FALSE)/VLOOKUP($B68,Korrigeringsfaktor_GD,'Korrigeringsfaktor GD'!K$1,FALSE),
"")</f>
        <v>102.682</v>
      </c>
      <c r="L68" s="18">
        <f>IFERROR(
                  Andel_oberoende_av_klimat*VLOOKUP($A68,Leveranser_per_nät,'Leveranser per nät'!L$1,FALSE)
               +Andel_beroende_av_klimat*VLOOKUP($A68,Leveranser_per_nät,'Leveranser per nät'!L$1,FALSE)/VLOOKUP($B68,Korrigeringsfaktor_GD,'Korrigeringsfaktor GD'!L$1,FALSE),
"")</f>
        <v>116.32595741217264</v>
      </c>
      <c r="M68" s="18">
        <f>IFERROR(
                  Andel_oberoende_av_klimat*VLOOKUP($A68,Leveranser_per_nät,'Leveranser per nät'!M$1,FALSE)
               +Andel_beroende_av_klimat*VLOOKUP($A68,Leveranser_per_nät,'Leveranser per nät'!M$1,FALSE)/VLOOKUP($B68,Korrigeringsfaktor_GD,'Korrigeringsfaktor GD'!M$1,FALSE),
"")</f>
        <v>98.942161290322574</v>
      </c>
      <c r="N68" s="18">
        <f>IFERROR(
                  Andel_oberoende_av_klimat*VLOOKUP($A68,Leveranser_per_nät,'Leveranser per nät'!N$1,FALSE)
               +Andel_beroende_av_klimat*VLOOKUP($A68,Leveranser_per_nät,'Leveranser per nät'!N$1,FALSE)/VLOOKUP($B68,Korrigeringsfaktor_GD,'Korrigeringsfaktor GD'!N$1,FALSE),
"")</f>
        <v>99.438461538461539</v>
      </c>
      <c r="O68" s="18">
        <f>IFERROR(
                  Andel_oberoende_av_klimat*VLOOKUP($A68,Leveranser_per_nät,'Leveranser per nät'!O$1,FALSE)
               +Andel_beroende_av_klimat*VLOOKUP($A68,Leveranser_per_nät,'Leveranser per nät'!O$1,FALSE)/VLOOKUP($B68,Korrigeringsfaktor_GD,'Korrigeringsfaktor GD'!O$1,FALSE),
"")</f>
        <v>105.85384615384615</v>
      </c>
      <c r="P68" s="18">
        <f>IFERROR(
                  Andel_oberoende_av_klimat*VLOOKUP($A68,Leveranser_per_nät,'Leveranser per nät'!P$1,FALSE)
               +Andel_beroende_av_klimat*VLOOKUP($A68,Leveranser_per_nät,'Leveranser per nät'!P$1,FALSE)/VLOOKUP($B68,Korrigeringsfaktor_GD,'Korrigeringsfaktor GD'!P$1,FALSE),
"")</f>
        <v>105.44514285714286</v>
      </c>
      <c r="Q68" s="18">
        <f>IFERROR(
                  Andel_oberoende_av_klimat*VLOOKUP($A68,Leveranser_per_nät,'Leveranser per nät'!Q$1,FALSE)
               +Andel_beroende_av_klimat*VLOOKUP($A68,Leveranser_per_nät,'Leveranser per nät'!Q$1,FALSE)/VLOOKUP($B68,Korrigeringsfaktor_GD,'Korrigeringsfaktor GD'!Q$1,FALSE),
"")</f>
        <v>108.96212280701755</v>
      </c>
      <c r="R68" s="18">
        <f>IFERROR(
                  Andel_oberoende_av_klimat*VLOOKUP($A68,Leveranser_per_nät,'Leveranser per nät'!R$1,FALSE)
               +Andel_beroende_av_klimat*VLOOKUP($A68,Leveranser_per_nät,'Leveranser per nät'!R$1,FALSE)/VLOOKUP($B68,Korrigeringsfaktor_GD,'Korrigeringsfaktor GD'!R$1,FALSE),
"")</f>
        <v>108.30238461538463</v>
      </c>
      <c r="S68" s="18">
        <f>IFERROR(
                  Andel_oberoende_av_klimat*VLOOKUP($A68,Leveranser_per_nät,'Leveranser per nät'!S$1,FALSE)
               +Andel_beroende_av_klimat*VLOOKUP($A68,Leveranser_per_nät,'Leveranser per nät'!S$1,FALSE)/VLOOKUP($B68,Korrigeringsfaktor_GD,'Korrigeringsfaktor GD'!S$1,FALSE),
"")</f>
        <v>105.26534653465345</v>
      </c>
      <c r="T68" s="18">
        <f>IFERROR(
                  Andel_oberoende_av_klimat*VLOOKUP($A68,Leveranser_per_nät,'Leveranser per nät'!T$1,FALSE)
               +Andel_beroende_av_klimat*VLOOKUP($A68,Leveranser_per_nät,'Leveranser per nät'!T$1,FALSE)/VLOOKUP($B68,Korrigeringsfaktor_GD,'Korrigeringsfaktor GD'!T$1,FALSE),
"")</f>
        <v>107.49197142857142</v>
      </c>
      <c r="U68" s="18">
        <f>IFERROR(
                  Andel_oberoende_av_klimat*VLOOKUP($A68,Leveranser_per_nät,'Leveranser per nät'!U$1,FALSE)
               +Andel_beroende_av_klimat*VLOOKUP($A68,Leveranser_per_nät,'Leveranser per nät'!U$1,FALSE)/VLOOKUP($B68,Korrigeringsfaktor_GD,'Korrigeringsfaktor GD'!U$1,FALSE),
"")</f>
        <v>109.22924827586206</v>
      </c>
      <c r="V68" s="18">
        <f>IFERROR(
                  Andel_oberoende_av_klimat*VLOOKUP($A68,Leveranser_per_nät,'Leveranser per nät'!V$1,FALSE)
               +Andel_beroende_av_klimat*VLOOKUP($A68,Leveranser_per_nät,'Leveranser per nät'!V$1,FALSE)/VLOOKUP($B68,Korrigeringsfaktor_GD,'Korrigeringsfaktor GD'!V$1,FALSE),
"")</f>
        <v>109.75993258426968</v>
      </c>
      <c r="W68" s="18">
        <f>IFERROR(
                  Andel_oberoende_av_klimat*VLOOKUP($A68,Leveranser_per_nät,'Leveranser per nät'!W$1,FALSE)
               +Andel_beroende_av_klimat*VLOOKUP($A68,Leveranser_per_nät,'Leveranser per nät'!W$1,FALSE)/VLOOKUP($B68,Korrigeringsfaktor_GD,'Korrigeringsfaktor GD'!W$1,FALSE),
"")</f>
        <v>110.26815319148938</v>
      </c>
      <c r="X68" s="18">
        <f>IFERROR(
                  Andel_oberoende_av_klimat*VLOOKUP($A68,Leveranser_per_nät,'Leveranser per nät'!X$1,FALSE)
               +Andel_beroende_av_klimat*VLOOKUP($A68,Leveranser_per_nät,'Leveranser per nät'!X$1,FALSE)/VLOOKUP($B68,Korrigeringsfaktor_GD,'Korrigeringsfaktor GD'!X$1,FALSE),
"")</f>
        <v>110.9301741935484</v>
      </c>
      <c r="Y68" s="18">
        <f>IFERROR(
                  Andel_oberoende_av_klimat*VLOOKUP($A68,Leveranser_per_nät,'Leveranser per nät'!Y$1,FALSE)
               +Andel_beroende_av_klimat*VLOOKUP($A68,Leveranser_per_nät,'Leveranser per nät'!Y$1,FALSE)/VLOOKUP($B68,Korrigeringsfaktor_GD,'Korrigeringsfaktor GD'!Y$1,FALSE),
"")</f>
        <v>114.08157692307691</v>
      </c>
      <c r="Z68" s="18">
        <f>IFERROR(
                  Andel_oberoende_av_klimat*VLOOKUP($A68,Leveranser_per_nät,'Leveranser per nät'!Z$1,FALSE)
               +Andel_beroende_av_klimat*VLOOKUP($A68,Leveranser_per_nät,'Leveranser per nät'!Z$1,FALSE)/VLOOKUP($B68,Korrigeringsfaktor_GD,'Korrigeringsfaktor GD'!Z$1,FALSE),
"")</f>
        <v>108.97464347826084</v>
      </c>
      <c r="AA68" s="18">
        <f>IFERROR(
                  Andel_oberoende_av_klimat*VLOOKUP($A68,Leveranser_per_nät,'Leveranser per nät'!AA$1,FALSE)
               +Andel_beroende_av_klimat*VLOOKUP($A68,Leveranser_per_nät,'Leveranser per nät'!AA$1,FALSE)/VLOOKUP($B68,Korrigeringsfaktor_GD,'Korrigeringsfaktor GD'!AA$1,FALSE),
"")</f>
        <v>121.11544174633524</v>
      </c>
      <c r="AB68" s="18">
        <f>IFERROR(
                  Andel_oberoende_av_klimat*VLOOKUP($A68,Leveranser_per_nät,'Leveranser per nät'!AB$1,FALSE)
               +Andel_beroende_av_klimat*VLOOKUP($A68,Leveranser_per_nät,'Leveranser per nät'!AB$1,FALSE)/VLOOKUP($B68,Korrigeringsfaktor_GD,'Korrigeringsfaktor GD'!AB$1,FALSE),
"")</f>
        <v>121.26858707753479</v>
      </c>
      <c r="AC68" s="18">
        <f>IFERROR(
                  Andel_oberoende_av_klimat*VLOOKUP($A68,Leveranser_per_nät,'Leveranser per nät'!AC$1,FALSE)
               +Andel_beroende_av_klimat*VLOOKUP($A68,Leveranser_per_nät,'Leveranser per nät'!AC$1,FALSE)/VLOOKUP($B68,Korrigeringsfaktor_GD,'Korrigeringsfaktor GD'!AC$1,FALSE),
"")</f>
        <v>120.95801111111112</v>
      </c>
      <c r="AD68">
        <v>116.223</v>
      </c>
    </row>
    <row r="69" spans="1:30" x14ac:dyDescent="0.25">
      <c r="A69" t="s">
        <v>94</v>
      </c>
      <c r="B69" t="s">
        <v>283</v>
      </c>
      <c r="C69" s="18">
        <f>IFERROR(
                  Andel_oberoende_av_klimat*VLOOKUP($A69,Leveranser_per_nät,'Leveranser per nät'!C$1,FALSE)
               +Andel_beroende_av_klimat*VLOOKUP($A69,Leveranser_per_nät,'Leveranser per nät'!C$1,FALSE)/VLOOKUP($B69,Korrigeringsfaktor_GD,'Korrigeringsfaktor GD'!C$1,FALSE),
"")</f>
        <v>0</v>
      </c>
      <c r="D69" s="18">
        <f>IFERROR(
                  Andel_oberoende_av_klimat*VLOOKUP($A69,Leveranser_per_nät,'Leveranser per nät'!D$1,FALSE)
               +Andel_beroende_av_klimat*VLOOKUP($A69,Leveranser_per_nät,'Leveranser per nät'!D$1,FALSE)/VLOOKUP($B69,Korrigeringsfaktor_GD,'Korrigeringsfaktor GD'!D$1,FALSE),
"")</f>
        <v>0</v>
      </c>
      <c r="E69" s="18">
        <f>IFERROR(
                  Andel_oberoende_av_klimat*VLOOKUP($A69,Leveranser_per_nät,'Leveranser per nät'!E$1,FALSE)
               +Andel_beroende_av_klimat*VLOOKUP($A69,Leveranser_per_nät,'Leveranser per nät'!E$1,FALSE)/VLOOKUP($B69,Korrigeringsfaktor_GD,'Korrigeringsfaktor GD'!E$1,FALSE),
"")</f>
        <v>0</v>
      </c>
      <c r="F69" s="18">
        <f>IFERROR(
                  Andel_oberoende_av_klimat*VLOOKUP($A69,Leveranser_per_nät,'Leveranser per nät'!F$1,FALSE)
               +Andel_beroende_av_klimat*VLOOKUP($A69,Leveranser_per_nät,'Leveranser per nät'!F$1,FALSE)/VLOOKUP($B69,Korrigeringsfaktor_GD,'Korrigeringsfaktor GD'!F$1,FALSE),
"")</f>
        <v>0</v>
      </c>
      <c r="G69" s="18">
        <f>IFERROR(
                  Andel_oberoende_av_klimat*VLOOKUP($A69,Leveranser_per_nät,'Leveranser per nät'!G$1,FALSE)
               +Andel_beroende_av_klimat*VLOOKUP($A69,Leveranser_per_nät,'Leveranser per nät'!G$1,FALSE)/VLOOKUP($B69,Korrigeringsfaktor_GD,'Korrigeringsfaktor GD'!G$1,FALSE),
"")</f>
        <v>0</v>
      </c>
      <c r="H69" s="18">
        <f>IFERROR(
                  Andel_oberoende_av_klimat*VLOOKUP($A69,Leveranser_per_nät,'Leveranser per nät'!H$1,FALSE)
               +Andel_beroende_av_klimat*VLOOKUP($A69,Leveranser_per_nät,'Leveranser per nät'!H$1,FALSE)/VLOOKUP($B69,Korrigeringsfaktor_GD,'Korrigeringsfaktor GD'!H$1,FALSE),
"")</f>
        <v>0</v>
      </c>
      <c r="I69" s="18">
        <f>IFERROR(
                  Andel_oberoende_av_klimat*VLOOKUP($A69,Leveranser_per_nät,'Leveranser per nät'!I$1,FALSE)
               +Andel_beroende_av_klimat*VLOOKUP($A69,Leveranser_per_nät,'Leveranser per nät'!I$1,FALSE)/VLOOKUP($B69,Korrigeringsfaktor_GD,'Korrigeringsfaktor GD'!I$1,FALSE),
"")</f>
        <v>0</v>
      </c>
      <c r="J69" s="18">
        <f>IFERROR(
                  Andel_oberoende_av_klimat*VLOOKUP($A69,Leveranser_per_nät,'Leveranser per nät'!J$1,FALSE)
               +Andel_beroende_av_klimat*VLOOKUP($A69,Leveranser_per_nät,'Leveranser per nät'!J$1,FALSE)/VLOOKUP($B69,Korrigeringsfaktor_GD,'Korrigeringsfaktor GD'!J$1,FALSE),
"")</f>
        <v>0</v>
      </c>
      <c r="K69" s="18">
        <f>IFERROR(
                  Andel_oberoende_av_klimat*VLOOKUP($A69,Leveranser_per_nät,'Leveranser per nät'!K$1,FALSE)
               +Andel_beroende_av_klimat*VLOOKUP($A69,Leveranser_per_nät,'Leveranser per nät'!K$1,FALSE)/VLOOKUP($B69,Korrigeringsfaktor_GD,'Korrigeringsfaktor GD'!K$1,FALSE),
"")</f>
        <v>0</v>
      </c>
      <c r="L69" s="18">
        <f>IFERROR(
                  Andel_oberoende_av_klimat*VLOOKUP($A69,Leveranser_per_nät,'Leveranser per nät'!L$1,FALSE)
               +Andel_beroende_av_klimat*VLOOKUP($A69,Leveranser_per_nät,'Leveranser per nät'!L$1,FALSE)/VLOOKUP($B69,Korrigeringsfaktor_GD,'Korrigeringsfaktor GD'!L$1,FALSE),
"")</f>
        <v>12.960526315789474</v>
      </c>
      <c r="M69" s="18">
        <f>IFERROR(
                  Andel_oberoende_av_klimat*VLOOKUP($A69,Leveranser_per_nät,'Leveranser per nät'!M$1,FALSE)
               +Andel_beroende_av_klimat*VLOOKUP($A69,Leveranser_per_nät,'Leveranser per nät'!M$1,FALSE)/VLOOKUP($B69,Korrigeringsfaktor_GD,'Korrigeringsfaktor GD'!M$1,FALSE),
"")</f>
        <v>28.120769230769231</v>
      </c>
      <c r="N69" s="18">
        <f>IFERROR(
                  Andel_oberoende_av_klimat*VLOOKUP($A69,Leveranser_per_nät,'Leveranser per nät'!N$1,FALSE)
               +Andel_beroende_av_klimat*VLOOKUP($A69,Leveranser_per_nät,'Leveranser per nät'!N$1,FALSE)/VLOOKUP($B69,Korrigeringsfaktor_GD,'Korrigeringsfaktor GD'!N$1,FALSE),
"")</f>
        <v>33.173650000000002</v>
      </c>
      <c r="O69" s="18">
        <f>IFERROR(
                  Andel_oberoende_av_klimat*VLOOKUP($A69,Leveranser_per_nät,'Leveranser per nät'!O$1,FALSE)
               +Andel_beroende_av_klimat*VLOOKUP($A69,Leveranser_per_nät,'Leveranser per nät'!O$1,FALSE)/VLOOKUP($B69,Korrigeringsfaktor_GD,'Korrigeringsfaktor GD'!O$1,FALSE),
"")</f>
        <v>27.614942528735632</v>
      </c>
      <c r="P69" s="18">
        <f>IFERROR(
                  Andel_oberoende_av_klimat*VLOOKUP($A69,Leveranser_per_nät,'Leveranser per nät'!P$1,FALSE)
               +Andel_beroende_av_klimat*VLOOKUP($A69,Leveranser_per_nät,'Leveranser per nät'!P$1,FALSE)/VLOOKUP($B69,Korrigeringsfaktor_GD,'Korrigeringsfaktor GD'!P$1,FALSE),
"")</f>
        <v>30.875</v>
      </c>
      <c r="Q69" s="18">
        <f>IFERROR(
                  Andel_oberoende_av_klimat*VLOOKUP($A69,Leveranser_per_nät,'Leveranser per nät'!Q$1,FALSE)
               +Andel_beroende_av_klimat*VLOOKUP($A69,Leveranser_per_nät,'Leveranser per nät'!Q$1,FALSE)/VLOOKUP($B69,Korrigeringsfaktor_GD,'Korrigeringsfaktor GD'!Q$1,FALSE),
"")</f>
        <v>28.851016949152541</v>
      </c>
      <c r="R69" s="18">
        <f>IFERROR(
                  Andel_oberoende_av_klimat*VLOOKUP($A69,Leveranser_per_nät,'Leveranser per nät'!R$1,FALSE)
               +Andel_beroende_av_klimat*VLOOKUP($A69,Leveranser_per_nät,'Leveranser per nät'!R$1,FALSE)/VLOOKUP($B69,Korrigeringsfaktor_GD,'Korrigeringsfaktor GD'!R$1,FALSE),
"")</f>
        <v>29.617692307692302</v>
      </c>
      <c r="S69" s="18">
        <f>IFERROR(
                  Andel_oberoende_av_klimat*VLOOKUP($A69,Leveranser_per_nät,'Leveranser per nät'!S$1,FALSE)
               +Andel_beroende_av_klimat*VLOOKUP($A69,Leveranser_per_nät,'Leveranser per nät'!S$1,FALSE)/VLOOKUP($B69,Korrigeringsfaktor_GD,'Korrigeringsfaktor GD'!S$1,FALSE),
"")</f>
        <v>32.645686274509806</v>
      </c>
      <c r="T69" s="18">
        <f>IFERROR(
                  Andel_oberoende_av_klimat*VLOOKUP($A69,Leveranser_per_nät,'Leveranser per nät'!T$1,FALSE)
               +Andel_beroende_av_klimat*VLOOKUP($A69,Leveranser_per_nät,'Leveranser per nät'!T$1,FALSE)/VLOOKUP($B69,Korrigeringsfaktor_GD,'Korrigeringsfaktor GD'!T$1,FALSE),
"")</f>
        <v>34.00877777777778</v>
      </c>
      <c r="U69" s="18">
        <f>IFERROR(
                  Andel_oberoende_av_klimat*VLOOKUP($A69,Leveranser_per_nät,'Leveranser per nät'!U$1,FALSE)
               +Andel_beroende_av_klimat*VLOOKUP($A69,Leveranser_per_nät,'Leveranser per nät'!U$1,FALSE)/VLOOKUP($B69,Korrigeringsfaktor_GD,'Korrigeringsfaktor GD'!U$1,FALSE),
"")</f>
        <v>18.480133333333335</v>
      </c>
      <c r="V69" s="18">
        <f>IFERROR(
                  Andel_oberoende_av_klimat*VLOOKUP($A69,Leveranser_per_nät,'Leveranser per nät'!V$1,FALSE)
               +Andel_beroende_av_klimat*VLOOKUP($A69,Leveranser_per_nät,'Leveranser per nät'!V$1,FALSE)/VLOOKUP($B69,Korrigeringsfaktor_GD,'Korrigeringsfaktor GD'!V$1,FALSE),
"")</f>
        <v>33.781866666666666</v>
      </c>
      <c r="W69" s="18">
        <f>IFERROR(
                  Andel_oberoende_av_klimat*VLOOKUP($A69,Leveranser_per_nät,'Leveranser per nät'!W$1,FALSE)
               +Andel_beroende_av_klimat*VLOOKUP($A69,Leveranser_per_nät,'Leveranser per nät'!W$1,FALSE)/VLOOKUP($B69,Korrigeringsfaktor_GD,'Korrigeringsfaktor GD'!W$1,FALSE),
"")</f>
        <v>31.135331578947369</v>
      </c>
      <c r="X69" s="18">
        <f>IFERROR(
                  Andel_oberoende_av_klimat*VLOOKUP($A69,Leveranser_per_nät,'Leveranser per nät'!X$1,FALSE)
               +Andel_beroende_av_klimat*VLOOKUP($A69,Leveranser_per_nät,'Leveranser per nät'!X$1,FALSE)/VLOOKUP($B69,Korrigeringsfaktor_GD,'Korrigeringsfaktor GD'!X$1,FALSE),
"")</f>
        <v>31.967234042553194</v>
      </c>
      <c r="Y69" s="18">
        <f>IFERROR(
                  Andel_oberoende_av_klimat*VLOOKUP($A69,Leveranser_per_nät,'Leveranser per nät'!Y$1,FALSE)
               +Andel_beroende_av_klimat*VLOOKUP($A69,Leveranser_per_nät,'Leveranser per nät'!Y$1,FALSE)/VLOOKUP($B69,Korrigeringsfaktor_GD,'Korrigeringsfaktor GD'!Y$1,FALSE),
"")</f>
        <v>31.932173913043478</v>
      </c>
      <c r="Z69" s="18">
        <f>IFERROR(
                  Andel_oberoende_av_klimat*VLOOKUP($A69,Leveranser_per_nät,'Leveranser per nät'!Z$1,FALSE)
               +Andel_beroende_av_klimat*VLOOKUP($A69,Leveranser_per_nät,'Leveranser per nät'!Z$1,FALSE)/VLOOKUP($B69,Korrigeringsfaktor_GD,'Korrigeringsfaktor GD'!Z$1,FALSE),
"")</f>
        <v>30.87130434782609</v>
      </c>
      <c r="AA69" s="18">
        <f>IFERROR(
                  Andel_oberoende_av_klimat*VLOOKUP($A69,Leveranser_per_nät,'Leveranser per nät'!AA$1,FALSE)
               +Andel_beroende_av_klimat*VLOOKUP($A69,Leveranser_per_nät,'Leveranser per nät'!AA$1,FALSE)/VLOOKUP($B69,Korrigeringsfaktor_GD,'Korrigeringsfaktor GD'!AA$1,FALSE),
"")</f>
        <v>32.753548387096771</v>
      </c>
      <c r="AB69" s="18">
        <f>IFERROR(
                  Andel_oberoende_av_klimat*VLOOKUP($A69,Leveranser_per_nät,'Leveranser per nät'!AB$1,FALSE)
               +Andel_beroende_av_klimat*VLOOKUP($A69,Leveranser_per_nät,'Leveranser per nät'!AB$1,FALSE)/VLOOKUP($B69,Korrigeringsfaktor_GD,'Korrigeringsfaktor GD'!AB$1,FALSE),
"")</f>
        <v>32.545034013605445</v>
      </c>
      <c r="AC69" s="18">
        <f>IFERROR(
                  Andel_oberoende_av_klimat*VLOOKUP($A69,Leveranser_per_nät,'Leveranser per nät'!AC$1,FALSE)
               +Andel_beroende_av_klimat*VLOOKUP($A69,Leveranser_per_nät,'Leveranser per nät'!AC$1,FALSE)/VLOOKUP($B69,Korrigeringsfaktor_GD,'Korrigeringsfaktor GD'!AC$1,FALSE),
"")</f>
        <v>32.304591044776117</v>
      </c>
      <c r="AD69">
        <v>117.44</v>
      </c>
    </row>
    <row r="70" spans="1:30" x14ac:dyDescent="0.25">
      <c r="A70" t="s">
        <v>1141</v>
      </c>
      <c r="B70" t="s">
        <v>187</v>
      </c>
      <c r="C70" s="18">
        <f>IFERROR(
                  Andel_oberoende_av_klimat*VLOOKUP($A70,Leveranser_per_nät,'Leveranser per nät'!C$1,FALSE)
               +Andel_beroende_av_klimat*VLOOKUP($A70,Leveranser_per_nät,'Leveranser per nät'!C$1,FALSE)/VLOOKUP($B70,Korrigeringsfaktor_GD,'Korrigeringsfaktor GD'!C$1,FALSE),
"")</f>
        <v>0</v>
      </c>
      <c r="D70" s="18">
        <f>IFERROR(
                  Andel_oberoende_av_klimat*VLOOKUP($A70,Leveranser_per_nät,'Leveranser per nät'!D$1,FALSE)
               +Andel_beroende_av_klimat*VLOOKUP($A70,Leveranser_per_nät,'Leveranser per nät'!D$1,FALSE)/VLOOKUP($B70,Korrigeringsfaktor_GD,'Korrigeringsfaktor GD'!D$1,FALSE),
"")</f>
        <v>0</v>
      </c>
      <c r="E70" s="18">
        <f>IFERROR(
                  Andel_oberoende_av_klimat*VLOOKUP($A70,Leveranser_per_nät,'Leveranser per nät'!E$1,FALSE)
               +Andel_beroende_av_klimat*VLOOKUP($A70,Leveranser_per_nät,'Leveranser per nät'!E$1,FALSE)/VLOOKUP($B70,Korrigeringsfaktor_GD,'Korrigeringsfaktor GD'!E$1,FALSE),
"")</f>
        <v>0</v>
      </c>
      <c r="F70" s="18">
        <f>IFERROR(
                  Andel_oberoende_av_klimat*VLOOKUP($A70,Leveranser_per_nät,'Leveranser per nät'!F$1,FALSE)
               +Andel_beroende_av_klimat*VLOOKUP($A70,Leveranser_per_nät,'Leveranser per nät'!F$1,FALSE)/VLOOKUP($B70,Korrigeringsfaktor_GD,'Korrigeringsfaktor GD'!F$1,FALSE),
"")</f>
        <v>0</v>
      </c>
      <c r="G70" s="18">
        <f>IFERROR(
                  Andel_oberoende_av_klimat*VLOOKUP($A70,Leveranser_per_nät,'Leveranser per nät'!G$1,FALSE)
               +Andel_beroende_av_klimat*VLOOKUP($A70,Leveranser_per_nät,'Leveranser per nät'!G$1,FALSE)/VLOOKUP($B70,Korrigeringsfaktor_GD,'Korrigeringsfaktor GD'!G$1,FALSE),
"")</f>
        <v>0</v>
      </c>
      <c r="H70" s="18">
        <f>IFERROR(
                  Andel_oberoende_av_klimat*VLOOKUP($A70,Leveranser_per_nät,'Leveranser per nät'!H$1,FALSE)
               +Andel_beroende_av_klimat*VLOOKUP($A70,Leveranser_per_nät,'Leveranser per nät'!H$1,FALSE)/VLOOKUP($B70,Korrigeringsfaktor_GD,'Korrigeringsfaktor GD'!H$1,FALSE),
"")</f>
        <v>0</v>
      </c>
      <c r="I70" s="18">
        <f>IFERROR(
                  Andel_oberoende_av_klimat*VLOOKUP($A70,Leveranser_per_nät,'Leveranser per nät'!I$1,FALSE)
               +Andel_beroende_av_klimat*VLOOKUP($A70,Leveranser_per_nät,'Leveranser per nät'!I$1,FALSE)/VLOOKUP($B70,Korrigeringsfaktor_GD,'Korrigeringsfaktor GD'!I$1,FALSE),
"")</f>
        <v>0</v>
      </c>
      <c r="J70" s="18"/>
      <c r="K70" s="18"/>
      <c r="L70" s="18"/>
      <c r="M70" s="18"/>
      <c r="N70" s="18"/>
      <c r="O70" s="18"/>
      <c r="P70" s="18"/>
      <c r="Q70" s="18"/>
      <c r="R70" s="18"/>
      <c r="S70" s="18">
        <f>IFERROR(
                  Andel_oberoende_av_klimat*VLOOKUP($A70,Leveranser_per_nät,'Leveranser per nät'!S$1,FALSE)
               +Andel_beroende_av_klimat*VLOOKUP($A70,Leveranser_per_nät,'Leveranser per nät'!S$1,FALSE)/VLOOKUP($B70,Korrigeringsfaktor_GD,'Korrigeringsfaktor GD'!S$1,FALSE),
"")</f>
        <v>4.2701980198019802</v>
      </c>
      <c r="T70" s="18">
        <f>IFERROR(
                  Andel_oberoende_av_klimat*VLOOKUP($A70,Leveranser_per_nät,'Leveranser per nät'!T$1,FALSE)
               +Andel_beroende_av_klimat*VLOOKUP($A70,Leveranser_per_nät,'Leveranser per nät'!T$1,FALSE)/VLOOKUP($B70,Korrigeringsfaktor_GD,'Korrigeringsfaktor GD'!T$1,FALSE),
"")</f>
        <v>4.7671428571428578</v>
      </c>
      <c r="U70" s="18">
        <f>IFERROR(
                  Andel_oberoende_av_klimat*VLOOKUP($A70,Leveranser_per_nät,'Leveranser per nät'!U$1,FALSE)
               +Andel_beroende_av_klimat*VLOOKUP($A70,Leveranser_per_nät,'Leveranser per nät'!U$1,FALSE)/VLOOKUP($B70,Korrigeringsfaktor_GD,'Korrigeringsfaktor GD'!U$1,FALSE),
"")</f>
        <v>5.3929411764705888</v>
      </c>
      <c r="V70" s="18">
        <f>IFERROR(
                  Andel_oberoende_av_klimat*VLOOKUP($A70,Leveranser_per_nät,'Leveranser per nät'!V$1,FALSE)
               +Andel_beroende_av_klimat*VLOOKUP($A70,Leveranser_per_nät,'Leveranser per nät'!V$1,FALSE)/VLOOKUP($B70,Korrigeringsfaktor_GD,'Korrigeringsfaktor GD'!V$1,FALSE),
"")</f>
        <v>5.8059090909090898</v>
      </c>
      <c r="W70" s="18">
        <f>IFERROR(
                  Andel_oberoende_av_klimat*VLOOKUP($A70,Leveranser_per_nät,'Leveranser per nät'!W$1,FALSE)
               +Andel_beroende_av_klimat*VLOOKUP($A70,Leveranser_per_nät,'Leveranser per nät'!W$1,FALSE)/VLOOKUP($B70,Korrigeringsfaktor_GD,'Korrigeringsfaktor GD'!W$1,FALSE),
"")</f>
        <v>6.000322580645161</v>
      </c>
      <c r="X70" s="18">
        <f>IFERROR(
                  Andel_oberoende_av_klimat*VLOOKUP($A70,Leveranser_per_nät,'Leveranser per nät'!X$1,FALSE)
               +Andel_beroende_av_klimat*VLOOKUP($A70,Leveranser_per_nät,'Leveranser per nät'!X$1,FALSE)/VLOOKUP($B70,Korrigeringsfaktor_GD,'Korrigeringsfaktor GD'!X$1,FALSE),
"")</f>
        <v>6.0469565217391299</v>
      </c>
      <c r="Y70" s="18">
        <f>IFERROR(
                  Andel_oberoende_av_klimat*VLOOKUP($A70,Leveranser_per_nät,'Leveranser per nät'!Y$1,FALSE)
               +Andel_beroende_av_klimat*VLOOKUP($A70,Leveranser_per_nät,'Leveranser per nät'!Y$1,FALSE)/VLOOKUP($B70,Korrigeringsfaktor_GD,'Korrigeringsfaktor GD'!Y$1,FALSE),
"")</f>
        <v>5.6845161290322581</v>
      </c>
      <c r="Z70" s="18">
        <f>IFERROR(
                  Andel_oberoende_av_klimat*VLOOKUP($A70,Leveranser_per_nät,'Leveranser per nät'!Z$1,FALSE)
               +Andel_beroende_av_klimat*VLOOKUP($A70,Leveranser_per_nät,'Leveranser per nät'!Z$1,FALSE)/VLOOKUP($B70,Korrigeringsfaktor_GD,'Korrigeringsfaktor GD'!Z$1,FALSE),
"")</f>
        <v>5.2355813953488379</v>
      </c>
      <c r="AA70" s="18">
        <f>IFERROR(
                  Andel_oberoende_av_klimat*VLOOKUP($A70,Leveranser_per_nät,'Leveranser per nät'!AA$1,FALSE)
               +Andel_beroende_av_klimat*VLOOKUP($A70,Leveranser_per_nät,'Leveranser per nät'!AA$1,FALSE)/VLOOKUP($B70,Korrigeringsfaktor_GD,'Korrigeringsfaktor GD'!AA$1,FALSE),
"")</f>
        <v>4.7008827238335433</v>
      </c>
      <c r="AB70" s="18">
        <f>IFERROR(
                  Andel_oberoende_av_klimat*VLOOKUP($A70,Leveranser_per_nät,'Leveranser per nät'!AB$1,FALSE)
               +Andel_beroende_av_klimat*VLOOKUP($A70,Leveranser_per_nät,'Leveranser per nät'!AB$1,FALSE)/VLOOKUP($B70,Korrigeringsfaktor_GD,'Korrigeringsfaktor GD'!AB$1,FALSE),
"")</f>
        <v>5.1895762631077211</v>
      </c>
      <c r="AC70" s="18">
        <f>IFERROR(
                  Andel_oberoende_av_klimat*VLOOKUP($A70,Leveranser_per_nät,'Leveranser per nät'!AC$1,FALSE)
               +Andel_beroende_av_klimat*VLOOKUP($A70,Leveranser_per_nät,'Leveranser per nät'!AC$1,FALSE)/VLOOKUP($B70,Korrigeringsfaktor_GD,'Korrigeringsfaktor GD'!AC$1,FALSE),
"")</f>
        <v>5.9566578947368427</v>
      </c>
      <c r="AD70">
        <v>41.122999999999998</v>
      </c>
    </row>
    <row r="71" spans="1:30" x14ac:dyDescent="0.25">
      <c r="A71" s="3" t="s">
        <v>98</v>
      </c>
      <c r="B71" s="3" t="s">
        <v>98</v>
      </c>
      <c r="C71" s="18"/>
      <c r="D71" s="18"/>
      <c r="E71" s="18"/>
      <c r="F71" s="18"/>
      <c r="G71" s="18"/>
      <c r="H71" s="18"/>
      <c r="I71" s="18"/>
      <c r="J71" s="18"/>
      <c r="K71" s="18"/>
      <c r="L71" s="18"/>
      <c r="M71" s="18"/>
      <c r="N71" s="18"/>
      <c r="O71" s="18"/>
      <c r="P71" s="18">
        <f>IFERROR(
                  Andel_oberoende_av_klimat*VLOOKUP($A71,Leveranser_per_nät,'Leveranser per nät'!P$1,FALSE)
               +Andel_beroende_av_klimat*VLOOKUP($A71,Leveranser_per_nät,'Leveranser per nät'!P$1,FALSE)/VLOOKUP("Nybro",Korrigeringsfaktor_GD,'Korrigeringsfaktor GD'!P$1,FALSE),
"")</f>
        <v>54.162857142857142</v>
      </c>
      <c r="Q71" s="18">
        <f>IFERROR(
                  Andel_oberoende_av_klimat*VLOOKUP($A71,Leveranser_per_nät,'Leveranser per nät'!Q$1,FALSE)
               +Andel_beroende_av_klimat*VLOOKUP($A71,Leveranser_per_nät,'Leveranser per nät'!Q$1,FALSE)/VLOOKUP("Nybro",Korrigeringsfaktor_GD,'Korrigeringsfaktor GD'!Q$1,FALSE),
"")</f>
        <v>46.067368421052635</v>
      </c>
      <c r="R71" s="18">
        <f>IFERROR(
                  Andel_oberoende_av_klimat*VLOOKUP($A71,Leveranser_per_nät,'Leveranser per nät'!R$1,FALSE)
               +Andel_beroende_av_klimat*VLOOKUP($A71,Leveranser_per_nät,'Leveranser per nät'!R$1,FALSE)/VLOOKUP("Nybro",Korrigeringsfaktor_GD,'Korrigeringsfaktor GD'!R$1,FALSE),
"")</f>
        <v>50.179130434782607</v>
      </c>
      <c r="S71" s="18">
        <f>IFERROR(
                  Andel_oberoende_av_klimat*VLOOKUP($A71,Leveranser_per_nät,'Leveranser per nät'!S$1,FALSE)
               +Andel_beroende_av_klimat*VLOOKUP($A71,Leveranser_per_nät,'Leveranser per nät'!S$1,FALSE)/VLOOKUP("Nybro",Korrigeringsfaktor_GD,'Korrigeringsfaktor GD'!S$1,FALSE),
"")</f>
        <v>47</v>
      </c>
      <c r="T71" s="18">
        <f>IFERROR(
                  Andel_oberoende_av_klimat*VLOOKUP($A71,Leveranser_per_nät,'Leveranser per nät'!T$1,FALSE)
               +Andel_beroende_av_klimat*VLOOKUP($A71,Leveranser_per_nät,'Leveranser per nät'!T$1,FALSE)/VLOOKUP("Nybro",Korrigeringsfaktor_GD,'Korrigeringsfaktor GD'!T$1,FALSE),
"")</f>
        <v>48.426185567010307</v>
      </c>
      <c r="U71" s="18">
        <f>IFERROR(
                  Andel_oberoende_av_klimat*VLOOKUP($A71,Leveranser_per_nät,'Leveranser per nät'!U$1,FALSE)
               +Andel_beroende_av_klimat*VLOOKUP($A71,Leveranser_per_nät,'Leveranser per nät'!U$1,FALSE)/VLOOKUP("Nybro",Korrigeringsfaktor_GD,'Korrigeringsfaktor GD'!U$1,FALSE),
"")</f>
        <v>46.117674418604651</v>
      </c>
      <c r="V71" s="18">
        <f>IFERROR(
                  Andel_oberoende_av_klimat*VLOOKUP($A71,Leveranser_per_nät,'Leveranser per nät'!V$1,FALSE)
               +Andel_beroende_av_klimat*VLOOKUP($A71,Leveranser_per_nät,'Leveranser per nät'!V$1,FALSE)/VLOOKUP("Nybro",Korrigeringsfaktor_GD,'Korrigeringsfaktor GD'!V$1,FALSE),
"")</f>
        <v>47.497701149425282</v>
      </c>
      <c r="W71" s="18">
        <f>IFERROR(
                  Andel_oberoende_av_klimat*VLOOKUP($A71,Leveranser_per_nät,'Leveranser per nät'!W$1,FALSE)
               +Andel_beroende_av_klimat*VLOOKUP($A71,Leveranser_per_nät,'Leveranser per nät'!W$1,FALSE)/VLOOKUP("Nybro",Korrigeringsfaktor_GD,'Korrigeringsfaktor GD'!W$1,FALSE),
"")</f>
        <v>48.423655913978493</v>
      </c>
      <c r="X71" s="18">
        <f>IFERROR(
                  Andel_oberoende_av_klimat*VLOOKUP($A71,Leveranser_per_nät,'Leveranser per nät'!X$1,FALSE)
               +Andel_beroende_av_klimat*VLOOKUP($A71,Leveranser_per_nät,'Leveranser per nät'!X$1,FALSE)/VLOOKUP("Nybro",Korrigeringsfaktor_GD,'Korrigeringsfaktor GD'!X$1,FALSE),
"")</f>
        <v>49.577777777777776</v>
      </c>
      <c r="Y71" s="18">
        <f>IFERROR(
                  Andel_oberoende_av_klimat*VLOOKUP($A71,Leveranser_per_nät,'Leveranser per nät'!Y$1,FALSE)
               +Andel_beroende_av_klimat*VLOOKUP($A71,Leveranser_per_nät,'Leveranser per nät'!Y$1,FALSE)/VLOOKUP($B71,Korrigeringsfaktor_GD,'Korrigeringsfaktor GD'!Y$1,FALSE),
"")</f>
        <v>50.44</v>
      </c>
      <c r="Z71" s="18">
        <f>IFERROR(
                  Andel_oberoende_av_klimat*VLOOKUP($A71,Leveranser_per_nät,'Leveranser per nät'!Z$1,FALSE)
               +Andel_beroende_av_klimat*VLOOKUP($A71,Leveranser_per_nät,'Leveranser per nät'!Z$1,FALSE)/VLOOKUP($B71,Korrigeringsfaktor_GD,'Korrigeringsfaktor GD'!Z$1,FALSE),
"")</f>
        <v>48.166666666666664</v>
      </c>
      <c r="AA71" s="18">
        <f>IFERROR(
                  Andel_oberoende_av_klimat*VLOOKUP($A71,Leveranser_per_nät,'Leveranser per nät'!AA$1,FALSE)
               +Andel_beroende_av_klimat*VLOOKUP($A71,Leveranser_per_nät,'Leveranser per nät'!AA$1,FALSE)/VLOOKUP($B71,Korrigeringsfaktor_GD,'Korrigeringsfaktor GD'!AA$1,FALSE),
"")</f>
        <v>48.011910828025478</v>
      </c>
      <c r="AB71" s="18">
        <f>IFERROR(
                  Andel_oberoende_av_klimat*VLOOKUP($A71,Leveranser_per_nät,'Leveranser per nät'!AB$1,FALSE)
               +Andel_beroende_av_klimat*VLOOKUP($A71,Leveranser_per_nät,'Leveranser per nät'!AB$1,FALSE)/VLOOKUP($B71,Korrigeringsfaktor_GD,'Korrigeringsfaktor GD'!AB$1,FALSE),
"")</f>
        <v>47.244574780058656</v>
      </c>
      <c r="AC71" s="18">
        <f>IFERROR(
                  Andel_oberoende_av_klimat*VLOOKUP($A71,Leveranser_per_nät,'Leveranser per nät'!AC$1,FALSE)
               +Andel_beroende_av_klimat*VLOOKUP($A71,Leveranser_per_nät,'Leveranser per nät'!AC$1,FALSE)/VLOOKUP($B71,Korrigeringsfaktor_GD,'Korrigeringsfaktor GD'!AC$1,FALSE),
"")</f>
        <v>52.075833333333335</v>
      </c>
      <c r="AD71">
        <v>50.6</v>
      </c>
    </row>
    <row r="72" spans="1:30" x14ac:dyDescent="0.25">
      <c r="A72" t="s">
        <v>101</v>
      </c>
      <c r="B72" t="s">
        <v>101</v>
      </c>
      <c r="C72" s="18">
        <f>IFERROR(
                  Andel_oberoende_av_klimat*VLOOKUP($A72,Leveranser_per_nät,'Leveranser per nät'!C$1,FALSE)
               +Andel_beroende_av_klimat*VLOOKUP($A72,Leveranser_per_nät,'Leveranser per nät'!C$1,FALSE)/VLOOKUP($B72,Korrigeringsfaktor_GD,'Korrigeringsfaktor GD'!C$1,FALSE),
"")</f>
        <v>219.1090909090909</v>
      </c>
      <c r="D72" s="18">
        <f>IFERROR(
                  Andel_oberoende_av_klimat*VLOOKUP($A72,Leveranser_per_nät,'Leveranser per nät'!D$1,FALSE)
               +Andel_beroende_av_klimat*VLOOKUP($A72,Leveranser_per_nät,'Leveranser per nät'!D$1,FALSE)/VLOOKUP($B72,Korrigeringsfaktor_GD,'Korrigeringsfaktor GD'!D$1,FALSE),
"")</f>
        <v>212.49285714285713</v>
      </c>
      <c r="E72" s="18">
        <f>IFERROR(
                  Andel_oberoende_av_klimat*VLOOKUP($A72,Leveranser_per_nät,'Leveranser per nät'!E$1,FALSE)
               +Andel_beroende_av_klimat*VLOOKUP($A72,Leveranser_per_nät,'Leveranser per nät'!E$1,FALSE)/VLOOKUP($B72,Korrigeringsfaktor_GD,'Korrigeringsfaktor GD'!E$1,FALSE),
"")</f>
        <v>215.99411764705883</v>
      </c>
      <c r="F72" s="18">
        <f>IFERROR(
                  Andel_oberoende_av_klimat*VLOOKUP($A72,Leveranser_per_nät,'Leveranser per nät'!F$1,FALSE)
               +Andel_beroende_av_klimat*VLOOKUP($A72,Leveranser_per_nät,'Leveranser per nät'!F$1,FALSE)/VLOOKUP($B72,Korrigeringsfaktor_GD,'Korrigeringsfaktor GD'!F$1,FALSE),
"")</f>
        <v>211.02553191489363</v>
      </c>
      <c r="G72" s="18">
        <f>IFERROR(
                  Andel_oberoende_av_klimat*VLOOKUP($A72,Leveranser_per_nät,'Leveranser per nät'!G$1,FALSE)
               +Andel_beroende_av_klimat*VLOOKUP($A72,Leveranser_per_nät,'Leveranser per nät'!G$1,FALSE)/VLOOKUP($B72,Korrigeringsfaktor_GD,'Korrigeringsfaktor GD'!G$1,FALSE),
"")</f>
        <v>218.7103448275862</v>
      </c>
      <c r="H72" s="18">
        <f>IFERROR(
                  Andel_oberoende_av_klimat*VLOOKUP($A72,Leveranser_per_nät,'Leveranser per nät'!H$1,FALSE)
               +Andel_beroende_av_klimat*VLOOKUP($A72,Leveranser_per_nät,'Leveranser per nät'!H$1,FALSE)/VLOOKUP($B72,Korrigeringsfaktor_GD,'Korrigeringsfaktor GD'!H$1,FALSE),
"")</f>
        <v>215.02857142857141</v>
      </c>
      <c r="I72" s="18">
        <f>IFERROR(
                  Andel_oberoende_av_klimat*VLOOKUP($A72,Leveranser_per_nät,'Leveranser per nät'!I$1,FALSE)
               +Andel_beroende_av_klimat*VLOOKUP($A72,Leveranser_per_nät,'Leveranser per nät'!I$1,FALSE)/VLOOKUP($B72,Korrigeringsfaktor_GD,'Korrigeringsfaktor GD'!I$1,FALSE),
"")</f>
        <v>217.32732164948456</v>
      </c>
      <c r="J72" s="18">
        <f>IFERROR(
                  Andel_oberoende_av_klimat*VLOOKUP($A72,Leveranser_per_nät,'Leveranser per nät'!J$1,FALSE)
               +Andel_beroende_av_klimat*VLOOKUP($A72,Leveranser_per_nät,'Leveranser per nät'!J$1,FALSE)/VLOOKUP($B72,Korrigeringsfaktor_GD,'Korrigeringsfaktor GD'!J$1,FALSE),
"")</f>
        <v>216.04285714285714</v>
      </c>
      <c r="K72" s="18">
        <f>IFERROR(
                  Andel_oberoende_av_klimat*VLOOKUP($A72,Leveranser_per_nät,'Leveranser per nät'!K$1,FALSE)
               +Andel_beroende_av_klimat*VLOOKUP($A72,Leveranser_per_nät,'Leveranser per nät'!K$1,FALSE)/VLOOKUP($B72,Korrigeringsfaktor_GD,'Korrigeringsfaktor GD'!K$1,FALSE),
"")</f>
        <v>214.01428571428571</v>
      </c>
      <c r="L72" s="18">
        <f>IFERROR(
                  Andel_oberoende_av_klimat*VLOOKUP($A72,Leveranser_per_nät,'Leveranser per nät'!L$1,FALSE)
               +Andel_beroende_av_klimat*VLOOKUP($A72,Leveranser_per_nät,'Leveranser per nät'!L$1,FALSE)/VLOOKUP($B72,Korrigeringsfaktor_GD,'Korrigeringsfaktor GD'!L$1,FALSE),
"")</f>
        <v>213.58947368421053</v>
      </c>
      <c r="M72" s="18">
        <f>IFERROR(
                  Andel_oberoende_av_klimat*VLOOKUP($A72,Leveranser_per_nät,'Leveranser per nät'!M$1,FALSE)
               +Andel_beroende_av_klimat*VLOOKUP($A72,Leveranser_per_nät,'Leveranser per nät'!M$1,FALSE)/VLOOKUP($B72,Korrigeringsfaktor_GD,'Korrigeringsfaktor GD'!M$1,FALSE),
"")</f>
        <v>218.53913043478261</v>
      </c>
      <c r="N72" s="18">
        <f>IFERROR(
                  Andel_oberoende_av_klimat*VLOOKUP($A72,Leveranser_per_nät,'Leveranser per nät'!N$1,FALSE)
               +Andel_beroende_av_klimat*VLOOKUP($A72,Leveranser_per_nät,'Leveranser per nät'!N$1,FALSE)/VLOOKUP($B72,Korrigeringsfaktor_GD,'Korrigeringsfaktor GD'!N$1,FALSE),
"")</f>
        <v>217.9064516129032</v>
      </c>
      <c r="O72" s="18">
        <f>IFERROR(
                  Andel_oberoende_av_klimat*VLOOKUP($A72,Leveranser_per_nät,'Leveranser per nät'!O$1,FALSE)
               +Andel_beroende_av_klimat*VLOOKUP($A72,Leveranser_per_nät,'Leveranser per nät'!O$1,FALSE)/VLOOKUP($B72,Korrigeringsfaktor_GD,'Korrigeringsfaktor GD'!O$1,FALSE),
"")</f>
        <v>211.87078651685394</v>
      </c>
      <c r="P72" s="18">
        <f>IFERROR(
                  Andel_oberoende_av_klimat*VLOOKUP($A72,Leveranser_per_nät,'Leveranser per nät'!P$1,FALSE)
               +Andel_beroende_av_klimat*VLOOKUP($A72,Leveranser_per_nät,'Leveranser per nät'!P$1,FALSE)/VLOOKUP($B72,Korrigeringsfaktor_GD,'Korrigeringsfaktor GD'!P$1,FALSE),
"")</f>
        <v>207.92857142857144</v>
      </c>
      <c r="Q72" s="18">
        <f>IFERROR(
                  Andel_oberoende_av_klimat*VLOOKUP($A72,Leveranser_per_nät,'Leveranser per nät'!Q$1,FALSE)
               +Andel_beroende_av_klimat*VLOOKUP($A72,Leveranser_per_nät,'Leveranser per nät'!Q$1,FALSE)/VLOOKUP($B72,Korrigeringsfaktor_GD,'Korrigeringsfaktor GD'!Q$1,FALSE),
"")</f>
        <v>212.89487179487179</v>
      </c>
      <c r="R72" s="18">
        <f>IFERROR(
                  Andel_oberoende_av_klimat*VLOOKUP($A72,Leveranser_per_nät,'Leveranser per nät'!R$1,FALSE)
               +Andel_beroende_av_klimat*VLOOKUP($A72,Leveranser_per_nät,'Leveranser per nät'!R$1,FALSE)/VLOOKUP($B72,Korrigeringsfaktor_GD,'Korrigeringsfaktor GD'!R$1,FALSE),
"")</f>
        <v>208.5</v>
      </c>
      <c r="S72" s="18">
        <f>IFERROR(
                  Andel_oberoende_av_klimat*VLOOKUP($A72,Leveranser_per_nät,'Leveranser per nät'!S$1,FALSE)
               +Andel_beroende_av_klimat*VLOOKUP($A72,Leveranser_per_nät,'Leveranser per nät'!S$1,FALSE)/VLOOKUP($B72,Korrigeringsfaktor_GD,'Korrigeringsfaktor GD'!S$1,FALSE),
"")</f>
        <v>211</v>
      </c>
      <c r="T72" s="18">
        <f>IFERROR(
                  Andel_oberoende_av_klimat*VLOOKUP($A72,Leveranser_per_nät,'Leveranser per nät'!T$1,FALSE)
               +Andel_beroende_av_klimat*VLOOKUP($A72,Leveranser_per_nät,'Leveranser per nät'!T$1,FALSE)/VLOOKUP($B72,Korrigeringsfaktor_GD,'Korrigeringsfaktor GD'!T$1,FALSE),
"")</f>
        <v>214.06666666666666</v>
      </c>
      <c r="U72" s="18">
        <f>IFERROR(
                  Andel_oberoende_av_klimat*VLOOKUP($A72,Leveranser_per_nät,'Leveranser per nät'!U$1,FALSE)
               +Andel_beroende_av_klimat*VLOOKUP($A72,Leveranser_per_nät,'Leveranser per nät'!U$1,FALSE)/VLOOKUP($B72,Korrigeringsfaktor_GD,'Korrigeringsfaktor GD'!U$1,FALSE),
"")</f>
        <v>211.87078651685394</v>
      </c>
      <c r="V72" s="18">
        <f>IFERROR(
                  Andel_oberoende_av_klimat*VLOOKUP($A72,Leveranser_per_nät,'Leveranser per nät'!V$1,FALSE)
               +Andel_beroende_av_klimat*VLOOKUP($A72,Leveranser_per_nät,'Leveranser per nät'!V$1,FALSE)/VLOOKUP($B72,Korrigeringsfaktor_GD,'Korrigeringsfaktor GD'!V$1,FALSE),
"")</f>
        <v>215.80454545454546</v>
      </c>
      <c r="W72" s="18">
        <f>IFERROR(
                  Andel_oberoende_av_klimat*VLOOKUP($A72,Leveranser_per_nät,'Leveranser per nät'!W$1,FALSE)
               +Andel_beroende_av_klimat*VLOOKUP($A72,Leveranser_per_nät,'Leveranser per nät'!W$1,FALSE)/VLOOKUP($B72,Korrigeringsfaktor_GD,'Korrigeringsfaktor GD'!W$1,FALSE),
"")</f>
        <v>221.06451612903226</v>
      </c>
      <c r="X72" s="18">
        <f>IFERROR(
                  Andel_oberoende_av_klimat*VLOOKUP($A72,Leveranser_per_nät,'Leveranser per nät'!X$1,FALSE)
               +Andel_beroende_av_klimat*VLOOKUP($A72,Leveranser_per_nät,'Leveranser per nät'!X$1,FALSE)/VLOOKUP($B72,Korrigeringsfaktor_GD,'Korrigeringsfaktor GD'!X$1,FALSE),
"")</f>
        <v>223.16989247311824</v>
      </c>
      <c r="Y72" s="18">
        <f>IFERROR(
                  Andel_oberoende_av_klimat*VLOOKUP($A72,Leveranser_per_nät,'Leveranser per nät'!Y$1,FALSE)
               +Andel_beroende_av_klimat*VLOOKUP($A72,Leveranser_per_nät,'Leveranser per nät'!Y$1,FALSE)/VLOOKUP($B72,Korrigeringsfaktor_GD,'Korrigeringsfaktor GD'!Y$1,FALSE),
"")</f>
        <v>225.96521739130435</v>
      </c>
      <c r="Z72" s="18">
        <f>IFERROR(
                  Andel_oberoende_av_klimat*VLOOKUP($A72,Leveranser_per_nät,'Leveranser per nät'!Z$1,FALSE)
               +Andel_beroende_av_klimat*VLOOKUP($A72,Leveranser_per_nät,'Leveranser per nät'!Z$1,FALSE)/VLOOKUP($B72,Korrigeringsfaktor_GD,'Korrigeringsfaktor GD'!Z$1,FALSE),
"")</f>
        <v>233.33181818181819</v>
      </c>
      <c r="AA72" s="18">
        <f>IFERROR(
                  Andel_oberoende_av_klimat*VLOOKUP($A72,Leveranser_per_nät,'Leveranser per nät'!AA$1,FALSE)
               +Andel_beroende_av_klimat*VLOOKUP($A72,Leveranser_per_nät,'Leveranser per nät'!AA$1,FALSE)/VLOOKUP($B72,Korrigeringsfaktor_GD,'Korrigeringsfaktor GD'!AA$1,FALSE),
"")</f>
        <v>233.07388235294118</v>
      </c>
      <c r="AB72" s="18">
        <f>IFERROR(
                  Andel_oberoende_av_klimat*VLOOKUP($A72,Leveranser_per_nät,'Leveranser per nät'!AB$1,FALSE)
               +Andel_beroende_av_klimat*VLOOKUP($A72,Leveranser_per_nät,'Leveranser per nät'!AB$1,FALSE)/VLOOKUP($B72,Korrigeringsfaktor_GD,'Korrigeringsfaktor GD'!AB$1,FALSE),
"")</f>
        <v>224.12411067193676</v>
      </c>
      <c r="AC72" s="18">
        <f>IFERROR(
                  Andel_oberoende_av_klimat*VLOOKUP($A72,Leveranser_per_nät,'Leveranser per nät'!AC$1,FALSE)
               +Andel_beroende_av_klimat*VLOOKUP($A72,Leveranser_per_nät,'Leveranser per nät'!AC$1,FALSE)/VLOOKUP($B72,Korrigeringsfaktor_GD,'Korrigeringsfaktor GD'!AC$1,FALSE),
"")</f>
        <v>220.02565445026178</v>
      </c>
      <c r="AD72">
        <v>213</v>
      </c>
    </row>
    <row r="73" spans="1:30" x14ac:dyDescent="0.25">
      <c r="A73" t="s">
        <v>102</v>
      </c>
      <c r="B73" t="s">
        <v>518</v>
      </c>
      <c r="C73" s="18">
        <f>IFERROR(
                  Andel_oberoende_av_klimat*VLOOKUP($A73,Leveranser_per_nät,'Leveranser per nät'!C$1,FALSE)
               +Andel_beroende_av_klimat*VLOOKUP($A73,Leveranser_per_nät,'Leveranser per nät'!C$1,FALSE)/VLOOKUP($B73,Korrigeringsfaktor_GD,'Korrigeringsfaktor GD'!C$1,FALSE),
"")</f>
        <v>660.88567499999999</v>
      </c>
      <c r="D73" s="18">
        <f>IFERROR(
                  Andel_oberoende_av_klimat*VLOOKUP($A73,Leveranser_per_nät,'Leveranser per nät'!D$1,FALSE)
               +Andel_beroende_av_klimat*VLOOKUP($A73,Leveranser_per_nät,'Leveranser per nät'!D$1,FALSE)/VLOOKUP($B73,Korrigeringsfaktor_GD,'Korrigeringsfaktor GD'!D$1,FALSE),
"")</f>
        <v>677.67802020202009</v>
      </c>
      <c r="E73" s="18">
        <f>IFERROR(
                  Andel_oberoende_av_klimat*VLOOKUP($A73,Leveranser_per_nät,'Leveranser per nät'!E$1,FALSE)
               +Andel_beroende_av_klimat*VLOOKUP($A73,Leveranser_per_nät,'Leveranser per nät'!E$1,FALSE)/VLOOKUP($B73,Korrigeringsfaktor_GD,'Korrigeringsfaktor GD'!E$1,FALSE),
"")</f>
        <v>683.48823529411766</v>
      </c>
      <c r="F73" s="18">
        <f>IFERROR(
                  Andel_oberoende_av_klimat*VLOOKUP($A73,Leveranser_per_nät,'Leveranser per nät'!F$1,FALSE)
               +Andel_beroende_av_klimat*VLOOKUP($A73,Leveranser_per_nät,'Leveranser per nät'!F$1,FALSE)/VLOOKUP($B73,Korrigeringsfaktor_GD,'Korrigeringsfaktor GD'!F$1,FALSE),
"")</f>
        <v>654.24736842105267</v>
      </c>
      <c r="G73" s="18">
        <f>IFERROR(
                  Andel_oberoende_av_klimat*VLOOKUP($A73,Leveranser_per_nät,'Leveranser per nät'!G$1,FALSE)
               +Andel_beroende_av_klimat*VLOOKUP($A73,Leveranser_per_nät,'Leveranser per nät'!G$1,FALSE)/VLOOKUP($B73,Korrigeringsfaktor_GD,'Korrigeringsfaktor GD'!G$1,FALSE),
"")</f>
        <v>657.23563218390802</v>
      </c>
      <c r="H73" s="18">
        <f>IFERROR(
                  Andel_oberoende_av_klimat*VLOOKUP($A73,Leveranser_per_nät,'Leveranser per nät'!H$1,FALSE)
               +Andel_beroende_av_klimat*VLOOKUP($A73,Leveranser_per_nät,'Leveranser per nät'!H$1,FALSE)/VLOOKUP($B73,Korrigeringsfaktor_GD,'Korrigeringsfaktor GD'!H$1,FALSE),
"")</f>
        <v>666</v>
      </c>
      <c r="I73" s="18">
        <f>IFERROR(
                  Andel_oberoende_av_klimat*VLOOKUP($A73,Leveranser_per_nät,'Leveranser per nät'!I$1,FALSE)
               +Andel_beroende_av_klimat*VLOOKUP($A73,Leveranser_per_nät,'Leveranser per nät'!I$1,FALSE)/VLOOKUP($B73,Korrigeringsfaktor_GD,'Korrigeringsfaktor GD'!I$1,FALSE),
"")</f>
        <v>679.39690721649481</v>
      </c>
      <c r="J73" s="18">
        <f>IFERROR(
                  Andel_oberoende_av_klimat*VLOOKUP($A73,Leveranser_per_nät,'Leveranser per nät'!J$1,FALSE)
               +Andel_beroende_av_klimat*VLOOKUP($A73,Leveranser_per_nät,'Leveranser per nät'!J$1,FALSE)/VLOOKUP($B73,Korrigeringsfaktor_GD,'Korrigeringsfaktor GD'!J$1,FALSE),
"")</f>
        <v>678.76565656565651</v>
      </c>
      <c r="K73" s="18">
        <f>IFERROR(
                  Andel_oberoende_av_klimat*VLOOKUP($A73,Leveranser_per_nät,'Leveranser per nät'!K$1,FALSE)
               +Andel_beroende_av_klimat*VLOOKUP($A73,Leveranser_per_nät,'Leveranser per nät'!K$1,FALSE)/VLOOKUP($B73,Korrigeringsfaktor_GD,'Korrigeringsfaktor GD'!K$1,FALSE),
"")</f>
        <v>672.28817777777772</v>
      </c>
      <c r="L73" s="18">
        <f>IFERROR(
                  Andel_oberoende_av_klimat*VLOOKUP($A73,Leveranser_per_nät,'Leveranser per nät'!L$1,FALSE)
               +Andel_beroende_av_klimat*VLOOKUP($A73,Leveranser_per_nät,'Leveranser per nät'!L$1,FALSE)/VLOOKUP($B73,Korrigeringsfaktor_GD,'Korrigeringsfaktor GD'!L$1,FALSE),
"")</f>
        <v>673.1935842105263</v>
      </c>
      <c r="M73" s="18">
        <f>IFERROR(
                  Andel_oberoende_av_klimat*VLOOKUP($A73,Leveranser_per_nät,'Leveranser per nät'!M$1,FALSE)
               +Andel_beroende_av_klimat*VLOOKUP($A73,Leveranser_per_nät,'Leveranser per nät'!M$1,FALSE)/VLOOKUP($B73,Korrigeringsfaktor_GD,'Korrigeringsfaktor GD'!M$1,FALSE),
"")</f>
        <v>687.79697634408592</v>
      </c>
      <c r="N73" s="18">
        <f>IFERROR(
                  Andel_oberoende_av_klimat*VLOOKUP($A73,Leveranser_per_nät,'Leveranser per nät'!N$1,FALSE)
               +Andel_beroende_av_klimat*VLOOKUP($A73,Leveranser_per_nät,'Leveranser per nät'!N$1,FALSE)/VLOOKUP($B73,Korrigeringsfaktor_GD,'Korrigeringsfaktor GD'!N$1,FALSE),
"")</f>
        <v>727.05422608695642</v>
      </c>
      <c r="O73" s="18">
        <f>IFERROR(
                  Andel_oberoende_av_klimat*VLOOKUP($A73,Leveranser_per_nät,'Leveranser per nät'!O$1,FALSE)
               +Andel_beroende_av_klimat*VLOOKUP($A73,Leveranser_per_nät,'Leveranser per nät'!O$1,FALSE)/VLOOKUP($B73,Korrigeringsfaktor_GD,'Korrigeringsfaktor GD'!O$1,FALSE),
"")</f>
        <v>726.74396067415728</v>
      </c>
      <c r="P73" s="18">
        <f>IFERROR(
                  Andel_oberoende_av_klimat*VLOOKUP($A73,Leveranser_per_nät,'Leveranser per nät'!P$1,FALSE)
               +Andel_beroende_av_klimat*VLOOKUP($A73,Leveranser_per_nät,'Leveranser per nät'!P$1,FALSE)/VLOOKUP($B73,Korrigeringsfaktor_GD,'Korrigeringsfaktor GD'!P$1,FALSE),
"")</f>
        <v>722.89650202020198</v>
      </c>
      <c r="Q73" s="18">
        <f>IFERROR(
                  Andel_oberoende_av_klimat*VLOOKUP($A73,Leveranser_per_nät,'Leveranser per nät'!Q$1,FALSE)
               +Andel_beroende_av_klimat*VLOOKUP($A73,Leveranser_per_nät,'Leveranser per nät'!Q$1,FALSE)/VLOOKUP($B73,Korrigeringsfaktor_GD,'Korrigeringsfaktor GD'!Q$1,FALSE),
"")</f>
        <v>725.96304406779666</v>
      </c>
      <c r="R73" s="18">
        <f>IFERROR(
                  Andel_oberoende_av_klimat*VLOOKUP($A73,Leveranser_per_nät,'Leveranser per nät'!R$1,FALSE)
               +Andel_beroende_av_klimat*VLOOKUP($A73,Leveranser_per_nät,'Leveranser per nät'!R$1,FALSE)/VLOOKUP($B73,Korrigeringsfaktor_GD,'Korrigeringsfaktor GD'!R$1,FALSE),
"")</f>
        <v>805.51141538461536</v>
      </c>
      <c r="S73" s="18">
        <f>IFERROR(
                  Andel_oberoende_av_klimat*VLOOKUP($A73,Leveranser_per_nät,'Leveranser per nät'!S$1,FALSE)
               +Andel_beroende_av_klimat*VLOOKUP($A73,Leveranser_per_nät,'Leveranser per nät'!S$1,FALSE)/VLOOKUP($B73,Korrigeringsfaktor_GD,'Korrigeringsfaktor GD'!S$1,FALSE),
"")</f>
        <v>712</v>
      </c>
      <c r="T73" s="18">
        <f>IFERROR(
                  Andel_oberoende_av_klimat*VLOOKUP($A73,Leveranser_per_nät,'Leveranser per nät'!T$1,FALSE)
               +Andel_beroende_av_klimat*VLOOKUP($A73,Leveranser_per_nät,'Leveranser per nät'!T$1,FALSE)/VLOOKUP($B73,Korrigeringsfaktor_GD,'Korrigeringsfaktor GD'!T$1,FALSE),
"")</f>
        <v>690.63505154639176</v>
      </c>
      <c r="U73" s="18">
        <f>IFERROR(
                  Andel_oberoende_av_klimat*VLOOKUP($A73,Leveranser_per_nät,'Leveranser per nät'!U$1,FALSE)
               +Andel_beroende_av_klimat*VLOOKUP($A73,Leveranser_per_nät,'Leveranser per nät'!U$1,FALSE)/VLOOKUP($B73,Korrigeringsfaktor_GD,'Korrigeringsfaktor GD'!U$1,FALSE),
"")</f>
        <v>683.12545454545455</v>
      </c>
      <c r="V73" s="18">
        <f>IFERROR(
                  Andel_oberoende_av_klimat*VLOOKUP($A73,Leveranser_per_nät,'Leveranser per nät'!V$1,FALSE)
               +Andel_beroende_av_klimat*VLOOKUP($A73,Leveranser_per_nät,'Leveranser per nät'!V$1,FALSE)/VLOOKUP($B73,Korrigeringsfaktor_GD,'Korrigeringsfaktor GD'!V$1,FALSE),
"")</f>
        <v>661.49789545454541</v>
      </c>
      <c r="W73" s="18">
        <f>IFERROR(
                  Andel_oberoende_av_klimat*VLOOKUP($A73,Leveranser_per_nät,'Leveranser per nät'!W$1,FALSE)
               +Andel_beroende_av_klimat*VLOOKUP($A73,Leveranser_per_nät,'Leveranser per nät'!W$1,FALSE)/VLOOKUP($B73,Korrigeringsfaktor_GD,'Korrigeringsfaktor GD'!W$1,FALSE),
"")</f>
        <v>682.07456344086029</v>
      </c>
      <c r="X73" s="18">
        <f>IFERROR(
                  Andel_oberoende_av_klimat*VLOOKUP($A73,Leveranser_per_nät,'Leveranser per nät'!X$1,FALSE)
               +Andel_beroende_av_klimat*VLOOKUP($A73,Leveranser_per_nät,'Leveranser per nät'!X$1,FALSE)/VLOOKUP($B73,Korrigeringsfaktor_GD,'Korrigeringsfaktor GD'!X$1,FALSE),
"")</f>
        <v>685.00347826086954</v>
      </c>
      <c r="Y73" s="18">
        <f>IFERROR(
                  Andel_oberoende_av_klimat*VLOOKUP($A73,Leveranser_per_nät,'Leveranser per nät'!Y$1,FALSE)
               +Andel_beroende_av_klimat*VLOOKUP($A73,Leveranser_per_nät,'Leveranser per nät'!Y$1,FALSE)/VLOOKUP($B73,Korrigeringsfaktor_GD,'Korrigeringsfaktor GD'!Y$1,FALSE),
"")</f>
        <v>666.35763478260878</v>
      </c>
      <c r="Z73" s="18">
        <f>IFERROR(
                  Andel_oberoende_av_klimat*VLOOKUP($A73,Leveranser_per_nät,'Leveranser per nät'!Z$1,FALSE)
               +Andel_beroende_av_klimat*VLOOKUP($A73,Leveranser_per_nät,'Leveranser per nät'!Z$1,FALSE)/VLOOKUP($B73,Korrigeringsfaktor_GD,'Korrigeringsfaktor GD'!Z$1,FALSE),
"")</f>
        <v>719.44082352941177</v>
      </c>
      <c r="AA73" s="18">
        <f>IFERROR(
                  Andel_oberoende_av_klimat*VLOOKUP($A73,Leveranser_per_nät,'Leveranser per nät'!AA$1,FALSE)
               +Andel_beroende_av_klimat*VLOOKUP($A73,Leveranser_per_nät,'Leveranser per nät'!AA$1,FALSE)/VLOOKUP($B73,Korrigeringsfaktor_GD,'Korrigeringsfaktor GD'!AA$1,FALSE),
"")</f>
        <v>682.95240057347678</v>
      </c>
      <c r="AB73" s="18">
        <f>IFERROR(
                  Andel_oberoende_av_klimat*VLOOKUP($A73,Leveranser_per_nät,'Leveranser per nät'!AB$1,FALSE)
               +Andel_beroende_av_klimat*VLOOKUP($A73,Leveranser_per_nät,'Leveranser per nät'!AB$1,FALSE)/VLOOKUP($B73,Korrigeringsfaktor_GD,'Korrigeringsfaktor GD'!AB$1,FALSE),
"")</f>
        <v>676.71532068965519</v>
      </c>
      <c r="AC73" s="18">
        <f>IFERROR(
                  Andel_oberoende_av_klimat*VLOOKUP($A73,Leveranser_per_nät,'Leveranser per nät'!AC$1,FALSE)
               +Andel_beroende_av_klimat*VLOOKUP($A73,Leveranser_per_nät,'Leveranser per nät'!AC$1,FALSE)/VLOOKUP($B73,Korrigeringsfaktor_GD,'Korrigeringsfaktor GD'!AC$1,FALSE),
"")</f>
        <v>671.0950978609626</v>
      </c>
      <c r="AD73" t="e">
        <v>#N/A</v>
      </c>
    </row>
    <row r="74" spans="1:30" x14ac:dyDescent="0.25">
      <c r="A74" t="s">
        <v>198</v>
      </c>
      <c r="B74" t="s">
        <v>198</v>
      </c>
      <c r="C74" s="18">
        <f>IFERROR(
                  Andel_oberoende_av_klimat*VLOOKUP($A74,Leveranser_per_nät,'Leveranser per nät'!C$1,FALSE)
               +Andel_beroende_av_klimat*VLOOKUP($A74,Leveranser_per_nät,'Leveranser per nät'!C$1,FALSE)/VLOOKUP($B74,Korrigeringsfaktor_GD,'Korrigeringsfaktor GD'!C$1,FALSE),
"")</f>
        <v>67.243478260869566</v>
      </c>
      <c r="D74" s="18">
        <f>IFERROR(
                  Andel_oberoende_av_klimat*VLOOKUP($A74,Leveranser_per_nät,'Leveranser per nät'!D$1,FALSE)
               +Andel_beroende_av_klimat*VLOOKUP($A74,Leveranser_per_nät,'Leveranser per nät'!D$1,FALSE)/VLOOKUP($B74,Korrigeringsfaktor_GD,'Korrigeringsfaktor GD'!D$1,FALSE),
"")</f>
        <v>71.218882352941165</v>
      </c>
      <c r="E74" s="18">
        <f>IFERROR(
                  Andel_oberoende_av_klimat*VLOOKUP($A74,Leveranser_per_nät,'Leveranser per nät'!E$1,FALSE)
               +Andel_beroende_av_klimat*VLOOKUP($A74,Leveranser_per_nät,'Leveranser per nät'!E$1,FALSE)/VLOOKUP($B74,Korrigeringsfaktor_GD,'Korrigeringsfaktor GD'!E$1,FALSE),
"")</f>
        <v>74</v>
      </c>
      <c r="F74" s="18">
        <f>IFERROR(
                  Andel_oberoende_av_klimat*VLOOKUP($A74,Leveranser_per_nät,'Leveranser per nät'!F$1,FALSE)
               +Andel_beroende_av_klimat*VLOOKUP($A74,Leveranser_per_nät,'Leveranser per nät'!F$1,FALSE)/VLOOKUP($B74,Korrigeringsfaktor_GD,'Korrigeringsfaktor GD'!F$1,FALSE),
"")</f>
        <v>76.726315789473688</v>
      </c>
      <c r="G74" s="18">
        <f>IFERROR(
                  Andel_oberoende_av_klimat*VLOOKUP($A74,Leveranser_per_nät,'Leveranser per nät'!G$1,FALSE)
               +Andel_beroende_av_klimat*VLOOKUP($A74,Leveranser_per_nät,'Leveranser per nät'!G$1,FALSE)/VLOOKUP($B74,Korrigeringsfaktor_GD,'Korrigeringsfaktor GD'!G$1,FALSE),
"")</f>
        <v>88.73181818181817</v>
      </c>
      <c r="H74" s="18">
        <f>IFERROR(
                  Andel_oberoende_av_klimat*VLOOKUP($A74,Leveranser_per_nät,'Leveranser per nät'!H$1,FALSE)
               +Andel_beroende_av_klimat*VLOOKUP($A74,Leveranser_per_nät,'Leveranser per nät'!H$1,FALSE)/VLOOKUP($B74,Korrigeringsfaktor_GD,'Korrigeringsfaktor GD'!H$1,FALSE),
"")</f>
        <v>90</v>
      </c>
      <c r="I74" s="18">
        <f>IFERROR(
                  Andel_oberoende_av_klimat*VLOOKUP($A74,Leveranser_per_nät,'Leveranser per nät'!I$1,FALSE)
               +Andel_beroende_av_klimat*VLOOKUP($A74,Leveranser_per_nät,'Leveranser per nät'!I$1,FALSE)/VLOOKUP($B74,Korrigeringsfaktor_GD,'Korrigeringsfaktor GD'!I$1,FALSE),
"")</f>
        <v>95.065957446808511</v>
      </c>
      <c r="J74" s="18">
        <f>IFERROR(
                  Andel_oberoende_av_klimat*VLOOKUP($A74,Leveranser_per_nät,'Leveranser per nät'!J$1,FALSE)
               +Andel_beroende_av_klimat*VLOOKUP($A74,Leveranser_per_nät,'Leveranser per nät'!J$1,FALSE)/VLOOKUP($B74,Korrigeringsfaktor_GD,'Korrigeringsfaktor GD'!J$1,FALSE),
"")</f>
        <v>93.657575757575756</v>
      </c>
      <c r="K74" s="18">
        <f>IFERROR(
                  Andel_oberoende_av_klimat*VLOOKUP($A74,Leveranser_per_nät,'Leveranser per nät'!K$1,FALSE)
               +Andel_beroende_av_klimat*VLOOKUP($A74,Leveranser_per_nät,'Leveranser per nät'!K$1,FALSE)/VLOOKUP($B74,Korrigeringsfaktor_GD,'Korrigeringsfaktor GD'!K$1,FALSE),
"")</f>
        <v>92.43398484848484</v>
      </c>
      <c r="L74" s="18">
        <f>IFERROR(
                  Andel_oberoende_av_klimat*VLOOKUP($A74,Leveranser_per_nät,'Leveranser per nät'!L$1,FALSE)
               +Andel_beroende_av_klimat*VLOOKUP($A74,Leveranser_per_nät,'Leveranser per nät'!L$1,FALSE)/VLOOKUP($B74,Korrigeringsfaktor_GD,'Korrigeringsfaktor GD'!L$1,FALSE),
"")</f>
        <v>93.103939175257736</v>
      </c>
      <c r="M74" s="18">
        <f>IFERROR(
                  Andel_oberoende_av_klimat*VLOOKUP($A74,Leveranser_per_nät,'Leveranser per nät'!M$1,FALSE)
               +Andel_beroende_av_klimat*VLOOKUP($A74,Leveranser_per_nät,'Leveranser per nät'!M$1,FALSE)/VLOOKUP($B74,Korrigeringsfaktor_GD,'Korrigeringsfaktor GD'!M$1,FALSE),
"")</f>
        <v>92.710247311827956</v>
      </c>
      <c r="N74" s="18">
        <f>IFERROR(
                  Andel_oberoende_av_klimat*VLOOKUP($A74,Leveranser_per_nät,'Leveranser per nät'!N$1,FALSE)
               +Andel_beroende_av_klimat*VLOOKUP($A74,Leveranser_per_nät,'Leveranser per nät'!N$1,FALSE)/VLOOKUP($B74,Korrigeringsfaktor_GD,'Korrigeringsfaktor GD'!N$1,FALSE),
"")</f>
        <v>93.11363636363636</v>
      </c>
      <c r="O74" s="18">
        <f>IFERROR(
                  Andel_oberoende_av_klimat*VLOOKUP($A74,Leveranser_per_nät,'Leveranser per nät'!O$1,FALSE)
               +Andel_beroende_av_klimat*VLOOKUP($A74,Leveranser_per_nät,'Leveranser per nät'!O$1,FALSE)/VLOOKUP($B74,Korrigeringsfaktor_GD,'Korrigeringsfaktor GD'!O$1,FALSE),
"")</f>
        <v>96.156741573033713</v>
      </c>
      <c r="P74" s="18">
        <f>IFERROR(
                  Andel_oberoende_av_klimat*VLOOKUP($A74,Leveranser_per_nät,'Leveranser per nät'!P$1,FALSE)
               +Andel_beroende_av_klimat*VLOOKUP($A74,Leveranser_per_nät,'Leveranser per nät'!P$1,FALSE)/VLOOKUP($B74,Korrigeringsfaktor_GD,'Korrigeringsfaktor GD'!P$1,FALSE),
"")</f>
        <v>95.524226804123714</v>
      </c>
      <c r="Q74" s="18">
        <f>IFERROR(
                  Andel_oberoende_av_klimat*VLOOKUP($A74,Leveranser_per_nät,'Leveranser per nät'!Q$1,FALSE)
               +Andel_beroende_av_klimat*VLOOKUP($A74,Leveranser_per_nät,'Leveranser per nät'!Q$1,FALSE)/VLOOKUP($B74,Korrigeringsfaktor_GD,'Korrigeringsfaktor GD'!Q$1,FALSE),
"")</f>
        <v>0</v>
      </c>
      <c r="R74" s="18">
        <f>IFERROR(
                  Andel_oberoende_av_klimat*VLOOKUP($A74,Leveranser_per_nät,'Leveranser per nät'!R$1,FALSE)
               +Andel_beroende_av_klimat*VLOOKUP($A74,Leveranser_per_nät,'Leveranser per nät'!R$1,FALSE)/VLOOKUP($B74,Korrigeringsfaktor_GD,'Korrigeringsfaktor GD'!R$1,FALSE),
"")</f>
        <v>0</v>
      </c>
      <c r="S74" s="18" t="str">
        <f>IFERROR(
                  Andel_oberoende_av_klimat*VLOOKUP($A74,Leveranser_per_nät,'Leveranser per nät'!S$1,FALSE)
               +Andel_beroende_av_klimat*VLOOKUP($A74,Leveranser_per_nät,'Leveranser per nät'!S$1,FALSE)/VLOOKUP($B74,Korrigeringsfaktor_GD,'Korrigeringsfaktor GD'!S$1,FALSE),
"")</f>
        <v/>
      </c>
      <c r="T74" s="18" t="str">
        <f>IFERROR(
                  Andel_oberoende_av_klimat*VLOOKUP($A74,Leveranser_per_nät,'Leveranser per nät'!T$1,FALSE)
               +Andel_beroende_av_klimat*VLOOKUP($A74,Leveranser_per_nät,'Leveranser per nät'!T$1,FALSE)/VLOOKUP($B74,Korrigeringsfaktor_GD,'Korrigeringsfaktor GD'!T$1,FALSE),
"")</f>
        <v/>
      </c>
      <c r="U74" s="18" t="str">
        <f>IFERROR(
                  Andel_oberoende_av_klimat*VLOOKUP($A74,Leveranser_per_nät,'Leveranser per nät'!U$1,FALSE)
               +Andel_beroende_av_klimat*VLOOKUP($A74,Leveranser_per_nät,'Leveranser per nät'!U$1,FALSE)/VLOOKUP($B74,Korrigeringsfaktor_GD,'Korrigeringsfaktor GD'!U$1,FALSE),
"")</f>
        <v/>
      </c>
      <c r="V74" s="18" t="str">
        <f>IFERROR(
                  Andel_oberoende_av_klimat*VLOOKUP($A74,Leveranser_per_nät,'Leveranser per nät'!V$1,FALSE)
               +Andel_beroende_av_klimat*VLOOKUP($A74,Leveranser_per_nät,'Leveranser per nät'!V$1,FALSE)/VLOOKUP($B74,Korrigeringsfaktor_GD,'Korrigeringsfaktor GD'!V$1,FALSE),
"")</f>
        <v/>
      </c>
      <c r="W74" s="18" t="str">
        <f>IFERROR(
                  Andel_oberoende_av_klimat*VLOOKUP($A74,Leveranser_per_nät,'Leveranser per nät'!W$1,FALSE)
               +Andel_beroende_av_klimat*VLOOKUP($A74,Leveranser_per_nät,'Leveranser per nät'!W$1,FALSE)/VLOOKUP($B74,Korrigeringsfaktor_GD,'Korrigeringsfaktor GD'!W$1,FALSE),
"")</f>
        <v/>
      </c>
      <c r="X74" s="18" t="str">
        <f>IFERROR(
                  Andel_oberoende_av_klimat*VLOOKUP($A74,Leveranser_per_nät,'Leveranser per nät'!X$1,FALSE)
               +Andel_beroende_av_klimat*VLOOKUP($A74,Leveranser_per_nät,'Leveranser per nät'!X$1,FALSE)/VLOOKUP($B74,Korrigeringsfaktor_GD,'Korrigeringsfaktor GD'!X$1,FALSE),
"")</f>
        <v/>
      </c>
      <c r="Y74" s="18" t="str">
        <f>IFERROR(
                  Andel_oberoende_av_klimat*VLOOKUP($A74,Leveranser_per_nät,'Leveranser per nät'!Y$1,FALSE)
               +Andel_beroende_av_klimat*VLOOKUP($A74,Leveranser_per_nät,'Leveranser per nät'!Y$1,FALSE)/VLOOKUP($B74,Korrigeringsfaktor_GD,'Korrigeringsfaktor GD'!Y$1,FALSE),
"")</f>
        <v/>
      </c>
      <c r="Z74" s="18">
        <f>IFERROR(
                  Andel_oberoende_av_klimat*VLOOKUP($A74,Leveranser_per_nät,'Leveranser per nät'!Z$1,FALSE)
               +Andel_beroende_av_klimat*VLOOKUP($A74,Leveranser_per_nät,'Leveranser per nät'!Z$1,FALSE)/VLOOKUP($B74,Korrigeringsfaktor_GD,'Korrigeringsfaktor GD'!Z$1,FALSE),
"")</f>
        <v>0</v>
      </c>
      <c r="AA74" s="18" t="str">
        <f>IFERROR(
                  Andel_oberoende_av_klimat*VLOOKUP($A74,Leveranser_per_nät,'Leveranser per nät'!AA$1,FALSE)
               +Andel_beroende_av_klimat*VLOOKUP($A74,Leveranser_per_nät,'Leveranser per nät'!AA$1,FALSE)/VLOOKUP($B74,Korrigeringsfaktor_GD,'Korrigeringsfaktor GD'!AA$1,FALSE),
"")</f>
        <v/>
      </c>
      <c r="AB74" s="18">
        <f>IFERROR(
                  Andel_oberoende_av_klimat*VLOOKUP($A74,Leveranser_per_nät,'Leveranser per nät'!AB$1,FALSE)
               +Andel_beroende_av_klimat*VLOOKUP($A74,Leveranser_per_nät,'Leveranser per nät'!AB$1,FALSE)/VLOOKUP($B74,Korrigeringsfaktor_GD,'Korrigeringsfaktor GD'!AB$1,FALSE),
"")</f>
        <v>0</v>
      </c>
      <c r="AC74" s="18">
        <f>IFERROR(
                  Andel_oberoende_av_klimat*VLOOKUP($A74,Leveranser_per_nät,'Leveranser per nät'!AC$1,FALSE)
               +Andel_beroende_av_klimat*VLOOKUP($A74,Leveranser_per_nät,'Leveranser per nät'!AC$1,FALSE)/VLOOKUP($B74,Korrigeringsfaktor_GD,'Korrigeringsfaktor GD'!AC$1,FALSE),
"")</f>
        <v>0</v>
      </c>
      <c r="AD74" t="e">
        <v>#N/A</v>
      </c>
    </row>
    <row r="75" spans="1:30" x14ac:dyDescent="0.25">
      <c r="A75" t="s">
        <v>787</v>
      </c>
      <c r="B75" t="s">
        <v>594</v>
      </c>
      <c r="C75" s="18"/>
      <c r="D75" s="18"/>
      <c r="E75" s="18"/>
      <c r="F75" s="18"/>
      <c r="G75" s="18"/>
      <c r="H75" s="18"/>
      <c r="I75" s="18"/>
      <c r="J75" s="18"/>
      <c r="K75" s="18"/>
      <c r="L75" s="18"/>
      <c r="M75" s="18"/>
      <c r="N75" s="18"/>
      <c r="O75" s="18"/>
      <c r="P75" s="18"/>
      <c r="Q75" s="18">
        <f>IFERROR(
                  Andel_oberoende_av_klimat*VLOOKUP($A75,Leveranser_per_nät,'Leveranser per nät'!Q$1,FALSE)
               +Andel_beroende_av_klimat*VLOOKUP($A75,Leveranser_per_nät,'Leveranser per nät'!Q$1,FALSE)/VLOOKUP($B75,Korrigeringsfaktor_GD,'Korrigeringsfaktor GD'!Q$1,FALSE),
"")</f>
        <v>875.78468965517231</v>
      </c>
      <c r="R75" s="18">
        <f>IFERROR(
                  Andel_oberoende_av_klimat*VLOOKUP($A75,Leveranser_per_nät,'Leveranser per nät'!R$1,FALSE)
               +Andel_beroende_av_klimat*VLOOKUP($A75,Leveranser_per_nät,'Leveranser per nät'!R$1,FALSE)/VLOOKUP($B75,Korrigeringsfaktor_GD,'Korrigeringsfaktor GD'!R$1,FALSE),
"")</f>
        <v>880.79736842105262</v>
      </c>
      <c r="S75" s="18">
        <f>IFERROR(
                  Andel_oberoende_av_klimat*VLOOKUP($A75,Leveranser_per_nät,'Leveranser per nät'!S$1,FALSE)
               +Andel_beroende_av_klimat*VLOOKUP($A75,Leveranser_per_nät,'Leveranser per nät'!S$1,FALSE)/VLOOKUP($B75,Korrigeringsfaktor_GD,'Korrigeringsfaktor GD'!S$1,FALSE),
"")</f>
        <v>894.27878787878785</v>
      </c>
      <c r="T75" s="18">
        <f>IFERROR(
                  Andel_oberoende_av_klimat*VLOOKUP($A75,Leveranser_per_nät,'Leveranser per nät'!T$1,FALSE)
               +Andel_beroende_av_klimat*VLOOKUP($A75,Leveranser_per_nät,'Leveranser per nät'!T$1,FALSE)/VLOOKUP($B75,Korrigeringsfaktor_GD,'Korrigeringsfaktor GD'!T$1,FALSE),
"")</f>
        <v>843.92525252525252</v>
      </c>
      <c r="U75" s="18">
        <f>IFERROR(
                  Andel_oberoende_av_klimat*VLOOKUP($A75,Leveranser_per_nät,'Leveranser per nät'!U$1,FALSE)
               +Andel_beroende_av_klimat*VLOOKUP($A75,Leveranser_per_nät,'Leveranser per nät'!U$1,FALSE)/VLOOKUP($B75,Korrigeringsfaktor_GD,'Korrigeringsfaktor GD'!U$1,FALSE),
"")</f>
        <v>909.08292682926822</v>
      </c>
      <c r="V75" s="18">
        <f>IFERROR(
                  Andel_oberoende_av_klimat*VLOOKUP($A75,Leveranser_per_nät,'Leveranser per nät'!V$1,FALSE)
               +Andel_beroende_av_klimat*VLOOKUP($A75,Leveranser_per_nät,'Leveranser per nät'!V$1,FALSE)/VLOOKUP($B75,Korrigeringsfaktor_GD,'Korrigeringsfaktor GD'!V$1,FALSE),
"")</f>
        <v>1241.73</v>
      </c>
      <c r="W75" s="18">
        <f>IFERROR(
                  Andel_oberoende_av_klimat*VLOOKUP($A75,Leveranser_per_nät,'Leveranser per nät'!W$1,FALSE)
               +Andel_beroende_av_klimat*VLOOKUP($A75,Leveranser_per_nät,'Leveranser per nät'!W$1,FALSE)/VLOOKUP($B75,Korrigeringsfaktor_GD,'Korrigeringsfaktor GD'!W$1,FALSE),
"")</f>
        <v>1246.3327868852459</v>
      </c>
      <c r="X75" s="18">
        <f>IFERROR(
                  Andel_oberoende_av_klimat*VLOOKUP($A75,Leveranser_per_nät,'Leveranser per nät'!X$1,FALSE)
               +Andel_beroende_av_klimat*VLOOKUP($A75,Leveranser_per_nät,'Leveranser per nät'!X$1,FALSE)/VLOOKUP($B75,Korrigeringsfaktor_GD,'Korrigeringsfaktor GD'!X$1,FALSE),
"")</f>
        <v>1245.9461538461537</v>
      </c>
      <c r="Y75" s="18">
        <f>IFERROR(
                  Andel_oberoende_av_klimat*VLOOKUP($A75,Leveranser_per_nät,'Leveranser per nät'!Y$1,FALSE)
               +Andel_beroende_av_klimat*VLOOKUP($A75,Leveranser_per_nät,'Leveranser per nät'!Y$1,FALSE)/VLOOKUP($B75,Korrigeringsfaktor_GD,'Korrigeringsfaktor GD'!Y$1,FALSE),
"")</f>
        <v>906.7944866920152</v>
      </c>
      <c r="Z75" s="18">
        <f>IFERROR(
                  Andel_oberoende_av_klimat*VLOOKUP($A75,Leveranser_per_nät,'Leveranser per nät'!Z$1,FALSE)
               +Andel_beroende_av_klimat*VLOOKUP($A75,Leveranser_per_nät,'Leveranser per nät'!Z$1,FALSE)/VLOOKUP($B75,Korrigeringsfaktor_GD,'Korrigeringsfaktor GD'!Z$1,FALSE),
"")</f>
        <v>826.39386281588452</v>
      </c>
      <c r="AA75" s="18">
        <f>IFERROR(
                  Andel_oberoende_av_klimat*VLOOKUP($A75,Leveranser_per_nät,'Leveranser per nät'!AA$1,FALSE)
               +Andel_beroende_av_klimat*VLOOKUP($A75,Leveranser_per_nät,'Leveranser per nät'!AA$1,FALSE)/VLOOKUP($B75,Korrigeringsfaktor_GD,'Korrigeringsfaktor GD'!AA$1,FALSE),
"")</f>
        <v>891.37966055749871</v>
      </c>
      <c r="AB75" s="18">
        <f>IFERROR(
                  Andel_oberoende_av_klimat*VLOOKUP($A75,Leveranser_per_nät,'Leveranser per nät'!AB$1,FALSE)
               +Andel_beroende_av_klimat*VLOOKUP($A75,Leveranser_per_nät,'Leveranser per nät'!AB$1,FALSE)/VLOOKUP($B75,Korrigeringsfaktor_GD,'Korrigeringsfaktor GD'!AB$1,FALSE),
"")</f>
        <v>872.80338972648428</v>
      </c>
      <c r="AC75" s="18">
        <f>IFERROR(
                  Andel_oberoende_av_klimat*VLOOKUP($A75,Leveranser_per_nät,'Leveranser per nät'!AC$1,FALSE)
               +Andel_beroende_av_klimat*VLOOKUP($A75,Leveranser_per_nät,'Leveranser per nät'!AC$1,FALSE)/VLOOKUP($B75,Korrigeringsfaktor_GD,'Korrigeringsfaktor GD'!AC$1,FALSE),
"")</f>
        <v>873.43626964867792</v>
      </c>
      <c r="AD75" t="e">
        <v>#N/A</v>
      </c>
    </row>
    <row r="76" spans="1:30" x14ac:dyDescent="0.25">
      <c r="A76" t="s">
        <v>872</v>
      </c>
      <c r="B76" t="s">
        <v>872</v>
      </c>
      <c r="C76" s="18"/>
      <c r="D76" s="18"/>
      <c r="E76" s="18"/>
      <c r="F76" s="18"/>
      <c r="G76" s="18"/>
      <c r="H76" s="18"/>
      <c r="I76" s="18"/>
      <c r="J76" s="18"/>
      <c r="K76" s="18"/>
      <c r="L76" s="18"/>
      <c r="M76" s="18"/>
      <c r="N76" s="18"/>
      <c r="O76" s="18"/>
      <c r="P76" s="18"/>
      <c r="Q76" s="18"/>
      <c r="R76" s="18"/>
      <c r="S76" s="18" t="str">
        <f>IFERROR(
                  Andel_oberoende_av_klimat*VLOOKUP($A76,Leveranser_per_nät,'Leveranser per nät'!S$1,FALSE)
               +Andel_beroende_av_klimat*VLOOKUP($A76,Leveranser_per_nät,'Leveranser per nät'!S$1,FALSE)/VLOOKUP("Herrljunga",Korrigeringsfaktor_GD,'Korrigeringsfaktor GD'!S$1,FALSE),
"")</f>
        <v/>
      </c>
      <c r="T76" s="18" t="str">
        <f>IFERROR(
                  Andel_oberoende_av_klimat*VLOOKUP($A76,Leveranser_per_nät,'Leveranser per nät'!T$1,FALSE)
               +Andel_beroende_av_klimat*VLOOKUP($A76,Leveranser_per_nät,'Leveranser per nät'!T$1,FALSE)/VLOOKUP("Herrljunga",Korrigeringsfaktor_GD,'Korrigeringsfaktor GD'!T$1,FALSE),
"")</f>
        <v/>
      </c>
      <c r="U76" s="18" t="str">
        <f>IFERROR(
                  Andel_oberoende_av_klimat*VLOOKUP($A76,Leveranser_per_nät,'Leveranser per nät'!U$1,FALSE)
               +Andel_beroende_av_klimat*VLOOKUP($A76,Leveranser_per_nät,'Leveranser per nät'!U$1,FALSE)/VLOOKUP("Herrljunga",Korrigeringsfaktor_GD,'Korrigeringsfaktor GD'!U$1,FALSE),
"")</f>
        <v/>
      </c>
      <c r="V76" s="18">
        <f>IFERROR(
                  Andel_oberoende_av_klimat*VLOOKUP($A76,Leveranser_per_nät,'Leveranser per nät'!V$1,FALSE)
               +Andel_beroende_av_klimat*VLOOKUP($A76,Leveranser_per_nät,'Leveranser per nät'!V$1,FALSE)/VLOOKUP("Herrljunga",Korrigeringsfaktor_GD,'Korrigeringsfaktor GD'!V$1,FALSE),
"")</f>
        <v>7.2211111111111101</v>
      </c>
      <c r="W76" s="18">
        <f>IFERROR(
                  Andel_oberoende_av_klimat*VLOOKUP($A76,Leveranser_per_nät,'Leveranser per nät'!W$1,FALSE)
               +Andel_beroende_av_klimat*VLOOKUP($A76,Leveranser_per_nät,'Leveranser per nät'!W$1,FALSE)/VLOOKUP("Herrljunga",Korrigeringsfaktor_GD,'Korrigeringsfaktor GD'!W$1,FALSE),
"")</f>
        <v>7.88</v>
      </c>
      <c r="X76" s="18">
        <f>IFERROR(
                  Andel_oberoende_av_klimat*VLOOKUP($A76,Leveranser_per_nät,'Leveranser per nät'!X$1,FALSE)
               +Andel_beroende_av_klimat*VLOOKUP($A76,Leveranser_per_nät,'Leveranser per nät'!X$1,FALSE)/VLOOKUP("Herrljunga",Korrigeringsfaktor_GD,'Korrigeringsfaktor GD'!X$1,FALSE),
"")</f>
        <v>8.0440425531914901</v>
      </c>
      <c r="Y76" s="18">
        <f>IFERROR(
                  Andel_oberoende_av_klimat*VLOOKUP($A76,Leveranser_per_nät,'Leveranser per nät'!Y$1,FALSE)
               +Andel_beroende_av_klimat*VLOOKUP($A76,Leveranser_per_nät,'Leveranser per nät'!Y$1,FALSE)/VLOOKUP($B76,Korrigeringsfaktor_GD,'Korrigeringsfaktor GD'!Y$1,FALSE),
"")</f>
        <v>8.34</v>
      </c>
      <c r="Z76" s="18">
        <f>IFERROR(
                  Andel_oberoende_av_klimat*VLOOKUP($A76,Leveranser_per_nät,'Leveranser per nät'!Z$1,FALSE)
               +Andel_beroende_av_klimat*VLOOKUP($A76,Leveranser_per_nät,'Leveranser per nät'!Z$1,FALSE)/VLOOKUP($B76,Korrigeringsfaktor_GD,'Korrigeringsfaktor GD'!Z$1,FALSE),
"")</f>
        <v>8.8670697674418602</v>
      </c>
      <c r="AA76" s="18">
        <f>IFERROR(
                  Andel_oberoende_av_klimat*VLOOKUP($A76,Leveranser_per_nät,'Leveranser per nät'!AA$1,FALSE)
               +Andel_beroende_av_klimat*VLOOKUP($A76,Leveranser_per_nät,'Leveranser per nät'!AA$1,FALSE)/VLOOKUP($B76,Korrigeringsfaktor_GD,'Korrigeringsfaktor GD'!AA$1,FALSE),
"")</f>
        <v>9.0444086021505363</v>
      </c>
      <c r="AB76" s="18">
        <f>IFERROR(
                  Andel_oberoende_av_klimat*VLOOKUP($A76,Leveranser_per_nät,'Leveranser per nät'!AB$1,FALSE)
               +Andel_beroende_av_klimat*VLOOKUP($A76,Leveranser_per_nät,'Leveranser per nät'!AB$1,FALSE)/VLOOKUP($B76,Korrigeringsfaktor_GD,'Korrigeringsfaktor GD'!AB$1,FALSE),
"")</f>
        <v>8.8224489795918366</v>
      </c>
      <c r="AC76" s="18">
        <f>IFERROR(
                  Andel_oberoende_av_klimat*VLOOKUP($A76,Leveranser_per_nät,'Leveranser per nät'!AC$1,FALSE)
               +Andel_beroende_av_klimat*VLOOKUP($A76,Leveranser_per_nät,'Leveranser per nät'!AC$1,FALSE)/VLOOKUP($B76,Korrigeringsfaktor_GD,'Korrigeringsfaktor GD'!AC$1,FALSE),
"")</f>
        <v>8.6913797468354428</v>
      </c>
      <c r="AD76" t="e">
        <v>#N/A</v>
      </c>
    </row>
    <row r="77" spans="1:30" x14ac:dyDescent="0.25">
      <c r="A77" t="s">
        <v>357</v>
      </c>
      <c r="B77" t="s">
        <v>357</v>
      </c>
      <c r="C77" s="18">
        <f>IFERROR(
                  Andel_oberoende_av_klimat*VLOOKUP($A77,Leveranser_per_nät,'Leveranser per nät'!C$1,FALSE)
               +Andel_beroende_av_klimat*VLOOKUP($A77,Leveranser_per_nät,'Leveranser per nät'!C$1,FALSE)/VLOOKUP($B77,Korrigeringsfaktor_GD,'Korrigeringsfaktor GD'!C$1,FALSE),
"")</f>
        <v>96.104587155963301</v>
      </c>
      <c r="D77" s="18">
        <f>IFERROR(
                  Andel_oberoende_av_klimat*VLOOKUP($A77,Leveranser_per_nät,'Leveranser per nät'!D$1,FALSE)
               +Andel_beroende_av_klimat*VLOOKUP($A77,Leveranser_per_nät,'Leveranser per nät'!D$1,FALSE)/VLOOKUP($B77,Korrigeringsfaktor_GD,'Korrigeringsfaktor GD'!D$1,FALSE),
"")</f>
        <v>92.944041666666678</v>
      </c>
      <c r="E77" s="18">
        <f>IFERROR(
                  Andel_oberoende_av_klimat*VLOOKUP($A77,Leveranser_per_nät,'Leveranser per nät'!E$1,FALSE)
               +Andel_beroende_av_klimat*VLOOKUP($A77,Leveranser_per_nät,'Leveranser per nät'!E$1,FALSE)/VLOOKUP($B77,Korrigeringsfaktor_GD,'Korrigeringsfaktor GD'!E$1,FALSE),
"")</f>
        <v>99.306930693069305</v>
      </c>
      <c r="F77" s="18">
        <f>IFERROR(
                  Andel_oberoende_av_klimat*VLOOKUP($A77,Leveranser_per_nät,'Leveranser per nät'!F$1,FALSE)
               +Andel_beroende_av_klimat*VLOOKUP($A77,Leveranser_per_nät,'Leveranser per nät'!F$1,FALSE)/VLOOKUP($B77,Korrigeringsfaktor_GD,'Korrigeringsfaktor GD'!F$1,FALSE),
"")</f>
        <v>99.829166666666666</v>
      </c>
      <c r="G77" s="18">
        <f>IFERROR(
                  Andel_oberoende_av_klimat*VLOOKUP($A77,Leveranser_per_nät,'Leveranser per nät'!G$1,FALSE)
               +Andel_beroende_av_klimat*VLOOKUP($A77,Leveranser_per_nät,'Leveranser per nät'!G$1,FALSE)/VLOOKUP($B77,Korrigeringsfaktor_GD,'Korrigeringsfaktor GD'!G$1,FALSE),
"")</f>
        <v>107.14597701149425</v>
      </c>
      <c r="H77" s="18">
        <f>IFERROR(
                  Andel_oberoende_av_klimat*VLOOKUP($A77,Leveranser_per_nät,'Leveranser per nät'!H$1,FALSE)
               +Andel_beroende_av_klimat*VLOOKUP($A77,Leveranser_per_nät,'Leveranser per nät'!H$1,FALSE)/VLOOKUP($B77,Korrigeringsfaktor_GD,'Korrigeringsfaktor GD'!H$1,FALSE),
"")</f>
        <v>109.19499999999999</v>
      </c>
      <c r="I77" s="18">
        <f>IFERROR(
                  Andel_oberoende_av_klimat*VLOOKUP($A77,Leveranser_per_nät,'Leveranser per nät'!I$1,FALSE)
               +Andel_beroende_av_klimat*VLOOKUP($A77,Leveranser_per_nät,'Leveranser per nät'!I$1,FALSE)/VLOOKUP($B77,Korrigeringsfaktor_GD,'Korrigeringsfaktor GD'!I$1,FALSE),
"")</f>
        <v>102.44285714285715</v>
      </c>
      <c r="J77" s="18">
        <f>IFERROR(
                  Andel_oberoende_av_klimat*VLOOKUP($A77,Leveranser_per_nät,'Leveranser per nät'!J$1,FALSE)
               +Andel_beroende_av_klimat*VLOOKUP($A77,Leveranser_per_nät,'Leveranser per nät'!J$1,FALSE)/VLOOKUP($B77,Korrigeringsfaktor_GD,'Korrigeringsfaktor GD'!J$1,FALSE),
"")</f>
        <v>107.27319587628867</v>
      </c>
      <c r="K77" s="18">
        <f>IFERROR(
                  Andel_oberoende_av_klimat*VLOOKUP($A77,Leveranser_per_nät,'Leveranser per nät'!K$1,FALSE)
               +Andel_beroende_av_klimat*VLOOKUP($A77,Leveranser_per_nät,'Leveranser per nät'!K$1,FALSE)/VLOOKUP($B77,Korrigeringsfaktor_GD,'Korrigeringsfaktor GD'!K$1,FALSE),
"")</f>
        <v>101.09528144329897</v>
      </c>
      <c r="L77" s="18">
        <f>IFERROR(
                  Andel_oberoende_av_klimat*VLOOKUP($A77,Leveranser_per_nät,'Leveranser per nät'!L$1,FALSE)
               +Andel_beroende_av_klimat*VLOOKUP($A77,Leveranser_per_nät,'Leveranser per nät'!L$1,FALSE)/VLOOKUP($B77,Korrigeringsfaktor_GD,'Korrigeringsfaktor GD'!L$1,FALSE),
"")</f>
        <v>94.301911827956985</v>
      </c>
      <c r="M77" s="18">
        <f>IFERROR(
                  Andel_oberoende_av_klimat*VLOOKUP($A77,Leveranser_per_nät,'Leveranser per nät'!M$1,FALSE)
               +Andel_beroende_av_klimat*VLOOKUP($A77,Leveranser_per_nät,'Leveranser per nät'!M$1,FALSE)/VLOOKUP($B77,Korrigeringsfaktor_GD,'Korrigeringsfaktor GD'!M$1,FALSE),
"")</f>
        <v>100.23838260869564</v>
      </c>
      <c r="N77" s="18">
        <f>IFERROR(
                  Andel_oberoende_av_klimat*VLOOKUP($A77,Leveranser_per_nät,'Leveranser per nät'!N$1,FALSE)
               +Andel_beroende_av_klimat*VLOOKUP($A77,Leveranser_per_nät,'Leveranser per nät'!N$1,FALSE)/VLOOKUP($B77,Korrigeringsfaktor_GD,'Korrigeringsfaktor GD'!N$1,FALSE),
"")</f>
        <v>94.655615053763441</v>
      </c>
      <c r="O77" s="18">
        <f>IFERROR(
                  Andel_oberoende_av_klimat*VLOOKUP($A77,Leveranser_per_nät,'Leveranser per nät'!O$1,FALSE)
               +Andel_beroende_av_klimat*VLOOKUP($A77,Leveranser_per_nät,'Leveranser per nät'!O$1,FALSE)/VLOOKUP($B77,Korrigeringsfaktor_GD,'Korrigeringsfaktor GD'!O$1,FALSE),
"")</f>
        <v>96.245555555555555</v>
      </c>
      <c r="P77" s="18">
        <f>IFERROR(
                  Andel_oberoende_av_klimat*VLOOKUP($A77,Leveranser_per_nät,'Leveranser per nät'!P$1,FALSE)
               +Andel_beroende_av_klimat*VLOOKUP($A77,Leveranser_per_nät,'Leveranser per nät'!P$1,FALSE)/VLOOKUP($B77,Korrigeringsfaktor_GD,'Korrigeringsfaktor GD'!P$1,FALSE),
"")</f>
        <v>97.809728282828274</v>
      </c>
      <c r="Q77" s="18">
        <f>IFERROR(
                  Andel_oberoende_av_klimat*VLOOKUP($A77,Leveranser_per_nät,'Leveranser per nät'!Q$1,FALSE)
               +Andel_beroende_av_klimat*VLOOKUP($A77,Leveranser_per_nät,'Leveranser per nät'!Q$1,FALSE)/VLOOKUP($B77,Korrigeringsfaktor_GD,'Korrigeringsfaktor GD'!Q$1,FALSE),
"")</f>
        <v>102.15920000000001</v>
      </c>
      <c r="R77" s="18">
        <f>IFERROR(
                  Andel_oberoende_av_klimat*VLOOKUP($A77,Leveranser_per_nät,'Leveranser per nät'!R$1,FALSE)
               +Andel_beroende_av_klimat*VLOOKUP($A77,Leveranser_per_nät,'Leveranser per nät'!R$1,FALSE)/VLOOKUP($B77,Korrigeringsfaktor_GD,'Korrigeringsfaktor GD'!R$1,FALSE),
"")</f>
        <v>99.01328888888888</v>
      </c>
      <c r="S77" s="18">
        <f>IFERROR(
                  Andel_oberoende_av_klimat*VLOOKUP($A77,Leveranser_per_nät,'Leveranser per nät'!S$1,FALSE)
               +Andel_beroende_av_klimat*VLOOKUP($A77,Leveranser_per_nät,'Leveranser per nät'!S$1,FALSE)/VLOOKUP($B77,Korrigeringsfaktor_GD,'Korrigeringsfaktor GD'!S$1,FALSE),
"")</f>
        <v>101</v>
      </c>
      <c r="T77" s="18">
        <f>IFERROR(
                  Andel_oberoende_av_klimat*VLOOKUP($A77,Leveranser_per_nät,'Leveranser per nät'!T$1,FALSE)
               +Andel_beroende_av_klimat*VLOOKUP($A77,Leveranser_per_nät,'Leveranser per nät'!T$1,FALSE)/VLOOKUP($B77,Korrigeringsfaktor_GD,'Korrigeringsfaktor GD'!T$1,FALSE),
"")</f>
        <v>102.06673684210526</v>
      </c>
      <c r="U77" s="18">
        <f>IFERROR(
                  Andel_oberoende_av_klimat*VLOOKUP($A77,Leveranser_per_nät,'Leveranser per nät'!U$1,FALSE)
               +Andel_beroende_av_klimat*VLOOKUP($A77,Leveranser_per_nät,'Leveranser per nät'!U$1,FALSE)/VLOOKUP($B77,Korrigeringsfaktor_GD,'Korrigeringsfaktor GD'!U$1,FALSE),
"")</f>
        <v>97.265133333333324</v>
      </c>
      <c r="V77" s="18">
        <f>IFERROR(
                  Andel_oberoende_av_klimat*VLOOKUP($A77,Leveranser_per_nät,'Leveranser per nät'!V$1,FALSE)
               +Andel_beroende_av_klimat*VLOOKUP($A77,Leveranser_per_nät,'Leveranser per nät'!V$1,FALSE)/VLOOKUP($B77,Korrigeringsfaktor_GD,'Korrigeringsfaktor GD'!V$1,FALSE),
"")</f>
        <v>96.293008695652176</v>
      </c>
      <c r="W77" s="18">
        <f>IFERROR(
                  Andel_oberoende_av_klimat*VLOOKUP($A77,Leveranser_per_nät,'Leveranser per nät'!W$1,FALSE)
               +Andel_beroende_av_klimat*VLOOKUP($A77,Leveranser_per_nät,'Leveranser per nät'!W$1,FALSE)/VLOOKUP($B77,Korrigeringsfaktor_GD,'Korrigeringsfaktor GD'!W$1,FALSE),
"")</f>
        <v>96.607175257731967</v>
      </c>
      <c r="X77" s="18">
        <f>IFERROR(
                  Andel_oberoende_av_klimat*VLOOKUP($A77,Leveranser_per_nät,'Leveranser per nät'!X$1,FALSE)
               +Andel_beroende_av_klimat*VLOOKUP($A77,Leveranser_per_nät,'Leveranser per nät'!X$1,FALSE)/VLOOKUP($B77,Korrigeringsfaktor_GD,'Korrigeringsfaktor GD'!X$1,FALSE),
"")</f>
        <v>95.889977319587629</v>
      </c>
      <c r="Y77" s="18">
        <f>IFERROR(
                  Andel_oberoende_av_klimat*VLOOKUP($A77,Leveranser_per_nät,'Leveranser per nät'!Y$1,FALSE)
               +Andel_beroende_av_klimat*VLOOKUP($A77,Leveranser_per_nät,'Leveranser per nät'!Y$1,FALSE)/VLOOKUP($B77,Korrigeringsfaktor_GD,'Korrigeringsfaktor GD'!Y$1,FALSE),
"")</f>
        <v>97.735841666666659</v>
      </c>
      <c r="Z77" s="18">
        <f>IFERROR(
                  Andel_oberoende_av_klimat*VLOOKUP($A77,Leveranser_per_nät,'Leveranser per nät'!Z$1,FALSE)
               +Andel_beroende_av_klimat*VLOOKUP($A77,Leveranser_per_nät,'Leveranser per nät'!Z$1,FALSE)/VLOOKUP($B77,Korrigeringsfaktor_GD,'Korrigeringsfaktor GD'!Z$1,FALSE),
"")</f>
        <v>99.256915053763436</v>
      </c>
      <c r="AA77" s="18">
        <f>IFERROR(
                  Andel_oberoende_av_klimat*VLOOKUP($A77,Leveranser_per_nät,'Leveranser per nät'!AA$1,FALSE)
               +Andel_beroende_av_klimat*VLOOKUP($A77,Leveranser_per_nät,'Leveranser per nät'!AA$1,FALSE)/VLOOKUP($B77,Korrigeringsfaktor_GD,'Korrigeringsfaktor GD'!AA$1,FALSE),
"")</f>
        <v>91.73917120402389</v>
      </c>
      <c r="AB77" s="18">
        <f>IFERROR(
                  Andel_oberoende_av_klimat*VLOOKUP($A77,Leveranser_per_nät,'Leveranser per nät'!AB$1,FALSE)
               +Andel_beroende_av_klimat*VLOOKUP($A77,Leveranser_per_nät,'Leveranser per nät'!AB$1,FALSE)/VLOOKUP($B77,Korrigeringsfaktor_GD,'Korrigeringsfaktor GD'!AB$1,FALSE),
"")</f>
        <v>95.463624623115578</v>
      </c>
      <c r="AC77" s="18">
        <f>IFERROR(
                  Andel_oberoende_av_klimat*VLOOKUP($A77,Leveranser_per_nät,'Leveranser per nät'!AC$1,FALSE)
               +Andel_beroende_av_klimat*VLOOKUP($A77,Leveranser_per_nät,'Leveranser per nät'!AC$1,FALSE)/VLOOKUP($B77,Korrigeringsfaktor_GD,'Korrigeringsfaktor GD'!AC$1,FALSE),
"")</f>
        <v>91.585185185185182</v>
      </c>
      <c r="AD77">
        <v>88</v>
      </c>
    </row>
    <row r="78" spans="1:30" x14ac:dyDescent="0.25">
      <c r="A78" t="s">
        <v>108</v>
      </c>
      <c r="B78" t="s">
        <v>108</v>
      </c>
      <c r="C78" s="18">
        <f>IFERROR(
                  Andel_oberoende_av_klimat*VLOOKUP($A78,Leveranser_per_nät,'Leveranser per nät'!C$1,FALSE)
               +Andel_beroende_av_klimat*VLOOKUP($A78,Leveranser_per_nät,'Leveranser per nät'!C$1,FALSE)/VLOOKUP($B78,Korrigeringsfaktor_GD,'Korrigeringsfaktor GD'!C$1,FALSE),
"")</f>
        <v>34.939823008849558</v>
      </c>
      <c r="D78" s="18">
        <f>IFERROR(
                  Andel_oberoende_av_klimat*VLOOKUP($A78,Leveranser_per_nät,'Leveranser per nät'!D$1,FALSE)
               +Andel_beroende_av_klimat*VLOOKUP($A78,Leveranser_per_nät,'Leveranser per nät'!D$1,FALSE)/VLOOKUP($B78,Korrigeringsfaktor_GD,'Korrigeringsfaktor GD'!D$1,FALSE),
"")</f>
        <v>35.752450980392162</v>
      </c>
      <c r="E78" s="18">
        <f>IFERROR(
                  Andel_oberoende_av_klimat*VLOOKUP($A78,Leveranser_per_nät,'Leveranser per nät'!E$1,FALSE)
               +Andel_beroende_av_klimat*VLOOKUP($A78,Leveranser_per_nät,'Leveranser per nät'!E$1,FALSE)/VLOOKUP($B78,Korrigeringsfaktor_GD,'Korrigeringsfaktor GD'!E$1,FALSE),
"")</f>
        <v>34.757425742574256</v>
      </c>
      <c r="F78" s="18">
        <f>IFERROR(
                  Andel_oberoende_av_klimat*VLOOKUP($A78,Leveranser_per_nät,'Leveranser per nät'!F$1,FALSE)
               +Andel_beroende_av_klimat*VLOOKUP($A78,Leveranser_per_nät,'Leveranser per nät'!F$1,FALSE)/VLOOKUP($B78,Korrigeringsfaktor_GD,'Korrigeringsfaktor GD'!F$1,FALSE),
"")</f>
        <v>31.340425531914896</v>
      </c>
      <c r="G78" s="18">
        <f>IFERROR(
                  Andel_oberoende_av_klimat*VLOOKUP($A78,Leveranser_per_nät,'Leveranser per nät'!G$1,FALSE)
               +Andel_beroende_av_klimat*VLOOKUP($A78,Leveranser_per_nät,'Leveranser per nät'!G$1,FALSE)/VLOOKUP($B78,Korrigeringsfaktor_GD,'Korrigeringsfaktor GD'!G$1,FALSE),
"")</f>
        <v>33.418604651162795</v>
      </c>
      <c r="H78" s="18">
        <f>IFERROR(
                  Andel_oberoende_av_klimat*VLOOKUP($A78,Leveranser_per_nät,'Leveranser per nät'!H$1,FALSE)
               +Andel_beroende_av_klimat*VLOOKUP($A78,Leveranser_per_nät,'Leveranser per nät'!H$1,FALSE)/VLOOKUP($B78,Korrigeringsfaktor_GD,'Korrigeringsfaktor GD'!H$1,FALSE),
"")</f>
        <v>38</v>
      </c>
      <c r="I78" s="18">
        <f>IFERROR(
                  Andel_oberoende_av_klimat*VLOOKUP($A78,Leveranser_per_nät,'Leveranser per nät'!I$1,FALSE)
               +Andel_beroende_av_klimat*VLOOKUP($A78,Leveranser_per_nät,'Leveranser per nät'!I$1,FALSE)/VLOOKUP($B78,Korrigeringsfaktor_GD,'Korrigeringsfaktor GD'!I$1,FALSE),
"")</f>
        <v>40.742553191489364</v>
      </c>
      <c r="J78" s="18">
        <f>IFERROR(
                  Andel_oberoende_av_klimat*VLOOKUP($A78,Leveranser_per_nät,'Leveranser per nät'!J$1,FALSE)
               +Andel_beroende_av_klimat*VLOOKUP($A78,Leveranser_per_nät,'Leveranser per nät'!J$1,FALSE)/VLOOKUP($B78,Korrigeringsfaktor_GD,'Korrigeringsfaktor GD'!J$1,FALSE),
"")</f>
        <v>45.309118181818178</v>
      </c>
      <c r="K78" s="18">
        <f>IFERROR(
                  Andel_oberoende_av_klimat*VLOOKUP($A78,Leveranser_per_nät,'Leveranser per nät'!K$1,FALSE)
               +Andel_beroende_av_klimat*VLOOKUP($A78,Leveranser_per_nät,'Leveranser per nät'!K$1,FALSE)/VLOOKUP($B78,Korrigeringsfaktor_GD,'Korrigeringsfaktor GD'!K$1,FALSE),
"")</f>
        <v>44.754342857142859</v>
      </c>
      <c r="L78" s="18">
        <f>IFERROR(
                  Andel_oberoende_av_klimat*VLOOKUP($A78,Leveranser_per_nät,'Leveranser per nät'!L$1,FALSE)
               +Andel_beroende_av_klimat*VLOOKUP($A78,Leveranser_per_nät,'Leveranser per nät'!L$1,FALSE)/VLOOKUP($B78,Korrigeringsfaktor_GD,'Korrigeringsfaktor GD'!L$1,FALSE),
"")</f>
        <v>52.933129166666667</v>
      </c>
      <c r="M78" s="18">
        <f>IFERROR(
                  Andel_oberoende_av_klimat*VLOOKUP($A78,Leveranser_per_nät,'Leveranser per nät'!M$1,FALSE)
               +Andel_beroende_av_klimat*VLOOKUP($A78,Leveranser_per_nät,'Leveranser per nät'!M$1,FALSE)/VLOOKUP($B78,Korrigeringsfaktor_GD,'Korrigeringsfaktor GD'!M$1,FALSE),
"")</f>
        <v>58.666086956521724</v>
      </c>
      <c r="N78" s="18">
        <f>IFERROR(
                  Andel_oberoende_av_klimat*VLOOKUP($A78,Leveranser_per_nät,'Leveranser per nät'!N$1,FALSE)
               +Andel_beroende_av_klimat*VLOOKUP($A78,Leveranser_per_nät,'Leveranser per nät'!N$1,FALSE)/VLOOKUP($B78,Korrigeringsfaktor_GD,'Korrigeringsfaktor GD'!N$1,FALSE),
"")</f>
        <v>57.71730909090909</v>
      </c>
      <c r="O78" s="18">
        <f>IFERROR(
                  Andel_oberoende_av_klimat*VLOOKUP($A78,Leveranser_per_nät,'Leveranser per nät'!O$1,FALSE)
               +Andel_beroende_av_klimat*VLOOKUP($A78,Leveranser_per_nät,'Leveranser per nät'!O$1,FALSE)/VLOOKUP($B78,Korrigeringsfaktor_GD,'Korrigeringsfaktor GD'!O$1,FALSE),
"")</f>
        <v>60.721045454545447</v>
      </c>
      <c r="P78" s="18">
        <f>IFERROR(
                  Andel_oberoende_av_klimat*VLOOKUP($A78,Leveranser_per_nät,'Leveranser per nät'!P$1,FALSE)
               +Andel_beroende_av_klimat*VLOOKUP($A78,Leveranser_per_nät,'Leveranser per nät'!P$1,FALSE)/VLOOKUP($B78,Korrigeringsfaktor_GD,'Korrigeringsfaktor GD'!P$1,FALSE),
"")</f>
        <v>65.207999999999998</v>
      </c>
      <c r="Q78" s="18">
        <f>IFERROR(
                  Andel_oberoende_av_klimat*VLOOKUP($A78,Leveranser_per_nät,'Leveranser per nät'!Q$1,FALSE)
               +Andel_beroende_av_klimat*VLOOKUP($A78,Leveranser_per_nät,'Leveranser per nät'!Q$1,FALSE)/VLOOKUP($B78,Korrigeringsfaktor_GD,'Korrigeringsfaktor GD'!Q$1,FALSE),
"")</f>
        <v>69.20520598290598</v>
      </c>
      <c r="R78" s="18">
        <f>IFERROR(
                  Andel_oberoende_av_klimat*VLOOKUP($A78,Leveranser_per_nät,'Leveranser per nät'!R$1,FALSE)
               +Andel_beroende_av_klimat*VLOOKUP($A78,Leveranser_per_nät,'Leveranser per nät'!R$1,FALSE)/VLOOKUP($B78,Korrigeringsfaktor_GD,'Korrigeringsfaktor GD'!R$1,FALSE),
"")</f>
        <v>67.808660869565216</v>
      </c>
      <c r="S78" s="18">
        <f>IFERROR(
                  Andel_oberoende_av_klimat*VLOOKUP($A78,Leveranser_per_nät,'Leveranser per nät'!S$1,FALSE)
               +Andel_beroende_av_klimat*VLOOKUP($A78,Leveranser_per_nät,'Leveranser per nät'!S$1,FALSE)/VLOOKUP($B78,Korrigeringsfaktor_GD,'Korrigeringsfaktor GD'!S$1,FALSE),
"")</f>
        <v>65.633980582524273</v>
      </c>
      <c r="T78" s="18">
        <f>IFERROR(
                  Andel_oberoende_av_klimat*VLOOKUP($A78,Leveranser_per_nät,'Leveranser per nät'!T$1,FALSE)
               +Andel_beroende_av_klimat*VLOOKUP($A78,Leveranser_per_nät,'Leveranser per nät'!T$1,FALSE)/VLOOKUP($B78,Korrigeringsfaktor_GD,'Korrigeringsfaktor GD'!T$1,FALSE),
"")</f>
        <v>64.921820202020186</v>
      </c>
      <c r="U78" s="18">
        <f>IFERROR(
                  Andel_oberoende_av_klimat*VLOOKUP($A78,Leveranser_per_nät,'Leveranser per nät'!U$1,FALSE)
               +Andel_beroende_av_klimat*VLOOKUP($A78,Leveranser_per_nät,'Leveranser per nät'!U$1,FALSE)/VLOOKUP($B78,Korrigeringsfaktor_GD,'Korrigeringsfaktor GD'!U$1,FALSE),
"")</f>
        <v>63.607010843373494</v>
      </c>
      <c r="V78" s="18">
        <f>IFERROR(
                  Andel_oberoende_av_klimat*VLOOKUP($A78,Leveranser_per_nät,'Leveranser per nät'!V$1,FALSE)
               +Andel_beroende_av_klimat*VLOOKUP($A78,Leveranser_per_nät,'Leveranser per nät'!V$1,FALSE)/VLOOKUP($B78,Korrigeringsfaktor_GD,'Korrigeringsfaktor GD'!V$1,FALSE),
"")</f>
        <v>63.014717977528086</v>
      </c>
      <c r="W78" s="18">
        <f>IFERROR(
                  Andel_oberoende_av_klimat*VLOOKUP($A78,Leveranser_per_nät,'Leveranser per nät'!W$1,FALSE)
               +Andel_beroende_av_klimat*VLOOKUP($A78,Leveranser_per_nät,'Leveranser per nät'!W$1,FALSE)/VLOOKUP($B78,Korrigeringsfaktor_GD,'Korrigeringsfaktor GD'!W$1,FALSE),
"")</f>
        <v>64.972956521739135</v>
      </c>
      <c r="X78" s="18">
        <f>IFERROR(
                  Andel_oberoende_av_klimat*VLOOKUP($A78,Leveranser_per_nät,'Leveranser per nät'!X$1,FALSE)
               +Andel_beroende_av_klimat*VLOOKUP($A78,Leveranser_per_nät,'Leveranser per nät'!X$1,FALSE)/VLOOKUP($B78,Korrigeringsfaktor_GD,'Korrigeringsfaktor GD'!X$1,FALSE),
"")</f>
        <v>66.024666666666661</v>
      </c>
      <c r="Y78" s="18">
        <f>IFERROR(
                  Andel_oberoende_av_klimat*VLOOKUP($A78,Leveranser_per_nät,'Leveranser per nät'!Y$1,FALSE)
               +Andel_beroende_av_klimat*VLOOKUP($A78,Leveranser_per_nät,'Leveranser per nät'!Y$1,FALSE)/VLOOKUP($B78,Korrigeringsfaktor_GD,'Korrigeringsfaktor GD'!Y$1,FALSE),
"")</f>
        <v>70.241367816091952</v>
      </c>
      <c r="Z78" s="18">
        <f>IFERROR(
                  Andel_oberoende_av_klimat*VLOOKUP($A78,Leveranser_per_nät,'Leveranser per nät'!Z$1,FALSE)
               +Andel_beroende_av_klimat*VLOOKUP($A78,Leveranser_per_nät,'Leveranser per nät'!Z$1,FALSE)/VLOOKUP($B78,Korrigeringsfaktor_GD,'Korrigeringsfaktor GD'!Z$1,FALSE),
"")</f>
        <v>66.96570537634409</v>
      </c>
      <c r="AA78" s="18">
        <f>IFERROR(
                  Andel_oberoende_av_klimat*VLOOKUP($A78,Leveranser_per_nät,'Leveranser per nät'!AA$1,FALSE)
               +Andel_beroende_av_klimat*VLOOKUP($A78,Leveranser_per_nät,'Leveranser per nät'!AA$1,FALSE)/VLOOKUP($B78,Korrigeringsfaktor_GD,'Korrigeringsfaktor GD'!AA$1,FALSE),
"")</f>
        <v>71.457934312748989</v>
      </c>
      <c r="AB78" s="18">
        <f>IFERROR(
                  Andel_oberoende_av_klimat*VLOOKUP($A78,Leveranser_per_nät,'Leveranser per nät'!AB$1,FALSE)
               +Andel_beroende_av_klimat*VLOOKUP($A78,Leveranser_per_nät,'Leveranser per nät'!AB$1,FALSE)/VLOOKUP($B78,Korrigeringsfaktor_GD,'Korrigeringsfaktor GD'!AB$1,FALSE),
"")</f>
        <v>72.760429411764704</v>
      </c>
      <c r="AC78" s="18">
        <f>IFERROR(
                  Andel_oberoende_av_klimat*VLOOKUP($A78,Leveranser_per_nät,'Leveranser per nät'!AC$1,FALSE)
               +Andel_beroende_av_klimat*VLOOKUP($A78,Leveranser_per_nät,'Leveranser per nät'!AC$1,FALSE)/VLOOKUP($B78,Korrigeringsfaktor_GD,'Korrigeringsfaktor GD'!AC$1,FALSE),
"")</f>
        <v>73.851445945945954</v>
      </c>
      <c r="AD78">
        <v>69.885000000000005</v>
      </c>
    </row>
    <row r="79" spans="1:30" x14ac:dyDescent="0.25">
      <c r="A79" t="s">
        <v>106</v>
      </c>
      <c r="B79" t="s">
        <v>106</v>
      </c>
      <c r="C79" s="18">
        <f>IFERROR(
                  Andel_oberoende_av_klimat*VLOOKUP($A79,Leveranser_per_nät,'Leveranser per nät'!C$1,FALSE)
               +Andel_beroende_av_klimat*VLOOKUP($A79,Leveranser_per_nät,'Leveranser per nät'!C$1,FALSE)/VLOOKUP($B79,Korrigeringsfaktor_GD,'Korrigeringsfaktor GD'!C$1,FALSE),
"")</f>
        <v>46.531531531531527</v>
      </c>
      <c r="D79" s="18">
        <f>IFERROR(
                  Andel_oberoende_av_klimat*VLOOKUP($A79,Leveranser_per_nät,'Leveranser per nät'!D$1,FALSE)
               +Andel_beroende_av_klimat*VLOOKUP($A79,Leveranser_per_nät,'Leveranser per nät'!D$1,FALSE)/VLOOKUP($B79,Korrigeringsfaktor_GD,'Korrigeringsfaktor GD'!D$1,FALSE),
"")</f>
        <v>44.462171717171714</v>
      </c>
      <c r="E79" s="18">
        <f>IFERROR(
                  Andel_oberoende_av_klimat*VLOOKUP($A79,Leveranser_per_nät,'Leveranser per nät'!E$1,FALSE)
               +Andel_beroende_av_klimat*VLOOKUP($A79,Leveranser_per_nät,'Leveranser per nät'!E$1,FALSE)/VLOOKUP($B79,Korrigeringsfaktor_GD,'Korrigeringsfaktor GD'!E$1,FALSE),
"")</f>
        <v>46.698091089108914</v>
      </c>
      <c r="F79" s="18">
        <f>IFERROR(
                  Andel_oberoende_av_klimat*VLOOKUP($A79,Leveranser_per_nät,'Leveranser per nät'!F$1,FALSE)
               +Andel_beroende_av_klimat*VLOOKUP($A79,Leveranser_per_nät,'Leveranser per nät'!F$1,FALSE)/VLOOKUP($B79,Korrigeringsfaktor_GD,'Korrigeringsfaktor GD'!F$1,FALSE),
"")</f>
        <v>49.768421052631581</v>
      </c>
      <c r="G79" s="18">
        <f>IFERROR(
                  Andel_oberoende_av_klimat*VLOOKUP($A79,Leveranser_per_nät,'Leveranser per nät'!G$1,FALSE)
               +Andel_beroende_av_klimat*VLOOKUP($A79,Leveranser_per_nät,'Leveranser per nät'!G$1,FALSE)/VLOOKUP($B79,Korrigeringsfaktor_GD,'Korrigeringsfaktor GD'!G$1,FALSE),
"")</f>
        <v>56.334482758620688</v>
      </c>
      <c r="H79" s="18">
        <f>IFERROR(
                  Andel_oberoende_av_klimat*VLOOKUP($A79,Leveranser_per_nät,'Leveranser per nät'!H$1,FALSE)
               +Andel_beroende_av_klimat*VLOOKUP($A79,Leveranser_per_nät,'Leveranser per nät'!H$1,FALSE)/VLOOKUP($B79,Korrigeringsfaktor_GD,'Korrigeringsfaktor GD'!H$1,FALSE),
"")</f>
        <v>65</v>
      </c>
      <c r="I79" s="18">
        <f>IFERROR(
                  Andel_oberoende_av_klimat*VLOOKUP($A79,Leveranser_per_nät,'Leveranser per nät'!I$1,FALSE)
               +Andel_beroende_av_klimat*VLOOKUP($A79,Leveranser_per_nät,'Leveranser per nät'!I$1,FALSE)/VLOOKUP($B79,Korrigeringsfaktor_GD,'Korrigeringsfaktor GD'!I$1,FALSE),
"")</f>
        <v>77.306382978723406</v>
      </c>
      <c r="J79" s="18">
        <f>IFERROR(
                  Andel_oberoende_av_klimat*VLOOKUP($A79,Leveranser_per_nät,'Leveranser per nät'!J$1,FALSE)
               +Andel_beroende_av_klimat*VLOOKUP($A79,Leveranser_per_nät,'Leveranser per nät'!J$1,FALSE)/VLOOKUP($B79,Korrigeringsfaktor_GD,'Korrigeringsfaktor GD'!J$1,FALSE),
"")</f>
        <v>83.775257731958774</v>
      </c>
      <c r="K79" s="18">
        <f>IFERROR(
                  Andel_oberoende_av_klimat*VLOOKUP($A79,Leveranser_per_nät,'Leveranser per nät'!K$1,FALSE)
               +Andel_beroende_av_klimat*VLOOKUP($A79,Leveranser_per_nät,'Leveranser per nät'!K$1,FALSE)/VLOOKUP($B79,Korrigeringsfaktor_GD,'Korrigeringsfaktor GD'!K$1,FALSE),
"")</f>
        <v>89.0411</v>
      </c>
      <c r="L79" s="18">
        <f>IFERROR(
                  Andel_oberoende_av_klimat*VLOOKUP($A79,Leveranser_per_nät,'Leveranser per nät'!L$1,FALSE)
               +Andel_beroende_av_klimat*VLOOKUP($A79,Leveranser_per_nät,'Leveranser per nät'!L$1,FALSE)/VLOOKUP($B79,Korrigeringsfaktor_GD,'Korrigeringsfaktor GD'!L$1,FALSE),
"")</f>
        <v>91.499091666666672</v>
      </c>
      <c r="M79" s="18">
        <f>IFERROR(
                  Andel_oberoende_av_klimat*VLOOKUP($A79,Leveranser_per_nät,'Leveranser per nät'!M$1,FALSE)
               +Andel_beroende_av_klimat*VLOOKUP($A79,Leveranser_per_nät,'Leveranser per nät'!M$1,FALSE)/VLOOKUP($B79,Korrigeringsfaktor_GD,'Korrigeringsfaktor GD'!M$1,FALSE),
"")</f>
        <v>94.741935483870961</v>
      </c>
      <c r="N79" s="18">
        <f>IFERROR(
                  Andel_oberoende_av_klimat*VLOOKUP($A79,Leveranser_per_nät,'Leveranser per nät'!N$1,FALSE)
               +Andel_beroende_av_klimat*VLOOKUP($A79,Leveranser_per_nät,'Leveranser per nät'!N$1,FALSE)/VLOOKUP($B79,Korrigeringsfaktor_GD,'Korrigeringsfaktor GD'!N$1,FALSE),
"")</f>
        <v>109.06153846153846</v>
      </c>
      <c r="O79" s="18">
        <f>IFERROR(
                  Andel_oberoende_av_klimat*VLOOKUP($A79,Leveranser_per_nät,'Leveranser per nät'!O$1,FALSE)
               +Andel_beroende_av_klimat*VLOOKUP($A79,Leveranser_per_nät,'Leveranser per nät'!O$1,FALSE)/VLOOKUP($B79,Korrigeringsfaktor_GD,'Korrigeringsfaktor GD'!O$1,FALSE),
"")</f>
        <v>109.93333333333334</v>
      </c>
      <c r="P79" s="18">
        <f>IFERROR(
                  Andel_oberoende_av_klimat*VLOOKUP($A79,Leveranser_per_nät,'Leveranser per nät'!P$1,FALSE)
               +Andel_beroende_av_klimat*VLOOKUP($A79,Leveranser_per_nät,'Leveranser per nät'!P$1,FALSE)/VLOOKUP($B79,Korrigeringsfaktor_GD,'Korrigeringsfaktor GD'!P$1,FALSE),
"")</f>
        <v>107.51428571428571</v>
      </c>
      <c r="Q79" s="18">
        <f>IFERROR(
                  Andel_oberoende_av_klimat*VLOOKUP($A79,Leveranser_per_nät,'Leveranser per nät'!Q$1,FALSE)
               +Andel_beroende_av_klimat*VLOOKUP($A79,Leveranser_per_nät,'Leveranser per nät'!Q$1,FALSE)/VLOOKUP($B79,Korrigeringsfaktor_GD,'Korrigeringsfaktor GD'!Q$1,FALSE),
"")</f>
        <v>112.5917435897436</v>
      </c>
      <c r="R79" s="18">
        <f>IFERROR(
                  Andel_oberoende_av_klimat*VLOOKUP($A79,Leveranser_per_nät,'Leveranser per nät'!R$1,FALSE)
               +Andel_beroende_av_klimat*VLOOKUP($A79,Leveranser_per_nät,'Leveranser per nät'!R$1,FALSE)/VLOOKUP($B79,Korrigeringsfaktor_GD,'Korrigeringsfaktor GD'!R$1,FALSE),
"")</f>
        <v>113.5736923076923</v>
      </c>
      <c r="S79" s="18">
        <f>IFERROR(
                  Andel_oberoende_av_klimat*VLOOKUP($A79,Leveranser_per_nät,'Leveranser per nät'!S$1,FALSE)
               +Andel_beroende_av_klimat*VLOOKUP($A79,Leveranser_per_nät,'Leveranser per nät'!S$1,FALSE)/VLOOKUP($B79,Korrigeringsfaktor_GD,'Korrigeringsfaktor GD'!S$1,FALSE),
"")</f>
        <v>113.60712871287129</v>
      </c>
      <c r="T79" s="18">
        <f>IFERROR(
                  Andel_oberoende_av_klimat*VLOOKUP($A79,Leveranser_per_nät,'Leveranser per nät'!T$1,FALSE)
               +Andel_beroende_av_klimat*VLOOKUP($A79,Leveranser_per_nät,'Leveranser per nät'!T$1,FALSE)/VLOOKUP($B79,Korrigeringsfaktor_GD,'Korrigeringsfaktor GD'!T$1,FALSE),
"")</f>
        <v>113.47118571428572</v>
      </c>
      <c r="U79" s="18">
        <f>IFERROR(
                  Andel_oberoende_av_klimat*VLOOKUP($A79,Leveranser_per_nät,'Leveranser per nät'!U$1,FALSE)
               +Andel_beroende_av_klimat*VLOOKUP($A79,Leveranser_per_nät,'Leveranser per nät'!U$1,FALSE)/VLOOKUP($B79,Korrigeringsfaktor_GD,'Korrigeringsfaktor GD'!U$1,FALSE),
"")</f>
        <v>111.84093023255815</v>
      </c>
      <c r="V79" s="18">
        <f>IFERROR(
                  Andel_oberoende_av_klimat*VLOOKUP($A79,Leveranser_per_nät,'Leveranser per nät'!V$1,FALSE)
               +Andel_beroende_av_klimat*VLOOKUP($A79,Leveranser_per_nät,'Leveranser per nät'!V$1,FALSE)/VLOOKUP($B79,Korrigeringsfaktor_GD,'Korrigeringsfaktor GD'!V$1,FALSE),
"")</f>
        <v>111.62769230769231</v>
      </c>
      <c r="W79" s="18">
        <f>IFERROR(
                  Andel_oberoende_av_klimat*VLOOKUP($A79,Leveranser_per_nät,'Leveranser per nät'!W$1,FALSE)
               +Andel_beroende_av_klimat*VLOOKUP($A79,Leveranser_per_nät,'Leveranser per nät'!W$1,FALSE)/VLOOKUP($B79,Korrigeringsfaktor_GD,'Korrigeringsfaktor GD'!W$1,FALSE),
"")</f>
        <v>111.46744680851064</v>
      </c>
      <c r="X79" s="18">
        <f>IFERROR(
                  Andel_oberoende_av_klimat*VLOOKUP($A79,Leveranser_per_nät,'Leveranser per nät'!X$1,FALSE)
               +Andel_beroende_av_klimat*VLOOKUP($A79,Leveranser_per_nät,'Leveranser per nät'!X$1,FALSE)/VLOOKUP($B79,Korrigeringsfaktor_GD,'Korrigeringsfaktor GD'!X$1,FALSE),
"")</f>
        <v>109.90608695652173</v>
      </c>
      <c r="Y79" s="18">
        <f>IFERROR(
                  Andel_oberoende_av_klimat*VLOOKUP($A79,Leveranser_per_nät,'Leveranser per nät'!Y$1,FALSE)
               +Andel_beroende_av_klimat*VLOOKUP($A79,Leveranser_per_nät,'Leveranser per nät'!Y$1,FALSE)/VLOOKUP($B79,Korrigeringsfaktor_GD,'Korrigeringsfaktor GD'!Y$1,FALSE),
"")</f>
        <v>110.55846153846154</v>
      </c>
      <c r="Z79" s="18">
        <f>IFERROR(
                  Andel_oberoende_av_klimat*VLOOKUP($A79,Leveranser_per_nät,'Leveranser per nät'!Z$1,FALSE)
               +Andel_beroende_av_klimat*VLOOKUP($A79,Leveranser_per_nät,'Leveranser per nät'!Z$1,FALSE)/VLOOKUP($B79,Korrigeringsfaktor_GD,'Korrigeringsfaktor GD'!Z$1,FALSE),
"")</f>
        <v>111.15067415730337</v>
      </c>
      <c r="AA79" s="18">
        <f>IFERROR(
                  Andel_oberoende_av_klimat*VLOOKUP($A79,Leveranser_per_nät,'Leveranser per nät'!AA$1,FALSE)
               +Andel_beroende_av_klimat*VLOOKUP($A79,Leveranser_per_nät,'Leveranser per nät'!AA$1,FALSE)/VLOOKUP($B79,Korrigeringsfaktor_GD,'Korrigeringsfaktor GD'!AA$1,FALSE),
"")</f>
        <v>114.49051439663539</v>
      </c>
      <c r="AB79" s="18">
        <f>IFERROR(
                  Andel_oberoende_av_klimat*VLOOKUP($A79,Leveranser_per_nät,'Leveranser per nät'!AB$1,FALSE)
               +Andel_beroende_av_klimat*VLOOKUP($A79,Leveranser_per_nät,'Leveranser per nät'!AB$1,FALSE)/VLOOKUP($B79,Korrigeringsfaktor_GD,'Korrigeringsfaktor GD'!AB$1,FALSE),
"")</f>
        <v>105.13949563530554</v>
      </c>
      <c r="AC79" s="18">
        <f>IFERROR(
                  Andel_oberoende_av_klimat*VLOOKUP($A79,Leveranser_per_nät,'Leveranser per nät'!AC$1,FALSE)
               +Andel_beroende_av_klimat*VLOOKUP($A79,Leveranser_per_nät,'Leveranser per nät'!AC$1,FALSE)/VLOOKUP($B79,Korrigeringsfaktor_GD,'Korrigeringsfaktor GD'!AC$1,FALSE),
"")</f>
        <v>101.18828870292887</v>
      </c>
      <c r="AD79">
        <v>98.03</v>
      </c>
    </row>
    <row r="80" spans="1:30" x14ac:dyDescent="0.25">
      <c r="A80" t="s">
        <v>110</v>
      </c>
      <c r="B80" t="s">
        <v>110</v>
      </c>
      <c r="C80" s="18">
        <f>IFERROR(
                  Andel_oberoende_av_klimat*VLOOKUP($A80,Leveranser_per_nät,'Leveranser per nät'!C$1,FALSE)
               +Andel_beroende_av_klimat*VLOOKUP($A80,Leveranser_per_nät,'Leveranser per nät'!C$1,FALSE)/VLOOKUP($B80,Korrigeringsfaktor_GD,'Korrigeringsfaktor GD'!C$1,FALSE),
"")</f>
        <v>132.85045871559632</v>
      </c>
      <c r="D80" s="18">
        <f>IFERROR(
                  Andel_oberoende_av_klimat*VLOOKUP($A80,Leveranser_per_nät,'Leveranser per nät'!D$1,FALSE)
               +Andel_beroende_av_klimat*VLOOKUP($A80,Leveranser_per_nät,'Leveranser per nät'!D$1,FALSE)/VLOOKUP($B80,Korrigeringsfaktor_GD,'Korrigeringsfaktor GD'!D$1,FALSE),
"")</f>
        <v>148.63131578947369</v>
      </c>
      <c r="E80" s="18">
        <f>IFERROR(
                  Andel_oberoende_av_klimat*VLOOKUP($A80,Leveranser_per_nät,'Leveranser per nät'!E$1,FALSE)
               +Andel_beroende_av_klimat*VLOOKUP($A80,Leveranser_per_nät,'Leveranser per nät'!E$1,FALSE)/VLOOKUP($B80,Korrigeringsfaktor_GD,'Korrigeringsfaktor GD'!E$1,FALSE),
"")</f>
        <v>170</v>
      </c>
      <c r="F80" s="18">
        <f>IFERROR(
                  Andel_oberoende_av_klimat*VLOOKUP($A80,Leveranser_per_nät,'Leveranser per nät'!F$1,FALSE)
               +Andel_beroende_av_klimat*VLOOKUP($A80,Leveranser_per_nät,'Leveranser per nät'!F$1,FALSE)/VLOOKUP($B80,Korrigeringsfaktor_GD,'Korrigeringsfaktor GD'!F$1,FALSE),
"")</f>
        <v>193.48333333333335</v>
      </c>
      <c r="G80" s="18">
        <f>IFERROR(
                  Andel_oberoende_av_klimat*VLOOKUP($A80,Leveranser_per_nät,'Leveranser per nät'!G$1,FALSE)
               +Andel_beroende_av_klimat*VLOOKUP($A80,Leveranser_per_nät,'Leveranser per nät'!G$1,FALSE)/VLOOKUP($B80,Korrigeringsfaktor_GD,'Korrigeringsfaktor GD'!G$1,FALSE),
"")</f>
        <v>198.27727272727273</v>
      </c>
      <c r="H80" s="18">
        <f>IFERROR(
                  Andel_oberoende_av_klimat*VLOOKUP($A80,Leveranser_per_nät,'Leveranser per nät'!H$1,FALSE)
               +Andel_beroende_av_klimat*VLOOKUP($A80,Leveranser_per_nät,'Leveranser per nät'!H$1,FALSE)/VLOOKUP($B80,Korrigeringsfaktor_GD,'Korrigeringsfaktor GD'!H$1,FALSE),
"")</f>
        <v>228.40594059405942</v>
      </c>
      <c r="I80" s="18">
        <f>IFERROR(
                  Andel_oberoende_av_klimat*VLOOKUP($A80,Leveranser_per_nät,'Leveranser per nät'!I$1,FALSE)
               +Andel_beroende_av_klimat*VLOOKUP($A80,Leveranser_per_nät,'Leveranser per nät'!I$1,FALSE)/VLOOKUP($B80,Korrigeringsfaktor_GD,'Korrigeringsfaktor GD'!I$1,FALSE),
"")</f>
        <v>245.8456142857143</v>
      </c>
      <c r="J80" s="18">
        <f>IFERROR(
                  Andel_oberoende_av_klimat*VLOOKUP($A80,Leveranser_per_nät,'Leveranser per nät'!J$1,FALSE)
               +Andel_beroende_av_klimat*VLOOKUP($A80,Leveranser_per_nät,'Leveranser per nät'!J$1,FALSE)/VLOOKUP($B80,Korrigeringsfaktor_GD,'Korrigeringsfaktor GD'!J$1,FALSE),
"")</f>
        <v>266.55416666666667</v>
      </c>
      <c r="K80" s="18">
        <f>IFERROR(
                  Andel_oberoende_av_klimat*VLOOKUP($A80,Leveranser_per_nät,'Leveranser per nät'!K$1,FALSE)
               +Andel_beroende_av_klimat*VLOOKUP($A80,Leveranser_per_nät,'Leveranser per nät'!K$1,FALSE)/VLOOKUP($B80,Korrigeringsfaktor_GD,'Korrigeringsfaktor GD'!K$1,FALSE),
"")</f>
        <v>274.47874999999999</v>
      </c>
      <c r="L80" s="18">
        <f>IFERROR(
                  Andel_oberoende_av_klimat*VLOOKUP($A80,Leveranser_per_nät,'Leveranser per nät'!L$1,FALSE)
               +Andel_beroende_av_klimat*VLOOKUP($A80,Leveranser_per_nät,'Leveranser per nät'!L$1,FALSE)/VLOOKUP($B80,Korrigeringsfaktor_GD,'Korrigeringsfaktor GD'!L$1,FALSE),
"")</f>
        <v>256.46220860215055</v>
      </c>
      <c r="M80" s="18">
        <f>IFERROR(
                  Andel_oberoende_av_klimat*VLOOKUP($A80,Leveranser_per_nät,'Leveranser per nät'!M$1,FALSE)
               +Andel_beroende_av_klimat*VLOOKUP($A80,Leveranser_per_nät,'Leveranser per nät'!M$1,FALSE)/VLOOKUP($B80,Korrigeringsfaktor_GD,'Korrigeringsfaktor GD'!M$1,FALSE),
"")</f>
        <v>268.20584615384615</v>
      </c>
      <c r="N80" s="18">
        <f>IFERROR(
                  Andel_oberoende_av_klimat*VLOOKUP($A80,Leveranser_per_nät,'Leveranser per nät'!N$1,FALSE)
               +Andel_beroende_av_klimat*VLOOKUP($A80,Leveranser_per_nät,'Leveranser per nät'!N$1,FALSE)/VLOOKUP($B80,Korrigeringsfaktor_GD,'Korrigeringsfaktor GD'!N$1,FALSE),
"")</f>
        <v>275.29565217391303</v>
      </c>
      <c r="O80" s="18">
        <f>IFERROR(
                  Andel_oberoende_av_klimat*VLOOKUP($A80,Leveranser_per_nät,'Leveranser per nät'!O$1,FALSE)
               +Andel_beroende_av_klimat*VLOOKUP($A80,Leveranser_per_nät,'Leveranser per nät'!O$1,FALSE)/VLOOKUP($B80,Korrigeringsfaktor_GD,'Korrigeringsfaktor GD'!O$1,FALSE),
"")</f>
        <v>272.11923076923074</v>
      </c>
      <c r="P80" s="18">
        <f>IFERROR(
                  Andel_oberoende_av_klimat*VLOOKUP($A80,Leveranser_per_nät,'Leveranser per nät'!P$1,FALSE)
               +Andel_beroende_av_klimat*VLOOKUP($A80,Leveranser_per_nät,'Leveranser per nät'!P$1,FALSE)/VLOOKUP($B80,Korrigeringsfaktor_GD,'Korrigeringsfaktor GD'!P$1,FALSE),
"")</f>
        <v>283.39142857142855</v>
      </c>
      <c r="Q80" s="18">
        <f>IFERROR(
                  Andel_oberoende_av_klimat*VLOOKUP($A80,Leveranser_per_nät,'Leveranser per nät'!Q$1,FALSE)
               +Andel_beroende_av_klimat*VLOOKUP($A80,Leveranser_per_nät,'Leveranser per nät'!Q$1,FALSE)/VLOOKUP($B80,Korrigeringsfaktor_GD,'Korrigeringsfaktor GD'!Q$1,FALSE),
"")</f>
        <v>309.32</v>
      </c>
      <c r="R80" s="18">
        <f>IFERROR(
                  Andel_oberoende_av_klimat*VLOOKUP($A80,Leveranser_per_nät,'Leveranser per nät'!R$1,FALSE)
               +Andel_beroende_av_klimat*VLOOKUP($A80,Leveranser_per_nät,'Leveranser per nät'!R$1,FALSE)/VLOOKUP($B80,Korrigeringsfaktor_GD,'Korrigeringsfaktor GD'!R$1,FALSE),
"")</f>
        <v>301.02333333333331</v>
      </c>
      <c r="S80" s="18">
        <f>IFERROR(
                  Andel_oberoende_av_klimat*VLOOKUP($A80,Leveranser_per_nät,'Leveranser per nät'!S$1,FALSE)
               +Andel_beroende_av_klimat*VLOOKUP($A80,Leveranser_per_nät,'Leveranser per nät'!S$1,FALSE)/VLOOKUP($B80,Korrigeringsfaktor_GD,'Korrigeringsfaktor GD'!S$1,FALSE),
"")</f>
        <v>286.9043737373737</v>
      </c>
      <c r="T80" s="18">
        <f>IFERROR(
                  Andel_oberoende_av_klimat*VLOOKUP($A80,Leveranser_per_nät,'Leveranser per nät'!T$1,FALSE)
               +Andel_beroende_av_klimat*VLOOKUP($A80,Leveranser_per_nät,'Leveranser per nät'!T$1,FALSE)/VLOOKUP($B80,Korrigeringsfaktor_GD,'Korrigeringsfaktor GD'!T$1,FALSE),
"")</f>
        <v>310.72778297872344</v>
      </c>
      <c r="U80" s="18">
        <f>IFERROR(
                  Andel_oberoende_av_klimat*VLOOKUP($A80,Leveranser_per_nät,'Leveranser per nät'!U$1,FALSE)
               +Andel_beroende_av_klimat*VLOOKUP($A80,Leveranser_per_nät,'Leveranser per nät'!U$1,FALSE)/VLOOKUP($B80,Korrigeringsfaktor_GD,'Korrigeringsfaktor GD'!U$1,FALSE),
"")</f>
        <v>297.50354545454547</v>
      </c>
      <c r="V80" s="18">
        <f>IFERROR(
                  Andel_oberoende_av_klimat*VLOOKUP($A80,Leveranser_per_nät,'Leveranser per nät'!V$1,FALSE)
               +Andel_beroende_av_klimat*VLOOKUP($A80,Leveranser_per_nät,'Leveranser per nät'!V$1,FALSE)/VLOOKUP($B80,Korrigeringsfaktor_GD,'Korrigeringsfaktor GD'!V$1,FALSE),
"")</f>
        <v>358.1994444444444</v>
      </c>
      <c r="W80" s="18">
        <f>IFERROR(
                  Andel_oberoende_av_klimat*VLOOKUP($A80,Leveranser_per_nät,'Leveranser per nät'!W$1,FALSE)
               +Andel_beroende_av_klimat*VLOOKUP($A80,Leveranser_per_nät,'Leveranser per nät'!W$1,FALSE)/VLOOKUP($B80,Korrigeringsfaktor_GD,'Korrigeringsfaktor GD'!W$1,FALSE),
"")</f>
        <v>362.71319148936169</v>
      </c>
      <c r="X80" s="18">
        <f>IFERROR(
                  Andel_oberoende_av_klimat*VLOOKUP($A80,Leveranser_per_nät,'Leveranser per nät'!X$1,FALSE)
               +Andel_beroende_av_klimat*VLOOKUP($A80,Leveranser_per_nät,'Leveranser per nät'!X$1,FALSE)/VLOOKUP($B80,Korrigeringsfaktor_GD,'Korrigeringsfaktor GD'!X$1,FALSE),
"")</f>
        <v>376.76762500000001</v>
      </c>
      <c r="Y80" s="18">
        <f>IFERROR(
                  Andel_oberoende_av_klimat*VLOOKUP($A80,Leveranser_per_nät,'Leveranser per nät'!Y$1,FALSE)
               +Andel_beroende_av_klimat*VLOOKUP($A80,Leveranser_per_nät,'Leveranser per nät'!Y$1,FALSE)/VLOOKUP($B80,Korrigeringsfaktor_GD,'Korrigeringsfaktor GD'!Y$1,FALSE),
"")</f>
        <v>364.94768421052629</v>
      </c>
      <c r="Z80" s="18">
        <f>IFERROR(
                  Andel_oberoende_av_klimat*VLOOKUP($A80,Leveranser_per_nät,'Leveranser per nät'!Z$1,FALSE)
               +Andel_beroende_av_klimat*VLOOKUP($A80,Leveranser_per_nät,'Leveranser per nät'!Z$1,FALSE)/VLOOKUP($B80,Korrigeringsfaktor_GD,'Korrigeringsfaktor GD'!Z$1,FALSE),
"")</f>
        <v>380.29176404494376</v>
      </c>
      <c r="AA80" s="18">
        <f>IFERROR(
                  Andel_oberoende_av_klimat*VLOOKUP($A80,Leveranser_per_nät,'Leveranser per nät'!AA$1,FALSE)
               +Andel_beroende_av_klimat*VLOOKUP($A80,Leveranser_per_nät,'Leveranser per nät'!AA$1,FALSE)/VLOOKUP($B80,Korrigeringsfaktor_GD,'Korrigeringsfaktor GD'!AA$1,FALSE),
"")</f>
        <v>365.86280120481922</v>
      </c>
      <c r="AB80" s="18">
        <f>IFERROR(
                  Andel_oberoende_av_klimat*VLOOKUP($A80,Leveranser_per_nät,'Leveranser per nät'!AB$1,FALSE)
               +Andel_beroende_av_klimat*VLOOKUP($A80,Leveranser_per_nät,'Leveranser per nät'!AB$1,FALSE)/VLOOKUP($B80,Korrigeringsfaktor_GD,'Korrigeringsfaktor GD'!AB$1,FALSE),
"")</f>
        <v>359.88071442590774</v>
      </c>
      <c r="AC80" s="18">
        <f>IFERROR(
                  Andel_oberoende_av_klimat*VLOOKUP($A80,Leveranser_per_nät,'Leveranser per nät'!AC$1,FALSE)
               +Andel_beroende_av_klimat*VLOOKUP($A80,Leveranser_per_nät,'Leveranser per nät'!AC$1,FALSE)/VLOOKUP($B80,Korrigeringsfaktor_GD,'Korrigeringsfaktor GD'!AC$1,FALSE),
"")</f>
        <v>358.17090983606562</v>
      </c>
      <c r="AD80">
        <v>374.2</v>
      </c>
    </row>
    <row r="81" spans="1:30" x14ac:dyDescent="0.25">
      <c r="A81" t="s">
        <v>246</v>
      </c>
      <c r="B81" t="s">
        <v>246</v>
      </c>
      <c r="C81" s="18"/>
      <c r="D81" s="18"/>
      <c r="E81" s="18"/>
      <c r="F81" s="18"/>
      <c r="G81" s="18"/>
      <c r="H81" s="18"/>
      <c r="I81" s="18">
        <f>IFERROR(
                  Andel_oberoende_av_klimat*VLOOKUP($A81,Leveranser_per_nät,'Leveranser per nät'!I$1,FALSE)
               +Andel_beroende_av_klimat*VLOOKUP($A81,Leveranser_per_nät,'Leveranser per nät'!I$1,FALSE)/VLOOKUP($B81,Korrigeringsfaktor_GD,'Korrigeringsfaktor GD'!I$1,FALSE),
"")</f>
        <v>38.542857142857144</v>
      </c>
      <c r="J81" s="18">
        <f>IFERROR(
                  Andel_oberoende_av_klimat*VLOOKUP($A81,Leveranser_per_nät,'Leveranser per nät'!J$1,FALSE)
               +Andel_beroende_av_klimat*VLOOKUP($A81,Leveranser_per_nät,'Leveranser per nät'!J$1,FALSE)/VLOOKUP($B81,Korrigeringsfaktor_GD,'Korrigeringsfaktor GD'!J$1,FALSE),
"")</f>
        <v>38.822680412371135</v>
      </c>
      <c r="K81" s="18">
        <f>IFERROR(
                  Andel_oberoende_av_klimat*VLOOKUP($A81,Leveranser_per_nät,'Leveranser per nät'!K$1,FALSE)
               +Andel_beroende_av_klimat*VLOOKUP($A81,Leveranser_per_nät,'Leveranser per nät'!K$1,FALSE)/VLOOKUP($B81,Korrigeringsfaktor_GD,'Korrigeringsfaktor GD'!K$1,FALSE),
"")</f>
        <v>37.59363608247422</v>
      </c>
      <c r="L81" s="18">
        <f>IFERROR(
                  Andel_oberoende_av_klimat*VLOOKUP($A81,Leveranser_per_nät,'Leveranser per nät'!L$1,FALSE)
               +Andel_beroende_av_klimat*VLOOKUP($A81,Leveranser_per_nät,'Leveranser per nät'!L$1,FALSE)/VLOOKUP($B81,Korrigeringsfaktor_GD,'Korrigeringsfaktor GD'!L$1,FALSE),
"")</f>
        <v>37.586572340425533</v>
      </c>
      <c r="M81" s="18">
        <f>IFERROR(
                  Andel_oberoende_av_klimat*VLOOKUP($A81,Leveranser_per_nät,'Leveranser per nät'!M$1,FALSE)
               +Andel_beroende_av_klimat*VLOOKUP($A81,Leveranser_per_nät,'Leveranser per nät'!M$1,FALSE)/VLOOKUP($B81,Korrigeringsfaktor_GD,'Korrigeringsfaktor GD'!M$1,FALSE),
"")</f>
        <v>41.161739130434782</v>
      </c>
      <c r="N81" s="18">
        <f>IFERROR(
                  Andel_oberoende_av_klimat*VLOOKUP($A81,Leveranser_per_nät,'Leveranser per nät'!N$1,FALSE)
               +Andel_beroende_av_klimat*VLOOKUP($A81,Leveranser_per_nät,'Leveranser per nät'!N$1,FALSE)/VLOOKUP($B81,Korrigeringsfaktor_GD,'Korrigeringsfaktor GD'!N$1,FALSE),
"")</f>
        <v>42.675978494623649</v>
      </c>
      <c r="O81" s="18">
        <f>IFERROR(
                  Andel_oberoende_av_klimat*VLOOKUP($A81,Leveranser_per_nät,'Leveranser per nät'!O$1,FALSE)
               +Andel_beroende_av_klimat*VLOOKUP($A81,Leveranser_per_nät,'Leveranser per nät'!O$1,FALSE)/VLOOKUP($B81,Korrigeringsfaktor_GD,'Korrigeringsfaktor GD'!O$1,FALSE),
"")</f>
        <v>42.419177777777776</v>
      </c>
      <c r="P81" s="18">
        <f>IFERROR(
                  Andel_oberoende_av_klimat*VLOOKUP($A81,Leveranser_per_nät,'Leveranser per nät'!P$1,FALSE)
               +Andel_beroende_av_klimat*VLOOKUP($A81,Leveranser_per_nät,'Leveranser per nät'!P$1,FALSE)/VLOOKUP($B81,Korrigeringsfaktor_GD,'Korrigeringsfaktor GD'!P$1,FALSE),
"")</f>
        <v>42.649444444444441</v>
      </c>
      <c r="Q81" s="18">
        <f>IFERROR(
                  Andel_oberoende_av_klimat*VLOOKUP($A81,Leveranser_per_nät,'Leveranser per nät'!Q$1,FALSE)
               +Andel_beroende_av_klimat*VLOOKUP($A81,Leveranser_per_nät,'Leveranser per nät'!Q$1,FALSE)/VLOOKUP($B81,Korrigeringsfaktor_GD,'Korrigeringsfaktor GD'!Q$1,FALSE),
"")</f>
        <v>44.209371794871799</v>
      </c>
      <c r="R81" s="18">
        <f>IFERROR(
                  Andel_oberoende_av_klimat*VLOOKUP($A81,Leveranser_per_nät,'Leveranser per nät'!R$1,FALSE)
               +Andel_beroende_av_klimat*VLOOKUP($A81,Leveranser_per_nät,'Leveranser per nät'!R$1,FALSE)/VLOOKUP($B81,Korrigeringsfaktor_GD,'Korrigeringsfaktor GD'!R$1,FALSE),
"")</f>
        <v>41.437565217391302</v>
      </c>
      <c r="S81" s="18">
        <f>IFERROR(
                  Andel_oberoende_av_klimat*VLOOKUP($A81,Leveranser_per_nät,'Leveranser per nät'!S$1,FALSE)
               +Andel_beroende_av_klimat*VLOOKUP($A81,Leveranser_per_nät,'Leveranser per nät'!S$1,FALSE)/VLOOKUP($B81,Korrigeringsfaktor_GD,'Korrigeringsfaktor GD'!S$1,FALSE),
"")</f>
        <v>43</v>
      </c>
      <c r="T81" s="18">
        <f>IFERROR(
                  Andel_oberoende_av_klimat*VLOOKUP($A81,Leveranser_per_nät,'Leveranser per nät'!T$1,FALSE)
               +Andel_beroende_av_klimat*VLOOKUP($A81,Leveranser_per_nät,'Leveranser per nät'!T$1,FALSE)/VLOOKUP($B81,Korrigeringsfaktor_GD,'Korrigeringsfaktor GD'!T$1,FALSE),
"")</f>
        <v>41.489825000000003</v>
      </c>
      <c r="U81" s="18">
        <f>IFERROR(
                  Andel_oberoende_av_klimat*VLOOKUP($A81,Leveranser_per_nät,'Leveranser per nät'!U$1,FALSE)
               +Andel_beroende_av_klimat*VLOOKUP($A81,Leveranser_per_nät,'Leveranser per nät'!U$1,FALSE)/VLOOKUP($B81,Korrigeringsfaktor_GD,'Korrigeringsfaktor GD'!U$1,FALSE),
"")</f>
        <v>42.587764367816092</v>
      </c>
      <c r="V81" s="18">
        <f>IFERROR(
                  Andel_oberoende_av_klimat*VLOOKUP($A81,Leveranser_per_nät,'Leveranser per nät'!V$1,FALSE)
               +Andel_beroende_av_klimat*VLOOKUP($A81,Leveranser_per_nät,'Leveranser per nät'!V$1,FALSE)/VLOOKUP($B81,Korrigeringsfaktor_GD,'Korrigeringsfaktor GD'!V$1,FALSE),
"")</f>
        <v>42.26828888888889</v>
      </c>
      <c r="W81" s="18">
        <f>IFERROR(
                  Andel_oberoende_av_klimat*VLOOKUP($A81,Leveranser_per_nät,'Leveranser per nät'!W$1,FALSE)
               +Andel_beroende_av_klimat*VLOOKUP($A81,Leveranser_per_nät,'Leveranser per nät'!W$1,FALSE)/VLOOKUP($B81,Korrigeringsfaktor_GD,'Korrigeringsfaktor GD'!W$1,FALSE),
"")</f>
        <v>57.457446808510639</v>
      </c>
      <c r="X81" s="18">
        <f>IFERROR(
                  Andel_oberoende_av_klimat*VLOOKUP($A81,Leveranser_per_nät,'Leveranser per nät'!X$1,FALSE)
               +Andel_beroende_av_klimat*VLOOKUP($A81,Leveranser_per_nät,'Leveranser per nät'!X$1,FALSE)/VLOOKUP($B81,Korrigeringsfaktor_GD,'Korrigeringsfaktor GD'!X$1,FALSE),
"")</f>
        <v>55.98947368421053</v>
      </c>
      <c r="Y81" s="18">
        <f>IFERROR(
                  Andel_oberoende_av_klimat*VLOOKUP($A81,Leveranser_per_nät,'Leveranser per nät'!Y$1,FALSE)
               +Andel_beroende_av_klimat*VLOOKUP($A81,Leveranser_per_nät,'Leveranser per nät'!Y$1,FALSE)/VLOOKUP($B81,Korrigeringsfaktor_GD,'Korrigeringsfaktor GD'!Y$1,FALSE),
"")</f>
        <v>56.108279569892467</v>
      </c>
      <c r="Z81" s="18">
        <f>IFERROR(
                  Andel_oberoende_av_klimat*VLOOKUP($A81,Leveranser_per_nät,'Leveranser per nät'!Z$1,FALSE)
               +Andel_beroende_av_klimat*VLOOKUP($A81,Leveranser_per_nät,'Leveranser per nät'!Z$1,FALSE)/VLOOKUP($B81,Korrigeringsfaktor_GD,'Korrigeringsfaktor GD'!Z$1,FALSE),
"")</f>
        <v>56.306363636363635</v>
      </c>
      <c r="AA81" s="18">
        <f>IFERROR(
                  Andel_oberoende_av_klimat*VLOOKUP($A81,Leveranser_per_nät,'Leveranser per nät'!AA$1,FALSE)
               +Andel_beroende_av_klimat*VLOOKUP($A81,Leveranser_per_nät,'Leveranser per nät'!AA$1,FALSE)/VLOOKUP($B81,Korrigeringsfaktor_GD,'Korrigeringsfaktor GD'!AA$1,FALSE),
"")</f>
        <v>54.165450292397665</v>
      </c>
      <c r="AB81" s="18">
        <f>IFERROR(
                  Andel_oberoende_av_klimat*VLOOKUP($A81,Leveranser_per_nät,'Leveranser per nät'!AB$1,FALSE)
               +Andel_beroende_av_klimat*VLOOKUP($A81,Leveranser_per_nät,'Leveranser per nät'!AB$1,FALSE)/VLOOKUP($B81,Korrigeringsfaktor_GD,'Korrigeringsfaktor GD'!AB$1,FALSE),
"")</f>
        <v>53.150909090909089</v>
      </c>
      <c r="AC81" s="18">
        <f>IFERROR(
                  Andel_oberoende_av_klimat*VLOOKUP($A81,Leveranser_per_nät,'Leveranser per nät'!AC$1,FALSE)
               +Andel_beroende_av_klimat*VLOOKUP($A81,Leveranser_per_nät,'Leveranser per nät'!AC$1,FALSE)/VLOOKUP($B81,Korrigeringsfaktor_GD,'Korrigeringsfaktor GD'!AC$1,FALSE),
"")</f>
        <v>51.51657889447236</v>
      </c>
      <c r="AD81" t="e">
        <v>#N/A</v>
      </c>
    </row>
    <row r="82" spans="1:30" x14ac:dyDescent="0.25">
      <c r="A82" t="s">
        <v>113</v>
      </c>
      <c r="B82" t="s">
        <v>113</v>
      </c>
      <c r="C82" s="18"/>
      <c r="D82" s="18"/>
      <c r="E82" s="18"/>
      <c r="F82" s="18"/>
      <c r="G82" s="18"/>
      <c r="H82" s="18"/>
      <c r="I82" s="18">
        <f>IFERROR(
                  Andel_oberoende_av_klimat*VLOOKUP($A82,Leveranser_per_nät,'Leveranser per nät'!I$1,FALSE)
               +Andel_beroende_av_klimat*VLOOKUP($A82,Leveranser_per_nät,'Leveranser per nät'!I$1,FALSE)/VLOOKUP($B82,Korrigeringsfaktor_GD,'Korrigeringsfaktor GD'!I$1,FALSE),
"")</f>
        <v>74.099999999999994</v>
      </c>
      <c r="J82" s="18">
        <f>IFERROR(
                  Andel_oberoende_av_klimat*VLOOKUP($A82,Leveranser_per_nät,'Leveranser per nät'!J$1,FALSE)
               +Andel_beroende_av_klimat*VLOOKUP($A82,Leveranser_per_nät,'Leveranser per nät'!J$1,FALSE)/VLOOKUP($B82,Korrigeringsfaktor_GD,'Korrigeringsfaktor GD'!J$1,FALSE),
"")</f>
        <v>80.436914285714295</v>
      </c>
      <c r="K82" s="18">
        <f>IFERROR(
                  Andel_oberoende_av_klimat*VLOOKUP($A82,Leveranser_per_nät,'Leveranser per nät'!K$1,FALSE)
               +Andel_beroende_av_klimat*VLOOKUP($A82,Leveranser_per_nät,'Leveranser per nät'!K$1,FALSE)/VLOOKUP($B82,Korrigeringsfaktor_GD,'Korrigeringsfaktor GD'!K$1,FALSE),
"")</f>
        <v>88.612057142857154</v>
      </c>
      <c r="L82" s="18">
        <f>IFERROR(
                  Andel_oberoende_av_klimat*VLOOKUP($A82,Leveranser_per_nät,'Leveranser per nät'!L$1,FALSE)
               +Andel_beroende_av_klimat*VLOOKUP($A82,Leveranser_per_nät,'Leveranser per nät'!L$1,FALSE)/VLOOKUP($B82,Korrigeringsfaktor_GD,'Korrigeringsfaktor GD'!L$1,FALSE),
"")</f>
        <v>104.65158421052632</v>
      </c>
      <c r="M82" s="18">
        <f>IFERROR(
                  Andel_oberoende_av_klimat*VLOOKUP($A82,Leveranser_per_nät,'Leveranser per nät'!M$1,FALSE)
               +Andel_beroende_av_klimat*VLOOKUP($A82,Leveranser_per_nät,'Leveranser per nät'!M$1,FALSE)/VLOOKUP($B82,Korrigeringsfaktor_GD,'Korrigeringsfaktor GD'!M$1,FALSE),
"")</f>
        <v>106.32150537634408</v>
      </c>
      <c r="N82" s="18">
        <f>IFERROR(
                  Andel_oberoende_av_klimat*VLOOKUP($A82,Leveranser_per_nät,'Leveranser per nät'!N$1,FALSE)
               +Andel_beroende_av_klimat*VLOOKUP($A82,Leveranser_per_nät,'Leveranser per nät'!N$1,FALSE)/VLOOKUP($B82,Korrigeringsfaktor_GD,'Korrigeringsfaktor GD'!N$1,FALSE),
"")</f>
        <v>111.2</v>
      </c>
      <c r="O82" s="18">
        <f>IFERROR(
                  Andel_oberoende_av_klimat*VLOOKUP($A82,Leveranser_per_nät,'Leveranser per nät'!O$1,FALSE)
               +Andel_beroende_av_klimat*VLOOKUP($A82,Leveranser_per_nät,'Leveranser per nät'!O$1,FALSE)/VLOOKUP($B82,Korrigeringsfaktor_GD,'Korrigeringsfaktor GD'!O$1,FALSE),
"")</f>
        <v>114.08426966292134</v>
      </c>
      <c r="P82" s="18">
        <f>IFERROR(
                  Andel_oberoende_av_klimat*VLOOKUP($A82,Leveranser_per_nät,'Leveranser per nät'!P$1,FALSE)
               +Andel_beroende_av_klimat*VLOOKUP($A82,Leveranser_per_nät,'Leveranser per nät'!P$1,FALSE)/VLOOKUP($B82,Korrigeringsfaktor_GD,'Korrigeringsfaktor GD'!P$1,FALSE),
"")</f>
        <v>123.86969696969697</v>
      </c>
      <c r="Q82" s="18">
        <f>IFERROR(
                  Andel_oberoende_av_klimat*VLOOKUP($A82,Leveranser_per_nät,'Leveranser per nät'!Q$1,FALSE)
               +Andel_beroende_av_klimat*VLOOKUP($A82,Leveranser_per_nät,'Leveranser per nät'!Q$1,FALSE)/VLOOKUP($B82,Korrigeringsfaktor_GD,'Korrigeringsfaktor GD'!Q$1,FALSE),
"")</f>
        <v>120.58474576271189</v>
      </c>
      <c r="R82" s="18">
        <f>IFERROR(
                  Andel_oberoende_av_klimat*VLOOKUP($A82,Leveranser_per_nät,'Leveranser per nät'!R$1,FALSE)
               +Andel_beroende_av_klimat*VLOOKUP($A82,Leveranser_per_nät,'Leveranser per nät'!R$1,FALSE)/VLOOKUP($B82,Korrigeringsfaktor_GD,'Korrigeringsfaktor GD'!R$1,FALSE),
"")</f>
        <v>115.47692307692307</v>
      </c>
      <c r="S82" s="18">
        <f>IFERROR(
                  Andel_oberoende_av_klimat*VLOOKUP($A82,Leveranser_per_nät,'Leveranser per nät'!S$1,FALSE)
               +Andel_beroende_av_klimat*VLOOKUP($A82,Leveranser_per_nät,'Leveranser per nät'!S$1,FALSE)/VLOOKUP($B82,Korrigeringsfaktor_GD,'Korrigeringsfaktor GD'!S$1,FALSE),
"")</f>
        <v>117</v>
      </c>
      <c r="T82" s="18">
        <f>IFERROR(
                  Andel_oberoende_av_klimat*VLOOKUP($A82,Leveranser_per_nät,'Leveranser per nät'!T$1,FALSE)
               +Andel_beroende_av_klimat*VLOOKUP($A82,Leveranser_per_nät,'Leveranser per nät'!T$1,FALSE)/VLOOKUP($B82,Korrigeringsfaktor_GD,'Korrigeringsfaktor GD'!T$1,FALSE),
"")</f>
        <v>117.48969072164948</v>
      </c>
      <c r="U82" s="18">
        <f>IFERROR(
                  Andel_oberoende_av_klimat*VLOOKUP($A82,Leveranser_per_nät,'Leveranser per nät'!U$1,FALSE)
               +Andel_beroende_av_klimat*VLOOKUP($A82,Leveranser_per_nät,'Leveranser per nät'!U$1,FALSE)/VLOOKUP($B82,Korrigeringsfaktor_GD,'Korrigeringsfaktor GD'!U$1,FALSE),
"")</f>
        <v>115.02272727272727</v>
      </c>
      <c r="V82" s="18">
        <f>IFERROR(
                  Andel_oberoende_av_klimat*VLOOKUP($A82,Leveranser_per_nät,'Leveranser per nät'!V$1,FALSE)
               +Andel_beroende_av_klimat*VLOOKUP($A82,Leveranser_per_nät,'Leveranser per nät'!V$1,FALSE)/VLOOKUP($B82,Korrigeringsfaktor_GD,'Korrigeringsfaktor GD'!V$1,FALSE),
"")</f>
        <v>112.83181818181818</v>
      </c>
      <c r="W82" s="18">
        <f>IFERROR(
                  Andel_oberoende_av_klimat*VLOOKUP($A82,Leveranser_per_nät,'Leveranser per nät'!W$1,FALSE)
               +Andel_beroende_av_klimat*VLOOKUP($A82,Leveranser_per_nät,'Leveranser per nät'!W$1,FALSE)/VLOOKUP($B82,Korrigeringsfaktor_GD,'Korrigeringsfaktor GD'!W$1,FALSE),
"")</f>
        <v>117.00425531914894</v>
      </c>
      <c r="X82" s="18">
        <f>IFERROR(
                  Andel_oberoende_av_klimat*VLOOKUP($A82,Leveranser_per_nät,'Leveranser per nät'!X$1,FALSE)
               +Andel_beroende_av_klimat*VLOOKUP($A82,Leveranser_per_nät,'Leveranser per nät'!X$1,FALSE)/VLOOKUP($B82,Korrigeringsfaktor_GD,'Korrigeringsfaktor GD'!X$1,FALSE),
"")</f>
        <v>111.78085106382977</v>
      </c>
      <c r="Y82" s="18">
        <f>IFERROR(
                  Andel_oberoende_av_klimat*VLOOKUP($A82,Leveranser_per_nät,'Leveranser per nät'!Y$1,FALSE)
               +Andel_beroende_av_klimat*VLOOKUP($A82,Leveranser_per_nät,'Leveranser per nät'!Y$1,FALSE)/VLOOKUP($B82,Korrigeringsfaktor_GD,'Korrigeringsfaktor GD'!Y$1,FALSE),
"")</f>
        <v>111.78085106382977</v>
      </c>
      <c r="Z82" s="18">
        <f>IFERROR(
                  Andel_oberoende_av_klimat*VLOOKUP($A82,Leveranser_per_nät,'Leveranser per nät'!Z$1,FALSE)
               +Andel_beroende_av_klimat*VLOOKUP($A82,Leveranser_per_nät,'Leveranser per nät'!Z$1,FALSE)/VLOOKUP($B82,Korrigeringsfaktor_GD,'Korrigeringsfaktor GD'!Z$1,FALSE),
"")</f>
        <v>120.5</v>
      </c>
      <c r="AA82" s="18">
        <f>IFERROR(
                  Andel_oberoende_av_klimat*VLOOKUP($A82,Leveranser_per_nät,'Leveranser per nät'!AA$1,FALSE)
               +Andel_beroende_av_klimat*VLOOKUP($A82,Leveranser_per_nät,'Leveranser per nät'!AA$1,FALSE)/VLOOKUP($B82,Korrigeringsfaktor_GD,'Korrigeringsfaktor GD'!AA$1,FALSE),
"")</f>
        <v>119.27946127946129</v>
      </c>
      <c r="AB82" s="18">
        <f>IFERROR(
                  Andel_oberoende_av_klimat*VLOOKUP($A82,Leveranser_per_nät,'Leveranser per nät'!AB$1,FALSE)
               +Andel_beroende_av_klimat*VLOOKUP($A82,Leveranser_per_nät,'Leveranser per nät'!AB$1,FALSE)/VLOOKUP($B82,Korrigeringsfaktor_GD,'Korrigeringsfaktor GD'!AB$1,FALSE),
"")</f>
        <v>114.69183673469387</v>
      </c>
      <c r="AC82" s="18">
        <f>IFERROR(
                  Andel_oberoende_av_klimat*VLOOKUP($A82,Leveranser_per_nät,'Leveranser per nät'!AC$1,FALSE)
               +Andel_beroende_av_klimat*VLOOKUP($A82,Leveranser_per_nät,'Leveranser per nät'!AC$1,FALSE)/VLOOKUP($B82,Korrigeringsfaktor_GD,'Korrigeringsfaktor GD'!AC$1,FALSE),
"")</f>
        <v>114.05263157894737</v>
      </c>
      <c r="AD82">
        <v>110</v>
      </c>
    </row>
    <row r="83" spans="1:30" x14ac:dyDescent="0.25">
      <c r="A83" t="s">
        <v>33</v>
      </c>
      <c r="B83" t="s">
        <v>34</v>
      </c>
      <c r="C83" s="18"/>
      <c r="D83" s="18"/>
      <c r="E83" s="18"/>
      <c r="F83" s="18"/>
      <c r="G83" s="18"/>
      <c r="H83" s="18"/>
      <c r="I83" s="18"/>
      <c r="J83" s="18"/>
      <c r="K83" s="18">
        <f>IFERROR(
                  Andel_oberoende_av_klimat*VLOOKUP($A83,Leveranser_per_nät,'Leveranser per nät'!K$1,FALSE)
               +Andel_beroende_av_klimat*VLOOKUP($A83,Leveranser_per_nät,'Leveranser per nät'!K$1,FALSE)/VLOOKUP($B83,Korrigeringsfaktor_GD,'Korrigeringsfaktor GD'!K$1,FALSE),
"")</f>
        <v>2.1640000000000001</v>
      </c>
      <c r="L83" s="18">
        <f>IFERROR(
                  Andel_oberoende_av_klimat*VLOOKUP($A83,Leveranser_per_nät,'Leveranser per nät'!L$1,FALSE)
               +Andel_beroende_av_klimat*VLOOKUP($A83,Leveranser_per_nät,'Leveranser per nät'!L$1,FALSE)/VLOOKUP($B83,Korrigeringsfaktor_GD,'Korrigeringsfaktor GD'!L$1,FALSE),
"")</f>
        <v>2.5539714285714283</v>
      </c>
      <c r="M83" s="18">
        <f>IFERROR(
                  Andel_oberoende_av_klimat*VLOOKUP($A83,Leveranser_per_nät,'Leveranser per nät'!M$1,FALSE)
               +Andel_beroende_av_klimat*VLOOKUP($A83,Leveranser_per_nät,'Leveranser per nät'!M$1,FALSE)/VLOOKUP($B83,Korrigeringsfaktor_GD,'Korrigeringsfaktor GD'!M$1,FALSE),
"")</f>
        <v>3.0630042553191492</v>
      </c>
      <c r="N83" s="18">
        <f>IFERROR(
                  Andel_oberoende_av_klimat*VLOOKUP($A83,Leveranser_per_nät,'Leveranser per nät'!N$1,FALSE)
               +Andel_beroende_av_klimat*VLOOKUP($A83,Leveranser_per_nät,'Leveranser per nät'!N$1,FALSE)/VLOOKUP($B83,Korrigeringsfaktor_GD,'Korrigeringsfaktor GD'!N$1,FALSE),
"")</f>
        <v>3.4467333333333334</v>
      </c>
      <c r="O83" s="18">
        <f>IFERROR(
                  Andel_oberoende_av_klimat*VLOOKUP($A83,Leveranser_per_nät,'Leveranser per nät'!O$1,FALSE)
               +Andel_beroende_av_klimat*VLOOKUP($A83,Leveranser_per_nät,'Leveranser per nät'!O$1,FALSE)/VLOOKUP($B83,Korrigeringsfaktor_GD,'Korrigeringsfaktor GD'!O$1,FALSE),
"")</f>
        <v>3.9451426966292131</v>
      </c>
      <c r="P83" s="18">
        <f>IFERROR(
                  Andel_oberoende_av_klimat*VLOOKUP($A83,Leveranser_per_nät,'Leveranser per nät'!P$1,FALSE)
               +Andel_beroende_av_klimat*VLOOKUP($A83,Leveranser_per_nät,'Leveranser per nät'!P$1,FALSE)/VLOOKUP($B83,Korrigeringsfaktor_GD,'Korrigeringsfaktor GD'!P$1,FALSE),
"")</f>
        <v>4.1322000000000001</v>
      </c>
      <c r="Q83" s="18">
        <f>IFERROR(
                  Andel_oberoende_av_klimat*VLOOKUP($A83,Leveranser_per_nät,'Leveranser per nät'!Q$1,FALSE)
               +Andel_beroende_av_klimat*VLOOKUP($A83,Leveranser_per_nät,'Leveranser per nät'!Q$1,FALSE)/VLOOKUP($B83,Korrigeringsfaktor_GD,'Korrigeringsfaktor GD'!Q$1,FALSE),
"")</f>
        <v>4.6134478260869569</v>
      </c>
      <c r="R83" s="18">
        <f>IFERROR(
                  Andel_oberoende_av_klimat*VLOOKUP($A83,Leveranser_per_nät,'Leveranser per nät'!R$1,FALSE)
               +Andel_beroende_av_klimat*VLOOKUP($A83,Leveranser_per_nät,'Leveranser per nät'!R$1,FALSE)/VLOOKUP($B83,Korrigeringsfaktor_GD,'Korrigeringsfaktor GD'!R$1,FALSE),
"")</f>
        <v>4.6816173913043482</v>
      </c>
      <c r="S83" s="18">
        <f>IFERROR(
                  Andel_oberoende_av_klimat*VLOOKUP($A83,Leveranser_per_nät,'Leveranser per nät'!S$1,FALSE)
               +Andel_beroende_av_klimat*VLOOKUP($A83,Leveranser_per_nät,'Leveranser per nät'!S$1,FALSE)/VLOOKUP($B83,Korrigeringsfaktor_GD,'Korrigeringsfaktor GD'!S$1,FALSE),
"")</f>
        <v>4.79</v>
      </c>
      <c r="T83" s="18">
        <f>IFERROR(
                  Andel_oberoende_av_klimat*VLOOKUP($A83,Leveranser_per_nät,'Leveranser per nät'!T$1,FALSE)
               +Andel_beroende_av_klimat*VLOOKUP($A83,Leveranser_per_nät,'Leveranser per nät'!T$1,FALSE)/VLOOKUP($B83,Korrigeringsfaktor_GD,'Korrigeringsfaktor GD'!T$1,FALSE),
"")</f>
        <v>4.6038428571428573</v>
      </c>
      <c r="U83" s="18">
        <f>IFERROR(
                  Andel_oberoende_av_klimat*VLOOKUP($A83,Leveranser_per_nät,'Leveranser per nät'!U$1,FALSE)
               +Andel_beroende_av_klimat*VLOOKUP($A83,Leveranser_per_nät,'Leveranser per nät'!U$1,FALSE)/VLOOKUP($B83,Korrigeringsfaktor_GD,'Korrigeringsfaktor GD'!U$1,FALSE),
"")</f>
        <v>4.5952180722891569</v>
      </c>
      <c r="V83" s="18">
        <f>IFERROR(
                  Andel_oberoende_av_klimat*VLOOKUP($A83,Leveranser_per_nät,'Leveranser per nät'!V$1,FALSE)
               +Andel_beroende_av_klimat*VLOOKUP($A83,Leveranser_per_nät,'Leveranser per nät'!V$1,FALSE)/VLOOKUP($B83,Korrigeringsfaktor_GD,'Korrigeringsfaktor GD'!V$1,FALSE),
"")</f>
        <v>4.650204545454546</v>
      </c>
      <c r="W83" s="18">
        <f>IFERROR(
                  Andel_oberoende_av_klimat*VLOOKUP($A83,Leveranser_per_nät,'Leveranser per nät'!W$1,FALSE)
               +Andel_beroende_av_klimat*VLOOKUP($A83,Leveranser_per_nät,'Leveranser per nät'!W$1,FALSE)/VLOOKUP($B83,Korrigeringsfaktor_GD,'Korrigeringsfaktor GD'!W$1,FALSE),
"")</f>
        <v>4.8413129032258064</v>
      </c>
      <c r="X83" s="18">
        <f>IFERROR(
                  Andel_oberoende_av_klimat*VLOOKUP($A83,Leveranser_per_nät,'Leveranser per nät'!X$1,FALSE)
               +Andel_beroende_av_klimat*VLOOKUP($A83,Leveranser_per_nät,'Leveranser per nät'!X$1,FALSE)/VLOOKUP($B83,Korrigeringsfaktor_GD,'Korrigeringsfaktor GD'!X$1,FALSE),
"")</f>
        <v>4.9462615384615383</v>
      </c>
      <c r="Y83" s="18">
        <f>IFERROR(
                  Andel_oberoende_av_klimat*VLOOKUP($A83,Leveranser_per_nät,'Leveranser per nät'!Y$1,FALSE)
               +Andel_beroende_av_klimat*VLOOKUP($A83,Leveranser_per_nät,'Leveranser per nät'!Y$1,FALSE)/VLOOKUP($B83,Korrigeringsfaktor_GD,'Korrigeringsfaktor GD'!Y$1,FALSE),
"")</f>
        <v>4.9795067415730339</v>
      </c>
      <c r="Z83" s="18">
        <f>IFERROR(
                  Andel_oberoende_av_klimat*VLOOKUP($A83,Leveranser_per_nät,'Leveranser per nät'!Z$1,FALSE)
               +Andel_beroende_av_klimat*VLOOKUP($A83,Leveranser_per_nät,'Leveranser per nät'!Z$1,FALSE)/VLOOKUP($B83,Korrigeringsfaktor_GD,'Korrigeringsfaktor GD'!Z$1,FALSE),
"")</f>
        <v>4.5749463917525777</v>
      </c>
      <c r="AA83" s="18">
        <f>IFERROR(
                  Andel_oberoende_av_klimat*VLOOKUP($A83,Leveranser_per_nät,'Leveranser per nät'!AA$1,FALSE)
               +Andel_beroende_av_klimat*VLOOKUP($A83,Leveranser_per_nät,'Leveranser per nät'!AA$1,FALSE)/VLOOKUP($B83,Korrigeringsfaktor_GD,'Korrigeringsfaktor GD'!AA$1,FALSE),
"")</f>
        <v>4.8101384655669026</v>
      </c>
      <c r="AB83" s="18">
        <f>IFERROR(
                  Andel_oberoende_av_klimat*VLOOKUP($A83,Leveranser_per_nät,'Leveranser per nät'!AB$1,FALSE)
               +Andel_beroende_av_klimat*VLOOKUP($A83,Leveranser_per_nät,'Leveranser per nät'!AB$1,FALSE)/VLOOKUP($B83,Korrigeringsfaktor_GD,'Korrigeringsfaktor GD'!AB$1,FALSE),
"")</f>
        <v>4.7785000000000002</v>
      </c>
      <c r="AC83" s="18">
        <f>IFERROR(
                  Andel_oberoende_av_klimat*VLOOKUP($A83,Leveranser_per_nät,'Leveranser per nät'!AC$1,FALSE)
               +Andel_beroende_av_klimat*VLOOKUP($A83,Leveranser_per_nät,'Leveranser per nät'!AC$1,FALSE)/VLOOKUP($B83,Korrigeringsfaktor_GD,'Korrigeringsfaktor GD'!AC$1,FALSE),
"")</f>
        <v>4.6808051282051277</v>
      </c>
      <c r="AD83">
        <v>333.59699999999998</v>
      </c>
    </row>
    <row r="84" spans="1:30" x14ac:dyDescent="0.25">
      <c r="A84" t="s">
        <v>497</v>
      </c>
      <c r="B84" t="s">
        <v>253</v>
      </c>
      <c r="C84" s="18"/>
      <c r="D84" s="18"/>
      <c r="E84" s="18"/>
      <c r="F84" s="18"/>
      <c r="G84" s="18"/>
      <c r="H84" s="18"/>
      <c r="I84" s="18"/>
      <c r="J84" s="18"/>
      <c r="K84" s="18"/>
      <c r="L84" s="18"/>
      <c r="M84" s="18"/>
      <c r="N84" s="18"/>
      <c r="O84" s="18"/>
      <c r="P84" s="18"/>
      <c r="Q84" s="18">
        <f>IFERROR(
                  Andel_oberoende_av_klimat*VLOOKUP($A84,Leveranser_per_nät,'Leveranser per nät'!Q$1,FALSE)
               +Andel_beroende_av_klimat*VLOOKUP($A84,Leveranser_per_nät,'Leveranser per nät'!Q$1,FALSE)/VLOOKUP($B84,Korrigeringsfaktor_GD,'Korrigeringsfaktor GD'!Q$1,FALSE),
"")</f>
        <v>2.1637586206896553</v>
      </c>
      <c r="R84" s="18">
        <f>IFERROR(
                  Andel_oberoende_av_klimat*VLOOKUP($A84,Leveranser_per_nät,'Leveranser per nät'!R$1,FALSE)
               +Andel_beroende_av_klimat*VLOOKUP($A84,Leveranser_per_nät,'Leveranser per nät'!R$1,FALSE)/VLOOKUP($B84,Korrigeringsfaktor_GD,'Korrigeringsfaktor GD'!R$1,FALSE),
"")</f>
        <v>1.9823538461538464</v>
      </c>
      <c r="S84" s="18" t="str">
        <f>IFERROR(
                  Andel_oberoende_av_klimat*VLOOKUP($A84,Leveranser_per_nät,'Leveranser per nät'!S$1,FALSE)
               +Andel_beroende_av_klimat*VLOOKUP($A84,Leveranser_per_nät,'Leveranser per nät'!S$1,FALSE)/VLOOKUP($B84,Korrigeringsfaktor_GD,'Korrigeringsfaktor GD'!S$1,FALSE),
"")</f>
        <v/>
      </c>
      <c r="T84" s="18" t="str">
        <f>IFERROR(
                  Andel_oberoende_av_klimat*VLOOKUP($A84,Leveranser_per_nät,'Leveranser per nät'!T$1,FALSE)
               +Andel_beroende_av_klimat*VLOOKUP($A84,Leveranser_per_nät,'Leveranser per nät'!T$1,FALSE)/VLOOKUP($B84,Korrigeringsfaktor_GD,'Korrigeringsfaktor GD'!T$1,FALSE),
"")</f>
        <v/>
      </c>
      <c r="U84" s="18" t="str">
        <f>IFERROR(
                  Andel_oberoende_av_klimat*VLOOKUP($A84,Leveranser_per_nät,'Leveranser per nät'!U$1,FALSE)
               +Andel_beroende_av_klimat*VLOOKUP($A84,Leveranser_per_nät,'Leveranser per nät'!U$1,FALSE)/VLOOKUP($B84,Korrigeringsfaktor_GD,'Korrigeringsfaktor GD'!U$1,FALSE),
"")</f>
        <v/>
      </c>
      <c r="V84" s="18" t="str">
        <f>IFERROR(
                  Andel_oberoende_av_klimat*VLOOKUP($A84,Leveranser_per_nät,'Leveranser per nät'!V$1,FALSE)
               +Andel_beroende_av_klimat*VLOOKUP($A84,Leveranser_per_nät,'Leveranser per nät'!V$1,FALSE)/VLOOKUP($B84,Korrigeringsfaktor_GD,'Korrigeringsfaktor GD'!V$1,FALSE),
"")</f>
        <v/>
      </c>
      <c r="W84" s="18" t="str">
        <f>IFERROR(
                  Andel_oberoende_av_klimat*VLOOKUP($A84,Leveranser_per_nät,'Leveranser per nät'!W$1,FALSE)
               +Andel_beroende_av_klimat*VLOOKUP($A84,Leveranser_per_nät,'Leveranser per nät'!W$1,FALSE)/VLOOKUP($B84,Korrigeringsfaktor_GD,'Korrigeringsfaktor GD'!W$1,FALSE),
"")</f>
        <v/>
      </c>
      <c r="X84" s="18" t="str">
        <f>IFERROR(
                  Andel_oberoende_av_klimat*VLOOKUP($A84,Leveranser_per_nät,'Leveranser per nät'!X$1,FALSE)
               +Andel_beroende_av_klimat*VLOOKUP($A84,Leveranser_per_nät,'Leveranser per nät'!X$1,FALSE)/VLOOKUP($B84,Korrigeringsfaktor_GD,'Korrigeringsfaktor GD'!X$1,FALSE),
"")</f>
        <v/>
      </c>
      <c r="Y84" s="18" t="str">
        <f>IFERROR(
                  Andel_oberoende_av_klimat*VLOOKUP($A84,Leveranser_per_nät,'Leveranser per nät'!Y$1,FALSE)
               +Andel_beroende_av_klimat*VLOOKUP($A84,Leveranser_per_nät,'Leveranser per nät'!Y$1,FALSE)/VLOOKUP($B84,Korrigeringsfaktor_GD,'Korrigeringsfaktor GD'!Y$1,FALSE),
"")</f>
        <v/>
      </c>
      <c r="Z84" s="18">
        <f>IFERROR(
                  Andel_oberoende_av_klimat*VLOOKUP($A84,Leveranser_per_nät,'Leveranser per nät'!Z$1,FALSE)
               +Andel_beroende_av_klimat*VLOOKUP($A84,Leveranser_per_nät,'Leveranser per nät'!Z$1,FALSE)/VLOOKUP($B84,Korrigeringsfaktor_GD,'Korrigeringsfaktor GD'!Z$1,FALSE),
"")</f>
        <v>0</v>
      </c>
      <c r="AA84" s="18" t="str">
        <f>IFERROR(
                  Andel_oberoende_av_klimat*VLOOKUP($A84,Leveranser_per_nät,'Leveranser per nät'!AA$1,FALSE)
               +Andel_beroende_av_klimat*VLOOKUP($A84,Leveranser_per_nät,'Leveranser per nät'!AA$1,FALSE)/VLOOKUP($B84,Korrigeringsfaktor_GD,'Korrigeringsfaktor GD'!AA$1,FALSE),
"")</f>
        <v/>
      </c>
      <c r="AB84" s="18">
        <f>IFERROR(
                  Andel_oberoende_av_klimat*VLOOKUP($A84,Leveranser_per_nät,'Leveranser per nät'!AB$1,FALSE)
               +Andel_beroende_av_klimat*VLOOKUP($A84,Leveranser_per_nät,'Leveranser per nät'!AB$1,FALSE)/VLOOKUP($B84,Korrigeringsfaktor_GD,'Korrigeringsfaktor GD'!AB$1,FALSE),
"")</f>
        <v>2.128187351778656</v>
      </c>
      <c r="AC84" s="18">
        <f>IFERROR(
                  Andel_oberoende_av_klimat*VLOOKUP($A84,Leveranser_per_nät,'Leveranser per nät'!AC$1,FALSE)
               +Andel_beroende_av_klimat*VLOOKUP($A84,Leveranser_per_nät,'Leveranser per nät'!AC$1,FALSE)/VLOOKUP($B84,Korrigeringsfaktor_GD,'Korrigeringsfaktor GD'!AC$1,FALSE),
"")</f>
        <v>2.1993949632738716</v>
      </c>
      <c r="AD84" t="e">
        <v>#N/A</v>
      </c>
    </row>
    <row r="85" spans="1:30" x14ac:dyDescent="0.25">
      <c r="A85" t="s">
        <v>239</v>
      </c>
      <c r="B85" t="s">
        <v>239</v>
      </c>
      <c r="C85" s="18"/>
      <c r="D85" s="18"/>
      <c r="E85" s="18"/>
      <c r="F85" s="18"/>
      <c r="G85" s="18"/>
      <c r="H85" s="18"/>
      <c r="I85" s="18"/>
      <c r="J85" s="18"/>
      <c r="K85" s="18">
        <f>IFERROR(
                  Andel_oberoende_av_klimat*VLOOKUP($A85,Leveranser_per_nät,'Leveranser per nät'!K$1,FALSE)
               +Andel_beroende_av_klimat*VLOOKUP($A85,Leveranser_per_nät,'Leveranser per nät'!K$1,FALSE)/VLOOKUP($B85,Korrigeringsfaktor_GD,'Korrigeringsfaktor GD'!K$1,FALSE),
"")</f>
        <v>40.621204040404038</v>
      </c>
      <c r="L85" s="18">
        <f>IFERROR(
                  Andel_oberoende_av_klimat*VLOOKUP($A85,Leveranser_per_nät,'Leveranser per nät'!L$1,FALSE)
               +Andel_beroende_av_klimat*VLOOKUP($A85,Leveranser_per_nät,'Leveranser per nät'!L$1,FALSE)/VLOOKUP($B85,Korrigeringsfaktor_GD,'Korrigeringsfaktor GD'!L$1,FALSE),
"")</f>
        <v>41.52366</v>
      </c>
      <c r="M85" s="18">
        <f>IFERROR(
                  Andel_oberoende_av_klimat*VLOOKUP($A85,Leveranser_per_nät,'Leveranser per nät'!M$1,FALSE)
               +Andel_beroende_av_klimat*VLOOKUP($A85,Leveranser_per_nät,'Leveranser per nät'!M$1,FALSE)/VLOOKUP($B85,Korrigeringsfaktor_GD,'Korrigeringsfaktor GD'!M$1,FALSE),
"")</f>
        <v>47.203590322580645</v>
      </c>
      <c r="N85" s="18">
        <f>IFERROR(
                  Andel_oberoende_av_klimat*VLOOKUP($A85,Leveranser_per_nät,'Leveranser per nät'!N$1,FALSE)
               +Andel_beroende_av_klimat*VLOOKUP($A85,Leveranser_per_nät,'Leveranser per nät'!N$1,FALSE)/VLOOKUP($B85,Korrigeringsfaktor_GD,'Korrigeringsfaktor GD'!N$1,FALSE),
"")</f>
        <v>49.400452173913052</v>
      </c>
      <c r="O85" s="18">
        <f>IFERROR(
                  Andel_oberoende_av_klimat*VLOOKUP($A85,Leveranser_per_nät,'Leveranser per nät'!O$1,FALSE)
               +Andel_beroende_av_klimat*VLOOKUP($A85,Leveranser_per_nät,'Leveranser per nät'!O$1,FALSE)/VLOOKUP($B85,Korrigeringsfaktor_GD,'Korrigeringsfaktor GD'!O$1,FALSE),
"")</f>
        <v>50.483919101123597</v>
      </c>
      <c r="P85" s="18">
        <f>IFERROR(
                  Andel_oberoende_av_klimat*VLOOKUP($A85,Leveranser_per_nät,'Leveranser per nät'!P$1,FALSE)
               +Andel_beroende_av_klimat*VLOOKUP($A85,Leveranser_per_nät,'Leveranser per nät'!P$1,FALSE)/VLOOKUP($B85,Korrigeringsfaktor_GD,'Korrigeringsfaktor GD'!P$1,FALSE),
"")</f>
        <v>49.513371428571432</v>
      </c>
      <c r="Q85" s="18">
        <f>IFERROR(
                  Andel_oberoende_av_klimat*VLOOKUP($A85,Leveranser_per_nät,'Leveranser per nät'!Q$1,FALSE)
               +Andel_beroende_av_klimat*VLOOKUP($A85,Leveranser_per_nät,'Leveranser per nät'!Q$1,FALSE)/VLOOKUP($B85,Korrigeringsfaktor_GD,'Korrigeringsfaktor GD'!Q$1,FALSE),
"")</f>
        <v>49.133800854700858</v>
      </c>
      <c r="R85" s="18">
        <f>IFERROR(
                  Andel_oberoende_av_klimat*VLOOKUP($A85,Leveranser_per_nät,'Leveranser per nät'!R$1,FALSE)
               +Andel_beroende_av_klimat*VLOOKUP($A85,Leveranser_per_nät,'Leveranser per nät'!R$1,FALSE)/VLOOKUP($B85,Korrigeringsfaktor_GD,'Korrigeringsfaktor GD'!R$1,FALSE),
"")</f>
        <v>47.687692307692309</v>
      </c>
      <c r="S85" s="18">
        <f>IFERROR(
                  Andel_oberoende_av_klimat*VLOOKUP($A85,Leveranser_per_nät,'Leveranser per nät'!S$1,FALSE)
               +Andel_beroende_av_klimat*VLOOKUP($A85,Leveranser_per_nät,'Leveranser per nät'!S$1,FALSE)/VLOOKUP($B85,Korrigeringsfaktor_GD,'Korrigeringsfaktor GD'!S$1,FALSE),
"")</f>
        <v>49</v>
      </c>
      <c r="T85" s="18">
        <f>IFERROR(
                  Andel_oberoende_av_klimat*VLOOKUP($A85,Leveranser_per_nät,'Leveranser per nät'!T$1,FALSE)
               +Andel_beroende_av_klimat*VLOOKUP($A85,Leveranser_per_nät,'Leveranser per nät'!T$1,FALSE)/VLOOKUP($B85,Korrigeringsfaktor_GD,'Korrigeringsfaktor GD'!T$1,FALSE),
"")</f>
        <v>49.550000000000004</v>
      </c>
      <c r="U85" s="18">
        <f>IFERROR(
                  Andel_oberoende_av_klimat*VLOOKUP($A85,Leveranser_per_nät,'Leveranser per nät'!U$1,FALSE)
               +Andel_beroende_av_klimat*VLOOKUP($A85,Leveranser_per_nät,'Leveranser per nät'!U$1,FALSE)/VLOOKUP($B85,Korrigeringsfaktor_GD,'Korrigeringsfaktor GD'!U$1,FALSE),
"")</f>
        <v>49.733636363636364</v>
      </c>
      <c r="V85" s="18">
        <f>IFERROR(
                  Andel_oberoende_av_klimat*VLOOKUP($A85,Leveranser_per_nät,'Leveranser per nät'!V$1,FALSE)
               +Andel_beroende_av_klimat*VLOOKUP($A85,Leveranser_per_nät,'Leveranser per nät'!V$1,FALSE)/VLOOKUP($B85,Korrigeringsfaktor_GD,'Korrigeringsfaktor GD'!V$1,FALSE),
"")</f>
        <v>49.29545454545454</v>
      </c>
      <c r="W85" s="18">
        <f>IFERROR(
                  Andel_oberoende_av_klimat*VLOOKUP($A85,Leveranser_per_nät,'Leveranser per nät'!W$1,FALSE)
               +Andel_beroende_av_klimat*VLOOKUP($A85,Leveranser_per_nät,'Leveranser per nät'!W$1,FALSE)/VLOOKUP($B85,Korrigeringsfaktor_GD,'Korrigeringsfaktor GD'!W$1,FALSE),
"")</f>
        <v>50.144680851063825</v>
      </c>
      <c r="X85" s="18">
        <f>IFERROR(
                  Andel_oberoende_av_klimat*VLOOKUP($A85,Leveranser_per_nät,'Leveranser per nät'!X$1,FALSE)
               +Andel_beroende_av_klimat*VLOOKUP($A85,Leveranser_per_nät,'Leveranser per nät'!X$1,FALSE)/VLOOKUP($B85,Korrigeringsfaktor_GD,'Korrigeringsfaktor GD'!X$1,FALSE),
"")</f>
        <v>49.792150537634413</v>
      </c>
      <c r="Y85" s="18">
        <f>IFERROR(
                  Andel_oberoende_av_klimat*VLOOKUP($A85,Leveranser_per_nät,'Leveranser per nät'!Y$1,FALSE)
               +Andel_beroende_av_klimat*VLOOKUP($A85,Leveranser_per_nät,'Leveranser per nät'!Y$1,FALSE)/VLOOKUP($B85,Korrigeringsfaktor_GD,'Korrigeringsfaktor GD'!Y$1,FALSE),
"")</f>
        <v>50.107956989247313</v>
      </c>
      <c r="Z85" s="18">
        <f>IFERROR(
                  Andel_oberoende_av_klimat*VLOOKUP($A85,Leveranser_per_nät,'Leveranser per nät'!Z$1,FALSE)
               +Andel_beroende_av_klimat*VLOOKUP($A85,Leveranser_per_nät,'Leveranser per nät'!Z$1,FALSE)/VLOOKUP($B85,Korrigeringsfaktor_GD,'Korrigeringsfaktor GD'!Z$1,FALSE),
"")</f>
        <v>48.675955056179774</v>
      </c>
      <c r="AA85" s="18">
        <f>IFERROR(
                  Andel_oberoende_av_klimat*VLOOKUP($A85,Leveranser_per_nät,'Leveranser per nät'!AA$1,FALSE)
               +Andel_beroende_av_klimat*VLOOKUP($A85,Leveranser_per_nät,'Leveranser per nät'!AA$1,FALSE)/VLOOKUP($B85,Korrigeringsfaktor_GD,'Korrigeringsfaktor GD'!AA$1,FALSE),
"")</f>
        <v>45.185303210463736</v>
      </c>
      <c r="AB85" s="18">
        <f>IFERROR(
                  Andel_oberoende_av_klimat*VLOOKUP($A85,Leveranser_per_nät,'Leveranser per nät'!AB$1,FALSE)
               +Andel_beroende_av_klimat*VLOOKUP($A85,Leveranser_per_nät,'Leveranser per nät'!AB$1,FALSE)/VLOOKUP($B85,Korrigeringsfaktor_GD,'Korrigeringsfaktor GD'!AB$1,FALSE),
"")</f>
        <v>47.006561264822139</v>
      </c>
      <c r="AC85" s="18">
        <f>IFERROR(
                  Andel_oberoende_av_klimat*VLOOKUP($A85,Leveranser_per_nät,'Leveranser per nät'!AC$1,FALSE)
               +Andel_beroende_av_klimat*VLOOKUP($A85,Leveranser_per_nät,'Leveranser per nät'!AC$1,FALSE)/VLOOKUP($B85,Korrigeringsfaktor_GD,'Korrigeringsfaktor GD'!AC$1,FALSE),
"")</f>
        <v>44.931764705882344</v>
      </c>
      <c r="AD85">
        <v>43.4</v>
      </c>
    </row>
    <row r="86" spans="1:30" x14ac:dyDescent="0.25">
      <c r="A86" t="s">
        <v>486</v>
      </c>
      <c r="B86" t="s">
        <v>80</v>
      </c>
      <c r="C86" s="18"/>
      <c r="D86" s="18"/>
      <c r="E86" s="18"/>
      <c r="F86" s="18"/>
      <c r="G86" s="18"/>
      <c r="H86" s="18"/>
      <c r="I86" s="18"/>
      <c r="J86" s="18"/>
      <c r="K86" s="18"/>
      <c r="L86" s="18"/>
      <c r="M86" s="18"/>
      <c r="N86" s="18"/>
      <c r="O86" s="18"/>
      <c r="P86" s="18"/>
      <c r="Q86" s="18">
        <f>IFERROR(
                  Andel_oberoende_av_klimat*VLOOKUP($A86,Leveranser_per_nät,'Leveranser per nät'!Q$1,FALSE)
               +Andel_beroende_av_klimat*VLOOKUP($A86,Leveranser_per_nät,'Leveranser per nät'!Q$1,FALSE)/VLOOKUP($B86,Korrigeringsfaktor_GD,'Korrigeringsfaktor GD'!Q$1,FALSE),
"")</f>
        <v>1.7366666666666668</v>
      </c>
      <c r="R86" s="18">
        <f>IFERROR(
                  Andel_oberoende_av_klimat*VLOOKUP($A86,Leveranser_per_nät,'Leveranser per nät'!R$1,FALSE)
               +Andel_beroende_av_klimat*VLOOKUP($A86,Leveranser_per_nät,'Leveranser per nät'!R$1,FALSE)/VLOOKUP($B86,Korrigeringsfaktor_GD,'Korrigeringsfaktor GD'!R$1,FALSE),
"")</f>
        <v>1.5241681461538461</v>
      </c>
      <c r="S86" s="18">
        <f>IFERROR(
                  Andel_oberoende_av_klimat*VLOOKUP($A86,Leveranser_per_nät,'Leveranser per nät'!S$1,FALSE)
               +Andel_beroende_av_klimat*VLOOKUP($A86,Leveranser_per_nät,'Leveranser per nät'!S$1,FALSE)/VLOOKUP($B86,Korrigeringsfaktor_GD,'Korrigeringsfaktor GD'!S$1,FALSE),
"")</f>
        <v>1.58</v>
      </c>
      <c r="T86" s="18">
        <f>IFERROR(
                  Andel_oberoende_av_klimat*VLOOKUP($A86,Leveranser_per_nät,'Leveranser per nät'!T$1,FALSE)
               +Andel_beroende_av_klimat*VLOOKUP($A86,Leveranser_per_nät,'Leveranser per nät'!T$1,FALSE)/VLOOKUP($B86,Korrigeringsfaktor_GD,'Korrigeringsfaktor GD'!T$1,FALSE),
"")</f>
        <v>1.6142061855670105</v>
      </c>
      <c r="U86" s="18">
        <f>IFERROR(
                  Andel_oberoende_av_klimat*VLOOKUP($A86,Leveranser_per_nät,'Leveranser per nät'!U$1,FALSE)
               +Andel_beroende_av_klimat*VLOOKUP($A86,Leveranser_per_nät,'Leveranser per nät'!U$1,FALSE)/VLOOKUP($B86,Korrigeringsfaktor_GD,'Korrigeringsfaktor GD'!U$1,FALSE),
"")</f>
        <v>0.33418604651162792</v>
      </c>
      <c r="V86" s="18">
        <f>IFERROR(
                  Andel_oberoende_av_klimat*VLOOKUP($A86,Leveranser_per_nät,'Leveranser per nät'!V$1,FALSE)
               +Andel_beroende_av_klimat*VLOOKUP($A86,Leveranser_per_nät,'Leveranser per nät'!V$1,FALSE)/VLOOKUP($B86,Korrigeringsfaktor_GD,'Korrigeringsfaktor GD'!V$1,FALSE),
"")</f>
        <v>1.7976470588235296</v>
      </c>
      <c r="W86" s="18">
        <f>IFERROR(
                  Andel_oberoende_av_klimat*VLOOKUP($A86,Leveranser_per_nät,'Leveranser per nät'!W$1,FALSE)
               +Andel_beroende_av_klimat*VLOOKUP($A86,Leveranser_per_nät,'Leveranser per nät'!W$1,FALSE)/VLOOKUP($B86,Korrigeringsfaktor_GD,'Korrigeringsfaktor GD'!W$1,FALSE),
"")</f>
        <v>1.6038461538461535</v>
      </c>
      <c r="X86" s="18">
        <f>IFERROR(
                  Andel_oberoende_av_klimat*VLOOKUP($A86,Leveranser_per_nät,'Leveranser per nät'!X$1,FALSE)
               +Andel_beroende_av_klimat*VLOOKUP($A86,Leveranser_per_nät,'Leveranser per nät'!X$1,FALSE)/VLOOKUP($B86,Korrigeringsfaktor_GD,'Korrigeringsfaktor GD'!X$1,FALSE),
"")</f>
        <v>1.6297752808988761</v>
      </c>
      <c r="Y86" s="18">
        <f>IFERROR(
                  Andel_oberoende_av_klimat*VLOOKUP($A86,Leveranser_per_nät,'Leveranser per nät'!Y$1,FALSE)
               +Andel_beroende_av_klimat*VLOOKUP($A86,Leveranser_per_nät,'Leveranser per nät'!Y$1,FALSE)/VLOOKUP($B86,Korrigeringsfaktor_GD,'Korrigeringsfaktor GD'!Y$1,FALSE),
"")</f>
        <v>1.5336363636363637</v>
      </c>
      <c r="Z86" s="18">
        <f>IFERROR(
                  Andel_oberoende_av_klimat*VLOOKUP($A86,Leveranser_per_nät,'Leveranser per nät'!Z$1,FALSE)
               +Andel_beroende_av_klimat*VLOOKUP($A86,Leveranser_per_nät,'Leveranser per nät'!Z$1,FALSE)/VLOOKUP($B86,Korrigeringsfaktor_GD,'Korrigeringsfaktor GD'!Z$1,FALSE),
"")</f>
        <v>1.4625531914893615</v>
      </c>
      <c r="AA86" s="18">
        <f>IFERROR(
                  Andel_oberoende_av_klimat*VLOOKUP($A86,Leveranser_per_nät,'Leveranser per nät'!AA$1,FALSE)
               +Andel_beroende_av_klimat*VLOOKUP($A86,Leveranser_per_nät,'Leveranser per nät'!AA$1,FALSE)/VLOOKUP($B86,Korrigeringsfaktor_GD,'Korrigeringsfaktor GD'!AA$1,FALSE),
"")</f>
        <v>1.366713780918728</v>
      </c>
      <c r="AB86" s="18">
        <f>IFERROR(
                  Andel_oberoende_av_klimat*VLOOKUP($A86,Leveranser_per_nät,'Leveranser per nät'!AB$1,FALSE)
               +Andel_beroende_av_klimat*VLOOKUP($A86,Leveranser_per_nät,'Leveranser per nät'!AB$1,FALSE)/VLOOKUP($B86,Korrigeringsfaktor_GD,'Korrigeringsfaktor GD'!AB$1,FALSE),
"")</f>
        <v>1.4885756676557862</v>
      </c>
      <c r="AC86" s="18">
        <f>IFERROR(
                  Andel_oberoende_av_klimat*VLOOKUP($A86,Leveranser_per_nät,'Leveranser per nät'!AC$1,FALSE)
               +Andel_beroende_av_klimat*VLOOKUP($A86,Leveranser_per_nät,'Leveranser per nät'!AC$1,FALSE)/VLOOKUP($B86,Korrigeringsfaktor_GD,'Korrigeringsfaktor GD'!AC$1,FALSE),
"")</f>
        <v>1.3653483386923901</v>
      </c>
      <c r="AD86">
        <v>46.6</v>
      </c>
    </row>
    <row r="87" spans="1:30" x14ac:dyDescent="0.25">
      <c r="A87" t="s">
        <v>107</v>
      </c>
      <c r="B87" t="s">
        <v>106</v>
      </c>
      <c r="C87" s="18">
        <f>IFERROR(
                  Andel_oberoende_av_klimat*VLOOKUP($A87,Leveranser_per_nät,'Leveranser per nät'!C$1,FALSE)
               +Andel_beroende_av_klimat*VLOOKUP($A87,Leveranser_per_nät,'Leveranser per nät'!C$1,FALSE)/VLOOKUP($B87,Korrigeringsfaktor_GD,'Korrigeringsfaktor GD'!C$1,FALSE),
"")</f>
        <v>7.4450450450450445</v>
      </c>
      <c r="D87" s="18">
        <f>IFERROR(
                  Andel_oberoende_av_klimat*VLOOKUP($A87,Leveranser_per_nät,'Leveranser per nät'!D$1,FALSE)
               +Andel_beroende_av_klimat*VLOOKUP($A87,Leveranser_per_nät,'Leveranser per nät'!D$1,FALSE)/VLOOKUP($B87,Korrigeringsfaktor_GD,'Korrigeringsfaktor GD'!D$1,FALSE),
"")</f>
        <v>5.770515151515152</v>
      </c>
      <c r="E87" s="18">
        <f>IFERROR(
                  Andel_oberoende_av_klimat*VLOOKUP($A87,Leveranser_per_nät,'Leveranser per nät'!E$1,FALSE)
               +Andel_beroende_av_klimat*VLOOKUP($A87,Leveranser_per_nät,'Leveranser per nät'!E$1,FALSE)/VLOOKUP($B87,Korrigeringsfaktor_GD,'Korrigeringsfaktor GD'!E$1,FALSE),
"")</f>
        <v>6.9514851485148519</v>
      </c>
      <c r="F87" s="18">
        <f>IFERROR(
                  Andel_oberoende_av_klimat*VLOOKUP($A87,Leveranser_per_nät,'Leveranser per nät'!F$1,FALSE)
               +Andel_beroende_av_klimat*VLOOKUP($A87,Leveranser_per_nät,'Leveranser per nät'!F$1,FALSE)/VLOOKUP($B87,Korrigeringsfaktor_GD,'Korrigeringsfaktor GD'!F$1,FALSE),
"")</f>
        <v>7.2578947368421058</v>
      </c>
      <c r="G87" s="18">
        <f>IFERROR(
                  Andel_oberoende_av_klimat*VLOOKUP($A87,Leveranser_per_nät,'Leveranser per nät'!G$1,FALSE)
               +Andel_beroende_av_klimat*VLOOKUP($A87,Leveranser_per_nät,'Leveranser per nät'!G$1,FALSE)/VLOOKUP($B87,Korrigeringsfaktor_GD,'Korrigeringsfaktor GD'!G$1,FALSE),
"")</f>
        <v>7.7321839080459771</v>
      </c>
      <c r="H87" s="18">
        <f>IFERROR(
                  Andel_oberoende_av_klimat*VLOOKUP($A87,Leveranser_per_nät,'Leveranser per nät'!H$1,FALSE)
               +Andel_beroende_av_klimat*VLOOKUP($A87,Leveranser_per_nät,'Leveranser per nät'!H$1,FALSE)/VLOOKUP($B87,Korrigeringsfaktor_GD,'Korrigeringsfaktor GD'!H$1,FALSE),
"")</f>
        <v>8</v>
      </c>
      <c r="I87" s="18">
        <f>IFERROR(
                  Andel_oberoende_av_klimat*VLOOKUP($A87,Leveranser_per_nät,'Leveranser per nät'!I$1,FALSE)
               +Andel_beroende_av_klimat*VLOOKUP($A87,Leveranser_per_nät,'Leveranser per nät'!I$1,FALSE)/VLOOKUP($B87,Korrigeringsfaktor_GD,'Korrigeringsfaktor GD'!I$1,FALSE),
"")</f>
        <v>8.3574468085106375</v>
      </c>
      <c r="J87" s="18">
        <f>IFERROR(
                  Andel_oberoende_av_klimat*VLOOKUP($A87,Leveranser_per_nät,'Leveranser per nät'!J$1,FALSE)
               +Andel_beroende_av_klimat*VLOOKUP($A87,Leveranser_per_nät,'Leveranser per nät'!J$1,FALSE)/VLOOKUP($B87,Korrigeringsfaktor_GD,'Korrigeringsfaktor GD'!J$1,FALSE),
"")</f>
        <v>8.1731958762886592</v>
      </c>
      <c r="K87" s="18">
        <f>IFERROR(
                  Andel_oberoende_av_klimat*VLOOKUP($A87,Leveranser_per_nät,'Leveranser per nät'!K$1,FALSE)
               +Andel_beroende_av_klimat*VLOOKUP($A87,Leveranser_per_nät,'Leveranser per nät'!K$1,FALSE)/VLOOKUP($B87,Korrigeringsfaktor_GD,'Korrigeringsfaktor GD'!K$1,FALSE),
"")</f>
        <v>7.9631571428571419</v>
      </c>
      <c r="L87" s="18">
        <f>IFERROR(
                  Andel_oberoende_av_klimat*VLOOKUP($A87,Leveranser_per_nät,'Leveranser per nät'!L$1,FALSE)
               +Andel_beroende_av_klimat*VLOOKUP($A87,Leveranser_per_nät,'Leveranser per nät'!L$1,FALSE)/VLOOKUP($B87,Korrigeringsfaktor_GD,'Korrigeringsfaktor GD'!L$1,FALSE),
"")</f>
        <v>8.2518583333333346</v>
      </c>
      <c r="M87" s="18">
        <f>IFERROR(
                  Andel_oberoende_av_klimat*VLOOKUP($A87,Leveranser_per_nät,'Leveranser per nät'!M$1,FALSE)
               +Andel_beroende_av_klimat*VLOOKUP($A87,Leveranser_per_nät,'Leveranser per nät'!M$1,FALSE)/VLOOKUP($B87,Korrigeringsfaktor_GD,'Korrigeringsfaktor GD'!M$1,FALSE),
"")</f>
        <v>8.9478494623655909</v>
      </c>
      <c r="N87" s="18">
        <f>IFERROR(
                  Andel_oberoende_av_klimat*VLOOKUP($A87,Leveranser_per_nät,'Leveranser per nät'!N$1,FALSE)
               +Andel_beroende_av_klimat*VLOOKUP($A87,Leveranser_per_nät,'Leveranser per nät'!N$1,FALSE)/VLOOKUP($B87,Korrigeringsfaktor_GD,'Korrigeringsfaktor GD'!N$1,FALSE),
"")</f>
        <v>11.440769230769231</v>
      </c>
      <c r="O87" s="18">
        <f>IFERROR(
                  Andel_oberoende_av_klimat*VLOOKUP($A87,Leveranser_per_nät,'Leveranser per nät'!O$1,FALSE)
               +Andel_beroende_av_klimat*VLOOKUP($A87,Leveranser_per_nät,'Leveranser per nät'!O$1,FALSE)/VLOOKUP($B87,Korrigeringsfaktor_GD,'Korrigeringsfaktor GD'!O$1,FALSE),
"")</f>
        <v>10.238888888888889</v>
      </c>
      <c r="P87" s="18">
        <f>IFERROR(
                  Andel_oberoende_av_klimat*VLOOKUP($A87,Leveranser_per_nät,'Leveranser per nät'!P$1,FALSE)
               +Andel_beroende_av_klimat*VLOOKUP($A87,Leveranser_per_nät,'Leveranser per nät'!P$1,FALSE)/VLOOKUP($B87,Korrigeringsfaktor_GD,'Korrigeringsfaktor GD'!P$1,FALSE),
"")</f>
        <v>11.055714285714286</v>
      </c>
      <c r="Q87" s="18">
        <f>IFERROR(
                  Andel_oberoende_av_klimat*VLOOKUP($A87,Leveranser_per_nät,'Leveranser per nät'!Q$1,FALSE)
               +Andel_beroende_av_klimat*VLOOKUP($A87,Leveranser_per_nät,'Leveranser per nät'!Q$1,FALSE)/VLOOKUP($B87,Korrigeringsfaktor_GD,'Korrigeringsfaktor GD'!Q$1,FALSE),
"")</f>
        <v>11.587948717948718</v>
      </c>
      <c r="R87" s="18">
        <f>IFERROR(
                  Andel_oberoende_av_klimat*VLOOKUP($A87,Leveranser_per_nät,'Leveranser per nät'!R$1,FALSE)
               +Andel_beroende_av_klimat*VLOOKUP($A87,Leveranser_per_nät,'Leveranser per nät'!R$1,FALSE)/VLOOKUP($B87,Korrigeringsfaktor_GD,'Korrigeringsfaktor GD'!R$1,FALSE),
"")</f>
        <v>11.398</v>
      </c>
      <c r="S87" s="18">
        <f>IFERROR(
                  Andel_oberoende_av_klimat*VLOOKUP($A87,Leveranser_per_nät,'Leveranser per nät'!S$1,FALSE)
               +Andel_beroende_av_klimat*VLOOKUP($A87,Leveranser_per_nät,'Leveranser per nät'!S$1,FALSE)/VLOOKUP($B87,Korrigeringsfaktor_GD,'Korrigeringsfaktor GD'!S$1,FALSE),
"")</f>
        <v>11.718217821782179</v>
      </c>
      <c r="T87" s="18">
        <f>IFERROR(
                  Andel_oberoende_av_klimat*VLOOKUP($A87,Leveranser_per_nät,'Leveranser per nät'!T$1,FALSE)
               +Andel_beroende_av_klimat*VLOOKUP($A87,Leveranser_per_nät,'Leveranser per nät'!T$1,FALSE)/VLOOKUP($B87,Korrigeringsfaktor_GD,'Korrigeringsfaktor GD'!T$1,FALSE),
"")</f>
        <v>11.838742857142858</v>
      </c>
      <c r="U87" s="18">
        <f>IFERROR(
                  Andel_oberoende_av_klimat*VLOOKUP($A87,Leveranser_per_nät,'Leveranser per nät'!U$1,FALSE)
               +Andel_beroende_av_klimat*VLOOKUP($A87,Leveranser_per_nät,'Leveranser per nät'!U$1,FALSE)/VLOOKUP($B87,Korrigeringsfaktor_GD,'Korrigeringsfaktor GD'!U$1,FALSE),
"")</f>
        <v>10.248372093023256</v>
      </c>
      <c r="V87" s="18">
        <f>IFERROR(
                  Andel_oberoende_av_klimat*VLOOKUP($A87,Leveranser_per_nät,'Leveranser per nät'!V$1,FALSE)
               +Andel_beroende_av_klimat*VLOOKUP($A87,Leveranser_per_nät,'Leveranser per nät'!V$1,FALSE)/VLOOKUP($B87,Korrigeringsfaktor_GD,'Korrigeringsfaktor GD'!V$1,FALSE),
"")</f>
        <v>10.37153846153846</v>
      </c>
      <c r="W87" s="18">
        <f>IFERROR(
                  Andel_oberoende_av_klimat*VLOOKUP($A87,Leveranser_per_nät,'Leveranser per nät'!W$1,FALSE)
               +Andel_beroende_av_klimat*VLOOKUP($A87,Leveranser_per_nät,'Leveranser per nät'!W$1,FALSE)/VLOOKUP($B87,Korrigeringsfaktor_GD,'Korrigeringsfaktor GD'!W$1,FALSE),
"")</f>
        <v>11.178085106382978</v>
      </c>
      <c r="X87" s="18">
        <f>IFERROR(
                  Andel_oberoende_av_klimat*VLOOKUP($A87,Leveranser_per_nät,'Leveranser per nät'!X$1,FALSE)
               +Andel_beroende_av_klimat*VLOOKUP($A87,Leveranser_per_nät,'Leveranser per nät'!X$1,FALSE)/VLOOKUP($B87,Korrigeringsfaktor_GD,'Korrigeringsfaktor GD'!X$1,FALSE),
"")</f>
        <v>10.714782608695652</v>
      </c>
      <c r="Y87" s="18">
        <f>IFERROR(
                  Andel_oberoende_av_klimat*VLOOKUP($A87,Leveranser_per_nät,'Leveranser per nät'!Y$1,FALSE)
               +Andel_beroende_av_klimat*VLOOKUP($A87,Leveranser_per_nät,'Leveranser per nät'!Y$1,FALSE)/VLOOKUP($B87,Korrigeringsfaktor_GD,'Korrigeringsfaktor GD'!Y$1,FALSE),
"")</f>
        <v>11.654615384615386</v>
      </c>
      <c r="Z87" s="18">
        <f>IFERROR(
                  Andel_oberoende_av_klimat*VLOOKUP($A87,Leveranser_per_nät,'Leveranser per nät'!Z$1,FALSE)
               +Andel_beroende_av_klimat*VLOOKUP($A87,Leveranser_per_nät,'Leveranser per nät'!Z$1,FALSE)/VLOOKUP($B87,Korrigeringsfaktor_GD,'Korrigeringsfaktor GD'!Z$1,FALSE),
"")</f>
        <v>9.8873033707865154</v>
      </c>
      <c r="AA87" s="18">
        <f>IFERROR(
                  Andel_oberoende_av_klimat*VLOOKUP($A87,Leveranser_per_nät,'Leveranser per nät'!AA$1,FALSE)
               +Andel_beroende_av_klimat*VLOOKUP($A87,Leveranser_per_nät,'Leveranser per nät'!AA$1,FALSE)/VLOOKUP($B87,Korrigeringsfaktor_GD,'Korrigeringsfaktor GD'!AA$1,FALSE),
"")</f>
        <v>9.4314396635393081</v>
      </c>
      <c r="AB87" s="18">
        <f>IFERROR(
                  Andel_oberoende_av_klimat*VLOOKUP($A87,Leveranser_per_nät,'Leveranser per nät'!AB$1,FALSE)
               +Andel_beroende_av_klimat*VLOOKUP($A87,Leveranser_per_nät,'Leveranser per nät'!AB$1,FALSE)/VLOOKUP($B87,Korrigeringsfaktor_GD,'Korrigeringsfaktor GD'!AB$1,FALSE),
"")</f>
        <v>9.5937342386033002</v>
      </c>
      <c r="AC87" s="18">
        <f>IFERROR(
                  Andel_oberoende_av_klimat*VLOOKUP($A87,Leveranser_per_nät,'Leveranser per nät'!AC$1,FALSE)
               +Andel_beroende_av_klimat*VLOOKUP($A87,Leveranser_per_nät,'Leveranser per nät'!AC$1,FALSE)/VLOOKUP($B87,Korrigeringsfaktor_GD,'Korrigeringsfaktor GD'!AC$1,FALSE),
"")</f>
        <v>9.4344686192468625</v>
      </c>
      <c r="AD87">
        <v>98.03</v>
      </c>
    </row>
    <row r="88" spans="1:30" x14ac:dyDescent="0.25">
      <c r="A88" t="s">
        <v>397</v>
      </c>
      <c r="B88" t="s">
        <v>1</v>
      </c>
      <c r="C88" s="18"/>
      <c r="D88" s="18"/>
      <c r="E88" s="18"/>
      <c r="F88" s="18"/>
      <c r="G88" s="18"/>
      <c r="H88" s="18"/>
      <c r="I88" s="18"/>
      <c r="J88" s="18"/>
      <c r="K88" s="18"/>
      <c r="L88" s="18"/>
      <c r="M88" s="18"/>
      <c r="N88" s="18"/>
      <c r="O88" s="18"/>
      <c r="P88" s="18"/>
      <c r="Q88" s="18">
        <f>IFERROR(
                  Andel_oberoende_av_klimat*VLOOKUP($A88,Leveranser_per_nät,'Leveranser per nät'!Q$1,FALSE)
               +Andel_beroende_av_klimat*VLOOKUP($A88,Leveranser_per_nät,'Leveranser per nät'!Q$1,FALSE)/VLOOKUP($B88,Korrigeringsfaktor_GD,'Korrigeringsfaktor GD'!Q$1,FALSE),
"")</f>
        <v>7.0564406779661031</v>
      </c>
      <c r="R88" s="18">
        <f>IFERROR(
                  Andel_oberoende_av_klimat*VLOOKUP($A88,Leveranser_per_nät,'Leveranser per nät'!R$1,FALSE)
               +Andel_beroende_av_klimat*VLOOKUP($A88,Leveranser_per_nät,'Leveranser per nät'!R$1,FALSE)/VLOOKUP($B88,Korrigeringsfaktor_GD,'Korrigeringsfaktor GD'!R$1,FALSE),
"")</f>
        <v>6.95</v>
      </c>
      <c r="S88" s="18">
        <f>IFERROR(
                  Andel_oberoende_av_klimat*VLOOKUP($A88,Leveranser_per_nät,'Leveranser per nät'!S$1,FALSE)
               +Andel_beroende_av_klimat*VLOOKUP($A88,Leveranser_per_nät,'Leveranser per nät'!S$1,FALSE)/VLOOKUP($B88,Korrigeringsfaktor_GD,'Korrigeringsfaktor GD'!S$1,FALSE),
"")</f>
        <v>7.3970588235294112</v>
      </c>
      <c r="T88" s="18">
        <f>IFERROR(
                  Andel_oberoende_av_klimat*VLOOKUP($A88,Leveranser_per_nät,'Leveranser per nät'!T$1,FALSE)
               +Andel_beroende_av_klimat*VLOOKUP($A88,Leveranser_per_nät,'Leveranser per nät'!T$1,FALSE)/VLOOKUP($B88,Korrigeringsfaktor_GD,'Korrigeringsfaktor GD'!T$1,FALSE),
"")</f>
        <v>8.9257142857142853</v>
      </c>
      <c r="U88" s="18">
        <f>IFERROR(
                  Andel_oberoende_av_klimat*VLOOKUP($A88,Leveranser_per_nät,'Leveranser per nät'!U$1,FALSE)
               +Andel_beroende_av_klimat*VLOOKUP($A88,Leveranser_per_nät,'Leveranser per nät'!U$1,FALSE)/VLOOKUP($B88,Korrigeringsfaktor_GD,'Korrigeringsfaktor GD'!U$1,FALSE),
"")</f>
        <v>8.6511764705882364</v>
      </c>
      <c r="V88" s="18">
        <f>IFERROR(
                  Andel_oberoende_av_klimat*VLOOKUP($A88,Leveranser_per_nät,'Leveranser per nät'!V$1,FALSE)
               +Andel_beroende_av_klimat*VLOOKUP($A88,Leveranser_per_nät,'Leveranser per nät'!V$1,FALSE)/VLOOKUP($B88,Korrigeringsfaktor_GD,'Korrigeringsfaktor GD'!V$1,FALSE),
"")</f>
        <v>8.7299999999999986</v>
      </c>
      <c r="W88" s="18">
        <f>IFERROR(
                  Andel_oberoende_av_klimat*VLOOKUP($A88,Leveranser_per_nät,'Leveranser per nät'!W$1,FALSE)
               +Andel_beroende_av_klimat*VLOOKUP($A88,Leveranser_per_nät,'Leveranser per nät'!W$1,FALSE)/VLOOKUP($B88,Korrigeringsfaktor_GD,'Korrigeringsfaktor GD'!W$1,FALSE),
"")</f>
        <v>8.5420833333333341</v>
      </c>
      <c r="X88" s="18">
        <f>IFERROR(
                  Andel_oberoende_av_klimat*VLOOKUP($A88,Leveranser_per_nät,'Leveranser per nät'!X$1,FALSE)
               +Andel_beroende_av_klimat*VLOOKUP($A88,Leveranser_per_nät,'Leveranser per nät'!X$1,FALSE)/VLOOKUP($B88,Korrigeringsfaktor_GD,'Korrigeringsfaktor GD'!X$1,FALSE),
"")</f>
        <v>8.5663829787234036</v>
      </c>
      <c r="Y88" s="18">
        <f>IFERROR(
                  Andel_oberoende_av_klimat*VLOOKUP($A88,Leveranser_per_nät,'Leveranser per nät'!Y$1,FALSE)
               +Andel_beroende_av_klimat*VLOOKUP($A88,Leveranser_per_nät,'Leveranser per nät'!Y$1,FALSE)/VLOOKUP($B88,Korrigeringsfaktor_GD,'Korrigeringsfaktor GD'!Y$1,FALSE),
"")</f>
        <v>8.7373118279569901</v>
      </c>
      <c r="Z88" s="18">
        <f>IFERROR(
                  Andel_oberoende_av_klimat*VLOOKUP($A88,Leveranser_per_nät,'Leveranser per nät'!Z$1,FALSE)
               +Andel_beroende_av_klimat*VLOOKUP($A88,Leveranser_per_nät,'Leveranser per nät'!Z$1,FALSE)/VLOOKUP($B88,Korrigeringsfaktor_GD,'Korrigeringsfaktor GD'!Z$1,FALSE),
"")</f>
        <v>7.687875</v>
      </c>
      <c r="AA88" s="18">
        <f>IFERROR(
                  Andel_oberoende_av_klimat*VLOOKUP($A88,Leveranser_per_nät,'Leveranser per nät'!AA$1,FALSE)
               +Andel_beroende_av_klimat*VLOOKUP($A88,Leveranser_per_nät,'Leveranser per nät'!AA$1,FALSE)/VLOOKUP($B88,Korrigeringsfaktor_GD,'Korrigeringsfaktor GD'!AA$1,FALSE),
"")</f>
        <v>7.7603575494071144</v>
      </c>
      <c r="AB88" s="18">
        <f>IFERROR(
                  Andel_oberoende_av_klimat*VLOOKUP($A88,Leveranser_per_nät,'Leveranser per nät'!AB$1,FALSE)
               +Andel_beroende_av_klimat*VLOOKUP($A88,Leveranser_per_nät,'Leveranser per nät'!AB$1,FALSE)/VLOOKUP($B88,Korrigeringsfaktor_GD,'Korrigeringsfaktor GD'!AB$1,FALSE),
"")</f>
        <v>7.8191224086870683</v>
      </c>
      <c r="AC88" s="18">
        <f>IFERROR(
                  Andel_oberoende_av_klimat*VLOOKUP($A88,Leveranser_per_nät,'Leveranser per nät'!AC$1,FALSE)
               +Andel_beroende_av_klimat*VLOOKUP($A88,Leveranser_per_nät,'Leveranser per nät'!AC$1,FALSE)/VLOOKUP($B88,Korrigeringsfaktor_GD,'Korrigeringsfaktor GD'!AC$1,FALSE),
"")</f>
        <v>8.0443879310344819</v>
      </c>
      <c r="AD88">
        <v>118.5</v>
      </c>
    </row>
    <row r="89" spans="1:30" x14ac:dyDescent="0.25">
      <c r="A89" s="5" t="s">
        <v>10</v>
      </c>
      <c r="B89" t="s">
        <v>138</v>
      </c>
      <c r="C89" s="18">
        <f>IFERROR(
                  Andel_oberoende_av_klimat*VLOOKUP($A89,Leveranser_per_nät,'Leveranser per nät'!C$1,FALSE)
               +Andel_beroende_av_klimat*VLOOKUP($A89,Leveranser_per_nät,'Leveranser per nät'!C$1,FALSE)/VLOOKUP($B89,Korrigeringsfaktor_GD,'Korrigeringsfaktor GD'!C$1,FALSE),
"")</f>
        <v>0</v>
      </c>
      <c r="D89" s="18">
        <f>IFERROR(
                  Andel_oberoende_av_klimat*VLOOKUP($A89,Leveranser_per_nät,'Leveranser per nät'!D$1,FALSE)
               +Andel_beroende_av_klimat*VLOOKUP($A89,Leveranser_per_nät,'Leveranser per nät'!D$1,FALSE)/VLOOKUP($B89,Korrigeringsfaktor_GD,'Korrigeringsfaktor GD'!D$1,FALSE),
"")</f>
        <v>7.8628333333333345</v>
      </c>
      <c r="E89" s="18">
        <f>IFERROR(
                  Andel_oberoende_av_klimat*VLOOKUP($A89,Leveranser_per_nät,'Leveranser per nät'!E$1,FALSE)
               +Andel_beroende_av_klimat*VLOOKUP($A89,Leveranser_per_nät,'Leveranser per nät'!E$1,FALSE)/VLOOKUP($B89,Korrigeringsfaktor_GD,'Korrigeringsfaktor GD'!E$1,FALSE),
"")</f>
        <v>7.8901960784313721</v>
      </c>
      <c r="F89" s="18">
        <f>IFERROR(
                  Andel_oberoende_av_klimat*VLOOKUP($A89,Leveranser_per_nät,'Leveranser per nät'!F$1,FALSE)
               +Andel_beroende_av_klimat*VLOOKUP($A89,Leveranser_per_nät,'Leveranser per nät'!F$1,FALSE)/VLOOKUP($B89,Korrigeringsfaktor_GD,'Korrigeringsfaktor GD'!F$1,FALSE),
"")</f>
        <v>0</v>
      </c>
      <c r="G89" s="18">
        <f>IFERROR(
                  Andel_oberoende_av_klimat*VLOOKUP($A89,Leveranser_per_nät,'Leveranser per nät'!G$1,FALSE)
               +Andel_beroende_av_klimat*VLOOKUP($A89,Leveranser_per_nät,'Leveranser per nät'!G$1,FALSE)/VLOOKUP($B89,Korrigeringsfaktor_GD,'Korrigeringsfaktor GD'!G$1,FALSE),
"")</f>
        <v>0</v>
      </c>
      <c r="H89" s="18">
        <f>IFERROR(
                  Andel_oberoende_av_klimat*VLOOKUP($A89,Leveranser_per_nät,'Leveranser per nät'!H$1,FALSE)
               +Andel_beroende_av_klimat*VLOOKUP($A89,Leveranser_per_nät,'Leveranser per nät'!H$1,FALSE)/VLOOKUP($B89,Korrigeringsfaktor_GD,'Korrigeringsfaktor GD'!H$1,FALSE),
"")</f>
        <v>0</v>
      </c>
      <c r="I89" s="18">
        <f>IFERROR(
                  Andel_oberoende_av_klimat*VLOOKUP($A89,Leveranser_per_nät,'Leveranser per nät'!I$1,FALSE)
               +Andel_beroende_av_klimat*VLOOKUP($A89,Leveranser_per_nät,'Leveranser per nät'!I$1,FALSE)/VLOOKUP($B89,Korrigeringsfaktor_GD,'Korrigeringsfaktor GD'!I$1,FALSE),
"")</f>
        <v>0</v>
      </c>
      <c r="J89" s="18">
        <f>IFERROR(
                  Andel_oberoende_av_klimat*VLOOKUP($A89,Leveranser_per_nät,'Leveranser per nät'!J$1,FALSE)
               +Andel_beroende_av_klimat*VLOOKUP($A89,Leveranser_per_nät,'Leveranser per nät'!J$1,FALSE)/VLOOKUP($B89,Korrigeringsfaktor_GD,'Korrigeringsfaktor GD'!J$1,FALSE),
"")</f>
        <v>0</v>
      </c>
      <c r="K89" s="18">
        <f>IFERROR(
                  Andel_oberoende_av_klimat*VLOOKUP($A89,Leveranser_per_nät,'Leveranser per nät'!K$1,FALSE)
               +Andel_beroende_av_klimat*VLOOKUP($A89,Leveranser_per_nät,'Leveranser per nät'!K$1,FALSE)/VLOOKUP($B89,Korrigeringsfaktor_GD,'Korrigeringsfaktor GD'!K$1,FALSE),
"")</f>
        <v>0</v>
      </c>
      <c r="L89" s="18">
        <f>IFERROR(
                  Andel_oberoende_av_klimat*VLOOKUP($A89,Leveranser_per_nät,'Leveranser per nät'!L$1,FALSE)
               +Andel_beroende_av_klimat*VLOOKUP($A89,Leveranser_per_nät,'Leveranser per nät'!L$1,FALSE)/VLOOKUP($B89,Korrigeringsfaktor_GD,'Korrigeringsfaktor GD'!L$1,FALSE),
"")</f>
        <v>0</v>
      </c>
      <c r="M89" s="18">
        <f>IFERROR(
                  Andel_oberoende_av_klimat*VLOOKUP($A89,Leveranser_per_nät,'Leveranser per nät'!M$1,FALSE)
               +Andel_beroende_av_klimat*VLOOKUP($A89,Leveranser_per_nät,'Leveranser per nät'!M$1,FALSE)/VLOOKUP($B89,Korrigeringsfaktor_GD,'Korrigeringsfaktor GD'!M$1,FALSE),
"")</f>
        <v>0</v>
      </c>
      <c r="N89" s="18">
        <f>IFERROR(
                  Andel_oberoende_av_klimat*VLOOKUP($A89,Leveranser_per_nät,'Leveranser per nät'!N$1,FALSE)
               +Andel_beroende_av_klimat*VLOOKUP($A89,Leveranser_per_nät,'Leveranser per nät'!N$1,FALSE)/VLOOKUP($B89,Korrigeringsfaktor_GD,'Korrigeringsfaktor GD'!N$1,FALSE),
"")</f>
        <v>0</v>
      </c>
      <c r="O89" s="18">
        <f>IFERROR(
                  Andel_oberoende_av_klimat*VLOOKUP($A89,Leveranser_per_nät,'Leveranser per nät'!O$1,FALSE)
               +Andel_beroende_av_klimat*VLOOKUP($A89,Leveranser_per_nät,'Leveranser per nät'!O$1,FALSE)/VLOOKUP($B89,Korrigeringsfaktor_GD,'Korrigeringsfaktor GD'!O$1,FALSE),
"")</f>
        <v>0</v>
      </c>
      <c r="P89" s="18">
        <f>IFERROR(
                  Andel_oberoende_av_klimat*VLOOKUP($A89,Leveranser_per_nät,'Leveranser per nät'!P$1,FALSE)
               +Andel_beroende_av_klimat*VLOOKUP($A89,Leveranser_per_nät,'Leveranser per nät'!P$1,FALSE)/VLOOKUP($B89,Korrigeringsfaktor_GD,'Korrigeringsfaktor GD'!P$1,FALSE),
"")</f>
        <v>10.447142857142858</v>
      </c>
      <c r="Q89" s="18">
        <f>IFERROR(
                  Andel_oberoende_av_klimat*VLOOKUP($A89,Leveranser_per_nät,'Leveranser per nät'!Q$1,FALSE)
               +Andel_beroende_av_klimat*VLOOKUP($A89,Leveranser_per_nät,'Leveranser per nät'!Q$1,FALSE)/VLOOKUP($B89,Korrigeringsfaktor_GD,'Korrigeringsfaktor GD'!Q$1,FALSE),
"")</f>
        <v>11.358695652173914</v>
      </c>
      <c r="R89" s="18">
        <f>IFERROR(
                  Andel_oberoende_av_klimat*VLOOKUP($A89,Leveranser_per_nät,'Leveranser per nät'!R$1,FALSE)
               +Andel_beroende_av_klimat*VLOOKUP($A89,Leveranser_per_nät,'Leveranser per nät'!R$1,FALSE)/VLOOKUP($B89,Korrigeringsfaktor_GD,'Korrigeringsfaktor GD'!R$1,FALSE),
"")</f>
        <v>8.4469230769230776</v>
      </c>
      <c r="S89" s="18">
        <f>IFERROR(
                  Andel_oberoende_av_klimat*VLOOKUP($A89,Leveranser_per_nät,'Leveranser per nät'!S$1,FALSE)
               +Andel_beroende_av_klimat*VLOOKUP($A89,Leveranser_per_nät,'Leveranser per nät'!S$1,FALSE)/VLOOKUP($B89,Korrigeringsfaktor_GD,'Korrigeringsfaktor GD'!S$1,FALSE),
"")</f>
        <v>8.6</v>
      </c>
      <c r="T89" s="18">
        <f>IFERROR(
                  Andel_oberoende_av_klimat*VLOOKUP($A89,Leveranser_per_nät,'Leveranser per nät'!T$1,FALSE)
               +Andel_beroende_av_klimat*VLOOKUP($A89,Leveranser_per_nät,'Leveranser per nät'!T$1,FALSE)/VLOOKUP($B89,Korrigeringsfaktor_GD,'Korrigeringsfaktor GD'!T$1,FALSE),
"")</f>
        <v>8.3362499999999997</v>
      </c>
      <c r="U89" s="18">
        <f>IFERROR(
                  Andel_oberoende_av_klimat*VLOOKUP($A89,Leveranser_per_nät,'Leveranser per nät'!U$1,FALSE)
               +Andel_beroende_av_klimat*VLOOKUP($A89,Leveranser_per_nät,'Leveranser per nät'!U$1,FALSE)/VLOOKUP($B89,Korrigeringsfaktor_GD,'Korrigeringsfaktor GD'!U$1,FALSE),
"")</f>
        <v>7.9302888888888887</v>
      </c>
      <c r="V89" s="18">
        <f>IFERROR(
                  Andel_oberoende_av_klimat*VLOOKUP($A89,Leveranser_per_nät,'Leveranser per nät'!V$1,FALSE)
               +Andel_beroende_av_klimat*VLOOKUP($A89,Leveranser_per_nät,'Leveranser per nät'!V$1,FALSE)/VLOOKUP($B89,Korrigeringsfaktor_GD,'Korrigeringsfaktor GD'!V$1,FALSE),
"")</f>
        <v>7.9863333333333326</v>
      </c>
      <c r="W89" s="18">
        <f>IFERROR(
                  Andel_oberoende_av_klimat*VLOOKUP($A89,Leveranser_per_nät,'Leveranser per nät'!W$1,FALSE)
               +Andel_beroende_av_klimat*VLOOKUP($A89,Leveranser_per_nät,'Leveranser per nät'!W$1,FALSE)/VLOOKUP($B89,Korrigeringsfaktor_GD,'Korrigeringsfaktor GD'!W$1,FALSE),
"")</f>
        <v>8.0033842105263169</v>
      </c>
      <c r="X89" s="18">
        <f>IFERROR(
                  Andel_oberoende_av_klimat*VLOOKUP($A89,Leveranser_per_nät,'Leveranser per nät'!X$1,FALSE)
               +Andel_beroende_av_klimat*VLOOKUP($A89,Leveranser_per_nät,'Leveranser per nät'!X$1,FALSE)/VLOOKUP($B89,Korrigeringsfaktor_GD,'Korrigeringsfaktor GD'!X$1,FALSE),
"")</f>
        <v>8.0873684210526324</v>
      </c>
      <c r="Y89" s="18">
        <f>IFERROR(
                  Andel_oberoende_av_klimat*VLOOKUP($A89,Leveranser_per_nät,'Leveranser per nät'!Y$1,FALSE)
               +Andel_beroende_av_klimat*VLOOKUP($A89,Leveranser_per_nät,'Leveranser per nät'!Y$1,FALSE)/VLOOKUP($B89,Korrigeringsfaktor_GD,'Korrigeringsfaktor GD'!Y$1,FALSE),
"")</f>
        <v>7.835106382978724</v>
      </c>
      <c r="Z89" s="18">
        <f>IFERROR(
                  Andel_oberoende_av_klimat*VLOOKUP($A89,Leveranser_per_nät,'Leveranser per nät'!Z$1,FALSE)
               +Andel_beroende_av_klimat*VLOOKUP($A89,Leveranser_per_nät,'Leveranser per nät'!Z$1,FALSE)/VLOOKUP($B89,Korrigeringsfaktor_GD,'Korrigeringsfaktor GD'!Z$1,FALSE),
"")</f>
        <v>8.1063636363636355</v>
      </c>
      <c r="AA89" s="18">
        <f>IFERROR(
                  Andel_oberoende_av_klimat*VLOOKUP($A89,Leveranser_per_nät,'Leveranser per nät'!AA$1,FALSE)
               +Andel_beroende_av_klimat*VLOOKUP($A89,Leveranser_per_nät,'Leveranser per nät'!AA$1,FALSE)/VLOOKUP($B89,Korrigeringsfaktor_GD,'Korrigeringsfaktor GD'!AA$1,FALSE),
"")</f>
        <v>7.968491620111732</v>
      </c>
      <c r="AB89" s="18">
        <f>IFERROR(
                  Andel_oberoende_av_klimat*VLOOKUP($A89,Leveranser_per_nät,'Leveranser per nät'!AB$1,FALSE)
               +Andel_beroende_av_klimat*VLOOKUP($A89,Leveranser_per_nät,'Leveranser per nät'!AB$1,FALSE)/VLOOKUP($B89,Korrigeringsfaktor_GD,'Korrigeringsfaktor GD'!AB$1,FALSE),
"")</f>
        <v>8.4414501510574027</v>
      </c>
      <c r="AC89" s="18">
        <f>IFERROR(
                  Andel_oberoende_av_klimat*VLOOKUP($A89,Leveranser_per_nät,'Leveranser per nät'!AC$1,FALSE)
               +Andel_beroende_av_klimat*VLOOKUP($A89,Leveranser_per_nät,'Leveranser per nät'!AC$1,FALSE)/VLOOKUP($B89,Korrigeringsfaktor_GD,'Korrigeringsfaktor GD'!AC$1,FALSE),
"")</f>
        <v>8.1734507462686565</v>
      </c>
      <c r="AD89">
        <v>662.10699999999997</v>
      </c>
    </row>
    <row r="90" spans="1:30" x14ac:dyDescent="0.25">
      <c r="A90" s="5" t="s">
        <v>602</v>
      </c>
      <c r="B90" t="s">
        <v>168</v>
      </c>
      <c r="C90" s="18"/>
      <c r="D90" s="18"/>
      <c r="E90" s="18"/>
      <c r="F90" s="18"/>
      <c r="G90" s="18"/>
      <c r="H90" s="18"/>
      <c r="I90" s="18"/>
      <c r="J90" s="18"/>
      <c r="K90" s="18"/>
      <c r="L90" s="18"/>
      <c r="M90" s="18"/>
      <c r="N90" s="18"/>
      <c r="O90" s="18"/>
      <c r="P90" s="18"/>
      <c r="Q90" s="18"/>
      <c r="R90" s="18">
        <f>IFERROR(
                  Andel_oberoende_av_klimat*VLOOKUP($A90,Leveranser_per_nät,'Leveranser per nät'!R$1,FALSE)
               +Andel_beroende_av_klimat*VLOOKUP($A90,Leveranser_per_nät,'Leveranser per nät'!R$1,FALSE)/VLOOKUP($B90,Korrigeringsfaktor_GD,'Korrigeringsfaktor GD'!R$1,FALSE),
"")</f>
        <v>0</v>
      </c>
      <c r="S90" s="18">
        <f>IFERROR(
                  Andel_oberoende_av_klimat*VLOOKUP($A90,Leveranser_per_nät,'Leveranser per nät'!S$1,FALSE)
               +Andel_beroende_av_klimat*VLOOKUP($A90,Leveranser_per_nät,'Leveranser per nät'!S$1,FALSE)/VLOOKUP($B90,Korrigeringsfaktor_GD,'Korrigeringsfaktor GD'!S$1,FALSE),
"")</f>
        <v>0</v>
      </c>
      <c r="T90" s="18">
        <f>IFERROR(
                  Andel_oberoende_av_klimat*VLOOKUP($A90,Leveranser_per_nät,'Leveranser per nät'!T$1,FALSE)
               +Andel_beroende_av_klimat*VLOOKUP($A90,Leveranser_per_nät,'Leveranser per nät'!T$1,FALSE)/VLOOKUP($B90,Korrigeringsfaktor_GD,'Korrigeringsfaktor GD'!T$1,FALSE),
"")</f>
        <v>0</v>
      </c>
      <c r="U90" s="18">
        <f>IFERROR(
                  Andel_oberoende_av_klimat*VLOOKUP($A90,Leveranser_per_nät,'Leveranser per nät'!U$1,FALSE)
               +Andel_beroende_av_klimat*VLOOKUP($A90,Leveranser_per_nät,'Leveranser per nät'!U$1,FALSE)/VLOOKUP($B90,Korrigeringsfaktor_GD,'Korrigeringsfaktor GD'!U$1,FALSE),
"")</f>
        <v>0</v>
      </c>
      <c r="V90" s="18">
        <f>IFERROR(
                  Andel_oberoende_av_klimat*VLOOKUP($A90,Leveranser_per_nät,'Leveranser per nät'!V$1,FALSE)
               +Andel_beroende_av_klimat*VLOOKUP($A90,Leveranser_per_nät,'Leveranser per nät'!V$1,FALSE)/VLOOKUP($B90,Korrigeringsfaktor_GD,'Korrigeringsfaktor GD'!V$1,FALSE),
"")</f>
        <v>0.32863636363636362</v>
      </c>
      <c r="W90" s="18">
        <f>IFERROR(
                  Andel_oberoende_av_klimat*VLOOKUP($A90,Leveranser_per_nät,'Leveranser per nät'!W$1,FALSE)
               +Andel_beroende_av_klimat*VLOOKUP($A90,Leveranser_per_nät,'Leveranser per nät'!W$1,FALSE)/VLOOKUP($B90,Korrigeringsfaktor_GD,'Korrigeringsfaktor GD'!W$1,FALSE),
"")</f>
        <v>0.31580645161290322</v>
      </c>
      <c r="X90" s="18">
        <f>IFERROR(
                  Andel_oberoende_av_klimat*VLOOKUP($A90,Leveranser_per_nät,'Leveranser per nät'!X$1,FALSE)
               +Andel_beroende_av_klimat*VLOOKUP($A90,Leveranser_per_nät,'Leveranser per nät'!X$1,FALSE)/VLOOKUP($B90,Korrigeringsfaktor_GD,'Korrigeringsfaktor GD'!X$1,FALSE),
"")</f>
        <v>0</v>
      </c>
      <c r="Y90" s="18" t="str">
        <f>IFERROR(
                  Andel_oberoende_av_klimat*VLOOKUP($A90,Leveranser_per_nät,'Leveranser per nät'!Y$1,FALSE)
               +Andel_beroende_av_klimat*VLOOKUP($A90,Leveranser_per_nät,'Leveranser per nät'!Y$1,FALSE)/VLOOKUP($B90,Korrigeringsfaktor_GD,'Korrigeringsfaktor GD'!Y$1,FALSE),
"")</f>
        <v/>
      </c>
      <c r="Z90" s="18">
        <f>IFERROR(
                  Andel_oberoende_av_klimat*VLOOKUP($A90,Leveranser_per_nät,'Leveranser per nät'!Z$1,FALSE)
               +Andel_beroende_av_klimat*VLOOKUP($A90,Leveranser_per_nät,'Leveranser per nät'!Z$1,FALSE)/VLOOKUP($B90,Korrigeringsfaktor_GD,'Korrigeringsfaktor GD'!Z$1,FALSE),
"")</f>
        <v>0</v>
      </c>
      <c r="AA90" s="18" t="str">
        <f>IFERROR(
                  Andel_oberoende_av_klimat*VLOOKUP($A90,Leveranser_per_nät,'Leveranser per nät'!AA$1,FALSE)
               +Andel_beroende_av_klimat*VLOOKUP($A90,Leveranser_per_nät,'Leveranser per nät'!AA$1,FALSE)/VLOOKUP($B90,Korrigeringsfaktor_GD,'Korrigeringsfaktor GD'!AA$1,FALSE),
"")</f>
        <v/>
      </c>
      <c r="AB90" s="18">
        <f>IFERROR(
                  Andel_oberoende_av_klimat*VLOOKUP($A90,Leveranser_per_nät,'Leveranser per nät'!AB$1,FALSE)
               +Andel_beroende_av_klimat*VLOOKUP($A90,Leveranser_per_nät,'Leveranser per nät'!AB$1,FALSE)/VLOOKUP($B90,Korrigeringsfaktor_GD,'Korrigeringsfaktor GD'!AB$1,FALSE),
"")</f>
        <v>0</v>
      </c>
      <c r="AC90" s="18">
        <f>IFERROR(
                  Andel_oberoende_av_klimat*VLOOKUP($A90,Leveranser_per_nät,'Leveranser per nät'!AC$1,FALSE)
               +Andel_beroende_av_klimat*VLOOKUP($A90,Leveranser_per_nät,'Leveranser per nät'!AC$1,FALSE)/VLOOKUP($B90,Korrigeringsfaktor_GD,'Korrigeringsfaktor GD'!AC$1,FALSE),
"")</f>
        <v>0</v>
      </c>
      <c r="AD90">
        <v>163.92</v>
      </c>
    </row>
    <row r="91" spans="1:30" x14ac:dyDescent="0.25">
      <c r="A91" t="s">
        <v>838</v>
      </c>
      <c r="B91" t="s">
        <v>507</v>
      </c>
      <c r="C91" s="18">
        <f>IFERROR(
                  Andel_oberoende_av_klimat*VLOOKUP($A91,Leveranser_per_nät,'Leveranser per nät'!C$1,FALSE)
               +Andel_beroende_av_klimat*VLOOKUP($A91,Leveranser_per_nät,'Leveranser per nät'!C$1,FALSE)/VLOOKUP($B91,Korrigeringsfaktor_GD,'Korrigeringsfaktor GD'!C$1,FALSE),
"")</f>
        <v>0</v>
      </c>
      <c r="D91" s="18">
        <f>IFERROR(
                  Andel_oberoende_av_klimat*VLOOKUP($A91,Leveranser_per_nät,'Leveranser per nät'!D$1,FALSE)
               +Andel_beroende_av_klimat*VLOOKUP($A91,Leveranser_per_nät,'Leveranser per nät'!D$1,FALSE)/VLOOKUP($B91,Korrigeringsfaktor_GD,'Korrigeringsfaktor GD'!D$1,FALSE),
"")</f>
        <v>0</v>
      </c>
      <c r="E91" s="18">
        <f>IFERROR(
                  Andel_oberoende_av_klimat*VLOOKUP($A91,Leveranser_per_nät,'Leveranser per nät'!E$1,FALSE)
               +Andel_beroende_av_klimat*VLOOKUP($A91,Leveranser_per_nät,'Leveranser per nät'!E$1,FALSE)/VLOOKUP($B91,Korrigeringsfaktor_GD,'Korrigeringsfaktor GD'!E$1,FALSE),
"")</f>
        <v>0</v>
      </c>
      <c r="F91" s="18">
        <f>IFERROR(
                  Andel_oberoende_av_klimat*VLOOKUP($A91,Leveranser_per_nät,'Leveranser per nät'!F$1,FALSE)
               +Andel_beroende_av_klimat*VLOOKUP($A91,Leveranser_per_nät,'Leveranser per nät'!F$1,FALSE)/VLOOKUP($B91,Korrigeringsfaktor_GD,'Korrigeringsfaktor GD'!F$1,FALSE),
"")</f>
        <v>0</v>
      </c>
      <c r="G91" s="18">
        <f>IFERROR(
                  Andel_oberoende_av_klimat*VLOOKUP($A91,Leveranser_per_nät,'Leveranser per nät'!G$1,FALSE)
               +Andel_beroende_av_klimat*VLOOKUP($A91,Leveranser_per_nät,'Leveranser per nät'!G$1,FALSE)/VLOOKUP($B91,Korrigeringsfaktor_GD,'Korrigeringsfaktor GD'!G$1,FALSE),
"")</f>
        <v>0</v>
      </c>
      <c r="H91" s="18">
        <f>IFERROR(
                  Andel_oberoende_av_klimat*VLOOKUP($A91,Leveranser_per_nät,'Leveranser per nät'!H$1,FALSE)
               +Andel_beroende_av_klimat*VLOOKUP($A91,Leveranser_per_nät,'Leveranser per nät'!H$1,FALSE)/VLOOKUP($B91,Korrigeringsfaktor_GD,'Korrigeringsfaktor GD'!H$1,FALSE),
"")</f>
        <v>0</v>
      </c>
      <c r="I91" s="18">
        <f>IFERROR(
                  Andel_oberoende_av_klimat*VLOOKUP($A91,Leveranser_per_nät,'Leveranser per nät'!I$1,FALSE)
               +Andel_beroende_av_klimat*VLOOKUP($A91,Leveranser_per_nät,'Leveranser per nät'!I$1,FALSE)/VLOOKUP($B91,Korrigeringsfaktor_GD,'Korrigeringsfaktor GD'!I$1,FALSE),
"")</f>
        <v>0</v>
      </c>
      <c r="J91" s="18">
        <f>IFERROR(
                  Andel_oberoende_av_klimat*VLOOKUP($A91,Leveranser_per_nät,'Leveranser per nät'!J$1,FALSE)
               +Andel_beroende_av_klimat*VLOOKUP($A91,Leveranser_per_nät,'Leveranser per nät'!J$1,FALSE)/VLOOKUP($B91,Korrigeringsfaktor_GD,'Korrigeringsfaktor GD'!J$1,FALSE),
"")</f>
        <v>0</v>
      </c>
      <c r="K91" s="18">
        <f>IFERROR(
                  Andel_oberoende_av_klimat*VLOOKUP($A91,Leveranser_per_nät,'Leveranser per nät'!K$1,FALSE)
               +Andel_beroende_av_klimat*VLOOKUP($A91,Leveranser_per_nät,'Leveranser per nät'!K$1,FALSE)/VLOOKUP($B91,Korrigeringsfaktor_GD,'Korrigeringsfaktor GD'!K$1,FALSE),
"")</f>
        <v>0</v>
      </c>
      <c r="L91" s="18">
        <f>IFERROR(
                  Andel_oberoende_av_klimat*VLOOKUP($A91,Leveranser_per_nät,'Leveranser per nät'!L$1,FALSE)
               +Andel_beroende_av_klimat*VLOOKUP($A91,Leveranser_per_nät,'Leveranser per nät'!L$1,FALSE)/VLOOKUP($B91,Korrigeringsfaktor_GD,'Korrigeringsfaktor GD'!L$1,FALSE),
"")</f>
        <v>0</v>
      </c>
      <c r="M91" s="18">
        <f>IFERROR(
                  Andel_oberoende_av_klimat*VLOOKUP($A91,Leveranser_per_nät,'Leveranser per nät'!M$1,FALSE)
               +Andel_beroende_av_klimat*VLOOKUP($A91,Leveranser_per_nät,'Leveranser per nät'!M$1,FALSE)/VLOOKUP($B91,Korrigeringsfaktor_GD,'Korrigeringsfaktor GD'!M$1,FALSE),
"")</f>
        <v>0</v>
      </c>
      <c r="N91" s="18">
        <f>IFERROR(
                  Andel_oberoende_av_klimat*VLOOKUP($A91,Leveranser_per_nät,'Leveranser per nät'!N$1,FALSE)
               +Andel_beroende_av_klimat*VLOOKUP($A91,Leveranser_per_nät,'Leveranser per nät'!N$1,FALSE)/VLOOKUP($B91,Korrigeringsfaktor_GD,'Korrigeringsfaktor GD'!N$1,FALSE),
"")</f>
        <v>0</v>
      </c>
      <c r="O91" s="18">
        <f>IFERROR(
                  Andel_oberoende_av_klimat*VLOOKUP($A91,Leveranser_per_nät,'Leveranser per nät'!O$1,FALSE)
               +Andel_beroende_av_klimat*VLOOKUP($A91,Leveranser_per_nät,'Leveranser per nät'!O$1,FALSE)/VLOOKUP($B91,Korrigeringsfaktor_GD,'Korrigeringsfaktor GD'!O$1,FALSE),
"")</f>
        <v>0</v>
      </c>
      <c r="P91" s="18">
        <f>IFERROR(
                  Andel_oberoende_av_klimat*VLOOKUP($A91,Leveranser_per_nät,'Leveranser per nät'!P$1,FALSE)
               +Andel_beroende_av_klimat*VLOOKUP($A91,Leveranser_per_nät,'Leveranser per nät'!P$1,FALSE)/VLOOKUP($B91,Korrigeringsfaktor_GD,'Korrigeringsfaktor GD'!P$1,FALSE),
"")</f>
        <v>0</v>
      </c>
      <c r="Q91" s="18">
        <f>IFERROR(
                  Andel_oberoende_av_klimat*VLOOKUP($A91,Leveranser_per_nät,'Leveranser per nät'!Q$1,FALSE)
               +Andel_beroende_av_klimat*VLOOKUP($A91,Leveranser_per_nät,'Leveranser per nät'!Q$1,FALSE)/VLOOKUP($B91,Korrigeringsfaktor_GD,'Korrigeringsfaktor GD'!Q$1,FALSE),
"")</f>
        <v>0</v>
      </c>
      <c r="R91" s="18">
        <f>IFERROR(
                  Andel_oberoende_av_klimat*VLOOKUP($A91,Leveranser_per_nät,'Leveranser per nät'!R$1,FALSE)
               +Andel_beroende_av_klimat*VLOOKUP($A91,Leveranser_per_nät,'Leveranser per nät'!R$1,FALSE)/VLOOKUP($B91,Korrigeringsfaktor_GD,'Korrigeringsfaktor GD'!R$1,FALSE),
"")</f>
        <v>0</v>
      </c>
      <c r="S91" s="18" t="str">
        <f>IFERROR(
                  Andel_oberoende_av_klimat*VLOOKUP($A91,Leveranser_per_nät,'Leveranser per nät'!S$1,FALSE)
               +Andel_beroende_av_klimat*VLOOKUP($A91,Leveranser_per_nät,'Leveranser per nät'!S$1,FALSE)/VLOOKUP($B91,Korrigeringsfaktor_GD,'Korrigeringsfaktor GD'!S$1,FALSE),
"")</f>
        <v/>
      </c>
      <c r="T91" s="18" t="str">
        <f>IFERROR(
                  Andel_oberoende_av_klimat*VLOOKUP($A91,Leveranser_per_nät,'Leveranser per nät'!T$1,FALSE)
               +Andel_beroende_av_klimat*VLOOKUP($A91,Leveranser_per_nät,'Leveranser per nät'!T$1,FALSE)/VLOOKUP($B91,Korrigeringsfaktor_GD,'Korrigeringsfaktor GD'!T$1,FALSE),
"")</f>
        <v/>
      </c>
      <c r="U91" s="18" t="str">
        <f>IFERROR(
                  Andel_oberoende_av_klimat*VLOOKUP($A91,Leveranser_per_nät,'Leveranser per nät'!U$1,FALSE)
               +Andel_beroende_av_klimat*VLOOKUP($A91,Leveranser_per_nät,'Leveranser per nät'!U$1,FALSE)/VLOOKUP($B91,Korrigeringsfaktor_GD,'Korrigeringsfaktor GD'!U$1,FALSE),
"")</f>
        <v/>
      </c>
      <c r="V91" s="18" t="str">
        <f>IFERROR(
                  Andel_oberoende_av_klimat*VLOOKUP($A91,Leveranser_per_nät,'Leveranser per nät'!V$1,FALSE)
               +Andel_beroende_av_klimat*VLOOKUP($A91,Leveranser_per_nät,'Leveranser per nät'!V$1,FALSE)/VLOOKUP($B91,Korrigeringsfaktor_GD,'Korrigeringsfaktor GD'!V$1,FALSE),
"")</f>
        <v/>
      </c>
      <c r="W91" s="18">
        <f>IFERROR(
                  Andel_oberoende_av_klimat*VLOOKUP($A91,Leveranser_per_nät,'Leveranser per nät'!W$1,FALSE)
               +Andel_beroende_av_klimat*VLOOKUP($A91,Leveranser_per_nät,'Leveranser per nät'!W$1,FALSE)/VLOOKUP($B91,Korrigeringsfaktor_GD,'Korrigeringsfaktor GD'!W$1,FALSE),
"")</f>
        <v>0.36069565217391303</v>
      </c>
      <c r="X91" s="18">
        <f>IFERROR(
                  Andel_oberoende_av_klimat*VLOOKUP($A91,Leveranser_per_nät,'Leveranser per nät'!X$1,FALSE)
               +Andel_beroende_av_klimat*VLOOKUP($A91,Leveranser_per_nät,'Leveranser per nät'!X$1,FALSE)/VLOOKUP($B91,Korrigeringsfaktor_GD,'Korrigeringsfaktor GD'!X$1,FALSE),
"")</f>
        <v>0.39877777777777779</v>
      </c>
      <c r="Y91" s="18">
        <f>IFERROR(
                  Andel_oberoende_av_klimat*VLOOKUP($A91,Leveranser_per_nät,'Leveranser per nät'!Y$1,FALSE)
               +Andel_beroende_av_klimat*VLOOKUP($A91,Leveranser_per_nät,'Leveranser per nät'!Y$1,FALSE)/VLOOKUP($B91,Korrigeringsfaktor_GD,'Korrigeringsfaktor GD'!Y$1,FALSE),
"")</f>
        <v>0.41287640449438201</v>
      </c>
      <c r="Z91" s="18">
        <f>IFERROR(
                  Andel_oberoende_av_klimat*VLOOKUP($A91,Leveranser_per_nät,'Leveranser per nät'!Z$1,FALSE)
               +Andel_beroende_av_klimat*VLOOKUP($A91,Leveranser_per_nät,'Leveranser per nät'!Z$1,FALSE)/VLOOKUP($B91,Korrigeringsfaktor_GD,'Korrigeringsfaktor GD'!Z$1,FALSE),
"")</f>
        <v>0.42033333333333334</v>
      </c>
      <c r="AA91" s="18">
        <f>IFERROR(
                  Andel_oberoende_av_klimat*VLOOKUP($A91,Leveranser_per_nät,'Leveranser per nät'!AA$1,FALSE)
               +Andel_beroende_av_klimat*VLOOKUP($A91,Leveranser_per_nät,'Leveranser per nät'!AA$1,FALSE)/VLOOKUP($B91,Korrigeringsfaktor_GD,'Korrigeringsfaktor GD'!AA$1,FALSE),
"")</f>
        <v>0.4629841463414634</v>
      </c>
      <c r="AB91" s="18">
        <f>IFERROR(
                  Andel_oberoende_av_klimat*VLOOKUP($A91,Leveranser_per_nät,'Leveranser per nät'!AB$1,FALSE)
               +Andel_beroende_av_klimat*VLOOKUP($A91,Leveranser_per_nät,'Leveranser per nät'!AB$1,FALSE)/VLOOKUP($B91,Korrigeringsfaktor_GD,'Korrigeringsfaktor GD'!AB$1,FALSE),
"")</f>
        <v>0.42636153091265949</v>
      </c>
      <c r="AC91" s="18">
        <f>IFERROR(
                  Andel_oberoende_av_klimat*VLOOKUP($A91,Leveranser_per_nät,'Leveranser per nät'!AC$1,FALSE)
               +Andel_beroende_av_klimat*VLOOKUP($A91,Leveranser_per_nät,'Leveranser per nät'!AC$1,FALSE)/VLOOKUP($B91,Korrigeringsfaktor_GD,'Korrigeringsfaktor GD'!AC$1,FALSE),
"")</f>
        <v>0.38921194029850747</v>
      </c>
      <c r="AD91" t="e">
        <v>#N/A</v>
      </c>
    </row>
    <row r="92" spans="1:30" x14ac:dyDescent="0.25">
      <c r="A92" s="5" t="s">
        <v>603</v>
      </c>
      <c r="B92" t="s">
        <v>115</v>
      </c>
      <c r="C92" s="18">
        <f>IFERROR(
                  Andel_oberoende_av_klimat*VLOOKUP($A92,Leveranser_per_nät,'Leveranser per nät'!C$1,FALSE)
               +Andel_beroende_av_klimat*VLOOKUP($A92,Leveranser_per_nät,'Leveranser per nät'!C$1,FALSE)/VLOOKUP($B92,Korrigeringsfaktor_GD,'Korrigeringsfaktor GD'!C$1,FALSE),
"")</f>
        <v>0</v>
      </c>
      <c r="D92" s="18">
        <f>IFERROR(
                  Andel_oberoende_av_klimat*VLOOKUP($A92,Leveranser_per_nät,'Leveranser per nät'!D$1,FALSE)
               +Andel_beroende_av_klimat*VLOOKUP($A92,Leveranser_per_nät,'Leveranser per nät'!D$1,FALSE)/VLOOKUP($B92,Korrigeringsfaktor_GD,'Korrigeringsfaktor GD'!D$1,FALSE),
"")</f>
        <v>7.9214736842105271</v>
      </c>
      <c r="E92" s="18">
        <f>IFERROR(
                  Andel_oberoende_av_klimat*VLOOKUP($A92,Leveranser_per_nät,'Leveranser per nät'!E$1,FALSE)
               +Andel_beroende_av_klimat*VLOOKUP($A92,Leveranser_per_nät,'Leveranser per nät'!E$1,FALSE)/VLOOKUP($B92,Korrigeringsfaktor_GD,'Korrigeringsfaktor GD'!E$1,FALSE),
"")</f>
        <v>7.9445544554455445</v>
      </c>
      <c r="F92" s="18">
        <f>IFERROR(
                  Andel_oberoende_av_klimat*VLOOKUP($A92,Leveranser_per_nät,'Leveranser per nät'!F$1,FALSE)
               +Andel_beroende_av_klimat*VLOOKUP($A92,Leveranser_per_nät,'Leveranser per nät'!F$1,FALSE)/VLOOKUP($B92,Korrigeringsfaktor_GD,'Korrigeringsfaktor GD'!F$1,FALSE),
"")</f>
        <v>0</v>
      </c>
      <c r="G92" s="18">
        <f>IFERROR(
                  Andel_oberoende_av_klimat*VLOOKUP($A92,Leveranser_per_nät,'Leveranser per nät'!G$1,FALSE)
               +Andel_beroende_av_klimat*VLOOKUP($A92,Leveranser_per_nät,'Leveranser per nät'!G$1,FALSE)/VLOOKUP($B92,Korrigeringsfaktor_GD,'Korrigeringsfaktor GD'!G$1,FALSE),
"")</f>
        <v>0</v>
      </c>
      <c r="H92" s="18">
        <f>IFERROR(
                  Andel_oberoende_av_klimat*VLOOKUP($A92,Leveranser_per_nät,'Leveranser per nät'!H$1,FALSE)
               +Andel_beroende_av_klimat*VLOOKUP($A92,Leveranser_per_nät,'Leveranser per nät'!H$1,FALSE)/VLOOKUP($B92,Korrigeringsfaktor_GD,'Korrigeringsfaktor GD'!H$1,FALSE),
"")</f>
        <v>0</v>
      </c>
      <c r="I92" s="18">
        <f>IFERROR(
                  Andel_oberoende_av_klimat*VLOOKUP($A92,Leveranser_per_nät,'Leveranser per nät'!I$1,FALSE)
               +Andel_beroende_av_klimat*VLOOKUP($A92,Leveranser_per_nät,'Leveranser per nät'!I$1,FALSE)/VLOOKUP($B92,Korrigeringsfaktor_GD,'Korrigeringsfaktor GD'!I$1,FALSE),
"")</f>
        <v>0</v>
      </c>
      <c r="J92" s="18">
        <f>IFERROR(
                  Andel_oberoende_av_klimat*VLOOKUP($A92,Leveranser_per_nät,'Leveranser per nät'!J$1,FALSE)
               +Andel_beroende_av_klimat*VLOOKUP($A92,Leveranser_per_nät,'Leveranser per nät'!J$1,FALSE)/VLOOKUP($B92,Korrigeringsfaktor_GD,'Korrigeringsfaktor GD'!J$1,FALSE),
"")</f>
        <v>0</v>
      </c>
      <c r="K92" s="18">
        <f>IFERROR(
                  Andel_oberoende_av_klimat*VLOOKUP($A92,Leveranser_per_nät,'Leveranser per nät'!K$1,FALSE)
               +Andel_beroende_av_klimat*VLOOKUP($A92,Leveranser_per_nät,'Leveranser per nät'!K$1,FALSE)/VLOOKUP($B92,Korrigeringsfaktor_GD,'Korrigeringsfaktor GD'!K$1,FALSE),
"")</f>
        <v>0</v>
      </c>
      <c r="L92" s="18">
        <f>IFERROR(
                  Andel_oberoende_av_klimat*VLOOKUP($A92,Leveranser_per_nät,'Leveranser per nät'!L$1,FALSE)
               +Andel_beroende_av_klimat*VLOOKUP($A92,Leveranser_per_nät,'Leveranser per nät'!L$1,FALSE)/VLOOKUP($B92,Korrigeringsfaktor_GD,'Korrigeringsfaktor GD'!L$1,FALSE),
"")</f>
        <v>0</v>
      </c>
      <c r="M92" s="18">
        <f>IFERROR(
                  Andel_oberoende_av_klimat*VLOOKUP($A92,Leveranser_per_nät,'Leveranser per nät'!M$1,FALSE)
               +Andel_beroende_av_klimat*VLOOKUP($A92,Leveranser_per_nät,'Leveranser per nät'!M$1,FALSE)/VLOOKUP($B92,Korrigeringsfaktor_GD,'Korrigeringsfaktor GD'!M$1,FALSE),
"")</f>
        <v>0</v>
      </c>
      <c r="N92" s="18">
        <f>IFERROR(
                  Andel_oberoende_av_klimat*VLOOKUP($A92,Leveranser_per_nät,'Leveranser per nät'!N$1,FALSE)
               +Andel_beroende_av_klimat*VLOOKUP($A92,Leveranser_per_nät,'Leveranser per nät'!N$1,FALSE)/VLOOKUP($B92,Korrigeringsfaktor_GD,'Korrigeringsfaktor GD'!N$1,FALSE),
"")</f>
        <v>0</v>
      </c>
      <c r="O92" s="18">
        <f>IFERROR(
                  Andel_oberoende_av_klimat*VLOOKUP($A92,Leveranser_per_nät,'Leveranser per nät'!O$1,FALSE)
               +Andel_beroende_av_klimat*VLOOKUP($A92,Leveranser_per_nät,'Leveranser per nät'!O$1,FALSE)/VLOOKUP($B92,Korrigeringsfaktor_GD,'Korrigeringsfaktor GD'!O$1,FALSE),
"")</f>
        <v>0</v>
      </c>
      <c r="P92" s="18">
        <f>IFERROR(
                  Andel_oberoende_av_klimat*VLOOKUP($A92,Leveranser_per_nät,'Leveranser per nät'!P$1,FALSE)
               +Andel_beroende_av_klimat*VLOOKUP($A92,Leveranser_per_nät,'Leveranser per nät'!P$1,FALSE)/VLOOKUP($B92,Korrigeringsfaktor_GD,'Korrigeringsfaktor GD'!P$1,FALSE),
"")</f>
        <v>0</v>
      </c>
      <c r="Q92" s="18">
        <f>IFERROR(
                  Andel_oberoende_av_klimat*VLOOKUP($A92,Leveranser_per_nät,'Leveranser per nät'!Q$1,FALSE)
               +Andel_beroende_av_klimat*VLOOKUP($A92,Leveranser_per_nät,'Leveranser per nät'!Q$1,FALSE)/VLOOKUP($B92,Korrigeringsfaktor_GD,'Korrigeringsfaktor GD'!Q$1,FALSE),
"")</f>
        <v>11.293103448275863</v>
      </c>
      <c r="R92" s="18">
        <f>IFERROR(
                  Andel_oberoende_av_klimat*VLOOKUP($A92,Leveranser_per_nät,'Leveranser per nät'!R$1,FALSE)
               +Andel_beroende_av_klimat*VLOOKUP($A92,Leveranser_per_nät,'Leveranser per nät'!R$1,FALSE)/VLOOKUP($B92,Korrigeringsfaktor_GD,'Korrigeringsfaktor GD'!R$1,FALSE),
"")</f>
        <v>8.3808695652173917</v>
      </c>
      <c r="S92" s="18">
        <f>IFERROR(
                  Andel_oberoende_av_klimat*VLOOKUP($A92,Leveranser_per_nät,'Leveranser per nät'!S$1,FALSE)
               +Andel_beroende_av_klimat*VLOOKUP($A92,Leveranser_per_nät,'Leveranser per nät'!S$1,FALSE)/VLOOKUP($B92,Korrigeringsfaktor_GD,'Korrigeringsfaktor GD'!S$1,FALSE),
"")</f>
        <v>3.36</v>
      </c>
      <c r="T92" s="18">
        <f>IFERROR(
                  Andel_oberoende_av_klimat*VLOOKUP($A92,Leveranser_per_nät,'Leveranser per nät'!T$1,FALSE)
               +Andel_beroende_av_klimat*VLOOKUP($A92,Leveranser_per_nät,'Leveranser per nät'!T$1,FALSE)/VLOOKUP($B92,Korrigeringsfaktor_GD,'Korrigeringsfaktor GD'!T$1,FALSE),
"")</f>
        <v>3.3653750000000002</v>
      </c>
      <c r="U92" s="18">
        <f>IFERROR(
                  Andel_oberoende_av_klimat*VLOOKUP($A92,Leveranser_per_nät,'Leveranser per nät'!U$1,FALSE)
               +Andel_beroende_av_klimat*VLOOKUP($A92,Leveranser_per_nät,'Leveranser per nät'!U$1,FALSE)/VLOOKUP($B92,Korrigeringsfaktor_GD,'Korrigeringsfaktor GD'!U$1,FALSE),
"")</f>
        <v>3.6941573033707864</v>
      </c>
      <c r="V92" s="18">
        <f>IFERROR(
                  Andel_oberoende_av_klimat*VLOOKUP($A92,Leveranser_per_nät,'Leveranser per nät'!V$1,FALSE)
               +Andel_beroende_av_klimat*VLOOKUP($A92,Leveranser_per_nät,'Leveranser per nät'!V$1,FALSE)/VLOOKUP($B92,Korrigeringsfaktor_GD,'Korrigeringsfaktor GD'!V$1,FALSE),
"")</f>
        <v>3.4488888888888889</v>
      </c>
      <c r="W92" s="18">
        <f>IFERROR(
                  Andel_oberoende_av_klimat*VLOOKUP($A92,Leveranser_per_nät,'Leveranser per nät'!W$1,FALSE)
               +Andel_beroende_av_klimat*VLOOKUP($A92,Leveranser_per_nät,'Leveranser per nät'!W$1,FALSE)/VLOOKUP($B92,Korrigeringsfaktor_GD,'Korrigeringsfaktor GD'!W$1,FALSE),
"")</f>
        <v>3.3962499999999998</v>
      </c>
      <c r="X92" s="18">
        <f>IFERROR(
                  Andel_oberoende_av_klimat*VLOOKUP($A92,Leveranser_per_nät,'Leveranser per nät'!X$1,FALSE)
               +Andel_beroende_av_klimat*VLOOKUP($A92,Leveranser_per_nät,'Leveranser per nät'!X$1,FALSE)/VLOOKUP($B92,Korrigeringsfaktor_GD,'Korrigeringsfaktor GD'!X$1,FALSE),
"")</f>
        <v>3.3233333333333333</v>
      </c>
      <c r="Y92" s="18">
        <f>IFERROR(
                  Andel_oberoende_av_klimat*VLOOKUP($A92,Leveranser_per_nät,'Leveranser per nät'!Y$1,FALSE)
               +Andel_beroende_av_klimat*VLOOKUP($A92,Leveranser_per_nät,'Leveranser per nät'!Y$1,FALSE)/VLOOKUP($B92,Korrigeringsfaktor_GD,'Korrigeringsfaktor GD'!Y$1,FALSE),
"")</f>
        <v>3.5247474747474747</v>
      </c>
      <c r="Z92" s="18">
        <f>IFERROR(
                  Andel_oberoende_av_klimat*VLOOKUP($A92,Leveranser_per_nät,'Leveranser per nät'!Z$1,FALSE)
               +Andel_beroende_av_klimat*VLOOKUP($A92,Leveranser_per_nät,'Leveranser per nät'!Z$1,FALSE)/VLOOKUP($B92,Korrigeringsfaktor_GD,'Korrigeringsfaktor GD'!Z$1,FALSE),
"")</f>
        <v>4.5459865168539331</v>
      </c>
      <c r="AA92" s="18">
        <f>IFERROR(
                  Andel_oberoende_av_klimat*VLOOKUP($A92,Leveranser_per_nät,'Leveranser per nät'!AA$1,FALSE)
               +Andel_beroende_av_klimat*VLOOKUP($A92,Leveranser_per_nät,'Leveranser per nät'!AA$1,FALSE)/VLOOKUP($B92,Korrigeringsfaktor_GD,'Korrigeringsfaktor GD'!AA$1,FALSE),
"")</f>
        <v>4.7120584998362265</v>
      </c>
      <c r="AB92" s="18">
        <f>IFERROR(
                  Andel_oberoende_av_klimat*VLOOKUP($A92,Leveranser_per_nät,'Leveranser per nät'!AB$1,FALSE)
               +Andel_beroende_av_klimat*VLOOKUP($A92,Leveranser_per_nät,'Leveranser per nät'!AB$1,FALSE)/VLOOKUP($B92,Korrigeringsfaktor_GD,'Korrigeringsfaktor GD'!AB$1,FALSE),
"")</f>
        <v>5.2962941176470588</v>
      </c>
      <c r="AC92" s="18">
        <f>IFERROR(
                  Andel_oberoende_av_klimat*VLOOKUP($A92,Leveranser_per_nät,'Leveranser per nät'!AC$1,FALSE)
               +Andel_beroende_av_klimat*VLOOKUP($A92,Leveranser_per_nät,'Leveranser per nät'!AC$1,FALSE)/VLOOKUP($B92,Korrigeringsfaktor_GD,'Korrigeringsfaktor GD'!AC$1,FALSE),
"")</f>
        <v>4.6842553956834525</v>
      </c>
      <c r="AD92">
        <v>14.067</v>
      </c>
    </row>
    <row r="93" spans="1:30" x14ac:dyDescent="0.25">
      <c r="A93" s="4" t="s">
        <v>28</v>
      </c>
      <c r="B93" t="s">
        <v>29</v>
      </c>
      <c r="C93" s="18">
        <f>IFERROR(
                  Andel_oberoende_av_klimat*VLOOKUP($A93,Leveranser_per_nät,'Leveranser per nät'!C$1,FALSE)
               +Andel_beroende_av_klimat*VLOOKUP($A93,Leveranser_per_nät,'Leveranser per nät'!C$1,FALSE)/VLOOKUP($B93,Korrigeringsfaktor_GD,'Korrigeringsfaktor GD'!C$1,FALSE),
"")</f>
        <v>0</v>
      </c>
      <c r="D93" s="18">
        <f>IFERROR(
                  Andel_oberoende_av_klimat*VLOOKUP($A93,Leveranser_per_nät,'Leveranser per nät'!D$1,FALSE)
               +Andel_beroende_av_klimat*VLOOKUP($A93,Leveranser_per_nät,'Leveranser per nät'!D$1,FALSE)/VLOOKUP($B93,Korrigeringsfaktor_GD,'Korrigeringsfaktor GD'!D$1,FALSE),
"")</f>
        <v>0</v>
      </c>
      <c r="E93" s="18">
        <f>IFERROR(
                  Andel_oberoende_av_klimat*VLOOKUP($A93,Leveranser_per_nät,'Leveranser per nät'!E$1,FALSE)
               +Andel_beroende_av_klimat*VLOOKUP($A93,Leveranser_per_nät,'Leveranser per nät'!E$1,FALSE)/VLOOKUP($B93,Korrigeringsfaktor_GD,'Korrigeringsfaktor GD'!E$1,FALSE),
"")</f>
        <v>0</v>
      </c>
      <c r="F93" s="18">
        <f>IFERROR(
                  Andel_oberoende_av_klimat*VLOOKUP($A93,Leveranser_per_nät,'Leveranser per nät'!F$1,FALSE)
               +Andel_beroende_av_klimat*VLOOKUP($A93,Leveranser_per_nät,'Leveranser per nät'!F$1,FALSE)/VLOOKUP($B93,Korrigeringsfaktor_GD,'Korrigeringsfaktor GD'!F$1,FALSE),
"")</f>
        <v>0</v>
      </c>
      <c r="G93" s="18">
        <f>IFERROR(
                  Andel_oberoende_av_klimat*VLOOKUP($A93,Leveranser_per_nät,'Leveranser per nät'!G$1,FALSE)
               +Andel_beroende_av_klimat*VLOOKUP($A93,Leveranser_per_nät,'Leveranser per nät'!G$1,FALSE)/VLOOKUP($B93,Korrigeringsfaktor_GD,'Korrigeringsfaktor GD'!G$1,FALSE),
"")</f>
        <v>0</v>
      </c>
      <c r="H93" s="18">
        <f>IFERROR(
                  Andel_oberoende_av_klimat*VLOOKUP($A93,Leveranser_per_nät,'Leveranser per nät'!H$1,FALSE)
               +Andel_beroende_av_klimat*VLOOKUP($A93,Leveranser_per_nät,'Leveranser per nät'!H$1,FALSE)/VLOOKUP($B93,Korrigeringsfaktor_GD,'Korrigeringsfaktor GD'!H$1,FALSE),
"")</f>
        <v>0</v>
      </c>
      <c r="I93" s="18">
        <f>IFERROR(
                  Andel_oberoende_av_klimat*VLOOKUP($A93,Leveranser_per_nät,'Leveranser per nät'!I$1,FALSE)
               +Andel_beroende_av_klimat*VLOOKUP($A93,Leveranser_per_nät,'Leveranser per nät'!I$1,FALSE)/VLOOKUP($B93,Korrigeringsfaktor_GD,'Korrigeringsfaktor GD'!I$1,FALSE),
"")</f>
        <v>0</v>
      </c>
      <c r="J93" s="18">
        <f>IFERROR(
                  Andel_oberoende_av_klimat*VLOOKUP($A93,Leveranser_per_nät,'Leveranser per nät'!J$1,FALSE)
               +Andel_beroende_av_klimat*VLOOKUP($A93,Leveranser_per_nät,'Leveranser per nät'!J$1,FALSE)/VLOOKUP($B93,Korrigeringsfaktor_GD,'Korrigeringsfaktor GD'!J$1,FALSE),
"")</f>
        <v>0</v>
      </c>
      <c r="K93" s="18">
        <f>IFERROR(
                  Andel_oberoende_av_klimat*VLOOKUP($A93,Leveranser_per_nät,'Leveranser per nät'!K$1,FALSE)
               +Andel_beroende_av_klimat*VLOOKUP($A93,Leveranser_per_nät,'Leveranser per nät'!K$1,FALSE)/VLOOKUP($B93,Korrigeringsfaktor_GD,'Korrigeringsfaktor GD'!K$1,FALSE),
"")</f>
        <v>0</v>
      </c>
      <c r="L93" s="18">
        <f>IFERROR(
                  Andel_oberoende_av_klimat*VLOOKUP($A93,Leveranser_per_nät,'Leveranser per nät'!L$1,FALSE)
               +Andel_beroende_av_klimat*VLOOKUP($A93,Leveranser_per_nät,'Leveranser per nät'!L$1,FALSE)/VLOOKUP($B93,Korrigeringsfaktor_GD,'Korrigeringsfaktor GD'!L$1,FALSE),
"")</f>
        <v>0</v>
      </c>
      <c r="M93" s="18">
        <f>IFERROR(
                  Andel_oberoende_av_klimat*VLOOKUP($A93,Leveranser_per_nät,'Leveranser per nät'!M$1,FALSE)
               +Andel_beroende_av_klimat*VLOOKUP($A93,Leveranser_per_nät,'Leveranser per nät'!M$1,FALSE)/VLOOKUP($B93,Korrigeringsfaktor_GD,'Korrigeringsfaktor GD'!M$1,FALSE),
"")</f>
        <v>0</v>
      </c>
      <c r="N93" s="18">
        <f>IFERROR(
                  Andel_oberoende_av_klimat*VLOOKUP($A93,Leveranser_per_nät,'Leveranser per nät'!N$1,FALSE)
               +Andel_beroende_av_klimat*VLOOKUP($A93,Leveranser_per_nät,'Leveranser per nät'!N$1,FALSE)/VLOOKUP($B93,Korrigeringsfaktor_GD,'Korrigeringsfaktor GD'!N$1,FALSE),
"")</f>
        <v>0</v>
      </c>
      <c r="O93" s="18">
        <f>IFERROR(
                  Andel_oberoende_av_klimat*VLOOKUP($A93,Leveranser_per_nät,'Leveranser per nät'!O$1,FALSE)
               +Andel_beroende_av_klimat*VLOOKUP($A93,Leveranser_per_nät,'Leveranser per nät'!O$1,FALSE)/VLOOKUP($B93,Korrigeringsfaktor_GD,'Korrigeringsfaktor GD'!O$1,FALSE),
"")</f>
        <v>0</v>
      </c>
      <c r="P93" s="18">
        <f>IFERROR(
                  Andel_oberoende_av_klimat*VLOOKUP($A93,Leveranser_per_nät,'Leveranser per nät'!P$1,FALSE)
               +Andel_beroende_av_klimat*VLOOKUP($A93,Leveranser_per_nät,'Leveranser per nät'!P$1,FALSE)/VLOOKUP($B93,Korrigeringsfaktor_GD,'Korrigeringsfaktor GD'!P$1,FALSE),
"")</f>
        <v>0</v>
      </c>
      <c r="Q93" s="18">
        <f>IFERROR(
                  Andel_oberoende_av_klimat*VLOOKUP($A93,Leveranser_per_nät,'Leveranser per nät'!Q$1,FALSE)
               +Andel_beroende_av_klimat*VLOOKUP($A93,Leveranser_per_nät,'Leveranser per nät'!Q$1,FALSE)/VLOOKUP($B93,Korrigeringsfaktor_GD,'Korrigeringsfaktor GD'!Q$1,FALSE),
"")</f>
        <v>22.448282051282053</v>
      </c>
      <c r="R93" s="18">
        <f>IFERROR(
                  Andel_oberoende_av_klimat*VLOOKUP($A93,Leveranser_per_nät,'Leveranser per nät'!R$1,FALSE)
               +Andel_beroende_av_klimat*VLOOKUP($A93,Leveranser_per_nät,'Leveranser per nät'!R$1,FALSE)/VLOOKUP($B93,Korrigeringsfaktor_GD,'Korrigeringsfaktor GD'!R$1,FALSE),
"")</f>
        <v>23.234384615384617</v>
      </c>
      <c r="S93" s="18">
        <f>IFERROR(
                  Andel_oberoende_av_klimat*VLOOKUP($A93,Leveranser_per_nät,'Leveranser per nät'!S$1,FALSE)
               +Andel_beroende_av_klimat*VLOOKUP($A93,Leveranser_per_nät,'Leveranser per nät'!S$1,FALSE)/VLOOKUP($B93,Korrigeringsfaktor_GD,'Korrigeringsfaktor GD'!S$1,FALSE),
"")</f>
        <v>19.725490196078432</v>
      </c>
      <c r="T93" s="18">
        <f>IFERROR(
                  Andel_oberoende_av_klimat*VLOOKUP($A93,Leveranser_per_nät,'Leveranser per nät'!T$1,FALSE)
               +Andel_beroende_av_klimat*VLOOKUP($A93,Leveranser_per_nät,'Leveranser per nät'!T$1,FALSE)/VLOOKUP($B93,Korrigeringsfaktor_GD,'Korrigeringsfaktor GD'!T$1,FALSE),
"")</f>
        <v>19.990557142857142</v>
      </c>
      <c r="U93" s="18">
        <f>IFERROR(
                  Andel_oberoende_av_klimat*VLOOKUP($A93,Leveranser_per_nät,'Leveranser per nät'!U$1,FALSE)
               +Andel_beroende_av_klimat*VLOOKUP($A93,Leveranser_per_nät,'Leveranser per nät'!U$1,FALSE)/VLOOKUP($B93,Korrigeringsfaktor_GD,'Korrigeringsfaktor GD'!U$1,FALSE),
"")</f>
        <v>19.166979310344828</v>
      </c>
      <c r="V93" s="18">
        <f>IFERROR(
                  Andel_oberoende_av_klimat*VLOOKUP($A93,Leveranser_per_nät,'Leveranser per nät'!V$1,FALSE)
               +Andel_beroende_av_klimat*VLOOKUP($A93,Leveranser_per_nät,'Leveranser per nät'!V$1,FALSE)/VLOOKUP($B93,Korrigeringsfaktor_GD,'Korrigeringsfaktor GD'!V$1,FALSE),
"")</f>
        <v>18.967989473684213</v>
      </c>
      <c r="W93" s="18">
        <f>IFERROR(
                  Andel_oberoende_av_klimat*VLOOKUP($A93,Leveranser_per_nät,'Leveranser per nät'!W$1,FALSE)
               +Andel_beroende_av_klimat*VLOOKUP($A93,Leveranser_per_nät,'Leveranser per nät'!W$1,FALSE)/VLOOKUP($B93,Korrigeringsfaktor_GD,'Korrigeringsfaktor GD'!W$1,FALSE),
"")</f>
        <v>19.570405050505052</v>
      </c>
      <c r="X93" s="18">
        <f>IFERROR(
                  Andel_oberoende_av_klimat*VLOOKUP($A93,Leveranser_per_nät,'Leveranser per nät'!X$1,FALSE)
               +Andel_beroende_av_klimat*VLOOKUP($A93,Leveranser_per_nät,'Leveranser per nät'!X$1,FALSE)/VLOOKUP($B93,Korrigeringsfaktor_GD,'Korrigeringsfaktor GD'!X$1,FALSE),
"")</f>
        <v>18.571544329896909</v>
      </c>
      <c r="Y93" s="18">
        <f>IFERROR(
                  Andel_oberoende_av_klimat*VLOOKUP($A93,Leveranser_per_nät,'Leveranser per nät'!Y$1,FALSE)
               +Andel_beroende_av_klimat*VLOOKUP($A93,Leveranser_per_nät,'Leveranser per nät'!Y$1,FALSE)/VLOOKUP($B93,Korrigeringsfaktor_GD,'Korrigeringsfaktor GD'!Y$1,FALSE),
"")</f>
        <v>18.64242105263158</v>
      </c>
      <c r="Z93" s="18">
        <f>IFERROR(
                  Andel_oberoende_av_klimat*VLOOKUP($A93,Leveranser_per_nät,'Leveranser per nät'!Z$1,FALSE)
               +Andel_beroende_av_klimat*VLOOKUP($A93,Leveranser_per_nät,'Leveranser per nät'!Z$1,FALSE)/VLOOKUP($B93,Korrigeringsfaktor_GD,'Korrigeringsfaktor GD'!Z$1,FALSE),
"")</f>
        <v>0</v>
      </c>
      <c r="AA93" s="18">
        <f>IFERROR(
                  Andel_oberoende_av_klimat*VLOOKUP($A93,Leveranser_per_nät,'Leveranser per nät'!AA$1,FALSE)
               +Andel_beroende_av_klimat*VLOOKUP($A93,Leveranser_per_nät,'Leveranser per nät'!AA$1,FALSE)/VLOOKUP($B93,Korrigeringsfaktor_GD,'Korrigeringsfaktor GD'!AA$1,FALSE),
"")</f>
        <v>0</v>
      </c>
      <c r="AB93" s="18">
        <f>IFERROR(
                  Andel_oberoende_av_klimat*VLOOKUP($A93,Leveranser_per_nät,'Leveranser per nät'!AB$1,FALSE)
               +Andel_beroende_av_klimat*VLOOKUP($A93,Leveranser_per_nät,'Leveranser per nät'!AB$1,FALSE)/VLOOKUP($B93,Korrigeringsfaktor_GD,'Korrigeringsfaktor GD'!AB$1,FALSE),
"")</f>
        <v>0</v>
      </c>
      <c r="AC93" s="18">
        <f>IFERROR(
                  Andel_oberoende_av_klimat*VLOOKUP($A93,Leveranser_per_nät,'Leveranser per nät'!AC$1,FALSE)
               +Andel_beroende_av_klimat*VLOOKUP($A93,Leveranser_per_nät,'Leveranser per nät'!AC$1,FALSE)/VLOOKUP($B93,Korrigeringsfaktor_GD,'Korrigeringsfaktor GD'!AC$1,FALSE),
"")</f>
        <v>0</v>
      </c>
      <c r="AD93">
        <v>578.77</v>
      </c>
    </row>
    <row r="94" spans="1:30" x14ac:dyDescent="0.25">
      <c r="A94" t="s">
        <v>204</v>
      </c>
      <c r="B94" t="s">
        <v>203</v>
      </c>
      <c r="C94" s="18">
        <f>IFERROR(
                  Andel_oberoende_av_klimat*VLOOKUP($A94,Leveranser_per_nät,'Leveranser per nät'!C$1,FALSE)
               +Andel_beroende_av_klimat*VLOOKUP($A94,Leveranser_per_nät,'Leveranser per nät'!C$1,FALSE)/VLOOKUP($B94,Korrigeringsfaktor_GD,'Korrigeringsfaktor GD'!C$1,FALSE),
"")</f>
        <v>0</v>
      </c>
      <c r="D94" s="18">
        <f>IFERROR(
                  Andel_oberoende_av_klimat*VLOOKUP($A94,Leveranser_per_nät,'Leveranser per nät'!D$1,FALSE)
               +Andel_beroende_av_klimat*VLOOKUP($A94,Leveranser_per_nät,'Leveranser per nät'!D$1,FALSE)/VLOOKUP($B94,Korrigeringsfaktor_GD,'Korrigeringsfaktor GD'!D$1,FALSE),
"")</f>
        <v>0</v>
      </c>
      <c r="E94" s="18">
        <f>IFERROR(
                  Andel_oberoende_av_klimat*VLOOKUP($A94,Leveranser_per_nät,'Leveranser per nät'!E$1,FALSE)
               +Andel_beroende_av_klimat*VLOOKUP($A94,Leveranser_per_nät,'Leveranser per nät'!E$1,FALSE)/VLOOKUP($B94,Korrigeringsfaktor_GD,'Korrigeringsfaktor GD'!E$1,FALSE),
"")</f>
        <v>0</v>
      </c>
      <c r="F94" s="18">
        <f>IFERROR(
                  Andel_oberoende_av_klimat*VLOOKUP($A94,Leveranser_per_nät,'Leveranser per nät'!F$1,FALSE)
               +Andel_beroende_av_klimat*VLOOKUP($A94,Leveranser_per_nät,'Leveranser per nät'!F$1,FALSE)/VLOOKUP($B94,Korrigeringsfaktor_GD,'Korrigeringsfaktor GD'!F$1,FALSE),
"")</f>
        <v>0</v>
      </c>
      <c r="G94" s="18">
        <f>IFERROR(
                  Andel_oberoende_av_klimat*VLOOKUP($A94,Leveranser_per_nät,'Leveranser per nät'!G$1,FALSE)
               +Andel_beroende_av_klimat*VLOOKUP($A94,Leveranser_per_nät,'Leveranser per nät'!G$1,FALSE)/VLOOKUP($B94,Korrigeringsfaktor_GD,'Korrigeringsfaktor GD'!G$1,FALSE),
"")</f>
        <v>2.2279069767441859</v>
      </c>
      <c r="H94" s="18">
        <f>IFERROR(
                  Andel_oberoende_av_klimat*VLOOKUP($A94,Leveranser_per_nät,'Leveranser per nät'!H$1,FALSE)
               +Andel_beroende_av_klimat*VLOOKUP($A94,Leveranser_per_nät,'Leveranser per nät'!H$1,FALSE)/VLOOKUP($B94,Korrigeringsfaktor_GD,'Korrigeringsfaktor GD'!H$1,FALSE),
"")</f>
        <v>5.9584158415841575</v>
      </c>
      <c r="I94" s="18">
        <f>IFERROR(
                  Andel_oberoende_av_klimat*VLOOKUP($A94,Leveranser_per_nät,'Leveranser per nät'!I$1,FALSE)
               +Andel_beroende_av_klimat*VLOOKUP($A94,Leveranser_per_nät,'Leveranser per nät'!I$1,FALSE)/VLOOKUP($B94,Korrigeringsfaktor_GD,'Korrigeringsfaktor GD'!I$1,FALSE),
"")</f>
        <v>7.3127659574468087</v>
      </c>
      <c r="J94" s="18">
        <f>IFERROR(
                  Andel_oberoende_av_klimat*VLOOKUP($A94,Leveranser_per_nät,'Leveranser per nät'!J$1,FALSE)
               +Andel_beroende_av_klimat*VLOOKUP($A94,Leveranser_per_nät,'Leveranser per nät'!J$1,FALSE)/VLOOKUP($B94,Korrigeringsfaktor_GD,'Korrigeringsfaktor GD'!J$1,FALSE),
"")</f>
        <v>7.1</v>
      </c>
      <c r="K94" s="18">
        <f>IFERROR(
                  Andel_oberoende_av_klimat*VLOOKUP($A94,Leveranser_per_nät,'Leveranser per nät'!K$1,FALSE)
               +Andel_beroende_av_klimat*VLOOKUP($A94,Leveranser_per_nät,'Leveranser per nät'!K$1,FALSE)/VLOOKUP($B94,Korrigeringsfaktor_GD,'Korrigeringsfaktor GD'!K$1,FALSE),
"")</f>
        <v>6.8893707070707073</v>
      </c>
      <c r="L94" s="18">
        <f>IFERROR(
                  Andel_oberoende_av_klimat*VLOOKUP($A94,Leveranser_per_nät,'Leveranser per nät'!L$1,FALSE)
               +Andel_beroende_av_klimat*VLOOKUP($A94,Leveranser_per_nät,'Leveranser per nät'!L$1,FALSE)/VLOOKUP($B94,Korrigeringsfaktor_GD,'Korrigeringsfaktor GD'!L$1,FALSE),
"")</f>
        <v>7.0405291666666674</v>
      </c>
      <c r="M94" s="18">
        <f>IFERROR(
                  Andel_oberoende_av_klimat*VLOOKUP($A94,Leveranser_per_nät,'Leveranser per nät'!M$1,FALSE)
               +Andel_beroende_av_klimat*VLOOKUP($A94,Leveranser_per_nät,'Leveranser per nät'!M$1,FALSE)/VLOOKUP($B94,Korrigeringsfaktor_GD,'Korrigeringsfaktor GD'!M$1,FALSE),
"")</f>
        <v>7.1979999999999986</v>
      </c>
      <c r="N94" s="18">
        <f>IFERROR(
                  Andel_oberoende_av_klimat*VLOOKUP($A94,Leveranser_per_nät,'Leveranser per nät'!N$1,FALSE)
               +Andel_beroende_av_klimat*VLOOKUP($A94,Leveranser_per_nät,'Leveranser per nät'!N$1,FALSE)/VLOOKUP($B94,Korrigeringsfaktor_GD,'Korrigeringsfaktor GD'!N$1,FALSE),
"")</f>
        <v>7.4969662921348315</v>
      </c>
      <c r="O94" s="18">
        <f>IFERROR(
                  Andel_oberoende_av_klimat*VLOOKUP($A94,Leveranser_per_nät,'Leveranser per nät'!O$1,FALSE)
               +Andel_beroende_av_klimat*VLOOKUP($A94,Leveranser_per_nät,'Leveranser per nät'!O$1,FALSE)/VLOOKUP($B94,Korrigeringsfaktor_GD,'Korrigeringsfaktor GD'!O$1,FALSE),
"")</f>
        <v>7.2362022471910112</v>
      </c>
      <c r="P94" s="18">
        <f>IFERROR(
                  Andel_oberoende_av_klimat*VLOOKUP($A94,Leveranser_per_nät,'Leveranser per nät'!P$1,FALSE)
               +Andel_beroende_av_klimat*VLOOKUP($A94,Leveranser_per_nät,'Leveranser per nät'!P$1,FALSE)/VLOOKUP($B94,Korrigeringsfaktor_GD,'Korrigeringsfaktor GD'!P$1,FALSE),
"")</f>
        <v>7.0806666666666667</v>
      </c>
      <c r="Q94" s="18">
        <f>IFERROR(
                  Andel_oberoende_av_klimat*VLOOKUP($A94,Leveranser_per_nät,'Leveranser per nät'!Q$1,FALSE)
               +Andel_beroende_av_klimat*VLOOKUP($A94,Leveranser_per_nät,'Leveranser per nät'!Q$1,FALSE)/VLOOKUP($B94,Korrigeringsfaktor_GD,'Korrigeringsfaktor GD'!Q$1,FALSE),
"")</f>
        <v>7.8959743589743585</v>
      </c>
      <c r="R94" s="18">
        <f>IFERROR(
                  Andel_oberoende_av_klimat*VLOOKUP($A94,Leveranser_per_nät,'Leveranser per nät'!R$1,FALSE)
               +Andel_beroende_av_klimat*VLOOKUP($A94,Leveranser_per_nät,'Leveranser per nät'!R$1,FALSE)/VLOOKUP($B94,Korrigeringsfaktor_GD,'Korrigeringsfaktor GD'!R$1,FALSE),
"")</f>
        <v>8.0192307692307701</v>
      </c>
      <c r="S94" s="18">
        <f>IFERROR(
                  Andel_oberoende_av_klimat*VLOOKUP($A94,Leveranser_per_nät,'Leveranser per nät'!S$1,FALSE)
               +Andel_beroende_av_klimat*VLOOKUP($A94,Leveranser_per_nät,'Leveranser per nät'!S$1,FALSE)/VLOOKUP($B94,Korrigeringsfaktor_GD,'Korrigeringsfaktor GD'!S$1,FALSE),
"")</f>
        <v>8.2973106796116518</v>
      </c>
      <c r="T94" s="18">
        <f>IFERROR(
                  Andel_oberoende_av_klimat*VLOOKUP($A94,Leveranser_per_nät,'Leveranser per nät'!T$1,FALSE)
               +Andel_beroende_av_klimat*VLOOKUP($A94,Leveranser_per_nät,'Leveranser per nät'!T$1,FALSE)/VLOOKUP($B94,Korrigeringsfaktor_GD,'Korrigeringsfaktor GD'!T$1,FALSE),
"")</f>
        <v>8.1270606060606063</v>
      </c>
      <c r="U94" s="18">
        <f>IFERROR(
                  Andel_oberoende_av_klimat*VLOOKUP($A94,Leveranser_per_nät,'Leveranser per nät'!U$1,FALSE)
               +Andel_beroende_av_klimat*VLOOKUP($A94,Leveranser_per_nät,'Leveranser per nät'!U$1,FALSE)/VLOOKUP($B94,Korrigeringsfaktor_GD,'Korrigeringsfaktor GD'!U$1,FALSE),
"")</f>
        <v>8.078176470588236</v>
      </c>
      <c r="V94" s="18">
        <f>IFERROR(
                  Andel_oberoende_av_klimat*VLOOKUP($A94,Leveranser_per_nät,'Leveranser per nät'!V$1,FALSE)
               +Andel_beroende_av_klimat*VLOOKUP($A94,Leveranser_per_nät,'Leveranser per nät'!V$1,FALSE)/VLOOKUP($B94,Korrigeringsfaktor_GD,'Korrigeringsfaktor GD'!V$1,FALSE),
"")</f>
        <v>8.0726923076923072</v>
      </c>
      <c r="W94" s="18">
        <f>IFERROR(
                  Andel_oberoende_av_klimat*VLOOKUP($A94,Leveranser_per_nät,'Leveranser per nät'!W$1,FALSE)
               +Andel_beroende_av_klimat*VLOOKUP($A94,Leveranser_per_nät,'Leveranser per nät'!W$1,FALSE)/VLOOKUP($B94,Korrigeringsfaktor_GD,'Korrigeringsfaktor GD'!W$1,FALSE),
"")</f>
        <v>8.1142857142857139</v>
      </c>
      <c r="X94" s="18" t="str">
        <f>IFERROR(
                  Andel_oberoende_av_klimat*VLOOKUP($A94,Leveranser_per_nät,'Leveranser per nät'!X$1,FALSE)
               +Andel_beroende_av_klimat*VLOOKUP($A94,Leveranser_per_nät,'Leveranser per nät'!X$1,FALSE)/VLOOKUP($B94,Korrigeringsfaktor_GD,'Korrigeringsfaktor GD'!X$1,FALSE),
"")</f>
        <v/>
      </c>
      <c r="Y94" s="18" t="str">
        <f>IFERROR(
                  Andel_oberoende_av_klimat*VLOOKUP($A94,Leveranser_per_nät,'Leveranser per nät'!Y$1,FALSE)
               +Andel_beroende_av_klimat*VLOOKUP($A94,Leveranser_per_nät,'Leveranser per nät'!Y$1,FALSE)/VLOOKUP($B94,Korrigeringsfaktor_GD,'Korrigeringsfaktor GD'!Y$1,FALSE),
"")</f>
        <v/>
      </c>
      <c r="Z94" s="18">
        <f>IFERROR(
                  Andel_oberoende_av_klimat*VLOOKUP($A94,Leveranser_per_nät,'Leveranser per nät'!Z$1,FALSE)
               +Andel_beroende_av_klimat*VLOOKUP($A94,Leveranser_per_nät,'Leveranser per nät'!Z$1,FALSE)/VLOOKUP($B94,Korrigeringsfaktor_GD,'Korrigeringsfaktor GD'!Z$1,FALSE),
"")</f>
        <v>0</v>
      </c>
      <c r="AA94" s="18" t="str">
        <f>IFERROR(
                  Andel_oberoende_av_klimat*VLOOKUP($A94,Leveranser_per_nät,'Leveranser per nät'!AA$1,FALSE)
               +Andel_beroende_av_klimat*VLOOKUP($A94,Leveranser_per_nät,'Leveranser per nät'!AA$1,FALSE)/VLOOKUP($B94,Korrigeringsfaktor_GD,'Korrigeringsfaktor GD'!AA$1,FALSE),
"")</f>
        <v/>
      </c>
      <c r="AB94" s="18">
        <f>IFERROR(
                  Andel_oberoende_av_klimat*VLOOKUP($A94,Leveranser_per_nät,'Leveranser per nät'!AB$1,FALSE)
               +Andel_beroende_av_klimat*VLOOKUP($A94,Leveranser_per_nät,'Leveranser per nät'!AB$1,FALSE)/VLOOKUP($B94,Korrigeringsfaktor_GD,'Korrigeringsfaktor GD'!AB$1,FALSE),
"")</f>
        <v>0</v>
      </c>
      <c r="AC94" s="18">
        <f>IFERROR(
                  Andel_oberoende_av_klimat*VLOOKUP($A94,Leveranser_per_nät,'Leveranser per nät'!AC$1,FALSE)
               +Andel_beroende_av_klimat*VLOOKUP($A94,Leveranser_per_nät,'Leveranser per nät'!AC$1,FALSE)/VLOOKUP($B94,Korrigeringsfaktor_GD,'Korrigeringsfaktor GD'!AC$1,FALSE),
"")</f>
        <v>0</v>
      </c>
      <c r="AD94" t="e">
        <v>#N/A</v>
      </c>
    </row>
    <row r="95" spans="1:30" x14ac:dyDescent="0.25">
      <c r="A95" t="s">
        <v>368</v>
      </c>
      <c r="B95" t="s">
        <v>370</v>
      </c>
      <c r="C95" s="18">
        <f>IFERROR(
                  Andel_oberoende_av_klimat*VLOOKUP($A95,Leveranser_per_nät,'Leveranser per nät'!C$1,FALSE)
               +Andel_beroende_av_klimat*VLOOKUP($A95,Leveranser_per_nät,'Leveranser per nät'!C$1,FALSE)/VLOOKUP($B95,Korrigeringsfaktor_GD,'Korrigeringsfaktor GD'!C$1,FALSE),
"")</f>
        <v>0</v>
      </c>
      <c r="D95" s="18">
        <f>IFERROR(
                  Andel_oberoende_av_klimat*VLOOKUP($A95,Leveranser_per_nät,'Leveranser per nät'!D$1,FALSE)
               +Andel_beroende_av_klimat*VLOOKUP($A95,Leveranser_per_nät,'Leveranser per nät'!D$1,FALSE)/VLOOKUP($B95,Korrigeringsfaktor_GD,'Korrigeringsfaktor GD'!D$1,FALSE),
"")</f>
        <v>0</v>
      </c>
      <c r="E95" s="18">
        <f>IFERROR(
                  Andel_oberoende_av_klimat*VLOOKUP($A95,Leveranser_per_nät,'Leveranser per nät'!E$1,FALSE)
               +Andel_beroende_av_klimat*VLOOKUP($A95,Leveranser_per_nät,'Leveranser per nät'!E$1,FALSE)/VLOOKUP($B95,Korrigeringsfaktor_GD,'Korrigeringsfaktor GD'!E$1,FALSE),
"")</f>
        <v>0</v>
      </c>
      <c r="F95" s="18">
        <f>IFERROR(
                  Andel_oberoende_av_klimat*VLOOKUP($A95,Leveranser_per_nät,'Leveranser per nät'!F$1,FALSE)
               +Andel_beroende_av_klimat*VLOOKUP($A95,Leveranser_per_nät,'Leveranser per nät'!F$1,FALSE)/VLOOKUP($B95,Korrigeringsfaktor_GD,'Korrigeringsfaktor GD'!F$1,FALSE),
"")</f>
        <v>0</v>
      </c>
      <c r="G95" s="18">
        <f>IFERROR(
                  Andel_oberoende_av_klimat*VLOOKUP($A95,Leveranser_per_nät,'Leveranser per nät'!G$1,FALSE)
               +Andel_beroende_av_klimat*VLOOKUP($A95,Leveranser_per_nät,'Leveranser per nät'!G$1,FALSE)/VLOOKUP($B95,Korrigeringsfaktor_GD,'Korrigeringsfaktor GD'!G$1,FALSE),
"")</f>
        <v>0</v>
      </c>
      <c r="H95" s="18">
        <f>IFERROR(
                  Andel_oberoende_av_klimat*VLOOKUP($A95,Leveranser_per_nät,'Leveranser per nät'!H$1,FALSE)
               +Andel_beroende_av_klimat*VLOOKUP($A95,Leveranser_per_nät,'Leveranser per nät'!H$1,FALSE)/VLOOKUP($B95,Korrigeringsfaktor_GD,'Korrigeringsfaktor GD'!H$1,FALSE),
"")</f>
        <v>0</v>
      </c>
      <c r="I95" s="18">
        <f>IFERROR(
                  Andel_oberoende_av_klimat*VLOOKUP($A95,Leveranser_per_nät,'Leveranser per nät'!I$1,FALSE)
               +Andel_beroende_av_klimat*VLOOKUP($A95,Leveranser_per_nät,'Leveranser per nät'!I$1,FALSE)/VLOOKUP($B95,Korrigeringsfaktor_GD,'Korrigeringsfaktor GD'!I$1,FALSE),
"")</f>
        <v>0</v>
      </c>
      <c r="J95" s="18">
        <f>IFERROR(
                  Andel_oberoende_av_klimat*VLOOKUP($A95,Leveranser_per_nät,'Leveranser per nät'!J$1,FALSE)
               +Andel_beroende_av_klimat*VLOOKUP($A95,Leveranser_per_nät,'Leveranser per nät'!J$1,FALSE)/VLOOKUP($B95,Korrigeringsfaktor_GD,'Korrigeringsfaktor GD'!J$1,FALSE),
"")</f>
        <v>0</v>
      </c>
      <c r="K95" s="18">
        <f>IFERROR(
                  Andel_oberoende_av_klimat*VLOOKUP($A95,Leveranser_per_nät,'Leveranser per nät'!K$1,FALSE)
               +Andel_beroende_av_klimat*VLOOKUP($A95,Leveranser_per_nät,'Leveranser per nät'!K$1,FALSE)/VLOOKUP($B95,Korrigeringsfaktor_GD,'Korrigeringsfaktor GD'!K$1,FALSE),
"")</f>
        <v>7.3348708333333335</v>
      </c>
      <c r="L95" s="18">
        <f>IFERROR(
                  Andel_oberoende_av_klimat*VLOOKUP($A95,Leveranser_per_nät,'Leveranser per nät'!L$1,FALSE)
               +Andel_beroende_av_klimat*VLOOKUP($A95,Leveranser_per_nät,'Leveranser per nät'!L$1,FALSE)/VLOOKUP($B95,Korrigeringsfaktor_GD,'Korrigeringsfaktor GD'!L$1,FALSE),
"")</f>
        <v>7.6136340425531923</v>
      </c>
      <c r="M95" s="18">
        <f>IFERROR(
                  Andel_oberoende_av_klimat*VLOOKUP($A95,Leveranser_per_nät,'Leveranser per nät'!M$1,FALSE)
               +Andel_beroende_av_klimat*VLOOKUP($A95,Leveranser_per_nät,'Leveranser per nät'!M$1,FALSE)/VLOOKUP($B95,Korrigeringsfaktor_GD,'Korrigeringsfaktor GD'!M$1,FALSE),
"")</f>
        <v>7.5444444444444443</v>
      </c>
      <c r="N95" s="18">
        <f>IFERROR(
                  Andel_oberoende_av_klimat*VLOOKUP($A95,Leveranser_per_nät,'Leveranser per nät'!N$1,FALSE)
               +Andel_beroende_av_klimat*VLOOKUP($A95,Leveranser_per_nät,'Leveranser per nät'!N$1,FALSE)/VLOOKUP($B95,Korrigeringsfaktor_GD,'Korrigeringsfaktor GD'!N$1,FALSE),
"")</f>
        <v>7.8936085106382983</v>
      </c>
      <c r="O95" s="18">
        <f>IFERROR(
                  Andel_oberoende_av_klimat*VLOOKUP($A95,Leveranser_per_nät,'Leveranser per nät'!O$1,FALSE)
               +Andel_beroende_av_klimat*VLOOKUP($A95,Leveranser_per_nät,'Leveranser per nät'!O$1,FALSE)/VLOOKUP($B95,Korrigeringsfaktor_GD,'Korrigeringsfaktor GD'!O$1,FALSE),
"")</f>
        <v>7.7732052631578945</v>
      </c>
      <c r="P95" s="18">
        <f>IFERROR(
                  Andel_oberoende_av_klimat*VLOOKUP($A95,Leveranser_per_nät,'Leveranser per nät'!P$1,FALSE)
               +Andel_beroende_av_klimat*VLOOKUP($A95,Leveranser_per_nät,'Leveranser per nät'!P$1,FALSE)/VLOOKUP($B95,Korrigeringsfaktor_GD,'Korrigeringsfaktor GD'!P$1,FALSE),
"")</f>
        <v>7.944</v>
      </c>
      <c r="Q95" s="18">
        <f>IFERROR(
                  Andel_oberoende_av_klimat*VLOOKUP($A95,Leveranser_per_nät,'Leveranser per nät'!Q$1,FALSE)
               +Andel_beroende_av_klimat*VLOOKUP($A95,Leveranser_per_nät,'Leveranser per nät'!Q$1,FALSE)/VLOOKUP($B95,Korrigeringsfaktor_GD,'Korrigeringsfaktor GD'!Q$1,FALSE),
"")</f>
        <v>7.532563157894737</v>
      </c>
      <c r="R95" s="18">
        <f>IFERROR(
                  Andel_oberoende_av_klimat*VLOOKUP($A95,Leveranser_per_nät,'Leveranser per nät'!R$1,FALSE)
               +Andel_beroende_av_klimat*VLOOKUP($A95,Leveranser_per_nät,'Leveranser per nät'!R$1,FALSE)/VLOOKUP($B95,Korrigeringsfaktor_GD,'Korrigeringsfaktor GD'!R$1,FALSE),
"")</f>
        <v>7.6984615384615385</v>
      </c>
      <c r="S95" s="18">
        <f>IFERROR(
                  Andel_oberoende_av_klimat*VLOOKUP($A95,Leveranser_per_nät,'Leveranser per nät'!S$1,FALSE)
               +Andel_beroende_av_klimat*VLOOKUP($A95,Leveranser_per_nät,'Leveranser per nät'!S$1,FALSE)/VLOOKUP($B95,Korrigeringsfaktor_GD,'Korrigeringsfaktor GD'!S$1,FALSE),
"")</f>
        <v>7.6</v>
      </c>
      <c r="T95" s="18">
        <f>IFERROR(
                  Andel_oberoende_av_klimat*VLOOKUP($A95,Leveranser_per_nät,'Leveranser per nät'!T$1,FALSE)
               +Andel_beroende_av_klimat*VLOOKUP($A95,Leveranser_per_nät,'Leveranser per nät'!T$1,FALSE)/VLOOKUP($B95,Korrigeringsfaktor_GD,'Korrigeringsfaktor GD'!T$1,FALSE),
"")</f>
        <v>7.3070833333333329</v>
      </c>
      <c r="U95" s="18">
        <f>IFERROR(
                  Andel_oberoende_av_klimat*VLOOKUP($A95,Leveranser_per_nät,'Leveranser per nät'!U$1,FALSE)
               +Andel_beroende_av_klimat*VLOOKUP($A95,Leveranser_per_nät,'Leveranser per nät'!U$1,FALSE)/VLOOKUP($B95,Korrigeringsfaktor_GD,'Korrigeringsfaktor GD'!U$1,FALSE),
"")</f>
        <v>7.4490909090909092</v>
      </c>
      <c r="V95" s="18">
        <f>IFERROR(
                  Andel_oberoende_av_klimat*VLOOKUP($A95,Leveranser_per_nät,'Leveranser per nät'!V$1,FALSE)
               +Andel_beroende_av_klimat*VLOOKUP($A95,Leveranser_per_nät,'Leveranser per nät'!V$1,FALSE)/VLOOKUP($B95,Korrigeringsfaktor_GD,'Korrigeringsfaktor GD'!V$1,FALSE),
"")</f>
        <v>7.2299999999999995</v>
      </c>
      <c r="W95" s="18">
        <f>IFERROR(
                  Andel_oberoende_av_klimat*VLOOKUP($A95,Leveranser_per_nät,'Leveranser per nät'!W$1,FALSE)
               +Andel_beroende_av_klimat*VLOOKUP($A95,Leveranser_per_nät,'Leveranser per nät'!W$1,FALSE)/VLOOKUP($B95,Korrigeringsfaktor_GD,'Korrigeringsfaktor GD'!W$1,FALSE),
"")</f>
        <v>7.32</v>
      </c>
      <c r="X95" s="18">
        <f>IFERROR(
                  Andel_oberoende_av_klimat*VLOOKUP($A95,Leveranser_per_nät,'Leveranser per nät'!X$1,FALSE)
               +Andel_beroende_av_klimat*VLOOKUP($A95,Leveranser_per_nät,'Leveranser per nät'!X$1,FALSE)/VLOOKUP($B95,Korrigeringsfaktor_GD,'Korrigeringsfaktor GD'!X$1,FALSE),
"")</f>
        <v>7.1038297872340426</v>
      </c>
      <c r="Y95" s="18">
        <f>IFERROR(
                  Andel_oberoende_av_klimat*VLOOKUP($A95,Leveranser_per_nät,'Leveranser per nät'!Y$1,FALSE)
               +Andel_beroende_av_klimat*VLOOKUP($A95,Leveranser_per_nät,'Leveranser per nät'!Y$1,FALSE)/VLOOKUP($B95,Korrigeringsfaktor_GD,'Korrigeringsfaktor GD'!Y$1,FALSE),
"")</f>
        <v>6.9993617021276595</v>
      </c>
      <c r="Z95" s="18">
        <f>IFERROR(
                  Andel_oberoende_av_klimat*VLOOKUP($A95,Leveranser_per_nät,'Leveranser per nät'!Z$1,FALSE)
               +Andel_beroende_av_klimat*VLOOKUP($A95,Leveranser_per_nät,'Leveranser per nät'!Z$1,FALSE)/VLOOKUP($B95,Korrigeringsfaktor_GD,'Korrigeringsfaktor GD'!Z$1,FALSE),
"")</f>
        <v>7.0109090909090899</v>
      </c>
      <c r="AA95" s="18">
        <f>IFERROR(
                  Andel_oberoende_av_klimat*VLOOKUP($A95,Leveranser_per_nät,'Leveranser per nät'!AA$1,FALSE)
               +Andel_beroende_av_klimat*VLOOKUP($A95,Leveranser_per_nät,'Leveranser per nät'!AA$1,FALSE)/VLOOKUP($B95,Korrigeringsfaktor_GD,'Korrigeringsfaktor GD'!AA$1,FALSE),
"")</f>
        <v>6.6154978626489136</v>
      </c>
      <c r="AB95" s="18">
        <f>IFERROR(
                  Andel_oberoende_av_klimat*VLOOKUP($A95,Leveranser_per_nät,'Leveranser per nät'!AB$1,FALSE)
               +Andel_beroende_av_klimat*VLOOKUP($A95,Leveranser_per_nät,'Leveranser per nät'!AB$1,FALSE)/VLOOKUP($B95,Korrigeringsfaktor_GD,'Korrigeringsfaktor GD'!AB$1,FALSE),
"")</f>
        <v>7.4400692913385829</v>
      </c>
      <c r="AC95" s="18">
        <f>IFERROR(
                  Andel_oberoende_av_klimat*VLOOKUP($A95,Leveranser_per_nät,'Leveranser per nät'!AC$1,FALSE)
               +Andel_beroende_av_klimat*VLOOKUP($A95,Leveranser_per_nät,'Leveranser per nät'!AC$1,FALSE)/VLOOKUP($B95,Korrigeringsfaktor_GD,'Korrigeringsfaktor GD'!AC$1,FALSE),
"")</f>
        <v>8.0597694879832797</v>
      </c>
      <c r="AD95">
        <v>21.763000000000002</v>
      </c>
    </row>
    <row r="96" spans="1:30" x14ac:dyDescent="0.25">
      <c r="A96" t="s">
        <v>351</v>
      </c>
      <c r="B96" t="s">
        <v>350</v>
      </c>
      <c r="C96" s="18">
        <f>IFERROR(
                  Andel_oberoende_av_klimat*VLOOKUP($A96,Leveranser_per_nät,'Leveranser per nät'!C$1,FALSE)
               +Andel_beroende_av_klimat*VLOOKUP($A96,Leveranser_per_nät,'Leveranser per nät'!C$1,FALSE)/VLOOKUP($B96,Korrigeringsfaktor_GD,'Korrigeringsfaktor GD'!C$1,FALSE),
"")</f>
        <v>0</v>
      </c>
      <c r="D96" s="18">
        <f>IFERROR(
                  Andel_oberoende_av_klimat*VLOOKUP($A96,Leveranser_per_nät,'Leveranser per nät'!D$1,FALSE)
               +Andel_beroende_av_klimat*VLOOKUP($A96,Leveranser_per_nät,'Leveranser per nät'!D$1,FALSE)/VLOOKUP($B96,Korrigeringsfaktor_GD,'Korrigeringsfaktor GD'!D$1,FALSE),
"")</f>
        <v>0</v>
      </c>
      <c r="E96" s="18">
        <f>IFERROR(
                  Andel_oberoende_av_klimat*VLOOKUP($A96,Leveranser_per_nät,'Leveranser per nät'!E$1,FALSE)
               +Andel_beroende_av_klimat*VLOOKUP($A96,Leveranser_per_nät,'Leveranser per nät'!E$1,FALSE)/VLOOKUP($B96,Korrigeringsfaktor_GD,'Korrigeringsfaktor GD'!E$1,FALSE),
"")</f>
        <v>0</v>
      </c>
      <c r="F96" s="18">
        <f>IFERROR(
                  Andel_oberoende_av_klimat*VLOOKUP($A96,Leveranser_per_nät,'Leveranser per nät'!F$1,FALSE)
               +Andel_beroende_av_klimat*VLOOKUP($A96,Leveranser_per_nät,'Leveranser per nät'!F$1,FALSE)/VLOOKUP($B96,Korrigeringsfaktor_GD,'Korrigeringsfaktor GD'!F$1,FALSE),
"")</f>
        <v>0</v>
      </c>
      <c r="G96" s="18">
        <f>IFERROR(
                  Andel_oberoende_av_klimat*VLOOKUP($A96,Leveranser_per_nät,'Leveranser per nät'!G$1,FALSE)
               +Andel_beroende_av_klimat*VLOOKUP($A96,Leveranser_per_nät,'Leveranser per nät'!G$1,FALSE)/VLOOKUP($B96,Korrigeringsfaktor_GD,'Korrigeringsfaktor GD'!G$1,FALSE),
"")</f>
        <v>0</v>
      </c>
      <c r="H96" s="18">
        <f>IFERROR(
                  Andel_oberoende_av_klimat*VLOOKUP($A96,Leveranser_per_nät,'Leveranser per nät'!H$1,FALSE)
               +Andel_beroende_av_klimat*VLOOKUP($A96,Leveranser_per_nät,'Leveranser per nät'!H$1,FALSE)/VLOOKUP($B96,Korrigeringsfaktor_GD,'Korrigeringsfaktor GD'!H$1,FALSE),
"")</f>
        <v>0</v>
      </c>
      <c r="I96" s="18">
        <f>IFERROR(
                  Andel_oberoende_av_klimat*VLOOKUP($A96,Leveranser_per_nät,'Leveranser per nät'!I$1,FALSE)
               +Andel_beroende_av_klimat*VLOOKUP($A96,Leveranser_per_nät,'Leveranser per nät'!I$1,FALSE)/VLOOKUP($B96,Korrigeringsfaktor_GD,'Korrigeringsfaktor GD'!I$1,FALSE),
"")</f>
        <v>0</v>
      </c>
      <c r="J96" s="18">
        <f>IFERROR(
                  Andel_oberoende_av_klimat*VLOOKUP($A96,Leveranser_per_nät,'Leveranser per nät'!J$1,FALSE)
               +Andel_beroende_av_klimat*VLOOKUP($A96,Leveranser_per_nät,'Leveranser per nät'!J$1,FALSE)/VLOOKUP($B96,Korrigeringsfaktor_GD,'Korrigeringsfaktor GD'!J$1,FALSE),
"")</f>
        <v>0</v>
      </c>
      <c r="K96" s="18">
        <f>IFERROR(
                  Andel_oberoende_av_klimat*VLOOKUP($A96,Leveranser_per_nät,'Leveranser per nät'!K$1,FALSE)
               +Andel_beroende_av_klimat*VLOOKUP($A96,Leveranser_per_nät,'Leveranser per nät'!K$1,FALSE)/VLOOKUP($B96,Korrigeringsfaktor_GD,'Korrigeringsfaktor GD'!K$1,FALSE),
"")</f>
        <v>0</v>
      </c>
      <c r="L96" s="18">
        <f>IFERROR(
                  Andel_oberoende_av_klimat*VLOOKUP($A96,Leveranser_per_nät,'Leveranser per nät'!L$1,FALSE)
               +Andel_beroende_av_klimat*VLOOKUP($A96,Leveranser_per_nät,'Leveranser per nät'!L$1,FALSE)/VLOOKUP($B96,Korrigeringsfaktor_GD,'Korrigeringsfaktor GD'!L$1,FALSE),
"")</f>
        <v>0</v>
      </c>
      <c r="M96" s="18">
        <f>IFERROR(
                  Andel_oberoende_av_klimat*VLOOKUP($A96,Leveranser_per_nät,'Leveranser per nät'!M$1,FALSE)
               +Andel_beroende_av_klimat*VLOOKUP($A96,Leveranser_per_nät,'Leveranser per nät'!M$1,FALSE)/VLOOKUP($B96,Korrigeringsfaktor_GD,'Korrigeringsfaktor GD'!M$1,FALSE),
"")</f>
        <v>0</v>
      </c>
      <c r="N96" s="18">
        <f>IFERROR(
                  Andel_oberoende_av_klimat*VLOOKUP($A96,Leveranser_per_nät,'Leveranser per nät'!N$1,FALSE)
               +Andel_beroende_av_klimat*VLOOKUP($A96,Leveranser_per_nät,'Leveranser per nät'!N$1,FALSE)/VLOOKUP($B96,Korrigeringsfaktor_GD,'Korrigeringsfaktor GD'!N$1,FALSE),
"")</f>
        <v>0</v>
      </c>
      <c r="O96" s="18">
        <f>IFERROR(
                  Andel_oberoende_av_klimat*VLOOKUP($A96,Leveranser_per_nät,'Leveranser per nät'!O$1,FALSE)
               +Andel_beroende_av_klimat*VLOOKUP($A96,Leveranser_per_nät,'Leveranser per nät'!O$1,FALSE)/VLOOKUP($B96,Korrigeringsfaktor_GD,'Korrigeringsfaktor GD'!O$1,FALSE),
"")</f>
        <v>4.7422222222222228</v>
      </c>
      <c r="P96" s="18">
        <f>IFERROR(
                  Andel_oberoende_av_klimat*VLOOKUP($A96,Leveranser_per_nät,'Leveranser per nät'!P$1,FALSE)
               +Andel_beroende_av_klimat*VLOOKUP($A96,Leveranser_per_nät,'Leveranser per nät'!P$1,FALSE)/VLOOKUP($B96,Korrigeringsfaktor_GD,'Korrigeringsfaktor GD'!P$1,FALSE),
"")</f>
        <v>5.1360606060606058</v>
      </c>
      <c r="Q96" s="18">
        <f>IFERROR(
                  Andel_oberoende_av_klimat*VLOOKUP($A96,Leveranser_per_nät,'Leveranser per nät'!Q$1,FALSE)
               +Andel_beroende_av_klimat*VLOOKUP($A96,Leveranser_per_nät,'Leveranser per nät'!Q$1,FALSE)/VLOOKUP($B96,Korrigeringsfaktor_GD,'Korrigeringsfaktor GD'!Q$1,FALSE),
"")</f>
        <v>4.0618695652173908</v>
      </c>
      <c r="R96" s="18">
        <f>IFERROR(
                  Andel_oberoende_av_klimat*VLOOKUP($A96,Leveranser_per_nät,'Leveranser per nät'!R$1,FALSE)
               +Andel_beroende_av_klimat*VLOOKUP($A96,Leveranser_per_nät,'Leveranser per nät'!R$1,FALSE)/VLOOKUP($B96,Korrigeringsfaktor_GD,'Korrigeringsfaktor GD'!R$1,FALSE),
"")</f>
        <v>4.4159230769230762</v>
      </c>
      <c r="S96" s="18">
        <f>IFERROR(
                  Andel_oberoende_av_klimat*VLOOKUP($A96,Leveranser_per_nät,'Leveranser per nät'!S$1,FALSE)
               +Andel_beroende_av_klimat*VLOOKUP($A96,Leveranser_per_nät,'Leveranser per nät'!S$1,FALSE)/VLOOKUP($B96,Korrigeringsfaktor_GD,'Korrigeringsfaktor GD'!S$1,FALSE),
"")</f>
        <v>4.2106138613861388</v>
      </c>
      <c r="T96" s="18">
        <f>IFERROR(
                  Andel_oberoende_av_klimat*VLOOKUP($A96,Leveranser_per_nät,'Leveranser per nät'!T$1,FALSE)
               +Andel_beroende_av_klimat*VLOOKUP($A96,Leveranser_per_nät,'Leveranser per nät'!T$1,FALSE)/VLOOKUP($B96,Korrigeringsfaktor_GD,'Korrigeringsfaktor GD'!T$1,FALSE),
"")</f>
        <v>4.3022060606060615</v>
      </c>
      <c r="U96" s="18">
        <f>IFERROR(
                  Andel_oberoende_av_klimat*VLOOKUP($A96,Leveranser_per_nät,'Leveranser per nät'!U$1,FALSE)
               +Andel_beroende_av_klimat*VLOOKUP($A96,Leveranser_per_nät,'Leveranser per nät'!U$1,FALSE)/VLOOKUP($B96,Korrigeringsfaktor_GD,'Korrigeringsfaktor GD'!U$1,FALSE),
"")</f>
        <v>4.8189045454545454</v>
      </c>
      <c r="V96" s="18">
        <f>IFERROR(
                  Andel_oberoende_av_klimat*VLOOKUP($A96,Leveranser_per_nät,'Leveranser per nät'!V$1,FALSE)
               +Andel_beroende_av_klimat*VLOOKUP($A96,Leveranser_per_nät,'Leveranser per nät'!V$1,FALSE)/VLOOKUP($B96,Korrigeringsfaktor_GD,'Korrigeringsfaktor GD'!V$1,FALSE),
"")</f>
        <v>5.3239325842696639</v>
      </c>
      <c r="W96" s="18">
        <f>IFERROR(
                  Andel_oberoende_av_klimat*VLOOKUP($A96,Leveranser_per_nät,'Leveranser per nät'!W$1,FALSE)
               +Andel_beroende_av_klimat*VLOOKUP($A96,Leveranser_per_nät,'Leveranser per nät'!W$1,FALSE)/VLOOKUP($B96,Korrigeringsfaktor_GD,'Korrigeringsfaktor GD'!W$1,FALSE),
"")</f>
        <v>5.2735489361702133</v>
      </c>
      <c r="X96" s="18">
        <f>IFERROR(
                  Andel_oberoende_av_klimat*VLOOKUP($A96,Leveranser_per_nät,'Leveranser per nät'!X$1,FALSE)
               +Andel_beroende_av_klimat*VLOOKUP($A96,Leveranser_per_nät,'Leveranser per nät'!X$1,FALSE)/VLOOKUP($B96,Korrigeringsfaktor_GD,'Korrigeringsfaktor GD'!X$1,FALSE),
"")</f>
        <v>5.0295826086956517</v>
      </c>
      <c r="Y96" s="18">
        <f>IFERROR(
                  Andel_oberoende_av_klimat*VLOOKUP($A96,Leveranser_per_nät,'Leveranser per nät'!Y$1,FALSE)
               +Andel_beroende_av_klimat*VLOOKUP($A96,Leveranser_per_nät,'Leveranser per nät'!Y$1,FALSE)/VLOOKUP($B96,Korrigeringsfaktor_GD,'Korrigeringsfaktor GD'!Y$1,FALSE),
"")</f>
        <v>4.8361307692307687</v>
      </c>
      <c r="Z96" s="18">
        <f>IFERROR(
                  Andel_oberoende_av_klimat*VLOOKUP($A96,Leveranser_per_nät,'Leveranser per nät'!Z$1,FALSE)
               +Andel_beroende_av_klimat*VLOOKUP($A96,Leveranser_per_nät,'Leveranser per nät'!Z$1,FALSE)/VLOOKUP($B96,Korrigeringsfaktor_GD,'Korrigeringsfaktor GD'!Z$1,FALSE),
"")</f>
        <v>3.6393157894736845</v>
      </c>
      <c r="AA96" s="18">
        <f>IFERROR(
                  Andel_oberoende_av_klimat*VLOOKUP($A96,Leveranser_per_nät,'Leveranser per nät'!AA$1,FALSE)
               +Andel_beroende_av_klimat*VLOOKUP($A96,Leveranser_per_nät,'Leveranser per nät'!AA$1,FALSE)/VLOOKUP($B96,Korrigeringsfaktor_GD,'Korrigeringsfaktor GD'!AA$1,FALSE),
"")</f>
        <v>3.4955878467635402</v>
      </c>
      <c r="AB96" s="18">
        <f>IFERROR(
                  Andel_oberoende_av_klimat*VLOOKUP($A96,Leveranser_per_nät,'Leveranser per nät'!AB$1,FALSE)
               +Andel_beroende_av_klimat*VLOOKUP($A96,Leveranser_per_nät,'Leveranser per nät'!AB$1,FALSE)/VLOOKUP($B96,Korrigeringsfaktor_GD,'Korrigeringsfaktor GD'!AB$1,FALSE),
"")</f>
        <v>3.3417666666666666</v>
      </c>
      <c r="AC96" s="18">
        <f>IFERROR(
                  Andel_oberoende_av_klimat*VLOOKUP($A96,Leveranser_per_nät,'Leveranser per nät'!AC$1,FALSE)
               +Andel_beroende_av_klimat*VLOOKUP($A96,Leveranser_per_nät,'Leveranser per nät'!AC$1,FALSE)/VLOOKUP($B96,Korrigeringsfaktor_GD,'Korrigeringsfaktor GD'!AC$1,FALSE),
"")</f>
        <v>3.1569073921971249</v>
      </c>
      <c r="AD96">
        <v>99.975999999999999</v>
      </c>
    </row>
    <row r="97" spans="1:30" x14ac:dyDescent="0.25">
      <c r="A97" t="s">
        <v>191</v>
      </c>
      <c r="B97" t="s">
        <v>190</v>
      </c>
      <c r="C97" s="18">
        <f>IFERROR(
                  Andel_oberoende_av_klimat*VLOOKUP($A97,Leveranser_per_nät,'Leveranser per nät'!C$1,FALSE)
               +Andel_beroende_av_klimat*VLOOKUP($A97,Leveranser_per_nät,'Leveranser per nät'!C$1,FALSE)/VLOOKUP($B97,Korrigeringsfaktor_GD,'Korrigeringsfaktor GD'!C$1,FALSE),
"")</f>
        <v>0</v>
      </c>
      <c r="D97" s="18">
        <f>IFERROR(
                  Andel_oberoende_av_klimat*VLOOKUP($A97,Leveranser_per_nät,'Leveranser per nät'!D$1,FALSE)
               +Andel_beroende_av_klimat*VLOOKUP($A97,Leveranser_per_nät,'Leveranser per nät'!D$1,FALSE)/VLOOKUP($B97,Korrigeringsfaktor_GD,'Korrigeringsfaktor GD'!D$1,FALSE),
"")</f>
        <v>0</v>
      </c>
      <c r="E97" s="18">
        <f>IFERROR(
                  Andel_oberoende_av_klimat*VLOOKUP($A97,Leveranser_per_nät,'Leveranser per nät'!E$1,FALSE)
               +Andel_beroende_av_klimat*VLOOKUP($A97,Leveranser_per_nät,'Leveranser per nät'!E$1,FALSE)/VLOOKUP($B97,Korrigeringsfaktor_GD,'Korrigeringsfaktor GD'!E$1,FALSE),
"")</f>
        <v>0</v>
      </c>
      <c r="F97" s="18">
        <f>IFERROR(
                  Andel_oberoende_av_klimat*VLOOKUP($A97,Leveranser_per_nät,'Leveranser per nät'!F$1,FALSE)
               +Andel_beroende_av_klimat*VLOOKUP($A97,Leveranser_per_nät,'Leveranser per nät'!F$1,FALSE)/VLOOKUP($B97,Korrigeringsfaktor_GD,'Korrigeringsfaktor GD'!F$1,FALSE),
"")</f>
        <v>0</v>
      </c>
      <c r="G97" s="18">
        <f>IFERROR(
                  Andel_oberoende_av_klimat*VLOOKUP($A97,Leveranser_per_nät,'Leveranser per nät'!G$1,FALSE)
               +Andel_beroende_av_klimat*VLOOKUP($A97,Leveranser_per_nät,'Leveranser per nät'!G$1,FALSE)/VLOOKUP($B97,Korrigeringsfaktor_GD,'Korrigeringsfaktor GD'!G$1,FALSE),
"")</f>
        <v>2.1909090909090909</v>
      </c>
      <c r="H97" s="18">
        <f>IFERROR(
                  Andel_oberoende_av_klimat*VLOOKUP($A97,Leveranser_per_nät,'Leveranser per nät'!H$1,FALSE)
               +Andel_beroende_av_klimat*VLOOKUP($A97,Leveranser_per_nät,'Leveranser per nät'!H$1,FALSE)/VLOOKUP($B97,Korrigeringsfaktor_GD,'Korrigeringsfaktor GD'!H$1,FALSE),
"")</f>
        <v>12.909900990099009</v>
      </c>
      <c r="I97" s="18">
        <f>IFERROR(
                  Andel_oberoende_av_klimat*VLOOKUP($A97,Leveranser_per_nät,'Leveranser per nät'!I$1,FALSE)
               +Andel_beroende_av_klimat*VLOOKUP($A97,Leveranser_per_nät,'Leveranser per nät'!I$1,FALSE)/VLOOKUP($B97,Korrigeringsfaktor_GD,'Korrigeringsfaktor GD'!I$1,FALSE),
"")</f>
        <v>13.091919191919192</v>
      </c>
      <c r="J97" s="18">
        <f>IFERROR(
                  Andel_oberoende_av_klimat*VLOOKUP($A97,Leveranser_per_nät,'Leveranser per nät'!J$1,FALSE)
               +Andel_beroende_av_klimat*VLOOKUP($A97,Leveranser_per_nät,'Leveranser per nät'!J$1,FALSE)/VLOOKUP($B97,Korrigeringsfaktor_GD,'Korrigeringsfaktor GD'!J$1,FALSE),
"")</f>
        <v>14.303092783505155</v>
      </c>
      <c r="K97" s="18">
        <f>IFERROR(
                  Andel_oberoende_av_klimat*VLOOKUP($A97,Leveranser_per_nät,'Leveranser per nät'!K$1,FALSE)
               +Andel_beroende_av_klimat*VLOOKUP($A97,Leveranser_per_nät,'Leveranser per nät'!K$1,FALSE)/VLOOKUP($B97,Korrigeringsfaktor_GD,'Korrigeringsfaktor GD'!K$1,FALSE),
"")</f>
        <v>20.344106185567011</v>
      </c>
      <c r="L97" s="18">
        <f>IFERROR(
                  Andel_oberoende_av_klimat*VLOOKUP($A97,Leveranser_per_nät,'Leveranser per nät'!L$1,FALSE)
               +Andel_beroende_av_klimat*VLOOKUP($A97,Leveranser_per_nät,'Leveranser per nät'!L$1,FALSE)/VLOOKUP($B97,Korrigeringsfaktor_GD,'Korrigeringsfaktor GD'!L$1,FALSE),
"")</f>
        <v>14.02075376344086</v>
      </c>
      <c r="M97" s="18">
        <f>IFERROR(
                  Andel_oberoende_av_klimat*VLOOKUP($A97,Leveranser_per_nät,'Leveranser per nät'!M$1,FALSE)
               +Andel_beroende_av_klimat*VLOOKUP($A97,Leveranser_per_nät,'Leveranser per nät'!M$1,FALSE)/VLOOKUP($B97,Korrigeringsfaktor_GD,'Korrigeringsfaktor GD'!M$1,FALSE),
"")</f>
        <v>14.035792307692308</v>
      </c>
      <c r="N97" s="18">
        <f>IFERROR(
                  Andel_oberoende_av_klimat*VLOOKUP($A97,Leveranser_per_nät,'Leveranser per nät'!N$1,FALSE)
               +Andel_beroende_av_klimat*VLOOKUP($A97,Leveranser_per_nät,'Leveranser per nät'!N$1,FALSE)/VLOOKUP($B97,Korrigeringsfaktor_GD,'Korrigeringsfaktor GD'!N$1,FALSE),
"")</f>
        <v>13.725530434782609</v>
      </c>
      <c r="O97" s="18">
        <f>IFERROR(
                  Andel_oberoende_av_klimat*VLOOKUP($A97,Leveranser_per_nät,'Leveranser per nät'!O$1,FALSE)
               +Andel_beroende_av_klimat*VLOOKUP($A97,Leveranser_per_nät,'Leveranser per nät'!O$1,FALSE)/VLOOKUP($B97,Korrigeringsfaktor_GD,'Korrigeringsfaktor GD'!O$1,FALSE),
"")</f>
        <v>13.636044444444444</v>
      </c>
      <c r="P97" s="18">
        <f>IFERROR(
                  Andel_oberoende_av_klimat*VLOOKUP($A97,Leveranser_per_nät,'Leveranser per nät'!P$1,FALSE)
               +Andel_beroende_av_klimat*VLOOKUP($A97,Leveranser_per_nät,'Leveranser per nät'!P$1,FALSE)/VLOOKUP($B97,Korrigeringsfaktor_GD,'Korrigeringsfaktor GD'!P$1,FALSE),
"")</f>
        <v>13.966714285714286</v>
      </c>
      <c r="Q97" s="18">
        <f>IFERROR(
                  Andel_oberoende_av_klimat*VLOOKUP($A97,Leveranser_per_nät,'Leveranser per nät'!Q$1,FALSE)
               +Andel_beroende_av_klimat*VLOOKUP($A97,Leveranser_per_nät,'Leveranser per nät'!Q$1,FALSE)/VLOOKUP($B97,Korrigeringsfaktor_GD,'Korrigeringsfaktor GD'!Q$1,FALSE),
"")</f>
        <v>14.202913043478262</v>
      </c>
      <c r="R97" s="18">
        <f>IFERROR(
                  Andel_oberoende_av_klimat*VLOOKUP($A97,Leveranser_per_nät,'Leveranser per nät'!R$1,FALSE)
               +Andel_beroende_av_klimat*VLOOKUP($A97,Leveranser_per_nät,'Leveranser per nät'!R$1,FALSE)/VLOOKUP($B97,Korrigeringsfaktor_GD,'Korrigeringsfaktor GD'!R$1,FALSE),
"")</f>
        <v>13.256666666666668</v>
      </c>
      <c r="S97" s="18">
        <f>IFERROR(
                  Andel_oberoende_av_klimat*VLOOKUP($A97,Leveranser_per_nät,'Leveranser per nät'!S$1,FALSE)
               +Andel_beroende_av_klimat*VLOOKUP($A97,Leveranser_per_nät,'Leveranser per nät'!S$1,FALSE)/VLOOKUP($B97,Korrigeringsfaktor_GD,'Korrigeringsfaktor GD'!S$1,FALSE),
"")</f>
        <v>14.199696969696969</v>
      </c>
      <c r="T97" s="18">
        <f>IFERROR(
                  Andel_oberoende_av_klimat*VLOOKUP($A97,Leveranser_per_nät,'Leveranser per nät'!T$1,FALSE)
               +Andel_beroende_av_klimat*VLOOKUP($A97,Leveranser_per_nät,'Leveranser per nät'!T$1,FALSE)/VLOOKUP($B97,Korrigeringsfaktor_GD,'Korrigeringsfaktor GD'!T$1,FALSE),
"")</f>
        <v>15.034210526315789</v>
      </c>
      <c r="U97" s="18">
        <f>IFERROR(
                  Andel_oberoende_av_klimat*VLOOKUP($A97,Leveranser_per_nät,'Leveranser per nät'!U$1,FALSE)
               +Andel_beroende_av_klimat*VLOOKUP($A97,Leveranser_per_nät,'Leveranser per nät'!U$1,FALSE)/VLOOKUP($B97,Korrigeringsfaktor_GD,'Korrigeringsfaktor GD'!U$1,FALSE),
"")</f>
        <v>14.67909090909091</v>
      </c>
      <c r="V97" s="18">
        <f>IFERROR(
                  Andel_oberoende_av_klimat*VLOOKUP($A97,Leveranser_per_nät,'Leveranser per nät'!V$1,FALSE)
               +Andel_beroende_av_klimat*VLOOKUP($A97,Leveranser_per_nät,'Leveranser per nät'!V$1,FALSE)/VLOOKUP($B97,Korrigeringsfaktor_GD,'Korrigeringsfaktor GD'!V$1,FALSE),
"")</f>
        <v>14.657777777777778</v>
      </c>
      <c r="W97" s="18">
        <f>IFERROR(
                  Andel_oberoende_av_klimat*VLOOKUP($A97,Leveranser_per_nät,'Leveranser per nät'!W$1,FALSE)
               +Andel_beroende_av_klimat*VLOOKUP($A97,Leveranser_per_nät,'Leveranser per nät'!W$1,FALSE)/VLOOKUP($B97,Korrigeringsfaktor_GD,'Korrigeringsfaktor GD'!W$1,FALSE),
"")</f>
        <v>14.982368421052632</v>
      </c>
      <c r="X97" s="18">
        <f>IFERROR(
                  Andel_oberoende_av_klimat*VLOOKUP($A97,Leveranser_per_nät,'Leveranser per nät'!X$1,FALSE)
               +Andel_beroende_av_klimat*VLOOKUP($A97,Leveranser_per_nät,'Leveranser per nät'!X$1,FALSE)/VLOOKUP($B97,Korrigeringsfaktor_GD,'Korrigeringsfaktor GD'!X$1,FALSE),
"")</f>
        <v>14.292876288659794</v>
      </c>
      <c r="Y97" s="18">
        <f>IFERROR(
                  Andel_oberoende_av_klimat*VLOOKUP($A97,Leveranser_per_nät,'Leveranser per nät'!Y$1,FALSE)
               +Andel_beroende_av_klimat*VLOOKUP($A97,Leveranser_per_nät,'Leveranser per nät'!Y$1,FALSE)/VLOOKUP($B97,Korrigeringsfaktor_GD,'Korrigeringsfaktor GD'!Y$1,FALSE),
"")</f>
        <v>14.619473684210526</v>
      </c>
      <c r="Z97" s="18">
        <f>IFERROR(
                  Andel_oberoende_av_klimat*VLOOKUP($A97,Leveranser_per_nät,'Leveranser per nät'!Z$1,FALSE)
               +Andel_beroende_av_klimat*VLOOKUP($A97,Leveranser_per_nät,'Leveranser per nät'!Z$1,FALSE)/VLOOKUP($B97,Korrigeringsfaktor_GD,'Korrigeringsfaktor GD'!Z$1,FALSE),
"")</f>
        <v>15.319887640449437</v>
      </c>
      <c r="AA97" s="18">
        <f>IFERROR(
                  Andel_oberoende_av_klimat*VLOOKUP($A97,Leveranser_per_nät,'Leveranser per nät'!AA$1,FALSE)
               +Andel_beroende_av_klimat*VLOOKUP($A97,Leveranser_per_nät,'Leveranser per nät'!AA$1,FALSE)/VLOOKUP($B97,Korrigeringsfaktor_GD,'Korrigeringsfaktor GD'!AA$1,FALSE),
"")</f>
        <v>14.831503579952265</v>
      </c>
      <c r="AB97" s="18">
        <f>IFERROR(
                  Andel_oberoende_av_klimat*VLOOKUP($A97,Leveranser_per_nät,'Leveranser per nät'!AB$1,FALSE)
               +Andel_beroende_av_klimat*VLOOKUP($A97,Leveranser_per_nät,'Leveranser per nät'!AB$1,FALSE)/VLOOKUP($B97,Korrigeringsfaktor_GD,'Korrigeringsfaktor GD'!AB$1,FALSE),
"")</f>
        <v>14.325496183206107</v>
      </c>
      <c r="AC97" s="18">
        <f>IFERROR(
                  Andel_oberoende_av_klimat*VLOOKUP($A97,Leveranser_per_nät,'Leveranser per nät'!AC$1,FALSE)
               +Andel_beroende_av_klimat*VLOOKUP($A97,Leveranser_per_nät,'Leveranser per nät'!AC$1,FALSE)/VLOOKUP($B97,Korrigeringsfaktor_GD,'Korrigeringsfaktor GD'!AC$1,FALSE),
"")</f>
        <v>14.018178137651823</v>
      </c>
      <c r="AD97">
        <v>79.8</v>
      </c>
    </row>
    <row r="98" spans="1:30" x14ac:dyDescent="0.25">
      <c r="A98" t="s">
        <v>607</v>
      </c>
      <c r="B98" t="s">
        <v>534</v>
      </c>
      <c r="C98" s="18">
        <f>IFERROR(
                  Andel_oberoende_av_klimat*VLOOKUP($A98,Leveranser_per_nät,'Leveranser per nät'!C$1,FALSE)
               +Andel_beroende_av_klimat*VLOOKUP($A98,Leveranser_per_nät,'Leveranser per nät'!C$1,FALSE)/VLOOKUP($B98,Korrigeringsfaktor_GD,'Korrigeringsfaktor GD'!C$1,FALSE),
"")</f>
        <v>0</v>
      </c>
      <c r="D98" s="18">
        <f>IFERROR(
                  Andel_oberoende_av_klimat*VLOOKUP($A98,Leveranser_per_nät,'Leveranser per nät'!D$1,FALSE)
               +Andel_beroende_av_klimat*VLOOKUP($A98,Leveranser_per_nät,'Leveranser per nät'!D$1,FALSE)/VLOOKUP($B98,Korrigeringsfaktor_GD,'Korrigeringsfaktor GD'!D$1,FALSE),
"")</f>
        <v>0</v>
      </c>
      <c r="E98" s="18">
        <f>IFERROR(
                  Andel_oberoende_av_klimat*VLOOKUP($A98,Leveranser_per_nät,'Leveranser per nät'!E$1,FALSE)
               +Andel_beroende_av_klimat*VLOOKUP($A98,Leveranser_per_nät,'Leveranser per nät'!E$1,FALSE)/VLOOKUP($B98,Korrigeringsfaktor_GD,'Korrigeringsfaktor GD'!E$1,FALSE),
"")</f>
        <v>0</v>
      </c>
      <c r="F98" s="18">
        <f>IFERROR(
                  Andel_oberoende_av_klimat*VLOOKUP($A98,Leveranser_per_nät,'Leveranser per nät'!F$1,FALSE)
               +Andel_beroende_av_klimat*VLOOKUP($A98,Leveranser_per_nät,'Leveranser per nät'!F$1,FALSE)/VLOOKUP($B98,Korrigeringsfaktor_GD,'Korrigeringsfaktor GD'!F$1,FALSE),
"")</f>
        <v>0</v>
      </c>
      <c r="G98" s="18">
        <f>IFERROR(
                  Andel_oberoende_av_klimat*VLOOKUP($A98,Leveranser_per_nät,'Leveranser per nät'!G$1,FALSE)
               +Andel_beroende_av_klimat*VLOOKUP($A98,Leveranser_per_nät,'Leveranser per nät'!G$1,FALSE)/VLOOKUP($B98,Korrigeringsfaktor_GD,'Korrigeringsfaktor GD'!G$1,FALSE),
"")</f>
        <v>0</v>
      </c>
      <c r="H98" s="18">
        <f>IFERROR(
                  Andel_oberoende_av_klimat*VLOOKUP($A98,Leveranser_per_nät,'Leveranser per nät'!H$1,FALSE)
               +Andel_beroende_av_klimat*VLOOKUP($A98,Leveranser_per_nät,'Leveranser per nät'!H$1,FALSE)/VLOOKUP($B98,Korrigeringsfaktor_GD,'Korrigeringsfaktor GD'!H$1,FALSE),
"")</f>
        <v>0</v>
      </c>
      <c r="I98" s="18">
        <f>IFERROR(
                  Andel_oberoende_av_klimat*VLOOKUP($A98,Leveranser_per_nät,'Leveranser per nät'!I$1,FALSE)
               +Andel_beroende_av_klimat*VLOOKUP($A98,Leveranser_per_nät,'Leveranser per nät'!I$1,FALSE)/VLOOKUP($B98,Korrigeringsfaktor_GD,'Korrigeringsfaktor GD'!I$1,FALSE),
"")</f>
        <v>0</v>
      </c>
      <c r="J98" s="18">
        <f>IFERROR(
                  Andel_oberoende_av_klimat*VLOOKUP($A98,Leveranser_per_nät,'Leveranser per nät'!J$1,FALSE)
               +Andel_beroende_av_klimat*VLOOKUP($A98,Leveranser_per_nät,'Leveranser per nät'!J$1,FALSE)/VLOOKUP($B98,Korrigeringsfaktor_GD,'Korrigeringsfaktor GD'!J$1,FALSE),
"")</f>
        <v>0</v>
      </c>
      <c r="K98" s="18">
        <f>IFERROR(
                  Andel_oberoende_av_klimat*VLOOKUP($A98,Leveranser_per_nät,'Leveranser per nät'!K$1,FALSE)
               +Andel_beroende_av_klimat*VLOOKUP($A98,Leveranser_per_nät,'Leveranser per nät'!K$1,FALSE)/VLOOKUP($B98,Korrigeringsfaktor_GD,'Korrigeringsfaktor GD'!K$1,FALSE),
"")</f>
        <v>0</v>
      </c>
      <c r="L98" s="18">
        <f>IFERROR(
                  Andel_oberoende_av_klimat*VLOOKUP($A98,Leveranser_per_nät,'Leveranser per nät'!L$1,FALSE)
               +Andel_beroende_av_klimat*VLOOKUP($A98,Leveranser_per_nät,'Leveranser per nät'!L$1,FALSE)/VLOOKUP($B98,Korrigeringsfaktor_GD,'Korrigeringsfaktor GD'!L$1,FALSE),
"")</f>
        <v>0</v>
      </c>
      <c r="M98" s="18">
        <f>IFERROR(
                  Andel_oberoende_av_klimat*VLOOKUP($A98,Leveranser_per_nät,'Leveranser per nät'!M$1,FALSE)
               +Andel_beroende_av_klimat*VLOOKUP($A98,Leveranser_per_nät,'Leveranser per nät'!M$1,FALSE)/VLOOKUP($B98,Korrigeringsfaktor_GD,'Korrigeringsfaktor GD'!M$1,FALSE),
"")</f>
        <v>0</v>
      </c>
      <c r="N98" s="18">
        <f>IFERROR(
                  Andel_oberoende_av_klimat*VLOOKUP($A98,Leveranser_per_nät,'Leveranser per nät'!N$1,FALSE)
               +Andel_beroende_av_klimat*VLOOKUP($A98,Leveranser_per_nät,'Leveranser per nät'!N$1,FALSE)/VLOOKUP($B98,Korrigeringsfaktor_GD,'Korrigeringsfaktor GD'!N$1,FALSE),
"")</f>
        <v>0</v>
      </c>
      <c r="O98" s="18">
        <f>IFERROR(
                  Andel_oberoende_av_klimat*VLOOKUP($A98,Leveranser_per_nät,'Leveranser per nät'!O$1,FALSE)
               +Andel_beroende_av_klimat*VLOOKUP($A98,Leveranser_per_nät,'Leveranser per nät'!O$1,FALSE)/VLOOKUP($B98,Korrigeringsfaktor_GD,'Korrigeringsfaktor GD'!O$1,FALSE),
"")</f>
        <v>0</v>
      </c>
      <c r="P98" s="18">
        <f>IFERROR(
                  Andel_oberoende_av_klimat*VLOOKUP($A98,Leveranser_per_nät,'Leveranser per nät'!P$1,FALSE)
               +Andel_beroende_av_klimat*VLOOKUP($A98,Leveranser_per_nät,'Leveranser per nät'!P$1,FALSE)/VLOOKUP($B98,Korrigeringsfaktor_GD,'Korrigeringsfaktor GD'!P$1,FALSE),
"")</f>
        <v>0</v>
      </c>
      <c r="Q98" s="18">
        <f>IFERROR(
                  Andel_oberoende_av_klimat*VLOOKUP($A98,Leveranser_per_nät,'Leveranser per nät'!Q$1,FALSE)
               +Andel_beroende_av_klimat*VLOOKUP($A98,Leveranser_per_nät,'Leveranser per nät'!Q$1,FALSE)/VLOOKUP($B98,Korrigeringsfaktor_GD,'Korrigeringsfaktor GD'!Q$1,FALSE),
"")</f>
        <v>0</v>
      </c>
      <c r="R98" s="18">
        <f>IFERROR(
                  Andel_oberoende_av_klimat*VLOOKUP($A98,Leveranser_per_nät,'Leveranser per nät'!R$1,FALSE)
               +Andel_beroende_av_klimat*VLOOKUP($A98,Leveranser_per_nät,'Leveranser per nät'!R$1,FALSE)/VLOOKUP($B98,Korrigeringsfaktor_GD,'Korrigeringsfaktor GD'!R$1,FALSE),
"")</f>
        <v>0</v>
      </c>
      <c r="S98" s="18">
        <f>IFERROR(
                  Andel_oberoende_av_klimat*VLOOKUP($A98,Leveranser_per_nät,'Leveranser per nät'!S$1,FALSE)
               +Andel_beroende_av_klimat*VLOOKUP($A98,Leveranser_per_nät,'Leveranser per nät'!S$1,FALSE)/VLOOKUP($B98,Korrigeringsfaktor_GD,'Korrigeringsfaktor GD'!S$1,FALSE),
"")</f>
        <v>5.1919417475728151</v>
      </c>
      <c r="T98" s="18">
        <f>IFERROR(
                  Andel_oberoende_av_klimat*VLOOKUP($A98,Leveranser_per_nät,'Leveranser per nät'!T$1,FALSE)
               +Andel_beroende_av_klimat*VLOOKUP($A98,Leveranser_per_nät,'Leveranser per nät'!T$1,FALSE)/VLOOKUP($B98,Korrigeringsfaktor_GD,'Korrigeringsfaktor GD'!T$1,FALSE),
"")</f>
        <v>5.0581865979381444</v>
      </c>
      <c r="U98" s="18">
        <f>IFERROR(
                  Andel_oberoende_av_klimat*VLOOKUP($A98,Leveranser_per_nät,'Leveranser per nät'!U$1,FALSE)
               +Andel_beroende_av_klimat*VLOOKUP($A98,Leveranser_per_nät,'Leveranser per nät'!U$1,FALSE)/VLOOKUP($B98,Korrigeringsfaktor_GD,'Korrigeringsfaktor GD'!U$1,FALSE),
"")</f>
        <v>5.1733333333333329</v>
      </c>
      <c r="V98" s="18">
        <f>IFERROR(
                  Andel_oberoende_av_klimat*VLOOKUP($A98,Leveranser_per_nät,'Leveranser per nät'!V$1,FALSE)
               +Andel_beroende_av_klimat*VLOOKUP($A98,Leveranser_per_nät,'Leveranser per nät'!V$1,FALSE)/VLOOKUP($B98,Korrigeringsfaktor_GD,'Korrigeringsfaktor GD'!V$1,FALSE),
"")</f>
        <v>5.5165217391304342</v>
      </c>
      <c r="W98" s="18">
        <f>IFERROR(
                  Andel_oberoende_av_klimat*VLOOKUP($A98,Leveranser_per_nät,'Leveranser per nät'!W$1,FALSE)
               +Andel_beroende_av_klimat*VLOOKUP($A98,Leveranser_per_nät,'Leveranser per nät'!W$1,FALSE)/VLOOKUP($B98,Korrigeringsfaktor_GD,'Korrigeringsfaktor GD'!W$1,FALSE),
"")</f>
        <v>5.9691666666666663</v>
      </c>
      <c r="X98" s="18">
        <f>IFERROR(
                  Andel_oberoende_av_klimat*VLOOKUP($A98,Leveranser_per_nät,'Leveranser per nät'!X$1,FALSE)
               +Andel_beroende_av_klimat*VLOOKUP($A98,Leveranser_per_nät,'Leveranser per nät'!X$1,FALSE)/VLOOKUP($B98,Korrigeringsfaktor_GD,'Korrigeringsfaktor GD'!X$1,FALSE),
"")</f>
        <v>5.7403030303030302</v>
      </c>
      <c r="Y98" s="18">
        <f>IFERROR(
                  Andel_oberoende_av_klimat*VLOOKUP($A98,Leveranser_per_nät,'Leveranser per nät'!Y$1,FALSE)
               +Andel_beroende_av_klimat*VLOOKUP($A98,Leveranser_per_nät,'Leveranser per nät'!Y$1,FALSE)/VLOOKUP($B98,Korrigeringsfaktor_GD,'Korrigeringsfaktor GD'!Y$1,FALSE),
"")</f>
        <v>5.5989473684210527</v>
      </c>
      <c r="Z98" s="18">
        <f>IFERROR(
                  Andel_oberoende_av_klimat*VLOOKUP($A98,Leveranser_per_nät,'Leveranser per nät'!Z$1,FALSE)
               +Andel_beroende_av_klimat*VLOOKUP($A98,Leveranser_per_nät,'Leveranser per nät'!Z$1,FALSE)/VLOOKUP($B98,Korrigeringsfaktor_GD,'Korrigeringsfaktor GD'!Z$1,FALSE),
"")</f>
        <v>5.8834741935483876</v>
      </c>
      <c r="AA98" s="18">
        <f>IFERROR(
                  Andel_oberoende_av_klimat*VLOOKUP($A98,Leveranser_per_nät,'Leveranser per nät'!AA$1,FALSE)
               +Andel_beroende_av_klimat*VLOOKUP($A98,Leveranser_per_nät,'Leveranser per nät'!AA$1,FALSE)/VLOOKUP($B98,Korrigeringsfaktor_GD,'Korrigeringsfaktor GD'!AA$1,FALSE),
"")</f>
        <v>5.8694688606540311</v>
      </c>
      <c r="AB98" s="18">
        <f>IFERROR(
                  Andel_oberoende_av_klimat*VLOOKUP($A98,Leveranser_per_nät,'Leveranser per nät'!AB$1,FALSE)
               +Andel_beroende_av_klimat*VLOOKUP($A98,Leveranser_per_nät,'Leveranser per nät'!AB$1,FALSE)/VLOOKUP($B98,Korrigeringsfaktor_GD,'Korrigeringsfaktor GD'!AB$1,FALSE),
"")</f>
        <v>5.54118453914767</v>
      </c>
      <c r="AC98" s="18">
        <f>IFERROR(
                  Andel_oberoende_av_klimat*VLOOKUP($A98,Leveranser_per_nät,'Leveranser per nät'!AC$1,FALSE)
               +Andel_beroende_av_klimat*VLOOKUP($A98,Leveranser_per_nät,'Leveranser per nät'!AC$1,FALSE)/VLOOKUP($B98,Korrigeringsfaktor_GD,'Korrigeringsfaktor GD'!AC$1,FALSE),
"")</f>
        <v>5.2148489626556014</v>
      </c>
      <c r="AD98" t="e">
        <v>#N/A</v>
      </c>
    </row>
    <row r="99" spans="1:30" x14ac:dyDescent="0.25">
      <c r="A99" t="s">
        <v>194</v>
      </c>
      <c r="B99" t="s">
        <v>193</v>
      </c>
      <c r="C99" s="18">
        <f>IFERROR(
                  Andel_oberoende_av_klimat*VLOOKUP($A99,Leveranser_per_nät,'Leveranser per nät'!C$1,FALSE)
               +Andel_beroende_av_klimat*VLOOKUP($A99,Leveranser_per_nät,'Leveranser per nät'!C$1,FALSE)/VLOOKUP($B99,Korrigeringsfaktor_GD,'Korrigeringsfaktor GD'!C$1,FALSE),
"")</f>
        <v>5.6532110091743117</v>
      </c>
      <c r="D99" s="18">
        <f>IFERROR(
                  Andel_oberoende_av_klimat*VLOOKUP($A99,Leveranser_per_nät,'Leveranser per nät'!D$1,FALSE)
               +Andel_beroende_av_klimat*VLOOKUP($A99,Leveranser_per_nät,'Leveranser per nät'!D$1,FALSE)/VLOOKUP($B99,Korrigeringsfaktor_GD,'Korrigeringsfaktor GD'!D$1,FALSE),
"")</f>
        <v>5.5471052631578948</v>
      </c>
      <c r="E99" s="18">
        <f>IFERROR(
                  Andel_oberoende_av_klimat*VLOOKUP($A99,Leveranser_per_nät,'Leveranser per nät'!E$1,FALSE)
               +Andel_beroende_av_klimat*VLOOKUP($A99,Leveranser_per_nät,'Leveranser per nät'!E$1,FALSE)/VLOOKUP($B99,Korrigeringsfaktor_GD,'Korrigeringsfaktor GD'!E$1,FALSE),
"")</f>
        <v>6</v>
      </c>
      <c r="F99" s="18">
        <f>IFERROR(
                  Andel_oberoende_av_klimat*VLOOKUP($A99,Leveranser_per_nät,'Leveranser per nät'!F$1,FALSE)
               +Andel_beroende_av_klimat*VLOOKUP($A99,Leveranser_per_nät,'Leveranser per nät'!F$1,FALSE)/VLOOKUP($B99,Korrigeringsfaktor_GD,'Korrigeringsfaktor GD'!F$1,FALSE),
"")</f>
        <v>7.1</v>
      </c>
      <c r="G99" s="18">
        <f>IFERROR(
                  Andel_oberoende_av_klimat*VLOOKUP($A99,Leveranser_per_nät,'Leveranser per nät'!G$1,FALSE)
               +Andel_beroende_av_klimat*VLOOKUP($A99,Leveranser_per_nät,'Leveranser per nät'!G$1,FALSE)/VLOOKUP($B99,Korrigeringsfaktor_GD,'Korrigeringsfaktor GD'!G$1,FALSE),
"")</f>
        <v>7.5444444444444443</v>
      </c>
      <c r="H99" s="18">
        <f>IFERROR(
                  Andel_oberoende_av_klimat*VLOOKUP($A99,Leveranser_per_nät,'Leveranser per nät'!H$1,FALSE)
               +Andel_beroende_av_klimat*VLOOKUP($A99,Leveranser_per_nät,'Leveranser per nät'!H$1,FALSE)/VLOOKUP($B99,Korrigeringsfaktor_GD,'Korrigeringsfaktor GD'!H$1,FALSE),
"")</f>
        <v>7.8901960784313721</v>
      </c>
      <c r="I99" s="18">
        <f>IFERROR(
                  Andel_oberoende_av_klimat*VLOOKUP($A99,Leveranser_per_nät,'Leveranser per nät'!I$1,FALSE)
               +Andel_beroende_av_klimat*VLOOKUP($A99,Leveranser_per_nät,'Leveranser per nät'!I$1,FALSE)/VLOOKUP($B99,Korrigeringsfaktor_GD,'Korrigeringsfaktor GD'!I$1,FALSE),
"")</f>
        <v>7.1</v>
      </c>
      <c r="J99" s="18">
        <f>IFERROR(
                  Andel_oberoende_av_klimat*VLOOKUP($A99,Leveranser_per_nät,'Leveranser per nät'!J$1,FALSE)
               +Andel_beroende_av_klimat*VLOOKUP($A99,Leveranser_per_nät,'Leveranser per nät'!J$1,FALSE)/VLOOKUP($B99,Korrigeringsfaktor_GD,'Korrigeringsfaktor GD'!J$1,FALSE),
"")</f>
        <v>7.2041666666666666</v>
      </c>
      <c r="K99" s="18">
        <f>IFERROR(
                  Andel_oberoende_av_klimat*VLOOKUP($A99,Leveranser_per_nät,'Leveranser per nät'!K$1,FALSE)
               +Andel_beroende_av_klimat*VLOOKUP($A99,Leveranser_per_nät,'Leveranser per nät'!K$1,FALSE)/VLOOKUP($B99,Korrigeringsfaktor_GD,'Korrigeringsfaktor GD'!K$1,FALSE),
"")</f>
        <v>7.4805175257731964</v>
      </c>
      <c r="L99" s="18">
        <f>IFERROR(
                  Andel_oberoende_av_klimat*VLOOKUP($A99,Leveranser_per_nät,'Leveranser per nät'!L$1,FALSE)
               +Andel_beroende_av_klimat*VLOOKUP($A99,Leveranser_per_nät,'Leveranser per nät'!L$1,FALSE)/VLOOKUP($B99,Korrigeringsfaktor_GD,'Korrigeringsfaktor GD'!L$1,FALSE),
"")</f>
        <v>7.3670893617021278</v>
      </c>
      <c r="M99" s="18">
        <f>IFERROR(
                  Andel_oberoende_av_klimat*VLOOKUP($A99,Leveranser_per_nät,'Leveranser per nät'!M$1,FALSE)
               +Andel_beroende_av_klimat*VLOOKUP($A99,Leveranser_per_nät,'Leveranser per nät'!M$1,FALSE)/VLOOKUP($B99,Korrigeringsfaktor_GD,'Korrigeringsfaktor GD'!M$1,FALSE),
"")</f>
        <v>7.4771307692307705</v>
      </c>
      <c r="N99" s="18">
        <f>IFERROR(
                  Andel_oberoende_av_klimat*VLOOKUP($A99,Leveranser_per_nät,'Leveranser per nät'!N$1,FALSE)
               +Andel_beroende_av_klimat*VLOOKUP($A99,Leveranser_per_nät,'Leveranser per nät'!N$1,FALSE)/VLOOKUP($B99,Korrigeringsfaktor_GD,'Korrigeringsfaktor GD'!N$1,FALSE),
"")</f>
        <v>8.4368425531914895</v>
      </c>
      <c r="O99" s="18">
        <f>IFERROR(
                  Andel_oberoende_av_klimat*VLOOKUP($A99,Leveranser_per_nät,'Leveranser per nät'!O$1,FALSE)
               +Andel_beroende_av_klimat*VLOOKUP($A99,Leveranser_per_nät,'Leveranser per nät'!O$1,FALSE)/VLOOKUP($B99,Korrigeringsfaktor_GD,'Korrigeringsfaktor GD'!O$1,FALSE),
"")</f>
        <v>8.643689361702128</v>
      </c>
      <c r="P99" s="18">
        <f>IFERROR(
                  Andel_oberoende_av_klimat*VLOOKUP($A99,Leveranser_per_nät,'Leveranser per nät'!P$1,FALSE)
               +Andel_beroende_av_klimat*VLOOKUP($A99,Leveranser_per_nät,'Leveranser per nät'!P$1,FALSE)/VLOOKUP($B99,Korrigeringsfaktor_GD,'Korrigeringsfaktor GD'!P$1,FALSE),
"")</f>
        <v>8.4132831683168323</v>
      </c>
      <c r="Q99" s="18">
        <f>IFERROR(
                  Andel_oberoende_av_klimat*VLOOKUP($A99,Leveranser_per_nät,'Leveranser per nät'!Q$1,FALSE)
               +Andel_beroende_av_klimat*VLOOKUP($A99,Leveranser_per_nät,'Leveranser per nät'!Q$1,FALSE)/VLOOKUP($B99,Korrigeringsfaktor_GD,'Korrigeringsfaktor GD'!Q$1,FALSE),
"")</f>
        <v>9.1266324786324784</v>
      </c>
      <c r="R99" s="18">
        <f>IFERROR(
                  Andel_oberoende_av_klimat*VLOOKUP($A99,Leveranser_per_nät,'Leveranser per nät'!R$1,FALSE)
               +Andel_beroende_av_klimat*VLOOKUP($A99,Leveranser_per_nät,'Leveranser per nät'!R$1,FALSE)/VLOOKUP($B99,Korrigeringsfaktor_GD,'Korrigeringsfaktor GD'!R$1,FALSE),
"")</f>
        <v>8.5251478260869558</v>
      </c>
      <c r="S99" s="18">
        <f>IFERROR(
                  Andel_oberoende_av_klimat*VLOOKUP($A99,Leveranser_per_nät,'Leveranser per nät'!S$1,FALSE)
               +Andel_beroende_av_klimat*VLOOKUP($A99,Leveranser_per_nät,'Leveranser per nät'!S$1,FALSE)/VLOOKUP($B99,Korrigeringsfaktor_GD,'Korrigeringsfaktor GD'!S$1,FALSE),
"")</f>
        <v>8.7390099009900997</v>
      </c>
      <c r="T99" s="18">
        <f>IFERROR(
                  Andel_oberoende_av_klimat*VLOOKUP($A99,Leveranser_per_nät,'Leveranser per nät'!T$1,FALSE)
               +Andel_beroende_av_klimat*VLOOKUP($A99,Leveranser_per_nät,'Leveranser per nät'!T$1,FALSE)/VLOOKUP($B99,Korrigeringsfaktor_GD,'Korrigeringsfaktor GD'!T$1,FALSE),
"")</f>
        <v>8.5420833333333341</v>
      </c>
      <c r="U99" s="18">
        <f>IFERROR(
                  Andel_oberoende_av_klimat*VLOOKUP($A99,Leveranser_per_nät,'Leveranser per nät'!U$1,FALSE)
               +Andel_beroende_av_klimat*VLOOKUP($A99,Leveranser_per_nät,'Leveranser per nät'!U$1,FALSE)/VLOOKUP($B99,Korrigeringsfaktor_GD,'Korrigeringsfaktor GD'!U$1,FALSE),
"")</f>
        <v>7.6056179775280901</v>
      </c>
      <c r="V99" s="18">
        <f>IFERROR(
                  Andel_oberoende_av_klimat*VLOOKUP($A99,Leveranser_per_nät,'Leveranser per nät'!V$1,FALSE)
               +Andel_beroende_av_klimat*VLOOKUP($A99,Leveranser_per_nät,'Leveranser per nät'!V$1,FALSE)/VLOOKUP($B99,Korrigeringsfaktor_GD,'Korrigeringsfaktor GD'!V$1,FALSE),
"")</f>
        <v>8.2747826086956522</v>
      </c>
      <c r="W99" s="18">
        <f>IFERROR(
                  Andel_oberoende_av_klimat*VLOOKUP($A99,Leveranser_per_nät,'Leveranser per nät'!W$1,FALSE)
               +Andel_beroende_av_klimat*VLOOKUP($A99,Leveranser_per_nät,'Leveranser per nät'!W$1,FALSE)/VLOOKUP($B99,Korrigeringsfaktor_GD,'Korrigeringsfaktor GD'!W$1,FALSE),
"")</f>
        <v>8.2333333333333343</v>
      </c>
      <c r="X99" s="18">
        <f>IFERROR(
                  Andel_oberoende_av_klimat*VLOOKUP($A99,Leveranser_per_nät,'Leveranser per nät'!X$1,FALSE)
               +Andel_beroende_av_klimat*VLOOKUP($A99,Leveranser_per_nät,'Leveranser per nät'!X$1,FALSE)/VLOOKUP($B99,Korrigeringsfaktor_GD,'Korrigeringsfaktor GD'!X$1,FALSE),
"")</f>
        <v>8</v>
      </c>
      <c r="Y99" s="18">
        <f>IFERROR(
                  Andel_oberoende_av_klimat*VLOOKUP($A99,Leveranser_per_nät,'Leveranser per nät'!Y$1,FALSE)
               +Andel_beroende_av_klimat*VLOOKUP($A99,Leveranser_per_nät,'Leveranser per nät'!Y$1,FALSE)/VLOOKUP($B99,Korrigeringsfaktor_GD,'Korrigeringsfaktor GD'!Y$1,FALSE),
"")</f>
        <v>8.1572727272727263</v>
      </c>
      <c r="Z99" s="18">
        <f>IFERROR(
                  Andel_oberoende_av_klimat*VLOOKUP($A99,Leveranser_per_nät,'Leveranser per nät'!Z$1,FALSE)
               +Andel_beroende_av_klimat*VLOOKUP($A99,Leveranser_per_nät,'Leveranser per nät'!Z$1,FALSE)/VLOOKUP($B99,Korrigeringsfaktor_GD,'Korrigeringsfaktor GD'!Z$1,FALSE),
"")</f>
        <v>8.6607692307692297</v>
      </c>
      <c r="AA99" s="18">
        <f>IFERROR(
                  Andel_oberoende_av_klimat*VLOOKUP($A99,Leveranser_per_nät,'Leveranser per nät'!AA$1,FALSE)
               +Andel_beroende_av_klimat*VLOOKUP($A99,Leveranser_per_nät,'Leveranser per nät'!AA$1,FALSE)/VLOOKUP($B99,Korrigeringsfaktor_GD,'Korrigeringsfaktor GD'!AA$1,FALSE),
"")</f>
        <v>8.5127024539877301</v>
      </c>
      <c r="AB99" s="18">
        <f>IFERROR(
                  Andel_oberoende_av_klimat*VLOOKUP($A99,Leveranser_per_nät,'Leveranser per nät'!AB$1,FALSE)
               +Andel_beroende_av_klimat*VLOOKUP($A99,Leveranser_per_nät,'Leveranser per nät'!AB$1,FALSE)/VLOOKUP($B99,Korrigeringsfaktor_GD,'Korrigeringsfaktor GD'!AB$1,FALSE),
"")</f>
        <v>8.018411764705883</v>
      </c>
      <c r="AC99" s="18">
        <f>IFERROR(
                  Andel_oberoende_av_klimat*VLOOKUP($A99,Leveranser_per_nät,'Leveranser per nät'!AC$1,FALSE)
               +Andel_beroende_av_klimat*VLOOKUP($A99,Leveranser_per_nät,'Leveranser per nät'!AC$1,FALSE)/VLOOKUP($B99,Korrigeringsfaktor_GD,'Korrigeringsfaktor GD'!AC$1,FALSE),
"")</f>
        <v>7.4323318275153998</v>
      </c>
      <c r="AD99">
        <v>59.915999999999997</v>
      </c>
    </row>
    <row r="100" spans="1:30" x14ac:dyDescent="0.25">
      <c r="A100" t="s">
        <v>361</v>
      </c>
      <c r="B100" t="s">
        <v>362</v>
      </c>
      <c r="C100" s="18">
        <f>IFERROR(
                  Andel_oberoende_av_klimat*VLOOKUP($A100,Leveranser_per_nät,'Leveranser per nät'!C$1,FALSE)
               +Andel_beroende_av_klimat*VLOOKUP($A100,Leveranser_per_nät,'Leveranser per nät'!C$1,FALSE)/VLOOKUP($B100,Korrigeringsfaktor_GD,'Korrigeringsfaktor GD'!C$1,FALSE),
"")</f>
        <v>0</v>
      </c>
      <c r="D100" s="18">
        <f>IFERROR(
                  Andel_oberoende_av_klimat*VLOOKUP($A100,Leveranser_per_nät,'Leveranser per nät'!D$1,FALSE)
               +Andel_beroende_av_klimat*VLOOKUP($A100,Leveranser_per_nät,'Leveranser per nät'!D$1,FALSE)/VLOOKUP($B100,Korrigeringsfaktor_GD,'Korrigeringsfaktor GD'!D$1,FALSE),
"")</f>
        <v>20.826222222222221</v>
      </c>
      <c r="E100" s="18">
        <f>IFERROR(
                  Andel_oberoende_av_klimat*VLOOKUP($A100,Leveranser_per_nät,'Leveranser per nät'!E$1,FALSE)
               +Andel_beroende_av_klimat*VLOOKUP($A100,Leveranser_per_nät,'Leveranser per nät'!E$1,FALSE)/VLOOKUP($B100,Korrigeringsfaktor_GD,'Korrigeringsfaktor GD'!E$1,FALSE),
"")</f>
        <v>21.698039215686272</v>
      </c>
      <c r="F100" s="18">
        <f>IFERROR(
                  Andel_oberoende_av_klimat*VLOOKUP($A100,Leveranser_per_nät,'Leveranser per nät'!F$1,FALSE)
               +Andel_beroende_av_klimat*VLOOKUP($A100,Leveranser_per_nät,'Leveranser per nät'!F$1,FALSE)/VLOOKUP($B100,Korrigeringsfaktor_GD,'Korrigeringsfaktor GD'!F$1,FALSE),
"")</f>
        <v>23.159139784946234</v>
      </c>
      <c r="G100" s="18">
        <f>IFERROR(
                  Andel_oberoende_av_klimat*VLOOKUP($A100,Leveranser_per_nät,'Leveranser per nät'!G$1,FALSE)
               +Andel_beroende_av_klimat*VLOOKUP($A100,Leveranser_per_nät,'Leveranser per nät'!G$1,FALSE)/VLOOKUP($B100,Korrigeringsfaktor_GD,'Korrigeringsfaktor GD'!G$1,FALSE),
"")</f>
        <v>23.19655172413793</v>
      </c>
      <c r="H100" s="18">
        <f>IFERROR(
                  Andel_oberoende_av_klimat*VLOOKUP($A100,Leveranser_per_nät,'Leveranser per nät'!H$1,FALSE)
               +Andel_beroende_av_klimat*VLOOKUP($A100,Leveranser_per_nät,'Leveranser per nät'!H$1,FALSE)/VLOOKUP($B100,Korrigeringsfaktor_GD,'Korrigeringsfaktor GD'!H$1,FALSE),
"")</f>
        <v>21.148484848484848</v>
      </c>
      <c r="I100" s="18">
        <f>IFERROR(
                  Andel_oberoende_av_klimat*VLOOKUP($A100,Leveranser_per_nät,'Leveranser per nät'!I$1,FALSE)
               +Andel_beroende_av_klimat*VLOOKUP($A100,Leveranser_per_nät,'Leveranser per nät'!I$1,FALSE)/VLOOKUP($B100,Korrigeringsfaktor_GD,'Korrigeringsfaktor GD'!I$1,FALSE),
"")</f>
        <v>24.88421052631579</v>
      </c>
      <c r="J100" s="18">
        <f>IFERROR(
                  Andel_oberoende_av_klimat*VLOOKUP($A100,Leveranser_per_nät,'Leveranser per nät'!J$1,FALSE)
               +Andel_beroende_av_klimat*VLOOKUP($A100,Leveranser_per_nät,'Leveranser per nät'!J$1,FALSE)/VLOOKUP($B100,Korrigeringsfaktor_GD,'Korrigeringsfaktor GD'!J$1,FALSE),
"")</f>
        <v>26.183838383838385</v>
      </c>
      <c r="K100" s="18">
        <f>IFERROR(
                  Andel_oberoende_av_klimat*VLOOKUP($A100,Leveranser_per_nät,'Leveranser per nät'!K$1,FALSE)
               +Andel_beroende_av_klimat*VLOOKUP($A100,Leveranser_per_nät,'Leveranser per nät'!K$1,FALSE)/VLOOKUP($B100,Korrigeringsfaktor_GD,'Korrigeringsfaktor GD'!K$1,FALSE),
"")</f>
        <v>17.085999999999999</v>
      </c>
      <c r="L100" s="18">
        <f>IFERROR(
                  Andel_oberoende_av_klimat*VLOOKUP($A100,Leveranser_per_nät,'Leveranser per nät'!L$1,FALSE)
               +Andel_beroende_av_klimat*VLOOKUP($A100,Leveranser_per_nät,'Leveranser per nät'!L$1,FALSE)/VLOOKUP($B100,Korrigeringsfaktor_GD,'Korrigeringsfaktor GD'!L$1,FALSE),
"")</f>
        <v>24.555916666666668</v>
      </c>
      <c r="M100" s="18">
        <f>IFERROR(
                  Andel_oberoende_av_klimat*VLOOKUP($A100,Leveranser_per_nät,'Leveranser per nät'!M$1,FALSE)
               +Andel_beroende_av_klimat*VLOOKUP($A100,Leveranser_per_nät,'Leveranser per nät'!M$1,FALSE)/VLOOKUP($B100,Korrigeringsfaktor_GD,'Korrigeringsfaktor GD'!M$1,FALSE),
"")</f>
        <v>24.032870967741932</v>
      </c>
      <c r="N100" s="18">
        <f>IFERROR(
                  Andel_oberoende_av_klimat*VLOOKUP($A100,Leveranser_per_nät,'Leveranser per nät'!N$1,FALSE)
               +Andel_beroende_av_klimat*VLOOKUP($A100,Leveranser_per_nät,'Leveranser per nät'!N$1,FALSE)/VLOOKUP($B100,Korrigeringsfaktor_GD,'Korrigeringsfaktor GD'!N$1,FALSE),
"")</f>
        <v>26.069288888888892</v>
      </c>
      <c r="O100" s="18">
        <f>IFERROR(
                  Andel_oberoende_av_klimat*VLOOKUP($A100,Leveranser_per_nät,'Leveranser per nät'!O$1,FALSE)
               +Andel_beroende_av_klimat*VLOOKUP($A100,Leveranser_per_nät,'Leveranser per nät'!O$1,FALSE)/VLOOKUP($B100,Korrigeringsfaktor_GD,'Korrigeringsfaktor GD'!O$1,FALSE),
"")</f>
        <v>25.345178651685394</v>
      </c>
      <c r="P100" s="18">
        <f>IFERROR(
                  Andel_oberoende_av_klimat*VLOOKUP($A100,Leveranser_per_nät,'Leveranser per nät'!P$1,FALSE)
               +Andel_beroende_av_klimat*VLOOKUP($A100,Leveranser_per_nät,'Leveranser per nät'!P$1,FALSE)/VLOOKUP($B100,Korrigeringsfaktor_GD,'Korrigeringsfaktor GD'!P$1,FALSE),
"")</f>
        <v>25.884571428571427</v>
      </c>
      <c r="Q100" s="18">
        <f>IFERROR(
                  Andel_oberoende_av_klimat*VLOOKUP($A100,Leveranser_per_nät,'Leveranser per nät'!Q$1,FALSE)
               +Andel_beroende_av_klimat*VLOOKUP($A100,Leveranser_per_nät,'Leveranser per nät'!Q$1,FALSE)/VLOOKUP($B100,Korrigeringsfaktor_GD,'Korrigeringsfaktor GD'!Q$1,FALSE),
"")</f>
        <v>27.538021739130436</v>
      </c>
      <c r="R100" s="18">
        <f>IFERROR(
                  Andel_oberoende_av_klimat*VLOOKUP($A100,Leveranser_per_nät,'Leveranser per nät'!R$1,FALSE)
               +Andel_beroende_av_klimat*VLOOKUP($A100,Leveranser_per_nät,'Leveranser per nät'!R$1,FALSE)/VLOOKUP($B100,Korrigeringsfaktor_GD,'Korrigeringsfaktor GD'!R$1,FALSE),
"")</f>
        <v>27.406523076923076</v>
      </c>
      <c r="S100" s="18">
        <f>IFERROR(
                  Andel_oberoende_av_klimat*VLOOKUP($A100,Leveranser_per_nät,'Leveranser per nät'!S$1,FALSE)
               +Andel_beroende_av_klimat*VLOOKUP($A100,Leveranser_per_nät,'Leveranser per nät'!S$1,FALSE)/VLOOKUP($B100,Korrigeringsfaktor_GD,'Korrigeringsfaktor GD'!S$1,FALSE),
"")</f>
        <v>27</v>
      </c>
      <c r="T100" s="18">
        <f>IFERROR(
                  Andel_oberoende_av_klimat*VLOOKUP($A100,Leveranser_per_nät,'Leveranser per nät'!T$1,FALSE)
               +Andel_beroende_av_klimat*VLOOKUP($A100,Leveranser_per_nät,'Leveranser per nät'!T$1,FALSE)/VLOOKUP($B100,Korrigeringsfaktor_GD,'Korrigeringsfaktor GD'!T$1,FALSE),
"")</f>
        <v>26.472857142857144</v>
      </c>
      <c r="U100" s="18">
        <f>IFERROR(
                  Andel_oberoende_av_klimat*VLOOKUP($A100,Leveranser_per_nät,'Leveranser per nät'!U$1,FALSE)
               +Andel_beroende_av_klimat*VLOOKUP($A100,Leveranser_per_nät,'Leveranser per nät'!U$1,FALSE)/VLOOKUP($B100,Korrigeringsfaktor_GD,'Korrigeringsfaktor GD'!U$1,FALSE),
"")</f>
        <v>26.399885057471263</v>
      </c>
      <c r="V100" s="18">
        <f>IFERROR(
                  Andel_oberoende_av_klimat*VLOOKUP($A100,Leveranser_per_nät,'Leveranser per nät'!V$1,FALSE)
               +Andel_beroende_av_klimat*VLOOKUP($A100,Leveranser_per_nät,'Leveranser per nät'!V$1,FALSE)/VLOOKUP($B100,Korrigeringsfaktor_GD,'Korrigeringsfaktor GD'!V$1,FALSE),
"")</f>
        <v>26.85235294117647</v>
      </c>
      <c r="W100" s="18">
        <f>IFERROR(
                  Andel_oberoende_av_klimat*VLOOKUP($A100,Leveranser_per_nät,'Leveranser per nät'!W$1,FALSE)
               +Andel_beroende_av_klimat*VLOOKUP($A100,Leveranser_per_nät,'Leveranser per nät'!W$1,FALSE)/VLOOKUP($B100,Korrigeringsfaktor_GD,'Korrigeringsfaktor GD'!W$1,FALSE),
"")</f>
        <v>26.928576923076918</v>
      </c>
      <c r="X100" s="18">
        <f>IFERROR(
                  Andel_oberoende_av_klimat*VLOOKUP($A100,Leveranser_per_nät,'Leveranser per nät'!X$1,FALSE)
               +Andel_beroende_av_klimat*VLOOKUP($A100,Leveranser_per_nät,'Leveranser per nät'!X$1,FALSE)/VLOOKUP($B100,Korrigeringsfaktor_GD,'Korrigeringsfaktor GD'!X$1,FALSE),
"")</f>
        <v>27.271573033707867</v>
      </c>
      <c r="Y100" s="18">
        <f>IFERROR(
                  Andel_oberoende_av_klimat*VLOOKUP($A100,Leveranser_per_nät,'Leveranser per nät'!Y$1,FALSE)
               +Andel_beroende_av_klimat*VLOOKUP($A100,Leveranser_per_nät,'Leveranser per nät'!Y$1,FALSE)/VLOOKUP($B100,Korrigeringsfaktor_GD,'Korrigeringsfaktor GD'!Y$1,FALSE),
"")</f>
        <v>26.513333333333335</v>
      </c>
      <c r="Z100" s="18">
        <f>IFERROR(
                  Andel_oberoende_av_klimat*VLOOKUP($A100,Leveranser_per_nät,'Leveranser per nät'!Z$1,FALSE)
               +Andel_beroende_av_klimat*VLOOKUP($A100,Leveranser_per_nät,'Leveranser per nät'!Z$1,FALSE)/VLOOKUP($B100,Korrigeringsfaktor_GD,'Korrigeringsfaktor GD'!Z$1,FALSE),
"")</f>
        <v>25.641797752808991</v>
      </c>
      <c r="AA100" s="18">
        <f>IFERROR(
                  Andel_oberoende_av_klimat*VLOOKUP($A100,Leveranser_per_nät,'Leveranser per nät'!AA$1,FALSE)
               +Andel_beroende_av_klimat*VLOOKUP($A100,Leveranser_per_nät,'Leveranser per nät'!AA$1,FALSE)/VLOOKUP($B100,Korrigeringsfaktor_GD,'Korrigeringsfaktor GD'!AA$1,FALSE),
"")</f>
        <v>24.391778334376955</v>
      </c>
      <c r="AB100" s="18">
        <f>IFERROR(
                  Andel_oberoende_av_klimat*VLOOKUP($A100,Leveranser_per_nät,'Leveranser per nät'!AB$1,FALSE)
               +Andel_beroende_av_klimat*VLOOKUP($A100,Leveranser_per_nät,'Leveranser per nät'!AB$1,FALSE)/VLOOKUP($B100,Korrigeringsfaktor_GD,'Korrigeringsfaktor GD'!AB$1,FALSE),
"")</f>
        <v>24.865751491053675</v>
      </c>
      <c r="AC100" s="18">
        <f>IFERROR(
                  Andel_oberoende_av_klimat*VLOOKUP($A100,Leveranser_per_nät,'Leveranser per nät'!AC$1,FALSE)
               +Andel_beroende_av_klimat*VLOOKUP($A100,Leveranser_per_nät,'Leveranser per nät'!AC$1,FALSE)/VLOOKUP($B100,Korrigeringsfaktor_GD,'Korrigeringsfaktor GD'!AC$1,FALSE),
"")</f>
        <v>25.053347502656749</v>
      </c>
      <c r="AD100">
        <v>167.4</v>
      </c>
    </row>
    <row r="101" spans="1:30" x14ac:dyDescent="0.25">
      <c r="A101" t="s">
        <v>1108</v>
      </c>
      <c r="B101" t="s">
        <v>168</v>
      </c>
      <c r="C101" s="18">
        <f>IFERROR(
                  Andel_oberoende_av_klimat*VLOOKUP($A101,Leveranser_per_nät,'Leveranser per nät'!C$1,FALSE)
               +Andel_beroende_av_klimat*VLOOKUP($A101,Leveranser_per_nät,'Leveranser per nät'!C$1,FALSE)/VLOOKUP($B101,Korrigeringsfaktor_GD,'Korrigeringsfaktor GD'!C$1,FALSE),
"")</f>
        <v>0</v>
      </c>
      <c r="D101" s="18">
        <f>IFERROR(
                  Andel_oberoende_av_klimat*VLOOKUP($A101,Leveranser_per_nät,'Leveranser per nät'!D$1,FALSE)
               +Andel_beroende_av_klimat*VLOOKUP($A101,Leveranser_per_nät,'Leveranser per nät'!D$1,FALSE)/VLOOKUP($B101,Korrigeringsfaktor_GD,'Korrigeringsfaktor GD'!D$1,FALSE),
"")</f>
        <v>0</v>
      </c>
      <c r="E101" s="18">
        <f>IFERROR(
                  Andel_oberoende_av_klimat*VLOOKUP($A101,Leveranser_per_nät,'Leveranser per nät'!E$1,FALSE)
               +Andel_beroende_av_klimat*VLOOKUP($A101,Leveranser_per_nät,'Leveranser per nät'!E$1,FALSE)/VLOOKUP($B101,Korrigeringsfaktor_GD,'Korrigeringsfaktor GD'!E$1,FALSE),
"")</f>
        <v>0</v>
      </c>
      <c r="F101" s="18">
        <f>IFERROR(
                  Andel_oberoende_av_klimat*VLOOKUP($A101,Leveranser_per_nät,'Leveranser per nät'!F$1,FALSE)
               +Andel_beroende_av_klimat*VLOOKUP($A101,Leveranser_per_nät,'Leveranser per nät'!F$1,FALSE)/VLOOKUP($B101,Korrigeringsfaktor_GD,'Korrigeringsfaktor GD'!F$1,FALSE),
"")</f>
        <v>0</v>
      </c>
      <c r="G101" s="18">
        <f>IFERROR(
                  Andel_oberoende_av_klimat*VLOOKUP($A101,Leveranser_per_nät,'Leveranser per nät'!G$1,FALSE)
               +Andel_beroende_av_klimat*VLOOKUP($A101,Leveranser_per_nät,'Leveranser per nät'!G$1,FALSE)/VLOOKUP($B101,Korrigeringsfaktor_GD,'Korrigeringsfaktor GD'!G$1,FALSE),
"")</f>
        <v>0</v>
      </c>
      <c r="H101" s="18">
        <f>IFERROR(
                  Andel_oberoende_av_klimat*VLOOKUP($A101,Leveranser_per_nät,'Leveranser per nät'!H$1,FALSE)
               +Andel_beroende_av_klimat*VLOOKUP($A101,Leveranser_per_nät,'Leveranser per nät'!H$1,FALSE)/VLOOKUP($B101,Korrigeringsfaktor_GD,'Korrigeringsfaktor GD'!H$1,FALSE),
"")</f>
        <v>0</v>
      </c>
      <c r="I101" s="18">
        <f>IFERROR(
                  Andel_oberoende_av_klimat*VLOOKUP($A101,Leveranser_per_nät,'Leveranser per nät'!I$1,FALSE)
               +Andel_beroende_av_klimat*VLOOKUP($A101,Leveranser_per_nät,'Leveranser per nät'!I$1,FALSE)/VLOOKUP($B101,Korrigeringsfaktor_GD,'Korrigeringsfaktor GD'!I$1,FALSE),
"")</f>
        <v>0</v>
      </c>
      <c r="J101" s="18">
        <f>IFERROR(
                  Andel_oberoende_av_klimat*VLOOKUP($A101,Leveranser_per_nät,'Leveranser per nät'!J$1,FALSE)
               +Andel_beroende_av_klimat*VLOOKUP($A101,Leveranser_per_nät,'Leveranser per nät'!J$1,FALSE)/VLOOKUP($B101,Korrigeringsfaktor_GD,'Korrigeringsfaktor GD'!J$1,FALSE),
"")</f>
        <v>0</v>
      </c>
      <c r="K101" s="18">
        <f>IFERROR(
                  Andel_oberoende_av_klimat*VLOOKUP($A101,Leveranser_per_nät,'Leveranser per nät'!K$1,FALSE)
               +Andel_beroende_av_klimat*VLOOKUP($A101,Leveranser_per_nät,'Leveranser per nät'!K$1,FALSE)/VLOOKUP($B101,Korrigeringsfaktor_GD,'Korrigeringsfaktor GD'!K$1,FALSE),
"")</f>
        <v>0</v>
      </c>
      <c r="L101" s="18">
        <f>IFERROR(
                  Andel_oberoende_av_klimat*VLOOKUP($A101,Leveranser_per_nät,'Leveranser per nät'!L$1,FALSE)
               +Andel_beroende_av_klimat*VLOOKUP($A101,Leveranser_per_nät,'Leveranser per nät'!L$1,FALSE)/VLOOKUP($B101,Korrigeringsfaktor_GD,'Korrigeringsfaktor GD'!L$1,FALSE),
"")</f>
        <v>0</v>
      </c>
      <c r="M101" s="18">
        <f>IFERROR(
                  Andel_oberoende_av_klimat*VLOOKUP($A101,Leveranser_per_nät,'Leveranser per nät'!M$1,FALSE)
               +Andel_beroende_av_klimat*VLOOKUP($A101,Leveranser_per_nät,'Leveranser per nät'!M$1,FALSE)/VLOOKUP($B101,Korrigeringsfaktor_GD,'Korrigeringsfaktor GD'!M$1,FALSE),
"")</f>
        <v>0</v>
      </c>
      <c r="N101" s="18">
        <f>IFERROR(
                  Andel_oberoende_av_klimat*VLOOKUP($A101,Leveranser_per_nät,'Leveranser per nät'!N$1,FALSE)
               +Andel_beroende_av_klimat*VLOOKUP($A101,Leveranser_per_nät,'Leveranser per nät'!N$1,FALSE)/VLOOKUP($B101,Korrigeringsfaktor_GD,'Korrigeringsfaktor GD'!N$1,FALSE),
"")</f>
        <v>0</v>
      </c>
      <c r="O101" s="18">
        <f>IFERROR(
                  Andel_oberoende_av_klimat*VLOOKUP($A101,Leveranser_per_nät,'Leveranser per nät'!O$1,FALSE)
               +Andel_beroende_av_klimat*VLOOKUP($A101,Leveranser_per_nät,'Leveranser per nät'!O$1,FALSE)/VLOOKUP($B101,Korrigeringsfaktor_GD,'Korrigeringsfaktor GD'!O$1,FALSE),
"")</f>
        <v>0</v>
      </c>
      <c r="P101" s="18">
        <f>IFERROR(
                  Andel_oberoende_av_klimat*VLOOKUP($A101,Leveranser_per_nät,'Leveranser per nät'!P$1,FALSE)
               +Andel_beroende_av_klimat*VLOOKUP($A101,Leveranser_per_nät,'Leveranser per nät'!P$1,FALSE)/VLOOKUP($B101,Korrigeringsfaktor_GD,'Korrigeringsfaktor GD'!P$1,FALSE),
"")</f>
        <v>0</v>
      </c>
      <c r="Q101" s="18">
        <f>IFERROR(
                  Andel_oberoende_av_klimat*VLOOKUP($A101,Leveranser_per_nät,'Leveranser per nät'!Q$1,FALSE)
               +Andel_beroende_av_klimat*VLOOKUP($A101,Leveranser_per_nät,'Leveranser per nät'!Q$1,FALSE)/VLOOKUP($B101,Korrigeringsfaktor_GD,'Korrigeringsfaktor GD'!Q$1,FALSE),
"")</f>
        <v>0</v>
      </c>
      <c r="R101" s="18">
        <f>IFERROR(
                  Andel_oberoende_av_klimat*VLOOKUP($A101,Leveranser_per_nät,'Leveranser per nät'!R$1,FALSE)
               +Andel_beroende_av_klimat*VLOOKUP($A101,Leveranser_per_nät,'Leveranser per nät'!R$1,FALSE)/VLOOKUP($B101,Korrigeringsfaktor_GD,'Korrigeringsfaktor GD'!R$1,FALSE),
"")</f>
        <v>0</v>
      </c>
      <c r="S101" s="18">
        <f>IFERROR(
                  Andel_oberoende_av_klimat*VLOOKUP($A101,Leveranser_per_nät,'Leveranser per nät'!S$1,FALSE)
               +Andel_beroende_av_klimat*VLOOKUP($A101,Leveranser_per_nät,'Leveranser per nät'!S$1,FALSE)/VLOOKUP($B101,Korrigeringsfaktor_GD,'Korrigeringsfaktor GD'!S$1,FALSE),
"")</f>
        <v>0</v>
      </c>
      <c r="T101" s="18">
        <f>IFERROR(
                  Andel_oberoende_av_klimat*VLOOKUP($A101,Leveranser_per_nät,'Leveranser per nät'!T$1,FALSE)
               +Andel_beroende_av_klimat*VLOOKUP($A101,Leveranser_per_nät,'Leveranser per nät'!T$1,FALSE)/VLOOKUP($B101,Korrigeringsfaktor_GD,'Korrigeringsfaktor GD'!T$1,FALSE),
"")</f>
        <v>0</v>
      </c>
      <c r="U101" s="18">
        <f>IFERROR(
                  Andel_oberoende_av_klimat*VLOOKUP($A101,Leveranser_per_nät,'Leveranser per nät'!U$1,FALSE)
               +Andel_beroende_av_klimat*VLOOKUP($A101,Leveranser_per_nät,'Leveranser per nät'!U$1,FALSE)/VLOOKUP($B101,Korrigeringsfaktor_GD,'Korrigeringsfaktor GD'!U$1,FALSE),
"")</f>
        <v>0</v>
      </c>
      <c r="V101" s="18">
        <f>IFERROR(
                  Andel_oberoende_av_klimat*VLOOKUP($A101,Leveranser_per_nät,'Leveranser per nät'!V$1,FALSE)
               +Andel_beroende_av_klimat*VLOOKUP($A101,Leveranser_per_nät,'Leveranser per nät'!V$1,FALSE)/VLOOKUP($B101,Korrigeringsfaktor_GD,'Korrigeringsfaktor GD'!V$1,FALSE),
"")</f>
        <v>6.1345454545454547</v>
      </c>
      <c r="W101" s="18">
        <f>IFERROR(
                  Andel_oberoende_av_klimat*VLOOKUP($A101,Leveranser_per_nät,'Leveranser per nät'!W$1,FALSE)
               +Andel_beroende_av_klimat*VLOOKUP($A101,Leveranser_per_nät,'Leveranser per nät'!W$1,FALSE)/VLOOKUP($B101,Korrigeringsfaktor_GD,'Korrigeringsfaktor GD'!W$1,FALSE),
"")</f>
        <v>4.6318279569892473</v>
      </c>
      <c r="X101" s="18">
        <f>IFERROR(
                  Andel_oberoende_av_klimat*VLOOKUP($A101,Leveranser_per_nät,'Leveranser per nät'!X$1,FALSE)
               +Andel_beroende_av_klimat*VLOOKUP($A101,Leveranser_per_nät,'Leveranser per nät'!X$1,FALSE)/VLOOKUP($B101,Korrigeringsfaktor_GD,'Korrigeringsfaktor GD'!X$1,FALSE),
"")</f>
        <v>7.0530107526881718</v>
      </c>
      <c r="Y101" s="18">
        <f>IFERROR(
                  Andel_oberoende_av_klimat*VLOOKUP($A101,Leveranser_per_nät,'Leveranser per nät'!Y$1,FALSE)
               +Andel_beroende_av_klimat*VLOOKUP($A101,Leveranser_per_nät,'Leveranser per nät'!Y$1,FALSE)/VLOOKUP($B101,Korrigeringsfaktor_GD,'Korrigeringsfaktor GD'!Y$1,FALSE),
"")</f>
        <v>6.6834782608695651</v>
      </c>
      <c r="Z101" s="18">
        <f>IFERROR(
                  Andel_oberoende_av_klimat*VLOOKUP($A101,Leveranser_per_nät,'Leveranser per nät'!Z$1,FALSE)
               +Andel_beroende_av_klimat*VLOOKUP($A101,Leveranser_per_nät,'Leveranser per nät'!Z$1,FALSE)/VLOOKUP($B101,Korrigeringsfaktor_GD,'Korrigeringsfaktor GD'!Z$1,FALSE),
"")</f>
        <v>2.3196551724137935</v>
      </c>
      <c r="AA101" s="18">
        <f>IFERROR(
                  Andel_oberoende_av_klimat*VLOOKUP($A101,Leveranser_per_nät,'Leveranser per nät'!AA$1,FALSE)
               +Andel_beroende_av_klimat*VLOOKUP($A101,Leveranser_per_nät,'Leveranser per nät'!AA$1,FALSE)/VLOOKUP($B101,Korrigeringsfaktor_GD,'Korrigeringsfaktor GD'!AA$1,FALSE),
"")</f>
        <v>31.208416886543539</v>
      </c>
      <c r="AB101" s="18">
        <f>IFERROR(
                  Andel_oberoende_av_klimat*VLOOKUP($A101,Leveranser_per_nät,'Leveranser per nät'!AB$1,FALSE)
               +Andel_beroende_av_klimat*VLOOKUP($A101,Leveranser_per_nät,'Leveranser per nät'!AB$1,FALSE)/VLOOKUP($B101,Korrigeringsfaktor_GD,'Korrigeringsfaktor GD'!AB$1,FALSE),
"")</f>
        <v>23.874739726027393</v>
      </c>
      <c r="AC101" s="18">
        <f>IFERROR(
                  Andel_oberoende_av_klimat*VLOOKUP($A101,Leveranser_per_nät,'Leveranser per nät'!AC$1,FALSE)
               +Andel_beroende_av_klimat*VLOOKUP($A101,Leveranser_per_nät,'Leveranser per nät'!AC$1,FALSE)/VLOOKUP($B101,Korrigeringsfaktor_GD,'Korrigeringsfaktor GD'!AC$1,FALSE),
"")</f>
        <v>28.119157894736844</v>
      </c>
      <c r="AD101">
        <v>163.92</v>
      </c>
    </row>
    <row r="102" spans="1:30" x14ac:dyDescent="0.25">
      <c r="A102" t="s">
        <v>214</v>
      </c>
      <c r="B102" t="s">
        <v>447</v>
      </c>
      <c r="C102" s="18">
        <f>IFERROR(
                  Andel_oberoende_av_klimat*VLOOKUP($A102,Leveranser_per_nät,'Leveranser per nät'!C$1,FALSE)
               +Andel_beroende_av_klimat*VLOOKUP($A102,Leveranser_per_nät,'Leveranser per nät'!C$1,FALSE)/VLOOKUP($B102,Korrigeringsfaktor_GD,'Korrigeringsfaktor GD'!C$1,FALSE),
"")</f>
        <v>0</v>
      </c>
      <c r="D102" s="18">
        <f>IFERROR(
                  Andel_oberoende_av_klimat*VLOOKUP($A102,Leveranser_per_nät,'Leveranser per nät'!D$1,FALSE)
               +Andel_beroende_av_klimat*VLOOKUP($A102,Leveranser_per_nät,'Leveranser per nät'!D$1,FALSE)/VLOOKUP($B102,Korrigeringsfaktor_GD,'Korrigeringsfaktor GD'!D$1,FALSE),
"")</f>
        <v>0</v>
      </c>
      <c r="E102" s="18">
        <f>IFERROR(
                  Andel_oberoende_av_klimat*VLOOKUP($A102,Leveranser_per_nät,'Leveranser per nät'!E$1,FALSE)
               +Andel_beroende_av_klimat*VLOOKUP($A102,Leveranser_per_nät,'Leveranser per nät'!E$1,FALSE)/VLOOKUP($B102,Korrigeringsfaktor_GD,'Korrigeringsfaktor GD'!E$1,FALSE),
"")</f>
        <v>0</v>
      </c>
      <c r="F102" s="18">
        <f>IFERROR(
                  Andel_oberoende_av_klimat*VLOOKUP($A102,Leveranser_per_nät,'Leveranser per nät'!F$1,FALSE)
               +Andel_beroende_av_klimat*VLOOKUP($A102,Leveranser_per_nät,'Leveranser per nät'!F$1,FALSE)/VLOOKUP($B102,Korrigeringsfaktor_GD,'Korrigeringsfaktor GD'!F$1,FALSE),
"")</f>
        <v>0</v>
      </c>
      <c r="G102" s="18">
        <f>IFERROR(
                  Andel_oberoende_av_klimat*VLOOKUP($A102,Leveranser_per_nät,'Leveranser per nät'!G$1,FALSE)
               +Andel_beroende_av_klimat*VLOOKUP($A102,Leveranser_per_nät,'Leveranser per nät'!G$1,FALSE)/VLOOKUP($B102,Korrigeringsfaktor_GD,'Korrigeringsfaktor GD'!G$1,FALSE),
"")</f>
        <v>0</v>
      </c>
      <c r="H102" s="18">
        <f>IFERROR(
                  Andel_oberoende_av_klimat*VLOOKUP($A102,Leveranser_per_nät,'Leveranser per nät'!H$1,FALSE)
               +Andel_beroende_av_klimat*VLOOKUP($A102,Leveranser_per_nät,'Leveranser per nät'!H$1,FALSE)/VLOOKUP($B102,Korrigeringsfaktor_GD,'Korrigeringsfaktor GD'!H$1,FALSE),
"")</f>
        <v>0</v>
      </c>
      <c r="I102" s="18">
        <f>IFERROR(
                  Andel_oberoende_av_klimat*VLOOKUP($A102,Leveranser_per_nät,'Leveranser per nät'!I$1,FALSE)
               +Andel_beroende_av_klimat*VLOOKUP($A102,Leveranser_per_nät,'Leveranser per nät'!I$1,FALSE)/VLOOKUP($B102,Korrigeringsfaktor_GD,'Korrigeringsfaktor GD'!I$1,FALSE),
"")</f>
        <v>0</v>
      </c>
      <c r="J102" s="18">
        <f>IFERROR(
                  Andel_oberoende_av_klimat*VLOOKUP($A102,Leveranser_per_nät,'Leveranser per nät'!J$1,FALSE)
               +Andel_beroende_av_klimat*VLOOKUP($A102,Leveranser_per_nät,'Leveranser per nät'!J$1,FALSE)/VLOOKUP($B102,Korrigeringsfaktor_GD,'Korrigeringsfaktor GD'!J$1,FALSE),
"")</f>
        <v>0</v>
      </c>
      <c r="K102" s="18">
        <f>IFERROR(
                  Andel_oberoende_av_klimat*VLOOKUP($A102,Leveranser_per_nät,'Leveranser per nät'!K$1,FALSE)
               +Andel_beroende_av_klimat*VLOOKUP($A102,Leveranser_per_nät,'Leveranser per nät'!K$1,FALSE)/VLOOKUP($B102,Korrigeringsfaktor_GD,'Korrigeringsfaktor GD'!K$1,FALSE),
"")</f>
        <v>0</v>
      </c>
      <c r="L102" s="18">
        <f>IFERROR(
                  Andel_oberoende_av_klimat*VLOOKUP($A102,Leveranser_per_nät,'Leveranser per nät'!L$1,FALSE)
               +Andel_beroende_av_klimat*VLOOKUP($A102,Leveranser_per_nät,'Leveranser per nät'!L$1,FALSE)/VLOOKUP($B102,Korrigeringsfaktor_GD,'Korrigeringsfaktor GD'!L$1,FALSE),
"")</f>
        <v>9.338112354704446</v>
      </c>
      <c r="M102" s="18">
        <f>IFERROR(
                  Andel_oberoende_av_klimat*VLOOKUP($A102,Leveranser_per_nät,'Leveranser per nät'!M$1,FALSE)
               +Andel_beroende_av_klimat*VLOOKUP($A102,Leveranser_per_nät,'Leveranser per nät'!M$1,FALSE)/VLOOKUP($B102,Korrigeringsfaktor_GD,'Korrigeringsfaktor GD'!M$1,FALSE),
"")</f>
        <v>13.429547826086957</v>
      </c>
      <c r="N102" s="18">
        <f>IFERROR(
                  Andel_oberoende_av_klimat*VLOOKUP($A102,Leveranser_per_nät,'Leveranser per nät'!N$1,FALSE)
               +Andel_beroende_av_klimat*VLOOKUP($A102,Leveranser_per_nät,'Leveranser per nät'!N$1,FALSE)/VLOOKUP($B102,Korrigeringsfaktor_GD,'Korrigeringsfaktor GD'!N$1,FALSE),
"")</f>
        <v>2.7369892473118278</v>
      </c>
      <c r="O102" s="18">
        <f>IFERROR(
                  Andel_oberoende_av_klimat*VLOOKUP($A102,Leveranser_per_nät,'Leveranser per nät'!O$1,FALSE)
               +Andel_beroende_av_klimat*VLOOKUP($A102,Leveranser_per_nät,'Leveranser per nät'!O$1,FALSE)/VLOOKUP($B102,Korrigeringsfaktor_GD,'Korrigeringsfaktor GD'!O$1,FALSE),
"")</f>
        <v>13.472222222222221</v>
      </c>
      <c r="P102" s="18">
        <f>IFERROR(
                  Andel_oberoende_av_klimat*VLOOKUP($A102,Leveranser_per_nät,'Leveranser per nät'!P$1,FALSE)
               +Andel_beroende_av_klimat*VLOOKUP($A102,Leveranser_per_nät,'Leveranser per nät'!P$1,FALSE)/VLOOKUP($B102,Korrigeringsfaktor_GD,'Korrigeringsfaktor GD'!P$1,FALSE),
"")</f>
        <v>12.157628865979381</v>
      </c>
      <c r="Q102" s="18">
        <f>IFERROR(
                  Andel_oberoende_av_klimat*VLOOKUP($A102,Leveranser_per_nät,'Leveranser per nät'!Q$1,FALSE)
               +Andel_beroende_av_klimat*VLOOKUP($A102,Leveranser_per_nät,'Leveranser per nät'!Q$1,FALSE)/VLOOKUP($B102,Korrigeringsfaktor_GD,'Korrigeringsfaktor GD'!Q$1,FALSE),
"")</f>
        <v>11.567695652173914</v>
      </c>
      <c r="R102" s="18">
        <f>IFERROR(
                  Andel_oberoende_av_klimat*VLOOKUP($A102,Leveranser_per_nät,'Leveranser per nät'!R$1,FALSE)
               +Andel_beroende_av_klimat*VLOOKUP($A102,Leveranser_per_nät,'Leveranser per nät'!R$1,FALSE)/VLOOKUP($B102,Korrigeringsfaktor_GD,'Korrigeringsfaktor GD'!R$1,FALSE),
"")</f>
        <v>12.219169230769232</v>
      </c>
      <c r="S102" s="18">
        <f>IFERROR(
                  Andel_oberoende_av_klimat*VLOOKUP($A102,Leveranser_per_nät,'Leveranser per nät'!S$1,FALSE)
               +Andel_beroende_av_klimat*VLOOKUP($A102,Leveranser_per_nät,'Leveranser per nät'!S$1,FALSE)/VLOOKUP($B102,Korrigeringsfaktor_GD,'Korrigeringsfaktor GD'!S$1,FALSE),
"")</f>
        <v>12.13821578283342</v>
      </c>
      <c r="T102" s="18">
        <f>IFERROR(
                  Andel_oberoende_av_klimat*VLOOKUP($A102,Leveranser_per_nät,'Leveranser per nät'!T$1,FALSE)
               +Andel_beroende_av_klimat*VLOOKUP($A102,Leveranser_per_nät,'Leveranser per nät'!T$1,FALSE)/VLOOKUP($B102,Korrigeringsfaktor_GD,'Korrigeringsfaktor GD'!T$1,FALSE),
"")</f>
        <v>14.896612622603879</v>
      </c>
      <c r="U102" s="18">
        <f>IFERROR(
                  Andel_oberoende_av_klimat*VLOOKUP($A102,Leveranser_per_nät,'Leveranser per nät'!U$1,FALSE)
               +Andel_beroende_av_klimat*VLOOKUP($A102,Leveranser_per_nät,'Leveranser per nät'!U$1,FALSE)/VLOOKUP($B102,Korrigeringsfaktor_GD,'Korrigeringsfaktor GD'!U$1,FALSE),
"")</f>
        <v>10.345416547963042</v>
      </c>
      <c r="V102" s="18">
        <f>IFERROR(
                  Andel_oberoende_av_klimat*VLOOKUP($A102,Leveranser_per_nät,'Leveranser per nät'!V$1,FALSE)
               +Andel_beroende_av_klimat*VLOOKUP($A102,Leveranser_per_nät,'Leveranser per nät'!V$1,FALSE)/VLOOKUP($B102,Korrigeringsfaktor_GD,'Korrigeringsfaktor GD'!V$1,FALSE),
"")</f>
        <v>10.509629509041822</v>
      </c>
      <c r="W102" s="18">
        <f>IFERROR(
                  Andel_oberoende_av_klimat*VLOOKUP($A102,Leveranser_per_nät,'Leveranser per nät'!W$1,FALSE)
               +Andel_beroende_av_klimat*VLOOKUP($A102,Leveranser_per_nät,'Leveranser per nät'!W$1,FALSE)/VLOOKUP($B102,Korrigeringsfaktor_GD,'Korrigeringsfaktor GD'!W$1,FALSE),
"")</f>
        <v>11.566369989877355</v>
      </c>
      <c r="X102" s="18">
        <f>IFERROR(
                  Andel_oberoende_av_klimat*VLOOKUP($A102,Leveranser_per_nät,'Leveranser per nät'!X$1,FALSE)
               +Andel_beroende_av_klimat*VLOOKUP($A102,Leveranser_per_nät,'Leveranser per nät'!X$1,FALSE)/VLOOKUP($B102,Korrigeringsfaktor_GD,'Korrigeringsfaktor GD'!X$1,FALSE),
"")</f>
        <v>12.209167276035719</v>
      </c>
      <c r="Y102" s="18">
        <f>IFERROR(
                  Andel_oberoende_av_klimat*VLOOKUP($A102,Leveranser_per_nät,'Leveranser per nät'!Y$1,FALSE)
               +Andel_beroende_av_klimat*VLOOKUP($A102,Leveranser_per_nät,'Leveranser per nät'!Y$1,FALSE)/VLOOKUP($B102,Korrigeringsfaktor_GD,'Korrigeringsfaktor GD'!Y$1,FALSE),
"")</f>
        <v>13.13649569892473</v>
      </c>
      <c r="Z102" s="18">
        <f>IFERROR(
                  Andel_oberoende_av_klimat*VLOOKUP($A102,Leveranser_per_nät,'Leveranser per nät'!Z$1,FALSE)
               +Andel_beroende_av_klimat*VLOOKUP($A102,Leveranser_per_nät,'Leveranser per nät'!Z$1,FALSE)/VLOOKUP($B102,Korrigeringsfaktor_GD,'Korrigeringsfaktor GD'!Z$1,FALSE),
"")</f>
        <v>17.1013816091954</v>
      </c>
      <c r="AA102" s="18">
        <f>IFERROR(
                  Andel_oberoende_av_klimat*VLOOKUP($A102,Leveranser_per_nät,'Leveranser per nät'!AA$1,FALSE)
               +Andel_beroende_av_klimat*VLOOKUP($A102,Leveranser_per_nät,'Leveranser per nät'!AA$1,FALSE)/VLOOKUP($B102,Korrigeringsfaktor_GD,'Korrigeringsfaktor GD'!AA$1,FALSE),
"")</f>
        <v>16.587160474576272</v>
      </c>
      <c r="AB102" s="18">
        <f>IFERROR(
                  Andel_oberoende_av_klimat*VLOOKUP($A102,Leveranser_per_nät,'Leveranser per nät'!AB$1,FALSE)
               +Andel_beroende_av_klimat*VLOOKUP($A102,Leveranser_per_nät,'Leveranser per nät'!AB$1,FALSE)/VLOOKUP($B102,Korrigeringsfaktor_GD,'Korrigeringsfaktor GD'!AB$1,FALSE),
"")</f>
        <v>16.996548031496062</v>
      </c>
      <c r="AC102" s="18">
        <f>IFERROR(
                  Andel_oberoende_av_klimat*VLOOKUP($A102,Leveranser_per_nät,'Leveranser per nät'!AC$1,FALSE)
               +Andel_beroende_av_klimat*VLOOKUP($A102,Leveranser_per_nät,'Leveranser per nät'!AC$1,FALSE)/VLOOKUP($B102,Korrigeringsfaktor_GD,'Korrigeringsfaktor GD'!AC$1,FALSE),
"")</f>
        <v>16.601725641025642</v>
      </c>
      <c r="AD102" t="e">
        <v>#N/A</v>
      </c>
    </row>
    <row r="103" spans="1:30" x14ac:dyDescent="0.25">
      <c r="A103" t="s">
        <v>443</v>
      </c>
      <c r="B103" t="s">
        <v>443</v>
      </c>
      <c r="C103" s="18">
        <f>IFERROR(
                  Andel_oberoende_av_klimat*VLOOKUP($A103,Leveranser_per_nät,'Leveranser per nät'!C$1,FALSE)
               +Andel_beroende_av_klimat*VLOOKUP($A103,Leveranser_per_nät,'Leveranser per nät'!C$1,FALSE)/VLOOKUP($B103,Korrigeringsfaktor_GD,'Korrigeringsfaktor GD'!C$1,FALSE),
"")</f>
        <v>0</v>
      </c>
      <c r="D103" s="18">
        <f>IFERROR(
                  Andel_oberoende_av_klimat*VLOOKUP($A103,Leveranser_per_nät,'Leveranser per nät'!D$1,FALSE)
               +Andel_beroende_av_klimat*VLOOKUP($A103,Leveranser_per_nät,'Leveranser per nät'!D$1,FALSE)/VLOOKUP($B103,Korrigeringsfaktor_GD,'Korrigeringsfaktor GD'!D$1,FALSE),
"")</f>
        <v>0</v>
      </c>
      <c r="E103" s="18">
        <f>IFERROR(
                  Andel_oberoende_av_klimat*VLOOKUP($A103,Leveranser_per_nät,'Leveranser per nät'!E$1,FALSE)
               +Andel_beroende_av_klimat*VLOOKUP($A103,Leveranser_per_nät,'Leveranser per nät'!E$1,FALSE)/VLOOKUP($B103,Korrigeringsfaktor_GD,'Korrigeringsfaktor GD'!E$1,FALSE),
"")</f>
        <v>0</v>
      </c>
      <c r="F103" s="18">
        <f>IFERROR(
                  Andel_oberoende_av_klimat*VLOOKUP($A103,Leveranser_per_nät,'Leveranser per nät'!F$1,FALSE)
               +Andel_beroende_av_klimat*VLOOKUP($A103,Leveranser_per_nät,'Leveranser per nät'!F$1,FALSE)/VLOOKUP($B103,Korrigeringsfaktor_GD,'Korrigeringsfaktor GD'!F$1,FALSE),
"")</f>
        <v>0</v>
      </c>
      <c r="G103" s="18">
        <f>IFERROR(
                  Andel_oberoende_av_klimat*VLOOKUP($A103,Leveranser_per_nät,'Leveranser per nät'!G$1,FALSE)
               +Andel_beroende_av_klimat*VLOOKUP($A103,Leveranser_per_nät,'Leveranser per nät'!G$1,FALSE)/VLOOKUP($B103,Korrigeringsfaktor_GD,'Korrigeringsfaktor GD'!G$1,FALSE),
"")</f>
        <v>0</v>
      </c>
      <c r="H103" s="18">
        <f>IFERROR(
                  Andel_oberoende_av_klimat*VLOOKUP($A103,Leveranser_per_nät,'Leveranser per nät'!H$1,FALSE)
               +Andel_beroende_av_klimat*VLOOKUP($A103,Leveranser_per_nät,'Leveranser per nät'!H$1,FALSE)/VLOOKUP($B103,Korrigeringsfaktor_GD,'Korrigeringsfaktor GD'!H$1,FALSE),
"")</f>
        <v>0</v>
      </c>
      <c r="I103" s="18">
        <f>IFERROR(
                  Andel_oberoende_av_klimat*VLOOKUP($A103,Leveranser_per_nät,'Leveranser per nät'!I$1,FALSE)
               +Andel_beroende_av_klimat*VLOOKUP($A103,Leveranser_per_nät,'Leveranser per nät'!I$1,FALSE)/VLOOKUP($B103,Korrigeringsfaktor_GD,'Korrigeringsfaktor GD'!I$1,FALSE),
"")</f>
        <v>0</v>
      </c>
      <c r="J103" s="18">
        <f>IFERROR(
                  Andel_oberoende_av_klimat*VLOOKUP($A103,Leveranser_per_nät,'Leveranser per nät'!J$1,FALSE)
               +Andel_beroende_av_klimat*VLOOKUP($A103,Leveranser_per_nät,'Leveranser per nät'!J$1,FALSE)/VLOOKUP($B103,Korrigeringsfaktor_GD,'Korrigeringsfaktor GD'!J$1,FALSE),
"")</f>
        <v>0</v>
      </c>
      <c r="K103" s="18">
        <f>IFERROR(
                  Andel_oberoende_av_klimat*VLOOKUP($A103,Leveranser_per_nät,'Leveranser per nät'!K$1,FALSE)
               +Andel_beroende_av_klimat*VLOOKUP($A103,Leveranser_per_nät,'Leveranser per nät'!K$1,FALSE)/VLOOKUP($B103,Korrigeringsfaktor_GD,'Korrigeringsfaktor GD'!K$1,FALSE),
"")</f>
        <v>0</v>
      </c>
      <c r="L103" s="18">
        <f>IFERROR(
                  Andel_oberoende_av_klimat*VLOOKUP($A103,Leveranser_per_nät,'Leveranser per nät'!L$1,FALSE)
               +Andel_beroende_av_klimat*VLOOKUP($A103,Leveranser_per_nät,'Leveranser per nät'!L$1,FALSE)/VLOOKUP($B103,Korrigeringsfaktor_GD,'Korrigeringsfaktor GD'!L$1,FALSE),
"")</f>
        <v>0</v>
      </c>
      <c r="M103" s="18">
        <f>IFERROR(
                  Andel_oberoende_av_klimat*VLOOKUP($A103,Leveranser_per_nät,'Leveranser per nät'!M$1,FALSE)
               +Andel_beroende_av_klimat*VLOOKUP($A103,Leveranser_per_nät,'Leveranser per nät'!M$1,FALSE)/VLOOKUP($B103,Korrigeringsfaktor_GD,'Korrigeringsfaktor GD'!M$1,FALSE),
"")</f>
        <v>0</v>
      </c>
      <c r="N103" s="18">
        <f>IFERROR(
                  Andel_oberoende_av_klimat*VLOOKUP($A103,Leveranser_per_nät,'Leveranser per nät'!N$1,FALSE)
               +Andel_beroende_av_klimat*VLOOKUP($A103,Leveranser_per_nät,'Leveranser per nät'!N$1,FALSE)/VLOOKUP($B103,Korrigeringsfaktor_GD,'Korrigeringsfaktor GD'!N$1,FALSE),
"")</f>
        <v>0</v>
      </c>
      <c r="O103" s="18">
        <f>IFERROR(
                  Andel_oberoende_av_klimat*VLOOKUP($A103,Leveranser_per_nät,'Leveranser per nät'!O$1,FALSE)
               +Andel_beroende_av_klimat*VLOOKUP($A103,Leveranser_per_nät,'Leveranser per nät'!O$1,FALSE)/VLOOKUP($B103,Korrigeringsfaktor_GD,'Korrigeringsfaktor GD'!O$1,FALSE),
"")</f>
        <v>0</v>
      </c>
      <c r="P103" s="18">
        <f>IFERROR(
                  Andel_oberoende_av_klimat*VLOOKUP($A103,Leveranser_per_nät,'Leveranser per nät'!P$1,FALSE)
               +Andel_beroende_av_klimat*VLOOKUP($A103,Leveranser_per_nät,'Leveranser per nät'!P$1,FALSE)/VLOOKUP($B103,Korrigeringsfaktor_GD,'Korrigeringsfaktor GD'!P$1,FALSE),
"")</f>
        <v>0</v>
      </c>
      <c r="Q103" s="18">
        <f>IFERROR(
                  Andel_oberoende_av_klimat*VLOOKUP($A103,Leveranser_per_nät,'Leveranser per nät'!Q$1,FALSE)
               +Andel_beroende_av_klimat*VLOOKUP($A103,Leveranser_per_nät,'Leveranser per nät'!Q$1,FALSE)/VLOOKUP($B103,Korrigeringsfaktor_GD,'Korrigeringsfaktor GD'!Q$1,FALSE),
"")</f>
        <v>0</v>
      </c>
      <c r="R103" s="18">
        <f>IFERROR(
                  Andel_oberoende_av_klimat*VLOOKUP($A103,Leveranser_per_nät,'Leveranser per nät'!R$1,FALSE)
               +Andel_beroende_av_klimat*VLOOKUP($A103,Leveranser_per_nät,'Leveranser per nät'!R$1,FALSE)/VLOOKUP($B103,Korrigeringsfaktor_GD,'Korrigeringsfaktor GD'!R$1,FALSE),
"")</f>
        <v>0</v>
      </c>
      <c r="S103" s="18">
        <f>IFERROR(
                  Andel_oberoende_av_klimat*VLOOKUP($A103,Leveranser_per_nät,'Leveranser per nät'!S$1,FALSE)
               +Andel_beroende_av_klimat*VLOOKUP($A103,Leveranser_per_nät,'Leveranser per nät'!S$1,FALSE)/VLOOKUP($B103,Korrigeringsfaktor_GD,'Korrigeringsfaktor GD'!S$1,FALSE),
"")</f>
        <v>0</v>
      </c>
      <c r="T103" s="18">
        <f>IFERROR(
                  Andel_oberoende_av_klimat*VLOOKUP($A103,Leveranser_per_nät,'Leveranser per nät'!T$1,FALSE)
               +Andel_beroende_av_klimat*VLOOKUP($A103,Leveranser_per_nät,'Leveranser per nät'!T$1,FALSE)/VLOOKUP($B103,Korrigeringsfaktor_GD,'Korrigeringsfaktor GD'!T$1,FALSE),
"")</f>
        <v>18.294671428571426</v>
      </c>
      <c r="U103" s="18">
        <f>IFERROR(
                  Andel_oberoende_av_klimat*VLOOKUP($A103,Leveranser_per_nät,'Leveranser per nät'!U$1,FALSE)
               +Andel_beroende_av_klimat*VLOOKUP($A103,Leveranser_per_nät,'Leveranser per nät'!U$1,FALSE)/VLOOKUP($B103,Korrigeringsfaktor_GD,'Korrigeringsfaktor GD'!U$1,FALSE),
"")</f>
        <v>24.165994117647056</v>
      </c>
      <c r="V103" s="18">
        <f>IFERROR(
                  Andel_oberoende_av_klimat*VLOOKUP($A103,Leveranser_per_nät,'Leveranser per nät'!V$1,FALSE)
               +Andel_beroende_av_klimat*VLOOKUP($A103,Leveranser_per_nät,'Leveranser per nät'!V$1,FALSE)/VLOOKUP($B103,Korrigeringsfaktor_GD,'Korrigeringsfaktor GD'!V$1,FALSE),
"")</f>
        <v>25.242633333333337</v>
      </c>
      <c r="W103" s="18">
        <f>IFERROR(
                  Andel_oberoende_av_klimat*VLOOKUP($A103,Leveranser_per_nät,'Leveranser per nät'!W$1,FALSE)
               +Andel_beroende_av_klimat*VLOOKUP($A103,Leveranser_per_nät,'Leveranser per nät'!W$1,FALSE)/VLOOKUP($B103,Korrigeringsfaktor_GD,'Korrigeringsfaktor GD'!W$1,FALSE),
"")</f>
        <v>27.097868421052635</v>
      </c>
      <c r="X103" s="18">
        <f>IFERROR(
                  Andel_oberoende_av_klimat*VLOOKUP($A103,Leveranser_per_nät,'Leveranser per nät'!X$1,FALSE)
               +Andel_beroende_av_klimat*VLOOKUP($A103,Leveranser_per_nät,'Leveranser per nät'!X$1,FALSE)/VLOOKUP($B103,Korrigeringsfaktor_GD,'Korrigeringsfaktor GD'!X$1,FALSE),
"")</f>
        <v>28.28473404255319</v>
      </c>
      <c r="Y103" s="18">
        <f>IFERROR(
                  Andel_oberoende_av_klimat*VLOOKUP($A103,Leveranser_per_nät,'Leveranser per nät'!Y$1,FALSE)
               +Andel_beroende_av_klimat*VLOOKUP($A103,Leveranser_per_nät,'Leveranser per nät'!Y$1,FALSE)/VLOOKUP($B103,Korrigeringsfaktor_GD,'Korrigeringsfaktor GD'!Y$1,FALSE),
"")</f>
        <v>35.760423076923075</v>
      </c>
      <c r="Z103" s="18">
        <f>IFERROR(
                  Andel_oberoende_av_klimat*VLOOKUP($A103,Leveranser_per_nät,'Leveranser per nät'!Z$1,FALSE)
               +Andel_beroende_av_klimat*VLOOKUP($A103,Leveranser_per_nät,'Leveranser per nät'!Z$1,FALSE)/VLOOKUP($B103,Korrigeringsfaktor_GD,'Korrigeringsfaktor GD'!Z$1,FALSE),
"")</f>
        <v>43.083652808988759</v>
      </c>
      <c r="AA103" s="18">
        <f>IFERROR(
                  Andel_oberoende_av_klimat*VLOOKUP($A103,Leveranser_per_nät,'Leveranser per nät'!AA$1,FALSE)
               +Andel_beroende_av_klimat*VLOOKUP($A103,Leveranser_per_nät,'Leveranser per nät'!AA$1,FALSE)/VLOOKUP($B103,Korrigeringsfaktor_GD,'Korrigeringsfaktor GD'!AA$1,FALSE),
"")</f>
        <v>44.391475172163823</v>
      </c>
      <c r="AB103" s="18">
        <f>IFERROR(
                  Andel_oberoende_av_klimat*VLOOKUP($A103,Leveranser_per_nät,'Leveranser per nät'!AB$1,FALSE)
               +Andel_beroende_av_klimat*VLOOKUP($A103,Leveranser_per_nät,'Leveranser per nät'!AB$1,FALSE)/VLOOKUP($B103,Korrigeringsfaktor_GD,'Korrigeringsfaktor GD'!AB$1,FALSE),
"")</f>
        <v>47.41251653543307</v>
      </c>
      <c r="AC103" s="18">
        <f>IFERROR(
                  Andel_oberoende_av_klimat*VLOOKUP($A103,Leveranser_per_nät,'Leveranser per nät'!AC$1,FALSE)
               +Andel_beroende_av_klimat*VLOOKUP($A103,Leveranser_per_nät,'Leveranser per nät'!AC$1,FALSE)/VLOOKUP($B103,Korrigeringsfaktor_GD,'Korrigeringsfaktor GD'!AC$1,FALSE),
"")</f>
        <v>46.144094117647057</v>
      </c>
      <c r="AD103">
        <v>44.570999999999998</v>
      </c>
    </row>
    <row r="104" spans="1:30" x14ac:dyDescent="0.25">
      <c r="A104" t="s">
        <v>473</v>
      </c>
      <c r="B104" t="s">
        <v>443</v>
      </c>
      <c r="C104" s="18">
        <f>IFERROR(
                  Andel_oberoende_av_klimat*VLOOKUP($A104,Leveranser_per_nät,'Leveranser per nät'!C$1,FALSE)
               +Andel_beroende_av_klimat*VLOOKUP($A104,Leveranser_per_nät,'Leveranser per nät'!C$1,FALSE)/VLOOKUP($B104,Korrigeringsfaktor_GD,'Korrigeringsfaktor GD'!C$1,FALSE),
"")</f>
        <v>0</v>
      </c>
      <c r="D104" s="18">
        <f>IFERROR(
                  Andel_oberoende_av_klimat*VLOOKUP($A104,Leveranser_per_nät,'Leveranser per nät'!D$1,FALSE)
               +Andel_beroende_av_klimat*VLOOKUP($A104,Leveranser_per_nät,'Leveranser per nät'!D$1,FALSE)/VLOOKUP($B104,Korrigeringsfaktor_GD,'Korrigeringsfaktor GD'!D$1,FALSE),
"")</f>
        <v>0</v>
      </c>
      <c r="E104" s="18">
        <f>IFERROR(
                  Andel_oberoende_av_klimat*VLOOKUP($A104,Leveranser_per_nät,'Leveranser per nät'!E$1,FALSE)
               +Andel_beroende_av_klimat*VLOOKUP($A104,Leveranser_per_nät,'Leveranser per nät'!E$1,FALSE)/VLOOKUP($B104,Korrigeringsfaktor_GD,'Korrigeringsfaktor GD'!E$1,FALSE),
"")</f>
        <v>0</v>
      </c>
      <c r="F104" s="18">
        <f>IFERROR(
                  Andel_oberoende_av_klimat*VLOOKUP($A104,Leveranser_per_nät,'Leveranser per nät'!F$1,FALSE)
               +Andel_beroende_av_klimat*VLOOKUP($A104,Leveranser_per_nät,'Leveranser per nät'!F$1,FALSE)/VLOOKUP($B104,Korrigeringsfaktor_GD,'Korrigeringsfaktor GD'!F$1,FALSE),
"")</f>
        <v>0</v>
      </c>
      <c r="G104" s="18">
        <f>IFERROR(
                  Andel_oberoende_av_klimat*VLOOKUP($A104,Leveranser_per_nät,'Leveranser per nät'!G$1,FALSE)
               +Andel_beroende_av_klimat*VLOOKUP($A104,Leveranser_per_nät,'Leveranser per nät'!G$1,FALSE)/VLOOKUP($B104,Korrigeringsfaktor_GD,'Korrigeringsfaktor GD'!G$1,FALSE),
"")</f>
        <v>0</v>
      </c>
      <c r="H104" s="18">
        <f>IFERROR(
                  Andel_oberoende_av_klimat*VLOOKUP($A104,Leveranser_per_nät,'Leveranser per nät'!H$1,FALSE)
               +Andel_beroende_av_klimat*VLOOKUP($A104,Leveranser_per_nät,'Leveranser per nät'!H$1,FALSE)/VLOOKUP($B104,Korrigeringsfaktor_GD,'Korrigeringsfaktor GD'!H$1,FALSE),
"")</f>
        <v>0</v>
      </c>
      <c r="I104" s="18">
        <f>IFERROR(
                  Andel_oberoende_av_klimat*VLOOKUP($A104,Leveranser_per_nät,'Leveranser per nät'!I$1,FALSE)
               +Andel_beroende_av_klimat*VLOOKUP($A104,Leveranser_per_nät,'Leveranser per nät'!I$1,FALSE)/VLOOKUP($B104,Korrigeringsfaktor_GD,'Korrigeringsfaktor GD'!I$1,FALSE),
"")</f>
        <v>0</v>
      </c>
      <c r="J104" s="18">
        <f>IFERROR(
                  Andel_oberoende_av_klimat*VLOOKUP($A104,Leveranser_per_nät,'Leveranser per nät'!J$1,FALSE)
               +Andel_beroende_av_klimat*VLOOKUP($A104,Leveranser_per_nät,'Leveranser per nät'!J$1,FALSE)/VLOOKUP($B104,Korrigeringsfaktor_GD,'Korrigeringsfaktor GD'!J$1,FALSE),
"")</f>
        <v>0</v>
      </c>
      <c r="K104" s="18">
        <f>IFERROR(
                  Andel_oberoende_av_klimat*VLOOKUP($A104,Leveranser_per_nät,'Leveranser per nät'!K$1,FALSE)
               +Andel_beroende_av_klimat*VLOOKUP($A104,Leveranser_per_nät,'Leveranser per nät'!K$1,FALSE)/VLOOKUP($B104,Korrigeringsfaktor_GD,'Korrigeringsfaktor GD'!K$1,FALSE),
"")</f>
        <v>0</v>
      </c>
      <c r="L104" s="18">
        <f>IFERROR(
                  Andel_oberoende_av_klimat*VLOOKUP($A104,Leveranser_per_nät,'Leveranser per nät'!L$1,FALSE)
               +Andel_beroende_av_klimat*VLOOKUP($A104,Leveranser_per_nät,'Leveranser per nät'!L$1,FALSE)/VLOOKUP($B104,Korrigeringsfaktor_GD,'Korrigeringsfaktor GD'!L$1,FALSE),
"")</f>
        <v>0</v>
      </c>
      <c r="M104" s="18">
        <f>IFERROR(
                  Andel_oberoende_av_klimat*VLOOKUP($A104,Leveranser_per_nät,'Leveranser per nät'!M$1,FALSE)
               +Andel_beroende_av_klimat*VLOOKUP($A104,Leveranser_per_nät,'Leveranser per nät'!M$1,FALSE)/VLOOKUP($B104,Korrigeringsfaktor_GD,'Korrigeringsfaktor GD'!M$1,FALSE),
"")</f>
        <v>0</v>
      </c>
      <c r="N104" s="18">
        <f>IFERROR(
                  Andel_oberoende_av_klimat*VLOOKUP($A104,Leveranser_per_nät,'Leveranser per nät'!N$1,FALSE)
               +Andel_beroende_av_klimat*VLOOKUP($A104,Leveranser_per_nät,'Leveranser per nät'!N$1,FALSE)/VLOOKUP($B104,Korrigeringsfaktor_GD,'Korrigeringsfaktor GD'!N$1,FALSE),
"")</f>
        <v>3.9026333333333332</v>
      </c>
      <c r="O104" s="18">
        <f>IFERROR(
                  Andel_oberoende_av_klimat*VLOOKUP($A104,Leveranser_per_nät,'Leveranser per nät'!O$1,FALSE)
               +Andel_beroende_av_klimat*VLOOKUP($A104,Leveranser_per_nät,'Leveranser per nät'!O$1,FALSE)/VLOOKUP($B104,Korrigeringsfaktor_GD,'Korrigeringsfaktor GD'!O$1,FALSE),
"")</f>
        <v>4.6285617977528091</v>
      </c>
      <c r="P104" s="18">
        <f>IFERROR(
                  Andel_oberoende_av_klimat*VLOOKUP($A104,Leveranser_per_nät,'Leveranser per nät'!P$1,FALSE)
               +Andel_beroende_av_klimat*VLOOKUP($A104,Leveranser_per_nät,'Leveranser per nät'!P$1,FALSE)/VLOOKUP($B104,Korrigeringsfaktor_GD,'Korrigeringsfaktor GD'!P$1,FALSE),
"")</f>
        <v>4.743429166666667</v>
      </c>
      <c r="Q104" s="18">
        <f>IFERROR(
                  Andel_oberoende_av_klimat*VLOOKUP($A104,Leveranser_per_nät,'Leveranser per nät'!Q$1,FALSE)
               +Andel_beroende_av_klimat*VLOOKUP($A104,Leveranser_per_nät,'Leveranser per nät'!Q$1,FALSE)/VLOOKUP($B104,Korrigeringsfaktor_GD,'Korrigeringsfaktor GD'!Q$1,FALSE),
"")</f>
        <v>4.7497521739130439</v>
      </c>
      <c r="R104" s="18">
        <f>IFERROR(
                  Andel_oberoende_av_klimat*VLOOKUP($A104,Leveranser_per_nät,'Leveranser per nät'!R$1,FALSE)
               +Andel_beroende_av_klimat*VLOOKUP($A104,Leveranser_per_nät,'Leveranser per nät'!R$1,FALSE)/VLOOKUP($B104,Korrigeringsfaktor_GD,'Korrigeringsfaktor GD'!R$1,FALSE),
"")</f>
        <v>5.283266666666667</v>
      </c>
      <c r="S104" s="18">
        <f>IFERROR(
                  Andel_oberoende_av_klimat*VLOOKUP($A104,Leveranser_per_nät,'Leveranser per nät'!S$1,FALSE)
               +Andel_beroende_av_klimat*VLOOKUP($A104,Leveranser_per_nät,'Leveranser per nät'!S$1,FALSE)/VLOOKUP($B104,Korrigeringsfaktor_GD,'Korrigeringsfaktor GD'!S$1,FALSE),
"")</f>
        <v>11.736666666666666</v>
      </c>
      <c r="T104" s="18" t="str">
        <f>IFERROR(
                  Andel_oberoende_av_klimat*VLOOKUP($A104,Leveranser_per_nät,'Leveranser per nät'!T$1,FALSE)
               +Andel_beroende_av_klimat*VLOOKUP($A104,Leveranser_per_nät,'Leveranser per nät'!T$1,FALSE)/VLOOKUP($B104,Korrigeringsfaktor_GD,'Korrigeringsfaktor GD'!T$1,FALSE),
"")</f>
        <v/>
      </c>
      <c r="U104" s="18" t="str">
        <f>IFERROR(
                  Andel_oberoende_av_klimat*VLOOKUP($A104,Leveranser_per_nät,'Leveranser per nät'!U$1,FALSE)
               +Andel_beroende_av_klimat*VLOOKUP($A104,Leveranser_per_nät,'Leveranser per nät'!U$1,FALSE)/VLOOKUP($B104,Korrigeringsfaktor_GD,'Korrigeringsfaktor GD'!U$1,FALSE),
"")</f>
        <v/>
      </c>
      <c r="V104" s="18" t="str">
        <f>IFERROR(
                  Andel_oberoende_av_klimat*VLOOKUP($A104,Leveranser_per_nät,'Leveranser per nät'!V$1,FALSE)
               +Andel_beroende_av_klimat*VLOOKUP($A104,Leveranser_per_nät,'Leveranser per nät'!V$1,FALSE)/VLOOKUP($B104,Korrigeringsfaktor_GD,'Korrigeringsfaktor GD'!V$1,FALSE),
"")</f>
        <v/>
      </c>
      <c r="W104" s="18" t="str">
        <f>IFERROR(
                  Andel_oberoende_av_klimat*VLOOKUP($A104,Leveranser_per_nät,'Leveranser per nät'!W$1,FALSE)
               +Andel_beroende_av_klimat*VLOOKUP($A104,Leveranser_per_nät,'Leveranser per nät'!W$1,FALSE)/VLOOKUP($B104,Korrigeringsfaktor_GD,'Korrigeringsfaktor GD'!W$1,FALSE),
"")</f>
        <v/>
      </c>
      <c r="X104" s="18" t="str">
        <f>IFERROR(
                  Andel_oberoende_av_klimat*VLOOKUP($A104,Leveranser_per_nät,'Leveranser per nät'!X$1,FALSE)
               +Andel_beroende_av_klimat*VLOOKUP($A104,Leveranser_per_nät,'Leveranser per nät'!X$1,FALSE)/VLOOKUP($B104,Korrigeringsfaktor_GD,'Korrigeringsfaktor GD'!X$1,FALSE),
"")</f>
        <v/>
      </c>
      <c r="Y104" s="18" t="str">
        <f>IFERROR(
                  Andel_oberoende_av_klimat*VLOOKUP($A104,Leveranser_per_nät,'Leveranser per nät'!Y$1,FALSE)
               +Andel_beroende_av_klimat*VLOOKUP($A104,Leveranser_per_nät,'Leveranser per nät'!Y$1,FALSE)/VLOOKUP($B104,Korrigeringsfaktor_GD,'Korrigeringsfaktor GD'!Y$1,FALSE),
"")</f>
        <v/>
      </c>
      <c r="Z104" s="18">
        <f>IFERROR(
                  Andel_oberoende_av_klimat*VLOOKUP($A104,Leveranser_per_nät,'Leveranser per nät'!Z$1,FALSE)
               +Andel_beroende_av_klimat*VLOOKUP($A104,Leveranser_per_nät,'Leveranser per nät'!Z$1,FALSE)/VLOOKUP($B104,Korrigeringsfaktor_GD,'Korrigeringsfaktor GD'!Z$1,FALSE),
"")</f>
        <v>0</v>
      </c>
      <c r="AA104" s="18" t="str">
        <f>IFERROR(
                  Andel_oberoende_av_klimat*VLOOKUP($A104,Leveranser_per_nät,'Leveranser per nät'!AA$1,FALSE)
               +Andel_beroende_av_klimat*VLOOKUP($A104,Leveranser_per_nät,'Leveranser per nät'!AA$1,FALSE)/VLOOKUP($B104,Korrigeringsfaktor_GD,'Korrigeringsfaktor GD'!AA$1,FALSE),
"")</f>
        <v/>
      </c>
      <c r="AB104" s="18">
        <f>IFERROR(
                  Andel_oberoende_av_klimat*VLOOKUP($A104,Leveranser_per_nät,'Leveranser per nät'!AB$1,FALSE)
               +Andel_beroende_av_klimat*VLOOKUP($A104,Leveranser_per_nät,'Leveranser per nät'!AB$1,FALSE)/VLOOKUP($B104,Korrigeringsfaktor_GD,'Korrigeringsfaktor GD'!AB$1,FALSE),
"")</f>
        <v>0</v>
      </c>
      <c r="AC104" s="18">
        <f>IFERROR(
                  Andel_oberoende_av_klimat*VLOOKUP($A104,Leveranser_per_nät,'Leveranser per nät'!AC$1,FALSE)
               +Andel_beroende_av_klimat*VLOOKUP($A104,Leveranser_per_nät,'Leveranser per nät'!AC$1,FALSE)/VLOOKUP($B104,Korrigeringsfaktor_GD,'Korrigeringsfaktor GD'!AC$1,FALSE),
"")</f>
        <v>0</v>
      </c>
      <c r="AD104">
        <v>44.570999999999998</v>
      </c>
    </row>
    <row r="105" spans="1:30" x14ac:dyDescent="0.25">
      <c r="A105" t="s">
        <v>241</v>
      </c>
      <c r="B105" t="s">
        <v>241</v>
      </c>
      <c r="C105" s="18">
        <f>IFERROR(
                  Andel_oberoende_av_klimat*VLOOKUP($A105,Leveranser_per_nät,'Leveranser per nät'!C$1,FALSE)
               +Andel_beroende_av_klimat*VLOOKUP($A105,Leveranser_per_nät,'Leveranser per nät'!C$1,FALSE)/VLOOKUP($B105,Korrigeringsfaktor_GD,'Korrigeringsfaktor GD'!C$1,FALSE),
"")</f>
        <v>0</v>
      </c>
      <c r="D105" s="18">
        <f>IFERROR(
                  Andel_oberoende_av_klimat*VLOOKUP($A105,Leveranser_per_nät,'Leveranser per nät'!D$1,FALSE)
               +Andel_beroende_av_klimat*VLOOKUP($A105,Leveranser_per_nät,'Leveranser per nät'!D$1,FALSE)/VLOOKUP($B105,Korrigeringsfaktor_GD,'Korrigeringsfaktor GD'!D$1,FALSE),
"")</f>
        <v>17.613666666666667</v>
      </c>
      <c r="E105" s="18">
        <f>IFERROR(
                  Andel_oberoende_av_klimat*VLOOKUP($A105,Leveranser_per_nät,'Leveranser per nät'!E$1,FALSE)
               +Andel_beroende_av_klimat*VLOOKUP($A105,Leveranser_per_nät,'Leveranser per nät'!E$1,FALSE)/VLOOKUP($B105,Korrigeringsfaktor_GD,'Korrigeringsfaktor GD'!E$1,FALSE),
"")</f>
        <v>0</v>
      </c>
      <c r="F105" s="18">
        <f>IFERROR(
                  Andel_oberoende_av_klimat*VLOOKUP($A105,Leveranser_per_nät,'Leveranser per nät'!F$1,FALSE)
               +Andel_beroende_av_klimat*VLOOKUP($A105,Leveranser_per_nät,'Leveranser per nät'!F$1,FALSE)/VLOOKUP($B105,Korrigeringsfaktor_GD,'Korrigeringsfaktor GD'!F$1,FALSE),
"")</f>
        <v>0</v>
      </c>
      <c r="G105" s="18">
        <f>IFERROR(
                  Andel_oberoende_av_klimat*VLOOKUP($A105,Leveranser_per_nät,'Leveranser per nät'!G$1,FALSE)
               +Andel_beroende_av_klimat*VLOOKUP($A105,Leveranser_per_nät,'Leveranser per nät'!G$1,FALSE)/VLOOKUP($B105,Korrigeringsfaktor_GD,'Korrigeringsfaktor GD'!G$1,FALSE),
"")</f>
        <v>19.718181818181819</v>
      </c>
      <c r="H105" s="18">
        <f>IFERROR(
                  Andel_oberoende_av_klimat*VLOOKUP($A105,Leveranser_per_nät,'Leveranser per nät'!H$1,FALSE)
               +Andel_beroende_av_klimat*VLOOKUP($A105,Leveranser_per_nät,'Leveranser per nät'!H$1,FALSE)/VLOOKUP($B105,Korrigeringsfaktor_GD,'Korrigeringsfaktor GD'!H$1,FALSE),
"")</f>
        <v>19.873533333333334</v>
      </c>
      <c r="I105" s="18">
        <f>IFERROR(
                  Andel_oberoende_av_klimat*VLOOKUP($A105,Leveranser_per_nät,'Leveranser per nät'!I$1,FALSE)
               +Andel_beroende_av_klimat*VLOOKUP($A105,Leveranser_per_nät,'Leveranser per nät'!I$1,FALSE)/VLOOKUP($B105,Korrigeringsfaktor_GD,'Korrigeringsfaktor GD'!I$1,FALSE),
"")</f>
        <v>20.161230927835053</v>
      </c>
      <c r="J105" s="18">
        <f>IFERROR(
                  Andel_oberoende_av_klimat*VLOOKUP($A105,Leveranser_per_nät,'Leveranser per nät'!J$1,FALSE)
               +Andel_beroende_av_klimat*VLOOKUP($A105,Leveranser_per_nät,'Leveranser per nät'!J$1,FALSE)/VLOOKUP($B105,Korrigeringsfaktor_GD,'Korrigeringsfaktor GD'!J$1,FALSE),
"")</f>
        <v>19.873533333333334</v>
      </c>
      <c r="K105" s="18">
        <f>IFERROR(
                  Andel_oberoende_av_klimat*VLOOKUP($A105,Leveranser_per_nät,'Leveranser per nät'!K$1,FALSE)
               +Andel_beroende_av_klimat*VLOOKUP($A105,Leveranser_per_nät,'Leveranser per nät'!K$1,FALSE)/VLOOKUP($B105,Korrigeringsfaktor_GD,'Korrigeringsfaktor GD'!K$1,FALSE),
"")</f>
        <v>18.709359595959594</v>
      </c>
      <c r="L105" s="18">
        <f>IFERROR(
                  Andel_oberoende_av_klimat*VLOOKUP($A105,Leveranser_per_nät,'Leveranser per nät'!L$1,FALSE)
               +Andel_beroende_av_klimat*VLOOKUP($A105,Leveranser_per_nät,'Leveranser per nät'!L$1,FALSE)/VLOOKUP($B105,Korrigeringsfaktor_GD,'Korrigeringsfaktor GD'!L$1,FALSE),
"")</f>
        <v>20.079041666666669</v>
      </c>
      <c r="M105" s="18">
        <f>IFERROR(
                  Andel_oberoende_av_klimat*VLOOKUP($A105,Leveranser_per_nät,'Leveranser per nät'!M$1,FALSE)
               +Andel_beroende_av_klimat*VLOOKUP($A105,Leveranser_per_nät,'Leveranser per nät'!M$1,FALSE)/VLOOKUP($B105,Korrigeringsfaktor_GD,'Korrigeringsfaktor GD'!M$1,FALSE),
"")</f>
        <v>17.261980645161287</v>
      </c>
      <c r="N105" s="18">
        <f>IFERROR(
                  Andel_oberoende_av_klimat*VLOOKUP($A105,Leveranser_per_nät,'Leveranser per nät'!N$1,FALSE)
               +Andel_beroende_av_klimat*VLOOKUP($A105,Leveranser_per_nät,'Leveranser per nät'!N$1,FALSE)/VLOOKUP($B105,Korrigeringsfaktor_GD,'Korrigeringsfaktor GD'!N$1,FALSE),
"")</f>
        <v>18.594683870967742</v>
      </c>
      <c r="O105" s="18">
        <f>IFERROR(
                  Andel_oberoende_av_klimat*VLOOKUP($A105,Leveranser_per_nät,'Leveranser per nät'!O$1,FALSE)
               +Andel_beroende_av_klimat*VLOOKUP($A105,Leveranser_per_nät,'Leveranser per nät'!O$1,FALSE)/VLOOKUP($B105,Korrigeringsfaktor_GD,'Korrigeringsfaktor GD'!O$1,FALSE),
"")</f>
        <v>18.941248314606739</v>
      </c>
      <c r="P105" s="18">
        <f>IFERROR(
                  Andel_oberoende_av_klimat*VLOOKUP($A105,Leveranser_per_nät,'Leveranser per nät'!P$1,FALSE)
               +Andel_beroende_av_klimat*VLOOKUP($A105,Leveranser_per_nät,'Leveranser per nät'!P$1,FALSE)/VLOOKUP($B105,Korrigeringsfaktor_GD,'Korrigeringsfaktor GD'!P$1,FALSE),
"")</f>
        <v>18.881942857142857</v>
      </c>
      <c r="Q105" s="18">
        <f>IFERROR(
                  Andel_oberoende_av_klimat*VLOOKUP($A105,Leveranser_per_nät,'Leveranser per nät'!Q$1,FALSE)
               +Andel_beroende_av_klimat*VLOOKUP($A105,Leveranser_per_nät,'Leveranser per nät'!Q$1,FALSE)/VLOOKUP($B105,Korrigeringsfaktor_GD,'Korrigeringsfaktor GD'!Q$1,FALSE),
"")</f>
        <v>19.594889655172416</v>
      </c>
      <c r="R105" s="18">
        <f>IFERROR(
                  Andel_oberoende_av_klimat*VLOOKUP($A105,Leveranser_per_nät,'Leveranser per nät'!R$1,FALSE)
               +Andel_beroende_av_klimat*VLOOKUP($A105,Leveranser_per_nät,'Leveranser per nät'!R$1,FALSE)/VLOOKUP($B105,Korrigeringsfaktor_GD,'Korrigeringsfaktor GD'!R$1,FALSE),
"")</f>
        <v>18.565217391304348</v>
      </c>
      <c r="S105" s="18">
        <f>IFERROR(
                  Andel_oberoende_av_klimat*VLOOKUP($A105,Leveranser_per_nät,'Leveranser per nät'!S$1,FALSE)
               +Andel_beroende_av_klimat*VLOOKUP($A105,Leveranser_per_nät,'Leveranser per nät'!S$1,FALSE)/VLOOKUP($B105,Korrigeringsfaktor_GD,'Korrigeringsfaktor GD'!S$1,FALSE),
"")</f>
        <v>18.7</v>
      </c>
      <c r="T105" s="18">
        <f>IFERROR(
                  Andel_oberoende_av_klimat*VLOOKUP($A105,Leveranser_per_nät,'Leveranser per nät'!T$1,FALSE)
               +Andel_beroende_av_klimat*VLOOKUP($A105,Leveranser_per_nät,'Leveranser per nät'!T$1,FALSE)/VLOOKUP($B105,Korrigeringsfaktor_GD,'Korrigeringsfaktor GD'!T$1,FALSE),
"")</f>
        <v>18.594020618556701</v>
      </c>
      <c r="U105" s="18">
        <f>IFERROR(
                  Andel_oberoende_av_klimat*VLOOKUP($A105,Leveranser_per_nät,'Leveranser per nät'!U$1,FALSE)
               +Andel_beroende_av_klimat*VLOOKUP($A105,Leveranser_per_nät,'Leveranser per nät'!U$1,FALSE)/VLOOKUP($B105,Korrigeringsfaktor_GD,'Korrigeringsfaktor GD'!U$1,FALSE),
"")</f>
        <v>18.579438202247193</v>
      </c>
      <c r="V105" s="18">
        <f>IFERROR(
                  Andel_oberoende_av_klimat*VLOOKUP($A105,Leveranser_per_nät,'Leveranser per nät'!V$1,FALSE)
               +Andel_beroende_av_klimat*VLOOKUP($A105,Leveranser_per_nät,'Leveranser per nät'!V$1,FALSE)/VLOOKUP($B105,Korrigeringsfaktor_GD,'Korrigeringsfaktor GD'!V$1,FALSE),
"")</f>
        <v>18.470786516853931</v>
      </c>
      <c r="W105" s="18">
        <f>IFERROR(
                  Andel_oberoende_av_klimat*VLOOKUP($A105,Leveranser_per_nät,'Leveranser per nät'!W$1,FALSE)
               +Andel_beroende_av_klimat*VLOOKUP($A105,Leveranser_per_nät,'Leveranser per nät'!W$1,FALSE)/VLOOKUP($B105,Korrigeringsfaktor_GD,'Korrigeringsfaktor GD'!W$1,FALSE),
"")</f>
        <v>19.554166666666667</v>
      </c>
      <c r="X105" s="18">
        <f>IFERROR(
                  Andel_oberoende_av_klimat*VLOOKUP($A105,Leveranser_per_nät,'Leveranser per nät'!X$1,FALSE)
               +Andel_beroende_av_klimat*VLOOKUP($A105,Leveranser_per_nät,'Leveranser per nät'!X$1,FALSE)/VLOOKUP($B105,Korrigeringsfaktor_GD,'Korrigeringsfaktor GD'!X$1,FALSE),
"")</f>
        <v>19.80368421052632</v>
      </c>
      <c r="Y105" s="18">
        <f>IFERROR(
                  Andel_oberoende_av_klimat*VLOOKUP($A105,Leveranser_per_nät,'Leveranser per nät'!Y$1,FALSE)
               +Andel_beroende_av_klimat*VLOOKUP($A105,Leveranser_per_nät,'Leveranser per nät'!Y$1,FALSE)/VLOOKUP($B105,Korrigeringsfaktor_GD,'Korrigeringsfaktor GD'!Y$1,FALSE),
"")</f>
        <v>20.114736842105263</v>
      </c>
      <c r="Z105" s="18">
        <f>IFERROR(
                  Andel_oberoende_av_klimat*VLOOKUP($A105,Leveranser_per_nät,'Leveranser per nät'!Z$1,FALSE)
               +Andel_beroende_av_klimat*VLOOKUP($A105,Leveranser_per_nät,'Leveranser per nät'!Z$1,FALSE)/VLOOKUP($B105,Korrigeringsfaktor_GD,'Korrigeringsfaktor GD'!Z$1,FALSE),
"")</f>
        <v>21.871034482758624</v>
      </c>
      <c r="AA105" s="18">
        <f>IFERROR(
                  Andel_oberoende_av_klimat*VLOOKUP($A105,Leveranser_per_nät,'Leveranser per nät'!AA$1,FALSE)
               +Andel_beroende_av_klimat*VLOOKUP($A105,Leveranser_per_nät,'Leveranser per nät'!AA$1,FALSE)/VLOOKUP($B105,Korrigeringsfaktor_GD,'Korrigeringsfaktor GD'!AA$1,FALSE),
"")</f>
        <v>21.568843675822311</v>
      </c>
      <c r="AB105" s="18">
        <f>IFERROR(
                  Andel_oberoende_av_klimat*VLOOKUP($A105,Leveranser_per_nät,'Leveranser per nät'!AB$1,FALSE)
               +Andel_beroende_av_klimat*VLOOKUP($A105,Leveranser_per_nät,'Leveranser per nät'!AB$1,FALSE)/VLOOKUP($B105,Korrigeringsfaktor_GD,'Korrigeringsfaktor GD'!AB$1,FALSE),
"")</f>
        <v>20.374222873900294</v>
      </c>
      <c r="AC105" s="18">
        <f>IFERROR(
                  Andel_oberoende_av_klimat*VLOOKUP($A105,Leveranser_per_nät,'Leveranser per nät'!AC$1,FALSE)
               +Andel_beroende_av_klimat*VLOOKUP($A105,Leveranser_per_nät,'Leveranser per nät'!AC$1,FALSE)/VLOOKUP($B105,Korrigeringsfaktor_GD,'Korrigeringsfaktor GD'!AC$1,FALSE),
"")</f>
        <v>20.274583333333332</v>
      </c>
      <c r="AD105">
        <v>19.7</v>
      </c>
    </row>
    <row r="106" spans="1:30" x14ac:dyDescent="0.25">
      <c r="A106" t="s">
        <v>123</v>
      </c>
      <c r="B106" t="s">
        <v>123</v>
      </c>
      <c r="C106" s="18">
        <f>IFERROR(
                  Andel_oberoende_av_klimat*VLOOKUP($A106,Leveranser_per_nät,'Leveranser per nät'!C$1,FALSE)
               +Andel_beroende_av_klimat*VLOOKUP($A106,Leveranser_per_nät,'Leveranser per nät'!C$1,FALSE)/VLOOKUP("Karlstad",Korrigeringsfaktor_GD,'Korrigeringsfaktor GD'!C$1,FALSE),
"")</f>
        <v>0</v>
      </c>
      <c r="D106" s="18">
        <f>IFERROR(
                  Andel_oberoende_av_klimat*VLOOKUP($A106,Leveranser_per_nät,'Leveranser per nät'!D$1,FALSE)
               +Andel_beroende_av_klimat*VLOOKUP($A106,Leveranser_per_nät,'Leveranser per nät'!D$1,FALSE)/VLOOKUP("Karlstad",Korrigeringsfaktor_GD,'Korrigeringsfaktor GD'!D$1,FALSE),
"")</f>
        <v>0</v>
      </c>
      <c r="E106" s="18">
        <f>IFERROR(
                  Andel_oberoende_av_klimat*VLOOKUP($A106,Leveranser_per_nät,'Leveranser per nät'!E$1,FALSE)
               +Andel_beroende_av_klimat*VLOOKUP($A106,Leveranser_per_nät,'Leveranser per nät'!E$1,FALSE)/VLOOKUP("Karlstad",Korrigeringsfaktor_GD,'Korrigeringsfaktor GD'!E$1,FALSE),
"")</f>
        <v>0</v>
      </c>
      <c r="F106" s="18">
        <f>IFERROR(
                  Andel_oberoende_av_klimat*VLOOKUP($A106,Leveranser_per_nät,'Leveranser per nät'!F$1,FALSE)
               +Andel_beroende_av_klimat*VLOOKUP($A106,Leveranser_per_nät,'Leveranser per nät'!F$1,FALSE)/VLOOKUP("Karlstad",Korrigeringsfaktor_GD,'Korrigeringsfaktor GD'!F$1,FALSE),
"")</f>
        <v>0</v>
      </c>
      <c r="G106" s="18">
        <f>IFERROR(
                  Andel_oberoende_av_klimat*VLOOKUP($A106,Leveranser_per_nät,'Leveranser per nät'!G$1,FALSE)
               +Andel_beroende_av_klimat*VLOOKUP($A106,Leveranser_per_nät,'Leveranser per nät'!G$1,FALSE)/VLOOKUP("Karlstad",Korrigeringsfaktor_GD,'Korrigeringsfaktor GD'!G$1,FALSE),
"")</f>
        <v>0</v>
      </c>
      <c r="H106" s="18">
        <f>IFERROR(
                  Andel_oberoende_av_klimat*VLOOKUP($A106,Leveranser_per_nät,'Leveranser per nät'!H$1,FALSE)
               +Andel_beroende_av_klimat*VLOOKUP($A106,Leveranser_per_nät,'Leveranser per nät'!H$1,FALSE)/VLOOKUP("Karlstad",Korrigeringsfaktor_GD,'Korrigeringsfaktor GD'!H$1,FALSE),
"")</f>
        <v>0</v>
      </c>
      <c r="I106" s="18">
        <f>IFERROR(
                  Andel_oberoende_av_klimat*VLOOKUP($A106,Leveranser_per_nät,'Leveranser per nät'!I$1,FALSE)
               +Andel_beroende_av_klimat*VLOOKUP($A106,Leveranser_per_nät,'Leveranser per nät'!I$1,FALSE)/VLOOKUP("Karlstad",Korrigeringsfaktor_GD,'Korrigeringsfaktor GD'!I$1,FALSE),
"")</f>
        <v>0</v>
      </c>
      <c r="J106" s="18">
        <f>IFERROR(
                  Andel_oberoende_av_klimat*VLOOKUP($A106,Leveranser_per_nät,'Leveranser per nät'!J$1,FALSE)
               +Andel_beroende_av_klimat*VLOOKUP($A106,Leveranser_per_nät,'Leveranser per nät'!J$1,FALSE)/VLOOKUP("Karlstad",Korrigeringsfaktor_GD,'Korrigeringsfaktor GD'!J$1,FALSE),
"")</f>
        <v>19.411340206185567</v>
      </c>
      <c r="K106" s="18">
        <f>IFERROR(
                  Andel_oberoende_av_klimat*VLOOKUP($A106,Leveranser_per_nät,'Leveranser per nät'!K$1,FALSE)
               +Andel_beroende_av_klimat*VLOOKUP($A106,Leveranser_per_nät,'Leveranser per nät'!K$1,FALSE)/VLOOKUP("Karlstad",Korrigeringsfaktor_GD,'Korrigeringsfaktor GD'!K$1,FALSE),
"")</f>
        <v>0</v>
      </c>
      <c r="L106" s="18">
        <f>IFERROR(
                  Andel_oberoende_av_klimat*VLOOKUP($A106,Leveranser_per_nät,'Leveranser per nät'!L$1,FALSE)
               +Andel_beroende_av_klimat*VLOOKUP($A106,Leveranser_per_nät,'Leveranser per nät'!L$1,FALSE)/VLOOKUP("Karlstad",Korrigeringsfaktor_GD,'Korrigeringsfaktor GD'!L$1,FALSE),
"")</f>
        <v>0</v>
      </c>
      <c r="M106" s="18">
        <f>IFERROR(
                  Andel_oberoende_av_klimat*VLOOKUP($A106,Leveranser_per_nät,'Leveranser per nät'!M$1,FALSE)
               +Andel_beroende_av_klimat*VLOOKUP($A106,Leveranser_per_nät,'Leveranser per nät'!M$1,FALSE)/VLOOKUP("Karlstad",Korrigeringsfaktor_GD,'Korrigeringsfaktor GD'!M$1,FALSE),
"")</f>
        <v>0</v>
      </c>
      <c r="N106" s="18">
        <f>IFERROR(
                  Andel_oberoende_av_klimat*VLOOKUP($A106,Leveranser_per_nät,'Leveranser per nät'!N$1,FALSE)
               +Andel_beroende_av_klimat*VLOOKUP($A106,Leveranser_per_nät,'Leveranser per nät'!N$1,FALSE)/VLOOKUP("Karlstad",Korrigeringsfaktor_GD,'Korrigeringsfaktor GD'!N$1,FALSE),
"")</f>
        <v>0</v>
      </c>
      <c r="O106" s="18">
        <f>IFERROR(
                  Andel_oberoende_av_klimat*VLOOKUP($A106,Leveranser_per_nät,'Leveranser per nät'!O$1,FALSE)
               +Andel_beroende_av_klimat*VLOOKUP($A106,Leveranser_per_nät,'Leveranser per nät'!O$1,FALSE)/VLOOKUP("Karlstad",Korrigeringsfaktor_GD,'Korrigeringsfaktor GD'!O$1,FALSE),
"")</f>
        <v>0</v>
      </c>
      <c r="P106" s="18">
        <f>IFERROR(
                  Andel_oberoende_av_klimat*VLOOKUP($A106,Leveranser_per_nät,'Leveranser per nät'!P$1,FALSE)
               +Andel_beroende_av_klimat*VLOOKUP($A106,Leveranser_per_nät,'Leveranser per nät'!P$1,FALSE)/VLOOKUP("Karlstad",Korrigeringsfaktor_GD,'Korrigeringsfaktor GD'!P$1,FALSE),
"")</f>
        <v>25.88171717171717</v>
      </c>
      <c r="Q106" s="18">
        <f>IFERROR(
                  Andel_oberoende_av_klimat*VLOOKUP($A106,Leveranser_per_nät,'Leveranser per nät'!Q$1,FALSE)
               +Andel_beroende_av_klimat*VLOOKUP($A106,Leveranser_per_nät,'Leveranser per nät'!Q$1,FALSE)/VLOOKUP("Karlstad",Korrigeringsfaktor_GD,'Korrigeringsfaktor GD'!Q$1,FALSE),
"")</f>
        <v>25.500375833333333</v>
      </c>
      <c r="R106" s="18">
        <f>IFERROR(
                  Andel_oberoende_av_klimat*VLOOKUP($A106,Leveranser_per_nät,'Leveranser per nät'!R$1,FALSE)
               +Andel_beroende_av_klimat*VLOOKUP($A106,Leveranser_per_nät,'Leveranser per nät'!R$1,FALSE)/VLOOKUP("Karlstad",Korrigeringsfaktor_GD,'Korrigeringsfaktor GD'!R$1,FALSE),
"")</f>
        <v>24.592307692307692</v>
      </c>
      <c r="S106" s="18">
        <f>IFERROR(
                  Andel_oberoende_av_klimat*VLOOKUP($A106,Leveranser_per_nät,'Leveranser per nät'!S$1,FALSE)
               +Andel_beroende_av_klimat*VLOOKUP($A106,Leveranser_per_nät,'Leveranser per nät'!S$1,FALSE)/VLOOKUP("Karlstad",Korrigeringsfaktor_GD,'Korrigeringsfaktor GD'!S$1,FALSE),
"")</f>
        <v>28</v>
      </c>
      <c r="T106" s="18">
        <f>IFERROR(
                  Andel_oberoende_av_klimat*VLOOKUP($A106,Leveranser_per_nät,'Leveranser per nät'!T$1,FALSE)
               +Andel_beroende_av_klimat*VLOOKUP($A106,Leveranser_per_nät,'Leveranser per nät'!T$1,FALSE)/VLOOKUP("Karlstad",Korrigeringsfaktor_GD,'Korrigeringsfaktor GD'!T$1,FALSE),
"")</f>
        <v>23.962788659793812</v>
      </c>
      <c r="U106" s="18">
        <f>IFERROR(
                  Andel_oberoende_av_klimat*VLOOKUP($A106,Leveranser_per_nät,'Leveranser per nät'!U$1,FALSE)
               +Andel_beroende_av_klimat*VLOOKUP($A106,Leveranser_per_nät,'Leveranser per nät'!U$1,FALSE)/VLOOKUP("Karlstad",Korrigeringsfaktor_GD,'Korrigeringsfaktor GD'!U$1,FALSE),
"")</f>
        <v>24.016837209302324</v>
      </c>
      <c r="V106" s="18">
        <f>IFERROR(
                  Andel_oberoende_av_klimat*VLOOKUP($A106,Leveranser_per_nät,'Leveranser per nät'!V$1,FALSE)
               +Andel_beroende_av_klimat*VLOOKUP($A106,Leveranser_per_nät,'Leveranser per nät'!V$1,FALSE)/VLOOKUP("Karlstad",Korrigeringsfaktor_GD,'Korrigeringsfaktor GD'!V$1,FALSE),
"")</f>
        <v>23.415340909090908</v>
      </c>
      <c r="W106" s="18">
        <f>IFERROR(
                  Andel_oberoende_av_klimat*VLOOKUP($A106,Leveranser_per_nät,'Leveranser per nät'!W$1,FALSE)
               +Andel_beroende_av_klimat*VLOOKUP($A106,Leveranser_per_nät,'Leveranser per nät'!W$1,FALSE)/VLOOKUP("Karlstad",Korrigeringsfaktor_GD,'Korrigeringsfaktor GD'!W$1,FALSE),
"")</f>
        <v>23.758119354838708</v>
      </c>
      <c r="X106" s="18">
        <f>IFERROR(
                  Andel_oberoende_av_klimat*VLOOKUP($A106,Leveranser_per_nät,'Leveranser per nät'!X$1,FALSE)
               +Andel_beroende_av_klimat*VLOOKUP($A106,Leveranser_per_nät,'Leveranser per nät'!X$1,FALSE)/VLOOKUP("Karlstad",Korrigeringsfaktor_GD,'Korrigeringsfaktor GD'!X$1,FALSE),
"")</f>
        <v>23.135443478260868</v>
      </c>
      <c r="Y106" s="18">
        <f>IFERROR(
                  Andel_oberoende_av_klimat*VLOOKUP($A106,Leveranser_per_nät,'Leveranser per nät'!Y$1,FALSE)
               +Andel_beroende_av_klimat*VLOOKUP($A106,Leveranser_per_nät,'Leveranser per nät'!Y$1,FALSE)/VLOOKUP($B106,Korrigeringsfaktor_GD,'Korrigeringsfaktor GD'!Y$1,FALSE),
"")</f>
        <v>22.955817021276598</v>
      </c>
      <c r="Z106" s="18">
        <f>IFERROR(
                  Andel_oberoende_av_klimat*VLOOKUP($A106,Leveranser_per_nät,'Leveranser per nät'!Z$1,FALSE)
               +Andel_beroende_av_klimat*VLOOKUP($A106,Leveranser_per_nät,'Leveranser per nät'!Z$1,FALSE)/VLOOKUP($B106,Korrigeringsfaktor_GD,'Korrigeringsfaktor GD'!Z$1,FALSE),
"")</f>
        <v>24.429784615384616</v>
      </c>
      <c r="AA106" s="18">
        <f>IFERROR(
                  Andel_oberoende_av_klimat*VLOOKUP($A106,Leveranser_per_nät,'Leveranser per nät'!AA$1,FALSE)
               +Andel_beroende_av_klimat*VLOOKUP($A106,Leveranser_per_nät,'Leveranser per nät'!AA$1,FALSE)/VLOOKUP($B106,Korrigeringsfaktor_GD,'Korrigeringsfaktor GD'!AA$1,FALSE),
"")</f>
        <v>22.495865418946156</v>
      </c>
      <c r="AB106" s="18">
        <f>IFERROR(
                  Andel_oberoende_av_klimat*VLOOKUP($A106,Leveranser_per_nät,'Leveranser per nät'!AB$1,FALSE)
               +Andel_beroende_av_klimat*VLOOKUP($A106,Leveranser_per_nät,'Leveranser per nät'!AB$1,FALSE)/VLOOKUP($B106,Korrigeringsfaktor_GD,'Korrigeringsfaktor GD'!AB$1,FALSE),
"")</f>
        <v>22.753740317775566</v>
      </c>
      <c r="AC106" s="18">
        <f>IFERROR(
                  Andel_oberoende_av_klimat*VLOOKUP($A106,Leveranser_per_nät,'Leveranser per nät'!AC$1,FALSE)
               +Andel_beroende_av_klimat*VLOOKUP($A106,Leveranser_per_nät,'Leveranser per nät'!AC$1,FALSE)/VLOOKUP($B106,Korrigeringsfaktor_GD,'Korrigeringsfaktor GD'!AC$1,FALSE),
"")</f>
        <v>22.252839662447258</v>
      </c>
      <c r="AD106">
        <v>21.43</v>
      </c>
    </row>
    <row r="107" spans="1:30" x14ac:dyDescent="0.25">
      <c r="A107" t="s">
        <v>111</v>
      </c>
      <c r="B107" t="s">
        <v>110</v>
      </c>
      <c r="C107" s="18">
        <f>IFERROR(
                  Andel_oberoende_av_klimat*VLOOKUP($A107,Leveranser_per_nät,'Leveranser per nät'!C$1,FALSE)
               +Andel_beroende_av_klimat*VLOOKUP($A107,Leveranser_per_nät,'Leveranser per nät'!C$1,FALSE)/VLOOKUP($B107,Korrigeringsfaktor_GD,'Korrigeringsfaktor GD'!C$1,FALSE),
"")</f>
        <v>0</v>
      </c>
      <c r="D107" s="18">
        <f>IFERROR(
                  Andel_oberoende_av_klimat*VLOOKUP($A107,Leveranser_per_nät,'Leveranser per nät'!D$1,FALSE)
               +Andel_beroende_av_klimat*VLOOKUP($A107,Leveranser_per_nät,'Leveranser per nät'!D$1,FALSE)/VLOOKUP($B107,Korrigeringsfaktor_GD,'Korrigeringsfaktor GD'!D$1,FALSE),
"")</f>
        <v>0</v>
      </c>
      <c r="E107" s="18">
        <f>IFERROR(
                  Andel_oberoende_av_klimat*VLOOKUP($A107,Leveranser_per_nät,'Leveranser per nät'!E$1,FALSE)
               +Andel_beroende_av_klimat*VLOOKUP($A107,Leveranser_per_nät,'Leveranser per nät'!E$1,FALSE)/VLOOKUP($B107,Korrigeringsfaktor_GD,'Korrigeringsfaktor GD'!E$1,FALSE),
"")</f>
        <v>0</v>
      </c>
      <c r="F107" s="18">
        <f>IFERROR(
                  Andel_oberoende_av_klimat*VLOOKUP($A107,Leveranser_per_nät,'Leveranser per nät'!F$1,FALSE)
               +Andel_beroende_av_klimat*VLOOKUP($A107,Leveranser_per_nät,'Leveranser per nät'!F$1,FALSE)/VLOOKUP($B107,Korrigeringsfaktor_GD,'Korrigeringsfaktor GD'!F$1,FALSE),
"")</f>
        <v>0</v>
      </c>
      <c r="G107" s="18">
        <f>IFERROR(
                  Andel_oberoende_av_klimat*VLOOKUP($A107,Leveranser_per_nät,'Leveranser per nät'!G$1,FALSE)
               +Andel_beroende_av_klimat*VLOOKUP($A107,Leveranser_per_nät,'Leveranser per nät'!G$1,FALSE)/VLOOKUP($B107,Korrigeringsfaktor_GD,'Korrigeringsfaktor GD'!G$1,FALSE),
"")</f>
        <v>0</v>
      </c>
      <c r="H107" s="18">
        <f>IFERROR(
                  Andel_oberoende_av_klimat*VLOOKUP($A107,Leveranser_per_nät,'Leveranser per nät'!H$1,FALSE)
               +Andel_beroende_av_klimat*VLOOKUP($A107,Leveranser_per_nät,'Leveranser per nät'!H$1,FALSE)/VLOOKUP($B107,Korrigeringsfaktor_GD,'Korrigeringsfaktor GD'!H$1,FALSE),
"")</f>
        <v>0</v>
      </c>
      <c r="I107" s="18">
        <f>IFERROR(
                  Andel_oberoende_av_klimat*VLOOKUP($A107,Leveranser_per_nät,'Leveranser per nät'!I$1,FALSE)
               +Andel_beroende_av_klimat*VLOOKUP($A107,Leveranser_per_nät,'Leveranser per nät'!I$1,FALSE)/VLOOKUP($B107,Korrigeringsfaktor_GD,'Korrigeringsfaktor GD'!I$1,FALSE),
"")</f>
        <v>0</v>
      </c>
      <c r="J107" s="18">
        <f>IFERROR(
                  Andel_oberoende_av_klimat*VLOOKUP($A107,Leveranser_per_nät,'Leveranser per nät'!J$1,FALSE)
               +Andel_beroende_av_klimat*VLOOKUP($A107,Leveranser_per_nät,'Leveranser per nät'!J$1,FALSE)/VLOOKUP($B107,Korrigeringsfaktor_GD,'Korrigeringsfaktor GD'!J$1,FALSE),
"")</f>
        <v>0</v>
      </c>
      <c r="K107" s="18">
        <f>IFERROR(
                  Andel_oberoende_av_klimat*VLOOKUP($A107,Leveranser_per_nät,'Leveranser per nät'!K$1,FALSE)
               +Andel_beroende_av_klimat*VLOOKUP($A107,Leveranser_per_nät,'Leveranser per nät'!K$1,FALSE)/VLOOKUP($B107,Korrigeringsfaktor_GD,'Korrigeringsfaktor GD'!K$1,FALSE),
"")</f>
        <v>3.1574833333333334</v>
      </c>
      <c r="L107" s="18">
        <f>IFERROR(
                  Andel_oberoende_av_klimat*VLOOKUP($A107,Leveranser_per_nät,'Leveranser per nät'!L$1,FALSE)
               +Andel_beroende_av_klimat*VLOOKUP($A107,Leveranser_per_nät,'Leveranser per nät'!L$1,FALSE)/VLOOKUP($B107,Korrigeringsfaktor_GD,'Korrigeringsfaktor GD'!L$1,FALSE),
"")</f>
        <v>4.705516129032258</v>
      </c>
      <c r="M107" s="18">
        <f>IFERROR(
                  Andel_oberoende_av_klimat*VLOOKUP($A107,Leveranser_per_nät,'Leveranser per nät'!M$1,FALSE)
               +Andel_beroende_av_klimat*VLOOKUP($A107,Leveranser_per_nät,'Leveranser per nät'!M$1,FALSE)/VLOOKUP($B107,Korrigeringsfaktor_GD,'Korrigeringsfaktor GD'!M$1,FALSE),
"")</f>
        <v>5.2445769230769237</v>
      </c>
      <c r="N107" s="18">
        <f>IFERROR(
                  Andel_oberoende_av_klimat*VLOOKUP($A107,Leveranser_per_nät,'Leveranser per nät'!N$1,FALSE)
               +Andel_beroende_av_klimat*VLOOKUP($A107,Leveranser_per_nät,'Leveranser per nät'!N$1,FALSE)/VLOOKUP($B107,Korrigeringsfaktor_GD,'Korrigeringsfaktor GD'!N$1,FALSE),
"")</f>
        <v>5.2205391304347826</v>
      </c>
      <c r="O107" s="18">
        <f>IFERROR(
                  Andel_oberoende_av_klimat*VLOOKUP($A107,Leveranser_per_nät,'Leveranser per nät'!O$1,FALSE)
               +Andel_beroende_av_klimat*VLOOKUP($A107,Leveranser_per_nät,'Leveranser per nät'!O$1,FALSE)/VLOOKUP($B107,Korrigeringsfaktor_GD,'Korrigeringsfaktor GD'!O$1,FALSE),
"")</f>
        <v>5.1269615384615381</v>
      </c>
      <c r="P107" s="18">
        <f>IFERROR(
                  Andel_oberoende_av_klimat*VLOOKUP($A107,Leveranser_per_nät,'Leveranser per nät'!P$1,FALSE)
               +Andel_beroende_av_klimat*VLOOKUP($A107,Leveranser_per_nät,'Leveranser per nät'!P$1,FALSE)/VLOOKUP($B107,Korrigeringsfaktor_GD,'Korrigeringsfaktor GD'!P$1,FALSE),
"")</f>
        <v>5.1728571428571426</v>
      </c>
      <c r="Q107" s="18">
        <f>IFERROR(
                  Andel_oberoende_av_klimat*VLOOKUP($A107,Leveranser_per_nät,'Leveranser per nät'!Q$1,FALSE)
               +Andel_beroende_av_klimat*VLOOKUP($A107,Leveranser_per_nät,'Leveranser per nät'!Q$1,FALSE)/VLOOKUP($B107,Korrigeringsfaktor_GD,'Korrigeringsfaktor GD'!Q$1,FALSE),
"")</f>
        <v>4.7297608695652178</v>
      </c>
      <c r="R107" s="18">
        <f>IFERROR(
                  Andel_oberoende_av_klimat*VLOOKUP($A107,Leveranser_per_nät,'Leveranser per nät'!R$1,FALSE)
               +Andel_beroende_av_klimat*VLOOKUP($A107,Leveranser_per_nät,'Leveranser per nät'!R$1,FALSE)/VLOOKUP($B107,Korrigeringsfaktor_GD,'Korrigeringsfaktor GD'!R$1,FALSE),
"")</f>
        <v>5.3166777777777776</v>
      </c>
      <c r="S107" s="18">
        <f>IFERROR(
                  Andel_oberoende_av_klimat*VLOOKUP($A107,Leveranser_per_nät,'Leveranser per nät'!S$1,FALSE)
               +Andel_beroende_av_klimat*VLOOKUP($A107,Leveranser_per_nät,'Leveranser per nät'!S$1,FALSE)/VLOOKUP($B107,Korrigeringsfaktor_GD,'Korrigeringsfaktor GD'!S$1,FALSE),
"")</f>
        <v>5.0857070707070706</v>
      </c>
      <c r="T107" s="18">
        <f>IFERROR(
                  Andel_oberoende_av_klimat*VLOOKUP($A107,Leveranser_per_nät,'Leveranser per nät'!T$1,FALSE)
               +Andel_beroende_av_klimat*VLOOKUP($A107,Leveranser_per_nät,'Leveranser per nät'!T$1,FALSE)/VLOOKUP($B107,Korrigeringsfaktor_GD,'Korrigeringsfaktor GD'!T$1,FALSE),
"")</f>
        <v>5.1158021276595749</v>
      </c>
      <c r="U107" s="18">
        <f>IFERROR(
                  Andel_oberoende_av_klimat*VLOOKUP($A107,Leveranser_per_nät,'Leveranser per nät'!U$1,FALSE)
               +Andel_beroende_av_klimat*VLOOKUP($A107,Leveranser_per_nät,'Leveranser per nät'!U$1,FALSE)/VLOOKUP($B107,Korrigeringsfaktor_GD,'Korrigeringsfaktor GD'!U$1,FALSE),
"")</f>
        <v>4.7104545454545459</v>
      </c>
      <c r="V107" s="18">
        <f>IFERROR(
                  Andel_oberoende_av_klimat*VLOOKUP($A107,Leveranser_per_nät,'Leveranser per nät'!V$1,FALSE)
               +Andel_beroende_av_klimat*VLOOKUP($A107,Leveranser_per_nät,'Leveranser per nät'!V$1,FALSE)/VLOOKUP($B107,Korrigeringsfaktor_GD,'Korrigeringsfaktor GD'!V$1,FALSE),
"")</f>
        <v>5.065555555555556</v>
      </c>
      <c r="W107" s="18">
        <f>IFERROR(
                  Andel_oberoende_av_klimat*VLOOKUP($A107,Leveranser_per_nät,'Leveranser per nät'!W$1,FALSE)
               +Andel_beroende_av_klimat*VLOOKUP($A107,Leveranser_per_nät,'Leveranser per nät'!W$1,FALSE)/VLOOKUP($B107,Korrigeringsfaktor_GD,'Korrigeringsfaktor GD'!W$1,FALSE),
"")</f>
        <v>4.9517872340425537</v>
      </c>
      <c r="X107" s="18">
        <f>IFERROR(
                  Andel_oberoende_av_klimat*VLOOKUP($A107,Leveranser_per_nät,'Leveranser per nät'!X$1,FALSE)
               +Andel_beroende_av_klimat*VLOOKUP($A107,Leveranser_per_nät,'Leveranser per nät'!X$1,FALSE)/VLOOKUP($B107,Korrigeringsfaktor_GD,'Korrigeringsfaktor GD'!X$1,FALSE),
"")</f>
        <v>5.0017500000000004</v>
      </c>
      <c r="Y107" s="18">
        <f>IFERROR(
                  Andel_oberoende_av_klimat*VLOOKUP($A107,Leveranser_per_nät,'Leveranser per nät'!Y$1,FALSE)
               +Andel_beroende_av_klimat*VLOOKUP($A107,Leveranser_per_nät,'Leveranser per nät'!Y$1,FALSE)/VLOOKUP($B107,Korrigeringsfaktor_GD,'Korrigeringsfaktor GD'!Y$1,FALSE),
"")</f>
        <v>5.1116315789473683</v>
      </c>
      <c r="Z107" s="18">
        <f>IFERROR(
                  Andel_oberoende_av_klimat*VLOOKUP($A107,Leveranser_per_nät,'Leveranser per nät'!Z$1,FALSE)
               +Andel_beroende_av_klimat*VLOOKUP($A107,Leveranser_per_nät,'Leveranser per nät'!Z$1,FALSE)/VLOOKUP($B107,Korrigeringsfaktor_GD,'Korrigeringsfaktor GD'!Z$1,FALSE),
"")</f>
        <v>4.6394269662921346</v>
      </c>
      <c r="AA107" s="18">
        <f>IFERROR(
                  Andel_oberoende_av_klimat*VLOOKUP($A107,Leveranser_per_nät,'Leveranser per nät'!AA$1,FALSE)
               +Andel_beroende_av_klimat*VLOOKUP($A107,Leveranser_per_nät,'Leveranser per nät'!AA$1,FALSE)/VLOOKUP($B107,Korrigeringsfaktor_GD,'Korrigeringsfaktor GD'!AA$1,FALSE),
"")</f>
        <v>4.3188253012048197</v>
      </c>
      <c r="AB107" s="18">
        <f>IFERROR(
                  Andel_oberoende_av_klimat*VLOOKUP($A107,Leveranser_per_nät,'Leveranser per nät'!AB$1,FALSE)
               +Andel_beroende_av_klimat*VLOOKUP($A107,Leveranser_per_nät,'Leveranser per nät'!AB$1,FALSE)/VLOOKUP($B107,Korrigeringsfaktor_GD,'Korrigeringsfaktor GD'!AB$1,FALSE),
"")</f>
        <v>4.1353120706575073</v>
      </c>
      <c r="AC107" s="18">
        <f>IFERROR(
                  Andel_oberoende_av_klimat*VLOOKUP($A107,Leveranser_per_nät,'Leveranser per nät'!AC$1,FALSE)
               +Andel_beroende_av_klimat*VLOOKUP($A107,Leveranser_per_nät,'Leveranser per nät'!AC$1,FALSE)/VLOOKUP($B107,Korrigeringsfaktor_GD,'Korrigeringsfaktor GD'!AC$1,FALSE),
"")</f>
        <v>4.0891967213114748</v>
      </c>
      <c r="AD107">
        <v>374.2</v>
      </c>
    </row>
    <row r="108" spans="1:30" x14ac:dyDescent="0.25">
      <c r="A108" t="s">
        <v>124</v>
      </c>
      <c r="B108" t="s">
        <v>246</v>
      </c>
      <c r="C108" s="18">
        <f>IFERROR(
                  Andel_oberoende_av_klimat*VLOOKUP($A108,Leveranser_per_nät,'Leveranser per nät'!C$1,FALSE)
               +Andel_beroende_av_klimat*VLOOKUP($A108,Leveranser_per_nät,'Leveranser per nät'!C$1,FALSE)/VLOOKUP($B108,Korrigeringsfaktor_GD,'Korrigeringsfaktor GD'!C$1,FALSE),
"")</f>
        <v>0</v>
      </c>
      <c r="D108" s="18">
        <f>IFERROR(
                  Andel_oberoende_av_klimat*VLOOKUP($A108,Leveranser_per_nät,'Leveranser per nät'!D$1,FALSE)
               +Andel_beroende_av_klimat*VLOOKUP($A108,Leveranser_per_nät,'Leveranser per nät'!D$1,FALSE)/VLOOKUP($B108,Korrigeringsfaktor_GD,'Korrigeringsfaktor GD'!D$1,FALSE),
"")</f>
        <v>0</v>
      </c>
      <c r="E108" s="18">
        <f>IFERROR(
                  Andel_oberoende_av_klimat*VLOOKUP($A108,Leveranser_per_nät,'Leveranser per nät'!E$1,FALSE)
               +Andel_beroende_av_klimat*VLOOKUP($A108,Leveranser_per_nät,'Leveranser per nät'!E$1,FALSE)/VLOOKUP($B108,Korrigeringsfaktor_GD,'Korrigeringsfaktor GD'!E$1,FALSE),
"")</f>
        <v>0</v>
      </c>
      <c r="F108" s="18">
        <f>IFERROR(
                  Andel_oberoende_av_klimat*VLOOKUP($A108,Leveranser_per_nät,'Leveranser per nät'!F$1,FALSE)
               +Andel_beroende_av_klimat*VLOOKUP($A108,Leveranser_per_nät,'Leveranser per nät'!F$1,FALSE)/VLOOKUP($B108,Korrigeringsfaktor_GD,'Korrigeringsfaktor GD'!F$1,FALSE),
"")</f>
        <v>0</v>
      </c>
      <c r="G108" s="18">
        <f>IFERROR(
                  Andel_oberoende_av_klimat*VLOOKUP($A108,Leveranser_per_nät,'Leveranser per nät'!G$1,FALSE)
               +Andel_beroende_av_klimat*VLOOKUP($A108,Leveranser_per_nät,'Leveranser per nät'!G$1,FALSE)/VLOOKUP($B108,Korrigeringsfaktor_GD,'Korrigeringsfaktor GD'!G$1,FALSE),
"")</f>
        <v>0</v>
      </c>
      <c r="H108" s="18">
        <f>IFERROR(
                  Andel_oberoende_av_klimat*VLOOKUP($A108,Leveranser_per_nät,'Leveranser per nät'!H$1,FALSE)
               +Andel_beroende_av_klimat*VLOOKUP($A108,Leveranser_per_nät,'Leveranser per nät'!H$1,FALSE)/VLOOKUP($B108,Korrigeringsfaktor_GD,'Korrigeringsfaktor GD'!H$1,FALSE),
"")</f>
        <v>5.9584158415841575</v>
      </c>
      <c r="I108" s="18">
        <f>IFERROR(
                  Andel_oberoende_av_klimat*VLOOKUP($A108,Leveranser_per_nät,'Leveranser per nät'!I$1,FALSE)
               +Andel_beroende_av_klimat*VLOOKUP($A108,Leveranser_per_nät,'Leveranser per nät'!I$1,FALSE)/VLOOKUP($B108,Korrigeringsfaktor_GD,'Korrigeringsfaktor GD'!I$1,FALSE),
"")</f>
        <v>6.0857142857142854</v>
      </c>
      <c r="J108" s="18">
        <f>IFERROR(
                  Andel_oberoende_av_klimat*VLOOKUP($A108,Leveranser_per_nät,'Leveranser per nät'!J$1,FALSE)
               +Andel_beroende_av_klimat*VLOOKUP($A108,Leveranser_per_nät,'Leveranser per nät'!J$1,FALSE)/VLOOKUP($B108,Korrigeringsfaktor_GD,'Korrigeringsfaktor GD'!J$1,FALSE),
"")</f>
        <v>0</v>
      </c>
      <c r="K108" s="18">
        <f>IFERROR(
                  Andel_oberoende_av_klimat*VLOOKUP($A108,Leveranser_per_nät,'Leveranser per nät'!K$1,FALSE)
               +Andel_beroende_av_klimat*VLOOKUP($A108,Leveranser_per_nät,'Leveranser per nät'!K$1,FALSE)/VLOOKUP($B108,Korrigeringsfaktor_GD,'Korrigeringsfaktor GD'!K$1,FALSE),
"")</f>
        <v>0</v>
      </c>
      <c r="L108" s="18">
        <f>IFERROR(
                  Andel_oberoende_av_klimat*VLOOKUP($A108,Leveranser_per_nät,'Leveranser per nät'!L$1,FALSE)
               +Andel_beroende_av_klimat*VLOOKUP($A108,Leveranser_per_nät,'Leveranser per nät'!L$1,FALSE)/VLOOKUP($B108,Korrigeringsfaktor_GD,'Korrigeringsfaktor GD'!L$1,FALSE),
"")</f>
        <v>0</v>
      </c>
      <c r="M108" s="18">
        <f>IFERROR(
                  Andel_oberoende_av_klimat*VLOOKUP($A108,Leveranser_per_nät,'Leveranser per nät'!M$1,FALSE)
               +Andel_beroende_av_klimat*VLOOKUP($A108,Leveranser_per_nät,'Leveranser per nät'!M$1,FALSE)/VLOOKUP($B108,Korrigeringsfaktor_GD,'Korrigeringsfaktor GD'!M$1,FALSE),
"")</f>
        <v>0</v>
      </c>
      <c r="N108" s="18">
        <f>IFERROR(
                  Andel_oberoende_av_klimat*VLOOKUP($A108,Leveranser_per_nät,'Leveranser per nät'!N$1,FALSE)
               +Andel_beroende_av_klimat*VLOOKUP($A108,Leveranser_per_nät,'Leveranser per nät'!N$1,FALSE)/VLOOKUP($B108,Korrigeringsfaktor_GD,'Korrigeringsfaktor GD'!N$1,FALSE),
"")</f>
        <v>0</v>
      </c>
      <c r="O108" s="18">
        <f>IFERROR(
                  Andel_oberoende_av_klimat*VLOOKUP($A108,Leveranser_per_nät,'Leveranser per nät'!O$1,FALSE)
               +Andel_beroende_av_klimat*VLOOKUP($A108,Leveranser_per_nät,'Leveranser per nät'!O$1,FALSE)/VLOOKUP($B108,Korrigeringsfaktor_GD,'Korrigeringsfaktor GD'!O$1,FALSE),
"")</f>
        <v>0</v>
      </c>
      <c r="P108" s="18">
        <f>IFERROR(
                  Andel_oberoende_av_klimat*VLOOKUP($A108,Leveranser_per_nät,'Leveranser per nät'!P$1,FALSE)
               +Andel_beroende_av_klimat*VLOOKUP($A108,Leveranser_per_nät,'Leveranser per nät'!P$1,FALSE)/VLOOKUP($B108,Korrigeringsfaktor_GD,'Korrigeringsfaktor GD'!P$1,FALSE),
"")</f>
        <v>6.7473737373737368</v>
      </c>
      <c r="Q108" s="18">
        <f>IFERROR(
                  Andel_oberoende_av_klimat*VLOOKUP($A108,Leveranser_per_nät,'Leveranser per nät'!Q$1,FALSE)
               +Andel_beroende_av_klimat*VLOOKUP($A108,Leveranser_per_nät,'Leveranser per nät'!Q$1,FALSE)/VLOOKUP($B108,Korrigeringsfaktor_GD,'Korrigeringsfaktor GD'!Q$1,FALSE),
"")</f>
        <v>6.4676923076923085</v>
      </c>
      <c r="R108" s="18">
        <f>IFERROR(
                  Andel_oberoende_av_klimat*VLOOKUP($A108,Leveranser_per_nät,'Leveranser per nät'!R$1,FALSE)
               +Andel_beroende_av_klimat*VLOOKUP($A108,Leveranser_per_nät,'Leveranser per nät'!R$1,FALSE)/VLOOKUP($B108,Korrigeringsfaktor_GD,'Korrigeringsfaktor GD'!R$1,FALSE),
"")</f>
        <v>5.2725217391304344</v>
      </c>
      <c r="S108" s="18">
        <f>IFERROR(
                  Andel_oberoende_av_klimat*VLOOKUP($A108,Leveranser_per_nät,'Leveranser per nät'!S$1,FALSE)
               +Andel_beroende_av_klimat*VLOOKUP($A108,Leveranser_per_nät,'Leveranser per nät'!S$1,FALSE)/VLOOKUP($B108,Korrigeringsfaktor_GD,'Korrigeringsfaktor GD'!S$1,FALSE),
"")</f>
        <v>6.67</v>
      </c>
      <c r="T108" s="18">
        <f>IFERROR(
                  Andel_oberoende_av_klimat*VLOOKUP($A108,Leveranser_per_nät,'Leveranser per nät'!T$1,FALSE)
               +Andel_beroende_av_klimat*VLOOKUP($A108,Leveranser_per_nät,'Leveranser per nät'!T$1,FALSE)/VLOOKUP($B108,Korrigeringsfaktor_GD,'Korrigeringsfaktor GD'!T$1,FALSE),
"")</f>
        <v>6.3118791666666665</v>
      </c>
      <c r="U108" s="18">
        <f>IFERROR(
                  Andel_oberoende_av_klimat*VLOOKUP($A108,Leveranser_per_nät,'Leveranser per nät'!U$1,FALSE)
               +Andel_beroende_av_klimat*VLOOKUP($A108,Leveranser_per_nät,'Leveranser per nät'!U$1,FALSE)/VLOOKUP($B108,Korrigeringsfaktor_GD,'Korrigeringsfaktor GD'!U$1,FALSE),
"")</f>
        <v>6.2608597701149424</v>
      </c>
      <c r="V108" s="18">
        <f>IFERROR(
                  Andel_oberoende_av_klimat*VLOOKUP($A108,Leveranser_per_nät,'Leveranser per nät'!V$1,FALSE)
               +Andel_beroende_av_klimat*VLOOKUP($A108,Leveranser_per_nät,'Leveranser per nät'!V$1,FALSE)/VLOOKUP($B108,Korrigeringsfaktor_GD,'Korrigeringsfaktor GD'!V$1,FALSE),
"")</f>
        <v>5.9784333333333333</v>
      </c>
      <c r="W108" s="18">
        <f>IFERROR(
                  Andel_oberoende_av_klimat*VLOOKUP($A108,Leveranser_per_nät,'Leveranser per nät'!W$1,FALSE)
               +Andel_beroende_av_klimat*VLOOKUP($A108,Leveranser_per_nät,'Leveranser per nät'!W$1,FALSE)/VLOOKUP($B108,Korrigeringsfaktor_GD,'Korrigeringsfaktor GD'!W$1,FALSE),
"")</f>
        <v>5.6172489361702125</v>
      </c>
      <c r="X108" s="18">
        <f>IFERROR(
                  Andel_oberoende_av_klimat*VLOOKUP($A108,Leveranser_per_nät,'Leveranser per nät'!X$1,FALSE)
               +Andel_beroende_av_klimat*VLOOKUP($A108,Leveranser_per_nät,'Leveranser per nät'!X$1,FALSE)/VLOOKUP($B108,Korrigeringsfaktor_GD,'Korrigeringsfaktor GD'!X$1,FALSE),
"")</f>
        <v>6.1681736842105259</v>
      </c>
      <c r="Y108" s="18">
        <f>IFERROR(
                  Andel_oberoende_av_klimat*VLOOKUP($A108,Leveranser_per_nät,'Leveranser per nät'!Y$1,FALSE)
               +Andel_beroende_av_klimat*VLOOKUP($A108,Leveranser_per_nät,'Leveranser per nät'!Y$1,FALSE)/VLOOKUP($B108,Korrigeringsfaktor_GD,'Korrigeringsfaktor GD'!Y$1,FALSE),
"")</f>
        <v>6.1055913978494623</v>
      </c>
      <c r="Z108" s="18">
        <f>IFERROR(
                  Andel_oberoende_av_klimat*VLOOKUP($A108,Leveranser_per_nät,'Leveranser per nät'!Z$1,FALSE)
               +Andel_beroende_av_klimat*VLOOKUP($A108,Leveranser_per_nät,'Leveranser per nät'!Z$1,FALSE)/VLOOKUP($B108,Korrigeringsfaktor_GD,'Korrigeringsfaktor GD'!Z$1,FALSE),
"")</f>
        <v>6.0611500000000005</v>
      </c>
      <c r="AA108" s="18">
        <f>IFERROR(
                  Andel_oberoende_av_klimat*VLOOKUP($A108,Leveranser_per_nät,'Leveranser per nät'!AA$1,FALSE)
               +Andel_beroende_av_klimat*VLOOKUP($A108,Leveranser_per_nät,'Leveranser per nät'!AA$1,FALSE)/VLOOKUP($B108,Korrigeringsfaktor_GD,'Korrigeringsfaktor GD'!AA$1,FALSE),
"")</f>
        <v>5.6896674269005851</v>
      </c>
      <c r="AB108" s="18">
        <f>IFERROR(
                  Andel_oberoende_av_klimat*VLOOKUP($A108,Leveranser_per_nät,'Leveranser per nät'!AB$1,FALSE)
               +Andel_beroende_av_klimat*VLOOKUP($A108,Leveranser_per_nät,'Leveranser per nät'!AB$1,FALSE)/VLOOKUP($B108,Korrigeringsfaktor_GD,'Korrigeringsfaktor GD'!AB$1,FALSE),
"")</f>
        <v>5.3834553030303027</v>
      </c>
      <c r="AC108" s="18">
        <f>IFERROR(
                  Andel_oberoende_av_klimat*VLOOKUP($A108,Leveranser_per_nät,'Leveranser per nät'!AC$1,FALSE)
               +Andel_beroende_av_klimat*VLOOKUP($A108,Leveranser_per_nät,'Leveranser per nät'!AC$1,FALSE)/VLOOKUP($B108,Korrigeringsfaktor_GD,'Korrigeringsfaktor GD'!AC$1,FALSE),
"")</f>
        <v>5.1370065326633165</v>
      </c>
      <c r="AD108" t="e">
        <v>#N/A</v>
      </c>
    </row>
    <row r="109" spans="1:30" x14ac:dyDescent="0.25">
      <c r="A109" t="s">
        <v>185</v>
      </c>
      <c r="B109" t="s">
        <v>1</v>
      </c>
      <c r="C109" s="18">
        <f>IFERROR(
                  Andel_oberoende_av_klimat*VLOOKUP($A109,Leveranser_per_nät,'Leveranser per nät'!C$1,FALSE)
               +Andel_beroende_av_klimat*VLOOKUP($A109,Leveranser_per_nät,'Leveranser per nät'!C$1,FALSE)/VLOOKUP($B109,Korrigeringsfaktor_GD,'Korrigeringsfaktor GD'!C$1,FALSE),
"")</f>
        <v>4.5973451327433636</v>
      </c>
      <c r="D109" s="18">
        <f>IFERROR(
                  Andel_oberoende_av_klimat*VLOOKUP($A109,Leveranser_per_nät,'Leveranser per nät'!D$1,FALSE)
               +Andel_beroende_av_klimat*VLOOKUP($A109,Leveranser_per_nät,'Leveranser per nät'!D$1,FALSE)/VLOOKUP($B109,Korrigeringsfaktor_GD,'Korrigeringsfaktor GD'!D$1,FALSE),
"")</f>
        <v>4.91</v>
      </c>
      <c r="E109" s="18">
        <f>IFERROR(
                  Andel_oberoende_av_klimat*VLOOKUP($A109,Leveranser_per_nät,'Leveranser per nät'!E$1,FALSE)
               +Andel_beroende_av_klimat*VLOOKUP($A109,Leveranser_per_nät,'Leveranser per nät'!E$1,FALSE)/VLOOKUP($B109,Korrigeringsfaktor_GD,'Korrigeringsfaktor GD'!E$1,FALSE),
"")</f>
        <v>4.9653465346534658</v>
      </c>
      <c r="F109" s="18">
        <f>IFERROR(
                  Andel_oberoende_av_klimat*VLOOKUP($A109,Leveranser_per_nät,'Leveranser per nät'!F$1,FALSE)
               +Andel_beroende_av_klimat*VLOOKUP($A109,Leveranser_per_nät,'Leveranser per nät'!F$1,FALSE)/VLOOKUP($B109,Korrigeringsfaktor_GD,'Korrigeringsfaktor GD'!F$1,FALSE),
"")</f>
        <v>5.2234042553191493</v>
      </c>
      <c r="G109" s="18">
        <f>IFERROR(
                  Andel_oberoende_av_klimat*VLOOKUP($A109,Leveranser_per_nät,'Leveranser per nät'!G$1,FALSE)
               +Andel_beroende_av_klimat*VLOOKUP($A109,Leveranser_per_nät,'Leveranser per nät'!G$1,FALSE)/VLOOKUP($B109,Korrigeringsfaktor_GD,'Korrigeringsfaktor GD'!G$1,FALSE),
"")</f>
        <v>5.5697674418604652</v>
      </c>
      <c r="H109" s="18">
        <f>IFERROR(
                  Andel_oberoende_av_klimat*VLOOKUP($A109,Leveranser_per_nät,'Leveranser per nät'!H$1,FALSE)
               +Andel_beroende_av_klimat*VLOOKUP($A109,Leveranser_per_nät,'Leveranser per nät'!H$1,FALSE)/VLOOKUP($B109,Korrigeringsfaktor_GD,'Korrigeringsfaktor GD'!H$1,FALSE),
"")</f>
        <v>5.9584158415841575</v>
      </c>
      <c r="I109" s="18">
        <f>IFERROR(
                  Andel_oberoende_av_klimat*VLOOKUP($A109,Leveranser_per_nät,'Leveranser per nät'!I$1,FALSE)
               +Andel_beroende_av_klimat*VLOOKUP($A109,Leveranser_per_nät,'Leveranser per nät'!I$1,FALSE)/VLOOKUP($B109,Korrigeringsfaktor_GD,'Korrigeringsfaktor GD'!I$1,FALSE),
"")</f>
        <v>5.2234042553191493</v>
      </c>
      <c r="J109" s="18">
        <f>IFERROR(
                  Andel_oberoende_av_klimat*VLOOKUP($A109,Leveranser_per_nät,'Leveranser per nät'!J$1,FALSE)
               +Andel_beroende_av_klimat*VLOOKUP($A109,Leveranser_per_nät,'Leveranser per nät'!J$1,FALSE)/VLOOKUP($B109,Korrigeringsfaktor_GD,'Korrigeringsfaktor GD'!J$1,FALSE),
"")</f>
        <v>7.0494949494949495</v>
      </c>
      <c r="K109" s="18">
        <f>IFERROR(
                  Andel_oberoende_av_klimat*VLOOKUP($A109,Leveranser_per_nät,'Leveranser per nät'!K$1,FALSE)
               +Andel_beroende_av_klimat*VLOOKUP($A109,Leveranser_per_nät,'Leveranser per nät'!K$1,FALSE)/VLOOKUP($B109,Korrigeringsfaktor_GD,'Korrigeringsfaktor GD'!K$1,FALSE),
"")</f>
        <v>7.8209111111111111</v>
      </c>
      <c r="L109" s="18">
        <f>IFERROR(
                  Andel_oberoende_av_klimat*VLOOKUP($A109,Leveranser_per_nät,'Leveranser per nät'!L$1,FALSE)
               +Andel_beroende_av_klimat*VLOOKUP($A109,Leveranser_per_nät,'Leveranser per nät'!L$1,FALSE)/VLOOKUP($B109,Korrigeringsfaktor_GD,'Korrigeringsfaktor GD'!L$1,FALSE),
"")</f>
        <v>9.3654166666666665</v>
      </c>
      <c r="M109" s="18">
        <f>IFERROR(
                  Andel_oberoende_av_klimat*VLOOKUP($A109,Leveranser_per_nät,'Leveranser per nät'!M$1,FALSE)
               +Andel_beroende_av_klimat*VLOOKUP($A109,Leveranser_per_nät,'Leveranser per nät'!M$1,FALSE)/VLOOKUP($B109,Korrigeringsfaktor_GD,'Korrigeringsfaktor GD'!M$1,FALSE),
"")</f>
        <v>9.7899999999999991</v>
      </c>
      <c r="N109" s="18">
        <f>IFERROR(
                  Andel_oberoende_av_klimat*VLOOKUP($A109,Leveranser_per_nät,'Leveranser per nät'!N$1,FALSE)
               +Andel_beroende_av_klimat*VLOOKUP($A109,Leveranser_per_nät,'Leveranser per nät'!N$1,FALSE)/VLOOKUP($B109,Korrigeringsfaktor_GD,'Korrigeringsfaktor GD'!N$1,FALSE),
"")</f>
        <v>10.023333333333333</v>
      </c>
      <c r="O109" s="18">
        <f>IFERROR(
                  Andel_oberoende_av_klimat*VLOOKUP($A109,Leveranser_per_nät,'Leveranser per nät'!O$1,FALSE)
               +Andel_beroende_av_klimat*VLOOKUP($A109,Leveranser_per_nät,'Leveranser per nät'!O$1,FALSE)/VLOOKUP($B109,Korrigeringsfaktor_GD,'Korrigeringsfaktor GD'!O$1,FALSE),
"")</f>
        <v>8.9094382022471912</v>
      </c>
      <c r="P109" s="18">
        <f>IFERROR(
                  Andel_oberoende_av_klimat*VLOOKUP($A109,Leveranser_per_nät,'Leveranser per nät'!P$1,FALSE)
               +Andel_beroende_av_klimat*VLOOKUP($A109,Leveranser_per_nät,'Leveranser per nät'!P$1,FALSE)/VLOOKUP($B109,Korrigeringsfaktor_GD,'Korrigeringsfaktor GD'!P$1,FALSE),
"")</f>
        <v>9.1948453608247434</v>
      </c>
      <c r="Q109" s="18">
        <f>IFERROR(
                  Andel_oberoende_av_klimat*VLOOKUP($A109,Leveranser_per_nät,'Leveranser per nät'!Q$1,FALSE)
               +Andel_beroende_av_klimat*VLOOKUP($A109,Leveranser_per_nät,'Leveranser per nät'!Q$1,FALSE)/VLOOKUP($B109,Korrigeringsfaktor_GD,'Korrigeringsfaktor GD'!Q$1,FALSE),
"")</f>
        <v>9.9147457627118651</v>
      </c>
      <c r="R109" s="18">
        <f>IFERROR(
                  Andel_oberoende_av_klimat*VLOOKUP($A109,Leveranser_per_nät,'Leveranser per nät'!R$1,FALSE)
               +Andel_beroende_av_klimat*VLOOKUP($A109,Leveranser_per_nät,'Leveranser per nät'!R$1,FALSE)/VLOOKUP($B109,Korrigeringsfaktor_GD,'Korrigeringsfaktor GD'!R$1,FALSE),
"")</f>
        <v>9.73</v>
      </c>
      <c r="S109" s="18">
        <f>IFERROR(
                  Andel_oberoende_av_klimat*VLOOKUP($A109,Leveranser_per_nät,'Leveranser per nät'!S$1,FALSE)
               +Andel_beroende_av_klimat*VLOOKUP($A109,Leveranser_per_nät,'Leveranser per nät'!S$1,FALSE)/VLOOKUP($B109,Korrigeringsfaktor_GD,'Korrigeringsfaktor GD'!S$1,FALSE),
"")</f>
        <v>9.8627450980392162</v>
      </c>
      <c r="T109" s="18">
        <f>IFERROR(
                  Andel_oberoende_av_klimat*VLOOKUP($A109,Leveranser_per_nät,'Leveranser per nät'!T$1,FALSE)
               +Andel_beroende_av_klimat*VLOOKUP($A109,Leveranser_per_nät,'Leveranser per nät'!T$1,FALSE)/VLOOKUP($B109,Korrigeringsfaktor_GD,'Korrigeringsfaktor GD'!T$1,FALSE),
"")</f>
        <v>9.7371428571428567</v>
      </c>
      <c r="U109" s="18">
        <f>IFERROR(
                  Andel_oberoende_av_klimat*VLOOKUP($A109,Leveranser_per_nät,'Leveranser per nät'!U$1,FALSE)
               +Andel_beroende_av_klimat*VLOOKUP($A109,Leveranser_per_nät,'Leveranser per nät'!U$1,FALSE)/VLOOKUP($B109,Korrigeringsfaktor_GD,'Korrigeringsfaktor GD'!U$1,FALSE),
"")</f>
        <v>10.111764705882354</v>
      </c>
      <c r="V109" s="18">
        <f>IFERROR(
                  Andel_oberoende_av_klimat*VLOOKUP($A109,Leveranser_per_nät,'Leveranser per nät'!V$1,FALSE)
               +Andel_beroende_av_klimat*VLOOKUP($A109,Leveranser_per_nät,'Leveranser per nät'!V$1,FALSE)/VLOOKUP($B109,Korrigeringsfaktor_GD,'Korrigeringsfaktor GD'!V$1,FALSE),
"")</f>
        <v>9.8077777777777762</v>
      </c>
      <c r="W109" s="18">
        <f>IFERROR(
                  Andel_oberoende_av_klimat*VLOOKUP($A109,Leveranser_per_nät,'Leveranser per nät'!W$1,FALSE)
               +Andel_beroende_av_klimat*VLOOKUP($A109,Leveranser_per_nät,'Leveranser per nät'!W$1,FALSE)/VLOOKUP($B109,Korrigeringsfaktor_GD,'Korrigeringsfaktor GD'!W$1,FALSE),
"")</f>
        <v>9.8800000000000008</v>
      </c>
      <c r="X109" s="18">
        <f>IFERROR(
                  Andel_oberoende_av_klimat*VLOOKUP($A109,Leveranser_per_nät,'Leveranser per nät'!X$1,FALSE)
               +Andel_beroende_av_klimat*VLOOKUP($A109,Leveranser_per_nät,'Leveranser per nät'!X$1,FALSE)/VLOOKUP($B109,Korrigeringsfaktor_GD,'Korrigeringsfaktor GD'!X$1,FALSE),
"")</f>
        <v>10.446808510638299</v>
      </c>
      <c r="Y109" s="18">
        <f>IFERROR(
                  Andel_oberoende_av_klimat*VLOOKUP($A109,Leveranser_per_nät,'Leveranser per nät'!Y$1,FALSE)
               +Andel_beroende_av_klimat*VLOOKUP($A109,Leveranser_per_nät,'Leveranser per nät'!Y$1,FALSE)/VLOOKUP($B109,Korrigeringsfaktor_GD,'Korrigeringsfaktor GD'!Y$1,FALSE),
"")</f>
        <v>11.263763440860215</v>
      </c>
      <c r="Z109" s="18">
        <f>IFERROR(
                  Andel_oberoende_av_klimat*VLOOKUP($A109,Leveranser_per_nät,'Leveranser per nät'!Z$1,FALSE)
               +Andel_beroende_av_klimat*VLOOKUP($A109,Leveranser_per_nät,'Leveranser per nät'!Z$1,FALSE)/VLOOKUP($B109,Korrigeringsfaktor_GD,'Korrigeringsfaktor GD'!Z$1,FALSE),
"")</f>
        <v>10.950333333333333</v>
      </c>
      <c r="AA109" s="18">
        <f>IFERROR(
                  Andel_oberoende_av_klimat*VLOOKUP($A109,Leveranser_per_nät,'Leveranser per nät'!AA$1,FALSE)
               +Andel_beroende_av_klimat*VLOOKUP($A109,Leveranser_per_nät,'Leveranser per nät'!AA$1,FALSE)/VLOOKUP($B109,Korrigeringsfaktor_GD,'Korrigeringsfaktor GD'!AA$1,FALSE),
"")</f>
        <v>9.5147857707509882</v>
      </c>
      <c r="AB109" s="18">
        <f>IFERROR(
                  Andel_oberoende_av_klimat*VLOOKUP($A109,Leveranser_per_nät,'Leveranser per nät'!AB$1,FALSE)
               +Andel_beroende_av_klimat*VLOOKUP($A109,Leveranser_per_nät,'Leveranser per nät'!AB$1,FALSE)/VLOOKUP($B109,Korrigeringsfaktor_GD,'Korrigeringsfaktor GD'!AB$1,FALSE),
"")</f>
        <v>10.296664363277396</v>
      </c>
      <c r="AC109" s="18">
        <f>IFERROR(
                  Andel_oberoende_av_klimat*VLOOKUP($A109,Leveranser_per_nät,'Leveranser per nät'!AC$1,FALSE)
               +Andel_beroende_av_klimat*VLOOKUP($A109,Leveranser_per_nät,'Leveranser per nät'!AC$1,FALSE)/VLOOKUP($B109,Korrigeringsfaktor_GD,'Korrigeringsfaktor GD'!AC$1,FALSE),
"")</f>
        <v>9.7945431034482766</v>
      </c>
      <c r="AD109">
        <v>118.5</v>
      </c>
    </row>
    <row r="110" spans="1:30" x14ac:dyDescent="0.25">
      <c r="A110" t="s">
        <v>358</v>
      </c>
      <c r="B110" t="s">
        <v>126</v>
      </c>
      <c r="C110" s="18">
        <f>IFERROR(
                  Andel_oberoende_av_klimat*VLOOKUP($A110,Leveranser_per_nät,'Leveranser per nät'!C$1,FALSE)
               +Andel_beroende_av_klimat*VLOOKUP($A110,Leveranser_per_nät,'Leveranser per nät'!C$1,FALSE)/VLOOKUP($B110,Korrigeringsfaktor_GD,'Korrigeringsfaktor GD'!C$1,FALSE),
"")</f>
        <v>1.8962962962962961</v>
      </c>
      <c r="D110" s="18">
        <f>IFERROR(
                  Andel_oberoende_av_klimat*VLOOKUP($A110,Leveranser_per_nät,'Leveranser per nät'!D$1,FALSE)
               +Andel_beroende_av_klimat*VLOOKUP($A110,Leveranser_per_nät,'Leveranser per nät'!D$1,FALSE)/VLOOKUP($B110,Korrigeringsfaktor_GD,'Korrigeringsfaktor GD'!D$1,FALSE),
"")</f>
        <v>1.7289999999999999</v>
      </c>
      <c r="E110" s="18">
        <f>IFERROR(
                  Andel_oberoende_av_klimat*VLOOKUP($A110,Leveranser_per_nät,'Leveranser per nät'!E$1,FALSE)
               +Andel_beroende_av_klimat*VLOOKUP($A110,Leveranser_per_nät,'Leveranser per nät'!E$1,FALSE)/VLOOKUP($B110,Korrigeringsfaktor_GD,'Korrigeringsfaktor GD'!E$1,FALSE),
"")</f>
        <v>1.9861386138613861</v>
      </c>
      <c r="F110" s="18">
        <f>IFERROR(
                  Andel_oberoende_av_klimat*VLOOKUP($A110,Leveranser_per_nät,'Leveranser per nät'!F$1,FALSE)
               +Andel_beroende_av_klimat*VLOOKUP($A110,Leveranser_per_nät,'Leveranser per nät'!F$1,FALSE)/VLOOKUP($B110,Korrigeringsfaktor_GD,'Korrigeringsfaktor GD'!F$1,FALSE),
"")</f>
        <v>2.0583333333333336</v>
      </c>
      <c r="G110" s="18">
        <f>IFERROR(
                  Andel_oberoende_av_klimat*VLOOKUP($A110,Leveranser_per_nät,'Leveranser per nät'!G$1,FALSE)
               +Andel_beroende_av_klimat*VLOOKUP($A110,Leveranser_per_nät,'Leveranser per nät'!G$1,FALSE)/VLOOKUP($B110,Korrigeringsfaktor_GD,'Korrigeringsfaktor GD'!G$1,FALSE),
"")</f>
        <v>2.1909090909090909</v>
      </c>
      <c r="H110" s="18">
        <f>IFERROR(
                  Andel_oberoende_av_klimat*VLOOKUP($A110,Leveranser_per_nät,'Leveranser per nät'!H$1,FALSE)
               +Andel_beroende_av_klimat*VLOOKUP($A110,Leveranser_per_nät,'Leveranser per nät'!H$1,FALSE)/VLOOKUP($B110,Korrigeringsfaktor_GD,'Korrigeringsfaktor GD'!H$1,FALSE),
"")</f>
        <v>5.131189108910891</v>
      </c>
      <c r="I110" s="18">
        <f>IFERROR(
                  Andel_oberoende_av_klimat*VLOOKUP($A110,Leveranser_per_nät,'Leveranser per nät'!I$1,FALSE)
               +Andel_beroende_av_klimat*VLOOKUP($A110,Leveranser_per_nät,'Leveranser per nät'!I$1,FALSE)/VLOOKUP($B110,Korrigeringsfaktor_GD,'Korrigeringsfaktor GD'!I$1,FALSE),
"")</f>
        <v>10.216494845360826</v>
      </c>
      <c r="J110" s="18">
        <f>IFERROR(
                  Andel_oberoende_av_klimat*VLOOKUP($A110,Leveranser_per_nät,'Leveranser per nät'!J$1,FALSE)
               +Andel_beroende_av_klimat*VLOOKUP($A110,Leveranser_per_nät,'Leveranser per nät'!J$1,FALSE)/VLOOKUP($B110,Korrigeringsfaktor_GD,'Korrigeringsfaktor GD'!J$1,FALSE),
"")</f>
        <v>10.216494845360826</v>
      </c>
      <c r="K110" s="18">
        <f>IFERROR(
                  Andel_oberoende_av_klimat*VLOOKUP($A110,Leveranser_per_nät,'Leveranser per nät'!K$1,FALSE)
               +Andel_beroende_av_klimat*VLOOKUP($A110,Leveranser_per_nät,'Leveranser per nät'!K$1,FALSE)/VLOOKUP($B110,Korrigeringsfaktor_GD,'Korrigeringsfaktor GD'!K$1,FALSE),
"")</f>
        <v>10.72936288659794</v>
      </c>
      <c r="L110" s="18">
        <f>IFERROR(
                  Andel_oberoende_av_klimat*VLOOKUP($A110,Leveranser_per_nät,'Leveranser per nät'!L$1,FALSE)
               +Andel_beroende_av_klimat*VLOOKUP($A110,Leveranser_per_nät,'Leveranser per nät'!L$1,FALSE)/VLOOKUP($B110,Korrigeringsfaktor_GD,'Korrigeringsfaktor GD'!L$1,FALSE),
"")</f>
        <v>10.420691489361701</v>
      </c>
      <c r="M110" s="18">
        <f>IFERROR(
                  Andel_oberoende_av_klimat*VLOOKUP($A110,Leveranser_per_nät,'Leveranser per nät'!M$1,FALSE)
               +Andel_beroende_av_klimat*VLOOKUP($A110,Leveranser_per_nät,'Leveranser per nät'!M$1,FALSE)/VLOOKUP($B110,Korrigeringsfaktor_GD,'Korrigeringsfaktor GD'!M$1,FALSE),
"")</f>
        <v>10.636707692307692</v>
      </c>
      <c r="N110" s="18">
        <f>IFERROR(
                  Andel_oberoende_av_klimat*VLOOKUP($A110,Leveranser_per_nät,'Leveranser per nät'!N$1,FALSE)
               +Andel_beroende_av_klimat*VLOOKUP($A110,Leveranser_per_nät,'Leveranser per nät'!N$1,FALSE)/VLOOKUP($B110,Korrigeringsfaktor_GD,'Korrigeringsfaktor GD'!N$1,FALSE),
"")</f>
        <v>10.104753763440861</v>
      </c>
      <c r="O110" s="18">
        <f>IFERROR(
                  Andel_oberoende_av_klimat*VLOOKUP($A110,Leveranser_per_nät,'Leveranser per nät'!O$1,FALSE)
               +Andel_beroende_av_klimat*VLOOKUP($A110,Leveranser_per_nät,'Leveranser per nät'!O$1,FALSE)/VLOOKUP($B110,Korrigeringsfaktor_GD,'Korrigeringsfaktor GD'!O$1,FALSE),
"")</f>
        <v>10.420723076923077</v>
      </c>
      <c r="P110" s="18">
        <f>IFERROR(
                  Andel_oberoende_av_klimat*VLOOKUP($A110,Leveranser_per_nät,'Leveranser per nät'!P$1,FALSE)
               +Andel_beroende_av_klimat*VLOOKUP($A110,Leveranser_per_nät,'Leveranser per nät'!P$1,FALSE)/VLOOKUP($B110,Korrigeringsfaktor_GD,'Korrigeringsfaktor GD'!P$1,FALSE),
"")</f>
        <v>10.237185714285713</v>
      </c>
      <c r="Q110" s="18">
        <f>IFERROR(
                  Andel_oberoende_av_klimat*VLOOKUP($A110,Leveranser_per_nät,'Leveranser per nät'!Q$1,FALSE)
               +Andel_beroende_av_klimat*VLOOKUP($A110,Leveranser_per_nät,'Leveranser per nät'!Q$1,FALSE)/VLOOKUP($B110,Korrigeringsfaktor_GD,'Korrigeringsfaktor GD'!Q$1,FALSE),
"")</f>
        <v>11.444113043478261</v>
      </c>
      <c r="R110" s="18">
        <f>IFERROR(
                  Andel_oberoende_av_klimat*VLOOKUP($A110,Leveranser_per_nät,'Leveranser per nät'!R$1,FALSE)
               +Andel_beroende_av_klimat*VLOOKUP($A110,Leveranser_per_nät,'Leveranser per nät'!R$1,FALSE)/VLOOKUP($B110,Korrigeringsfaktor_GD,'Korrigeringsfaktor GD'!R$1,FALSE),
"")</f>
        <v>12.229861538461538</v>
      </c>
      <c r="S110" s="18">
        <f>IFERROR(
                  Andel_oberoende_av_klimat*VLOOKUP($A110,Leveranser_per_nät,'Leveranser per nät'!S$1,FALSE)
               +Andel_beroende_av_klimat*VLOOKUP($A110,Leveranser_per_nät,'Leveranser per nät'!S$1,FALSE)/VLOOKUP($B110,Korrigeringsfaktor_GD,'Korrigeringsfaktor GD'!S$1,FALSE),
"")</f>
        <v>12.27</v>
      </c>
      <c r="T110" s="18">
        <f>IFERROR(
                  Andel_oberoende_av_klimat*VLOOKUP($A110,Leveranser_per_nät,'Leveranser per nät'!T$1,FALSE)
               +Andel_beroende_av_klimat*VLOOKUP($A110,Leveranser_per_nät,'Leveranser per nät'!T$1,FALSE)/VLOOKUP($B110,Korrigeringsfaktor_GD,'Korrigeringsfaktor GD'!T$1,FALSE),
"")</f>
        <v>12.253399999999999</v>
      </c>
      <c r="U110" s="18">
        <f>IFERROR(
                  Andel_oberoende_av_klimat*VLOOKUP($A110,Leveranser_per_nät,'Leveranser per nät'!U$1,FALSE)
               +Andel_beroende_av_klimat*VLOOKUP($A110,Leveranser_per_nät,'Leveranser per nät'!U$1,FALSE)/VLOOKUP($B110,Korrigeringsfaktor_GD,'Korrigeringsfaktor GD'!U$1,FALSE),
"")</f>
        <v>11.452466666666666</v>
      </c>
      <c r="V110" s="18">
        <f>IFERROR(
                  Andel_oberoende_av_klimat*VLOOKUP($A110,Leveranser_per_nät,'Leveranser per nät'!V$1,FALSE)
               +Andel_beroende_av_klimat*VLOOKUP($A110,Leveranser_per_nät,'Leveranser per nät'!V$1,FALSE)/VLOOKUP($B110,Korrigeringsfaktor_GD,'Korrigeringsfaktor GD'!V$1,FALSE),
"")</f>
        <v>11.007960215053764</v>
      </c>
      <c r="W110" s="18">
        <f>IFERROR(
                  Andel_oberoende_av_klimat*VLOOKUP($A110,Leveranser_per_nät,'Leveranser per nät'!W$1,FALSE)
               +Andel_beroende_av_klimat*VLOOKUP($A110,Leveranser_per_nät,'Leveranser per nät'!W$1,FALSE)/VLOOKUP($B110,Korrigeringsfaktor_GD,'Korrigeringsfaktor GD'!W$1,FALSE),
"")</f>
        <v>11.507859793814433</v>
      </c>
      <c r="X110" s="18">
        <f>IFERROR(
                  Andel_oberoende_av_klimat*VLOOKUP($A110,Leveranser_per_nät,'Leveranser per nät'!X$1,FALSE)
               +Andel_beroende_av_klimat*VLOOKUP($A110,Leveranser_per_nät,'Leveranser per nät'!X$1,FALSE)/VLOOKUP($B110,Korrigeringsfaktor_GD,'Korrigeringsfaktor GD'!X$1,FALSE),
"")</f>
        <v>11.984141414141414</v>
      </c>
      <c r="Y110" s="18">
        <f>IFERROR(
                  Andel_oberoende_av_klimat*VLOOKUP($A110,Leveranser_per_nät,'Leveranser per nät'!Y$1,FALSE)
               +Andel_beroende_av_klimat*VLOOKUP($A110,Leveranser_per_nät,'Leveranser per nät'!Y$1,FALSE)/VLOOKUP($B110,Korrigeringsfaktor_GD,'Korrigeringsfaktor GD'!Y$1,FALSE),
"")</f>
        <v>12.385456701030927</v>
      </c>
      <c r="Z110" s="18">
        <f>IFERROR(
                  Andel_oberoende_av_klimat*VLOOKUP($A110,Leveranser_per_nät,'Leveranser per nät'!Z$1,FALSE)
               +Andel_beroende_av_klimat*VLOOKUP($A110,Leveranser_per_nät,'Leveranser per nät'!Z$1,FALSE)/VLOOKUP($B110,Korrigeringsfaktor_GD,'Korrigeringsfaktor GD'!Z$1,FALSE),
"")</f>
        <v>13.569607692307692</v>
      </c>
      <c r="AA110" s="18">
        <f>IFERROR(
                  Andel_oberoende_av_klimat*VLOOKUP($A110,Leveranser_per_nät,'Leveranser per nät'!AA$1,FALSE)
               +Andel_beroende_av_klimat*VLOOKUP($A110,Leveranser_per_nät,'Leveranser per nät'!AA$1,FALSE)/VLOOKUP($B110,Korrigeringsfaktor_GD,'Korrigeringsfaktor GD'!AA$1,FALSE),
"")</f>
        <v>13.972640970807873</v>
      </c>
      <c r="AB110" s="18">
        <f>IFERROR(
                  Andel_oberoende_av_klimat*VLOOKUP($A110,Leveranser_per_nät,'Leveranser per nät'!AB$1,FALSE)
               +Andel_beroende_av_klimat*VLOOKUP($A110,Leveranser_per_nät,'Leveranser per nät'!AB$1,FALSE)/VLOOKUP($B110,Korrigeringsfaktor_GD,'Korrigeringsfaktor GD'!AB$1,FALSE),
"")</f>
        <v>13.233850690335306</v>
      </c>
      <c r="AC110" s="18">
        <f>IFERROR(
                  Andel_oberoende_av_klimat*VLOOKUP($A110,Leveranser_per_nät,'Leveranser per nät'!AC$1,FALSE)
               +Andel_beroende_av_klimat*VLOOKUP($A110,Leveranser_per_nät,'Leveranser per nät'!AC$1,FALSE)/VLOOKUP($B110,Korrigeringsfaktor_GD,'Korrigeringsfaktor GD'!AC$1,FALSE),
"")</f>
        <v>12.752258064516131</v>
      </c>
      <c r="AD110">
        <v>10.417</v>
      </c>
    </row>
    <row r="111" spans="1:30" x14ac:dyDescent="0.25">
      <c r="A111" t="s">
        <v>159</v>
      </c>
      <c r="B111" t="s">
        <v>160</v>
      </c>
      <c r="C111" s="18">
        <f>IFERROR(
                  Andel_oberoende_av_klimat*VLOOKUP($A111,Leveranser_per_nät,'Leveranser per nät'!C$1,FALSE)
               +Andel_beroende_av_klimat*VLOOKUP($A111,Leveranser_per_nät,'Leveranser per nät'!C$1,FALSE)/VLOOKUP($B111,Korrigeringsfaktor_GD,'Korrigeringsfaktor GD'!C$1,FALSE),
"")</f>
        <v>0</v>
      </c>
      <c r="D111" s="18">
        <f>IFERROR(
                  Andel_oberoende_av_klimat*VLOOKUP($A111,Leveranser_per_nät,'Leveranser per nät'!D$1,FALSE)
               +Andel_beroende_av_klimat*VLOOKUP($A111,Leveranser_per_nät,'Leveranser per nät'!D$1,FALSE)/VLOOKUP($B111,Korrigeringsfaktor_GD,'Korrigeringsfaktor GD'!D$1,FALSE),
"")</f>
        <v>0</v>
      </c>
      <c r="E111" s="18">
        <f>IFERROR(
                  Andel_oberoende_av_klimat*VLOOKUP($A111,Leveranser_per_nät,'Leveranser per nät'!E$1,FALSE)
               +Andel_beroende_av_klimat*VLOOKUP($A111,Leveranser_per_nät,'Leveranser per nät'!E$1,FALSE)/VLOOKUP($B111,Korrigeringsfaktor_GD,'Korrigeringsfaktor GD'!E$1,FALSE),
"")</f>
        <v>0</v>
      </c>
      <c r="F111" s="18">
        <f>IFERROR(
                  Andel_oberoende_av_klimat*VLOOKUP($A111,Leveranser_per_nät,'Leveranser per nät'!F$1,FALSE)
               +Andel_beroende_av_klimat*VLOOKUP($A111,Leveranser_per_nät,'Leveranser per nät'!F$1,FALSE)/VLOOKUP($B111,Korrigeringsfaktor_GD,'Korrigeringsfaktor GD'!F$1,FALSE),
"")</f>
        <v>0</v>
      </c>
      <c r="G111" s="18">
        <f>IFERROR(
                  Andel_oberoende_av_klimat*VLOOKUP($A111,Leveranser_per_nät,'Leveranser per nät'!G$1,FALSE)
               +Andel_beroende_av_klimat*VLOOKUP($A111,Leveranser_per_nät,'Leveranser per nät'!G$1,FALSE)/VLOOKUP($B111,Korrigeringsfaktor_GD,'Korrigeringsfaktor GD'!G$1,FALSE),
"")</f>
        <v>0</v>
      </c>
      <c r="H111" s="18">
        <f>IFERROR(
                  Andel_oberoende_av_klimat*VLOOKUP($A111,Leveranser_per_nät,'Leveranser per nät'!H$1,FALSE)
               +Andel_beroende_av_klimat*VLOOKUP($A111,Leveranser_per_nät,'Leveranser per nät'!H$1,FALSE)/VLOOKUP($B111,Korrigeringsfaktor_GD,'Korrigeringsfaktor GD'!H$1,FALSE),
"")</f>
        <v>0.99306930693069306</v>
      </c>
      <c r="I111" s="18">
        <f>IFERROR(
                  Andel_oberoende_av_klimat*VLOOKUP($A111,Leveranser_per_nät,'Leveranser per nät'!I$1,FALSE)
               +Andel_beroende_av_klimat*VLOOKUP($A111,Leveranser_per_nät,'Leveranser per nät'!I$1,FALSE)/VLOOKUP($B111,Korrigeringsfaktor_GD,'Korrigeringsfaktor GD'!I$1,FALSE),
"")</f>
        <v>7.2578947368421058</v>
      </c>
      <c r="J111" s="18">
        <f>IFERROR(
                  Andel_oberoende_av_klimat*VLOOKUP($A111,Leveranser_per_nät,'Leveranser per nät'!J$1,FALSE)
               +Andel_beroende_av_klimat*VLOOKUP($A111,Leveranser_per_nät,'Leveranser per nät'!J$1,FALSE)/VLOOKUP($B111,Korrigeringsfaktor_GD,'Korrigeringsfaktor GD'!J$1,FALSE),
"")</f>
        <v>10.070707070707071</v>
      </c>
      <c r="K111" s="18">
        <f>IFERROR(
                  Andel_oberoende_av_klimat*VLOOKUP($A111,Leveranser_per_nät,'Leveranser per nät'!K$1,FALSE)
               +Andel_beroende_av_klimat*VLOOKUP($A111,Leveranser_per_nät,'Leveranser per nät'!K$1,FALSE)/VLOOKUP($B111,Korrigeringsfaktor_GD,'Korrigeringsfaktor GD'!K$1,FALSE),
"")</f>
        <v>11.554122222222222</v>
      </c>
      <c r="L111" s="18">
        <f>IFERROR(
                  Andel_oberoende_av_klimat*VLOOKUP($A111,Leveranser_per_nät,'Leveranser per nät'!L$1,FALSE)
               +Andel_beroende_av_klimat*VLOOKUP($A111,Leveranser_per_nät,'Leveranser per nät'!L$1,FALSE)/VLOOKUP($B111,Korrigeringsfaktor_GD,'Korrigeringsfaktor GD'!L$1,FALSE),
"")</f>
        <v>11.763375</v>
      </c>
      <c r="M111" s="18">
        <f>IFERROR(
                  Andel_oberoende_av_klimat*VLOOKUP($A111,Leveranser_per_nät,'Leveranser per nät'!M$1,FALSE)
               +Andel_beroende_av_klimat*VLOOKUP($A111,Leveranser_per_nät,'Leveranser per nät'!M$1,FALSE)/VLOOKUP($B111,Korrigeringsfaktor_GD,'Korrigeringsfaktor GD'!M$1,FALSE),
"")</f>
        <v>12.105913978494623</v>
      </c>
      <c r="N111" s="18">
        <f>IFERROR(
                  Andel_oberoende_av_klimat*VLOOKUP($A111,Leveranser_per_nät,'Leveranser per nät'!N$1,FALSE)
               +Andel_beroende_av_klimat*VLOOKUP($A111,Leveranser_per_nät,'Leveranser per nät'!N$1,FALSE)/VLOOKUP($B111,Korrigeringsfaktor_GD,'Korrigeringsfaktor GD'!N$1,FALSE),
"")</f>
        <v>11.864184615384616</v>
      </c>
      <c r="O111" s="18">
        <f>IFERROR(
                  Andel_oberoende_av_klimat*VLOOKUP($A111,Leveranser_per_nät,'Leveranser per nät'!O$1,FALSE)
               +Andel_beroende_av_klimat*VLOOKUP($A111,Leveranser_per_nät,'Leveranser per nät'!O$1,FALSE)/VLOOKUP($B111,Korrigeringsfaktor_GD,'Korrigeringsfaktor GD'!O$1,FALSE),
"")</f>
        <v>11.561322222222223</v>
      </c>
      <c r="P111" s="18">
        <f>IFERROR(
                  Andel_oberoende_av_klimat*VLOOKUP($A111,Leveranser_per_nät,'Leveranser per nät'!P$1,FALSE)
               +Andel_beroende_av_klimat*VLOOKUP($A111,Leveranser_per_nät,'Leveranser per nät'!P$1,FALSE)/VLOOKUP($B111,Korrigeringsfaktor_GD,'Korrigeringsfaktor GD'!P$1,FALSE),
"")</f>
        <v>11.392413402061855</v>
      </c>
      <c r="Q111" s="18">
        <f>IFERROR(
                  Andel_oberoende_av_klimat*VLOOKUP($A111,Leveranser_per_nät,'Leveranser per nät'!Q$1,FALSE)
               +Andel_beroende_av_klimat*VLOOKUP($A111,Leveranser_per_nät,'Leveranser per nät'!Q$1,FALSE)/VLOOKUP($B111,Korrigeringsfaktor_GD,'Korrigeringsfaktor GD'!Q$1,FALSE),
"")</f>
        <v>12.016591304347827</v>
      </c>
      <c r="R111" s="18">
        <f>IFERROR(
                  Andel_oberoende_av_klimat*VLOOKUP($A111,Leveranser_per_nät,'Leveranser per nät'!R$1,FALSE)
               +Andel_beroende_av_klimat*VLOOKUP($A111,Leveranser_per_nät,'Leveranser per nät'!R$1,FALSE)/VLOOKUP($B111,Korrigeringsfaktor_GD,'Korrigeringsfaktor GD'!R$1,FALSE),
"")</f>
        <v>11.654615384615386</v>
      </c>
      <c r="S111" s="18">
        <f>IFERROR(
                  Andel_oberoende_av_klimat*VLOOKUP($A111,Leveranser_per_nät,'Leveranser per nät'!S$1,FALSE)
               +Andel_beroende_av_klimat*VLOOKUP($A111,Leveranser_per_nät,'Leveranser per nät'!S$1,FALSE)/VLOOKUP($B111,Korrigeringsfaktor_GD,'Korrigeringsfaktor GD'!S$1,FALSE),
"")</f>
        <v>12.016138613861386</v>
      </c>
      <c r="T111" s="18">
        <f>IFERROR(
                  Andel_oberoende_av_klimat*VLOOKUP($A111,Leveranser_per_nät,'Leveranser per nät'!T$1,FALSE)
               +Andel_beroende_av_klimat*VLOOKUP($A111,Leveranser_per_nät,'Leveranser per nät'!T$1,FALSE)/VLOOKUP($B111,Korrigeringsfaktor_GD,'Korrigeringsfaktor GD'!T$1,FALSE),
"")</f>
        <v>12.272857142857143</v>
      </c>
      <c r="U111" s="18">
        <f>IFERROR(
                  Andel_oberoende_av_klimat*VLOOKUP($A111,Leveranser_per_nät,'Leveranser per nät'!U$1,FALSE)
               +Andel_beroende_av_klimat*VLOOKUP($A111,Leveranser_per_nät,'Leveranser per nät'!U$1,FALSE)/VLOOKUP($B111,Korrigeringsfaktor_GD,'Korrigeringsfaktor GD'!U$1,FALSE),
"")</f>
        <v>13.167764705882355</v>
      </c>
      <c r="V111" s="18">
        <f>IFERROR(
                  Andel_oberoende_av_klimat*VLOOKUP($A111,Leveranser_per_nät,'Leveranser per nät'!V$1,FALSE)
               +Andel_beroende_av_klimat*VLOOKUP($A111,Leveranser_per_nät,'Leveranser per nät'!V$1,FALSE)/VLOOKUP($B111,Korrigeringsfaktor_GD,'Korrigeringsfaktor GD'!V$1,FALSE),
"")</f>
        <v>12.99006896551724</v>
      </c>
      <c r="W111" s="18">
        <f>IFERROR(
                  Andel_oberoende_av_klimat*VLOOKUP($A111,Leveranser_per_nät,'Leveranser per nät'!W$1,FALSE)
               +Andel_beroende_av_klimat*VLOOKUP($A111,Leveranser_per_nät,'Leveranser per nät'!W$1,FALSE)/VLOOKUP($B111,Korrigeringsfaktor_GD,'Korrigeringsfaktor GD'!W$1,FALSE),
"")</f>
        <v>13.095373913043478</v>
      </c>
      <c r="X111" s="18">
        <f>IFERROR(
                  Andel_oberoende_av_klimat*VLOOKUP($A111,Leveranser_per_nät,'Leveranser per nät'!X$1,FALSE)
               +Andel_beroende_av_klimat*VLOOKUP($A111,Leveranser_per_nät,'Leveranser per nät'!X$1,FALSE)/VLOOKUP($B111,Korrigeringsfaktor_GD,'Korrigeringsfaktor GD'!X$1,FALSE),
"")</f>
        <v>12.350684615384615</v>
      </c>
      <c r="Y111" s="18">
        <f>IFERROR(
                  Andel_oberoende_av_klimat*VLOOKUP($A111,Leveranser_per_nät,'Leveranser per nät'!Y$1,FALSE)
               +Andel_beroende_av_klimat*VLOOKUP($A111,Leveranser_per_nät,'Leveranser per nät'!Y$1,FALSE)/VLOOKUP($B111,Korrigeringsfaktor_GD,'Korrigeringsfaktor GD'!Y$1,FALSE),
"")</f>
        <v>12.712247191011235</v>
      </c>
      <c r="Z111" s="18">
        <f>IFERROR(
                  Andel_oberoende_av_klimat*VLOOKUP($A111,Leveranser_per_nät,'Leveranser per nät'!Z$1,FALSE)
               +Andel_beroende_av_klimat*VLOOKUP($A111,Leveranser_per_nät,'Leveranser per nät'!Z$1,FALSE)/VLOOKUP($B111,Korrigeringsfaktor_GD,'Korrigeringsfaktor GD'!Z$1,FALSE),
"")</f>
        <v>11.983948453608248</v>
      </c>
      <c r="AA111" s="18">
        <f>IFERROR(
                  Andel_oberoende_av_klimat*VLOOKUP($A111,Leveranser_per_nät,'Leveranser per nät'!AA$1,FALSE)
               +Andel_beroende_av_klimat*VLOOKUP($A111,Leveranser_per_nät,'Leveranser per nät'!AA$1,FALSE)/VLOOKUP($B111,Korrigeringsfaktor_GD,'Korrigeringsfaktor GD'!AA$1,FALSE),
"")</f>
        <v>12.520773830460779</v>
      </c>
      <c r="AB111" s="18">
        <f>IFERROR(
                  Andel_oberoende_av_klimat*VLOOKUP($A111,Leveranser_per_nät,'Leveranser per nät'!AB$1,FALSE)
               +Andel_beroende_av_klimat*VLOOKUP($A111,Leveranser_per_nät,'Leveranser per nät'!AB$1,FALSE)/VLOOKUP($B111,Korrigeringsfaktor_GD,'Korrigeringsfaktor GD'!AB$1,FALSE),
"")</f>
        <v>12.051055105973028</v>
      </c>
      <c r="AC111" s="18">
        <f>IFERROR(
                  Andel_oberoende_av_klimat*VLOOKUP($A111,Leveranser_per_nät,'Leveranser per nät'!AC$1,FALSE)
               +Andel_beroende_av_klimat*VLOOKUP($A111,Leveranser_per_nät,'Leveranser per nät'!AC$1,FALSE)/VLOOKUP($B111,Korrigeringsfaktor_GD,'Korrigeringsfaktor GD'!AC$1,FALSE),
"")</f>
        <v>11.875056670113754</v>
      </c>
      <c r="AD111">
        <v>711.67200000000003</v>
      </c>
    </row>
    <row r="112" spans="1:30" x14ac:dyDescent="0.25">
      <c r="A112" t="s">
        <v>180</v>
      </c>
      <c r="B112" t="s">
        <v>180</v>
      </c>
      <c r="C112" s="18">
        <f>IFERROR(
                  Andel_oberoende_av_klimat*VLOOKUP($A112,Leveranser_per_nät,'Leveranser per nät'!C$1,FALSE)
               +Andel_beroende_av_klimat*VLOOKUP($A112,Leveranser_per_nät,'Leveranser per nät'!C$1,FALSE)/VLOOKUP("Vänersborg",Korrigeringsfaktor_GD,'Korrigeringsfaktor GD'!C$1,FALSE),
"")</f>
        <v>6.4362831858407086</v>
      </c>
      <c r="D112" s="18">
        <f>IFERROR(
                  Andel_oberoende_av_klimat*VLOOKUP($A112,Leveranser_per_nät,'Leveranser per nät'!D$1,FALSE)
               +Andel_beroende_av_klimat*VLOOKUP($A112,Leveranser_per_nät,'Leveranser per nät'!D$1,FALSE)/VLOOKUP("Vänersborg",Korrigeringsfaktor_GD,'Korrigeringsfaktor GD'!D$1,FALSE),
"")</f>
        <v>0</v>
      </c>
      <c r="E112" s="18">
        <f>IFERROR(
                  Andel_oberoende_av_klimat*VLOOKUP($A112,Leveranser_per_nät,'Leveranser per nät'!E$1,FALSE)
               +Andel_beroende_av_klimat*VLOOKUP($A112,Leveranser_per_nät,'Leveranser per nät'!E$1,FALSE)/VLOOKUP("Vänersborg",Korrigeringsfaktor_GD,'Korrigeringsfaktor GD'!E$1,FALSE),
"")</f>
        <v>0</v>
      </c>
      <c r="F112" s="18">
        <f>IFERROR(
                  Andel_oberoende_av_klimat*VLOOKUP($A112,Leveranser_per_nät,'Leveranser per nät'!F$1,FALSE)
               +Andel_beroende_av_klimat*VLOOKUP($A112,Leveranser_per_nät,'Leveranser per nät'!F$1,FALSE)/VLOOKUP("Vänersborg",Korrigeringsfaktor_GD,'Korrigeringsfaktor GD'!F$1,FALSE),
"")</f>
        <v>0</v>
      </c>
      <c r="G112" s="18">
        <f>IFERROR(
                  Andel_oberoende_av_klimat*VLOOKUP($A112,Leveranser_per_nät,'Leveranser per nät'!G$1,FALSE)
               +Andel_beroende_av_klimat*VLOOKUP($A112,Leveranser_per_nät,'Leveranser per nät'!G$1,FALSE)/VLOOKUP("Vänersborg",Korrigeringsfaktor_GD,'Korrigeringsfaktor GD'!G$1,FALSE),
"")</f>
        <v>0</v>
      </c>
      <c r="H112" s="18">
        <f>IFERROR(
                  Andel_oberoende_av_klimat*VLOOKUP($A112,Leveranser_per_nät,'Leveranser per nät'!H$1,FALSE)
               +Andel_beroende_av_klimat*VLOOKUP($A112,Leveranser_per_nät,'Leveranser per nät'!H$1,FALSE)/VLOOKUP("Vänersborg",Korrigeringsfaktor_GD,'Korrigeringsfaktor GD'!H$1,FALSE),
"")</f>
        <v>0</v>
      </c>
      <c r="I112" s="18">
        <f>IFERROR(
                  Andel_oberoende_av_klimat*VLOOKUP($A112,Leveranser_per_nät,'Leveranser per nät'!I$1,FALSE)
               +Andel_beroende_av_klimat*VLOOKUP($A112,Leveranser_per_nät,'Leveranser per nät'!I$1,FALSE)/VLOOKUP("Vänersborg",Korrigeringsfaktor_GD,'Korrigeringsfaktor GD'!I$1,FALSE),
"")</f>
        <v>0</v>
      </c>
      <c r="J112" s="18">
        <f>IFERROR(
                  Andel_oberoende_av_klimat*VLOOKUP($A112,Leveranser_per_nät,'Leveranser per nät'!J$1,FALSE)
               +Andel_beroende_av_klimat*VLOOKUP($A112,Leveranser_per_nät,'Leveranser per nät'!J$1,FALSE)/VLOOKUP("Vänersborg",Korrigeringsfaktor_GD,'Korrigeringsfaktor GD'!J$1,FALSE),
"")</f>
        <v>0</v>
      </c>
      <c r="K112" s="18">
        <f>IFERROR(
                  Andel_oberoende_av_klimat*VLOOKUP($A112,Leveranser_per_nät,'Leveranser per nät'!K$1,FALSE)
               +Andel_beroende_av_klimat*VLOOKUP($A112,Leveranser_per_nät,'Leveranser per nät'!K$1,FALSE)/VLOOKUP("Vänersborg",Korrigeringsfaktor_GD,'Korrigeringsfaktor GD'!K$1,FALSE),
"")</f>
        <v>0</v>
      </c>
      <c r="L112" s="18">
        <f>IFERROR(
                  Andel_oberoende_av_klimat*VLOOKUP($A112,Leveranser_per_nät,'Leveranser per nät'!L$1,FALSE)
               +Andel_beroende_av_klimat*VLOOKUP($A112,Leveranser_per_nät,'Leveranser per nät'!L$1,FALSE)/VLOOKUP("Vänersborg",Korrigeringsfaktor_GD,'Korrigeringsfaktor GD'!L$1,FALSE),
"")</f>
        <v>0</v>
      </c>
      <c r="M112" s="18">
        <f>IFERROR(
                  Andel_oberoende_av_klimat*VLOOKUP($A112,Leveranser_per_nät,'Leveranser per nät'!M$1,FALSE)
               +Andel_beroende_av_klimat*VLOOKUP($A112,Leveranser_per_nät,'Leveranser per nät'!M$1,FALSE)/VLOOKUP("Vänersborg",Korrigeringsfaktor_GD,'Korrigeringsfaktor GD'!M$1,FALSE),
"")</f>
        <v>10.66057311827957</v>
      </c>
      <c r="N112" s="18">
        <f>IFERROR(
                  Andel_oberoende_av_klimat*VLOOKUP($A112,Leveranser_per_nät,'Leveranser per nät'!N$1,FALSE)
               +Andel_beroende_av_klimat*VLOOKUP($A112,Leveranser_per_nät,'Leveranser per nät'!N$1,FALSE)/VLOOKUP("Vänersborg",Korrigeringsfaktor_GD,'Korrigeringsfaktor GD'!N$1,FALSE),
"")</f>
        <v>10.828099999999999</v>
      </c>
      <c r="O112" s="18">
        <f>IFERROR(
                  Andel_oberoende_av_klimat*VLOOKUP($A112,Leveranser_per_nät,'Leveranser per nät'!O$1,FALSE)
               +Andel_beroende_av_klimat*VLOOKUP($A112,Leveranser_per_nät,'Leveranser per nät'!O$1,FALSE)/VLOOKUP("Vänersborg",Korrigeringsfaktor_GD,'Korrigeringsfaktor GD'!O$1,FALSE),
"")</f>
        <v>11.3878</v>
      </c>
      <c r="P112" s="18">
        <f>IFERROR(
                  Andel_oberoende_av_klimat*VLOOKUP($A112,Leveranser_per_nät,'Leveranser per nät'!P$1,FALSE)
               +Andel_beroende_av_klimat*VLOOKUP($A112,Leveranser_per_nät,'Leveranser per nät'!P$1,FALSE)/VLOOKUP("Vänersborg",Korrigeringsfaktor_GD,'Korrigeringsfaktor GD'!P$1,FALSE),
"")</f>
        <v>11.162214285714287</v>
      </c>
      <c r="Q112" s="18">
        <f>IFERROR(
                  Andel_oberoende_av_klimat*VLOOKUP($A112,Leveranser_per_nät,'Leveranser per nät'!Q$1,FALSE)
               +Andel_beroende_av_klimat*VLOOKUP($A112,Leveranser_per_nät,'Leveranser per nät'!Q$1,FALSE)/VLOOKUP("Vänersborg",Korrigeringsfaktor_GD,'Korrigeringsfaktor GD'!Q$1,FALSE),
"")</f>
        <v>11.684735294117647</v>
      </c>
      <c r="R112" s="18">
        <f>IFERROR(
                  Andel_oberoende_av_klimat*VLOOKUP($A112,Leveranser_per_nät,'Leveranser per nät'!R$1,FALSE)
               +Andel_beroende_av_klimat*VLOOKUP($A112,Leveranser_per_nät,'Leveranser per nät'!R$1,FALSE)/VLOOKUP("Vänersborg",Korrigeringsfaktor_GD,'Korrigeringsfaktor GD'!R$1,FALSE),
"")</f>
        <v>11.603292307692309</v>
      </c>
      <c r="S112" s="18">
        <f>IFERROR(
                  Andel_oberoende_av_klimat*VLOOKUP($A112,Leveranser_per_nät,'Leveranser per nät'!S$1,FALSE)
               +Andel_beroende_av_klimat*VLOOKUP($A112,Leveranser_per_nät,'Leveranser per nät'!S$1,FALSE)/VLOOKUP("Vänersborg",Korrigeringsfaktor_GD,'Korrigeringsfaktor GD'!S$1,FALSE),
"")</f>
        <v>11.7</v>
      </c>
      <c r="T112" s="18">
        <f>IFERROR(
                  Andel_oberoende_av_klimat*VLOOKUP($A112,Leveranser_per_nät,'Leveranser per nät'!T$1,FALSE)
               +Andel_beroende_av_klimat*VLOOKUP($A112,Leveranser_per_nät,'Leveranser per nät'!T$1,FALSE)/VLOOKUP("Vänersborg",Korrigeringsfaktor_GD,'Korrigeringsfaktor GD'!T$1,FALSE),
"")</f>
        <v>11.921914285714283</v>
      </c>
      <c r="U112" s="18">
        <f>IFERROR(
                  Andel_oberoende_av_klimat*VLOOKUP($A112,Leveranser_per_nät,'Leveranser per nät'!U$1,FALSE)
               +Andel_beroende_av_klimat*VLOOKUP($A112,Leveranser_per_nät,'Leveranser per nät'!U$1,FALSE)/VLOOKUP("Vänersborg",Korrigeringsfaktor_GD,'Korrigeringsfaktor GD'!U$1,FALSE),
"")</f>
        <v>11.738635294117648</v>
      </c>
      <c r="V112" s="18">
        <f>IFERROR(
                  Andel_oberoende_av_klimat*VLOOKUP($A112,Leveranser_per_nät,'Leveranser per nät'!V$1,FALSE)
               +Andel_beroende_av_klimat*VLOOKUP($A112,Leveranser_per_nät,'Leveranser per nät'!V$1,FALSE)/VLOOKUP("Vänersborg",Korrigeringsfaktor_GD,'Korrigeringsfaktor GD'!V$1,FALSE),
"")</f>
        <v>11.573974712643677</v>
      </c>
      <c r="W112" s="18">
        <f>IFERROR(
                  Andel_oberoende_av_klimat*VLOOKUP($A112,Leveranser_per_nät,'Leveranser per nät'!W$1,FALSE)
               +Andel_beroende_av_klimat*VLOOKUP($A112,Leveranser_per_nät,'Leveranser per nät'!W$1,FALSE)/VLOOKUP("Vänersborg",Korrigeringsfaktor_GD,'Korrigeringsfaktor GD'!W$1,FALSE),
"")</f>
        <v>11.755495652173913</v>
      </c>
      <c r="X112" s="18">
        <f>IFERROR(
                  Andel_oberoende_av_klimat*VLOOKUP($A112,Leveranser_per_nät,'Leveranser per nät'!X$1,FALSE)
               +Andel_beroende_av_klimat*VLOOKUP($A112,Leveranser_per_nät,'Leveranser per nät'!X$1,FALSE)/VLOOKUP("Vänersborg",Korrigeringsfaktor_GD,'Korrigeringsfaktor GD'!X$1,FALSE),
"")</f>
        <v>11.338222222222221</v>
      </c>
      <c r="Y112" s="18">
        <f>IFERROR(
                  Andel_oberoende_av_klimat*VLOOKUP($A112,Leveranser_per_nät,'Leveranser per nät'!Y$1,FALSE)
               +Andel_beroende_av_klimat*VLOOKUP($A112,Leveranser_per_nät,'Leveranser per nät'!Y$1,FALSE)/VLOOKUP($B112,Korrigeringsfaktor_GD,'Korrigeringsfaktor GD'!Y$1,FALSE),
"")</f>
        <v>11.708076923076922</v>
      </c>
      <c r="Z112" s="18">
        <f>IFERROR(
                  Andel_oberoende_av_klimat*VLOOKUP($A112,Leveranser_per_nät,'Leveranser per nät'!Z$1,FALSE)
               +Andel_beroende_av_klimat*VLOOKUP($A112,Leveranser_per_nät,'Leveranser per nät'!Z$1,FALSE)/VLOOKUP($B112,Korrigeringsfaktor_GD,'Korrigeringsfaktor GD'!Z$1,FALSE),
"")</f>
        <v>11.208263157894738</v>
      </c>
      <c r="AA112" s="18">
        <f>IFERROR(
                  Andel_oberoende_av_klimat*VLOOKUP($A112,Leveranser_per_nät,'Leveranser per nät'!AA$1,FALSE)
               +Andel_beroende_av_klimat*VLOOKUP($A112,Leveranser_per_nät,'Leveranser per nät'!AA$1,FALSE)/VLOOKUP($B112,Korrigeringsfaktor_GD,'Korrigeringsfaktor GD'!AA$1,FALSE),
"")</f>
        <v>11.219717501655264</v>
      </c>
      <c r="AB112" s="18">
        <f>IFERROR(
                  Andel_oberoende_av_klimat*VLOOKUP($A112,Leveranser_per_nät,'Leveranser per nät'!AB$1,FALSE)
               +Andel_beroende_av_klimat*VLOOKUP($A112,Leveranser_per_nät,'Leveranser per nät'!AB$1,FALSE)/VLOOKUP($B112,Korrigeringsfaktor_GD,'Korrigeringsfaktor GD'!AB$1,FALSE),
"")</f>
        <v>10.952438356164382</v>
      </c>
      <c r="AC112" s="18">
        <f>IFERROR(
                  Andel_oberoende_av_klimat*VLOOKUP($A112,Leveranser_per_nät,'Leveranser per nät'!AC$1,FALSE)
               +Andel_beroende_av_klimat*VLOOKUP($A112,Leveranser_per_nät,'Leveranser per nät'!AC$1,FALSE)/VLOOKUP($B112,Korrigeringsfaktor_GD,'Korrigeringsfaktor GD'!AC$1,FALSE),
"")</f>
        <v>10.357980891719745</v>
      </c>
      <c r="AD112">
        <v>9.93</v>
      </c>
    </row>
    <row r="113" spans="1:30" x14ac:dyDescent="0.25">
      <c r="A113" t="s">
        <v>930</v>
      </c>
      <c r="B113" t="s">
        <v>190</v>
      </c>
      <c r="C113" s="18">
        <f>IFERROR(
                  Andel_oberoende_av_klimat*VLOOKUP($A113,Leveranser_per_nät,'Leveranser per nät'!C$1,FALSE)
               +Andel_beroende_av_klimat*VLOOKUP($A113,Leveranser_per_nät,'Leveranser per nät'!C$1,FALSE)/VLOOKUP($B113,Korrigeringsfaktor_GD,'Korrigeringsfaktor GD'!C$1,FALSE),
"")</f>
        <v>0</v>
      </c>
      <c r="D113" s="18">
        <f>IFERROR(
                  Andel_oberoende_av_klimat*VLOOKUP($A113,Leveranser_per_nät,'Leveranser per nät'!D$1,FALSE)
               +Andel_beroende_av_klimat*VLOOKUP($A113,Leveranser_per_nät,'Leveranser per nät'!D$1,FALSE)/VLOOKUP($B113,Korrigeringsfaktor_GD,'Korrigeringsfaktor GD'!D$1,FALSE),
"")</f>
        <v>0</v>
      </c>
      <c r="E113" s="18">
        <f>IFERROR(
                  Andel_oberoende_av_klimat*VLOOKUP($A113,Leveranser_per_nät,'Leveranser per nät'!E$1,FALSE)
               +Andel_beroende_av_klimat*VLOOKUP($A113,Leveranser_per_nät,'Leveranser per nät'!E$1,FALSE)/VLOOKUP($B113,Korrigeringsfaktor_GD,'Korrigeringsfaktor GD'!E$1,FALSE),
"")</f>
        <v>0</v>
      </c>
      <c r="F113" s="18">
        <f>IFERROR(
                  Andel_oberoende_av_klimat*VLOOKUP($A113,Leveranser_per_nät,'Leveranser per nät'!F$1,FALSE)
               +Andel_beroende_av_klimat*VLOOKUP($A113,Leveranser_per_nät,'Leveranser per nät'!F$1,FALSE)/VLOOKUP($B113,Korrigeringsfaktor_GD,'Korrigeringsfaktor GD'!F$1,FALSE),
"")</f>
        <v>0</v>
      </c>
      <c r="G113" s="18">
        <f>IFERROR(
                  Andel_oberoende_av_klimat*VLOOKUP($A113,Leveranser_per_nät,'Leveranser per nät'!G$1,FALSE)
               +Andel_beroende_av_klimat*VLOOKUP($A113,Leveranser_per_nät,'Leveranser per nät'!G$1,FALSE)/VLOOKUP($B113,Korrigeringsfaktor_GD,'Korrigeringsfaktor GD'!G$1,FALSE),
"")</f>
        <v>0</v>
      </c>
      <c r="H113" s="18">
        <f>IFERROR(
                  Andel_oberoende_av_klimat*VLOOKUP($A113,Leveranser_per_nät,'Leveranser per nät'!H$1,FALSE)
               +Andel_beroende_av_klimat*VLOOKUP($A113,Leveranser_per_nät,'Leveranser per nät'!H$1,FALSE)/VLOOKUP($B113,Korrigeringsfaktor_GD,'Korrigeringsfaktor GD'!H$1,FALSE),
"")</f>
        <v>0</v>
      </c>
      <c r="I113" s="18">
        <f>IFERROR(
                  Andel_oberoende_av_klimat*VLOOKUP($A113,Leveranser_per_nät,'Leveranser per nät'!I$1,FALSE)
               +Andel_beroende_av_klimat*VLOOKUP($A113,Leveranser_per_nät,'Leveranser per nät'!I$1,FALSE)/VLOOKUP($B113,Korrigeringsfaktor_GD,'Korrigeringsfaktor GD'!I$1,FALSE),
"")</f>
        <v>0</v>
      </c>
      <c r="J113" s="18">
        <f>IFERROR(
                  Andel_oberoende_av_klimat*VLOOKUP($A113,Leveranser_per_nät,'Leveranser per nät'!J$1,FALSE)
               +Andel_beroende_av_klimat*VLOOKUP($A113,Leveranser_per_nät,'Leveranser per nät'!J$1,FALSE)/VLOOKUP($B113,Korrigeringsfaktor_GD,'Korrigeringsfaktor GD'!J$1,FALSE),
"")</f>
        <v>0</v>
      </c>
      <c r="K113" s="18">
        <f>IFERROR(
                  Andel_oberoende_av_klimat*VLOOKUP($A113,Leveranser_per_nät,'Leveranser per nät'!K$1,FALSE)
               +Andel_beroende_av_klimat*VLOOKUP($A113,Leveranser_per_nät,'Leveranser per nät'!K$1,FALSE)/VLOOKUP($B113,Korrigeringsfaktor_GD,'Korrigeringsfaktor GD'!K$1,FALSE),
"")</f>
        <v>0</v>
      </c>
      <c r="L113" s="18">
        <f>IFERROR(
                  Andel_oberoende_av_klimat*VLOOKUP($A113,Leveranser_per_nät,'Leveranser per nät'!L$1,FALSE)
               +Andel_beroende_av_klimat*VLOOKUP($A113,Leveranser_per_nät,'Leveranser per nät'!L$1,FALSE)/VLOOKUP($B113,Korrigeringsfaktor_GD,'Korrigeringsfaktor GD'!L$1,FALSE),
"")</f>
        <v>0</v>
      </c>
      <c r="M113" s="18">
        <f>IFERROR(
                  Andel_oberoende_av_klimat*VLOOKUP($A113,Leveranser_per_nät,'Leveranser per nät'!M$1,FALSE)
               +Andel_beroende_av_klimat*VLOOKUP($A113,Leveranser_per_nät,'Leveranser per nät'!M$1,FALSE)/VLOOKUP($B113,Korrigeringsfaktor_GD,'Korrigeringsfaktor GD'!M$1,FALSE),
"")</f>
        <v>0</v>
      </c>
      <c r="N113" s="18">
        <f>IFERROR(
                  Andel_oberoende_av_klimat*VLOOKUP($A113,Leveranser_per_nät,'Leveranser per nät'!N$1,FALSE)
               +Andel_beroende_av_klimat*VLOOKUP($A113,Leveranser_per_nät,'Leveranser per nät'!N$1,FALSE)/VLOOKUP($B113,Korrigeringsfaktor_GD,'Korrigeringsfaktor GD'!N$1,FALSE),
"")</f>
        <v>0</v>
      </c>
      <c r="O113" s="18">
        <f>IFERROR(
                  Andel_oberoende_av_klimat*VLOOKUP($A113,Leveranser_per_nät,'Leveranser per nät'!O$1,FALSE)
               +Andel_beroende_av_klimat*VLOOKUP($A113,Leveranser_per_nät,'Leveranser per nät'!O$1,FALSE)/VLOOKUP($B113,Korrigeringsfaktor_GD,'Korrigeringsfaktor GD'!O$1,FALSE),
"")</f>
        <v>0</v>
      </c>
      <c r="P113" s="18">
        <f>IFERROR(
                  Andel_oberoende_av_klimat*VLOOKUP($A113,Leveranser_per_nät,'Leveranser per nät'!P$1,FALSE)
               +Andel_beroende_av_klimat*VLOOKUP($A113,Leveranser_per_nät,'Leveranser per nät'!P$1,FALSE)/VLOOKUP($B113,Korrigeringsfaktor_GD,'Korrigeringsfaktor GD'!P$1,FALSE),
"")</f>
        <v>0</v>
      </c>
      <c r="Q113" s="18">
        <f>IFERROR(
                  Andel_oberoende_av_klimat*VLOOKUP($A113,Leveranser_per_nät,'Leveranser per nät'!Q$1,FALSE)
               +Andel_beroende_av_klimat*VLOOKUP($A113,Leveranser_per_nät,'Leveranser per nät'!Q$1,FALSE)/VLOOKUP($B113,Korrigeringsfaktor_GD,'Korrigeringsfaktor GD'!Q$1,FALSE),
"")</f>
        <v>0</v>
      </c>
      <c r="R113" s="18" t="str">
        <f>IFERROR(
                  Andel_oberoende_av_klimat*VLOOKUP($A113,Leveranser_per_nät,'Leveranser per nät'!R$1,FALSE)
               +Andel_beroende_av_klimat*VLOOKUP($A113,Leveranser_per_nät,'Leveranser per nät'!R$1,FALSE)/VLOOKUP($B113,Korrigeringsfaktor_GD,'Korrigeringsfaktor GD'!R$1,FALSE),
"")</f>
        <v/>
      </c>
      <c r="S113" s="18" t="str">
        <f>IFERROR(
                  Andel_oberoende_av_klimat*VLOOKUP($A113,Leveranser_per_nät,'Leveranser per nät'!S$1,FALSE)
               +Andel_beroende_av_klimat*VLOOKUP($A113,Leveranser_per_nät,'Leveranser per nät'!S$1,FALSE)/VLOOKUP($B113,Korrigeringsfaktor_GD,'Korrigeringsfaktor GD'!S$1,FALSE),
"")</f>
        <v/>
      </c>
      <c r="T113" s="18" t="str">
        <f>IFERROR(
                  Andel_oberoende_av_klimat*VLOOKUP($A113,Leveranser_per_nät,'Leveranser per nät'!T$1,FALSE)
               +Andel_beroende_av_klimat*VLOOKUP($A113,Leveranser_per_nät,'Leveranser per nät'!T$1,FALSE)/VLOOKUP($B113,Korrigeringsfaktor_GD,'Korrigeringsfaktor GD'!T$1,FALSE),
"")</f>
        <v/>
      </c>
      <c r="U113" s="18" t="str">
        <f>IFERROR(
                  Andel_oberoende_av_klimat*VLOOKUP($A113,Leveranser_per_nät,'Leveranser per nät'!U$1,FALSE)
               +Andel_beroende_av_klimat*VLOOKUP($A113,Leveranser_per_nät,'Leveranser per nät'!U$1,FALSE)/VLOOKUP($B113,Korrigeringsfaktor_GD,'Korrigeringsfaktor GD'!U$1,FALSE),
"")</f>
        <v/>
      </c>
      <c r="V113" s="18" t="str">
        <f>IFERROR(
                  Andel_oberoende_av_klimat*VLOOKUP($A113,Leveranser_per_nät,'Leveranser per nät'!V$1,FALSE)
               +Andel_beroende_av_klimat*VLOOKUP($A113,Leveranser_per_nät,'Leveranser per nät'!V$1,FALSE)/VLOOKUP($B113,Korrigeringsfaktor_GD,'Korrigeringsfaktor GD'!V$1,FALSE),
"")</f>
        <v/>
      </c>
      <c r="W113" s="18" t="str">
        <f>IFERROR(
                  Andel_oberoende_av_klimat*VLOOKUP($A113,Leveranser_per_nät,'Leveranser per nät'!W$1,FALSE)
               +Andel_beroende_av_klimat*VLOOKUP($A113,Leveranser_per_nät,'Leveranser per nät'!W$1,FALSE)/VLOOKUP($B113,Korrigeringsfaktor_GD,'Korrigeringsfaktor GD'!W$1,FALSE),
"")</f>
        <v/>
      </c>
      <c r="X113" s="18">
        <f>IFERROR(
                  Andel_oberoende_av_klimat*VLOOKUP($A113,Leveranser_per_nät,'Leveranser per nät'!X$1,FALSE)
               +Andel_beroende_av_klimat*VLOOKUP($A113,Leveranser_per_nät,'Leveranser per nät'!X$1,FALSE)/VLOOKUP($B113,Korrigeringsfaktor_GD,'Korrigeringsfaktor GD'!X$1,FALSE),
"")</f>
        <v>1.3281443298969073</v>
      </c>
      <c r="Y113" s="18">
        <f>IFERROR(
                  Andel_oberoende_av_klimat*VLOOKUP($A113,Leveranser_per_nät,'Leveranser per nät'!Y$1,FALSE)
               +Andel_beroende_av_klimat*VLOOKUP($A113,Leveranser_per_nät,'Leveranser per nät'!Y$1,FALSE)/VLOOKUP($B113,Korrigeringsfaktor_GD,'Korrigeringsfaktor GD'!Y$1,FALSE),
"")</f>
        <v>4.5621052631578953</v>
      </c>
      <c r="Z113" s="18">
        <f>IFERROR(
                  Andel_oberoende_av_klimat*VLOOKUP($A113,Leveranser_per_nät,'Leveranser per nät'!Z$1,FALSE)
               +Andel_beroende_av_klimat*VLOOKUP($A113,Leveranser_per_nät,'Leveranser per nät'!Z$1,FALSE)/VLOOKUP($B113,Korrigeringsfaktor_GD,'Korrigeringsfaktor GD'!Z$1,FALSE),
"")</f>
        <v>5.1066292134831466</v>
      </c>
      <c r="AA113" s="18">
        <f>IFERROR(
                  Andel_oberoende_av_klimat*VLOOKUP($A113,Leveranser_per_nät,'Leveranser per nät'!AA$1,FALSE)
               +Andel_beroende_av_klimat*VLOOKUP($A113,Leveranser_per_nät,'Leveranser per nät'!AA$1,FALSE)/VLOOKUP($B113,Korrigeringsfaktor_GD,'Korrigeringsfaktor GD'!AA$1,FALSE),
"")</f>
        <v>4.982458233890215</v>
      </c>
      <c r="AB113" s="18">
        <f>IFERROR(
                  Andel_oberoende_av_klimat*VLOOKUP($A113,Leveranser_per_nät,'Leveranser per nät'!AB$1,FALSE)
               +Andel_beroende_av_klimat*VLOOKUP($A113,Leveranser_per_nät,'Leveranser per nät'!AB$1,FALSE)/VLOOKUP($B113,Korrigeringsfaktor_GD,'Korrigeringsfaktor GD'!AB$1,FALSE),
"")</f>
        <v>5.0332824427480913</v>
      </c>
      <c r="AC113" s="18">
        <f>IFERROR(
                  Andel_oberoende_av_klimat*VLOOKUP($A113,Leveranser_per_nät,'Leveranser per nät'!AC$1,FALSE)
               +Andel_beroende_av_klimat*VLOOKUP($A113,Leveranser_per_nät,'Leveranser per nät'!AC$1,FALSE)/VLOOKUP($B113,Korrigeringsfaktor_GD,'Korrigeringsfaktor GD'!AC$1,FALSE),
"")</f>
        <v>4.7399595141700406</v>
      </c>
      <c r="AD113">
        <v>79.8</v>
      </c>
    </row>
    <row r="114" spans="1:30" x14ac:dyDescent="0.25">
      <c r="A114" t="s">
        <v>352</v>
      </c>
      <c r="B114" t="s">
        <v>350</v>
      </c>
      <c r="C114" s="18">
        <f>IFERROR(
                  Andel_oberoende_av_klimat*VLOOKUP($A114,Leveranser_per_nät,'Leveranser per nät'!C$1,FALSE)
               +Andel_beroende_av_klimat*VLOOKUP($A114,Leveranser_per_nät,'Leveranser per nät'!C$1,FALSE)/VLOOKUP($B114,Korrigeringsfaktor_GD,'Korrigeringsfaktor GD'!C$1,FALSE),
"")</f>
        <v>0</v>
      </c>
      <c r="D114" s="18">
        <f>IFERROR(
                  Andel_oberoende_av_klimat*VLOOKUP($A114,Leveranser_per_nät,'Leveranser per nät'!D$1,FALSE)
               +Andel_beroende_av_klimat*VLOOKUP($A114,Leveranser_per_nät,'Leveranser per nät'!D$1,FALSE)/VLOOKUP($B114,Korrigeringsfaktor_GD,'Korrigeringsfaktor GD'!D$1,FALSE),
"")</f>
        <v>0</v>
      </c>
      <c r="E114" s="18">
        <f>IFERROR(
                  Andel_oberoende_av_klimat*VLOOKUP($A114,Leveranser_per_nät,'Leveranser per nät'!E$1,FALSE)
               +Andel_beroende_av_klimat*VLOOKUP($A114,Leveranser_per_nät,'Leveranser per nät'!E$1,FALSE)/VLOOKUP($B114,Korrigeringsfaktor_GD,'Korrigeringsfaktor GD'!E$1,FALSE),
"")</f>
        <v>0</v>
      </c>
      <c r="F114" s="18">
        <f>IFERROR(
                  Andel_oberoende_av_klimat*VLOOKUP($A114,Leveranser_per_nät,'Leveranser per nät'!F$1,FALSE)
               +Andel_beroende_av_klimat*VLOOKUP($A114,Leveranser_per_nät,'Leveranser per nät'!F$1,FALSE)/VLOOKUP($B114,Korrigeringsfaktor_GD,'Korrigeringsfaktor GD'!F$1,FALSE),
"")</f>
        <v>0</v>
      </c>
      <c r="G114" s="18">
        <f>IFERROR(
                  Andel_oberoende_av_klimat*VLOOKUP($A114,Leveranser_per_nät,'Leveranser per nät'!G$1,FALSE)
               +Andel_beroende_av_klimat*VLOOKUP($A114,Leveranser_per_nät,'Leveranser per nät'!G$1,FALSE)/VLOOKUP($B114,Korrigeringsfaktor_GD,'Korrigeringsfaktor GD'!G$1,FALSE),
"")</f>
        <v>0</v>
      </c>
      <c r="H114" s="18">
        <f>IFERROR(
                  Andel_oberoende_av_klimat*VLOOKUP($A114,Leveranser_per_nät,'Leveranser per nät'!H$1,FALSE)
               +Andel_beroende_av_klimat*VLOOKUP($A114,Leveranser_per_nät,'Leveranser per nät'!H$1,FALSE)/VLOOKUP($B114,Korrigeringsfaktor_GD,'Korrigeringsfaktor GD'!H$1,FALSE),
"")</f>
        <v>0</v>
      </c>
      <c r="I114" s="18">
        <f>IFERROR(
                  Andel_oberoende_av_klimat*VLOOKUP($A114,Leveranser_per_nät,'Leveranser per nät'!I$1,FALSE)
               +Andel_beroende_av_klimat*VLOOKUP($A114,Leveranser_per_nät,'Leveranser per nät'!I$1,FALSE)/VLOOKUP($B114,Korrigeringsfaktor_GD,'Korrigeringsfaktor GD'!I$1,FALSE),
"")</f>
        <v>0</v>
      </c>
      <c r="J114" s="18">
        <f>IFERROR(
                  Andel_oberoende_av_klimat*VLOOKUP($A114,Leveranser_per_nät,'Leveranser per nät'!J$1,FALSE)
               +Andel_beroende_av_klimat*VLOOKUP($A114,Leveranser_per_nät,'Leveranser per nät'!J$1,FALSE)/VLOOKUP($B114,Korrigeringsfaktor_GD,'Korrigeringsfaktor GD'!J$1,FALSE),
"")</f>
        <v>0</v>
      </c>
      <c r="K114" s="18">
        <f>IFERROR(
                  Andel_oberoende_av_klimat*VLOOKUP($A114,Leveranser_per_nät,'Leveranser per nät'!K$1,FALSE)
               +Andel_beroende_av_klimat*VLOOKUP($A114,Leveranser_per_nät,'Leveranser per nät'!K$1,FALSE)/VLOOKUP($B114,Korrigeringsfaktor_GD,'Korrigeringsfaktor GD'!K$1,FALSE),
"")</f>
        <v>0</v>
      </c>
      <c r="L114" s="18">
        <f>IFERROR(
                  Andel_oberoende_av_klimat*VLOOKUP($A114,Leveranser_per_nät,'Leveranser per nät'!L$1,FALSE)
               +Andel_beroende_av_klimat*VLOOKUP($A114,Leveranser_per_nät,'Leveranser per nät'!L$1,FALSE)/VLOOKUP($B114,Korrigeringsfaktor_GD,'Korrigeringsfaktor GD'!L$1,FALSE),
"")</f>
        <v>0</v>
      </c>
      <c r="M114" s="18">
        <f>IFERROR(
                  Andel_oberoende_av_klimat*VLOOKUP($A114,Leveranser_per_nät,'Leveranser per nät'!M$1,FALSE)
               +Andel_beroende_av_klimat*VLOOKUP($A114,Leveranser_per_nät,'Leveranser per nät'!M$1,FALSE)/VLOOKUP($B114,Korrigeringsfaktor_GD,'Korrigeringsfaktor GD'!M$1,FALSE),
"")</f>
        <v>0</v>
      </c>
      <c r="N114" s="18">
        <f>IFERROR(
                  Andel_oberoende_av_klimat*VLOOKUP($A114,Leveranser_per_nät,'Leveranser per nät'!N$1,FALSE)
               +Andel_beroende_av_klimat*VLOOKUP($A114,Leveranser_per_nät,'Leveranser per nät'!N$1,FALSE)/VLOOKUP($B114,Korrigeringsfaktor_GD,'Korrigeringsfaktor GD'!N$1,FALSE),
"")</f>
        <v>2.3843846153846151</v>
      </c>
      <c r="O114" s="18">
        <f>IFERROR(
                  Andel_oberoende_av_klimat*VLOOKUP($A114,Leveranser_per_nät,'Leveranser per nät'!O$1,FALSE)
               +Andel_beroende_av_klimat*VLOOKUP($A114,Leveranser_per_nät,'Leveranser per nät'!O$1,FALSE)/VLOOKUP($B114,Korrigeringsfaktor_GD,'Korrigeringsfaktor GD'!O$1,FALSE),
"")</f>
        <v>3.3411111111111111</v>
      </c>
      <c r="P114" s="18">
        <f>IFERROR(
                  Andel_oberoende_av_klimat*VLOOKUP($A114,Leveranser_per_nät,'Leveranser per nät'!P$1,FALSE)
               +Andel_beroende_av_klimat*VLOOKUP($A114,Leveranser_per_nät,'Leveranser per nät'!P$1,FALSE)/VLOOKUP($B114,Korrigeringsfaktor_GD,'Korrigeringsfaktor GD'!P$1,FALSE),
"")</f>
        <v>3.6254545454545459</v>
      </c>
      <c r="Q114" s="18">
        <f>IFERROR(
                  Andel_oberoende_av_klimat*VLOOKUP($A114,Leveranser_per_nät,'Leveranser per nät'!Q$1,FALSE)
               +Andel_beroende_av_klimat*VLOOKUP($A114,Leveranser_per_nät,'Leveranser per nät'!Q$1,FALSE)/VLOOKUP($B114,Korrigeringsfaktor_GD,'Korrigeringsfaktor GD'!Q$1,FALSE),
"")</f>
        <v>4.0346086956521745</v>
      </c>
      <c r="R114" s="18">
        <f>IFERROR(
                  Andel_oberoende_av_klimat*VLOOKUP($A114,Leveranser_per_nät,'Leveranser per nät'!R$1,FALSE)
               +Andel_beroende_av_klimat*VLOOKUP($A114,Leveranser_per_nät,'Leveranser per nät'!R$1,FALSE)/VLOOKUP($B114,Korrigeringsfaktor_GD,'Korrigeringsfaktor GD'!R$1,FALSE),
"")</f>
        <v>4.1379230769230775</v>
      </c>
      <c r="S114" s="18">
        <f>IFERROR(
                  Andel_oberoende_av_klimat*VLOOKUP($A114,Leveranser_per_nät,'Leveranser per nät'!S$1,FALSE)
               +Andel_beroende_av_klimat*VLOOKUP($A114,Leveranser_per_nät,'Leveranser per nät'!S$1,FALSE)/VLOOKUP($B114,Korrigeringsfaktor_GD,'Korrigeringsfaktor GD'!S$1,FALSE),
"")</f>
        <v>4.1808217821782172</v>
      </c>
      <c r="T114" s="18">
        <f>IFERROR(
                  Andel_oberoende_av_klimat*VLOOKUP($A114,Leveranser_per_nät,'Leveranser per nät'!T$1,FALSE)
               +Andel_beroende_av_klimat*VLOOKUP($A114,Leveranser_per_nät,'Leveranser per nät'!T$1,FALSE)/VLOOKUP($B114,Korrigeringsfaktor_GD,'Korrigeringsfaktor GD'!T$1,FALSE),
"")</f>
        <v>4.4149979797979801</v>
      </c>
      <c r="U114" s="18">
        <f>IFERROR(
                  Andel_oberoende_av_klimat*VLOOKUP($A114,Leveranser_per_nät,'Leveranser per nät'!U$1,FALSE)
               +Andel_beroende_av_klimat*VLOOKUP($A114,Leveranser_per_nät,'Leveranser per nät'!U$1,FALSE)/VLOOKUP($B114,Korrigeringsfaktor_GD,'Korrigeringsfaktor GD'!U$1,FALSE),
"")</f>
        <v>4.6293909090909091</v>
      </c>
      <c r="V114" s="18">
        <f>IFERROR(
                  Andel_oberoende_av_klimat*VLOOKUP($A114,Leveranser_per_nät,'Leveranser per nät'!V$1,FALSE)
               +Andel_beroende_av_klimat*VLOOKUP($A114,Leveranser_per_nät,'Leveranser per nät'!V$1,FALSE)/VLOOKUP($B114,Korrigeringsfaktor_GD,'Korrigeringsfaktor GD'!V$1,FALSE),
"")</f>
        <v>4.1559269662921343</v>
      </c>
      <c r="W114" s="18">
        <f>IFERROR(
                  Andel_oberoende_av_klimat*VLOOKUP($A114,Leveranser_per_nät,'Leveranser per nät'!W$1,FALSE)
               +Andel_beroende_av_klimat*VLOOKUP($A114,Leveranser_per_nät,'Leveranser per nät'!W$1,FALSE)/VLOOKUP($B114,Korrigeringsfaktor_GD,'Korrigeringsfaktor GD'!W$1,FALSE),
"")</f>
        <v>4.3103531914893622</v>
      </c>
      <c r="X114" s="18">
        <f>IFERROR(
                  Andel_oberoende_av_klimat*VLOOKUP($A114,Leveranser_per_nät,'Leveranser per nät'!X$1,FALSE)
               +Andel_beroende_av_klimat*VLOOKUP($A114,Leveranser_per_nät,'Leveranser per nät'!X$1,FALSE)/VLOOKUP($B114,Korrigeringsfaktor_GD,'Korrigeringsfaktor GD'!X$1,FALSE),
"")</f>
        <v>4.260452173913043</v>
      </c>
      <c r="Y114" s="18">
        <f>IFERROR(
                  Andel_oberoende_av_klimat*VLOOKUP($A114,Leveranser_per_nät,'Leveranser per nät'!Y$1,FALSE)
               +Andel_beroende_av_klimat*VLOOKUP($A114,Leveranser_per_nät,'Leveranser per nät'!Y$1,FALSE)/VLOOKUP($B114,Korrigeringsfaktor_GD,'Korrigeringsfaktor GD'!Y$1,FALSE),
"")</f>
        <v>4.3314538461538463</v>
      </c>
      <c r="Z114" s="18">
        <f>IFERROR(
                  Andel_oberoende_av_klimat*VLOOKUP($A114,Leveranser_per_nät,'Leveranser per nät'!Z$1,FALSE)
               +Andel_beroende_av_klimat*VLOOKUP($A114,Leveranser_per_nät,'Leveranser per nät'!Z$1,FALSE)/VLOOKUP($B114,Korrigeringsfaktor_GD,'Korrigeringsfaktor GD'!Z$1,FALSE),
"")</f>
        <v>3.947257894736842</v>
      </c>
      <c r="AA114" s="18">
        <f>IFERROR(
                  Andel_oberoende_av_klimat*VLOOKUP($A114,Leveranser_per_nät,'Leveranser per nät'!AA$1,FALSE)
               +Andel_beroende_av_klimat*VLOOKUP($A114,Leveranser_per_nät,'Leveranser per nät'!AA$1,FALSE)/VLOOKUP($B114,Korrigeringsfaktor_GD,'Korrigeringsfaktor GD'!AA$1,FALSE),
"")</f>
        <v>4.3277632760898275</v>
      </c>
      <c r="AB114" s="18">
        <f>IFERROR(
                  Andel_oberoende_av_klimat*VLOOKUP($A114,Leveranser_per_nät,'Leveranser per nät'!AB$1,FALSE)
               +Andel_beroende_av_klimat*VLOOKUP($A114,Leveranser_per_nät,'Leveranser per nät'!AB$1,FALSE)/VLOOKUP($B114,Korrigeringsfaktor_GD,'Korrigeringsfaktor GD'!AB$1,FALSE),
"")</f>
        <v>4.3906000000000001</v>
      </c>
      <c r="AC114" s="18">
        <f>IFERROR(
                  Andel_oberoende_av_klimat*VLOOKUP($A114,Leveranser_per_nät,'Leveranser per nät'!AC$1,FALSE)
               +Andel_beroende_av_klimat*VLOOKUP($A114,Leveranser_per_nät,'Leveranser per nät'!AC$1,FALSE)/VLOOKUP($B114,Korrigeringsfaktor_GD,'Korrigeringsfaktor GD'!AC$1,FALSE),
"")</f>
        <v>4.1297523613963039</v>
      </c>
      <c r="AD114">
        <v>99.975999999999999</v>
      </c>
    </row>
    <row r="115" spans="1:30" x14ac:dyDescent="0.25">
      <c r="A115" t="s">
        <v>399</v>
      </c>
      <c r="B115" t="s">
        <v>524</v>
      </c>
      <c r="C115" s="18">
        <f>IFERROR(
                  Andel_oberoende_av_klimat*VLOOKUP($A115,Leveranser_per_nät,'Leveranser per nät'!C$1,FALSE)
               +Andel_beroende_av_klimat*VLOOKUP($A115,Leveranser_per_nät,'Leveranser per nät'!C$1,FALSE)/VLOOKUP($B115,Korrigeringsfaktor_GD,'Korrigeringsfaktor GD'!C$1,FALSE),
"")</f>
        <v>8.3756756756756765</v>
      </c>
      <c r="D115" s="18">
        <f>IFERROR(
                  Andel_oberoende_av_klimat*VLOOKUP($A115,Leveranser_per_nät,'Leveranser per nät'!D$1,FALSE)
               +Andel_beroende_av_klimat*VLOOKUP($A115,Leveranser_per_nät,'Leveranser per nät'!D$1,FALSE)/VLOOKUP($B115,Korrigeringsfaktor_GD,'Korrigeringsfaktor GD'!D$1,FALSE),
"")</f>
        <v>3.9151428571428575</v>
      </c>
      <c r="E115" s="18">
        <f>IFERROR(
                  Andel_oberoende_av_klimat*VLOOKUP($A115,Leveranser_per_nät,'Leveranser per nät'!E$1,FALSE)
               +Andel_beroende_av_klimat*VLOOKUP($A115,Leveranser_per_nät,'Leveranser per nät'!E$1,FALSE)/VLOOKUP($B115,Korrigeringsfaktor_GD,'Korrigeringsfaktor GD'!E$1,FALSE),
"")</f>
        <v>0</v>
      </c>
      <c r="F115" s="18">
        <f>IFERROR(
                  Andel_oberoende_av_klimat*VLOOKUP($A115,Leveranser_per_nät,'Leveranser per nät'!F$1,FALSE)
               +Andel_beroende_av_klimat*VLOOKUP($A115,Leveranser_per_nät,'Leveranser per nät'!F$1,FALSE)/VLOOKUP($B115,Korrigeringsfaktor_GD,'Korrigeringsfaktor GD'!F$1,FALSE),
"")</f>
        <v>4.3350368421052634</v>
      </c>
      <c r="G115" s="18">
        <f>IFERROR(
                  Andel_oberoende_av_klimat*VLOOKUP($A115,Leveranser_per_nät,'Leveranser per nät'!G$1,FALSE)
               +Andel_beroende_av_klimat*VLOOKUP($A115,Leveranser_per_nät,'Leveranser per nät'!G$1,FALSE)/VLOOKUP($B115,Korrigeringsfaktor_GD,'Korrigeringsfaktor GD'!G$1,FALSE),
"")</f>
        <v>4.6183229885057475</v>
      </c>
      <c r="H115" s="18">
        <f>IFERROR(
                  Andel_oberoende_av_klimat*VLOOKUP($A115,Leveranser_per_nät,'Leveranser per nät'!H$1,FALSE)
               +Andel_beroende_av_klimat*VLOOKUP($A115,Leveranser_per_nät,'Leveranser per nät'!H$1,FALSE)/VLOOKUP($B115,Korrigeringsfaktor_GD,'Korrigeringsfaktor GD'!H$1,FALSE),
"")</f>
        <v>0</v>
      </c>
      <c r="I115" s="18">
        <f>IFERROR(
                  Andel_oberoende_av_klimat*VLOOKUP($A115,Leveranser_per_nät,'Leveranser per nät'!I$1,FALSE)
               +Andel_beroende_av_klimat*VLOOKUP($A115,Leveranser_per_nät,'Leveranser per nät'!I$1,FALSE)/VLOOKUP($B115,Korrigeringsfaktor_GD,'Korrigeringsfaktor GD'!I$1,FALSE),
"")</f>
        <v>0</v>
      </c>
      <c r="J115" s="18">
        <f>IFERROR(
                  Andel_oberoende_av_klimat*VLOOKUP($A115,Leveranser_per_nät,'Leveranser per nät'!J$1,FALSE)
               +Andel_beroende_av_klimat*VLOOKUP($A115,Leveranser_per_nät,'Leveranser per nät'!J$1,FALSE)/VLOOKUP($B115,Korrigeringsfaktor_GD,'Korrigeringsfaktor GD'!J$1,FALSE),
"")</f>
        <v>4.240728571428571</v>
      </c>
      <c r="K115" s="18">
        <f>IFERROR(
                  Andel_oberoende_av_klimat*VLOOKUP($A115,Leveranser_per_nät,'Leveranser per nät'!K$1,FALSE)
               +Andel_beroende_av_klimat*VLOOKUP($A115,Leveranser_per_nät,'Leveranser per nät'!K$1,FALSE)/VLOOKUP($B115,Korrigeringsfaktor_GD,'Korrigeringsfaktor GD'!K$1,FALSE),
"")</f>
        <v>0</v>
      </c>
      <c r="L115" s="18">
        <f>IFERROR(
                  Andel_oberoende_av_klimat*VLOOKUP($A115,Leveranser_per_nät,'Leveranser per nät'!L$1,FALSE)
               +Andel_beroende_av_klimat*VLOOKUP($A115,Leveranser_per_nät,'Leveranser per nät'!L$1,FALSE)/VLOOKUP($B115,Korrigeringsfaktor_GD,'Korrigeringsfaktor GD'!L$1,FALSE),
"")</f>
        <v>0</v>
      </c>
      <c r="M115" s="18">
        <f>IFERROR(
                  Andel_oberoende_av_klimat*VLOOKUP($A115,Leveranser_per_nät,'Leveranser per nät'!M$1,FALSE)
               +Andel_beroende_av_klimat*VLOOKUP($A115,Leveranser_per_nät,'Leveranser per nät'!M$1,FALSE)/VLOOKUP($B115,Korrigeringsfaktor_GD,'Korrigeringsfaktor GD'!M$1,FALSE),
"")</f>
        <v>0</v>
      </c>
      <c r="N115" s="18">
        <f>IFERROR(
                  Andel_oberoende_av_klimat*VLOOKUP($A115,Leveranser_per_nät,'Leveranser per nät'!N$1,FALSE)
               +Andel_beroende_av_klimat*VLOOKUP($A115,Leveranser_per_nät,'Leveranser per nät'!N$1,FALSE)/VLOOKUP($B115,Korrigeringsfaktor_GD,'Korrigeringsfaktor GD'!N$1,FALSE),
"")</f>
        <v>0</v>
      </c>
      <c r="O115" s="18">
        <f>IFERROR(
                  Andel_oberoende_av_klimat*VLOOKUP($A115,Leveranser_per_nät,'Leveranser per nät'!O$1,FALSE)
               +Andel_beroende_av_klimat*VLOOKUP($A115,Leveranser_per_nät,'Leveranser per nät'!O$1,FALSE)/VLOOKUP($B115,Korrigeringsfaktor_GD,'Korrigeringsfaktor GD'!O$1,FALSE),
"")</f>
        <v>0</v>
      </c>
      <c r="P115" s="18">
        <f>IFERROR(
                  Andel_oberoende_av_klimat*VLOOKUP($A115,Leveranser_per_nät,'Leveranser per nät'!P$1,FALSE)
               +Andel_beroende_av_klimat*VLOOKUP($A115,Leveranser_per_nät,'Leveranser per nät'!P$1,FALSE)/VLOOKUP($B115,Korrigeringsfaktor_GD,'Korrigeringsfaktor GD'!P$1,FALSE),
"")</f>
        <v>0</v>
      </c>
      <c r="Q115" s="18">
        <f>IFERROR(
                  Andel_oberoende_av_klimat*VLOOKUP($A115,Leveranser_per_nät,'Leveranser per nät'!Q$1,FALSE)
               +Andel_beroende_av_klimat*VLOOKUP($A115,Leveranser_per_nät,'Leveranser per nät'!Q$1,FALSE)/VLOOKUP($B115,Korrigeringsfaktor_GD,'Korrigeringsfaktor GD'!Q$1,FALSE),
"")</f>
        <v>0</v>
      </c>
      <c r="R115" s="18">
        <f>IFERROR(
                  Andel_oberoende_av_klimat*VLOOKUP($A115,Leveranser_per_nät,'Leveranser per nät'!R$1,FALSE)
               +Andel_beroende_av_klimat*VLOOKUP($A115,Leveranser_per_nät,'Leveranser per nät'!R$1,FALSE)/VLOOKUP($B115,Korrigeringsfaktor_GD,'Korrigeringsfaktor GD'!R$1,FALSE),
"")</f>
        <v>3.8214307692307687</v>
      </c>
      <c r="S115" s="18">
        <f>IFERROR(
                  Andel_oberoende_av_klimat*VLOOKUP($A115,Leveranser_per_nät,'Leveranser per nät'!S$1,FALSE)
               +Andel_beroende_av_klimat*VLOOKUP($A115,Leveranser_per_nät,'Leveranser per nät'!S$1,FALSE)/VLOOKUP($B115,Korrigeringsfaktor_GD,'Korrigeringsfaktor GD'!S$1,FALSE),
"")</f>
        <v>3.62</v>
      </c>
      <c r="T115" s="18">
        <f>IFERROR(
                  Andel_oberoende_av_klimat*VLOOKUP($A115,Leveranser_per_nät,'Leveranser per nät'!T$1,FALSE)
               +Andel_beroende_av_klimat*VLOOKUP($A115,Leveranser_per_nät,'Leveranser per nät'!T$1,FALSE)/VLOOKUP($B115,Korrigeringsfaktor_GD,'Korrigeringsfaktor GD'!T$1,FALSE),
"")</f>
        <v>3.6973494845360833</v>
      </c>
      <c r="U115" s="18">
        <f>IFERROR(
                  Andel_oberoende_av_klimat*VLOOKUP($A115,Leveranser_per_nät,'Leveranser per nät'!U$1,FALSE)
               +Andel_beroende_av_klimat*VLOOKUP($A115,Leveranser_per_nät,'Leveranser per nät'!U$1,FALSE)/VLOOKUP($B115,Korrigeringsfaktor_GD,'Korrigeringsfaktor GD'!U$1,FALSE),
"")</f>
        <v>2.033564367816092</v>
      </c>
      <c r="V115" s="18" t="str">
        <f>IFERROR(
                  Andel_oberoende_av_klimat*VLOOKUP($A115,Leveranser_per_nät,'Leveranser per nät'!V$1,FALSE)
               +Andel_beroende_av_klimat*VLOOKUP($A115,Leveranser_per_nät,'Leveranser per nät'!V$1,FALSE)/VLOOKUP($B115,Korrigeringsfaktor_GD,'Korrigeringsfaktor GD'!V$1,FALSE),
"")</f>
        <v/>
      </c>
      <c r="W115" s="18" t="str">
        <f>IFERROR(
                  Andel_oberoende_av_klimat*VLOOKUP($A115,Leveranser_per_nät,'Leveranser per nät'!W$1,FALSE)
               +Andel_beroende_av_klimat*VLOOKUP($A115,Leveranser_per_nät,'Leveranser per nät'!W$1,FALSE)/VLOOKUP($B115,Korrigeringsfaktor_GD,'Korrigeringsfaktor GD'!W$1,FALSE),
"")</f>
        <v/>
      </c>
      <c r="X115" s="18" t="str">
        <f>IFERROR(
                  Andel_oberoende_av_klimat*VLOOKUP($A115,Leveranser_per_nät,'Leveranser per nät'!X$1,FALSE)
               +Andel_beroende_av_klimat*VLOOKUP($A115,Leveranser_per_nät,'Leveranser per nät'!X$1,FALSE)/VLOOKUP($B115,Korrigeringsfaktor_GD,'Korrigeringsfaktor GD'!X$1,FALSE),
"")</f>
        <v/>
      </c>
      <c r="Y115" s="18" t="str">
        <f>IFERROR(
                  Andel_oberoende_av_klimat*VLOOKUP($A115,Leveranser_per_nät,'Leveranser per nät'!Y$1,FALSE)
               +Andel_beroende_av_klimat*VLOOKUP($A115,Leveranser_per_nät,'Leveranser per nät'!Y$1,FALSE)/VLOOKUP($B115,Korrigeringsfaktor_GD,'Korrigeringsfaktor GD'!Y$1,FALSE),
"")</f>
        <v/>
      </c>
      <c r="Z115" s="18">
        <f>IFERROR(
                  Andel_oberoende_av_klimat*VLOOKUP($A115,Leveranser_per_nät,'Leveranser per nät'!Z$1,FALSE)
               +Andel_beroende_av_klimat*VLOOKUP($A115,Leveranser_per_nät,'Leveranser per nät'!Z$1,FALSE)/VLOOKUP($B115,Korrigeringsfaktor_GD,'Korrigeringsfaktor GD'!Z$1,FALSE),
"")</f>
        <v>0</v>
      </c>
      <c r="AA115" s="18" t="str">
        <f>IFERROR(
                  Andel_oberoende_av_klimat*VLOOKUP($A115,Leveranser_per_nät,'Leveranser per nät'!AA$1,FALSE)
               +Andel_beroende_av_klimat*VLOOKUP($A115,Leveranser_per_nät,'Leveranser per nät'!AA$1,FALSE)/VLOOKUP($B115,Korrigeringsfaktor_GD,'Korrigeringsfaktor GD'!AA$1,FALSE),
"")</f>
        <v/>
      </c>
      <c r="AB115" s="18">
        <f>IFERROR(
                  Andel_oberoende_av_klimat*VLOOKUP($A115,Leveranser_per_nät,'Leveranser per nät'!AB$1,FALSE)
               +Andel_beroende_av_klimat*VLOOKUP($A115,Leveranser_per_nät,'Leveranser per nät'!AB$1,FALSE)/VLOOKUP($B115,Korrigeringsfaktor_GD,'Korrigeringsfaktor GD'!AB$1,FALSE),
"")</f>
        <v>0</v>
      </c>
      <c r="AC115" s="18">
        <f>IFERROR(
                  Andel_oberoende_av_klimat*VLOOKUP($A115,Leveranser_per_nät,'Leveranser per nät'!AC$1,FALSE)
               +Andel_beroende_av_klimat*VLOOKUP($A115,Leveranser_per_nät,'Leveranser per nät'!AC$1,FALSE)/VLOOKUP($B115,Korrigeringsfaktor_GD,'Korrigeringsfaktor GD'!AC$1,FALSE),
"")</f>
        <v>0</v>
      </c>
      <c r="AD115" t="e">
        <v>#N/A</v>
      </c>
    </row>
    <row r="116" spans="1:30" x14ac:dyDescent="0.25">
      <c r="A116" t="s">
        <v>146</v>
      </c>
      <c r="B116" t="s">
        <v>144</v>
      </c>
      <c r="C116" s="18">
        <f>IFERROR(
                  Andel_oberoende_av_klimat*VLOOKUP($A116,Leveranser_per_nät,'Leveranser per nät'!C$1,FALSE)
               +Andel_beroende_av_klimat*VLOOKUP($A116,Leveranser_per_nät,'Leveranser per nät'!C$1,FALSE)/VLOOKUP($B116,Korrigeringsfaktor_GD,'Korrigeringsfaktor GD'!C$1,FALSE),
"")</f>
        <v>0.94220183486238529</v>
      </c>
      <c r="D116" s="18">
        <f>IFERROR(
                  Andel_oberoende_av_klimat*VLOOKUP($A116,Leveranser_per_nät,'Leveranser per nät'!D$1,FALSE)
               +Andel_beroende_av_klimat*VLOOKUP($A116,Leveranser_per_nät,'Leveranser per nät'!D$1,FALSE)/VLOOKUP($B116,Korrigeringsfaktor_GD,'Korrigeringsfaktor GD'!D$1,FALSE),
"")</f>
        <v>1.5241578947368422</v>
      </c>
      <c r="E116" s="18">
        <f>IFERROR(
                  Andel_oberoende_av_klimat*VLOOKUP($A116,Leveranser_per_nät,'Leveranser per nät'!E$1,FALSE)
               +Andel_beroende_av_klimat*VLOOKUP($A116,Leveranser_per_nät,'Leveranser per nät'!E$1,FALSE)/VLOOKUP($B116,Korrigeringsfaktor_GD,'Korrigeringsfaktor GD'!E$1,FALSE),
"")</f>
        <v>0</v>
      </c>
      <c r="F116" s="18">
        <f>IFERROR(
                  Andel_oberoende_av_klimat*VLOOKUP($A116,Leveranser_per_nät,'Leveranser per nät'!F$1,FALSE)
               +Andel_beroende_av_klimat*VLOOKUP($A116,Leveranser_per_nät,'Leveranser per nät'!F$1,FALSE)/VLOOKUP($B116,Korrigeringsfaktor_GD,'Korrigeringsfaktor GD'!F$1,FALSE),
"")</f>
        <v>0</v>
      </c>
      <c r="G116" s="18">
        <f>IFERROR(
                  Andel_oberoende_av_klimat*VLOOKUP($A116,Leveranser_per_nät,'Leveranser per nät'!G$1,FALSE)
               +Andel_beroende_av_klimat*VLOOKUP($A116,Leveranser_per_nät,'Leveranser per nät'!G$1,FALSE)/VLOOKUP($B116,Korrigeringsfaktor_GD,'Korrigeringsfaktor GD'!G$1,FALSE),
"")</f>
        <v>1.0954545454545455</v>
      </c>
      <c r="H116" s="18">
        <f>IFERROR(
                  Andel_oberoende_av_klimat*VLOOKUP($A116,Leveranser_per_nät,'Leveranser per nät'!H$1,FALSE)
               +Andel_beroende_av_klimat*VLOOKUP($A116,Leveranser_per_nät,'Leveranser per nät'!H$1,FALSE)/VLOOKUP($B116,Korrigeringsfaktor_GD,'Korrigeringsfaktor GD'!H$1,FALSE),
"")</f>
        <v>1.7290000000000001</v>
      </c>
      <c r="I116" s="18">
        <f>IFERROR(
                  Andel_oberoende_av_klimat*VLOOKUP($A116,Leveranser_per_nät,'Leveranser per nät'!I$1,FALSE)
               +Andel_beroende_av_klimat*VLOOKUP($A116,Leveranser_per_nät,'Leveranser per nät'!I$1,FALSE)/VLOOKUP($B116,Korrigeringsfaktor_GD,'Korrigeringsfaktor GD'!I$1,FALSE),
"")</f>
        <v>1.791973195876289</v>
      </c>
      <c r="J116" s="18">
        <f>IFERROR(
                  Andel_oberoende_av_klimat*VLOOKUP($A116,Leveranser_per_nät,'Leveranser per nät'!J$1,FALSE)
               +Andel_beroende_av_klimat*VLOOKUP($A116,Leveranser_per_nät,'Leveranser per nät'!J$1,FALSE)/VLOOKUP($B116,Korrigeringsfaktor_GD,'Korrigeringsfaktor GD'!J$1,FALSE),
"")</f>
        <v>1.791973195876289</v>
      </c>
      <c r="K116" s="18">
        <f>IFERROR(
                  Andel_oberoende_av_klimat*VLOOKUP($A116,Leveranser_per_nät,'Leveranser per nät'!K$1,FALSE)
               +Andel_beroende_av_klimat*VLOOKUP($A116,Leveranser_per_nät,'Leveranser per nät'!K$1,FALSE)/VLOOKUP($B116,Korrigeringsfaktor_GD,'Korrigeringsfaktor GD'!K$1,FALSE),
"")</f>
        <v>1.6346391752577318</v>
      </c>
      <c r="L116" s="18">
        <f>IFERROR(
                  Andel_oberoende_av_klimat*VLOOKUP($A116,Leveranser_per_nät,'Leveranser per nät'!L$1,FALSE)
               +Andel_beroende_av_klimat*VLOOKUP($A116,Leveranser_per_nät,'Leveranser per nät'!L$1,FALSE)/VLOOKUP($B116,Korrigeringsfaktor_GD,'Korrigeringsfaktor GD'!L$1,FALSE),
"")</f>
        <v>1.684301075268817</v>
      </c>
      <c r="M116" s="18">
        <f>IFERROR(
                  Andel_oberoende_av_klimat*VLOOKUP($A116,Leveranser_per_nät,'Leveranser per nät'!M$1,FALSE)
               +Andel_beroende_av_klimat*VLOOKUP($A116,Leveranser_per_nät,'Leveranser per nät'!M$1,FALSE)/VLOOKUP($B116,Korrigeringsfaktor_GD,'Korrigeringsfaktor GD'!M$1,FALSE),
"")</f>
        <v>1.1226923076923077</v>
      </c>
      <c r="N116" s="18">
        <f>IFERROR(
                  Andel_oberoende_av_klimat*VLOOKUP($A116,Leveranser_per_nät,'Leveranser per nät'!N$1,FALSE)
               +Andel_beroende_av_klimat*VLOOKUP($A116,Leveranser_per_nät,'Leveranser per nät'!N$1,FALSE)/VLOOKUP($B116,Korrigeringsfaktor_GD,'Korrigeringsfaktor GD'!N$1,FALSE),
"")</f>
        <v>0</v>
      </c>
      <c r="O116" s="18">
        <f>IFERROR(
                  Andel_oberoende_av_klimat*VLOOKUP($A116,Leveranser_per_nät,'Leveranser per nät'!O$1,FALSE)
               +Andel_beroende_av_klimat*VLOOKUP($A116,Leveranser_per_nät,'Leveranser per nät'!O$1,FALSE)/VLOOKUP($B116,Korrigeringsfaktor_GD,'Korrigeringsfaktor GD'!O$1,FALSE),
"")</f>
        <v>0</v>
      </c>
      <c r="P116" s="18">
        <f>IFERROR(
                  Andel_oberoende_av_klimat*VLOOKUP($A116,Leveranser_per_nät,'Leveranser per nät'!P$1,FALSE)
               +Andel_beroende_av_klimat*VLOOKUP($A116,Leveranser_per_nät,'Leveranser per nät'!P$1,FALSE)/VLOOKUP($B116,Korrigeringsfaktor_GD,'Korrigeringsfaktor GD'!P$1,FALSE),
"")</f>
        <v>0</v>
      </c>
      <c r="Q116" s="18">
        <f>IFERROR(
                  Andel_oberoende_av_klimat*VLOOKUP($A116,Leveranser_per_nät,'Leveranser per nät'!Q$1,FALSE)
               +Andel_beroende_av_klimat*VLOOKUP($A116,Leveranser_per_nät,'Leveranser per nät'!Q$1,FALSE)/VLOOKUP($B116,Korrigeringsfaktor_GD,'Korrigeringsfaktor GD'!Q$1,FALSE),
"")</f>
        <v>0</v>
      </c>
      <c r="R116" s="18">
        <f>IFERROR(
                  Andel_oberoende_av_klimat*VLOOKUP($A116,Leveranser_per_nät,'Leveranser per nät'!R$1,FALSE)
               +Andel_beroende_av_klimat*VLOOKUP($A116,Leveranser_per_nät,'Leveranser per nät'!R$1,FALSE)/VLOOKUP($B116,Korrigeringsfaktor_GD,'Korrigeringsfaktor GD'!R$1,FALSE),
"")</f>
        <v>0</v>
      </c>
      <c r="S116" s="18" t="str">
        <f>IFERROR(
                  Andel_oberoende_av_klimat*VLOOKUP($A116,Leveranser_per_nät,'Leveranser per nät'!S$1,FALSE)
               +Andel_beroende_av_klimat*VLOOKUP($A116,Leveranser_per_nät,'Leveranser per nät'!S$1,FALSE)/VLOOKUP($B116,Korrigeringsfaktor_GD,'Korrigeringsfaktor GD'!S$1,FALSE),
"")</f>
        <v/>
      </c>
      <c r="T116" s="18" t="str">
        <f>IFERROR(
                  Andel_oberoende_av_klimat*VLOOKUP($A116,Leveranser_per_nät,'Leveranser per nät'!T$1,FALSE)
               +Andel_beroende_av_klimat*VLOOKUP($A116,Leveranser_per_nät,'Leveranser per nät'!T$1,FALSE)/VLOOKUP($B116,Korrigeringsfaktor_GD,'Korrigeringsfaktor GD'!T$1,FALSE),
"")</f>
        <v/>
      </c>
      <c r="U116" s="18" t="str">
        <f>IFERROR(
                  Andel_oberoende_av_klimat*VLOOKUP($A116,Leveranser_per_nät,'Leveranser per nät'!U$1,FALSE)
               +Andel_beroende_av_klimat*VLOOKUP($A116,Leveranser_per_nät,'Leveranser per nät'!U$1,FALSE)/VLOOKUP($B116,Korrigeringsfaktor_GD,'Korrigeringsfaktor GD'!U$1,FALSE),
"")</f>
        <v/>
      </c>
      <c r="V116" s="18" t="str">
        <f>IFERROR(
                  Andel_oberoende_av_klimat*VLOOKUP($A116,Leveranser_per_nät,'Leveranser per nät'!V$1,FALSE)
               +Andel_beroende_av_klimat*VLOOKUP($A116,Leveranser_per_nät,'Leveranser per nät'!V$1,FALSE)/VLOOKUP($B116,Korrigeringsfaktor_GD,'Korrigeringsfaktor GD'!V$1,FALSE),
"")</f>
        <v/>
      </c>
      <c r="W116" s="18" t="str">
        <f>IFERROR(
                  Andel_oberoende_av_klimat*VLOOKUP($A116,Leveranser_per_nät,'Leveranser per nät'!W$1,FALSE)
               +Andel_beroende_av_klimat*VLOOKUP($A116,Leveranser_per_nät,'Leveranser per nät'!W$1,FALSE)/VLOOKUP($B116,Korrigeringsfaktor_GD,'Korrigeringsfaktor GD'!W$1,FALSE),
"")</f>
        <v/>
      </c>
      <c r="X116" s="18" t="str">
        <f>IFERROR(
                  Andel_oberoende_av_klimat*VLOOKUP($A116,Leveranser_per_nät,'Leveranser per nät'!X$1,FALSE)
               +Andel_beroende_av_klimat*VLOOKUP($A116,Leveranser_per_nät,'Leveranser per nät'!X$1,FALSE)/VLOOKUP($B116,Korrigeringsfaktor_GD,'Korrigeringsfaktor GD'!X$1,FALSE),
"")</f>
        <v/>
      </c>
      <c r="Y116" s="18" t="str">
        <f>IFERROR(
                  Andel_oberoende_av_klimat*VLOOKUP($A116,Leveranser_per_nät,'Leveranser per nät'!Y$1,FALSE)
               +Andel_beroende_av_klimat*VLOOKUP($A116,Leveranser_per_nät,'Leveranser per nät'!Y$1,FALSE)/VLOOKUP($B116,Korrigeringsfaktor_GD,'Korrigeringsfaktor GD'!Y$1,FALSE),
"")</f>
        <v/>
      </c>
      <c r="Z116" s="18">
        <f>IFERROR(
                  Andel_oberoende_av_klimat*VLOOKUP($A116,Leveranser_per_nät,'Leveranser per nät'!Z$1,FALSE)
               +Andel_beroende_av_klimat*VLOOKUP($A116,Leveranser_per_nät,'Leveranser per nät'!Z$1,FALSE)/VLOOKUP($B116,Korrigeringsfaktor_GD,'Korrigeringsfaktor GD'!Z$1,FALSE),
"")</f>
        <v>0</v>
      </c>
      <c r="AA116" s="18" t="str">
        <f>IFERROR(
                  Andel_oberoende_av_klimat*VLOOKUP($A116,Leveranser_per_nät,'Leveranser per nät'!AA$1,FALSE)
               +Andel_beroende_av_klimat*VLOOKUP($A116,Leveranser_per_nät,'Leveranser per nät'!AA$1,FALSE)/VLOOKUP($B116,Korrigeringsfaktor_GD,'Korrigeringsfaktor GD'!AA$1,FALSE),
"")</f>
        <v/>
      </c>
      <c r="AB116" s="18">
        <f>IFERROR(
                  Andel_oberoende_av_klimat*VLOOKUP($A116,Leveranser_per_nät,'Leveranser per nät'!AB$1,FALSE)
               +Andel_beroende_av_klimat*VLOOKUP($A116,Leveranser_per_nät,'Leveranser per nät'!AB$1,FALSE)/VLOOKUP($B116,Korrigeringsfaktor_GD,'Korrigeringsfaktor GD'!AB$1,FALSE),
"")</f>
        <v>0</v>
      </c>
      <c r="AC116" s="18">
        <f>IFERROR(
                  Andel_oberoende_av_klimat*VLOOKUP($A116,Leveranser_per_nät,'Leveranser per nät'!AC$1,FALSE)
               +Andel_beroende_av_klimat*VLOOKUP($A116,Leveranser_per_nät,'Leveranser per nät'!AC$1,FALSE)/VLOOKUP($B116,Korrigeringsfaktor_GD,'Korrigeringsfaktor GD'!AC$1,FALSE),
"")</f>
        <v>0</v>
      </c>
      <c r="AD116">
        <v>48.8</v>
      </c>
    </row>
    <row r="117" spans="1:30" x14ac:dyDescent="0.25">
      <c r="A117" t="s">
        <v>340</v>
      </c>
      <c r="B117" t="s">
        <v>420</v>
      </c>
      <c r="C117" s="18">
        <f>IFERROR(
                  Andel_oberoende_av_klimat*VLOOKUP($A117,Leveranser_per_nät,'Leveranser per nät'!C$1,FALSE)
               +Andel_beroende_av_klimat*VLOOKUP($A117,Leveranser_per_nät,'Leveranser per nät'!C$1,FALSE)/VLOOKUP($B117,Korrigeringsfaktor_GD,'Korrigeringsfaktor GD'!C$1,FALSE),
"")</f>
        <v>0</v>
      </c>
      <c r="D117" s="18">
        <f>IFERROR(
                  Andel_oberoende_av_klimat*VLOOKUP($A117,Leveranser_per_nät,'Leveranser per nät'!D$1,FALSE)
               +Andel_beroende_av_klimat*VLOOKUP($A117,Leveranser_per_nät,'Leveranser per nät'!D$1,FALSE)/VLOOKUP($B117,Korrigeringsfaktor_GD,'Korrigeringsfaktor GD'!D$1,FALSE),
"")</f>
        <v>0</v>
      </c>
      <c r="E117" s="18">
        <f>IFERROR(
                  Andel_oberoende_av_klimat*VLOOKUP($A117,Leveranser_per_nät,'Leveranser per nät'!E$1,FALSE)
               +Andel_beroende_av_klimat*VLOOKUP($A117,Leveranser_per_nät,'Leveranser per nät'!E$1,FALSE)/VLOOKUP($B117,Korrigeringsfaktor_GD,'Korrigeringsfaktor GD'!E$1,FALSE),
"")</f>
        <v>0</v>
      </c>
      <c r="F117" s="18">
        <f>IFERROR(
                  Andel_oberoende_av_klimat*VLOOKUP($A117,Leveranser_per_nät,'Leveranser per nät'!F$1,FALSE)
               +Andel_beroende_av_klimat*VLOOKUP($A117,Leveranser_per_nät,'Leveranser per nät'!F$1,FALSE)/VLOOKUP($B117,Korrigeringsfaktor_GD,'Korrigeringsfaktor GD'!F$1,FALSE),
"")</f>
        <v>0</v>
      </c>
      <c r="G117" s="18">
        <f>IFERROR(
                  Andel_oberoende_av_klimat*VLOOKUP($A117,Leveranser_per_nät,'Leveranser per nät'!G$1,FALSE)
               +Andel_beroende_av_klimat*VLOOKUP($A117,Leveranser_per_nät,'Leveranser per nät'!G$1,FALSE)/VLOOKUP($B117,Korrigeringsfaktor_GD,'Korrigeringsfaktor GD'!G$1,FALSE),
"")</f>
        <v>30.402149999999999</v>
      </c>
      <c r="H117" s="18">
        <f>IFERROR(
                  Andel_oberoende_av_klimat*VLOOKUP($A117,Leveranser_per_nät,'Leveranser per nät'!H$1,FALSE)
               +Andel_beroende_av_klimat*VLOOKUP($A117,Leveranser_per_nät,'Leveranser per nät'!H$1,FALSE)/VLOOKUP($B117,Korrigeringsfaktor_GD,'Korrigeringsfaktor GD'!H$1,FALSE),
"")</f>
        <v>0</v>
      </c>
      <c r="I117" s="18">
        <f>IFERROR(
                  Andel_oberoende_av_klimat*VLOOKUP($A117,Leveranser_per_nät,'Leveranser per nät'!I$1,FALSE)
               +Andel_beroende_av_klimat*VLOOKUP($A117,Leveranser_per_nät,'Leveranser per nät'!I$1,FALSE)/VLOOKUP($B117,Korrigeringsfaktor_GD,'Korrigeringsfaktor GD'!I$1,FALSE),
"")</f>
        <v>5.1705680412371136</v>
      </c>
      <c r="J117" s="18">
        <f>IFERROR(
                  Andel_oberoende_av_klimat*VLOOKUP($A117,Leveranser_per_nät,'Leveranser per nät'!J$1,FALSE)
               +Andel_beroende_av_klimat*VLOOKUP($A117,Leveranser_per_nät,'Leveranser per nät'!J$1,FALSE)/VLOOKUP($B117,Korrigeringsfaktor_GD,'Korrigeringsfaktor GD'!J$1,FALSE),
"")</f>
        <v>31.139633333333329</v>
      </c>
      <c r="K117" s="18">
        <f>IFERROR(
                  Andel_oberoende_av_klimat*VLOOKUP($A117,Leveranser_per_nät,'Leveranser per nät'!K$1,FALSE)
               +Andel_beroende_av_klimat*VLOOKUP($A117,Leveranser_per_nät,'Leveranser per nät'!K$1,FALSE)/VLOOKUP($B117,Korrigeringsfaktor_GD,'Korrigeringsfaktor GD'!K$1,FALSE),
"")</f>
        <v>0</v>
      </c>
      <c r="L117" s="18">
        <f>IFERROR(
                  Andel_oberoende_av_klimat*VLOOKUP($A117,Leveranser_per_nät,'Leveranser per nät'!L$1,FALSE)
               +Andel_beroende_av_klimat*VLOOKUP($A117,Leveranser_per_nät,'Leveranser per nät'!L$1,FALSE)/VLOOKUP($B117,Korrigeringsfaktor_GD,'Korrigeringsfaktor GD'!L$1,FALSE),
"")</f>
        <v>15.354519888160404</v>
      </c>
      <c r="M117" s="18">
        <f>IFERROR(
                  Andel_oberoende_av_klimat*VLOOKUP($A117,Leveranser_per_nät,'Leveranser per nät'!M$1,FALSE)
               +Andel_beroende_av_klimat*VLOOKUP($A117,Leveranser_per_nät,'Leveranser per nät'!M$1,FALSE)/VLOOKUP($B117,Korrigeringsfaktor_GD,'Korrigeringsfaktor GD'!M$1,FALSE),
"")</f>
        <v>42.342276344086024</v>
      </c>
      <c r="N117" s="18">
        <f>IFERROR(
                  Andel_oberoende_av_klimat*VLOOKUP($A117,Leveranser_per_nät,'Leveranser per nät'!N$1,FALSE)
               +Andel_beroende_av_klimat*VLOOKUP($A117,Leveranser_per_nät,'Leveranser per nät'!N$1,FALSE)/VLOOKUP($B117,Korrigeringsfaktor_GD,'Korrigeringsfaktor GD'!N$1,FALSE),
"")</f>
        <v>38.19130434782609</v>
      </c>
      <c r="O117" s="18">
        <f>IFERROR(
                  Andel_oberoende_av_klimat*VLOOKUP($A117,Leveranser_per_nät,'Leveranser per nät'!O$1,FALSE)
               +Andel_beroende_av_klimat*VLOOKUP($A117,Leveranser_per_nät,'Leveranser per nät'!O$1,FALSE)/VLOOKUP($B117,Korrigeringsfaktor_GD,'Korrigeringsfaktor GD'!O$1,FALSE),
"")</f>
        <v>40.641363636363636</v>
      </c>
      <c r="P117" s="18">
        <f>IFERROR(
                  Andel_oberoende_av_klimat*VLOOKUP($A117,Leveranser_per_nät,'Leveranser per nät'!P$1,FALSE)
               +Andel_beroende_av_klimat*VLOOKUP($A117,Leveranser_per_nät,'Leveranser per nät'!P$1,FALSE)/VLOOKUP($B117,Korrigeringsfaktor_GD,'Korrigeringsfaktor GD'!P$1,FALSE),
"")</f>
        <v>46.485051546391759</v>
      </c>
      <c r="Q117" s="18">
        <f>IFERROR(
                  Andel_oberoende_av_klimat*VLOOKUP($A117,Leveranser_per_nät,'Leveranser per nät'!Q$1,FALSE)
               +Andel_beroende_av_klimat*VLOOKUP($A117,Leveranser_per_nät,'Leveranser per nät'!Q$1,FALSE)/VLOOKUP($B117,Korrigeringsfaktor_GD,'Korrigeringsfaktor GD'!Q$1,FALSE),
"")</f>
        <v>48.695862068965518</v>
      </c>
      <c r="R117" s="18">
        <f>IFERROR(
                  Andel_oberoende_av_klimat*VLOOKUP($A117,Leveranser_per_nät,'Leveranser per nät'!R$1,FALSE)
               +Andel_beroende_av_klimat*VLOOKUP($A117,Leveranser_per_nät,'Leveranser per nät'!R$1,FALSE)/VLOOKUP($B117,Korrigeringsfaktor_GD,'Korrigeringsfaktor GD'!R$1,FALSE),
"")</f>
        <v>46.083846153846153</v>
      </c>
      <c r="S117" s="18">
        <f>IFERROR(
                  Andel_oberoende_av_klimat*VLOOKUP($A117,Leveranser_per_nät,'Leveranser per nät'!S$1,FALSE)
               +Andel_beroende_av_klimat*VLOOKUP($A117,Leveranser_per_nät,'Leveranser per nät'!S$1,FALSE)/VLOOKUP($B117,Korrigeringsfaktor_GD,'Korrigeringsfaktor GD'!S$1,FALSE),
"")</f>
        <v>50</v>
      </c>
      <c r="T117" s="18">
        <f>IFERROR(
                  Andel_oberoende_av_klimat*VLOOKUP($A117,Leveranser_per_nät,'Leveranser per nät'!T$1,FALSE)
               +Andel_beroende_av_klimat*VLOOKUP($A117,Leveranser_per_nät,'Leveranser per nät'!T$1,FALSE)/VLOOKUP($B117,Korrigeringsfaktor_GD,'Korrigeringsfaktor GD'!T$1,FALSE),
"")</f>
        <v>53.340319587628869</v>
      </c>
      <c r="U117" s="18">
        <f>IFERROR(
                  Andel_oberoende_av_klimat*VLOOKUP($A117,Leveranser_per_nät,'Leveranser per nät'!U$1,FALSE)
               +Andel_beroende_av_klimat*VLOOKUP($A117,Leveranser_per_nät,'Leveranser per nät'!U$1,FALSE)/VLOOKUP($B117,Korrigeringsfaktor_GD,'Korrigeringsfaktor GD'!U$1,FALSE),
"")</f>
        <v>53.891235955056182</v>
      </c>
      <c r="V117" s="18">
        <f>IFERROR(
                  Andel_oberoende_av_klimat*VLOOKUP($A117,Leveranser_per_nät,'Leveranser per nät'!V$1,FALSE)
               +Andel_beroende_av_klimat*VLOOKUP($A117,Leveranser_per_nät,'Leveranser per nät'!V$1,FALSE)/VLOOKUP($B117,Korrigeringsfaktor_GD,'Korrigeringsfaktor GD'!V$1,FALSE),
"")</f>
        <v>50.921954022988501</v>
      </c>
      <c r="W117" s="18">
        <f>IFERROR(
                  Andel_oberoende_av_klimat*VLOOKUP($A117,Leveranser_per_nät,'Leveranser per nät'!W$1,FALSE)
               +Andel_beroende_av_klimat*VLOOKUP($A117,Leveranser_per_nät,'Leveranser per nät'!W$1,FALSE)/VLOOKUP($B117,Korrigeringsfaktor_GD,'Korrigeringsfaktor GD'!W$1,FALSE),
"")</f>
        <v>57.318870967741944</v>
      </c>
      <c r="X117" s="18">
        <f>IFERROR(
                  Andel_oberoende_av_klimat*VLOOKUP($A117,Leveranser_per_nät,'Leveranser per nät'!X$1,FALSE)
               +Andel_beroende_av_klimat*VLOOKUP($A117,Leveranser_per_nät,'Leveranser per nät'!X$1,FALSE)/VLOOKUP($B117,Korrigeringsfaktor_GD,'Korrigeringsfaktor GD'!X$1,FALSE),
"")</f>
        <v>67.577391304347827</v>
      </c>
      <c r="Y117" s="18">
        <f>IFERROR(
                  Andel_oberoende_av_klimat*VLOOKUP($A117,Leveranser_per_nät,'Leveranser per nät'!Y$1,FALSE)
               +Andel_beroende_av_klimat*VLOOKUP($A117,Leveranser_per_nät,'Leveranser per nät'!Y$1,FALSE)/VLOOKUP($B117,Korrigeringsfaktor_GD,'Korrigeringsfaktor GD'!Y$1,FALSE),
"")</f>
        <v>72.440384615384616</v>
      </c>
      <c r="Z117" s="18">
        <f>IFERROR(
                  Andel_oberoende_av_klimat*VLOOKUP($A117,Leveranser_per_nät,'Leveranser per nät'!Z$1,FALSE)
               +Andel_beroende_av_klimat*VLOOKUP($A117,Leveranser_per_nät,'Leveranser per nät'!Z$1,FALSE)/VLOOKUP($B117,Korrigeringsfaktor_GD,'Korrigeringsfaktor GD'!Z$1,FALSE),
"")</f>
        <v>70.843071910112357</v>
      </c>
      <c r="AA117" s="18">
        <f>IFERROR(
                  Andel_oberoende_av_klimat*VLOOKUP($A117,Leveranser_per_nät,'Leveranser per nät'!AA$1,FALSE)
               +Andel_beroende_av_klimat*VLOOKUP($A117,Leveranser_per_nät,'Leveranser per nät'!AA$1,FALSE)/VLOOKUP($B117,Korrigeringsfaktor_GD,'Korrigeringsfaktor GD'!AA$1,FALSE),
"")</f>
        <v>71.379095649218215</v>
      </c>
      <c r="AB117" s="18">
        <f>IFERROR(
                  Andel_oberoende_av_klimat*VLOOKUP($A117,Leveranser_per_nät,'Leveranser per nät'!AB$1,FALSE)
               +Andel_beroende_av_klimat*VLOOKUP($A117,Leveranser_per_nät,'Leveranser per nät'!AB$1,FALSE)/VLOOKUP($B117,Korrigeringsfaktor_GD,'Korrigeringsfaktor GD'!AB$1,FALSE),
"")</f>
        <v>70.387084834123229</v>
      </c>
      <c r="AC117" s="18">
        <f>IFERROR(
                  Andel_oberoende_av_klimat*VLOOKUP($A117,Leveranser_per_nät,'Leveranser per nät'!AC$1,FALSE)
               +Andel_beroende_av_klimat*VLOOKUP($A117,Leveranser_per_nät,'Leveranser per nät'!AC$1,FALSE)/VLOOKUP($B117,Korrigeringsfaktor_GD,'Korrigeringsfaktor GD'!AC$1,FALSE),
"")</f>
        <v>69.262535317860753</v>
      </c>
      <c r="AD117">
        <v>7723.8890000000001</v>
      </c>
    </row>
    <row r="118" spans="1:30" x14ac:dyDescent="0.25">
      <c r="A118" t="s">
        <v>137</v>
      </c>
      <c r="B118" t="s">
        <v>504</v>
      </c>
      <c r="C118" s="18">
        <f>IFERROR(
                  Andel_oberoende_av_klimat*VLOOKUP($A118,Leveranser_per_nät,'Leveranser per nät'!C$1,FALSE)
               +Andel_beroende_av_klimat*VLOOKUP($A118,Leveranser_per_nät,'Leveranser per nät'!C$1,FALSE)/VLOOKUP($B118,Korrigeringsfaktor_GD,'Korrigeringsfaktor GD'!C$1,FALSE),
"")</f>
        <v>118.17524752475248</v>
      </c>
      <c r="D118" s="18">
        <f>IFERROR(
                  Andel_oberoende_av_klimat*VLOOKUP($A118,Leveranser_per_nät,'Leveranser per nät'!D$1,FALSE)
               +Andel_beroende_av_klimat*VLOOKUP($A118,Leveranser_per_nät,'Leveranser per nät'!D$1,FALSE)/VLOOKUP($B118,Korrigeringsfaktor_GD,'Korrigeringsfaktor GD'!D$1,FALSE),
"")</f>
        <v>121.126</v>
      </c>
      <c r="E118" s="18">
        <f>IFERROR(
                  Andel_oberoende_av_klimat*VLOOKUP($A118,Leveranser_per_nät,'Leveranser per nät'!E$1,FALSE)
               +Andel_beroende_av_klimat*VLOOKUP($A118,Leveranser_per_nät,'Leveranser per nät'!E$1,FALSE)/VLOOKUP($B118,Korrigeringsfaktor_GD,'Korrigeringsfaktor GD'!E$1,FALSE),
"")</f>
        <v>128.69056603773583</v>
      </c>
      <c r="F118" s="18">
        <f>IFERROR(
                  Andel_oberoende_av_klimat*VLOOKUP($A118,Leveranser_per_nät,'Leveranser per nät'!F$1,FALSE)
               +Andel_beroende_av_klimat*VLOOKUP($A118,Leveranser_per_nät,'Leveranser per nät'!F$1,FALSE)/VLOOKUP($B118,Korrigeringsfaktor_GD,'Korrigeringsfaktor GD'!F$1,FALSE),
"")</f>
        <v>129.91212121212121</v>
      </c>
      <c r="G118" s="18">
        <f>IFERROR(
                  Andel_oberoende_av_klimat*VLOOKUP($A118,Leveranser_per_nät,'Leveranser per nät'!G$1,FALSE)
               +Andel_beroende_av_klimat*VLOOKUP($A118,Leveranser_per_nät,'Leveranser per nät'!G$1,FALSE)/VLOOKUP($B118,Korrigeringsfaktor_GD,'Korrigeringsfaktor GD'!G$1,FALSE),
"")</f>
        <v>125.26989247311828</v>
      </c>
      <c r="H118" s="18">
        <f>IFERROR(
                  Andel_oberoende_av_klimat*VLOOKUP($A118,Leveranser_per_nät,'Leveranser per nät'!H$1,FALSE)
               +Andel_beroende_av_klimat*VLOOKUP($A118,Leveranser_per_nät,'Leveranser per nät'!H$1,FALSE)/VLOOKUP($B118,Korrigeringsfaktor_GD,'Korrigeringsfaktor GD'!H$1,FALSE),
"")</f>
        <v>125</v>
      </c>
      <c r="I118" s="18">
        <f>IFERROR(
                  Andel_oberoende_av_klimat*VLOOKUP($A118,Leveranser_per_nät,'Leveranser per nät'!I$1,FALSE)
               +Andel_beroende_av_klimat*VLOOKUP($A118,Leveranser_per_nät,'Leveranser per nät'!I$1,FALSE)/VLOOKUP($B118,Korrigeringsfaktor_GD,'Korrigeringsfaktor GD'!I$1,FALSE),
"")</f>
        <v>126.78571428571431</v>
      </c>
      <c r="J118" s="18">
        <f>IFERROR(
                  Andel_oberoende_av_klimat*VLOOKUP($A118,Leveranser_per_nät,'Leveranser per nät'!J$1,FALSE)
               +Andel_beroende_av_klimat*VLOOKUP($A118,Leveranser_per_nät,'Leveranser per nät'!J$1,FALSE)/VLOOKUP($B118,Korrigeringsfaktor_GD,'Korrigeringsfaktor GD'!J$1,FALSE),
"")</f>
        <v>132.76249999999999</v>
      </c>
      <c r="K118" s="18">
        <f>IFERROR(
                  Andel_oberoende_av_klimat*VLOOKUP($A118,Leveranser_per_nät,'Leveranser per nät'!K$1,FALSE)
               +Andel_beroende_av_klimat*VLOOKUP($A118,Leveranser_per_nät,'Leveranser per nät'!K$1,FALSE)/VLOOKUP($B118,Korrigeringsfaktor_GD,'Korrigeringsfaktor GD'!K$1,FALSE),
"")</f>
        <v>136.93140404040403</v>
      </c>
      <c r="L118" s="18">
        <f>IFERROR(
                  Andel_oberoende_av_klimat*VLOOKUP($A118,Leveranser_per_nät,'Leveranser per nät'!L$1,FALSE)
               +Andel_beroende_av_klimat*VLOOKUP($A118,Leveranser_per_nät,'Leveranser per nät'!L$1,FALSE)/VLOOKUP($B118,Korrigeringsfaktor_GD,'Korrigeringsfaktor GD'!L$1,FALSE),
"")</f>
        <v>140.97942105263158</v>
      </c>
      <c r="M118" s="18">
        <f>IFERROR(
                  Andel_oberoende_av_klimat*VLOOKUP($A118,Leveranser_per_nät,'Leveranser per nät'!M$1,FALSE)
               +Andel_beroende_av_klimat*VLOOKUP($A118,Leveranser_per_nät,'Leveranser per nät'!M$1,FALSE)/VLOOKUP($B118,Korrigeringsfaktor_GD,'Korrigeringsfaktor GD'!M$1,FALSE),
"")</f>
        <v>140.55431578947369</v>
      </c>
      <c r="N118" s="18">
        <f>IFERROR(
                  Andel_oberoende_av_klimat*VLOOKUP($A118,Leveranser_per_nät,'Leveranser per nät'!N$1,FALSE)
               +Andel_beroende_av_klimat*VLOOKUP($A118,Leveranser_per_nät,'Leveranser per nät'!N$1,FALSE)/VLOOKUP($B118,Korrigeringsfaktor_GD,'Korrigeringsfaktor GD'!N$1,FALSE),
"")</f>
        <v>139.25551250000001</v>
      </c>
      <c r="O118" s="18">
        <f>IFERROR(
                  Andel_oberoende_av_klimat*VLOOKUP($A118,Leveranser_per_nät,'Leveranser per nät'!O$1,FALSE)
               +Andel_beroende_av_klimat*VLOOKUP($A118,Leveranser_per_nät,'Leveranser per nät'!O$1,FALSE)/VLOOKUP($B118,Korrigeringsfaktor_GD,'Korrigeringsfaktor GD'!O$1,FALSE),
"")</f>
        <v>145.07422680412373</v>
      </c>
      <c r="P118" s="18">
        <f>IFERROR(
                  Andel_oberoende_av_klimat*VLOOKUP($A118,Leveranser_per_nät,'Leveranser per nät'!P$1,FALSE)
               +Andel_beroende_av_klimat*VLOOKUP($A118,Leveranser_per_nät,'Leveranser per nät'!P$1,FALSE)/VLOOKUP($B118,Korrigeringsfaktor_GD,'Korrigeringsfaktor GD'!P$1,FALSE),
"")</f>
        <v>150.1142857142857</v>
      </c>
      <c r="Q118" s="18">
        <f>IFERROR(
                  Andel_oberoende_av_klimat*VLOOKUP($A118,Leveranser_per_nät,'Leveranser per nät'!Q$1,FALSE)
               +Andel_beroende_av_klimat*VLOOKUP($A118,Leveranser_per_nät,'Leveranser per nät'!Q$1,FALSE)/VLOOKUP($B118,Korrigeringsfaktor_GD,'Korrigeringsfaktor GD'!Q$1,FALSE),
"")</f>
        <v>149.81886792452829</v>
      </c>
      <c r="R118" s="18">
        <f>IFERROR(
                  Andel_oberoende_av_klimat*VLOOKUP($A118,Leveranser_per_nät,'Leveranser per nät'!R$1,FALSE)
               +Andel_beroende_av_klimat*VLOOKUP($A118,Leveranser_per_nät,'Leveranser per nät'!R$1,FALSE)/VLOOKUP($B118,Korrigeringsfaktor_GD,'Korrigeringsfaktor GD'!R$1,FALSE),
"")</f>
        <v>158.24615384615385</v>
      </c>
      <c r="S118" s="18">
        <f>IFERROR(
                  Andel_oberoende_av_klimat*VLOOKUP($A118,Leveranser_per_nät,'Leveranser per nät'!S$1,FALSE)
               +Andel_beroende_av_klimat*VLOOKUP($A118,Leveranser_per_nät,'Leveranser per nät'!S$1,FALSE)/VLOOKUP($B118,Korrigeringsfaktor_GD,'Korrigeringsfaktor GD'!S$1,FALSE),
"")</f>
        <v>163.59514563106796</v>
      </c>
      <c r="T118" s="18">
        <f>IFERROR(
                  Andel_oberoende_av_klimat*VLOOKUP($A118,Leveranser_per_nät,'Leveranser per nät'!T$1,FALSE)
               +Andel_beroende_av_klimat*VLOOKUP($A118,Leveranser_per_nät,'Leveranser per nät'!T$1,FALSE)/VLOOKUP($B118,Korrigeringsfaktor_GD,'Korrigeringsfaktor GD'!T$1,FALSE),
"")</f>
        <v>159.88105263157894</v>
      </c>
      <c r="U118" s="18">
        <f>IFERROR(
                  Andel_oberoende_av_klimat*VLOOKUP($A118,Leveranser_per_nät,'Leveranser per nät'!U$1,FALSE)
               +Andel_beroende_av_klimat*VLOOKUP($A118,Leveranser_per_nät,'Leveranser per nät'!U$1,FALSE)/VLOOKUP($B118,Korrigeringsfaktor_GD,'Korrigeringsfaktor GD'!U$1,FALSE),
"")</f>
        <v>163.16666666666666</v>
      </c>
      <c r="V118" s="18">
        <f>IFERROR(
                  Andel_oberoende_av_klimat*VLOOKUP($A118,Leveranser_per_nät,'Leveranser per nät'!V$1,FALSE)
               +Andel_beroende_av_klimat*VLOOKUP($A118,Leveranser_per_nät,'Leveranser per nät'!V$1,FALSE)/VLOOKUP($B118,Korrigeringsfaktor_GD,'Korrigeringsfaktor GD'!V$1,FALSE),
"")</f>
        <v>164.68444444444447</v>
      </c>
      <c r="W118" s="18">
        <f>IFERROR(
                  Andel_oberoende_av_klimat*VLOOKUP($A118,Leveranser_per_nät,'Leveranser per nät'!W$1,FALSE)
               +Andel_beroende_av_klimat*VLOOKUP($A118,Leveranser_per_nät,'Leveranser per nät'!W$1,FALSE)/VLOOKUP($B118,Korrigeringsfaktor_GD,'Korrigeringsfaktor GD'!W$1,FALSE),
"")</f>
        <v>164.0148936170213</v>
      </c>
      <c r="X118" s="18">
        <f>IFERROR(
                  Andel_oberoende_av_klimat*VLOOKUP($A118,Leveranser_per_nät,'Leveranser per nät'!X$1,FALSE)
               +Andel_beroende_av_klimat*VLOOKUP($A118,Leveranser_per_nät,'Leveranser per nät'!X$1,FALSE)/VLOOKUP($B118,Korrigeringsfaktor_GD,'Korrigeringsfaktor GD'!X$1,FALSE),
"")</f>
        <v>162.74262626262626</v>
      </c>
      <c r="Y118" s="18">
        <f>IFERROR(
                  Andel_oberoende_av_klimat*VLOOKUP($A118,Leveranser_per_nät,'Leveranser per nät'!Y$1,FALSE)
               +Andel_beroende_av_klimat*VLOOKUP($A118,Leveranser_per_nät,'Leveranser per nät'!Y$1,FALSE)/VLOOKUP($B118,Korrigeringsfaktor_GD,'Korrigeringsfaktor GD'!Y$1,FALSE),
"")</f>
        <v>165.50721649484535</v>
      </c>
      <c r="Z118" s="18">
        <f>IFERROR(
                  Andel_oberoende_av_klimat*VLOOKUP($A118,Leveranser_per_nät,'Leveranser per nät'!Z$1,FALSE)
               +Andel_beroende_av_klimat*VLOOKUP($A118,Leveranser_per_nät,'Leveranser per nät'!Z$1,FALSE)/VLOOKUP($B118,Korrigeringsfaktor_GD,'Korrigeringsfaktor GD'!Z$1,FALSE),
"")</f>
        <v>172.37234042553192</v>
      </c>
      <c r="AA118" s="18">
        <f>IFERROR(
                  Andel_oberoende_av_klimat*VLOOKUP($A118,Leveranser_per_nät,'Leveranser per nät'!AA$1,FALSE)
               +Andel_beroende_av_klimat*VLOOKUP($A118,Leveranser_per_nät,'Leveranser per nät'!AA$1,FALSE)/VLOOKUP($B118,Korrigeringsfaktor_GD,'Korrigeringsfaktor GD'!AA$1,FALSE),
"")</f>
        <v>167.49619883040936</v>
      </c>
      <c r="AB118" s="18">
        <f>IFERROR(
                  Andel_oberoende_av_klimat*VLOOKUP($A118,Leveranser_per_nät,'Leveranser per nät'!AB$1,FALSE)
               +Andel_beroende_av_klimat*VLOOKUP($A118,Leveranser_per_nät,'Leveranser per nät'!AB$1,FALSE)/VLOOKUP($B118,Korrigeringsfaktor_GD,'Korrigeringsfaktor GD'!AB$1,FALSE),
"")</f>
        <v>150.4265882352941</v>
      </c>
      <c r="AC118" s="18">
        <f>IFERROR(
                  Andel_oberoende_av_klimat*VLOOKUP($A118,Leveranser_per_nät,'Leveranser per nät'!AC$1,FALSE)
               +Andel_beroende_av_klimat*VLOOKUP($A118,Leveranser_per_nät,'Leveranser per nät'!AC$1,FALSE)/VLOOKUP($B118,Korrigeringsfaktor_GD,'Korrigeringsfaktor GD'!AC$1,FALSE),
"")</f>
        <v>147.30655933952531</v>
      </c>
      <c r="AD118">
        <v>141.4</v>
      </c>
    </row>
    <row r="119" spans="1:30" x14ac:dyDescent="0.25">
      <c r="A119" t="s">
        <v>322</v>
      </c>
      <c r="B119" t="s">
        <v>321</v>
      </c>
      <c r="C119" s="18">
        <f>IFERROR(
                  Andel_oberoende_av_klimat*VLOOKUP($A119,Leveranser_per_nät,'Leveranser per nät'!C$1,FALSE)
               +Andel_beroende_av_klimat*VLOOKUP($A119,Leveranser_per_nät,'Leveranser per nät'!C$1,FALSE)/VLOOKUP($B119,Korrigeringsfaktor_GD,'Korrigeringsfaktor GD'!C$1,FALSE),
"")</f>
        <v>0</v>
      </c>
      <c r="D119" s="18">
        <f>IFERROR(
                  Andel_oberoende_av_klimat*VLOOKUP($A119,Leveranser_per_nät,'Leveranser per nät'!D$1,FALSE)
               +Andel_beroende_av_klimat*VLOOKUP($A119,Leveranser_per_nät,'Leveranser per nät'!D$1,FALSE)/VLOOKUP($B119,Korrigeringsfaktor_GD,'Korrigeringsfaktor GD'!D$1,FALSE),
"")</f>
        <v>0</v>
      </c>
      <c r="E119" s="18">
        <f>IFERROR(
                  Andel_oberoende_av_klimat*VLOOKUP($A119,Leveranser_per_nät,'Leveranser per nät'!E$1,FALSE)
               +Andel_beroende_av_klimat*VLOOKUP($A119,Leveranser_per_nät,'Leveranser per nät'!E$1,FALSE)/VLOOKUP($B119,Korrigeringsfaktor_GD,'Korrigeringsfaktor GD'!E$1,FALSE),
"")</f>
        <v>0</v>
      </c>
      <c r="F119" s="18">
        <f>IFERROR(
                  Andel_oberoende_av_klimat*VLOOKUP($A119,Leveranser_per_nät,'Leveranser per nät'!F$1,FALSE)
               +Andel_beroende_av_klimat*VLOOKUP($A119,Leveranser_per_nät,'Leveranser per nät'!F$1,FALSE)/VLOOKUP($B119,Korrigeringsfaktor_GD,'Korrigeringsfaktor GD'!F$1,FALSE),
"")</f>
        <v>0</v>
      </c>
      <c r="G119" s="18">
        <f>IFERROR(
                  Andel_oberoende_av_klimat*VLOOKUP($A119,Leveranser_per_nät,'Leveranser per nät'!G$1,FALSE)
               +Andel_beroende_av_klimat*VLOOKUP($A119,Leveranser_per_nät,'Leveranser per nät'!G$1,FALSE)/VLOOKUP($B119,Korrigeringsfaktor_GD,'Korrigeringsfaktor GD'!G$1,FALSE),
"")</f>
        <v>0</v>
      </c>
      <c r="H119" s="18">
        <f>IFERROR(
                  Andel_oberoende_av_klimat*VLOOKUP($A119,Leveranser_per_nät,'Leveranser per nät'!H$1,FALSE)
               +Andel_beroende_av_klimat*VLOOKUP($A119,Leveranser_per_nät,'Leveranser per nät'!H$1,FALSE)/VLOOKUP($B119,Korrigeringsfaktor_GD,'Korrigeringsfaktor GD'!H$1,FALSE),
"")</f>
        <v>0</v>
      </c>
      <c r="I119" s="18">
        <f>IFERROR(
                  Andel_oberoende_av_klimat*VLOOKUP($A119,Leveranser_per_nät,'Leveranser per nät'!I$1,FALSE)
               +Andel_beroende_av_klimat*VLOOKUP($A119,Leveranser_per_nät,'Leveranser per nät'!I$1,FALSE)/VLOOKUP($B119,Korrigeringsfaktor_GD,'Korrigeringsfaktor GD'!I$1,FALSE),
"")</f>
        <v>0</v>
      </c>
      <c r="J119" s="18">
        <f>IFERROR(
                  Andel_oberoende_av_klimat*VLOOKUP($A119,Leveranser_per_nät,'Leveranser per nät'!J$1,FALSE)
               +Andel_beroende_av_klimat*VLOOKUP($A119,Leveranser_per_nät,'Leveranser per nät'!J$1,FALSE)/VLOOKUP($B119,Korrigeringsfaktor_GD,'Korrigeringsfaktor GD'!J$1,FALSE),
"")</f>
        <v>0</v>
      </c>
      <c r="K119" s="18">
        <f>IFERROR(
                  Andel_oberoende_av_klimat*VLOOKUP($A119,Leveranser_per_nät,'Leveranser per nät'!K$1,FALSE)
               +Andel_beroende_av_klimat*VLOOKUP($A119,Leveranser_per_nät,'Leveranser per nät'!K$1,FALSE)/VLOOKUP($B119,Korrigeringsfaktor_GD,'Korrigeringsfaktor GD'!K$1,FALSE),
"")</f>
        <v>0</v>
      </c>
      <c r="L119" s="18">
        <f>IFERROR(
                  Andel_oberoende_av_klimat*VLOOKUP($A119,Leveranser_per_nät,'Leveranser per nät'!L$1,FALSE)
               +Andel_beroende_av_klimat*VLOOKUP($A119,Leveranser_per_nät,'Leveranser per nät'!L$1,FALSE)/VLOOKUP($B119,Korrigeringsfaktor_GD,'Korrigeringsfaktor GD'!L$1,FALSE),
"")</f>
        <v>2.2971000000000004</v>
      </c>
      <c r="M119" s="18">
        <f>IFERROR(
                  Andel_oberoende_av_klimat*VLOOKUP($A119,Leveranser_per_nät,'Leveranser per nät'!M$1,FALSE)
               +Andel_beroende_av_klimat*VLOOKUP($A119,Leveranser_per_nät,'Leveranser per nät'!M$1,FALSE)/VLOOKUP($B119,Korrigeringsfaktor_GD,'Korrigeringsfaktor GD'!M$1,FALSE),
"")</f>
        <v>2.1095870967741934</v>
      </c>
      <c r="N119" s="18">
        <f>IFERROR(
                  Andel_oberoende_av_klimat*VLOOKUP($A119,Leveranser_per_nät,'Leveranser per nät'!N$1,FALSE)
               +Andel_beroende_av_klimat*VLOOKUP($A119,Leveranser_per_nät,'Leveranser per nät'!N$1,FALSE)/VLOOKUP($B119,Korrigeringsfaktor_GD,'Korrigeringsfaktor GD'!N$1,FALSE),
"")</f>
        <v>2.3084692307692305</v>
      </c>
      <c r="O119" s="18">
        <f>IFERROR(
                  Andel_oberoende_av_klimat*VLOOKUP($A119,Leveranser_per_nät,'Leveranser per nät'!O$1,FALSE)
               +Andel_beroende_av_klimat*VLOOKUP($A119,Leveranser_per_nät,'Leveranser per nät'!O$1,FALSE)/VLOOKUP($B119,Korrigeringsfaktor_GD,'Korrigeringsfaktor GD'!O$1,FALSE),
"")</f>
        <v>2.177111111111111</v>
      </c>
      <c r="P119" s="18">
        <f>IFERROR(
                  Andel_oberoende_av_klimat*VLOOKUP($A119,Leveranser_per_nät,'Leveranser per nät'!P$1,FALSE)
               +Andel_beroende_av_klimat*VLOOKUP($A119,Leveranser_per_nät,'Leveranser per nät'!P$1,FALSE)/VLOOKUP($B119,Korrigeringsfaktor_GD,'Korrigeringsfaktor GD'!P$1,FALSE),
"")</f>
        <v>2.1924597938144328</v>
      </c>
      <c r="Q119" s="18">
        <f>IFERROR(
                  Andel_oberoende_av_klimat*VLOOKUP($A119,Leveranser_per_nät,'Leveranser per nät'!Q$1,FALSE)
               +Andel_beroende_av_klimat*VLOOKUP($A119,Leveranser_per_nät,'Leveranser per nät'!Q$1,FALSE)/VLOOKUP($B119,Korrigeringsfaktor_GD,'Korrigeringsfaktor GD'!Q$1,FALSE),
"")</f>
        <v>2.3308043478260871</v>
      </c>
      <c r="R119" s="18">
        <f>IFERROR(
                  Andel_oberoende_av_klimat*VLOOKUP($A119,Leveranser_per_nät,'Leveranser per nät'!R$1,FALSE)
               +Andel_beroende_av_klimat*VLOOKUP($A119,Leveranser_per_nät,'Leveranser per nät'!R$1,FALSE)/VLOOKUP($B119,Korrigeringsfaktor_GD,'Korrigeringsfaktor GD'!R$1,FALSE),
"")</f>
        <v>2.2913615384615382</v>
      </c>
      <c r="S119" s="18">
        <f>IFERROR(
                  Andel_oberoende_av_klimat*VLOOKUP($A119,Leveranser_per_nät,'Leveranser per nät'!S$1,FALSE)
               +Andel_beroende_av_klimat*VLOOKUP($A119,Leveranser_per_nät,'Leveranser per nät'!S$1,FALSE)/VLOOKUP($B119,Korrigeringsfaktor_GD,'Korrigeringsfaktor GD'!S$1,FALSE),
"")</f>
        <v>2.3374705882352944</v>
      </c>
      <c r="T119" s="18">
        <f>IFERROR(
                  Andel_oberoende_av_klimat*VLOOKUP($A119,Leveranser_per_nät,'Leveranser per nät'!T$1,FALSE)
               +Andel_beroende_av_klimat*VLOOKUP($A119,Leveranser_per_nät,'Leveranser per nät'!T$1,FALSE)/VLOOKUP($B119,Korrigeringsfaktor_GD,'Korrigeringsfaktor GD'!T$1,FALSE),
"")</f>
        <v>2.322714285714286</v>
      </c>
      <c r="U119" s="18">
        <f>IFERROR(
                  Andel_oberoende_av_klimat*VLOOKUP($A119,Leveranser_per_nät,'Leveranser per nät'!U$1,FALSE)
               +Andel_beroende_av_klimat*VLOOKUP($A119,Leveranser_per_nät,'Leveranser per nät'!U$1,FALSE)/VLOOKUP($B119,Korrigeringsfaktor_GD,'Korrigeringsfaktor GD'!U$1,FALSE),
"")</f>
        <v>2.4032294117647059</v>
      </c>
      <c r="V119" s="18">
        <f>IFERROR(
                  Andel_oberoende_av_klimat*VLOOKUP($A119,Leveranser_per_nät,'Leveranser per nät'!V$1,FALSE)
               +Andel_beroende_av_klimat*VLOOKUP($A119,Leveranser_per_nät,'Leveranser per nät'!V$1,FALSE)/VLOOKUP($B119,Korrigeringsfaktor_GD,'Korrigeringsfaktor GD'!V$1,FALSE),
"")</f>
        <v>2.4335692307692307</v>
      </c>
      <c r="W119" s="18">
        <f>IFERROR(
                  Andel_oberoende_av_klimat*VLOOKUP($A119,Leveranser_per_nät,'Leveranser per nät'!W$1,FALSE)
               +Andel_beroende_av_klimat*VLOOKUP($A119,Leveranser_per_nät,'Leveranser per nät'!W$1,FALSE)/VLOOKUP($B119,Korrigeringsfaktor_GD,'Korrigeringsfaktor GD'!W$1,FALSE),
"")</f>
        <v>2.4106578947368424</v>
      </c>
      <c r="X119" s="18">
        <f>IFERROR(
                  Andel_oberoende_av_klimat*VLOOKUP($A119,Leveranser_per_nät,'Leveranser per nät'!X$1,FALSE)
               +Andel_beroende_av_klimat*VLOOKUP($A119,Leveranser_per_nät,'Leveranser per nät'!X$1,FALSE)/VLOOKUP($B119,Korrigeringsfaktor_GD,'Korrigeringsfaktor GD'!X$1,FALSE),
"")</f>
        <v>2.3674956989247313</v>
      </c>
      <c r="Y119" s="18">
        <f>IFERROR(
                  Andel_oberoende_av_klimat*VLOOKUP($A119,Leveranser_per_nät,'Leveranser per nät'!Y$1,FALSE)
               +Andel_beroende_av_klimat*VLOOKUP($A119,Leveranser_per_nät,'Leveranser per nät'!Y$1,FALSE)/VLOOKUP($B119,Korrigeringsfaktor_GD,'Korrigeringsfaktor GD'!Y$1,FALSE),
"")</f>
        <v>2.3106076923076921</v>
      </c>
      <c r="Z119" s="18">
        <f>IFERROR(
                  Andel_oberoende_av_klimat*VLOOKUP($A119,Leveranser_per_nät,'Leveranser per nät'!Z$1,FALSE)
               +Andel_beroende_av_klimat*VLOOKUP($A119,Leveranser_per_nät,'Leveranser per nät'!Z$1,FALSE)/VLOOKUP($B119,Korrigeringsfaktor_GD,'Korrigeringsfaktor GD'!Z$1,FALSE),
"")</f>
        <v>2.3461655172413791</v>
      </c>
      <c r="AA119" s="18">
        <f>IFERROR(
                  Andel_oberoende_av_klimat*VLOOKUP($A119,Leveranser_per_nät,'Leveranser per nät'!AA$1,FALSE)
               +Andel_beroende_av_klimat*VLOOKUP($A119,Leveranser_per_nät,'Leveranser per nät'!AA$1,FALSE)/VLOOKUP($B119,Korrigeringsfaktor_GD,'Korrigeringsfaktor GD'!AA$1,FALSE),
"")</f>
        <v>2.3914891432791725</v>
      </c>
      <c r="AB119" s="18">
        <f>IFERROR(
                  Andel_oberoende_av_klimat*VLOOKUP($A119,Leveranser_per_nät,'Leveranser per nät'!AB$1,FALSE)
               +Andel_beroende_av_klimat*VLOOKUP($A119,Leveranser_per_nät,'Leveranser per nät'!AB$1,FALSE)/VLOOKUP($B119,Korrigeringsfaktor_GD,'Korrigeringsfaktor GD'!AB$1,FALSE),
"")</f>
        <v>2.2898244781783683</v>
      </c>
      <c r="AC119" s="18">
        <f>IFERROR(
                  Andel_oberoende_av_klimat*VLOOKUP($A119,Leveranser_per_nät,'Leveranser per nät'!AC$1,FALSE)
               +Andel_beroende_av_klimat*VLOOKUP($A119,Leveranser_per_nät,'Leveranser per nät'!AC$1,FALSE)/VLOOKUP($B119,Korrigeringsfaktor_GD,'Korrigeringsfaktor GD'!AC$1,FALSE),
"")</f>
        <v>2.2679428571428577</v>
      </c>
      <c r="AD119">
        <v>48.066000000000003</v>
      </c>
    </row>
    <row r="120" spans="1:30" x14ac:dyDescent="0.25">
      <c r="A120" t="s">
        <v>138</v>
      </c>
      <c r="B120" t="s">
        <v>138</v>
      </c>
      <c r="C120" s="18">
        <f>IFERROR(
                  Andel_oberoende_av_klimat*VLOOKUP($A120,Leveranser_per_nät,'Leveranser per nät'!C$1,FALSE)
               +Andel_beroende_av_klimat*VLOOKUP($A120,Leveranser_per_nät,'Leveranser per nät'!C$1,FALSE)/VLOOKUP($B120,Korrigeringsfaktor_GD,'Korrigeringsfaktor GD'!C$1,FALSE),
"")</f>
        <v>674.18181818181813</v>
      </c>
      <c r="D120" s="18">
        <f>IFERROR(
                  Andel_oberoende_av_klimat*VLOOKUP($A120,Leveranser_per_nät,'Leveranser per nät'!D$1,FALSE)
               +Andel_beroende_av_klimat*VLOOKUP($A120,Leveranser_per_nät,'Leveranser per nät'!D$1,FALSE)/VLOOKUP($B120,Korrigeringsfaktor_GD,'Korrigeringsfaktor GD'!D$1,FALSE),
"")</f>
        <v>621.23587500000008</v>
      </c>
      <c r="E120" s="18">
        <f>IFERROR(
                  Andel_oberoende_av_klimat*VLOOKUP($A120,Leveranser_per_nät,'Leveranser per nät'!E$1,FALSE)
               +Andel_beroende_av_klimat*VLOOKUP($A120,Leveranser_per_nät,'Leveranser per nät'!E$1,FALSE)/VLOOKUP($B120,Korrigeringsfaktor_GD,'Korrigeringsfaktor GD'!E$1,FALSE),
"")</f>
        <v>617.40784313725487</v>
      </c>
      <c r="F120" s="18">
        <f>IFERROR(
                  Andel_oberoende_av_klimat*VLOOKUP($A120,Leveranser_per_nät,'Leveranser per nät'!F$1,FALSE)
               +Andel_beroende_av_klimat*VLOOKUP($A120,Leveranser_per_nät,'Leveranser per nät'!F$1,FALSE)/VLOOKUP($B120,Korrigeringsfaktor_GD,'Korrigeringsfaktor GD'!F$1,FALSE),
"")</f>
        <v>675.31030927835059</v>
      </c>
      <c r="G120" s="18">
        <f>IFERROR(
                  Andel_oberoende_av_klimat*VLOOKUP($A120,Leveranser_per_nät,'Leveranser per nät'!G$1,FALSE)
               +Andel_beroende_av_klimat*VLOOKUP($A120,Leveranser_per_nät,'Leveranser per nät'!G$1,FALSE)/VLOOKUP($B120,Korrigeringsfaktor_GD,'Korrigeringsfaktor GD'!G$1,FALSE),
"")</f>
        <v>718.18764044943828</v>
      </c>
      <c r="H120" s="18">
        <f>IFERROR(
                  Andel_oberoende_av_klimat*VLOOKUP($A120,Leveranser_per_nät,'Leveranser per nät'!H$1,FALSE)
               +Andel_beroende_av_klimat*VLOOKUP($A120,Leveranser_per_nät,'Leveranser per nät'!H$1,FALSE)/VLOOKUP($B120,Korrigeringsfaktor_GD,'Korrigeringsfaktor GD'!H$1,FALSE),
"")</f>
        <v>677.22</v>
      </c>
      <c r="I120" s="18">
        <f>IFERROR(
                  Andel_oberoende_av_klimat*VLOOKUP($A120,Leveranser_per_nät,'Leveranser per nät'!I$1,FALSE)
               +Andel_beroende_av_klimat*VLOOKUP($A120,Leveranser_per_nät,'Leveranser per nät'!I$1,FALSE)/VLOOKUP($B120,Korrigeringsfaktor_GD,'Korrigeringsfaktor GD'!I$1,FALSE),
"")</f>
        <v>711.06804123711345</v>
      </c>
      <c r="J120" s="18">
        <f>IFERROR(
                  Andel_oberoende_av_klimat*VLOOKUP($A120,Leveranser_per_nät,'Leveranser per nät'!J$1,FALSE)
               +Andel_beroende_av_klimat*VLOOKUP($A120,Leveranser_per_nät,'Leveranser per nät'!J$1,FALSE)/VLOOKUP($B120,Korrigeringsfaktor_GD,'Korrigeringsfaktor GD'!J$1,FALSE),
"")</f>
        <v>726.00542857142852</v>
      </c>
      <c r="K120" s="18">
        <f>IFERROR(
                  Andel_oberoende_av_klimat*VLOOKUP($A120,Leveranser_per_nät,'Leveranser per nät'!K$1,FALSE)
               +Andel_beroende_av_klimat*VLOOKUP($A120,Leveranser_per_nät,'Leveranser per nät'!K$1,FALSE)/VLOOKUP($B120,Korrigeringsfaktor_GD,'Korrigeringsfaktor GD'!K$1,FALSE),
"")</f>
        <v>727.60799999999995</v>
      </c>
      <c r="L120" s="18">
        <f>IFERROR(
                  Andel_oberoende_av_klimat*VLOOKUP($A120,Leveranser_per_nät,'Leveranser per nät'!L$1,FALSE)
               +Andel_beroende_av_klimat*VLOOKUP($A120,Leveranser_per_nät,'Leveranser per nät'!L$1,FALSE)/VLOOKUP($B120,Korrigeringsfaktor_GD,'Korrigeringsfaktor GD'!L$1,FALSE),
"")</f>
        <v>722.34457446808517</v>
      </c>
      <c r="M120" s="18">
        <f>IFERROR(
                  Andel_oberoende_av_klimat*VLOOKUP($A120,Leveranser_per_nät,'Leveranser per nät'!M$1,FALSE)
               +Andel_beroende_av_klimat*VLOOKUP($A120,Leveranser_per_nät,'Leveranser per nät'!M$1,FALSE)/VLOOKUP($B120,Korrigeringsfaktor_GD,'Korrigeringsfaktor GD'!M$1,FALSE),
"")</f>
        <v>702.29565217391303</v>
      </c>
      <c r="N120" s="18">
        <f>IFERROR(
                  Andel_oberoende_av_klimat*VLOOKUP($A120,Leveranser_per_nät,'Leveranser per nät'!N$1,FALSE)
               +Andel_beroende_av_klimat*VLOOKUP($A120,Leveranser_per_nät,'Leveranser per nät'!N$1,FALSE)/VLOOKUP($B120,Korrigeringsfaktor_GD,'Korrigeringsfaktor GD'!N$1,FALSE),
"")</f>
        <v>712.66989247311824</v>
      </c>
      <c r="O120" s="18">
        <f>IFERROR(
                  Andel_oberoende_av_klimat*VLOOKUP($A120,Leveranser_per_nät,'Leveranser per nät'!O$1,FALSE)
               +Andel_beroende_av_klimat*VLOOKUP($A120,Leveranser_per_nät,'Leveranser per nät'!O$1,FALSE)/VLOOKUP($B120,Korrigeringsfaktor_GD,'Korrigeringsfaktor GD'!O$1,FALSE),
"")</f>
        <v>714.10645555555561</v>
      </c>
      <c r="P120" s="18">
        <f>IFERROR(
                  Andel_oberoende_av_klimat*VLOOKUP($A120,Leveranser_per_nät,'Leveranser per nät'!P$1,FALSE)
               +Andel_beroende_av_klimat*VLOOKUP($A120,Leveranser_per_nät,'Leveranser per nät'!P$1,FALSE)/VLOOKUP($B120,Korrigeringsfaktor_GD,'Korrigeringsfaktor GD'!P$1,FALSE),
"")</f>
        <v>710</v>
      </c>
      <c r="Q120" s="18">
        <f>IFERROR(
                  Andel_oberoende_av_klimat*VLOOKUP($A120,Leveranser_per_nät,'Leveranser per nät'!Q$1,FALSE)
               +Andel_beroende_av_klimat*VLOOKUP($A120,Leveranser_per_nät,'Leveranser per nät'!Q$1,FALSE)/VLOOKUP($B120,Korrigeringsfaktor_GD,'Korrigeringsfaktor GD'!Q$1,FALSE),
"")</f>
        <v>739.67826086956529</v>
      </c>
      <c r="R120" s="18">
        <f>IFERROR(
                  Andel_oberoende_av_klimat*VLOOKUP($A120,Leveranser_per_nät,'Leveranser per nät'!R$1,FALSE)
               +Andel_beroende_av_klimat*VLOOKUP($A120,Leveranser_per_nät,'Leveranser per nät'!R$1,FALSE)/VLOOKUP($B120,Korrigeringsfaktor_GD,'Korrigeringsfaktor GD'!R$1,FALSE),
"")</f>
        <v>720.44769230769214</v>
      </c>
      <c r="S120" s="18">
        <f>IFERROR(
                  Andel_oberoende_av_klimat*VLOOKUP($A120,Leveranser_per_nät,'Leveranser per nät'!S$1,FALSE)
               +Andel_beroende_av_klimat*VLOOKUP($A120,Leveranser_per_nät,'Leveranser per nät'!S$1,FALSE)/VLOOKUP($B120,Korrigeringsfaktor_GD,'Korrigeringsfaktor GD'!S$1,FALSE),
"")</f>
        <v>732</v>
      </c>
      <c r="T120" s="18">
        <f>IFERROR(
                  Andel_oberoende_av_klimat*VLOOKUP($A120,Leveranser_per_nät,'Leveranser per nät'!T$1,FALSE)
               +Andel_beroende_av_klimat*VLOOKUP($A120,Leveranser_per_nät,'Leveranser per nät'!T$1,FALSE)/VLOOKUP($B120,Korrigeringsfaktor_GD,'Korrigeringsfaktor GD'!T$1,FALSE),
"")</f>
        <v>722.57791666666662</v>
      </c>
      <c r="U120" s="18">
        <f>IFERROR(
                  Andel_oberoende_av_klimat*VLOOKUP($A120,Leveranser_per_nät,'Leveranser per nät'!U$1,FALSE)
               +Andel_beroende_av_klimat*VLOOKUP($A120,Leveranser_per_nät,'Leveranser per nät'!U$1,FALSE)/VLOOKUP($B120,Korrigeringsfaktor_GD,'Korrigeringsfaktor GD'!U$1,FALSE),
"")</f>
        <v>701.20222222222219</v>
      </c>
      <c r="V120" s="18">
        <f>IFERROR(
                  Andel_oberoende_av_klimat*VLOOKUP($A120,Leveranser_per_nät,'Leveranser per nät'!V$1,FALSE)
               +Andel_beroende_av_klimat*VLOOKUP($A120,Leveranser_per_nät,'Leveranser per nät'!V$1,FALSE)/VLOOKUP($B120,Korrigeringsfaktor_GD,'Korrigeringsfaktor GD'!V$1,FALSE),
"")</f>
        <v>698.07666666666671</v>
      </c>
      <c r="W120" s="18">
        <f>IFERROR(
                  Andel_oberoende_av_klimat*VLOOKUP($A120,Leveranser_per_nät,'Leveranser per nät'!W$1,FALSE)
               +Andel_beroende_av_klimat*VLOOKUP($A120,Leveranser_per_nät,'Leveranser per nät'!W$1,FALSE)/VLOOKUP($B120,Korrigeringsfaktor_GD,'Korrigeringsfaktor GD'!W$1,FALSE),
"")</f>
        <v>714.17684210526306</v>
      </c>
      <c r="X120" s="18">
        <f>IFERROR(
                  Andel_oberoende_av_klimat*VLOOKUP($A120,Leveranser_per_nät,'Leveranser per nät'!X$1,FALSE)
               +Andel_beroende_av_klimat*VLOOKUP($A120,Leveranser_per_nät,'Leveranser per nät'!X$1,FALSE)/VLOOKUP($B120,Korrigeringsfaktor_GD,'Korrigeringsfaktor GD'!X$1,FALSE),
"")</f>
        <v>710.02947368421053</v>
      </c>
      <c r="Y120" s="18">
        <f>IFERROR(
                  Andel_oberoende_av_klimat*VLOOKUP($A120,Leveranser_per_nät,'Leveranser per nät'!Y$1,FALSE)
               +Andel_beroende_av_klimat*VLOOKUP($A120,Leveranser_per_nät,'Leveranser per nät'!Y$1,FALSE)/VLOOKUP($B120,Korrigeringsfaktor_GD,'Korrigeringsfaktor GD'!Y$1,FALSE),
"")</f>
        <v>710.38297872340422</v>
      </c>
      <c r="Z120" s="18">
        <f>IFERROR(
                  Andel_oberoende_av_klimat*VLOOKUP($A120,Leveranser_per_nät,'Leveranser per nät'!Z$1,FALSE)
               +Andel_beroende_av_klimat*VLOOKUP($A120,Leveranser_per_nät,'Leveranser per nät'!Z$1,FALSE)/VLOOKUP($B120,Korrigeringsfaktor_GD,'Korrigeringsfaktor GD'!Z$1,FALSE),
"")</f>
        <v>750.38636363636351</v>
      </c>
      <c r="AA120" s="18">
        <f>IFERROR(
                  Andel_oberoende_av_klimat*VLOOKUP($A120,Leveranser_per_nät,'Leveranser per nät'!AA$1,FALSE)
               +Andel_beroende_av_klimat*VLOOKUP($A120,Leveranser_per_nät,'Leveranser per nät'!AA$1,FALSE)/VLOOKUP($B120,Korrigeringsfaktor_GD,'Korrigeringsfaktor GD'!AA$1,FALSE),
"")</f>
        <v>710.48477489319748</v>
      </c>
      <c r="AB120" s="18">
        <f>IFERROR(
                  Andel_oberoende_av_klimat*VLOOKUP($A120,Leveranser_per_nät,'Leveranser per nät'!AB$1,FALSE)
               +Andel_beroende_av_klimat*VLOOKUP($A120,Leveranser_per_nät,'Leveranser per nät'!AB$1,FALSE)/VLOOKUP($B120,Korrigeringsfaktor_GD,'Korrigeringsfaktor GD'!AB$1,FALSE),
"")</f>
        <v>715.81487411883177</v>
      </c>
      <c r="AC120" s="18">
        <f>IFERROR(
                  Andel_oberoende_av_klimat*VLOOKUP($A120,Leveranser_per_nät,'Leveranser per nät'!AC$1,FALSE)
               +Andel_beroende_av_klimat*VLOOKUP($A120,Leveranser_per_nät,'Leveranser per nät'!AC$1,FALSE)/VLOOKUP($B120,Korrigeringsfaktor_GD,'Korrigeringsfaktor GD'!AC$1,FALSE),
"")</f>
        <v>692.74180149253732</v>
      </c>
      <c r="AD120">
        <v>662.10699999999997</v>
      </c>
    </row>
    <row r="121" spans="1:30" x14ac:dyDescent="0.25">
      <c r="A121" t="s">
        <v>966</v>
      </c>
      <c r="B121" t="s">
        <v>510</v>
      </c>
      <c r="C121" s="18">
        <f>IFERROR(
                  Andel_oberoende_av_klimat*VLOOKUP($A121,Leveranser_per_nät,'Leveranser per nät'!C$1,FALSE)
               +Andel_beroende_av_klimat*VLOOKUP($A121,Leveranser_per_nät,'Leveranser per nät'!C$1,FALSE)/VLOOKUP($B121,Korrigeringsfaktor_GD,'Korrigeringsfaktor GD'!C$1,FALSE),
"")</f>
        <v>3388.3280701754384</v>
      </c>
      <c r="D121" s="18">
        <f>IFERROR(
                  Andel_oberoende_av_klimat*VLOOKUP($A121,Leveranser_per_nät,'Leveranser per nät'!D$1,FALSE)
               +Andel_beroende_av_klimat*VLOOKUP($A121,Leveranser_per_nät,'Leveranser per nät'!D$1,FALSE)/VLOOKUP($B121,Korrigeringsfaktor_GD,'Korrigeringsfaktor GD'!D$1,FALSE),
"")</f>
        <v>3678.0506534653468</v>
      </c>
      <c r="E121" s="18">
        <f>IFERROR(
                  Andel_oberoende_av_klimat*VLOOKUP($A121,Leveranser_per_nät,'Leveranser per nät'!E$1,FALSE)
               +Andel_beroende_av_klimat*VLOOKUP($A121,Leveranser_per_nät,'Leveranser per nät'!E$1,FALSE)/VLOOKUP($B121,Korrigeringsfaktor_GD,'Korrigeringsfaktor GD'!E$1,FALSE),
"")</f>
        <v>3676.7239128712872</v>
      </c>
      <c r="F121" s="18">
        <f>IFERROR(
                  Andel_oberoende_av_klimat*VLOOKUP($A121,Leveranser_per_nät,'Leveranser per nät'!F$1,FALSE)
               +Andel_beroende_av_klimat*VLOOKUP($A121,Leveranser_per_nät,'Leveranser per nät'!F$1,FALSE)/VLOOKUP($B121,Korrigeringsfaktor_GD,'Korrigeringsfaktor GD'!F$1,FALSE),
"")</f>
        <v>3965.9210526315792</v>
      </c>
      <c r="G121" s="18">
        <f>IFERROR(
                  Andel_oberoende_av_klimat*VLOOKUP($A121,Leveranser_per_nät,'Leveranser per nät'!G$1,FALSE)
               +Andel_beroende_av_klimat*VLOOKUP($A121,Leveranser_per_nät,'Leveranser per nät'!G$1,FALSE)/VLOOKUP($B121,Korrigeringsfaktor_GD,'Korrigeringsfaktor GD'!G$1,FALSE),
"")</f>
        <v>4254.1883720930236</v>
      </c>
      <c r="H121" s="18">
        <f>IFERROR(
                  Andel_oberoende_av_klimat*VLOOKUP($A121,Leveranser_per_nät,'Leveranser per nät'!H$1,FALSE)
               +Andel_beroende_av_klimat*VLOOKUP($A121,Leveranser_per_nät,'Leveranser per nät'!H$1,FALSE)/VLOOKUP($B121,Korrigeringsfaktor_GD,'Korrigeringsfaktor GD'!H$1,FALSE),
"")</f>
        <v>3782.3627450980393</v>
      </c>
      <c r="I121" s="18">
        <f>IFERROR(
                  Andel_oberoende_av_klimat*VLOOKUP($A121,Leveranser_per_nät,'Leveranser per nät'!I$1,FALSE)
               +Andel_beroende_av_klimat*VLOOKUP($A121,Leveranser_per_nät,'Leveranser per nät'!I$1,FALSE)/VLOOKUP($B121,Korrigeringsfaktor_GD,'Korrigeringsfaktor GD'!I$1,FALSE),
"")</f>
        <v>3982.5105263157898</v>
      </c>
      <c r="J121" s="18">
        <f>IFERROR(
                  Andel_oberoende_av_klimat*VLOOKUP($A121,Leveranser_per_nät,'Leveranser per nät'!J$1,FALSE)
               +Andel_beroende_av_klimat*VLOOKUP($A121,Leveranser_per_nät,'Leveranser per nät'!J$1,FALSE)/VLOOKUP($B121,Korrigeringsfaktor_GD,'Korrigeringsfaktor GD'!J$1,FALSE),
"")</f>
        <v>3721.1262626262633</v>
      </c>
      <c r="K121" s="18">
        <f>IFERROR(
                  Andel_oberoende_av_klimat*VLOOKUP($A121,Leveranser_per_nät,'Leveranser per nät'!K$1,FALSE)
               +Andel_beroende_av_klimat*VLOOKUP($A121,Leveranser_per_nät,'Leveranser per nät'!K$1,FALSE)/VLOOKUP($B121,Korrigeringsfaktor_GD,'Korrigeringsfaktor GD'!K$1,FALSE),
"")</f>
        <v>3764.2171428571428</v>
      </c>
      <c r="L121" s="18">
        <f>IFERROR(
                  Andel_oberoende_av_klimat*VLOOKUP($A121,Leveranser_per_nät,'Leveranser per nät'!L$1,FALSE)
               +Andel_beroende_av_klimat*VLOOKUP($A121,Leveranser_per_nät,'Leveranser per nät'!L$1,FALSE)/VLOOKUP($B121,Korrigeringsfaktor_GD,'Korrigeringsfaktor GD'!L$1,FALSE),
"")</f>
        <v>3856.2273859805391</v>
      </c>
      <c r="M121" s="18">
        <f>IFERROR(
                  Andel_oberoende_av_klimat*VLOOKUP($A121,Leveranser_per_nät,'Leveranser per nät'!M$1,FALSE)
               +Andel_beroende_av_klimat*VLOOKUP($A121,Leveranser_per_nät,'Leveranser per nät'!M$1,FALSE)/VLOOKUP($B121,Korrigeringsfaktor_GD,'Korrigeringsfaktor GD'!M$1,FALSE),
"")</f>
        <v>3965.7769230769231</v>
      </c>
      <c r="N121" s="18">
        <f>IFERROR(
                  Andel_oberoende_av_klimat*VLOOKUP($A121,Leveranser_per_nät,'Leveranser per nät'!N$1,FALSE)
               +Andel_beroende_av_klimat*VLOOKUP($A121,Leveranser_per_nät,'Leveranser per nät'!N$1,FALSE)/VLOOKUP($B121,Korrigeringsfaktor_GD,'Korrigeringsfaktor GD'!N$1,FALSE),
"")</f>
        <v>4004.9818181818182</v>
      </c>
      <c r="O121" s="18">
        <f>IFERROR(
                  Andel_oberoende_av_klimat*VLOOKUP($A121,Leveranser_per_nät,'Leveranser per nät'!O$1,FALSE)
               +Andel_beroende_av_klimat*VLOOKUP($A121,Leveranser_per_nät,'Leveranser per nät'!O$1,FALSE)/VLOOKUP($B121,Korrigeringsfaktor_GD,'Korrigeringsfaktor GD'!O$1,FALSE),
"")</f>
        <v>4043.9321839080458</v>
      </c>
      <c r="P121" s="18">
        <f>IFERROR(
                  Andel_oberoende_av_klimat*VLOOKUP($A121,Leveranser_per_nät,'Leveranser per nät'!P$1,FALSE)
               +Andel_beroende_av_klimat*VLOOKUP($A121,Leveranser_per_nät,'Leveranser per nät'!P$1,FALSE)/VLOOKUP($B121,Korrigeringsfaktor_GD,'Korrigeringsfaktor GD'!P$1,FALSE),
"")</f>
        <v>3524.8958333333339</v>
      </c>
      <c r="Q121" s="18">
        <f>IFERROR(
                  Andel_oberoende_av_klimat*VLOOKUP($A121,Leveranser_per_nät,'Leveranser per nät'!Q$1,FALSE)
               +Andel_beroende_av_klimat*VLOOKUP($A121,Leveranser_per_nät,'Leveranser per nät'!Q$1,FALSE)/VLOOKUP($B121,Korrigeringsfaktor_GD,'Korrigeringsfaktor GD'!Q$1,FALSE),
"")</f>
        <v>3563.9491525423737</v>
      </c>
      <c r="R121" s="18">
        <f>IFERROR(
                  Andel_oberoende_av_klimat*VLOOKUP($A121,Leveranser_per_nät,'Leveranser per nät'!R$1,FALSE)
               +Andel_beroende_av_klimat*VLOOKUP($A121,Leveranser_per_nät,'Leveranser per nät'!R$1,FALSE)/VLOOKUP($B121,Korrigeringsfaktor_GD,'Korrigeringsfaktor GD'!R$1,FALSE),
"")</f>
        <v>3926.1528674856872</v>
      </c>
      <c r="S121" s="18">
        <f>IFERROR(
                  Andel_oberoende_av_klimat*VLOOKUP($A121,Leveranser_per_nät,'Leveranser per nät'!S$1,FALSE)
               +Andel_beroende_av_klimat*VLOOKUP($A121,Leveranser_per_nät,'Leveranser per nät'!S$1,FALSE)/VLOOKUP($B121,Korrigeringsfaktor_GD,'Korrigeringsfaktor GD'!S$1,FALSE),
"")</f>
        <v>3629.1943137254893</v>
      </c>
      <c r="T121" s="18">
        <f>IFERROR(
                  Andel_oberoende_av_klimat*VLOOKUP($A121,Leveranser_per_nät,'Leveranser per nät'!T$1,FALSE)
               +Andel_beroende_av_klimat*VLOOKUP($A121,Leveranser_per_nät,'Leveranser per nät'!T$1,FALSE)/VLOOKUP($B121,Korrigeringsfaktor_GD,'Korrigeringsfaktor GD'!T$1,FALSE),
"")</f>
        <v>3558.9522284848481</v>
      </c>
      <c r="U121" s="18">
        <f>IFERROR(
                  Andel_oberoende_av_klimat*VLOOKUP($A121,Leveranser_per_nät,'Leveranser per nät'!U$1,FALSE)
               +Andel_beroende_av_klimat*VLOOKUP($A121,Leveranser_per_nät,'Leveranser per nät'!U$1,FALSE)/VLOOKUP($B121,Korrigeringsfaktor_GD,'Korrigeringsfaktor GD'!U$1,FALSE),
"")</f>
        <v>3511.5687333333335</v>
      </c>
      <c r="V121" s="18">
        <f>IFERROR(
                  Andel_oberoende_av_klimat*VLOOKUP($A121,Leveranser_per_nät,'Leveranser per nät'!V$1,FALSE)
               +Andel_beroende_av_klimat*VLOOKUP($A121,Leveranser_per_nät,'Leveranser per nät'!V$1,FALSE)/VLOOKUP($B121,Korrigeringsfaktor_GD,'Korrigeringsfaktor GD'!V$1,FALSE),
"")</f>
        <v>3533.8200112359546</v>
      </c>
      <c r="W121" s="18">
        <f>IFERROR(
                  Andel_oberoende_av_klimat*VLOOKUP($A121,Leveranser_per_nät,'Leveranser per nät'!W$1,FALSE)
               +Andel_beroende_av_klimat*VLOOKUP($A121,Leveranser_per_nät,'Leveranser per nät'!W$1,FALSE)/VLOOKUP($B121,Korrigeringsfaktor_GD,'Korrigeringsfaktor GD'!W$1,FALSE),
"")</f>
        <v>3507.6622580645162</v>
      </c>
      <c r="X121" s="18">
        <f>IFERROR(
                  Andel_oberoende_av_klimat*VLOOKUP($A121,Leveranser_per_nät,'Leveranser per nät'!X$1,FALSE)
               +Andel_beroende_av_klimat*VLOOKUP($A121,Leveranser_per_nät,'Leveranser per nät'!X$1,FALSE)/VLOOKUP($B121,Korrigeringsfaktor_GD,'Korrigeringsfaktor GD'!X$1,FALSE),
"")</f>
        <v>3683.0402307692302</v>
      </c>
      <c r="Y121" s="18">
        <f>IFERROR(
                  Andel_oberoende_av_klimat*VLOOKUP($A121,Leveranser_per_nät,'Leveranser per nät'!Y$1,FALSE)
               +Andel_beroende_av_klimat*VLOOKUP($A121,Leveranser_per_nät,'Leveranser per nät'!Y$1,FALSE)/VLOOKUP($B121,Korrigeringsfaktor_GD,'Korrigeringsfaktor GD'!Y$1,FALSE),
"")</f>
        <v>3382.5301111111112</v>
      </c>
      <c r="Z121" s="18">
        <f>IFERROR(
                  Andel_oberoende_av_klimat*VLOOKUP($A121,Leveranser_per_nät,'Leveranser per nät'!Z$1,FALSE)
               +Andel_beroende_av_klimat*VLOOKUP($A121,Leveranser_per_nät,'Leveranser per nät'!Z$1,FALSE)/VLOOKUP($B121,Korrigeringsfaktor_GD,'Korrigeringsfaktor GD'!Z$1,FALSE),
"")</f>
        <v>3219.3656363636364</v>
      </c>
      <c r="AA121" s="18">
        <f>IFERROR(
                  Andel_oberoende_av_klimat*VLOOKUP($A121,Leveranser_per_nät,'Leveranser per nät'!AA$1,FALSE)
               +Andel_beroende_av_klimat*VLOOKUP($A121,Leveranser_per_nät,'Leveranser per nät'!AA$1,FALSE)/VLOOKUP($B121,Korrigeringsfaktor_GD,'Korrigeringsfaktor GD'!AA$1,FALSE),
"")</f>
        <v>3344.2569567330279</v>
      </c>
      <c r="AB121" s="18">
        <f>IFERROR(
                  Andel_oberoende_av_klimat*VLOOKUP($A121,Leveranser_per_nät,'Leveranser per nät'!AB$1,FALSE)
               +Andel_beroende_av_klimat*VLOOKUP($A121,Leveranser_per_nät,'Leveranser per nät'!AB$1,FALSE)/VLOOKUP($B121,Korrigeringsfaktor_GD,'Korrigeringsfaktor GD'!AB$1,FALSE),
"")</f>
        <v>3270.8344178770953</v>
      </c>
      <c r="AC121" s="18">
        <f>IFERROR(
                  Andel_oberoende_av_klimat*VLOOKUP($A121,Leveranser_per_nät,'Leveranser per nät'!AC$1,FALSE)
               +Andel_beroende_av_klimat*VLOOKUP($A121,Leveranser_per_nät,'Leveranser per nät'!AC$1,FALSE)/VLOOKUP($B121,Korrigeringsfaktor_GD,'Korrigeringsfaktor GD'!AC$1,FALSE),
"")</f>
        <v>3177.8999586776863</v>
      </c>
      <c r="AD121">
        <v>3143.35</v>
      </c>
    </row>
    <row r="122" spans="1:30" x14ac:dyDescent="0.25">
      <c r="A122" t="s">
        <v>139</v>
      </c>
      <c r="B122" t="s">
        <v>139</v>
      </c>
      <c r="C122" s="18">
        <f>IFERROR(
                  Andel_oberoende_av_klimat*VLOOKUP($A122,Leveranser_per_nät,'Leveranser per nät'!C$1,FALSE)
               +Andel_beroende_av_klimat*VLOOKUP($A122,Leveranser_per_nät,'Leveranser per nät'!C$1,FALSE)/VLOOKUP($B122,Korrigeringsfaktor_GD,'Korrigeringsfaktor GD'!C$1,FALSE),
"")</f>
        <v>17.574999999999999</v>
      </c>
      <c r="D122" s="18">
        <f>IFERROR(
                  Andel_oberoende_av_klimat*VLOOKUP($A122,Leveranser_per_nät,'Leveranser per nät'!D$1,FALSE)
               +Andel_beroende_av_klimat*VLOOKUP($A122,Leveranser_per_nät,'Leveranser per nät'!D$1,FALSE)/VLOOKUP($B122,Korrigeringsfaktor_GD,'Korrigeringsfaktor GD'!D$1,FALSE),
"")</f>
        <v>16.979142857142854</v>
      </c>
      <c r="E122" s="18">
        <f>IFERROR(
                  Andel_oberoende_av_klimat*VLOOKUP($A122,Leveranser_per_nät,'Leveranser per nät'!E$1,FALSE)
               +Andel_beroende_av_klimat*VLOOKUP($A122,Leveranser_per_nät,'Leveranser per nät'!E$1,FALSE)/VLOOKUP($B122,Korrigeringsfaktor_GD,'Korrigeringsfaktor GD'!E$1,FALSE),
"")</f>
        <v>17.875247524752474</v>
      </c>
      <c r="F122" s="18">
        <f>IFERROR(
                  Andel_oberoende_av_klimat*VLOOKUP($A122,Leveranser_per_nät,'Leveranser per nät'!F$1,FALSE)
               +Andel_beroende_av_klimat*VLOOKUP($A122,Leveranser_per_nät,'Leveranser per nät'!F$1,FALSE)/VLOOKUP($B122,Korrigeringsfaktor_GD,'Korrigeringsfaktor GD'!F$1,FALSE),
"")</f>
        <v>16.090752631578948</v>
      </c>
      <c r="G122" s="18">
        <f>IFERROR(
                  Andel_oberoende_av_klimat*VLOOKUP($A122,Leveranser_per_nät,'Leveranser per nät'!G$1,FALSE)
               +Andel_beroende_av_klimat*VLOOKUP($A122,Leveranser_per_nät,'Leveranser per nät'!G$1,FALSE)/VLOOKUP($B122,Korrigeringsfaktor_GD,'Korrigeringsfaktor GD'!G$1,FALSE),
"")</f>
        <v>18.343472093023255</v>
      </c>
      <c r="H122" s="18">
        <f>IFERROR(
                  Andel_oberoende_av_klimat*VLOOKUP($A122,Leveranser_per_nät,'Leveranser per nät'!H$1,FALSE)
               +Andel_beroende_av_klimat*VLOOKUP($A122,Leveranser_per_nät,'Leveranser per nät'!H$1,FALSE)/VLOOKUP($B122,Korrigeringsfaktor_GD,'Korrigeringsfaktor GD'!H$1,FALSE),
"")</f>
        <v>19.759</v>
      </c>
      <c r="I122" s="18">
        <f>IFERROR(
                  Andel_oberoende_av_klimat*VLOOKUP($A122,Leveranser_per_nät,'Leveranser per nät'!I$1,FALSE)
               +Andel_beroende_av_klimat*VLOOKUP($A122,Leveranser_per_nät,'Leveranser per nät'!I$1,FALSE)/VLOOKUP($B122,Korrigeringsfaktor_GD,'Korrigeringsfaktor GD'!I$1,FALSE),
"")</f>
        <v>26.665478723404256</v>
      </c>
      <c r="J122" s="18">
        <f>IFERROR(
                  Andel_oberoende_av_klimat*VLOOKUP($A122,Leveranser_per_nät,'Leveranser per nät'!J$1,FALSE)
               +Andel_beroende_av_klimat*VLOOKUP($A122,Leveranser_per_nät,'Leveranser per nät'!J$1,FALSE)/VLOOKUP($B122,Korrigeringsfaktor_GD,'Korrigeringsfaktor GD'!J$1,FALSE),
"")</f>
        <v>23.328571428571429</v>
      </c>
      <c r="K122" s="18">
        <f>IFERROR(
                  Andel_oberoende_av_klimat*VLOOKUP($A122,Leveranser_per_nät,'Leveranser per nät'!K$1,FALSE)
               +Andel_beroende_av_klimat*VLOOKUP($A122,Leveranser_per_nät,'Leveranser per nät'!K$1,FALSE)/VLOOKUP($B122,Korrigeringsfaktor_GD,'Korrigeringsfaktor GD'!K$1,FALSE),
"")</f>
        <v>26.176703092783505</v>
      </c>
      <c r="L122" s="18">
        <f>IFERROR(
                  Andel_oberoende_av_klimat*VLOOKUP($A122,Leveranser_per_nät,'Leveranser per nät'!L$1,FALSE)
               +Andel_beroende_av_klimat*VLOOKUP($A122,Leveranser_per_nät,'Leveranser per nät'!L$1,FALSE)/VLOOKUP($B122,Korrigeringsfaktor_GD,'Korrigeringsfaktor GD'!L$1,FALSE),
"")</f>
        <v>29.171552631578955</v>
      </c>
      <c r="M122" s="18">
        <f>IFERROR(
                  Andel_oberoende_av_klimat*VLOOKUP($A122,Leveranser_per_nät,'Leveranser per nät'!M$1,FALSE)
               +Andel_beroende_av_klimat*VLOOKUP($A122,Leveranser_per_nät,'Leveranser per nät'!M$1,FALSE)/VLOOKUP($B122,Korrigeringsfaktor_GD,'Korrigeringsfaktor GD'!M$1,FALSE),
"")</f>
        <v>33.406006451612903</v>
      </c>
      <c r="N122" s="18">
        <f>IFERROR(
                  Andel_oberoende_av_klimat*VLOOKUP($A122,Leveranser_per_nät,'Leveranser per nät'!N$1,FALSE)
               +Andel_beroende_av_klimat*VLOOKUP($A122,Leveranser_per_nät,'Leveranser per nät'!N$1,FALSE)/VLOOKUP($B122,Korrigeringsfaktor_GD,'Korrigeringsfaktor GD'!N$1,FALSE),
"")</f>
        <v>32.363511111111109</v>
      </c>
      <c r="O122" s="18">
        <f>IFERROR(
                  Andel_oberoende_av_klimat*VLOOKUP($A122,Leveranser_per_nät,'Leveranser per nät'!O$1,FALSE)
               +Andel_beroende_av_klimat*VLOOKUP($A122,Leveranser_per_nät,'Leveranser per nät'!O$1,FALSE)/VLOOKUP($B122,Korrigeringsfaktor_GD,'Korrigeringsfaktor GD'!O$1,FALSE),
"")</f>
        <v>36.056061797752811</v>
      </c>
      <c r="P122" s="18">
        <f>IFERROR(
                  Andel_oberoende_av_klimat*VLOOKUP($A122,Leveranser_per_nät,'Leveranser per nät'!P$1,FALSE)
               +Andel_beroende_av_klimat*VLOOKUP($A122,Leveranser_per_nät,'Leveranser per nät'!P$1,FALSE)/VLOOKUP($B122,Korrigeringsfaktor_GD,'Korrigeringsfaktor GD'!P$1,FALSE),
"")</f>
        <v>34.083042857142857</v>
      </c>
      <c r="Q122" s="18">
        <f>IFERROR(
                  Andel_oberoende_av_klimat*VLOOKUP($A122,Leveranser_per_nät,'Leveranser per nät'!Q$1,FALSE)
               +Andel_beroende_av_klimat*VLOOKUP($A122,Leveranser_per_nät,'Leveranser per nät'!Q$1,FALSE)/VLOOKUP($B122,Korrigeringsfaktor_GD,'Korrigeringsfaktor GD'!Q$1,FALSE),
"")</f>
        <v>36.328823529411764</v>
      </c>
      <c r="R122" s="18">
        <f>IFERROR(
                  Andel_oberoende_av_klimat*VLOOKUP($A122,Leveranser_per_nät,'Leveranser per nät'!R$1,FALSE)
               +Andel_beroende_av_klimat*VLOOKUP($A122,Leveranser_per_nät,'Leveranser per nät'!R$1,FALSE)/VLOOKUP($B122,Korrigeringsfaktor_GD,'Korrigeringsfaktor GD'!R$1,FALSE),
"")</f>
        <v>35.327384615384609</v>
      </c>
      <c r="S122" s="18">
        <f>IFERROR(
                  Andel_oberoende_av_klimat*VLOOKUP($A122,Leveranser_per_nät,'Leveranser per nät'!S$1,FALSE)
               +Andel_beroende_av_klimat*VLOOKUP($A122,Leveranser_per_nät,'Leveranser per nät'!S$1,FALSE)/VLOOKUP($B122,Korrigeringsfaktor_GD,'Korrigeringsfaktor GD'!S$1,FALSE),
"")</f>
        <v>34</v>
      </c>
      <c r="T122" s="18">
        <f>IFERROR(
                  Andel_oberoende_av_klimat*VLOOKUP($A122,Leveranser_per_nät,'Leveranser per nät'!T$1,FALSE)
               +Andel_beroende_av_klimat*VLOOKUP($A122,Leveranser_per_nät,'Leveranser per nät'!T$1,FALSE)/VLOOKUP($B122,Korrigeringsfaktor_GD,'Korrigeringsfaktor GD'!T$1,FALSE),
"")</f>
        <v>33.757457142857135</v>
      </c>
      <c r="U122" s="18">
        <f>IFERROR(
                  Andel_oberoende_av_klimat*VLOOKUP($A122,Leveranser_per_nät,'Leveranser per nät'!U$1,FALSE)
               +Andel_beroende_av_klimat*VLOOKUP($A122,Leveranser_per_nät,'Leveranser per nät'!U$1,FALSE)/VLOOKUP($B122,Korrigeringsfaktor_GD,'Korrigeringsfaktor GD'!U$1,FALSE),
"")</f>
        <v>128.75647058823529</v>
      </c>
      <c r="V122" s="18">
        <f>IFERROR(
                  Andel_oberoende_av_klimat*VLOOKUP($A122,Leveranser_per_nät,'Leveranser per nät'!V$1,FALSE)
               +Andel_beroende_av_klimat*VLOOKUP($A122,Leveranser_per_nät,'Leveranser per nät'!V$1,FALSE)/VLOOKUP($B122,Korrigeringsfaktor_GD,'Korrigeringsfaktor GD'!V$1,FALSE),
"")</f>
        <v>127.12247191011235</v>
      </c>
      <c r="W122" s="18">
        <f>IFERROR(
                  Andel_oberoende_av_klimat*VLOOKUP($A122,Leveranser_per_nät,'Leveranser per nät'!W$1,FALSE)
               +Andel_beroende_av_klimat*VLOOKUP($A122,Leveranser_per_nät,'Leveranser per nät'!W$1,FALSE)/VLOOKUP($B122,Korrigeringsfaktor_GD,'Korrigeringsfaktor GD'!W$1,FALSE),
"")</f>
        <v>124.52595744680852</v>
      </c>
      <c r="X122" s="18">
        <f>IFERROR(
                  Andel_oberoende_av_klimat*VLOOKUP($A122,Leveranser_per_nät,'Leveranser per nät'!X$1,FALSE)
               +Andel_beroende_av_klimat*VLOOKUP($A122,Leveranser_per_nät,'Leveranser per nät'!X$1,FALSE)/VLOOKUP($B122,Korrigeringsfaktor_GD,'Korrigeringsfaktor GD'!X$1,FALSE),
"")</f>
        <v>124.75826086956521</v>
      </c>
      <c r="Y122" s="18">
        <f>IFERROR(
                  Andel_oberoende_av_klimat*VLOOKUP($A122,Leveranser_per_nät,'Leveranser per nät'!Y$1,FALSE)
               +Andel_beroende_av_klimat*VLOOKUP($A122,Leveranser_per_nät,'Leveranser per nät'!Y$1,FALSE)/VLOOKUP($B122,Korrigeringsfaktor_GD,'Korrigeringsfaktor GD'!Y$1,FALSE),
"")</f>
        <v>120.87653913043476</v>
      </c>
      <c r="Z122" s="18">
        <f>IFERROR(
                  Andel_oberoende_av_klimat*VLOOKUP($A122,Leveranser_per_nät,'Leveranser per nät'!Z$1,FALSE)
               +Andel_beroende_av_klimat*VLOOKUP($A122,Leveranser_per_nät,'Leveranser per nät'!Z$1,FALSE)/VLOOKUP($B122,Korrigeringsfaktor_GD,'Korrigeringsfaktor GD'!Z$1,FALSE),
"")</f>
        <v>104.90302608695652</v>
      </c>
      <c r="AA122" s="18">
        <f>IFERROR(
                  Andel_oberoende_av_klimat*VLOOKUP($A122,Leveranser_per_nät,'Leveranser per nät'!AA$1,FALSE)
               +Andel_beroende_av_klimat*VLOOKUP($A122,Leveranser_per_nät,'Leveranser per nät'!AA$1,FALSE)/VLOOKUP($B122,Korrigeringsfaktor_GD,'Korrigeringsfaktor GD'!AA$1,FALSE),
"")</f>
        <v>120.50246483478259</v>
      </c>
      <c r="AB122" s="18">
        <f>IFERROR(
                  Andel_oberoende_av_klimat*VLOOKUP($A122,Leveranser_per_nät,'Leveranser per nät'!AB$1,FALSE)
               +Andel_beroende_av_klimat*VLOOKUP($A122,Leveranser_per_nät,'Leveranser per nät'!AB$1,FALSE)/VLOOKUP($B122,Korrigeringsfaktor_GD,'Korrigeringsfaktor GD'!AB$1,FALSE),
"")</f>
        <v>112.10959545004947</v>
      </c>
      <c r="AC122" s="18">
        <f>IFERROR(
                  Andel_oberoende_av_klimat*VLOOKUP($A122,Leveranser_per_nät,'Leveranser per nät'!AC$1,FALSE)
               +Andel_beroende_av_klimat*VLOOKUP($A122,Leveranser_per_nät,'Leveranser per nät'!AC$1,FALSE)/VLOOKUP($B122,Korrigeringsfaktor_GD,'Korrigeringsfaktor GD'!AC$1,FALSE),
"")</f>
        <v>116.54827067669171</v>
      </c>
      <c r="AD122">
        <v>110.8</v>
      </c>
    </row>
    <row r="123" spans="1:30" x14ac:dyDescent="0.25">
      <c r="A123" t="s">
        <v>141</v>
      </c>
      <c r="B123" t="s">
        <v>141</v>
      </c>
      <c r="C123" s="18">
        <f>IFERROR(
                  Andel_oberoende_av_klimat*VLOOKUP($A123,Leveranser_per_nät,'Leveranser per nät'!C$1,FALSE)
               +Andel_beroende_av_klimat*VLOOKUP($A123,Leveranser_per_nät,'Leveranser per nät'!C$1,FALSE)/VLOOKUP("Jönköping",Korrigeringsfaktor_GD,'Korrigeringsfaktor GD'!C$1,FALSE),
"")</f>
        <v>0</v>
      </c>
      <c r="D123" s="18">
        <f>IFERROR(
                  Andel_oberoende_av_klimat*VLOOKUP($A123,Leveranser_per_nät,'Leveranser per nät'!D$1,FALSE)
               +Andel_beroende_av_klimat*VLOOKUP($A123,Leveranser_per_nät,'Leveranser per nät'!D$1,FALSE)/VLOOKUP("Jönköping",Korrigeringsfaktor_GD,'Korrigeringsfaktor GD'!D$1,FALSE),
"")</f>
        <v>5.6698080808080809</v>
      </c>
      <c r="E123" s="18">
        <f>IFERROR(
                  Andel_oberoende_av_klimat*VLOOKUP($A123,Leveranser_per_nät,'Leveranser per nät'!E$1,FALSE)
               +Andel_beroende_av_klimat*VLOOKUP($A123,Leveranser_per_nät,'Leveranser per nät'!E$1,FALSE)/VLOOKUP("Jönköping",Korrigeringsfaktor_GD,'Korrigeringsfaktor GD'!E$1,FALSE),
"")</f>
        <v>0</v>
      </c>
      <c r="F123" s="18">
        <f>IFERROR(
                  Andel_oberoende_av_klimat*VLOOKUP($A123,Leveranser_per_nät,'Leveranser per nät'!F$1,FALSE)
               +Andel_beroende_av_klimat*VLOOKUP($A123,Leveranser_per_nät,'Leveranser per nät'!F$1,FALSE)/VLOOKUP("Jönköping",Korrigeringsfaktor_GD,'Korrigeringsfaktor GD'!F$1,FALSE),
"")</f>
        <v>0</v>
      </c>
      <c r="G123" s="18">
        <f>IFERROR(
                  Andel_oberoende_av_klimat*VLOOKUP($A123,Leveranser_per_nät,'Leveranser per nät'!G$1,FALSE)
               +Andel_beroende_av_klimat*VLOOKUP($A123,Leveranser_per_nät,'Leveranser per nät'!G$1,FALSE)/VLOOKUP("Jönköping",Korrigeringsfaktor_GD,'Korrigeringsfaktor GD'!G$1,FALSE),
"")</f>
        <v>9.8590909090909093</v>
      </c>
      <c r="H123" s="18">
        <f>IFERROR(
                  Andel_oberoende_av_klimat*VLOOKUP($A123,Leveranser_per_nät,'Leveranser per nät'!H$1,FALSE)
               +Andel_beroende_av_klimat*VLOOKUP($A123,Leveranser_per_nät,'Leveranser per nät'!H$1,FALSE)/VLOOKUP("Jönköping",Korrigeringsfaktor_GD,'Korrigeringsfaktor GD'!H$1,FALSE),
"")</f>
        <v>9.9306930693069315</v>
      </c>
      <c r="I123" s="18">
        <f>IFERROR(
                  Andel_oberoende_av_klimat*VLOOKUP($A123,Leveranser_per_nät,'Leveranser per nät'!I$1,FALSE)
               +Andel_beroende_av_klimat*VLOOKUP($A123,Leveranser_per_nät,'Leveranser per nät'!I$1,FALSE)/VLOOKUP("Jönköping",Korrigeringsfaktor_GD,'Korrigeringsfaktor GD'!I$1,FALSE),
"")</f>
        <v>10.368421052631581</v>
      </c>
      <c r="J123" s="18">
        <f>IFERROR(
                  Andel_oberoende_av_klimat*VLOOKUP($A123,Leveranser_per_nät,'Leveranser per nät'!J$1,FALSE)
               +Andel_beroende_av_klimat*VLOOKUP($A123,Leveranser_per_nät,'Leveranser per nät'!J$1,FALSE)/VLOOKUP("Jönköping",Korrigeringsfaktor_GD,'Korrigeringsfaktor GD'!J$1,FALSE),
"")</f>
        <v>12.307411111111112</v>
      </c>
      <c r="K123" s="18">
        <f>IFERROR(
                  Andel_oberoende_av_klimat*VLOOKUP($A123,Leveranser_per_nät,'Leveranser per nät'!K$1,FALSE)
               +Andel_beroende_av_klimat*VLOOKUP($A123,Leveranser_per_nät,'Leveranser per nät'!K$1,FALSE)/VLOOKUP("Jönköping",Korrigeringsfaktor_GD,'Korrigeringsfaktor GD'!K$1,FALSE),
"")</f>
        <v>12.437323232323232</v>
      </c>
      <c r="L123" s="18">
        <f>IFERROR(
                  Andel_oberoende_av_klimat*VLOOKUP($A123,Leveranser_per_nät,'Leveranser per nät'!L$1,FALSE)
               +Andel_beroende_av_klimat*VLOOKUP($A123,Leveranser_per_nät,'Leveranser per nät'!L$1,FALSE)/VLOOKUP("Jönköping",Korrigeringsfaktor_GD,'Korrigeringsfaktor GD'!L$1,FALSE),
"")</f>
        <v>14.084145833333334</v>
      </c>
      <c r="M123" s="18">
        <f>IFERROR(
                  Andel_oberoende_av_klimat*VLOOKUP($A123,Leveranser_per_nät,'Leveranser per nät'!M$1,FALSE)
               +Andel_beroende_av_klimat*VLOOKUP($A123,Leveranser_per_nät,'Leveranser per nät'!M$1,FALSE)/VLOOKUP("Jönköping",Korrigeringsfaktor_GD,'Korrigeringsfaktor GD'!M$1,FALSE),
"")</f>
        <v>15.536624731182794</v>
      </c>
      <c r="N123" s="18">
        <f>IFERROR(
                  Andel_oberoende_av_klimat*VLOOKUP($A123,Leveranser_per_nät,'Leveranser per nät'!N$1,FALSE)
               +Andel_beroende_av_klimat*VLOOKUP($A123,Leveranser_per_nät,'Leveranser per nät'!N$1,FALSE)/VLOOKUP("Jönköping",Korrigeringsfaktor_GD,'Korrigeringsfaktor GD'!N$1,FALSE),
"")</f>
        <v>16.326084615384616</v>
      </c>
      <c r="O123" s="18">
        <f>IFERROR(
                  Andel_oberoende_av_klimat*VLOOKUP($A123,Leveranser_per_nät,'Leveranser per nät'!O$1,FALSE)
               +Andel_beroende_av_klimat*VLOOKUP($A123,Leveranser_per_nät,'Leveranser per nät'!O$1,FALSE)/VLOOKUP("Jönköping",Korrigeringsfaktor_GD,'Korrigeringsfaktor GD'!O$1,FALSE),
"")</f>
        <v>16.524488888888889</v>
      </c>
      <c r="P123" s="18">
        <f>IFERROR(
                  Andel_oberoende_av_klimat*VLOOKUP($A123,Leveranser_per_nät,'Leveranser per nät'!P$1,FALSE)
               +Andel_beroende_av_klimat*VLOOKUP($A123,Leveranser_per_nät,'Leveranser per nät'!P$1,FALSE)/VLOOKUP("Jönköping",Korrigeringsfaktor_GD,'Korrigeringsfaktor GD'!P$1,FALSE),
"")</f>
        <v>16.698860824742265</v>
      </c>
      <c r="Q123" s="18">
        <f>IFERROR(
                  Andel_oberoende_av_klimat*VLOOKUP($A123,Leveranser_per_nät,'Leveranser per nät'!Q$1,FALSE)
               +Andel_beroende_av_klimat*VLOOKUP($A123,Leveranser_per_nät,'Leveranser per nät'!Q$1,FALSE)/VLOOKUP("Jönköping",Korrigeringsfaktor_GD,'Korrigeringsfaktor GD'!Q$1,FALSE),
"")</f>
        <v>19.446086956521739</v>
      </c>
      <c r="R123" s="18">
        <f>IFERROR(
                  Andel_oberoende_av_klimat*VLOOKUP($A123,Leveranser_per_nät,'Leveranser per nät'!R$1,FALSE)
               +Andel_beroende_av_klimat*VLOOKUP($A123,Leveranser_per_nät,'Leveranser per nät'!R$1,FALSE)/VLOOKUP("Jönköping",Korrigeringsfaktor_GD,'Korrigeringsfaktor GD'!R$1,FALSE),
"")</f>
        <v>17.107692307692307</v>
      </c>
      <c r="S123" s="18">
        <f>IFERROR(
                  Andel_oberoende_av_klimat*VLOOKUP($A123,Leveranser_per_nät,'Leveranser per nät'!S$1,FALSE)
               +Andel_beroende_av_klimat*VLOOKUP($A123,Leveranser_per_nät,'Leveranser per nät'!S$1,FALSE)/VLOOKUP("Jönköping",Korrigeringsfaktor_GD,'Korrigeringsfaktor GD'!S$1,FALSE),
"")</f>
        <v>16.584257425742575</v>
      </c>
      <c r="T123" s="18">
        <f>IFERROR(
                  Andel_oberoende_av_klimat*VLOOKUP($A123,Leveranser_per_nät,'Leveranser per nät'!T$1,FALSE)
               +Andel_beroende_av_klimat*VLOOKUP($A123,Leveranser_per_nät,'Leveranser per nät'!T$1,FALSE)/VLOOKUP("Jönköping",Korrigeringsfaktor_GD,'Korrigeringsfaktor GD'!T$1,FALSE),
"")</f>
        <v>17.648571428571429</v>
      </c>
      <c r="U123" s="18">
        <f>IFERROR(
                  Andel_oberoende_av_klimat*VLOOKUP($A123,Leveranser_per_nät,'Leveranser per nät'!U$1,FALSE)
               +Andel_beroende_av_klimat*VLOOKUP($A123,Leveranser_per_nät,'Leveranser per nät'!U$1,FALSE)/VLOOKUP("Jönköping",Korrigeringsfaktor_GD,'Korrigeringsfaktor GD'!U$1,FALSE),
"")</f>
        <v>21.122352941176473</v>
      </c>
      <c r="V123" s="18">
        <f>IFERROR(
                  Andel_oberoende_av_klimat*VLOOKUP($A123,Leveranser_per_nät,'Leveranser per nät'!V$1,FALSE)
               +Andel_beroende_av_klimat*VLOOKUP($A123,Leveranser_per_nät,'Leveranser per nät'!V$1,FALSE)/VLOOKUP("Jönköping",Korrigeringsfaktor_GD,'Korrigeringsfaktor GD'!V$1,FALSE),
"")</f>
        <v>22.091954022988507</v>
      </c>
      <c r="W123" s="18">
        <f>IFERROR(
                  Andel_oberoende_av_klimat*VLOOKUP($A123,Leveranser_per_nät,'Leveranser per nät'!W$1,FALSE)
               +Andel_beroende_av_klimat*VLOOKUP($A123,Leveranser_per_nät,'Leveranser per nät'!W$1,FALSE)/VLOOKUP("Jönköping",Korrigeringsfaktor_GD,'Korrigeringsfaktor GD'!W$1,FALSE),
"")</f>
        <v>21.429565217391303</v>
      </c>
      <c r="X123" s="18">
        <f>IFERROR(
                  Andel_oberoende_av_klimat*VLOOKUP($A123,Leveranser_per_nät,'Leveranser per nät'!X$1,FALSE)
               +Andel_beroende_av_klimat*VLOOKUP($A123,Leveranser_per_nät,'Leveranser per nät'!X$1,FALSE)/VLOOKUP("Jönköping",Korrigeringsfaktor_GD,'Korrigeringsfaktor GD'!X$1,FALSE),
"")</f>
        <v>22.24</v>
      </c>
      <c r="Y123" s="18">
        <f>IFERROR(
                  Andel_oberoende_av_klimat*VLOOKUP($A123,Leveranser_per_nät,'Leveranser per nät'!Y$1,FALSE)
               +Andel_beroende_av_klimat*VLOOKUP($A123,Leveranser_per_nät,'Leveranser per nät'!Y$1,FALSE)/VLOOKUP($B123,Korrigeringsfaktor_GD,'Korrigeringsfaktor GD'!Y$1,FALSE),
"")</f>
        <v>23.142808988764045</v>
      </c>
      <c r="Z123" s="18">
        <f>IFERROR(
                  Andel_oberoende_av_klimat*VLOOKUP($A123,Leveranser_per_nät,'Leveranser per nät'!Z$1,FALSE)
               +Andel_beroende_av_klimat*VLOOKUP($A123,Leveranser_per_nät,'Leveranser per nät'!Z$1,FALSE)/VLOOKUP($B123,Korrigeringsfaktor_GD,'Korrigeringsfaktor GD'!Z$1,FALSE),
"")</f>
        <v>21.349898989898989</v>
      </c>
      <c r="AA123" s="18">
        <f>IFERROR(
                  Andel_oberoende_av_klimat*VLOOKUP($A123,Leveranser_per_nät,'Leveranser per nät'!AA$1,FALSE)
               +Andel_beroende_av_klimat*VLOOKUP($A123,Leveranser_per_nät,'Leveranser per nät'!AA$1,FALSE)/VLOOKUP($B123,Korrigeringsfaktor_GD,'Korrigeringsfaktor GD'!AA$1,FALSE),
"")</f>
        <v>23.661935483870963</v>
      </c>
      <c r="AB123" s="18">
        <f>IFERROR(
                  Andel_oberoende_av_klimat*VLOOKUP($A123,Leveranser_per_nät,'Leveranser per nät'!AB$1,FALSE)
               +Andel_beroende_av_klimat*VLOOKUP($A123,Leveranser_per_nät,'Leveranser per nät'!AB$1,FALSE)/VLOOKUP($B123,Korrigeringsfaktor_GD,'Korrigeringsfaktor GD'!AB$1,FALSE),
"")</f>
        <v>21.029458917835669</v>
      </c>
      <c r="AC123" s="18">
        <f>IFERROR(
                  Andel_oberoende_av_klimat*VLOOKUP($A123,Leveranser_per_nät,'Leveranser per nät'!AC$1,FALSE)
               +Andel_beroende_av_klimat*VLOOKUP($A123,Leveranser_per_nät,'Leveranser per nät'!AC$1,FALSE)/VLOOKUP($B123,Korrigeringsfaktor_GD,'Korrigeringsfaktor GD'!AC$1,FALSE),
"")</f>
        <v>28.147181136120039</v>
      </c>
      <c r="AD123">
        <v>23.3</v>
      </c>
    </row>
    <row r="124" spans="1:30" x14ac:dyDescent="0.25">
      <c r="A124" t="s">
        <v>487</v>
      </c>
      <c r="B124" t="s">
        <v>138</v>
      </c>
      <c r="C124" s="18">
        <f>IFERROR(
                  Andel_oberoende_av_klimat*VLOOKUP($A124,Leveranser_per_nät,'Leveranser per nät'!C$1,FALSE)
               +Andel_beroende_av_klimat*VLOOKUP($A124,Leveranser_per_nät,'Leveranser per nät'!C$1,FALSE)/VLOOKUP($B124,Korrigeringsfaktor_GD,'Korrigeringsfaktor GD'!C$1,FALSE),
"")</f>
        <v>0</v>
      </c>
      <c r="D124" s="18">
        <f>IFERROR(
                  Andel_oberoende_av_klimat*VLOOKUP($A124,Leveranser_per_nät,'Leveranser per nät'!D$1,FALSE)
               +Andel_beroende_av_klimat*VLOOKUP($A124,Leveranser_per_nät,'Leveranser per nät'!D$1,FALSE)/VLOOKUP($B124,Korrigeringsfaktor_GD,'Korrigeringsfaktor GD'!D$1,FALSE),
"")</f>
        <v>0</v>
      </c>
      <c r="E124" s="18">
        <f>IFERROR(
                  Andel_oberoende_av_klimat*VLOOKUP($A124,Leveranser_per_nät,'Leveranser per nät'!E$1,FALSE)
               +Andel_beroende_av_klimat*VLOOKUP($A124,Leveranser_per_nät,'Leveranser per nät'!E$1,FALSE)/VLOOKUP($B124,Korrigeringsfaktor_GD,'Korrigeringsfaktor GD'!E$1,FALSE),
"")</f>
        <v>0</v>
      </c>
      <c r="F124" s="18">
        <f>IFERROR(
                  Andel_oberoende_av_klimat*VLOOKUP($A124,Leveranser_per_nät,'Leveranser per nät'!F$1,FALSE)
               +Andel_beroende_av_klimat*VLOOKUP($A124,Leveranser_per_nät,'Leveranser per nät'!F$1,FALSE)/VLOOKUP($B124,Korrigeringsfaktor_GD,'Korrigeringsfaktor GD'!F$1,FALSE),
"")</f>
        <v>0</v>
      </c>
      <c r="G124" s="18">
        <f>IFERROR(
                  Andel_oberoende_av_klimat*VLOOKUP($A124,Leveranser_per_nät,'Leveranser per nät'!G$1,FALSE)
               +Andel_beroende_av_klimat*VLOOKUP($A124,Leveranser_per_nät,'Leveranser per nät'!G$1,FALSE)/VLOOKUP($B124,Korrigeringsfaktor_GD,'Korrigeringsfaktor GD'!G$1,FALSE),
"")</f>
        <v>0</v>
      </c>
      <c r="H124" s="18">
        <f>IFERROR(
                  Andel_oberoende_av_klimat*VLOOKUP($A124,Leveranser_per_nät,'Leveranser per nät'!H$1,FALSE)
               +Andel_beroende_av_klimat*VLOOKUP($A124,Leveranser_per_nät,'Leveranser per nät'!H$1,FALSE)/VLOOKUP($B124,Korrigeringsfaktor_GD,'Korrigeringsfaktor GD'!H$1,FALSE),
"")</f>
        <v>0</v>
      </c>
      <c r="I124" s="18">
        <f>IFERROR(
                  Andel_oberoende_av_klimat*VLOOKUP($A124,Leveranser_per_nät,'Leveranser per nät'!I$1,FALSE)
               +Andel_beroende_av_klimat*VLOOKUP($A124,Leveranser_per_nät,'Leveranser per nät'!I$1,FALSE)/VLOOKUP($B124,Korrigeringsfaktor_GD,'Korrigeringsfaktor GD'!I$1,FALSE),
"")</f>
        <v>0</v>
      </c>
      <c r="J124" s="18">
        <f>IFERROR(
                  Andel_oberoende_av_klimat*VLOOKUP($A124,Leveranser_per_nät,'Leveranser per nät'!J$1,FALSE)
               +Andel_beroende_av_klimat*VLOOKUP($A124,Leveranser_per_nät,'Leveranser per nät'!J$1,FALSE)/VLOOKUP($B124,Korrigeringsfaktor_GD,'Korrigeringsfaktor GD'!J$1,FALSE),
"")</f>
        <v>0</v>
      </c>
      <c r="K124" s="18">
        <f>IFERROR(
                  Andel_oberoende_av_klimat*VLOOKUP($A124,Leveranser_per_nät,'Leveranser per nät'!K$1,FALSE)
               +Andel_beroende_av_klimat*VLOOKUP($A124,Leveranser_per_nät,'Leveranser per nät'!K$1,FALSE)/VLOOKUP($B124,Korrigeringsfaktor_GD,'Korrigeringsfaktor GD'!K$1,FALSE),
"")</f>
        <v>0</v>
      </c>
      <c r="L124" s="18">
        <f>IFERROR(
                  Andel_oberoende_av_klimat*VLOOKUP($A124,Leveranser_per_nät,'Leveranser per nät'!L$1,FALSE)
               +Andel_beroende_av_klimat*VLOOKUP($A124,Leveranser_per_nät,'Leveranser per nät'!L$1,FALSE)/VLOOKUP($B124,Korrigeringsfaktor_GD,'Korrigeringsfaktor GD'!L$1,FALSE),
"")</f>
        <v>1.1247034042553192</v>
      </c>
      <c r="M124" s="18">
        <f>IFERROR(
                  Andel_oberoende_av_klimat*VLOOKUP($A124,Leveranser_per_nät,'Leveranser per nät'!M$1,FALSE)
               +Andel_beroende_av_klimat*VLOOKUP($A124,Leveranser_per_nät,'Leveranser per nät'!M$1,FALSE)/VLOOKUP($B124,Korrigeringsfaktor_GD,'Korrigeringsfaktor GD'!M$1,FALSE),
"")</f>
        <v>0</v>
      </c>
      <c r="N124" s="18">
        <f>IFERROR(
                  Andel_oberoende_av_klimat*VLOOKUP($A124,Leveranser_per_nät,'Leveranser per nät'!N$1,FALSE)
               +Andel_beroende_av_klimat*VLOOKUP($A124,Leveranser_per_nät,'Leveranser per nät'!N$1,FALSE)/VLOOKUP($B124,Korrigeringsfaktor_GD,'Korrigeringsfaktor GD'!N$1,FALSE),
"")</f>
        <v>0</v>
      </c>
      <c r="O124" s="18">
        <f>IFERROR(
                  Andel_oberoende_av_klimat*VLOOKUP($A124,Leveranser_per_nät,'Leveranser per nät'!O$1,FALSE)
               +Andel_beroende_av_klimat*VLOOKUP($A124,Leveranser_per_nät,'Leveranser per nät'!O$1,FALSE)/VLOOKUP($B124,Korrigeringsfaktor_GD,'Korrigeringsfaktor GD'!O$1,FALSE),
"")</f>
        <v>0</v>
      </c>
      <c r="P124" s="18">
        <f>IFERROR(
                  Andel_oberoende_av_klimat*VLOOKUP($A124,Leveranser_per_nät,'Leveranser per nät'!P$1,FALSE)
               +Andel_beroende_av_klimat*VLOOKUP($A124,Leveranser_per_nät,'Leveranser per nät'!P$1,FALSE)/VLOOKUP($B124,Korrigeringsfaktor_GD,'Korrigeringsfaktor GD'!P$1,FALSE),
"")</f>
        <v>0</v>
      </c>
      <c r="Q124" s="18">
        <f>IFERROR(
                  Andel_oberoende_av_klimat*VLOOKUP($A124,Leveranser_per_nät,'Leveranser per nät'!Q$1,FALSE)
               +Andel_beroende_av_klimat*VLOOKUP($A124,Leveranser_per_nät,'Leveranser per nät'!Q$1,FALSE)/VLOOKUP($B124,Korrigeringsfaktor_GD,'Korrigeringsfaktor GD'!Q$1,FALSE),
"")</f>
        <v>0.45434782608695656</v>
      </c>
      <c r="R124" s="18">
        <f>IFERROR(
                  Andel_oberoende_av_klimat*VLOOKUP($A124,Leveranser_per_nät,'Leveranser per nät'!R$1,FALSE)
               +Andel_beroende_av_klimat*VLOOKUP($A124,Leveranser_per_nät,'Leveranser per nät'!R$1,FALSE)/VLOOKUP($B124,Korrigeringsfaktor_GD,'Korrigeringsfaktor GD'!R$1,FALSE),
"")</f>
        <v>0.4276923076923077</v>
      </c>
      <c r="S124" s="18">
        <f>IFERROR(
                  Andel_oberoende_av_klimat*VLOOKUP($A124,Leveranser_per_nät,'Leveranser per nät'!S$1,FALSE)
               +Andel_beroende_av_klimat*VLOOKUP($A124,Leveranser_per_nät,'Leveranser per nät'!S$1,FALSE)/VLOOKUP($B124,Korrigeringsfaktor_GD,'Korrigeringsfaktor GD'!S$1,FALSE),
"")</f>
        <v>0.4</v>
      </c>
      <c r="T124" s="18" t="str">
        <f>IFERROR(
                  Andel_oberoende_av_klimat*VLOOKUP($A124,Leveranser_per_nät,'Leveranser per nät'!T$1,FALSE)
               +Andel_beroende_av_klimat*VLOOKUP($A124,Leveranser_per_nät,'Leveranser per nät'!T$1,FALSE)/VLOOKUP($B124,Korrigeringsfaktor_GD,'Korrigeringsfaktor GD'!T$1,FALSE),
"")</f>
        <v/>
      </c>
      <c r="U124" s="18" t="str">
        <f>IFERROR(
                  Andel_oberoende_av_klimat*VLOOKUP($A124,Leveranser_per_nät,'Leveranser per nät'!U$1,FALSE)
               +Andel_beroende_av_klimat*VLOOKUP($A124,Leveranser_per_nät,'Leveranser per nät'!U$1,FALSE)/VLOOKUP($B124,Korrigeringsfaktor_GD,'Korrigeringsfaktor GD'!U$1,FALSE),
"")</f>
        <v/>
      </c>
      <c r="V124" s="18" t="str">
        <f>IFERROR(
                  Andel_oberoende_av_klimat*VLOOKUP($A124,Leveranser_per_nät,'Leveranser per nät'!V$1,FALSE)
               +Andel_beroende_av_klimat*VLOOKUP($A124,Leveranser_per_nät,'Leveranser per nät'!V$1,FALSE)/VLOOKUP($B124,Korrigeringsfaktor_GD,'Korrigeringsfaktor GD'!V$1,FALSE),
"")</f>
        <v/>
      </c>
      <c r="W124" s="18" t="str">
        <f>IFERROR(
                  Andel_oberoende_av_klimat*VLOOKUP($A124,Leveranser_per_nät,'Leveranser per nät'!W$1,FALSE)
               +Andel_beroende_av_klimat*VLOOKUP($A124,Leveranser_per_nät,'Leveranser per nät'!W$1,FALSE)/VLOOKUP($B124,Korrigeringsfaktor_GD,'Korrigeringsfaktor GD'!W$1,FALSE),
"")</f>
        <v/>
      </c>
      <c r="X124" s="18" t="str">
        <f>IFERROR(
                  Andel_oberoende_av_klimat*VLOOKUP($A124,Leveranser_per_nät,'Leveranser per nät'!X$1,FALSE)
               +Andel_beroende_av_klimat*VLOOKUP($A124,Leveranser_per_nät,'Leveranser per nät'!X$1,FALSE)/VLOOKUP($B124,Korrigeringsfaktor_GD,'Korrigeringsfaktor GD'!X$1,FALSE),
"")</f>
        <v/>
      </c>
      <c r="Y124" s="18" t="str">
        <f>IFERROR(
                  Andel_oberoende_av_klimat*VLOOKUP($A124,Leveranser_per_nät,'Leveranser per nät'!Y$1,FALSE)
               +Andel_beroende_av_klimat*VLOOKUP($A124,Leveranser_per_nät,'Leveranser per nät'!Y$1,FALSE)/VLOOKUP($B124,Korrigeringsfaktor_GD,'Korrigeringsfaktor GD'!Y$1,FALSE),
"")</f>
        <v/>
      </c>
      <c r="Z124" s="18">
        <f>IFERROR(
                  Andel_oberoende_av_klimat*VLOOKUP($A124,Leveranser_per_nät,'Leveranser per nät'!Z$1,FALSE)
               +Andel_beroende_av_klimat*VLOOKUP($A124,Leveranser_per_nät,'Leveranser per nät'!Z$1,FALSE)/VLOOKUP($B124,Korrigeringsfaktor_GD,'Korrigeringsfaktor GD'!Z$1,FALSE),
"")</f>
        <v>0</v>
      </c>
      <c r="AA124" s="18" t="str">
        <f>IFERROR(
                  Andel_oberoende_av_klimat*VLOOKUP($A124,Leveranser_per_nät,'Leveranser per nät'!AA$1,FALSE)
               +Andel_beroende_av_klimat*VLOOKUP($A124,Leveranser_per_nät,'Leveranser per nät'!AA$1,FALSE)/VLOOKUP($B124,Korrigeringsfaktor_GD,'Korrigeringsfaktor GD'!AA$1,FALSE),
"")</f>
        <v/>
      </c>
      <c r="AB124" s="18">
        <f>IFERROR(
                  Andel_oberoende_av_klimat*VLOOKUP($A124,Leveranser_per_nät,'Leveranser per nät'!AB$1,FALSE)
               +Andel_beroende_av_klimat*VLOOKUP($A124,Leveranser_per_nät,'Leveranser per nät'!AB$1,FALSE)/VLOOKUP($B124,Korrigeringsfaktor_GD,'Korrigeringsfaktor GD'!AB$1,FALSE),
"")</f>
        <v>0</v>
      </c>
      <c r="AC124" s="18">
        <f>IFERROR(
                  Andel_oberoende_av_klimat*VLOOKUP($A124,Leveranser_per_nät,'Leveranser per nät'!AC$1,FALSE)
               +Andel_beroende_av_klimat*VLOOKUP($A124,Leveranser_per_nät,'Leveranser per nät'!AC$1,FALSE)/VLOOKUP($B124,Korrigeringsfaktor_GD,'Korrigeringsfaktor GD'!AC$1,FALSE),
"")</f>
        <v>0</v>
      </c>
      <c r="AD124">
        <v>662.10699999999997</v>
      </c>
    </row>
    <row r="125" spans="1:30" x14ac:dyDescent="0.25">
      <c r="A125" t="s">
        <v>520</v>
      </c>
      <c r="B125" t="s">
        <v>520</v>
      </c>
      <c r="C125" s="18">
        <f>IFERROR(
                  Andel_oberoende_av_klimat*VLOOKUP($A125,Leveranser_per_nät,'Leveranser per nät'!C$1,FALSE)
               +Andel_beroende_av_klimat*VLOOKUP($A125,Leveranser_per_nät,'Leveranser per nät'!C$1,FALSE)/VLOOKUP($B125,Korrigeringsfaktor_GD,'Korrigeringsfaktor GD'!C$1,FALSE),
"")</f>
        <v>0</v>
      </c>
      <c r="D125" s="18">
        <f>IFERROR(
                  Andel_oberoende_av_klimat*VLOOKUP($A125,Leveranser_per_nät,'Leveranser per nät'!D$1,FALSE)
               +Andel_beroende_av_klimat*VLOOKUP($A125,Leveranser_per_nät,'Leveranser per nät'!D$1,FALSE)/VLOOKUP($B125,Korrigeringsfaktor_GD,'Korrigeringsfaktor GD'!D$1,FALSE),
"")</f>
        <v>0</v>
      </c>
      <c r="E125" s="18">
        <f>IFERROR(
                  Andel_oberoende_av_klimat*VLOOKUP($A125,Leveranser_per_nät,'Leveranser per nät'!E$1,FALSE)
               +Andel_beroende_av_klimat*VLOOKUP($A125,Leveranser_per_nät,'Leveranser per nät'!E$1,FALSE)/VLOOKUP($B125,Korrigeringsfaktor_GD,'Korrigeringsfaktor GD'!E$1,FALSE),
"")</f>
        <v>0</v>
      </c>
      <c r="F125" s="18">
        <f>IFERROR(
                  Andel_oberoende_av_klimat*VLOOKUP($A125,Leveranser_per_nät,'Leveranser per nät'!F$1,FALSE)
               +Andel_beroende_av_klimat*VLOOKUP($A125,Leveranser_per_nät,'Leveranser per nät'!F$1,FALSE)/VLOOKUP($B125,Korrigeringsfaktor_GD,'Korrigeringsfaktor GD'!F$1,FALSE),
"")</f>
        <v>0</v>
      </c>
      <c r="G125" s="18">
        <f>IFERROR(
                  Andel_oberoende_av_klimat*VLOOKUP($A125,Leveranser_per_nät,'Leveranser per nät'!G$1,FALSE)
               +Andel_beroende_av_klimat*VLOOKUP($A125,Leveranser_per_nät,'Leveranser per nät'!G$1,FALSE)/VLOOKUP($B125,Korrigeringsfaktor_GD,'Korrigeringsfaktor GD'!G$1,FALSE),
"")</f>
        <v>0</v>
      </c>
      <c r="H125" s="18">
        <f>IFERROR(
                  Andel_oberoende_av_klimat*VLOOKUP($A125,Leveranser_per_nät,'Leveranser per nät'!H$1,FALSE)
               +Andel_beroende_av_klimat*VLOOKUP($A125,Leveranser_per_nät,'Leveranser per nät'!H$1,FALSE)/VLOOKUP($B125,Korrigeringsfaktor_GD,'Korrigeringsfaktor GD'!H$1,FALSE),
"")</f>
        <v>0</v>
      </c>
      <c r="I125" s="18">
        <f>IFERROR(
                  Andel_oberoende_av_klimat*VLOOKUP($A125,Leveranser_per_nät,'Leveranser per nät'!I$1,FALSE)
               +Andel_beroende_av_klimat*VLOOKUP($A125,Leveranser_per_nät,'Leveranser per nät'!I$1,FALSE)/VLOOKUP($B125,Korrigeringsfaktor_GD,'Korrigeringsfaktor GD'!I$1,FALSE),
"")</f>
        <v>0</v>
      </c>
      <c r="J125" s="18">
        <f>IFERROR(
                  Andel_oberoende_av_klimat*VLOOKUP($A125,Leveranser_per_nät,'Leveranser per nät'!J$1,FALSE)
               +Andel_beroende_av_klimat*VLOOKUP($A125,Leveranser_per_nät,'Leveranser per nät'!J$1,FALSE)/VLOOKUP($B125,Korrigeringsfaktor_GD,'Korrigeringsfaktor GD'!J$1,FALSE),
"")</f>
        <v>0</v>
      </c>
      <c r="K125" s="18">
        <f>IFERROR(
                  Andel_oberoende_av_klimat*VLOOKUP($A125,Leveranser_per_nät,'Leveranser per nät'!K$1,FALSE)
               +Andel_beroende_av_klimat*VLOOKUP($A125,Leveranser_per_nät,'Leveranser per nät'!K$1,FALSE)/VLOOKUP($B125,Korrigeringsfaktor_GD,'Korrigeringsfaktor GD'!K$1,FALSE),
"")</f>
        <v>0</v>
      </c>
      <c r="L125" s="18">
        <f>IFERROR(
                  Andel_oberoende_av_klimat*VLOOKUP($A125,Leveranser_per_nät,'Leveranser per nät'!L$1,FALSE)
               +Andel_beroende_av_klimat*VLOOKUP($A125,Leveranser_per_nät,'Leveranser per nät'!L$1,FALSE)/VLOOKUP($B125,Korrigeringsfaktor_GD,'Korrigeringsfaktor GD'!L$1,FALSE),
"")</f>
        <v>0</v>
      </c>
      <c r="M125" s="18">
        <f>IFERROR(
                  Andel_oberoende_av_klimat*VLOOKUP($A125,Leveranser_per_nät,'Leveranser per nät'!M$1,FALSE)
               +Andel_beroende_av_klimat*VLOOKUP($A125,Leveranser_per_nät,'Leveranser per nät'!M$1,FALSE)/VLOOKUP($B125,Korrigeringsfaktor_GD,'Korrigeringsfaktor GD'!M$1,FALSE),
"")</f>
        <v>0</v>
      </c>
      <c r="N125" s="18">
        <f>IFERROR(
                  Andel_oberoende_av_klimat*VLOOKUP($A125,Leveranser_per_nät,'Leveranser per nät'!N$1,FALSE)
               +Andel_beroende_av_klimat*VLOOKUP($A125,Leveranser_per_nät,'Leveranser per nät'!N$1,FALSE)/VLOOKUP($B125,Korrigeringsfaktor_GD,'Korrigeringsfaktor GD'!N$1,FALSE),
"")</f>
        <v>0</v>
      </c>
      <c r="O125" s="18">
        <f>IFERROR(
                  Andel_oberoende_av_klimat*VLOOKUP($A125,Leveranser_per_nät,'Leveranser per nät'!O$1,FALSE)
               +Andel_beroende_av_klimat*VLOOKUP($A125,Leveranser_per_nät,'Leveranser per nät'!O$1,FALSE)/VLOOKUP($B125,Korrigeringsfaktor_GD,'Korrigeringsfaktor GD'!O$1,FALSE),
"")</f>
        <v>0</v>
      </c>
      <c r="P125" s="18">
        <f>IFERROR(
                  Andel_oberoende_av_klimat*VLOOKUP($A125,Leveranser_per_nät,'Leveranser per nät'!P$1,FALSE)
               +Andel_beroende_av_klimat*VLOOKUP($A125,Leveranser_per_nät,'Leveranser per nät'!P$1,FALSE)/VLOOKUP($B125,Korrigeringsfaktor_GD,'Korrigeringsfaktor GD'!P$1,FALSE),
"")</f>
        <v>0</v>
      </c>
      <c r="Q125" s="18">
        <f>IFERROR(
                  Andel_oberoende_av_klimat*VLOOKUP($A125,Leveranser_per_nät,'Leveranser per nät'!Q$1,FALSE)
               +Andel_beroende_av_klimat*VLOOKUP($A125,Leveranser_per_nät,'Leveranser per nät'!Q$1,FALSE)/VLOOKUP($B125,Korrigeringsfaktor_GD,'Korrigeringsfaktor GD'!Q$1,FALSE),
"")</f>
        <v>0</v>
      </c>
      <c r="R125" s="18">
        <f>IFERROR(
                  Andel_oberoende_av_klimat*VLOOKUP($A125,Leveranser_per_nät,'Leveranser per nät'!R$1,FALSE)
               +Andel_beroende_av_klimat*VLOOKUP($A125,Leveranser_per_nät,'Leveranser per nät'!R$1,FALSE)/VLOOKUP($B125,Korrigeringsfaktor_GD,'Korrigeringsfaktor GD'!R$1,FALSE),
"")</f>
        <v>0</v>
      </c>
      <c r="S125" s="18" t="str">
        <f>IFERROR(
                  Andel_oberoende_av_klimat*VLOOKUP($A125,Leveranser_per_nät,'Leveranser per nät'!S$1,FALSE)
               +Andel_beroende_av_klimat*VLOOKUP($A125,Leveranser_per_nät,'Leveranser per nät'!S$1,FALSE)/VLOOKUP($B125,Korrigeringsfaktor_GD,'Korrigeringsfaktor GD'!S$1,FALSE),
"")</f>
        <v/>
      </c>
      <c r="T125" s="18">
        <f>IFERROR(
                  Andel_oberoende_av_klimat*VLOOKUP($A125,Leveranser_per_nät,'Leveranser per nät'!T$1,FALSE)
               +Andel_beroende_av_klimat*VLOOKUP($A125,Leveranser_per_nät,'Leveranser per nät'!T$1,FALSE)/VLOOKUP($B125,Korrigeringsfaktor_GD,'Korrigeringsfaktor GD'!T$1,FALSE),
"")</f>
        <v>51.695463917525785</v>
      </c>
      <c r="U125" s="18">
        <f>IFERROR(
                  Andel_oberoende_av_klimat*VLOOKUP($A125,Leveranser_per_nät,'Leveranser per nät'!U$1,FALSE)
               +Andel_beroende_av_klimat*VLOOKUP($A125,Leveranser_per_nät,'Leveranser per nät'!U$1,FALSE)/VLOOKUP($B125,Korrigeringsfaktor_GD,'Korrigeringsfaktor GD'!U$1,FALSE),
"")</f>
        <v>50.038275862068964</v>
      </c>
      <c r="V125" s="18">
        <f>IFERROR(
                  Andel_oberoende_av_klimat*VLOOKUP($A125,Leveranser_per_nät,'Leveranser per nät'!V$1,FALSE)
               +Andel_beroende_av_klimat*VLOOKUP($A125,Leveranser_per_nät,'Leveranser per nät'!V$1,FALSE)/VLOOKUP($B125,Korrigeringsfaktor_GD,'Korrigeringsfaktor GD'!V$1,FALSE),
"")</f>
        <v>51.772528089887636</v>
      </c>
      <c r="W125" s="18">
        <f>IFERROR(
                  Andel_oberoende_av_klimat*VLOOKUP($A125,Leveranser_per_nät,'Leveranser per nät'!W$1,FALSE)
               +Andel_beroende_av_klimat*VLOOKUP($A125,Leveranser_per_nät,'Leveranser per nät'!W$1,FALSE)/VLOOKUP($B125,Korrigeringsfaktor_GD,'Korrigeringsfaktor GD'!W$1,FALSE),
"")</f>
        <v>54.316923076923075</v>
      </c>
      <c r="X125" s="18">
        <f>IFERROR(
                  Andel_oberoende_av_klimat*VLOOKUP($A125,Leveranser_per_nät,'Leveranser per nät'!X$1,FALSE)
               +Andel_beroende_av_klimat*VLOOKUP($A125,Leveranser_per_nät,'Leveranser per nät'!X$1,FALSE)/VLOOKUP($B125,Korrigeringsfaktor_GD,'Korrigeringsfaktor GD'!X$1,FALSE),
"")</f>
        <v>54.114956521739117</v>
      </c>
      <c r="Y125" s="18">
        <f>IFERROR(
                  Andel_oberoende_av_klimat*VLOOKUP($A125,Leveranser_per_nät,'Leveranser per nät'!Y$1,FALSE)
               +Andel_beroende_av_klimat*VLOOKUP($A125,Leveranser_per_nät,'Leveranser per nät'!Y$1,FALSE)/VLOOKUP($B125,Korrigeringsfaktor_GD,'Korrigeringsfaktor GD'!Y$1,FALSE),
"")</f>
        <v>55.699555555555548</v>
      </c>
      <c r="Z125" s="18">
        <f>IFERROR(
                  Andel_oberoende_av_klimat*VLOOKUP($A125,Leveranser_per_nät,'Leveranser per nät'!Z$1,FALSE)
               +Andel_beroende_av_klimat*VLOOKUP($A125,Leveranser_per_nät,'Leveranser per nät'!Z$1,FALSE)/VLOOKUP($B125,Korrigeringsfaktor_GD,'Korrigeringsfaktor GD'!Z$1,FALSE),
"")</f>
        <v>55.40149438202247</v>
      </c>
      <c r="AA125" s="18">
        <f>IFERROR(
                  Andel_oberoende_av_klimat*VLOOKUP($A125,Leveranser_per_nät,'Leveranser per nät'!AA$1,FALSE)
               +Andel_beroende_av_klimat*VLOOKUP($A125,Leveranser_per_nät,'Leveranser per nät'!AA$1,FALSE)/VLOOKUP($B125,Korrigeringsfaktor_GD,'Korrigeringsfaktor GD'!AA$1,FALSE),
"")</f>
        <v>53.652662487757105</v>
      </c>
      <c r="AB125" s="18">
        <f>IFERROR(
                  Andel_oberoende_av_klimat*VLOOKUP($A125,Leveranser_per_nät,'Leveranser per nät'!AB$1,FALSE)
               +Andel_beroende_av_klimat*VLOOKUP($A125,Leveranser_per_nät,'Leveranser per nät'!AB$1,FALSE)/VLOOKUP($B125,Korrigeringsfaktor_GD,'Korrigeringsfaktor GD'!AB$1,FALSE),
"")</f>
        <v>52.219234421364987</v>
      </c>
      <c r="AC125" s="18">
        <f>IFERROR(
                  Andel_oberoende_av_klimat*VLOOKUP($A125,Leveranser_per_nät,'Leveranser per nät'!AC$1,FALSE)
               +Andel_beroende_av_klimat*VLOOKUP($A125,Leveranser_per_nät,'Leveranser per nät'!AC$1,FALSE)/VLOOKUP($B125,Korrigeringsfaktor_GD,'Korrigeringsfaktor GD'!AC$1,FALSE),
"")</f>
        <v>50.916329809725163</v>
      </c>
      <c r="AD125">
        <v>48.96</v>
      </c>
    </row>
    <row r="126" spans="1:30" x14ac:dyDescent="0.25">
      <c r="A126" t="s">
        <v>208</v>
      </c>
      <c r="B126" t="s">
        <v>207</v>
      </c>
      <c r="C126" s="18">
        <f>IFERROR(
                  Andel_oberoende_av_klimat*VLOOKUP($A126,Leveranser_per_nät,'Leveranser per nät'!C$1,FALSE)
               +Andel_beroende_av_klimat*VLOOKUP($A126,Leveranser_per_nät,'Leveranser per nät'!C$1,FALSE)/VLOOKUP($B126,Korrigeringsfaktor_GD,'Korrigeringsfaktor GD'!C$1,FALSE),
"")</f>
        <v>92.132432432432424</v>
      </c>
      <c r="D126" s="18">
        <f>IFERROR(
                  Andel_oberoende_av_klimat*VLOOKUP($A126,Leveranser_per_nät,'Leveranser per nät'!D$1,FALSE)
               +Andel_beroende_av_klimat*VLOOKUP($A126,Leveranser_per_nät,'Leveranser per nät'!D$1,FALSE)/VLOOKUP($B126,Korrigeringsfaktor_GD,'Korrigeringsfaktor GD'!D$1,FALSE),
"")</f>
        <v>93.831571428571436</v>
      </c>
      <c r="E126" s="18">
        <f>IFERROR(
                  Andel_oberoende_av_klimat*VLOOKUP($A126,Leveranser_per_nät,'Leveranser per nät'!E$1,FALSE)
               +Andel_beroende_av_klimat*VLOOKUP($A126,Leveranser_per_nät,'Leveranser per nät'!E$1,FALSE)/VLOOKUP($B126,Korrigeringsfaktor_GD,'Korrigeringsfaktor GD'!E$1,FALSE),
"")</f>
        <v>96.654901960784315</v>
      </c>
      <c r="F126" s="18">
        <f>IFERROR(
                  Andel_oberoende_av_klimat*VLOOKUP($A126,Leveranser_per_nät,'Leveranser per nät'!F$1,FALSE)
               +Andel_beroende_av_klimat*VLOOKUP($A126,Leveranser_per_nät,'Leveranser per nät'!F$1,FALSE)/VLOOKUP($B126,Korrigeringsfaktor_GD,'Korrigeringsfaktor GD'!F$1,FALSE),
"")</f>
        <v>98.5</v>
      </c>
      <c r="G126" s="18">
        <f>IFERROR(
                  Andel_oberoende_av_klimat*VLOOKUP($A126,Leveranser_per_nät,'Leveranser per nät'!G$1,FALSE)
               +Andel_beroende_av_klimat*VLOOKUP($A126,Leveranser_per_nät,'Leveranser per nät'!G$1,FALSE)/VLOOKUP($B126,Korrigeringsfaktor_GD,'Korrigeringsfaktor GD'!G$1,FALSE),
"")</f>
        <v>98.309195402298855</v>
      </c>
      <c r="H126" s="18">
        <f>IFERROR(
                  Andel_oberoende_av_klimat*VLOOKUP($A126,Leveranser_per_nät,'Leveranser per nät'!H$1,FALSE)
               +Andel_beroende_av_klimat*VLOOKUP($A126,Leveranser_per_nät,'Leveranser per nät'!H$1,FALSE)/VLOOKUP($B126,Korrigeringsfaktor_GD,'Korrigeringsfaktor GD'!H$1,FALSE),
"")</f>
        <v>100.70707070707071</v>
      </c>
      <c r="I126" s="18">
        <f>IFERROR(
                  Andel_oberoende_av_klimat*VLOOKUP($A126,Leveranser_per_nät,'Leveranser per nät'!I$1,FALSE)
               +Andel_beroende_av_klimat*VLOOKUP($A126,Leveranser_per_nät,'Leveranser per nät'!I$1,FALSE)/VLOOKUP($B126,Korrigeringsfaktor_GD,'Korrigeringsfaktor GD'!I$1,FALSE),
"")</f>
        <v>103.45714285714286</v>
      </c>
      <c r="J126" s="18">
        <f>IFERROR(
                  Andel_oberoende_av_klimat*VLOOKUP($A126,Leveranser_per_nät,'Leveranser per nät'!J$1,FALSE)
               +Andel_beroende_av_klimat*VLOOKUP($A126,Leveranser_per_nät,'Leveranser per nät'!J$1,FALSE)/VLOOKUP($B126,Korrigeringsfaktor_GD,'Korrigeringsfaktor GD'!J$1,FALSE),
"")</f>
        <v>98.385714285714286</v>
      </c>
      <c r="K126" s="18">
        <f>IFERROR(
                  Andel_oberoende_av_klimat*VLOOKUP($A126,Leveranser_per_nät,'Leveranser per nät'!K$1,FALSE)
               +Andel_beroende_av_klimat*VLOOKUP($A126,Leveranser_per_nät,'Leveranser per nät'!K$1,FALSE)/VLOOKUP($B126,Korrigeringsfaktor_GD,'Korrigeringsfaktor GD'!K$1,FALSE),
"")</f>
        <v>0</v>
      </c>
      <c r="L126" s="18">
        <f>IFERROR(
                  Andel_oberoende_av_klimat*VLOOKUP($A126,Leveranser_per_nät,'Leveranser per nät'!L$1,FALSE)
               +Andel_beroende_av_klimat*VLOOKUP($A126,Leveranser_per_nät,'Leveranser per nät'!L$1,FALSE)/VLOOKUP($B126,Korrigeringsfaktor_GD,'Korrigeringsfaktor GD'!L$1,FALSE),
"")</f>
        <v>0</v>
      </c>
      <c r="M126" s="18">
        <f>IFERROR(
                  Andel_oberoende_av_klimat*VLOOKUP($A126,Leveranser_per_nät,'Leveranser per nät'!M$1,FALSE)
               +Andel_beroende_av_klimat*VLOOKUP($A126,Leveranser_per_nät,'Leveranser per nät'!M$1,FALSE)/VLOOKUP($B126,Korrigeringsfaktor_GD,'Korrigeringsfaktor GD'!M$1,FALSE),
"")</f>
        <v>0</v>
      </c>
      <c r="N126" s="18">
        <f>IFERROR(
                  Andel_oberoende_av_klimat*VLOOKUP($A126,Leveranser_per_nät,'Leveranser per nät'!N$1,FALSE)
               +Andel_beroende_av_klimat*VLOOKUP($A126,Leveranser_per_nät,'Leveranser per nät'!N$1,FALSE)/VLOOKUP($B126,Korrigeringsfaktor_GD,'Korrigeringsfaktor GD'!N$1,FALSE),
"")</f>
        <v>117.90107526881719</v>
      </c>
      <c r="O126" s="18">
        <f>IFERROR(
                  Andel_oberoende_av_klimat*VLOOKUP($A126,Leveranser_per_nät,'Leveranser per nät'!O$1,FALSE)
               +Andel_beroende_av_klimat*VLOOKUP($A126,Leveranser_per_nät,'Leveranser per nät'!O$1,FALSE)/VLOOKUP($B126,Korrigeringsfaktor_GD,'Korrigeringsfaktor GD'!O$1,FALSE),
"")</f>
        <v>124.6234831460674</v>
      </c>
      <c r="P126" s="18">
        <f>IFERROR(
                  Andel_oberoende_av_klimat*VLOOKUP($A126,Leveranser_per_nät,'Leveranser per nät'!P$1,FALSE)
               +Andel_beroende_av_klimat*VLOOKUP($A126,Leveranser_per_nät,'Leveranser per nät'!P$1,FALSE)/VLOOKUP($B126,Korrigeringsfaktor_GD,'Korrigeringsfaktor GD'!P$1,FALSE),
"")</f>
        <v>105.74242424242425</v>
      </c>
      <c r="Q126" s="18">
        <f>IFERROR(
                  Andel_oberoende_av_klimat*VLOOKUP($A126,Leveranser_per_nät,'Leveranser per nät'!Q$1,FALSE)
               +Andel_beroende_av_klimat*VLOOKUP($A126,Leveranser_per_nät,'Leveranser per nät'!Q$1,FALSE)/VLOOKUP($B126,Korrigeringsfaktor_GD,'Korrigeringsfaktor GD'!Q$1,FALSE),
"")</f>
        <v>0</v>
      </c>
      <c r="R126" s="18">
        <f>IFERROR(
                  Andel_oberoende_av_klimat*VLOOKUP($A126,Leveranser_per_nät,'Leveranser per nät'!R$1,FALSE)
               +Andel_beroende_av_klimat*VLOOKUP($A126,Leveranser_per_nät,'Leveranser per nät'!R$1,FALSE)/VLOOKUP($B126,Korrigeringsfaktor_GD,'Korrigeringsfaktor GD'!R$1,FALSE),
"")</f>
        <v>109.06153846153846</v>
      </c>
      <c r="S126" s="18" t="str">
        <f>IFERROR(
                  Andel_oberoende_av_klimat*VLOOKUP($A126,Leveranser_per_nät,'Leveranser per nät'!S$1,FALSE)
               +Andel_beroende_av_klimat*VLOOKUP($A126,Leveranser_per_nät,'Leveranser per nät'!S$1,FALSE)/VLOOKUP($B126,Korrigeringsfaktor_GD,'Korrigeringsfaktor GD'!S$1,FALSE),
"")</f>
        <v/>
      </c>
      <c r="T126" s="18" t="str">
        <f>IFERROR(
                  Andel_oberoende_av_klimat*VLOOKUP($A126,Leveranser_per_nät,'Leveranser per nät'!T$1,FALSE)
               +Andel_beroende_av_klimat*VLOOKUP($A126,Leveranser_per_nät,'Leveranser per nät'!T$1,FALSE)/VLOOKUP($B126,Korrigeringsfaktor_GD,'Korrigeringsfaktor GD'!T$1,FALSE),
"")</f>
        <v/>
      </c>
      <c r="U126" s="18" t="str">
        <f>IFERROR(
                  Andel_oberoende_av_klimat*VLOOKUP($A126,Leveranser_per_nät,'Leveranser per nät'!U$1,FALSE)
               +Andel_beroende_av_klimat*VLOOKUP($A126,Leveranser_per_nät,'Leveranser per nät'!U$1,FALSE)/VLOOKUP($B126,Korrigeringsfaktor_GD,'Korrigeringsfaktor GD'!U$1,FALSE),
"")</f>
        <v/>
      </c>
      <c r="V126" s="18" t="str">
        <f>IFERROR(
                  Andel_oberoende_av_klimat*VLOOKUP($A126,Leveranser_per_nät,'Leveranser per nät'!V$1,FALSE)
               +Andel_beroende_av_klimat*VLOOKUP($A126,Leveranser_per_nät,'Leveranser per nät'!V$1,FALSE)/VLOOKUP($B126,Korrigeringsfaktor_GD,'Korrigeringsfaktor GD'!V$1,FALSE),
"")</f>
        <v/>
      </c>
      <c r="W126" s="18" t="str">
        <f>IFERROR(
                  Andel_oberoende_av_klimat*VLOOKUP($A126,Leveranser_per_nät,'Leveranser per nät'!W$1,FALSE)
               +Andel_beroende_av_klimat*VLOOKUP($A126,Leveranser_per_nät,'Leveranser per nät'!W$1,FALSE)/VLOOKUP($B126,Korrigeringsfaktor_GD,'Korrigeringsfaktor GD'!W$1,FALSE),
"")</f>
        <v/>
      </c>
      <c r="X126" s="18" t="str">
        <f>IFERROR(
                  Andel_oberoende_av_klimat*VLOOKUP($A126,Leveranser_per_nät,'Leveranser per nät'!X$1,FALSE)
               +Andel_beroende_av_klimat*VLOOKUP($A126,Leveranser_per_nät,'Leveranser per nät'!X$1,FALSE)/VLOOKUP($B126,Korrigeringsfaktor_GD,'Korrigeringsfaktor GD'!X$1,FALSE),
"")</f>
        <v/>
      </c>
      <c r="Y126" s="18" t="str">
        <f>IFERROR(
                  Andel_oberoende_av_klimat*VLOOKUP($A126,Leveranser_per_nät,'Leveranser per nät'!Y$1,FALSE)
               +Andel_beroende_av_klimat*VLOOKUP($A126,Leveranser_per_nät,'Leveranser per nät'!Y$1,FALSE)/VLOOKUP($B126,Korrigeringsfaktor_GD,'Korrigeringsfaktor GD'!Y$1,FALSE),
"")</f>
        <v/>
      </c>
      <c r="Z126" s="18">
        <f>IFERROR(
                  Andel_oberoende_av_klimat*VLOOKUP($A126,Leveranser_per_nät,'Leveranser per nät'!Z$1,FALSE)
               +Andel_beroende_av_klimat*VLOOKUP($A126,Leveranser_per_nät,'Leveranser per nät'!Z$1,FALSE)/VLOOKUP($B126,Korrigeringsfaktor_GD,'Korrigeringsfaktor GD'!Z$1,FALSE),
"")</f>
        <v>0</v>
      </c>
      <c r="AA126" s="18" t="str">
        <f>IFERROR(
                  Andel_oberoende_av_klimat*VLOOKUP($A126,Leveranser_per_nät,'Leveranser per nät'!AA$1,FALSE)
               +Andel_beroende_av_klimat*VLOOKUP($A126,Leveranser_per_nät,'Leveranser per nät'!AA$1,FALSE)/VLOOKUP($B126,Korrigeringsfaktor_GD,'Korrigeringsfaktor GD'!AA$1,FALSE),
"")</f>
        <v/>
      </c>
      <c r="AB126" s="18">
        <f>IFERROR(
                  Andel_oberoende_av_klimat*VLOOKUP($A126,Leveranser_per_nät,'Leveranser per nät'!AB$1,FALSE)
               +Andel_beroende_av_klimat*VLOOKUP($A126,Leveranser_per_nät,'Leveranser per nät'!AB$1,FALSE)/VLOOKUP($B126,Korrigeringsfaktor_GD,'Korrigeringsfaktor GD'!AB$1,FALSE),
"")</f>
        <v>0</v>
      </c>
      <c r="AC126" s="18">
        <f>IFERROR(
                  Andel_oberoende_av_klimat*VLOOKUP($A126,Leveranser_per_nät,'Leveranser per nät'!AC$1,FALSE)
               +Andel_beroende_av_klimat*VLOOKUP($A126,Leveranser_per_nät,'Leveranser per nät'!AC$1,FALSE)/VLOOKUP($B126,Korrigeringsfaktor_GD,'Korrigeringsfaktor GD'!AC$1,FALSE),
"")</f>
        <v>0</v>
      </c>
      <c r="AD126">
        <v>1373.4</v>
      </c>
    </row>
    <row r="127" spans="1:30" x14ac:dyDescent="0.25">
      <c r="A127" t="s">
        <v>220</v>
      </c>
      <c r="B127" t="s">
        <v>221</v>
      </c>
      <c r="C127" s="18">
        <f>IFERROR(
                  Andel_oberoende_av_klimat*VLOOKUP($A127,Leveranser_per_nät,'Leveranser per nät'!C$1,FALSE)
               +Andel_beroende_av_klimat*VLOOKUP($A127,Leveranser_per_nät,'Leveranser per nät'!C$1,FALSE)/VLOOKUP($B127,Korrigeringsfaktor_GD,'Korrigeringsfaktor GD'!C$1,FALSE),
"")</f>
        <v>0</v>
      </c>
      <c r="D127" s="18">
        <f>IFERROR(
                  Andel_oberoende_av_klimat*VLOOKUP($A127,Leveranser_per_nät,'Leveranser per nät'!D$1,FALSE)
               +Andel_beroende_av_klimat*VLOOKUP($A127,Leveranser_per_nät,'Leveranser per nät'!D$1,FALSE)/VLOOKUP($B127,Korrigeringsfaktor_GD,'Korrigeringsfaktor GD'!D$1,FALSE),
"")</f>
        <v>0</v>
      </c>
      <c r="E127" s="18">
        <f>IFERROR(
                  Andel_oberoende_av_klimat*VLOOKUP($A127,Leveranser_per_nät,'Leveranser per nät'!E$1,FALSE)
               +Andel_beroende_av_klimat*VLOOKUP($A127,Leveranser_per_nät,'Leveranser per nät'!E$1,FALSE)/VLOOKUP($B127,Korrigeringsfaktor_GD,'Korrigeringsfaktor GD'!E$1,FALSE),
"")</f>
        <v>0</v>
      </c>
      <c r="F127" s="18">
        <f>IFERROR(
                  Andel_oberoende_av_klimat*VLOOKUP($A127,Leveranser_per_nät,'Leveranser per nät'!F$1,FALSE)
               +Andel_beroende_av_klimat*VLOOKUP($A127,Leveranser_per_nät,'Leveranser per nät'!F$1,FALSE)/VLOOKUP($B127,Korrigeringsfaktor_GD,'Korrigeringsfaktor GD'!F$1,FALSE),
"")</f>
        <v>14.737634408602149</v>
      </c>
      <c r="G127" s="18">
        <f>IFERROR(
                  Andel_oberoende_av_klimat*VLOOKUP($A127,Leveranser_per_nät,'Leveranser per nät'!G$1,FALSE)
               +Andel_beroende_av_klimat*VLOOKUP($A127,Leveranser_per_nät,'Leveranser per nät'!G$1,FALSE)/VLOOKUP($B127,Korrigeringsfaktor_GD,'Korrigeringsfaktor GD'!G$1,FALSE),
"")</f>
        <v>15.088888888888889</v>
      </c>
      <c r="H127" s="18">
        <f>IFERROR(
                  Andel_oberoende_av_klimat*VLOOKUP($A127,Leveranser_per_nät,'Leveranser per nät'!H$1,FALSE)
               +Andel_beroende_av_klimat*VLOOKUP($A127,Leveranser_per_nät,'Leveranser per nät'!H$1,FALSE)/VLOOKUP($B127,Korrigeringsfaktor_GD,'Korrigeringsfaktor GD'!H$1,FALSE),
"")</f>
        <v>15.214285714285715</v>
      </c>
      <c r="I127" s="18">
        <f>IFERROR(
                  Andel_oberoende_av_klimat*VLOOKUP($A127,Leveranser_per_nät,'Leveranser per nät'!I$1,FALSE)
               +Andel_beroende_av_klimat*VLOOKUP($A127,Leveranser_per_nät,'Leveranser per nät'!I$1,FALSE)/VLOOKUP($B127,Korrigeringsfaktor_GD,'Korrigeringsfaktor GD'!I$1,FALSE),
"")</f>
        <v>15.4375</v>
      </c>
      <c r="J127" s="18">
        <f>IFERROR(
                  Andel_oberoende_av_klimat*VLOOKUP($A127,Leveranser_per_nät,'Leveranser per nät'!J$1,FALSE)
               +Andel_beroende_av_klimat*VLOOKUP($A127,Leveranser_per_nät,'Leveranser per nät'!J$1,FALSE)/VLOOKUP($B127,Korrigeringsfaktor_GD,'Korrigeringsfaktor GD'!J$1,FALSE),
"")</f>
        <v>15</v>
      </c>
      <c r="K127" s="18">
        <f>IFERROR(
                  Andel_oberoende_av_klimat*VLOOKUP($A127,Leveranser_per_nät,'Leveranser per nät'!K$1,FALSE)
               +Andel_beroende_av_klimat*VLOOKUP($A127,Leveranser_per_nät,'Leveranser per nät'!K$1,FALSE)/VLOOKUP($B127,Korrigeringsfaktor_GD,'Korrigeringsfaktor GD'!K$1,FALSE),
"")</f>
        <v>15.889561616161615</v>
      </c>
      <c r="L127" s="18">
        <f>IFERROR(
                  Andel_oberoende_av_klimat*VLOOKUP($A127,Leveranser_per_nät,'Leveranser per nät'!L$1,FALSE)
               +Andel_beroende_av_klimat*VLOOKUP($A127,Leveranser_per_nät,'Leveranser per nät'!L$1,FALSE)/VLOOKUP($B127,Korrigeringsfaktor_GD,'Korrigeringsfaktor GD'!L$1,FALSE),
"")</f>
        <v>15.999425</v>
      </c>
      <c r="M127" s="18">
        <f>IFERROR(
                  Andel_oberoende_av_klimat*VLOOKUP($A127,Leveranser_per_nät,'Leveranser per nät'!M$1,FALSE)
               +Andel_beroende_av_klimat*VLOOKUP($A127,Leveranser_per_nät,'Leveranser per nät'!M$1,FALSE)/VLOOKUP($B127,Korrigeringsfaktor_GD,'Korrigeringsfaktor GD'!M$1,FALSE),
"")</f>
        <v>16.953543010752689</v>
      </c>
      <c r="N127" s="18">
        <f>IFERROR(
                  Andel_oberoende_av_klimat*VLOOKUP($A127,Leveranser_per_nät,'Leveranser per nät'!N$1,FALSE)
               +Andel_beroende_av_klimat*VLOOKUP($A127,Leveranser_per_nät,'Leveranser per nät'!N$1,FALSE)/VLOOKUP($B127,Korrigeringsfaktor_GD,'Korrigeringsfaktor GD'!N$1,FALSE),
"")</f>
        <v>16.486149462365592</v>
      </c>
      <c r="O127" s="18">
        <f>IFERROR(
                  Andel_oberoende_av_klimat*VLOOKUP($A127,Leveranser_per_nät,'Leveranser per nät'!O$1,FALSE)
               +Andel_beroende_av_klimat*VLOOKUP($A127,Leveranser_per_nät,'Leveranser per nät'!O$1,FALSE)/VLOOKUP($B127,Korrigeringsfaktor_GD,'Korrigeringsfaktor GD'!O$1,FALSE),
"")</f>
        <v>16.973566292134834</v>
      </c>
      <c r="P127" s="18">
        <f>IFERROR(
                  Andel_oberoende_av_klimat*VLOOKUP($A127,Leveranser_per_nät,'Leveranser per nät'!P$1,FALSE)
               +Andel_beroende_av_klimat*VLOOKUP($A127,Leveranser_per_nät,'Leveranser per nät'!P$1,FALSE)/VLOOKUP($B127,Korrigeringsfaktor_GD,'Korrigeringsfaktor GD'!P$1,FALSE),
"")</f>
        <v>15.1935875</v>
      </c>
      <c r="Q127" s="18">
        <f>IFERROR(
                  Andel_oberoende_av_klimat*VLOOKUP($A127,Leveranser_per_nät,'Leveranser per nät'!Q$1,FALSE)
               +Andel_beroende_av_klimat*VLOOKUP($A127,Leveranser_per_nät,'Leveranser per nät'!Q$1,FALSE)/VLOOKUP($B127,Korrigeringsfaktor_GD,'Korrigeringsfaktor GD'!Q$1,FALSE),
"")</f>
        <v>16.401047826086959</v>
      </c>
      <c r="R127" s="18">
        <f>IFERROR(
                  Andel_oberoende_av_klimat*VLOOKUP($A127,Leveranser_per_nät,'Leveranser per nät'!R$1,FALSE)
               +Andel_beroende_av_klimat*VLOOKUP($A127,Leveranser_per_nät,'Leveranser per nät'!R$1,FALSE)/VLOOKUP($B127,Korrigeringsfaktor_GD,'Korrigeringsfaktor GD'!R$1,FALSE),
"")</f>
        <v>16.182504347826086</v>
      </c>
      <c r="S127" s="18">
        <f>IFERROR(
                  Andel_oberoende_av_klimat*VLOOKUP($A127,Leveranser_per_nät,'Leveranser per nät'!S$1,FALSE)
               +Andel_beroende_av_klimat*VLOOKUP($A127,Leveranser_per_nät,'Leveranser per nät'!S$1,FALSE)/VLOOKUP($B127,Korrigeringsfaktor_GD,'Korrigeringsfaktor GD'!S$1,FALSE),
"")</f>
        <v>16.39</v>
      </c>
      <c r="T127" s="18">
        <f>IFERROR(
                  Andel_oberoende_av_klimat*VLOOKUP($A127,Leveranser_per_nät,'Leveranser per nät'!T$1,FALSE)
               +Andel_beroende_av_klimat*VLOOKUP($A127,Leveranser_per_nät,'Leveranser per nät'!T$1,FALSE)/VLOOKUP($B127,Korrigeringsfaktor_GD,'Korrigeringsfaktor GD'!T$1,FALSE),
"")</f>
        <v>16.179529166666669</v>
      </c>
      <c r="U127" s="18">
        <f>IFERROR(
                  Andel_oberoende_av_klimat*VLOOKUP($A127,Leveranser_per_nät,'Leveranser per nät'!U$1,FALSE)
               +Andel_beroende_av_klimat*VLOOKUP($A127,Leveranser_per_nät,'Leveranser per nät'!U$1,FALSE)/VLOOKUP($B127,Korrigeringsfaktor_GD,'Korrigeringsfaktor GD'!U$1,FALSE),
"")</f>
        <v>16.184755056179775</v>
      </c>
      <c r="V127" s="18">
        <f>IFERROR(
                  Andel_oberoende_av_klimat*VLOOKUP($A127,Leveranser_per_nät,'Leveranser per nät'!V$1,FALSE)
               +Andel_beroende_av_klimat*VLOOKUP($A127,Leveranser_per_nät,'Leveranser per nät'!V$1,FALSE)/VLOOKUP($B127,Korrigeringsfaktor_GD,'Korrigeringsfaktor GD'!V$1,FALSE),
"")</f>
        <v>17.661732558139533</v>
      </c>
      <c r="W127" s="18">
        <f>IFERROR(
                  Andel_oberoende_av_klimat*VLOOKUP($A127,Leveranser_per_nät,'Leveranser per nät'!W$1,FALSE)
               +Andel_beroende_av_klimat*VLOOKUP($A127,Leveranser_per_nät,'Leveranser per nät'!W$1,FALSE)/VLOOKUP($B127,Korrigeringsfaktor_GD,'Korrigeringsfaktor GD'!W$1,FALSE),
"")</f>
        <v>17.767931914893616</v>
      </c>
      <c r="X127" s="18">
        <f>IFERROR(
                  Andel_oberoende_av_klimat*VLOOKUP($A127,Leveranser_per_nät,'Leveranser per nät'!X$1,FALSE)
               +Andel_beroende_av_klimat*VLOOKUP($A127,Leveranser_per_nät,'Leveranser per nät'!X$1,FALSE)/VLOOKUP($B127,Korrigeringsfaktor_GD,'Korrigeringsfaktor GD'!X$1,FALSE),
"")</f>
        <v>17.882846808510635</v>
      </c>
      <c r="Y127" s="18">
        <f>IFERROR(
                  Andel_oberoende_av_klimat*VLOOKUP($A127,Leveranser_per_nät,'Leveranser per nät'!Y$1,FALSE)
               +Andel_beroende_av_klimat*VLOOKUP($A127,Leveranser_per_nät,'Leveranser per nät'!Y$1,FALSE)/VLOOKUP($B127,Korrigeringsfaktor_GD,'Korrigeringsfaktor GD'!Y$1,FALSE),
"")</f>
        <v>17.653930434782605</v>
      </c>
      <c r="Z127" s="18">
        <f>IFERROR(
                  Andel_oberoende_av_klimat*VLOOKUP($A127,Leveranser_per_nät,'Leveranser per nät'!Z$1,FALSE)
               +Andel_beroende_av_klimat*VLOOKUP($A127,Leveranser_per_nät,'Leveranser per nät'!Z$1,FALSE)/VLOOKUP($B127,Korrigeringsfaktor_GD,'Korrigeringsfaktor GD'!Z$1,FALSE),
"")</f>
        <v>16.787868686868691</v>
      </c>
      <c r="AA127" s="18">
        <f>IFERROR(
                  Andel_oberoende_av_klimat*VLOOKUP($A127,Leveranser_per_nät,'Leveranser per nät'!AA$1,FALSE)
               +Andel_beroende_av_klimat*VLOOKUP($A127,Leveranser_per_nät,'Leveranser per nät'!AA$1,FALSE)/VLOOKUP($B127,Korrigeringsfaktor_GD,'Korrigeringsfaktor GD'!AA$1,FALSE),
"")</f>
        <v>16.347443255996854</v>
      </c>
      <c r="AB127" s="18">
        <f>IFERROR(
                  Andel_oberoende_av_klimat*VLOOKUP($A127,Leveranser_per_nät,'Leveranser per nät'!AB$1,FALSE)
               +Andel_beroende_av_klimat*VLOOKUP($A127,Leveranser_per_nät,'Leveranser per nät'!AB$1,FALSE)/VLOOKUP($B127,Korrigeringsfaktor_GD,'Korrigeringsfaktor GD'!AB$1,FALSE),
"")</f>
        <v>16.166346874999999</v>
      </c>
      <c r="AC127" s="18">
        <f>IFERROR(
                  Andel_oberoende_av_klimat*VLOOKUP($A127,Leveranser_per_nät,'Leveranser per nät'!AC$1,FALSE)
               +Andel_beroende_av_klimat*VLOOKUP($A127,Leveranser_per_nät,'Leveranser per nät'!AC$1,FALSE)/VLOOKUP($B127,Korrigeringsfaktor_GD,'Korrigeringsfaktor GD'!AC$1,FALSE),
"")</f>
        <v>15.646371428571429</v>
      </c>
      <c r="AD127">
        <v>128.52099999999999</v>
      </c>
    </row>
    <row r="128" spans="1:30" x14ac:dyDescent="0.25">
      <c r="A128" t="s">
        <v>142</v>
      </c>
      <c r="B128" t="s">
        <v>142</v>
      </c>
      <c r="C128" s="18">
        <f>IFERROR(
                  Andel_oberoende_av_klimat*VLOOKUP($A128,Leveranser_per_nät,'Leveranser per nät'!C$1,FALSE)
               +Andel_beroende_av_klimat*VLOOKUP($A128,Leveranser_per_nät,'Leveranser per nät'!C$1,FALSE)/VLOOKUP($B128,Korrigeringsfaktor_GD,'Korrigeringsfaktor GD'!C$1,FALSE),
"")</f>
        <v>308.02212389380531</v>
      </c>
      <c r="D128" s="18">
        <f>IFERROR(
                  Andel_oberoende_av_klimat*VLOOKUP($A128,Leveranser_per_nät,'Leveranser per nät'!D$1,FALSE)
               +Andel_beroende_av_klimat*VLOOKUP($A128,Leveranser_per_nät,'Leveranser per nät'!D$1,FALSE)/VLOOKUP($B128,Korrigeringsfaktor_GD,'Korrigeringsfaktor GD'!D$1,FALSE),
"")</f>
        <v>322.9877572815534</v>
      </c>
      <c r="E128" s="18">
        <f>IFERROR(
                  Andel_oberoende_av_klimat*VLOOKUP($A128,Leveranser_per_nät,'Leveranser per nät'!E$1,FALSE)
               +Andel_beroende_av_klimat*VLOOKUP($A128,Leveranser_per_nät,'Leveranser per nät'!E$1,FALSE)/VLOOKUP($B128,Korrigeringsfaktor_GD,'Korrigeringsfaktor GD'!E$1,FALSE),
"")</f>
        <v>333</v>
      </c>
      <c r="F128" s="18">
        <f>IFERROR(
                  Andel_oberoende_av_klimat*VLOOKUP($A128,Leveranser_per_nät,'Leveranser per nät'!F$1,FALSE)
               +Andel_beroende_av_klimat*VLOOKUP($A128,Leveranser_per_nät,'Leveranser per nät'!F$1,FALSE)/VLOOKUP($B128,Korrigeringsfaktor_GD,'Korrigeringsfaktor GD'!F$1,FALSE),
"")</f>
        <v>341.07096774193548</v>
      </c>
      <c r="G128" s="18">
        <f>IFERROR(
                  Andel_oberoende_av_klimat*VLOOKUP($A128,Leveranser_per_nät,'Leveranser per nät'!G$1,FALSE)
               +Andel_beroende_av_klimat*VLOOKUP($A128,Leveranser_per_nät,'Leveranser per nät'!G$1,FALSE)/VLOOKUP($B128,Korrigeringsfaktor_GD,'Korrigeringsfaktor GD'!G$1,FALSE),
"")</f>
        <v>349.48618235294117</v>
      </c>
      <c r="H128" s="18">
        <f>IFERROR(
                  Andel_oberoende_av_klimat*VLOOKUP($A128,Leveranser_per_nät,'Leveranser per nät'!H$1,FALSE)
               +Andel_beroende_av_klimat*VLOOKUP($A128,Leveranser_per_nät,'Leveranser per nät'!H$1,FALSE)/VLOOKUP($B128,Korrigeringsfaktor_GD,'Korrigeringsfaktor GD'!H$1,FALSE),
"")</f>
        <v>355.49595959595962</v>
      </c>
      <c r="I128" s="18">
        <f>IFERROR(
                  Andel_oberoende_av_klimat*VLOOKUP($A128,Leveranser_per_nät,'Leveranser per nät'!I$1,FALSE)
               +Andel_beroende_av_klimat*VLOOKUP($A128,Leveranser_per_nät,'Leveranser per nät'!I$1,FALSE)/VLOOKUP($B128,Korrigeringsfaktor_GD,'Korrigeringsfaktor GD'!I$1,FALSE),
"")</f>
        <v>380.02043010752686</v>
      </c>
      <c r="J128" s="18">
        <f>IFERROR(
                  Andel_oberoende_av_klimat*VLOOKUP($A128,Leveranser_per_nät,'Leveranser per nät'!J$1,FALSE)
               +Andel_beroende_av_klimat*VLOOKUP($A128,Leveranser_per_nät,'Leveranser per nät'!J$1,FALSE)/VLOOKUP($B128,Korrigeringsfaktor_GD,'Korrigeringsfaktor GD'!J$1,FALSE),
"")</f>
        <v>391.69888571428572</v>
      </c>
      <c r="K128" s="18">
        <f>IFERROR(
                  Andel_oberoende_av_klimat*VLOOKUP($A128,Leveranser_per_nät,'Leveranser per nät'!K$1,FALSE)
               +Andel_beroende_av_klimat*VLOOKUP($A128,Leveranser_per_nät,'Leveranser per nät'!K$1,FALSE)/VLOOKUP($B128,Korrigeringsfaktor_GD,'Korrigeringsfaktor GD'!K$1,FALSE),
"")</f>
        <v>422.11670808080811</v>
      </c>
      <c r="L128" s="18">
        <f>IFERROR(
                  Andel_oberoende_av_klimat*VLOOKUP($A128,Leveranser_per_nät,'Leveranser per nät'!L$1,FALSE)
               +Andel_beroende_av_klimat*VLOOKUP($A128,Leveranser_per_nät,'Leveranser per nät'!L$1,FALSE)/VLOOKUP($B128,Korrigeringsfaktor_GD,'Korrigeringsfaktor GD'!L$1,FALSE),
"")</f>
        <v>454.0343708333333</v>
      </c>
      <c r="M128" s="18">
        <f>IFERROR(
                  Andel_oberoende_av_klimat*VLOOKUP($A128,Leveranser_per_nät,'Leveranser per nät'!M$1,FALSE)
               +Andel_beroende_av_klimat*VLOOKUP($A128,Leveranser_per_nät,'Leveranser per nät'!M$1,FALSE)/VLOOKUP($B128,Korrigeringsfaktor_GD,'Korrigeringsfaktor GD'!M$1,FALSE),
"")</f>
        <v>517.92258064516125</v>
      </c>
      <c r="N128" s="18">
        <f>IFERROR(
                  Andel_oberoende_av_klimat*VLOOKUP($A128,Leveranser_per_nät,'Leveranser per nät'!N$1,FALSE)
               +Andel_beroende_av_klimat*VLOOKUP($A128,Leveranser_per_nät,'Leveranser per nät'!N$1,FALSE)/VLOOKUP($B128,Korrigeringsfaktor_GD,'Korrigeringsfaktor GD'!N$1,FALSE),
"")</f>
        <v>557.03863636363644</v>
      </c>
      <c r="O128" s="18">
        <f>IFERROR(
                  Andel_oberoende_av_klimat*VLOOKUP($A128,Leveranser_per_nät,'Leveranser per nät'!O$1,FALSE)
               +Andel_beroende_av_klimat*VLOOKUP($A128,Leveranser_per_nät,'Leveranser per nät'!O$1,FALSE)/VLOOKUP($B128,Korrigeringsfaktor_GD,'Korrigeringsfaktor GD'!O$1,FALSE),
"")</f>
        <v>561.42045454545462</v>
      </c>
      <c r="P128" s="18">
        <f>IFERROR(
                  Andel_oberoende_av_klimat*VLOOKUP($A128,Leveranser_per_nät,'Leveranser per nät'!P$1,FALSE)
               +Andel_beroende_av_klimat*VLOOKUP($A128,Leveranser_per_nät,'Leveranser per nät'!P$1,FALSE)/VLOOKUP($B128,Korrigeringsfaktor_GD,'Korrigeringsfaktor GD'!P$1,FALSE),
"")</f>
        <v>538.97458333333338</v>
      </c>
      <c r="Q128" s="18">
        <f>IFERROR(
                  Andel_oberoende_av_klimat*VLOOKUP($A128,Leveranser_per_nät,'Leveranser per nät'!Q$1,FALSE)
               +Andel_beroende_av_klimat*VLOOKUP($A128,Leveranser_per_nät,'Leveranser per nät'!Q$1,FALSE)/VLOOKUP($B128,Korrigeringsfaktor_GD,'Korrigeringsfaktor GD'!Q$1,FALSE),
"")</f>
        <v>546.16068376068381</v>
      </c>
      <c r="R128" s="18">
        <f>IFERROR(
                  Andel_oberoende_av_klimat*VLOOKUP($A128,Leveranser_per_nät,'Leveranser per nät'!R$1,FALSE)
               +Andel_beroende_av_klimat*VLOOKUP($A128,Leveranser_per_nät,'Leveranser per nät'!R$1,FALSE)/VLOOKUP($B128,Korrigeringsfaktor_GD,'Korrigeringsfaktor GD'!R$1,FALSE),
"")</f>
        <v>639.70434782608686</v>
      </c>
      <c r="S128" s="18">
        <f>IFERROR(
                  Andel_oberoende_av_klimat*VLOOKUP($A128,Leveranser_per_nät,'Leveranser per nät'!S$1,FALSE)
               +Andel_beroende_av_klimat*VLOOKUP($A128,Leveranser_per_nät,'Leveranser per nät'!S$1,FALSE)/VLOOKUP($B128,Korrigeringsfaktor_GD,'Korrigeringsfaktor GD'!S$1,FALSE),
"")</f>
        <v>557.24509803921569</v>
      </c>
      <c r="T128" s="18">
        <f>IFERROR(
                  Andel_oberoende_av_klimat*VLOOKUP($A128,Leveranser_per_nät,'Leveranser per nät'!T$1,FALSE)
               +Andel_beroende_av_klimat*VLOOKUP($A128,Leveranser_per_nät,'Leveranser per nät'!T$1,FALSE)/VLOOKUP($B128,Korrigeringsfaktor_GD,'Korrigeringsfaktor GD'!T$1,FALSE),
"")</f>
        <v>579.06565656565658</v>
      </c>
      <c r="U128" s="18">
        <f>IFERROR(
                  Andel_oberoende_av_klimat*VLOOKUP($A128,Leveranser_per_nät,'Leveranser per nät'!U$1,FALSE)
               +Andel_beroende_av_klimat*VLOOKUP($A128,Leveranser_per_nät,'Leveranser per nät'!U$1,FALSE)/VLOOKUP($B128,Korrigeringsfaktor_GD,'Korrigeringsfaktor GD'!U$1,FALSE),
"")</f>
        <v>599.12771084337351</v>
      </c>
      <c r="V128" s="18">
        <f>IFERROR(
                  Andel_oberoende_av_klimat*VLOOKUP($A128,Leveranser_per_nät,'Leveranser per nät'!V$1,FALSE)
               +Andel_beroende_av_klimat*VLOOKUP($A128,Leveranser_per_nät,'Leveranser per nät'!V$1,FALSE)/VLOOKUP($B128,Korrigeringsfaktor_GD,'Korrigeringsfaktor GD'!V$1,FALSE),
"")</f>
        <v>589.97865168539329</v>
      </c>
      <c r="W128" s="18">
        <f>IFERROR(
                  Andel_oberoende_av_klimat*VLOOKUP($A128,Leveranser_per_nät,'Leveranser per nät'!W$1,FALSE)
               +Andel_beroende_av_klimat*VLOOKUP($A128,Leveranser_per_nät,'Leveranser per nät'!W$1,FALSE)/VLOOKUP($B128,Korrigeringsfaktor_GD,'Korrigeringsfaktor GD'!W$1,FALSE),
"")</f>
        <v>606.81739130434778</v>
      </c>
      <c r="X128" s="18">
        <f>IFERROR(
                  Andel_oberoende_av_klimat*VLOOKUP($A128,Leveranser_per_nät,'Leveranser per nät'!X$1,FALSE)
               +Andel_beroende_av_klimat*VLOOKUP($A128,Leveranser_per_nät,'Leveranser per nät'!X$1,FALSE)/VLOOKUP($B128,Korrigeringsfaktor_GD,'Korrigeringsfaktor GD'!X$1,FALSE),
"")</f>
        <v>605.18461538461543</v>
      </c>
      <c r="Y128" s="18">
        <f>IFERROR(
                  Andel_oberoende_av_klimat*VLOOKUP($A128,Leveranser_per_nät,'Leveranser per nät'!Y$1,FALSE)
               +Andel_beroende_av_klimat*VLOOKUP($A128,Leveranser_per_nät,'Leveranser per nät'!Y$1,FALSE)/VLOOKUP($B128,Korrigeringsfaktor_GD,'Korrigeringsfaktor GD'!Y$1,FALSE),
"")</f>
        <v>629.88636363636363</v>
      </c>
      <c r="Z128" s="18">
        <f>IFERROR(
                  Andel_oberoende_av_klimat*VLOOKUP($A128,Leveranser_per_nät,'Leveranser per nät'!Z$1,FALSE)
               +Andel_beroende_av_klimat*VLOOKUP($A128,Leveranser_per_nät,'Leveranser per nät'!Z$1,FALSE)/VLOOKUP($B128,Korrigeringsfaktor_GD,'Korrigeringsfaktor GD'!Z$1,FALSE),
"")</f>
        <v>566.03043010752685</v>
      </c>
      <c r="AA128" s="18">
        <f>IFERROR(
                  Andel_oberoende_av_klimat*VLOOKUP($A128,Leveranser_per_nät,'Leveranser per nät'!AA$1,FALSE)
               +Andel_beroende_av_klimat*VLOOKUP($A128,Leveranser_per_nät,'Leveranser per nät'!AA$1,FALSE)/VLOOKUP($B128,Korrigeringsfaktor_GD,'Korrigeringsfaktor GD'!AA$1,FALSE),
"")</f>
        <v>577.71682377049183</v>
      </c>
      <c r="AB128" s="18">
        <f>IFERROR(
                  Andel_oberoende_av_klimat*VLOOKUP($A128,Leveranser_per_nät,'Leveranser per nät'!AB$1,FALSE)
               +Andel_beroende_av_klimat*VLOOKUP($A128,Leveranser_per_nät,'Leveranser per nät'!AB$1,FALSE)/VLOOKUP($B128,Korrigeringsfaktor_GD,'Korrigeringsfaktor GD'!AB$1,FALSE),
"")</f>
        <v>564.51634218289087</v>
      </c>
      <c r="AC128" s="18">
        <f>IFERROR(
                  Andel_oberoende_av_klimat*VLOOKUP($A128,Leveranser_per_nät,'Leveranser per nät'!AC$1,FALSE)
               +Andel_beroende_av_klimat*VLOOKUP($A128,Leveranser_per_nät,'Leveranser per nät'!AC$1,FALSE)/VLOOKUP($B128,Korrigeringsfaktor_GD,'Korrigeringsfaktor GD'!AC$1,FALSE),
"")</f>
        <v>581.80057421451795</v>
      </c>
      <c r="AD128" t="e">
        <v>#N/A</v>
      </c>
    </row>
    <row r="129" spans="1:30" x14ac:dyDescent="0.25">
      <c r="A129" t="s">
        <v>345</v>
      </c>
      <c r="B129" t="s">
        <v>345</v>
      </c>
      <c r="C129" s="18">
        <f>IFERROR(
                  Andel_oberoende_av_klimat*VLOOKUP($A129,Leveranser_per_nät,'Leveranser per nät'!C$1,FALSE)
               +Andel_beroende_av_klimat*VLOOKUP($A129,Leveranser_per_nät,'Leveranser per nät'!C$1,FALSE)/VLOOKUP($B129,Korrigeringsfaktor_GD,'Korrigeringsfaktor GD'!C$1,FALSE),
"")</f>
        <v>43.864864356435646</v>
      </c>
      <c r="D129" s="18">
        <f>IFERROR(
                  Andel_oberoende_av_klimat*VLOOKUP($A129,Leveranser_per_nät,'Leveranser per nät'!D$1,FALSE)
               +Andel_beroende_av_klimat*VLOOKUP($A129,Leveranser_per_nät,'Leveranser per nät'!D$1,FALSE)/VLOOKUP($B129,Korrigeringsfaktor_GD,'Korrigeringsfaktor GD'!D$1,FALSE),
"")</f>
        <v>43.050342857142859</v>
      </c>
      <c r="E129" s="18">
        <f>IFERROR(
                  Andel_oberoende_av_klimat*VLOOKUP($A129,Leveranser_per_nät,'Leveranser per nät'!E$1,FALSE)
               +Andel_beroende_av_klimat*VLOOKUP($A129,Leveranser_per_nät,'Leveranser per nät'!E$1,FALSE)/VLOOKUP($B129,Korrigeringsfaktor_GD,'Korrigeringsfaktor GD'!E$1,FALSE),
"")</f>
        <v>48.195526923076926</v>
      </c>
      <c r="F129" s="18">
        <f>IFERROR(
                  Andel_oberoende_av_klimat*VLOOKUP($A129,Leveranser_per_nät,'Leveranser per nät'!F$1,FALSE)
               +Andel_beroende_av_klimat*VLOOKUP($A129,Leveranser_per_nät,'Leveranser per nät'!F$1,FALSE)/VLOOKUP($B129,Korrigeringsfaktor_GD,'Korrigeringsfaktor GD'!F$1,FALSE),
"")</f>
        <v>49.372</v>
      </c>
      <c r="G129" s="18">
        <f>IFERROR(
                  Andel_oberoende_av_klimat*VLOOKUP($A129,Leveranser_per_nät,'Leveranser per nät'!G$1,FALSE)
               +Andel_beroende_av_klimat*VLOOKUP($A129,Leveranser_per_nät,'Leveranser per nät'!G$1,FALSE)/VLOOKUP($B129,Korrigeringsfaktor_GD,'Korrigeringsfaktor GD'!G$1,FALSE),
"")</f>
        <v>50.253846153846155</v>
      </c>
      <c r="H129" s="18">
        <f>IFERROR(
                  Andel_oberoende_av_klimat*VLOOKUP($A129,Leveranser_per_nät,'Leveranser per nät'!H$1,FALSE)
               +Andel_beroende_av_klimat*VLOOKUP($A129,Leveranser_per_nät,'Leveranser per nät'!H$1,FALSE)/VLOOKUP($B129,Korrigeringsfaktor_GD,'Korrigeringsfaktor GD'!H$1,FALSE),
"")</f>
        <v>50.353535353535356</v>
      </c>
      <c r="I129" s="18">
        <f>IFERROR(
                  Andel_oberoende_av_klimat*VLOOKUP($A129,Leveranser_per_nät,'Leveranser per nät'!I$1,FALSE)
               +Andel_beroende_av_klimat*VLOOKUP($A129,Leveranser_per_nät,'Leveranser per nät'!I$1,FALSE)/VLOOKUP($B129,Korrigeringsfaktor_GD,'Korrigeringsfaktor GD'!I$1,FALSE),
"")</f>
        <v>52</v>
      </c>
      <c r="J129" s="18">
        <f>IFERROR(
                  Andel_oberoende_av_klimat*VLOOKUP($A129,Leveranser_per_nät,'Leveranser per nät'!J$1,FALSE)
               +Andel_beroende_av_klimat*VLOOKUP($A129,Leveranser_per_nät,'Leveranser per nät'!J$1,FALSE)/VLOOKUP($B129,Korrigeringsfaktor_GD,'Korrigeringsfaktor GD'!J$1,FALSE),
"")</f>
        <v>46.096824742268041</v>
      </c>
      <c r="K129" s="18">
        <f>IFERROR(
                  Andel_oberoende_av_klimat*VLOOKUP($A129,Leveranser_per_nät,'Leveranser per nät'!K$1,FALSE)
               +Andel_beroende_av_klimat*VLOOKUP($A129,Leveranser_per_nät,'Leveranser per nät'!K$1,FALSE)/VLOOKUP($B129,Korrigeringsfaktor_GD,'Korrigeringsfaktor GD'!K$1,FALSE),
"")</f>
        <v>46.93866391752578</v>
      </c>
      <c r="L129" s="18">
        <f>IFERROR(
                  Andel_oberoende_av_klimat*VLOOKUP($A129,Leveranser_per_nät,'Leveranser per nät'!L$1,FALSE)
               +Andel_beroende_av_klimat*VLOOKUP($A129,Leveranser_per_nät,'Leveranser per nät'!L$1,FALSE)/VLOOKUP($B129,Korrigeringsfaktor_GD,'Korrigeringsfaktor GD'!L$1,FALSE),
"")</f>
        <v>49.124738461538463</v>
      </c>
      <c r="M129" s="18">
        <f>IFERROR(
                  Andel_oberoende_av_klimat*VLOOKUP($A129,Leveranser_per_nät,'Leveranser per nät'!M$1,FALSE)
               +Andel_beroende_av_klimat*VLOOKUP($A129,Leveranser_per_nät,'Leveranser per nät'!M$1,FALSE)/VLOOKUP($B129,Korrigeringsfaktor_GD,'Korrigeringsfaktor GD'!M$1,FALSE),
"")</f>
        <v>51.634736842105255</v>
      </c>
      <c r="N129" s="18">
        <f>IFERROR(
                  Andel_oberoende_av_klimat*VLOOKUP($A129,Leveranser_per_nät,'Leveranser per nät'!N$1,FALSE)
               +Andel_beroende_av_klimat*VLOOKUP($A129,Leveranser_per_nät,'Leveranser per nät'!N$1,FALSE)/VLOOKUP($B129,Korrigeringsfaktor_GD,'Korrigeringsfaktor GD'!N$1,FALSE),
"")</f>
        <v>56.739892473118275</v>
      </c>
      <c r="O129" s="18">
        <f>IFERROR(
                  Andel_oberoende_av_klimat*VLOOKUP($A129,Leveranser_per_nät,'Leveranser per nät'!O$1,FALSE)
               +Andel_beroende_av_klimat*VLOOKUP($A129,Leveranser_per_nät,'Leveranser per nät'!O$1,FALSE)/VLOOKUP($B129,Korrigeringsfaktor_GD,'Korrigeringsfaktor GD'!O$1,FALSE),
"")</f>
        <v>56.213548387096772</v>
      </c>
      <c r="P129" s="18">
        <f>IFERROR(
                  Andel_oberoende_av_klimat*VLOOKUP($A129,Leveranser_per_nät,'Leveranser per nät'!P$1,FALSE)
               +Andel_beroende_av_klimat*VLOOKUP($A129,Leveranser_per_nät,'Leveranser per nät'!P$1,FALSE)/VLOOKUP($B129,Korrigeringsfaktor_GD,'Korrigeringsfaktor GD'!P$1,FALSE),
"")</f>
        <v>57.839166666666671</v>
      </c>
      <c r="Q129" s="18">
        <f>IFERROR(
                  Andel_oberoende_av_klimat*VLOOKUP($A129,Leveranser_per_nät,'Leveranser per nät'!Q$1,FALSE)
               +Andel_beroende_av_klimat*VLOOKUP($A129,Leveranser_per_nät,'Leveranser per nät'!Q$1,FALSE)/VLOOKUP($B129,Korrigeringsfaktor_GD,'Korrigeringsfaktor GD'!Q$1,FALSE),
"")</f>
        <v>60.681481481481477</v>
      </c>
      <c r="R129" s="18">
        <f>IFERROR(
                  Andel_oberoende_av_klimat*VLOOKUP($A129,Leveranser_per_nät,'Leveranser per nät'!R$1,FALSE)
               +Andel_beroende_av_klimat*VLOOKUP($A129,Leveranser_per_nät,'Leveranser per nät'!R$1,FALSE)/VLOOKUP($B129,Korrigeringsfaktor_GD,'Korrigeringsfaktor GD'!R$1,FALSE),
"")</f>
        <v>59.983846153846144</v>
      </c>
      <c r="S129" s="18">
        <f>IFERROR(
                  Andel_oberoende_av_klimat*VLOOKUP($A129,Leveranser_per_nät,'Leveranser per nät'!S$1,FALSE)
               +Andel_beroende_av_klimat*VLOOKUP($A129,Leveranser_per_nät,'Leveranser per nät'!S$1,FALSE)/VLOOKUP($B129,Korrigeringsfaktor_GD,'Korrigeringsfaktor GD'!S$1,FALSE),
"")</f>
        <v>59.584158415841586</v>
      </c>
      <c r="T129" s="18">
        <f>IFERROR(
                  Andel_oberoende_av_klimat*VLOOKUP($A129,Leveranser_per_nät,'Leveranser per nät'!T$1,FALSE)
               +Andel_beroende_av_klimat*VLOOKUP($A129,Leveranser_per_nät,'Leveranser per nät'!T$1,FALSE)/VLOOKUP($B129,Korrigeringsfaktor_GD,'Korrigeringsfaktor GD'!T$1,FALSE),
"")</f>
        <v>58.31892473118279</v>
      </c>
      <c r="U129" s="18">
        <f>IFERROR(
                  Andel_oberoende_av_klimat*VLOOKUP($A129,Leveranser_per_nät,'Leveranser per nät'!U$1,FALSE)
               +Andel_beroende_av_klimat*VLOOKUP($A129,Leveranser_per_nät,'Leveranser per nät'!U$1,FALSE)/VLOOKUP($B129,Korrigeringsfaktor_GD,'Korrigeringsfaktor GD'!U$1,FALSE),
"")</f>
        <v>58.704505617977532</v>
      </c>
      <c r="V129" s="18">
        <f>IFERROR(
                  Andel_oberoende_av_klimat*VLOOKUP($A129,Leveranser_per_nät,'Leveranser per nät'!V$1,FALSE)
               +Andel_beroende_av_klimat*VLOOKUP($A129,Leveranser_per_nät,'Leveranser per nät'!V$1,FALSE)/VLOOKUP($B129,Korrigeringsfaktor_GD,'Korrigeringsfaktor GD'!V$1,FALSE),
"")</f>
        <v>58.760588235294108</v>
      </c>
      <c r="W129" s="18">
        <f>IFERROR(
                  Andel_oberoende_av_klimat*VLOOKUP($A129,Leveranser_per_nät,'Leveranser per nät'!W$1,FALSE)
               +Andel_beroende_av_klimat*VLOOKUP($A129,Leveranser_per_nät,'Leveranser per nät'!W$1,FALSE)/VLOOKUP($B129,Korrigeringsfaktor_GD,'Korrigeringsfaktor GD'!W$1,FALSE),
"")</f>
        <v>60.634838709677425</v>
      </c>
      <c r="X129" s="18">
        <f>IFERROR(
                  Andel_oberoende_av_klimat*VLOOKUP($A129,Leveranser_per_nät,'Leveranser per nät'!X$1,FALSE)
               +Andel_beroende_av_klimat*VLOOKUP($A129,Leveranser_per_nät,'Leveranser per nät'!X$1,FALSE)/VLOOKUP($B129,Korrigeringsfaktor_GD,'Korrigeringsfaktor GD'!X$1,FALSE),
"")</f>
        <v>57.927525773195882</v>
      </c>
      <c r="Y129" s="18">
        <f>IFERROR(
                  Andel_oberoende_av_klimat*VLOOKUP($A129,Leveranser_per_nät,'Leveranser per nät'!Y$1,FALSE)
               +Andel_beroende_av_klimat*VLOOKUP($A129,Leveranser_per_nät,'Leveranser per nät'!Y$1,FALSE)/VLOOKUP($B129,Korrigeringsfaktor_GD,'Korrigeringsfaktor GD'!Y$1,FALSE),
"")</f>
        <v>58.063157894736847</v>
      </c>
      <c r="Z129" s="18">
        <f>IFERROR(
                  Andel_oberoende_av_klimat*VLOOKUP($A129,Leveranser_per_nät,'Leveranser per nät'!Z$1,FALSE)
               +Andel_beroende_av_klimat*VLOOKUP($A129,Leveranser_per_nät,'Leveranser per nät'!Z$1,FALSE)/VLOOKUP($B129,Korrigeringsfaktor_GD,'Korrigeringsfaktor GD'!Z$1,FALSE),
"")</f>
        <v>60.299031182795702</v>
      </c>
      <c r="AA129" s="18">
        <f>IFERROR(
                  Andel_oberoende_av_klimat*VLOOKUP($A129,Leveranser_per_nät,'Leveranser per nät'!AA$1,FALSE)
               +Andel_beroende_av_klimat*VLOOKUP($A129,Leveranser_per_nät,'Leveranser per nät'!AA$1,FALSE)/VLOOKUP($B129,Korrigeringsfaktor_GD,'Korrigeringsfaktor GD'!AA$1,FALSE),
"")</f>
        <v>60.030237885462554</v>
      </c>
      <c r="AB129" s="18">
        <f>IFERROR(
                  Andel_oberoende_av_klimat*VLOOKUP($A129,Leveranser_per_nät,'Leveranser per nät'!AB$1,FALSE)
               +Andel_beroende_av_klimat*VLOOKUP($A129,Leveranser_per_nät,'Leveranser per nät'!AB$1,FALSE)/VLOOKUP($B129,Korrigeringsfaktor_GD,'Korrigeringsfaktor GD'!AB$1,FALSE),
"")</f>
        <v>58.346806883365204</v>
      </c>
      <c r="AC129" s="18">
        <f>IFERROR(
                  Andel_oberoende_av_klimat*VLOOKUP($A129,Leveranser_per_nät,'Leveranser per nät'!AC$1,FALSE)
               +Andel_beroende_av_klimat*VLOOKUP($A129,Leveranser_per_nät,'Leveranser per nät'!AC$1,FALSE)/VLOOKUP($B129,Korrigeringsfaktor_GD,'Korrigeringsfaktor GD'!AC$1,FALSE),
"")</f>
        <v>57.068661174047378</v>
      </c>
      <c r="AD129" t="e">
        <v>#N/A</v>
      </c>
    </row>
    <row r="130" spans="1:30" x14ac:dyDescent="0.25">
      <c r="A130" t="s">
        <v>254</v>
      </c>
      <c r="B130" t="s">
        <v>253</v>
      </c>
      <c r="C130" s="18">
        <f>IFERROR(
                  Andel_oberoende_av_klimat*VLOOKUP($A130,Leveranser_per_nät,'Leveranser per nät'!C$1,FALSE)
               +Andel_beroende_av_klimat*VLOOKUP($A130,Leveranser_per_nät,'Leveranser per nät'!C$1,FALSE)/VLOOKUP($B130,Korrigeringsfaktor_GD,'Korrigeringsfaktor GD'!C$1,FALSE),
"")</f>
        <v>0</v>
      </c>
      <c r="D130" s="18">
        <f>IFERROR(
                  Andel_oberoende_av_klimat*VLOOKUP($A130,Leveranser_per_nät,'Leveranser per nät'!D$1,FALSE)
               +Andel_beroende_av_klimat*VLOOKUP($A130,Leveranser_per_nät,'Leveranser per nät'!D$1,FALSE)/VLOOKUP($B130,Korrigeringsfaktor_GD,'Korrigeringsfaktor GD'!D$1,FALSE),
"")</f>
        <v>0</v>
      </c>
      <c r="E130" s="18">
        <f>IFERROR(
                  Andel_oberoende_av_klimat*VLOOKUP($A130,Leveranser_per_nät,'Leveranser per nät'!E$1,FALSE)
               +Andel_beroende_av_klimat*VLOOKUP($A130,Leveranser_per_nät,'Leveranser per nät'!E$1,FALSE)/VLOOKUP($B130,Korrigeringsfaktor_GD,'Korrigeringsfaktor GD'!E$1,FALSE),
"")</f>
        <v>0</v>
      </c>
      <c r="F130" s="18">
        <f>IFERROR(
                  Andel_oberoende_av_klimat*VLOOKUP($A130,Leveranser_per_nät,'Leveranser per nät'!F$1,FALSE)
               +Andel_beroende_av_klimat*VLOOKUP($A130,Leveranser_per_nät,'Leveranser per nät'!F$1,FALSE)/VLOOKUP($B130,Korrigeringsfaktor_GD,'Korrigeringsfaktor GD'!F$1,FALSE),
"")</f>
        <v>0</v>
      </c>
      <c r="G130" s="18">
        <f>IFERROR(
                  Andel_oberoende_av_klimat*VLOOKUP($A130,Leveranser_per_nät,'Leveranser per nät'!G$1,FALSE)
               +Andel_beroende_av_klimat*VLOOKUP($A130,Leveranser_per_nät,'Leveranser per nät'!G$1,FALSE)/VLOOKUP($B130,Korrigeringsfaktor_GD,'Korrigeringsfaktor GD'!G$1,FALSE),
"")</f>
        <v>0</v>
      </c>
      <c r="H130" s="18">
        <f>IFERROR(
                  Andel_oberoende_av_klimat*VLOOKUP($A130,Leveranser_per_nät,'Leveranser per nät'!H$1,FALSE)
               +Andel_beroende_av_klimat*VLOOKUP($A130,Leveranser_per_nät,'Leveranser per nät'!H$1,FALSE)/VLOOKUP($B130,Korrigeringsfaktor_GD,'Korrigeringsfaktor GD'!H$1,FALSE),
"")</f>
        <v>0</v>
      </c>
      <c r="I130" s="18">
        <f>IFERROR(
                  Andel_oberoende_av_klimat*VLOOKUP($A130,Leveranser_per_nät,'Leveranser per nät'!I$1,FALSE)
               +Andel_beroende_av_klimat*VLOOKUP($A130,Leveranser_per_nät,'Leveranser per nät'!I$1,FALSE)/VLOOKUP($B130,Korrigeringsfaktor_GD,'Korrigeringsfaktor GD'!I$1,FALSE),
"")</f>
        <v>0</v>
      </c>
      <c r="J130" s="18">
        <f>IFERROR(
                  Andel_oberoende_av_klimat*VLOOKUP($A130,Leveranser_per_nät,'Leveranser per nät'!J$1,FALSE)
               +Andel_beroende_av_klimat*VLOOKUP($A130,Leveranser_per_nät,'Leveranser per nät'!J$1,FALSE)/VLOOKUP($B130,Korrigeringsfaktor_GD,'Korrigeringsfaktor GD'!J$1,FALSE),
"")</f>
        <v>0</v>
      </c>
      <c r="K130" s="18">
        <f>IFERROR(
                  Andel_oberoende_av_klimat*VLOOKUP($A130,Leveranser_per_nät,'Leveranser per nät'!K$1,FALSE)
               +Andel_beroende_av_klimat*VLOOKUP($A130,Leveranser_per_nät,'Leveranser per nät'!K$1,FALSE)/VLOOKUP($B130,Korrigeringsfaktor_GD,'Korrigeringsfaktor GD'!K$1,FALSE),
"")</f>
        <v>0</v>
      </c>
      <c r="L130" s="18">
        <f>IFERROR(
                  Andel_oberoende_av_klimat*VLOOKUP($A130,Leveranser_per_nät,'Leveranser per nät'!L$1,FALSE)
               +Andel_beroende_av_klimat*VLOOKUP($A130,Leveranser_per_nät,'Leveranser per nät'!L$1,FALSE)/VLOOKUP($B130,Korrigeringsfaktor_GD,'Korrigeringsfaktor GD'!L$1,FALSE),
"")</f>
        <v>26.411621276595746</v>
      </c>
      <c r="M130" s="18">
        <f>IFERROR(
                  Andel_oberoende_av_klimat*VLOOKUP($A130,Leveranser_per_nät,'Leveranser per nät'!M$1,FALSE)
               +Andel_beroende_av_klimat*VLOOKUP($A130,Leveranser_per_nät,'Leveranser per nät'!M$1,FALSE)/VLOOKUP($B130,Korrigeringsfaktor_GD,'Korrigeringsfaktor GD'!M$1,FALSE),
"")</f>
        <v>8.3808695652173917</v>
      </c>
      <c r="N130" s="18">
        <f>IFERROR(
                  Andel_oberoende_av_klimat*VLOOKUP($A130,Leveranser_per_nät,'Leveranser per nät'!N$1,FALSE)
               +Andel_beroende_av_klimat*VLOOKUP($A130,Leveranser_per_nät,'Leveranser per nät'!N$1,FALSE)/VLOOKUP($B130,Korrigeringsfaktor_GD,'Korrigeringsfaktor GD'!N$1,FALSE),
"")</f>
        <v>25.500659574468088</v>
      </c>
      <c r="O130" s="18">
        <f>IFERROR(
                  Andel_oberoende_av_klimat*VLOOKUP($A130,Leveranser_per_nät,'Leveranser per nät'!O$1,FALSE)
               +Andel_beroende_av_klimat*VLOOKUP($A130,Leveranser_per_nät,'Leveranser per nät'!O$1,FALSE)/VLOOKUP($B130,Korrigeringsfaktor_GD,'Korrigeringsfaktor GD'!O$1,FALSE),
"")</f>
        <v>1.0777777777777777</v>
      </c>
      <c r="P130" s="18">
        <f>IFERROR(
                  Andel_oberoende_av_klimat*VLOOKUP($A130,Leveranser_per_nät,'Leveranser per nät'!P$1,FALSE)
               +Andel_beroende_av_klimat*VLOOKUP($A130,Leveranser_per_nät,'Leveranser per nät'!P$1,FALSE)/VLOOKUP($B130,Korrigeringsfaktor_GD,'Korrigeringsfaktor GD'!P$1,FALSE),
"")</f>
        <v>32.024848484848484</v>
      </c>
      <c r="Q130" s="18">
        <f>IFERROR(
                  Andel_oberoende_av_klimat*VLOOKUP($A130,Leveranser_per_nät,'Leveranser per nät'!Q$1,FALSE)
               +Andel_beroende_av_klimat*VLOOKUP($A130,Leveranser_per_nät,'Leveranser per nät'!Q$1,FALSE)/VLOOKUP($B130,Korrigeringsfaktor_GD,'Korrigeringsfaktor GD'!Q$1,FALSE),
"")</f>
        <v>23.616137931034483</v>
      </c>
      <c r="R130" s="18">
        <f>IFERROR(
                  Andel_oberoende_av_klimat*VLOOKUP($A130,Leveranser_per_nät,'Leveranser per nät'!R$1,FALSE)
               +Andel_beroende_av_klimat*VLOOKUP($A130,Leveranser_per_nät,'Leveranser per nät'!R$1,FALSE)/VLOOKUP($B130,Korrigeringsfaktor_GD,'Korrigeringsfaktor GD'!R$1,FALSE),
"")</f>
        <v>38.064615384615387</v>
      </c>
      <c r="S130" s="18" t="str">
        <f>IFERROR(
                  Andel_oberoende_av_klimat*VLOOKUP($A130,Leveranser_per_nät,'Leveranser per nät'!S$1,FALSE)
               +Andel_beroende_av_klimat*VLOOKUP($A130,Leveranser_per_nät,'Leveranser per nät'!S$1,FALSE)/VLOOKUP($B130,Korrigeringsfaktor_GD,'Korrigeringsfaktor GD'!S$1,FALSE),
"")</f>
        <v/>
      </c>
      <c r="T130" s="18" t="str">
        <f>IFERROR(
                  Andel_oberoende_av_klimat*VLOOKUP($A130,Leveranser_per_nät,'Leveranser per nät'!T$1,FALSE)
               +Andel_beroende_av_klimat*VLOOKUP($A130,Leveranser_per_nät,'Leveranser per nät'!T$1,FALSE)/VLOOKUP($B130,Korrigeringsfaktor_GD,'Korrigeringsfaktor GD'!T$1,FALSE),
"")</f>
        <v/>
      </c>
      <c r="U130" s="18" t="str">
        <f>IFERROR(
                  Andel_oberoende_av_klimat*VLOOKUP($A130,Leveranser_per_nät,'Leveranser per nät'!U$1,FALSE)
               +Andel_beroende_av_klimat*VLOOKUP($A130,Leveranser_per_nät,'Leveranser per nät'!U$1,FALSE)/VLOOKUP($B130,Korrigeringsfaktor_GD,'Korrigeringsfaktor GD'!U$1,FALSE),
"")</f>
        <v/>
      </c>
      <c r="V130" s="18" t="str">
        <f>IFERROR(
                  Andel_oberoende_av_klimat*VLOOKUP($A130,Leveranser_per_nät,'Leveranser per nät'!V$1,FALSE)
               +Andel_beroende_av_klimat*VLOOKUP($A130,Leveranser_per_nät,'Leveranser per nät'!V$1,FALSE)/VLOOKUP($B130,Korrigeringsfaktor_GD,'Korrigeringsfaktor GD'!V$1,FALSE),
"")</f>
        <v/>
      </c>
      <c r="W130" s="18" t="str">
        <f>IFERROR(
                  Andel_oberoende_av_klimat*VLOOKUP($A130,Leveranser_per_nät,'Leveranser per nät'!W$1,FALSE)
               +Andel_beroende_av_klimat*VLOOKUP($A130,Leveranser_per_nät,'Leveranser per nät'!W$1,FALSE)/VLOOKUP($B130,Korrigeringsfaktor_GD,'Korrigeringsfaktor GD'!W$1,FALSE),
"")</f>
        <v/>
      </c>
      <c r="X130" s="18" t="str">
        <f>IFERROR(
                  Andel_oberoende_av_klimat*VLOOKUP($A130,Leveranser_per_nät,'Leveranser per nät'!X$1,FALSE)
               +Andel_beroende_av_klimat*VLOOKUP($A130,Leveranser_per_nät,'Leveranser per nät'!X$1,FALSE)/VLOOKUP($B130,Korrigeringsfaktor_GD,'Korrigeringsfaktor GD'!X$1,FALSE),
"")</f>
        <v/>
      </c>
      <c r="Y130" s="18" t="str">
        <f>IFERROR(
                  Andel_oberoende_av_klimat*VLOOKUP($A130,Leveranser_per_nät,'Leveranser per nät'!Y$1,FALSE)
               +Andel_beroende_av_klimat*VLOOKUP($A130,Leveranser_per_nät,'Leveranser per nät'!Y$1,FALSE)/VLOOKUP($B130,Korrigeringsfaktor_GD,'Korrigeringsfaktor GD'!Y$1,FALSE),
"")</f>
        <v/>
      </c>
      <c r="Z130" s="18">
        <f>IFERROR(
                  Andel_oberoende_av_klimat*VLOOKUP($A130,Leveranser_per_nät,'Leveranser per nät'!Z$1,FALSE)
               +Andel_beroende_av_klimat*VLOOKUP($A130,Leveranser_per_nät,'Leveranser per nät'!Z$1,FALSE)/VLOOKUP($B130,Korrigeringsfaktor_GD,'Korrigeringsfaktor GD'!Z$1,FALSE),
"")</f>
        <v>0</v>
      </c>
      <c r="AA130" s="18" t="str">
        <f>IFERROR(
                  Andel_oberoende_av_klimat*VLOOKUP($A130,Leveranser_per_nät,'Leveranser per nät'!AA$1,FALSE)
               +Andel_beroende_av_klimat*VLOOKUP($A130,Leveranser_per_nät,'Leveranser per nät'!AA$1,FALSE)/VLOOKUP($B130,Korrigeringsfaktor_GD,'Korrigeringsfaktor GD'!AA$1,FALSE),
"")</f>
        <v/>
      </c>
      <c r="AB130" s="18">
        <f>IFERROR(
                  Andel_oberoende_av_klimat*VLOOKUP($A130,Leveranser_per_nät,'Leveranser per nät'!AB$1,FALSE)
               +Andel_beroende_av_klimat*VLOOKUP($A130,Leveranser_per_nät,'Leveranser per nät'!AB$1,FALSE)/VLOOKUP($B130,Korrigeringsfaktor_GD,'Korrigeringsfaktor GD'!AB$1,FALSE),
"")</f>
        <v>0</v>
      </c>
      <c r="AC130" s="18">
        <f>IFERROR(
                  Andel_oberoende_av_klimat*VLOOKUP($A130,Leveranser_per_nät,'Leveranser per nät'!AC$1,FALSE)
               +Andel_beroende_av_klimat*VLOOKUP($A130,Leveranser_per_nät,'Leveranser per nät'!AC$1,FALSE)/VLOOKUP($B130,Korrigeringsfaktor_GD,'Korrigeringsfaktor GD'!AC$1,FALSE),
"")</f>
        <v>0</v>
      </c>
      <c r="AD130" t="e">
        <v>#N/A</v>
      </c>
    </row>
    <row r="131" spans="1:30" x14ac:dyDescent="0.25">
      <c r="A131" t="s">
        <v>64</v>
      </c>
      <c r="B131" t="s">
        <v>48</v>
      </c>
      <c r="C131" s="18">
        <f>IFERROR(
                  Andel_oberoende_av_klimat*VLOOKUP($A131,Leveranser_per_nät,'Leveranser per nät'!C$1,FALSE)
               +Andel_beroende_av_klimat*VLOOKUP($A131,Leveranser_per_nät,'Leveranser per nät'!C$1,FALSE)/VLOOKUP($B131,Korrigeringsfaktor_GD,'Korrigeringsfaktor GD'!C$1,FALSE),
"")</f>
        <v>0</v>
      </c>
      <c r="D131" s="18">
        <f>IFERROR(
                  Andel_oberoende_av_klimat*VLOOKUP($A131,Leveranser_per_nät,'Leveranser per nät'!D$1,FALSE)
               +Andel_beroende_av_klimat*VLOOKUP($A131,Leveranser_per_nät,'Leveranser per nät'!D$1,FALSE)/VLOOKUP($B131,Korrigeringsfaktor_GD,'Korrigeringsfaktor GD'!D$1,FALSE),
"")</f>
        <v>0</v>
      </c>
      <c r="E131" s="18">
        <f>IFERROR(
                  Andel_oberoende_av_klimat*VLOOKUP($A131,Leveranser_per_nät,'Leveranser per nät'!E$1,FALSE)
               +Andel_beroende_av_klimat*VLOOKUP($A131,Leveranser_per_nät,'Leveranser per nät'!E$1,FALSE)/VLOOKUP($B131,Korrigeringsfaktor_GD,'Korrigeringsfaktor GD'!E$1,FALSE),
"")</f>
        <v>0</v>
      </c>
      <c r="F131" s="18">
        <f>IFERROR(
                  Andel_oberoende_av_klimat*VLOOKUP($A131,Leveranser_per_nät,'Leveranser per nät'!F$1,FALSE)
               +Andel_beroende_av_klimat*VLOOKUP($A131,Leveranser_per_nät,'Leveranser per nät'!F$1,FALSE)/VLOOKUP($B131,Korrigeringsfaktor_GD,'Korrigeringsfaktor GD'!F$1,FALSE),
"")</f>
        <v>6.1298969072164944</v>
      </c>
      <c r="G131" s="18">
        <f>IFERROR(
                  Andel_oberoende_av_klimat*VLOOKUP($A131,Leveranser_per_nät,'Leveranser per nät'!G$1,FALSE)
               +Andel_beroende_av_klimat*VLOOKUP($A131,Leveranser_per_nät,'Leveranser per nät'!G$1,FALSE)/VLOOKUP($B131,Korrigeringsfaktor_GD,'Korrigeringsfaktor GD'!G$1,FALSE),
"")</f>
        <v>6.3652173913043466</v>
      </c>
      <c r="H131" s="18">
        <f>IFERROR(
                  Andel_oberoende_av_klimat*VLOOKUP($A131,Leveranser_per_nät,'Leveranser per nät'!H$1,FALSE)
               +Andel_beroende_av_klimat*VLOOKUP($A131,Leveranser_per_nät,'Leveranser per nät'!H$1,FALSE)/VLOOKUP($B131,Korrigeringsfaktor_GD,'Korrigeringsfaktor GD'!H$1,FALSE),
"")</f>
        <v>5.8776699029126203</v>
      </c>
      <c r="I131" s="18">
        <f>IFERROR(
                  Andel_oberoende_av_klimat*VLOOKUP($A131,Leveranser_per_nät,'Leveranser per nät'!I$1,FALSE)
               +Andel_beroende_av_klimat*VLOOKUP($A131,Leveranser_per_nät,'Leveranser per nät'!I$1,FALSE)/VLOOKUP($B131,Korrigeringsfaktor_GD,'Korrigeringsfaktor GD'!I$1,FALSE),
"")</f>
        <v>6.7428865979381438</v>
      </c>
      <c r="J131" s="18">
        <f>IFERROR(
                  Andel_oberoende_av_klimat*VLOOKUP($A131,Leveranser_per_nät,'Leveranser per nät'!J$1,FALSE)
               +Andel_beroende_av_klimat*VLOOKUP($A131,Leveranser_per_nät,'Leveranser per nät'!J$1,FALSE)/VLOOKUP($B131,Korrigeringsfaktor_GD,'Korrigeringsfaktor GD'!J$1,FALSE),
"")</f>
        <v>6.9883157894736847</v>
      </c>
      <c r="K131" s="18">
        <f>IFERROR(
                  Andel_oberoende_av_klimat*VLOOKUP($A131,Leveranser_per_nät,'Leveranser per nät'!K$1,FALSE)
               +Andel_beroende_av_klimat*VLOOKUP($A131,Leveranser_per_nät,'Leveranser per nät'!K$1,FALSE)/VLOOKUP($B131,Korrigeringsfaktor_GD,'Korrigeringsfaktor GD'!K$1,FALSE),
"")</f>
        <v>4.656175063827158</v>
      </c>
      <c r="L131" s="18">
        <f>IFERROR(
                  Andel_oberoende_av_klimat*VLOOKUP($A131,Leveranser_per_nät,'Leveranser per nät'!L$1,FALSE)
               +Andel_beroende_av_klimat*VLOOKUP($A131,Leveranser_per_nät,'Leveranser per nät'!L$1,FALSE)/VLOOKUP($B131,Korrigeringsfaktor_GD,'Korrigeringsfaktor GD'!L$1,FALSE),
"")</f>
        <v>4.7625914979619042</v>
      </c>
      <c r="M131" s="18">
        <f>IFERROR(
                  Andel_oberoende_av_klimat*VLOOKUP($A131,Leveranser_per_nät,'Leveranser per nät'!M$1,FALSE)
               +Andel_beroende_av_klimat*VLOOKUP($A131,Leveranser_per_nät,'Leveranser per nät'!M$1,FALSE)/VLOOKUP($B131,Korrigeringsfaktor_GD,'Korrigeringsfaktor GD'!M$1,FALSE),
"")</f>
        <v>6.5097777777777779</v>
      </c>
      <c r="N131" s="18">
        <f>IFERROR(
                  Andel_oberoende_av_klimat*VLOOKUP($A131,Leveranser_per_nät,'Leveranser per nät'!N$1,FALSE)
               +Andel_beroende_av_klimat*VLOOKUP($A131,Leveranser_per_nät,'Leveranser per nät'!N$1,FALSE)/VLOOKUP($B131,Korrigeringsfaktor_GD,'Korrigeringsfaktor GD'!N$1,FALSE),
"")</f>
        <v>7.835106382978724</v>
      </c>
      <c r="O131" s="18">
        <f>IFERROR(
                  Andel_oberoende_av_klimat*VLOOKUP($A131,Leveranser_per_nät,'Leveranser per nät'!O$1,FALSE)
               +Andel_beroende_av_klimat*VLOOKUP($A131,Leveranser_per_nät,'Leveranser per nät'!O$1,FALSE)/VLOOKUP($B131,Korrigeringsfaktor_GD,'Korrigeringsfaktor GD'!O$1,FALSE),
"")</f>
        <v>6.7924999999999995</v>
      </c>
      <c r="P131" s="18">
        <f>IFERROR(
                  Andel_oberoende_av_klimat*VLOOKUP($A131,Leveranser_per_nät,'Leveranser per nät'!P$1,FALSE)
               +Andel_beroende_av_klimat*VLOOKUP($A131,Leveranser_per_nät,'Leveranser per nät'!P$1,FALSE)/VLOOKUP($B131,Korrigeringsfaktor_GD,'Korrigeringsfaktor GD'!P$1,FALSE),
"")</f>
        <v>6.9514851485148519</v>
      </c>
      <c r="Q131" s="18">
        <f>IFERROR(
                  Andel_oberoende_av_klimat*VLOOKUP($A131,Leveranser_per_nät,'Leveranser per nät'!Q$1,FALSE)
               +Andel_beroende_av_klimat*VLOOKUP($A131,Leveranser_per_nät,'Leveranser per nät'!Q$1,FALSE)/VLOOKUP($B131,Korrigeringsfaktor_GD,'Korrigeringsfaktor GD'!Q$1,FALSE),
"")</f>
        <v>7.3179310344827577</v>
      </c>
      <c r="R131" s="18">
        <f>IFERROR(
                  Andel_oberoende_av_klimat*VLOOKUP($A131,Leveranser_per_nät,'Leveranser per nät'!R$1,FALSE)
               +Andel_beroende_av_klimat*VLOOKUP($A131,Leveranser_per_nät,'Leveranser per nät'!R$1,FALSE)/VLOOKUP($B131,Korrigeringsfaktor_GD,'Korrigeringsfaktor GD'!R$1,FALSE),
"")</f>
        <v>8.5399999999999991</v>
      </c>
      <c r="S131" s="18">
        <f>IFERROR(
                  Andel_oberoende_av_klimat*VLOOKUP($A131,Leveranser_per_nät,'Leveranser per nät'!S$1,FALSE)
               +Andel_beroende_av_klimat*VLOOKUP($A131,Leveranser_per_nät,'Leveranser per nät'!S$1,FALSE)/VLOOKUP($B131,Korrigeringsfaktor_GD,'Korrigeringsfaktor GD'!S$1,FALSE),
"")</f>
        <v>7.8368932038834949</v>
      </c>
      <c r="T131" s="18">
        <f>IFERROR(
                  Andel_oberoende_av_klimat*VLOOKUP($A131,Leveranser_per_nät,'Leveranser per nät'!T$1,FALSE)
               +Andel_beroende_av_klimat*VLOOKUP($A131,Leveranser_per_nät,'Leveranser per nät'!T$1,FALSE)/VLOOKUP($B131,Korrigeringsfaktor_GD,'Korrigeringsfaktor GD'!T$1,FALSE),
"")</f>
        <v>7.6071428571428577</v>
      </c>
      <c r="U131" s="18">
        <f>IFERROR(
                  Andel_oberoende_av_klimat*VLOOKUP($A131,Leveranser_per_nät,'Leveranser per nät'!U$1,FALSE)
               +Andel_beroende_av_klimat*VLOOKUP($A131,Leveranser_per_nät,'Leveranser per nät'!U$1,FALSE)/VLOOKUP($B131,Korrigeringsfaktor_GD,'Korrigeringsfaktor GD'!U$1,FALSE),
"")</f>
        <v>7.8677777777777775</v>
      </c>
      <c r="V131" s="18">
        <f>IFERROR(
                  Andel_oberoende_av_klimat*VLOOKUP($A131,Leveranser_per_nät,'Leveranser per nät'!V$1,FALSE)
               +Andel_beroende_av_klimat*VLOOKUP($A131,Leveranser_per_nät,'Leveranser per nät'!V$1,FALSE)/VLOOKUP($B131,Korrigeringsfaktor_GD,'Korrigeringsfaktor GD'!V$1,FALSE),
"")</f>
        <v>7.7443478260869565</v>
      </c>
      <c r="W131" s="18">
        <f>IFERROR(
                  Andel_oberoende_av_klimat*VLOOKUP($A131,Leveranser_per_nät,'Leveranser per nät'!W$1,FALSE)
               +Andel_beroende_av_klimat*VLOOKUP($A131,Leveranser_per_nät,'Leveranser per nät'!W$1,FALSE)/VLOOKUP($B131,Korrigeringsfaktor_GD,'Korrigeringsfaktor GD'!W$1,FALSE),
"")</f>
        <v>7.7645360824742262</v>
      </c>
      <c r="X131" s="18">
        <f>IFERROR(
                  Andel_oberoende_av_klimat*VLOOKUP($A131,Leveranser_per_nät,'Leveranser per nät'!X$1,FALSE)
               +Andel_beroende_av_klimat*VLOOKUP($A131,Leveranser_per_nät,'Leveranser per nät'!X$1,FALSE)/VLOOKUP($B131,Korrigeringsfaktor_GD,'Korrigeringsfaktor GD'!X$1,FALSE),
"")</f>
        <v>7.7544444444444443</v>
      </c>
      <c r="Y131" s="18">
        <f>IFERROR(
                  Andel_oberoende_av_klimat*VLOOKUP($A131,Leveranser_per_nät,'Leveranser per nät'!Y$1,FALSE)
               +Andel_beroende_av_klimat*VLOOKUP($A131,Leveranser_per_nät,'Leveranser per nät'!Y$1,FALSE)/VLOOKUP($B131,Korrigeringsfaktor_GD,'Korrigeringsfaktor GD'!Y$1,FALSE),
"")</f>
        <v>7.8551515151515154</v>
      </c>
      <c r="Z131" s="18">
        <f>IFERROR(
                  Andel_oberoende_av_klimat*VLOOKUP($A131,Leveranser_per_nät,'Leveranser per nät'!Z$1,FALSE)
               +Andel_beroende_av_klimat*VLOOKUP($A131,Leveranser_per_nät,'Leveranser per nät'!Z$1,FALSE)/VLOOKUP($B131,Korrigeringsfaktor_GD,'Korrigeringsfaktor GD'!Z$1,FALSE),
"")</f>
        <v>7.7572571428571422</v>
      </c>
      <c r="AA131" s="18">
        <f>IFERROR(
                  Andel_oberoende_av_klimat*VLOOKUP($A131,Leveranser_per_nät,'Leveranser per nät'!AA$1,FALSE)
               +Andel_beroende_av_klimat*VLOOKUP($A131,Leveranser_per_nät,'Leveranser per nät'!AA$1,FALSE)/VLOOKUP($B131,Korrigeringsfaktor_GD,'Korrigeringsfaktor GD'!AA$1,FALSE),
"")</f>
        <v>7.4960324324324326</v>
      </c>
      <c r="AB131" s="18">
        <f>IFERROR(
                  Andel_oberoende_av_klimat*VLOOKUP($A131,Leveranser_per_nät,'Leveranser per nät'!AB$1,FALSE)
               +Andel_beroende_av_klimat*VLOOKUP($A131,Leveranser_per_nät,'Leveranser per nät'!AB$1,FALSE)/VLOOKUP($B131,Korrigeringsfaktor_GD,'Korrigeringsfaktor GD'!AB$1,FALSE),
"")</f>
        <v>7.6074793103448286</v>
      </c>
      <c r="AC131" s="18">
        <f>IFERROR(
                  Andel_oberoende_av_klimat*VLOOKUP($A131,Leveranser_per_nät,'Leveranser per nät'!AC$1,FALSE)
               +Andel_beroende_av_klimat*VLOOKUP($A131,Leveranser_per_nät,'Leveranser per nät'!AC$1,FALSE)/VLOOKUP($B131,Korrigeringsfaktor_GD,'Korrigeringsfaktor GD'!AC$1,FALSE),
"")</f>
        <v>7.3055690228690224</v>
      </c>
      <c r="AD131">
        <v>25.927</v>
      </c>
    </row>
    <row r="132" spans="1:30" x14ac:dyDescent="0.25">
      <c r="A132" t="s">
        <v>145</v>
      </c>
      <c r="B132" t="s">
        <v>145</v>
      </c>
      <c r="C132" s="18">
        <f>IFERROR(
                  Andel_oberoende_av_klimat*VLOOKUP($A132,Leveranser_per_nät,'Leveranser per nät'!C$1,FALSE)
               +Andel_beroende_av_klimat*VLOOKUP($A132,Leveranser_per_nät,'Leveranser per nät'!C$1,FALSE)/VLOOKUP($B132,Korrigeringsfaktor_GD,'Korrigeringsfaktor GD'!C$1,FALSE),
"")</f>
        <v>55.589908256880733</v>
      </c>
      <c r="D132" s="18">
        <f>IFERROR(
                  Andel_oberoende_av_klimat*VLOOKUP($A132,Leveranser_per_nät,'Leveranser per nät'!D$1,FALSE)
               +Andel_beroende_av_klimat*VLOOKUP($A132,Leveranser_per_nät,'Leveranser per nät'!D$1,FALSE)/VLOOKUP($B132,Korrigeringsfaktor_GD,'Korrigeringsfaktor GD'!D$1,FALSE),
"")</f>
        <v>56.549368421052634</v>
      </c>
      <c r="E132" s="18">
        <f>IFERROR(
                  Andel_oberoende_av_klimat*VLOOKUP($A132,Leveranser_per_nät,'Leveranser per nät'!E$1,FALSE)
               +Andel_beroende_av_klimat*VLOOKUP($A132,Leveranser_per_nät,'Leveranser per nät'!E$1,FALSE)/VLOOKUP($B132,Korrigeringsfaktor_GD,'Korrigeringsfaktor GD'!E$1,FALSE),
"")</f>
        <v>54.618811881188122</v>
      </c>
      <c r="F132" s="18">
        <f>IFERROR(
                  Andel_oberoende_av_klimat*VLOOKUP($A132,Leveranser_per_nät,'Leveranser per nät'!F$1,FALSE)
               +Andel_beroende_av_klimat*VLOOKUP($A132,Leveranser_per_nät,'Leveranser per nät'!F$1,FALSE)/VLOOKUP($B132,Korrigeringsfaktor_GD,'Korrigeringsfaktor GD'!F$1,FALSE),
"")</f>
        <v>61.75</v>
      </c>
      <c r="G132" s="18">
        <f>IFERROR(
                  Andel_oberoende_av_klimat*VLOOKUP($A132,Leveranser_per_nät,'Leveranser per nät'!G$1,FALSE)
               +Andel_beroende_av_klimat*VLOOKUP($A132,Leveranser_per_nät,'Leveranser per nät'!G$1,FALSE)/VLOOKUP($B132,Korrigeringsfaktor_GD,'Korrigeringsfaktor GD'!G$1,FALSE),
"")</f>
        <v>68.568454597701148</v>
      </c>
      <c r="H132" s="18">
        <f>IFERROR(
                  Andel_oberoende_av_klimat*VLOOKUP($A132,Leveranser_per_nät,'Leveranser per nät'!H$1,FALSE)
               +Andel_beroende_av_klimat*VLOOKUP($A132,Leveranser_per_nät,'Leveranser per nät'!H$1,FALSE)/VLOOKUP($B132,Korrigeringsfaktor_GD,'Korrigeringsfaktor GD'!H$1,FALSE),
"")</f>
        <v>64.150999999999996</v>
      </c>
      <c r="I132" s="18">
        <f>IFERROR(
                  Andel_oberoende_av_klimat*VLOOKUP($A132,Leveranser_per_nät,'Leveranser per nät'!I$1,FALSE)
               +Andel_beroende_av_klimat*VLOOKUP($A132,Leveranser_per_nät,'Leveranser per nät'!I$1,FALSE)/VLOOKUP($B132,Korrigeringsfaktor_GD,'Korrigeringsfaktor GD'!I$1,FALSE),
"")</f>
        <v>65.067442857142851</v>
      </c>
      <c r="J132" s="18">
        <f>IFERROR(
                  Andel_oberoende_av_klimat*VLOOKUP($A132,Leveranser_per_nät,'Leveranser per nät'!J$1,FALSE)
               +Andel_beroende_av_klimat*VLOOKUP($A132,Leveranser_per_nät,'Leveranser per nät'!J$1,FALSE)/VLOOKUP($B132,Korrigeringsfaktor_GD,'Korrigeringsfaktor GD'!J$1,FALSE),
"")</f>
        <v>64.363917525773189</v>
      </c>
      <c r="K132" s="18">
        <f>IFERROR(
                  Andel_oberoende_av_klimat*VLOOKUP($A132,Leveranser_per_nät,'Leveranser per nät'!K$1,FALSE)
               +Andel_beroende_av_klimat*VLOOKUP($A132,Leveranser_per_nät,'Leveranser per nät'!K$1,FALSE)/VLOOKUP($B132,Korrigeringsfaktor_GD,'Korrigeringsfaktor GD'!K$1,FALSE),
"")</f>
        <v>65.385567010309273</v>
      </c>
      <c r="L132" s="18">
        <f>IFERROR(
                  Andel_oberoende_av_klimat*VLOOKUP($A132,Leveranser_per_nät,'Leveranser per nät'!L$1,FALSE)
               +Andel_beroende_av_klimat*VLOOKUP($A132,Leveranser_per_nät,'Leveranser per nät'!L$1,FALSE)/VLOOKUP($B132,Korrigeringsfaktor_GD,'Korrigeringsfaktor GD'!L$1,FALSE),
"")</f>
        <v>59.792688172043015</v>
      </c>
      <c r="M132" s="18">
        <f>IFERROR(
                  Andel_oberoende_av_klimat*VLOOKUP($A132,Leveranser_per_nät,'Leveranser per nät'!M$1,FALSE)
               +Andel_beroende_av_klimat*VLOOKUP($A132,Leveranser_per_nät,'Leveranser per nät'!M$1,FALSE)/VLOOKUP($B132,Korrigeringsfaktor_GD,'Korrigeringsfaktor GD'!M$1,FALSE),
"")</f>
        <v>63.01565217391304</v>
      </c>
      <c r="N132" s="18">
        <f>IFERROR(
                  Andel_oberoende_av_klimat*VLOOKUP($A132,Leveranser_per_nät,'Leveranser per nät'!N$1,FALSE)
               +Andel_beroende_av_klimat*VLOOKUP($A132,Leveranser_per_nät,'Leveranser per nät'!N$1,FALSE)/VLOOKUP($B132,Korrigeringsfaktor_GD,'Korrigeringsfaktor GD'!N$1,FALSE),
"")</f>
        <v>63.971860215053766</v>
      </c>
      <c r="O132" s="18">
        <f>IFERROR(
                  Andel_oberoende_av_klimat*VLOOKUP($A132,Leveranser_per_nät,'Leveranser per nät'!O$1,FALSE)
               +Andel_beroende_av_klimat*VLOOKUP($A132,Leveranser_per_nät,'Leveranser per nät'!O$1,FALSE)/VLOOKUP($B132,Korrigeringsfaktor_GD,'Korrigeringsfaktor GD'!O$1,FALSE),
"")</f>
        <v>64.631792307692308</v>
      </c>
      <c r="P132" s="18">
        <f>IFERROR(
                  Andel_oberoende_av_klimat*VLOOKUP($A132,Leveranser_per_nät,'Leveranser per nät'!P$1,FALSE)
               +Andel_beroende_av_klimat*VLOOKUP($A132,Leveranser_per_nät,'Leveranser per nät'!P$1,FALSE)/VLOOKUP($B132,Korrigeringsfaktor_GD,'Korrigeringsfaktor GD'!P$1,FALSE),
"")</f>
        <v>65.668059595959591</v>
      </c>
      <c r="Q132" s="18">
        <f>IFERROR(
                  Andel_oberoende_av_klimat*VLOOKUP($A132,Leveranser_per_nät,'Leveranser per nät'!Q$1,FALSE)
               +Andel_beroende_av_klimat*VLOOKUP($A132,Leveranser_per_nät,'Leveranser per nät'!Q$1,FALSE)/VLOOKUP($B132,Korrigeringsfaktor_GD,'Korrigeringsfaktor GD'!Q$1,FALSE),
"")</f>
        <v>67.697826086956525</v>
      </c>
      <c r="R132" s="18">
        <f>IFERROR(
                  Andel_oberoende_av_klimat*VLOOKUP($A132,Leveranser_per_nät,'Leveranser per nät'!R$1,FALSE)
               +Andel_beroende_av_klimat*VLOOKUP($A132,Leveranser_per_nät,'Leveranser per nät'!R$1,FALSE)/VLOOKUP($B132,Korrigeringsfaktor_GD,'Korrigeringsfaktor GD'!R$1,FALSE),
"")</f>
        <v>64.989999999999995</v>
      </c>
      <c r="S132" s="18">
        <f>IFERROR(
                  Andel_oberoende_av_klimat*VLOOKUP($A132,Leveranser_per_nät,'Leveranser per nät'!S$1,FALSE)
               +Andel_beroende_av_klimat*VLOOKUP($A132,Leveranser_per_nät,'Leveranser per nät'!S$1,FALSE)/VLOOKUP($B132,Korrigeringsfaktor_GD,'Korrigeringsfaktor GD'!S$1,FALSE),
"")</f>
        <v>61</v>
      </c>
      <c r="T132" s="18">
        <f>IFERROR(
                  Andel_oberoende_av_klimat*VLOOKUP($A132,Leveranser_per_nät,'Leveranser per nät'!T$1,FALSE)
               +Andel_beroende_av_klimat*VLOOKUP($A132,Leveranser_per_nät,'Leveranser per nät'!T$1,FALSE)/VLOOKUP($B132,Korrigeringsfaktor_GD,'Korrigeringsfaktor GD'!T$1,FALSE),
"")</f>
        <v>64.076842105263154</v>
      </c>
      <c r="U132" s="18">
        <f>IFERROR(
                  Andel_oberoende_av_klimat*VLOOKUP($A132,Leveranser_per_nät,'Leveranser per nät'!U$1,FALSE)
               +Andel_beroende_av_klimat*VLOOKUP($A132,Leveranser_per_nät,'Leveranser per nät'!U$1,FALSE)/VLOOKUP($B132,Korrigeringsfaktor_GD,'Korrigeringsfaktor GD'!U$1,FALSE),
"")</f>
        <v>60.139999999999993</v>
      </c>
      <c r="V132" s="18">
        <f>IFERROR(
                  Andel_oberoende_av_klimat*VLOOKUP($A132,Leveranser_per_nät,'Leveranser per nät'!V$1,FALSE)
               +Andel_beroende_av_klimat*VLOOKUP($A132,Leveranser_per_nät,'Leveranser per nät'!V$1,FALSE)/VLOOKUP($B132,Korrigeringsfaktor_GD,'Korrigeringsfaktor GD'!V$1,FALSE),
"")</f>
        <v>60.304615384615381</v>
      </c>
      <c r="W132" s="18">
        <f>IFERROR(
                  Andel_oberoende_av_klimat*VLOOKUP($A132,Leveranser_per_nät,'Leveranser per nät'!W$1,FALSE)
               +Andel_beroende_av_klimat*VLOOKUP($A132,Leveranser_per_nät,'Leveranser per nät'!W$1,FALSE)/VLOOKUP($B132,Korrigeringsfaktor_GD,'Korrigeringsfaktor GD'!W$1,FALSE),
"")</f>
        <v>61.955833333333338</v>
      </c>
      <c r="X132" s="18">
        <f>IFERROR(
                  Andel_oberoende_av_klimat*VLOOKUP($A132,Leveranser_per_nät,'Leveranser per nät'!X$1,FALSE)
               +Andel_beroende_av_klimat*VLOOKUP($A132,Leveranser_per_nät,'Leveranser per nät'!X$1,FALSE)/VLOOKUP($B132,Korrigeringsfaktor_GD,'Korrigeringsfaktor GD'!X$1,FALSE),
"")</f>
        <v>58.744845360824741</v>
      </c>
      <c r="Y132" s="18">
        <f>IFERROR(
                  Andel_oberoende_av_klimat*VLOOKUP($A132,Leveranser_per_nät,'Leveranser per nät'!Y$1,FALSE)
               +Andel_beroende_av_klimat*VLOOKUP($A132,Leveranser_per_nät,'Leveranser per nät'!Y$1,FALSE)/VLOOKUP($B132,Korrigeringsfaktor_GD,'Korrigeringsfaktor GD'!Y$1,FALSE),
"")</f>
        <v>57.736249999999998</v>
      </c>
      <c r="Z132" s="18">
        <f>IFERROR(
                  Andel_oberoende_av_klimat*VLOOKUP($A132,Leveranser_per_nät,'Leveranser per nät'!Z$1,FALSE)
               +Andel_beroende_av_klimat*VLOOKUP($A132,Leveranser_per_nät,'Leveranser per nät'!Z$1,FALSE)/VLOOKUP($B132,Korrigeringsfaktor_GD,'Korrigeringsfaktor GD'!Z$1,FALSE),
"")</f>
        <v>58.8452688172043</v>
      </c>
      <c r="AA132" s="18">
        <f>IFERROR(
                  Andel_oberoende_av_klimat*VLOOKUP($A132,Leveranser_per_nät,'Leveranser per nät'!AA$1,FALSE)
               +Andel_beroende_av_klimat*VLOOKUP($A132,Leveranser_per_nät,'Leveranser per nät'!AA$1,FALSE)/VLOOKUP($B132,Korrigeringsfaktor_GD,'Korrigeringsfaktor GD'!AA$1,FALSE),
"")</f>
        <v>57.611853015075376</v>
      </c>
      <c r="AB132" s="18">
        <f>IFERROR(
                  Andel_oberoende_av_klimat*VLOOKUP($A132,Leveranser_per_nät,'Leveranser per nät'!AB$1,FALSE)
               +Andel_beroende_av_klimat*VLOOKUP($A132,Leveranser_per_nät,'Leveranser per nät'!AB$1,FALSE)/VLOOKUP($B132,Korrigeringsfaktor_GD,'Korrigeringsfaktor GD'!AB$1,FALSE),
"")</f>
        <v>58.440920920920917</v>
      </c>
      <c r="AC132" s="18">
        <f>IFERROR(
                  Andel_oberoende_av_klimat*VLOOKUP($A132,Leveranser_per_nät,'Leveranser per nät'!AC$1,FALSE)
               +Andel_beroende_av_klimat*VLOOKUP($A132,Leveranser_per_nät,'Leveranser per nät'!AC$1,FALSE)/VLOOKUP($B132,Korrigeringsfaktor_GD,'Korrigeringsfaktor GD'!AC$1,FALSE),
"")</f>
        <v>58.167878947368422</v>
      </c>
      <c r="AD132">
        <v>56.100999999999999</v>
      </c>
    </row>
    <row r="133" spans="1:30" x14ac:dyDescent="0.25">
      <c r="A133" s="3" t="s">
        <v>16</v>
      </c>
      <c r="B133" t="s">
        <v>527</v>
      </c>
      <c r="C133" s="18">
        <f>IFERROR(
                  Andel_oberoende_av_klimat*VLOOKUP($A133,Leveranser_per_nät,'Leveranser per nät'!C$1,FALSE)
               +Andel_beroende_av_klimat*VLOOKUP($A133,Leveranser_per_nät,'Leveranser per nät'!C$1,FALSE)/VLOOKUP($B133,Korrigeringsfaktor_GD,'Korrigeringsfaktor GD'!C$1,FALSE),
"")</f>
        <v>0</v>
      </c>
      <c r="D133" s="18">
        <f>IFERROR(
                  Andel_oberoende_av_klimat*VLOOKUP($A133,Leveranser_per_nät,'Leveranser per nät'!D$1,FALSE)
               +Andel_beroende_av_klimat*VLOOKUP($A133,Leveranser_per_nät,'Leveranser per nät'!D$1,FALSE)/VLOOKUP($B133,Korrigeringsfaktor_GD,'Korrigeringsfaktor GD'!D$1,FALSE),
"")</f>
        <v>3.5094583333333333</v>
      </c>
      <c r="E133" s="18">
        <f>IFERROR(
                  Andel_oberoende_av_klimat*VLOOKUP($A133,Leveranser_per_nät,'Leveranser per nät'!E$1,FALSE)
               +Andel_beroende_av_klimat*VLOOKUP($A133,Leveranser_per_nät,'Leveranser per nät'!E$1,FALSE)/VLOOKUP($B133,Korrigeringsfaktor_GD,'Korrigeringsfaktor GD'!E$1,FALSE),
"")</f>
        <v>3.9722772277227723</v>
      </c>
      <c r="F133" s="18">
        <f>IFERROR(
                  Andel_oberoende_av_klimat*VLOOKUP($A133,Leveranser_per_nät,'Leveranser per nät'!F$1,FALSE)
               +Andel_beroende_av_klimat*VLOOKUP($A133,Leveranser_per_nät,'Leveranser per nät'!F$1,FALSE)/VLOOKUP($B133,Korrigeringsfaktor_GD,'Korrigeringsfaktor GD'!F$1,FALSE),
"")</f>
        <v>0</v>
      </c>
      <c r="G133" s="18">
        <f>IFERROR(
                  Andel_oberoende_av_klimat*VLOOKUP($A133,Leveranser_per_nät,'Leveranser per nät'!G$1,FALSE)
               +Andel_beroende_av_klimat*VLOOKUP($A133,Leveranser_per_nät,'Leveranser per nät'!G$1,FALSE)/VLOOKUP($B133,Korrigeringsfaktor_GD,'Korrigeringsfaktor GD'!G$1,FALSE),
"")</f>
        <v>0</v>
      </c>
      <c r="H133" s="18">
        <f>IFERROR(
                  Andel_oberoende_av_klimat*VLOOKUP($A133,Leveranser_per_nät,'Leveranser per nät'!H$1,FALSE)
               +Andel_beroende_av_klimat*VLOOKUP($A133,Leveranser_per_nät,'Leveranser per nät'!H$1,FALSE)/VLOOKUP($B133,Korrigeringsfaktor_GD,'Korrigeringsfaktor GD'!H$1,FALSE),
"")</f>
        <v>0</v>
      </c>
      <c r="I133" s="18">
        <f>IFERROR(
                  Andel_oberoende_av_klimat*VLOOKUP($A133,Leveranser_per_nät,'Leveranser per nät'!I$1,FALSE)
               +Andel_beroende_av_klimat*VLOOKUP($A133,Leveranser_per_nät,'Leveranser per nät'!I$1,FALSE)/VLOOKUP($B133,Korrigeringsfaktor_GD,'Korrigeringsfaktor GD'!I$1,FALSE),
"")</f>
        <v>0</v>
      </c>
      <c r="J133" s="18">
        <f>IFERROR(
                  Andel_oberoende_av_klimat*VLOOKUP($A133,Leveranser_per_nät,'Leveranser per nät'!J$1,FALSE)
               +Andel_beroende_av_klimat*VLOOKUP($A133,Leveranser_per_nät,'Leveranser per nät'!J$1,FALSE)/VLOOKUP($B133,Korrigeringsfaktor_GD,'Korrigeringsfaktor GD'!J$1,FALSE),
"")</f>
        <v>0</v>
      </c>
      <c r="K133" s="18">
        <f>IFERROR(
                  Andel_oberoende_av_klimat*VLOOKUP($A133,Leveranser_per_nät,'Leveranser per nät'!K$1,FALSE)
               +Andel_beroende_av_klimat*VLOOKUP($A133,Leveranser_per_nät,'Leveranser per nät'!K$1,FALSE)/VLOOKUP($B133,Korrigeringsfaktor_GD,'Korrigeringsfaktor GD'!K$1,FALSE),
"")</f>
        <v>0</v>
      </c>
      <c r="L133" s="18">
        <f>IFERROR(
                  Andel_oberoende_av_klimat*VLOOKUP($A133,Leveranser_per_nät,'Leveranser per nät'!L$1,FALSE)
               +Andel_beroende_av_klimat*VLOOKUP($A133,Leveranser_per_nät,'Leveranser per nät'!L$1,FALSE)/VLOOKUP($B133,Korrigeringsfaktor_GD,'Korrigeringsfaktor GD'!L$1,FALSE),
"")</f>
        <v>0</v>
      </c>
      <c r="M133" s="18">
        <f>IFERROR(
                  Andel_oberoende_av_klimat*VLOOKUP($A133,Leveranser_per_nät,'Leveranser per nät'!M$1,FALSE)
               +Andel_beroende_av_klimat*VLOOKUP($A133,Leveranser_per_nät,'Leveranser per nät'!M$1,FALSE)/VLOOKUP($B133,Korrigeringsfaktor_GD,'Korrigeringsfaktor GD'!M$1,FALSE),
"")</f>
        <v>0</v>
      </c>
      <c r="N133" s="18">
        <f>IFERROR(
                  Andel_oberoende_av_klimat*VLOOKUP($A133,Leveranser_per_nät,'Leveranser per nät'!N$1,FALSE)
               +Andel_beroende_av_klimat*VLOOKUP($A133,Leveranser_per_nät,'Leveranser per nät'!N$1,FALSE)/VLOOKUP($B133,Korrigeringsfaktor_GD,'Korrigeringsfaktor GD'!N$1,FALSE),
"")</f>
        <v>0</v>
      </c>
      <c r="O133" s="18">
        <f>IFERROR(
                  Andel_oberoende_av_klimat*VLOOKUP($A133,Leveranser_per_nät,'Leveranser per nät'!O$1,FALSE)
               +Andel_beroende_av_klimat*VLOOKUP($A133,Leveranser_per_nät,'Leveranser per nät'!O$1,FALSE)/VLOOKUP($B133,Korrigeringsfaktor_GD,'Korrigeringsfaktor GD'!O$1,FALSE),
"")</f>
        <v>0</v>
      </c>
      <c r="P133" s="18">
        <f>IFERROR(
                  Andel_oberoende_av_klimat*VLOOKUP($A133,Leveranser_per_nät,'Leveranser per nät'!P$1,FALSE)
               +Andel_beroende_av_klimat*VLOOKUP($A133,Leveranser_per_nät,'Leveranser per nät'!P$1,FALSE)/VLOOKUP($B133,Korrigeringsfaktor_GD,'Korrigeringsfaktor GD'!P$1,FALSE),
"")</f>
        <v>0</v>
      </c>
      <c r="Q133" s="18">
        <f>IFERROR(
                  Andel_oberoende_av_klimat*VLOOKUP($A133,Leveranser_per_nät,'Leveranser per nät'!Q$1,FALSE)
               +Andel_beroende_av_klimat*VLOOKUP($A133,Leveranser_per_nät,'Leveranser per nät'!Q$1,FALSE)/VLOOKUP($B133,Korrigeringsfaktor_GD,'Korrigeringsfaktor GD'!Q$1,FALSE),
"")</f>
        <v>3.8848275862068964</v>
      </c>
      <c r="R133" s="18">
        <f>IFERROR(
                  Andel_oberoende_av_klimat*VLOOKUP($A133,Leveranser_per_nät,'Leveranser per nät'!R$1,FALSE)
               +Andel_beroende_av_klimat*VLOOKUP($A133,Leveranser_per_nät,'Leveranser per nät'!R$1,FALSE)/VLOOKUP($B133,Korrigeringsfaktor_GD,'Korrigeringsfaktor GD'!R$1,FALSE),
"")</f>
        <v>3.8492307692307692</v>
      </c>
      <c r="S133" s="18">
        <f>IFERROR(
                  Andel_oberoende_av_klimat*VLOOKUP($A133,Leveranser_per_nät,'Leveranser per nät'!S$1,FALSE)
               +Andel_beroende_av_klimat*VLOOKUP($A133,Leveranser_per_nät,'Leveranser per nät'!S$1,FALSE)/VLOOKUP($B133,Korrigeringsfaktor_GD,'Korrigeringsfaktor GD'!S$1,FALSE),
"")</f>
        <v>3.7736633663366335</v>
      </c>
      <c r="T133" s="18">
        <f>IFERROR(
                  Andel_oberoende_av_klimat*VLOOKUP($A133,Leveranser_per_nät,'Leveranser per nät'!T$1,FALSE)
               +Andel_beroende_av_klimat*VLOOKUP($A133,Leveranser_per_nät,'Leveranser per nät'!T$1,FALSE)/VLOOKUP($B133,Korrigeringsfaktor_GD,'Korrigeringsfaktor GD'!T$1,FALSE),
"")</f>
        <v>3.8079166666666668</v>
      </c>
      <c r="U133" s="18">
        <f>IFERROR(
                  Andel_oberoende_av_klimat*VLOOKUP($A133,Leveranser_per_nät,'Leveranser per nät'!U$1,FALSE)
               +Andel_beroende_av_klimat*VLOOKUP($A133,Leveranser_per_nät,'Leveranser per nät'!U$1,FALSE)/VLOOKUP($B133,Korrigeringsfaktor_GD,'Korrigeringsfaktor GD'!U$1,FALSE),
"")</f>
        <v>3.6859999999999999</v>
      </c>
      <c r="V133" s="18">
        <f>IFERROR(
                  Andel_oberoende_av_klimat*VLOOKUP($A133,Leveranser_per_nät,'Leveranser per nät'!V$1,FALSE)
               +Andel_beroende_av_klimat*VLOOKUP($A133,Leveranser_per_nät,'Leveranser per nät'!V$1,FALSE)/VLOOKUP($B133,Korrigeringsfaktor_GD,'Korrigeringsfaktor GD'!V$1,FALSE),
"")</f>
        <v>3.6364222222222224</v>
      </c>
      <c r="W133" s="18">
        <f>IFERROR(
                  Andel_oberoende_av_klimat*VLOOKUP($A133,Leveranser_per_nät,'Leveranser per nät'!W$1,FALSE)
               +Andel_beroende_av_klimat*VLOOKUP($A133,Leveranser_per_nät,'Leveranser per nät'!W$1,FALSE)/VLOOKUP($B133,Korrigeringsfaktor_GD,'Korrigeringsfaktor GD'!W$1,FALSE),
"")</f>
        <v>3.5477361702127661</v>
      </c>
      <c r="X133" s="18">
        <f>IFERROR(
                  Andel_oberoende_av_klimat*VLOOKUP($A133,Leveranser_per_nät,'Leveranser per nät'!X$1,FALSE)
               +Andel_beroende_av_klimat*VLOOKUP($A133,Leveranser_per_nät,'Leveranser per nät'!X$1,FALSE)/VLOOKUP($B133,Korrigeringsfaktor_GD,'Korrigeringsfaktor GD'!X$1,FALSE),
"")</f>
        <v>3.7608510638297874</v>
      </c>
      <c r="Y133" s="18">
        <f>IFERROR(
                  Andel_oberoende_av_klimat*VLOOKUP($A133,Leveranser_per_nät,'Leveranser per nät'!Y$1,FALSE)
               +Andel_beroende_av_klimat*VLOOKUP($A133,Leveranser_per_nät,'Leveranser per nät'!Y$1,FALSE)/VLOOKUP($B133,Korrigeringsfaktor_GD,'Korrigeringsfaktor GD'!Y$1,FALSE),
"")</f>
        <v>3.368602150537634</v>
      </c>
      <c r="Z133" s="18">
        <f>IFERROR(
                  Andel_oberoende_av_klimat*VLOOKUP($A133,Leveranser_per_nät,'Leveranser per nät'!Z$1,FALSE)
               +Andel_beroende_av_klimat*VLOOKUP($A133,Leveranser_per_nät,'Leveranser per nät'!Z$1,FALSE)/VLOOKUP($B133,Korrigeringsfaktor_GD,'Korrigeringsfaktor GD'!Z$1,FALSE),
"")</f>
        <v>3.4488888888888889</v>
      </c>
      <c r="AA133" s="18">
        <f>IFERROR(
                  Andel_oberoende_av_klimat*VLOOKUP($A133,Leveranser_per_nät,'Leveranser per nät'!AA$1,FALSE)
               +Andel_beroende_av_klimat*VLOOKUP($A133,Leveranser_per_nät,'Leveranser per nät'!AA$1,FALSE)/VLOOKUP($B133,Korrigeringsfaktor_GD,'Korrigeringsfaktor GD'!AA$1,FALSE),
"")</f>
        <v>3.4257142857142857</v>
      </c>
      <c r="AB133" s="18">
        <f>IFERROR(
                  Andel_oberoende_av_klimat*VLOOKUP($A133,Leveranser_per_nät,'Leveranser per nät'!AB$1,FALSE)
               +Andel_beroende_av_klimat*VLOOKUP($A133,Leveranser_per_nät,'Leveranser per nät'!AB$1,FALSE)/VLOOKUP($B133,Korrigeringsfaktor_GD,'Korrigeringsfaktor GD'!AB$1,FALSE),
"")</f>
        <v>3.2771287128712872</v>
      </c>
      <c r="AC133" s="18">
        <f>IFERROR(
                  Andel_oberoende_av_klimat*VLOOKUP($A133,Leveranser_per_nät,'Leveranser per nät'!AC$1,FALSE)
               +Andel_beroende_av_klimat*VLOOKUP($A133,Leveranser_per_nät,'Leveranser per nät'!AC$1,FALSE)/VLOOKUP($B133,Korrigeringsfaktor_GD,'Korrigeringsfaktor GD'!AC$1,FALSE),
"")</f>
        <v>3.1655275862068959</v>
      </c>
      <c r="AD133" t="e">
        <v>#N/A</v>
      </c>
    </row>
    <row r="134" spans="1:30" x14ac:dyDescent="0.25">
      <c r="A134" t="s">
        <v>373</v>
      </c>
      <c r="B134" t="s">
        <v>373</v>
      </c>
      <c r="C134" s="18">
        <f>IFERROR(
                  Andel_oberoende_av_klimat*VLOOKUP($A134,Leveranser_per_nät,'Leveranser per nät'!C$1,FALSE)
               +Andel_beroende_av_klimat*VLOOKUP($A134,Leveranser_per_nät,'Leveranser per nät'!C$1,FALSE)/VLOOKUP($B134,Korrigeringsfaktor_GD,'Korrigeringsfaktor GD'!C$1,FALSE),
"")</f>
        <v>928.68695652173915</v>
      </c>
      <c r="D134" s="18">
        <f>IFERROR(
                  Andel_oberoende_av_klimat*VLOOKUP($A134,Leveranser_per_nät,'Leveranser per nät'!D$1,FALSE)
               +Andel_beroende_av_klimat*VLOOKUP($A134,Leveranser_per_nät,'Leveranser per nät'!D$1,FALSE)/VLOOKUP($B134,Korrigeringsfaktor_GD,'Korrigeringsfaktor GD'!D$1,FALSE),
"")</f>
        <v>908.51143689320384</v>
      </c>
      <c r="E134" s="18">
        <f>IFERROR(
                  Andel_oberoende_av_klimat*VLOOKUP($A134,Leveranser_per_nät,'Leveranser per nät'!E$1,FALSE)
               +Andel_beroende_av_klimat*VLOOKUP($A134,Leveranser_per_nät,'Leveranser per nät'!E$1,FALSE)/VLOOKUP($B134,Korrigeringsfaktor_GD,'Korrigeringsfaktor GD'!E$1,FALSE),
"")</f>
        <v>918</v>
      </c>
      <c r="F134" s="18">
        <f>IFERROR(
                  Andel_oberoende_av_klimat*VLOOKUP($A134,Leveranser_per_nät,'Leveranser per nät'!F$1,FALSE)
               +Andel_beroende_av_klimat*VLOOKUP($A134,Leveranser_per_nät,'Leveranser per nät'!F$1,FALSE)/VLOOKUP($B134,Korrigeringsfaktor_GD,'Korrigeringsfaktor GD'!F$1,FALSE),
"")</f>
        <v>924.8631578947369</v>
      </c>
      <c r="G134" s="18">
        <f>IFERROR(
                  Andel_oberoende_av_klimat*VLOOKUP($A134,Leveranser_per_nät,'Leveranser per nät'!G$1,FALSE)
               +Andel_beroende_av_klimat*VLOOKUP($A134,Leveranser_per_nät,'Leveranser per nät'!G$1,FALSE)/VLOOKUP($B134,Korrigeringsfaktor_GD,'Korrigeringsfaktor GD'!G$1,FALSE),
"")</f>
        <v>927.85</v>
      </c>
      <c r="H134" s="18">
        <f>IFERROR(
                  Andel_oberoende_av_klimat*VLOOKUP($A134,Leveranser_per_nät,'Leveranser per nät'!H$1,FALSE)
               +Andel_beroende_av_klimat*VLOOKUP($A134,Leveranser_per_nät,'Leveranser per nät'!H$1,FALSE)/VLOOKUP($B134,Korrigeringsfaktor_GD,'Korrigeringsfaktor GD'!H$1,FALSE),
"")</f>
        <v>925.54059405940598</v>
      </c>
      <c r="I134" s="18">
        <f>IFERROR(
                  Andel_oberoende_av_klimat*VLOOKUP($A134,Leveranser_per_nät,'Leveranser per nät'!I$1,FALSE)
               +Andel_beroende_av_klimat*VLOOKUP($A134,Leveranser_per_nät,'Leveranser per nät'!I$1,FALSE)/VLOOKUP($B134,Korrigeringsfaktor_GD,'Korrigeringsfaktor GD'!I$1,FALSE),
"")</f>
        <v>940.86416666666673</v>
      </c>
      <c r="J134" s="18">
        <f>IFERROR(
                  Andel_oberoende_av_klimat*VLOOKUP($A134,Leveranser_per_nät,'Leveranser per nät'!J$1,FALSE)
               +Andel_beroende_av_klimat*VLOOKUP($A134,Leveranser_per_nät,'Leveranser per nät'!J$1,FALSE)/VLOOKUP($B134,Korrigeringsfaktor_GD,'Korrigeringsfaktor GD'!J$1,FALSE),
"")</f>
        <v>913</v>
      </c>
      <c r="K134" s="18">
        <f>IFERROR(
                  Andel_oberoende_av_klimat*VLOOKUP($A134,Leveranser_per_nät,'Leveranser per nät'!K$1,FALSE)
               +Andel_beroende_av_klimat*VLOOKUP($A134,Leveranser_per_nät,'Leveranser per nät'!K$1,FALSE)/VLOOKUP($B134,Korrigeringsfaktor_GD,'Korrigeringsfaktor GD'!K$1,FALSE),
"")</f>
        <v>905.69292727272727</v>
      </c>
      <c r="L134" s="18">
        <f>IFERROR(
                  Andel_oberoende_av_klimat*VLOOKUP($A134,Leveranser_per_nät,'Leveranser per nät'!L$1,FALSE)
               +Andel_beroende_av_klimat*VLOOKUP($A134,Leveranser_per_nät,'Leveranser per nät'!L$1,FALSE)/VLOOKUP($B134,Korrigeringsfaktor_GD,'Korrigeringsfaktor GD'!L$1,FALSE),
"")</f>
        <v>894.24979381443291</v>
      </c>
      <c r="M134" s="18">
        <f>IFERROR(
                  Andel_oberoende_av_klimat*VLOOKUP($A134,Leveranser_per_nät,'Leveranser per nät'!M$1,FALSE)
               +Andel_beroende_av_klimat*VLOOKUP($A134,Leveranser_per_nät,'Leveranser per nät'!M$1,FALSE)/VLOOKUP($B134,Korrigeringsfaktor_GD,'Korrigeringsfaktor GD'!M$1,FALSE),
"")</f>
        <v>883.37275376344087</v>
      </c>
      <c r="N134" s="18">
        <f>IFERROR(
                  Andel_oberoende_av_klimat*VLOOKUP($A134,Leveranser_per_nät,'Leveranser per nät'!N$1,FALSE)
               +Andel_beroende_av_klimat*VLOOKUP($A134,Leveranser_per_nät,'Leveranser per nät'!N$1,FALSE)/VLOOKUP($B134,Korrigeringsfaktor_GD,'Korrigeringsfaktor GD'!N$1,FALSE),
"")</f>
        <v>919.26054090909088</v>
      </c>
      <c r="O134" s="18">
        <f>IFERROR(
                  Andel_oberoende_av_klimat*VLOOKUP($A134,Leveranser_per_nät,'Leveranser per nät'!O$1,FALSE)
               +Andel_beroende_av_klimat*VLOOKUP($A134,Leveranser_per_nät,'Leveranser per nät'!O$1,FALSE)/VLOOKUP($B134,Korrigeringsfaktor_GD,'Korrigeringsfaktor GD'!O$1,FALSE),
"")</f>
        <v>924.53077272727273</v>
      </c>
      <c r="P134" s="18">
        <f>IFERROR(
                  Andel_oberoende_av_klimat*VLOOKUP($A134,Leveranser_per_nät,'Leveranser per nät'!P$1,FALSE)
               +Andel_beroende_av_klimat*VLOOKUP($A134,Leveranser_per_nät,'Leveranser per nät'!P$1,FALSE)/VLOOKUP($B134,Korrigeringsfaktor_GD,'Korrigeringsfaktor GD'!P$1,FALSE),
"")</f>
        <v>897.85621649484551</v>
      </c>
      <c r="Q134" s="18">
        <f>IFERROR(
                  Andel_oberoende_av_klimat*VLOOKUP($A134,Leveranser_per_nät,'Leveranser per nät'!Q$1,FALSE)
               +Andel_beroende_av_klimat*VLOOKUP($A134,Leveranser_per_nät,'Leveranser per nät'!Q$1,FALSE)/VLOOKUP($B134,Korrigeringsfaktor_GD,'Korrigeringsfaktor GD'!Q$1,FALSE),
"")</f>
        <v>920.28491525423726</v>
      </c>
      <c r="R134" s="18">
        <f>IFERROR(
                  Andel_oberoende_av_klimat*VLOOKUP($A134,Leveranser_per_nät,'Leveranser per nät'!R$1,FALSE)
               +Andel_beroende_av_klimat*VLOOKUP($A134,Leveranser_per_nät,'Leveranser per nät'!R$1,FALSE)/VLOOKUP($B134,Korrigeringsfaktor_GD,'Korrigeringsfaktor GD'!R$1,FALSE),
"")</f>
        <v>1036.2662365591398</v>
      </c>
      <c r="S134" s="18">
        <f>IFERROR(
                  Andel_oberoende_av_klimat*VLOOKUP($A134,Leveranser_per_nät,'Leveranser per nät'!S$1,FALSE)
               +Andel_beroende_av_klimat*VLOOKUP($A134,Leveranser_per_nät,'Leveranser per nät'!S$1,FALSE)/VLOOKUP($B134,Korrigeringsfaktor_GD,'Korrigeringsfaktor GD'!S$1,FALSE),
"")</f>
        <v>887.64705882352951</v>
      </c>
      <c r="T134" s="18">
        <f>IFERROR(
                  Andel_oberoende_av_klimat*VLOOKUP($A134,Leveranser_per_nät,'Leveranser per nät'!T$1,FALSE)
               +Andel_beroende_av_klimat*VLOOKUP($A134,Leveranser_per_nät,'Leveranser per nät'!T$1,FALSE)/VLOOKUP($B134,Korrigeringsfaktor_GD,'Korrigeringsfaktor GD'!T$1,FALSE),
"")</f>
        <v>887.5</v>
      </c>
      <c r="U134" s="18">
        <f>IFERROR(
                  Andel_oberoende_av_klimat*VLOOKUP($A134,Leveranser_per_nät,'Leveranser per nät'!U$1,FALSE)
               +Andel_beroende_av_klimat*VLOOKUP($A134,Leveranser_per_nät,'Leveranser per nät'!U$1,FALSE)/VLOOKUP($B134,Korrigeringsfaktor_GD,'Korrigeringsfaktor GD'!U$1,FALSE),
"")</f>
        <v>899.68401445783138</v>
      </c>
      <c r="V134" s="18">
        <f>IFERROR(
                  Andel_oberoende_av_klimat*VLOOKUP($A134,Leveranser_per_nät,'Leveranser per nät'!V$1,FALSE)
               +Andel_beroende_av_klimat*VLOOKUP($A134,Leveranser_per_nät,'Leveranser per nät'!V$1,FALSE)/VLOOKUP($B134,Korrigeringsfaktor_GD,'Korrigeringsfaktor GD'!V$1,FALSE),
"")</f>
        <v>902.82922808988758</v>
      </c>
      <c r="W134" s="18">
        <f>IFERROR(
                  Andel_oberoende_av_klimat*VLOOKUP($A134,Leveranser_per_nät,'Leveranser per nät'!W$1,FALSE)
               +Andel_beroende_av_klimat*VLOOKUP($A134,Leveranser_per_nät,'Leveranser per nät'!W$1,FALSE)/VLOOKUP($B134,Korrigeringsfaktor_GD,'Korrigeringsfaktor GD'!W$1,FALSE),
"")</f>
        <v>920.04946236559135</v>
      </c>
      <c r="X134" s="18">
        <f>IFERROR(
                  Andel_oberoende_av_klimat*VLOOKUP($A134,Leveranser_per_nät,'Leveranser per nät'!X$1,FALSE)
               +Andel_beroende_av_klimat*VLOOKUP($A134,Leveranser_per_nät,'Leveranser per nät'!X$1,FALSE)/VLOOKUP($B134,Korrigeringsfaktor_GD,'Korrigeringsfaktor GD'!X$1,FALSE),
"")</f>
        <v>933.97231612903215</v>
      </c>
      <c r="Y134" s="18">
        <f>IFERROR(
                  Andel_oberoende_av_klimat*VLOOKUP($A134,Leveranser_per_nät,'Leveranser per nät'!Y$1,FALSE)
               +Andel_beroende_av_klimat*VLOOKUP($A134,Leveranser_per_nät,'Leveranser per nät'!Y$1,FALSE)/VLOOKUP($B134,Korrigeringsfaktor_GD,'Korrigeringsfaktor GD'!Y$1,FALSE),
"")</f>
        <v>936.11466666666661</v>
      </c>
      <c r="Z134" s="18">
        <f>IFERROR(
                  Andel_oberoende_av_klimat*VLOOKUP($A134,Leveranser_per_nät,'Leveranser per nät'!Z$1,FALSE)
               +Andel_beroende_av_klimat*VLOOKUP($A134,Leveranser_per_nät,'Leveranser per nät'!Z$1,FALSE)/VLOOKUP($B134,Korrigeringsfaktor_GD,'Korrigeringsfaktor GD'!Z$1,FALSE),
"")</f>
        <v>985.22439024390246</v>
      </c>
      <c r="AA134" s="18">
        <f>IFERROR(
                  Andel_oberoende_av_klimat*VLOOKUP($A134,Leveranser_per_nät,'Leveranser per nät'!AA$1,FALSE)
               +Andel_beroende_av_klimat*VLOOKUP($A134,Leveranser_per_nät,'Leveranser per nät'!AA$1,FALSE)/VLOOKUP($B134,Korrigeringsfaktor_GD,'Korrigeringsfaktor GD'!AA$1,FALSE),
"")</f>
        <v>1109.7710314557426</v>
      </c>
      <c r="AB134" s="18">
        <f>IFERROR(
                  Andel_oberoende_av_klimat*VLOOKUP($A134,Leveranser_per_nät,'Leveranser per nät'!AB$1,FALSE)
               +Andel_beroende_av_klimat*VLOOKUP($A134,Leveranser_per_nät,'Leveranser per nät'!AB$1,FALSE)/VLOOKUP($B134,Korrigeringsfaktor_GD,'Korrigeringsfaktor GD'!AB$1,FALSE),
"")</f>
        <v>905.61836754870251</v>
      </c>
      <c r="AC134" s="18">
        <f>IFERROR(
                  Andel_oberoende_av_klimat*VLOOKUP($A134,Leveranser_per_nät,'Leveranser per nät'!AC$1,FALSE)
               +Andel_beroende_av_klimat*VLOOKUP($A134,Leveranser_per_nät,'Leveranser per nät'!AC$1,FALSE)/VLOOKUP($B134,Korrigeringsfaktor_GD,'Korrigeringsfaktor GD'!AC$1,FALSE),
"")</f>
        <v>968.36962162162149</v>
      </c>
      <c r="AD134">
        <v>1032.5409999999999</v>
      </c>
    </row>
    <row r="135" spans="1:30" x14ac:dyDescent="0.25">
      <c r="A135" t="s">
        <v>134</v>
      </c>
      <c r="B135" t="s">
        <v>133</v>
      </c>
      <c r="C135" s="18">
        <f>IFERROR(
                  Andel_oberoende_av_klimat*VLOOKUP($A135,Leveranser_per_nät,'Leveranser per nät'!C$1,FALSE)
               +Andel_beroende_av_klimat*VLOOKUP($A135,Leveranser_per_nät,'Leveranser per nät'!C$1,FALSE)/VLOOKUP($B135,Korrigeringsfaktor_GD,'Korrigeringsfaktor GD'!C$1,FALSE),
"")</f>
        <v>14.799999999999999</v>
      </c>
      <c r="D135" s="18">
        <f>IFERROR(
                  Andel_oberoende_av_klimat*VLOOKUP($A135,Leveranser_per_nät,'Leveranser per nät'!D$1,FALSE)
               +Andel_beroende_av_klimat*VLOOKUP($A135,Leveranser_per_nät,'Leveranser per nät'!D$1,FALSE)/VLOOKUP($B135,Korrigeringsfaktor_GD,'Korrigeringsfaktor GD'!D$1,FALSE),
"")</f>
        <v>14.76</v>
      </c>
      <c r="E135" s="18">
        <f>IFERROR(
                  Andel_oberoende_av_klimat*VLOOKUP($A135,Leveranser_per_nät,'Leveranser per nät'!E$1,FALSE)
               +Andel_beroende_av_klimat*VLOOKUP($A135,Leveranser_per_nät,'Leveranser per nät'!E$1,FALSE)/VLOOKUP($B135,Korrigeringsfaktor_GD,'Korrigeringsfaktor GD'!E$1,FALSE),
"")</f>
        <v>13.714563106796117</v>
      </c>
      <c r="F135" s="18">
        <f>IFERROR(
                  Andel_oberoende_av_klimat*VLOOKUP($A135,Leveranser_per_nät,'Leveranser per nät'!F$1,FALSE)
               +Andel_beroende_av_klimat*VLOOKUP($A135,Leveranser_per_nät,'Leveranser per nät'!F$1,FALSE)/VLOOKUP($B135,Korrigeringsfaktor_GD,'Korrigeringsfaktor GD'!F$1,FALSE),
"")</f>
        <v>13.684946236559139</v>
      </c>
      <c r="G135" s="18">
        <f>IFERROR(
                  Andel_oberoende_av_klimat*VLOOKUP($A135,Leveranser_per_nät,'Leveranser per nät'!G$1,FALSE)
               +Andel_beroende_av_klimat*VLOOKUP($A135,Leveranser_per_nät,'Leveranser per nät'!G$1,FALSE)/VLOOKUP($B135,Korrigeringsfaktor_GD,'Korrigeringsfaktor GD'!G$1,FALSE),
"")</f>
        <v>14.24090909090909</v>
      </c>
      <c r="H135" s="18">
        <f>IFERROR(
                  Andel_oberoende_av_klimat*VLOOKUP($A135,Leveranser_per_nät,'Leveranser per nät'!H$1,FALSE)
               +Andel_beroende_av_klimat*VLOOKUP($A135,Leveranser_per_nät,'Leveranser per nät'!H$1,FALSE)/VLOOKUP($B135,Korrigeringsfaktor_GD,'Korrigeringsfaktor GD'!H$1,FALSE),
"")</f>
        <v>13.185714285714285</v>
      </c>
      <c r="I135" s="18">
        <f>IFERROR(
                  Andel_oberoende_av_klimat*VLOOKUP($A135,Leveranser_per_nät,'Leveranser per nät'!I$1,FALSE)
               +Andel_beroende_av_klimat*VLOOKUP($A135,Leveranser_per_nät,'Leveranser per nät'!I$1,FALSE)/VLOOKUP($B135,Korrigeringsfaktor_GD,'Korrigeringsfaktor GD'!I$1,FALSE),
"")</f>
        <v>0</v>
      </c>
      <c r="J135" s="18">
        <f>IFERROR(
                  Andel_oberoende_av_klimat*VLOOKUP($A135,Leveranser_per_nät,'Leveranser per nät'!J$1,FALSE)
               +Andel_beroende_av_klimat*VLOOKUP($A135,Leveranser_per_nät,'Leveranser per nät'!J$1,FALSE)/VLOOKUP($B135,Korrigeringsfaktor_GD,'Korrigeringsfaktor GD'!J$1,FALSE),
"")</f>
        <v>0</v>
      </c>
      <c r="K135" s="18">
        <f>IFERROR(
                  Andel_oberoende_av_klimat*VLOOKUP($A135,Leveranser_per_nät,'Leveranser per nät'!K$1,FALSE)
               +Andel_beroende_av_klimat*VLOOKUP($A135,Leveranser_per_nät,'Leveranser per nät'!K$1,FALSE)/VLOOKUP($B135,Korrigeringsfaktor_GD,'Korrigeringsfaktor GD'!K$1,FALSE),
"")</f>
        <v>0</v>
      </c>
      <c r="L135" s="18">
        <f>IFERROR(
                  Andel_oberoende_av_klimat*VLOOKUP($A135,Leveranser_per_nät,'Leveranser per nät'!L$1,FALSE)
               +Andel_beroende_av_klimat*VLOOKUP($A135,Leveranser_per_nät,'Leveranser per nät'!L$1,FALSE)/VLOOKUP($B135,Korrigeringsfaktor_GD,'Korrigeringsfaktor GD'!L$1,FALSE),
"")</f>
        <v>13.820694043373575</v>
      </c>
      <c r="M135" s="18">
        <f>IFERROR(
                  Andel_oberoende_av_klimat*VLOOKUP($A135,Leveranser_per_nät,'Leveranser per nät'!M$1,FALSE)
               +Andel_beroende_av_klimat*VLOOKUP($A135,Leveranser_per_nät,'Leveranser per nät'!M$1,FALSE)/VLOOKUP($B135,Korrigeringsfaktor_GD,'Korrigeringsfaktor GD'!M$1,FALSE),
"")</f>
        <v>12.937692307692307</v>
      </c>
      <c r="N135" s="18">
        <f>IFERROR(
                  Andel_oberoende_av_klimat*VLOOKUP($A135,Leveranser_per_nät,'Leveranser per nät'!N$1,FALSE)
               +Andel_beroende_av_klimat*VLOOKUP($A135,Leveranser_per_nät,'Leveranser per nät'!N$1,FALSE)/VLOOKUP($B135,Korrigeringsfaktor_GD,'Korrigeringsfaktor GD'!N$1,FALSE),
"")</f>
        <v>13.256666666666668</v>
      </c>
      <c r="O135" s="18">
        <f>IFERROR(
                  Andel_oberoende_av_klimat*VLOOKUP($A135,Leveranser_per_nät,'Leveranser per nät'!O$1,FALSE)
               +Andel_beroende_av_klimat*VLOOKUP($A135,Leveranser_per_nät,'Leveranser per nät'!O$1,FALSE)/VLOOKUP($B135,Korrigeringsfaktor_GD,'Korrigeringsfaktor GD'!O$1,FALSE),
"")</f>
        <v>12.494943820224719</v>
      </c>
      <c r="P135" s="18">
        <f>IFERROR(
                  Andel_oberoende_av_klimat*VLOOKUP($A135,Leveranser_per_nät,'Leveranser per nät'!P$1,FALSE)
               +Andel_beroende_av_klimat*VLOOKUP($A135,Leveranser_per_nät,'Leveranser per nät'!P$1,FALSE)/VLOOKUP($B135,Korrigeringsfaktor_GD,'Korrigeringsfaktor GD'!P$1,FALSE),
"")</f>
        <v>13.690103092783506</v>
      </c>
      <c r="Q135" s="18">
        <f>IFERROR(
                  Andel_oberoende_av_klimat*VLOOKUP($A135,Leveranser_per_nät,'Leveranser per nät'!Q$1,FALSE)
               +Andel_beroende_av_klimat*VLOOKUP($A135,Leveranser_per_nät,'Leveranser per nät'!Q$1,FALSE)/VLOOKUP($B135,Korrigeringsfaktor_GD,'Korrigeringsfaktor GD'!Q$1,FALSE),
"")</f>
        <v>12.672499999999999</v>
      </c>
      <c r="R135" s="18">
        <f>IFERROR(
                  Andel_oberoende_av_klimat*VLOOKUP($A135,Leveranser_per_nät,'Leveranser per nät'!R$1,FALSE)
               +Andel_beroende_av_klimat*VLOOKUP($A135,Leveranser_per_nät,'Leveranser per nät'!R$1,FALSE)/VLOOKUP($B135,Korrigeringsfaktor_GD,'Korrigeringsfaktor GD'!R$1,FALSE),
"")</f>
        <v>12.640638297872341</v>
      </c>
      <c r="S135" s="18">
        <f>IFERROR(
                  Andel_oberoende_av_klimat*VLOOKUP($A135,Leveranser_per_nät,'Leveranser per nät'!S$1,FALSE)
               +Andel_beroende_av_klimat*VLOOKUP($A135,Leveranser_per_nät,'Leveranser per nät'!S$1,FALSE)/VLOOKUP($B135,Korrigeringsfaktor_GD,'Korrigeringsfaktor GD'!S$1,FALSE),
"")</f>
        <v>12.413366336633663</v>
      </c>
      <c r="T135" s="18">
        <f>IFERROR(
                  Andel_oberoende_av_klimat*VLOOKUP($A135,Leveranser_per_nät,'Leveranser per nät'!T$1,FALSE)
               +Andel_beroende_av_klimat*VLOOKUP($A135,Leveranser_per_nät,'Leveranser per nät'!T$1,FALSE)/VLOOKUP($B135,Korrigeringsfaktor_GD,'Korrigeringsfaktor GD'!T$1,FALSE),
"")</f>
        <v>12.566288659793816</v>
      </c>
      <c r="U135" s="18">
        <f>IFERROR(
                  Andel_oberoende_av_klimat*VLOOKUP($A135,Leveranser_per_nät,'Leveranser per nät'!U$1,FALSE)
               +Andel_beroende_av_klimat*VLOOKUP($A135,Leveranser_per_nät,'Leveranser per nät'!U$1,FALSE)/VLOOKUP($B135,Korrigeringsfaktor_GD,'Korrigeringsfaktor GD'!U$1,FALSE),
"")</f>
        <v>12.296153846153846</v>
      </c>
      <c r="V135" s="18">
        <f>IFERROR(
                  Andel_oberoende_av_klimat*VLOOKUP($A135,Leveranser_per_nät,'Leveranser per nät'!V$1,FALSE)
               +Andel_beroende_av_klimat*VLOOKUP($A135,Leveranser_per_nät,'Leveranser per nät'!V$1,FALSE)/VLOOKUP($B135,Korrigeringsfaktor_GD,'Korrigeringsfaktor GD'!V$1,FALSE),
"")</f>
        <v>12.59241379310345</v>
      </c>
      <c r="W135" s="18">
        <f>IFERROR(
                  Andel_oberoende_av_klimat*VLOOKUP($A135,Leveranser_per_nät,'Leveranser per nät'!W$1,FALSE)
               +Andel_beroende_av_klimat*VLOOKUP($A135,Leveranser_per_nät,'Leveranser per nät'!W$1,FALSE)/VLOOKUP($B135,Korrigeringsfaktor_GD,'Korrigeringsfaktor GD'!W$1,FALSE),
"")</f>
        <v>12.495408602150537</v>
      </c>
      <c r="X135" s="18">
        <f>IFERROR(
                  Andel_oberoende_av_klimat*VLOOKUP($A135,Leveranser_per_nät,'Leveranser per nät'!X$1,FALSE)
               +Andel_beroende_av_klimat*VLOOKUP($A135,Leveranser_per_nät,'Leveranser per nät'!X$1,FALSE)/VLOOKUP($B135,Korrigeringsfaktor_GD,'Korrigeringsfaktor GD'!X$1,FALSE),
"")</f>
        <v>12.622515789473685</v>
      </c>
      <c r="Y135" s="18">
        <f>IFERROR(
                  Andel_oberoende_av_klimat*VLOOKUP($A135,Leveranser_per_nät,'Leveranser per nät'!Y$1,FALSE)
               +Andel_beroende_av_klimat*VLOOKUP($A135,Leveranser_per_nät,'Leveranser per nät'!Y$1,FALSE)/VLOOKUP($B135,Korrigeringsfaktor_GD,'Korrigeringsfaktor GD'!Y$1,FALSE),
"")</f>
        <v>12.637238461538463</v>
      </c>
      <c r="Z135" s="18">
        <f>IFERROR(
                  Andel_oberoende_av_klimat*VLOOKUP($A135,Leveranser_per_nät,'Leveranser per nät'!Z$1,FALSE)
               +Andel_beroende_av_klimat*VLOOKUP($A135,Leveranser_per_nät,'Leveranser per nät'!Z$1,FALSE)/VLOOKUP($B135,Korrigeringsfaktor_GD,'Korrigeringsfaktor GD'!Z$1,FALSE),
"")</f>
        <v>11.885407865168538</v>
      </c>
      <c r="AA135" s="18">
        <f>IFERROR(
                  Andel_oberoende_av_klimat*VLOOKUP($A135,Leveranser_per_nät,'Leveranser per nät'!AA$1,FALSE)
               +Andel_beroende_av_klimat*VLOOKUP($A135,Leveranser_per_nät,'Leveranser per nät'!AA$1,FALSE)/VLOOKUP($B135,Korrigeringsfaktor_GD,'Korrigeringsfaktor GD'!AA$1,FALSE),
"")</f>
        <v>12.797264634146341</v>
      </c>
      <c r="AB135" s="18">
        <f>IFERROR(
                  Andel_oberoende_av_klimat*VLOOKUP($A135,Leveranser_per_nät,'Leveranser per nät'!AB$1,FALSE)
               +Andel_beroende_av_klimat*VLOOKUP($A135,Leveranser_per_nät,'Leveranser per nät'!AB$1,FALSE)/VLOOKUP($B135,Korrigeringsfaktor_GD,'Korrigeringsfaktor GD'!AB$1,FALSE),
"")</f>
        <v>12.049315686274511</v>
      </c>
      <c r="AC135" s="18">
        <f>IFERROR(
                  Andel_oberoende_av_klimat*VLOOKUP($A135,Leveranser_per_nät,'Leveranser per nät'!AC$1,FALSE)
               +Andel_beroende_av_klimat*VLOOKUP($A135,Leveranser_per_nät,'Leveranser per nät'!AC$1,FALSE)/VLOOKUP($B135,Korrigeringsfaktor_GD,'Korrigeringsfaktor GD'!AC$1,FALSE),
"")</f>
        <v>12.458298059244125</v>
      </c>
      <c r="AD135">
        <v>174.447</v>
      </c>
    </row>
    <row r="136" spans="1:30" x14ac:dyDescent="0.25">
      <c r="A136" t="s">
        <v>131</v>
      </c>
      <c r="B136" t="s">
        <v>443</v>
      </c>
      <c r="C136" s="18">
        <f>IFERROR(
                  Andel_oberoende_av_klimat*VLOOKUP($A136,Leveranser_per_nät,'Leveranser per nät'!C$1,FALSE)
               +Andel_beroende_av_klimat*VLOOKUP($A136,Leveranser_per_nät,'Leveranser per nät'!C$1,FALSE)/VLOOKUP($B136,Korrigeringsfaktor_GD,'Korrigeringsfaktor GD'!C$1,FALSE),
"")</f>
        <v>0</v>
      </c>
      <c r="D136" s="18">
        <f>IFERROR(
                  Andel_oberoende_av_klimat*VLOOKUP($A136,Leveranser_per_nät,'Leveranser per nät'!D$1,FALSE)
               +Andel_beroende_av_klimat*VLOOKUP($A136,Leveranser_per_nät,'Leveranser per nät'!D$1,FALSE)/VLOOKUP($B136,Korrigeringsfaktor_GD,'Korrigeringsfaktor GD'!D$1,FALSE),
"")</f>
        <v>0</v>
      </c>
      <c r="E136" s="18">
        <f>IFERROR(
                  Andel_oberoende_av_klimat*VLOOKUP($A136,Leveranser_per_nät,'Leveranser per nät'!E$1,FALSE)
               +Andel_beroende_av_klimat*VLOOKUP($A136,Leveranser_per_nät,'Leveranser per nät'!E$1,FALSE)/VLOOKUP($B136,Korrigeringsfaktor_GD,'Korrigeringsfaktor GD'!E$1,FALSE),
"")</f>
        <v>0</v>
      </c>
      <c r="F136" s="18">
        <f>IFERROR(
                  Andel_oberoende_av_klimat*VLOOKUP($A136,Leveranser_per_nät,'Leveranser per nät'!F$1,FALSE)
               +Andel_beroende_av_klimat*VLOOKUP($A136,Leveranser_per_nät,'Leveranser per nät'!F$1,FALSE)/VLOOKUP($B136,Korrigeringsfaktor_GD,'Korrigeringsfaktor GD'!F$1,FALSE),
"")</f>
        <v>0</v>
      </c>
      <c r="G136" s="18">
        <f>IFERROR(
                  Andel_oberoende_av_klimat*VLOOKUP($A136,Leveranser_per_nät,'Leveranser per nät'!G$1,FALSE)
               +Andel_beroende_av_klimat*VLOOKUP($A136,Leveranser_per_nät,'Leveranser per nät'!G$1,FALSE)/VLOOKUP($B136,Korrigeringsfaktor_GD,'Korrigeringsfaktor GD'!G$1,FALSE),
"")</f>
        <v>0</v>
      </c>
      <c r="H136" s="18">
        <f>IFERROR(
                  Andel_oberoende_av_klimat*VLOOKUP($A136,Leveranser_per_nät,'Leveranser per nät'!H$1,FALSE)
               +Andel_beroende_av_klimat*VLOOKUP($A136,Leveranser_per_nät,'Leveranser per nät'!H$1,FALSE)/VLOOKUP($B136,Korrigeringsfaktor_GD,'Korrigeringsfaktor GD'!H$1,FALSE),
"")</f>
        <v>0</v>
      </c>
      <c r="I136" s="18">
        <f>IFERROR(
                  Andel_oberoende_av_klimat*VLOOKUP($A136,Leveranser_per_nät,'Leveranser per nät'!I$1,FALSE)
               +Andel_beroende_av_klimat*VLOOKUP($A136,Leveranser_per_nät,'Leveranser per nät'!I$1,FALSE)/VLOOKUP($B136,Korrigeringsfaktor_GD,'Korrigeringsfaktor GD'!I$1,FALSE),
"")</f>
        <v>0</v>
      </c>
      <c r="J136" s="18">
        <f>IFERROR(
                  Andel_oberoende_av_klimat*VLOOKUP($A136,Leveranser_per_nät,'Leveranser per nät'!J$1,FALSE)
               +Andel_beroende_av_klimat*VLOOKUP($A136,Leveranser_per_nät,'Leveranser per nät'!J$1,FALSE)/VLOOKUP($B136,Korrigeringsfaktor_GD,'Korrigeringsfaktor GD'!J$1,FALSE),
"")</f>
        <v>0</v>
      </c>
      <c r="K136" s="18">
        <f>IFERROR(
                  Andel_oberoende_av_klimat*VLOOKUP($A136,Leveranser_per_nät,'Leveranser per nät'!K$1,FALSE)
               +Andel_beroende_av_klimat*VLOOKUP($A136,Leveranser_per_nät,'Leveranser per nät'!K$1,FALSE)/VLOOKUP($B136,Korrigeringsfaktor_GD,'Korrigeringsfaktor GD'!K$1,FALSE),
"")</f>
        <v>0</v>
      </c>
      <c r="L136" s="18">
        <f>IFERROR(
                  Andel_oberoende_av_klimat*VLOOKUP($A136,Leveranser_per_nät,'Leveranser per nät'!L$1,FALSE)
               +Andel_beroende_av_klimat*VLOOKUP($A136,Leveranser_per_nät,'Leveranser per nät'!L$1,FALSE)/VLOOKUP($B136,Korrigeringsfaktor_GD,'Korrigeringsfaktor GD'!L$1,FALSE),
"")</f>
        <v>0</v>
      </c>
      <c r="M136" s="18">
        <f>IFERROR(
                  Andel_oberoende_av_klimat*VLOOKUP($A136,Leveranser_per_nät,'Leveranser per nät'!M$1,FALSE)
               +Andel_beroende_av_klimat*VLOOKUP($A136,Leveranser_per_nät,'Leveranser per nät'!M$1,FALSE)/VLOOKUP($B136,Korrigeringsfaktor_GD,'Korrigeringsfaktor GD'!M$1,FALSE),
"")</f>
        <v>4.1054838709677419</v>
      </c>
      <c r="N136" s="18">
        <f>IFERROR(
                  Andel_oberoende_av_klimat*VLOOKUP($A136,Leveranser_per_nät,'Leveranser per nät'!N$1,FALSE)
               +Andel_beroende_av_klimat*VLOOKUP($A136,Leveranser_per_nät,'Leveranser per nät'!N$1,FALSE)/VLOOKUP($B136,Korrigeringsfaktor_GD,'Korrigeringsfaktor GD'!N$1,FALSE),
"")</f>
        <v>4.1710000000000003</v>
      </c>
      <c r="O136" s="18">
        <f>IFERROR(
                  Andel_oberoende_av_klimat*VLOOKUP($A136,Leveranser_per_nät,'Leveranser per nät'!O$1,FALSE)
               +Andel_beroende_av_klimat*VLOOKUP($A136,Leveranser_per_nät,'Leveranser per nät'!O$1,FALSE)/VLOOKUP($B136,Korrigeringsfaktor_GD,'Korrigeringsfaktor GD'!O$1,FALSE),
"")</f>
        <v>4.0201123595505619</v>
      </c>
      <c r="P136" s="18">
        <f>IFERROR(
                  Andel_oberoende_av_klimat*VLOOKUP($A136,Leveranser_per_nät,'Leveranser per nät'!P$1,FALSE)
               +Andel_beroende_av_klimat*VLOOKUP($A136,Leveranser_per_nät,'Leveranser per nät'!P$1,FALSE)/VLOOKUP($B136,Korrigeringsfaktor_GD,'Korrigeringsfaktor GD'!P$1,FALSE),
"")</f>
        <v>4.1598916666666668</v>
      </c>
      <c r="Q136" s="18">
        <f>IFERROR(
                  Andel_oberoende_av_klimat*VLOOKUP($A136,Leveranser_per_nät,'Leveranser per nät'!Q$1,FALSE)
               +Andel_beroende_av_klimat*VLOOKUP($A136,Leveranser_per_nät,'Leveranser per nät'!Q$1,FALSE)/VLOOKUP($B136,Korrigeringsfaktor_GD,'Korrigeringsfaktor GD'!Q$1,FALSE),
"")</f>
        <v>4.2281608695652171</v>
      </c>
      <c r="R136" s="18">
        <f>IFERROR(
                  Andel_oberoende_av_klimat*VLOOKUP($A136,Leveranser_per_nät,'Leveranser per nät'!R$1,FALSE)
               +Andel_beroende_av_klimat*VLOOKUP($A136,Leveranser_per_nät,'Leveranser per nät'!R$1,FALSE)/VLOOKUP($B136,Korrigeringsfaktor_GD,'Korrigeringsfaktor GD'!R$1,FALSE),
"")</f>
        <v>4.6171999999999995</v>
      </c>
      <c r="S136" s="18" t="str">
        <f>IFERROR(
                  Andel_oberoende_av_klimat*VLOOKUP($A136,Leveranser_per_nät,'Leveranser per nät'!S$1,FALSE)
               +Andel_beroende_av_klimat*VLOOKUP($A136,Leveranser_per_nät,'Leveranser per nät'!S$1,FALSE)/VLOOKUP($B136,Korrigeringsfaktor_GD,'Korrigeringsfaktor GD'!S$1,FALSE),
"")</f>
        <v/>
      </c>
      <c r="T136" s="18" t="str">
        <f>IFERROR(
                  Andel_oberoende_av_klimat*VLOOKUP($A136,Leveranser_per_nät,'Leveranser per nät'!T$1,FALSE)
               +Andel_beroende_av_klimat*VLOOKUP($A136,Leveranser_per_nät,'Leveranser per nät'!T$1,FALSE)/VLOOKUP($B136,Korrigeringsfaktor_GD,'Korrigeringsfaktor GD'!T$1,FALSE),
"")</f>
        <v/>
      </c>
      <c r="U136" s="18" t="str">
        <f>IFERROR(
                  Andel_oberoende_av_klimat*VLOOKUP($A136,Leveranser_per_nät,'Leveranser per nät'!U$1,FALSE)
               +Andel_beroende_av_klimat*VLOOKUP($A136,Leveranser_per_nät,'Leveranser per nät'!U$1,FALSE)/VLOOKUP($B136,Korrigeringsfaktor_GD,'Korrigeringsfaktor GD'!U$1,FALSE),
"")</f>
        <v/>
      </c>
      <c r="V136" s="18" t="str">
        <f>IFERROR(
                  Andel_oberoende_av_klimat*VLOOKUP($A136,Leveranser_per_nät,'Leveranser per nät'!V$1,FALSE)
               +Andel_beroende_av_klimat*VLOOKUP($A136,Leveranser_per_nät,'Leveranser per nät'!V$1,FALSE)/VLOOKUP($B136,Korrigeringsfaktor_GD,'Korrigeringsfaktor GD'!V$1,FALSE),
"")</f>
        <v/>
      </c>
      <c r="W136" s="18" t="str">
        <f>IFERROR(
                  Andel_oberoende_av_klimat*VLOOKUP($A136,Leveranser_per_nät,'Leveranser per nät'!W$1,FALSE)
               +Andel_beroende_av_klimat*VLOOKUP($A136,Leveranser_per_nät,'Leveranser per nät'!W$1,FALSE)/VLOOKUP($B136,Korrigeringsfaktor_GD,'Korrigeringsfaktor GD'!W$1,FALSE),
"")</f>
        <v/>
      </c>
      <c r="X136" s="18" t="str">
        <f>IFERROR(
                  Andel_oberoende_av_klimat*VLOOKUP($A136,Leveranser_per_nät,'Leveranser per nät'!X$1,FALSE)
               +Andel_beroende_av_klimat*VLOOKUP($A136,Leveranser_per_nät,'Leveranser per nät'!X$1,FALSE)/VLOOKUP($B136,Korrigeringsfaktor_GD,'Korrigeringsfaktor GD'!X$1,FALSE),
"")</f>
        <v/>
      </c>
      <c r="Y136" s="18" t="str">
        <f>IFERROR(
                  Andel_oberoende_av_klimat*VLOOKUP($A136,Leveranser_per_nät,'Leveranser per nät'!Y$1,FALSE)
               +Andel_beroende_av_klimat*VLOOKUP($A136,Leveranser_per_nät,'Leveranser per nät'!Y$1,FALSE)/VLOOKUP($B136,Korrigeringsfaktor_GD,'Korrigeringsfaktor GD'!Y$1,FALSE),
"")</f>
        <v/>
      </c>
      <c r="Z136" s="18">
        <f>IFERROR(
                  Andel_oberoende_av_klimat*VLOOKUP($A136,Leveranser_per_nät,'Leveranser per nät'!Z$1,FALSE)
               +Andel_beroende_av_klimat*VLOOKUP($A136,Leveranser_per_nät,'Leveranser per nät'!Z$1,FALSE)/VLOOKUP($B136,Korrigeringsfaktor_GD,'Korrigeringsfaktor GD'!Z$1,FALSE),
"")</f>
        <v>0</v>
      </c>
      <c r="AA136" s="18" t="str">
        <f>IFERROR(
                  Andel_oberoende_av_klimat*VLOOKUP($A136,Leveranser_per_nät,'Leveranser per nät'!AA$1,FALSE)
               +Andel_beroende_av_klimat*VLOOKUP($A136,Leveranser_per_nät,'Leveranser per nät'!AA$1,FALSE)/VLOOKUP($B136,Korrigeringsfaktor_GD,'Korrigeringsfaktor GD'!AA$1,FALSE),
"")</f>
        <v/>
      </c>
      <c r="AB136" s="18">
        <f>IFERROR(
                  Andel_oberoende_av_klimat*VLOOKUP($A136,Leveranser_per_nät,'Leveranser per nät'!AB$1,FALSE)
               +Andel_beroende_av_klimat*VLOOKUP($A136,Leveranser_per_nät,'Leveranser per nät'!AB$1,FALSE)/VLOOKUP($B136,Korrigeringsfaktor_GD,'Korrigeringsfaktor GD'!AB$1,FALSE),
"")</f>
        <v>0</v>
      </c>
      <c r="AC136" s="18">
        <f>IFERROR(
                  Andel_oberoende_av_klimat*VLOOKUP($A136,Leveranser_per_nät,'Leveranser per nät'!AC$1,FALSE)
               +Andel_beroende_av_klimat*VLOOKUP($A136,Leveranser_per_nät,'Leveranser per nät'!AC$1,FALSE)/VLOOKUP($B136,Korrigeringsfaktor_GD,'Korrigeringsfaktor GD'!AC$1,FALSE),
"")</f>
        <v>0</v>
      </c>
      <c r="AD136">
        <v>44.570999999999998</v>
      </c>
    </row>
    <row r="137" spans="1:30" x14ac:dyDescent="0.25">
      <c r="A137" t="s">
        <v>875</v>
      </c>
      <c r="B137" t="s">
        <v>187</v>
      </c>
      <c r="C137" s="18" t="str">
        <f>IFERROR(
                  Andel_oberoende_av_klimat*VLOOKUP($A137,Leveranser_per_nät,'Leveranser per nät'!C$1,FALSE)
               +Andel_beroende_av_klimat*VLOOKUP($A137,Leveranser_per_nät,'Leveranser per nät'!C$1,FALSE)/VLOOKUP($B137,Korrigeringsfaktor_GD,'Korrigeringsfaktor GD'!C$1,FALSE),
"")</f>
        <v/>
      </c>
      <c r="D137" s="18" t="str">
        <f>IFERROR(
                  Andel_oberoende_av_klimat*VLOOKUP($A137,Leveranser_per_nät,'Leveranser per nät'!D$1,FALSE)
               +Andel_beroende_av_klimat*VLOOKUP($A137,Leveranser_per_nät,'Leveranser per nät'!D$1,FALSE)/VLOOKUP($B137,Korrigeringsfaktor_GD,'Korrigeringsfaktor GD'!D$1,FALSE),
"")</f>
        <v/>
      </c>
      <c r="E137" s="18" t="str">
        <f>IFERROR(
                  Andel_oberoende_av_klimat*VLOOKUP($A137,Leveranser_per_nät,'Leveranser per nät'!E$1,FALSE)
               +Andel_beroende_av_klimat*VLOOKUP($A137,Leveranser_per_nät,'Leveranser per nät'!E$1,FALSE)/VLOOKUP($B137,Korrigeringsfaktor_GD,'Korrigeringsfaktor GD'!E$1,FALSE),
"")</f>
        <v/>
      </c>
      <c r="F137" s="18" t="str">
        <f>IFERROR(
                  Andel_oberoende_av_klimat*VLOOKUP($A137,Leveranser_per_nät,'Leveranser per nät'!F$1,FALSE)
               +Andel_beroende_av_klimat*VLOOKUP($A137,Leveranser_per_nät,'Leveranser per nät'!F$1,FALSE)/VLOOKUP($B137,Korrigeringsfaktor_GD,'Korrigeringsfaktor GD'!F$1,FALSE),
"")</f>
        <v/>
      </c>
      <c r="G137" s="18" t="str">
        <f>IFERROR(
                  Andel_oberoende_av_klimat*VLOOKUP($A137,Leveranser_per_nät,'Leveranser per nät'!G$1,FALSE)
               +Andel_beroende_av_klimat*VLOOKUP($A137,Leveranser_per_nät,'Leveranser per nät'!G$1,FALSE)/VLOOKUP($B137,Korrigeringsfaktor_GD,'Korrigeringsfaktor GD'!G$1,FALSE),
"")</f>
        <v/>
      </c>
      <c r="H137" s="18" t="str">
        <f>IFERROR(
                  Andel_oberoende_av_klimat*VLOOKUP($A137,Leveranser_per_nät,'Leveranser per nät'!H$1,FALSE)
               +Andel_beroende_av_klimat*VLOOKUP($A137,Leveranser_per_nät,'Leveranser per nät'!H$1,FALSE)/VLOOKUP($B137,Korrigeringsfaktor_GD,'Korrigeringsfaktor GD'!H$1,FALSE),
"")</f>
        <v/>
      </c>
      <c r="I137" s="18" t="str">
        <f>IFERROR(
                  Andel_oberoende_av_klimat*VLOOKUP($A137,Leveranser_per_nät,'Leveranser per nät'!I$1,FALSE)
               +Andel_beroende_av_klimat*VLOOKUP($A137,Leveranser_per_nät,'Leveranser per nät'!I$1,FALSE)/VLOOKUP($B137,Korrigeringsfaktor_GD,'Korrigeringsfaktor GD'!I$1,FALSE),
"")</f>
        <v/>
      </c>
      <c r="J137" s="18" t="str">
        <f>IFERROR(
                  Andel_oberoende_av_klimat*VLOOKUP($A137,Leveranser_per_nät,'Leveranser per nät'!J$1,FALSE)
               +Andel_beroende_av_klimat*VLOOKUP($A137,Leveranser_per_nät,'Leveranser per nät'!J$1,FALSE)/VLOOKUP($B137,Korrigeringsfaktor_GD,'Korrigeringsfaktor GD'!J$1,FALSE),
"")</f>
        <v/>
      </c>
      <c r="K137" s="18" t="str">
        <f>IFERROR(
                  Andel_oberoende_av_klimat*VLOOKUP($A137,Leveranser_per_nät,'Leveranser per nät'!K$1,FALSE)
               +Andel_beroende_av_klimat*VLOOKUP($A137,Leveranser_per_nät,'Leveranser per nät'!K$1,FALSE)/VLOOKUP($B137,Korrigeringsfaktor_GD,'Korrigeringsfaktor GD'!K$1,FALSE),
"")</f>
        <v/>
      </c>
      <c r="L137" s="18" t="str">
        <f>IFERROR(
                  Andel_oberoende_av_klimat*VLOOKUP($A137,Leveranser_per_nät,'Leveranser per nät'!L$1,FALSE)
               +Andel_beroende_av_klimat*VLOOKUP($A137,Leveranser_per_nät,'Leveranser per nät'!L$1,FALSE)/VLOOKUP($B137,Korrigeringsfaktor_GD,'Korrigeringsfaktor GD'!L$1,FALSE),
"")</f>
        <v/>
      </c>
      <c r="M137" s="18" t="str">
        <f>IFERROR(
                  Andel_oberoende_av_klimat*VLOOKUP($A137,Leveranser_per_nät,'Leveranser per nät'!M$1,FALSE)
               +Andel_beroende_av_klimat*VLOOKUP($A137,Leveranser_per_nät,'Leveranser per nät'!M$1,FALSE)/VLOOKUP($B137,Korrigeringsfaktor_GD,'Korrigeringsfaktor GD'!M$1,FALSE),
"")</f>
        <v/>
      </c>
      <c r="N137" s="18" t="str">
        <f>IFERROR(
                  Andel_oberoende_av_klimat*VLOOKUP($A137,Leveranser_per_nät,'Leveranser per nät'!N$1,FALSE)
               +Andel_beroende_av_klimat*VLOOKUP($A137,Leveranser_per_nät,'Leveranser per nät'!N$1,FALSE)/VLOOKUP($B137,Korrigeringsfaktor_GD,'Korrigeringsfaktor GD'!N$1,FALSE),
"")</f>
        <v/>
      </c>
      <c r="O137" s="18" t="str">
        <f>IFERROR(
                  Andel_oberoende_av_klimat*VLOOKUP($A137,Leveranser_per_nät,'Leveranser per nät'!O$1,FALSE)
               +Andel_beroende_av_klimat*VLOOKUP($A137,Leveranser_per_nät,'Leveranser per nät'!O$1,FALSE)/VLOOKUP($B137,Korrigeringsfaktor_GD,'Korrigeringsfaktor GD'!O$1,FALSE),
"")</f>
        <v/>
      </c>
      <c r="P137" s="18" t="str">
        <f>IFERROR(
                  Andel_oberoende_av_klimat*VLOOKUP($A137,Leveranser_per_nät,'Leveranser per nät'!P$1,FALSE)
               +Andel_beroende_av_klimat*VLOOKUP($A137,Leveranser_per_nät,'Leveranser per nät'!P$1,FALSE)/VLOOKUP($B137,Korrigeringsfaktor_GD,'Korrigeringsfaktor GD'!P$1,FALSE),
"")</f>
        <v/>
      </c>
      <c r="Q137" s="18" t="str">
        <f>IFERROR(
                  Andel_oberoende_av_klimat*VLOOKUP($A137,Leveranser_per_nät,'Leveranser per nät'!Q$1,FALSE)
               +Andel_beroende_av_klimat*VLOOKUP($A137,Leveranser_per_nät,'Leveranser per nät'!Q$1,FALSE)/VLOOKUP($B137,Korrigeringsfaktor_GD,'Korrigeringsfaktor GD'!Q$1,FALSE),
"")</f>
        <v/>
      </c>
      <c r="R137" s="18" t="str">
        <f>IFERROR(
                  Andel_oberoende_av_klimat*VLOOKUP($A137,Leveranser_per_nät,'Leveranser per nät'!R$1,FALSE)
               +Andel_beroende_av_klimat*VLOOKUP($A137,Leveranser_per_nät,'Leveranser per nät'!R$1,FALSE)/VLOOKUP($B137,Korrigeringsfaktor_GD,'Korrigeringsfaktor GD'!R$1,FALSE),
"")</f>
        <v/>
      </c>
      <c r="S137" s="18" t="str">
        <f>IFERROR(
                  Andel_oberoende_av_klimat*VLOOKUP($A137,Leveranser_per_nät,'Leveranser per nät'!S$1,FALSE)
               +Andel_beroende_av_klimat*VLOOKUP($A137,Leveranser_per_nät,'Leveranser per nät'!S$1,FALSE)/VLOOKUP($B137,Korrigeringsfaktor_GD,'Korrigeringsfaktor GD'!S$1,FALSE),
"")</f>
        <v/>
      </c>
      <c r="T137" s="18" t="str">
        <f>IFERROR(
                  Andel_oberoende_av_klimat*VLOOKUP($A137,Leveranser_per_nät,'Leveranser per nät'!T$1,FALSE)
               +Andel_beroende_av_klimat*VLOOKUP($A137,Leveranser_per_nät,'Leveranser per nät'!T$1,FALSE)/VLOOKUP($B137,Korrigeringsfaktor_GD,'Korrigeringsfaktor GD'!T$1,FALSE),
"")</f>
        <v/>
      </c>
      <c r="U137" s="18" t="str">
        <f>IFERROR(
                  Andel_oberoende_av_klimat*VLOOKUP($A137,Leveranser_per_nät,'Leveranser per nät'!U$1,FALSE)
               +Andel_beroende_av_klimat*VLOOKUP($A137,Leveranser_per_nät,'Leveranser per nät'!U$1,FALSE)/VLOOKUP($B137,Korrigeringsfaktor_GD,'Korrigeringsfaktor GD'!U$1,FALSE),
"")</f>
        <v/>
      </c>
      <c r="V137" s="18" t="str">
        <f>IFERROR(
                  Andel_oberoende_av_klimat*VLOOKUP($A137,Leveranser_per_nät,'Leveranser per nät'!V$1,FALSE)
               +Andel_beroende_av_klimat*VLOOKUP($A137,Leveranser_per_nät,'Leveranser per nät'!V$1,FALSE)/VLOOKUP($B137,Korrigeringsfaktor_GD,'Korrigeringsfaktor GD'!V$1,FALSE),
"")</f>
        <v/>
      </c>
      <c r="W137" s="18" t="str">
        <f>IFERROR(
                  Andel_oberoende_av_klimat*VLOOKUP($A137,Leveranser_per_nät,'Leveranser per nät'!W$1,FALSE)
               +Andel_beroende_av_klimat*VLOOKUP($A137,Leveranser_per_nät,'Leveranser per nät'!W$1,FALSE)/VLOOKUP($B137,Korrigeringsfaktor_GD,'Korrigeringsfaktor GD'!W$1,FALSE),
"")</f>
        <v/>
      </c>
      <c r="X137" s="18" t="str">
        <f>IFERROR(
                  Andel_oberoende_av_klimat*VLOOKUP($A137,Leveranser_per_nät,'Leveranser per nät'!X$1,FALSE)
               +Andel_beroende_av_klimat*VLOOKUP($A137,Leveranser_per_nät,'Leveranser per nät'!X$1,FALSE)/VLOOKUP($B137,Korrigeringsfaktor_GD,'Korrigeringsfaktor GD'!X$1,FALSE),
"")</f>
        <v/>
      </c>
      <c r="Y137" s="18" t="str">
        <f>IFERROR(
                  Andel_oberoende_av_klimat*VLOOKUP($A137,Leveranser_per_nät,'Leveranser per nät'!Y$1,FALSE)
               +Andel_beroende_av_klimat*VLOOKUP($A137,Leveranser_per_nät,'Leveranser per nät'!Y$1,FALSE)/VLOOKUP($B137,Korrigeringsfaktor_GD,'Korrigeringsfaktor GD'!Y$1,FALSE),
"")</f>
        <v/>
      </c>
      <c r="Z137" s="18" t="str">
        <f>IFERROR(
                  Andel_oberoende_av_klimat*VLOOKUP($A137,Leveranser_per_nät,'Leveranser per nät'!Z$1,FALSE)
               +Andel_beroende_av_klimat*VLOOKUP($A137,Leveranser_per_nät,'Leveranser per nät'!Z$1,FALSE)/VLOOKUP($B137,Korrigeringsfaktor_GD,'Korrigeringsfaktor GD'!Z$1,FALSE),
"")</f>
        <v/>
      </c>
      <c r="AA137" s="18" t="str">
        <f>IFERROR(
                  Andel_oberoende_av_klimat*VLOOKUP($A137,Leveranser_per_nät,'Leveranser per nät'!AA$1,FALSE)
               +Andel_beroende_av_klimat*VLOOKUP($A137,Leveranser_per_nät,'Leveranser per nät'!AA$1,FALSE)/VLOOKUP($B137,Korrigeringsfaktor_GD,'Korrigeringsfaktor GD'!AA$1,FALSE),
"")</f>
        <v/>
      </c>
      <c r="AB137" s="18" t="str">
        <f>IFERROR(
                  Andel_oberoende_av_klimat*VLOOKUP($A137,Leveranser_per_nät,'Leveranser per nät'!AB$1,FALSE)
               +Andel_beroende_av_klimat*VLOOKUP($A137,Leveranser_per_nät,'Leveranser per nät'!AB$1,FALSE)/VLOOKUP($B137,Korrigeringsfaktor_GD,'Korrigeringsfaktor GD'!AB$1,FALSE),
"")</f>
        <v/>
      </c>
      <c r="AC137" s="18" t="str">
        <f>IFERROR(
                  Andel_oberoende_av_klimat*VLOOKUP($A137,Leveranser_per_nät,'Leveranser per nät'!AC$1,FALSE)
               +Andel_beroende_av_klimat*VLOOKUP($A137,Leveranser_per_nät,'Leveranser per nät'!AC$1,FALSE)/VLOOKUP($B137,Korrigeringsfaktor_GD,'Korrigeringsfaktor GD'!AC$1,FALSE),
"")</f>
        <v/>
      </c>
      <c r="AD137">
        <v>41.122999999999998</v>
      </c>
    </row>
    <row r="138" spans="1:30" x14ac:dyDescent="0.25">
      <c r="A138" t="s">
        <v>132</v>
      </c>
      <c r="B138" t="s">
        <v>443</v>
      </c>
      <c r="C138" s="18">
        <f>IFERROR(
                  Andel_oberoende_av_klimat*VLOOKUP($A138,Leveranser_per_nät,'Leveranser per nät'!C$1,FALSE)
               +Andel_beroende_av_klimat*VLOOKUP($A138,Leveranser_per_nät,'Leveranser per nät'!C$1,FALSE)/VLOOKUP($B138,Korrigeringsfaktor_GD,'Korrigeringsfaktor GD'!C$1,FALSE),
"")</f>
        <v>0</v>
      </c>
      <c r="D138" s="18">
        <f>IFERROR(
                  Andel_oberoende_av_klimat*VLOOKUP($A138,Leveranser_per_nät,'Leveranser per nät'!D$1,FALSE)
               +Andel_beroende_av_klimat*VLOOKUP($A138,Leveranser_per_nät,'Leveranser per nät'!D$1,FALSE)/VLOOKUP($B138,Korrigeringsfaktor_GD,'Korrigeringsfaktor GD'!D$1,FALSE),
"")</f>
        <v>0</v>
      </c>
      <c r="E138" s="18">
        <f>IFERROR(
                  Andel_oberoende_av_klimat*VLOOKUP($A138,Leveranser_per_nät,'Leveranser per nät'!E$1,FALSE)
               +Andel_beroende_av_klimat*VLOOKUP($A138,Leveranser_per_nät,'Leveranser per nät'!E$1,FALSE)/VLOOKUP($B138,Korrigeringsfaktor_GD,'Korrigeringsfaktor GD'!E$1,FALSE),
"")</f>
        <v>0</v>
      </c>
      <c r="F138" s="18">
        <f>IFERROR(
                  Andel_oberoende_av_klimat*VLOOKUP($A138,Leveranser_per_nät,'Leveranser per nät'!F$1,FALSE)
               +Andel_beroende_av_klimat*VLOOKUP($A138,Leveranser_per_nät,'Leveranser per nät'!F$1,FALSE)/VLOOKUP($B138,Korrigeringsfaktor_GD,'Korrigeringsfaktor GD'!F$1,FALSE),
"")</f>
        <v>0</v>
      </c>
      <c r="G138" s="18">
        <f>IFERROR(
                  Andel_oberoende_av_klimat*VLOOKUP($A138,Leveranser_per_nät,'Leveranser per nät'!G$1,FALSE)
               +Andel_beroende_av_klimat*VLOOKUP($A138,Leveranser_per_nät,'Leveranser per nät'!G$1,FALSE)/VLOOKUP($B138,Korrigeringsfaktor_GD,'Korrigeringsfaktor GD'!G$1,FALSE),
"")</f>
        <v>0</v>
      </c>
      <c r="H138" s="18">
        <f>IFERROR(
                  Andel_oberoende_av_klimat*VLOOKUP($A138,Leveranser_per_nät,'Leveranser per nät'!H$1,FALSE)
               +Andel_beroende_av_klimat*VLOOKUP($A138,Leveranser_per_nät,'Leveranser per nät'!H$1,FALSE)/VLOOKUP($B138,Korrigeringsfaktor_GD,'Korrigeringsfaktor GD'!H$1,FALSE),
"")</f>
        <v>0</v>
      </c>
      <c r="I138" s="18">
        <f>IFERROR(
                  Andel_oberoende_av_klimat*VLOOKUP($A138,Leveranser_per_nät,'Leveranser per nät'!I$1,FALSE)
               +Andel_beroende_av_klimat*VLOOKUP($A138,Leveranser_per_nät,'Leveranser per nät'!I$1,FALSE)/VLOOKUP($B138,Korrigeringsfaktor_GD,'Korrigeringsfaktor GD'!I$1,FALSE),
"")</f>
        <v>0</v>
      </c>
      <c r="J138" s="18">
        <f>IFERROR(
                  Andel_oberoende_av_klimat*VLOOKUP($A138,Leveranser_per_nät,'Leveranser per nät'!J$1,FALSE)
               +Andel_beroende_av_klimat*VLOOKUP($A138,Leveranser_per_nät,'Leveranser per nät'!J$1,FALSE)/VLOOKUP($B138,Korrigeringsfaktor_GD,'Korrigeringsfaktor GD'!J$1,FALSE),
"")</f>
        <v>0</v>
      </c>
      <c r="K138" s="18">
        <f>IFERROR(
                  Andel_oberoende_av_klimat*VLOOKUP($A138,Leveranser_per_nät,'Leveranser per nät'!K$1,FALSE)
               +Andel_beroende_av_klimat*VLOOKUP($A138,Leveranser_per_nät,'Leveranser per nät'!K$1,FALSE)/VLOOKUP($B138,Korrigeringsfaktor_GD,'Korrigeringsfaktor GD'!K$1,FALSE),
"")</f>
        <v>0</v>
      </c>
      <c r="L138" s="18">
        <f>IFERROR(
                  Andel_oberoende_av_klimat*VLOOKUP($A138,Leveranser_per_nät,'Leveranser per nät'!L$1,FALSE)
               +Andel_beroende_av_klimat*VLOOKUP($A138,Leveranser_per_nät,'Leveranser per nät'!L$1,FALSE)/VLOOKUP($B138,Korrigeringsfaktor_GD,'Korrigeringsfaktor GD'!L$1,FALSE),
"")</f>
        <v>0</v>
      </c>
      <c r="M138" s="18">
        <f>IFERROR(
                  Andel_oberoende_av_klimat*VLOOKUP($A138,Leveranser_per_nät,'Leveranser per nät'!M$1,FALSE)
               +Andel_beroende_av_klimat*VLOOKUP($A138,Leveranser_per_nät,'Leveranser per nät'!M$1,FALSE)/VLOOKUP($B138,Korrigeringsfaktor_GD,'Korrigeringsfaktor GD'!M$1,FALSE),
"")</f>
        <v>2.0001075268817203</v>
      </c>
      <c r="N138" s="18">
        <f>IFERROR(
                  Andel_oberoende_av_klimat*VLOOKUP($A138,Leveranser_per_nät,'Leveranser per nät'!N$1,FALSE)
               +Andel_beroende_av_klimat*VLOOKUP($A138,Leveranser_per_nät,'Leveranser per nät'!N$1,FALSE)/VLOOKUP($B138,Korrigeringsfaktor_GD,'Korrigeringsfaktor GD'!N$1,FALSE),
"")</f>
        <v>1.9173666666666664</v>
      </c>
      <c r="O138" s="18">
        <f>IFERROR(
                  Andel_oberoende_av_klimat*VLOOKUP($A138,Leveranser_per_nät,'Leveranser per nät'!O$1,FALSE)
               +Andel_beroende_av_klimat*VLOOKUP($A138,Leveranser_per_nät,'Leveranser per nät'!O$1,FALSE)/VLOOKUP($B138,Korrigeringsfaktor_GD,'Korrigeringsfaktor GD'!O$1,FALSE),
"")</f>
        <v>3.8245393258426965</v>
      </c>
      <c r="P138" s="18">
        <f>IFERROR(
                  Andel_oberoende_av_klimat*VLOOKUP($A138,Leveranser_per_nät,'Leveranser per nät'!P$1,FALSE)
               +Andel_beroende_av_klimat*VLOOKUP($A138,Leveranser_per_nät,'Leveranser per nät'!P$1,FALSE)/VLOOKUP($B138,Korrigeringsfaktor_GD,'Korrigeringsfaktor GD'!P$1,FALSE),
"")</f>
        <v>4.6919708333333334</v>
      </c>
      <c r="Q138" s="18">
        <f>IFERROR(
                  Andel_oberoende_av_klimat*VLOOKUP($A138,Leveranser_per_nät,'Leveranser per nät'!Q$1,FALSE)
               +Andel_beroende_av_klimat*VLOOKUP($A138,Leveranser_per_nät,'Leveranser per nät'!Q$1,FALSE)/VLOOKUP($B138,Korrigeringsfaktor_GD,'Korrigeringsfaktor GD'!Q$1,FALSE),
"")</f>
        <v>4.7088608695652185</v>
      </c>
      <c r="R138" s="18">
        <f>IFERROR(
                  Andel_oberoende_av_klimat*VLOOKUP($A138,Leveranser_per_nät,'Leveranser per nät'!R$1,FALSE)
               +Andel_beroende_av_klimat*VLOOKUP($A138,Leveranser_per_nät,'Leveranser per nät'!R$1,FALSE)/VLOOKUP($B138,Korrigeringsfaktor_GD,'Korrigeringsfaktor GD'!R$1,FALSE),
"")</f>
        <v>5.2854222222222225</v>
      </c>
      <c r="S138" s="18">
        <f>IFERROR(
                  Andel_oberoende_av_klimat*VLOOKUP($A138,Leveranser_per_nät,'Leveranser per nät'!S$1,FALSE)
               +Andel_beroende_av_klimat*VLOOKUP($A138,Leveranser_per_nät,'Leveranser per nät'!S$1,FALSE)/VLOOKUP($B138,Korrigeringsfaktor_GD,'Korrigeringsfaktor GD'!S$1,FALSE),
"")</f>
        <v>4.5763137254901958</v>
      </c>
      <c r="T138" s="18">
        <f>IFERROR(
                  Andel_oberoende_av_klimat*VLOOKUP($A138,Leveranser_per_nät,'Leveranser per nät'!T$1,FALSE)
               +Andel_beroende_av_klimat*VLOOKUP($A138,Leveranser_per_nät,'Leveranser per nät'!T$1,FALSE)/VLOOKUP($B138,Korrigeringsfaktor_GD,'Korrigeringsfaktor GD'!T$1,FALSE),
"")</f>
        <v>4.609928571428572</v>
      </c>
      <c r="U138" s="18">
        <f>IFERROR(
                  Andel_oberoende_av_klimat*VLOOKUP($A138,Leveranser_per_nät,'Leveranser per nät'!U$1,FALSE)
               +Andel_beroende_av_klimat*VLOOKUP($A138,Leveranser_per_nät,'Leveranser per nät'!U$1,FALSE)/VLOOKUP($B138,Korrigeringsfaktor_GD,'Korrigeringsfaktor GD'!U$1,FALSE),
"")</f>
        <v>4.4671529411764705</v>
      </c>
      <c r="V138" s="18">
        <f>IFERROR(
                  Andel_oberoende_av_klimat*VLOOKUP($A138,Leveranser_per_nät,'Leveranser per nät'!V$1,FALSE)
               +Andel_beroende_av_klimat*VLOOKUP($A138,Leveranser_per_nät,'Leveranser per nät'!V$1,FALSE)/VLOOKUP($B138,Korrigeringsfaktor_GD,'Korrigeringsfaktor GD'!V$1,FALSE),
"")</f>
        <v>4.2938666666666663</v>
      </c>
      <c r="W138" s="18">
        <f>IFERROR(
                  Andel_oberoende_av_klimat*VLOOKUP($A138,Leveranser_per_nät,'Leveranser per nät'!W$1,FALSE)
               +Andel_beroende_av_klimat*VLOOKUP($A138,Leveranser_per_nät,'Leveranser per nät'!W$1,FALSE)/VLOOKUP($B138,Korrigeringsfaktor_GD,'Korrigeringsfaktor GD'!W$1,FALSE),
"")</f>
        <v>4.4801947368421047</v>
      </c>
      <c r="X138" s="18">
        <f>IFERROR(
                  Andel_oberoende_av_klimat*VLOOKUP($A138,Leveranser_per_nät,'Leveranser per nät'!X$1,FALSE)
               +Andel_beroende_av_klimat*VLOOKUP($A138,Leveranser_per_nät,'Leveranser per nät'!X$1,FALSE)/VLOOKUP($B138,Korrigeringsfaktor_GD,'Korrigeringsfaktor GD'!X$1,FALSE),
"")</f>
        <v>4.3646765957446814</v>
      </c>
      <c r="Y138" s="18">
        <f>IFERROR(
                  Andel_oberoende_av_klimat*VLOOKUP($A138,Leveranser_per_nät,'Leveranser per nät'!Y$1,FALSE)
               +Andel_beroende_av_klimat*VLOOKUP($A138,Leveranser_per_nät,'Leveranser per nät'!Y$1,FALSE)/VLOOKUP($B138,Korrigeringsfaktor_GD,'Korrigeringsfaktor GD'!Y$1,FALSE),
"")</f>
        <v>4.6693307692307693</v>
      </c>
      <c r="Z138" s="18">
        <f>IFERROR(
                  Andel_oberoende_av_klimat*VLOOKUP($A138,Leveranser_per_nät,'Leveranser per nät'!Z$1,FALSE)
               +Andel_beroende_av_klimat*VLOOKUP($A138,Leveranser_per_nät,'Leveranser per nät'!Z$1,FALSE)/VLOOKUP($B138,Korrigeringsfaktor_GD,'Korrigeringsfaktor GD'!Z$1,FALSE),
"")</f>
        <v>4.5394674157303374</v>
      </c>
      <c r="AA138" s="18">
        <f>IFERROR(
                  Andel_oberoende_av_klimat*VLOOKUP($A138,Leveranser_per_nät,'Leveranser per nät'!AA$1,FALSE)
               +Andel_beroende_av_klimat*VLOOKUP($A138,Leveranser_per_nät,'Leveranser per nät'!AA$1,FALSE)/VLOOKUP($B138,Korrigeringsfaktor_GD,'Korrigeringsfaktor GD'!AA$1,FALSE),
"")</f>
        <v>4.4540209496194274</v>
      </c>
      <c r="AB138" s="18">
        <f>IFERROR(
                  Andel_oberoende_av_klimat*VLOOKUP($A138,Leveranser_per_nät,'Leveranser per nät'!AB$1,FALSE)
               +Andel_beroende_av_klimat*VLOOKUP($A138,Leveranser_per_nät,'Leveranser per nät'!AB$1,FALSE)/VLOOKUP($B138,Korrigeringsfaktor_GD,'Korrigeringsfaktor GD'!AB$1,FALSE),
"")</f>
        <v>4.4790740157480311</v>
      </c>
      <c r="AC138" s="18">
        <f>IFERROR(
                  Andel_oberoende_av_klimat*VLOOKUP($A138,Leveranser_per_nät,'Leveranser per nät'!AC$1,FALSE)
               +Andel_beroende_av_klimat*VLOOKUP($A138,Leveranser_per_nät,'Leveranser per nät'!AC$1,FALSE)/VLOOKUP($B138,Korrigeringsfaktor_GD,'Korrigeringsfaktor GD'!AC$1,FALSE),
"")</f>
        <v>4.4238117647058814</v>
      </c>
      <c r="AD138">
        <v>44.570999999999998</v>
      </c>
    </row>
    <row r="139" spans="1:30" x14ac:dyDescent="0.25">
      <c r="A139" t="s">
        <v>148</v>
      </c>
      <c r="B139" t="s">
        <v>148</v>
      </c>
      <c r="C139" s="18">
        <f>IFERROR(
                  Andel_oberoende_av_klimat*VLOOKUP($A139,Leveranser_per_nät,'Leveranser per nät'!C$1,FALSE)
               +Andel_beroende_av_klimat*VLOOKUP($A139,Leveranser_per_nät,'Leveranser per nät'!C$1,FALSE)/VLOOKUP($B139,Korrigeringsfaktor_GD,'Korrigeringsfaktor GD'!C$1,FALSE),
"")</f>
        <v>0</v>
      </c>
      <c r="D139" s="18">
        <f>IFERROR(
                  Andel_oberoende_av_klimat*VLOOKUP($A139,Leveranser_per_nät,'Leveranser per nät'!D$1,FALSE)
               +Andel_beroende_av_klimat*VLOOKUP($A139,Leveranser_per_nät,'Leveranser per nät'!D$1,FALSE)/VLOOKUP($B139,Korrigeringsfaktor_GD,'Korrigeringsfaktor GD'!D$1,FALSE),
"")</f>
        <v>0</v>
      </c>
      <c r="E139" s="18">
        <f>IFERROR(
                  Andel_oberoende_av_klimat*VLOOKUP($A139,Leveranser_per_nät,'Leveranser per nät'!E$1,FALSE)
               +Andel_beroende_av_klimat*VLOOKUP($A139,Leveranser_per_nät,'Leveranser per nät'!E$1,FALSE)/VLOOKUP($B139,Korrigeringsfaktor_GD,'Korrigeringsfaktor GD'!E$1,FALSE),
"")</f>
        <v>0</v>
      </c>
      <c r="F139" s="18">
        <f>IFERROR(
                  Andel_oberoende_av_klimat*VLOOKUP($A139,Leveranser_per_nät,'Leveranser per nät'!F$1,FALSE)
               +Andel_beroende_av_klimat*VLOOKUP($A139,Leveranser_per_nät,'Leveranser per nät'!F$1,FALSE)/VLOOKUP($B139,Korrigeringsfaktor_GD,'Korrigeringsfaktor GD'!F$1,FALSE),
"")</f>
        <v>2.0893617021276594</v>
      </c>
      <c r="G139" s="18">
        <f>IFERROR(
                  Andel_oberoende_av_klimat*VLOOKUP($A139,Leveranser_per_nät,'Leveranser per nät'!G$1,FALSE)
               +Andel_beroende_av_klimat*VLOOKUP($A139,Leveranser_per_nät,'Leveranser per nät'!G$1,FALSE)/VLOOKUP($B139,Korrigeringsfaktor_GD,'Korrigeringsfaktor GD'!G$1,FALSE),
"")</f>
        <v>12.253488372093024</v>
      </c>
      <c r="H139" s="18">
        <f>IFERROR(
                  Andel_oberoende_av_klimat*VLOOKUP($A139,Leveranser_per_nät,'Leveranser per nät'!H$1,FALSE)
               +Andel_beroende_av_klimat*VLOOKUP($A139,Leveranser_per_nät,'Leveranser per nät'!H$1,FALSE)/VLOOKUP($B139,Korrigeringsfaktor_GD,'Korrigeringsfaktor GD'!H$1,FALSE),
"")</f>
        <v>18</v>
      </c>
      <c r="I139" s="18">
        <f>IFERROR(
                  Andel_oberoende_av_klimat*VLOOKUP($A139,Leveranser_per_nät,'Leveranser per nät'!I$1,FALSE)
               +Andel_beroende_av_klimat*VLOOKUP($A139,Leveranser_per_nät,'Leveranser per nät'!I$1,FALSE)/VLOOKUP($B139,Korrigeringsfaktor_GD,'Korrigeringsfaktor GD'!I$1,FALSE),
"")</f>
        <v>20.544693617021277</v>
      </c>
      <c r="J139" s="18">
        <f>IFERROR(
                  Andel_oberoende_av_klimat*VLOOKUP($A139,Leveranser_per_nät,'Leveranser per nät'!J$1,FALSE)
               +Andel_beroende_av_klimat*VLOOKUP($A139,Leveranser_per_nät,'Leveranser per nät'!J$1,FALSE)/VLOOKUP($B139,Korrigeringsfaktor_GD,'Korrigeringsfaktor GD'!J$1,FALSE),
"")</f>
        <v>22.571914285714286</v>
      </c>
      <c r="K139" s="18">
        <f>IFERROR(
                  Andel_oberoende_av_klimat*VLOOKUP($A139,Leveranser_per_nät,'Leveranser per nät'!K$1,FALSE)
               +Andel_beroende_av_klimat*VLOOKUP($A139,Leveranser_per_nät,'Leveranser per nät'!K$1,FALSE)/VLOOKUP($B139,Korrigeringsfaktor_GD,'Korrigeringsfaktor GD'!K$1,FALSE),
"")</f>
        <v>24.513257142857142</v>
      </c>
      <c r="L139" s="18">
        <f>IFERROR(
                  Andel_oberoende_av_klimat*VLOOKUP($A139,Leveranser_per_nät,'Leveranser per nät'!L$1,FALSE)
               +Andel_beroende_av_klimat*VLOOKUP($A139,Leveranser_per_nät,'Leveranser per nät'!L$1,FALSE)/VLOOKUP($B139,Korrigeringsfaktor_GD,'Korrigeringsfaktor GD'!L$1,FALSE),
"")</f>
        <v>25.058399999999999</v>
      </c>
      <c r="M139" s="18">
        <f>IFERROR(
                  Andel_oberoende_av_klimat*VLOOKUP($A139,Leveranser_per_nät,'Leveranser per nät'!M$1,FALSE)
               +Andel_beroende_av_klimat*VLOOKUP($A139,Leveranser_per_nät,'Leveranser per nät'!M$1,FALSE)/VLOOKUP($B139,Korrigeringsfaktor_GD,'Korrigeringsfaktor GD'!M$1,FALSE),
"")</f>
        <v>27.517895652173912</v>
      </c>
      <c r="N139" s="18">
        <f>IFERROR(
                  Andel_oberoende_av_klimat*VLOOKUP($A139,Leveranser_per_nät,'Leveranser per nät'!N$1,FALSE)
               +Andel_beroende_av_klimat*VLOOKUP($A139,Leveranser_per_nät,'Leveranser per nät'!N$1,FALSE)/VLOOKUP($B139,Korrigeringsfaktor_GD,'Korrigeringsfaktor GD'!N$1,FALSE),
"")</f>
        <v>28.977133333333335</v>
      </c>
      <c r="O139" s="18">
        <f>IFERROR(
                  Andel_oberoende_av_klimat*VLOOKUP($A139,Leveranser_per_nät,'Leveranser per nät'!O$1,FALSE)
               +Andel_beroende_av_klimat*VLOOKUP($A139,Leveranser_per_nät,'Leveranser per nät'!O$1,FALSE)/VLOOKUP($B139,Korrigeringsfaktor_GD,'Korrigeringsfaktor GD'!O$1,FALSE),
"")</f>
        <v>29.505451685393254</v>
      </c>
      <c r="P139" s="18">
        <f>IFERROR(
                  Andel_oberoende_av_klimat*VLOOKUP($A139,Leveranser_per_nät,'Leveranser per nät'!P$1,FALSE)
               +Andel_beroende_av_klimat*VLOOKUP($A139,Leveranser_per_nät,'Leveranser per nät'!P$1,FALSE)/VLOOKUP($B139,Korrigeringsfaktor_GD,'Korrigeringsfaktor GD'!P$1,FALSE),
"")</f>
        <v>30.59187142857143</v>
      </c>
      <c r="Q139" s="18">
        <f>IFERROR(
                  Andel_oberoende_av_klimat*VLOOKUP($A139,Leveranser_per_nät,'Leveranser per nät'!Q$1,FALSE)
               +Andel_beroende_av_klimat*VLOOKUP($A139,Leveranser_per_nät,'Leveranser per nät'!Q$1,FALSE)/VLOOKUP($B139,Korrigeringsfaktor_GD,'Korrigeringsfaktor GD'!Q$1,FALSE),
"")</f>
        <v>32.271988034188041</v>
      </c>
      <c r="R139" s="18">
        <f>IFERROR(
                  Andel_oberoende_av_klimat*VLOOKUP($A139,Leveranser_per_nät,'Leveranser per nät'!R$1,FALSE)
               +Andel_beroende_av_klimat*VLOOKUP($A139,Leveranser_per_nät,'Leveranser per nät'!R$1,FALSE)/VLOOKUP($B139,Korrigeringsfaktor_GD,'Korrigeringsfaktor GD'!R$1,FALSE),
"")</f>
        <v>31.681307692307691</v>
      </c>
      <c r="S139" s="18">
        <f>IFERROR(
                  Andel_oberoende_av_klimat*VLOOKUP($A139,Leveranser_per_nät,'Leveranser per nät'!S$1,FALSE)
               +Andel_beroende_av_klimat*VLOOKUP($A139,Leveranser_per_nät,'Leveranser per nät'!S$1,FALSE)/VLOOKUP($B139,Korrigeringsfaktor_GD,'Korrigeringsfaktor GD'!S$1,FALSE),
"")</f>
        <v>32</v>
      </c>
      <c r="T139" s="18">
        <f>IFERROR(
                  Andel_oberoende_av_klimat*VLOOKUP($A139,Leveranser_per_nät,'Leveranser per nät'!T$1,FALSE)
               +Andel_beroende_av_klimat*VLOOKUP($A139,Leveranser_per_nät,'Leveranser per nät'!T$1,FALSE)/VLOOKUP($B139,Korrigeringsfaktor_GD,'Korrigeringsfaktor GD'!T$1,FALSE),
"")</f>
        <v>32.403385714285719</v>
      </c>
      <c r="U139" s="18">
        <f>IFERROR(
                  Andel_oberoende_av_klimat*VLOOKUP($A139,Leveranser_per_nät,'Leveranser per nät'!U$1,FALSE)
               +Andel_beroende_av_klimat*VLOOKUP($A139,Leveranser_per_nät,'Leveranser per nät'!U$1,FALSE)/VLOOKUP($B139,Korrigeringsfaktor_GD,'Korrigeringsfaktor GD'!U$1,FALSE),
"")</f>
        <v>33.502448275862065</v>
      </c>
      <c r="V139" s="18">
        <f>IFERROR(
                  Andel_oberoende_av_klimat*VLOOKUP($A139,Leveranser_per_nät,'Leveranser per nät'!V$1,FALSE)
               +Andel_beroende_av_klimat*VLOOKUP($A139,Leveranser_per_nät,'Leveranser per nät'!V$1,FALSE)/VLOOKUP($B139,Korrigeringsfaktor_GD,'Korrigeringsfaktor GD'!V$1,FALSE),
"")</f>
        <v>33.357861538461535</v>
      </c>
      <c r="W139" s="18">
        <f>IFERROR(
                  Andel_oberoende_av_klimat*VLOOKUP($A139,Leveranser_per_nät,'Leveranser per nät'!W$1,FALSE)
               +Andel_beroende_av_klimat*VLOOKUP($A139,Leveranser_per_nät,'Leveranser per nät'!W$1,FALSE)/VLOOKUP($B139,Korrigeringsfaktor_GD,'Korrigeringsfaktor GD'!W$1,FALSE),
"")</f>
        <v>35.016231578947369</v>
      </c>
      <c r="X139" s="18">
        <f>IFERROR(
                  Andel_oberoende_av_klimat*VLOOKUP($A139,Leveranser_per_nät,'Leveranser per nät'!X$1,FALSE)
               +Andel_beroende_av_klimat*VLOOKUP($A139,Leveranser_per_nät,'Leveranser per nät'!X$1,FALSE)/VLOOKUP($B139,Korrigeringsfaktor_GD,'Korrigeringsfaktor GD'!X$1,FALSE),
"")</f>
        <v>36.022886956521745</v>
      </c>
      <c r="Y139" s="18">
        <f>IFERROR(
                  Andel_oberoende_av_klimat*VLOOKUP($A139,Leveranser_per_nät,'Leveranser per nät'!Y$1,FALSE)
               +Andel_beroende_av_klimat*VLOOKUP($A139,Leveranser_per_nät,'Leveranser per nät'!Y$1,FALSE)/VLOOKUP($B139,Korrigeringsfaktor_GD,'Korrigeringsfaktor GD'!Y$1,FALSE),
"")</f>
        <v>35.71560430107526</v>
      </c>
      <c r="Z139" s="18">
        <f>IFERROR(
                  Andel_oberoende_av_klimat*VLOOKUP($A139,Leveranser_per_nät,'Leveranser per nät'!Z$1,FALSE)
               +Andel_beroende_av_klimat*VLOOKUP($A139,Leveranser_per_nät,'Leveranser per nät'!Z$1,FALSE)/VLOOKUP($B139,Korrigeringsfaktor_GD,'Korrigeringsfaktor GD'!Z$1,FALSE),
"")</f>
        <v>32.965299999999999</v>
      </c>
      <c r="AA139" s="18">
        <f>IFERROR(
                  Andel_oberoende_av_klimat*VLOOKUP($A139,Leveranser_per_nät,'Leveranser per nät'!AA$1,FALSE)
               +Andel_beroende_av_klimat*VLOOKUP($A139,Leveranser_per_nät,'Leveranser per nät'!AA$1,FALSE)/VLOOKUP($B139,Korrigeringsfaktor_GD,'Korrigeringsfaktor GD'!AA$1,FALSE),
"")</f>
        <v>34.108146158812133</v>
      </c>
      <c r="AB139" s="18">
        <f>IFERROR(
                  Andel_oberoende_av_klimat*VLOOKUP($A139,Leveranser_per_nät,'Leveranser per nät'!AB$1,FALSE)
               +Andel_beroende_av_klimat*VLOOKUP($A139,Leveranser_per_nät,'Leveranser per nät'!AB$1,FALSE)/VLOOKUP($B139,Korrigeringsfaktor_GD,'Korrigeringsfaktor GD'!AB$1,FALSE),
"")</f>
        <v>35.861707569721119</v>
      </c>
      <c r="AC139" s="18">
        <f>IFERROR(
                  Andel_oberoende_av_klimat*VLOOKUP($A139,Leveranser_per_nät,'Leveranser per nät'!AC$1,FALSE)
               +Andel_beroende_av_klimat*VLOOKUP($A139,Leveranser_per_nät,'Leveranser per nät'!AC$1,FALSE)/VLOOKUP($B139,Korrigeringsfaktor_GD,'Korrigeringsfaktor GD'!AC$1,FALSE),
"")</f>
        <v>35.190019491525419</v>
      </c>
      <c r="AD139">
        <v>33.786999999999999</v>
      </c>
    </row>
    <row r="140" spans="1:30" x14ac:dyDescent="0.25">
      <c r="A140" s="4" t="s">
        <v>400</v>
      </c>
      <c r="B140" t="s">
        <v>372</v>
      </c>
      <c r="C140" s="18">
        <f>IFERROR(
                  Andel_oberoende_av_klimat*VLOOKUP($A140,Leveranser_per_nät,'Leveranser per nät'!C$1,FALSE)
               +Andel_beroende_av_klimat*VLOOKUP($A140,Leveranser_per_nät,'Leveranser per nät'!C$1,FALSE)/VLOOKUP($B140,Korrigeringsfaktor_GD,'Korrigeringsfaktor GD'!C$1,FALSE),
"")</f>
        <v>1.7256982456140351</v>
      </c>
      <c r="D140" s="18">
        <f>IFERROR(
                  Andel_oberoende_av_klimat*VLOOKUP($A140,Leveranser_per_nät,'Leveranser per nät'!D$1,FALSE)
               +Andel_beroende_av_klimat*VLOOKUP($A140,Leveranser_per_nät,'Leveranser per nät'!D$1,FALSE)/VLOOKUP($B140,Korrigeringsfaktor_GD,'Korrigeringsfaktor GD'!D$1,FALSE),
"")</f>
        <v>0</v>
      </c>
      <c r="E140" s="18">
        <f>IFERROR(
                  Andel_oberoende_av_klimat*VLOOKUP($A140,Leveranser_per_nät,'Leveranser per nät'!E$1,FALSE)
               +Andel_beroende_av_klimat*VLOOKUP($A140,Leveranser_per_nät,'Leveranser per nät'!E$1,FALSE)/VLOOKUP($B140,Korrigeringsfaktor_GD,'Korrigeringsfaktor GD'!E$1,FALSE),
"")</f>
        <v>0</v>
      </c>
      <c r="F140" s="18">
        <f>IFERROR(
                  Andel_oberoende_av_klimat*VLOOKUP($A140,Leveranser_per_nät,'Leveranser per nät'!F$1,FALSE)
               +Andel_beroende_av_klimat*VLOOKUP($A140,Leveranser_per_nät,'Leveranser per nät'!F$1,FALSE)/VLOOKUP($B140,Korrigeringsfaktor_GD,'Korrigeringsfaktor GD'!F$1,FALSE),
"")</f>
        <v>0</v>
      </c>
      <c r="G140" s="18">
        <f>IFERROR(
                  Andel_oberoende_av_klimat*VLOOKUP($A140,Leveranser_per_nät,'Leveranser per nät'!G$1,FALSE)
               +Andel_beroende_av_klimat*VLOOKUP($A140,Leveranser_per_nät,'Leveranser per nät'!G$1,FALSE)/VLOOKUP($B140,Korrigeringsfaktor_GD,'Korrigeringsfaktor GD'!G$1,FALSE),
"")</f>
        <v>0</v>
      </c>
      <c r="H140" s="18">
        <f>IFERROR(
                  Andel_oberoende_av_klimat*VLOOKUP($A140,Leveranser_per_nät,'Leveranser per nät'!H$1,FALSE)
               +Andel_beroende_av_klimat*VLOOKUP($A140,Leveranser_per_nät,'Leveranser per nät'!H$1,FALSE)/VLOOKUP($B140,Korrigeringsfaktor_GD,'Korrigeringsfaktor GD'!H$1,FALSE),
"")</f>
        <v>0</v>
      </c>
      <c r="I140" s="18">
        <f>IFERROR(
                  Andel_oberoende_av_klimat*VLOOKUP($A140,Leveranser_per_nät,'Leveranser per nät'!I$1,FALSE)
               +Andel_beroende_av_klimat*VLOOKUP($A140,Leveranser_per_nät,'Leveranser per nät'!I$1,FALSE)/VLOOKUP($B140,Korrigeringsfaktor_GD,'Korrigeringsfaktor GD'!I$1,FALSE),
"")</f>
        <v>0</v>
      </c>
      <c r="J140" s="18">
        <f>IFERROR(
                  Andel_oberoende_av_klimat*VLOOKUP($A140,Leveranser_per_nät,'Leveranser per nät'!J$1,FALSE)
               +Andel_beroende_av_klimat*VLOOKUP($A140,Leveranser_per_nät,'Leveranser per nät'!J$1,FALSE)/VLOOKUP($B140,Korrigeringsfaktor_GD,'Korrigeringsfaktor GD'!J$1,FALSE),
"")</f>
        <v>0</v>
      </c>
      <c r="K140" s="18">
        <f>IFERROR(
                  Andel_oberoende_av_klimat*VLOOKUP($A140,Leveranser_per_nät,'Leveranser per nät'!K$1,FALSE)
               +Andel_beroende_av_klimat*VLOOKUP($A140,Leveranser_per_nät,'Leveranser per nät'!K$1,FALSE)/VLOOKUP($B140,Korrigeringsfaktor_GD,'Korrigeringsfaktor GD'!K$1,FALSE),
"")</f>
        <v>0</v>
      </c>
      <c r="L140" s="18">
        <f>IFERROR(
                  Andel_oberoende_av_klimat*VLOOKUP($A140,Leveranser_per_nät,'Leveranser per nät'!L$1,FALSE)
               +Andel_beroende_av_klimat*VLOOKUP($A140,Leveranser_per_nät,'Leveranser per nät'!L$1,FALSE)/VLOOKUP($B140,Korrigeringsfaktor_GD,'Korrigeringsfaktor GD'!L$1,FALSE),
"")</f>
        <v>0</v>
      </c>
      <c r="M140" s="18">
        <f>IFERROR(
                  Andel_oberoende_av_klimat*VLOOKUP($A140,Leveranser_per_nät,'Leveranser per nät'!M$1,FALSE)
               +Andel_beroende_av_klimat*VLOOKUP($A140,Leveranser_per_nät,'Leveranser per nät'!M$1,FALSE)/VLOOKUP($B140,Korrigeringsfaktor_GD,'Korrigeringsfaktor GD'!M$1,FALSE),
"")</f>
        <v>0</v>
      </c>
      <c r="N140" s="18">
        <f>IFERROR(
                  Andel_oberoende_av_klimat*VLOOKUP($A140,Leveranser_per_nät,'Leveranser per nät'!N$1,FALSE)
               +Andel_beroende_av_klimat*VLOOKUP($A140,Leveranser_per_nät,'Leveranser per nät'!N$1,FALSE)/VLOOKUP($B140,Korrigeringsfaktor_GD,'Korrigeringsfaktor GD'!N$1,FALSE),
"")</f>
        <v>0</v>
      </c>
      <c r="O140" s="18">
        <f>IFERROR(
                  Andel_oberoende_av_klimat*VLOOKUP($A140,Leveranser_per_nät,'Leveranser per nät'!O$1,FALSE)
               +Andel_beroende_av_klimat*VLOOKUP($A140,Leveranser_per_nät,'Leveranser per nät'!O$1,FALSE)/VLOOKUP($B140,Korrigeringsfaktor_GD,'Korrigeringsfaktor GD'!O$1,FALSE),
"")</f>
        <v>0</v>
      </c>
      <c r="P140" s="18">
        <f>IFERROR(
                  Andel_oberoende_av_klimat*VLOOKUP($A140,Leveranser_per_nät,'Leveranser per nät'!P$1,FALSE)
               +Andel_beroende_av_klimat*VLOOKUP($A140,Leveranser_per_nät,'Leveranser per nät'!P$1,FALSE)/VLOOKUP($B140,Korrigeringsfaktor_GD,'Korrigeringsfaktor GD'!P$1,FALSE),
"")</f>
        <v>0</v>
      </c>
      <c r="Q140" s="18">
        <f>IFERROR(
                  Andel_oberoende_av_klimat*VLOOKUP($A140,Leveranser_per_nät,'Leveranser per nät'!Q$1,FALSE)
               +Andel_beroende_av_klimat*VLOOKUP($A140,Leveranser_per_nät,'Leveranser per nät'!Q$1,FALSE)/VLOOKUP($B140,Korrigeringsfaktor_GD,'Korrigeringsfaktor GD'!Q$1,FALSE),
"")</f>
        <v>1.6959726495726495</v>
      </c>
      <c r="R140" s="18">
        <f>IFERROR(
                  Andel_oberoende_av_klimat*VLOOKUP($A140,Leveranser_per_nät,'Leveranser per nät'!R$1,FALSE)
               +Andel_beroende_av_klimat*VLOOKUP($A140,Leveranser_per_nät,'Leveranser per nät'!R$1,FALSE)/VLOOKUP($B140,Korrigeringsfaktor_GD,'Korrigeringsfaktor GD'!R$1,FALSE),
"")</f>
        <v>1.7622</v>
      </c>
      <c r="S140" s="18">
        <f>IFERROR(
                  Andel_oberoende_av_klimat*VLOOKUP($A140,Leveranser_per_nät,'Leveranser per nät'!S$1,FALSE)
               +Andel_beroende_av_klimat*VLOOKUP($A140,Leveranser_per_nät,'Leveranser per nät'!S$1,FALSE)/VLOOKUP($B140,Korrigeringsfaktor_GD,'Korrigeringsfaktor GD'!S$1,FALSE),
"")</f>
        <v>1.8739215686274509</v>
      </c>
      <c r="T140" s="18">
        <f>IFERROR(
                  Andel_oberoende_av_klimat*VLOOKUP($A140,Leveranser_per_nät,'Leveranser per nät'!T$1,FALSE)
               +Andel_beroende_av_klimat*VLOOKUP($A140,Leveranser_per_nät,'Leveranser per nät'!T$1,FALSE)/VLOOKUP($B140,Korrigeringsfaktor_GD,'Korrigeringsfaktor GD'!T$1,FALSE),
"")</f>
        <v>1.8280000000000003</v>
      </c>
      <c r="U140" s="18">
        <f>IFERROR(
                  Andel_oberoende_av_klimat*VLOOKUP($A140,Leveranser_per_nät,'Leveranser per nät'!U$1,FALSE)
               +Andel_beroende_av_klimat*VLOOKUP($A140,Leveranser_per_nät,'Leveranser per nät'!U$1,FALSE)/VLOOKUP($B140,Korrigeringsfaktor_GD,'Korrigeringsfaktor GD'!U$1,FALSE),
"")</f>
        <v>1.7906666666666666</v>
      </c>
      <c r="V140" s="18">
        <f>IFERROR(
                  Andel_oberoende_av_klimat*VLOOKUP($A140,Leveranser_per_nät,'Leveranser per nät'!V$1,FALSE)
               +Andel_beroende_av_klimat*VLOOKUP($A140,Leveranser_per_nät,'Leveranser per nät'!V$1,FALSE)/VLOOKUP($B140,Korrigeringsfaktor_GD,'Korrigeringsfaktor GD'!V$1,FALSE),
"")</f>
        <v>1.8176923076923075</v>
      </c>
      <c r="W140" s="18">
        <f>IFERROR(
                  Andel_oberoende_av_klimat*VLOOKUP($A140,Leveranser_per_nät,'Leveranser per nät'!W$1,FALSE)
               +Andel_beroende_av_klimat*VLOOKUP($A140,Leveranser_per_nät,'Leveranser per nät'!W$1,FALSE)/VLOOKUP($B140,Korrigeringsfaktor_GD,'Korrigeringsfaktor GD'!W$1,FALSE),
"")</f>
        <v>1.8323702127659578</v>
      </c>
      <c r="X140" s="18">
        <f>IFERROR(
                  Andel_oberoende_av_klimat*VLOOKUP($A140,Leveranser_per_nät,'Leveranser per nät'!X$1,FALSE)
               +Andel_beroende_av_klimat*VLOOKUP($A140,Leveranser_per_nät,'Leveranser per nät'!X$1,FALSE)/VLOOKUP($B140,Korrigeringsfaktor_GD,'Korrigeringsfaktor GD'!X$1,FALSE),
"")</f>
        <v>1.8386382978723406</v>
      </c>
      <c r="Y140" s="18">
        <f>IFERROR(
                  Andel_oberoende_av_klimat*VLOOKUP($A140,Leveranser_per_nät,'Leveranser per nät'!Y$1,FALSE)
               +Andel_beroende_av_klimat*VLOOKUP($A140,Leveranser_per_nät,'Leveranser per nät'!Y$1,FALSE)/VLOOKUP($B140,Korrigeringsfaktor_GD,'Korrigeringsfaktor GD'!Y$1,FALSE),
"")</f>
        <v>1.7901888888888888</v>
      </c>
      <c r="Z140" s="18">
        <f>IFERROR(
                  Andel_oberoende_av_klimat*VLOOKUP($A140,Leveranser_per_nät,'Leveranser per nät'!Z$1,FALSE)
               +Andel_beroende_av_klimat*VLOOKUP($A140,Leveranser_per_nät,'Leveranser per nät'!Z$1,FALSE)/VLOOKUP($B140,Korrigeringsfaktor_GD,'Korrigeringsfaktor GD'!Z$1,FALSE),
"")</f>
        <v>0.7641444444444444</v>
      </c>
      <c r="AA140" s="18">
        <f>IFERROR(
                  Andel_oberoende_av_klimat*VLOOKUP($A140,Leveranser_per_nät,'Leveranser per nät'!AA$1,FALSE)
               +Andel_beroende_av_klimat*VLOOKUP($A140,Leveranser_per_nät,'Leveranser per nät'!AA$1,FALSE)/VLOOKUP($B140,Korrigeringsfaktor_GD,'Korrigeringsfaktor GD'!AA$1,FALSE),
"")</f>
        <v>1.9710281249999997</v>
      </c>
      <c r="AB140" s="18">
        <f>IFERROR(
                  Andel_oberoende_av_klimat*VLOOKUP($A140,Leveranser_per_nät,'Leveranser per nät'!AB$1,FALSE)
               +Andel_beroende_av_klimat*VLOOKUP($A140,Leveranser_per_nät,'Leveranser per nät'!AB$1,FALSE)/VLOOKUP($B140,Korrigeringsfaktor_GD,'Korrigeringsfaktor GD'!AB$1,FALSE),
"")</f>
        <v>1.9550890410958905</v>
      </c>
      <c r="AC140" s="18">
        <f>IFERROR(
                  Andel_oberoende_av_klimat*VLOOKUP($A140,Leveranser_per_nät,'Leveranser per nät'!AC$1,FALSE)
               +Andel_beroende_av_klimat*VLOOKUP($A140,Leveranser_per_nät,'Leveranser per nät'!AC$1,FALSE)/VLOOKUP($B140,Korrigeringsfaktor_GD,'Korrigeringsfaktor GD'!AC$1,FALSE),
"")</f>
        <v>2.0158309650053026</v>
      </c>
      <c r="AD140">
        <v>163.755</v>
      </c>
    </row>
    <row r="141" spans="1:30" x14ac:dyDescent="0.25">
      <c r="A141" t="s">
        <v>116</v>
      </c>
      <c r="B141" t="s">
        <v>116</v>
      </c>
      <c r="C141" s="18">
        <f>IFERROR(
                  Andel_oberoende_av_klimat*VLOOKUP($A141,Leveranser_per_nät,'Leveranser per nät'!C$1,FALSE)
               +Andel_beroende_av_klimat*VLOOKUP($A141,Leveranser_per_nät,'Leveranser per nät'!C$1,FALSE)/VLOOKUP($B141,Korrigeringsfaktor_GD,'Korrigeringsfaktor GD'!C$1,FALSE),
"")</f>
        <v>0</v>
      </c>
      <c r="D141" s="18">
        <f>IFERROR(
                  Andel_oberoende_av_klimat*VLOOKUP($A141,Leveranser_per_nät,'Leveranser per nät'!D$1,FALSE)
               +Andel_beroende_av_klimat*VLOOKUP($A141,Leveranser_per_nät,'Leveranser per nät'!D$1,FALSE)/VLOOKUP($B141,Korrigeringsfaktor_GD,'Korrigeringsfaktor GD'!D$1,FALSE),
"")</f>
        <v>0</v>
      </c>
      <c r="E141" s="18">
        <f>IFERROR(
                  Andel_oberoende_av_klimat*VLOOKUP($A141,Leveranser_per_nät,'Leveranser per nät'!E$1,FALSE)
               +Andel_beroende_av_klimat*VLOOKUP($A141,Leveranser_per_nät,'Leveranser per nät'!E$1,FALSE)/VLOOKUP($B141,Korrigeringsfaktor_GD,'Korrigeringsfaktor GD'!E$1,FALSE),
"")</f>
        <v>78.452475247524745</v>
      </c>
      <c r="F141" s="18">
        <f>IFERROR(
                  Andel_oberoende_av_klimat*VLOOKUP($A141,Leveranser_per_nät,'Leveranser per nät'!F$1,FALSE)
               +Andel_beroende_av_klimat*VLOOKUP($A141,Leveranser_per_nät,'Leveranser per nät'!F$1,FALSE)/VLOOKUP($B141,Korrigeringsfaktor_GD,'Korrigeringsfaktor GD'!F$1,FALSE),
"")</f>
        <v>72.537113402061863</v>
      </c>
      <c r="G141" s="18">
        <f>IFERROR(
                  Andel_oberoende_av_klimat*VLOOKUP($A141,Leveranser_per_nät,'Leveranser per nät'!G$1,FALSE)
               +Andel_beroende_av_klimat*VLOOKUP($A141,Leveranser_per_nät,'Leveranser per nät'!G$1,FALSE)/VLOOKUP($B141,Korrigeringsfaktor_GD,'Korrigeringsfaktor GD'!G$1,FALSE),
"")</f>
        <v>70.623595505617985</v>
      </c>
      <c r="H141" s="18">
        <f>IFERROR(
                  Andel_oberoende_av_klimat*VLOOKUP($A141,Leveranser_per_nät,'Leveranser per nät'!H$1,FALSE)
               +Andel_beroende_av_klimat*VLOOKUP($A141,Leveranser_per_nät,'Leveranser per nät'!H$1,FALSE)/VLOOKUP($B141,Korrigeringsfaktor_GD,'Korrigeringsfaktor GD'!H$1,FALSE),
"")</f>
        <v>81.431683168316837</v>
      </c>
      <c r="I141" s="18">
        <f>IFERROR(
                  Andel_oberoende_av_klimat*VLOOKUP($A141,Leveranser_per_nät,'Leveranser per nät'!I$1,FALSE)
               +Andel_beroende_av_klimat*VLOOKUP($A141,Leveranser_per_nät,'Leveranser per nät'!I$1,FALSE)/VLOOKUP($B141,Korrigeringsfaktor_GD,'Korrigeringsfaktor GD'!I$1,FALSE),
"")</f>
        <v>85.2</v>
      </c>
      <c r="J141" s="18">
        <f>IFERROR(
                  Andel_oberoende_av_klimat*VLOOKUP($A141,Leveranser_per_nät,'Leveranser per nät'!J$1,FALSE)
               +Andel_beroende_av_klimat*VLOOKUP($A141,Leveranser_per_nät,'Leveranser per nät'!J$1,FALSE)/VLOOKUP($B141,Korrigeringsfaktor_GD,'Korrigeringsfaktor GD'!J$1,FALSE),
"")</f>
        <v>87.641179381443308</v>
      </c>
      <c r="K141" s="18">
        <f>IFERROR(
                  Andel_oberoende_av_klimat*VLOOKUP($A141,Leveranser_per_nät,'Leveranser per nät'!K$1,FALSE)
               +Andel_beroende_av_klimat*VLOOKUP($A141,Leveranser_per_nät,'Leveranser per nät'!K$1,FALSE)/VLOOKUP($B141,Korrigeringsfaktor_GD,'Korrigeringsfaktor GD'!K$1,FALSE),
"")</f>
        <v>0</v>
      </c>
      <c r="L141" s="18">
        <f>IFERROR(
                  Andel_oberoende_av_klimat*VLOOKUP($A141,Leveranser_per_nät,'Leveranser per nät'!L$1,FALSE)
               +Andel_beroende_av_klimat*VLOOKUP($A141,Leveranser_per_nät,'Leveranser per nät'!L$1,FALSE)/VLOOKUP($B141,Korrigeringsfaktor_GD,'Korrigeringsfaktor GD'!L$1,FALSE),
"")</f>
        <v>127.08229148936172</v>
      </c>
      <c r="M141" s="18">
        <f>IFERROR(
                  Andel_oberoende_av_klimat*VLOOKUP($A141,Leveranser_per_nät,'Leveranser per nät'!M$1,FALSE)
               +Andel_beroende_av_klimat*VLOOKUP($A141,Leveranser_per_nät,'Leveranser per nät'!M$1,FALSE)/VLOOKUP($B141,Korrigeringsfaktor_GD,'Korrigeringsfaktor GD'!M$1,FALSE),
"")</f>
        <v>131.54782608695652</v>
      </c>
      <c r="N141" s="18">
        <f>IFERROR(
                  Andel_oberoende_av_klimat*VLOOKUP($A141,Leveranser_per_nät,'Leveranser per nät'!N$1,FALSE)
               +Andel_beroende_av_klimat*VLOOKUP($A141,Leveranser_per_nät,'Leveranser per nät'!N$1,FALSE)/VLOOKUP($B141,Korrigeringsfaktor_GD,'Korrigeringsfaktor GD'!N$1,FALSE),
"")</f>
        <v>136.7441935483871</v>
      </c>
      <c r="O141" s="18">
        <f>IFERROR(
                  Andel_oberoende_av_klimat*VLOOKUP($A141,Leveranser_per_nät,'Leveranser per nät'!O$1,FALSE)
               +Andel_beroende_av_klimat*VLOOKUP($A141,Leveranser_per_nät,'Leveranser per nät'!O$1,FALSE)/VLOOKUP($B141,Korrigeringsfaktor_GD,'Korrigeringsfaktor GD'!O$1,FALSE),
"")</f>
        <v>131.51538461538462</v>
      </c>
      <c r="P141" s="18">
        <f>IFERROR(
                  Andel_oberoende_av_klimat*VLOOKUP($A141,Leveranser_per_nät,'Leveranser per nät'!P$1,FALSE)
               +Andel_beroende_av_klimat*VLOOKUP($A141,Leveranser_per_nät,'Leveranser per nät'!P$1,FALSE)/VLOOKUP($B141,Korrigeringsfaktor_GD,'Korrigeringsfaktor GD'!P$1,FALSE),
"")</f>
        <v>136.96161616161615</v>
      </c>
      <c r="Q141" s="18">
        <f>IFERROR(
                  Andel_oberoende_av_klimat*VLOOKUP($A141,Leveranser_per_nät,'Leveranser per nät'!Q$1,FALSE)
               +Andel_beroende_av_klimat*VLOOKUP($A141,Leveranser_per_nät,'Leveranser per nät'!Q$1,FALSE)/VLOOKUP($B141,Korrigeringsfaktor_GD,'Korrigeringsfaktor GD'!Q$1,FALSE),
"")</f>
        <v>113.40521739130435</v>
      </c>
      <c r="R141" s="18">
        <f>IFERROR(
                  Andel_oberoende_av_klimat*VLOOKUP($A141,Leveranser_per_nät,'Leveranser per nät'!R$1,FALSE)
               +Andel_beroende_av_klimat*VLOOKUP($A141,Leveranser_per_nät,'Leveranser per nät'!R$1,FALSE)/VLOOKUP($B141,Korrigeringsfaktor_GD,'Korrigeringsfaktor GD'!R$1,FALSE),
"")</f>
        <v>67.657715384615386</v>
      </c>
      <c r="S141" s="18">
        <f>IFERROR(
                  Andel_oberoende_av_klimat*VLOOKUP($A141,Leveranser_per_nät,'Leveranser per nät'!S$1,FALSE)
               +Andel_beroende_av_klimat*VLOOKUP($A141,Leveranser_per_nät,'Leveranser per nät'!S$1,FALSE)/VLOOKUP($B141,Korrigeringsfaktor_GD,'Korrigeringsfaktor GD'!S$1,FALSE),
"")</f>
        <v>115</v>
      </c>
      <c r="T141" s="18">
        <f>IFERROR(
                  Andel_oberoende_av_klimat*VLOOKUP($A141,Leveranser_per_nät,'Leveranser per nät'!T$1,FALSE)
               +Andel_beroende_av_klimat*VLOOKUP($A141,Leveranser_per_nät,'Leveranser per nät'!T$1,FALSE)/VLOOKUP($B141,Korrigeringsfaktor_GD,'Korrigeringsfaktor GD'!T$1,FALSE),
"")</f>
        <v>110.24534736842106</v>
      </c>
      <c r="U141" s="18">
        <f>IFERROR(
                  Andel_oberoende_av_klimat*VLOOKUP($A141,Leveranser_per_nät,'Leveranser per nät'!U$1,FALSE)
               +Andel_beroende_av_klimat*VLOOKUP($A141,Leveranser_per_nät,'Leveranser per nät'!U$1,FALSE)/VLOOKUP($B141,Korrigeringsfaktor_GD,'Korrigeringsfaktor GD'!U$1,FALSE),
"")</f>
        <v>73.573488764044953</v>
      </c>
      <c r="V141" s="18">
        <f>IFERROR(
                  Andel_oberoende_av_klimat*VLOOKUP($A141,Leveranser_per_nät,'Leveranser per nät'!V$1,FALSE)
               +Andel_beroende_av_klimat*VLOOKUP($A141,Leveranser_per_nät,'Leveranser per nät'!V$1,FALSE)/VLOOKUP($B141,Korrigeringsfaktor_GD,'Korrigeringsfaktor GD'!V$1,FALSE),
"")</f>
        <v>69.543611111111119</v>
      </c>
      <c r="W141" s="18">
        <f>IFERROR(
                  Andel_oberoende_av_klimat*VLOOKUP($A141,Leveranser_per_nät,'Leveranser per nät'!W$1,FALSE)
               +Andel_beroende_av_klimat*VLOOKUP($A141,Leveranser_per_nät,'Leveranser per nät'!W$1,FALSE)/VLOOKUP($B141,Korrigeringsfaktor_GD,'Korrigeringsfaktor GD'!W$1,FALSE),
"")</f>
        <v>71.580690322580637</v>
      </c>
      <c r="X141" s="18">
        <f>IFERROR(
                  Andel_oberoende_av_klimat*VLOOKUP($A141,Leveranser_per_nät,'Leveranser per nät'!X$1,FALSE)
               +Andel_beroende_av_klimat*VLOOKUP($A141,Leveranser_per_nät,'Leveranser per nät'!X$1,FALSE)/VLOOKUP($B141,Korrigeringsfaktor_GD,'Korrigeringsfaktor GD'!X$1,FALSE),
"")</f>
        <v>69.2539829787234</v>
      </c>
      <c r="Y141" s="18">
        <f>IFERROR(
                  Andel_oberoende_av_klimat*VLOOKUP($A141,Leveranser_per_nät,'Leveranser per nät'!Y$1,FALSE)
               +Andel_beroende_av_klimat*VLOOKUP($A141,Leveranser_per_nät,'Leveranser per nät'!Y$1,FALSE)/VLOOKUP($B141,Korrigeringsfaktor_GD,'Korrigeringsfaktor GD'!Y$1,FALSE),
"")</f>
        <v>103.11652173913043</v>
      </c>
      <c r="Z141" s="18">
        <f>IFERROR(
                  Andel_oberoende_av_klimat*VLOOKUP($A141,Leveranser_per_nät,'Leveranser per nät'!Z$1,FALSE)
               +Andel_beroende_av_klimat*VLOOKUP($A141,Leveranser_per_nät,'Leveranser per nät'!Z$1,FALSE)/VLOOKUP($B141,Korrigeringsfaktor_GD,'Korrigeringsfaktor GD'!Z$1,FALSE),
"")</f>
        <v>94.271666666666661</v>
      </c>
      <c r="AA141" s="18">
        <f>IFERROR(
                  Andel_oberoende_av_klimat*VLOOKUP($A141,Leveranser_per_nät,'Leveranser per nät'!AA$1,FALSE)
               +Andel_beroende_av_klimat*VLOOKUP($A141,Leveranser_per_nät,'Leveranser per nät'!AA$1,FALSE)/VLOOKUP($B141,Korrigeringsfaktor_GD,'Korrigeringsfaktor GD'!AA$1,FALSE),
"")</f>
        <v>102.8431952894995</v>
      </c>
      <c r="AB141" s="18">
        <f>IFERROR(
                  Andel_oberoende_av_klimat*VLOOKUP($A141,Leveranser_per_nät,'Leveranser per nät'!AB$1,FALSE)
               +Andel_beroende_av_klimat*VLOOKUP($A141,Leveranser_per_nät,'Leveranser per nät'!AB$1,FALSE)/VLOOKUP($B141,Korrigeringsfaktor_GD,'Korrigeringsfaktor GD'!AB$1,FALSE),
"")</f>
        <v>42.344492532795158</v>
      </c>
      <c r="AC141" s="18">
        <f>IFERROR(
                  Andel_oberoende_av_klimat*VLOOKUP($A141,Leveranser_per_nät,'Leveranser per nät'!AC$1,FALSE)
               +Andel_beroende_av_klimat*VLOOKUP($A141,Leveranser_per_nät,'Leveranser per nät'!AC$1,FALSE)/VLOOKUP($B141,Korrigeringsfaktor_GD,'Korrigeringsfaktor GD'!AC$1,FALSE),
"")</f>
        <v>41.420602953586503</v>
      </c>
      <c r="AD141" t="e">
        <v>#N/A</v>
      </c>
    </row>
    <row r="142" spans="1:30" x14ac:dyDescent="0.25">
      <c r="A142" t="s">
        <v>325</v>
      </c>
      <c r="B142" t="s">
        <v>324</v>
      </c>
      <c r="C142" s="18">
        <f>IFERROR(
                  Andel_oberoende_av_klimat*VLOOKUP($A142,Leveranser_per_nät,'Leveranser per nät'!C$1,FALSE)
               +Andel_beroende_av_klimat*VLOOKUP($A142,Leveranser_per_nät,'Leveranser per nät'!C$1,FALSE)/VLOOKUP($B142,Korrigeringsfaktor_GD,'Korrigeringsfaktor GD'!C$1,FALSE),
"")</f>
        <v>0</v>
      </c>
      <c r="D142" s="18">
        <f>IFERROR(
                  Andel_oberoende_av_klimat*VLOOKUP($A142,Leveranser_per_nät,'Leveranser per nät'!D$1,FALSE)
               +Andel_beroende_av_klimat*VLOOKUP($A142,Leveranser_per_nät,'Leveranser per nät'!D$1,FALSE)/VLOOKUP($B142,Korrigeringsfaktor_GD,'Korrigeringsfaktor GD'!D$1,FALSE),
"")</f>
        <v>0</v>
      </c>
      <c r="E142" s="18">
        <f>IFERROR(
                  Andel_oberoende_av_klimat*VLOOKUP($A142,Leveranser_per_nät,'Leveranser per nät'!E$1,FALSE)
               +Andel_beroende_av_klimat*VLOOKUP($A142,Leveranser_per_nät,'Leveranser per nät'!E$1,FALSE)/VLOOKUP($B142,Korrigeringsfaktor_GD,'Korrigeringsfaktor GD'!E$1,FALSE),
"")</f>
        <v>0</v>
      </c>
      <c r="F142" s="18">
        <f>IFERROR(
                  Andel_oberoende_av_klimat*VLOOKUP($A142,Leveranser_per_nät,'Leveranser per nät'!F$1,FALSE)
               +Andel_beroende_av_klimat*VLOOKUP($A142,Leveranser_per_nät,'Leveranser per nät'!F$1,FALSE)/VLOOKUP($B142,Korrigeringsfaktor_GD,'Korrigeringsfaktor GD'!F$1,FALSE),
"")</f>
        <v>0</v>
      </c>
      <c r="G142" s="18">
        <f>IFERROR(
                  Andel_oberoende_av_klimat*VLOOKUP($A142,Leveranser_per_nät,'Leveranser per nät'!G$1,FALSE)
               +Andel_beroende_av_klimat*VLOOKUP($A142,Leveranser_per_nät,'Leveranser per nät'!G$1,FALSE)/VLOOKUP($B142,Korrigeringsfaktor_GD,'Korrigeringsfaktor GD'!G$1,FALSE),
"")</f>
        <v>0</v>
      </c>
      <c r="H142" s="18">
        <f>IFERROR(
                  Andel_oberoende_av_klimat*VLOOKUP($A142,Leveranser_per_nät,'Leveranser per nät'!H$1,FALSE)
               +Andel_beroende_av_klimat*VLOOKUP($A142,Leveranser_per_nät,'Leveranser per nät'!H$1,FALSE)/VLOOKUP($B142,Korrigeringsfaktor_GD,'Korrigeringsfaktor GD'!H$1,FALSE),
"")</f>
        <v>0</v>
      </c>
      <c r="I142" s="18">
        <f>IFERROR(
                  Andel_oberoende_av_klimat*VLOOKUP($A142,Leveranser_per_nät,'Leveranser per nät'!I$1,FALSE)
               +Andel_beroende_av_klimat*VLOOKUP($A142,Leveranser_per_nät,'Leveranser per nät'!I$1,FALSE)/VLOOKUP($B142,Korrigeringsfaktor_GD,'Korrigeringsfaktor GD'!I$1,FALSE),
"")</f>
        <v>0</v>
      </c>
      <c r="J142" s="18">
        <f>IFERROR(
                  Andel_oberoende_av_klimat*VLOOKUP($A142,Leveranser_per_nät,'Leveranser per nät'!J$1,FALSE)
               +Andel_beroende_av_klimat*VLOOKUP($A142,Leveranser_per_nät,'Leveranser per nät'!J$1,FALSE)/VLOOKUP($B142,Korrigeringsfaktor_GD,'Korrigeringsfaktor GD'!J$1,FALSE),
"")</f>
        <v>47.145037113402061</v>
      </c>
      <c r="K142" s="18">
        <f>IFERROR(
                  Andel_oberoende_av_klimat*VLOOKUP($A142,Leveranser_per_nät,'Leveranser per nät'!K$1,FALSE)
               +Andel_beroende_av_klimat*VLOOKUP($A142,Leveranser_per_nät,'Leveranser per nät'!K$1,FALSE)/VLOOKUP($B142,Korrigeringsfaktor_GD,'Korrigeringsfaktor GD'!K$1,FALSE),
"")</f>
        <v>50.524653608247419</v>
      </c>
      <c r="L142" s="18">
        <f>IFERROR(
                  Andel_oberoende_av_klimat*VLOOKUP($A142,Leveranser_per_nät,'Leveranser per nät'!L$1,FALSE)
               +Andel_beroende_av_klimat*VLOOKUP($A142,Leveranser_per_nät,'Leveranser per nät'!L$1,FALSE)/VLOOKUP($B142,Korrigeringsfaktor_GD,'Korrigeringsfaktor GD'!L$1,FALSE),
"")</f>
        <v>60.534278260869556</v>
      </c>
      <c r="M142" s="18">
        <f>IFERROR(
                  Andel_oberoende_av_klimat*VLOOKUP($A142,Leveranser_per_nät,'Leveranser per nät'!M$1,FALSE)
               +Andel_beroende_av_klimat*VLOOKUP($A142,Leveranser_per_nät,'Leveranser per nät'!M$1,FALSE)/VLOOKUP($B142,Korrigeringsfaktor_GD,'Korrigeringsfaktor GD'!M$1,FALSE),
"")</f>
        <v>55.155669565217387</v>
      </c>
      <c r="N142" s="18">
        <f>IFERROR(
                  Andel_oberoende_av_klimat*VLOOKUP($A142,Leveranser_per_nät,'Leveranser per nät'!N$1,FALSE)
               +Andel_beroende_av_klimat*VLOOKUP($A142,Leveranser_per_nät,'Leveranser per nät'!N$1,FALSE)/VLOOKUP($B142,Korrigeringsfaktor_GD,'Korrigeringsfaktor GD'!N$1,FALSE),
"")</f>
        <v>59.91366956521739</v>
      </c>
      <c r="O142" s="18">
        <f>IFERROR(
                  Andel_oberoende_av_klimat*VLOOKUP($A142,Leveranser_per_nät,'Leveranser per nät'!O$1,FALSE)
               +Andel_beroende_av_klimat*VLOOKUP($A142,Leveranser_per_nät,'Leveranser per nät'!O$1,FALSE)/VLOOKUP($B142,Korrigeringsfaktor_GD,'Korrigeringsfaktor GD'!O$1,FALSE),
"")</f>
        <v>55.08463076923077</v>
      </c>
      <c r="P142" s="18">
        <f>IFERROR(
                  Andel_oberoende_av_klimat*VLOOKUP($A142,Leveranser_per_nät,'Leveranser per nät'!P$1,FALSE)
               +Andel_beroende_av_klimat*VLOOKUP($A142,Leveranser_per_nät,'Leveranser per nät'!P$1,FALSE)/VLOOKUP($B142,Korrigeringsfaktor_GD,'Korrigeringsfaktor GD'!P$1,FALSE),
"")</f>
        <v>27.567271428571427</v>
      </c>
      <c r="Q142" s="18">
        <f>IFERROR(
                  Andel_oberoende_av_klimat*VLOOKUP($A142,Leveranser_per_nät,'Leveranser per nät'!Q$1,FALSE)
               +Andel_beroende_av_klimat*VLOOKUP($A142,Leveranser_per_nät,'Leveranser per nät'!Q$1,FALSE)/VLOOKUP($B142,Korrigeringsfaktor_GD,'Korrigeringsfaktor GD'!Q$1,FALSE),
"")</f>
        <v>0</v>
      </c>
      <c r="R142" s="18">
        <f>IFERROR(
                  Andel_oberoende_av_klimat*VLOOKUP($A142,Leveranser_per_nät,'Leveranser per nät'!R$1,FALSE)
               +Andel_beroende_av_klimat*VLOOKUP($A142,Leveranser_per_nät,'Leveranser per nät'!R$1,FALSE)/VLOOKUP($B142,Korrigeringsfaktor_GD,'Korrigeringsfaktor GD'!R$1,FALSE),
"")</f>
        <v>0</v>
      </c>
      <c r="S142" s="18" t="str">
        <f>IFERROR(
                  Andel_oberoende_av_klimat*VLOOKUP($A142,Leveranser_per_nät,'Leveranser per nät'!S$1,FALSE)
               +Andel_beroende_av_klimat*VLOOKUP($A142,Leveranser_per_nät,'Leveranser per nät'!S$1,FALSE)/VLOOKUP($B142,Korrigeringsfaktor_GD,'Korrigeringsfaktor GD'!S$1,FALSE),
"")</f>
        <v/>
      </c>
      <c r="T142" s="18" t="str">
        <f>IFERROR(
                  Andel_oberoende_av_klimat*VLOOKUP($A142,Leveranser_per_nät,'Leveranser per nät'!T$1,FALSE)
               +Andel_beroende_av_klimat*VLOOKUP($A142,Leveranser_per_nät,'Leveranser per nät'!T$1,FALSE)/VLOOKUP($B142,Korrigeringsfaktor_GD,'Korrigeringsfaktor GD'!T$1,FALSE),
"")</f>
        <v/>
      </c>
      <c r="U142" s="18" t="str">
        <f>IFERROR(
                  Andel_oberoende_av_klimat*VLOOKUP($A142,Leveranser_per_nät,'Leveranser per nät'!U$1,FALSE)
               +Andel_beroende_av_klimat*VLOOKUP($A142,Leveranser_per_nät,'Leveranser per nät'!U$1,FALSE)/VLOOKUP($B142,Korrigeringsfaktor_GD,'Korrigeringsfaktor GD'!U$1,FALSE),
"")</f>
        <v/>
      </c>
      <c r="V142" s="18" t="str">
        <f>IFERROR(
                  Andel_oberoende_av_klimat*VLOOKUP($A142,Leveranser_per_nät,'Leveranser per nät'!V$1,FALSE)
               +Andel_beroende_av_klimat*VLOOKUP($A142,Leveranser_per_nät,'Leveranser per nät'!V$1,FALSE)/VLOOKUP($B142,Korrigeringsfaktor_GD,'Korrigeringsfaktor GD'!V$1,FALSE),
"")</f>
        <v/>
      </c>
      <c r="W142" s="18" t="str">
        <f>IFERROR(
                  Andel_oberoende_av_klimat*VLOOKUP($A142,Leveranser_per_nät,'Leveranser per nät'!W$1,FALSE)
               +Andel_beroende_av_klimat*VLOOKUP($A142,Leveranser_per_nät,'Leveranser per nät'!W$1,FALSE)/VLOOKUP($B142,Korrigeringsfaktor_GD,'Korrigeringsfaktor GD'!W$1,FALSE),
"")</f>
        <v/>
      </c>
      <c r="X142" s="18" t="str">
        <f>IFERROR(
                  Andel_oberoende_av_klimat*VLOOKUP($A142,Leveranser_per_nät,'Leveranser per nät'!X$1,FALSE)
               +Andel_beroende_av_klimat*VLOOKUP($A142,Leveranser_per_nät,'Leveranser per nät'!X$1,FALSE)/VLOOKUP($B142,Korrigeringsfaktor_GD,'Korrigeringsfaktor GD'!X$1,FALSE),
"")</f>
        <v/>
      </c>
      <c r="Y142" s="18" t="str">
        <f>IFERROR(
                  Andel_oberoende_av_klimat*VLOOKUP($A142,Leveranser_per_nät,'Leveranser per nät'!Y$1,FALSE)
               +Andel_beroende_av_klimat*VLOOKUP($A142,Leveranser_per_nät,'Leveranser per nät'!Y$1,FALSE)/VLOOKUP($B142,Korrigeringsfaktor_GD,'Korrigeringsfaktor GD'!Y$1,FALSE),
"")</f>
        <v/>
      </c>
      <c r="Z142" s="18">
        <f>IFERROR(
                  Andel_oberoende_av_klimat*VLOOKUP($A142,Leveranser_per_nät,'Leveranser per nät'!Z$1,FALSE)
               +Andel_beroende_av_klimat*VLOOKUP($A142,Leveranser_per_nät,'Leveranser per nät'!Z$1,FALSE)/VLOOKUP($B142,Korrigeringsfaktor_GD,'Korrigeringsfaktor GD'!Z$1,FALSE),
"")</f>
        <v>0</v>
      </c>
      <c r="AA142" s="18" t="str">
        <f>IFERROR(
                  Andel_oberoende_av_klimat*VLOOKUP($A142,Leveranser_per_nät,'Leveranser per nät'!AA$1,FALSE)
               +Andel_beroende_av_klimat*VLOOKUP($A142,Leveranser_per_nät,'Leveranser per nät'!AA$1,FALSE)/VLOOKUP($B142,Korrigeringsfaktor_GD,'Korrigeringsfaktor GD'!AA$1,FALSE),
"")</f>
        <v/>
      </c>
      <c r="AB142" s="18">
        <f>IFERROR(
                  Andel_oberoende_av_klimat*VLOOKUP($A142,Leveranser_per_nät,'Leveranser per nät'!AB$1,FALSE)
               +Andel_beroende_av_klimat*VLOOKUP($A142,Leveranser_per_nät,'Leveranser per nät'!AB$1,FALSE)/VLOOKUP($B142,Korrigeringsfaktor_GD,'Korrigeringsfaktor GD'!AB$1,FALSE),
"")</f>
        <v>0</v>
      </c>
      <c r="AC142" s="18">
        <f>IFERROR(
                  Andel_oberoende_av_klimat*VLOOKUP($A142,Leveranser_per_nät,'Leveranser per nät'!AC$1,FALSE)
               +Andel_beroende_av_klimat*VLOOKUP($A142,Leveranser_per_nät,'Leveranser per nät'!AC$1,FALSE)/VLOOKUP($B142,Korrigeringsfaktor_GD,'Korrigeringsfaktor GD'!AC$1,FALSE),
"")</f>
        <v>0</v>
      </c>
      <c r="AD142">
        <v>823.99</v>
      </c>
    </row>
    <row r="143" spans="1:30" x14ac:dyDescent="0.25">
      <c r="A143" t="s">
        <v>349</v>
      </c>
      <c r="B143" t="s">
        <v>348</v>
      </c>
      <c r="C143" s="18">
        <f>IFERROR(
                  Andel_oberoende_av_klimat*VLOOKUP($A143,Leveranser_per_nät,'Leveranser per nät'!C$1,FALSE)
               +Andel_beroende_av_klimat*VLOOKUP($A143,Leveranser_per_nät,'Leveranser per nät'!C$1,FALSE)/VLOOKUP($B143,Korrigeringsfaktor_GD,'Korrigeringsfaktor GD'!C$1,FALSE),
"")</f>
        <v>0</v>
      </c>
      <c r="D143" s="18">
        <f>IFERROR(
                  Andel_oberoende_av_klimat*VLOOKUP($A143,Leveranser_per_nät,'Leveranser per nät'!D$1,FALSE)
               +Andel_beroende_av_klimat*VLOOKUP($A143,Leveranser_per_nät,'Leveranser per nät'!D$1,FALSE)/VLOOKUP($B143,Korrigeringsfaktor_GD,'Korrigeringsfaktor GD'!D$1,FALSE),
"")</f>
        <v>0</v>
      </c>
      <c r="E143" s="18">
        <f>IFERROR(
                  Andel_oberoende_av_klimat*VLOOKUP($A143,Leveranser_per_nät,'Leveranser per nät'!E$1,FALSE)
               +Andel_beroende_av_klimat*VLOOKUP($A143,Leveranser_per_nät,'Leveranser per nät'!E$1,FALSE)/VLOOKUP($B143,Korrigeringsfaktor_GD,'Korrigeringsfaktor GD'!E$1,FALSE),
"")</f>
        <v>0</v>
      </c>
      <c r="F143" s="18">
        <f>IFERROR(
                  Andel_oberoende_av_klimat*VLOOKUP($A143,Leveranser_per_nät,'Leveranser per nät'!F$1,FALSE)
               +Andel_beroende_av_klimat*VLOOKUP($A143,Leveranser_per_nät,'Leveranser per nät'!F$1,FALSE)/VLOOKUP($B143,Korrigeringsfaktor_GD,'Korrigeringsfaktor GD'!F$1,FALSE),
"")</f>
        <v>0</v>
      </c>
      <c r="G143" s="18">
        <f>IFERROR(
                  Andel_oberoende_av_klimat*VLOOKUP($A143,Leveranser_per_nät,'Leveranser per nät'!G$1,FALSE)
               +Andel_beroende_av_klimat*VLOOKUP($A143,Leveranser_per_nät,'Leveranser per nät'!G$1,FALSE)/VLOOKUP($B143,Korrigeringsfaktor_GD,'Korrigeringsfaktor GD'!G$1,FALSE),
"")</f>
        <v>0</v>
      </c>
      <c r="H143" s="18">
        <f>IFERROR(
                  Andel_oberoende_av_klimat*VLOOKUP($A143,Leveranser_per_nät,'Leveranser per nät'!H$1,FALSE)
               +Andel_beroende_av_klimat*VLOOKUP($A143,Leveranser_per_nät,'Leveranser per nät'!H$1,FALSE)/VLOOKUP($B143,Korrigeringsfaktor_GD,'Korrigeringsfaktor GD'!H$1,FALSE),
"")</f>
        <v>0</v>
      </c>
      <c r="I143" s="18">
        <f>IFERROR(
                  Andel_oberoende_av_klimat*VLOOKUP($A143,Leveranser_per_nät,'Leveranser per nät'!I$1,FALSE)
               +Andel_beroende_av_klimat*VLOOKUP($A143,Leveranser_per_nät,'Leveranser per nät'!I$1,FALSE)/VLOOKUP($B143,Korrigeringsfaktor_GD,'Korrigeringsfaktor GD'!I$1,FALSE),
"")</f>
        <v>0</v>
      </c>
      <c r="J143" s="18">
        <f>IFERROR(
                  Andel_oberoende_av_klimat*VLOOKUP($A143,Leveranser_per_nät,'Leveranser per nät'!J$1,FALSE)
               +Andel_beroende_av_klimat*VLOOKUP($A143,Leveranser_per_nät,'Leveranser per nät'!J$1,FALSE)/VLOOKUP($B143,Korrigeringsfaktor_GD,'Korrigeringsfaktor GD'!J$1,FALSE),
"")</f>
        <v>0</v>
      </c>
      <c r="K143" s="18">
        <f>IFERROR(
                  Andel_oberoende_av_klimat*VLOOKUP($A143,Leveranser_per_nät,'Leveranser per nät'!K$1,FALSE)
               +Andel_beroende_av_klimat*VLOOKUP($A143,Leveranser_per_nät,'Leveranser per nät'!K$1,FALSE)/VLOOKUP($B143,Korrigeringsfaktor_GD,'Korrigeringsfaktor GD'!K$1,FALSE),
"")</f>
        <v>0</v>
      </c>
      <c r="L143" s="18">
        <f>IFERROR(
                  Andel_oberoende_av_klimat*VLOOKUP($A143,Leveranser_per_nät,'Leveranser per nät'!L$1,FALSE)
               +Andel_beroende_av_klimat*VLOOKUP($A143,Leveranser_per_nät,'Leveranser per nät'!L$1,FALSE)/VLOOKUP($B143,Korrigeringsfaktor_GD,'Korrigeringsfaktor GD'!L$1,FALSE),
"")</f>
        <v>0</v>
      </c>
      <c r="M143" s="18">
        <f>IFERROR(
                  Andel_oberoende_av_klimat*VLOOKUP($A143,Leveranser_per_nät,'Leveranser per nät'!M$1,FALSE)
               +Andel_beroende_av_klimat*VLOOKUP($A143,Leveranser_per_nät,'Leveranser per nät'!M$1,FALSE)/VLOOKUP($B143,Korrigeringsfaktor_GD,'Korrigeringsfaktor GD'!M$1,FALSE),
"")</f>
        <v>3.1580645161290315</v>
      </c>
      <c r="N143" s="18">
        <f>IFERROR(
                  Andel_oberoende_av_klimat*VLOOKUP($A143,Leveranser_per_nät,'Leveranser per nät'!N$1,FALSE)
               +Andel_beroende_av_klimat*VLOOKUP($A143,Leveranser_per_nät,'Leveranser per nät'!N$1,FALSE)/VLOOKUP($B143,Korrigeringsfaktor_GD,'Korrigeringsfaktor GD'!N$1,FALSE),
"")</f>
        <v>3.1627846153846155</v>
      </c>
      <c r="O143" s="18">
        <f>IFERROR(
                  Andel_oberoende_av_klimat*VLOOKUP($A143,Leveranser_per_nät,'Leveranser per nät'!O$1,FALSE)
               +Andel_beroende_av_klimat*VLOOKUP($A143,Leveranser_per_nät,'Leveranser per nät'!O$1,FALSE)/VLOOKUP($B143,Korrigeringsfaktor_GD,'Korrigeringsfaktor GD'!O$1,FALSE),
"")</f>
        <v>3.7722222222222221</v>
      </c>
      <c r="P143" s="18">
        <f>IFERROR(
                  Andel_oberoende_av_klimat*VLOOKUP($A143,Leveranser_per_nät,'Leveranser per nät'!P$1,FALSE)
               +Andel_beroende_av_klimat*VLOOKUP($A143,Leveranser_per_nät,'Leveranser per nät'!P$1,FALSE)/VLOOKUP($B143,Korrigeringsfaktor_GD,'Korrigeringsfaktor GD'!P$1,FALSE),
"")</f>
        <v>3.7903857142857142</v>
      </c>
      <c r="Q143" s="18">
        <f>IFERROR(
                  Andel_oberoende_av_klimat*VLOOKUP($A143,Leveranser_per_nät,'Leveranser per nät'!Q$1,FALSE)
               +Andel_beroende_av_klimat*VLOOKUP($A143,Leveranser_per_nät,'Leveranser per nät'!Q$1,FALSE)/VLOOKUP($B143,Korrigeringsfaktor_GD,'Korrigeringsfaktor GD'!Q$1,FALSE),
"")</f>
        <v>4.0564877192982456</v>
      </c>
      <c r="R143" s="18">
        <f>IFERROR(
                  Andel_oberoende_av_klimat*VLOOKUP($A143,Leveranser_per_nät,'Leveranser per nät'!R$1,FALSE)
               +Andel_beroende_av_klimat*VLOOKUP($A143,Leveranser_per_nät,'Leveranser per nät'!R$1,FALSE)/VLOOKUP($B143,Korrigeringsfaktor_GD,'Korrigeringsfaktor GD'!R$1,FALSE),
"")</f>
        <v>3.8214307692307687</v>
      </c>
      <c r="S143" s="18">
        <f>IFERROR(
                  Andel_oberoende_av_klimat*VLOOKUP($A143,Leveranser_per_nät,'Leveranser per nät'!S$1,FALSE)
               +Andel_beroende_av_klimat*VLOOKUP($A143,Leveranser_per_nät,'Leveranser per nät'!S$1,FALSE)/VLOOKUP($B143,Korrigeringsfaktor_GD,'Korrigeringsfaktor GD'!S$1,FALSE),
"")</f>
        <v>3.7140792079207925</v>
      </c>
      <c r="T143" s="18">
        <f>IFERROR(
                  Andel_oberoende_av_klimat*VLOOKUP($A143,Leveranser_per_nät,'Leveranser per nät'!T$1,FALSE)
               +Andel_beroende_av_klimat*VLOOKUP($A143,Leveranser_per_nät,'Leveranser per nät'!T$1,FALSE)/VLOOKUP($B143,Korrigeringsfaktor_GD,'Korrigeringsfaktor GD'!T$1,FALSE),
"")</f>
        <v>3.7528571428571431</v>
      </c>
      <c r="U143" s="18">
        <f>IFERROR(
                  Andel_oberoende_av_klimat*VLOOKUP($A143,Leveranser_per_nät,'Leveranser per nät'!U$1,FALSE)
               +Andel_beroende_av_klimat*VLOOKUP($A143,Leveranser_per_nät,'Leveranser per nät'!U$1,FALSE)/VLOOKUP($B143,Korrigeringsfaktor_GD,'Korrigeringsfaktor GD'!U$1,FALSE),
"")</f>
        <v>3.6760465116279066</v>
      </c>
      <c r="V143" s="18">
        <f>IFERROR(
                  Andel_oberoende_av_klimat*VLOOKUP($A143,Leveranser_per_nät,'Leveranser per nät'!V$1,FALSE)
               +Andel_beroende_av_klimat*VLOOKUP($A143,Leveranser_per_nät,'Leveranser per nät'!V$1,FALSE)/VLOOKUP($B143,Korrigeringsfaktor_GD,'Korrigeringsfaktor GD'!V$1,FALSE),
"")</f>
        <v>4.1287640449438197</v>
      </c>
      <c r="W143" s="18">
        <f>IFERROR(
                  Andel_oberoende_av_klimat*VLOOKUP($A143,Leveranser_per_nät,'Leveranser per nät'!W$1,FALSE)
               +Andel_beroende_av_klimat*VLOOKUP($A143,Leveranser_per_nät,'Leveranser per nät'!W$1,FALSE)/VLOOKUP($B143,Korrigeringsfaktor_GD,'Korrigeringsfaktor GD'!W$1,FALSE),
"")</f>
        <v>4.0742553191489366</v>
      </c>
      <c r="X143" s="18">
        <f>IFERROR(
                  Andel_oberoende_av_klimat*VLOOKUP($A143,Leveranser_per_nät,'Leveranser per nät'!X$1,FALSE)
               +Andel_beroende_av_klimat*VLOOKUP($A143,Leveranser_per_nät,'Leveranser per nät'!X$1,FALSE)/VLOOKUP($B143,Korrigeringsfaktor_GD,'Korrigeringsfaktor GD'!X$1,FALSE),
"")</f>
        <v>4.2107526881720432</v>
      </c>
      <c r="Y143" s="18">
        <f>IFERROR(
                  Andel_oberoende_av_klimat*VLOOKUP($A143,Leveranser_per_nät,'Leveranser per nät'!Y$1,FALSE)
               +Andel_beroende_av_klimat*VLOOKUP($A143,Leveranser_per_nät,'Leveranser per nät'!Y$1,FALSE)/VLOOKUP($B143,Korrigeringsfaktor_GD,'Korrigeringsfaktor GD'!Y$1,FALSE),
"")</f>
        <v>4.5266666666666673</v>
      </c>
      <c r="Z143" s="18">
        <f>IFERROR(
                  Andel_oberoende_av_klimat*VLOOKUP($A143,Leveranser_per_nät,'Leveranser per nät'!Z$1,FALSE)
               +Andel_beroende_av_klimat*VLOOKUP($A143,Leveranser_per_nät,'Leveranser per nät'!Z$1,FALSE)/VLOOKUP($B143,Korrigeringsfaktor_GD,'Korrigeringsfaktor GD'!Z$1,FALSE),
"")</f>
        <v>4.6195651162790696</v>
      </c>
      <c r="AA143" s="18">
        <f>IFERROR(
                  Andel_oberoende_av_klimat*VLOOKUP($A143,Leveranser_per_nät,'Leveranser per nät'!AA$1,FALSE)
               +Andel_beroende_av_klimat*VLOOKUP($A143,Leveranser_per_nät,'Leveranser per nät'!AA$1,FALSE)/VLOOKUP($B143,Korrigeringsfaktor_GD,'Korrigeringsfaktor GD'!AA$1,FALSE),
"")</f>
        <v>4.3154939676840218</v>
      </c>
      <c r="AB143" s="18">
        <f>IFERROR(
                  Andel_oberoende_av_klimat*VLOOKUP($A143,Leveranser_per_nät,'Leveranser per nät'!AB$1,FALSE)
               +Andel_beroende_av_klimat*VLOOKUP($A143,Leveranser_per_nät,'Leveranser per nät'!AB$1,FALSE)/VLOOKUP($B143,Korrigeringsfaktor_GD,'Korrigeringsfaktor GD'!AB$1,FALSE),
"")</f>
        <v>4.3644699604743078</v>
      </c>
      <c r="AC143" s="18">
        <f>IFERROR(
                  Andel_oberoende_av_klimat*VLOOKUP($A143,Leveranser_per_nät,'Leveranser per nät'!AC$1,FALSE)
               +Andel_beroende_av_klimat*VLOOKUP($A143,Leveranser_per_nät,'Leveranser per nät'!AC$1,FALSE)/VLOOKUP($B143,Korrigeringsfaktor_GD,'Korrigeringsfaktor GD'!AC$1,FALSE),
"")</f>
        <v>4.4887933892969576</v>
      </c>
      <c r="AD143">
        <v>122.64</v>
      </c>
    </row>
    <row r="144" spans="1:30" x14ac:dyDescent="0.25">
      <c r="A144" t="s">
        <v>18</v>
      </c>
      <c r="B144" t="s">
        <v>118</v>
      </c>
      <c r="C144" s="18">
        <f>IFERROR(
                  Andel_oberoende_av_klimat*VLOOKUP($A144,Leveranser_per_nät,'Leveranser per nät'!C$1,FALSE)
               +Andel_beroende_av_klimat*VLOOKUP($A144,Leveranser_per_nät,'Leveranser per nät'!C$1,FALSE)/VLOOKUP($B144,Korrigeringsfaktor_GD,'Korrigeringsfaktor GD'!C$1,FALSE),
"")</f>
        <v>0</v>
      </c>
      <c r="D144" s="18">
        <f>IFERROR(
                  Andel_oberoende_av_klimat*VLOOKUP($A144,Leveranser_per_nät,'Leveranser per nät'!D$1,FALSE)
               +Andel_beroende_av_klimat*VLOOKUP($A144,Leveranser_per_nät,'Leveranser per nät'!D$1,FALSE)/VLOOKUP($B144,Korrigeringsfaktor_GD,'Korrigeringsfaktor GD'!D$1,FALSE),
"")</f>
        <v>0</v>
      </c>
      <c r="E144" s="18">
        <f>IFERROR(
                  Andel_oberoende_av_klimat*VLOOKUP($A144,Leveranser_per_nät,'Leveranser per nät'!E$1,FALSE)
               +Andel_beroende_av_klimat*VLOOKUP($A144,Leveranser_per_nät,'Leveranser per nät'!E$1,FALSE)/VLOOKUP($B144,Korrigeringsfaktor_GD,'Korrigeringsfaktor GD'!E$1,FALSE),
"")</f>
        <v>0</v>
      </c>
      <c r="F144" s="18">
        <f>IFERROR(
                  Andel_oberoende_av_klimat*VLOOKUP($A144,Leveranser_per_nät,'Leveranser per nät'!F$1,FALSE)
               +Andel_beroende_av_klimat*VLOOKUP($A144,Leveranser_per_nät,'Leveranser per nät'!F$1,FALSE)/VLOOKUP($B144,Korrigeringsfaktor_GD,'Korrigeringsfaktor GD'!F$1,FALSE),
"")</f>
        <v>0</v>
      </c>
      <c r="G144" s="18">
        <f>IFERROR(
                  Andel_oberoende_av_klimat*VLOOKUP($A144,Leveranser_per_nät,'Leveranser per nät'!G$1,FALSE)
               +Andel_beroende_av_klimat*VLOOKUP($A144,Leveranser_per_nät,'Leveranser per nät'!G$1,FALSE)/VLOOKUP($B144,Korrigeringsfaktor_GD,'Korrigeringsfaktor GD'!G$1,FALSE),
"")</f>
        <v>0</v>
      </c>
      <c r="H144" s="18">
        <f>IFERROR(
                  Andel_oberoende_av_klimat*VLOOKUP($A144,Leveranser_per_nät,'Leveranser per nät'!H$1,FALSE)
               +Andel_beroende_av_klimat*VLOOKUP($A144,Leveranser_per_nät,'Leveranser per nät'!H$1,FALSE)/VLOOKUP($B144,Korrigeringsfaktor_GD,'Korrigeringsfaktor GD'!H$1,FALSE),
"")</f>
        <v>0</v>
      </c>
      <c r="I144" s="18">
        <f>IFERROR(
                  Andel_oberoende_av_klimat*VLOOKUP($A144,Leveranser_per_nät,'Leveranser per nät'!I$1,FALSE)
               +Andel_beroende_av_klimat*VLOOKUP($A144,Leveranser_per_nät,'Leveranser per nät'!I$1,FALSE)/VLOOKUP($B144,Korrigeringsfaktor_GD,'Korrigeringsfaktor GD'!I$1,FALSE),
"")</f>
        <v>0</v>
      </c>
      <c r="J144" s="18">
        <f>IFERROR(
                  Andel_oberoende_av_klimat*VLOOKUP($A144,Leveranser_per_nät,'Leveranser per nät'!J$1,FALSE)
               +Andel_beroende_av_klimat*VLOOKUP($A144,Leveranser_per_nät,'Leveranser per nät'!J$1,FALSE)/VLOOKUP($B144,Korrigeringsfaktor_GD,'Korrigeringsfaktor GD'!J$1,FALSE),
"")</f>
        <v>0</v>
      </c>
      <c r="K144" s="18">
        <f>IFERROR(
                  Andel_oberoende_av_klimat*VLOOKUP($A144,Leveranser_per_nät,'Leveranser per nät'!K$1,FALSE)
               +Andel_beroende_av_klimat*VLOOKUP($A144,Leveranser_per_nät,'Leveranser per nät'!K$1,FALSE)/VLOOKUP($B144,Korrigeringsfaktor_GD,'Korrigeringsfaktor GD'!K$1,FALSE),
"")</f>
        <v>0</v>
      </c>
      <c r="L144" s="18">
        <f>IFERROR(
                  Andel_oberoende_av_klimat*VLOOKUP($A144,Leveranser_per_nät,'Leveranser per nät'!L$1,FALSE)
               +Andel_beroende_av_klimat*VLOOKUP($A144,Leveranser_per_nät,'Leveranser per nät'!L$1,FALSE)/VLOOKUP($B144,Korrigeringsfaktor_GD,'Korrigeringsfaktor GD'!L$1,FALSE),
"")</f>
        <v>20.735067893345565</v>
      </c>
      <c r="M144" s="18">
        <f>IFERROR(
                  Andel_oberoende_av_klimat*VLOOKUP($A144,Leveranser_per_nät,'Leveranser per nät'!M$1,FALSE)
               +Andel_beroende_av_klimat*VLOOKUP($A144,Leveranser_per_nät,'Leveranser per nät'!M$1,FALSE)/VLOOKUP($B144,Korrigeringsfaktor_GD,'Korrigeringsfaktor GD'!M$1,FALSE),
"")</f>
        <v>36.257339130434779</v>
      </c>
      <c r="N144" s="18">
        <f>IFERROR(
                  Andel_oberoende_av_klimat*VLOOKUP($A144,Leveranser_per_nät,'Leveranser per nät'!N$1,FALSE)
               +Andel_beroende_av_klimat*VLOOKUP($A144,Leveranser_per_nät,'Leveranser per nät'!N$1,FALSE)/VLOOKUP($B144,Korrigeringsfaktor_GD,'Korrigeringsfaktor GD'!N$1,FALSE),
"")</f>
        <v>35.475591397849463</v>
      </c>
      <c r="O144" s="18">
        <f>IFERROR(
                  Andel_oberoende_av_klimat*VLOOKUP($A144,Leveranser_per_nät,'Leveranser per nät'!O$1,FALSE)
               +Andel_beroende_av_klimat*VLOOKUP($A144,Leveranser_per_nät,'Leveranser per nät'!O$1,FALSE)/VLOOKUP($B144,Korrigeringsfaktor_GD,'Korrigeringsfaktor GD'!O$1,FALSE),
"")</f>
        <v>0</v>
      </c>
      <c r="P144" s="18">
        <f>IFERROR(
                  Andel_oberoende_av_klimat*VLOOKUP($A144,Leveranser_per_nät,'Leveranser per nät'!P$1,FALSE)
               +Andel_beroende_av_klimat*VLOOKUP($A144,Leveranser_per_nät,'Leveranser per nät'!P$1,FALSE)/VLOOKUP($B144,Korrigeringsfaktor_GD,'Korrigeringsfaktor GD'!P$1,FALSE),
"")</f>
        <v>7.0605727272727279</v>
      </c>
      <c r="Q144" s="18">
        <f>IFERROR(
                  Andel_oberoende_av_klimat*VLOOKUP($A144,Leveranser_per_nät,'Leveranser per nät'!Q$1,FALSE)
               +Andel_beroende_av_klimat*VLOOKUP($A144,Leveranser_per_nät,'Leveranser per nät'!Q$1,FALSE)/VLOOKUP($B144,Korrigeringsfaktor_GD,'Korrigeringsfaktor GD'!Q$1,FALSE),
"")</f>
        <v>7.4986206896551746</v>
      </c>
      <c r="R144" s="18">
        <f>IFERROR(
                  Andel_oberoende_av_klimat*VLOOKUP($A144,Leveranser_per_nät,'Leveranser per nät'!R$1,FALSE)
               +Andel_beroende_av_klimat*VLOOKUP($A144,Leveranser_per_nät,'Leveranser per nät'!R$1,FALSE)/VLOOKUP($B144,Korrigeringsfaktor_GD,'Korrigeringsfaktor GD'!R$1,FALSE),
"")</f>
        <v>7.9123076923076923</v>
      </c>
      <c r="S144" s="18">
        <f>IFERROR(
                  Andel_oberoende_av_klimat*VLOOKUP($A144,Leveranser_per_nät,'Leveranser per nät'!S$1,FALSE)
               +Andel_beroende_av_klimat*VLOOKUP($A144,Leveranser_per_nät,'Leveranser per nät'!S$1,FALSE)/VLOOKUP($B144,Korrigeringsfaktor_GD,'Korrigeringsfaktor GD'!S$1,FALSE),
"")</f>
        <v>8.6999999999999993</v>
      </c>
      <c r="T144" s="18">
        <f>IFERROR(
                  Andel_oberoende_av_klimat*VLOOKUP($A144,Leveranser_per_nät,'Leveranser per nät'!T$1,FALSE)
               +Andel_beroende_av_klimat*VLOOKUP($A144,Leveranser_per_nät,'Leveranser per nät'!T$1,FALSE)/VLOOKUP($B144,Korrigeringsfaktor_GD,'Korrigeringsfaktor GD'!T$1,FALSE),
"")</f>
        <v>8.8131578947368414</v>
      </c>
      <c r="U144" s="18">
        <f>IFERROR(
                  Andel_oberoende_av_klimat*VLOOKUP($A144,Leveranser_per_nät,'Leveranser per nät'!U$1,FALSE)
               +Andel_beroende_av_klimat*VLOOKUP($A144,Leveranser_per_nät,'Leveranser per nät'!U$1,FALSE)/VLOOKUP($B144,Korrigeringsfaktor_GD,'Korrigeringsfaktor GD'!U$1,FALSE),
"")</f>
        <v>8.2988888888888894</v>
      </c>
      <c r="V144" s="18">
        <f>IFERROR(
                  Andel_oberoende_av_klimat*VLOOKUP($A144,Leveranser_per_nät,'Leveranser per nät'!V$1,FALSE)
               +Andel_beroende_av_klimat*VLOOKUP($A144,Leveranser_per_nät,'Leveranser per nät'!V$1,FALSE)/VLOOKUP($B144,Korrigeringsfaktor_GD,'Korrigeringsfaktor GD'!V$1,FALSE),
"")</f>
        <v>8.1261538461538443</v>
      </c>
      <c r="W144" s="18">
        <f>IFERROR(
                  Andel_oberoende_av_klimat*VLOOKUP($A144,Leveranser_per_nät,'Leveranser per nät'!W$1,FALSE)
               +Andel_beroende_av_klimat*VLOOKUP($A144,Leveranser_per_nät,'Leveranser per nät'!W$1,FALSE)/VLOOKUP($B144,Korrigeringsfaktor_GD,'Korrigeringsfaktor GD'!W$1,FALSE),
"")</f>
        <v>8.3984210526315781</v>
      </c>
      <c r="X144" s="18">
        <f>IFERROR(
                  Andel_oberoende_av_klimat*VLOOKUP($A144,Leveranser_per_nät,'Leveranser per nät'!X$1,FALSE)
               +Andel_beroende_av_klimat*VLOOKUP($A144,Leveranser_per_nät,'Leveranser per nät'!X$1,FALSE)/VLOOKUP($B144,Korrigeringsfaktor_GD,'Korrigeringsfaktor GD'!X$1,FALSE),
"")</f>
        <v>8.4391666666666652</v>
      </c>
      <c r="Y144" s="18">
        <f>IFERROR(
                  Andel_oberoende_av_klimat*VLOOKUP($A144,Leveranser_per_nät,'Leveranser per nät'!Y$1,FALSE)
               +Andel_beroende_av_klimat*VLOOKUP($A144,Leveranser_per_nät,'Leveranser per nät'!Y$1,FALSE)/VLOOKUP($B144,Korrigeringsfaktor_GD,'Korrigeringsfaktor GD'!Y$1,FALSE),
"")</f>
        <v>7.6726315789473691</v>
      </c>
      <c r="Z144" s="18">
        <f>IFERROR(
                  Andel_oberoende_av_klimat*VLOOKUP($A144,Leveranser_per_nät,'Leveranser per nät'!Z$1,FALSE)
               +Andel_beroende_av_klimat*VLOOKUP($A144,Leveranser_per_nät,'Leveranser per nät'!Z$1,FALSE)/VLOOKUP($B144,Korrigeringsfaktor_GD,'Korrigeringsfaktor GD'!Z$1,FALSE),
"")</f>
        <v>8.6222222222222218</v>
      </c>
      <c r="AA144" s="18">
        <f>IFERROR(
                  Andel_oberoende_av_klimat*VLOOKUP($A144,Leveranser_per_nät,'Leveranser per nät'!AA$1,FALSE)
               +Andel_beroende_av_klimat*VLOOKUP($A144,Leveranser_per_nät,'Leveranser per nät'!AA$1,FALSE)/VLOOKUP($B144,Korrigeringsfaktor_GD,'Korrigeringsfaktor GD'!AA$1,FALSE),
"")</f>
        <v>8.4735587917042388</v>
      </c>
      <c r="AB144" s="18">
        <f>IFERROR(
                  Andel_oberoende_av_klimat*VLOOKUP($A144,Leveranser_per_nät,'Leveranser per nät'!AB$1,FALSE)
               +Andel_beroende_av_klimat*VLOOKUP($A144,Leveranser_per_nät,'Leveranser per nät'!AB$1,FALSE)/VLOOKUP($B144,Korrigeringsfaktor_GD,'Korrigeringsfaktor GD'!AB$1,FALSE),
"")</f>
        <v>8.1638682170542651</v>
      </c>
      <c r="AC144" s="18">
        <f>IFERROR(
                  Andel_oberoende_av_klimat*VLOOKUP($A144,Leveranser_per_nät,'Leveranser per nät'!AC$1,FALSE)
               +Andel_beroende_av_klimat*VLOOKUP($A144,Leveranser_per_nät,'Leveranser per nät'!AC$1,FALSE)/VLOOKUP($B144,Korrigeringsfaktor_GD,'Korrigeringsfaktor GD'!AC$1,FALSE),
"")</f>
        <v>7.6878343527013264</v>
      </c>
      <c r="AD144">
        <v>116.05800000000001</v>
      </c>
    </row>
    <row r="145" spans="1:30" x14ac:dyDescent="0.25">
      <c r="A145" t="s">
        <v>181</v>
      </c>
      <c r="B145" t="s">
        <v>203</v>
      </c>
      <c r="C145" s="18">
        <f>IFERROR(
                  Andel_oberoende_av_klimat*VLOOKUP($A145,Leveranser_per_nät,'Leveranser per nät'!C$1,FALSE)
               +Andel_beroende_av_klimat*VLOOKUP($A145,Leveranser_per_nät,'Leveranser per nät'!C$1,FALSE)/VLOOKUP($B145,Korrigeringsfaktor_GD,'Korrigeringsfaktor GD'!C$1,FALSE),
"")</f>
        <v>0</v>
      </c>
      <c r="D145" s="18">
        <f>IFERROR(
                  Andel_oberoende_av_klimat*VLOOKUP($A145,Leveranser_per_nät,'Leveranser per nät'!D$1,FALSE)
               +Andel_beroende_av_klimat*VLOOKUP($A145,Leveranser_per_nät,'Leveranser per nät'!D$1,FALSE)/VLOOKUP($B145,Korrigeringsfaktor_GD,'Korrigeringsfaktor GD'!D$1,FALSE),
"")</f>
        <v>0</v>
      </c>
      <c r="E145" s="18">
        <f>IFERROR(
                  Andel_oberoende_av_klimat*VLOOKUP($A145,Leveranser_per_nät,'Leveranser per nät'!E$1,FALSE)
               +Andel_beroende_av_klimat*VLOOKUP($A145,Leveranser_per_nät,'Leveranser per nät'!E$1,FALSE)/VLOOKUP($B145,Korrigeringsfaktor_GD,'Korrigeringsfaktor GD'!E$1,FALSE),
"")</f>
        <v>0</v>
      </c>
      <c r="F145" s="18">
        <f>IFERROR(
                  Andel_oberoende_av_klimat*VLOOKUP($A145,Leveranser_per_nät,'Leveranser per nät'!F$1,FALSE)
               +Andel_beroende_av_klimat*VLOOKUP($A145,Leveranser_per_nät,'Leveranser per nät'!F$1,FALSE)/VLOOKUP($B145,Korrigeringsfaktor_GD,'Korrigeringsfaktor GD'!F$1,FALSE),
"")</f>
        <v>0</v>
      </c>
      <c r="G145" s="18">
        <f>IFERROR(
                  Andel_oberoende_av_klimat*VLOOKUP($A145,Leveranser_per_nät,'Leveranser per nät'!G$1,FALSE)
               +Andel_beroende_av_klimat*VLOOKUP($A145,Leveranser_per_nät,'Leveranser per nät'!G$1,FALSE)/VLOOKUP($B145,Korrigeringsfaktor_GD,'Korrigeringsfaktor GD'!G$1,FALSE),
"")</f>
        <v>0</v>
      </c>
      <c r="H145" s="18">
        <f>IFERROR(
                  Andel_oberoende_av_klimat*VLOOKUP($A145,Leveranser_per_nät,'Leveranser per nät'!H$1,FALSE)
               +Andel_beroende_av_klimat*VLOOKUP($A145,Leveranser_per_nät,'Leveranser per nät'!H$1,FALSE)/VLOOKUP($B145,Korrigeringsfaktor_GD,'Korrigeringsfaktor GD'!H$1,FALSE),
"")</f>
        <v>0</v>
      </c>
      <c r="I145" s="18">
        <f>IFERROR(
                  Andel_oberoende_av_klimat*VLOOKUP($A145,Leveranser_per_nät,'Leveranser per nät'!I$1,FALSE)
               +Andel_beroende_av_klimat*VLOOKUP($A145,Leveranser_per_nät,'Leveranser per nät'!I$1,FALSE)/VLOOKUP($B145,Korrigeringsfaktor_GD,'Korrigeringsfaktor GD'!I$1,FALSE),
"")</f>
        <v>0</v>
      </c>
      <c r="J145" s="18">
        <f>IFERROR(
                  Andel_oberoende_av_klimat*VLOOKUP($A145,Leveranser_per_nät,'Leveranser per nät'!J$1,FALSE)
               +Andel_beroende_av_klimat*VLOOKUP($A145,Leveranser_per_nät,'Leveranser per nät'!J$1,FALSE)/VLOOKUP($B145,Korrigeringsfaktor_GD,'Korrigeringsfaktor GD'!J$1,FALSE),
"")</f>
        <v>0</v>
      </c>
      <c r="K145" s="18">
        <f>IFERROR(
                  Andel_oberoende_av_klimat*VLOOKUP($A145,Leveranser_per_nät,'Leveranser per nät'!K$1,FALSE)
               +Andel_beroende_av_klimat*VLOOKUP($A145,Leveranser_per_nät,'Leveranser per nät'!K$1,FALSE)/VLOOKUP($B145,Korrigeringsfaktor_GD,'Korrigeringsfaktor GD'!K$1,FALSE),
"")</f>
        <v>0</v>
      </c>
      <c r="L145" s="18">
        <f>IFERROR(
                  Andel_oberoende_av_klimat*VLOOKUP($A145,Leveranser_per_nät,'Leveranser per nät'!L$1,FALSE)
               +Andel_beroende_av_klimat*VLOOKUP($A145,Leveranser_per_nät,'Leveranser per nät'!L$1,FALSE)/VLOOKUP($B145,Korrigeringsfaktor_GD,'Korrigeringsfaktor GD'!L$1,FALSE),
"")</f>
        <v>0</v>
      </c>
      <c r="M145" s="18">
        <f>IFERROR(
                  Andel_oberoende_av_klimat*VLOOKUP($A145,Leveranser_per_nät,'Leveranser per nät'!M$1,FALSE)
               +Andel_beroende_av_klimat*VLOOKUP($A145,Leveranser_per_nät,'Leveranser per nät'!M$1,FALSE)/VLOOKUP($B145,Korrigeringsfaktor_GD,'Korrigeringsfaktor GD'!M$1,FALSE),
"")</f>
        <v>6.6909043478260868</v>
      </c>
      <c r="N145" s="18">
        <f>IFERROR(
                  Andel_oberoende_av_klimat*VLOOKUP($A145,Leveranser_per_nät,'Leveranser per nät'!N$1,FALSE)
               +Andel_beroende_av_klimat*VLOOKUP($A145,Leveranser_per_nät,'Leveranser per nät'!N$1,FALSE)/VLOOKUP($B145,Korrigeringsfaktor_GD,'Korrigeringsfaktor GD'!N$1,FALSE),
"")</f>
        <v>6.852661797752809</v>
      </c>
      <c r="O145" s="18">
        <f>IFERROR(
                  Andel_oberoende_av_klimat*VLOOKUP($A145,Leveranser_per_nät,'Leveranser per nät'!O$1,FALSE)
               +Andel_beroende_av_klimat*VLOOKUP($A145,Leveranser_per_nät,'Leveranser per nät'!O$1,FALSE)/VLOOKUP($B145,Korrigeringsfaktor_GD,'Korrigeringsfaktor GD'!O$1,FALSE),
"")</f>
        <v>6.852661797752809</v>
      </c>
      <c r="P145" s="18">
        <f>IFERROR(
                  Andel_oberoende_av_klimat*VLOOKUP($A145,Leveranser_per_nät,'Leveranser per nät'!P$1,FALSE)
               +Andel_beroende_av_klimat*VLOOKUP($A145,Leveranser_per_nät,'Leveranser per nät'!P$1,FALSE)/VLOOKUP($B145,Korrigeringsfaktor_GD,'Korrigeringsfaktor GD'!P$1,FALSE),
"")</f>
        <v>6.4909541666666675</v>
      </c>
      <c r="Q145" s="18">
        <f>IFERROR(
                  Andel_oberoende_av_klimat*VLOOKUP($A145,Leveranser_per_nät,'Leveranser per nät'!Q$1,FALSE)
               +Andel_beroende_av_klimat*VLOOKUP($A145,Leveranser_per_nät,'Leveranser per nät'!Q$1,FALSE)/VLOOKUP($B145,Korrigeringsfaktor_GD,'Korrigeringsfaktor GD'!Q$1,FALSE),
"")</f>
        <v>6.9869042735042735</v>
      </c>
      <c r="R145" s="18">
        <f>IFERROR(
                  Andel_oberoende_av_klimat*VLOOKUP($A145,Leveranser_per_nät,'Leveranser per nät'!R$1,FALSE)
               +Andel_beroende_av_klimat*VLOOKUP($A145,Leveranser_per_nät,'Leveranser per nät'!R$1,FALSE)/VLOOKUP($B145,Korrigeringsfaktor_GD,'Korrigeringsfaktor GD'!R$1,FALSE),
"")</f>
        <v>6.6025</v>
      </c>
      <c r="S145" s="18">
        <f>IFERROR(
                  Andel_oberoende_av_klimat*VLOOKUP($A145,Leveranser_per_nät,'Leveranser per nät'!S$1,FALSE)
               +Andel_beroende_av_klimat*VLOOKUP($A145,Leveranser_per_nät,'Leveranser per nät'!S$1,FALSE)/VLOOKUP($B145,Korrigeringsfaktor_GD,'Korrigeringsfaktor GD'!S$1,FALSE),
"")</f>
        <v>6.6319708737864076</v>
      </c>
      <c r="T145" s="18">
        <f>IFERROR(
                  Andel_oberoende_av_klimat*VLOOKUP($A145,Leveranser_per_nät,'Leveranser per nät'!T$1,FALSE)
               +Andel_beroende_av_klimat*VLOOKUP($A145,Leveranser_per_nät,'Leveranser per nät'!T$1,FALSE)/VLOOKUP($B145,Korrigeringsfaktor_GD,'Korrigeringsfaktor GD'!T$1,FALSE),
"")</f>
        <v>6.3052696969696971</v>
      </c>
      <c r="U145" s="18">
        <f>IFERROR(
                  Andel_oberoende_av_klimat*VLOOKUP($A145,Leveranser_per_nät,'Leveranser per nät'!U$1,FALSE)
               +Andel_beroende_av_klimat*VLOOKUP($A145,Leveranser_per_nät,'Leveranser per nät'!U$1,FALSE)/VLOOKUP($B145,Korrigeringsfaktor_GD,'Korrigeringsfaktor GD'!U$1,FALSE),
"")</f>
        <v>7.3063117647058817</v>
      </c>
      <c r="V145" s="18">
        <f>IFERROR(
                  Andel_oberoende_av_klimat*VLOOKUP($A145,Leveranser_per_nät,'Leveranser per nät'!V$1,FALSE)
               +Andel_beroende_av_klimat*VLOOKUP($A145,Leveranser_per_nät,'Leveranser per nät'!V$1,FALSE)/VLOOKUP($B145,Korrigeringsfaktor_GD,'Korrigeringsfaktor GD'!V$1,FALSE),
"")</f>
        <v>6.1095846153846161</v>
      </c>
      <c r="W145" s="18">
        <f>IFERROR(
                  Andel_oberoende_av_klimat*VLOOKUP($A145,Leveranser_per_nät,'Leveranser per nät'!W$1,FALSE)
               +Andel_beroende_av_klimat*VLOOKUP($A145,Leveranser_per_nät,'Leveranser per nät'!W$1,FALSE)/VLOOKUP($B145,Korrigeringsfaktor_GD,'Korrigeringsfaktor GD'!W$1,FALSE),
"")</f>
        <v>5.9477714285714285</v>
      </c>
      <c r="X145" s="18">
        <f>IFERROR(
                  Andel_oberoende_av_klimat*VLOOKUP($A145,Leveranser_per_nät,'Leveranser per nät'!X$1,FALSE)
               +Andel_beroende_av_klimat*VLOOKUP($A145,Leveranser_per_nät,'Leveranser per nät'!X$1,FALSE)/VLOOKUP($B145,Korrigeringsfaktor_GD,'Korrigeringsfaktor GD'!X$1,FALSE),
"")</f>
        <v>5.8147916666666672</v>
      </c>
      <c r="Y145" s="18">
        <f>IFERROR(
                  Andel_oberoende_av_klimat*VLOOKUP($A145,Leveranser_per_nät,'Leveranser per nät'!Y$1,FALSE)
               +Andel_beroende_av_klimat*VLOOKUP($A145,Leveranser_per_nät,'Leveranser per nät'!Y$1,FALSE)/VLOOKUP($B145,Korrigeringsfaktor_GD,'Korrigeringsfaktor GD'!Y$1,FALSE),
"")</f>
        <v>5.7039574468085101</v>
      </c>
      <c r="Z145" s="18">
        <f>IFERROR(
                  Andel_oberoende_av_klimat*VLOOKUP($A145,Leveranser_per_nät,'Leveranser per nät'!Z$1,FALSE)
               +Andel_beroende_av_klimat*VLOOKUP($A145,Leveranser_per_nät,'Leveranser per nät'!Z$1,FALSE)/VLOOKUP($B145,Korrigeringsfaktor_GD,'Korrigeringsfaktor GD'!Z$1,FALSE),
"")</f>
        <v>5.17</v>
      </c>
      <c r="AA145" s="18">
        <f>IFERROR(
                  Andel_oberoende_av_klimat*VLOOKUP($A145,Leveranser_per_nät,'Leveranser per nät'!AA$1,FALSE)
               +Andel_beroende_av_klimat*VLOOKUP($A145,Leveranser_per_nät,'Leveranser per nät'!AA$1,FALSE)/VLOOKUP($B145,Korrigeringsfaktor_GD,'Korrigeringsfaktor GD'!AA$1,FALSE),
"")</f>
        <v>5.4496953152518488</v>
      </c>
      <c r="AB145" s="18">
        <f>IFERROR(
                  Andel_oberoende_av_klimat*VLOOKUP($A145,Leveranser_per_nät,'Leveranser per nät'!AB$1,FALSE)
               +Andel_beroende_av_klimat*VLOOKUP($A145,Leveranser_per_nät,'Leveranser per nät'!AB$1,FALSE)/VLOOKUP($B145,Korrigeringsfaktor_GD,'Korrigeringsfaktor GD'!AB$1,FALSE),
"")</f>
        <v>5.9029628252788111</v>
      </c>
      <c r="AC145" s="18">
        <f>IFERROR(
                  Andel_oberoende_av_klimat*VLOOKUP($A145,Leveranser_per_nät,'Leveranser per nät'!AC$1,FALSE)
               +Andel_beroende_av_klimat*VLOOKUP($A145,Leveranser_per_nät,'Leveranser per nät'!AC$1,FALSE)/VLOOKUP($B145,Korrigeringsfaktor_GD,'Korrigeringsfaktor GD'!AC$1,FALSE),
"")</f>
        <v>5.5187474747474754</v>
      </c>
      <c r="AD145" t="e">
        <v>#N/A</v>
      </c>
    </row>
    <row r="146" spans="1:30" x14ac:dyDescent="0.25">
      <c r="A146" t="s">
        <v>231</v>
      </c>
      <c r="B146" t="s">
        <v>230</v>
      </c>
      <c r="C146" s="18">
        <f>IFERROR(
                  Andel_oberoende_av_klimat*VLOOKUP($A146,Leveranser_per_nät,'Leveranser per nät'!C$1,FALSE)
               +Andel_beroende_av_klimat*VLOOKUP($A146,Leveranser_per_nät,'Leveranser per nät'!C$1,FALSE)/VLOOKUP($B146,Korrigeringsfaktor_GD,'Korrigeringsfaktor GD'!C$1,FALSE),
"")</f>
        <v>7.8901960784313721</v>
      </c>
      <c r="D146" s="18">
        <f>IFERROR(
                  Andel_oberoende_av_klimat*VLOOKUP($A146,Leveranser_per_nät,'Leveranser per nät'!D$1,FALSE)
               +Andel_beroende_av_klimat*VLOOKUP($A146,Leveranser_per_nät,'Leveranser per nät'!D$1,FALSE)/VLOOKUP($B146,Korrigeringsfaktor_GD,'Korrigeringsfaktor GD'!D$1,FALSE),
"")</f>
        <v>7.1617628865979377</v>
      </c>
      <c r="E146" s="18">
        <f>IFERROR(
                  Andel_oberoende_av_klimat*VLOOKUP($A146,Leveranser_per_nät,'Leveranser per nät'!E$1,FALSE)
               +Andel_beroende_av_klimat*VLOOKUP($A146,Leveranser_per_nät,'Leveranser per nät'!E$1,FALSE)/VLOOKUP($B146,Korrigeringsfaktor_GD,'Korrigeringsfaktor GD'!E$1,FALSE),
"")</f>
        <v>6.8115384615384613</v>
      </c>
      <c r="F146" s="18">
        <f>IFERROR(
                  Andel_oberoende_av_klimat*VLOOKUP($A146,Leveranser_per_nät,'Leveranser per nät'!F$1,FALSE)
               +Andel_beroende_av_klimat*VLOOKUP($A146,Leveranser_per_nät,'Leveranser per nät'!F$1,FALSE)/VLOOKUP($B146,Korrigeringsfaktor_GD,'Korrigeringsfaktor GD'!F$1,FALSE),
"")</f>
        <v>6.9514851485148519</v>
      </c>
      <c r="G146" s="18">
        <f>IFERROR(
                  Andel_oberoende_av_klimat*VLOOKUP($A146,Leveranser_per_nät,'Leveranser per nät'!G$1,FALSE)
               +Andel_beroende_av_klimat*VLOOKUP($A146,Leveranser_per_nät,'Leveranser per nät'!G$1,FALSE)/VLOOKUP($B146,Korrigeringsfaktor_GD,'Korrigeringsfaktor GD'!G$1,FALSE),
"")</f>
        <v>0</v>
      </c>
      <c r="H146" s="18">
        <f>IFERROR(
                  Andel_oberoende_av_klimat*VLOOKUP($A146,Leveranser_per_nät,'Leveranser per nät'!H$1,FALSE)
               +Andel_beroende_av_klimat*VLOOKUP($A146,Leveranser_per_nät,'Leveranser per nät'!H$1,FALSE)/VLOOKUP($B146,Korrigeringsfaktor_GD,'Korrigeringsfaktor GD'!H$1,FALSE),
"")</f>
        <v>0</v>
      </c>
      <c r="I146" s="18">
        <f>IFERROR(
                  Andel_oberoende_av_klimat*VLOOKUP($A146,Leveranser_per_nät,'Leveranser per nät'!I$1,FALSE)
               +Andel_beroende_av_klimat*VLOOKUP($A146,Leveranser_per_nät,'Leveranser per nät'!I$1,FALSE)/VLOOKUP($B146,Korrigeringsfaktor_GD,'Korrigeringsfaktor GD'!I$1,FALSE),
"")</f>
        <v>0</v>
      </c>
      <c r="J146" s="18">
        <f>IFERROR(
                  Andel_oberoende_av_klimat*VLOOKUP($A146,Leveranser_per_nät,'Leveranser per nät'!J$1,FALSE)
               +Andel_beroende_av_klimat*VLOOKUP($A146,Leveranser_per_nät,'Leveranser per nät'!J$1,FALSE)/VLOOKUP($B146,Korrigeringsfaktor_GD,'Korrigeringsfaktor GD'!J$1,FALSE),
"")</f>
        <v>0</v>
      </c>
      <c r="K146" s="18">
        <f>IFERROR(
                  Andel_oberoende_av_klimat*VLOOKUP($A146,Leveranser_per_nät,'Leveranser per nät'!K$1,FALSE)
               +Andel_beroende_av_klimat*VLOOKUP($A146,Leveranser_per_nät,'Leveranser per nät'!K$1,FALSE)/VLOOKUP($B146,Korrigeringsfaktor_GD,'Korrigeringsfaktor GD'!K$1,FALSE),
"")</f>
        <v>0</v>
      </c>
      <c r="L146" s="18">
        <f>IFERROR(
                  Andel_oberoende_av_klimat*VLOOKUP($A146,Leveranser_per_nät,'Leveranser per nät'!L$1,FALSE)
               +Andel_beroende_av_klimat*VLOOKUP($A146,Leveranser_per_nät,'Leveranser per nät'!L$1,FALSE)/VLOOKUP($B146,Korrigeringsfaktor_GD,'Korrigeringsfaktor GD'!L$1,FALSE),
"")</f>
        <v>0</v>
      </c>
      <c r="M146" s="18">
        <f>IFERROR(
                  Andel_oberoende_av_klimat*VLOOKUP($A146,Leveranser_per_nät,'Leveranser per nät'!M$1,FALSE)
               +Andel_beroende_av_klimat*VLOOKUP($A146,Leveranser_per_nät,'Leveranser per nät'!M$1,FALSE)/VLOOKUP($B146,Korrigeringsfaktor_GD,'Korrigeringsfaktor GD'!M$1,FALSE),
"")</f>
        <v>0</v>
      </c>
      <c r="N146" s="18">
        <f>IFERROR(
                  Andel_oberoende_av_klimat*VLOOKUP($A146,Leveranser_per_nät,'Leveranser per nät'!N$1,FALSE)
               +Andel_beroende_av_klimat*VLOOKUP($A146,Leveranser_per_nät,'Leveranser per nät'!N$1,FALSE)/VLOOKUP($B146,Korrigeringsfaktor_GD,'Korrigeringsfaktor GD'!N$1,FALSE),
"")</f>
        <v>0</v>
      </c>
      <c r="O146" s="18">
        <f>IFERROR(
                  Andel_oberoende_av_klimat*VLOOKUP($A146,Leveranser_per_nät,'Leveranser per nät'!O$1,FALSE)
               +Andel_beroende_av_klimat*VLOOKUP($A146,Leveranser_per_nät,'Leveranser per nät'!O$1,FALSE)/VLOOKUP($B146,Korrigeringsfaktor_GD,'Korrigeringsfaktor GD'!O$1,FALSE),
"")</f>
        <v>0</v>
      </c>
      <c r="P146" s="18">
        <f>IFERROR(
                  Andel_oberoende_av_klimat*VLOOKUP($A146,Leveranser_per_nät,'Leveranser per nät'!P$1,FALSE)
               +Andel_beroende_av_klimat*VLOOKUP($A146,Leveranser_per_nät,'Leveranser per nät'!P$1,FALSE)/VLOOKUP($B146,Korrigeringsfaktor_GD,'Korrigeringsfaktor GD'!P$1,FALSE),
"")</f>
        <v>0</v>
      </c>
      <c r="Q146" s="18">
        <f>IFERROR(
                  Andel_oberoende_av_klimat*VLOOKUP($A146,Leveranser_per_nät,'Leveranser per nät'!Q$1,FALSE)
               +Andel_beroende_av_klimat*VLOOKUP($A146,Leveranser_per_nät,'Leveranser per nät'!Q$1,FALSE)/VLOOKUP($B146,Korrigeringsfaktor_GD,'Korrigeringsfaktor GD'!Q$1,FALSE),
"")</f>
        <v>0</v>
      </c>
      <c r="R146" s="18">
        <f>IFERROR(
                  Andel_oberoende_av_klimat*VLOOKUP($A146,Leveranser_per_nät,'Leveranser per nät'!R$1,FALSE)
               +Andel_beroende_av_klimat*VLOOKUP($A146,Leveranser_per_nät,'Leveranser per nät'!R$1,FALSE)/VLOOKUP($B146,Korrigeringsfaktor_GD,'Korrigeringsfaktor GD'!R$1,FALSE),
"")</f>
        <v>0</v>
      </c>
      <c r="S146" s="18" t="str">
        <f>IFERROR(
                  Andel_oberoende_av_klimat*VLOOKUP($A146,Leveranser_per_nät,'Leveranser per nät'!S$1,FALSE)
               +Andel_beroende_av_klimat*VLOOKUP($A146,Leveranser_per_nät,'Leveranser per nät'!S$1,FALSE)/VLOOKUP($B146,Korrigeringsfaktor_GD,'Korrigeringsfaktor GD'!S$1,FALSE),
"")</f>
        <v/>
      </c>
      <c r="T146" s="18" t="str">
        <f>IFERROR(
                  Andel_oberoende_av_klimat*VLOOKUP($A146,Leveranser_per_nät,'Leveranser per nät'!T$1,FALSE)
               +Andel_beroende_av_klimat*VLOOKUP($A146,Leveranser_per_nät,'Leveranser per nät'!T$1,FALSE)/VLOOKUP($B146,Korrigeringsfaktor_GD,'Korrigeringsfaktor GD'!T$1,FALSE),
"")</f>
        <v/>
      </c>
      <c r="U146" s="18" t="str">
        <f>IFERROR(
                  Andel_oberoende_av_klimat*VLOOKUP($A146,Leveranser_per_nät,'Leveranser per nät'!U$1,FALSE)
               +Andel_beroende_av_klimat*VLOOKUP($A146,Leveranser_per_nät,'Leveranser per nät'!U$1,FALSE)/VLOOKUP($B146,Korrigeringsfaktor_GD,'Korrigeringsfaktor GD'!U$1,FALSE),
"")</f>
        <v/>
      </c>
      <c r="V146" s="18" t="str">
        <f>IFERROR(
                  Andel_oberoende_av_klimat*VLOOKUP($A146,Leveranser_per_nät,'Leveranser per nät'!V$1,FALSE)
               +Andel_beroende_av_klimat*VLOOKUP($A146,Leveranser_per_nät,'Leveranser per nät'!V$1,FALSE)/VLOOKUP($B146,Korrigeringsfaktor_GD,'Korrigeringsfaktor GD'!V$1,FALSE),
"")</f>
        <v/>
      </c>
      <c r="W146" s="18" t="str">
        <f>IFERROR(
                  Andel_oberoende_av_klimat*VLOOKUP($A146,Leveranser_per_nät,'Leveranser per nät'!W$1,FALSE)
               +Andel_beroende_av_klimat*VLOOKUP($A146,Leveranser_per_nät,'Leveranser per nät'!W$1,FALSE)/VLOOKUP($B146,Korrigeringsfaktor_GD,'Korrigeringsfaktor GD'!W$1,FALSE),
"")</f>
        <v/>
      </c>
      <c r="X146" s="18" t="str">
        <f>IFERROR(
                  Andel_oberoende_av_klimat*VLOOKUP($A146,Leveranser_per_nät,'Leveranser per nät'!X$1,FALSE)
               +Andel_beroende_av_klimat*VLOOKUP($A146,Leveranser_per_nät,'Leveranser per nät'!X$1,FALSE)/VLOOKUP($B146,Korrigeringsfaktor_GD,'Korrigeringsfaktor GD'!X$1,FALSE),
"")</f>
        <v/>
      </c>
      <c r="Y146" s="18" t="str">
        <f>IFERROR(
                  Andel_oberoende_av_klimat*VLOOKUP($A146,Leveranser_per_nät,'Leveranser per nät'!Y$1,FALSE)
               +Andel_beroende_av_klimat*VLOOKUP($A146,Leveranser_per_nät,'Leveranser per nät'!Y$1,FALSE)/VLOOKUP($B146,Korrigeringsfaktor_GD,'Korrigeringsfaktor GD'!Y$1,FALSE),
"")</f>
        <v/>
      </c>
      <c r="Z146" s="18">
        <f>IFERROR(
                  Andel_oberoende_av_klimat*VLOOKUP($A146,Leveranser_per_nät,'Leveranser per nät'!Z$1,FALSE)
               +Andel_beroende_av_klimat*VLOOKUP($A146,Leveranser_per_nät,'Leveranser per nät'!Z$1,FALSE)/VLOOKUP($B146,Korrigeringsfaktor_GD,'Korrigeringsfaktor GD'!Z$1,FALSE),
"")</f>
        <v>0</v>
      </c>
      <c r="AA146" s="18" t="str">
        <f>IFERROR(
                  Andel_oberoende_av_klimat*VLOOKUP($A146,Leveranser_per_nät,'Leveranser per nät'!AA$1,FALSE)
               +Andel_beroende_av_klimat*VLOOKUP($A146,Leveranser_per_nät,'Leveranser per nät'!AA$1,FALSE)/VLOOKUP($B146,Korrigeringsfaktor_GD,'Korrigeringsfaktor GD'!AA$1,FALSE),
"")</f>
        <v/>
      </c>
      <c r="AB146" s="18">
        <f>IFERROR(
                  Andel_oberoende_av_klimat*VLOOKUP($A146,Leveranser_per_nät,'Leveranser per nät'!AB$1,FALSE)
               +Andel_beroende_av_klimat*VLOOKUP($A146,Leveranser_per_nät,'Leveranser per nät'!AB$1,FALSE)/VLOOKUP($B146,Korrigeringsfaktor_GD,'Korrigeringsfaktor GD'!AB$1,FALSE),
"")</f>
        <v>0</v>
      </c>
      <c r="AC146" s="18">
        <f>IFERROR(
                  Andel_oberoende_av_klimat*VLOOKUP($A146,Leveranser_per_nät,'Leveranser per nät'!AC$1,FALSE)
               +Andel_beroende_av_klimat*VLOOKUP($A146,Leveranser_per_nät,'Leveranser per nät'!AC$1,FALSE)/VLOOKUP($B146,Korrigeringsfaktor_GD,'Korrigeringsfaktor GD'!AC$1,FALSE),
"")</f>
        <v>0</v>
      </c>
      <c r="AD146">
        <v>240.6</v>
      </c>
    </row>
    <row r="147" spans="1:30" x14ac:dyDescent="0.25">
      <c r="A147" t="s">
        <v>401</v>
      </c>
      <c r="B147" t="s">
        <v>46</v>
      </c>
      <c r="C147" s="18">
        <f>IFERROR(
                  Andel_oberoende_av_klimat*VLOOKUP($A147,Leveranser_per_nät,'Leveranser per nät'!C$1,FALSE)
               +Andel_beroende_av_klimat*VLOOKUP($A147,Leveranser_per_nät,'Leveranser per nät'!C$1,FALSE)/VLOOKUP($B147,Korrigeringsfaktor_GD,'Korrigeringsfaktor GD'!C$1,FALSE),
"")</f>
        <v>0</v>
      </c>
      <c r="D147" s="18">
        <f>IFERROR(
                  Andel_oberoende_av_klimat*VLOOKUP($A147,Leveranser_per_nät,'Leveranser per nät'!D$1,FALSE)
               +Andel_beroende_av_klimat*VLOOKUP($A147,Leveranser_per_nät,'Leveranser per nät'!D$1,FALSE)/VLOOKUP($B147,Korrigeringsfaktor_GD,'Korrigeringsfaktor GD'!D$1,FALSE),
"")</f>
        <v>0</v>
      </c>
      <c r="E147" s="18">
        <f>IFERROR(
                  Andel_oberoende_av_klimat*VLOOKUP($A147,Leveranser_per_nät,'Leveranser per nät'!E$1,FALSE)
               +Andel_beroende_av_klimat*VLOOKUP($A147,Leveranser_per_nät,'Leveranser per nät'!E$1,FALSE)/VLOOKUP($B147,Korrigeringsfaktor_GD,'Korrigeringsfaktor GD'!E$1,FALSE),
"")</f>
        <v>5</v>
      </c>
      <c r="F147" s="18">
        <f>IFERROR(
                  Andel_oberoende_av_klimat*VLOOKUP($A147,Leveranser_per_nät,'Leveranser per nät'!F$1,FALSE)
               +Andel_beroende_av_klimat*VLOOKUP($A147,Leveranser_per_nät,'Leveranser per nät'!F$1,FALSE)/VLOOKUP($B147,Korrigeringsfaktor_GD,'Korrigeringsfaktor GD'!F$1,FALSE),
"")</f>
        <v>4.4955636363636362</v>
      </c>
      <c r="G147" s="18">
        <f>IFERROR(
                  Andel_oberoende_av_klimat*VLOOKUP($A147,Leveranser_per_nät,'Leveranser per nät'!G$1,FALSE)
               +Andel_beroende_av_klimat*VLOOKUP($A147,Leveranser_per_nät,'Leveranser per nät'!G$1,FALSE)/VLOOKUP($B147,Korrigeringsfaktor_GD,'Korrigeringsfaktor GD'!G$1,FALSE),
"")</f>
        <v>4.6784347826086954</v>
      </c>
      <c r="H147" s="18">
        <f>IFERROR(
                  Andel_oberoende_av_klimat*VLOOKUP($A147,Leveranser_per_nät,'Leveranser per nät'!H$1,FALSE)
               +Andel_beroende_av_klimat*VLOOKUP($A147,Leveranser_per_nät,'Leveranser per nät'!H$1,FALSE)/VLOOKUP($B147,Korrigeringsfaktor_GD,'Korrigeringsfaktor GD'!H$1,FALSE),
"")</f>
        <v>4.9653465346534658</v>
      </c>
      <c r="I147" s="18">
        <f>IFERROR(
                  Andel_oberoende_av_klimat*VLOOKUP($A147,Leveranser_per_nät,'Leveranser per nät'!I$1,FALSE)
               +Andel_beroende_av_klimat*VLOOKUP($A147,Leveranser_per_nät,'Leveranser per nät'!I$1,FALSE)/VLOOKUP($B147,Korrigeringsfaktor_GD,'Korrigeringsfaktor GD'!I$1,FALSE),
"")</f>
        <v>4.1787234042553187</v>
      </c>
      <c r="J147" s="18">
        <f>IFERROR(
                  Andel_oberoende_av_klimat*VLOOKUP($A147,Leveranser_per_nät,'Leveranser per nät'!J$1,FALSE)
               +Andel_beroende_av_klimat*VLOOKUP($A147,Leveranser_per_nät,'Leveranser per nät'!J$1,FALSE)/VLOOKUP($B147,Korrigeringsfaktor_GD,'Korrigeringsfaktor GD'!J$1,FALSE),
"")</f>
        <v>4.1166666666666671</v>
      </c>
      <c r="K147" s="18">
        <f>IFERROR(
                  Andel_oberoende_av_klimat*VLOOKUP($A147,Leveranser_per_nät,'Leveranser per nät'!K$1,FALSE)
               +Andel_beroende_av_klimat*VLOOKUP($A147,Leveranser_per_nät,'Leveranser per nät'!K$1,FALSE)/VLOOKUP($B147,Korrigeringsfaktor_GD,'Korrigeringsfaktor GD'!K$1,FALSE),
"")</f>
        <v>6.7421146492313486</v>
      </c>
      <c r="L147" s="18">
        <f>IFERROR(
                  Andel_oberoende_av_klimat*VLOOKUP($A147,Leveranser_per_nät,'Leveranser per nät'!L$1,FALSE)
               +Andel_beroende_av_klimat*VLOOKUP($A147,Leveranser_per_nät,'Leveranser per nät'!L$1,FALSE)/VLOOKUP($B147,Korrigeringsfaktor_GD,'Korrigeringsfaktor GD'!L$1,FALSE),
"")</f>
        <v>6.8437487317204084</v>
      </c>
      <c r="M147" s="18">
        <f>IFERROR(
                  Andel_oberoende_av_klimat*VLOOKUP($A147,Leveranser_per_nät,'Leveranser per nät'!M$1,FALSE)
               +Andel_beroende_av_klimat*VLOOKUP($A147,Leveranser_per_nät,'Leveranser per nät'!M$1,FALSE)/VLOOKUP($B147,Korrigeringsfaktor_GD,'Korrigeringsfaktor GD'!M$1,FALSE),
"")</f>
        <v>0</v>
      </c>
      <c r="N147" s="18">
        <f>IFERROR(
                  Andel_oberoende_av_klimat*VLOOKUP($A147,Leveranser_per_nät,'Leveranser per nät'!N$1,FALSE)
               +Andel_beroende_av_klimat*VLOOKUP($A147,Leveranser_per_nät,'Leveranser per nät'!N$1,FALSE)/VLOOKUP($B147,Korrigeringsfaktor_GD,'Korrigeringsfaktor GD'!N$1,FALSE),
"")</f>
        <v>0</v>
      </c>
      <c r="O147" s="18">
        <f>IFERROR(
                  Andel_oberoende_av_klimat*VLOOKUP($A147,Leveranser_per_nät,'Leveranser per nät'!O$1,FALSE)
               +Andel_beroende_av_klimat*VLOOKUP($A147,Leveranser_per_nät,'Leveranser per nät'!O$1,FALSE)/VLOOKUP($B147,Korrigeringsfaktor_GD,'Korrigeringsfaktor GD'!O$1,FALSE),
"")</f>
        <v>0</v>
      </c>
      <c r="P147" s="18">
        <f>IFERROR(
                  Andel_oberoende_av_klimat*VLOOKUP($A147,Leveranser_per_nät,'Leveranser per nät'!P$1,FALSE)
               +Andel_beroende_av_klimat*VLOOKUP($A147,Leveranser_per_nät,'Leveranser per nät'!P$1,FALSE)/VLOOKUP($B147,Korrigeringsfaktor_GD,'Korrigeringsfaktor GD'!P$1,FALSE),
"")</f>
        <v>0</v>
      </c>
      <c r="Q147" s="18">
        <f>IFERROR(
                  Andel_oberoende_av_klimat*VLOOKUP($A147,Leveranser_per_nät,'Leveranser per nät'!Q$1,FALSE)
               +Andel_beroende_av_klimat*VLOOKUP($A147,Leveranser_per_nät,'Leveranser per nät'!Q$1,FALSE)/VLOOKUP($B147,Korrigeringsfaktor_GD,'Korrigeringsfaktor GD'!Q$1,FALSE),
"")</f>
        <v>0</v>
      </c>
      <c r="R147" s="18">
        <f>IFERROR(
                  Andel_oberoende_av_klimat*VLOOKUP($A147,Leveranser_per_nät,'Leveranser per nät'!R$1,FALSE)
               +Andel_beroende_av_klimat*VLOOKUP($A147,Leveranser_per_nät,'Leveranser per nät'!R$1,FALSE)/VLOOKUP($B147,Korrigeringsfaktor_GD,'Korrigeringsfaktor GD'!R$1,FALSE),
"")</f>
        <v>0</v>
      </c>
      <c r="S147" s="18">
        <f>IFERROR(
                  Andel_oberoende_av_klimat*VLOOKUP($A147,Leveranser_per_nät,'Leveranser per nät'!S$1,FALSE)
               +Andel_beroende_av_klimat*VLOOKUP($A147,Leveranser_per_nät,'Leveranser per nät'!S$1,FALSE)/VLOOKUP($B147,Korrigeringsfaktor_GD,'Korrigeringsfaktor GD'!S$1,FALSE),
"")</f>
        <v>5.2</v>
      </c>
      <c r="T147" s="18">
        <f>IFERROR(
                  Andel_oberoende_av_klimat*VLOOKUP($A147,Leveranser_per_nät,'Leveranser per nät'!T$1,FALSE)
               +Andel_beroende_av_klimat*VLOOKUP($A147,Leveranser_per_nät,'Leveranser per nät'!T$1,FALSE)/VLOOKUP($B147,Korrigeringsfaktor_GD,'Korrigeringsfaktor GD'!T$1,FALSE),
"")</f>
        <v>5.1189361702127671</v>
      </c>
      <c r="U147" s="18">
        <f>IFERROR(
                  Andel_oberoende_av_klimat*VLOOKUP($A147,Leveranser_per_nät,'Leveranser per nät'!U$1,FALSE)
               +Andel_beroende_av_klimat*VLOOKUP($A147,Leveranser_per_nät,'Leveranser per nät'!U$1,FALSE)/VLOOKUP($B147,Korrigeringsfaktor_GD,'Korrigeringsfaktor GD'!U$1,FALSE),
"")</f>
        <v>4.8893258426966293</v>
      </c>
      <c r="V147" s="18">
        <f>IFERROR(
                  Andel_oberoende_av_klimat*VLOOKUP($A147,Leveranser_per_nät,'Leveranser per nät'!V$1,FALSE)
               +Andel_beroende_av_klimat*VLOOKUP($A147,Leveranser_per_nät,'Leveranser per nät'!V$1,FALSE)/VLOOKUP($B147,Korrigeringsfaktor_GD,'Korrigeringsfaktor GD'!V$1,FALSE),
"")</f>
        <v>5.6669230769230765</v>
      </c>
      <c r="W147" s="18">
        <f>IFERROR(
                  Andel_oberoende_av_klimat*VLOOKUP($A147,Leveranser_per_nät,'Leveranser per nät'!W$1,FALSE)
               +Andel_beroende_av_klimat*VLOOKUP($A147,Leveranser_per_nät,'Leveranser per nät'!W$1,FALSE)/VLOOKUP($B147,Korrigeringsfaktor_GD,'Korrigeringsfaktor GD'!W$1,FALSE),
"")</f>
        <v>5.2878947368421052</v>
      </c>
      <c r="X147" s="18">
        <f>IFERROR(
                  Andel_oberoende_av_klimat*VLOOKUP($A147,Leveranser_per_nät,'Leveranser per nät'!X$1,FALSE)
               +Andel_beroende_av_klimat*VLOOKUP($A147,Leveranser_per_nät,'Leveranser per nät'!X$1,FALSE)/VLOOKUP($B147,Korrigeringsfaktor_GD,'Korrigeringsfaktor GD'!X$1,FALSE),
"")</f>
        <v>5.1458333333333339</v>
      </c>
      <c r="Y147" s="18">
        <f>IFERROR(
                  Andel_oberoende_av_klimat*VLOOKUP($A147,Leveranser_per_nät,'Leveranser per nät'!Y$1,FALSE)
               +Andel_beroende_av_klimat*VLOOKUP($A147,Leveranser_per_nät,'Leveranser per nät'!Y$1,FALSE)/VLOOKUP($B147,Korrigeringsfaktor_GD,'Korrigeringsfaktor GD'!Y$1,FALSE),
"")</f>
        <v>5.2104123711340202</v>
      </c>
      <c r="Z147" s="18">
        <f>IFERROR(
                  Andel_oberoende_av_klimat*VLOOKUP($A147,Leveranser_per_nät,'Leveranser per nät'!Z$1,FALSE)
               +Andel_beroende_av_klimat*VLOOKUP($A147,Leveranser_per_nät,'Leveranser per nät'!Z$1,FALSE)/VLOOKUP($B147,Korrigeringsfaktor_GD,'Korrigeringsfaktor GD'!Z$1,FALSE),
"")</f>
        <v>5.2152808988764043</v>
      </c>
      <c r="AA147" s="18">
        <f>IFERROR(
                  Andel_oberoende_av_klimat*VLOOKUP($A147,Leveranser_per_nät,'Leveranser per nät'!AA$1,FALSE)
               +Andel_beroende_av_klimat*VLOOKUP($A147,Leveranser_per_nät,'Leveranser per nät'!AA$1,FALSE)/VLOOKUP($B147,Korrigeringsfaktor_GD,'Korrigeringsfaktor GD'!AA$1,FALSE),
"")</f>
        <v>5.2900684931506845</v>
      </c>
      <c r="AB147" s="18">
        <f>IFERROR(
                  Andel_oberoende_av_klimat*VLOOKUP($A147,Leveranser_per_nät,'Leveranser per nät'!AB$1,FALSE)
               +Andel_beroende_av_klimat*VLOOKUP($A147,Leveranser_per_nät,'Leveranser per nät'!AB$1,FALSE)/VLOOKUP($B147,Korrigeringsfaktor_GD,'Korrigeringsfaktor GD'!AB$1,FALSE),
"")</f>
        <v>4.8393516699410615</v>
      </c>
      <c r="AC147" s="18">
        <f>IFERROR(
                  Andel_oberoende_av_klimat*VLOOKUP($A147,Leveranser_per_nät,'Leveranser per nät'!AC$1,FALSE)
               +Andel_beroende_av_klimat*VLOOKUP($A147,Leveranser_per_nät,'Leveranser per nät'!AC$1,FALSE)/VLOOKUP($B147,Korrigeringsfaktor_GD,'Korrigeringsfaktor GD'!AC$1,FALSE),
"")</f>
        <v>4.6522699279093729</v>
      </c>
      <c r="AD147">
        <v>16.463999999999999</v>
      </c>
    </row>
    <row r="148" spans="1:30" x14ac:dyDescent="0.25">
      <c r="A148" t="s">
        <v>488</v>
      </c>
      <c r="B148" t="s">
        <v>420</v>
      </c>
      <c r="C148" s="18">
        <f>IFERROR(
                  Andel_oberoende_av_klimat*VLOOKUP($A148,Leveranser_per_nät,'Leveranser per nät'!C$1,FALSE)
               +Andel_beroende_av_klimat*VLOOKUP($A148,Leveranser_per_nät,'Leveranser per nät'!C$1,FALSE)/VLOOKUP($B148,Korrigeringsfaktor_GD,'Korrigeringsfaktor GD'!C$1,FALSE),
"")</f>
        <v>0</v>
      </c>
      <c r="D148" s="18">
        <f>IFERROR(
                  Andel_oberoende_av_klimat*VLOOKUP($A148,Leveranser_per_nät,'Leveranser per nät'!D$1,FALSE)
               +Andel_beroende_av_klimat*VLOOKUP($A148,Leveranser_per_nät,'Leveranser per nät'!D$1,FALSE)/VLOOKUP($B148,Korrigeringsfaktor_GD,'Korrigeringsfaktor GD'!D$1,FALSE),
"")</f>
        <v>0</v>
      </c>
      <c r="E148" s="18">
        <f>IFERROR(
                  Andel_oberoende_av_klimat*VLOOKUP($A148,Leveranser_per_nät,'Leveranser per nät'!E$1,FALSE)
               +Andel_beroende_av_klimat*VLOOKUP($A148,Leveranser_per_nät,'Leveranser per nät'!E$1,FALSE)/VLOOKUP($B148,Korrigeringsfaktor_GD,'Korrigeringsfaktor GD'!E$1,FALSE),
"")</f>
        <v>0</v>
      </c>
      <c r="F148" s="18">
        <f>IFERROR(
                  Andel_oberoende_av_klimat*VLOOKUP($A148,Leveranser_per_nät,'Leveranser per nät'!F$1,FALSE)
               +Andel_beroende_av_klimat*VLOOKUP($A148,Leveranser_per_nät,'Leveranser per nät'!F$1,FALSE)/VLOOKUP($B148,Korrigeringsfaktor_GD,'Korrigeringsfaktor GD'!F$1,FALSE),
"")</f>
        <v>0</v>
      </c>
      <c r="G148" s="18">
        <f>IFERROR(
                  Andel_oberoende_av_klimat*VLOOKUP($A148,Leveranser_per_nät,'Leveranser per nät'!G$1,FALSE)
               +Andel_beroende_av_klimat*VLOOKUP($A148,Leveranser_per_nät,'Leveranser per nät'!G$1,FALSE)/VLOOKUP($B148,Korrigeringsfaktor_GD,'Korrigeringsfaktor GD'!G$1,FALSE),
"")</f>
        <v>0</v>
      </c>
      <c r="H148" s="18">
        <f>IFERROR(
                  Andel_oberoende_av_klimat*VLOOKUP($A148,Leveranser_per_nät,'Leveranser per nät'!H$1,FALSE)
               +Andel_beroende_av_klimat*VLOOKUP($A148,Leveranser_per_nät,'Leveranser per nät'!H$1,FALSE)/VLOOKUP($B148,Korrigeringsfaktor_GD,'Korrigeringsfaktor GD'!H$1,FALSE),
"")</f>
        <v>0</v>
      </c>
      <c r="I148" s="18">
        <f>IFERROR(
                  Andel_oberoende_av_klimat*VLOOKUP($A148,Leveranser_per_nät,'Leveranser per nät'!I$1,FALSE)
               +Andel_beroende_av_klimat*VLOOKUP($A148,Leveranser_per_nät,'Leveranser per nät'!I$1,FALSE)/VLOOKUP($B148,Korrigeringsfaktor_GD,'Korrigeringsfaktor GD'!I$1,FALSE),
"")</f>
        <v>0</v>
      </c>
      <c r="J148" s="18">
        <f>IFERROR(
                  Andel_oberoende_av_klimat*VLOOKUP($A148,Leveranser_per_nät,'Leveranser per nät'!J$1,FALSE)
               +Andel_beroende_av_klimat*VLOOKUP($A148,Leveranser_per_nät,'Leveranser per nät'!J$1,FALSE)/VLOOKUP($B148,Korrigeringsfaktor_GD,'Korrigeringsfaktor GD'!J$1,FALSE),
"")</f>
        <v>0</v>
      </c>
      <c r="K148" s="18">
        <f>IFERROR(
                  Andel_oberoende_av_klimat*VLOOKUP($A148,Leveranser_per_nät,'Leveranser per nät'!K$1,FALSE)
               +Andel_beroende_av_klimat*VLOOKUP($A148,Leveranser_per_nät,'Leveranser per nät'!K$1,FALSE)/VLOOKUP($B148,Korrigeringsfaktor_GD,'Korrigeringsfaktor GD'!K$1,FALSE),
"")</f>
        <v>0</v>
      </c>
      <c r="L148" s="18">
        <f>IFERROR(
                  Andel_oberoende_av_klimat*VLOOKUP($A148,Leveranser_per_nät,'Leveranser per nät'!L$1,FALSE)
               +Andel_beroende_av_klimat*VLOOKUP($A148,Leveranser_per_nät,'Leveranser per nät'!L$1,FALSE)/VLOOKUP($B148,Korrigeringsfaktor_GD,'Korrigeringsfaktor GD'!L$1,FALSE),
"")</f>
        <v>0</v>
      </c>
      <c r="M148" s="18">
        <f>IFERROR(
                  Andel_oberoende_av_klimat*VLOOKUP($A148,Leveranser_per_nät,'Leveranser per nät'!M$1,FALSE)
               +Andel_beroende_av_klimat*VLOOKUP($A148,Leveranser_per_nät,'Leveranser per nät'!M$1,FALSE)/VLOOKUP($B148,Korrigeringsfaktor_GD,'Korrigeringsfaktor GD'!M$1,FALSE),
"")</f>
        <v>0</v>
      </c>
      <c r="N148" s="18">
        <f>IFERROR(
                  Andel_oberoende_av_klimat*VLOOKUP($A148,Leveranser_per_nät,'Leveranser per nät'!N$1,FALSE)
               +Andel_beroende_av_klimat*VLOOKUP($A148,Leveranser_per_nät,'Leveranser per nät'!N$1,FALSE)/VLOOKUP($B148,Korrigeringsfaktor_GD,'Korrigeringsfaktor GD'!N$1,FALSE),
"")</f>
        <v>0</v>
      </c>
      <c r="O148" s="18">
        <f>IFERROR(
                  Andel_oberoende_av_klimat*VLOOKUP($A148,Leveranser_per_nät,'Leveranser per nät'!O$1,FALSE)
               +Andel_beroende_av_klimat*VLOOKUP($A148,Leveranser_per_nät,'Leveranser per nät'!O$1,FALSE)/VLOOKUP($B148,Korrigeringsfaktor_GD,'Korrigeringsfaktor GD'!O$1,FALSE),
"")</f>
        <v>0</v>
      </c>
      <c r="P148" s="18">
        <f>IFERROR(
                  Andel_oberoende_av_klimat*VLOOKUP($A148,Leveranser_per_nät,'Leveranser per nät'!P$1,FALSE)
               +Andel_beroende_av_klimat*VLOOKUP($A148,Leveranser_per_nät,'Leveranser per nät'!P$1,FALSE)/VLOOKUP($B148,Korrigeringsfaktor_GD,'Korrigeringsfaktor GD'!P$1,FALSE),
"")</f>
        <v>0</v>
      </c>
      <c r="Q148" s="18">
        <f>IFERROR(
                  Andel_oberoende_av_klimat*VLOOKUP($A148,Leveranser_per_nät,'Leveranser per nät'!Q$1,FALSE)
               +Andel_beroende_av_klimat*VLOOKUP($A148,Leveranser_per_nät,'Leveranser per nät'!Q$1,FALSE)/VLOOKUP($B148,Korrigeringsfaktor_GD,'Korrigeringsfaktor GD'!Q$1,FALSE),
"")</f>
        <v>545.77400689655178</v>
      </c>
      <c r="R148" s="18">
        <f>IFERROR(
                  Andel_oberoende_av_klimat*VLOOKUP($A148,Leveranser_per_nät,'Leveranser per nät'!R$1,FALSE)
               +Andel_beroende_av_klimat*VLOOKUP($A148,Leveranser_per_nät,'Leveranser per nät'!R$1,FALSE)/VLOOKUP($B148,Korrigeringsfaktor_GD,'Korrigeringsfaktor GD'!R$1,FALSE),
"")</f>
        <v>537.38789999999995</v>
      </c>
      <c r="S148" s="18">
        <f>IFERROR(
                  Andel_oberoende_av_klimat*VLOOKUP($A148,Leveranser_per_nät,'Leveranser per nät'!S$1,FALSE)
               +Andel_beroende_av_klimat*VLOOKUP($A148,Leveranser_per_nät,'Leveranser per nät'!S$1,FALSE)/VLOOKUP($B148,Korrigeringsfaktor_GD,'Korrigeringsfaktor GD'!S$1,FALSE),
"")</f>
        <v>533</v>
      </c>
      <c r="T148" s="18" t="str">
        <f>IFERROR(
                  Andel_oberoende_av_klimat*VLOOKUP($A148,Leveranser_per_nät,'Leveranser per nät'!T$1,FALSE)
               +Andel_beroende_av_klimat*VLOOKUP($A148,Leveranser_per_nät,'Leveranser per nät'!T$1,FALSE)/VLOOKUP($B148,Korrigeringsfaktor_GD,'Korrigeringsfaktor GD'!T$1,FALSE),
"")</f>
        <v/>
      </c>
      <c r="U148" s="18" t="str">
        <f>IFERROR(
                  Andel_oberoende_av_klimat*VLOOKUP($A148,Leveranser_per_nät,'Leveranser per nät'!U$1,FALSE)
               +Andel_beroende_av_klimat*VLOOKUP($A148,Leveranser_per_nät,'Leveranser per nät'!U$1,FALSE)/VLOOKUP($B148,Korrigeringsfaktor_GD,'Korrigeringsfaktor GD'!U$1,FALSE),
"")</f>
        <v/>
      </c>
      <c r="V148" s="18" t="str">
        <f>IFERROR(
                  Andel_oberoende_av_klimat*VLOOKUP($A148,Leveranser_per_nät,'Leveranser per nät'!V$1,FALSE)
               +Andel_beroende_av_klimat*VLOOKUP($A148,Leveranser_per_nät,'Leveranser per nät'!V$1,FALSE)/VLOOKUP($B148,Korrigeringsfaktor_GD,'Korrigeringsfaktor GD'!V$1,FALSE),
"")</f>
        <v/>
      </c>
      <c r="W148" s="18" t="str">
        <f>IFERROR(
                  Andel_oberoende_av_klimat*VLOOKUP($A148,Leveranser_per_nät,'Leveranser per nät'!W$1,FALSE)
               +Andel_beroende_av_klimat*VLOOKUP($A148,Leveranser_per_nät,'Leveranser per nät'!W$1,FALSE)/VLOOKUP($B148,Korrigeringsfaktor_GD,'Korrigeringsfaktor GD'!W$1,FALSE),
"")</f>
        <v/>
      </c>
      <c r="X148" s="18" t="str">
        <f>IFERROR(
                  Andel_oberoende_av_klimat*VLOOKUP($A148,Leveranser_per_nät,'Leveranser per nät'!X$1,FALSE)
               +Andel_beroende_av_klimat*VLOOKUP($A148,Leveranser_per_nät,'Leveranser per nät'!X$1,FALSE)/VLOOKUP($B148,Korrigeringsfaktor_GD,'Korrigeringsfaktor GD'!X$1,FALSE),
"")</f>
        <v/>
      </c>
      <c r="Y148" s="18" t="str">
        <f>IFERROR(
                  Andel_oberoende_av_klimat*VLOOKUP($A148,Leveranser_per_nät,'Leveranser per nät'!Y$1,FALSE)
               +Andel_beroende_av_klimat*VLOOKUP($A148,Leveranser_per_nät,'Leveranser per nät'!Y$1,FALSE)/VLOOKUP($B148,Korrigeringsfaktor_GD,'Korrigeringsfaktor GD'!Y$1,FALSE),
"")</f>
        <v/>
      </c>
      <c r="Z148" s="18">
        <f>IFERROR(
                  Andel_oberoende_av_klimat*VLOOKUP($A148,Leveranser_per_nät,'Leveranser per nät'!Z$1,FALSE)
               +Andel_beroende_av_klimat*VLOOKUP($A148,Leveranser_per_nät,'Leveranser per nät'!Z$1,FALSE)/VLOOKUP($B148,Korrigeringsfaktor_GD,'Korrigeringsfaktor GD'!Z$1,FALSE),
"")</f>
        <v>0</v>
      </c>
      <c r="AA148" s="18" t="str">
        <f>IFERROR(
                  Andel_oberoende_av_klimat*VLOOKUP($A148,Leveranser_per_nät,'Leveranser per nät'!AA$1,FALSE)
               +Andel_beroende_av_klimat*VLOOKUP($A148,Leveranser_per_nät,'Leveranser per nät'!AA$1,FALSE)/VLOOKUP($B148,Korrigeringsfaktor_GD,'Korrigeringsfaktor GD'!AA$1,FALSE),
"")</f>
        <v/>
      </c>
      <c r="AB148" s="18">
        <f>IFERROR(
                  Andel_oberoende_av_klimat*VLOOKUP($A148,Leveranser_per_nät,'Leveranser per nät'!AB$1,FALSE)
               +Andel_beroende_av_klimat*VLOOKUP($A148,Leveranser_per_nät,'Leveranser per nät'!AB$1,FALSE)/VLOOKUP($B148,Korrigeringsfaktor_GD,'Korrigeringsfaktor GD'!AB$1,FALSE),
"")</f>
        <v>0</v>
      </c>
      <c r="AC148" s="18">
        <f>IFERROR(
                  Andel_oberoende_av_klimat*VLOOKUP($A148,Leveranser_per_nät,'Leveranser per nät'!AC$1,FALSE)
               +Andel_beroende_av_klimat*VLOOKUP($A148,Leveranser_per_nät,'Leveranser per nät'!AC$1,FALSE)/VLOOKUP($B148,Korrigeringsfaktor_GD,'Korrigeringsfaktor GD'!AC$1,FALSE),
"")</f>
        <v>0</v>
      </c>
      <c r="AD148">
        <v>7723.8890000000001</v>
      </c>
    </row>
    <row r="149" spans="1:30" x14ac:dyDescent="0.25">
      <c r="A149" t="s">
        <v>117</v>
      </c>
      <c r="B149" t="s">
        <v>117</v>
      </c>
      <c r="C149" s="18">
        <f>IFERROR(
                  Andel_oberoende_av_klimat*VLOOKUP($A149,Leveranser_per_nät,'Leveranser per nät'!C$1,FALSE)
               +Andel_beroende_av_klimat*VLOOKUP($A149,Leveranser_per_nät,'Leveranser per nät'!C$1,FALSE)/VLOOKUP($B149,Korrigeringsfaktor_GD,'Korrigeringsfaktor GD'!C$1,FALSE),
"")</f>
        <v>150.75229357798165</v>
      </c>
      <c r="D149" s="18">
        <f>IFERROR(
                  Andel_oberoende_av_klimat*VLOOKUP($A149,Leveranser_per_nät,'Leveranser per nät'!D$1,FALSE)
               +Andel_beroende_av_klimat*VLOOKUP($A149,Leveranser_per_nät,'Leveranser per nät'!D$1,FALSE)/VLOOKUP($B149,Korrigeringsfaktor_GD,'Korrigeringsfaktor GD'!D$1,FALSE),
"")</f>
        <v>156.70212765957447</v>
      </c>
      <c r="E149" s="18">
        <f>IFERROR(
                  Andel_oberoende_av_klimat*VLOOKUP($A149,Leveranser_per_nät,'Leveranser per nät'!E$1,FALSE)
               +Andel_beroende_av_klimat*VLOOKUP($A149,Leveranser_per_nät,'Leveranser per nät'!E$1,FALSE)/VLOOKUP($B149,Korrigeringsfaktor_GD,'Korrigeringsfaktor GD'!E$1,FALSE),
"")</f>
        <v>163.85643564356434</v>
      </c>
      <c r="F149" s="18">
        <f>IFERROR(
                  Andel_oberoende_av_klimat*VLOOKUP($A149,Leveranser_per_nät,'Leveranser per nät'!F$1,FALSE)
               +Andel_beroende_av_klimat*VLOOKUP($A149,Leveranser_per_nät,'Leveranser per nät'!F$1,FALSE)/VLOOKUP($B149,Korrigeringsfaktor_GD,'Korrigeringsfaktor GD'!F$1,FALSE),
"")</f>
        <v>167.35714285714286</v>
      </c>
      <c r="G149" s="18">
        <f>IFERROR(
                  Andel_oberoende_av_klimat*VLOOKUP($A149,Leveranser_per_nät,'Leveranser per nät'!G$1,FALSE)
               +Andel_beroende_av_klimat*VLOOKUP($A149,Leveranser_per_nät,'Leveranser per nät'!G$1,FALSE)/VLOOKUP($B149,Korrigeringsfaktor_GD,'Korrigeringsfaktor GD'!G$1,FALSE),
"")</f>
        <v>169.21111111111111</v>
      </c>
      <c r="H149" s="18">
        <f>IFERROR(
                  Andel_oberoende_av_klimat*VLOOKUP($A149,Leveranser_per_nät,'Leveranser per nät'!H$1,FALSE)
               +Andel_beroende_av_klimat*VLOOKUP($A149,Leveranser_per_nät,'Leveranser per nät'!H$1,FALSE)/VLOOKUP($B149,Korrigeringsfaktor_GD,'Korrigeringsfaktor GD'!H$1,FALSE),
"")</f>
        <v>171.20202020202021</v>
      </c>
      <c r="I149" s="18">
        <f>IFERROR(
                  Andel_oberoende_av_klimat*VLOOKUP($A149,Leveranser_per_nät,'Leveranser per nät'!I$1,FALSE)
               +Andel_beroende_av_klimat*VLOOKUP($A149,Leveranser_per_nät,'Leveranser per nät'!I$1,FALSE)/VLOOKUP($B149,Korrigeringsfaktor_GD,'Korrigeringsfaktor GD'!I$1,FALSE),
"")</f>
        <v>172.9</v>
      </c>
      <c r="J149" s="18">
        <f>IFERROR(
                  Andel_oberoende_av_klimat*VLOOKUP($A149,Leveranser_per_nät,'Leveranser per nät'!J$1,FALSE)
               +Andel_beroende_av_klimat*VLOOKUP($A149,Leveranser_per_nät,'Leveranser per nät'!J$1,FALSE)/VLOOKUP($B149,Korrigeringsfaktor_GD,'Korrigeringsfaktor GD'!J$1,FALSE),
"")</f>
        <v>169.59381443298969</v>
      </c>
      <c r="K149" s="18">
        <f>IFERROR(
                  Andel_oberoende_av_klimat*VLOOKUP($A149,Leveranser_per_nät,'Leveranser per nät'!K$1,FALSE)
               +Andel_beroende_av_klimat*VLOOKUP($A149,Leveranser_per_nät,'Leveranser per nät'!K$1,FALSE)/VLOOKUP($B149,Korrigeringsfaktor_GD,'Korrigeringsfaktor GD'!K$1,FALSE),
"")</f>
        <v>0</v>
      </c>
      <c r="L149" s="18">
        <f>IFERROR(
                  Andel_oberoende_av_klimat*VLOOKUP($A149,Leveranser_per_nät,'Leveranser per nät'!L$1,FALSE)
               +Andel_beroende_av_klimat*VLOOKUP($A149,Leveranser_per_nät,'Leveranser per nät'!L$1,FALSE)/VLOOKUP($B149,Korrigeringsfaktor_GD,'Korrigeringsfaktor GD'!L$1,FALSE),
"")</f>
        <v>0</v>
      </c>
      <c r="M149" s="18">
        <f>IFERROR(
                  Andel_oberoende_av_klimat*VLOOKUP($A149,Leveranser_per_nät,'Leveranser per nät'!M$1,FALSE)
               +Andel_beroende_av_klimat*VLOOKUP($A149,Leveranser_per_nät,'Leveranser per nät'!M$1,FALSE)/VLOOKUP($B149,Korrigeringsfaktor_GD,'Korrigeringsfaktor GD'!M$1,FALSE),
"")</f>
        <v>0</v>
      </c>
      <c r="N149" s="18">
        <f>IFERROR(
                  Andel_oberoende_av_klimat*VLOOKUP($A149,Leveranser_per_nät,'Leveranser per nät'!N$1,FALSE)
               +Andel_beroende_av_klimat*VLOOKUP($A149,Leveranser_per_nät,'Leveranser per nät'!N$1,FALSE)/VLOOKUP($B149,Korrigeringsfaktor_GD,'Korrigeringsfaktor GD'!N$1,FALSE),
"")</f>
        <v>0</v>
      </c>
      <c r="O149" s="18">
        <f>IFERROR(
                  Andel_oberoende_av_klimat*VLOOKUP($A149,Leveranser_per_nät,'Leveranser per nät'!O$1,FALSE)
               +Andel_beroende_av_klimat*VLOOKUP($A149,Leveranser_per_nät,'Leveranser per nät'!O$1,FALSE)/VLOOKUP($B149,Korrigeringsfaktor_GD,'Korrigeringsfaktor GD'!O$1,FALSE),
"")</f>
        <v>144.2782608695652</v>
      </c>
      <c r="P149" s="18">
        <f>IFERROR(
                  Andel_oberoende_av_klimat*VLOOKUP($A149,Leveranser_per_nät,'Leveranser per nät'!P$1,FALSE)
               +Andel_beroende_av_klimat*VLOOKUP($A149,Leveranser_per_nät,'Leveranser per nät'!P$1,FALSE)/VLOOKUP($B149,Korrigeringsfaktor_GD,'Korrigeringsfaktor GD'!P$1,FALSE),
"")</f>
        <v>136.96161616161615</v>
      </c>
      <c r="Q149" s="18">
        <f>IFERROR(
                  Andel_oberoende_av_klimat*VLOOKUP($A149,Leveranser_per_nät,'Leveranser per nät'!Q$1,FALSE)
               +Andel_beroende_av_klimat*VLOOKUP($A149,Leveranser_per_nät,'Leveranser per nät'!Q$1,FALSE)/VLOOKUP($B149,Korrigeringsfaktor_GD,'Korrigeringsfaktor GD'!Q$1,FALSE),
"")</f>
        <v>145.2358537826087</v>
      </c>
      <c r="R149" s="18">
        <f>IFERROR(
                  Andel_oberoende_av_klimat*VLOOKUP($A149,Leveranser_per_nät,'Leveranser per nät'!R$1,FALSE)
               +Andel_beroende_av_klimat*VLOOKUP($A149,Leveranser_per_nät,'Leveranser per nät'!R$1,FALSE)/VLOOKUP($B149,Korrigeringsfaktor_GD,'Korrigeringsfaktor GD'!R$1,FALSE),
"")</f>
        <v>130.71666923076924</v>
      </c>
      <c r="S149" s="18">
        <f>IFERROR(
                  Andel_oberoende_av_klimat*VLOOKUP($A149,Leveranser_per_nät,'Leveranser per nät'!S$1,FALSE)
               +Andel_beroende_av_klimat*VLOOKUP($A149,Leveranser_per_nät,'Leveranser per nät'!S$1,FALSE)/VLOOKUP($B149,Korrigeringsfaktor_GD,'Korrigeringsfaktor GD'!S$1,FALSE),
"")</f>
        <v>129.91212121212121</v>
      </c>
      <c r="T149" s="18">
        <f>IFERROR(
                  Andel_oberoende_av_klimat*VLOOKUP($A149,Leveranser_per_nät,'Leveranser per nät'!T$1,FALSE)
               +Andel_beroende_av_klimat*VLOOKUP($A149,Leveranser_per_nät,'Leveranser per nät'!T$1,FALSE)/VLOOKUP($B149,Korrigeringsfaktor_GD,'Korrigeringsfaktor GD'!T$1,FALSE),
"")</f>
        <v>131.92571578947368</v>
      </c>
      <c r="U149" s="18">
        <f>IFERROR(
                  Andel_oberoende_av_klimat*VLOOKUP($A149,Leveranser_per_nät,'Leveranser per nät'!U$1,FALSE)
               +Andel_beroende_av_klimat*VLOOKUP($A149,Leveranser_per_nät,'Leveranser per nät'!U$1,FALSE)/VLOOKUP($B149,Korrigeringsfaktor_GD,'Korrigeringsfaktor GD'!U$1,FALSE),
"")</f>
        <v>127.33651573033708</v>
      </c>
      <c r="V149" s="18">
        <f>IFERROR(
                  Andel_oberoende_av_klimat*VLOOKUP($A149,Leveranser_per_nät,'Leveranser per nät'!V$1,FALSE)
               +Andel_beroende_av_klimat*VLOOKUP($A149,Leveranser_per_nät,'Leveranser per nät'!V$1,FALSE)/VLOOKUP($B149,Korrigeringsfaktor_GD,'Korrigeringsfaktor GD'!V$1,FALSE),
"")</f>
        <v>122.60582134831461</v>
      </c>
      <c r="W149" s="18">
        <f>IFERROR(
                  Andel_oberoende_av_klimat*VLOOKUP($A149,Leveranser_per_nät,'Leveranser per nät'!W$1,FALSE)
               +Andel_beroende_av_klimat*VLOOKUP($A149,Leveranser_per_nät,'Leveranser per nät'!W$1,FALSE)/VLOOKUP($B149,Korrigeringsfaktor_GD,'Korrigeringsfaktor GD'!W$1,FALSE),
"")</f>
        <v>124.06525319148936</v>
      </c>
      <c r="X149" s="18">
        <f>IFERROR(
                  Andel_oberoende_av_klimat*VLOOKUP($A149,Leveranser_per_nät,'Leveranser per nät'!X$1,FALSE)
               +Andel_beroende_av_klimat*VLOOKUP($A149,Leveranser_per_nät,'Leveranser per nät'!X$1,FALSE)/VLOOKUP($B149,Korrigeringsfaktor_GD,'Korrigeringsfaktor GD'!X$1,FALSE),
"")</f>
        <v>121.21422083333333</v>
      </c>
      <c r="Y149" s="18">
        <f>IFERROR(
                  Andel_oberoende_av_klimat*VLOOKUP($A149,Leveranser_per_nät,'Leveranser per nät'!Y$1,FALSE)
               +Andel_beroende_av_klimat*VLOOKUP($A149,Leveranser_per_nät,'Leveranser per nät'!Y$1,FALSE)/VLOOKUP($B149,Korrigeringsfaktor_GD,'Korrigeringsfaktor GD'!Y$1,FALSE),
"")</f>
        <v>122.62714285714286</v>
      </c>
      <c r="Z149" s="18">
        <f>IFERROR(
                  Andel_oberoende_av_klimat*VLOOKUP($A149,Leveranser_per_nät,'Leveranser per nät'!Z$1,FALSE)
               +Andel_beroende_av_klimat*VLOOKUP($A149,Leveranser_per_nät,'Leveranser per nät'!Z$1,FALSE)/VLOOKUP($B149,Korrigeringsfaktor_GD,'Korrigeringsfaktor GD'!Z$1,FALSE),
"")</f>
        <v>130.23092272727274</v>
      </c>
      <c r="AA149" s="18">
        <f>IFERROR(
                  Andel_oberoende_av_klimat*VLOOKUP($A149,Leveranser_per_nät,'Leveranser per nät'!AA$1,FALSE)
               +Andel_beroende_av_klimat*VLOOKUP($A149,Leveranser_per_nät,'Leveranser per nät'!AA$1,FALSE)/VLOOKUP($B149,Korrigeringsfaktor_GD,'Korrigeringsfaktor GD'!AA$1,FALSE),
"")</f>
        <v>118.57111191772536</v>
      </c>
      <c r="AB149" s="18">
        <f>IFERROR(
                  Andel_oberoende_av_klimat*VLOOKUP($A149,Leveranser_per_nät,'Leveranser per nät'!AB$1,FALSE)
               +Andel_beroende_av_klimat*VLOOKUP($A149,Leveranser_per_nät,'Leveranser per nät'!AB$1,FALSE)/VLOOKUP($B149,Korrigeringsfaktor_GD,'Korrigeringsfaktor GD'!AB$1,FALSE),
"")</f>
        <v>117.29843655913982</v>
      </c>
      <c r="AC149" s="18">
        <f>IFERROR(
                  Andel_oberoende_av_klimat*VLOOKUP($A149,Leveranser_per_nät,'Leveranser per nät'!AC$1,FALSE)
               +Andel_beroende_av_klimat*VLOOKUP($A149,Leveranser_per_nät,'Leveranser per nät'!AC$1,FALSE)/VLOOKUP($B149,Korrigeringsfaktor_GD,'Korrigeringsfaktor GD'!AC$1,FALSE),
"")</f>
        <v>112.55782181069959</v>
      </c>
      <c r="AD149">
        <v>110.333</v>
      </c>
    </row>
    <row r="150" spans="1:30" x14ac:dyDescent="0.25">
      <c r="A150" t="s">
        <v>215</v>
      </c>
      <c r="B150" t="s">
        <v>215</v>
      </c>
      <c r="C150" s="18">
        <f>IFERROR(
                  Andel_oberoende_av_klimat*VLOOKUP($A150,Leveranser_per_nät,'Leveranser per nät'!C$1,FALSE)
               +Andel_beroende_av_klimat*VLOOKUP($A150,Leveranser_per_nät,'Leveranser per nät'!C$1,FALSE)/VLOOKUP($B150,Korrigeringsfaktor_GD,'Korrigeringsfaktor GD'!C$1,FALSE),
"")</f>
        <v>0</v>
      </c>
      <c r="D150" s="18">
        <f>IFERROR(
                  Andel_oberoende_av_klimat*VLOOKUP($A150,Leveranser_per_nät,'Leveranser per nät'!D$1,FALSE)
               +Andel_beroende_av_klimat*VLOOKUP($A150,Leveranser_per_nät,'Leveranser per nät'!D$1,FALSE)/VLOOKUP($B150,Korrigeringsfaktor_GD,'Korrigeringsfaktor GD'!D$1,FALSE),
"")</f>
        <v>0</v>
      </c>
      <c r="E150" s="18">
        <f>IFERROR(
                  Andel_oberoende_av_klimat*VLOOKUP($A150,Leveranser_per_nät,'Leveranser per nät'!E$1,FALSE)
               +Andel_beroende_av_klimat*VLOOKUP($A150,Leveranser_per_nät,'Leveranser per nät'!E$1,FALSE)/VLOOKUP($B150,Korrigeringsfaktor_GD,'Korrigeringsfaktor GD'!E$1,FALSE),
"")</f>
        <v>0</v>
      </c>
      <c r="F150" s="18">
        <f>IFERROR(
                  Andel_oberoende_av_klimat*VLOOKUP($A150,Leveranser_per_nät,'Leveranser per nät'!F$1,FALSE)
               +Andel_beroende_av_klimat*VLOOKUP($A150,Leveranser_per_nät,'Leveranser per nät'!F$1,FALSE)/VLOOKUP($B150,Korrigeringsfaktor_GD,'Korrigeringsfaktor GD'!F$1,FALSE),
"")</f>
        <v>0</v>
      </c>
      <c r="G150" s="18">
        <f>IFERROR(
                  Andel_oberoende_av_klimat*VLOOKUP($A150,Leveranser_per_nät,'Leveranser per nät'!G$1,FALSE)
               +Andel_beroende_av_klimat*VLOOKUP($A150,Leveranser_per_nät,'Leveranser per nät'!G$1,FALSE)/VLOOKUP($B150,Korrigeringsfaktor_GD,'Korrigeringsfaktor GD'!G$1,FALSE),
"")</f>
        <v>0</v>
      </c>
      <c r="H150" s="18">
        <f>IFERROR(
                  Andel_oberoende_av_klimat*VLOOKUP($A150,Leveranser_per_nät,'Leveranser per nät'!H$1,FALSE)
               +Andel_beroende_av_klimat*VLOOKUP($A150,Leveranser_per_nät,'Leveranser per nät'!H$1,FALSE)/VLOOKUP($B150,Korrigeringsfaktor_GD,'Korrigeringsfaktor GD'!H$1,FALSE),
"")</f>
        <v>38</v>
      </c>
      <c r="I150" s="18">
        <f>IFERROR(
                  Andel_oberoende_av_klimat*VLOOKUP($A150,Leveranser_per_nät,'Leveranser per nät'!I$1,FALSE)
               +Andel_beroende_av_klimat*VLOOKUP($A150,Leveranser_per_nät,'Leveranser per nät'!I$1,FALSE)/VLOOKUP($B150,Korrigeringsfaktor_GD,'Korrigeringsfaktor GD'!I$1,FALSE),
"")</f>
        <v>39.398571276595739</v>
      </c>
      <c r="J150" s="18">
        <f>IFERROR(
                  Andel_oberoende_av_klimat*VLOOKUP($A150,Leveranser_per_nät,'Leveranser per nät'!J$1,FALSE)
               +Andel_beroende_av_klimat*VLOOKUP($A150,Leveranser_per_nät,'Leveranser per nät'!J$1,FALSE)/VLOOKUP($B150,Korrigeringsfaktor_GD,'Korrigeringsfaktor GD'!J$1,FALSE),
"")</f>
        <v>37.691635353535354</v>
      </c>
      <c r="K150" s="18">
        <f>IFERROR(
                  Andel_oberoende_av_klimat*VLOOKUP($A150,Leveranser_per_nät,'Leveranser per nät'!K$1,FALSE)
               +Andel_beroende_av_klimat*VLOOKUP($A150,Leveranser_per_nät,'Leveranser per nät'!K$1,FALSE)/VLOOKUP($B150,Korrigeringsfaktor_GD,'Korrigeringsfaktor GD'!K$1,FALSE),
"")</f>
        <v>42.055443158075647</v>
      </c>
      <c r="L150" s="18">
        <f>IFERROR(
                  Andel_oberoende_av_klimat*VLOOKUP($A150,Leveranser_per_nät,'Leveranser per nät'!L$1,FALSE)
               +Andel_beroende_av_klimat*VLOOKUP($A150,Leveranser_per_nät,'Leveranser per nät'!L$1,FALSE)/VLOOKUP($B150,Korrigeringsfaktor_GD,'Korrigeringsfaktor GD'!L$1,FALSE),
"")</f>
        <v>42.965921824384502</v>
      </c>
      <c r="M150" s="18">
        <f>IFERROR(
                  Andel_oberoende_av_klimat*VLOOKUP($A150,Leveranser_per_nät,'Leveranser per nät'!M$1,FALSE)
               +Andel_beroende_av_klimat*VLOOKUP($A150,Leveranser_per_nät,'Leveranser per nät'!M$1,FALSE)/VLOOKUP($B150,Korrigeringsfaktor_GD,'Korrigeringsfaktor GD'!M$1,FALSE),
"")</f>
        <v>35.923440425531922</v>
      </c>
      <c r="N150" s="18">
        <f>IFERROR(
                  Andel_oberoende_av_klimat*VLOOKUP($A150,Leveranser_per_nät,'Leveranser per nät'!N$1,FALSE)
               +Andel_beroende_av_klimat*VLOOKUP($A150,Leveranser_per_nät,'Leveranser per nät'!N$1,FALSE)/VLOOKUP($B150,Korrigeringsfaktor_GD,'Korrigeringsfaktor GD'!N$1,FALSE),
"")</f>
        <v>38.900772222222216</v>
      </c>
      <c r="O150" s="18">
        <f>IFERROR(
                  Andel_oberoende_av_klimat*VLOOKUP($A150,Leveranser_per_nät,'Leveranser per nät'!O$1,FALSE)
               +Andel_beroende_av_klimat*VLOOKUP($A150,Leveranser_per_nät,'Leveranser per nät'!O$1,FALSE)/VLOOKUP($B150,Korrigeringsfaktor_GD,'Korrigeringsfaktor GD'!O$1,FALSE),
"")</f>
        <v>40.739999999999995</v>
      </c>
      <c r="P150" s="18">
        <f>IFERROR(
                  Andel_oberoende_av_klimat*VLOOKUP($A150,Leveranser_per_nät,'Leveranser per nät'!P$1,FALSE)
               +Andel_beroende_av_klimat*VLOOKUP($A150,Leveranser_per_nät,'Leveranser per nät'!P$1,FALSE)/VLOOKUP($B150,Korrigeringsfaktor_GD,'Korrigeringsfaktor GD'!P$1,FALSE),
"")</f>
        <v>36.284757575757581</v>
      </c>
      <c r="Q150" s="18">
        <f>IFERROR(
                  Andel_oberoende_av_klimat*VLOOKUP($A150,Leveranser_per_nät,'Leveranser per nät'!Q$1,FALSE)
               +Andel_beroende_av_klimat*VLOOKUP($A150,Leveranser_per_nät,'Leveranser per nät'!Q$1,FALSE)/VLOOKUP($B150,Korrigeringsfaktor_GD,'Korrigeringsfaktor GD'!Q$1,FALSE),
"")</f>
        <v>38.683173913043483</v>
      </c>
      <c r="R150" s="18">
        <f>IFERROR(
                  Andel_oberoende_av_klimat*VLOOKUP($A150,Leveranser_per_nät,'Leveranser per nät'!R$1,FALSE)
               +Andel_beroende_av_klimat*VLOOKUP($A150,Leveranser_per_nät,'Leveranser per nät'!R$1,FALSE)/VLOOKUP($B150,Korrigeringsfaktor_GD,'Korrigeringsfaktor GD'!R$1,FALSE),
"")</f>
        <v>38.492307692307691</v>
      </c>
      <c r="S150" s="18">
        <f>IFERROR(
                  Andel_oberoende_av_klimat*VLOOKUP($A150,Leveranser_per_nät,'Leveranser per nät'!S$1,FALSE)
               +Andel_beroende_av_klimat*VLOOKUP($A150,Leveranser_per_nät,'Leveranser per nät'!S$1,FALSE)/VLOOKUP($B150,Korrigeringsfaktor_GD,'Korrigeringsfaktor GD'!S$1,FALSE),
"")</f>
        <v>50.646534653465345</v>
      </c>
      <c r="T150" s="18">
        <f>IFERROR(
                  Andel_oberoende_av_klimat*VLOOKUP($A150,Leveranser_per_nät,'Leveranser per nät'!T$1,FALSE)
               +Andel_beroende_av_klimat*VLOOKUP($A150,Leveranser_per_nät,'Leveranser per nät'!T$1,FALSE)/VLOOKUP($B150,Korrigeringsfaktor_GD,'Korrigeringsfaktor GD'!T$1,FALSE),
"")</f>
        <v>31.219191919191918</v>
      </c>
      <c r="U150" s="18">
        <f>IFERROR(
                  Andel_oberoende_av_klimat*VLOOKUP($A150,Leveranser_per_nät,'Leveranser per nät'!U$1,FALSE)
               +Andel_beroende_av_klimat*VLOOKUP($A150,Leveranser_per_nät,'Leveranser per nät'!U$1,FALSE)/VLOOKUP($B150,Korrigeringsfaktor_GD,'Korrigeringsfaktor GD'!U$1,FALSE),
"")</f>
        <v>34.242528735632185</v>
      </c>
      <c r="V150" s="18">
        <f>IFERROR(
                  Andel_oberoende_av_klimat*VLOOKUP($A150,Leveranser_per_nät,'Leveranser per nät'!V$1,FALSE)
               +Andel_beroende_av_klimat*VLOOKUP($A150,Leveranser_per_nät,'Leveranser per nät'!V$1,FALSE)/VLOOKUP($B150,Korrigeringsfaktor_GD,'Korrigeringsfaktor GD'!V$1,FALSE),
"")</f>
        <v>34.768539325842696</v>
      </c>
      <c r="W150" s="18">
        <f>IFERROR(
                  Andel_oberoende_av_klimat*VLOOKUP($A150,Leveranser_per_nät,'Leveranser per nät'!W$1,FALSE)
               +Andel_beroende_av_klimat*VLOOKUP($A150,Leveranser_per_nät,'Leveranser per nät'!W$1,FALSE)/VLOOKUP($B150,Korrigeringsfaktor_GD,'Korrigeringsfaktor GD'!W$1,FALSE),
"")</f>
        <v>34.738709677419351</v>
      </c>
      <c r="X150" s="18">
        <f>IFERROR(
                  Andel_oberoende_av_klimat*VLOOKUP($A150,Leveranser_per_nät,'Leveranser per nät'!X$1,FALSE)
               +Andel_beroende_av_klimat*VLOOKUP($A150,Leveranser_per_nät,'Leveranser per nät'!X$1,FALSE)/VLOOKUP($B150,Korrigeringsfaktor_GD,'Korrigeringsfaktor GD'!X$1,FALSE),
"")</f>
        <v>36.46076923076923</v>
      </c>
      <c r="Y150" s="18">
        <f>IFERROR(
                  Andel_oberoende_av_klimat*VLOOKUP($A150,Leveranser_per_nät,'Leveranser per nät'!Y$1,FALSE)
               +Andel_beroende_av_klimat*VLOOKUP($A150,Leveranser_per_nät,'Leveranser per nät'!Y$1,FALSE)/VLOOKUP($B150,Korrigeringsfaktor_GD,'Korrigeringsfaktor GD'!Y$1,FALSE),
"")</f>
        <v>35.128011111111114</v>
      </c>
      <c r="Z150" s="18">
        <f>IFERROR(
                  Andel_oberoende_av_klimat*VLOOKUP($A150,Leveranser_per_nät,'Leveranser per nät'!Z$1,FALSE)
               +Andel_beroende_av_klimat*VLOOKUP($A150,Leveranser_per_nät,'Leveranser per nät'!Z$1,FALSE)/VLOOKUP($B150,Korrigeringsfaktor_GD,'Korrigeringsfaktor GD'!Z$1,FALSE),
"")</f>
        <v>33.265907692307692</v>
      </c>
      <c r="AA150" s="18">
        <f>IFERROR(
                  Andel_oberoende_av_klimat*VLOOKUP($A150,Leveranser_per_nät,'Leveranser per nät'!AA$1,FALSE)
               +Andel_beroende_av_klimat*VLOOKUP($A150,Leveranser_per_nät,'Leveranser per nät'!AA$1,FALSE)/VLOOKUP($B150,Korrigeringsfaktor_GD,'Korrigeringsfaktor GD'!AA$1,FALSE),
"")</f>
        <v>33.95031263322884</v>
      </c>
      <c r="AB150" s="18">
        <f>IFERROR(
                  Andel_oberoende_av_klimat*VLOOKUP($A150,Leveranser_per_nät,'Leveranser per nät'!AB$1,FALSE)
               +Andel_beroende_av_klimat*VLOOKUP($A150,Leveranser_per_nät,'Leveranser per nät'!AB$1,FALSE)/VLOOKUP($B150,Korrigeringsfaktor_GD,'Korrigeringsfaktor GD'!AB$1,FALSE),
"")</f>
        <v>32.910554223968568</v>
      </c>
      <c r="AC150" s="18">
        <f>IFERROR(
                  Andel_oberoende_av_klimat*VLOOKUP($A150,Leveranser_per_nät,'Leveranser per nät'!AC$1,FALSE)
               +Andel_beroende_av_klimat*VLOOKUP($A150,Leveranser_per_nät,'Leveranser per nät'!AC$1,FALSE)/VLOOKUP($B150,Korrigeringsfaktor_GD,'Korrigeringsfaktor GD'!AC$1,FALSE),
"")</f>
        <v>31.173037154989384</v>
      </c>
      <c r="AD150">
        <v>29.885000000000002</v>
      </c>
    </row>
    <row r="151" spans="1:30" x14ac:dyDescent="0.25">
      <c r="A151" t="s">
        <v>379</v>
      </c>
      <c r="B151" t="s">
        <v>376</v>
      </c>
      <c r="C151" s="18">
        <f>IFERROR(
                  Andel_oberoende_av_klimat*VLOOKUP($A151,Leveranser_per_nät,'Leveranser per nät'!C$1,FALSE)
               +Andel_beroende_av_klimat*VLOOKUP($A151,Leveranser_per_nät,'Leveranser per nät'!C$1,FALSE)/VLOOKUP($B151,Korrigeringsfaktor_GD,'Korrigeringsfaktor GD'!C$1,FALSE),
"")</f>
        <v>0</v>
      </c>
      <c r="D151" s="18">
        <f>IFERROR(
                  Andel_oberoende_av_klimat*VLOOKUP($A151,Leveranser_per_nät,'Leveranser per nät'!D$1,FALSE)
               +Andel_beroende_av_klimat*VLOOKUP($A151,Leveranser_per_nät,'Leveranser per nät'!D$1,FALSE)/VLOOKUP($B151,Korrigeringsfaktor_GD,'Korrigeringsfaktor GD'!D$1,FALSE),
"")</f>
        <v>0</v>
      </c>
      <c r="E151" s="18">
        <f>IFERROR(
                  Andel_oberoende_av_klimat*VLOOKUP($A151,Leveranser_per_nät,'Leveranser per nät'!E$1,FALSE)
               +Andel_beroende_av_klimat*VLOOKUP($A151,Leveranser_per_nät,'Leveranser per nät'!E$1,FALSE)/VLOOKUP($B151,Korrigeringsfaktor_GD,'Korrigeringsfaktor GD'!E$1,FALSE),
"")</f>
        <v>0</v>
      </c>
      <c r="F151" s="18">
        <f>IFERROR(
                  Andel_oberoende_av_klimat*VLOOKUP($A151,Leveranser_per_nät,'Leveranser per nät'!F$1,FALSE)
               +Andel_beroende_av_klimat*VLOOKUP($A151,Leveranser_per_nät,'Leveranser per nät'!F$1,FALSE)/VLOOKUP($B151,Korrigeringsfaktor_GD,'Korrigeringsfaktor GD'!F$1,FALSE),
"")</f>
        <v>0</v>
      </c>
      <c r="G151" s="18">
        <f>IFERROR(
                  Andel_oberoende_av_klimat*VLOOKUP($A151,Leveranser_per_nät,'Leveranser per nät'!G$1,FALSE)
               +Andel_beroende_av_klimat*VLOOKUP($A151,Leveranser_per_nät,'Leveranser per nät'!G$1,FALSE)/VLOOKUP($B151,Korrigeringsfaktor_GD,'Korrigeringsfaktor GD'!G$1,FALSE),
"")</f>
        <v>0</v>
      </c>
      <c r="H151" s="18">
        <f>IFERROR(
                  Andel_oberoende_av_klimat*VLOOKUP($A151,Leveranser_per_nät,'Leveranser per nät'!H$1,FALSE)
               +Andel_beroende_av_klimat*VLOOKUP($A151,Leveranser_per_nät,'Leveranser per nät'!H$1,FALSE)/VLOOKUP($B151,Korrigeringsfaktor_GD,'Korrigeringsfaktor GD'!H$1,FALSE),
"")</f>
        <v>0</v>
      </c>
      <c r="I151" s="18">
        <f>IFERROR(
                  Andel_oberoende_av_klimat*VLOOKUP($A151,Leveranser_per_nät,'Leveranser per nät'!I$1,FALSE)
               +Andel_beroende_av_klimat*VLOOKUP($A151,Leveranser_per_nät,'Leveranser per nät'!I$1,FALSE)/VLOOKUP($B151,Korrigeringsfaktor_GD,'Korrigeringsfaktor GD'!I$1,FALSE),
"")</f>
        <v>0</v>
      </c>
      <c r="J151" s="18">
        <f>IFERROR(
                  Andel_oberoende_av_klimat*VLOOKUP($A151,Leveranser_per_nät,'Leveranser per nät'!J$1,FALSE)
               +Andel_beroende_av_klimat*VLOOKUP($A151,Leveranser_per_nät,'Leveranser per nät'!J$1,FALSE)/VLOOKUP($B151,Korrigeringsfaktor_GD,'Korrigeringsfaktor GD'!J$1,FALSE),
"")</f>
        <v>0</v>
      </c>
      <c r="K151" s="18">
        <f>IFERROR(
                  Andel_oberoende_av_klimat*VLOOKUP($A151,Leveranser_per_nät,'Leveranser per nät'!K$1,FALSE)
               +Andel_beroende_av_klimat*VLOOKUP($A151,Leveranser_per_nät,'Leveranser per nät'!K$1,FALSE)/VLOOKUP($B151,Korrigeringsfaktor_GD,'Korrigeringsfaktor GD'!K$1,FALSE),
"")</f>
        <v>0</v>
      </c>
      <c r="L151" s="18">
        <f>IFERROR(
                  Andel_oberoende_av_klimat*VLOOKUP($A151,Leveranser_per_nät,'Leveranser per nät'!L$1,FALSE)
               +Andel_beroende_av_klimat*VLOOKUP($A151,Leveranser_per_nät,'Leveranser per nät'!L$1,FALSE)/VLOOKUP($B151,Korrigeringsfaktor_GD,'Korrigeringsfaktor GD'!L$1,FALSE),
"")</f>
        <v>0</v>
      </c>
      <c r="M151" s="18">
        <f>IFERROR(
                  Andel_oberoende_av_klimat*VLOOKUP($A151,Leveranser_per_nät,'Leveranser per nät'!M$1,FALSE)
               +Andel_beroende_av_klimat*VLOOKUP($A151,Leveranser_per_nät,'Leveranser per nät'!M$1,FALSE)/VLOOKUP($B151,Korrigeringsfaktor_GD,'Korrigeringsfaktor GD'!M$1,FALSE),
"")</f>
        <v>8.5517076923076925</v>
      </c>
      <c r="N151" s="18">
        <f>IFERROR(
                  Andel_oberoende_av_klimat*VLOOKUP($A151,Leveranser_per_nät,'Leveranser per nät'!N$1,FALSE)
               +Andel_beroende_av_klimat*VLOOKUP($A151,Leveranser_per_nät,'Leveranser per nät'!N$1,FALSE)/VLOOKUP($B151,Korrigeringsfaktor_GD,'Korrigeringsfaktor GD'!N$1,FALSE),
"")</f>
        <v>7.9030106382978733</v>
      </c>
      <c r="O151" s="18">
        <f>IFERROR(
                  Andel_oberoende_av_klimat*VLOOKUP($A151,Leveranser_per_nät,'Leveranser per nät'!O$1,FALSE)
               +Andel_beroende_av_klimat*VLOOKUP($A151,Leveranser_per_nät,'Leveranser per nät'!O$1,FALSE)/VLOOKUP($B151,Korrigeringsfaktor_GD,'Korrigeringsfaktor GD'!O$1,FALSE),
"")</f>
        <v>7.6204076923076922</v>
      </c>
      <c r="P151" s="18">
        <f>IFERROR(
                  Andel_oberoende_av_klimat*VLOOKUP($A151,Leveranser_per_nät,'Leveranser per nät'!P$1,FALSE)
               +Andel_beroende_av_klimat*VLOOKUP($A151,Leveranser_per_nät,'Leveranser per nät'!P$1,FALSE)/VLOOKUP($B151,Korrigeringsfaktor_GD,'Korrigeringsfaktor GD'!P$1,FALSE),
"")</f>
        <v>7.6908822857142862</v>
      </c>
      <c r="Q151" s="18">
        <f>IFERROR(
                  Andel_oberoende_av_klimat*VLOOKUP($A151,Leveranser_per_nät,'Leveranser per nät'!Q$1,FALSE)
               +Andel_beroende_av_klimat*VLOOKUP($A151,Leveranser_per_nät,'Leveranser per nät'!Q$1,FALSE)/VLOOKUP($B151,Korrigeringsfaktor_GD,'Korrigeringsfaktor GD'!Q$1,FALSE),
"")</f>
        <v>7.9671288288288284</v>
      </c>
      <c r="R151" s="18">
        <f>IFERROR(
                  Andel_oberoende_av_klimat*VLOOKUP($A151,Leveranser_per_nät,'Leveranser per nät'!R$1,FALSE)
               +Andel_beroende_av_klimat*VLOOKUP($A151,Leveranser_per_nät,'Leveranser per nät'!R$1,FALSE)/VLOOKUP($B151,Korrigeringsfaktor_GD,'Korrigeringsfaktor GD'!R$1,FALSE),
"")</f>
        <v>7.5444444444444443</v>
      </c>
      <c r="S151" s="18">
        <f>IFERROR(
                  Andel_oberoende_av_klimat*VLOOKUP($A151,Leveranser_per_nät,'Leveranser per nät'!S$1,FALSE)
               +Andel_beroende_av_klimat*VLOOKUP($A151,Leveranser_per_nät,'Leveranser per nät'!S$1,FALSE)/VLOOKUP($B151,Korrigeringsfaktor_GD,'Korrigeringsfaktor GD'!S$1,FALSE),
"")</f>
        <v>7.5564285714285715</v>
      </c>
      <c r="T151" s="18">
        <f>IFERROR(
                  Andel_oberoende_av_klimat*VLOOKUP($A151,Leveranser_per_nät,'Leveranser per nät'!T$1,FALSE)
               +Andel_beroende_av_klimat*VLOOKUP($A151,Leveranser_per_nät,'Leveranser per nät'!T$1,FALSE)/VLOOKUP($B151,Korrigeringsfaktor_GD,'Korrigeringsfaktor GD'!T$1,FALSE),
"")</f>
        <v>7.1203827956989247</v>
      </c>
      <c r="U151" s="18">
        <f>IFERROR(
                  Andel_oberoende_av_klimat*VLOOKUP($A151,Leveranser_per_nät,'Leveranser per nät'!U$1,FALSE)
               +Andel_beroende_av_klimat*VLOOKUP($A151,Leveranser_per_nät,'Leveranser per nät'!U$1,FALSE)/VLOOKUP($B151,Korrigeringsfaktor_GD,'Korrigeringsfaktor GD'!U$1,FALSE),
"")</f>
        <v>6.7326636363636361</v>
      </c>
      <c r="V151" s="18">
        <f>IFERROR(
                  Andel_oberoende_av_klimat*VLOOKUP($A151,Leveranser_per_nät,'Leveranser per nät'!V$1,FALSE)
               +Andel_beroende_av_klimat*VLOOKUP($A151,Leveranser_per_nät,'Leveranser per nät'!V$1,FALSE)/VLOOKUP($B151,Korrigeringsfaktor_GD,'Korrigeringsfaktor GD'!V$1,FALSE),
"")</f>
        <v>6.9446057471264364</v>
      </c>
      <c r="W151" s="18">
        <f>IFERROR(
                  Andel_oberoende_av_klimat*VLOOKUP($A151,Leveranser_per_nät,'Leveranser per nät'!W$1,FALSE)
               +Andel_beroende_av_klimat*VLOOKUP($A151,Leveranser_per_nät,'Leveranser per nät'!W$1,FALSE)/VLOOKUP($B151,Korrigeringsfaktor_GD,'Korrigeringsfaktor GD'!W$1,FALSE),
"")</f>
        <v>7.2406829787234042</v>
      </c>
      <c r="X151" s="18">
        <f>IFERROR(
                  Andel_oberoende_av_klimat*VLOOKUP($A151,Leveranser_per_nät,'Leveranser per nät'!X$1,FALSE)
               +Andel_beroende_av_klimat*VLOOKUP($A151,Leveranser_per_nät,'Leveranser per nät'!X$1,FALSE)/VLOOKUP($B151,Korrigeringsfaktor_GD,'Korrigeringsfaktor GD'!X$1,FALSE),
"")</f>
        <v>7.1739105263157894</v>
      </c>
      <c r="Y151" s="18">
        <f>IFERROR(
                  Andel_oberoende_av_klimat*VLOOKUP($A151,Leveranser_per_nät,'Leveranser per nät'!Y$1,FALSE)
               +Andel_beroende_av_klimat*VLOOKUP($A151,Leveranser_per_nät,'Leveranser per nät'!Y$1,FALSE)/VLOOKUP($B151,Korrigeringsfaktor_GD,'Korrigeringsfaktor GD'!Y$1,FALSE),
"")</f>
        <v>6.9983333333333331</v>
      </c>
      <c r="Z151" s="18">
        <f>IFERROR(
                  Andel_oberoende_av_klimat*VLOOKUP($A151,Leveranser_per_nät,'Leveranser per nät'!Z$1,FALSE)
               +Andel_beroende_av_klimat*VLOOKUP($A151,Leveranser_per_nät,'Leveranser per nät'!Z$1,FALSE)/VLOOKUP($B151,Korrigeringsfaktor_GD,'Korrigeringsfaktor GD'!Z$1,FALSE),
"")</f>
        <v>7.0319569892473108</v>
      </c>
      <c r="AA151" s="18">
        <f>IFERROR(
                  Andel_oberoende_av_klimat*VLOOKUP($A151,Leveranser_per_nät,'Leveranser per nät'!AA$1,FALSE)
               +Andel_beroende_av_klimat*VLOOKUP($A151,Leveranser_per_nät,'Leveranser per nät'!AA$1,FALSE)/VLOOKUP($B151,Korrigeringsfaktor_GD,'Korrigeringsfaktor GD'!AA$1,FALSE),
"")</f>
        <v>6.7875886295354739</v>
      </c>
      <c r="AB151" s="18">
        <f>IFERROR(
                  Andel_oberoende_av_klimat*VLOOKUP($A151,Leveranser_per_nät,'Leveranser per nät'!AB$1,FALSE)
               +Andel_beroende_av_klimat*VLOOKUP($A151,Leveranser_per_nät,'Leveranser per nät'!AB$1,FALSE)/VLOOKUP($B151,Korrigeringsfaktor_GD,'Korrigeringsfaktor GD'!AB$1,FALSE),
"")</f>
        <v>4.4041695568400767</v>
      </c>
      <c r="AC151" s="18">
        <f>IFERROR(
                  Andel_oberoende_av_klimat*VLOOKUP($A151,Leveranser_per_nät,'Leveranser per nät'!AC$1,FALSE)
               +Andel_beroende_av_klimat*VLOOKUP($A151,Leveranser_per_nät,'Leveranser per nät'!AC$1,FALSE)/VLOOKUP($B151,Korrigeringsfaktor_GD,'Korrigeringsfaktor GD'!AC$1,FALSE),
"")</f>
        <v>7.1208969072164949</v>
      </c>
      <c r="AD151">
        <v>223.7</v>
      </c>
    </row>
    <row r="152" spans="1:30" x14ac:dyDescent="0.25">
      <c r="A152" t="s">
        <v>631</v>
      </c>
      <c r="B152" t="s">
        <v>1035</v>
      </c>
      <c r="C152" s="18">
        <f>IFERROR(
                  Andel_oberoende_av_klimat*VLOOKUP($A152,Leveranser_per_nät,'Leveranser per nät'!C$1,FALSE)
               +Andel_beroende_av_klimat*VLOOKUP($A152,Leveranser_per_nät,'Leveranser per nät'!C$1,FALSE)/VLOOKUP("Karlskoga",Korrigeringsfaktor_GD,'Korrigeringsfaktor GD'!C$1,FALSE),
"")</f>
        <v>33.709090909090904</v>
      </c>
      <c r="D152" s="18">
        <f>IFERROR(
                  Andel_oberoende_av_klimat*VLOOKUP($A152,Leveranser_per_nät,'Leveranser per nät'!D$1,FALSE)
               +Andel_beroende_av_klimat*VLOOKUP($A152,Leveranser_per_nät,'Leveranser per nät'!D$1,FALSE)/VLOOKUP("Karlskoga",Korrigeringsfaktor_GD,'Korrigeringsfaktor GD'!D$1,FALSE),
"")</f>
        <v>30.935546391752574</v>
      </c>
      <c r="E152" s="18">
        <f>IFERROR(
                  Andel_oberoende_av_klimat*VLOOKUP($A152,Leveranser_per_nät,'Leveranser per nät'!E$1,FALSE)
               +Andel_beroende_av_klimat*VLOOKUP($A152,Leveranser_per_nät,'Leveranser per nät'!E$1,FALSE)/VLOOKUP("Karlskoga",Korrigeringsfaktor_GD,'Korrigeringsfaktor GD'!E$1,FALSE),
"")</f>
        <v>32.771287128712871</v>
      </c>
      <c r="F152" s="18">
        <f>IFERROR(
                  Andel_oberoende_av_klimat*VLOOKUP($A152,Leveranser_per_nät,'Leveranser per nät'!F$1,FALSE)
               +Andel_beroende_av_klimat*VLOOKUP($A152,Leveranser_per_nät,'Leveranser per nät'!F$1,FALSE)/VLOOKUP("Karlskoga",Korrigeringsfaktor_GD,'Korrigeringsfaktor GD'!F$1,FALSE),
"")</f>
        <v>32.933333333333337</v>
      </c>
      <c r="G152" s="18">
        <f>IFERROR(
                  Andel_oberoende_av_klimat*VLOOKUP($A152,Leveranser_per_nät,'Leveranser per nät'!G$1,FALSE)
               +Andel_beroende_av_klimat*VLOOKUP($A152,Leveranser_per_nät,'Leveranser per nät'!G$1,FALSE)/VLOOKUP("Karlskoga",Korrigeringsfaktor_GD,'Korrigeringsfaktor GD'!G$1,FALSE),
"")</f>
        <v>33.137931034482762</v>
      </c>
      <c r="H152" s="18">
        <f>IFERROR(
                  Andel_oberoende_av_klimat*VLOOKUP($A152,Leveranser_per_nät,'Leveranser per nät'!H$1,FALSE)
               +Andel_beroende_av_klimat*VLOOKUP($A152,Leveranser_per_nät,'Leveranser per nät'!H$1,FALSE)/VLOOKUP("Karlskoga",Korrigeringsfaktor_GD,'Korrigeringsfaktor GD'!H$1,FALSE),
"")</f>
        <v>34.757425742574256</v>
      </c>
      <c r="I152" s="18">
        <f>IFERROR(
                  Andel_oberoende_av_klimat*VLOOKUP($A152,Leveranser_per_nät,'Leveranser per nät'!I$1,FALSE)
               +Andel_beroende_av_klimat*VLOOKUP($A152,Leveranser_per_nät,'Leveranser per nät'!I$1,FALSE)/VLOOKUP("Karlskoga",Korrigeringsfaktor_GD,'Korrigeringsfaktor GD'!I$1,FALSE),
"")</f>
        <v>37.80103092783505</v>
      </c>
      <c r="J152" s="18">
        <f>IFERROR(
                  Andel_oberoende_av_klimat*VLOOKUP($A152,Leveranser_per_nät,'Leveranser per nät'!J$1,FALSE)
               +Andel_beroende_av_klimat*VLOOKUP($A152,Leveranser_per_nät,'Leveranser per nät'!J$1,FALSE)/VLOOKUP("Karlskoga",Korrigeringsfaktor_GD,'Korrigeringsfaktor GD'!J$1,FALSE),
"")</f>
        <v>39.557142857142857</v>
      </c>
      <c r="K152" s="18">
        <f>IFERROR(
                  Andel_oberoende_av_klimat*VLOOKUP($A152,Leveranser_per_nät,'Leveranser per nät'!K$1,FALSE)
               +Andel_beroende_av_klimat*VLOOKUP($A152,Leveranser_per_nät,'Leveranser per nät'!K$1,FALSE)/VLOOKUP("Karlskoga",Korrigeringsfaktor_GD,'Korrigeringsfaktor GD'!K$1,FALSE),
"")</f>
        <v>35.553402061855664</v>
      </c>
      <c r="L152" s="18">
        <f>IFERROR(
                  Andel_oberoende_av_klimat*VLOOKUP($A152,Leveranser_per_nät,'Leveranser per nät'!L$1,FALSE)
               +Andel_beroende_av_klimat*VLOOKUP($A152,Leveranser_per_nät,'Leveranser per nät'!L$1,FALSE)/VLOOKUP("Karlskoga",Korrigeringsfaktor_GD,'Korrigeringsfaktor GD'!L$1,FALSE),
"")</f>
        <v>37.585527659574467</v>
      </c>
      <c r="M152" s="18">
        <f>IFERROR(
                  Andel_oberoende_av_klimat*VLOOKUP($A152,Leveranser_per_nät,'Leveranser per nät'!M$1,FALSE)
               +Andel_beroende_av_klimat*VLOOKUP($A152,Leveranser_per_nät,'Leveranser per nät'!M$1,FALSE)/VLOOKUP("Karlskoga",Korrigeringsfaktor_GD,'Korrigeringsfaktor GD'!M$1,FALSE),
"")</f>
        <v>33.417391304347824</v>
      </c>
      <c r="N152" s="18">
        <f>IFERROR(
                  Andel_oberoende_av_klimat*VLOOKUP($A152,Leveranser_per_nät,'Leveranser per nät'!N$1,FALSE)
               +Andel_beroende_av_klimat*VLOOKUP($A152,Leveranser_per_nät,'Leveranser per nät'!N$1,FALSE)/VLOOKUP("Karlskoga",Korrigeringsfaktor_GD,'Korrigeringsfaktor GD'!N$1,FALSE),
"")</f>
        <v>35.539130434782606</v>
      </c>
      <c r="O152" s="18">
        <f>IFERROR(
                  Andel_oberoende_av_klimat*VLOOKUP($A152,Leveranser_per_nät,'Leveranser per nät'!O$1,FALSE)
               +Andel_beroende_av_klimat*VLOOKUP($A152,Leveranser_per_nät,'Leveranser per nät'!O$1,FALSE)/VLOOKUP("Karlskoga",Korrigeringsfaktor_GD,'Korrigeringsfaktor GD'!O$1,FALSE),
"")</f>
        <v>35.351111111111109</v>
      </c>
      <c r="P152" s="18">
        <f>IFERROR(
                  Andel_oberoende_av_klimat*VLOOKUP($A152,Leveranser_per_nät,'Leveranser per nät'!P$1,FALSE)
               +Andel_beroende_av_klimat*VLOOKUP($A152,Leveranser_per_nät,'Leveranser per nät'!P$1,FALSE)/VLOOKUP("Karlskoga",Korrigeringsfaktor_GD,'Korrigeringsfaktor GD'!P$1,FALSE),
"")</f>
        <v>35.146767676767674</v>
      </c>
      <c r="Q152" s="18">
        <f>IFERROR(
                  Andel_oberoende_av_klimat*VLOOKUP($A152,Leveranser_per_nät,'Leveranser per nät'!Q$1,FALSE)
               +Andel_beroende_av_klimat*VLOOKUP($A152,Leveranser_per_nät,'Leveranser per nät'!Q$1,FALSE)/VLOOKUP("Karlskoga",Korrigeringsfaktor_GD,'Korrigeringsfaktor GD'!Q$1,FALSE),
"")</f>
        <v>36.318620689655177</v>
      </c>
      <c r="R152" s="18">
        <f>IFERROR(
                  Andel_oberoende_av_klimat*VLOOKUP($A152,Leveranser_per_nät,'Leveranser per nät'!R$1,FALSE)
               +Andel_beroende_av_klimat*VLOOKUP($A152,Leveranser_per_nät,'Leveranser per nät'!R$1,FALSE)/VLOOKUP("Karlskoga",Korrigeringsfaktor_GD,'Korrigeringsfaktor GD'!R$1,FALSE),
"")</f>
        <v>33.949999999999996</v>
      </c>
      <c r="S152" s="18">
        <f>IFERROR(
                  Andel_oberoende_av_klimat*VLOOKUP($A152,Leveranser_per_nät,'Leveranser per nät'!S$1,FALSE)
               +Andel_beroende_av_klimat*VLOOKUP($A152,Leveranser_per_nät,'Leveranser per nät'!S$1,FALSE)/VLOOKUP("Karlskoga",Korrigeringsfaktor_GD,'Korrigeringsfaktor GD'!S$1,FALSE),
"")</f>
        <v>36.25454545454545</v>
      </c>
      <c r="T152" s="18">
        <f>IFERROR(
                  Andel_oberoende_av_klimat*VLOOKUP($A152,Leveranser_per_nät,'Leveranser per nät'!T$1,FALSE)
               +Andel_beroende_av_klimat*VLOOKUP($A152,Leveranser_per_nät,'Leveranser per nät'!T$1,FALSE)/VLOOKUP("Karlskoga",Korrigeringsfaktor_GD,'Korrigeringsfaktor GD'!T$1,FALSE),
"")</f>
        <v>35.670916666666663</v>
      </c>
      <c r="U152" s="18">
        <f>IFERROR(
                  Andel_oberoende_av_klimat*VLOOKUP($A152,Leveranser_per_nät,'Leveranser per nät'!U$1,FALSE)
               +Andel_beroende_av_klimat*VLOOKUP($A152,Leveranser_per_nät,'Leveranser per nät'!U$1,FALSE)/VLOOKUP("Karlskoga",Korrigeringsfaktor_GD,'Korrigeringsfaktor GD'!U$1,FALSE),
"")</f>
        <v>33.903417241379316</v>
      </c>
      <c r="V152" s="18">
        <f>IFERROR(
                  Andel_oberoende_av_klimat*VLOOKUP($A152,Leveranser_per_nät,'Leveranser per nät'!V$1,FALSE)
               +Andel_beroende_av_klimat*VLOOKUP($A152,Leveranser_per_nät,'Leveranser per nät'!V$1,FALSE)/VLOOKUP("Karlskoga",Korrigeringsfaktor_GD,'Korrigeringsfaktor GD'!V$1,FALSE),
"")</f>
        <v>34.299164044943822</v>
      </c>
      <c r="W152" s="18">
        <f>IFERROR(
                  Andel_oberoende_av_klimat*VLOOKUP($A152,Leveranser_per_nät,'Leveranser per nät'!W$1,FALSE)
               +Andel_beroende_av_klimat*VLOOKUP($A152,Leveranser_per_nät,'Leveranser per nät'!W$1,FALSE)/VLOOKUP("Karlskoga",Korrigeringsfaktor_GD,'Korrigeringsfaktor GD'!W$1,FALSE),
"")</f>
        <v>34.786052631578947</v>
      </c>
      <c r="X152" s="18">
        <f>IFERROR(
                  Andel_oberoende_av_klimat*VLOOKUP($A152,Leveranser_per_nät,'Leveranser per nät'!X$1,FALSE)
               +Andel_beroende_av_klimat*VLOOKUP($A152,Leveranser_per_nät,'Leveranser per nät'!X$1,FALSE)/VLOOKUP("Karlskoga",Korrigeringsfaktor_GD,'Korrigeringsfaktor GD'!X$1,FALSE),
"")</f>
        <v>34.024250000000002</v>
      </c>
      <c r="Y152" s="18">
        <f>IFERROR(
                  Andel_oberoende_av_klimat*VLOOKUP($A152,Leveranser_per_nät,'Leveranser per nät'!Y$1,FALSE)
               +Andel_beroende_av_klimat*VLOOKUP($A152,Leveranser_per_nät,'Leveranser per nät'!Y$1,FALSE)/VLOOKUP($B152,Korrigeringsfaktor_GD,'Korrigeringsfaktor GD'!Y$1,FALSE),
"")</f>
        <v>37.233580645161283</v>
      </c>
      <c r="Z152" s="18">
        <f>IFERROR(
                  Andel_oberoende_av_klimat*VLOOKUP($A152,Leveranser_per_nät,'Leveranser per nät'!Z$1,FALSE)
               +Andel_beroende_av_klimat*VLOOKUP($A152,Leveranser_per_nät,'Leveranser per nät'!Z$1,FALSE)/VLOOKUP($B152,Korrigeringsfaktor_GD,'Korrigeringsfaktor GD'!Z$1,FALSE),
"")</f>
        <v>39.074863636363638</v>
      </c>
      <c r="AA152" s="18">
        <f>IFERROR(
                  Andel_oberoende_av_klimat*VLOOKUP($A152,Leveranser_per_nät,'Leveranser per nät'!AA$1,FALSE)
               +Andel_beroende_av_klimat*VLOOKUP($A152,Leveranser_per_nät,'Leveranser per nät'!AA$1,FALSE)/VLOOKUP($B152,Korrigeringsfaktor_GD,'Korrigeringsfaktor GD'!AA$1,FALSE),
"")</f>
        <v>35.666482643140085</v>
      </c>
      <c r="AB152" s="18">
        <f>IFERROR(
                  Andel_oberoende_av_klimat*VLOOKUP($A152,Leveranser_per_nät,'Leveranser per nät'!AB$1,FALSE)
               +Andel_beroende_av_klimat*VLOOKUP($A152,Leveranser_per_nät,'Leveranser per nät'!AB$1,FALSE)/VLOOKUP($B152,Korrigeringsfaktor_GD,'Korrigeringsfaktor GD'!AB$1,FALSE),
"")</f>
        <v>36.576486033519551</v>
      </c>
      <c r="AC152" s="18">
        <f>IFERROR(
                  Andel_oberoende_av_klimat*VLOOKUP($A152,Leveranser_per_nät,'Leveranser per nät'!AC$1,FALSE)
               +Andel_beroende_av_klimat*VLOOKUP($A152,Leveranser_per_nät,'Leveranser per nät'!AC$1,FALSE)/VLOOKUP($B152,Korrigeringsfaktor_GD,'Korrigeringsfaktor GD'!AC$1,FALSE),
"")</f>
        <v>34.631391959798989</v>
      </c>
      <c r="AD152" t="e">
        <v>#N/A</v>
      </c>
    </row>
    <row r="153" spans="1:30" x14ac:dyDescent="0.25">
      <c r="A153" s="4" t="s">
        <v>385</v>
      </c>
      <c r="B153" t="s">
        <v>173</v>
      </c>
      <c r="C153" s="18">
        <f>IFERROR(
                  Andel_oberoende_av_klimat*VLOOKUP($A153,Leveranser_per_nät,'Leveranser per nät'!C$1,FALSE)
               +Andel_beroende_av_klimat*VLOOKUP($A153,Leveranser_per_nät,'Leveranser per nät'!C$1,FALSE)/VLOOKUP($B153,Korrigeringsfaktor_GD,'Korrigeringsfaktor GD'!C$1,FALSE),
"")</f>
        <v>0</v>
      </c>
      <c r="D153" s="18">
        <f>IFERROR(
                  Andel_oberoende_av_klimat*VLOOKUP($A153,Leveranser_per_nät,'Leveranser per nät'!D$1,FALSE)
               +Andel_beroende_av_klimat*VLOOKUP($A153,Leveranser_per_nät,'Leveranser per nät'!D$1,FALSE)/VLOOKUP($B153,Korrigeringsfaktor_GD,'Korrigeringsfaktor GD'!D$1,FALSE),
"")</f>
        <v>0</v>
      </c>
      <c r="E153" s="18">
        <f>IFERROR(
                  Andel_oberoende_av_klimat*VLOOKUP($A153,Leveranser_per_nät,'Leveranser per nät'!E$1,FALSE)
               +Andel_beroende_av_klimat*VLOOKUP($A153,Leveranser_per_nät,'Leveranser per nät'!E$1,FALSE)/VLOOKUP($B153,Korrigeringsfaktor_GD,'Korrigeringsfaktor GD'!E$1,FALSE),
"")</f>
        <v>0</v>
      </c>
      <c r="F153" s="18">
        <f>IFERROR(
                  Andel_oberoende_av_klimat*VLOOKUP($A153,Leveranser_per_nät,'Leveranser per nät'!F$1,FALSE)
               +Andel_beroende_av_klimat*VLOOKUP($A153,Leveranser_per_nät,'Leveranser per nät'!F$1,FALSE)/VLOOKUP($B153,Korrigeringsfaktor_GD,'Korrigeringsfaktor GD'!F$1,FALSE),
"")</f>
        <v>0</v>
      </c>
      <c r="G153" s="18">
        <f>IFERROR(
                  Andel_oberoende_av_klimat*VLOOKUP($A153,Leveranser_per_nät,'Leveranser per nät'!G$1,FALSE)
               +Andel_beroende_av_klimat*VLOOKUP($A153,Leveranser_per_nät,'Leveranser per nät'!G$1,FALSE)/VLOOKUP($B153,Korrigeringsfaktor_GD,'Korrigeringsfaktor GD'!G$1,FALSE),
"")</f>
        <v>0</v>
      </c>
      <c r="H153" s="18">
        <f>IFERROR(
                  Andel_oberoende_av_klimat*VLOOKUP($A153,Leveranser_per_nät,'Leveranser per nät'!H$1,FALSE)
               +Andel_beroende_av_klimat*VLOOKUP($A153,Leveranser_per_nät,'Leveranser per nät'!H$1,FALSE)/VLOOKUP($B153,Korrigeringsfaktor_GD,'Korrigeringsfaktor GD'!H$1,FALSE),
"")</f>
        <v>0</v>
      </c>
      <c r="I153" s="18">
        <f>IFERROR(
                  Andel_oberoende_av_klimat*VLOOKUP($A153,Leveranser_per_nät,'Leveranser per nät'!I$1,FALSE)
               +Andel_beroende_av_klimat*VLOOKUP($A153,Leveranser_per_nät,'Leveranser per nät'!I$1,FALSE)/VLOOKUP($B153,Korrigeringsfaktor_GD,'Korrigeringsfaktor GD'!I$1,FALSE),
"")</f>
        <v>0</v>
      </c>
      <c r="J153" s="18">
        <f>IFERROR(
                  Andel_oberoende_av_klimat*VLOOKUP($A153,Leveranser_per_nät,'Leveranser per nät'!J$1,FALSE)
               +Andel_beroende_av_klimat*VLOOKUP($A153,Leveranser_per_nät,'Leveranser per nät'!J$1,FALSE)/VLOOKUP($B153,Korrigeringsfaktor_GD,'Korrigeringsfaktor GD'!J$1,FALSE),
"")</f>
        <v>0</v>
      </c>
      <c r="K153" s="18">
        <f>IFERROR(
                  Andel_oberoende_av_klimat*VLOOKUP($A153,Leveranser_per_nät,'Leveranser per nät'!K$1,FALSE)
               +Andel_beroende_av_klimat*VLOOKUP($A153,Leveranser_per_nät,'Leveranser per nät'!K$1,FALSE)/VLOOKUP($B153,Korrigeringsfaktor_GD,'Korrigeringsfaktor GD'!K$1,FALSE),
"")</f>
        <v>0</v>
      </c>
      <c r="L153" s="18">
        <f>IFERROR(
                  Andel_oberoende_av_klimat*VLOOKUP($A153,Leveranser_per_nät,'Leveranser per nät'!L$1,FALSE)
               +Andel_beroende_av_klimat*VLOOKUP($A153,Leveranser_per_nät,'Leveranser per nät'!L$1,FALSE)/VLOOKUP($B153,Korrigeringsfaktor_GD,'Korrigeringsfaktor GD'!L$1,FALSE),
"")</f>
        <v>0.21879264889818348</v>
      </c>
      <c r="M153" s="18">
        <f>IFERROR(
                  Andel_oberoende_av_klimat*VLOOKUP($A153,Leveranser_per_nät,'Leveranser per nät'!M$1,FALSE)
               +Andel_beroende_av_klimat*VLOOKUP($A153,Leveranser_per_nät,'Leveranser per nät'!M$1,FALSE)/VLOOKUP($B153,Korrigeringsfaktor_GD,'Korrigeringsfaktor GD'!M$1,FALSE),
"")</f>
        <v>0.72807056433266693</v>
      </c>
      <c r="N153" s="18">
        <f>IFERROR(
                  Andel_oberoende_av_klimat*VLOOKUP($A153,Leveranser_per_nät,'Leveranser per nät'!N$1,FALSE)
               +Andel_beroende_av_klimat*VLOOKUP($A153,Leveranser_per_nät,'Leveranser per nät'!N$1,FALSE)/VLOOKUP($B153,Korrigeringsfaktor_GD,'Korrigeringsfaktor GD'!N$1,FALSE),
"")</f>
        <v>1.2502222222222221</v>
      </c>
      <c r="O153" s="18">
        <f>IFERROR(
                  Andel_oberoende_av_klimat*VLOOKUP($A153,Leveranser_per_nät,'Leveranser per nät'!O$1,FALSE)
               +Andel_beroende_av_klimat*VLOOKUP($A153,Leveranser_per_nät,'Leveranser per nät'!O$1,FALSE)/VLOOKUP($B153,Korrigeringsfaktor_GD,'Korrigeringsfaktor GD'!O$1,FALSE),
"")</f>
        <v>1.0405310344827585</v>
      </c>
      <c r="P153" s="18">
        <f>IFERROR(
                  Andel_oberoende_av_klimat*VLOOKUP($A153,Leveranser_per_nät,'Leveranser per nät'!P$1,FALSE)
               +Andel_beroende_av_klimat*VLOOKUP($A153,Leveranser_per_nät,'Leveranser per nät'!P$1,FALSE)/VLOOKUP($B153,Korrigeringsfaktor_GD,'Korrigeringsfaktor GD'!P$1,FALSE),
"")</f>
        <v>1.1289958333333332</v>
      </c>
      <c r="Q153" s="18">
        <f>IFERROR(
                  Andel_oberoende_av_klimat*VLOOKUP($A153,Leveranser_per_nät,'Leveranser per nät'!Q$1,FALSE)
               +Andel_beroende_av_klimat*VLOOKUP($A153,Leveranser_per_nät,'Leveranser per nät'!Q$1,FALSE)/VLOOKUP($B153,Korrigeringsfaktor_GD,'Korrigeringsfaktor GD'!Q$1,FALSE),
"")</f>
        <v>1.3282186440677968</v>
      </c>
      <c r="R153" s="18">
        <f>IFERROR(
                  Andel_oberoende_av_klimat*VLOOKUP($A153,Leveranser_per_nät,'Leveranser per nät'!R$1,FALSE)
               +Andel_beroende_av_klimat*VLOOKUP($A153,Leveranser_per_nät,'Leveranser per nät'!R$1,FALSE)/VLOOKUP($B153,Korrigeringsfaktor_GD,'Korrigeringsfaktor GD'!R$1,FALSE),
"")</f>
        <v>1.304111111111111</v>
      </c>
      <c r="S153" s="18">
        <f>IFERROR(
                  Andel_oberoende_av_klimat*VLOOKUP($A153,Leveranser_per_nät,'Leveranser per nät'!S$1,FALSE)
               +Andel_beroende_av_klimat*VLOOKUP($A153,Leveranser_per_nät,'Leveranser per nät'!S$1,FALSE)/VLOOKUP($B153,Korrigeringsfaktor_GD,'Korrigeringsfaktor GD'!S$1,FALSE),
"")</f>
        <v>1.290990099009901</v>
      </c>
      <c r="T153" s="18">
        <f>IFERROR(
                  Andel_oberoende_av_klimat*VLOOKUP($A153,Leveranser_per_nät,'Leveranser per nät'!T$1,FALSE)
               +Andel_beroende_av_klimat*VLOOKUP($A153,Leveranser_per_nät,'Leveranser per nät'!T$1,FALSE)/VLOOKUP($B153,Korrigeringsfaktor_GD,'Korrigeringsfaktor GD'!T$1,FALSE),
"")</f>
        <v>1.3692857142857144</v>
      </c>
      <c r="U153" s="18">
        <f>IFERROR(
                  Andel_oberoende_av_klimat*VLOOKUP($A153,Leveranser_per_nät,'Leveranser per nät'!U$1,FALSE)
               +Andel_beroende_av_klimat*VLOOKUP($A153,Leveranser_per_nät,'Leveranser per nät'!U$1,FALSE)/VLOOKUP($B153,Korrigeringsfaktor_GD,'Korrigeringsfaktor GD'!U$1,FALSE),
"")</f>
        <v>1.292</v>
      </c>
      <c r="V153" s="18">
        <f>IFERROR(
                  Andel_oberoende_av_klimat*VLOOKUP($A153,Leveranser_per_nät,'Leveranser per nät'!V$1,FALSE)
               +Andel_beroende_av_klimat*VLOOKUP($A153,Leveranser_per_nät,'Leveranser per nät'!V$1,FALSE)/VLOOKUP($B153,Korrigeringsfaktor_GD,'Korrigeringsfaktor GD'!V$1,FALSE),
"")</f>
        <v>1.2712247191011237</v>
      </c>
      <c r="W153" s="18">
        <f>IFERROR(
                  Andel_oberoende_av_klimat*VLOOKUP($A153,Leveranser_per_nät,'Leveranser per nät'!W$1,FALSE)
               +Andel_beroende_av_klimat*VLOOKUP($A153,Leveranser_per_nät,'Leveranser per nät'!W$1,FALSE)/VLOOKUP($B153,Korrigeringsfaktor_GD,'Korrigeringsfaktor GD'!W$1,FALSE),
"")</f>
        <v>1.1923684210526315</v>
      </c>
      <c r="X153" s="18">
        <f>IFERROR(
                  Andel_oberoende_av_klimat*VLOOKUP($A153,Leveranser_per_nät,'Leveranser per nät'!X$1,FALSE)
               +Andel_beroende_av_klimat*VLOOKUP($A153,Leveranser_per_nät,'Leveranser per nät'!X$1,FALSE)/VLOOKUP($B153,Korrigeringsfaktor_GD,'Korrigeringsfaktor GD'!X$1,FALSE),
"")</f>
        <v>1.1158494623655915</v>
      </c>
      <c r="Y153" s="18">
        <f>IFERROR(
                  Andel_oberoende_av_klimat*VLOOKUP($A153,Leveranser_per_nät,'Leveranser per nät'!Y$1,FALSE)
               +Andel_beroende_av_klimat*VLOOKUP($A153,Leveranser_per_nät,'Leveranser per nät'!Y$1,FALSE)/VLOOKUP($B153,Korrigeringsfaktor_GD,'Korrigeringsfaktor GD'!Y$1,FALSE),
"")</f>
        <v>1.1696086956521738</v>
      </c>
      <c r="Z153" s="18">
        <f>IFERROR(
                  Andel_oberoende_av_klimat*VLOOKUP($A153,Leveranser_per_nät,'Leveranser per nät'!Z$1,FALSE)
               +Andel_beroende_av_klimat*VLOOKUP($A153,Leveranser_per_nät,'Leveranser per nät'!Z$1,FALSE)/VLOOKUP($B153,Korrigeringsfaktor_GD,'Korrigeringsfaktor GD'!Z$1,FALSE),
"")</f>
        <v>1.1616521739130434</v>
      </c>
      <c r="AA153" s="18">
        <f>IFERROR(
                  Andel_oberoende_av_klimat*VLOOKUP($A153,Leveranser_per_nät,'Leveranser per nät'!AA$1,FALSE)
               +Andel_beroende_av_klimat*VLOOKUP($A153,Leveranser_per_nät,'Leveranser per nät'!AA$1,FALSE)/VLOOKUP($B153,Korrigeringsfaktor_GD,'Korrigeringsfaktor GD'!AA$1,FALSE),
"")</f>
        <v>1.2253149717514125</v>
      </c>
      <c r="AB153" s="18">
        <f>IFERROR(
                  Andel_oberoende_av_klimat*VLOOKUP($A153,Leveranser_per_nät,'Leveranser per nät'!AB$1,FALSE)
               +Andel_beroende_av_klimat*VLOOKUP($A153,Leveranser_per_nät,'Leveranser per nät'!AB$1,FALSE)/VLOOKUP($B153,Korrigeringsfaktor_GD,'Korrigeringsfaktor GD'!AB$1,FALSE),
"")</f>
        <v>1.1064162162162161</v>
      </c>
      <c r="AC153" s="18">
        <f>IFERROR(
                  Andel_oberoende_av_klimat*VLOOKUP($A153,Leveranser_per_nät,'Leveranser per nät'!AC$1,FALSE)
               +Andel_beroende_av_klimat*VLOOKUP($A153,Leveranser_per_nät,'Leveranser per nät'!AC$1,FALSE)/VLOOKUP($B153,Korrigeringsfaktor_GD,'Korrigeringsfaktor GD'!AC$1,FALSE),
"")</f>
        <v>1.0996305466237941</v>
      </c>
      <c r="AD153" t="e">
        <v>#N/A</v>
      </c>
    </row>
    <row r="154" spans="1:30" x14ac:dyDescent="0.25">
      <c r="A154" s="4" t="s">
        <v>386</v>
      </c>
      <c r="B154" t="s">
        <v>173</v>
      </c>
      <c r="C154" s="18">
        <f>IFERROR(
                  Andel_oberoende_av_klimat*VLOOKUP($A154,Leveranser_per_nät,'Leveranser per nät'!C$1,FALSE)
               +Andel_beroende_av_klimat*VLOOKUP($A154,Leveranser_per_nät,'Leveranser per nät'!C$1,FALSE)/VLOOKUP($B154,Korrigeringsfaktor_GD,'Korrigeringsfaktor GD'!C$1,FALSE),
"")</f>
        <v>0</v>
      </c>
      <c r="D154" s="18">
        <f>IFERROR(
                  Andel_oberoende_av_klimat*VLOOKUP($A154,Leveranser_per_nät,'Leveranser per nät'!D$1,FALSE)
               +Andel_beroende_av_klimat*VLOOKUP($A154,Leveranser_per_nät,'Leveranser per nät'!D$1,FALSE)/VLOOKUP($B154,Korrigeringsfaktor_GD,'Korrigeringsfaktor GD'!D$1,FALSE),
"")</f>
        <v>0</v>
      </c>
      <c r="E154" s="18">
        <f>IFERROR(
                  Andel_oberoende_av_klimat*VLOOKUP($A154,Leveranser_per_nät,'Leveranser per nät'!E$1,FALSE)
               +Andel_beroende_av_klimat*VLOOKUP($A154,Leveranser_per_nät,'Leveranser per nät'!E$1,FALSE)/VLOOKUP($B154,Korrigeringsfaktor_GD,'Korrigeringsfaktor GD'!E$1,FALSE),
"")</f>
        <v>0</v>
      </c>
      <c r="F154" s="18">
        <f>IFERROR(
                  Andel_oberoende_av_klimat*VLOOKUP($A154,Leveranser_per_nät,'Leveranser per nät'!F$1,FALSE)
               +Andel_beroende_av_klimat*VLOOKUP($A154,Leveranser_per_nät,'Leveranser per nät'!F$1,FALSE)/VLOOKUP($B154,Korrigeringsfaktor_GD,'Korrigeringsfaktor GD'!F$1,FALSE),
"")</f>
        <v>0</v>
      </c>
      <c r="G154" s="18">
        <f>IFERROR(
                  Andel_oberoende_av_klimat*VLOOKUP($A154,Leveranser_per_nät,'Leveranser per nät'!G$1,FALSE)
               +Andel_beroende_av_klimat*VLOOKUP($A154,Leveranser_per_nät,'Leveranser per nät'!G$1,FALSE)/VLOOKUP($B154,Korrigeringsfaktor_GD,'Korrigeringsfaktor GD'!G$1,FALSE),
"")</f>
        <v>0</v>
      </c>
      <c r="H154" s="18">
        <f>IFERROR(
                  Andel_oberoende_av_klimat*VLOOKUP($A154,Leveranser_per_nät,'Leveranser per nät'!H$1,FALSE)
               +Andel_beroende_av_klimat*VLOOKUP($A154,Leveranser_per_nät,'Leveranser per nät'!H$1,FALSE)/VLOOKUP($B154,Korrigeringsfaktor_GD,'Korrigeringsfaktor GD'!H$1,FALSE),
"")</f>
        <v>0</v>
      </c>
      <c r="I154" s="18">
        <f>IFERROR(
                  Andel_oberoende_av_klimat*VLOOKUP($A154,Leveranser_per_nät,'Leveranser per nät'!I$1,FALSE)
               +Andel_beroende_av_klimat*VLOOKUP($A154,Leveranser_per_nät,'Leveranser per nät'!I$1,FALSE)/VLOOKUP($B154,Korrigeringsfaktor_GD,'Korrigeringsfaktor GD'!I$1,FALSE),
"")</f>
        <v>0</v>
      </c>
      <c r="J154" s="18">
        <f>IFERROR(
                  Andel_oberoende_av_klimat*VLOOKUP($A154,Leveranser_per_nät,'Leveranser per nät'!J$1,FALSE)
               +Andel_beroende_av_klimat*VLOOKUP($A154,Leveranser_per_nät,'Leveranser per nät'!J$1,FALSE)/VLOOKUP($B154,Korrigeringsfaktor_GD,'Korrigeringsfaktor GD'!J$1,FALSE),
"")</f>
        <v>1.007070707070707</v>
      </c>
      <c r="K154" s="18">
        <f>IFERROR(
                  Andel_oberoende_av_klimat*VLOOKUP($A154,Leveranser_per_nät,'Leveranser per nät'!K$1,FALSE)
               +Andel_beroende_av_klimat*VLOOKUP($A154,Leveranser_per_nät,'Leveranser per nät'!K$1,FALSE)/VLOOKUP($B154,Korrigeringsfaktor_GD,'Korrigeringsfaktor GD'!K$1,FALSE),
"")</f>
        <v>1.2014459053574544</v>
      </c>
      <c r="L154" s="18">
        <f>IFERROR(
                  Andel_oberoende_av_klimat*VLOOKUP($A154,Leveranser_per_nät,'Leveranser per nät'!L$1,FALSE)
               +Andel_beroende_av_klimat*VLOOKUP($A154,Leveranser_per_nät,'Leveranser per nät'!L$1,FALSE)/VLOOKUP($B154,Korrigeringsfaktor_GD,'Korrigeringsfaktor GD'!L$1,FALSE),
"")</f>
        <v>1.4089788384542703</v>
      </c>
      <c r="M154" s="18">
        <f>IFERROR(
                  Andel_oberoende_av_klimat*VLOOKUP($A154,Leveranser_per_nät,'Leveranser per nät'!M$1,FALSE)
               +Andel_beroende_av_klimat*VLOOKUP($A154,Leveranser_per_nät,'Leveranser per nät'!M$1,FALSE)/VLOOKUP($B154,Korrigeringsfaktor_GD,'Korrigeringsfaktor GD'!M$1,FALSE),
"")</f>
        <v>1.226390818340803</v>
      </c>
      <c r="N154" s="18">
        <f>IFERROR(
                  Andel_oberoende_av_klimat*VLOOKUP($A154,Leveranser_per_nät,'Leveranser per nät'!N$1,FALSE)
               +Andel_beroende_av_klimat*VLOOKUP($A154,Leveranser_per_nät,'Leveranser per nät'!N$1,FALSE)/VLOOKUP($B154,Korrigeringsfaktor_GD,'Korrigeringsfaktor GD'!N$1,FALSE),
"")</f>
        <v>1.0163444444444445</v>
      </c>
      <c r="O154" s="18">
        <f>IFERROR(
                  Andel_oberoende_av_klimat*VLOOKUP($A154,Leveranser_per_nät,'Leveranser per nät'!O$1,FALSE)
               +Andel_beroende_av_klimat*VLOOKUP($A154,Leveranser_per_nät,'Leveranser per nät'!O$1,FALSE)/VLOOKUP($B154,Korrigeringsfaktor_GD,'Korrigeringsfaktor GD'!O$1,FALSE),
"")</f>
        <v>0.91460689655172411</v>
      </c>
      <c r="P154" s="18">
        <f>IFERROR(
                  Andel_oberoende_av_klimat*VLOOKUP($A154,Leveranser_per_nät,'Leveranser per nät'!P$1,FALSE)
               +Andel_beroende_av_klimat*VLOOKUP($A154,Leveranser_per_nät,'Leveranser per nät'!P$1,FALSE)/VLOOKUP($B154,Korrigeringsfaktor_GD,'Korrigeringsfaktor GD'!P$1,FALSE),
"")</f>
        <v>0.88714166666666672</v>
      </c>
      <c r="Q154" s="18">
        <f>IFERROR(
                  Andel_oberoende_av_klimat*VLOOKUP($A154,Leveranser_per_nät,'Leveranser per nät'!Q$1,FALSE)
               +Andel_beroende_av_klimat*VLOOKUP($A154,Leveranser_per_nät,'Leveranser per nät'!Q$1,FALSE)/VLOOKUP($B154,Korrigeringsfaktor_GD,'Korrigeringsfaktor GD'!Q$1,FALSE),
"")</f>
        <v>1.0039796610169494</v>
      </c>
      <c r="R154" s="18">
        <f>IFERROR(
                  Andel_oberoende_av_klimat*VLOOKUP($A154,Leveranser_per_nät,'Leveranser per nät'!R$1,FALSE)
               +Andel_beroende_av_klimat*VLOOKUP($A154,Leveranser_per_nät,'Leveranser per nät'!R$1,FALSE)/VLOOKUP($B154,Korrigeringsfaktor_GD,'Korrigeringsfaktor GD'!R$1,FALSE),
"")</f>
        <v>1.0131111111111111</v>
      </c>
      <c r="S154" s="18">
        <f>IFERROR(
                  Andel_oberoende_av_klimat*VLOOKUP($A154,Leveranser_per_nät,'Leveranser per nät'!S$1,FALSE)
               +Andel_beroende_av_klimat*VLOOKUP($A154,Leveranser_per_nät,'Leveranser per nät'!S$1,FALSE)/VLOOKUP($B154,Korrigeringsfaktor_GD,'Korrigeringsfaktor GD'!S$1,FALSE),
"")</f>
        <v>0.94341584158415837</v>
      </c>
      <c r="T154" s="18">
        <f>IFERROR(
                  Andel_oberoende_av_klimat*VLOOKUP($A154,Leveranser_per_nät,'Leveranser per nät'!T$1,FALSE)
               +Andel_beroende_av_klimat*VLOOKUP($A154,Leveranser_per_nät,'Leveranser per nät'!T$1,FALSE)/VLOOKUP($B154,Korrigeringsfaktor_GD,'Korrigeringsfaktor GD'!T$1,FALSE),
"")</f>
        <v>0.8621428571428571</v>
      </c>
      <c r="U154" s="18">
        <f>IFERROR(
                  Andel_oberoende_av_klimat*VLOOKUP($A154,Leveranser_per_nät,'Leveranser per nät'!U$1,FALSE)
               +Andel_beroende_av_klimat*VLOOKUP($A154,Leveranser_per_nät,'Leveranser per nät'!U$1,FALSE)/VLOOKUP($B154,Korrigeringsfaktor_GD,'Korrigeringsfaktor GD'!U$1,FALSE),
"")</f>
        <v>0.85680000000000001</v>
      </c>
      <c r="V154" s="18">
        <f>IFERROR(
                  Andel_oberoende_av_klimat*VLOOKUP($A154,Leveranser_per_nät,'Leveranser per nät'!V$1,FALSE)
               +Andel_beroende_av_klimat*VLOOKUP($A154,Leveranser_per_nät,'Leveranser per nät'!V$1,FALSE)/VLOOKUP($B154,Korrigeringsfaktor_GD,'Korrigeringsfaktor GD'!V$1,FALSE),
"")</f>
        <v>0.83661797752808975</v>
      </c>
      <c r="W154" s="18">
        <f>IFERROR(
                  Andel_oberoende_av_klimat*VLOOKUP($A154,Leveranser_per_nät,'Leveranser per nät'!W$1,FALSE)
               +Andel_beroende_av_klimat*VLOOKUP($A154,Leveranser_per_nät,'Leveranser per nät'!W$1,FALSE)/VLOOKUP($B154,Korrigeringsfaktor_GD,'Korrigeringsfaktor GD'!W$1,FALSE),
"")</f>
        <v>0.9227894736842106</v>
      </c>
      <c r="X154" s="18">
        <f>IFERROR(
                  Andel_oberoende_av_klimat*VLOOKUP($A154,Leveranser_per_nät,'Leveranser per nät'!X$1,FALSE)
               +Andel_beroende_av_klimat*VLOOKUP($A154,Leveranser_per_nät,'Leveranser per nät'!X$1,FALSE)/VLOOKUP($B154,Korrigeringsfaktor_GD,'Korrigeringsfaktor GD'!X$1,FALSE),
"")</f>
        <v>0.78951612903225787</v>
      </c>
      <c r="Y154" s="18">
        <f>IFERROR(
                  Andel_oberoende_av_klimat*VLOOKUP($A154,Leveranser_per_nät,'Leveranser per nät'!Y$1,FALSE)
               +Andel_beroende_av_klimat*VLOOKUP($A154,Leveranser_per_nät,'Leveranser per nät'!Y$1,FALSE)/VLOOKUP($B154,Korrigeringsfaktor_GD,'Korrigeringsfaktor GD'!Y$1,FALSE),
"")</f>
        <v>0.86025913043478253</v>
      </c>
      <c r="Z154" s="18">
        <f>IFERROR(
                  Andel_oberoende_av_klimat*VLOOKUP($A154,Leveranser_per_nät,'Leveranser per nät'!Z$1,FALSE)
               +Andel_beroende_av_klimat*VLOOKUP($A154,Leveranser_per_nät,'Leveranser per nät'!Z$1,FALSE)/VLOOKUP($B154,Korrigeringsfaktor_GD,'Korrigeringsfaktor GD'!Z$1,FALSE),
"")</f>
        <v>1.0948173913043477</v>
      </c>
      <c r="AA154" s="18">
        <f>IFERROR(
                  Andel_oberoende_av_klimat*VLOOKUP($A154,Leveranser_per_nät,'Leveranser per nät'!AA$1,FALSE)
               +Andel_beroende_av_klimat*VLOOKUP($A154,Leveranser_per_nät,'Leveranser per nät'!AA$1,FALSE)/VLOOKUP($B154,Korrigeringsfaktor_GD,'Korrigeringsfaktor GD'!AA$1,FALSE),
"")</f>
        <v>1.18209604519774</v>
      </c>
      <c r="AB154" s="18">
        <f>IFERROR(
                  Andel_oberoende_av_klimat*VLOOKUP($A154,Leveranser_per_nät,'Leveranser per nät'!AB$1,FALSE)
               +Andel_beroende_av_klimat*VLOOKUP($A154,Leveranser_per_nät,'Leveranser per nät'!AB$1,FALSE)/VLOOKUP($B154,Korrigeringsfaktor_GD,'Korrigeringsfaktor GD'!AB$1,FALSE),
"")</f>
        <v>1.1288567567567567</v>
      </c>
      <c r="AC154" s="18">
        <f>IFERROR(
                  Andel_oberoende_av_klimat*VLOOKUP($A154,Leveranser_per_nät,'Leveranser per nät'!AC$1,FALSE)
               +Andel_beroende_av_klimat*VLOOKUP($A154,Leveranser_per_nät,'Leveranser per nät'!AC$1,FALSE)/VLOOKUP($B154,Korrigeringsfaktor_GD,'Korrigeringsfaktor GD'!AC$1,FALSE),
"")</f>
        <v>1.245617792068596</v>
      </c>
      <c r="AD154" t="e">
        <v>#N/A</v>
      </c>
    </row>
    <row r="155" spans="1:30" x14ac:dyDescent="0.25">
      <c r="A155" s="4" t="s">
        <v>387</v>
      </c>
      <c r="B155" t="s">
        <v>173</v>
      </c>
      <c r="C155" s="18">
        <f>IFERROR(
                  Andel_oberoende_av_klimat*VLOOKUP($A155,Leveranser_per_nät,'Leveranser per nät'!C$1,FALSE)
               +Andel_beroende_av_klimat*VLOOKUP($A155,Leveranser_per_nät,'Leveranser per nät'!C$1,FALSE)/VLOOKUP($B155,Korrigeringsfaktor_GD,'Korrigeringsfaktor GD'!C$1,FALSE),
"")</f>
        <v>0</v>
      </c>
      <c r="D155" s="18">
        <f>IFERROR(
                  Andel_oberoende_av_klimat*VLOOKUP($A155,Leveranser_per_nät,'Leveranser per nät'!D$1,FALSE)
               +Andel_beroende_av_klimat*VLOOKUP($A155,Leveranser_per_nät,'Leveranser per nät'!D$1,FALSE)/VLOOKUP($B155,Korrigeringsfaktor_GD,'Korrigeringsfaktor GD'!D$1,FALSE),
"")</f>
        <v>0</v>
      </c>
      <c r="E155" s="18">
        <f>IFERROR(
                  Andel_oberoende_av_klimat*VLOOKUP($A155,Leveranser_per_nät,'Leveranser per nät'!E$1,FALSE)
               +Andel_beroende_av_klimat*VLOOKUP($A155,Leveranser_per_nät,'Leveranser per nät'!E$1,FALSE)/VLOOKUP($B155,Korrigeringsfaktor_GD,'Korrigeringsfaktor GD'!E$1,FALSE),
"")</f>
        <v>0</v>
      </c>
      <c r="F155" s="18">
        <f>IFERROR(
                  Andel_oberoende_av_klimat*VLOOKUP($A155,Leveranser_per_nät,'Leveranser per nät'!F$1,FALSE)
               +Andel_beroende_av_klimat*VLOOKUP($A155,Leveranser_per_nät,'Leveranser per nät'!F$1,FALSE)/VLOOKUP($B155,Korrigeringsfaktor_GD,'Korrigeringsfaktor GD'!F$1,FALSE),
"")</f>
        <v>0</v>
      </c>
      <c r="G155" s="18">
        <f>IFERROR(
                  Andel_oberoende_av_klimat*VLOOKUP($A155,Leveranser_per_nät,'Leveranser per nät'!G$1,FALSE)
               +Andel_beroende_av_klimat*VLOOKUP($A155,Leveranser_per_nät,'Leveranser per nät'!G$1,FALSE)/VLOOKUP($B155,Korrigeringsfaktor_GD,'Korrigeringsfaktor GD'!G$1,FALSE),
"")</f>
        <v>0</v>
      </c>
      <c r="H155" s="18">
        <f>IFERROR(
                  Andel_oberoende_av_klimat*VLOOKUP($A155,Leveranser_per_nät,'Leveranser per nät'!H$1,FALSE)
               +Andel_beroende_av_klimat*VLOOKUP($A155,Leveranser_per_nät,'Leveranser per nät'!H$1,FALSE)/VLOOKUP($B155,Korrigeringsfaktor_GD,'Korrigeringsfaktor GD'!H$1,FALSE),
"")</f>
        <v>0</v>
      </c>
      <c r="I155" s="18">
        <f>IFERROR(
                  Andel_oberoende_av_klimat*VLOOKUP($A155,Leveranser_per_nät,'Leveranser per nät'!I$1,FALSE)
               +Andel_beroende_av_klimat*VLOOKUP($A155,Leveranser_per_nät,'Leveranser per nät'!I$1,FALSE)/VLOOKUP($B155,Korrigeringsfaktor_GD,'Korrigeringsfaktor GD'!I$1,FALSE),
"")</f>
        <v>2.0736842105263156</v>
      </c>
      <c r="J155" s="18">
        <f>IFERROR(
                  Andel_oberoende_av_klimat*VLOOKUP($A155,Leveranser_per_nät,'Leveranser per nät'!J$1,FALSE)
               +Andel_beroende_av_klimat*VLOOKUP($A155,Leveranser_per_nät,'Leveranser per nät'!J$1,FALSE)/VLOOKUP($B155,Korrigeringsfaktor_GD,'Korrigeringsfaktor GD'!J$1,FALSE),
"")</f>
        <v>2.014141414141414</v>
      </c>
      <c r="K155" s="18">
        <f>IFERROR(
                  Andel_oberoende_av_klimat*VLOOKUP($A155,Leveranser_per_nät,'Leveranser per nät'!K$1,FALSE)
               +Andel_beroende_av_klimat*VLOOKUP($A155,Leveranser_per_nät,'Leveranser per nät'!K$1,FALSE)/VLOOKUP($B155,Korrigeringsfaktor_GD,'Korrigeringsfaktor GD'!K$1,FALSE),
"")</f>
        <v>2.5641142857142856</v>
      </c>
      <c r="L155" s="18">
        <f>IFERROR(
                  Andel_oberoende_av_klimat*VLOOKUP($A155,Leveranser_per_nät,'Leveranser per nät'!L$1,FALSE)
               +Andel_beroende_av_klimat*VLOOKUP($A155,Leveranser_per_nät,'Leveranser per nät'!L$1,FALSE)/VLOOKUP($B155,Korrigeringsfaktor_GD,'Korrigeringsfaktor GD'!L$1,FALSE),
"")</f>
        <v>3.1451333333333333</v>
      </c>
      <c r="M155" s="18">
        <f>IFERROR(
                  Andel_oberoende_av_klimat*VLOOKUP($A155,Leveranser_per_nät,'Leveranser per nät'!M$1,FALSE)
               +Andel_beroende_av_klimat*VLOOKUP($A155,Leveranser_per_nät,'Leveranser per nät'!M$1,FALSE)/VLOOKUP($B155,Korrigeringsfaktor_GD,'Korrigeringsfaktor GD'!M$1,FALSE),
"")</f>
        <v>2.9508086956521744</v>
      </c>
      <c r="N155" s="18">
        <f>IFERROR(
                  Andel_oberoende_av_klimat*VLOOKUP($A155,Leveranser_per_nät,'Leveranser per nät'!N$1,FALSE)
               +Andel_beroende_av_klimat*VLOOKUP($A155,Leveranser_per_nät,'Leveranser per nät'!N$1,FALSE)/VLOOKUP($B155,Korrigeringsfaktor_GD,'Korrigeringsfaktor GD'!N$1,FALSE),
"")</f>
        <v>2.7019888888888888</v>
      </c>
      <c r="O155" s="18">
        <f>IFERROR(
                  Andel_oberoende_av_klimat*VLOOKUP($A155,Leveranser_per_nät,'Leveranser per nät'!O$1,FALSE)
               +Andel_beroende_av_klimat*VLOOKUP($A155,Leveranser_per_nät,'Leveranser per nät'!O$1,FALSE)/VLOOKUP($B155,Korrigeringsfaktor_GD,'Korrigeringsfaktor GD'!O$1,FALSE),
"")</f>
        <v>2.4179643678160918</v>
      </c>
      <c r="P155" s="18">
        <f>IFERROR(
                  Andel_oberoende_av_klimat*VLOOKUP($A155,Leveranser_per_nät,'Leveranser per nät'!P$1,FALSE)
               +Andel_beroende_av_klimat*VLOOKUP($A155,Leveranser_per_nät,'Leveranser per nät'!P$1,FALSE)/VLOOKUP($B155,Korrigeringsfaktor_GD,'Korrigeringsfaktor GD'!P$1,FALSE),
"")</f>
        <v>2.5471875000000002</v>
      </c>
      <c r="Q155" s="18">
        <f>IFERROR(
                  Andel_oberoende_av_klimat*VLOOKUP($A155,Leveranser_per_nät,'Leveranser per nät'!Q$1,FALSE)
               +Andel_beroende_av_klimat*VLOOKUP($A155,Leveranser_per_nät,'Leveranser per nät'!Q$1,FALSE)/VLOOKUP($B155,Korrigeringsfaktor_GD,'Korrigeringsfaktor GD'!Q$1,FALSE),
"")</f>
        <v>2.6957389830508474</v>
      </c>
      <c r="R155" s="18">
        <f>IFERROR(
                  Andel_oberoende_av_klimat*VLOOKUP($A155,Leveranser_per_nät,'Leveranser per nät'!R$1,FALSE)
               +Andel_beroende_av_klimat*VLOOKUP($A155,Leveranser_per_nät,'Leveranser per nät'!R$1,FALSE)/VLOOKUP($B155,Korrigeringsfaktor_GD,'Korrigeringsfaktor GD'!R$1,FALSE),
"")</f>
        <v>2.8022222222222224</v>
      </c>
      <c r="S155" s="18">
        <f>IFERROR(
                  Andel_oberoende_av_klimat*VLOOKUP($A155,Leveranser_per_nät,'Leveranser per nät'!S$1,FALSE)
               +Andel_beroende_av_klimat*VLOOKUP($A155,Leveranser_per_nät,'Leveranser per nät'!S$1,FALSE)/VLOOKUP($B155,Korrigeringsfaktor_GD,'Korrigeringsfaktor GD'!S$1,FALSE),
"")</f>
        <v>3.0785148514851488</v>
      </c>
      <c r="T155" s="18">
        <f>IFERROR(
                  Andel_oberoende_av_klimat*VLOOKUP($A155,Leveranser_per_nät,'Leveranser per nät'!T$1,FALSE)
               +Andel_beroende_av_klimat*VLOOKUP($A155,Leveranser_per_nät,'Leveranser per nät'!T$1,FALSE)/VLOOKUP($B155,Korrigeringsfaktor_GD,'Korrigeringsfaktor GD'!T$1,FALSE),
"")</f>
        <v>3.0327142857142859</v>
      </c>
      <c r="U155" s="18">
        <f>IFERROR(
                  Andel_oberoende_av_klimat*VLOOKUP($A155,Leveranser_per_nät,'Leveranser per nät'!U$1,FALSE)
               +Andel_beroende_av_klimat*VLOOKUP($A155,Leveranser_per_nät,'Leveranser per nät'!U$1,FALSE)/VLOOKUP($B155,Korrigeringsfaktor_GD,'Korrigeringsfaktor GD'!U$1,FALSE),
"")</f>
        <v>3.1280000000000001</v>
      </c>
      <c r="V155" s="18">
        <f>IFERROR(
                  Andel_oberoende_av_klimat*VLOOKUP($A155,Leveranser_per_nät,'Leveranser per nät'!V$1,FALSE)
               +Andel_beroende_av_klimat*VLOOKUP($A155,Leveranser_per_nät,'Leveranser per nät'!V$1,FALSE)/VLOOKUP($B155,Korrigeringsfaktor_GD,'Korrigeringsfaktor GD'!V$1,FALSE),
"")</f>
        <v>3.0422471910112359</v>
      </c>
      <c r="W155" s="18">
        <f>IFERROR(
                  Andel_oberoende_av_klimat*VLOOKUP($A155,Leveranser_per_nät,'Leveranser per nät'!W$1,FALSE)
               +Andel_beroende_av_klimat*VLOOKUP($A155,Leveranser_per_nät,'Leveranser per nät'!W$1,FALSE)/VLOOKUP($B155,Korrigeringsfaktor_GD,'Korrigeringsfaktor GD'!W$1,FALSE),
"")</f>
        <v>3.006842105263158</v>
      </c>
      <c r="X155" s="18">
        <f>IFERROR(
                  Andel_oberoende_av_klimat*VLOOKUP($A155,Leveranser_per_nät,'Leveranser per nät'!X$1,FALSE)
               +Andel_beroende_av_klimat*VLOOKUP($A155,Leveranser_per_nät,'Leveranser per nät'!X$1,FALSE)/VLOOKUP($B155,Korrigeringsfaktor_GD,'Korrigeringsfaktor GD'!X$1,FALSE),
"")</f>
        <v>3.0527956989247311</v>
      </c>
      <c r="Y155" s="18">
        <f>IFERROR(
                  Andel_oberoende_av_klimat*VLOOKUP($A155,Leveranser_per_nät,'Leveranser per nät'!Y$1,FALSE)
               +Andel_beroende_av_klimat*VLOOKUP($A155,Leveranser_per_nät,'Leveranser per nät'!Y$1,FALSE)/VLOOKUP($B155,Korrigeringsfaktor_GD,'Korrigeringsfaktor GD'!Y$1,FALSE),
"")</f>
        <v>3.1826086956521733</v>
      </c>
      <c r="Z155" s="18">
        <f>IFERROR(
                  Andel_oberoende_av_klimat*VLOOKUP($A155,Leveranser_per_nät,'Leveranser per nät'!Z$1,FALSE)
               +Andel_beroende_av_klimat*VLOOKUP($A155,Leveranser_per_nät,'Leveranser per nät'!Z$1,FALSE)/VLOOKUP($B155,Korrigeringsfaktor_GD,'Korrigeringsfaktor GD'!Z$1,FALSE),
"")</f>
        <v>2.7052173913043474</v>
      </c>
      <c r="AA155" s="18">
        <f>IFERROR(
                  Andel_oberoende_av_klimat*VLOOKUP($A155,Leveranser_per_nät,'Leveranser per nät'!AA$1,FALSE)
               +Andel_beroende_av_klimat*VLOOKUP($A155,Leveranser_per_nät,'Leveranser per nät'!AA$1,FALSE)/VLOOKUP($B155,Korrigeringsfaktor_GD,'Korrigeringsfaktor GD'!AA$1,FALSE),
"")</f>
        <v>2.7800282485875707</v>
      </c>
      <c r="AB155" s="18">
        <f>IFERROR(
                  Andel_oberoende_av_klimat*VLOOKUP($A155,Leveranser_per_nät,'Leveranser per nät'!AB$1,FALSE)
               +Andel_beroende_av_klimat*VLOOKUP($A155,Leveranser_per_nät,'Leveranser per nät'!AB$1,FALSE)/VLOOKUP($B155,Korrigeringsfaktor_GD,'Korrigeringsfaktor GD'!AB$1,FALSE),
"")</f>
        <v>0</v>
      </c>
      <c r="AC155" s="18">
        <f>IFERROR(
                  Andel_oberoende_av_klimat*VLOOKUP($A155,Leveranser_per_nät,'Leveranser per nät'!AC$1,FALSE)
               +Andel_beroende_av_klimat*VLOOKUP($A155,Leveranser_per_nät,'Leveranser per nät'!AC$1,FALSE)/VLOOKUP($B155,Korrigeringsfaktor_GD,'Korrigeringsfaktor GD'!AC$1,FALSE),
"")</f>
        <v>0</v>
      </c>
      <c r="AD155" t="e">
        <v>#N/A</v>
      </c>
    </row>
    <row r="156" spans="1:30" x14ac:dyDescent="0.25">
      <c r="A156" s="4" t="s">
        <v>772</v>
      </c>
      <c r="B156" t="s">
        <v>510</v>
      </c>
      <c r="C156" s="18">
        <f>IFERROR(
                  Andel_oberoende_av_klimat*VLOOKUP($A156,Leveranser_per_nät,'Leveranser per nät'!C$1,FALSE)
               +Andel_beroende_av_klimat*VLOOKUP($A156,Leveranser_per_nät,'Leveranser per nät'!C$1,FALSE)/VLOOKUP($B156,Korrigeringsfaktor_GD,'Korrigeringsfaktor GD'!C$1,FALSE),
"")</f>
        <v>0</v>
      </c>
      <c r="D156" s="18">
        <f>IFERROR(
                  Andel_oberoende_av_klimat*VLOOKUP($A156,Leveranser_per_nät,'Leveranser per nät'!D$1,FALSE)
               +Andel_beroende_av_klimat*VLOOKUP($A156,Leveranser_per_nät,'Leveranser per nät'!D$1,FALSE)/VLOOKUP($B156,Korrigeringsfaktor_GD,'Korrigeringsfaktor GD'!D$1,FALSE),
"")</f>
        <v>0</v>
      </c>
      <c r="E156" s="18">
        <f>IFERROR(
                  Andel_oberoende_av_klimat*VLOOKUP($A156,Leveranser_per_nät,'Leveranser per nät'!E$1,FALSE)
               +Andel_beroende_av_klimat*VLOOKUP($A156,Leveranser_per_nät,'Leveranser per nät'!E$1,FALSE)/VLOOKUP($B156,Korrigeringsfaktor_GD,'Korrigeringsfaktor GD'!E$1,FALSE),
"")</f>
        <v>0</v>
      </c>
      <c r="F156" s="18">
        <f>IFERROR(
                  Andel_oberoende_av_klimat*VLOOKUP($A156,Leveranser_per_nät,'Leveranser per nät'!F$1,FALSE)
               +Andel_beroende_av_klimat*VLOOKUP($A156,Leveranser_per_nät,'Leveranser per nät'!F$1,FALSE)/VLOOKUP($B156,Korrigeringsfaktor_GD,'Korrigeringsfaktor GD'!F$1,FALSE),
"")</f>
        <v>0</v>
      </c>
      <c r="G156" s="18">
        <f>IFERROR(
                  Andel_oberoende_av_klimat*VLOOKUP($A156,Leveranser_per_nät,'Leveranser per nät'!G$1,FALSE)
               +Andel_beroende_av_klimat*VLOOKUP($A156,Leveranser_per_nät,'Leveranser per nät'!G$1,FALSE)/VLOOKUP($B156,Korrigeringsfaktor_GD,'Korrigeringsfaktor GD'!G$1,FALSE),
"")</f>
        <v>0</v>
      </c>
      <c r="H156" s="18">
        <f>IFERROR(
                  Andel_oberoende_av_klimat*VLOOKUP($A156,Leveranser_per_nät,'Leveranser per nät'!H$1,FALSE)
               +Andel_beroende_av_klimat*VLOOKUP($A156,Leveranser_per_nät,'Leveranser per nät'!H$1,FALSE)/VLOOKUP($B156,Korrigeringsfaktor_GD,'Korrigeringsfaktor GD'!H$1,FALSE),
"")</f>
        <v>0</v>
      </c>
      <c r="I156" s="18">
        <f>IFERROR(
                  Andel_oberoende_av_klimat*VLOOKUP($A156,Leveranser_per_nät,'Leveranser per nät'!I$1,FALSE)
               +Andel_beroende_av_klimat*VLOOKUP($A156,Leveranser_per_nät,'Leveranser per nät'!I$1,FALSE)/VLOOKUP($B156,Korrigeringsfaktor_GD,'Korrigeringsfaktor GD'!I$1,FALSE),
"")</f>
        <v>0</v>
      </c>
      <c r="J156" s="18">
        <f>IFERROR(
                  Andel_oberoende_av_klimat*VLOOKUP($A156,Leveranser_per_nät,'Leveranser per nät'!J$1,FALSE)
               +Andel_beroende_av_klimat*VLOOKUP($A156,Leveranser_per_nät,'Leveranser per nät'!J$1,FALSE)/VLOOKUP($B156,Korrigeringsfaktor_GD,'Korrigeringsfaktor GD'!J$1,FALSE),
"")</f>
        <v>0</v>
      </c>
      <c r="K156" s="18">
        <f>IFERROR(
                  Andel_oberoende_av_klimat*VLOOKUP($A156,Leveranser_per_nät,'Leveranser per nät'!K$1,FALSE)
               +Andel_beroende_av_klimat*VLOOKUP($A156,Leveranser_per_nät,'Leveranser per nät'!K$1,FALSE)/VLOOKUP($B156,Korrigeringsfaktor_GD,'Korrigeringsfaktor GD'!K$1,FALSE),
"")</f>
        <v>0</v>
      </c>
      <c r="L156" s="18">
        <f>IFERROR(
                  Andel_oberoende_av_klimat*VLOOKUP($A156,Leveranser_per_nät,'Leveranser per nät'!L$1,FALSE)
               +Andel_beroende_av_klimat*VLOOKUP($A156,Leveranser_per_nät,'Leveranser per nät'!L$1,FALSE)/VLOOKUP($B156,Korrigeringsfaktor_GD,'Korrigeringsfaktor GD'!L$1,FALSE),
"")</f>
        <v>0</v>
      </c>
      <c r="M156" s="18">
        <f>IFERROR(
                  Andel_oberoende_av_klimat*VLOOKUP($A156,Leveranser_per_nät,'Leveranser per nät'!M$1,FALSE)
               +Andel_beroende_av_klimat*VLOOKUP($A156,Leveranser_per_nät,'Leveranser per nät'!M$1,FALSE)/VLOOKUP($B156,Korrigeringsfaktor_GD,'Korrigeringsfaktor GD'!M$1,FALSE),
"")</f>
        <v>0</v>
      </c>
      <c r="N156" s="18">
        <f>IFERROR(
                  Andel_oberoende_av_klimat*VLOOKUP($A156,Leveranser_per_nät,'Leveranser per nät'!N$1,FALSE)
               +Andel_beroende_av_klimat*VLOOKUP($A156,Leveranser_per_nät,'Leveranser per nät'!N$1,FALSE)/VLOOKUP($B156,Korrigeringsfaktor_GD,'Korrigeringsfaktor GD'!N$1,FALSE),
"")</f>
        <v>0</v>
      </c>
      <c r="O156" s="18">
        <f>IFERROR(
                  Andel_oberoende_av_klimat*VLOOKUP($A156,Leveranser_per_nät,'Leveranser per nät'!O$1,FALSE)
               +Andel_beroende_av_klimat*VLOOKUP($A156,Leveranser_per_nät,'Leveranser per nät'!O$1,FALSE)/VLOOKUP($B156,Korrigeringsfaktor_GD,'Korrigeringsfaktor GD'!O$1,FALSE),
"")</f>
        <v>0</v>
      </c>
      <c r="P156" s="18">
        <f>IFERROR(
                  Andel_oberoende_av_klimat*VLOOKUP($A156,Leveranser_per_nät,'Leveranser per nät'!P$1,FALSE)
               +Andel_beroende_av_klimat*VLOOKUP($A156,Leveranser_per_nät,'Leveranser per nät'!P$1,FALSE)/VLOOKUP($B156,Korrigeringsfaktor_GD,'Korrigeringsfaktor GD'!P$1,FALSE),
"")</f>
        <v>0</v>
      </c>
      <c r="Q156" s="18">
        <f>IFERROR(
                  Andel_oberoende_av_klimat*VLOOKUP($A156,Leveranser_per_nät,'Leveranser per nät'!Q$1,FALSE)
               +Andel_beroende_av_klimat*VLOOKUP($A156,Leveranser_per_nät,'Leveranser per nät'!Q$1,FALSE)/VLOOKUP($B156,Korrigeringsfaktor_GD,'Korrigeringsfaktor GD'!Q$1,FALSE),
"")</f>
        <v>0</v>
      </c>
      <c r="R156" s="18">
        <f>IFERROR(
                  Andel_oberoende_av_klimat*VLOOKUP($A156,Leveranser_per_nät,'Leveranser per nät'!R$1,FALSE)
               +Andel_beroende_av_klimat*VLOOKUP($A156,Leveranser_per_nät,'Leveranser per nät'!R$1,FALSE)/VLOOKUP($B156,Korrigeringsfaktor_GD,'Korrigeringsfaktor GD'!R$1,FALSE),
"")</f>
        <v>0</v>
      </c>
      <c r="S156" s="18">
        <f>IFERROR(
                  Andel_oberoende_av_klimat*VLOOKUP($A156,Leveranser_per_nät,'Leveranser per nät'!S$1,FALSE)
               +Andel_beroende_av_klimat*VLOOKUP($A156,Leveranser_per_nät,'Leveranser per nät'!S$1,FALSE)/VLOOKUP($B156,Korrigeringsfaktor_GD,'Korrigeringsfaktor GD'!S$1,FALSE),
"")</f>
        <v>0.56217647058823528</v>
      </c>
      <c r="T156" s="18">
        <f>IFERROR(
                  Andel_oberoende_av_klimat*VLOOKUP($A156,Leveranser_per_nät,'Leveranser per nät'!T$1,FALSE)
               +Andel_beroende_av_klimat*VLOOKUP($A156,Leveranser_per_nät,'Leveranser per nät'!T$1,FALSE)/VLOOKUP($B156,Korrigeringsfaktor_GD,'Korrigeringsfaktor GD'!T$1,FALSE),
"")</f>
        <v>1.2245979797979798</v>
      </c>
      <c r="U156" s="18">
        <f>IFERROR(
                  Andel_oberoende_av_klimat*VLOOKUP($A156,Leveranser_per_nät,'Leveranser per nät'!U$1,FALSE)
               +Andel_beroende_av_klimat*VLOOKUP($A156,Leveranser_per_nät,'Leveranser per nät'!U$1,FALSE)/VLOOKUP($B156,Korrigeringsfaktor_GD,'Korrigeringsfaktor GD'!U$1,FALSE),
"")</f>
        <v>1.1956666666666667</v>
      </c>
      <c r="V156" s="18">
        <f>IFERROR(
                  Andel_oberoende_av_klimat*VLOOKUP($A156,Leveranser_per_nät,'Leveranser per nät'!V$1,FALSE)
               +Andel_beroende_av_klimat*VLOOKUP($A156,Leveranser_per_nät,'Leveranser per nät'!V$1,FALSE)/VLOOKUP($B156,Korrigeringsfaktor_GD,'Korrigeringsfaktor GD'!V$1,FALSE),
"")</f>
        <v>1.1712651685393261</v>
      </c>
      <c r="W156" s="18">
        <f>IFERROR(
                  Andel_oberoende_av_klimat*VLOOKUP($A156,Leveranser_per_nät,'Leveranser per nät'!W$1,FALSE)
               +Andel_beroende_av_klimat*VLOOKUP($A156,Leveranser_per_nät,'Leveranser per nät'!W$1,FALSE)/VLOOKUP($B156,Korrigeringsfaktor_GD,'Korrigeringsfaktor GD'!W$1,FALSE),
"")</f>
        <v>1.2948064516129032</v>
      </c>
      <c r="X156" s="18">
        <f>IFERROR(
                  Andel_oberoende_av_klimat*VLOOKUP($A156,Leveranser_per_nät,'Leveranser per nät'!X$1,FALSE)
               +Andel_beroende_av_klimat*VLOOKUP($A156,Leveranser_per_nät,'Leveranser per nät'!X$1,FALSE)/VLOOKUP($B156,Korrigeringsfaktor_GD,'Korrigeringsfaktor GD'!X$1,FALSE),
"")</f>
        <v>1.3130153846153845</v>
      </c>
      <c r="Y156" s="18">
        <f>IFERROR(
                  Andel_oberoende_av_klimat*VLOOKUP($A156,Leveranser_per_nät,'Leveranser per nät'!Y$1,FALSE)
               +Andel_beroende_av_klimat*VLOOKUP($A156,Leveranser_per_nät,'Leveranser per nät'!Y$1,FALSE)/VLOOKUP($B156,Korrigeringsfaktor_GD,'Korrigeringsfaktor GD'!Y$1,FALSE),
"")</f>
        <v>1.3213555555555556</v>
      </c>
      <c r="Z156" s="18">
        <f>IFERROR(
                  Andel_oberoende_av_klimat*VLOOKUP($A156,Leveranser_per_nät,'Leveranser per nät'!Z$1,FALSE)
               +Andel_beroende_av_klimat*VLOOKUP($A156,Leveranser_per_nät,'Leveranser per nät'!Z$1,FALSE)/VLOOKUP($B156,Korrigeringsfaktor_GD,'Korrigeringsfaktor GD'!Z$1,FALSE),
"")</f>
        <v>1.3485045454545457</v>
      </c>
      <c r="AA156" s="18">
        <f>IFERROR(
                  Andel_oberoende_av_klimat*VLOOKUP($A156,Leveranser_per_nät,'Leveranser per nät'!AA$1,FALSE)
               +Andel_beroende_av_klimat*VLOOKUP($A156,Leveranser_per_nät,'Leveranser per nät'!AA$1,FALSE)/VLOOKUP($B156,Korrigeringsfaktor_GD,'Korrigeringsfaktor GD'!AA$1,FALSE),
"")</f>
        <v>1.3280606422018348</v>
      </c>
      <c r="AB156" s="18">
        <f>IFERROR(
                  Andel_oberoende_av_klimat*VLOOKUP($A156,Leveranser_per_nät,'Leveranser per nät'!AB$1,FALSE)
               +Andel_beroende_av_klimat*VLOOKUP($A156,Leveranser_per_nät,'Leveranser per nät'!AB$1,FALSE)/VLOOKUP($B156,Korrigeringsfaktor_GD,'Korrigeringsfaktor GD'!AB$1,FALSE),
"")</f>
        <v>1.2610940409683424</v>
      </c>
      <c r="AC156" s="18">
        <f>IFERROR(
                  Andel_oberoende_av_klimat*VLOOKUP($A156,Leveranser_per_nät,'Leveranser per nät'!AC$1,FALSE)
               +Andel_beroende_av_klimat*VLOOKUP($A156,Leveranser_per_nät,'Leveranser per nät'!AC$1,FALSE)/VLOOKUP($B156,Korrigeringsfaktor_GD,'Korrigeringsfaktor GD'!AC$1,FALSE),
"")</f>
        <v>1.2656247933884299</v>
      </c>
      <c r="AD156">
        <v>3143.35</v>
      </c>
    </row>
    <row r="157" spans="1:30" x14ac:dyDescent="0.25">
      <c r="A157" t="s">
        <v>65</v>
      </c>
      <c r="B157" t="s">
        <v>442</v>
      </c>
      <c r="C157" s="18">
        <f>IFERROR(
                  Andel_oberoende_av_klimat*VLOOKUP($A157,Leveranser_per_nät,'Leveranser per nät'!C$1,FALSE)
               +Andel_beroende_av_klimat*VLOOKUP($A157,Leveranser_per_nät,'Leveranser per nät'!C$1,FALSE)/VLOOKUP($B157,Korrigeringsfaktor_GD,'Korrigeringsfaktor GD'!C$1,FALSE),
"")</f>
        <v>0</v>
      </c>
      <c r="D157" s="18">
        <f>IFERROR(
                  Andel_oberoende_av_klimat*VLOOKUP($A157,Leveranser_per_nät,'Leveranser per nät'!D$1,FALSE)
               +Andel_beroende_av_klimat*VLOOKUP($A157,Leveranser_per_nät,'Leveranser per nät'!D$1,FALSE)/VLOOKUP($B157,Korrigeringsfaktor_GD,'Korrigeringsfaktor GD'!D$1,FALSE),
"")</f>
        <v>0</v>
      </c>
      <c r="E157" s="18">
        <f>IFERROR(
                  Andel_oberoende_av_klimat*VLOOKUP($A157,Leveranser_per_nät,'Leveranser per nät'!E$1,FALSE)
               +Andel_beroende_av_klimat*VLOOKUP($A157,Leveranser_per_nät,'Leveranser per nät'!E$1,FALSE)/VLOOKUP($B157,Korrigeringsfaktor_GD,'Korrigeringsfaktor GD'!E$1,FALSE),
"")</f>
        <v>0</v>
      </c>
      <c r="F157" s="18">
        <f>IFERROR(
                  Andel_oberoende_av_klimat*VLOOKUP($A157,Leveranser_per_nät,'Leveranser per nät'!F$1,FALSE)
               +Andel_beroende_av_klimat*VLOOKUP($A157,Leveranser_per_nät,'Leveranser per nät'!F$1,FALSE)/VLOOKUP($B157,Korrigeringsfaktor_GD,'Korrigeringsfaktor GD'!F$1,FALSE),
"")</f>
        <v>0</v>
      </c>
      <c r="G157" s="18">
        <f>IFERROR(
                  Andel_oberoende_av_klimat*VLOOKUP($A157,Leveranser_per_nät,'Leveranser per nät'!G$1,FALSE)
               +Andel_beroende_av_klimat*VLOOKUP($A157,Leveranser_per_nät,'Leveranser per nät'!G$1,FALSE)/VLOOKUP($B157,Korrigeringsfaktor_GD,'Korrigeringsfaktor GD'!G$1,FALSE),
"")</f>
        <v>0</v>
      </c>
      <c r="H157" s="18">
        <f>IFERROR(
                  Andel_oberoende_av_klimat*VLOOKUP($A157,Leveranser_per_nät,'Leveranser per nät'!H$1,FALSE)
               +Andel_beroende_av_klimat*VLOOKUP($A157,Leveranser_per_nät,'Leveranser per nät'!H$1,FALSE)/VLOOKUP($B157,Korrigeringsfaktor_GD,'Korrigeringsfaktor GD'!H$1,FALSE),
"")</f>
        <v>0</v>
      </c>
      <c r="I157" s="18">
        <f>IFERROR(
                  Andel_oberoende_av_klimat*VLOOKUP($A157,Leveranser_per_nät,'Leveranser per nät'!I$1,FALSE)
               +Andel_beroende_av_klimat*VLOOKUP($A157,Leveranser_per_nät,'Leveranser per nät'!I$1,FALSE)/VLOOKUP($B157,Korrigeringsfaktor_GD,'Korrigeringsfaktor GD'!I$1,FALSE),
"")</f>
        <v>0</v>
      </c>
      <c r="J157" s="18">
        <f>IFERROR(
                  Andel_oberoende_av_klimat*VLOOKUP($A157,Leveranser_per_nät,'Leveranser per nät'!J$1,FALSE)
               +Andel_beroende_av_klimat*VLOOKUP($A157,Leveranser_per_nät,'Leveranser per nät'!J$1,FALSE)/VLOOKUP($B157,Korrigeringsfaktor_GD,'Korrigeringsfaktor GD'!J$1,FALSE),
"")</f>
        <v>0</v>
      </c>
      <c r="K157" s="18">
        <f>IFERROR(
                  Andel_oberoende_av_klimat*VLOOKUP($A157,Leveranser_per_nät,'Leveranser per nät'!K$1,FALSE)
               +Andel_beroende_av_klimat*VLOOKUP($A157,Leveranser_per_nät,'Leveranser per nät'!K$1,FALSE)/VLOOKUP($B157,Korrigeringsfaktor_GD,'Korrigeringsfaktor GD'!K$1,FALSE),
"")</f>
        <v>0</v>
      </c>
      <c r="L157" s="18">
        <f>IFERROR(
                  Andel_oberoende_av_klimat*VLOOKUP($A157,Leveranser_per_nät,'Leveranser per nät'!L$1,FALSE)
               +Andel_beroende_av_klimat*VLOOKUP($A157,Leveranser_per_nät,'Leveranser per nät'!L$1,FALSE)/VLOOKUP($B157,Korrigeringsfaktor_GD,'Korrigeringsfaktor GD'!L$1,FALSE),
"")</f>
        <v>0</v>
      </c>
      <c r="M157" s="18">
        <f>IFERROR(
                  Andel_oberoende_av_klimat*VLOOKUP($A157,Leveranser_per_nät,'Leveranser per nät'!M$1,FALSE)
               +Andel_beroende_av_klimat*VLOOKUP($A157,Leveranser_per_nät,'Leveranser per nät'!M$1,FALSE)/VLOOKUP($B157,Korrigeringsfaktor_GD,'Korrigeringsfaktor GD'!M$1,FALSE),
"")</f>
        <v>0</v>
      </c>
      <c r="N157" s="18">
        <f>IFERROR(
                  Andel_oberoende_av_klimat*VLOOKUP($A157,Leveranser_per_nät,'Leveranser per nät'!N$1,FALSE)
               +Andel_beroende_av_klimat*VLOOKUP($A157,Leveranser_per_nät,'Leveranser per nät'!N$1,FALSE)/VLOOKUP($B157,Korrigeringsfaktor_GD,'Korrigeringsfaktor GD'!N$1,FALSE),
"")</f>
        <v>0</v>
      </c>
      <c r="O157" s="18">
        <f>IFERROR(
                  Andel_oberoende_av_klimat*VLOOKUP($A157,Leveranser_per_nät,'Leveranser per nät'!O$1,FALSE)
               +Andel_beroende_av_klimat*VLOOKUP($A157,Leveranser_per_nät,'Leveranser per nät'!O$1,FALSE)/VLOOKUP($B157,Korrigeringsfaktor_GD,'Korrigeringsfaktor GD'!O$1,FALSE),
"")</f>
        <v>7.1204545454545451</v>
      </c>
      <c r="P157" s="18">
        <f>IFERROR(
                  Andel_oberoende_av_klimat*VLOOKUP($A157,Leveranser_per_nät,'Leveranser per nät'!P$1,FALSE)
               +Andel_beroende_av_klimat*VLOOKUP($A157,Leveranser_per_nät,'Leveranser per nät'!P$1,FALSE)/VLOOKUP($B157,Korrigeringsfaktor_GD,'Korrigeringsfaktor GD'!P$1,FALSE),
"")</f>
        <v>8.2333333333333343</v>
      </c>
      <c r="Q157" s="18">
        <f>IFERROR(
                  Andel_oberoende_av_klimat*VLOOKUP($A157,Leveranser_per_nät,'Leveranser per nät'!Q$1,FALSE)
               +Andel_beroende_av_klimat*VLOOKUP($A157,Leveranser_per_nät,'Leveranser per nät'!Q$1,FALSE)/VLOOKUP($B157,Korrigeringsfaktor_GD,'Korrigeringsfaktor GD'!Q$1,FALSE),
"")</f>
        <v>8.9960869565217401</v>
      </c>
      <c r="R157" s="18">
        <f>IFERROR(
                  Andel_oberoende_av_klimat*VLOOKUP($A157,Leveranser_per_nät,'Leveranser per nät'!R$1,FALSE)
               +Andel_beroende_av_klimat*VLOOKUP($A157,Leveranser_per_nät,'Leveranser per nät'!R$1,FALSE)/VLOOKUP($B157,Korrigeringsfaktor_GD,'Korrigeringsfaktor GD'!R$1,FALSE),
"")</f>
        <v>8.8377777777777773</v>
      </c>
      <c r="S157" s="18">
        <f>IFERROR(
                  Andel_oberoende_av_klimat*VLOOKUP($A157,Leveranser_per_nät,'Leveranser per nät'!S$1,FALSE)
               +Andel_beroende_av_klimat*VLOOKUP($A157,Leveranser_per_nät,'Leveranser per nät'!S$1,FALSE)/VLOOKUP($B157,Korrigeringsfaktor_GD,'Korrigeringsfaktor GD'!S$1,FALSE),
"")</f>
        <v>8.862222222222222</v>
      </c>
      <c r="T157" s="18" t="str">
        <f>IFERROR(
                  Andel_oberoende_av_klimat*VLOOKUP($A157,Leveranser_per_nät,'Leveranser per nät'!T$1,FALSE)
               +Andel_beroende_av_klimat*VLOOKUP($A157,Leveranser_per_nät,'Leveranser per nät'!T$1,FALSE)/VLOOKUP($B157,Korrigeringsfaktor_GD,'Korrigeringsfaktor GD'!T$1,FALSE),
"")</f>
        <v/>
      </c>
      <c r="U157" s="18" t="str">
        <f>IFERROR(
                  Andel_oberoende_av_klimat*VLOOKUP($A157,Leveranser_per_nät,'Leveranser per nät'!U$1,FALSE)
               +Andel_beroende_av_klimat*VLOOKUP($A157,Leveranser_per_nät,'Leveranser per nät'!U$1,FALSE)/VLOOKUP($B157,Korrigeringsfaktor_GD,'Korrigeringsfaktor GD'!U$1,FALSE),
"")</f>
        <v/>
      </c>
      <c r="V157" s="18" t="str">
        <f>IFERROR(
                  Andel_oberoende_av_klimat*VLOOKUP($A157,Leveranser_per_nät,'Leveranser per nät'!V$1,FALSE)
               +Andel_beroende_av_klimat*VLOOKUP($A157,Leveranser_per_nät,'Leveranser per nät'!V$1,FALSE)/VLOOKUP($B157,Korrigeringsfaktor_GD,'Korrigeringsfaktor GD'!V$1,FALSE),
"")</f>
        <v/>
      </c>
      <c r="W157" s="18" t="str">
        <f>IFERROR(
                  Andel_oberoende_av_klimat*VLOOKUP($A157,Leveranser_per_nät,'Leveranser per nät'!W$1,FALSE)
               +Andel_beroende_av_klimat*VLOOKUP($A157,Leveranser_per_nät,'Leveranser per nät'!W$1,FALSE)/VLOOKUP($B157,Korrigeringsfaktor_GD,'Korrigeringsfaktor GD'!W$1,FALSE),
"")</f>
        <v/>
      </c>
      <c r="X157" s="18" t="str">
        <f>IFERROR(
                  Andel_oberoende_av_klimat*VLOOKUP($A157,Leveranser_per_nät,'Leveranser per nät'!X$1,FALSE)
               +Andel_beroende_av_klimat*VLOOKUP($A157,Leveranser_per_nät,'Leveranser per nät'!X$1,FALSE)/VLOOKUP($B157,Korrigeringsfaktor_GD,'Korrigeringsfaktor GD'!X$1,FALSE),
"")</f>
        <v/>
      </c>
      <c r="Y157" s="18" t="str">
        <f>IFERROR(
                  Andel_oberoende_av_klimat*VLOOKUP($A157,Leveranser_per_nät,'Leveranser per nät'!Y$1,FALSE)
               +Andel_beroende_av_klimat*VLOOKUP($A157,Leveranser_per_nät,'Leveranser per nät'!Y$1,FALSE)/VLOOKUP($B157,Korrigeringsfaktor_GD,'Korrigeringsfaktor GD'!Y$1,FALSE),
"")</f>
        <v/>
      </c>
      <c r="Z157" s="18">
        <f>IFERROR(
                  Andel_oberoende_av_klimat*VLOOKUP($A157,Leveranser_per_nät,'Leveranser per nät'!Z$1,FALSE)
               +Andel_beroende_av_klimat*VLOOKUP($A157,Leveranser_per_nät,'Leveranser per nät'!Z$1,FALSE)/VLOOKUP($B157,Korrigeringsfaktor_GD,'Korrigeringsfaktor GD'!Z$1,FALSE),
"")</f>
        <v>0</v>
      </c>
      <c r="AA157" s="18" t="str">
        <f>IFERROR(
                  Andel_oberoende_av_klimat*VLOOKUP($A157,Leveranser_per_nät,'Leveranser per nät'!AA$1,FALSE)
               +Andel_beroende_av_klimat*VLOOKUP($A157,Leveranser_per_nät,'Leveranser per nät'!AA$1,FALSE)/VLOOKUP($B157,Korrigeringsfaktor_GD,'Korrigeringsfaktor GD'!AA$1,FALSE),
"")</f>
        <v/>
      </c>
      <c r="AB157" s="18">
        <f>IFERROR(
                  Andel_oberoende_av_klimat*VLOOKUP($A157,Leveranser_per_nät,'Leveranser per nät'!AB$1,FALSE)
               +Andel_beroende_av_klimat*VLOOKUP($A157,Leveranser_per_nät,'Leveranser per nät'!AB$1,FALSE)/VLOOKUP($B157,Korrigeringsfaktor_GD,'Korrigeringsfaktor GD'!AB$1,FALSE),
"")</f>
        <v>0</v>
      </c>
      <c r="AC157" s="18">
        <f>IFERROR(
                  Andel_oberoende_av_klimat*VLOOKUP($A157,Leveranser_per_nät,'Leveranser per nät'!AC$1,FALSE)
               +Andel_beroende_av_klimat*VLOOKUP($A157,Leveranser_per_nät,'Leveranser per nät'!AC$1,FALSE)/VLOOKUP($B157,Korrigeringsfaktor_GD,'Korrigeringsfaktor GD'!AC$1,FALSE),
"")</f>
        <v>0</v>
      </c>
      <c r="AD157">
        <v>58.215000000000003</v>
      </c>
    </row>
    <row r="158" spans="1:30" x14ac:dyDescent="0.25">
      <c r="A158" t="s">
        <v>103</v>
      </c>
      <c r="B158" t="s">
        <v>518</v>
      </c>
      <c r="C158" s="18">
        <f>IFERROR(
                  Andel_oberoende_av_klimat*VLOOKUP($A158,Leveranser_per_nät,'Leveranser per nät'!C$1,FALSE)
               +Andel_beroende_av_klimat*VLOOKUP($A158,Leveranser_per_nät,'Leveranser per nät'!C$1,FALSE)/VLOOKUP($B158,Korrigeringsfaktor_GD,'Korrigeringsfaktor GD'!C$1,FALSE),
"")</f>
        <v>23.125</v>
      </c>
      <c r="D158" s="18">
        <f>IFERROR(
                  Andel_oberoende_av_klimat*VLOOKUP($A158,Leveranser_per_nät,'Leveranser per nät'!D$1,FALSE)
               +Andel_beroende_av_klimat*VLOOKUP($A158,Leveranser_per_nät,'Leveranser per nät'!D$1,FALSE)/VLOOKUP($B158,Korrigeringsfaktor_GD,'Korrigeringsfaktor GD'!D$1,FALSE),
"")</f>
        <v>0</v>
      </c>
      <c r="E158" s="18">
        <f>IFERROR(
                  Andel_oberoende_av_klimat*VLOOKUP($A158,Leveranser_per_nät,'Leveranser per nät'!E$1,FALSE)
               +Andel_beroende_av_klimat*VLOOKUP($A158,Leveranser_per_nät,'Leveranser per nät'!E$1,FALSE)/VLOOKUP($B158,Korrigeringsfaktor_GD,'Korrigeringsfaktor GD'!E$1,FALSE),
"")</f>
        <v>0</v>
      </c>
      <c r="F158" s="18">
        <f>IFERROR(
                  Andel_oberoende_av_klimat*VLOOKUP($A158,Leveranser_per_nät,'Leveranser per nät'!F$1,FALSE)
               +Andel_beroende_av_klimat*VLOOKUP($A158,Leveranser_per_nät,'Leveranser per nät'!F$1,FALSE)/VLOOKUP($B158,Korrigeringsfaktor_GD,'Korrigeringsfaktor GD'!F$1,FALSE),
"")</f>
        <v>22.810526315789474</v>
      </c>
      <c r="G158" s="18">
        <f>IFERROR(
                  Andel_oberoende_av_klimat*VLOOKUP($A158,Leveranser_per_nät,'Leveranser per nät'!G$1,FALSE)
               +Andel_beroende_av_klimat*VLOOKUP($A158,Leveranser_per_nät,'Leveranser per nät'!G$1,FALSE)/VLOOKUP($B158,Korrigeringsfaktor_GD,'Korrigeringsfaktor GD'!G$1,FALSE),
"")</f>
        <v>24.301149425287356</v>
      </c>
      <c r="H158" s="18">
        <f>IFERROR(
                  Andel_oberoende_av_klimat*VLOOKUP($A158,Leveranser_per_nät,'Leveranser per nät'!H$1,FALSE)
               +Andel_beroende_av_klimat*VLOOKUP($A158,Leveranser_per_nät,'Leveranser per nät'!H$1,FALSE)/VLOOKUP($B158,Korrigeringsfaktor_GD,'Korrigeringsfaktor GD'!H$1,FALSE),
"")</f>
        <v>24</v>
      </c>
      <c r="I158" s="18">
        <f>IFERROR(
                  Andel_oberoende_av_klimat*VLOOKUP($A158,Leveranser_per_nät,'Leveranser per nät'!I$1,FALSE)
               +Andel_beroende_av_klimat*VLOOKUP($A158,Leveranser_per_nät,'Leveranser per nät'!I$1,FALSE)/VLOOKUP($B158,Korrigeringsfaktor_GD,'Korrigeringsfaktor GD'!I$1,FALSE),
"")</f>
        <v>23.497938144329897</v>
      </c>
      <c r="J158" s="18">
        <f>IFERROR(
                  Andel_oberoende_av_klimat*VLOOKUP($A158,Leveranser_per_nät,'Leveranser per nät'!J$1,FALSE)
               +Andel_beroende_av_klimat*VLOOKUP($A158,Leveranser_per_nät,'Leveranser per nät'!J$1,FALSE)/VLOOKUP($B158,Korrigeringsfaktor_GD,'Korrigeringsfaktor GD'!J$1,FALSE),
"")</f>
        <v>24.169696969696965</v>
      </c>
      <c r="K158" s="18">
        <f>IFERROR(
                  Andel_oberoende_av_klimat*VLOOKUP($A158,Leveranser_per_nät,'Leveranser per nät'!K$1,FALSE)
               +Andel_beroende_av_klimat*VLOOKUP($A158,Leveranser_per_nät,'Leveranser per nät'!K$1,FALSE)/VLOOKUP($B158,Korrigeringsfaktor_GD,'Korrigeringsfaktor GD'!K$1,FALSE),
"")</f>
        <v>12.34970808080808</v>
      </c>
      <c r="L158" s="18">
        <f>IFERROR(
                  Andel_oberoende_av_klimat*VLOOKUP($A158,Leveranser_per_nät,'Leveranser per nät'!L$1,FALSE)
               +Andel_beroende_av_klimat*VLOOKUP($A158,Leveranser_per_nät,'Leveranser per nät'!L$1,FALSE)/VLOOKUP($B158,Korrigeringsfaktor_GD,'Korrigeringsfaktor GD'!L$1,FALSE),
"")</f>
        <v>23.550831578947367</v>
      </c>
      <c r="M158" s="18">
        <f>IFERROR(
                  Andel_oberoende_av_klimat*VLOOKUP($A158,Leveranser_per_nät,'Leveranser per nät'!M$1,FALSE)
               +Andel_beroende_av_klimat*VLOOKUP($A158,Leveranser_per_nät,'Leveranser per nät'!M$1,FALSE)/VLOOKUP($B158,Korrigeringsfaktor_GD,'Korrigeringsfaktor GD'!M$1,FALSE),
"")</f>
        <v>24.563425806451612</v>
      </c>
      <c r="N158" s="18">
        <f>IFERROR(
                  Andel_oberoende_av_klimat*VLOOKUP($A158,Leveranser_per_nät,'Leveranser per nät'!N$1,FALSE)
               +Andel_beroende_av_klimat*VLOOKUP($A158,Leveranser_per_nät,'Leveranser per nät'!N$1,FALSE)/VLOOKUP($B158,Korrigeringsfaktor_GD,'Korrigeringsfaktor GD'!N$1,FALSE),
"")</f>
        <v>0</v>
      </c>
      <c r="O158" s="18">
        <f>IFERROR(
                  Andel_oberoende_av_klimat*VLOOKUP($A158,Leveranser_per_nät,'Leveranser per nät'!O$1,FALSE)
               +Andel_beroende_av_klimat*VLOOKUP($A158,Leveranser_per_nät,'Leveranser per nät'!O$1,FALSE)/VLOOKUP($B158,Korrigeringsfaktor_GD,'Korrigeringsfaktor GD'!O$1,FALSE),
"")</f>
        <v>0</v>
      </c>
      <c r="P158" s="18">
        <f>IFERROR(
                  Andel_oberoende_av_klimat*VLOOKUP($A158,Leveranser_per_nät,'Leveranser per nät'!P$1,FALSE)
               +Andel_beroende_av_klimat*VLOOKUP($A158,Leveranser_per_nät,'Leveranser per nät'!P$1,FALSE)/VLOOKUP($B158,Korrigeringsfaktor_GD,'Korrigeringsfaktor GD'!P$1,FALSE),
"")</f>
        <v>0</v>
      </c>
      <c r="Q158" s="18">
        <f>IFERROR(
                  Andel_oberoende_av_klimat*VLOOKUP($A158,Leveranser_per_nät,'Leveranser per nät'!Q$1,FALSE)
               +Andel_beroende_av_klimat*VLOOKUP($A158,Leveranser_per_nät,'Leveranser per nät'!Q$1,FALSE)/VLOOKUP($B158,Korrigeringsfaktor_GD,'Korrigeringsfaktor GD'!Q$1,FALSE),
"")</f>
        <v>0</v>
      </c>
      <c r="R158" s="18">
        <f>IFERROR(
                  Andel_oberoende_av_klimat*VLOOKUP($A158,Leveranser_per_nät,'Leveranser per nät'!R$1,FALSE)
               +Andel_beroende_av_klimat*VLOOKUP($A158,Leveranser_per_nät,'Leveranser per nät'!R$1,FALSE)/VLOOKUP($B158,Korrigeringsfaktor_GD,'Korrigeringsfaktor GD'!R$1,FALSE),
"")</f>
        <v>0</v>
      </c>
      <c r="S158" s="18">
        <f>IFERROR(
                  Andel_oberoende_av_klimat*VLOOKUP($A158,Leveranser_per_nät,'Leveranser per nät'!S$1,FALSE)
               +Andel_beroende_av_klimat*VLOOKUP($A158,Leveranser_per_nät,'Leveranser per nät'!S$1,FALSE)/VLOOKUP($B158,Korrigeringsfaktor_GD,'Korrigeringsfaktor GD'!S$1,FALSE),
"")</f>
        <v>0</v>
      </c>
      <c r="T158" s="18" t="str">
        <f>IFERROR(
                  Andel_oberoende_av_klimat*VLOOKUP($A158,Leveranser_per_nät,'Leveranser per nät'!T$1,FALSE)
               +Andel_beroende_av_klimat*VLOOKUP($A158,Leveranser_per_nät,'Leveranser per nät'!T$1,FALSE)/VLOOKUP($B158,Korrigeringsfaktor_GD,'Korrigeringsfaktor GD'!T$1,FALSE),
"")</f>
        <v/>
      </c>
      <c r="U158" s="18" t="str">
        <f>IFERROR(
                  Andel_oberoende_av_klimat*VLOOKUP($A158,Leveranser_per_nät,'Leveranser per nät'!U$1,FALSE)
               +Andel_beroende_av_klimat*VLOOKUP($A158,Leveranser_per_nät,'Leveranser per nät'!U$1,FALSE)/VLOOKUP($B158,Korrigeringsfaktor_GD,'Korrigeringsfaktor GD'!U$1,FALSE),
"")</f>
        <v/>
      </c>
      <c r="V158" s="18" t="str">
        <f>IFERROR(
                  Andel_oberoende_av_klimat*VLOOKUP($A158,Leveranser_per_nät,'Leveranser per nät'!V$1,FALSE)
               +Andel_beroende_av_klimat*VLOOKUP($A158,Leveranser_per_nät,'Leveranser per nät'!V$1,FALSE)/VLOOKUP($B158,Korrigeringsfaktor_GD,'Korrigeringsfaktor GD'!V$1,FALSE),
"")</f>
        <v/>
      </c>
      <c r="W158" s="18" t="str">
        <f>IFERROR(
                  Andel_oberoende_av_klimat*VLOOKUP($A158,Leveranser_per_nät,'Leveranser per nät'!W$1,FALSE)
               +Andel_beroende_av_klimat*VLOOKUP($A158,Leveranser_per_nät,'Leveranser per nät'!W$1,FALSE)/VLOOKUP($B158,Korrigeringsfaktor_GD,'Korrigeringsfaktor GD'!W$1,FALSE),
"")</f>
        <v/>
      </c>
      <c r="X158" s="18" t="str">
        <f>IFERROR(
                  Andel_oberoende_av_klimat*VLOOKUP($A158,Leveranser_per_nät,'Leveranser per nät'!X$1,FALSE)
               +Andel_beroende_av_klimat*VLOOKUP($A158,Leveranser_per_nät,'Leveranser per nät'!X$1,FALSE)/VLOOKUP($B158,Korrigeringsfaktor_GD,'Korrigeringsfaktor GD'!X$1,FALSE),
"")</f>
        <v/>
      </c>
      <c r="Y158" s="18" t="str">
        <f>IFERROR(
                  Andel_oberoende_av_klimat*VLOOKUP($A158,Leveranser_per_nät,'Leveranser per nät'!Y$1,FALSE)
               +Andel_beroende_av_klimat*VLOOKUP($A158,Leveranser_per_nät,'Leveranser per nät'!Y$1,FALSE)/VLOOKUP($B158,Korrigeringsfaktor_GD,'Korrigeringsfaktor GD'!Y$1,FALSE),
"")</f>
        <v/>
      </c>
      <c r="Z158" s="18">
        <f>IFERROR(
                  Andel_oberoende_av_klimat*VLOOKUP($A158,Leveranser_per_nät,'Leveranser per nät'!Z$1,FALSE)
               +Andel_beroende_av_klimat*VLOOKUP($A158,Leveranser_per_nät,'Leveranser per nät'!Z$1,FALSE)/VLOOKUP($B158,Korrigeringsfaktor_GD,'Korrigeringsfaktor GD'!Z$1,FALSE),
"")</f>
        <v>0</v>
      </c>
      <c r="AA158" s="18" t="str">
        <f>IFERROR(
                  Andel_oberoende_av_klimat*VLOOKUP($A158,Leveranser_per_nät,'Leveranser per nät'!AA$1,FALSE)
               +Andel_beroende_av_klimat*VLOOKUP($A158,Leveranser_per_nät,'Leveranser per nät'!AA$1,FALSE)/VLOOKUP($B158,Korrigeringsfaktor_GD,'Korrigeringsfaktor GD'!AA$1,FALSE),
"")</f>
        <v/>
      </c>
      <c r="AB158" s="18">
        <f>IFERROR(
                  Andel_oberoende_av_klimat*VLOOKUP($A158,Leveranser_per_nät,'Leveranser per nät'!AB$1,FALSE)
               +Andel_beroende_av_klimat*VLOOKUP($A158,Leveranser_per_nät,'Leveranser per nät'!AB$1,FALSE)/VLOOKUP($B158,Korrigeringsfaktor_GD,'Korrigeringsfaktor GD'!AB$1,FALSE),
"")</f>
        <v>0</v>
      </c>
      <c r="AC158" s="18">
        <f>IFERROR(
                  Andel_oberoende_av_klimat*VLOOKUP($A158,Leveranser_per_nät,'Leveranser per nät'!AC$1,FALSE)
               +Andel_beroende_av_klimat*VLOOKUP($A158,Leveranser_per_nät,'Leveranser per nät'!AC$1,FALSE)/VLOOKUP($B158,Korrigeringsfaktor_GD,'Korrigeringsfaktor GD'!AC$1,FALSE),
"")</f>
        <v>0</v>
      </c>
      <c r="AD158" t="e">
        <v>#N/A</v>
      </c>
    </row>
    <row r="159" spans="1:30" x14ac:dyDescent="0.25">
      <c r="A159" t="s">
        <v>125</v>
      </c>
      <c r="B159" t="s">
        <v>125</v>
      </c>
      <c r="C159" s="18">
        <f>IFERROR(
                  Andel_oberoende_av_klimat*VLOOKUP($A159,Leveranser_per_nät,'Leveranser per nät'!C$1,FALSE)
               +Andel_beroende_av_klimat*VLOOKUP($A159,Leveranser_per_nät,'Leveranser per nät'!C$1,FALSE)/VLOOKUP("Filipstad",Korrigeringsfaktor_GD,'Korrigeringsfaktor GD'!C$1,FALSE),
"")</f>
        <v>0</v>
      </c>
      <c r="D159" s="18">
        <f>IFERROR(
                  Andel_oberoende_av_klimat*VLOOKUP($A159,Leveranser_per_nät,'Leveranser per nät'!D$1,FALSE)
               +Andel_beroende_av_klimat*VLOOKUP($A159,Leveranser_per_nät,'Leveranser per nät'!D$1,FALSE)/VLOOKUP("Filipstad",Korrigeringsfaktor_GD,'Korrigeringsfaktor GD'!D$1,FALSE),
"")</f>
        <v>0</v>
      </c>
      <c r="E159" s="18">
        <f>IFERROR(
                  Andel_oberoende_av_klimat*VLOOKUP($A159,Leveranser_per_nät,'Leveranser per nät'!E$1,FALSE)
               +Andel_beroende_av_klimat*VLOOKUP($A159,Leveranser_per_nät,'Leveranser per nät'!E$1,FALSE)/VLOOKUP("Filipstad",Korrigeringsfaktor_GD,'Korrigeringsfaktor GD'!E$1,FALSE),
"")</f>
        <v>0</v>
      </c>
      <c r="F159" s="18">
        <f>IFERROR(
                  Andel_oberoende_av_klimat*VLOOKUP($A159,Leveranser_per_nät,'Leveranser per nät'!F$1,FALSE)
               +Andel_beroende_av_klimat*VLOOKUP($A159,Leveranser_per_nät,'Leveranser per nät'!F$1,FALSE)/VLOOKUP("Filipstad",Korrigeringsfaktor_GD,'Korrigeringsfaktor GD'!F$1,FALSE),
"")</f>
        <v>42.195833333333333</v>
      </c>
      <c r="G159" s="18">
        <f>IFERROR(
                  Andel_oberoende_av_klimat*VLOOKUP($A159,Leveranser_per_nät,'Leveranser per nät'!G$1,FALSE)
               +Andel_beroende_av_klimat*VLOOKUP($A159,Leveranser_per_nät,'Leveranser per nät'!G$1,FALSE)/VLOOKUP("Filipstad",Korrigeringsfaktor_GD,'Korrigeringsfaktor GD'!G$1,FALSE),
"")</f>
        <v>37.556321839080461</v>
      </c>
      <c r="H159" s="18">
        <f>IFERROR(
                  Andel_oberoende_av_klimat*VLOOKUP($A159,Leveranser_per_nät,'Leveranser per nät'!H$1,FALSE)
               +Andel_beroende_av_klimat*VLOOKUP($A159,Leveranser_per_nät,'Leveranser per nät'!H$1,FALSE)/VLOOKUP("Filipstad",Korrigeringsfaktor_GD,'Korrigeringsfaktor GD'!H$1,FALSE),
"")</f>
        <v>35.750495049504948</v>
      </c>
      <c r="I159" s="18">
        <f>IFERROR(
                  Andel_oberoende_av_klimat*VLOOKUP($A159,Leveranser_per_nät,'Leveranser per nät'!I$1,FALSE)
               +Andel_beroende_av_klimat*VLOOKUP($A159,Leveranser_per_nät,'Leveranser per nät'!I$1,FALSE)/VLOOKUP("Filipstad",Korrigeringsfaktor_GD,'Korrigeringsfaktor GD'!I$1,FALSE),
"")</f>
        <v>48.685714285714283</v>
      </c>
      <c r="J159" s="18">
        <f>IFERROR(
                  Andel_oberoende_av_klimat*VLOOKUP($A159,Leveranser_per_nät,'Leveranser per nät'!J$1,FALSE)
               +Andel_beroende_av_klimat*VLOOKUP($A159,Leveranser_per_nät,'Leveranser per nät'!J$1,FALSE)/VLOOKUP("Filipstad",Korrigeringsfaktor_GD,'Korrigeringsfaktor GD'!J$1,FALSE),
"")</f>
        <v>54.147422680412362</v>
      </c>
      <c r="K159" s="18">
        <f>IFERROR(
                  Andel_oberoende_av_klimat*VLOOKUP($A159,Leveranser_per_nät,'Leveranser per nät'!K$1,FALSE)
               +Andel_beroende_av_klimat*VLOOKUP($A159,Leveranser_per_nät,'Leveranser per nät'!K$1,FALSE)/VLOOKUP("Filipstad",Korrigeringsfaktor_GD,'Korrigeringsfaktor GD'!K$1,FALSE),
"")</f>
        <v>0</v>
      </c>
      <c r="L159" s="18">
        <f>IFERROR(
                  Andel_oberoende_av_klimat*VLOOKUP($A159,Leveranser_per_nät,'Leveranser per nät'!L$1,FALSE)
               +Andel_beroende_av_klimat*VLOOKUP($A159,Leveranser_per_nät,'Leveranser per nät'!L$1,FALSE)/VLOOKUP("Filipstad",Korrigeringsfaktor_GD,'Korrigeringsfaktor GD'!L$1,FALSE),
"")</f>
        <v>0</v>
      </c>
      <c r="M159" s="18">
        <f>IFERROR(
                  Andel_oberoende_av_klimat*VLOOKUP($A159,Leveranser_per_nät,'Leveranser per nät'!M$1,FALSE)
               +Andel_beroende_av_klimat*VLOOKUP($A159,Leveranser_per_nät,'Leveranser per nät'!M$1,FALSE)/VLOOKUP("Filipstad",Korrigeringsfaktor_GD,'Korrigeringsfaktor GD'!M$1,FALSE),
"")</f>
        <v>0</v>
      </c>
      <c r="N159" s="18">
        <f>IFERROR(
                  Andel_oberoende_av_klimat*VLOOKUP($A159,Leveranser_per_nät,'Leveranser per nät'!N$1,FALSE)
               +Andel_beroende_av_klimat*VLOOKUP($A159,Leveranser_per_nät,'Leveranser per nät'!N$1,FALSE)/VLOOKUP("Filipstad",Korrigeringsfaktor_GD,'Korrigeringsfaktor GD'!N$1,FALSE),
"")</f>
        <v>0</v>
      </c>
      <c r="O159" s="18">
        <f>IFERROR(
                  Andel_oberoende_av_klimat*VLOOKUP($A159,Leveranser_per_nät,'Leveranser per nät'!O$1,FALSE)
               +Andel_beroende_av_klimat*VLOOKUP($A159,Leveranser_per_nät,'Leveranser per nät'!O$1,FALSE)/VLOOKUP("Filipstad",Korrigeringsfaktor_GD,'Korrigeringsfaktor GD'!O$1,FALSE),
"")</f>
        <v>48.068888888888893</v>
      </c>
      <c r="P159" s="18">
        <f>IFERROR(
                  Andel_oberoende_av_klimat*VLOOKUP($A159,Leveranser_per_nät,'Leveranser per nät'!P$1,FALSE)
               +Andel_beroende_av_klimat*VLOOKUP($A159,Leveranser_per_nät,'Leveranser per nät'!P$1,FALSE)/VLOOKUP("Filipstad",Korrigeringsfaktor_GD,'Korrigeringsfaktor GD'!P$1,FALSE),
"")</f>
        <v>44.915353535353532</v>
      </c>
      <c r="Q159" s="18">
        <f>IFERROR(
                  Andel_oberoende_av_klimat*VLOOKUP($A159,Leveranser_per_nät,'Leveranser per nät'!Q$1,FALSE)
               +Andel_beroende_av_klimat*VLOOKUP($A159,Leveranser_per_nät,'Leveranser per nät'!Q$1,FALSE)/VLOOKUP("Filipstad",Korrigeringsfaktor_GD,'Korrigeringsfaktor GD'!Q$1,FALSE),
"")</f>
        <v>45.84605906153849</v>
      </c>
      <c r="R159" s="18">
        <f>IFERROR(
                  Andel_oberoende_av_klimat*VLOOKUP($A159,Leveranser_per_nät,'Leveranser per nät'!R$1,FALSE)
               +Andel_beroende_av_klimat*VLOOKUP($A159,Leveranser_per_nät,'Leveranser per nät'!R$1,FALSE)/VLOOKUP("Filipstad",Korrigeringsfaktor_GD,'Korrigeringsfaktor GD'!R$1,FALSE),
"")</f>
        <v>44.612747826086952</v>
      </c>
      <c r="S159" s="18">
        <f>IFERROR(
                  Andel_oberoende_av_klimat*VLOOKUP($A159,Leveranser_per_nät,'Leveranser per nät'!S$1,FALSE)
               +Andel_beroende_av_klimat*VLOOKUP($A159,Leveranser_per_nät,'Leveranser per nät'!S$1,FALSE)/VLOOKUP("Filipstad",Korrigeringsfaktor_GD,'Korrigeringsfaktor GD'!S$1,FALSE),
"")</f>
        <v>44</v>
      </c>
      <c r="T159" s="18">
        <f>IFERROR(
                  Andel_oberoende_av_klimat*VLOOKUP($A159,Leveranser_per_nät,'Leveranser per nät'!T$1,FALSE)
               +Andel_beroende_av_klimat*VLOOKUP($A159,Leveranser_per_nät,'Leveranser per nät'!T$1,FALSE)/VLOOKUP("Filipstad",Korrigeringsfaktor_GD,'Korrigeringsfaktor GD'!T$1,FALSE),
"")</f>
        <v>43.074741666666668</v>
      </c>
      <c r="U159" s="18">
        <f>IFERROR(
                  Andel_oberoende_av_klimat*VLOOKUP($A159,Leveranser_per_nät,'Leveranser per nät'!U$1,FALSE)
               +Andel_beroende_av_klimat*VLOOKUP($A159,Leveranser_per_nät,'Leveranser per nät'!U$1,FALSE)/VLOOKUP("Filipstad",Korrigeringsfaktor_GD,'Korrigeringsfaktor GD'!U$1,FALSE),
"")</f>
        <v>41.251201149425285</v>
      </c>
      <c r="V159" s="18">
        <f>IFERROR(
                  Andel_oberoende_av_klimat*VLOOKUP($A159,Leveranser_per_nät,'Leveranser per nät'!V$1,FALSE)
               +Andel_beroende_av_klimat*VLOOKUP($A159,Leveranser_per_nät,'Leveranser per nät'!V$1,FALSE)/VLOOKUP("Filipstad",Korrigeringsfaktor_GD,'Korrigeringsfaktor GD'!V$1,FALSE),
"")</f>
        <v>39.54582222222222</v>
      </c>
      <c r="W159" s="18">
        <f>IFERROR(
                  Andel_oberoende_av_klimat*VLOOKUP($A159,Leveranser_per_nät,'Leveranser per nät'!W$1,FALSE)
               +Andel_beroende_av_klimat*VLOOKUP($A159,Leveranser_per_nät,'Leveranser per nät'!W$1,FALSE)/VLOOKUP("Filipstad",Korrigeringsfaktor_GD,'Korrigeringsfaktor GD'!W$1,FALSE),
"")</f>
        <v>39.031365957446816</v>
      </c>
      <c r="X159" s="18">
        <f>IFERROR(
                  Andel_oberoende_av_klimat*VLOOKUP($A159,Leveranser_per_nät,'Leveranser per nät'!X$1,FALSE)
               +Andel_beroende_av_klimat*VLOOKUP($A159,Leveranser_per_nät,'Leveranser per nät'!X$1,FALSE)/VLOOKUP("Filipstad",Korrigeringsfaktor_GD,'Korrigeringsfaktor GD'!X$1,FALSE),
"")</f>
        <v>34.955057894736839</v>
      </c>
      <c r="Y159" s="18">
        <f>IFERROR(
                  Andel_oberoende_av_klimat*VLOOKUP($A159,Leveranser_per_nät,'Leveranser per nät'!Y$1,FALSE)
               +Andel_beroende_av_klimat*VLOOKUP($A159,Leveranser_per_nät,'Leveranser per nät'!Y$1,FALSE)/VLOOKUP($B159,Korrigeringsfaktor_GD,'Korrigeringsfaktor GD'!Y$1,FALSE),
"")</f>
        <v>35.475591397849463</v>
      </c>
      <c r="Z159" s="18">
        <f>IFERROR(
                  Andel_oberoende_av_klimat*VLOOKUP($A159,Leveranser_per_nät,'Leveranser per nät'!Z$1,FALSE)
               +Andel_beroende_av_klimat*VLOOKUP($A159,Leveranser_per_nät,'Leveranser per nät'!Z$1,FALSE)/VLOOKUP($B159,Korrigeringsfaktor_GD,'Korrigeringsfaktor GD'!Z$1,FALSE),
"")</f>
        <v>36.434076744186044</v>
      </c>
      <c r="AA159" s="18">
        <f>IFERROR(
                  Andel_oberoende_av_klimat*VLOOKUP($A159,Leveranser_per_nät,'Leveranser per nät'!AA$1,FALSE)
               +Andel_beroende_av_klimat*VLOOKUP($A159,Leveranser_per_nät,'Leveranser per nät'!AA$1,FALSE)/VLOOKUP($B159,Korrigeringsfaktor_GD,'Korrigeringsfaktor GD'!AA$1,FALSE),
"")</f>
        <v>28.721249883086518</v>
      </c>
      <c r="AB159" s="18">
        <f>IFERROR(
                  Andel_oberoende_av_klimat*VLOOKUP($A159,Leveranser_per_nät,'Leveranser per nät'!AB$1,FALSE)
               +Andel_beroende_av_klimat*VLOOKUP($A159,Leveranser_per_nät,'Leveranser per nät'!AB$1,FALSE)/VLOOKUP($B159,Korrigeringsfaktor_GD,'Korrigeringsfaktor GD'!AB$1,FALSE),
"")</f>
        <v>27.27173067729084</v>
      </c>
      <c r="AC159" s="18">
        <f>IFERROR(
                  Andel_oberoende_av_klimat*VLOOKUP($A159,Leveranser_per_nät,'Leveranser per nät'!AC$1,FALSE)
               +Andel_beroende_av_klimat*VLOOKUP($A159,Leveranser_per_nät,'Leveranser per nät'!AC$1,FALSE)/VLOOKUP($B159,Korrigeringsfaktor_GD,'Korrigeringsfaktor GD'!AC$1,FALSE),
"")</f>
        <v>32.64615147679325</v>
      </c>
      <c r="AD159">
        <v>31.439</v>
      </c>
    </row>
    <row r="160" spans="1:30" x14ac:dyDescent="0.25">
      <c r="A160" t="s">
        <v>140</v>
      </c>
      <c r="B160" t="s">
        <v>139</v>
      </c>
      <c r="C160" s="18">
        <f>IFERROR(
                  Andel_oberoende_av_klimat*VLOOKUP($A160,Leveranser_per_nät,'Leveranser per nät'!C$1,FALSE)
               +Andel_beroende_av_klimat*VLOOKUP($A160,Leveranser_per_nät,'Leveranser per nät'!C$1,FALSE)/VLOOKUP($B160,Korrigeringsfaktor_GD,'Korrigeringsfaktor GD'!C$1,FALSE),
"")</f>
        <v>0</v>
      </c>
      <c r="D160" s="18">
        <f>IFERROR(
                  Andel_oberoende_av_klimat*VLOOKUP($A160,Leveranser_per_nät,'Leveranser per nät'!D$1,FALSE)
               +Andel_beroende_av_klimat*VLOOKUP($A160,Leveranser_per_nät,'Leveranser per nät'!D$1,FALSE)/VLOOKUP($B160,Korrigeringsfaktor_GD,'Korrigeringsfaktor GD'!D$1,FALSE),
"")</f>
        <v>0</v>
      </c>
      <c r="E160" s="18">
        <f>IFERROR(
                  Andel_oberoende_av_klimat*VLOOKUP($A160,Leveranser_per_nät,'Leveranser per nät'!E$1,FALSE)
               +Andel_beroende_av_klimat*VLOOKUP($A160,Leveranser_per_nät,'Leveranser per nät'!E$1,FALSE)/VLOOKUP($B160,Korrigeringsfaktor_GD,'Korrigeringsfaktor GD'!E$1,FALSE),
"")</f>
        <v>2.9792079207920787</v>
      </c>
      <c r="F160" s="18">
        <f>IFERROR(
                  Andel_oberoende_av_klimat*VLOOKUP($A160,Leveranser_per_nät,'Leveranser per nät'!F$1,FALSE)
               +Andel_beroende_av_klimat*VLOOKUP($A160,Leveranser_per_nät,'Leveranser per nät'!F$1,FALSE)/VLOOKUP($B160,Korrigeringsfaktor_GD,'Korrigeringsfaktor GD'!F$1,FALSE),
"")</f>
        <v>2.5765526315789473</v>
      </c>
      <c r="G160" s="18">
        <f>IFERROR(
                  Andel_oberoende_av_klimat*VLOOKUP($A160,Leveranser_per_nät,'Leveranser per nät'!G$1,FALSE)
               +Andel_beroende_av_klimat*VLOOKUP($A160,Leveranser_per_nät,'Leveranser per nät'!G$1,FALSE)/VLOOKUP($B160,Korrigeringsfaktor_GD,'Korrigeringsfaktor GD'!G$1,FALSE),
"")</f>
        <v>2.4373302325581396</v>
      </c>
      <c r="H160" s="18">
        <f>IFERROR(
                  Andel_oberoende_av_klimat*VLOOKUP($A160,Leveranser_per_nät,'Leveranser per nät'!H$1,FALSE)
               +Andel_beroende_av_klimat*VLOOKUP($A160,Leveranser_per_nät,'Leveranser per nät'!H$1,FALSE)/VLOOKUP($B160,Korrigeringsfaktor_GD,'Korrigeringsfaktor GD'!H$1,FALSE),
"")</f>
        <v>2.6930000000000001</v>
      </c>
      <c r="I160" s="18">
        <f>IFERROR(
                  Andel_oberoende_av_klimat*VLOOKUP($A160,Leveranser_per_nät,'Leveranser per nät'!I$1,FALSE)
               +Andel_beroende_av_klimat*VLOOKUP($A160,Leveranser_per_nät,'Leveranser per nät'!I$1,FALSE)/VLOOKUP($B160,Korrigeringsfaktor_GD,'Korrigeringsfaktor GD'!I$1,FALSE),
"")</f>
        <v>3.0065914893617025</v>
      </c>
      <c r="J160" s="18">
        <f>IFERROR(
                  Andel_oberoende_av_klimat*VLOOKUP($A160,Leveranser_per_nät,'Leveranser per nät'!J$1,FALSE)
               +Andel_beroende_av_klimat*VLOOKUP($A160,Leveranser_per_nät,'Leveranser per nät'!J$1,FALSE)/VLOOKUP($B160,Korrigeringsfaktor_GD,'Korrigeringsfaktor GD'!J$1,FALSE),
"")</f>
        <v>3.0428571428571427</v>
      </c>
      <c r="K160" s="18">
        <f>IFERROR(
                  Andel_oberoende_av_klimat*VLOOKUP($A160,Leveranser_per_nät,'Leveranser per nät'!K$1,FALSE)
               +Andel_beroende_av_klimat*VLOOKUP($A160,Leveranser_per_nät,'Leveranser per nät'!K$1,FALSE)/VLOOKUP($B160,Korrigeringsfaktor_GD,'Korrigeringsfaktor GD'!K$1,FALSE),
"")</f>
        <v>2.9770865979381447</v>
      </c>
      <c r="L160" s="18">
        <f>IFERROR(
                  Andel_oberoende_av_klimat*VLOOKUP($A160,Leveranser_per_nät,'Leveranser per nät'!L$1,FALSE)
               +Andel_beroende_av_klimat*VLOOKUP($A160,Leveranser_per_nät,'Leveranser per nät'!L$1,FALSE)/VLOOKUP($B160,Korrigeringsfaktor_GD,'Korrigeringsfaktor GD'!L$1,FALSE),
"")</f>
        <v>3.0213578947368425</v>
      </c>
      <c r="M160" s="18">
        <f>IFERROR(
                  Andel_oberoende_av_klimat*VLOOKUP($A160,Leveranser_per_nät,'Leveranser per nät'!M$1,FALSE)
               +Andel_beroende_av_klimat*VLOOKUP($A160,Leveranser_per_nät,'Leveranser per nät'!M$1,FALSE)/VLOOKUP($B160,Korrigeringsfaktor_GD,'Korrigeringsfaktor GD'!M$1,FALSE),
"")</f>
        <v>2.9885817204301075</v>
      </c>
      <c r="N160" s="18">
        <f>IFERROR(
                  Andel_oberoende_av_klimat*VLOOKUP($A160,Leveranser_per_nät,'Leveranser per nät'!N$1,FALSE)
               +Andel_beroende_av_klimat*VLOOKUP($A160,Leveranser_per_nät,'Leveranser per nät'!N$1,FALSE)/VLOOKUP($B160,Korrigeringsfaktor_GD,'Korrigeringsfaktor GD'!N$1,FALSE),
"")</f>
        <v>3.0479555555555553</v>
      </c>
      <c r="O160" s="18">
        <f>IFERROR(
                  Andel_oberoende_av_klimat*VLOOKUP($A160,Leveranser_per_nät,'Leveranser per nät'!O$1,FALSE)
               +Andel_beroende_av_klimat*VLOOKUP($A160,Leveranser_per_nät,'Leveranser per nät'!O$1,FALSE)/VLOOKUP($B160,Korrigeringsfaktor_GD,'Korrigeringsfaktor GD'!O$1,FALSE),
"")</f>
        <v>3.1443797752808988</v>
      </c>
      <c r="P160" s="18">
        <f>IFERROR(
                  Andel_oberoende_av_klimat*VLOOKUP($A160,Leveranser_per_nät,'Leveranser per nät'!P$1,FALSE)
               +Andel_beroende_av_klimat*VLOOKUP($A160,Leveranser_per_nät,'Leveranser per nät'!P$1,FALSE)/VLOOKUP($B160,Korrigeringsfaktor_GD,'Korrigeringsfaktor GD'!P$1,FALSE),
"")</f>
        <v>3.0083714285714289</v>
      </c>
      <c r="Q160" s="18">
        <f>IFERROR(
                  Andel_oberoende_av_klimat*VLOOKUP($A160,Leveranser_per_nät,'Leveranser per nät'!Q$1,FALSE)
               +Andel_beroende_av_klimat*VLOOKUP($A160,Leveranser_per_nät,'Leveranser per nät'!Q$1,FALSE)/VLOOKUP($B160,Korrigeringsfaktor_GD,'Korrigeringsfaktor GD'!Q$1,FALSE),
"")</f>
        <v>3.0519764705882353</v>
      </c>
      <c r="R160" s="18">
        <f>IFERROR(
                  Andel_oberoende_av_klimat*VLOOKUP($A160,Leveranser_per_nät,'Leveranser per nät'!R$1,FALSE)
               +Andel_beroende_av_klimat*VLOOKUP($A160,Leveranser_per_nät,'Leveranser per nät'!R$1,FALSE)/VLOOKUP($B160,Korrigeringsfaktor_GD,'Korrigeringsfaktor GD'!R$1,FALSE),
"")</f>
        <v>2.9820846153846157</v>
      </c>
      <c r="S160" s="18">
        <f>IFERROR(
                  Andel_oberoende_av_klimat*VLOOKUP($A160,Leveranser_per_nät,'Leveranser per nät'!S$1,FALSE)
               +Andel_beroende_av_klimat*VLOOKUP($A160,Leveranser_per_nät,'Leveranser per nät'!S$1,FALSE)/VLOOKUP($B160,Korrigeringsfaktor_GD,'Korrigeringsfaktor GD'!S$1,FALSE),
"")</f>
        <v>2.9300000000000006</v>
      </c>
      <c r="T160" s="18">
        <f>IFERROR(
                  Andel_oberoende_av_klimat*VLOOKUP($A160,Leveranser_per_nät,'Leveranser per nät'!T$1,FALSE)
               +Andel_beroende_av_klimat*VLOOKUP($A160,Leveranser_per_nät,'Leveranser per nät'!T$1,FALSE)/VLOOKUP($B160,Korrigeringsfaktor_GD,'Korrigeringsfaktor GD'!T$1,FALSE),
"")</f>
        <v>2.808557142857143</v>
      </c>
      <c r="U160" s="18">
        <f>IFERROR(
                  Andel_oberoende_av_klimat*VLOOKUP($A160,Leveranser_per_nät,'Leveranser per nät'!U$1,FALSE)
               +Andel_beroende_av_klimat*VLOOKUP($A160,Leveranser_per_nät,'Leveranser per nät'!U$1,FALSE)/VLOOKUP($B160,Korrigeringsfaktor_GD,'Korrigeringsfaktor GD'!U$1,FALSE),
"")</f>
        <v>2.8088235294117649</v>
      </c>
      <c r="V160" s="18">
        <f>IFERROR(
                  Andel_oberoende_av_klimat*VLOOKUP($A160,Leveranser_per_nät,'Leveranser per nät'!V$1,FALSE)
               +Andel_beroende_av_klimat*VLOOKUP($A160,Leveranser_per_nät,'Leveranser per nät'!V$1,FALSE)/VLOOKUP($B160,Korrigeringsfaktor_GD,'Korrigeringsfaktor GD'!V$1,FALSE),
"")</f>
        <v>2.824943820224719</v>
      </c>
      <c r="W160" s="18">
        <f>IFERROR(
                  Andel_oberoende_av_klimat*VLOOKUP($A160,Leveranser_per_nät,'Leveranser per nät'!W$1,FALSE)
               +Andel_beroende_av_klimat*VLOOKUP($A160,Leveranser_per_nät,'Leveranser per nät'!W$1,FALSE)/VLOOKUP($B160,Korrigeringsfaktor_GD,'Korrigeringsfaktor GD'!W$1,FALSE),
"")</f>
        <v>2.8206382978723403</v>
      </c>
      <c r="X160" s="18">
        <f>IFERROR(
                  Andel_oberoende_av_klimat*VLOOKUP($A160,Leveranser_per_nät,'Leveranser per nät'!X$1,FALSE)
               +Andel_beroende_av_klimat*VLOOKUP($A160,Leveranser_per_nät,'Leveranser per nät'!X$1,FALSE)/VLOOKUP($B160,Korrigeringsfaktor_GD,'Korrigeringsfaktor GD'!X$1,FALSE),
"")</f>
        <v>2.7582608695652171</v>
      </c>
      <c r="Y160" s="18">
        <f>IFERROR(
                  Andel_oberoende_av_klimat*VLOOKUP($A160,Leveranser_per_nät,'Leveranser per nät'!Y$1,FALSE)
               +Andel_beroende_av_klimat*VLOOKUP($A160,Leveranser_per_nät,'Leveranser per nät'!Y$1,FALSE)/VLOOKUP($B160,Korrigeringsfaktor_GD,'Korrigeringsfaktor GD'!Y$1,FALSE),
"")</f>
        <v>2.6765739130434785</v>
      </c>
      <c r="Z160" s="18">
        <f>IFERROR(
                  Andel_oberoende_av_klimat*VLOOKUP($A160,Leveranser_per_nät,'Leveranser per nät'!Z$1,FALSE)
               +Andel_beroende_av_klimat*VLOOKUP($A160,Leveranser_per_nät,'Leveranser per nät'!Z$1,FALSE)/VLOOKUP($B160,Korrigeringsfaktor_GD,'Korrigeringsfaktor GD'!Z$1,FALSE),
"")</f>
        <v>2.5471478260869564</v>
      </c>
      <c r="AA160" s="18">
        <f>IFERROR(
                  Andel_oberoende_av_klimat*VLOOKUP($A160,Leveranser_per_nät,'Leveranser per nät'!AA$1,FALSE)
               +Andel_beroende_av_klimat*VLOOKUP($A160,Leveranser_per_nät,'Leveranser per nät'!AA$1,FALSE)/VLOOKUP($B160,Korrigeringsfaktor_GD,'Korrigeringsfaktor GD'!AA$1,FALSE),
"")</f>
        <v>2.5603745739130437</v>
      </c>
      <c r="AB160" s="18">
        <f>IFERROR(
                  Andel_oberoende_av_klimat*VLOOKUP($A160,Leveranser_per_nät,'Leveranser per nät'!AB$1,FALSE)
               +Andel_beroende_av_klimat*VLOOKUP($A160,Leveranser_per_nät,'Leveranser per nät'!AB$1,FALSE)/VLOOKUP($B160,Korrigeringsfaktor_GD,'Korrigeringsfaktor GD'!AB$1,FALSE),
"")</f>
        <v>2.5603501483679527</v>
      </c>
      <c r="AC160" s="18">
        <f>IFERROR(
                  Andel_oberoende_av_klimat*VLOOKUP($A160,Leveranser_per_nät,'Leveranser per nät'!AC$1,FALSE)
               +Andel_beroende_av_klimat*VLOOKUP($A160,Leveranser_per_nät,'Leveranser per nät'!AC$1,FALSE)/VLOOKUP($B160,Korrigeringsfaktor_GD,'Korrigeringsfaktor GD'!AC$1,FALSE),
"")</f>
        <v>2.5034736842105265</v>
      </c>
      <c r="AD160">
        <v>110.8</v>
      </c>
    </row>
    <row r="161" spans="1:30" x14ac:dyDescent="0.25">
      <c r="A161" t="s">
        <v>150</v>
      </c>
      <c r="B161" t="s">
        <v>150</v>
      </c>
      <c r="C161" s="18">
        <f>IFERROR(
                  Andel_oberoende_av_klimat*VLOOKUP($A161,Leveranser_per_nät,'Leveranser per nät'!C$1,FALSE)
               +Andel_beroende_av_klimat*VLOOKUP($A161,Leveranser_per_nät,'Leveranser per nät'!C$1,FALSE)/VLOOKUP($B161,Korrigeringsfaktor_GD,'Korrigeringsfaktor GD'!C$1,FALSE),
"")</f>
        <v>143.13084112149534</v>
      </c>
      <c r="D161" s="18">
        <f>IFERROR(
                  Andel_oberoende_av_klimat*VLOOKUP($A161,Leveranser_per_nät,'Leveranser per nät'!D$1,FALSE)
               +Andel_beroende_av_klimat*VLOOKUP($A161,Leveranser_per_nät,'Leveranser per nät'!D$1,FALSE)/VLOOKUP($B161,Korrigeringsfaktor_GD,'Korrigeringsfaktor GD'!D$1,FALSE),
"")</f>
        <v>142.80787234042552</v>
      </c>
      <c r="E161" s="18">
        <f>IFERROR(
                  Andel_oberoende_av_klimat*VLOOKUP($A161,Leveranser_per_nät,'Leveranser per nät'!E$1,FALSE)
               +Andel_beroende_av_klimat*VLOOKUP($A161,Leveranser_per_nät,'Leveranser per nät'!E$1,FALSE)/VLOOKUP($B161,Korrigeringsfaktor_GD,'Korrigeringsfaktor GD'!E$1,FALSE),
"")</f>
        <v>140.02277227722772</v>
      </c>
      <c r="F161" s="18">
        <f>IFERROR(
                  Andel_oberoende_av_klimat*VLOOKUP($A161,Leveranser_per_nät,'Leveranser per nät'!F$1,FALSE)
               +Andel_beroende_av_klimat*VLOOKUP($A161,Leveranser_per_nät,'Leveranser per nät'!F$1,FALSE)/VLOOKUP($B161,Korrigeringsfaktor_GD,'Korrigeringsfaktor GD'!F$1,FALSE),
"")</f>
        <v>138.03918181818182</v>
      </c>
      <c r="G161" s="18">
        <f>IFERROR(
                  Andel_oberoende_av_klimat*VLOOKUP($A161,Leveranser_per_nät,'Leveranser per nät'!G$1,FALSE)
               +Andel_beroende_av_klimat*VLOOKUP($A161,Leveranser_per_nät,'Leveranser per nät'!G$1,FALSE)/VLOOKUP($B161,Korrigeringsfaktor_GD,'Korrigeringsfaktor GD'!G$1,FALSE),
"")</f>
        <v>142.33370786516852</v>
      </c>
      <c r="H161" s="18">
        <f>IFERROR(
                  Andel_oberoende_av_klimat*VLOOKUP($A161,Leveranser_per_nät,'Leveranser per nät'!H$1,FALSE)
               +Andel_beroende_av_klimat*VLOOKUP($A161,Leveranser_per_nät,'Leveranser per nät'!H$1,FALSE)/VLOOKUP($B161,Korrigeringsfaktor_GD,'Korrigeringsfaktor GD'!H$1,FALSE),
"")</f>
        <v>147.07142857142858</v>
      </c>
      <c r="I161" s="18">
        <f>IFERROR(
                  Andel_oberoende_av_klimat*VLOOKUP($A161,Leveranser_per_nät,'Leveranser per nät'!I$1,FALSE)
               +Andel_beroende_av_klimat*VLOOKUP($A161,Leveranser_per_nät,'Leveranser per nät'!I$1,FALSE)/VLOOKUP($B161,Korrigeringsfaktor_GD,'Korrigeringsfaktor GD'!I$1,FALSE),
"")</f>
        <v>144.16595744680853</v>
      </c>
      <c r="J161" s="18">
        <f>IFERROR(
                  Andel_oberoende_av_klimat*VLOOKUP($A161,Leveranser_per_nät,'Leveranser per nät'!J$1,FALSE)
               +Andel_beroende_av_klimat*VLOOKUP($A161,Leveranser_per_nät,'Leveranser per nät'!J$1,FALSE)/VLOOKUP($B161,Korrigeringsfaktor_GD,'Korrigeringsfaktor GD'!J$1,FALSE),
"")</f>
        <v>157.77620000000002</v>
      </c>
      <c r="K161" s="18">
        <f>IFERROR(
                  Andel_oberoende_av_klimat*VLOOKUP($A161,Leveranser_per_nät,'Leveranser per nät'!K$1,FALSE)
               +Andel_beroende_av_klimat*VLOOKUP($A161,Leveranser_per_nät,'Leveranser per nät'!K$1,FALSE)/VLOOKUP($B161,Korrigeringsfaktor_GD,'Korrigeringsfaktor GD'!K$1,FALSE),
"")</f>
        <v>144.25623333333334</v>
      </c>
      <c r="L161" s="18">
        <f>IFERROR(
                  Andel_oberoende_av_klimat*VLOOKUP($A161,Leveranser_per_nät,'Leveranser per nät'!L$1,FALSE)
               +Andel_beroende_av_klimat*VLOOKUP($A161,Leveranser_per_nät,'Leveranser per nät'!L$1,FALSE)/VLOOKUP($B161,Korrigeringsfaktor_GD,'Korrigeringsfaktor GD'!L$1,FALSE),
"")</f>
        <v>157.33975263157893</v>
      </c>
      <c r="M161" s="18">
        <f>IFERROR(
                  Andel_oberoende_av_klimat*VLOOKUP($A161,Leveranser_per_nät,'Leveranser per nät'!M$1,FALSE)
               +Andel_beroende_av_klimat*VLOOKUP($A161,Leveranser_per_nät,'Leveranser per nät'!M$1,FALSE)/VLOOKUP($B161,Korrigeringsfaktor_GD,'Korrigeringsfaktor GD'!M$1,FALSE),
"")</f>
        <v>160.27769230769229</v>
      </c>
      <c r="N161" s="18">
        <f>IFERROR(
                  Andel_oberoende_av_klimat*VLOOKUP($A161,Leveranser_per_nät,'Leveranser per nät'!N$1,FALSE)
               +Andel_beroende_av_klimat*VLOOKUP($A161,Leveranser_per_nät,'Leveranser per nät'!N$1,FALSE)/VLOOKUP($B161,Korrigeringsfaktor_GD,'Korrigeringsfaktor GD'!N$1,FALSE),
"")</f>
        <v>167.1668817204301</v>
      </c>
      <c r="O161" s="18">
        <f>IFERROR(
                  Andel_oberoende_av_klimat*VLOOKUP($A161,Leveranser_per_nät,'Leveranser per nät'!O$1,FALSE)
               +Andel_beroende_av_klimat*VLOOKUP($A161,Leveranser_per_nät,'Leveranser per nät'!O$1,FALSE)/VLOOKUP($B161,Korrigeringsfaktor_GD,'Korrigeringsfaktor GD'!O$1,FALSE),
"")</f>
        <v>167.05555555555557</v>
      </c>
      <c r="P161" s="18">
        <f>IFERROR(
                  Andel_oberoende_av_klimat*VLOOKUP($A161,Leveranser_per_nät,'Leveranser per nät'!P$1,FALSE)
               +Andel_beroende_av_klimat*VLOOKUP($A161,Leveranser_per_nät,'Leveranser per nät'!P$1,FALSE)/VLOOKUP($B161,Korrigeringsfaktor_GD,'Korrigeringsfaktor GD'!P$1,FALSE),
"")</f>
        <v>171.41428571428571</v>
      </c>
      <c r="Q161" s="18">
        <f>IFERROR(
                  Andel_oberoende_av_klimat*VLOOKUP($A161,Leveranser_per_nät,'Leveranser per nät'!Q$1,FALSE)
               +Andel_beroende_av_klimat*VLOOKUP($A161,Leveranser_per_nät,'Leveranser per nät'!Q$1,FALSE)/VLOOKUP($B161,Korrigeringsfaktor_GD,'Korrigeringsfaktor GD'!Q$1,FALSE),
"")</f>
        <v>182.42265486725665</v>
      </c>
      <c r="R161" s="18">
        <f>IFERROR(
                  Andel_oberoende_av_klimat*VLOOKUP($A161,Leveranser_per_nät,'Leveranser per nät'!R$1,FALSE)
               +Andel_beroende_av_klimat*VLOOKUP($A161,Leveranser_per_nät,'Leveranser per nät'!R$1,FALSE)/VLOOKUP($B161,Korrigeringsfaktor_GD,'Korrigeringsfaktor GD'!R$1,FALSE),
"")</f>
        <v>176.00111111111113</v>
      </c>
      <c r="S161" s="18">
        <f>IFERROR(
                  Andel_oberoende_av_klimat*VLOOKUP($A161,Leveranser_per_nät,'Leveranser per nät'!S$1,FALSE)
               +Andel_beroende_av_klimat*VLOOKUP($A161,Leveranser_per_nät,'Leveranser per nät'!S$1,FALSE)/VLOOKUP($B161,Korrigeringsfaktor_GD,'Korrigeringsfaktor GD'!S$1,FALSE),
"")</f>
        <v>181.85360824742267</v>
      </c>
      <c r="T161" s="18">
        <f>IFERROR(
                  Andel_oberoende_av_klimat*VLOOKUP($A161,Leveranser_per_nät,'Leveranser per nät'!T$1,FALSE)
               +Andel_beroende_av_klimat*VLOOKUP($A161,Leveranser_per_nät,'Leveranser per nät'!T$1,FALSE)/VLOOKUP($B161,Korrigeringsfaktor_GD,'Korrigeringsfaktor GD'!T$1,FALSE),
"")</f>
        <v>181.67000000000002</v>
      </c>
      <c r="U161" s="18">
        <f>IFERROR(
                  Andel_oberoende_av_klimat*VLOOKUP($A161,Leveranser_per_nät,'Leveranser per nät'!U$1,FALSE)
               +Andel_beroende_av_klimat*VLOOKUP($A161,Leveranser_per_nät,'Leveranser per nät'!U$1,FALSE)/VLOOKUP($B161,Korrigeringsfaktor_GD,'Korrigeringsfaktor GD'!U$1,FALSE),
"")</f>
        <v>181.15402298850577</v>
      </c>
      <c r="V161" s="18">
        <f>IFERROR(
                  Andel_oberoende_av_klimat*VLOOKUP($A161,Leveranser_per_nät,'Leveranser per nät'!V$1,FALSE)
               +Andel_beroende_av_klimat*VLOOKUP($A161,Leveranser_per_nät,'Leveranser per nät'!V$1,FALSE)/VLOOKUP($B161,Korrigeringsfaktor_GD,'Korrigeringsfaktor GD'!V$1,FALSE),
"")</f>
        <v>182.25862068965515</v>
      </c>
      <c r="W161" s="18">
        <f>IFERROR(
                  Andel_oberoende_av_klimat*VLOOKUP($A161,Leveranser_per_nät,'Leveranser per nät'!W$1,FALSE)
               +Andel_beroende_av_klimat*VLOOKUP($A161,Leveranser_per_nät,'Leveranser per nät'!W$1,FALSE)/VLOOKUP($B161,Korrigeringsfaktor_GD,'Korrigeringsfaktor GD'!W$1,FALSE),
"")</f>
        <v>185.90473118279567</v>
      </c>
      <c r="X161" s="18">
        <f>IFERROR(
                  Andel_oberoende_av_klimat*VLOOKUP($A161,Leveranser_per_nät,'Leveranser per nät'!X$1,FALSE)
               +Andel_beroende_av_klimat*VLOOKUP($A161,Leveranser_per_nät,'Leveranser per nät'!X$1,FALSE)/VLOOKUP($B161,Korrigeringsfaktor_GD,'Korrigeringsfaktor GD'!X$1,FALSE),
"")</f>
        <v>185.99497872340424</v>
      </c>
      <c r="Y161" s="18">
        <f>IFERROR(
                  Andel_oberoende_av_klimat*VLOOKUP($A161,Leveranser_per_nät,'Leveranser per nät'!Y$1,FALSE)
               +Andel_beroende_av_klimat*VLOOKUP($A161,Leveranser_per_nät,'Leveranser per nät'!Y$1,FALSE)/VLOOKUP($B161,Korrigeringsfaktor_GD,'Korrigeringsfaktor GD'!Y$1,FALSE),
"")</f>
        <v>187.56473684210528</v>
      </c>
      <c r="Z161" s="18">
        <f>IFERROR(
                  Andel_oberoende_av_klimat*VLOOKUP($A161,Leveranser_per_nät,'Leveranser per nät'!Z$1,FALSE)
               +Andel_beroende_av_klimat*VLOOKUP($A161,Leveranser_per_nät,'Leveranser per nät'!Z$1,FALSE)/VLOOKUP($B161,Korrigeringsfaktor_GD,'Korrigeringsfaktor GD'!Z$1,FALSE),
"")</f>
        <v>197.18181818181816</v>
      </c>
      <c r="AA161" s="18">
        <f>IFERROR(
                  Andel_oberoende_av_klimat*VLOOKUP($A161,Leveranser_per_nät,'Leveranser per nät'!AA$1,FALSE)
               +Andel_beroende_av_klimat*VLOOKUP($A161,Leveranser_per_nät,'Leveranser per nät'!AA$1,FALSE)/VLOOKUP($B161,Korrigeringsfaktor_GD,'Korrigeringsfaktor GD'!AA$1,FALSE),
"")</f>
        <v>188.22570831385642</v>
      </c>
      <c r="AB161" s="18">
        <f>IFERROR(
                  Andel_oberoende_av_klimat*VLOOKUP($A161,Leveranser_per_nät,'Leveranser per nät'!AB$1,FALSE)
               +Andel_beroende_av_klimat*VLOOKUP($A161,Leveranser_per_nät,'Leveranser per nät'!AB$1,FALSE)/VLOOKUP($B161,Korrigeringsfaktor_GD,'Korrigeringsfaktor GD'!AB$1,FALSE),
"")</f>
        <v>183.46722413793105</v>
      </c>
      <c r="AC161" s="18">
        <f>IFERROR(
                  Andel_oberoende_av_klimat*VLOOKUP($A161,Leveranser_per_nät,'Leveranser per nät'!AC$1,FALSE)
               +Andel_beroende_av_klimat*VLOOKUP($A161,Leveranser_per_nät,'Leveranser per nät'!AC$1,FALSE)/VLOOKUP($B161,Korrigeringsfaktor_GD,'Korrigeringsfaktor GD'!AC$1,FALSE),
"")</f>
        <v>173.0933695473251</v>
      </c>
      <c r="AD161">
        <v>169.672</v>
      </c>
    </row>
    <row r="162" spans="1:30" x14ac:dyDescent="0.25">
      <c r="A162" t="s">
        <v>151</v>
      </c>
      <c r="B162" t="s">
        <v>151</v>
      </c>
      <c r="C162" s="18">
        <f>IFERROR(
                  Andel_oberoende_av_klimat*VLOOKUP($A162,Leveranser_per_nät,'Leveranser per nät'!C$1,FALSE)
               +Andel_beroende_av_klimat*VLOOKUP($A162,Leveranser_per_nät,'Leveranser per nät'!C$1,FALSE)/VLOOKUP($B162,Korrigeringsfaktor_GD,'Korrigeringsfaktor GD'!C$1,FALSE),
"")</f>
        <v>129.64513274336284</v>
      </c>
      <c r="D162" s="18">
        <f>IFERROR(
                  Andel_oberoende_av_klimat*VLOOKUP($A162,Leveranser_per_nät,'Leveranser per nät'!D$1,FALSE)
               +Andel_beroende_av_klimat*VLOOKUP($A162,Leveranser_per_nät,'Leveranser per nät'!D$1,FALSE)/VLOOKUP($B162,Korrigeringsfaktor_GD,'Korrigeringsfaktor GD'!D$1,FALSE),
"")</f>
        <v>135.50425490196076</v>
      </c>
      <c r="E162" s="18">
        <f>IFERROR(
                  Andel_oberoende_av_klimat*VLOOKUP($A162,Leveranser_per_nät,'Leveranser per nät'!E$1,FALSE)
               +Andel_beroende_av_klimat*VLOOKUP($A162,Leveranser_per_nät,'Leveranser per nät'!E$1,FALSE)/VLOOKUP($B162,Korrigeringsfaktor_GD,'Korrigeringsfaktor GD'!E$1,FALSE),
"")</f>
        <v>139</v>
      </c>
      <c r="F162" s="18">
        <f>IFERROR(
                  Andel_oberoende_av_klimat*VLOOKUP($A162,Leveranser_per_nät,'Leveranser per nät'!F$1,FALSE)
               +Andel_beroende_av_klimat*VLOOKUP($A162,Leveranser_per_nät,'Leveranser per nät'!F$1,FALSE)/VLOOKUP($B162,Korrigeringsfaktor_GD,'Korrigeringsfaktor GD'!F$1,FALSE),
"")</f>
        <v>139.98723404255321</v>
      </c>
      <c r="G162" s="18">
        <f>IFERROR(
                  Andel_oberoende_av_klimat*VLOOKUP($A162,Leveranser_per_nät,'Leveranser per nät'!G$1,FALSE)
               +Andel_beroende_av_klimat*VLOOKUP($A162,Leveranser_per_nät,'Leveranser per nät'!G$1,FALSE)/VLOOKUP($B162,Korrigeringsfaktor_GD,'Korrigeringsfaktor GD'!G$1,FALSE),
"")</f>
        <v>141.31363636363636</v>
      </c>
      <c r="H162" s="18">
        <f>IFERROR(
                  Andel_oberoende_av_klimat*VLOOKUP($A162,Leveranser_per_nät,'Leveranser per nät'!H$1,FALSE)
               +Andel_beroende_av_klimat*VLOOKUP($A162,Leveranser_per_nät,'Leveranser per nät'!H$1,FALSE)/VLOOKUP($B162,Korrigeringsfaktor_GD,'Korrigeringsfaktor GD'!H$1,FALSE),
"")</f>
        <v>144</v>
      </c>
      <c r="I162" s="18">
        <f>IFERROR(
                  Andel_oberoende_av_klimat*VLOOKUP($A162,Leveranser_per_nät,'Leveranser per nät'!I$1,FALSE)
               +Andel_beroende_av_klimat*VLOOKUP($A162,Leveranser_per_nät,'Leveranser per nät'!I$1,FALSE)/VLOOKUP($B162,Korrigeringsfaktor_GD,'Korrigeringsfaktor GD'!I$1,FALSE),
"")</f>
        <v>151.47872340425533</v>
      </c>
      <c r="J162" s="18">
        <f>IFERROR(
                  Andel_oberoende_av_klimat*VLOOKUP($A162,Leveranser_per_nät,'Leveranser per nät'!J$1,FALSE)
               +Andel_beroende_av_klimat*VLOOKUP($A162,Leveranser_per_nät,'Leveranser per nät'!J$1,FALSE)/VLOOKUP($B162,Korrigeringsfaktor_GD,'Korrigeringsfaktor GD'!J$1,FALSE),
"")</f>
        <v>154.17142857142858</v>
      </c>
      <c r="K162" s="18">
        <f>IFERROR(
                  Andel_oberoende_av_klimat*VLOOKUP($A162,Leveranser_per_nät,'Leveranser per nät'!K$1,FALSE)
               +Andel_beroende_av_klimat*VLOOKUP($A162,Leveranser_per_nät,'Leveranser per nät'!K$1,FALSE)/VLOOKUP($B162,Korrigeringsfaktor_GD,'Korrigeringsfaktor GD'!K$1,FALSE),
"")</f>
        <v>157.72300000000001</v>
      </c>
      <c r="L162" s="18">
        <f>IFERROR(
                  Andel_oberoende_av_klimat*VLOOKUP($A162,Leveranser_per_nät,'Leveranser per nät'!L$1,FALSE)
               +Andel_beroende_av_klimat*VLOOKUP($A162,Leveranser_per_nät,'Leveranser per nät'!L$1,FALSE)/VLOOKUP($B162,Korrigeringsfaktor_GD,'Korrigeringsfaktor GD'!L$1,FALSE),
"")</f>
        <v>161.19789896907218</v>
      </c>
      <c r="M162" s="18">
        <f>IFERROR(
                  Andel_oberoende_av_klimat*VLOOKUP($A162,Leveranser_per_nät,'Leveranser per nät'!M$1,FALSE)
               +Andel_beroende_av_klimat*VLOOKUP($A162,Leveranser_per_nät,'Leveranser per nät'!M$1,FALSE)/VLOOKUP($B162,Korrigeringsfaktor_GD,'Korrigeringsfaktor GD'!M$1,FALSE),
"")</f>
        <v>168.23220215053766</v>
      </c>
      <c r="N162" s="18">
        <f>IFERROR(
                  Andel_oberoende_av_klimat*VLOOKUP($A162,Leveranser_per_nät,'Leveranser per nät'!N$1,FALSE)
               +Andel_beroende_av_klimat*VLOOKUP($A162,Leveranser_per_nät,'Leveranser per nät'!N$1,FALSE)/VLOOKUP($B162,Korrigeringsfaktor_GD,'Korrigeringsfaktor GD'!N$1,FALSE),
"")</f>
        <v>175.71150561797754</v>
      </c>
      <c r="O162" s="18">
        <f>IFERROR(
                  Andel_oberoende_av_klimat*VLOOKUP($A162,Leveranser_per_nät,'Leveranser per nät'!O$1,FALSE)
               +Andel_beroende_av_klimat*VLOOKUP($A162,Leveranser_per_nät,'Leveranser per nät'!O$1,FALSE)/VLOOKUP($B162,Korrigeringsfaktor_GD,'Korrigeringsfaktor GD'!O$1,FALSE),
"")</f>
        <v>183.32907528089888</v>
      </c>
      <c r="P162" s="18">
        <f>IFERROR(
                  Andel_oberoende_av_klimat*VLOOKUP($A162,Leveranser_per_nät,'Leveranser per nät'!P$1,FALSE)
               +Andel_beroende_av_klimat*VLOOKUP($A162,Leveranser_per_nät,'Leveranser per nät'!P$1,FALSE)/VLOOKUP($B162,Korrigeringsfaktor_GD,'Korrigeringsfaktor GD'!P$1,FALSE),
"")</f>
        <v>186.11388659793815</v>
      </c>
      <c r="Q162" s="18">
        <f>IFERROR(
                  Andel_oberoende_av_klimat*VLOOKUP($A162,Leveranser_per_nät,'Leveranser per nät'!Q$1,FALSE)
               +Andel_beroende_av_klimat*VLOOKUP($A162,Leveranser_per_nät,'Leveranser per nät'!Q$1,FALSE)/VLOOKUP($B162,Korrigeringsfaktor_GD,'Korrigeringsfaktor GD'!Q$1,FALSE),
"")</f>
        <v>195.07242173913045</v>
      </c>
      <c r="R162" s="18">
        <f>IFERROR(
                  Andel_oberoende_av_klimat*VLOOKUP($A162,Leveranser_per_nät,'Leveranser per nät'!R$1,FALSE)
               +Andel_beroende_av_klimat*VLOOKUP($A162,Leveranser_per_nät,'Leveranser per nät'!R$1,FALSE)/VLOOKUP($B162,Korrigeringsfaktor_GD,'Korrigeringsfaktor GD'!R$1,FALSE),
"")</f>
        <v>193.07826086956521</v>
      </c>
      <c r="S162" s="18">
        <f>IFERROR(
                  Andel_oberoende_av_klimat*VLOOKUP($A162,Leveranser_per_nät,'Leveranser per nät'!S$1,FALSE)
               +Andel_beroende_av_klimat*VLOOKUP($A162,Leveranser_per_nät,'Leveranser per nät'!S$1,FALSE)/VLOOKUP($B162,Korrigeringsfaktor_GD,'Korrigeringsfaktor GD'!S$1,FALSE),
"")</f>
        <v>191.66237623762376</v>
      </c>
      <c r="T162" s="18">
        <f>IFERROR(
                  Andel_oberoende_av_klimat*VLOOKUP($A162,Leveranser_per_nät,'Leveranser per nät'!T$1,FALSE)
               +Andel_beroende_av_klimat*VLOOKUP($A162,Leveranser_per_nät,'Leveranser per nät'!T$1,FALSE)/VLOOKUP($B162,Korrigeringsfaktor_GD,'Korrigeringsfaktor GD'!T$1,FALSE),
"")</f>
        <v>188.65714285714287</v>
      </c>
      <c r="U162" s="18">
        <f>IFERROR(
                  Andel_oberoende_av_klimat*VLOOKUP($A162,Leveranser_per_nät,'Leveranser per nät'!U$1,FALSE)
               +Andel_beroende_av_klimat*VLOOKUP($A162,Leveranser_per_nät,'Leveranser per nät'!U$1,FALSE)/VLOOKUP($B162,Korrigeringsfaktor_GD,'Korrigeringsfaktor GD'!U$1,FALSE),
"")</f>
        <v>187</v>
      </c>
      <c r="V162" s="18">
        <f>IFERROR(
                  Andel_oberoende_av_klimat*VLOOKUP($A162,Leveranser_per_nät,'Leveranser per nät'!V$1,FALSE)
               +Andel_beroende_av_klimat*VLOOKUP($A162,Leveranser_per_nät,'Leveranser per nät'!V$1,FALSE)/VLOOKUP($B162,Korrigeringsfaktor_GD,'Korrigeringsfaktor GD'!V$1,FALSE),
"")</f>
        <v>186.45555555555555</v>
      </c>
      <c r="W162" s="18">
        <f>IFERROR(
                  Andel_oberoende_av_klimat*VLOOKUP($A162,Leveranser_per_nät,'Leveranser per nät'!W$1,FALSE)
               +Andel_beroende_av_klimat*VLOOKUP($A162,Leveranser_per_nät,'Leveranser per nät'!W$1,FALSE)/VLOOKUP($B162,Korrigeringsfaktor_GD,'Korrigeringsfaktor GD'!W$1,FALSE),
"")</f>
        <v>188.91263157894736</v>
      </c>
      <c r="X162" s="18">
        <f>IFERROR(
                  Andel_oberoende_av_klimat*VLOOKUP($A162,Leveranser_per_nät,'Leveranser per nät'!X$1,FALSE)
               +Andel_beroende_av_klimat*VLOOKUP($A162,Leveranser_per_nät,'Leveranser per nät'!X$1,FALSE)/VLOOKUP($B162,Korrigeringsfaktor_GD,'Korrigeringsfaktor GD'!X$1,FALSE),
"")</f>
        <v>185.76458333333335</v>
      </c>
      <c r="Y162" s="18">
        <f>IFERROR(
                  Andel_oberoende_av_klimat*VLOOKUP($A162,Leveranser_per_nät,'Leveranser per nät'!Y$1,FALSE)
               +Andel_beroende_av_klimat*VLOOKUP($A162,Leveranser_per_nät,'Leveranser per nät'!Y$1,FALSE)/VLOOKUP($B162,Korrigeringsfaktor_GD,'Korrigeringsfaktor GD'!Y$1,FALSE),
"")</f>
        <v>188.95752688172041</v>
      </c>
      <c r="Z162" s="18">
        <f>IFERROR(
                  Andel_oberoende_av_klimat*VLOOKUP($A162,Leveranser_per_nät,'Leveranser per nät'!Z$1,FALSE)
               +Andel_beroende_av_klimat*VLOOKUP($A162,Leveranser_per_nät,'Leveranser per nät'!Z$1,FALSE)/VLOOKUP($B162,Korrigeringsfaktor_GD,'Korrigeringsfaktor GD'!Z$1,FALSE),
"")</f>
        <v>184.37913043478261</v>
      </c>
      <c r="AA162" s="18">
        <f>IFERROR(
                  Andel_oberoende_av_klimat*VLOOKUP($A162,Leveranser_per_nät,'Leveranser per nät'!AA$1,FALSE)
               +Andel_beroende_av_klimat*VLOOKUP($A162,Leveranser_per_nät,'Leveranser per nät'!AA$1,FALSE)/VLOOKUP($B162,Korrigeringsfaktor_GD,'Korrigeringsfaktor GD'!AA$1,FALSE),
"")</f>
        <v>189.28130063006299</v>
      </c>
      <c r="AB162" s="18">
        <f>IFERROR(
                  Andel_oberoende_av_klimat*VLOOKUP($A162,Leveranser_per_nät,'Leveranser per nät'!AB$1,FALSE)
               +Andel_beroende_av_klimat*VLOOKUP($A162,Leveranser_per_nät,'Leveranser per nät'!AB$1,FALSE)/VLOOKUP($B162,Korrigeringsfaktor_GD,'Korrigeringsfaktor GD'!AB$1,FALSE),
"")</f>
        <v>188.99786140350875</v>
      </c>
      <c r="AC162" s="18">
        <f>IFERROR(
                  Andel_oberoende_av_klimat*VLOOKUP($A162,Leveranser_per_nät,'Leveranser per nät'!AC$1,FALSE)
               +Andel_beroende_av_klimat*VLOOKUP($A162,Leveranser_per_nät,'Leveranser per nät'!AC$1,FALSE)/VLOOKUP($B162,Korrigeringsfaktor_GD,'Korrigeringsfaktor GD'!AC$1,FALSE),
"")</f>
        <v>184.23192592592596</v>
      </c>
      <c r="AD162">
        <v>177.02</v>
      </c>
    </row>
    <row r="163" spans="1:30" x14ac:dyDescent="0.25">
      <c r="A163" t="s">
        <v>153</v>
      </c>
      <c r="B163" t="s">
        <v>153</v>
      </c>
      <c r="C163" s="18">
        <f>IFERROR(
                  Andel_oberoende_av_klimat*VLOOKUP($A163,Leveranser_per_nät,'Leveranser per nät'!C$1,FALSE)
               +Andel_beroende_av_klimat*VLOOKUP($A163,Leveranser_per_nät,'Leveranser per nät'!C$1,FALSE)/VLOOKUP($B163,Korrigeringsfaktor_GD,'Korrigeringsfaktor GD'!C$1,FALSE),
"")</f>
        <v>0</v>
      </c>
      <c r="D163" s="18">
        <f>IFERROR(
                  Andel_oberoende_av_klimat*VLOOKUP($A163,Leveranser_per_nät,'Leveranser per nät'!D$1,FALSE)
               +Andel_beroende_av_klimat*VLOOKUP($A163,Leveranser_per_nät,'Leveranser per nät'!D$1,FALSE)/VLOOKUP($B163,Korrigeringsfaktor_GD,'Korrigeringsfaktor GD'!D$1,FALSE),
"")</f>
        <v>0</v>
      </c>
      <c r="E163" s="18">
        <f>IFERROR(
                  Andel_oberoende_av_klimat*VLOOKUP($A163,Leveranser_per_nät,'Leveranser per nät'!E$1,FALSE)
               +Andel_beroende_av_klimat*VLOOKUP($A163,Leveranser_per_nät,'Leveranser per nät'!E$1,FALSE)/VLOOKUP($B163,Korrigeringsfaktor_GD,'Korrigeringsfaktor GD'!E$1,FALSE),
"")</f>
        <v>0</v>
      </c>
      <c r="F163" s="18">
        <f>IFERROR(
                  Andel_oberoende_av_klimat*VLOOKUP($A163,Leveranser_per_nät,'Leveranser per nät'!F$1,FALSE)
               +Andel_beroende_av_klimat*VLOOKUP($A163,Leveranser_per_nät,'Leveranser per nät'!F$1,FALSE)/VLOOKUP($B163,Korrigeringsfaktor_GD,'Korrigeringsfaktor GD'!F$1,FALSE),
"")</f>
        <v>0</v>
      </c>
      <c r="G163" s="18">
        <f>IFERROR(
                  Andel_oberoende_av_klimat*VLOOKUP($A163,Leveranser_per_nät,'Leveranser per nät'!G$1,FALSE)
               +Andel_beroende_av_klimat*VLOOKUP($A163,Leveranser_per_nät,'Leveranser per nät'!G$1,FALSE)/VLOOKUP($B163,Korrigeringsfaktor_GD,'Korrigeringsfaktor GD'!G$1,FALSE),
"")</f>
        <v>0</v>
      </c>
      <c r="H163" s="18">
        <f>IFERROR(
                  Andel_oberoende_av_klimat*VLOOKUP($A163,Leveranser_per_nät,'Leveranser per nät'!H$1,FALSE)
               +Andel_beroende_av_klimat*VLOOKUP($A163,Leveranser_per_nät,'Leveranser per nät'!H$1,FALSE)/VLOOKUP($B163,Korrigeringsfaktor_GD,'Korrigeringsfaktor GD'!H$1,FALSE),
"")</f>
        <v>0</v>
      </c>
      <c r="I163" s="18">
        <f>IFERROR(
                  Andel_oberoende_av_klimat*VLOOKUP($A163,Leveranser_per_nät,'Leveranser per nät'!I$1,FALSE)
               +Andel_beroende_av_klimat*VLOOKUP($A163,Leveranser_per_nät,'Leveranser per nät'!I$1,FALSE)/VLOOKUP($B163,Korrigeringsfaktor_GD,'Korrigeringsfaktor GD'!I$1,FALSE),
"")</f>
        <v>0</v>
      </c>
      <c r="J163" s="18">
        <f>IFERROR(
                  Andel_oberoende_av_klimat*VLOOKUP($A163,Leveranser_per_nät,'Leveranser per nät'!J$1,FALSE)
               +Andel_beroende_av_klimat*VLOOKUP($A163,Leveranser_per_nät,'Leveranser per nät'!J$1,FALSE)/VLOOKUP($B163,Korrigeringsfaktor_GD,'Korrigeringsfaktor GD'!J$1,FALSE),
"")</f>
        <v>0</v>
      </c>
      <c r="K163" s="18">
        <f>IFERROR(
                  Andel_oberoende_av_klimat*VLOOKUP($A163,Leveranser_per_nät,'Leveranser per nät'!K$1,FALSE)
               +Andel_beroende_av_klimat*VLOOKUP($A163,Leveranser_per_nät,'Leveranser per nät'!K$1,FALSE)/VLOOKUP($B163,Korrigeringsfaktor_GD,'Korrigeringsfaktor GD'!K$1,FALSE),
"")</f>
        <v>0</v>
      </c>
      <c r="L163" s="18">
        <f>IFERROR(
                  Andel_oberoende_av_klimat*VLOOKUP($A163,Leveranser_per_nät,'Leveranser per nät'!L$1,FALSE)
               +Andel_beroende_av_klimat*VLOOKUP($A163,Leveranser_per_nät,'Leveranser per nät'!L$1,FALSE)/VLOOKUP($B163,Korrigeringsfaktor_GD,'Korrigeringsfaktor GD'!L$1,FALSE),
"")</f>
        <v>0</v>
      </c>
      <c r="M163" s="18">
        <f>IFERROR(
                  Andel_oberoende_av_klimat*VLOOKUP($A163,Leveranser_per_nät,'Leveranser per nät'!M$1,FALSE)
               +Andel_beroende_av_klimat*VLOOKUP($A163,Leveranser_per_nät,'Leveranser per nät'!M$1,FALSE)/VLOOKUP($B163,Korrigeringsfaktor_GD,'Korrigeringsfaktor GD'!M$1,FALSE),
"")</f>
        <v>0</v>
      </c>
      <c r="N163" s="18">
        <f>IFERROR(
                  Andel_oberoende_av_klimat*VLOOKUP($A163,Leveranser_per_nät,'Leveranser per nät'!N$1,FALSE)
               +Andel_beroende_av_klimat*VLOOKUP($A163,Leveranser_per_nät,'Leveranser per nät'!N$1,FALSE)/VLOOKUP($B163,Korrigeringsfaktor_GD,'Korrigeringsfaktor GD'!N$1,FALSE),
"")</f>
        <v>26.510344827586202</v>
      </c>
      <c r="O163" s="18">
        <f>IFERROR(
                  Andel_oberoende_av_klimat*VLOOKUP($A163,Leveranser_per_nät,'Leveranser per nät'!O$1,FALSE)
               +Andel_beroende_av_klimat*VLOOKUP($A163,Leveranser_per_nät,'Leveranser per nät'!O$1,FALSE)/VLOOKUP($B163,Korrigeringsfaktor_GD,'Korrigeringsfaktor GD'!O$1,FALSE),
"")</f>
        <v>41.627272727272725</v>
      </c>
      <c r="P163" s="18">
        <f>IFERROR(
                  Andel_oberoende_av_klimat*VLOOKUP($A163,Leveranser_per_nät,'Leveranser per nät'!P$1,FALSE)
               +Andel_beroende_av_klimat*VLOOKUP($A163,Leveranser_per_nät,'Leveranser per nät'!P$1,FALSE)/VLOOKUP($B163,Korrigeringsfaktor_GD,'Korrigeringsfaktor GD'!P$1,FALSE),
"")</f>
        <v>46.3125</v>
      </c>
      <c r="Q163" s="18">
        <f>IFERROR(
                  Andel_oberoende_av_klimat*VLOOKUP($A163,Leveranser_per_nät,'Leveranser per nät'!Q$1,FALSE)
               +Andel_beroende_av_klimat*VLOOKUP($A163,Leveranser_per_nät,'Leveranser per nät'!Q$1,FALSE)/VLOOKUP($B163,Korrigeringsfaktor_GD,'Korrigeringsfaktor GD'!Q$1,FALSE),
"")</f>
        <v>47.609401709401709</v>
      </c>
      <c r="R163" s="18">
        <f>IFERROR(
                  Andel_oberoende_av_klimat*VLOOKUP($A163,Leveranser_per_nät,'Leveranser per nät'!R$1,FALSE)
               +Andel_beroende_av_klimat*VLOOKUP($A163,Leveranser_per_nät,'Leveranser per nät'!R$1,FALSE)/VLOOKUP($B163,Korrigeringsfaktor_GD,'Korrigeringsfaktor GD'!R$1,FALSE),
"")</f>
        <v>47.37096774193548</v>
      </c>
      <c r="S163" s="18">
        <f>IFERROR(
                  Andel_oberoende_av_klimat*VLOOKUP($A163,Leveranser_per_nät,'Leveranser per nät'!S$1,FALSE)
               +Andel_beroende_av_klimat*VLOOKUP($A163,Leveranser_per_nät,'Leveranser per nät'!S$1,FALSE)/VLOOKUP($B163,Korrigeringsfaktor_GD,'Korrigeringsfaktor GD'!S$1,FALSE),
"")</f>
        <v>46.674257425742574</v>
      </c>
      <c r="T163" s="18">
        <f>IFERROR(
                  Andel_oberoende_av_klimat*VLOOKUP($A163,Leveranser_per_nät,'Leveranser per nät'!T$1,FALSE)
               +Andel_beroende_av_klimat*VLOOKUP($A163,Leveranser_per_nät,'Leveranser per nät'!T$1,FALSE)/VLOOKUP($B163,Korrigeringsfaktor_GD,'Korrigeringsfaktor GD'!T$1,FALSE),
"")</f>
        <v>47.369584848484848</v>
      </c>
      <c r="U163" s="18">
        <f>IFERROR(
                  Andel_oberoende_av_klimat*VLOOKUP($A163,Leveranser_per_nät,'Leveranser per nät'!U$1,FALSE)
               +Andel_beroende_av_klimat*VLOOKUP($A163,Leveranser_per_nät,'Leveranser per nät'!U$1,FALSE)/VLOOKUP($B163,Korrigeringsfaktor_GD,'Korrigeringsfaktor GD'!U$1,FALSE),
"")</f>
        <v>48.066278313253008</v>
      </c>
      <c r="V163" s="18">
        <f>IFERROR(
                  Andel_oberoende_av_klimat*VLOOKUP($A163,Leveranser_per_nät,'Leveranser per nät'!V$1,FALSE)
               +Andel_beroende_av_klimat*VLOOKUP($A163,Leveranser_per_nät,'Leveranser per nät'!V$1,FALSE)/VLOOKUP($B163,Korrigeringsfaktor_GD,'Korrigeringsfaktor GD'!V$1,FALSE),
"")</f>
        <v>50.630598876404491</v>
      </c>
      <c r="W163" s="18">
        <f>IFERROR(
                  Andel_oberoende_av_klimat*VLOOKUP($A163,Leveranser_per_nät,'Leveranser per nät'!W$1,FALSE)
               +Andel_beroende_av_klimat*VLOOKUP($A163,Leveranser_per_nät,'Leveranser per nät'!W$1,FALSE)/VLOOKUP($B163,Korrigeringsfaktor_GD,'Korrigeringsfaktor GD'!W$1,FALSE),
"")</f>
        <v>42.350092307692307</v>
      </c>
      <c r="X163" s="18">
        <f>IFERROR(
                  Andel_oberoende_av_klimat*VLOOKUP($A163,Leveranser_per_nät,'Leveranser per nät'!X$1,FALSE)
               +Andel_beroende_av_klimat*VLOOKUP($A163,Leveranser_per_nät,'Leveranser per nät'!X$1,FALSE)/VLOOKUP($B163,Korrigeringsfaktor_GD,'Korrigeringsfaktor GD'!X$1,FALSE),
"")</f>
        <v>46.263476923076922</v>
      </c>
      <c r="Y163" s="18">
        <f>IFERROR(
                  Andel_oberoende_av_klimat*VLOOKUP($A163,Leveranser_per_nät,'Leveranser per nät'!Y$1,FALSE)
               +Andel_beroende_av_klimat*VLOOKUP($A163,Leveranser_per_nät,'Leveranser per nät'!Y$1,FALSE)/VLOOKUP($B163,Korrigeringsfaktor_GD,'Korrigeringsfaktor GD'!Y$1,FALSE),
"")</f>
        <v>46.840540909090905</v>
      </c>
      <c r="Z163" s="18">
        <f>IFERROR(
                  Andel_oberoende_av_klimat*VLOOKUP($A163,Leveranser_per_nät,'Leveranser per nät'!Z$1,FALSE)
               +Andel_beroende_av_klimat*VLOOKUP($A163,Leveranser_per_nät,'Leveranser per nät'!Z$1,FALSE)/VLOOKUP($B163,Korrigeringsfaktor_GD,'Korrigeringsfaktor GD'!Z$1,FALSE),
"")</f>
        <v>43.722350537634405</v>
      </c>
      <c r="AA163" s="18">
        <f>IFERROR(
                  Andel_oberoende_av_klimat*VLOOKUP($A163,Leveranser_per_nät,'Leveranser per nät'!AA$1,FALSE)
               +Andel_beroende_av_klimat*VLOOKUP($A163,Leveranser_per_nät,'Leveranser per nät'!AA$1,FALSE)/VLOOKUP($B163,Korrigeringsfaktor_GD,'Korrigeringsfaktor GD'!AA$1,FALSE),
"")</f>
        <v>46.111324822274888</v>
      </c>
      <c r="AB163" s="18">
        <f>IFERROR(
                  Andel_oberoende_av_klimat*VLOOKUP($A163,Leveranser_per_nät,'Leveranser per nät'!AB$1,FALSE)
               +Andel_beroende_av_klimat*VLOOKUP($A163,Leveranser_per_nät,'Leveranser per nät'!AB$1,FALSE)/VLOOKUP($B163,Korrigeringsfaktor_GD,'Korrigeringsfaktor GD'!AB$1,FALSE),
"")</f>
        <v>44.658999999999999</v>
      </c>
      <c r="AC163" s="18">
        <f>IFERROR(
                  Andel_oberoende_av_klimat*VLOOKUP($A163,Leveranser_per_nät,'Leveranser per nät'!AC$1,FALSE)
               +Andel_beroende_av_klimat*VLOOKUP($A163,Leveranser_per_nät,'Leveranser per nät'!AC$1,FALSE)/VLOOKUP($B163,Korrigeringsfaktor_GD,'Korrigeringsfaktor GD'!AC$1,FALSE),
"")</f>
        <v>44.326718918918914</v>
      </c>
      <c r="AD163">
        <v>41.945999999999998</v>
      </c>
    </row>
    <row r="164" spans="1:30" x14ac:dyDescent="0.25">
      <c r="A164" t="s">
        <v>1064</v>
      </c>
      <c r="B164" t="s">
        <v>521</v>
      </c>
      <c r="C164" s="18">
        <f>IFERROR(
                  Andel_oberoende_av_klimat*VLOOKUP($A164,Leveranser_per_nät,'Leveranser per nät'!C$1,FALSE)
               +Andel_beroende_av_klimat*VLOOKUP($A164,Leveranser_per_nät,'Leveranser per nät'!C$1,FALSE)/VLOOKUP($B164,Korrigeringsfaktor_GD,'Korrigeringsfaktor GD'!C$1,FALSE),
"")</f>
        <v>1137.6818181818182</v>
      </c>
      <c r="D164" s="18">
        <f>IFERROR(
                  Andel_oberoende_av_klimat*VLOOKUP($A164,Leveranser_per_nät,'Leveranser per nät'!D$1,FALSE)
               +Andel_beroende_av_klimat*VLOOKUP($A164,Leveranser_per_nät,'Leveranser per nät'!D$1,FALSE)/VLOOKUP($B164,Korrigeringsfaktor_GD,'Korrigeringsfaktor GD'!D$1,FALSE),
"")</f>
        <v>1108.9591428571428</v>
      </c>
      <c r="E164" s="18">
        <f>IFERROR(
                  Andel_oberoende_av_klimat*VLOOKUP($A164,Leveranser_per_nät,'Leveranser per nät'!E$1,FALSE)
               +Andel_beroende_av_klimat*VLOOKUP($A164,Leveranser_per_nät,'Leveranser per nät'!E$1,FALSE)/VLOOKUP($B164,Korrigeringsfaktor_GD,'Korrigeringsfaktor GD'!E$1,FALSE),
"")</f>
        <v>1107.5862745098038</v>
      </c>
      <c r="F164" s="18">
        <f>IFERROR(
                  Andel_oberoende_av_klimat*VLOOKUP($A164,Leveranser_per_nät,'Leveranser per nät'!F$1,FALSE)
               +Andel_beroende_av_klimat*VLOOKUP($A164,Leveranser_per_nät,'Leveranser per nät'!F$1,FALSE)/VLOOKUP($B164,Korrigeringsfaktor_GD,'Korrigeringsfaktor GD'!F$1,FALSE),
"")</f>
        <v>1108.4124999999999</v>
      </c>
      <c r="G164" s="18">
        <f>IFERROR(
                  Andel_oberoende_av_klimat*VLOOKUP($A164,Leveranser_per_nät,'Leveranser per nät'!G$1,FALSE)
               +Andel_beroende_av_klimat*VLOOKUP($A164,Leveranser_per_nät,'Leveranser per nät'!G$1,FALSE)/VLOOKUP($B164,Korrigeringsfaktor_GD,'Korrigeringsfaktor GD'!G$1,FALSE),
"")</f>
        <v>1079.1919540229885</v>
      </c>
      <c r="H164" s="18">
        <f>IFERROR(
                  Andel_oberoende_av_klimat*VLOOKUP($A164,Leveranser_per_nät,'Leveranser per nät'!H$1,FALSE)
               +Andel_beroende_av_klimat*VLOOKUP($A164,Leveranser_per_nät,'Leveranser per nät'!H$1,FALSE)/VLOOKUP($B164,Korrigeringsfaktor_GD,'Korrigeringsfaktor GD'!H$1,FALSE),
"")</f>
        <v>1125.1475247524752</v>
      </c>
      <c r="I164" s="18">
        <f>IFERROR(
                  Andel_oberoende_av_klimat*VLOOKUP($A164,Leveranser_per_nät,'Leveranser per nät'!I$1,FALSE)
               +Andel_beroende_av_klimat*VLOOKUP($A164,Leveranser_per_nät,'Leveranser per nät'!I$1,FALSE)/VLOOKUP($B164,Korrigeringsfaktor_GD,'Korrigeringsfaktor GD'!I$1,FALSE),
"")</f>
        <v>1298.5164948453607</v>
      </c>
      <c r="J164" s="18">
        <f>IFERROR(
                  Andel_oberoende_av_klimat*VLOOKUP($A164,Leveranser_per_nät,'Leveranser per nät'!J$1,FALSE)
               +Andel_beroende_av_klimat*VLOOKUP($A164,Leveranser_per_nät,'Leveranser per nät'!J$1,FALSE)/VLOOKUP($B164,Korrigeringsfaktor_GD,'Korrigeringsfaktor GD'!J$1,FALSE),
"")</f>
        <v>1182.6571428571428</v>
      </c>
      <c r="K164" s="18">
        <f>IFERROR(
                  Andel_oberoende_av_klimat*VLOOKUP($A164,Leveranser_per_nät,'Leveranser per nät'!K$1,FALSE)
               +Andel_beroende_av_klimat*VLOOKUP($A164,Leveranser_per_nät,'Leveranser per nät'!K$1,FALSE)/VLOOKUP($B164,Korrigeringsfaktor_GD,'Korrigeringsfaktor GD'!K$1,FALSE),
"")</f>
        <v>1210.2725422680412</v>
      </c>
      <c r="L164" s="18">
        <f>IFERROR(
                  Andel_oberoende_av_klimat*VLOOKUP($A164,Leveranser_per_nät,'Leveranser per nät'!L$1,FALSE)
               +Andel_beroende_av_klimat*VLOOKUP($A164,Leveranser_per_nät,'Leveranser per nät'!L$1,FALSE)/VLOOKUP($B164,Korrigeringsfaktor_GD,'Korrigeringsfaktor GD'!L$1,FALSE),
"")</f>
        <v>1121.0831460670825</v>
      </c>
      <c r="M164" s="18">
        <f>IFERROR(
                  Andel_oberoende_av_klimat*VLOOKUP($A164,Leveranser_per_nät,'Leveranser per nät'!M$1,FALSE)
               +Andel_beroende_av_klimat*VLOOKUP($A164,Leveranser_per_nät,'Leveranser per nät'!M$1,FALSE)/VLOOKUP($B164,Korrigeringsfaktor_GD,'Korrigeringsfaktor GD'!M$1,FALSE),
"")</f>
        <v>1106.4869565217391</v>
      </c>
      <c r="N164" s="18">
        <f>IFERROR(
                  Andel_oberoende_av_klimat*VLOOKUP($A164,Leveranser_per_nät,'Leveranser per nät'!N$1,FALSE)
               +Andel_beroende_av_klimat*VLOOKUP($A164,Leveranser_per_nät,'Leveranser per nät'!N$1,FALSE)/VLOOKUP($B164,Korrigeringsfaktor_GD,'Korrigeringsfaktor GD'!N$1,FALSE),
"")</f>
        <v>1013.7690782608695</v>
      </c>
      <c r="O164" s="18">
        <f>IFERROR(
                  Andel_oberoende_av_klimat*VLOOKUP($A164,Leveranser_per_nät,'Leveranser per nät'!O$1,FALSE)
               +Andel_beroende_av_klimat*VLOOKUP($A164,Leveranser_per_nät,'Leveranser per nät'!O$1,FALSE)/VLOOKUP($B164,Korrigeringsfaktor_GD,'Korrigeringsfaktor GD'!O$1,FALSE),
"")</f>
        <v>1198.4280898876405</v>
      </c>
      <c r="P164" s="18">
        <f>IFERROR(
                  Andel_oberoende_av_klimat*VLOOKUP($A164,Leveranser_per_nät,'Leveranser per nät'!P$1,FALSE)
               +Andel_beroende_av_klimat*VLOOKUP($A164,Leveranser_per_nät,'Leveranser per nät'!P$1,FALSE)/VLOOKUP($B164,Korrigeringsfaktor_GD,'Korrigeringsfaktor GD'!P$1,FALSE),
"")</f>
        <v>1112.6714285714286</v>
      </c>
      <c r="Q164" s="18">
        <f>IFERROR(
                  Andel_oberoende_av_klimat*VLOOKUP($A164,Leveranser_per_nät,'Leveranser per nät'!Q$1,FALSE)
               +Andel_beroende_av_klimat*VLOOKUP($A164,Leveranser_per_nät,'Leveranser per nät'!Q$1,FALSE)/VLOOKUP($B164,Korrigeringsfaktor_GD,'Korrigeringsfaktor GD'!Q$1,FALSE),
"")</f>
        <v>1094.0758620689655</v>
      </c>
      <c r="R164" s="18">
        <f>IFERROR(
                  Andel_oberoende_av_klimat*VLOOKUP($A164,Leveranser_per_nät,'Leveranser per nät'!R$1,FALSE)
               +Andel_beroende_av_klimat*VLOOKUP($A164,Leveranser_per_nät,'Leveranser per nät'!R$1,FALSE)/VLOOKUP($B164,Korrigeringsfaktor_GD,'Korrigeringsfaktor GD'!R$1,FALSE),
"")</f>
        <v>1094.4484269662921</v>
      </c>
      <c r="S164" s="18">
        <f>IFERROR(
                  Andel_oberoende_av_klimat*VLOOKUP($A164,Leveranser_per_nät,'Leveranser per nät'!S$1,FALSE)
               +Andel_beroende_av_klimat*VLOOKUP($A164,Leveranser_per_nät,'Leveranser per nät'!S$1,FALSE)/VLOOKUP($B164,Korrigeringsfaktor_GD,'Korrigeringsfaktor GD'!S$1,FALSE),
"")</f>
        <v>1090.6575757575756</v>
      </c>
      <c r="T164" s="18">
        <f>IFERROR(
                  Andel_oberoende_av_klimat*VLOOKUP($A164,Leveranser_per_nät,'Leveranser per nät'!T$1,FALSE)
               +Andel_beroende_av_klimat*VLOOKUP($A164,Leveranser_per_nät,'Leveranser per nät'!T$1,FALSE)/VLOOKUP($B164,Korrigeringsfaktor_GD,'Korrigeringsfaktor GD'!T$1,FALSE),
"")</f>
        <v>1095.7896894736843</v>
      </c>
      <c r="U164" s="18">
        <f>IFERROR(
                  Andel_oberoende_av_klimat*VLOOKUP($A164,Leveranser_per_nät,'Leveranser per nät'!U$1,FALSE)
               +Andel_beroende_av_klimat*VLOOKUP($A164,Leveranser_per_nät,'Leveranser per nät'!U$1,FALSE)/VLOOKUP($B164,Korrigeringsfaktor_GD,'Korrigeringsfaktor GD'!U$1,FALSE),
"")</f>
        <v>1059.8758540229885</v>
      </c>
      <c r="V164" s="18">
        <f>IFERROR(
                  Andel_oberoende_av_klimat*VLOOKUP($A164,Leveranser_per_nät,'Leveranser per nät'!V$1,FALSE)
               +Andel_beroende_av_klimat*VLOOKUP($A164,Leveranser_per_nät,'Leveranser per nät'!V$1,FALSE)/VLOOKUP($B164,Korrigeringsfaktor_GD,'Korrigeringsfaktor GD'!V$1,FALSE),
"")</f>
        <v>1080.8389909090909</v>
      </c>
      <c r="W164" s="18">
        <f>IFERROR(
                  Andel_oberoende_av_klimat*VLOOKUP($A164,Leveranser_per_nät,'Leveranser per nät'!W$1,FALSE)
               +Andel_beroende_av_klimat*VLOOKUP($A164,Leveranser_per_nät,'Leveranser per nät'!W$1,FALSE)/VLOOKUP($B164,Korrigeringsfaktor_GD,'Korrigeringsfaktor GD'!W$1,FALSE),
"")</f>
        <v>1067.7795096774194</v>
      </c>
      <c r="X164" s="18">
        <f>IFERROR(
                  Andel_oberoende_av_klimat*VLOOKUP($A164,Leveranser_per_nät,'Leveranser per nät'!X$1,FALSE)
               +Andel_beroende_av_klimat*VLOOKUP($A164,Leveranser_per_nät,'Leveranser per nät'!X$1,FALSE)/VLOOKUP($B164,Korrigeringsfaktor_GD,'Korrigeringsfaktor GD'!X$1,FALSE),
"")</f>
        <v>1053.1229322580643</v>
      </c>
      <c r="Y164" s="18">
        <f>IFERROR(
                  Andel_oberoende_av_klimat*VLOOKUP($A164,Leveranser_per_nät,'Leveranser per nät'!Y$1,FALSE)
               +Andel_beroende_av_klimat*VLOOKUP($A164,Leveranser_per_nät,'Leveranser per nät'!Y$1,FALSE)/VLOOKUP($B164,Korrigeringsfaktor_GD,'Korrigeringsfaktor GD'!Y$1,FALSE),
"")</f>
        <v>1088.4795698924731</v>
      </c>
      <c r="Z164" s="18">
        <f>IFERROR(
                  Andel_oberoende_av_klimat*VLOOKUP($A164,Leveranser_per_nät,'Leveranser per nät'!Z$1,FALSE)
               +Andel_beroende_av_klimat*VLOOKUP($A164,Leveranser_per_nät,'Leveranser per nät'!Z$1,FALSE)/VLOOKUP($B164,Korrigeringsfaktor_GD,'Korrigeringsfaktor GD'!Z$1,FALSE),
"")</f>
        <v>1121.1666666666667</v>
      </c>
      <c r="AA164" s="18">
        <f>IFERROR(
                  Andel_oberoende_av_klimat*VLOOKUP($A164,Leveranser_per_nät,'Leveranser per nät'!AA$1,FALSE)
               +Andel_beroende_av_klimat*VLOOKUP($A164,Leveranser_per_nät,'Leveranser per nät'!AA$1,FALSE)/VLOOKUP($B164,Korrigeringsfaktor_GD,'Korrigeringsfaktor GD'!AA$1,FALSE),
"")</f>
        <v>1023.5330304996755</v>
      </c>
      <c r="AB164" s="18">
        <f>IFERROR(
                  Andel_oberoende_av_klimat*VLOOKUP($A164,Leveranser_per_nät,'Leveranser per nät'!AB$1,FALSE)
               +Andel_beroende_av_klimat*VLOOKUP($A164,Leveranser_per_nät,'Leveranser per nät'!AB$1,FALSE)/VLOOKUP($B164,Korrigeringsfaktor_GD,'Korrigeringsfaktor GD'!AB$1,FALSE),
"")</f>
        <v>1045.481850241546</v>
      </c>
      <c r="AC164" s="18">
        <f>IFERROR(
                  Andel_oberoende_av_klimat*VLOOKUP($A164,Leveranser_per_nät,'Leveranser per nät'!AC$1,FALSE)
               +Andel_beroende_av_klimat*VLOOKUP($A164,Leveranser_per_nät,'Leveranser per nät'!AC$1,FALSE)/VLOOKUP($B164,Korrigeringsfaktor_GD,'Korrigeringsfaktor GD'!AC$1,FALSE),
"")</f>
        <v>967.09291671891333</v>
      </c>
      <c r="AD164" t="e">
        <v>#N/A</v>
      </c>
    </row>
    <row r="165" spans="1:30" x14ac:dyDescent="0.25">
      <c r="A165" t="s">
        <v>242</v>
      </c>
      <c r="B165" t="s">
        <v>508</v>
      </c>
      <c r="C165" s="18">
        <f>IFERROR(
                  Andel_oberoende_av_klimat*VLOOKUP($A165,Leveranser_per_nät,'Leveranser per nät'!C$1,FALSE)
               +Andel_beroende_av_klimat*VLOOKUP($A165,Leveranser_per_nät,'Leveranser per nät'!C$1,FALSE)/VLOOKUP($B165,Korrigeringsfaktor_GD,'Korrigeringsfaktor GD'!C$1,FALSE),
"")</f>
        <v>0</v>
      </c>
      <c r="D165" s="18">
        <f>IFERROR(
                  Andel_oberoende_av_klimat*VLOOKUP($A165,Leveranser_per_nät,'Leveranser per nät'!D$1,FALSE)
               +Andel_beroende_av_klimat*VLOOKUP($A165,Leveranser_per_nät,'Leveranser per nät'!D$1,FALSE)/VLOOKUP($B165,Korrigeringsfaktor_GD,'Korrigeringsfaktor GD'!D$1,FALSE),
"")</f>
        <v>0</v>
      </c>
      <c r="E165" s="18">
        <f>IFERROR(
                  Andel_oberoende_av_klimat*VLOOKUP($A165,Leveranser_per_nät,'Leveranser per nät'!E$1,FALSE)
               +Andel_beroende_av_klimat*VLOOKUP($A165,Leveranser_per_nät,'Leveranser per nät'!E$1,FALSE)/VLOOKUP($B165,Korrigeringsfaktor_GD,'Korrigeringsfaktor GD'!E$1,FALSE),
"")</f>
        <v>0</v>
      </c>
      <c r="F165" s="18">
        <f>IFERROR(
                  Andel_oberoende_av_klimat*VLOOKUP($A165,Leveranser_per_nät,'Leveranser per nät'!F$1,FALSE)
               +Andel_beroende_av_klimat*VLOOKUP($A165,Leveranser_per_nät,'Leveranser per nät'!F$1,FALSE)/VLOOKUP($B165,Korrigeringsfaktor_GD,'Korrigeringsfaktor GD'!F$1,FALSE),
"")</f>
        <v>0</v>
      </c>
      <c r="G165" s="18">
        <f>IFERROR(
                  Andel_oberoende_av_klimat*VLOOKUP($A165,Leveranser_per_nät,'Leveranser per nät'!G$1,FALSE)
               +Andel_beroende_av_klimat*VLOOKUP($A165,Leveranser_per_nät,'Leveranser per nät'!G$1,FALSE)/VLOOKUP($B165,Korrigeringsfaktor_GD,'Korrigeringsfaktor GD'!G$1,FALSE),
"")</f>
        <v>0</v>
      </c>
      <c r="H165" s="18">
        <f>IFERROR(
                  Andel_oberoende_av_klimat*VLOOKUP($A165,Leveranser_per_nät,'Leveranser per nät'!H$1,FALSE)
               +Andel_beroende_av_klimat*VLOOKUP($A165,Leveranser_per_nät,'Leveranser per nät'!H$1,FALSE)/VLOOKUP($B165,Korrigeringsfaktor_GD,'Korrigeringsfaktor GD'!H$1,FALSE),
"")</f>
        <v>0</v>
      </c>
      <c r="I165" s="18">
        <f>IFERROR(
                  Andel_oberoende_av_klimat*VLOOKUP($A165,Leveranser_per_nät,'Leveranser per nät'!I$1,FALSE)
               +Andel_beroende_av_klimat*VLOOKUP($A165,Leveranser_per_nät,'Leveranser per nät'!I$1,FALSE)/VLOOKUP($B165,Korrigeringsfaktor_GD,'Korrigeringsfaktor GD'!I$1,FALSE),
"")</f>
        <v>0</v>
      </c>
      <c r="J165" s="18">
        <f>IFERROR(
                  Andel_oberoende_av_klimat*VLOOKUP($A165,Leveranser_per_nät,'Leveranser per nät'!J$1,FALSE)
               +Andel_beroende_av_klimat*VLOOKUP($A165,Leveranser_per_nät,'Leveranser per nät'!J$1,FALSE)/VLOOKUP($B165,Korrigeringsfaktor_GD,'Korrigeringsfaktor GD'!J$1,FALSE),
"")</f>
        <v>0</v>
      </c>
      <c r="K165" s="18">
        <f>IFERROR(
                  Andel_oberoende_av_klimat*VLOOKUP($A165,Leveranser_per_nät,'Leveranser per nät'!K$1,FALSE)
               +Andel_beroende_av_klimat*VLOOKUP($A165,Leveranser_per_nät,'Leveranser per nät'!K$1,FALSE)/VLOOKUP($B165,Korrigeringsfaktor_GD,'Korrigeringsfaktor GD'!K$1,FALSE),
"")</f>
        <v>13.100000000000001</v>
      </c>
      <c r="L165" s="18">
        <f>IFERROR(
                  Andel_oberoende_av_klimat*VLOOKUP($A165,Leveranser_per_nät,'Leveranser per nät'!L$1,FALSE)
               +Andel_beroende_av_klimat*VLOOKUP($A165,Leveranser_per_nät,'Leveranser per nät'!L$1,FALSE)/VLOOKUP($B165,Korrigeringsfaktor_GD,'Korrigeringsfaktor GD'!L$1,FALSE),
"")</f>
        <v>17.860476288659793</v>
      </c>
      <c r="M165" s="18">
        <f>IFERROR(
                  Andel_oberoende_av_klimat*VLOOKUP($A165,Leveranser_per_nät,'Leveranser per nät'!M$1,FALSE)
               +Andel_beroende_av_klimat*VLOOKUP($A165,Leveranser_per_nät,'Leveranser per nät'!M$1,FALSE)/VLOOKUP($B165,Korrigeringsfaktor_GD,'Korrigeringsfaktor GD'!M$1,FALSE),
"")</f>
        <v>23.100189247311825</v>
      </c>
      <c r="N165" s="18">
        <f>IFERROR(
                  Andel_oberoende_av_klimat*VLOOKUP($A165,Leveranser_per_nät,'Leveranser per nät'!N$1,FALSE)
               +Andel_beroende_av_klimat*VLOOKUP($A165,Leveranser_per_nät,'Leveranser per nät'!N$1,FALSE)/VLOOKUP($B165,Korrigeringsfaktor_GD,'Korrigeringsfaktor GD'!N$1,FALSE),
"")</f>
        <v>23.842525842696627</v>
      </c>
      <c r="O165" s="18">
        <f>IFERROR(
                  Andel_oberoende_av_klimat*VLOOKUP($A165,Leveranser_per_nät,'Leveranser per nät'!O$1,FALSE)
               +Andel_beroende_av_klimat*VLOOKUP($A165,Leveranser_per_nät,'Leveranser per nät'!O$1,FALSE)/VLOOKUP($B165,Korrigeringsfaktor_GD,'Korrigeringsfaktor GD'!O$1,FALSE),
"")</f>
        <v>23.650755555555556</v>
      </c>
      <c r="P165" s="18">
        <f>IFERROR(
                  Andel_oberoende_av_klimat*VLOOKUP($A165,Leveranser_per_nät,'Leveranser per nät'!P$1,FALSE)
               +Andel_beroende_av_klimat*VLOOKUP($A165,Leveranser_per_nät,'Leveranser per nät'!P$1,FALSE)/VLOOKUP($B165,Korrigeringsfaktor_GD,'Korrigeringsfaktor GD'!P$1,FALSE),
"")</f>
        <v>25.738415463917526</v>
      </c>
      <c r="Q165" s="18">
        <f>IFERROR(
                  Andel_oberoende_av_klimat*VLOOKUP($A165,Leveranser_per_nät,'Leveranser per nät'!Q$1,FALSE)
               +Andel_beroende_av_klimat*VLOOKUP($A165,Leveranser_per_nät,'Leveranser per nät'!Q$1,FALSE)/VLOOKUP($B165,Korrigeringsfaktor_GD,'Korrigeringsfaktor GD'!Q$1,FALSE),
"")</f>
        <v>28.467622807017541</v>
      </c>
      <c r="R165" s="18">
        <f>IFERROR(
                  Andel_oberoende_av_klimat*VLOOKUP($A165,Leveranser_per_nät,'Leveranser per nät'!R$1,FALSE)
               +Andel_beroende_av_klimat*VLOOKUP($A165,Leveranser_per_nät,'Leveranser per nät'!R$1,FALSE)/VLOOKUP($B165,Korrigeringsfaktor_GD,'Korrigeringsfaktor GD'!R$1,FALSE),
"")</f>
        <v>28.987200000000001</v>
      </c>
      <c r="S165" s="18">
        <f>IFERROR(
                  Andel_oberoende_av_klimat*VLOOKUP($A165,Leveranser_per_nät,'Leveranser per nät'!S$1,FALSE)
               +Andel_beroende_av_klimat*VLOOKUP($A165,Leveranser_per_nät,'Leveranser per nät'!S$1,FALSE)/VLOOKUP($B165,Korrigeringsfaktor_GD,'Korrigeringsfaktor GD'!S$1,FALSE),
"")</f>
        <v>28.7990099009901</v>
      </c>
      <c r="T165" s="18">
        <f>IFERROR(
                  Andel_oberoende_av_klimat*VLOOKUP($A165,Leveranser_per_nät,'Leveranser per nät'!T$1,FALSE)
               +Andel_beroende_av_klimat*VLOOKUP($A165,Leveranser_per_nät,'Leveranser per nät'!T$1,FALSE)/VLOOKUP($B165,Korrigeringsfaktor_GD,'Korrigeringsfaktor GD'!T$1,FALSE),
"")</f>
        <v>29.414285714285711</v>
      </c>
      <c r="U165" s="18">
        <f>IFERROR(
                  Andel_oberoende_av_klimat*VLOOKUP($A165,Leveranser_per_nät,'Leveranser per nät'!U$1,FALSE)
               +Andel_beroende_av_klimat*VLOOKUP($A165,Leveranser_per_nät,'Leveranser per nät'!U$1,FALSE)/VLOOKUP($B165,Korrigeringsfaktor_GD,'Korrigeringsfaktor GD'!U$1,FALSE),
"")</f>
        <v>28.673333333333339</v>
      </c>
      <c r="V165" s="18">
        <f>IFERROR(
                  Andel_oberoende_av_klimat*VLOOKUP($A165,Leveranser_per_nät,'Leveranser per nät'!V$1,FALSE)
               +Andel_beroende_av_klimat*VLOOKUP($A165,Leveranser_per_nät,'Leveranser per nät'!V$1,FALSE)/VLOOKUP($B165,Korrigeringsfaktor_GD,'Korrigeringsfaktor GD'!V$1,FALSE),
"")</f>
        <v>28.45333333333333</v>
      </c>
      <c r="W165" s="18">
        <f>IFERROR(
                  Andel_oberoende_av_klimat*VLOOKUP($A165,Leveranser_per_nät,'Leveranser per nät'!W$1,FALSE)
               +Andel_beroende_av_klimat*VLOOKUP($A165,Leveranser_per_nät,'Leveranser per nät'!W$1,FALSE)/VLOOKUP($B165,Korrigeringsfaktor_GD,'Korrigeringsfaktor GD'!W$1,FALSE),
"")</f>
        <v>28.537391304347825</v>
      </c>
      <c r="X165" s="18">
        <f>IFERROR(
                  Andel_oberoende_av_klimat*VLOOKUP($A165,Leveranser_per_nät,'Leveranser per nät'!X$1,FALSE)
               +Andel_beroende_av_klimat*VLOOKUP($A165,Leveranser_per_nät,'Leveranser per nät'!X$1,FALSE)/VLOOKUP($B165,Korrigeringsfaktor_GD,'Korrigeringsfaktor GD'!X$1,FALSE),
"")</f>
        <v>28.441538461538464</v>
      </c>
      <c r="Y165" s="18">
        <f>IFERROR(
                  Andel_oberoende_av_klimat*VLOOKUP($A165,Leveranser_per_nät,'Leveranser per nät'!Y$1,FALSE)
               +Andel_beroende_av_klimat*VLOOKUP($A165,Leveranser_per_nät,'Leveranser per nät'!Y$1,FALSE)/VLOOKUP($B165,Korrigeringsfaktor_GD,'Korrigeringsfaktor GD'!Y$1,FALSE),
"")</f>
        <v>29.050919540229884</v>
      </c>
      <c r="Z165" s="18">
        <f>IFERROR(
                  Andel_oberoende_av_klimat*VLOOKUP($A165,Leveranser_per_nät,'Leveranser per nät'!Z$1,FALSE)
               +Andel_beroende_av_klimat*VLOOKUP($A165,Leveranser_per_nät,'Leveranser per nät'!Z$1,FALSE)/VLOOKUP($B165,Korrigeringsfaktor_GD,'Korrigeringsfaktor GD'!Z$1,FALSE),
"")</f>
        <v>26.836966292134829</v>
      </c>
      <c r="AA165" s="18">
        <f>IFERROR(
                  Andel_oberoende_av_klimat*VLOOKUP($A165,Leveranser_per_nät,'Leveranser per nät'!AA$1,FALSE)
               +Andel_beroende_av_klimat*VLOOKUP($A165,Leveranser_per_nät,'Leveranser per nät'!AA$1,FALSE)/VLOOKUP($B165,Korrigeringsfaktor_GD,'Korrigeringsfaktor GD'!AA$1,FALSE),
"")</f>
        <v>26.93111851289833</v>
      </c>
      <c r="AB165" s="18">
        <f>IFERROR(
                  Andel_oberoende_av_klimat*VLOOKUP($A165,Leveranser_per_nät,'Leveranser per nät'!AB$1,FALSE)
               +Andel_beroende_av_klimat*VLOOKUP($A165,Leveranser_per_nät,'Leveranser per nät'!AB$1,FALSE)/VLOOKUP($B165,Korrigeringsfaktor_GD,'Korrigeringsfaktor GD'!AB$1,FALSE),
"")</f>
        <v>25.830000000000002</v>
      </c>
      <c r="AC165" s="18">
        <f>IFERROR(
                  Andel_oberoende_av_klimat*VLOOKUP($A165,Leveranser_per_nät,'Leveranser per nät'!AC$1,FALSE)
               +Andel_beroende_av_klimat*VLOOKUP($A165,Leveranser_per_nät,'Leveranser per nät'!AC$1,FALSE)/VLOOKUP($B165,Korrigeringsfaktor_GD,'Korrigeringsfaktor GD'!AC$1,FALSE),
"")</f>
        <v>24.646997885835098</v>
      </c>
      <c r="AD165" t="e">
        <v>#N/A</v>
      </c>
    </row>
    <row r="166" spans="1:30" x14ac:dyDescent="0.25">
      <c r="A166" t="s">
        <v>326</v>
      </c>
      <c r="B166" t="s">
        <v>324</v>
      </c>
      <c r="C166" s="18">
        <f>IFERROR(
                  Andel_oberoende_av_klimat*VLOOKUP($A166,Leveranser_per_nät,'Leveranser per nät'!C$1,FALSE)
               +Andel_beroende_av_klimat*VLOOKUP($A166,Leveranser_per_nät,'Leveranser per nät'!C$1,FALSE)/VLOOKUP($B166,Korrigeringsfaktor_GD,'Korrigeringsfaktor GD'!C$1,FALSE),
"")</f>
        <v>0</v>
      </c>
      <c r="D166" s="18">
        <f>IFERROR(
                  Andel_oberoende_av_klimat*VLOOKUP($A166,Leveranser_per_nät,'Leveranser per nät'!D$1,FALSE)
               +Andel_beroende_av_klimat*VLOOKUP($A166,Leveranser_per_nät,'Leveranser per nät'!D$1,FALSE)/VLOOKUP($B166,Korrigeringsfaktor_GD,'Korrigeringsfaktor GD'!D$1,FALSE),
"")</f>
        <v>0</v>
      </c>
      <c r="E166" s="18">
        <f>IFERROR(
                  Andel_oberoende_av_klimat*VLOOKUP($A166,Leveranser_per_nät,'Leveranser per nät'!E$1,FALSE)
               +Andel_beroende_av_klimat*VLOOKUP($A166,Leveranser_per_nät,'Leveranser per nät'!E$1,FALSE)/VLOOKUP($B166,Korrigeringsfaktor_GD,'Korrigeringsfaktor GD'!E$1,FALSE),
"")</f>
        <v>0</v>
      </c>
      <c r="F166" s="18">
        <f>IFERROR(
                  Andel_oberoende_av_klimat*VLOOKUP($A166,Leveranser_per_nät,'Leveranser per nät'!F$1,FALSE)
               +Andel_beroende_av_klimat*VLOOKUP($A166,Leveranser_per_nät,'Leveranser per nät'!F$1,FALSE)/VLOOKUP($B166,Korrigeringsfaktor_GD,'Korrigeringsfaktor GD'!F$1,FALSE),
"")</f>
        <v>0</v>
      </c>
      <c r="G166" s="18">
        <f>IFERROR(
                  Andel_oberoende_av_klimat*VLOOKUP($A166,Leveranser_per_nät,'Leveranser per nät'!G$1,FALSE)
               +Andel_beroende_av_klimat*VLOOKUP($A166,Leveranser_per_nät,'Leveranser per nät'!G$1,FALSE)/VLOOKUP($B166,Korrigeringsfaktor_GD,'Korrigeringsfaktor GD'!G$1,FALSE),
"")</f>
        <v>0</v>
      </c>
      <c r="H166" s="18">
        <f>IFERROR(
                  Andel_oberoende_av_klimat*VLOOKUP($A166,Leveranser_per_nät,'Leveranser per nät'!H$1,FALSE)
               +Andel_beroende_av_klimat*VLOOKUP($A166,Leveranser_per_nät,'Leveranser per nät'!H$1,FALSE)/VLOOKUP($B166,Korrigeringsfaktor_GD,'Korrigeringsfaktor GD'!H$1,FALSE),
"")</f>
        <v>0</v>
      </c>
      <c r="I166" s="18">
        <f>IFERROR(
                  Andel_oberoende_av_klimat*VLOOKUP($A166,Leveranser_per_nät,'Leveranser per nät'!I$1,FALSE)
               +Andel_beroende_av_klimat*VLOOKUP($A166,Leveranser_per_nät,'Leveranser per nät'!I$1,FALSE)/VLOOKUP($B166,Korrigeringsfaktor_GD,'Korrigeringsfaktor GD'!I$1,FALSE),
"")</f>
        <v>0</v>
      </c>
      <c r="J166" s="18">
        <f>IFERROR(
                  Andel_oberoende_av_klimat*VLOOKUP($A166,Leveranser_per_nät,'Leveranser per nät'!J$1,FALSE)
               +Andel_beroende_av_klimat*VLOOKUP($A166,Leveranser_per_nät,'Leveranser per nät'!J$1,FALSE)/VLOOKUP($B166,Korrigeringsfaktor_GD,'Korrigeringsfaktor GD'!J$1,FALSE),
"")</f>
        <v>5.0816845360824745</v>
      </c>
      <c r="K166" s="18">
        <f>IFERROR(
                  Andel_oberoende_av_klimat*VLOOKUP($A166,Leveranser_per_nät,'Leveranser per nät'!K$1,FALSE)
               +Andel_beroende_av_klimat*VLOOKUP($A166,Leveranser_per_nät,'Leveranser per nät'!K$1,FALSE)/VLOOKUP($B166,Korrigeringsfaktor_GD,'Korrigeringsfaktor GD'!K$1,FALSE),
"")</f>
        <v>0</v>
      </c>
      <c r="L166" s="18">
        <f>IFERROR(
                  Andel_oberoende_av_klimat*VLOOKUP($A166,Leveranser_per_nät,'Leveranser per nät'!L$1,FALSE)
               +Andel_beroende_av_klimat*VLOOKUP($A166,Leveranser_per_nät,'Leveranser per nät'!L$1,FALSE)/VLOOKUP($B166,Korrigeringsfaktor_GD,'Korrigeringsfaktor GD'!L$1,FALSE),
"")</f>
        <v>0</v>
      </c>
      <c r="M166" s="18">
        <f>IFERROR(
                  Andel_oberoende_av_klimat*VLOOKUP($A166,Leveranser_per_nät,'Leveranser per nät'!M$1,FALSE)
               +Andel_beroende_av_klimat*VLOOKUP($A166,Leveranser_per_nät,'Leveranser per nät'!M$1,FALSE)/VLOOKUP($B166,Korrigeringsfaktor_GD,'Korrigeringsfaktor GD'!M$1,FALSE),
"")</f>
        <v>0</v>
      </c>
      <c r="N166" s="18">
        <f>IFERROR(
                  Andel_oberoende_av_klimat*VLOOKUP($A166,Leveranser_per_nät,'Leveranser per nät'!N$1,FALSE)
               +Andel_beroende_av_klimat*VLOOKUP($A166,Leveranser_per_nät,'Leveranser per nät'!N$1,FALSE)/VLOOKUP($B166,Korrigeringsfaktor_GD,'Korrigeringsfaktor GD'!N$1,FALSE),
"")</f>
        <v>7.9798608695652176</v>
      </c>
      <c r="O166" s="18">
        <f>IFERROR(
                  Andel_oberoende_av_klimat*VLOOKUP($A166,Leveranser_per_nät,'Leveranser per nät'!O$1,FALSE)
               +Andel_beroende_av_klimat*VLOOKUP($A166,Leveranser_per_nät,'Leveranser per nät'!O$1,FALSE)/VLOOKUP($B166,Korrigeringsfaktor_GD,'Korrigeringsfaktor GD'!O$1,FALSE),
"")</f>
        <v>9.2777153846153837</v>
      </c>
      <c r="P166" s="18">
        <f>IFERROR(
                  Andel_oberoende_av_klimat*VLOOKUP($A166,Leveranser_per_nät,'Leveranser per nät'!P$1,FALSE)
               +Andel_beroende_av_klimat*VLOOKUP($A166,Leveranser_per_nät,'Leveranser per nät'!P$1,FALSE)/VLOOKUP($B166,Korrigeringsfaktor_GD,'Korrigeringsfaktor GD'!P$1,FALSE),
"")</f>
        <v>9.7888714285714276</v>
      </c>
      <c r="Q166" s="18">
        <f>IFERROR(
                  Andel_oberoende_av_klimat*VLOOKUP($A166,Leveranser_per_nät,'Leveranser per nät'!Q$1,FALSE)
               +Andel_beroende_av_klimat*VLOOKUP($A166,Leveranser_per_nät,'Leveranser per nät'!Q$1,FALSE)/VLOOKUP($B166,Korrigeringsfaktor_GD,'Korrigeringsfaktor GD'!Q$1,FALSE),
"")</f>
        <v>9.1379727272727269</v>
      </c>
      <c r="R166" s="18">
        <f>IFERROR(
                  Andel_oberoende_av_klimat*VLOOKUP($A166,Leveranser_per_nät,'Leveranser per nät'!R$1,FALSE)
               +Andel_beroende_av_klimat*VLOOKUP($A166,Leveranser_per_nät,'Leveranser per nät'!R$1,FALSE)/VLOOKUP($B166,Korrigeringsfaktor_GD,'Korrigeringsfaktor GD'!R$1,FALSE),
"")</f>
        <v>9.1180000000000003</v>
      </c>
      <c r="S166" s="18">
        <f>IFERROR(
                  Andel_oberoende_av_klimat*VLOOKUP($A166,Leveranser_per_nät,'Leveranser per nät'!S$1,FALSE)
               +Andel_beroende_av_klimat*VLOOKUP($A166,Leveranser_per_nät,'Leveranser per nät'!S$1,FALSE)/VLOOKUP($B166,Korrigeringsfaktor_GD,'Korrigeringsfaktor GD'!S$1,FALSE),
"")</f>
        <v>8.8547142857142873</v>
      </c>
      <c r="T166" s="18">
        <f>IFERROR(
                  Andel_oberoende_av_klimat*VLOOKUP($A166,Leveranser_per_nät,'Leveranser per nät'!T$1,FALSE)
               +Andel_beroende_av_klimat*VLOOKUP($A166,Leveranser_per_nät,'Leveranser per nät'!T$1,FALSE)/VLOOKUP($B166,Korrigeringsfaktor_GD,'Korrigeringsfaktor GD'!T$1,FALSE),
"")</f>
        <v>8.7893043478260875</v>
      </c>
      <c r="U166" s="18">
        <f>IFERROR(
                  Andel_oberoende_av_klimat*VLOOKUP($A166,Leveranser_per_nät,'Leveranser per nät'!U$1,FALSE)
               +Andel_beroende_av_klimat*VLOOKUP($A166,Leveranser_per_nät,'Leveranser per nät'!U$1,FALSE)/VLOOKUP($B166,Korrigeringsfaktor_GD,'Korrigeringsfaktor GD'!U$1,FALSE),
"")</f>
        <v>8.3835640449438209</v>
      </c>
      <c r="V166" s="18">
        <f>IFERROR(
                  Andel_oberoende_av_klimat*VLOOKUP($A166,Leveranser_per_nät,'Leveranser per nät'!V$1,FALSE)
               +Andel_beroende_av_klimat*VLOOKUP($A166,Leveranser_per_nät,'Leveranser per nät'!V$1,FALSE)/VLOOKUP($B166,Korrigeringsfaktor_GD,'Korrigeringsfaktor GD'!V$1,FALSE),
"")</f>
        <v>7.4311837209302327</v>
      </c>
      <c r="W166" s="18">
        <f>IFERROR(
                  Andel_oberoende_av_klimat*VLOOKUP($A166,Leveranser_per_nät,'Leveranser per nät'!W$1,FALSE)
               +Andel_beroende_av_klimat*VLOOKUP($A166,Leveranser_per_nät,'Leveranser per nät'!W$1,FALSE)/VLOOKUP($B166,Korrigeringsfaktor_GD,'Korrigeringsfaktor GD'!W$1,FALSE),
"")</f>
        <v>7.4735578947368424</v>
      </c>
      <c r="X166" s="18">
        <f>IFERROR(
                  Andel_oberoende_av_klimat*VLOOKUP($A166,Leveranser_per_nät,'Leveranser per nät'!X$1,FALSE)
               +Andel_beroende_av_klimat*VLOOKUP($A166,Leveranser_per_nät,'Leveranser per nät'!X$1,FALSE)/VLOOKUP($B166,Korrigeringsfaktor_GD,'Korrigeringsfaktor GD'!X$1,FALSE),
"")</f>
        <v>7.5952500000000001</v>
      </c>
      <c r="Y166" s="18">
        <f>IFERROR(
                  Andel_oberoende_av_klimat*VLOOKUP($A166,Leveranser_per_nät,'Leveranser per nät'!Y$1,FALSE)
               +Andel_beroende_av_klimat*VLOOKUP($A166,Leveranser_per_nät,'Leveranser per nät'!Y$1,FALSE)/VLOOKUP($B166,Korrigeringsfaktor_GD,'Korrigeringsfaktor GD'!Y$1,FALSE),
"")</f>
        <v>7.6829999999999998</v>
      </c>
      <c r="Z166" s="18">
        <f>IFERROR(
                  Andel_oberoende_av_klimat*VLOOKUP($A166,Leveranser_per_nät,'Leveranser per nät'!Z$1,FALSE)
               +Andel_beroende_av_klimat*VLOOKUP($A166,Leveranser_per_nät,'Leveranser per nät'!Z$1,FALSE)/VLOOKUP($B166,Korrigeringsfaktor_GD,'Korrigeringsfaktor GD'!Z$1,FALSE),
"")</f>
        <v>8.1519310344827574</v>
      </c>
      <c r="AA166" s="18">
        <f>IFERROR(
                  Andel_oberoende_av_klimat*VLOOKUP($A166,Leveranser_per_nät,'Leveranser per nät'!AA$1,FALSE)
               +Andel_beroende_av_klimat*VLOOKUP($A166,Leveranser_per_nät,'Leveranser per nät'!AA$1,FALSE)/VLOOKUP($B166,Korrigeringsfaktor_GD,'Korrigeringsfaktor GD'!AA$1,FALSE),
"")</f>
        <v>7.4574812637766339</v>
      </c>
      <c r="AB166" s="18">
        <f>IFERROR(
                  Andel_oberoende_av_klimat*VLOOKUP($A166,Leveranser_per_nät,'Leveranser per nät'!AB$1,FALSE)
               +Andel_beroende_av_klimat*VLOOKUP($A166,Leveranser_per_nät,'Leveranser per nät'!AB$1,FALSE)/VLOOKUP($B166,Korrigeringsfaktor_GD,'Korrigeringsfaktor GD'!AB$1,FALSE),
"")</f>
        <v>7.4284807149576668</v>
      </c>
      <c r="AC166" s="18">
        <f>IFERROR(
                  Andel_oberoende_av_klimat*VLOOKUP($A166,Leveranser_per_nät,'Leveranser per nät'!AC$1,FALSE)
               +Andel_beroende_av_klimat*VLOOKUP($A166,Leveranser_per_nät,'Leveranser per nät'!AC$1,FALSE)/VLOOKUP($B166,Korrigeringsfaktor_GD,'Korrigeringsfaktor GD'!AC$1,FALSE),
"")</f>
        <v>7.4304088176352714</v>
      </c>
      <c r="AD166">
        <v>823.99</v>
      </c>
    </row>
    <row r="167" spans="1:30" x14ac:dyDescent="0.25">
      <c r="A167" t="s">
        <v>243</v>
      </c>
      <c r="B167" t="s">
        <v>243</v>
      </c>
      <c r="C167" s="18">
        <f>IFERROR(
                  Andel_oberoende_av_klimat*VLOOKUP($A167,Leveranser_per_nät,'Leveranser per nät'!C$1,FALSE)
               +Andel_beroende_av_klimat*VLOOKUP($A167,Leveranser_per_nät,'Leveranser per nät'!C$1,FALSE)/VLOOKUP($B167,Korrigeringsfaktor_GD,'Korrigeringsfaktor GD'!C$1,FALSE),
"")</f>
        <v>14.624561403508773</v>
      </c>
      <c r="D167" s="18">
        <f>IFERROR(
                  Andel_oberoende_av_klimat*VLOOKUP($A167,Leveranser_per_nät,'Leveranser per nät'!D$1,FALSE)
               +Andel_beroende_av_klimat*VLOOKUP($A167,Leveranser_per_nät,'Leveranser per nät'!D$1,FALSE)/VLOOKUP($B167,Korrigeringsfaktor_GD,'Korrigeringsfaktor GD'!D$1,FALSE),
"")</f>
        <v>14.162901960784314</v>
      </c>
      <c r="E167" s="18">
        <f>IFERROR(
                  Andel_oberoende_av_klimat*VLOOKUP($A167,Leveranser_per_nät,'Leveranser per nät'!E$1,FALSE)
               +Andel_beroende_av_klimat*VLOOKUP($A167,Leveranser_per_nät,'Leveranser per nät'!E$1,FALSE)/VLOOKUP($B167,Korrigeringsfaktor_GD,'Korrigeringsfaktor GD'!E$1,FALSE),
"")</f>
        <v>14.896039603960396</v>
      </c>
      <c r="F167" s="18">
        <f>IFERROR(
                  Andel_oberoende_av_klimat*VLOOKUP($A167,Leveranser_per_nät,'Leveranser per nät'!F$1,FALSE)
               +Andel_beroende_av_klimat*VLOOKUP($A167,Leveranser_per_nät,'Leveranser per nät'!F$1,FALSE)/VLOOKUP($B167,Korrigeringsfaktor_GD,'Korrigeringsfaktor GD'!F$1,FALSE),
"")</f>
        <v>14.515789473684212</v>
      </c>
      <c r="G167" s="18">
        <f>IFERROR(
                  Andel_oberoende_av_klimat*VLOOKUP($A167,Leveranser_per_nät,'Leveranser per nät'!G$1,FALSE)
               +Andel_beroende_av_klimat*VLOOKUP($A167,Leveranser_per_nät,'Leveranser per nät'!G$1,FALSE)/VLOOKUP($B167,Korrigeringsfaktor_GD,'Korrigeringsfaktor GD'!G$1,FALSE),
"")</f>
        <v>14.24090909090909</v>
      </c>
      <c r="H167" s="18">
        <f>IFERROR(
                  Andel_oberoende_av_klimat*VLOOKUP($A167,Leveranser_per_nät,'Leveranser per nät'!H$1,FALSE)
               +Andel_beroende_av_klimat*VLOOKUP($A167,Leveranser_per_nät,'Leveranser per nät'!H$1,FALSE)/VLOOKUP($B167,Korrigeringsfaktor_GD,'Korrigeringsfaktor GD'!H$1,FALSE),
"")</f>
        <v>16</v>
      </c>
      <c r="I167" s="18">
        <f>IFERROR(
                  Andel_oberoende_av_klimat*VLOOKUP($A167,Leveranser_per_nät,'Leveranser per nät'!I$1,FALSE)
               +Andel_beroende_av_klimat*VLOOKUP($A167,Leveranser_per_nät,'Leveranser per nät'!I$1,FALSE)/VLOOKUP($B167,Korrigeringsfaktor_GD,'Korrigeringsfaktor GD'!I$1,FALSE),
"")</f>
        <v>0</v>
      </c>
      <c r="J167" s="18">
        <f>IFERROR(
                  Andel_oberoende_av_klimat*VLOOKUP($A167,Leveranser_per_nät,'Leveranser per nät'!J$1,FALSE)
               +Andel_beroende_av_klimat*VLOOKUP($A167,Leveranser_per_nät,'Leveranser per nät'!J$1,FALSE)/VLOOKUP($B167,Korrigeringsfaktor_GD,'Korrigeringsfaktor GD'!J$1,FALSE),
"")</f>
        <v>0</v>
      </c>
      <c r="K167" s="18">
        <f>IFERROR(
                  Andel_oberoende_av_klimat*VLOOKUP($A167,Leveranser_per_nät,'Leveranser per nät'!K$1,FALSE)
               +Andel_beroende_av_klimat*VLOOKUP($A167,Leveranser_per_nät,'Leveranser per nät'!K$1,FALSE)/VLOOKUP($B167,Korrigeringsfaktor_GD,'Korrigeringsfaktor GD'!K$1,FALSE),
"")</f>
        <v>22.41</v>
      </c>
      <c r="L167" s="18">
        <f>IFERROR(
                  Andel_oberoende_av_klimat*VLOOKUP($A167,Leveranser_per_nät,'Leveranser per nät'!L$1,FALSE)
               +Andel_beroende_av_klimat*VLOOKUP($A167,Leveranser_per_nät,'Leveranser per nät'!L$1,FALSE)/VLOOKUP($B167,Korrigeringsfaktor_GD,'Korrigeringsfaktor GD'!L$1,FALSE),
"")</f>
        <v>21.597670103092785</v>
      </c>
      <c r="M167" s="18">
        <f>IFERROR(
                  Andel_oberoende_av_klimat*VLOOKUP($A167,Leveranser_per_nät,'Leveranser per nät'!M$1,FALSE)
               +Andel_beroende_av_klimat*VLOOKUP($A167,Leveranser_per_nät,'Leveranser per nät'!M$1,FALSE)/VLOOKUP($B167,Korrigeringsfaktor_GD,'Korrigeringsfaktor GD'!M$1,FALSE),
"")</f>
        <v>23.26125053763441</v>
      </c>
      <c r="N167" s="18">
        <f>IFERROR(
                  Andel_oberoende_av_klimat*VLOOKUP($A167,Leveranser_per_nät,'Leveranser per nät'!N$1,FALSE)
               +Andel_beroende_av_klimat*VLOOKUP($A167,Leveranser_per_nät,'Leveranser per nät'!N$1,FALSE)/VLOOKUP($B167,Korrigeringsfaktor_GD,'Korrigeringsfaktor GD'!N$1,FALSE),
"")</f>
        <v>24.008762921348314</v>
      </c>
      <c r="O167" s="18">
        <f>IFERROR(
                  Andel_oberoende_av_klimat*VLOOKUP($A167,Leveranser_per_nät,'Leveranser per nät'!O$1,FALSE)
               +Andel_beroende_av_klimat*VLOOKUP($A167,Leveranser_per_nät,'Leveranser per nät'!O$1,FALSE)/VLOOKUP($B167,Korrigeringsfaktor_GD,'Korrigeringsfaktor GD'!O$1,FALSE),
"")</f>
        <v>21.835729213483148</v>
      </c>
      <c r="P167" s="18">
        <f>IFERROR(
                  Andel_oberoende_av_klimat*VLOOKUP($A167,Leveranser_per_nät,'Leveranser per nät'!P$1,FALSE)
               +Andel_beroende_av_klimat*VLOOKUP($A167,Leveranser_per_nät,'Leveranser per nät'!P$1,FALSE)/VLOOKUP($B167,Korrigeringsfaktor_GD,'Korrigeringsfaktor GD'!P$1,FALSE),
"")</f>
        <v>24.441942268041238</v>
      </c>
      <c r="Q167" s="18">
        <f>IFERROR(
                  Andel_oberoende_av_klimat*VLOOKUP($A167,Leveranser_per_nät,'Leveranser per nät'!Q$1,FALSE)
               +Andel_beroende_av_klimat*VLOOKUP($A167,Leveranser_per_nät,'Leveranser per nät'!Q$1,FALSE)/VLOOKUP($B167,Korrigeringsfaktor_GD,'Korrigeringsfaktor GD'!Q$1,FALSE),
"")</f>
        <v>26.243130434782611</v>
      </c>
      <c r="R167" s="18">
        <f>IFERROR(
                  Andel_oberoende_av_klimat*VLOOKUP($A167,Leveranser_per_nät,'Leveranser per nät'!R$1,FALSE)
               +Andel_beroende_av_klimat*VLOOKUP($A167,Leveranser_per_nät,'Leveranser per nät'!R$1,FALSE)/VLOOKUP($B167,Korrigeringsfaktor_GD,'Korrigeringsfaktor GD'!R$1,FALSE),
"")</f>
        <v>26.496278260869559</v>
      </c>
      <c r="S167" s="18">
        <f>IFERROR(
                  Andel_oberoende_av_klimat*VLOOKUP($A167,Leveranser_per_nät,'Leveranser per nät'!S$1,FALSE)
               +Andel_beroende_av_klimat*VLOOKUP($A167,Leveranser_per_nät,'Leveranser per nät'!S$1,FALSE)/VLOOKUP($B167,Korrigeringsfaktor_GD,'Korrigeringsfaktor GD'!S$1,FALSE),
"")</f>
        <v>25.819801980198019</v>
      </c>
      <c r="T167" s="18">
        <f>IFERROR(
                  Andel_oberoende_av_klimat*VLOOKUP($A167,Leveranser_per_nät,'Leveranser per nät'!T$1,FALSE)
               +Andel_beroende_av_klimat*VLOOKUP($A167,Leveranser_per_nät,'Leveranser per nät'!T$1,FALSE)/VLOOKUP($B167,Korrigeringsfaktor_GD,'Korrigeringsfaktor GD'!T$1,FALSE),
"")</f>
        <v>24.975353535353538</v>
      </c>
      <c r="U167" s="18">
        <f>IFERROR(
                  Andel_oberoende_av_klimat*VLOOKUP($A167,Leveranser_per_nät,'Leveranser per nät'!U$1,FALSE)
               +Andel_beroende_av_klimat*VLOOKUP($A167,Leveranser_per_nät,'Leveranser per nät'!U$1,FALSE)/VLOOKUP($B167,Korrigeringsfaktor_GD,'Korrigeringsfaktor GD'!U$1,FALSE),
"")</f>
        <v>23.686666666666664</v>
      </c>
      <c r="V167" s="18">
        <f>IFERROR(
                  Andel_oberoende_av_klimat*VLOOKUP($A167,Leveranser_per_nät,'Leveranser per nät'!V$1,FALSE)
               +Andel_beroende_av_klimat*VLOOKUP($A167,Leveranser_per_nät,'Leveranser per nät'!V$1,FALSE)/VLOOKUP($B167,Korrigeringsfaktor_GD,'Korrigeringsfaktor GD'!V$1,FALSE),
"")</f>
        <v>24.142222222222223</v>
      </c>
      <c r="W167" s="18">
        <f>IFERROR(
                  Andel_oberoende_av_klimat*VLOOKUP($A167,Leveranser_per_nät,'Leveranser per nät'!W$1,FALSE)
               +Andel_beroende_av_klimat*VLOOKUP($A167,Leveranser_per_nät,'Leveranser per nät'!W$1,FALSE)/VLOOKUP($B167,Korrigeringsfaktor_GD,'Korrigeringsfaktor GD'!W$1,FALSE),
"")</f>
        <v>24.001290322580644</v>
      </c>
      <c r="X167" s="18">
        <f>IFERROR(
                  Andel_oberoende_av_klimat*VLOOKUP($A167,Leveranser_per_nät,'Leveranser per nät'!X$1,FALSE)
               +Andel_beroende_av_klimat*VLOOKUP($A167,Leveranser_per_nät,'Leveranser per nät'!X$1,FALSE)/VLOOKUP($B167,Korrigeringsfaktor_GD,'Korrigeringsfaktor GD'!X$1,FALSE),
"")</f>
        <v>22.84333333333333</v>
      </c>
      <c r="Y167" s="18">
        <f>IFERROR(
                  Andel_oberoende_av_klimat*VLOOKUP($A167,Leveranser_per_nät,'Leveranser per nät'!Y$1,FALSE)
               +Andel_beroende_av_klimat*VLOOKUP($A167,Leveranser_per_nät,'Leveranser per nät'!Y$1,FALSE)/VLOOKUP($B167,Korrigeringsfaktor_GD,'Korrigeringsfaktor GD'!Y$1,FALSE),
"")</f>
        <v>23.142808988764045</v>
      </c>
      <c r="Z167" s="18">
        <f>IFERROR(
                  Andel_oberoende_av_klimat*VLOOKUP($A167,Leveranser_per_nät,'Leveranser per nät'!Z$1,FALSE)
               +Andel_beroende_av_klimat*VLOOKUP($A167,Leveranser_per_nät,'Leveranser per nät'!Z$1,FALSE)/VLOOKUP($B167,Korrigeringsfaktor_GD,'Korrigeringsfaktor GD'!Z$1,FALSE),
"")</f>
        <v>21.833829787234041</v>
      </c>
      <c r="AA167" s="18">
        <f>IFERROR(
                  Andel_oberoende_av_klimat*VLOOKUP($A167,Leveranser_per_nät,'Leveranser per nät'!AA$1,FALSE)
               +Andel_beroende_av_klimat*VLOOKUP($A167,Leveranser_per_nät,'Leveranser per nät'!AA$1,FALSE)/VLOOKUP($B167,Korrigeringsfaktor_GD,'Korrigeringsfaktor GD'!AA$1,FALSE),
"")</f>
        <v>23.288544070155901</v>
      </c>
      <c r="AB167" s="18">
        <f>IFERROR(
                  Andel_oberoende_av_klimat*VLOOKUP($A167,Leveranser_per_nät,'Leveranser per nät'!AB$1,FALSE)
               +Andel_beroende_av_klimat*VLOOKUP($A167,Leveranser_per_nät,'Leveranser per nät'!AB$1,FALSE)/VLOOKUP($B167,Korrigeringsfaktor_GD,'Korrigeringsfaktor GD'!AB$1,FALSE),
"")</f>
        <v>22.725588526211673</v>
      </c>
      <c r="AC167" s="18">
        <f>IFERROR(
                  Andel_oberoende_av_klimat*VLOOKUP($A167,Leveranser_per_nät,'Leveranser per nät'!AC$1,FALSE)
               +Andel_beroende_av_klimat*VLOOKUP($A167,Leveranser_per_nät,'Leveranser per nät'!AC$1,FALSE)/VLOOKUP($B167,Korrigeringsfaktor_GD,'Korrigeringsfaktor GD'!AC$1,FALSE),
"")</f>
        <v>22.373141640042597</v>
      </c>
      <c r="AD167">
        <v>21.4</v>
      </c>
    </row>
    <row r="168" spans="1:30" x14ac:dyDescent="0.25">
      <c r="A168" t="s">
        <v>489</v>
      </c>
      <c r="B168" t="s">
        <v>117</v>
      </c>
      <c r="C168" s="18">
        <f>IFERROR(
                  Andel_oberoende_av_klimat*VLOOKUP($A168,Leveranser_per_nät,'Leveranser per nät'!C$1,FALSE)
               +Andel_beroende_av_klimat*VLOOKUP($A168,Leveranser_per_nät,'Leveranser per nät'!C$1,FALSE)/VLOOKUP($B168,Korrigeringsfaktor_GD,'Korrigeringsfaktor GD'!C$1,FALSE),
"")</f>
        <v>0</v>
      </c>
      <c r="D168" s="18">
        <f>IFERROR(
                  Andel_oberoende_av_klimat*VLOOKUP($A168,Leveranser_per_nät,'Leveranser per nät'!D$1,FALSE)
               +Andel_beroende_av_klimat*VLOOKUP($A168,Leveranser_per_nät,'Leveranser per nät'!D$1,FALSE)/VLOOKUP($B168,Korrigeringsfaktor_GD,'Korrigeringsfaktor GD'!D$1,FALSE),
"")</f>
        <v>0</v>
      </c>
      <c r="E168" s="18">
        <f>IFERROR(
                  Andel_oberoende_av_klimat*VLOOKUP($A168,Leveranser_per_nät,'Leveranser per nät'!E$1,FALSE)
               +Andel_beroende_av_klimat*VLOOKUP($A168,Leveranser_per_nät,'Leveranser per nät'!E$1,FALSE)/VLOOKUP($B168,Korrigeringsfaktor_GD,'Korrigeringsfaktor GD'!E$1,FALSE),
"")</f>
        <v>0</v>
      </c>
      <c r="F168" s="18">
        <f>IFERROR(
                  Andel_oberoende_av_klimat*VLOOKUP($A168,Leveranser_per_nät,'Leveranser per nät'!F$1,FALSE)
               +Andel_beroende_av_klimat*VLOOKUP($A168,Leveranser_per_nät,'Leveranser per nät'!F$1,FALSE)/VLOOKUP($B168,Korrigeringsfaktor_GD,'Korrigeringsfaktor GD'!F$1,FALSE),
"")</f>
        <v>0</v>
      </c>
      <c r="G168" s="18">
        <f>IFERROR(
                  Andel_oberoende_av_klimat*VLOOKUP($A168,Leveranser_per_nät,'Leveranser per nät'!G$1,FALSE)
               +Andel_beroende_av_klimat*VLOOKUP($A168,Leveranser_per_nät,'Leveranser per nät'!G$1,FALSE)/VLOOKUP($B168,Korrigeringsfaktor_GD,'Korrigeringsfaktor GD'!G$1,FALSE),
"")</f>
        <v>0</v>
      </c>
      <c r="H168" s="18">
        <f>IFERROR(
                  Andel_oberoende_av_klimat*VLOOKUP($A168,Leveranser_per_nät,'Leveranser per nät'!H$1,FALSE)
               +Andel_beroende_av_klimat*VLOOKUP($A168,Leveranser_per_nät,'Leveranser per nät'!H$1,FALSE)/VLOOKUP($B168,Korrigeringsfaktor_GD,'Korrigeringsfaktor GD'!H$1,FALSE),
"")</f>
        <v>0</v>
      </c>
      <c r="I168" s="18">
        <f>IFERROR(
                  Andel_oberoende_av_klimat*VLOOKUP($A168,Leveranser_per_nät,'Leveranser per nät'!I$1,FALSE)
               +Andel_beroende_av_klimat*VLOOKUP($A168,Leveranser_per_nät,'Leveranser per nät'!I$1,FALSE)/VLOOKUP($B168,Korrigeringsfaktor_GD,'Korrigeringsfaktor GD'!I$1,FALSE),
"")</f>
        <v>0</v>
      </c>
      <c r="J168" s="18">
        <f>IFERROR(
                  Andel_oberoende_av_klimat*VLOOKUP($A168,Leveranser_per_nät,'Leveranser per nät'!J$1,FALSE)
               +Andel_beroende_av_klimat*VLOOKUP($A168,Leveranser_per_nät,'Leveranser per nät'!J$1,FALSE)/VLOOKUP($B168,Korrigeringsfaktor_GD,'Korrigeringsfaktor GD'!J$1,FALSE),
"")</f>
        <v>0</v>
      </c>
      <c r="K168" s="18">
        <f>IFERROR(
                  Andel_oberoende_av_klimat*VLOOKUP($A168,Leveranser_per_nät,'Leveranser per nät'!K$1,FALSE)
               +Andel_beroende_av_klimat*VLOOKUP($A168,Leveranser_per_nät,'Leveranser per nät'!K$1,FALSE)/VLOOKUP($B168,Korrigeringsfaktor_GD,'Korrigeringsfaktor GD'!K$1,FALSE),
"")</f>
        <v>0</v>
      </c>
      <c r="L168" s="18">
        <f>IFERROR(
                  Andel_oberoende_av_klimat*VLOOKUP($A168,Leveranser_per_nät,'Leveranser per nät'!L$1,FALSE)
               +Andel_beroende_av_klimat*VLOOKUP($A168,Leveranser_per_nät,'Leveranser per nät'!L$1,FALSE)/VLOOKUP($B168,Korrigeringsfaktor_GD,'Korrigeringsfaktor GD'!L$1,FALSE),
"")</f>
        <v>0</v>
      </c>
      <c r="M168" s="18">
        <f>IFERROR(
                  Andel_oberoende_av_klimat*VLOOKUP($A168,Leveranser_per_nät,'Leveranser per nät'!M$1,FALSE)
               +Andel_beroende_av_klimat*VLOOKUP($A168,Leveranser_per_nät,'Leveranser per nät'!M$1,FALSE)/VLOOKUP($B168,Korrigeringsfaktor_GD,'Korrigeringsfaktor GD'!M$1,FALSE),
"")</f>
        <v>0</v>
      </c>
      <c r="N168" s="18">
        <f>IFERROR(
                  Andel_oberoende_av_klimat*VLOOKUP($A168,Leveranser_per_nät,'Leveranser per nät'!N$1,FALSE)
               +Andel_beroende_av_klimat*VLOOKUP($A168,Leveranser_per_nät,'Leveranser per nät'!N$1,FALSE)/VLOOKUP($B168,Korrigeringsfaktor_GD,'Korrigeringsfaktor GD'!N$1,FALSE),
"")</f>
        <v>0</v>
      </c>
      <c r="O168" s="18">
        <f>IFERROR(
                  Andel_oberoende_av_klimat*VLOOKUP($A168,Leveranser_per_nät,'Leveranser per nät'!O$1,FALSE)
               +Andel_beroende_av_klimat*VLOOKUP($A168,Leveranser_per_nät,'Leveranser per nät'!O$1,FALSE)/VLOOKUP($B168,Korrigeringsfaktor_GD,'Korrigeringsfaktor GD'!O$1,FALSE),
"")</f>
        <v>0</v>
      </c>
      <c r="P168" s="18">
        <f>IFERROR(
                  Andel_oberoende_av_klimat*VLOOKUP($A168,Leveranser_per_nät,'Leveranser per nät'!P$1,FALSE)
               +Andel_beroende_av_klimat*VLOOKUP($A168,Leveranser_per_nät,'Leveranser per nät'!P$1,FALSE)/VLOOKUP($B168,Korrigeringsfaktor_GD,'Korrigeringsfaktor GD'!P$1,FALSE),
"")</f>
        <v>0</v>
      </c>
      <c r="Q168" s="18">
        <f>IFERROR(
                  Andel_oberoende_av_klimat*VLOOKUP($A168,Leveranser_per_nät,'Leveranser per nät'!Q$1,FALSE)
               +Andel_beroende_av_klimat*VLOOKUP($A168,Leveranser_per_nät,'Leveranser per nät'!Q$1,FALSE)/VLOOKUP($B168,Korrigeringsfaktor_GD,'Korrigeringsfaktor GD'!Q$1,FALSE),
"")</f>
        <v>20.382854943478257</v>
      </c>
      <c r="R168" s="18">
        <f>IFERROR(
                  Andel_oberoende_av_klimat*VLOOKUP($A168,Leveranser_per_nät,'Leveranser per nät'!R$1,FALSE)
               +Andel_beroende_av_klimat*VLOOKUP($A168,Leveranser_per_nät,'Leveranser per nät'!R$1,FALSE)/VLOOKUP($B168,Korrigeringsfaktor_GD,'Korrigeringsfaktor GD'!R$1,FALSE),
"")</f>
        <v>17.993015384615383</v>
      </c>
      <c r="S168" s="18">
        <f>IFERROR(
                  Andel_oberoende_av_klimat*VLOOKUP($A168,Leveranser_per_nät,'Leveranser per nät'!S$1,FALSE)
               +Andel_beroende_av_klimat*VLOOKUP($A168,Leveranser_per_nät,'Leveranser per nät'!S$1,FALSE)/VLOOKUP($B168,Korrigeringsfaktor_GD,'Korrigeringsfaktor GD'!S$1,FALSE),
"")</f>
        <v>17.110131313131312</v>
      </c>
      <c r="T168" s="18">
        <f>IFERROR(
                  Andel_oberoende_av_klimat*VLOOKUP($A168,Leveranser_per_nät,'Leveranser per nät'!T$1,FALSE)
               +Andel_beroende_av_klimat*VLOOKUP($A168,Leveranser_per_nät,'Leveranser per nät'!T$1,FALSE)/VLOOKUP($B168,Korrigeringsfaktor_GD,'Korrigeringsfaktor GD'!T$1,FALSE),
"")</f>
        <v>17.722742105263158</v>
      </c>
      <c r="U168" s="18">
        <f>IFERROR(
                  Andel_oberoende_av_klimat*VLOOKUP($A168,Leveranser_per_nät,'Leveranser per nät'!U$1,FALSE)
               +Andel_beroende_av_klimat*VLOOKUP($A168,Leveranser_per_nät,'Leveranser per nät'!U$1,FALSE)/VLOOKUP($B168,Korrigeringsfaktor_GD,'Korrigeringsfaktor GD'!U$1,FALSE),
"")</f>
        <v>16.612842696629212</v>
      </c>
      <c r="V168" s="18">
        <f>IFERROR(
                  Andel_oberoende_av_klimat*VLOOKUP($A168,Leveranser_per_nät,'Leveranser per nät'!V$1,FALSE)
               +Andel_beroende_av_klimat*VLOOKUP($A168,Leveranser_per_nät,'Leveranser per nät'!V$1,FALSE)/VLOOKUP($B168,Korrigeringsfaktor_GD,'Korrigeringsfaktor GD'!V$1,FALSE),
"")</f>
        <v>17.169139325842696</v>
      </c>
      <c r="W168" s="18">
        <f>IFERROR(
                  Andel_oberoende_av_klimat*VLOOKUP($A168,Leveranser_per_nät,'Leveranser per nät'!W$1,FALSE)
               +Andel_beroende_av_klimat*VLOOKUP($A168,Leveranser_per_nät,'Leveranser per nät'!W$1,FALSE)/VLOOKUP($B168,Korrigeringsfaktor_GD,'Korrigeringsfaktor GD'!W$1,FALSE),
"")</f>
        <v>16.645944680851066</v>
      </c>
      <c r="X168" s="18">
        <f>IFERROR(
                  Andel_oberoende_av_klimat*VLOOKUP($A168,Leveranser_per_nät,'Leveranser per nät'!X$1,FALSE)
               +Andel_beroende_av_klimat*VLOOKUP($A168,Leveranser_per_nät,'Leveranser per nät'!X$1,FALSE)/VLOOKUP($B168,Korrigeringsfaktor_GD,'Korrigeringsfaktor GD'!X$1,FALSE),
"")</f>
        <v>17.7562125</v>
      </c>
      <c r="Y168" s="18">
        <f>IFERROR(
                  Andel_oberoende_av_klimat*VLOOKUP($A168,Leveranser_per_nät,'Leveranser per nät'!Y$1,FALSE)
               +Andel_beroende_av_klimat*VLOOKUP($A168,Leveranser_per_nät,'Leveranser per nät'!Y$1,FALSE)/VLOOKUP($B168,Korrigeringsfaktor_GD,'Korrigeringsfaktor GD'!Y$1,FALSE),
"")</f>
        <v>16.532857142857143</v>
      </c>
      <c r="Z168" s="18">
        <f>IFERROR(
                  Andel_oberoende_av_klimat*VLOOKUP($A168,Leveranser_per_nät,'Leveranser per nät'!Z$1,FALSE)
               +Andel_beroende_av_klimat*VLOOKUP($A168,Leveranser_per_nät,'Leveranser per nät'!Z$1,FALSE)/VLOOKUP($B168,Korrigeringsfaktor_GD,'Korrigeringsfaktor GD'!Z$1,FALSE),
"")</f>
        <v>17.167963636363638</v>
      </c>
      <c r="AA168" s="18">
        <f>IFERROR(
                  Andel_oberoende_av_klimat*VLOOKUP($A168,Leveranser_per_nät,'Leveranser per nät'!AA$1,FALSE)
               +Andel_beroende_av_klimat*VLOOKUP($A168,Leveranser_per_nät,'Leveranser per nät'!AA$1,FALSE)/VLOOKUP($B168,Korrigeringsfaktor_GD,'Korrigeringsfaktor GD'!AA$1,FALSE),
"")</f>
        <v>15.419099516031459</v>
      </c>
      <c r="AB168" s="18">
        <f>IFERROR(
                  Andel_oberoende_av_klimat*VLOOKUP($A168,Leveranser_per_nät,'Leveranser per nät'!AB$1,FALSE)
               +Andel_beroende_av_klimat*VLOOKUP($A168,Leveranser_per_nät,'Leveranser per nät'!AB$1,FALSE)/VLOOKUP($B168,Korrigeringsfaktor_GD,'Korrigeringsfaktor GD'!AB$1,FALSE),
"")</f>
        <v>12.671388660801565</v>
      </c>
      <c r="AC168" s="18">
        <f>IFERROR(
                  Andel_oberoende_av_klimat*VLOOKUP($A168,Leveranser_per_nät,'Leveranser per nät'!AC$1,FALSE)
               +Andel_beroende_av_klimat*VLOOKUP($A168,Leveranser_per_nät,'Leveranser per nät'!AC$1,FALSE)/VLOOKUP($B168,Korrigeringsfaktor_GD,'Korrigeringsfaktor GD'!AC$1,FALSE),
"")</f>
        <v>14.732197119341567</v>
      </c>
      <c r="AD168">
        <v>110.333</v>
      </c>
    </row>
    <row r="169" spans="1:30" x14ac:dyDescent="0.25">
      <c r="A169" t="s">
        <v>289</v>
      </c>
      <c r="B169" t="s">
        <v>288</v>
      </c>
      <c r="C169" s="18">
        <f>IFERROR(
                  Andel_oberoende_av_klimat*VLOOKUP($A169,Leveranser_per_nät,'Leveranser per nät'!C$1,FALSE)
               +Andel_beroende_av_klimat*VLOOKUP($A169,Leveranser_per_nät,'Leveranser per nät'!C$1,FALSE)/VLOOKUP($B169,Korrigeringsfaktor_GD,'Korrigeringsfaktor GD'!C$1,FALSE),
"")</f>
        <v>0</v>
      </c>
      <c r="D169" s="18">
        <f>IFERROR(
                  Andel_oberoende_av_klimat*VLOOKUP($A169,Leveranser_per_nät,'Leveranser per nät'!D$1,FALSE)
               +Andel_beroende_av_klimat*VLOOKUP($A169,Leveranser_per_nät,'Leveranser per nät'!D$1,FALSE)/VLOOKUP($B169,Korrigeringsfaktor_GD,'Korrigeringsfaktor GD'!D$1,FALSE),
"")</f>
        <v>0</v>
      </c>
      <c r="E169" s="18">
        <f>IFERROR(
                  Andel_oberoende_av_klimat*VLOOKUP($A169,Leveranser_per_nät,'Leveranser per nät'!E$1,FALSE)
               +Andel_beroende_av_klimat*VLOOKUP($A169,Leveranser_per_nät,'Leveranser per nät'!E$1,FALSE)/VLOOKUP($B169,Korrigeringsfaktor_GD,'Korrigeringsfaktor GD'!E$1,FALSE),
"")</f>
        <v>0</v>
      </c>
      <c r="F169" s="18">
        <f>IFERROR(
                  Andel_oberoende_av_klimat*VLOOKUP($A169,Leveranser_per_nät,'Leveranser per nät'!F$1,FALSE)
               +Andel_beroende_av_klimat*VLOOKUP($A169,Leveranser_per_nät,'Leveranser per nät'!F$1,FALSE)/VLOOKUP($B169,Korrigeringsfaktor_GD,'Korrigeringsfaktor GD'!F$1,FALSE),
"")</f>
        <v>0</v>
      </c>
      <c r="G169" s="18">
        <f>IFERROR(
                  Andel_oberoende_av_klimat*VLOOKUP($A169,Leveranser_per_nät,'Leveranser per nät'!G$1,FALSE)
               +Andel_beroende_av_klimat*VLOOKUP($A169,Leveranser_per_nät,'Leveranser per nät'!G$1,FALSE)/VLOOKUP($B169,Korrigeringsfaktor_GD,'Korrigeringsfaktor GD'!G$1,FALSE),
"")</f>
        <v>0</v>
      </c>
      <c r="H169" s="18">
        <f>IFERROR(
                  Andel_oberoende_av_klimat*VLOOKUP($A169,Leveranser_per_nät,'Leveranser per nät'!H$1,FALSE)
               +Andel_beroende_av_klimat*VLOOKUP($A169,Leveranser_per_nät,'Leveranser per nät'!H$1,FALSE)/VLOOKUP($B169,Korrigeringsfaktor_GD,'Korrigeringsfaktor GD'!H$1,FALSE),
"")</f>
        <v>0</v>
      </c>
      <c r="I169" s="18">
        <f>IFERROR(
                  Andel_oberoende_av_klimat*VLOOKUP($A169,Leveranser_per_nät,'Leveranser per nät'!I$1,FALSE)
               +Andel_beroende_av_klimat*VLOOKUP($A169,Leveranser_per_nät,'Leveranser per nät'!I$1,FALSE)/VLOOKUP($B169,Korrigeringsfaktor_GD,'Korrigeringsfaktor GD'!I$1,FALSE),
"")</f>
        <v>0</v>
      </c>
      <c r="J169" s="18">
        <f>IFERROR(
                  Andel_oberoende_av_klimat*VLOOKUP($A169,Leveranser_per_nät,'Leveranser per nät'!J$1,FALSE)
               +Andel_beroende_av_klimat*VLOOKUP($A169,Leveranser_per_nät,'Leveranser per nät'!J$1,FALSE)/VLOOKUP($B169,Korrigeringsfaktor_GD,'Korrigeringsfaktor GD'!J$1,FALSE),
"")</f>
        <v>0</v>
      </c>
      <c r="K169" s="18">
        <f>IFERROR(
                  Andel_oberoende_av_klimat*VLOOKUP($A169,Leveranser_per_nät,'Leveranser per nät'!K$1,FALSE)
               +Andel_beroende_av_klimat*VLOOKUP($A169,Leveranser_per_nät,'Leveranser per nät'!K$1,FALSE)/VLOOKUP($B169,Korrigeringsfaktor_GD,'Korrigeringsfaktor GD'!K$1,FALSE),
"")</f>
        <v>0</v>
      </c>
      <c r="L169" s="18">
        <f>IFERROR(
                  Andel_oberoende_av_klimat*VLOOKUP($A169,Leveranser_per_nät,'Leveranser per nät'!L$1,FALSE)
               +Andel_beroende_av_klimat*VLOOKUP($A169,Leveranser_per_nät,'Leveranser per nät'!L$1,FALSE)/VLOOKUP($B169,Korrigeringsfaktor_GD,'Korrigeringsfaktor GD'!L$1,FALSE),
"")</f>
        <v>0</v>
      </c>
      <c r="M169" s="18">
        <f>IFERROR(
                  Andel_oberoende_av_klimat*VLOOKUP($A169,Leveranser_per_nät,'Leveranser per nät'!M$1,FALSE)
               +Andel_beroende_av_klimat*VLOOKUP($A169,Leveranser_per_nät,'Leveranser per nät'!M$1,FALSE)/VLOOKUP($B169,Korrigeringsfaktor_GD,'Korrigeringsfaktor GD'!M$1,FALSE),
"")</f>
        <v>0.76953333333333329</v>
      </c>
      <c r="N169" s="18">
        <f>IFERROR(
                  Andel_oberoende_av_klimat*VLOOKUP($A169,Leveranser_per_nät,'Leveranser per nät'!N$1,FALSE)
               +Andel_beroende_av_klimat*VLOOKUP($A169,Leveranser_per_nät,'Leveranser per nät'!N$1,FALSE)/VLOOKUP($B169,Korrigeringsfaktor_GD,'Korrigeringsfaktor GD'!N$1,FALSE),
"")</f>
        <v>0.77549565217391303</v>
      </c>
      <c r="O169" s="18">
        <f>IFERROR(
                  Andel_oberoende_av_klimat*VLOOKUP($A169,Leveranser_per_nät,'Leveranser per nät'!O$1,FALSE)
               +Andel_beroende_av_klimat*VLOOKUP($A169,Leveranser_per_nät,'Leveranser per nät'!O$1,FALSE)/VLOOKUP($B169,Korrigeringsfaktor_GD,'Korrigeringsfaktor GD'!O$1,FALSE),
"")</f>
        <v>1.3140846153846155</v>
      </c>
      <c r="P169" s="18">
        <f>IFERROR(
                  Andel_oberoende_av_klimat*VLOOKUP($A169,Leveranser_per_nät,'Leveranser per nät'!P$1,FALSE)
               +Andel_beroende_av_klimat*VLOOKUP($A169,Leveranser_per_nät,'Leveranser per nät'!P$1,FALSE)/VLOOKUP($B169,Korrigeringsfaktor_GD,'Korrigeringsfaktor GD'!P$1,FALSE),
"")</f>
        <v>2.4728285714285718</v>
      </c>
      <c r="Q169" s="18">
        <f>IFERROR(
                  Andel_oberoende_av_klimat*VLOOKUP($A169,Leveranser_per_nät,'Leveranser per nät'!Q$1,FALSE)
               +Andel_beroende_av_klimat*VLOOKUP($A169,Leveranser_per_nät,'Leveranser per nät'!Q$1,FALSE)/VLOOKUP($B169,Korrigeringsfaktor_GD,'Korrigeringsfaktor GD'!Q$1,FALSE),
"")</f>
        <v>0</v>
      </c>
      <c r="R169" s="18">
        <f>IFERROR(
                  Andel_oberoende_av_klimat*VLOOKUP($A169,Leveranser_per_nät,'Leveranser per nät'!R$1,FALSE)
               +Andel_beroende_av_klimat*VLOOKUP($A169,Leveranser_per_nät,'Leveranser per nät'!R$1,FALSE)/VLOOKUP($B169,Korrigeringsfaktor_GD,'Korrigeringsfaktor GD'!R$1,FALSE),
"")</f>
        <v>0</v>
      </c>
      <c r="S169" s="18" t="str">
        <f>IFERROR(
                  Andel_oberoende_av_klimat*VLOOKUP($A169,Leveranser_per_nät,'Leveranser per nät'!S$1,FALSE)
               +Andel_beroende_av_klimat*VLOOKUP($A169,Leveranser_per_nät,'Leveranser per nät'!S$1,FALSE)/VLOOKUP($B169,Korrigeringsfaktor_GD,'Korrigeringsfaktor GD'!S$1,FALSE),
"")</f>
        <v/>
      </c>
      <c r="T169" s="18" t="str">
        <f>IFERROR(
                  Andel_oberoende_av_klimat*VLOOKUP($A169,Leveranser_per_nät,'Leveranser per nät'!T$1,FALSE)
               +Andel_beroende_av_klimat*VLOOKUP($A169,Leveranser_per_nät,'Leveranser per nät'!T$1,FALSE)/VLOOKUP($B169,Korrigeringsfaktor_GD,'Korrigeringsfaktor GD'!T$1,FALSE),
"")</f>
        <v/>
      </c>
      <c r="U169" s="18" t="str">
        <f>IFERROR(
                  Andel_oberoende_av_klimat*VLOOKUP($A169,Leveranser_per_nät,'Leveranser per nät'!U$1,FALSE)
               +Andel_beroende_av_klimat*VLOOKUP($A169,Leveranser_per_nät,'Leveranser per nät'!U$1,FALSE)/VLOOKUP($B169,Korrigeringsfaktor_GD,'Korrigeringsfaktor GD'!U$1,FALSE),
"")</f>
        <v/>
      </c>
      <c r="V169" s="18" t="str">
        <f>IFERROR(
                  Andel_oberoende_av_klimat*VLOOKUP($A169,Leveranser_per_nät,'Leveranser per nät'!V$1,FALSE)
               +Andel_beroende_av_klimat*VLOOKUP($A169,Leveranser_per_nät,'Leveranser per nät'!V$1,FALSE)/VLOOKUP($B169,Korrigeringsfaktor_GD,'Korrigeringsfaktor GD'!V$1,FALSE),
"")</f>
        <v/>
      </c>
      <c r="W169" s="18" t="str">
        <f>IFERROR(
                  Andel_oberoende_av_klimat*VLOOKUP($A169,Leveranser_per_nät,'Leveranser per nät'!W$1,FALSE)
               +Andel_beroende_av_klimat*VLOOKUP($A169,Leveranser_per_nät,'Leveranser per nät'!W$1,FALSE)/VLOOKUP($B169,Korrigeringsfaktor_GD,'Korrigeringsfaktor GD'!W$1,FALSE),
"")</f>
        <v/>
      </c>
      <c r="X169" s="18" t="str">
        <f>IFERROR(
                  Andel_oberoende_av_klimat*VLOOKUP($A169,Leveranser_per_nät,'Leveranser per nät'!X$1,FALSE)
               +Andel_beroende_av_klimat*VLOOKUP($A169,Leveranser_per_nät,'Leveranser per nät'!X$1,FALSE)/VLOOKUP($B169,Korrigeringsfaktor_GD,'Korrigeringsfaktor GD'!X$1,FALSE),
"")</f>
        <v/>
      </c>
      <c r="Y169" s="18" t="str">
        <f>IFERROR(
                  Andel_oberoende_av_klimat*VLOOKUP($A169,Leveranser_per_nät,'Leveranser per nät'!Y$1,FALSE)
               +Andel_beroende_av_klimat*VLOOKUP($A169,Leveranser_per_nät,'Leveranser per nät'!Y$1,FALSE)/VLOOKUP($B169,Korrigeringsfaktor_GD,'Korrigeringsfaktor GD'!Y$1,FALSE),
"")</f>
        <v/>
      </c>
      <c r="Z169" s="18">
        <f>IFERROR(
                  Andel_oberoende_av_klimat*VLOOKUP($A169,Leveranser_per_nät,'Leveranser per nät'!Z$1,FALSE)
               +Andel_beroende_av_klimat*VLOOKUP($A169,Leveranser_per_nät,'Leveranser per nät'!Z$1,FALSE)/VLOOKUP($B169,Korrigeringsfaktor_GD,'Korrigeringsfaktor GD'!Z$1,FALSE),
"")</f>
        <v>0</v>
      </c>
      <c r="AA169" s="18" t="str">
        <f>IFERROR(
                  Andel_oberoende_av_klimat*VLOOKUP($A169,Leveranser_per_nät,'Leveranser per nät'!AA$1,FALSE)
               +Andel_beroende_av_klimat*VLOOKUP($A169,Leveranser_per_nät,'Leveranser per nät'!AA$1,FALSE)/VLOOKUP($B169,Korrigeringsfaktor_GD,'Korrigeringsfaktor GD'!AA$1,FALSE),
"")</f>
        <v/>
      </c>
      <c r="AB169" s="18">
        <f>IFERROR(
                  Andel_oberoende_av_klimat*VLOOKUP($A169,Leveranser_per_nät,'Leveranser per nät'!AB$1,FALSE)
               +Andel_beroende_av_klimat*VLOOKUP($A169,Leveranser_per_nät,'Leveranser per nät'!AB$1,FALSE)/VLOOKUP($B169,Korrigeringsfaktor_GD,'Korrigeringsfaktor GD'!AB$1,FALSE),
"")</f>
        <v>0</v>
      </c>
      <c r="AC169" s="18">
        <f>IFERROR(
                  Andel_oberoende_av_klimat*VLOOKUP($A169,Leveranser_per_nät,'Leveranser per nät'!AC$1,FALSE)
               +Andel_beroende_av_klimat*VLOOKUP($A169,Leveranser_per_nät,'Leveranser per nät'!AC$1,FALSE)/VLOOKUP($B169,Korrigeringsfaktor_GD,'Korrigeringsfaktor GD'!AC$1,FALSE),
"")</f>
        <v>0</v>
      </c>
      <c r="AD169">
        <v>513.26678000000004</v>
      </c>
    </row>
    <row r="170" spans="1:30" x14ac:dyDescent="0.25">
      <c r="A170" t="s">
        <v>92</v>
      </c>
      <c r="B170" t="s">
        <v>91</v>
      </c>
      <c r="C170" s="18">
        <f>IFERROR(
                  Andel_oberoende_av_klimat*VLOOKUP($A170,Leveranser_per_nät,'Leveranser per nät'!C$1,FALSE)
               +Andel_beroende_av_klimat*VLOOKUP($A170,Leveranser_per_nät,'Leveranser per nät'!C$1,FALSE)/VLOOKUP($B170,Korrigeringsfaktor_GD,'Korrigeringsfaktor GD'!C$1,FALSE),
"")</f>
        <v>0</v>
      </c>
      <c r="D170" s="18">
        <f>IFERROR(
                  Andel_oberoende_av_klimat*VLOOKUP($A170,Leveranser_per_nät,'Leveranser per nät'!D$1,FALSE)
               +Andel_beroende_av_klimat*VLOOKUP($A170,Leveranser_per_nät,'Leveranser per nät'!D$1,FALSE)/VLOOKUP($B170,Korrigeringsfaktor_GD,'Korrigeringsfaktor GD'!D$1,FALSE),
"")</f>
        <v>0</v>
      </c>
      <c r="E170" s="18">
        <f>IFERROR(
                  Andel_oberoende_av_klimat*VLOOKUP($A170,Leveranser_per_nät,'Leveranser per nät'!E$1,FALSE)
               +Andel_beroende_av_klimat*VLOOKUP($A170,Leveranser_per_nät,'Leveranser per nät'!E$1,FALSE)/VLOOKUP($B170,Korrigeringsfaktor_GD,'Korrigeringsfaktor GD'!E$1,FALSE),
"")</f>
        <v>0</v>
      </c>
      <c r="F170" s="18">
        <f>IFERROR(
                  Andel_oberoende_av_klimat*VLOOKUP($A170,Leveranser_per_nät,'Leveranser per nät'!F$1,FALSE)
               +Andel_beroende_av_klimat*VLOOKUP($A170,Leveranser_per_nät,'Leveranser per nät'!F$1,FALSE)/VLOOKUP($B170,Korrigeringsfaktor_GD,'Korrigeringsfaktor GD'!F$1,FALSE),
"")</f>
        <v>0</v>
      </c>
      <c r="G170" s="18">
        <f>IFERROR(
                  Andel_oberoende_av_klimat*VLOOKUP($A170,Leveranser_per_nät,'Leveranser per nät'!G$1,FALSE)
               +Andel_beroende_av_klimat*VLOOKUP($A170,Leveranser_per_nät,'Leveranser per nät'!G$1,FALSE)/VLOOKUP($B170,Korrigeringsfaktor_GD,'Korrigeringsfaktor GD'!G$1,FALSE),
"")</f>
        <v>0</v>
      </c>
      <c r="H170" s="18">
        <f>IFERROR(
                  Andel_oberoende_av_klimat*VLOOKUP($A170,Leveranser_per_nät,'Leveranser per nät'!H$1,FALSE)
               +Andel_beroende_av_klimat*VLOOKUP($A170,Leveranser_per_nät,'Leveranser per nät'!H$1,FALSE)/VLOOKUP($B170,Korrigeringsfaktor_GD,'Korrigeringsfaktor GD'!H$1,FALSE),
"")</f>
        <v>0</v>
      </c>
      <c r="I170" s="18">
        <f>IFERROR(
                  Andel_oberoende_av_klimat*VLOOKUP($A170,Leveranser_per_nät,'Leveranser per nät'!I$1,FALSE)
               +Andel_beroende_av_klimat*VLOOKUP($A170,Leveranser_per_nät,'Leveranser per nät'!I$1,FALSE)/VLOOKUP($B170,Korrigeringsfaktor_GD,'Korrigeringsfaktor GD'!I$1,FALSE),
"")</f>
        <v>0</v>
      </c>
      <c r="J170" s="18">
        <f>IFERROR(
                  Andel_oberoende_av_klimat*VLOOKUP($A170,Leveranser_per_nät,'Leveranser per nät'!J$1,FALSE)
               +Andel_beroende_av_klimat*VLOOKUP($A170,Leveranser_per_nät,'Leveranser per nät'!J$1,FALSE)/VLOOKUP($B170,Korrigeringsfaktor_GD,'Korrigeringsfaktor GD'!J$1,FALSE),
"")</f>
        <v>2.0285714285714285</v>
      </c>
      <c r="K170" s="18">
        <f>IFERROR(
                  Andel_oberoende_av_klimat*VLOOKUP($A170,Leveranser_per_nät,'Leveranser per nät'!K$1,FALSE)
               +Andel_beroende_av_klimat*VLOOKUP($A170,Leveranser_per_nät,'Leveranser per nät'!K$1,FALSE)/VLOOKUP($B170,Korrigeringsfaktor_GD,'Korrigeringsfaktor GD'!K$1,FALSE),
"")</f>
        <v>1.8149999999999999</v>
      </c>
      <c r="L170" s="18">
        <f>IFERROR(
                  Andel_oberoende_av_klimat*VLOOKUP($A170,Leveranser_per_nät,'Leveranser per nät'!L$1,FALSE)
               +Andel_beroende_av_klimat*VLOOKUP($A170,Leveranser_per_nät,'Leveranser per nät'!L$1,FALSE)/VLOOKUP($B170,Korrigeringsfaktor_GD,'Korrigeringsfaktor GD'!L$1,FALSE),
"")</f>
        <v>3.5737756135491781</v>
      </c>
      <c r="M170" s="18">
        <f>IFERROR(
                  Andel_oberoende_av_klimat*VLOOKUP($A170,Leveranser_per_nät,'Leveranser per nät'!M$1,FALSE)
               +Andel_beroende_av_klimat*VLOOKUP($A170,Leveranser_per_nät,'Leveranser per nät'!M$1,FALSE)/VLOOKUP($B170,Korrigeringsfaktor_GD,'Korrigeringsfaktor GD'!M$1,FALSE),
"")</f>
        <v>2.5454000000000003</v>
      </c>
      <c r="N170" s="18">
        <f>IFERROR(
                  Andel_oberoende_av_klimat*VLOOKUP($A170,Leveranser_per_nät,'Leveranser per nät'!N$1,FALSE)
               +Andel_beroende_av_klimat*VLOOKUP($A170,Leveranser_per_nät,'Leveranser per nät'!N$1,FALSE)/VLOOKUP($B170,Korrigeringsfaktor_GD,'Korrigeringsfaktor GD'!N$1,FALSE),
"")</f>
        <v>2.1384615384615384</v>
      </c>
      <c r="O170" s="18">
        <f>IFERROR(
                  Andel_oberoende_av_klimat*VLOOKUP($A170,Leveranser_per_nät,'Leveranser per nät'!O$1,FALSE)
               +Andel_beroende_av_klimat*VLOOKUP($A170,Leveranser_per_nät,'Leveranser per nät'!O$1,FALSE)/VLOOKUP($B170,Korrigeringsfaktor_GD,'Korrigeringsfaktor GD'!O$1,FALSE),
"")</f>
        <v>2.1384615384615384</v>
      </c>
      <c r="P170" s="18">
        <f>IFERROR(
                  Andel_oberoende_av_klimat*VLOOKUP($A170,Leveranser_per_nät,'Leveranser per nät'!P$1,FALSE)
               +Andel_beroende_av_klimat*VLOOKUP($A170,Leveranser_per_nät,'Leveranser per nät'!P$1,FALSE)/VLOOKUP($B170,Korrigeringsfaktor_GD,'Korrigeringsfaktor GD'!P$1,FALSE),
"")</f>
        <v>2.8704285714285716</v>
      </c>
      <c r="Q170" s="18">
        <f>IFERROR(
                  Andel_oberoende_av_klimat*VLOOKUP($A170,Leveranser_per_nät,'Leveranser per nät'!Q$1,FALSE)
               +Andel_beroende_av_klimat*VLOOKUP($A170,Leveranser_per_nät,'Leveranser per nät'!Q$1,FALSE)/VLOOKUP($B170,Korrigeringsfaktor_GD,'Korrigeringsfaktor GD'!Q$1,FALSE),
"")</f>
        <v>2.9706140350877197</v>
      </c>
      <c r="R170" s="18">
        <f>IFERROR(
                  Andel_oberoende_av_klimat*VLOOKUP($A170,Leveranser_per_nät,'Leveranser per nät'!R$1,FALSE)
               +Andel_beroende_av_klimat*VLOOKUP($A170,Leveranser_per_nät,'Leveranser per nät'!R$1,FALSE)/VLOOKUP($B170,Korrigeringsfaktor_GD,'Korrigeringsfaktor GD'!R$1,FALSE),
"")</f>
        <v>2.8644692307692305</v>
      </c>
      <c r="S170" s="18">
        <f>IFERROR(
                  Andel_oberoende_av_klimat*VLOOKUP($A170,Leveranser_per_nät,'Leveranser per nät'!S$1,FALSE)
               +Andel_beroende_av_klimat*VLOOKUP($A170,Leveranser_per_nät,'Leveranser per nät'!S$1,FALSE)/VLOOKUP($B170,Korrigeringsfaktor_GD,'Korrigeringsfaktor GD'!S$1,FALSE),
"")</f>
        <v>2.9394851485148514</v>
      </c>
      <c r="T170" s="18">
        <f>IFERROR(
                  Andel_oberoende_av_klimat*VLOOKUP($A170,Leveranser_per_nät,'Leveranser per nät'!T$1,FALSE)
               +Andel_beroende_av_klimat*VLOOKUP($A170,Leveranser_per_nät,'Leveranser per nät'!T$1,FALSE)/VLOOKUP($B170,Korrigeringsfaktor_GD,'Korrigeringsfaktor GD'!T$1,FALSE),
"")</f>
        <v>3.0022857142857147</v>
      </c>
      <c r="U170" s="18">
        <f>IFERROR(
                  Andel_oberoende_av_klimat*VLOOKUP($A170,Leveranser_per_nät,'Leveranser per nät'!U$1,FALSE)
               +Andel_beroende_av_klimat*VLOOKUP($A170,Leveranser_per_nät,'Leveranser per nät'!U$1,FALSE)/VLOOKUP($B170,Korrigeringsfaktor_GD,'Korrigeringsfaktor GD'!U$1,FALSE),
"")</f>
        <v>2.9128241379310347</v>
      </c>
      <c r="V170" s="18">
        <f>IFERROR(
                  Andel_oberoende_av_klimat*VLOOKUP($A170,Leveranser_per_nät,'Leveranser per nät'!V$1,FALSE)
               +Andel_beroende_av_klimat*VLOOKUP($A170,Leveranser_per_nät,'Leveranser per nät'!V$1,FALSE)/VLOOKUP($B170,Korrigeringsfaktor_GD,'Korrigeringsfaktor GD'!V$1,FALSE),
"")</f>
        <v>3.017257303370787</v>
      </c>
      <c r="W170" s="18">
        <f>IFERROR(
                  Andel_oberoende_av_klimat*VLOOKUP($A170,Leveranser_per_nät,'Leveranser per nät'!W$1,FALSE)
               +Andel_beroende_av_klimat*VLOOKUP($A170,Leveranser_per_nät,'Leveranser per nät'!W$1,FALSE)/VLOOKUP($B170,Korrigeringsfaktor_GD,'Korrigeringsfaktor GD'!W$1,FALSE),
"")</f>
        <v>3.0191276595744689</v>
      </c>
      <c r="X170" s="18">
        <f>IFERROR(
                  Andel_oberoende_av_klimat*VLOOKUP($A170,Leveranser_per_nät,'Leveranser per nät'!X$1,FALSE)
               +Andel_beroende_av_klimat*VLOOKUP($A170,Leveranser_per_nät,'Leveranser per nät'!X$1,FALSE)/VLOOKUP($B170,Korrigeringsfaktor_GD,'Korrigeringsfaktor GD'!X$1,FALSE),
"")</f>
        <v>3.0443741935483875</v>
      </c>
      <c r="Y170" s="18">
        <f>IFERROR(
                  Andel_oberoende_av_klimat*VLOOKUP($A170,Leveranser_per_nät,'Leveranser per nät'!Y$1,FALSE)
               +Andel_beroende_av_klimat*VLOOKUP($A170,Leveranser_per_nät,'Leveranser per nät'!Y$1,FALSE)/VLOOKUP($B170,Korrigeringsfaktor_GD,'Korrigeringsfaktor GD'!Y$1,FALSE),
"")</f>
        <v>3.1189461538461534</v>
      </c>
      <c r="Z170" s="18">
        <f>IFERROR(
                  Andel_oberoende_av_klimat*VLOOKUP($A170,Leveranser_per_nät,'Leveranser per nät'!Z$1,FALSE)
               +Andel_beroende_av_klimat*VLOOKUP($A170,Leveranser_per_nät,'Leveranser per nät'!Z$1,FALSE)/VLOOKUP($B170,Korrigeringsfaktor_GD,'Korrigeringsfaktor GD'!Z$1,FALSE),
"")</f>
        <v>3.0054434782608701</v>
      </c>
      <c r="AA170" s="18">
        <f>IFERROR(
                  Andel_oberoende_av_klimat*VLOOKUP($A170,Leveranser_per_nät,'Leveranser per nät'!AA$1,FALSE)
               +Andel_beroende_av_klimat*VLOOKUP($A170,Leveranser_per_nät,'Leveranser per nät'!AA$1,FALSE)/VLOOKUP($B170,Korrigeringsfaktor_GD,'Korrigeringsfaktor GD'!AA$1,FALSE),
"")</f>
        <v>3.1494209369024859</v>
      </c>
      <c r="AB170" s="18">
        <f>IFERROR(
                  Andel_oberoende_av_klimat*VLOOKUP($A170,Leveranser_per_nät,'Leveranser per nät'!AB$1,FALSE)
               +Andel_beroende_av_klimat*VLOOKUP($A170,Leveranser_per_nät,'Leveranser per nät'!AB$1,FALSE)/VLOOKUP($B170,Korrigeringsfaktor_GD,'Korrigeringsfaktor GD'!AB$1,FALSE),
"")</f>
        <v>3.0332831013916497</v>
      </c>
      <c r="AC170" s="18">
        <f>IFERROR(
                  Andel_oberoende_av_klimat*VLOOKUP($A170,Leveranser_per_nät,'Leveranser per nät'!AC$1,FALSE)
               +Andel_beroende_av_klimat*VLOOKUP($A170,Leveranser_per_nät,'Leveranser per nät'!AC$1,FALSE)/VLOOKUP($B170,Korrigeringsfaktor_GD,'Korrigeringsfaktor GD'!AC$1,FALSE),
"")</f>
        <v>3.1305481481481481</v>
      </c>
      <c r="AD170">
        <v>116.223</v>
      </c>
    </row>
    <row r="171" spans="1:30" x14ac:dyDescent="0.25">
      <c r="A171" t="s">
        <v>365</v>
      </c>
      <c r="B171" t="s">
        <v>363</v>
      </c>
      <c r="C171" s="18">
        <f>IFERROR(
                  Andel_oberoende_av_klimat*VLOOKUP($A171,Leveranser_per_nät,'Leveranser per nät'!C$1,FALSE)
               +Andel_beroende_av_klimat*VLOOKUP($A171,Leveranser_per_nät,'Leveranser per nät'!C$1,FALSE)/VLOOKUP($B171,Korrigeringsfaktor_GD,'Korrigeringsfaktor GD'!C$1,FALSE),
"")</f>
        <v>0</v>
      </c>
      <c r="D171" s="18">
        <f>IFERROR(
                  Andel_oberoende_av_klimat*VLOOKUP($A171,Leveranser_per_nät,'Leveranser per nät'!D$1,FALSE)
               +Andel_beroende_av_klimat*VLOOKUP($A171,Leveranser_per_nät,'Leveranser per nät'!D$1,FALSE)/VLOOKUP($B171,Korrigeringsfaktor_GD,'Korrigeringsfaktor GD'!D$1,FALSE),
"")</f>
        <v>0</v>
      </c>
      <c r="E171" s="18">
        <f>IFERROR(
                  Andel_oberoende_av_klimat*VLOOKUP($A171,Leveranser_per_nät,'Leveranser per nät'!E$1,FALSE)
               +Andel_beroende_av_klimat*VLOOKUP($A171,Leveranser_per_nät,'Leveranser per nät'!E$1,FALSE)/VLOOKUP($B171,Korrigeringsfaktor_GD,'Korrigeringsfaktor GD'!E$1,FALSE),
"")</f>
        <v>3.9722772277227723</v>
      </c>
      <c r="F171" s="18">
        <f>IFERROR(
                  Andel_oberoende_av_klimat*VLOOKUP($A171,Leveranser_per_nät,'Leveranser per nät'!F$1,FALSE)
               +Andel_beroende_av_klimat*VLOOKUP($A171,Leveranser_per_nät,'Leveranser per nät'!F$1,FALSE)/VLOOKUP($B171,Korrigeringsfaktor_GD,'Korrigeringsfaktor GD'!F$1,FALSE),
"")</f>
        <v>4.1787234042553187</v>
      </c>
      <c r="G171" s="18">
        <f>IFERROR(
                  Andel_oberoende_av_klimat*VLOOKUP($A171,Leveranser_per_nät,'Leveranser per nät'!G$1,FALSE)
               +Andel_beroende_av_klimat*VLOOKUP($A171,Leveranser_per_nät,'Leveranser per nät'!G$1,FALSE)/VLOOKUP($B171,Korrigeringsfaktor_GD,'Korrigeringsfaktor GD'!G$1,FALSE),
"")</f>
        <v>3.3137931034482753</v>
      </c>
      <c r="H171" s="18">
        <f>IFERROR(
                  Andel_oberoende_av_klimat*VLOOKUP($A171,Leveranser_per_nät,'Leveranser per nät'!H$1,FALSE)
               +Andel_beroende_av_klimat*VLOOKUP($A171,Leveranser_per_nät,'Leveranser per nät'!H$1,FALSE)/VLOOKUP($B171,Korrigeringsfaktor_GD,'Korrigeringsfaktor GD'!H$1,FALSE),
"")</f>
        <v>3.9420000000000002</v>
      </c>
      <c r="I171" s="18">
        <f>IFERROR(
                  Andel_oberoende_av_klimat*VLOOKUP($A171,Leveranser_per_nät,'Leveranser per nät'!I$1,FALSE)
               +Andel_beroende_av_klimat*VLOOKUP($A171,Leveranser_per_nät,'Leveranser per nät'!I$1,FALSE)/VLOOKUP($B171,Korrigeringsfaktor_GD,'Korrigeringsfaktor GD'!I$1,FALSE),
"")</f>
        <v>4.1787234042553187</v>
      </c>
      <c r="J171" s="18">
        <f>IFERROR(
                  Andel_oberoende_av_klimat*VLOOKUP($A171,Leveranser_per_nät,'Leveranser per nät'!J$1,FALSE)
               +Andel_beroende_av_klimat*VLOOKUP($A171,Leveranser_per_nät,'Leveranser per nät'!J$1,FALSE)/VLOOKUP($B171,Korrigeringsfaktor_GD,'Korrigeringsfaktor GD'!J$1,FALSE),
"")</f>
        <v>5.0714285714285721</v>
      </c>
      <c r="K171" s="18">
        <f>IFERROR(
                  Andel_oberoende_av_klimat*VLOOKUP($A171,Leveranser_per_nät,'Leveranser per nät'!K$1,FALSE)
               +Andel_beroende_av_klimat*VLOOKUP($A171,Leveranser_per_nät,'Leveranser per nät'!K$1,FALSE)/VLOOKUP($B171,Korrigeringsfaktor_GD,'Korrigeringsfaktor GD'!K$1,FALSE),
"")</f>
        <v>4.8289999999999997</v>
      </c>
      <c r="L171" s="18">
        <f>IFERROR(
                  Andel_oberoende_av_klimat*VLOOKUP($A171,Leveranser_per_nät,'Leveranser per nät'!L$1,FALSE)
               +Andel_beroende_av_klimat*VLOOKUP($A171,Leveranser_per_nät,'Leveranser per nät'!L$1,FALSE)/VLOOKUP($B171,Korrigeringsfaktor_GD,'Korrigeringsfaktor GD'!L$1,FALSE),
"")</f>
        <v>5.5771845360824734</v>
      </c>
      <c r="M171" s="18">
        <f>IFERROR(
                  Andel_oberoende_av_klimat*VLOOKUP($A171,Leveranser_per_nät,'Leveranser per nät'!M$1,FALSE)
               +Andel_beroende_av_klimat*VLOOKUP($A171,Leveranser_per_nät,'Leveranser per nät'!M$1,FALSE)/VLOOKUP($B171,Korrigeringsfaktor_GD,'Korrigeringsfaktor GD'!M$1,FALSE),
"")</f>
        <v>6.8540526881720432</v>
      </c>
      <c r="N171" s="18">
        <f>IFERROR(
                  Andel_oberoende_av_klimat*VLOOKUP($A171,Leveranser_per_nät,'Leveranser per nät'!N$1,FALSE)
               +Andel_beroende_av_klimat*VLOOKUP($A171,Leveranser_per_nät,'Leveranser per nät'!N$1,FALSE)/VLOOKUP($B171,Korrigeringsfaktor_GD,'Korrigeringsfaktor GD'!N$1,FALSE),
"")</f>
        <v>7.0174111111111115</v>
      </c>
      <c r="O171" s="18">
        <f>IFERROR(
                  Andel_oberoende_av_klimat*VLOOKUP($A171,Leveranser_per_nät,'Leveranser per nät'!O$1,FALSE)
               +Andel_beroende_av_klimat*VLOOKUP($A171,Leveranser_per_nät,'Leveranser per nät'!O$1,FALSE)/VLOOKUP($B171,Korrigeringsfaktor_GD,'Korrigeringsfaktor GD'!O$1,FALSE),
"")</f>
        <v>7.6242000000000001</v>
      </c>
      <c r="P171" s="18">
        <f>IFERROR(
                  Andel_oberoende_av_klimat*VLOOKUP($A171,Leveranser_per_nät,'Leveranser per nät'!P$1,FALSE)
               +Andel_beroende_av_klimat*VLOOKUP($A171,Leveranser_per_nät,'Leveranser per nät'!P$1,FALSE)/VLOOKUP($B171,Korrigeringsfaktor_GD,'Korrigeringsfaktor GD'!P$1,FALSE),
"")</f>
        <v>7.738999999999999</v>
      </c>
      <c r="Q171" s="18">
        <f>IFERROR(
                  Andel_oberoende_av_klimat*VLOOKUP($A171,Leveranser_per_nät,'Leveranser per nät'!Q$1,FALSE)
               +Andel_beroende_av_klimat*VLOOKUP($A171,Leveranser_per_nät,'Leveranser per nät'!Q$1,FALSE)/VLOOKUP($B171,Korrigeringsfaktor_GD,'Korrigeringsfaktor GD'!Q$1,FALSE),
"")</f>
        <v>7.6239565217391316</v>
      </c>
      <c r="R171" s="18">
        <f>IFERROR(
                  Andel_oberoende_av_klimat*VLOOKUP($A171,Leveranser_per_nät,'Leveranser per nät'!R$1,FALSE)
               +Andel_beroende_av_klimat*VLOOKUP($A171,Leveranser_per_nät,'Leveranser per nät'!R$1,FALSE)/VLOOKUP($B171,Korrigeringsfaktor_GD,'Korrigeringsfaktor GD'!R$1,FALSE),
"")</f>
        <v>9.7345391304347828</v>
      </c>
      <c r="S171" s="18">
        <f>IFERROR(
                  Andel_oberoende_av_klimat*VLOOKUP($A171,Leveranser_per_nät,'Leveranser per nät'!S$1,FALSE)
               +Andel_beroende_av_klimat*VLOOKUP($A171,Leveranser_per_nät,'Leveranser per nät'!S$1,FALSE)/VLOOKUP($B171,Korrigeringsfaktor_GD,'Korrigeringsfaktor GD'!S$1,FALSE),
"")</f>
        <v>7.6466336633663365</v>
      </c>
      <c r="T171" s="18">
        <f>IFERROR(
                  Andel_oberoende_av_klimat*VLOOKUP($A171,Leveranser_per_nät,'Leveranser per nät'!T$1,FALSE)
               +Andel_beroende_av_klimat*VLOOKUP($A171,Leveranser_per_nät,'Leveranser per nät'!T$1,FALSE)/VLOOKUP($B171,Korrigeringsfaktor_GD,'Korrigeringsfaktor GD'!T$1,FALSE),
"")</f>
        <v>8.2471571428571444</v>
      </c>
      <c r="U171" s="18">
        <f>IFERROR(
                  Andel_oberoende_av_klimat*VLOOKUP($A171,Leveranser_per_nät,'Leveranser per nät'!U$1,FALSE)
               +Andel_beroende_av_klimat*VLOOKUP($A171,Leveranser_per_nät,'Leveranser per nät'!U$1,FALSE)/VLOOKUP($B171,Korrigeringsfaktor_GD,'Korrigeringsfaktor GD'!U$1,FALSE),
"")</f>
        <v>8.4493372093023265</v>
      </c>
      <c r="V171" s="18">
        <f>IFERROR(
                  Andel_oberoende_av_klimat*VLOOKUP($A171,Leveranser_per_nät,'Leveranser per nät'!V$1,FALSE)
               +Andel_beroende_av_klimat*VLOOKUP($A171,Leveranser_per_nät,'Leveranser per nät'!V$1,FALSE)/VLOOKUP($B171,Korrigeringsfaktor_GD,'Korrigeringsfaktor GD'!V$1,FALSE),
"")</f>
        <v>8.0057333333333318</v>
      </c>
      <c r="W171" s="18">
        <f>IFERROR(
                  Andel_oberoende_av_klimat*VLOOKUP($A171,Leveranser_per_nät,'Leveranser per nät'!W$1,FALSE)
               +Andel_beroende_av_klimat*VLOOKUP($A171,Leveranser_per_nät,'Leveranser per nät'!W$1,FALSE)/VLOOKUP($B171,Korrigeringsfaktor_GD,'Korrigeringsfaktor GD'!W$1,FALSE),
"")</f>
        <v>8.0576234042553203</v>
      </c>
      <c r="X171" s="18">
        <f>IFERROR(
                  Andel_oberoende_av_klimat*VLOOKUP($A171,Leveranser_per_nät,'Leveranser per nät'!X$1,FALSE)
               +Andel_beroende_av_klimat*VLOOKUP($A171,Leveranser_per_nät,'Leveranser per nät'!X$1,FALSE)/VLOOKUP($B171,Korrigeringsfaktor_GD,'Korrigeringsfaktor GD'!X$1,FALSE),
"")</f>
        <v>8.106751612903226</v>
      </c>
      <c r="Y171" s="18">
        <f>IFERROR(
                  Andel_oberoende_av_klimat*VLOOKUP($A171,Leveranser_per_nät,'Leveranser per nät'!Y$1,FALSE)
               +Andel_beroende_av_klimat*VLOOKUP($A171,Leveranser_per_nät,'Leveranser per nät'!Y$1,FALSE)/VLOOKUP($B171,Korrigeringsfaktor_GD,'Korrigeringsfaktor GD'!Y$1,FALSE),
"")</f>
        <v>8.3032000000000004</v>
      </c>
      <c r="Z171" s="18">
        <f>IFERROR(
                  Andel_oberoende_av_klimat*VLOOKUP($A171,Leveranser_per_nät,'Leveranser per nät'!Z$1,FALSE)
               +Andel_beroende_av_klimat*VLOOKUP($A171,Leveranser_per_nät,'Leveranser per nät'!Z$1,FALSE)/VLOOKUP($B171,Korrigeringsfaktor_GD,'Korrigeringsfaktor GD'!Z$1,FALSE),
"")</f>
        <v>8.0972846153846163</v>
      </c>
      <c r="AA171" s="18">
        <f>IFERROR(
                  Andel_oberoende_av_klimat*VLOOKUP($A171,Leveranser_per_nät,'Leveranser per nät'!AA$1,FALSE)
               +Andel_beroende_av_klimat*VLOOKUP($A171,Leveranser_per_nät,'Leveranser per nät'!AA$1,FALSE)/VLOOKUP($B171,Korrigeringsfaktor_GD,'Korrigeringsfaktor GD'!AA$1,FALSE),
"")</f>
        <v>8.6152566939032056</v>
      </c>
      <c r="AB171" s="18">
        <f>IFERROR(
                  Andel_oberoende_av_klimat*VLOOKUP($A171,Leveranser_per_nät,'Leveranser per nät'!AB$1,FALSE)
               +Andel_beroende_av_klimat*VLOOKUP($A171,Leveranser_per_nät,'Leveranser per nät'!AB$1,FALSE)/VLOOKUP($B171,Korrigeringsfaktor_GD,'Korrigeringsfaktor GD'!AB$1,FALSE),
"")</f>
        <v>8.1590990186457297</v>
      </c>
      <c r="AC171" s="18">
        <f>IFERROR(
                  Andel_oberoende_av_klimat*VLOOKUP($A171,Leveranser_per_nät,'Leveranser per nät'!AC$1,FALSE)
               +Andel_beroende_av_klimat*VLOOKUP($A171,Leveranser_per_nät,'Leveranser per nät'!AC$1,FALSE)/VLOOKUP($B171,Korrigeringsfaktor_GD,'Korrigeringsfaktor GD'!AC$1,FALSE),
"")</f>
        <v>8.0120496304118252</v>
      </c>
      <c r="AD171" t="e">
        <v>#N/A</v>
      </c>
    </row>
    <row r="172" spans="1:30" x14ac:dyDescent="0.25">
      <c r="A172" t="s">
        <v>37</v>
      </c>
      <c r="B172" t="s">
        <v>38</v>
      </c>
      <c r="C172" s="18">
        <f>IFERROR(
                  Andel_oberoende_av_klimat*VLOOKUP($A172,Leveranser_per_nät,'Leveranser per nät'!C$1,FALSE)
               +Andel_beroende_av_klimat*VLOOKUP($A172,Leveranser_per_nät,'Leveranser per nät'!C$1,FALSE)/VLOOKUP($B172,Korrigeringsfaktor_GD,'Korrigeringsfaktor GD'!C$1,FALSE),
"")</f>
        <v>0</v>
      </c>
      <c r="D172" s="18">
        <f>IFERROR(
                  Andel_oberoende_av_klimat*VLOOKUP($A172,Leveranser_per_nät,'Leveranser per nät'!D$1,FALSE)
               +Andel_beroende_av_klimat*VLOOKUP($A172,Leveranser_per_nät,'Leveranser per nät'!D$1,FALSE)/VLOOKUP($B172,Korrigeringsfaktor_GD,'Korrigeringsfaktor GD'!D$1,FALSE),
"")</f>
        <v>0</v>
      </c>
      <c r="E172" s="18">
        <f>IFERROR(
                  Andel_oberoende_av_klimat*VLOOKUP($A172,Leveranser_per_nät,'Leveranser per nät'!E$1,FALSE)
               +Andel_beroende_av_klimat*VLOOKUP($A172,Leveranser_per_nät,'Leveranser per nät'!E$1,FALSE)/VLOOKUP($B172,Korrigeringsfaktor_GD,'Korrigeringsfaktor GD'!E$1,FALSE),
"")</f>
        <v>0</v>
      </c>
      <c r="F172" s="18">
        <f>IFERROR(
                  Andel_oberoende_av_klimat*VLOOKUP($A172,Leveranser_per_nät,'Leveranser per nät'!F$1,FALSE)
               +Andel_beroende_av_klimat*VLOOKUP($A172,Leveranser_per_nät,'Leveranser per nät'!F$1,FALSE)/VLOOKUP($B172,Korrigeringsfaktor_GD,'Korrigeringsfaktor GD'!F$1,FALSE),
"")</f>
        <v>0</v>
      </c>
      <c r="G172" s="18">
        <f>IFERROR(
                  Andel_oberoende_av_klimat*VLOOKUP($A172,Leveranser_per_nät,'Leveranser per nät'!G$1,FALSE)
               +Andel_beroende_av_klimat*VLOOKUP($A172,Leveranser_per_nät,'Leveranser per nät'!G$1,FALSE)/VLOOKUP($B172,Korrigeringsfaktor_GD,'Korrigeringsfaktor GD'!G$1,FALSE),
"")</f>
        <v>0</v>
      </c>
      <c r="H172" s="18">
        <f>IFERROR(
                  Andel_oberoende_av_klimat*VLOOKUP($A172,Leveranser_per_nät,'Leveranser per nät'!H$1,FALSE)
               +Andel_beroende_av_klimat*VLOOKUP($A172,Leveranser_per_nät,'Leveranser per nät'!H$1,FALSE)/VLOOKUP($B172,Korrigeringsfaktor_GD,'Korrigeringsfaktor GD'!H$1,FALSE),
"")</f>
        <v>0</v>
      </c>
      <c r="I172" s="18">
        <f>IFERROR(
                  Andel_oberoende_av_klimat*VLOOKUP($A172,Leveranser_per_nät,'Leveranser per nät'!I$1,FALSE)
               +Andel_beroende_av_klimat*VLOOKUP($A172,Leveranser_per_nät,'Leveranser per nät'!I$1,FALSE)/VLOOKUP($B172,Korrigeringsfaktor_GD,'Korrigeringsfaktor GD'!I$1,FALSE),
"")</f>
        <v>0</v>
      </c>
      <c r="J172" s="18">
        <f>IFERROR(
                  Andel_oberoende_av_klimat*VLOOKUP($A172,Leveranser_per_nät,'Leveranser per nät'!J$1,FALSE)
               +Andel_beroende_av_klimat*VLOOKUP($A172,Leveranser_per_nät,'Leveranser per nät'!J$1,FALSE)/VLOOKUP($B172,Korrigeringsfaktor_GD,'Korrigeringsfaktor GD'!J$1,FALSE),
"")</f>
        <v>0</v>
      </c>
      <c r="K172" s="18">
        <f>IFERROR(
                  Andel_oberoende_av_klimat*VLOOKUP($A172,Leveranser_per_nät,'Leveranser per nät'!K$1,FALSE)
               +Andel_beroende_av_klimat*VLOOKUP($A172,Leveranser_per_nät,'Leveranser per nät'!K$1,FALSE)/VLOOKUP($B172,Korrigeringsfaktor_GD,'Korrigeringsfaktor GD'!K$1,FALSE),
"")</f>
        <v>0</v>
      </c>
      <c r="L172" s="18">
        <f>IFERROR(
                  Andel_oberoende_av_klimat*VLOOKUP($A172,Leveranser_per_nät,'Leveranser per nät'!L$1,FALSE)
               +Andel_beroende_av_klimat*VLOOKUP($A172,Leveranser_per_nät,'Leveranser per nät'!L$1,FALSE)/VLOOKUP($B172,Korrigeringsfaktor_GD,'Korrigeringsfaktor GD'!L$1,FALSE),
"")</f>
        <v>0.80626086956521736</v>
      </c>
      <c r="M172" s="18">
        <f>IFERROR(
                  Andel_oberoende_av_klimat*VLOOKUP($A172,Leveranser_per_nät,'Leveranser per nät'!M$1,FALSE)
               +Andel_beroende_av_klimat*VLOOKUP($A172,Leveranser_per_nät,'Leveranser per nät'!M$1,FALSE)/VLOOKUP($B172,Korrigeringsfaktor_GD,'Korrigeringsfaktor GD'!M$1,FALSE),
"")</f>
        <v>4.5617391304347823</v>
      </c>
      <c r="N172" s="18">
        <f>IFERROR(
                  Andel_oberoende_av_klimat*VLOOKUP($A172,Leveranser_per_nät,'Leveranser per nät'!N$1,FALSE)
               +Andel_beroende_av_klimat*VLOOKUP($A172,Leveranser_per_nät,'Leveranser per nät'!N$1,FALSE)/VLOOKUP($B172,Korrigeringsfaktor_GD,'Korrigeringsfaktor GD'!N$1,FALSE),
"")</f>
        <v>4.5265591397849461</v>
      </c>
      <c r="O172" s="18">
        <f>IFERROR(
                  Andel_oberoende_av_klimat*VLOOKUP($A172,Leveranser_per_nät,'Leveranser per nät'!O$1,FALSE)
               +Andel_beroende_av_klimat*VLOOKUP($A172,Leveranser_per_nät,'Leveranser per nät'!O$1,FALSE)/VLOOKUP($B172,Korrigeringsfaktor_GD,'Korrigeringsfaktor GD'!O$1,FALSE),
"")</f>
        <v>4.5617391304347823</v>
      </c>
      <c r="P172" s="18">
        <f>IFERROR(
                  Andel_oberoende_av_klimat*VLOOKUP($A172,Leveranser_per_nät,'Leveranser per nät'!P$1,FALSE)
               +Andel_beroende_av_klimat*VLOOKUP($A172,Leveranser_per_nät,'Leveranser per nät'!P$1,FALSE)/VLOOKUP($B172,Korrigeringsfaktor_GD,'Korrigeringsfaktor GD'!P$1,FALSE),
"")</f>
        <v>8.5721858585858595</v>
      </c>
      <c r="Q172" s="18">
        <f>IFERROR(
                  Andel_oberoende_av_klimat*VLOOKUP($A172,Leveranser_per_nät,'Leveranser per nät'!Q$1,FALSE)
               +Andel_beroende_av_klimat*VLOOKUP($A172,Leveranser_per_nät,'Leveranser per nät'!Q$1,FALSE)/VLOOKUP($B172,Korrigeringsfaktor_GD,'Korrigeringsfaktor GD'!Q$1,FALSE),
"")</f>
        <v>9.847586206896553</v>
      </c>
      <c r="R172" s="18">
        <f>IFERROR(
                  Andel_oberoende_av_klimat*VLOOKUP($A172,Leveranser_per_nät,'Leveranser per nät'!R$1,FALSE)
               +Andel_beroende_av_klimat*VLOOKUP($A172,Leveranser_per_nät,'Leveranser per nät'!R$1,FALSE)/VLOOKUP($B172,Korrigeringsfaktor_GD,'Korrigeringsfaktor GD'!R$1,FALSE),
"")</f>
        <v>9.3236923076923084</v>
      </c>
      <c r="S172" s="18">
        <f>IFERROR(
                  Andel_oberoende_av_klimat*VLOOKUP($A172,Leveranser_per_nät,'Leveranser per nät'!S$1,FALSE)
               +Andel_beroende_av_klimat*VLOOKUP($A172,Leveranser_per_nät,'Leveranser per nät'!S$1,FALSE)/VLOOKUP($B172,Korrigeringsfaktor_GD,'Korrigeringsfaktor GD'!S$1,FALSE),
"")</f>
        <v>9.3000000000000007</v>
      </c>
      <c r="T172" s="18">
        <f>IFERROR(
                  Andel_oberoende_av_klimat*VLOOKUP($A172,Leveranser_per_nät,'Leveranser per nät'!T$1,FALSE)
               +Andel_beroende_av_klimat*VLOOKUP($A172,Leveranser_per_nät,'Leveranser per nät'!T$1,FALSE)/VLOOKUP($B172,Korrigeringsfaktor_GD,'Korrigeringsfaktor GD'!T$1,FALSE),
"")</f>
        <v>9.2985208333333347</v>
      </c>
      <c r="U172" s="18">
        <f>IFERROR(
                  Andel_oberoende_av_klimat*VLOOKUP($A172,Leveranser_per_nät,'Leveranser per nät'!U$1,FALSE)
               +Andel_beroende_av_klimat*VLOOKUP($A172,Leveranser_per_nät,'Leveranser per nät'!U$1,FALSE)/VLOOKUP($B172,Korrigeringsfaktor_GD,'Korrigeringsfaktor GD'!U$1,FALSE),
"")</f>
        <v>8.9594179775280907</v>
      </c>
      <c r="V172" s="18">
        <f>IFERROR(
                  Andel_oberoende_av_klimat*VLOOKUP($A172,Leveranser_per_nät,'Leveranser per nät'!V$1,FALSE)
               +Andel_beroende_av_klimat*VLOOKUP($A172,Leveranser_per_nät,'Leveranser per nät'!V$1,FALSE)/VLOOKUP($B172,Korrigeringsfaktor_GD,'Korrigeringsfaktor GD'!V$1,FALSE),
"")</f>
        <v>8.5421217391304332</v>
      </c>
      <c r="W172" s="18">
        <f>IFERROR(
                  Andel_oberoende_av_klimat*VLOOKUP($A172,Leveranser_per_nät,'Leveranser per nät'!W$1,FALSE)
               +Andel_beroende_av_klimat*VLOOKUP($A172,Leveranser_per_nät,'Leveranser per nät'!W$1,FALSE)/VLOOKUP($B172,Korrigeringsfaktor_GD,'Korrigeringsfaktor GD'!W$1,FALSE),
"")</f>
        <v>8.9344684210526317</v>
      </c>
      <c r="X172" s="18">
        <f>IFERROR(
                  Andel_oberoende_av_klimat*VLOOKUP($A172,Leveranser_per_nät,'Leveranser per nät'!X$1,FALSE)
               +Andel_beroende_av_klimat*VLOOKUP($A172,Leveranser_per_nät,'Leveranser per nät'!X$1,FALSE)/VLOOKUP($B172,Korrigeringsfaktor_GD,'Korrigeringsfaktor GD'!X$1,FALSE),
"")</f>
        <v>9.1120917525773191</v>
      </c>
      <c r="Y172" s="18">
        <f>IFERROR(
                  Andel_oberoende_av_klimat*VLOOKUP($A172,Leveranser_per_nät,'Leveranser per nät'!Y$1,FALSE)
               +Andel_beroende_av_klimat*VLOOKUP($A172,Leveranser_per_nät,'Leveranser per nät'!Y$1,FALSE)/VLOOKUP($B172,Korrigeringsfaktor_GD,'Korrigeringsfaktor GD'!Y$1,FALSE),
"")</f>
        <v>10.985325</v>
      </c>
      <c r="Z172" s="18">
        <f>IFERROR(
                  Andel_oberoende_av_klimat*VLOOKUP($A172,Leveranser_per_nät,'Leveranser per nät'!Z$1,FALSE)
               +Andel_beroende_av_klimat*VLOOKUP($A172,Leveranser_per_nät,'Leveranser per nät'!Z$1,FALSE)/VLOOKUP($B172,Korrigeringsfaktor_GD,'Korrigeringsfaktor GD'!Z$1,FALSE),
"")</f>
        <v>9.6957846153846141</v>
      </c>
      <c r="AA172" s="18">
        <f>IFERROR(
                  Andel_oberoende_av_klimat*VLOOKUP($A172,Leveranser_per_nät,'Leveranser per nät'!AA$1,FALSE)
               +Andel_beroende_av_klimat*VLOOKUP($A172,Leveranser_per_nät,'Leveranser per nät'!AA$1,FALSE)/VLOOKUP($B172,Korrigeringsfaktor_GD,'Korrigeringsfaktor GD'!AA$1,FALSE),
"")</f>
        <v>9.7390271703114628</v>
      </c>
      <c r="AB172" s="18">
        <f>IFERROR(
                  Andel_oberoende_av_klimat*VLOOKUP($A172,Leveranser_per_nät,'Leveranser per nät'!AB$1,FALSE)
               +Andel_beroende_av_klimat*VLOOKUP($A172,Leveranser_per_nät,'Leveranser per nät'!AB$1,FALSE)/VLOOKUP($B172,Korrigeringsfaktor_GD,'Korrigeringsfaktor GD'!AB$1,FALSE),
"")</f>
        <v>10.382656097560977</v>
      </c>
      <c r="AC172" s="18">
        <f>IFERROR(
                  Andel_oberoende_av_klimat*VLOOKUP($A172,Leveranser_per_nät,'Leveranser per nät'!AC$1,FALSE)
               +Andel_beroende_av_klimat*VLOOKUP($A172,Leveranser_per_nät,'Leveranser per nät'!AC$1,FALSE)/VLOOKUP($B172,Korrigeringsfaktor_GD,'Korrigeringsfaktor GD'!AC$1,FALSE),
"")</f>
        <v>10.094886150712831</v>
      </c>
      <c r="AD172">
        <v>32.401000000000003</v>
      </c>
    </row>
    <row r="173" spans="1:30" x14ac:dyDescent="0.25">
      <c r="A173" t="s">
        <v>154</v>
      </c>
      <c r="B173" t="s">
        <v>154</v>
      </c>
      <c r="C173" s="18">
        <f>IFERROR(
                  Andel_oberoende_av_klimat*VLOOKUP($A173,Leveranser_per_nät,'Leveranser per nät'!C$1,FALSE)
               +Andel_beroende_av_klimat*VLOOKUP($A173,Leveranser_per_nät,'Leveranser per nät'!C$1,FALSE)/VLOOKUP($B173,Korrigeringsfaktor_GD,'Korrigeringsfaktor GD'!C$1,FALSE),
"")</f>
        <v>36.743564356435641</v>
      </c>
      <c r="D173" s="18">
        <f>IFERROR(
                  Andel_oberoende_av_klimat*VLOOKUP($A173,Leveranser_per_nät,'Leveranser per nät'!D$1,FALSE)
               +Andel_beroende_av_klimat*VLOOKUP($A173,Leveranser_per_nät,'Leveranser per nät'!D$1,FALSE)/VLOOKUP($B173,Korrigeringsfaktor_GD,'Korrigeringsfaktor GD'!D$1,FALSE),
"")</f>
        <v>36.380938144329896</v>
      </c>
      <c r="E173" s="18">
        <f>IFERROR(
                  Andel_oberoende_av_klimat*VLOOKUP($A173,Leveranser_per_nät,'Leveranser per nät'!E$1,FALSE)
               +Andel_beroende_av_klimat*VLOOKUP($A173,Leveranser_per_nät,'Leveranser per nät'!E$1,FALSE)/VLOOKUP($B173,Korrigeringsfaktor_GD,'Korrigeringsfaktor GD'!E$1,FALSE),
"")</f>
        <v>41.566666666666663</v>
      </c>
      <c r="F173" s="18">
        <f>IFERROR(
                  Andel_oberoende_av_klimat*VLOOKUP($A173,Leveranser_per_nät,'Leveranser per nät'!F$1,FALSE)
               +Andel_beroende_av_klimat*VLOOKUP($A173,Leveranser_per_nät,'Leveranser per nät'!F$1,FALSE)/VLOOKUP($B173,Korrigeringsfaktor_GD,'Korrigeringsfaktor GD'!F$1,FALSE),
"")</f>
        <v>43.304040404040407</v>
      </c>
      <c r="G173" s="18">
        <f>IFERROR(
                  Andel_oberoende_av_klimat*VLOOKUP($A173,Leveranser_per_nät,'Leveranser per nät'!G$1,FALSE)
               +Andel_beroende_av_klimat*VLOOKUP($A173,Leveranser_per_nät,'Leveranser per nät'!G$1,FALSE)/VLOOKUP($B173,Korrigeringsfaktor_GD,'Korrigeringsfaktor GD'!G$1,FALSE),
"")</f>
        <v>34.538730434782607</v>
      </c>
      <c r="H173" s="18">
        <f>IFERROR(
                  Andel_oberoende_av_klimat*VLOOKUP($A173,Leveranser_per_nät,'Leveranser per nät'!H$1,FALSE)
               +Andel_beroende_av_klimat*VLOOKUP($A173,Leveranser_per_nät,'Leveranser per nät'!H$1,FALSE)/VLOOKUP($B173,Korrigeringsfaktor_GD,'Korrigeringsfaktor GD'!H$1,FALSE),
"")</f>
        <v>36.743564356435641</v>
      </c>
      <c r="I173" s="18">
        <f>IFERROR(
                  Andel_oberoende_av_klimat*VLOOKUP($A173,Leveranser_per_nät,'Leveranser per nät'!I$1,FALSE)
               +Andel_beroende_av_klimat*VLOOKUP($A173,Leveranser_per_nät,'Leveranser per nät'!I$1,FALSE)/VLOOKUP($B173,Korrigeringsfaktor_GD,'Korrigeringsfaktor GD'!I$1,FALSE),
"")</f>
        <v>38.268686868686871</v>
      </c>
      <c r="J173" s="18">
        <f>IFERROR(
                  Andel_oberoende_av_klimat*VLOOKUP($A173,Leveranser_per_nät,'Leveranser per nät'!J$1,FALSE)
               +Andel_beroende_av_klimat*VLOOKUP($A173,Leveranser_per_nät,'Leveranser per nät'!J$1,FALSE)/VLOOKUP($B173,Korrigeringsfaktor_GD,'Korrigeringsfaktor GD'!J$1,FALSE),
"")</f>
        <v>37.575246391752586</v>
      </c>
      <c r="K173" s="18">
        <f>IFERROR(
                  Andel_oberoende_av_klimat*VLOOKUP($A173,Leveranser_per_nät,'Leveranser per nät'!K$1,FALSE)
               +Andel_beroende_av_klimat*VLOOKUP($A173,Leveranser_per_nät,'Leveranser per nät'!K$1,FALSE)/VLOOKUP($B173,Korrigeringsfaktor_GD,'Korrigeringsfaktor GD'!K$1,FALSE),
"")</f>
        <v>37.31</v>
      </c>
      <c r="L173" s="18">
        <f>IFERROR(
                  Andel_oberoende_av_klimat*VLOOKUP($A173,Leveranser_per_nät,'Leveranser per nät'!L$1,FALSE)
               +Andel_beroende_av_klimat*VLOOKUP($A173,Leveranser_per_nät,'Leveranser per nät'!L$1,FALSE)/VLOOKUP($B173,Korrigeringsfaktor_GD,'Korrigeringsfaktor GD'!L$1,FALSE),
"")</f>
        <v>37.447626315789471</v>
      </c>
      <c r="M173" s="18">
        <f>IFERROR(
                  Andel_oberoende_av_klimat*VLOOKUP($A173,Leveranser_per_nät,'Leveranser per nät'!M$1,FALSE)
               +Andel_beroende_av_klimat*VLOOKUP($A173,Leveranser_per_nät,'Leveranser per nät'!M$1,FALSE)/VLOOKUP($B173,Korrigeringsfaktor_GD,'Korrigeringsfaktor GD'!M$1,FALSE),
"")</f>
        <v>38.985263157894742</v>
      </c>
      <c r="N173" s="18">
        <f>IFERROR(
                  Andel_oberoende_av_klimat*VLOOKUP($A173,Leveranser_per_nät,'Leveranser per nät'!N$1,FALSE)
               +Andel_beroende_av_klimat*VLOOKUP($A173,Leveranser_per_nät,'Leveranser per nät'!N$1,FALSE)/VLOOKUP($B173,Korrigeringsfaktor_GD,'Korrigeringsfaktor GD'!N$1,FALSE),
"")</f>
        <v>38.696666666666673</v>
      </c>
      <c r="O173" s="18">
        <f>IFERROR(
                  Andel_oberoende_av_klimat*VLOOKUP($A173,Leveranser_per_nät,'Leveranser per nät'!O$1,FALSE)
               +Andel_beroende_av_klimat*VLOOKUP($A173,Leveranser_per_nät,'Leveranser per nät'!O$1,FALSE)/VLOOKUP($B173,Korrigeringsfaktor_GD,'Korrigeringsfaktor GD'!O$1,FALSE),
"")</f>
        <v>37.633480412371128</v>
      </c>
      <c r="P173" s="18">
        <f>IFERROR(
                  Andel_oberoende_av_klimat*VLOOKUP($A173,Leveranser_per_nät,'Leveranser per nät'!P$1,FALSE)
               +Andel_beroende_av_klimat*VLOOKUP($A173,Leveranser_per_nät,'Leveranser per nät'!P$1,FALSE)/VLOOKUP($B173,Korrigeringsfaktor_GD,'Korrigeringsfaktor GD'!P$1,FALSE),
"")</f>
        <v>37.677411340206184</v>
      </c>
      <c r="Q173" s="18">
        <f>IFERROR(
                  Andel_oberoende_av_klimat*VLOOKUP($A173,Leveranser_per_nät,'Leveranser per nät'!Q$1,FALSE)
               +Andel_beroende_av_klimat*VLOOKUP($A173,Leveranser_per_nät,'Leveranser per nät'!Q$1,FALSE)/VLOOKUP($B173,Korrigeringsfaktor_GD,'Korrigeringsfaktor GD'!Q$1,FALSE),
"")</f>
        <v>37.94488888888889</v>
      </c>
      <c r="R173" s="18">
        <f>IFERROR(
                  Andel_oberoende_av_klimat*VLOOKUP($A173,Leveranser_per_nät,'Leveranser per nät'!R$1,FALSE)
               +Andel_beroende_av_klimat*VLOOKUP($A173,Leveranser_per_nät,'Leveranser per nät'!R$1,FALSE)/VLOOKUP($B173,Korrigeringsfaktor_GD,'Korrigeringsfaktor GD'!R$1,FALSE),
"")</f>
        <v>35.905838461538465</v>
      </c>
      <c r="S173" s="18">
        <f>IFERROR(
                  Andel_oberoende_av_klimat*VLOOKUP($A173,Leveranser_per_nät,'Leveranser per nät'!S$1,FALSE)
               +Andel_beroende_av_klimat*VLOOKUP($A173,Leveranser_per_nät,'Leveranser per nät'!S$1,FALSE)/VLOOKUP($B173,Korrigeringsfaktor_GD,'Korrigeringsfaktor GD'!S$1,FALSE),
"")</f>
        <v>36.245631067961163</v>
      </c>
      <c r="T173" s="18">
        <f>IFERROR(
                  Andel_oberoende_av_klimat*VLOOKUP($A173,Leveranser_per_nät,'Leveranser per nät'!T$1,FALSE)
               +Andel_beroende_av_klimat*VLOOKUP($A173,Leveranser_per_nät,'Leveranser per nät'!T$1,FALSE)/VLOOKUP($B173,Korrigeringsfaktor_GD,'Korrigeringsfaktor GD'!T$1,FALSE),
"")</f>
        <v>36.020833333333336</v>
      </c>
      <c r="U173" s="18">
        <f>IFERROR(
                  Andel_oberoende_av_klimat*VLOOKUP($A173,Leveranser_per_nät,'Leveranser per nät'!U$1,FALSE)
               +Andel_beroende_av_klimat*VLOOKUP($A173,Leveranser_per_nät,'Leveranser per nät'!U$1,FALSE)/VLOOKUP($B173,Korrigeringsfaktor_GD,'Korrigeringsfaktor GD'!U$1,FALSE),
"")</f>
        <v>35.791397849462363</v>
      </c>
      <c r="V173" s="18">
        <f>IFERROR(
                  Andel_oberoende_av_klimat*VLOOKUP($A173,Leveranser_per_nät,'Leveranser per nät'!V$1,FALSE)
               +Andel_beroende_av_klimat*VLOOKUP($A173,Leveranser_per_nät,'Leveranser per nät'!V$1,FALSE)/VLOOKUP($B173,Korrigeringsfaktor_GD,'Korrigeringsfaktor GD'!V$1,FALSE),
"")</f>
        <v>33.680769230769229</v>
      </c>
      <c r="W173" s="18">
        <f>IFERROR(
                  Andel_oberoende_av_klimat*VLOOKUP($A173,Leveranser_per_nät,'Leveranser per nät'!W$1,FALSE)
               +Andel_beroende_av_klimat*VLOOKUP($A173,Leveranser_per_nät,'Leveranser per nät'!W$1,FALSE)/VLOOKUP($B173,Korrigeringsfaktor_GD,'Korrigeringsfaktor GD'!W$1,FALSE),
"")</f>
        <v>34.991666666666667</v>
      </c>
      <c r="X173" s="18">
        <f>IFERROR(
                  Andel_oberoende_av_klimat*VLOOKUP($A173,Leveranser_per_nät,'Leveranser per nät'!X$1,FALSE)
               +Andel_beroende_av_klimat*VLOOKUP($A173,Leveranser_per_nät,'Leveranser per nät'!X$1,FALSE)/VLOOKUP($B173,Korrigeringsfaktor_GD,'Korrigeringsfaktor GD'!X$1,FALSE),
"")</f>
        <v>34.736082474226805</v>
      </c>
      <c r="Y173" s="18">
        <f>IFERROR(
                  Andel_oberoende_av_klimat*VLOOKUP($A173,Leveranser_per_nät,'Leveranser per nät'!Y$1,FALSE)
               +Andel_beroende_av_klimat*VLOOKUP($A173,Leveranser_per_nät,'Leveranser per nät'!Y$1,FALSE)/VLOOKUP($B173,Korrigeringsfaktor_GD,'Korrigeringsfaktor GD'!Y$1,FALSE),
"")</f>
        <v>35.297142857142859</v>
      </c>
      <c r="Z173" s="18">
        <f>IFERROR(
                  Andel_oberoende_av_klimat*VLOOKUP($A173,Leveranser_per_nät,'Leveranser per nät'!Z$1,FALSE)
               +Andel_beroende_av_klimat*VLOOKUP($A173,Leveranser_per_nät,'Leveranser per nät'!Z$1,FALSE)/VLOOKUP($B173,Korrigeringsfaktor_GD,'Korrigeringsfaktor GD'!Z$1,FALSE),
"")</f>
        <v>37.00984848484849</v>
      </c>
      <c r="AA173" s="18">
        <f>IFERROR(
                  Andel_oberoende_av_klimat*VLOOKUP($A173,Leveranser_per_nät,'Leveranser per nät'!AA$1,FALSE)
               +Andel_beroende_av_klimat*VLOOKUP($A173,Leveranser_per_nät,'Leveranser per nät'!AA$1,FALSE)/VLOOKUP($B173,Korrigeringsfaktor_GD,'Korrigeringsfaktor GD'!AA$1,FALSE),
"")</f>
        <v>33.828530040545516</v>
      </c>
      <c r="AB173" s="18">
        <f>IFERROR(
                  Andel_oberoende_av_klimat*VLOOKUP($A173,Leveranser_per_nät,'Leveranser per nät'!AB$1,FALSE)
               +Andel_beroende_av_klimat*VLOOKUP($A173,Leveranser_per_nät,'Leveranser per nät'!AB$1,FALSE)/VLOOKUP($B173,Korrigeringsfaktor_GD,'Korrigeringsfaktor GD'!AB$1,FALSE),
"")</f>
        <v>34.768604651162789</v>
      </c>
      <c r="AC173" s="18">
        <f>IFERROR(
                  Andel_oberoende_av_klimat*VLOOKUP($A173,Leveranser_per_nät,'Leveranser per nät'!AC$1,FALSE)
               +Andel_beroende_av_klimat*VLOOKUP($A173,Leveranser_per_nät,'Leveranser per nät'!AC$1,FALSE)/VLOOKUP($B173,Korrigeringsfaktor_GD,'Korrigeringsfaktor GD'!AC$1,FALSE),
"")</f>
        <v>34.557415852334422</v>
      </c>
      <c r="AD173">
        <v>32.6</v>
      </c>
    </row>
    <row r="174" spans="1:30" x14ac:dyDescent="0.25">
      <c r="A174" t="s">
        <v>638</v>
      </c>
      <c r="B174" t="s">
        <v>240</v>
      </c>
      <c r="C174" s="18"/>
      <c r="D174" s="18"/>
      <c r="E174" s="18"/>
      <c r="F174" s="18"/>
      <c r="G174" s="18"/>
      <c r="H174" s="18"/>
      <c r="I174" s="18"/>
      <c r="J174" s="18"/>
      <c r="K174" s="18"/>
      <c r="L174" s="18"/>
      <c r="M174" s="18"/>
      <c r="N174" s="18"/>
      <c r="O174" s="18"/>
      <c r="P174" s="18"/>
      <c r="Q174" s="18"/>
      <c r="R174" s="18"/>
      <c r="S174" s="18"/>
      <c r="T174" s="18"/>
      <c r="U174" s="18"/>
      <c r="V174" s="18">
        <f>IFERROR(
                  Andel_oberoende_av_klimat*VLOOKUP($A174,Leveranser_per_nät,'Leveranser per nät'!V$1,FALSE)
               +Andel_beroende_av_klimat*VLOOKUP($A174,Leveranser_per_nät,'Leveranser per nät'!V$1,FALSE)/VLOOKUP($B174,Korrigeringsfaktor_GD,'Korrigeringsfaktor GD'!V$1,FALSE),
"")</f>
        <v>5.6963636363636363</v>
      </c>
      <c r="W174" s="18">
        <f>IFERROR(
                  Andel_oberoende_av_klimat*VLOOKUP($A174,Leveranser_per_nät,'Leveranser per nät'!W$1,FALSE)
               +Andel_beroende_av_klimat*VLOOKUP($A174,Leveranser_per_nät,'Leveranser per nät'!W$1,FALSE)/VLOOKUP($B174,Korrigeringsfaktor_GD,'Korrigeringsfaktor GD'!W$1,FALSE),
"")</f>
        <v>5.7897849462365585</v>
      </c>
      <c r="X174" s="18">
        <f>IFERROR(
                  Andel_oberoende_av_klimat*VLOOKUP($A174,Leveranser_per_nät,'Leveranser per nät'!X$1,FALSE)
               +Andel_beroende_av_klimat*VLOOKUP($A174,Leveranser_per_nät,'Leveranser per nät'!X$1,FALSE)/VLOOKUP($B174,Korrigeringsfaktor_GD,'Korrigeringsfaktor GD'!X$1,FALSE),
"")</f>
        <v>0</v>
      </c>
      <c r="Y174" s="18" t="str">
        <f>IFERROR(
                  Andel_oberoende_av_klimat*VLOOKUP($A174,Leveranser_per_nät,'Leveranser per nät'!Y$1,FALSE)
               +Andel_beroende_av_klimat*VLOOKUP($A174,Leveranser_per_nät,'Leveranser per nät'!Y$1,FALSE)/VLOOKUP($B174,Korrigeringsfaktor_GD,'Korrigeringsfaktor GD'!Y$1,FALSE),
"")</f>
        <v/>
      </c>
      <c r="Z174" s="18">
        <f>IFERROR(
                  Andel_oberoende_av_klimat*VLOOKUP($A174,Leveranser_per_nät,'Leveranser per nät'!Z$1,FALSE)
               +Andel_beroende_av_klimat*VLOOKUP($A174,Leveranser_per_nät,'Leveranser per nät'!Z$1,FALSE)/VLOOKUP($B174,Korrigeringsfaktor_GD,'Korrigeringsfaktor GD'!Z$1,FALSE),
"")</f>
        <v>0</v>
      </c>
      <c r="AA174" s="18" t="str">
        <f>IFERROR(
                  Andel_oberoende_av_klimat*VLOOKUP($A174,Leveranser_per_nät,'Leveranser per nät'!AA$1,FALSE)
               +Andel_beroende_av_klimat*VLOOKUP($A174,Leveranser_per_nät,'Leveranser per nät'!AA$1,FALSE)/VLOOKUP($B174,Korrigeringsfaktor_GD,'Korrigeringsfaktor GD'!AA$1,FALSE),
"")</f>
        <v/>
      </c>
      <c r="AB174" s="18">
        <f>IFERROR(
                  Andel_oberoende_av_klimat*VLOOKUP($A174,Leveranser_per_nät,'Leveranser per nät'!AB$1,FALSE)
               +Andel_beroende_av_klimat*VLOOKUP($A174,Leveranser_per_nät,'Leveranser per nät'!AB$1,FALSE)/VLOOKUP($B174,Korrigeringsfaktor_GD,'Korrigeringsfaktor GD'!AB$1,FALSE),
"")</f>
        <v>0</v>
      </c>
      <c r="AC174" s="18">
        <f>IFERROR(
                  Andel_oberoende_av_klimat*VLOOKUP($A174,Leveranser_per_nät,'Leveranser per nät'!AC$1,FALSE)
               +Andel_beroende_av_klimat*VLOOKUP($A174,Leveranser_per_nät,'Leveranser per nät'!AC$1,FALSE)/VLOOKUP($B174,Korrigeringsfaktor_GD,'Korrigeringsfaktor GD'!AC$1,FALSE),
"")</f>
        <v>0</v>
      </c>
      <c r="AD174">
        <v>19.5</v>
      </c>
    </row>
    <row r="175" spans="1:30" x14ac:dyDescent="0.25">
      <c r="A175" t="s">
        <v>640</v>
      </c>
      <c r="B175" t="s">
        <v>0</v>
      </c>
      <c r="C175" s="18"/>
      <c r="D175" s="18"/>
      <c r="E175" s="18"/>
      <c r="F175" s="18"/>
      <c r="G175" s="18"/>
      <c r="H175" s="18"/>
      <c r="I175" s="18"/>
      <c r="J175" s="18"/>
      <c r="K175" s="18"/>
      <c r="L175" s="18"/>
      <c r="M175" s="18"/>
      <c r="N175" s="18"/>
      <c r="O175" s="18"/>
      <c r="P175" s="18"/>
      <c r="Q175" s="18"/>
      <c r="R175" s="18"/>
      <c r="S175" s="18">
        <f>IFERROR(
                  Andel_oberoende_av_klimat*VLOOKUP($A175,Leveranser_per_nät,'Leveranser per nät'!S$1,FALSE)
               +Andel_beroende_av_klimat*VLOOKUP($A175,Leveranser_per_nät,'Leveranser per nät'!S$1,FALSE)/VLOOKUP($B175,Korrigeringsfaktor_GD,'Korrigeringsfaktor GD'!S$1,FALSE),
"")</f>
        <v>0.36514285714285721</v>
      </c>
      <c r="T175" s="18">
        <f>IFERROR(
                  Andel_oberoende_av_klimat*VLOOKUP($A175,Leveranser_per_nät,'Leveranser per nät'!T$1,FALSE)
               +Andel_beroende_av_klimat*VLOOKUP($A175,Leveranser_per_nät,'Leveranser per nät'!T$1,FALSE)/VLOOKUP($B175,Korrigeringsfaktor_GD,'Korrigeringsfaktor GD'!T$1,FALSE),
"")</f>
        <v>0.38363157894736843</v>
      </c>
      <c r="U175" s="18">
        <f>IFERROR(
                  Andel_oberoende_av_klimat*VLOOKUP($A175,Leveranser_per_nät,'Leveranser per nät'!U$1,FALSE)
               +Andel_beroende_av_klimat*VLOOKUP($A175,Leveranser_per_nät,'Leveranser per nät'!U$1,FALSE)/VLOOKUP($B175,Korrigeringsfaktor_GD,'Korrigeringsfaktor GD'!U$1,FALSE),
"")</f>
        <v>0.41161445783132533</v>
      </c>
      <c r="V175" s="18">
        <f>IFERROR(
                  Andel_oberoende_av_klimat*VLOOKUP($A175,Leveranser_per_nät,'Leveranser per nät'!V$1,FALSE)
               +Andel_beroende_av_klimat*VLOOKUP($A175,Leveranser_per_nät,'Leveranser per nät'!V$1,FALSE)/VLOOKUP($B175,Korrigeringsfaktor_GD,'Korrigeringsfaktor GD'!V$1,FALSE),
"")</f>
        <v>2.5620930232558141</v>
      </c>
      <c r="W175" s="18">
        <f>IFERROR(
                  Andel_oberoende_av_klimat*VLOOKUP($A175,Leveranser_per_nät,'Leveranser per nät'!W$1,FALSE)
               +Andel_beroende_av_klimat*VLOOKUP($A175,Leveranser_per_nät,'Leveranser per nät'!W$1,FALSE)/VLOOKUP($B175,Korrigeringsfaktor_GD,'Korrigeringsfaktor GD'!W$1,FALSE),
"")</f>
        <v>4.9577777777777774</v>
      </c>
      <c r="X175" s="18">
        <f>IFERROR(
                  Andel_oberoende_av_klimat*VLOOKUP($A175,Leveranser_per_nät,'Leveranser per nät'!X$1,FALSE)
               +Andel_beroende_av_klimat*VLOOKUP($A175,Leveranser_per_nät,'Leveranser per nät'!X$1,FALSE)/VLOOKUP($B175,Korrigeringsfaktor_GD,'Korrigeringsfaktor GD'!X$1,FALSE),
"")</f>
        <v>5.4325842696629216</v>
      </c>
      <c r="Y175" s="18">
        <f>IFERROR(
                  Andel_oberoende_av_klimat*VLOOKUP($A175,Leveranser_per_nät,'Leveranser per nät'!Y$1,FALSE)
               +Andel_beroende_av_klimat*VLOOKUP($A175,Leveranser_per_nät,'Leveranser per nät'!Y$1,FALSE)/VLOOKUP($B175,Korrigeringsfaktor_GD,'Korrigeringsfaktor GD'!Y$1,FALSE),
"")</f>
        <v>5.3782584269662923</v>
      </c>
      <c r="Z175" s="18">
        <f>IFERROR(
                  Andel_oberoende_av_klimat*VLOOKUP($A175,Leveranser_per_nät,'Leveranser per nät'!Z$1,FALSE)
               +Andel_beroende_av_klimat*VLOOKUP($A175,Leveranser_per_nät,'Leveranser per nät'!Z$1,FALSE)/VLOOKUP($B175,Korrigeringsfaktor_GD,'Korrigeringsfaktor GD'!Z$1,FALSE),
"")</f>
        <v>5.3461538461538458</v>
      </c>
      <c r="AA175" s="18">
        <f>IFERROR(
                  Andel_oberoende_av_klimat*VLOOKUP($A175,Leveranser_per_nät,'Leveranser per nät'!AA$1,FALSE)
               +Andel_beroende_av_klimat*VLOOKUP($A175,Leveranser_per_nät,'Leveranser per nät'!AA$1,FALSE)/VLOOKUP($B175,Korrigeringsfaktor_GD,'Korrigeringsfaktor GD'!AA$1,FALSE),
"")</f>
        <v>5.6849056947608201</v>
      </c>
      <c r="AB175" s="18">
        <f>IFERROR(
                  Andel_oberoende_av_klimat*VLOOKUP($A175,Leveranser_per_nät,'Leveranser per nät'!AB$1,FALSE)
               +Andel_beroende_av_klimat*VLOOKUP($A175,Leveranser_per_nät,'Leveranser per nät'!AB$1,FALSE)/VLOOKUP($B175,Korrigeringsfaktor_GD,'Korrigeringsfaktor GD'!AB$1,FALSE),
"")</f>
        <v>5.7668721115537851</v>
      </c>
      <c r="AC175" s="18">
        <f>IFERROR(
                  Andel_oberoende_av_klimat*VLOOKUP($A175,Leveranser_per_nät,'Leveranser per nät'!AC$1,FALSE)
               +Andel_beroende_av_klimat*VLOOKUP($A175,Leveranser_per_nät,'Leveranser per nät'!AC$1,FALSE)/VLOOKUP($B175,Korrigeringsfaktor_GD,'Korrigeringsfaktor GD'!AC$1,FALSE),
"")</f>
        <v>5.5743918918918922</v>
      </c>
      <c r="AD175">
        <v>240.09800000000001</v>
      </c>
    </row>
    <row r="176" spans="1:30" x14ac:dyDescent="0.25">
      <c r="A176" t="s">
        <v>66</v>
      </c>
      <c r="B176" t="s">
        <v>441</v>
      </c>
      <c r="C176" s="18">
        <f>IFERROR(
                  Andel_oberoende_av_klimat*VLOOKUP($A176,Leveranser_per_nät,'Leveranser per nät'!C$1,FALSE)
               +Andel_beroende_av_klimat*VLOOKUP($A176,Leveranser_per_nät,'Leveranser per nät'!C$1,FALSE)/VLOOKUP($B176,Korrigeringsfaktor_GD,'Korrigeringsfaktor GD'!C$1,FALSE),
"")</f>
        <v>251.27027027027026</v>
      </c>
      <c r="D176" s="18">
        <f>IFERROR(
                  Andel_oberoende_av_klimat*VLOOKUP($A176,Leveranser_per_nät,'Leveranser per nät'!D$1,FALSE)
               +Andel_beroende_av_klimat*VLOOKUP($A176,Leveranser_per_nät,'Leveranser per nät'!D$1,FALSE)/VLOOKUP($B176,Korrigeringsfaktor_GD,'Korrigeringsfaktor GD'!D$1,FALSE),
"")</f>
        <v>237.64048888888891</v>
      </c>
      <c r="E176" s="18">
        <f>IFERROR(
                  Andel_oberoende_av_klimat*VLOOKUP($A176,Leveranser_per_nät,'Leveranser per nät'!E$1,FALSE)
               +Andel_beroende_av_klimat*VLOOKUP($A176,Leveranser_per_nät,'Leveranser per nät'!E$1,FALSE)/VLOOKUP($B176,Korrigeringsfaktor_GD,'Korrigeringsfaktor GD'!E$1,FALSE),
"")</f>
        <v>247.55490196078432</v>
      </c>
      <c r="F176" s="18">
        <f>IFERROR(
                  Andel_oberoende_av_klimat*VLOOKUP($A176,Leveranser_per_nät,'Leveranser per nät'!F$1,FALSE)
               +Andel_beroende_av_klimat*VLOOKUP($A176,Leveranser_per_nät,'Leveranser per nät'!F$1,FALSE)/VLOOKUP($B176,Korrigeringsfaktor_GD,'Korrigeringsfaktor GD'!F$1,FALSE),
"")</f>
        <v>238.1872340425532</v>
      </c>
      <c r="G176" s="18">
        <f>IFERROR(
                  Andel_oberoende_av_klimat*VLOOKUP($A176,Leveranser_per_nät,'Leveranser per nät'!G$1,FALSE)
               +Andel_beroende_av_klimat*VLOOKUP($A176,Leveranser_per_nät,'Leveranser per nät'!G$1,FALSE)/VLOOKUP($B176,Korrigeringsfaktor_GD,'Korrigeringsfaktor GD'!G$1,FALSE),
"")</f>
        <v>256.33636363636367</v>
      </c>
      <c r="H176" s="18">
        <f>IFERROR(
                  Andel_oberoende_av_klimat*VLOOKUP($A176,Leveranser_per_nät,'Leveranser per nät'!H$1,FALSE)
               +Andel_beroende_av_klimat*VLOOKUP($A176,Leveranser_per_nät,'Leveranser per nät'!H$1,FALSE)/VLOOKUP($B176,Korrigeringsfaktor_GD,'Korrigeringsfaktor GD'!H$1,FALSE),
"")</f>
        <v>253.57142857142861</v>
      </c>
      <c r="I176" s="18">
        <f>IFERROR(
                  Andel_oberoende_av_klimat*VLOOKUP($A176,Leveranser_per_nät,'Leveranser per nät'!I$1,FALSE)
               +Andel_beroende_av_klimat*VLOOKUP($A176,Leveranser_per_nät,'Leveranser per nät'!I$1,FALSE)/VLOOKUP($B176,Korrigeringsfaktor_GD,'Korrigeringsfaktor GD'!I$1,FALSE),
"")</f>
        <v>311.39876288659792</v>
      </c>
      <c r="J176" s="18">
        <f>IFERROR(
                  Andel_oberoende_av_klimat*VLOOKUP($A176,Leveranser_per_nät,'Leveranser per nät'!J$1,FALSE)
               +Andel_beroende_av_klimat*VLOOKUP($A176,Leveranser_per_nät,'Leveranser per nät'!J$1,FALSE)/VLOOKUP($B176,Korrigeringsfaktor_GD,'Korrigeringsfaktor GD'!J$1,FALSE),
"")</f>
        <v>299.09999999999997</v>
      </c>
      <c r="K176" s="18">
        <f>IFERROR(
                  Andel_oberoende_av_klimat*VLOOKUP($A176,Leveranser_per_nät,'Leveranser per nät'!K$1,FALSE)
               +Andel_beroende_av_klimat*VLOOKUP($A176,Leveranser_per_nät,'Leveranser per nät'!K$1,FALSE)/VLOOKUP($B176,Korrigeringsfaktor_GD,'Korrigeringsfaktor GD'!K$1,FALSE),
"")</f>
        <v>399.35065714285713</v>
      </c>
      <c r="L176" s="18">
        <f>IFERROR(
                  Andel_oberoende_av_klimat*VLOOKUP($A176,Leveranser_per_nät,'Leveranser per nät'!L$1,FALSE)
               +Andel_beroende_av_klimat*VLOOKUP($A176,Leveranser_per_nät,'Leveranser per nät'!L$1,FALSE)/VLOOKUP($B176,Korrigeringsfaktor_GD,'Korrigeringsfaktor GD'!L$1,FALSE),
"")</f>
        <v>265.54575458092802</v>
      </c>
      <c r="M176" s="18">
        <f>IFERROR(
                  Andel_oberoende_av_klimat*VLOOKUP($A176,Leveranser_per_nät,'Leveranser per nät'!M$1,FALSE)
               +Andel_beroende_av_klimat*VLOOKUP($A176,Leveranser_per_nät,'Leveranser per nät'!M$1,FALSE)/VLOOKUP($B176,Korrigeringsfaktor_GD,'Korrigeringsfaktor GD'!M$1,FALSE),
"")</f>
        <v>302.64784946236557</v>
      </c>
      <c r="N176" s="18">
        <f>IFERROR(
                  Andel_oberoende_av_klimat*VLOOKUP($A176,Leveranser_per_nät,'Leveranser per nät'!N$1,FALSE)
               +Andel_beroende_av_klimat*VLOOKUP($A176,Leveranser_per_nät,'Leveranser per nät'!N$1,FALSE)/VLOOKUP($B176,Korrigeringsfaktor_GD,'Korrigeringsfaktor GD'!N$1,FALSE),
"")</f>
        <v>290.67826086956518</v>
      </c>
      <c r="O176" s="18">
        <f>IFERROR(
                  Andel_oberoende_av_klimat*VLOOKUP($A176,Leveranser_per_nät,'Leveranser per nät'!O$1,FALSE)
               +Andel_beroende_av_klimat*VLOOKUP($A176,Leveranser_per_nät,'Leveranser per nät'!O$1,FALSE)/VLOOKUP($B176,Korrigeringsfaktor_GD,'Korrigeringsfaktor GD'!O$1,FALSE),
"")</f>
        <v>305.52227272727271</v>
      </c>
      <c r="P176" s="18">
        <f>IFERROR(
                  Andel_oberoende_av_klimat*VLOOKUP($A176,Leveranser_per_nät,'Leveranser per nät'!P$1,FALSE)
               +Andel_beroende_av_klimat*VLOOKUP($A176,Leveranser_per_nät,'Leveranser per nät'!P$1,FALSE)/VLOOKUP($B176,Korrigeringsfaktor_GD,'Korrigeringsfaktor GD'!P$1,FALSE),
"")</f>
        <v>307.51649484536085</v>
      </c>
      <c r="Q176" s="18">
        <f>IFERROR(
                  Andel_oberoende_av_klimat*VLOOKUP($A176,Leveranser_per_nät,'Leveranser per nät'!Q$1,FALSE)
               +Andel_beroende_av_klimat*VLOOKUP($A176,Leveranser_per_nät,'Leveranser per nät'!Q$1,FALSE)/VLOOKUP($B176,Korrigeringsfaktor_GD,'Korrigeringsfaktor GD'!Q$1,FALSE),
"")</f>
        <v>312.60512820512821</v>
      </c>
      <c r="R176" s="18">
        <f>IFERROR(
                  Andel_oberoende_av_klimat*VLOOKUP($A176,Leveranser_per_nät,'Leveranser per nät'!R$1,FALSE)
               +Andel_beroende_av_klimat*VLOOKUP($A176,Leveranser_per_nät,'Leveranser per nät'!R$1,FALSE)/VLOOKUP($B176,Korrigeringsfaktor_GD,'Korrigeringsfaktor GD'!R$1,FALSE),
"")</f>
        <v>309.91499999999996</v>
      </c>
      <c r="S176" s="18">
        <f>IFERROR(
                  Andel_oberoende_av_klimat*VLOOKUP($A176,Leveranser_per_nät,'Leveranser per nät'!S$1,FALSE)
               +Andel_beroende_av_klimat*VLOOKUP($A176,Leveranser_per_nät,'Leveranser per nät'!S$1,FALSE)/VLOOKUP($B176,Korrigeringsfaktor_GD,'Korrigeringsfaktor GD'!S$1,FALSE),
"")</f>
        <v>308</v>
      </c>
      <c r="T176" s="18">
        <f>IFERROR(
                  Andel_oberoende_av_klimat*VLOOKUP($A176,Leveranser_per_nät,'Leveranser per nät'!T$1,FALSE)
               +Andel_beroende_av_klimat*VLOOKUP($A176,Leveranser_per_nät,'Leveranser per nät'!T$1,FALSE)/VLOOKUP($B176,Korrigeringsfaktor_GD,'Korrigeringsfaktor GD'!T$1,FALSE),
"")</f>
        <v>284.05</v>
      </c>
      <c r="U176" s="18">
        <f>IFERROR(
                  Andel_oberoende_av_klimat*VLOOKUP($A176,Leveranser_per_nät,'Leveranser per nät'!U$1,FALSE)
               +Andel_beroende_av_klimat*VLOOKUP($A176,Leveranser_per_nät,'Leveranser per nät'!U$1,FALSE)/VLOOKUP($B176,Korrigeringsfaktor_GD,'Korrigeringsfaktor GD'!U$1,FALSE),
"")</f>
        <v>283.83227272727277</v>
      </c>
      <c r="V176" s="18">
        <f>IFERROR(
                  Andel_oberoende_av_klimat*VLOOKUP($A176,Leveranser_per_nät,'Leveranser per nät'!V$1,FALSE)
               +Andel_beroende_av_klimat*VLOOKUP($A176,Leveranser_per_nät,'Leveranser per nät'!V$1,FALSE)/VLOOKUP($B176,Korrigeringsfaktor_GD,'Korrigeringsfaktor GD'!V$1,FALSE),
"")</f>
        <v>279.26218160919541</v>
      </c>
      <c r="W176" s="18">
        <f>IFERROR(
                  Andel_oberoende_av_klimat*VLOOKUP($A176,Leveranser_per_nät,'Leveranser per nät'!W$1,FALSE)
               +Andel_beroende_av_klimat*VLOOKUP($A176,Leveranser_per_nät,'Leveranser per nät'!W$1,FALSE)/VLOOKUP($B176,Korrigeringsfaktor_GD,'Korrigeringsfaktor GD'!W$1,FALSE),
"")</f>
        <v>278.79652173913041</v>
      </c>
      <c r="X176" s="18">
        <f>IFERROR(
                  Andel_oberoende_av_klimat*VLOOKUP($A176,Leveranser_per_nät,'Leveranser per nät'!X$1,FALSE)
               +Andel_beroende_av_klimat*VLOOKUP($A176,Leveranser_per_nät,'Leveranser per nät'!X$1,FALSE)/VLOOKUP($B176,Korrigeringsfaktor_GD,'Korrigeringsfaktor GD'!X$1,FALSE),
"")</f>
        <v>293.11826086956518</v>
      </c>
      <c r="Y176" s="18">
        <f>IFERROR(
                  Andel_oberoende_av_klimat*VLOOKUP($A176,Leveranser_per_nät,'Leveranser per nät'!Y$1,FALSE)
               +Andel_beroende_av_klimat*VLOOKUP($A176,Leveranser_per_nät,'Leveranser per nät'!Y$1,FALSE)/VLOOKUP($B176,Korrigeringsfaktor_GD,'Korrigeringsfaktor GD'!Y$1,FALSE),
"")</f>
        <v>314.71111111111111</v>
      </c>
      <c r="Z176" s="18">
        <f>IFERROR(
                  Andel_oberoende_av_klimat*VLOOKUP($A176,Leveranser_per_nät,'Leveranser per nät'!Z$1,FALSE)
               +Andel_beroende_av_klimat*VLOOKUP($A176,Leveranser_per_nät,'Leveranser per nät'!Z$1,FALSE)/VLOOKUP($B176,Korrigeringsfaktor_GD,'Korrigeringsfaktor GD'!Z$1,FALSE),
"")</f>
        <v>416.27272727272725</v>
      </c>
      <c r="AA176" s="18">
        <f>IFERROR(
                  Andel_oberoende_av_klimat*VLOOKUP($A176,Leveranser_per_nät,'Leveranser per nät'!AA$1,FALSE)
               +Andel_beroende_av_klimat*VLOOKUP($A176,Leveranser_per_nät,'Leveranser per nät'!AA$1,FALSE)/VLOOKUP($B176,Korrigeringsfaktor_GD,'Korrigeringsfaktor GD'!AA$1,FALSE),
"")</f>
        <v>453.64847393689985</v>
      </c>
      <c r="AB176" s="18">
        <f>IFERROR(
                  Andel_oberoende_av_klimat*VLOOKUP($A176,Leveranser_per_nät,'Leveranser per nät'!AB$1,FALSE)
               +Andel_beroende_av_klimat*VLOOKUP($A176,Leveranser_per_nät,'Leveranser per nät'!AB$1,FALSE)/VLOOKUP($B176,Korrigeringsfaktor_GD,'Korrigeringsfaktor GD'!AB$1,FALSE),
"")</f>
        <v>0</v>
      </c>
      <c r="AC176" s="18">
        <f>IFERROR(
                  Andel_oberoende_av_klimat*VLOOKUP($A176,Leveranser_per_nät,'Leveranser per nät'!AC$1,FALSE)
               +Andel_beroende_av_klimat*VLOOKUP($A176,Leveranser_per_nät,'Leveranser per nät'!AC$1,FALSE)/VLOOKUP($B176,Korrigeringsfaktor_GD,'Korrigeringsfaktor GD'!AC$1,FALSE),
"")</f>
        <v>0</v>
      </c>
      <c r="AD176" t="e">
        <v>#N/A</v>
      </c>
    </row>
    <row r="177" spans="1:30" x14ac:dyDescent="0.25">
      <c r="A177" t="s">
        <v>1104</v>
      </c>
      <c r="B177" t="s">
        <v>441</v>
      </c>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t="e">
        <v>#N/A</v>
      </c>
    </row>
    <row r="178" spans="1:30" x14ac:dyDescent="0.25">
      <c r="A178" t="s">
        <v>312</v>
      </c>
      <c r="B178" t="s">
        <v>311</v>
      </c>
      <c r="C178" s="18"/>
      <c r="D178" s="18"/>
      <c r="E178" s="18"/>
      <c r="F178" s="18"/>
      <c r="G178" s="18"/>
      <c r="H178" s="18"/>
      <c r="I178" s="18">
        <f>IFERROR(
                  Andel_oberoende_av_klimat*VLOOKUP($A178,Leveranser_per_nät,'Leveranser per nät'!I$1,FALSE)
               +Andel_beroende_av_klimat*VLOOKUP($A178,Leveranser_per_nät,'Leveranser per nät'!I$1,FALSE)/VLOOKUP($B178,Korrigeringsfaktor_GD,'Korrigeringsfaktor GD'!I$1,FALSE),
"")</f>
        <v>30.649484536082475</v>
      </c>
      <c r="J178" s="18">
        <f>IFERROR(
                  Andel_oberoende_av_klimat*VLOOKUP($A178,Leveranser_per_nät,'Leveranser per nät'!J$1,FALSE)
               +Andel_beroende_av_klimat*VLOOKUP($A178,Leveranser_per_nät,'Leveranser per nät'!J$1,FALSE)/VLOOKUP($B178,Korrigeringsfaktor_GD,'Korrigeringsfaktor GD'!J$1,FALSE),
"")</f>
        <v>32.226262626262624</v>
      </c>
      <c r="K178" s="18">
        <f>IFERROR(
                  Andel_oberoende_av_klimat*VLOOKUP($A178,Leveranser_per_nät,'Leveranser per nät'!K$1,FALSE)
               +Andel_beroende_av_klimat*VLOOKUP($A178,Leveranser_per_nät,'Leveranser per nät'!K$1,FALSE)/VLOOKUP($B178,Korrigeringsfaktor_GD,'Korrigeringsfaktor GD'!K$1,FALSE),
"")</f>
        <v>21.471754545454548</v>
      </c>
      <c r="L178" s="18">
        <f>IFERROR(
                  Andel_oberoende_av_klimat*VLOOKUP($A178,Leveranser_per_nät,'Leveranser per nät'!L$1,FALSE)
               +Andel_beroende_av_klimat*VLOOKUP($A178,Leveranser_per_nät,'Leveranser per nät'!L$1,FALSE)/VLOOKUP($B178,Korrigeringsfaktor_GD,'Korrigeringsfaktor GD'!L$1,FALSE),
"")</f>
        <v>40.263206185567007</v>
      </c>
      <c r="M178" s="18">
        <f>IFERROR(
                  Andel_oberoende_av_klimat*VLOOKUP($A178,Leveranser_per_nät,'Leveranser per nät'!M$1,FALSE)
               +Andel_beroende_av_klimat*VLOOKUP($A178,Leveranser_per_nät,'Leveranser per nät'!M$1,FALSE)/VLOOKUP($B178,Korrigeringsfaktor_GD,'Korrigeringsfaktor GD'!M$1,FALSE),
"")</f>
        <v>45.708965957446807</v>
      </c>
      <c r="N178" s="18">
        <f>IFERROR(
                  Andel_oberoende_av_klimat*VLOOKUP($A178,Leveranser_per_nät,'Leveranser per nät'!N$1,FALSE)
               +Andel_beroende_av_klimat*VLOOKUP($A178,Leveranser_per_nät,'Leveranser per nät'!N$1,FALSE)/VLOOKUP($B178,Korrigeringsfaktor_GD,'Korrigeringsfaktor GD'!N$1,FALSE),
"")</f>
        <v>47.889943010752688</v>
      </c>
      <c r="O178" s="18">
        <f>IFERROR(
                  Andel_oberoende_av_klimat*VLOOKUP($A178,Leveranser_per_nät,'Leveranser per nät'!O$1,FALSE)
               +Andel_beroende_av_klimat*VLOOKUP($A178,Leveranser_per_nät,'Leveranser per nät'!O$1,FALSE)/VLOOKUP($B178,Korrigeringsfaktor_GD,'Korrigeringsfaktor GD'!O$1,FALSE),
"")</f>
        <v>47.351491011235957</v>
      </c>
      <c r="P178" s="18">
        <f>IFERROR(
                  Andel_oberoende_av_klimat*VLOOKUP($A178,Leveranser_per_nät,'Leveranser per nät'!P$1,FALSE)
               +Andel_beroende_av_klimat*VLOOKUP($A178,Leveranser_per_nät,'Leveranser per nät'!P$1,FALSE)/VLOOKUP($B178,Korrigeringsfaktor_GD,'Korrigeringsfaktor GD'!P$1,FALSE),
"")</f>
        <v>48.130900000000004</v>
      </c>
      <c r="Q178" s="18">
        <f>IFERROR(
                  Andel_oberoende_av_klimat*VLOOKUP($A178,Leveranser_per_nät,'Leveranser per nät'!Q$1,FALSE)
               +Andel_beroende_av_klimat*VLOOKUP($A178,Leveranser_per_nät,'Leveranser per nät'!Q$1,FALSE)/VLOOKUP($B178,Korrigeringsfaktor_GD,'Korrigeringsfaktor GD'!Q$1,FALSE),
"")</f>
        <v>47.341711111111117</v>
      </c>
      <c r="R178" s="18">
        <f>IFERROR(
                  Andel_oberoende_av_klimat*VLOOKUP($A178,Leveranser_per_nät,'Leveranser per nät'!R$1,FALSE)
               +Andel_beroende_av_klimat*VLOOKUP($A178,Leveranser_per_nät,'Leveranser per nät'!R$1,FALSE)/VLOOKUP($B178,Korrigeringsfaktor_GD,'Korrigeringsfaktor GD'!R$1,FALSE),
"")</f>
        <v>50.01151304347826</v>
      </c>
      <c r="S178" s="18">
        <f>IFERROR(
                  Andel_oberoende_av_klimat*VLOOKUP($A178,Leveranser_per_nät,'Leveranser per nät'!S$1,FALSE)
               +Andel_beroende_av_klimat*VLOOKUP($A178,Leveranser_per_nät,'Leveranser per nät'!S$1,FALSE)/VLOOKUP($B178,Korrigeringsfaktor_GD,'Korrigeringsfaktor GD'!S$1,FALSE),
"")</f>
        <v>45.489029207920794</v>
      </c>
      <c r="T178" s="18">
        <f>IFERROR(
                  Andel_oberoende_av_klimat*VLOOKUP($A178,Leveranser_per_nät,'Leveranser per nät'!T$1,FALSE)
               +Andel_beroende_av_klimat*VLOOKUP($A178,Leveranser_per_nät,'Leveranser per nät'!T$1,FALSE)/VLOOKUP($B178,Korrigeringsfaktor_GD,'Korrigeringsfaktor GD'!T$1,FALSE),
"")</f>
        <v>45.106300000000005</v>
      </c>
      <c r="U178" s="18">
        <f>IFERROR(
                  Andel_oberoende_av_klimat*VLOOKUP($A178,Leveranser_per_nät,'Leveranser per nät'!U$1,FALSE)
               +Andel_beroende_av_klimat*VLOOKUP($A178,Leveranser_per_nät,'Leveranser per nät'!U$1,FALSE)/VLOOKUP($B178,Korrigeringsfaktor_GD,'Korrigeringsfaktor GD'!U$1,FALSE),
"")</f>
        <v>46.867447752808985</v>
      </c>
      <c r="V178" s="18">
        <f>IFERROR(
                  Andel_oberoende_av_klimat*VLOOKUP($A178,Leveranser_per_nät,'Leveranser per nät'!V$1,FALSE)
               +Andel_beroende_av_klimat*VLOOKUP($A178,Leveranser_per_nät,'Leveranser per nät'!V$1,FALSE)/VLOOKUP($B178,Korrigeringsfaktor_GD,'Korrigeringsfaktor GD'!V$1,FALSE),
"")</f>
        <v>45.789999999999992</v>
      </c>
      <c r="W178" s="18">
        <f>IFERROR(
                  Andel_oberoende_av_klimat*VLOOKUP($A178,Leveranser_per_nät,'Leveranser per nät'!W$1,FALSE)
               +Andel_beroende_av_klimat*VLOOKUP($A178,Leveranser_per_nät,'Leveranser per nät'!W$1,FALSE)/VLOOKUP($B178,Korrigeringsfaktor_GD,'Korrigeringsfaktor GD'!W$1,FALSE),
"")</f>
        <v>45.96595744680851</v>
      </c>
      <c r="X178" s="18">
        <f>IFERROR(
                  Andel_oberoende_av_klimat*VLOOKUP($A178,Leveranser_per_nät,'Leveranser per nät'!X$1,FALSE)
               +Andel_beroende_av_klimat*VLOOKUP($A178,Leveranser_per_nät,'Leveranser per nät'!X$1,FALSE)/VLOOKUP($B178,Korrigeringsfaktor_GD,'Korrigeringsfaktor GD'!X$1,FALSE),
"")</f>
        <v>45.861489361702127</v>
      </c>
      <c r="Y178" s="18">
        <f>IFERROR(
                  Andel_oberoende_av_klimat*VLOOKUP($A178,Leveranser_per_nät,'Leveranser per nät'!Y$1,FALSE)
               +Andel_beroende_av_klimat*VLOOKUP($A178,Leveranser_per_nät,'Leveranser per nät'!Y$1,FALSE)/VLOOKUP($B178,Korrigeringsfaktor_GD,'Korrigeringsfaktor GD'!Y$1,FALSE),
"")</f>
        <v>45.265591397849462</v>
      </c>
      <c r="Z178" s="18">
        <f>IFERROR(
                  Andel_oberoende_av_klimat*VLOOKUP($A178,Leveranser_per_nät,'Leveranser per nät'!Z$1,FALSE)
               +Andel_beroende_av_klimat*VLOOKUP($A178,Leveranser_per_nät,'Leveranser per nät'!Z$1,FALSE)/VLOOKUP($B178,Korrigeringsfaktor_GD,'Korrigeringsfaktor GD'!Z$1,FALSE),
"")</f>
        <v>43.097000000000001</v>
      </c>
      <c r="AA178" s="18">
        <f>IFERROR(
                  Andel_oberoende_av_klimat*VLOOKUP($A178,Leveranser_per_nät,'Leveranser per nät'!AA$1,FALSE)
               +Andel_beroende_av_klimat*VLOOKUP($A178,Leveranser_per_nät,'Leveranser per nät'!AA$1,FALSE)/VLOOKUP($B178,Korrigeringsfaktor_GD,'Korrigeringsfaktor GD'!AA$1,FALSE),
"")</f>
        <v>45.060578089025327</v>
      </c>
      <c r="AB178" s="18">
        <f>IFERROR(
                  Andel_oberoende_av_klimat*VLOOKUP($A178,Leveranser_per_nät,'Leveranser per nät'!AB$1,FALSE)
               +Andel_beroende_av_klimat*VLOOKUP($A178,Leveranser_per_nät,'Leveranser per nät'!AB$1,FALSE)/VLOOKUP($B178,Korrigeringsfaktor_GD,'Korrigeringsfaktor GD'!AB$1,FALSE),
"")</f>
        <v>43.270821568627447</v>
      </c>
      <c r="AC178" s="18">
        <f>IFERROR(
                  Andel_oberoende_av_klimat*VLOOKUP($A178,Leveranser_per_nät,'Leveranser per nät'!AC$1,FALSE)
               +Andel_beroende_av_klimat*VLOOKUP($A178,Leveranser_per_nät,'Leveranser per nät'!AC$1,FALSE)/VLOOKUP($B178,Korrigeringsfaktor_GD,'Korrigeringsfaktor GD'!AC$1,FALSE),
"")</f>
        <v>45.373900000000006</v>
      </c>
      <c r="AD178">
        <v>668.80600000000004</v>
      </c>
    </row>
    <row r="179" spans="1:30" x14ac:dyDescent="0.25">
      <c r="A179" t="s">
        <v>195</v>
      </c>
      <c r="B179" t="s">
        <v>193</v>
      </c>
      <c r="C179" s="18"/>
      <c r="D179" s="18"/>
      <c r="E179" s="18">
        <f>IFERROR(
                  Andel_oberoende_av_klimat*VLOOKUP($A179,Leveranser_per_nät,'Leveranser per nät'!E$1,FALSE)
               +Andel_beroende_av_klimat*VLOOKUP($A179,Leveranser_per_nät,'Leveranser per nät'!E$1,FALSE)/VLOOKUP($B179,Korrigeringsfaktor_GD,'Korrigeringsfaktor GD'!E$1,FALSE),
"")</f>
        <v>1</v>
      </c>
      <c r="F179" s="18">
        <f>IFERROR(
                  Andel_oberoende_av_klimat*VLOOKUP($A179,Leveranser_per_nät,'Leveranser per nät'!F$1,FALSE)
               +Andel_beroende_av_klimat*VLOOKUP($A179,Leveranser_per_nät,'Leveranser per nät'!F$1,FALSE)/VLOOKUP($B179,Korrigeringsfaktor_GD,'Korrigeringsfaktor GD'!F$1,FALSE),
"")</f>
        <v>7.1</v>
      </c>
      <c r="G179" s="18">
        <f>IFERROR(
                  Andel_oberoende_av_klimat*VLOOKUP($A179,Leveranser_per_nät,'Leveranser per nät'!G$1,FALSE)
               +Andel_beroende_av_klimat*VLOOKUP($A179,Leveranser_per_nät,'Leveranser per nät'!G$1,FALSE)/VLOOKUP($B179,Korrigeringsfaktor_GD,'Korrigeringsfaktor GD'!G$1,FALSE),
"")</f>
        <v>8.6222222222222218</v>
      </c>
      <c r="H179" s="18">
        <f>IFERROR(
                  Andel_oberoende_av_klimat*VLOOKUP($A179,Leveranser_per_nät,'Leveranser per nät'!H$1,FALSE)
               +Andel_beroende_av_klimat*VLOOKUP($A179,Leveranser_per_nät,'Leveranser per nät'!H$1,FALSE)/VLOOKUP($B179,Korrigeringsfaktor_GD,'Korrigeringsfaktor GD'!H$1,FALSE),
"")</f>
        <v>9.8627450980392162</v>
      </c>
      <c r="I179" s="18">
        <f>IFERROR(
                  Andel_oberoende_av_klimat*VLOOKUP($A179,Leveranser_per_nät,'Leveranser per nät'!I$1,FALSE)
               +Andel_beroende_av_klimat*VLOOKUP($A179,Leveranser_per_nät,'Leveranser per nät'!I$1,FALSE)/VLOOKUP($B179,Korrigeringsfaktor_GD,'Korrigeringsfaktor GD'!I$1,FALSE),
"")</f>
        <v>11.157142857142858</v>
      </c>
      <c r="J179" s="18">
        <f>IFERROR(
                  Andel_oberoende_av_klimat*VLOOKUP($A179,Leveranser_per_nät,'Leveranser per nät'!J$1,FALSE)
               +Andel_beroende_av_klimat*VLOOKUP($A179,Leveranser_per_nät,'Leveranser per nät'!J$1,FALSE)/VLOOKUP($B179,Korrigeringsfaktor_GD,'Korrigeringsfaktor GD'!J$1,FALSE),
"")</f>
        <v>11.320833333333333</v>
      </c>
      <c r="K179" s="18">
        <f>IFERROR(
                  Andel_oberoende_av_klimat*VLOOKUP($A179,Leveranser_per_nät,'Leveranser per nät'!K$1,FALSE)
               +Andel_beroende_av_klimat*VLOOKUP($A179,Leveranser_per_nät,'Leveranser per nät'!K$1,FALSE)/VLOOKUP($B179,Korrigeringsfaktor_GD,'Korrigeringsfaktor GD'!K$1,FALSE),
"")</f>
        <v>11.517054639175257</v>
      </c>
      <c r="L179" s="18">
        <f>IFERROR(
                  Andel_oberoende_av_klimat*VLOOKUP($A179,Leveranser_per_nät,'Leveranser per nät'!L$1,FALSE)
               +Andel_beroende_av_klimat*VLOOKUP($A179,Leveranser_per_nät,'Leveranser per nät'!L$1,FALSE)/VLOOKUP($B179,Korrigeringsfaktor_GD,'Korrigeringsfaktor GD'!L$1,FALSE),
"")</f>
        <v>11.182263829787235</v>
      </c>
      <c r="M179" s="18">
        <f>IFERROR(
                  Andel_oberoende_av_klimat*VLOOKUP($A179,Leveranser_per_nät,'Leveranser per nät'!M$1,FALSE)
               +Andel_beroende_av_klimat*VLOOKUP($A179,Leveranser_per_nät,'Leveranser per nät'!M$1,FALSE)/VLOOKUP($B179,Korrigeringsfaktor_GD,'Korrigeringsfaktor GD'!M$1,FALSE),
"")</f>
        <v>10.833446153846154</v>
      </c>
      <c r="N179" s="18">
        <f>IFERROR(
                  Andel_oberoende_av_klimat*VLOOKUP($A179,Leveranser_per_nät,'Leveranser per nät'!N$1,FALSE)
               +Andel_beroende_av_klimat*VLOOKUP($A179,Leveranser_per_nät,'Leveranser per nät'!N$1,FALSE)/VLOOKUP($B179,Korrigeringsfaktor_GD,'Korrigeringsfaktor GD'!N$1,FALSE),
"")</f>
        <v>10.986908510638298</v>
      </c>
      <c r="O179" s="18">
        <f>IFERROR(
                  Andel_oberoende_av_klimat*VLOOKUP($A179,Leveranser_per_nät,'Leveranser per nät'!O$1,FALSE)
               +Andel_beroende_av_klimat*VLOOKUP($A179,Leveranser_per_nät,'Leveranser per nät'!O$1,FALSE)/VLOOKUP($B179,Korrigeringsfaktor_GD,'Korrigeringsfaktor GD'!O$1,FALSE),
"")</f>
        <v>11.251212765957446</v>
      </c>
      <c r="P179" s="18">
        <f>IFERROR(
                  Andel_oberoende_av_klimat*VLOOKUP($A179,Leveranser_per_nät,'Leveranser per nät'!P$1,FALSE)
               +Andel_beroende_av_klimat*VLOOKUP($A179,Leveranser_per_nät,'Leveranser per nät'!P$1,FALSE)/VLOOKUP($B179,Korrigeringsfaktor_GD,'Korrigeringsfaktor GD'!P$1,FALSE),
"")</f>
        <v>10.495749504950496</v>
      </c>
      <c r="Q179" s="18">
        <f>IFERROR(
                  Andel_oberoende_av_klimat*VLOOKUP($A179,Leveranser_per_nät,'Leveranser per nät'!Q$1,FALSE)
               +Andel_beroende_av_klimat*VLOOKUP($A179,Leveranser_per_nät,'Leveranser per nät'!Q$1,FALSE)/VLOOKUP($B179,Korrigeringsfaktor_GD,'Korrigeringsfaktor GD'!Q$1,FALSE),
"")</f>
        <v>11.453205128205129</v>
      </c>
      <c r="R179" s="18">
        <f>IFERROR(
                  Andel_oberoende_av_klimat*VLOOKUP($A179,Leveranser_per_nät,'Leveranser per nät'!R$1,FALSE)
               +Andel_beroende_av_klimat*VLOOKUP($A179,Leveranser_per_nät,'Leveranser per nät'!R$1,FALSE)/VLOOKUP($B179,Korrigeringsfaktor_GD,'Korrigeringsfaktor GD'!R$1,FALSE),
"")</f>
        <v>10.733878260869565</v>
      </c>
      <c r="S179" s="18">
        <f>IFERROR(
                  Andel_oberoende_av_klimat*VLOOKUP($A179,Leveranser_per_nät,'Leveranser per nät'!S$1,FALSE)
               +Andel_beroende_av_klimat*VLOOKUP($A179,Leveranser_per_nät,'Leveranser per nät'!S$1,FALSE)/VLOOKUP($B179,Korrigeringsfaktor_GD,'Korrigeringsfaktor GD'!S$1,FALSE),
"")</f>
        <v>10.923762376237624</v>
      </c>
      <c r="T179" s="18">
        <f>IFERROR(
                  Andel_oberoende_av_klimat*VLOOKUP($A179,Leveranser_per_nät,'Leveranser per nät'!T$1,FALSE)
               +Andel_beroende_av_klimat*VLOOKUP($A179,Leveranser_per_nät,'Leveranser per nät'!T$1,FALSE)/VLOOKUP($B179,Korrigeringsfaktor_GD,'Korrigeringsfaktor GD'!T$1,FALSE),
"")</f>
        <v>10.497499999999999</v>
      </c>
      <c r="U179" s="18">
        <f>IFERROR(
                  Andel_oberoende_av_klimat*VLOOKUP($A179,Leveranser_per_nät,'Leveranser per nät'!U$1,FALSE)
               +Andel_beroende_av_klimat*VLOOKUP($A179,Leveranser_per_nät,'Leveranser per nät'!U$1,FALSE)/VLOOKUP($B179,Korrigeringsfaktor_GD,'Korrigeringsfaktor GD'!U$1,FALSE),
"")</f>
        <v>9.4526966292134826</v>
      </c>
      <c r="V179" s="18">
        <f>IFERROR(
                  Andel_oberoende_av_klimat*VLOOKUP($A179,Leveranser_per_nät,'Leveranser per nät'!V$1,FALSE)
               +Andel_beroende_av_klimat*VLOOKUP($A179,Leveranser_per_nät,'Leveranser per nät'!V$1,FALSE)/VLOOKUP($B179,Korrigeringsfaktor_GD,'Korrigeringsfaktor GD'!V$1,FALSE),
"")</f>
        <v>10.184347826086956</v>
      </c>
      <c r="W179" s="18">
        <f>IFERROR(
                  Andel_oberoende_av_klimat*VLOOKUP($A179,Leveranser_per_nät,'Leveranser per nät'!W$1,FALSE)
               +Andel_beroende_av_klimat*VLOOKUP($A179,Leveranser_per_nät,'Leveranser per nät'!W$1,FALSE)/VLOOKUP($B179,Korrigeringsfaktor_GD,'Korrigeringsfaktor GD'!W$1,FALSE),
"")</f>
        <v>11.012083333333333</v>
      </c>
      <c r="X179" s="18">
        <f>IFERROR(
                  Andel_oberoende_av_klimat*VLOOKUP($A179,Leveranser_per_nät,'Leveranser per nät'!X$1,FALSE)
               +Andel_beroende_av_klimat*VLOOKUP($A179,Leveranser_per_nät,'Leveranser per nät'!X$1,FALSE)/VLOOKUP($B179,Korrigeringsfaktor_GD,'Korrigeringsfaktor GD'!X$1,FALSE),
"")</f>
        <v>10.6</v>
      </c>
      <c r="Y179" s="18">
        <f>IFERROR(
                  Andel_oberoende_av_klimat*VLOOKUP($A179,Leveranser_per_nät,'Leveranser per nät'!Y$1,FALSE)
               +Andel_beroende_av_klimat*VLOOKUP($A179,Leveranser_per_nät,'Leveranser per nät'!Y$1,FALSE)/VLOOKUP($B179,Korrigeringsfaktor_GD,'Korrigeringsfaktor GD'!Y$1,FALSE),
"")</f>
        <v>10.574242424242424</v>
      </c>
      <c r="Z179" s="18">
        <f>IFERROR(
                  Andel_oberoende_av_klimat*VLOOKUP($A179,Leveranser_per_nät,'Leveranser per nät'!Z$1,FALSE)
               +Andel_beroende_av_klimat*VLOOKUP($A179,Leveranser_per_nät,'Leveranser per nät'!Z$1,FALSE)/VLOOKUP($B179,Korrigeringsfaktor_GD,'Korrigeringsfaktor GD'!Z$1,FALSE),
"")</f>
        <v>11.868461538461538</v>
      </c>
      <c r="AA179" s="18">
        <f>IFERROR(
                  Andel_oberoende_av_klimat*VLOOKUP($A179,Leveranser_per_nät,'Leveranser per nät'!AA$1,FALSE)
               +Andel_beroende_av_klimat*VLOOKUP($A179,Leveranser_per_nät,'Leveranser per nät'!AA$1,FALSE)/VLOOKUP($B179,Korrigeringsfaktor_GD,'Korrigeringsfaktor GD'!AA$1,FALSE),
"")</f>
        <v>11.210143149284255</v>
      </c>
      <c r="AB179" s="18">
        <f>IFERROR(
                  Andel_oberoende_av_klimat*VLOOKUP($A179,Leveranser_per_nät,'Leveranser per nät'!AB$1,FALSE)
               +Andel_beroende_av_klimat*VLOOKUP($A179,Leveranser_per_nät,'Leveranser per nät'!AB$1,FALSE)/VLOOKUP($B179,Korrigeringsfaktor_GD,'Korrigeringsfaktor GD'!AB$1,FALSE),
"")</f>
        <v>10.898333333333335</v>
      </c>
      <c r="AC179" s="18">
        <f>IFERROR(
                  Andel_oberoende_av_klimat*VLOOKUP($A179,Leveranser_per_nät,'Leveranser per nät'!AC$1,FALSE)
               +Andel_beroende_av_klimat*VLOOKUP($A179,Leveranser_per_nät,'Leveranser per nät'!AC$1,FALSE)/VLOOKUP($B179,Korrigeringsfaktor_GD,'Korrigeringsfaktor GD'!AC$1,FALSE),
"")</f>
        <v>10.434398973305955</v>
      </c>
      <c r="AD179">
        <v>59.915999999999997</v>
      </c>
    </row>
    <row r="180" spans="1:30" x14ac:dyDescent="0.25">
      <c r="A180" t="s">
        <v>160</v>
      </c>
      <c r="B180" t="s">
        <v>160</v>
      </c>
      <c r="C180" s="18">
        <f>IFERROR(
                  Andel_oberoende_av_klimat*VLOOKUP($A180,Leveranser_per_nät,'Leveranser per nät'!C$1,FALSE)
               +Andel_beroende_av_klimat*VLOOKUP($A180,Leveranser_per_nät,'Leveranser per nät'!C$1,FALSE)/VLOOKUP($B180,Korrigeringsfaktor_GD,'Korrigeringsfaktor GD'!C$1,FALSE),
"")</f>
        <v>531.3900900900901</v>
      </c>
      <c r="D180" s="18">
        <f>IFERROR(
                  Andel_oberoende_av_klimat*VLOOKUP($A180,Leveranser_per_nät,'Leveranser per nät'!D$1,FALSE)
               +Andel_beroende_av_klimat*VLOOKUP($A180,Leveranser_per_nät,'Leveranser per nät'!D$1,FALSE)/VLOOKUP($B180,Korrigeringsfaktor_GD,'Korrigeringsfaktor GD'!D$1,FALSE),
"")</f>
        <v>537.74554545454544</v>
      </c>
      <c r="E180" s="18">
        <f>IFERROR(
                  Andel_oberoende_av_klimat*VLOOKUP($A180,Leveranser_per_nät,'Leveranser per nät'!E$1,FALSE)
               +Andel_beroende_av_klimat*VLOOKUP($A180,Leveranser_per_nät,'Leveranser per nät'!E$1,FALSE)/VLOOKUP($B180,Korrigeringsfaktor_GD,'Korrigeringsfaktor GD'!E$1,FALSE),
"")</f>
        <v>542.2158415841584</v>
      </c>
      <c r="F180" s="18">
        <f>IFERROR(
                  Andel_oberoende_av_klimat*VLOOKUP($A180,Leveranser_per_nät,'Leveranser per nät'!F$1,FALSE)
               +Andel_beroende_av_klimat*VLOOKUP($A180,Leveranser_per_nät,'Leveranser per nät'!F$1,FALSE)/VLOOKUP($B180,Korrigeringsfaktor_GD,'Korrigeringsfaktor GD'!F$1,FALSE),
"")</f>
        <v>548.45744680851067</v>
      </c>
      <c r="G180" s="18">
        <f>IFERROR(
                  Andel_oberoende_av_klimat*VLOOKUP($A180,Leveranser_per_nät,'Leveranser per nät'!G$1,FALSE)
               +Andel_beroende_av_klimat*VLOOKUP($A180,Leveranser_per_nät,'Leveranser per nät'!G$1,FALSE)/VLOOKUP($B180,Korrigeringsfaktor_GD,'Korrigeringsfaktor GD'!G$1,FALSE),
"")</f>
        <v>569.63636363636363</v>
      </c>
      <c r="H180" s="18">
        <f>IFERROR(
                  Andel_oberoende_av_klimat*VLOOKUP($A180,Leveranser_per_nät,'Leveranser per nät'!H$1,FALSE)
               +Andel_beroende_av_klimat*VLOOKUP($A180,Leveranser_per_nät,'Leveranser per nät'!H$1,FALSE)/VLOOKUP($B180,Korrigeringsfaktor_GD,'Korrigeringsfaktor GD'!H$1,FALSE),
"")</f>
        <v>569.0287128712871</v>
      </c>
      <c r="I180" s="18">
        <f>IFERROR(
                  Andel_oberoende_av_klimat*VLOOKUP($A180,Leveranser_per_nät,'Leveranser per nät'!I$1,FALSE)
               +Andel_beroende_av_klimat*VLOOKUP($A180,Leveranser_per_nät,'Leveranser per nät'!I$1,FALSE)/VLOOKUP($B180,Korrigeringsfaktor_GD,'Korrigeringsfaktor GD'!I$1,FALSE),
"")</f>
        <v>581.66842105263163</v>
      </c>
      <c r="J180" s="18">
        <f>IFERROR(
                  Andel_oberoende_av_klimat*VLOOKUP($A180,Leveranser_per_nät,'Leveranser per nät'!J$1,FALSE)
               +Andel_beroende_av_klimat*VLOOKUP($A180,Leveranser_per_nät,'Leveranser per nät'!J$1,FALSE)/VLOOKUP($B180,Korrigeringsfaktor_GD,'Korrigeringsfaktor GD'!J$1,FALSE),
"")</f>
        <v>506.55656565656568</v>
      </c>
      <c r="K180" s="18">
        <f>IFERROR(
                  Andel_oberoende_av_klimat*VLOOKUP($A180,Leveranser_per_nät,'Leveranser per nät'!K$1,FALSE)
               +Andel_beroende_av_klimat*VLOOKUP($A180,Leveranser_per_nät,'Leveranser per nät'!K$1,FALSE)/VLOOKUP($B180,Korrigeringsfaktor_GD,'Korrigeringsfaktor GD'!K$1,FALSE),
"")</f>
        <v>602.33201111111111</v>
      </c>
      <c r="L180" s="18">
        <f>IFERROR(
                  Andel_oberoende_av_klimat*VLOOKUP($A180,Leveranser_per_nät,'Leveranser per nät'!L$1,FALSE)
               +Andel_beroende_av_klimat*VLOOKUP($A180,Leveranser_per_nät,'Leveranser per nät'!L$1,FALSE)/VLOOKUP($B180,Korrigeringsfaktor_GD,'Korrigeringsfaktor GD'!L$1,FALSE),
"")</f>
        <v>621.03210000000001</v>
      </c>
      <c r="M180" s="18">
        <f>IFERROR(
                  Andel_oberoende_av_klimat*VLOOKUP($A180,Leveranser_per_nät,'Leveranser per nät'!M$1,FALSE)
               +Andel_beroende_av_klimat*VLOOKUP($A180,Leveranser_per_nät,'Leveranser per nät'!M$1,FALSE)/VLOOKUP($B180,Korrigeringsfaktor_GD,'Korrigeringsfaktor GD'!M$1,FALSE),
"")</f>
        <v>649.3506989247312</v>
      </c>
      <c r="N180" s="18">
        <f>IFERROR(
                  Andel_oberoende_av_klimat*VLOOKUP($A180,Leveranser_per_nät,'Leveranser per nät'!N$1,FALSE)
               +Andel_beroende_av_klimat*VLOOKUP($A180,Leveranser_per_nät,'Leveranser per nät'!N$1,FALSE)/VLOOKUP($B180,Korrigeringsfaktor_GD,'Korrigeringsfaktor GD'!N$1,FALSE),
"")</f>
        <v>546.70303846153854</v>
      </c>
      <c r="O180" s="18">
        <f>IFERROR(
                  Andel_oberoende_av_klimat*VLOOKUP($A180,Leveranser_per_nät,'Leveranser per nät'!O$1,FALSE)
               +Andel_beroende_av_klimat*VLOOKUP($A180,Leveranser_per_nät,'Leveranser per nät'!O$1,FALSE)/VLOOKUP($B180,Korrigeringsfaktor_GD,'Korrigeringsfaktor GD'!O$1,FALSE),
"")</f>
        <v>550.96</v>
      </c>
      <c r="P180" s="18">
        <f>IFERROR(
                  Andel_oberoende_av_klimat*VLOOKUP($A180,Leveranser_per_nät,'Leveranser per nät'!P$1,FALSE)
               +Andel_beroende_av_klimat*VLOOKUP($A180,Leveranser_per_nät,'Leveranser per nät'!P$1,FALSE)/VLOOKUP($B180,Korrigeringsfaktor_GD,'Korrigeringsfaktor GD'!P$1,FALSE),
"")</f>
        <v>593.15130103092793</v>
      </c>
      <c r="Q180" s="18">
        <f>IFERROR(
                  Andel_oberoende_av_klimat*VLOOKUP($A180,Leveranser_per_nät,'Leveranser per nät'!Q$1,FALSE)
               +Andel_beroende_av_klimat*VLOOKUP($A180,Leveranser_per_nät,'Leveranser per nät'!Q$1,FALSE)/VLOOKUP($B180,Korrigeringsfaktor_GD,'Korrigeringsfaktor GD'!Q$1,FALSE),
"")</f>
        <v>738.86043478260876</v>
      </c>
      <c r="R180" s="18">
        <f>IFERROR(
                  Andel_oberoende_av_klimat*VLOOKUP($A180,Leveranser_per_nät,'Leveranser per nät'!R$1,FALSE)
               +Andel_beroende_av_klimat*VLOOKUP($A180,Leveranser_per_nät,'Leveranser per nät'!R$1,FALSE)/VLOOKUP($B180,Korrigeringsfaktor_GD,'Korrigeringsfaktor GD'!R$1,FALSE),
"")</f>
        <v>721.07853846153841</v>
      </c>
      <c r="S180" s="18">
        <f>IFERROR(
                  Andel_oberoende_av_klimat*VLOOKUP($A180,Leveranser_per_nät,'Leveranser per nät'!S$1,FALSE)
               +Andel_beroende_av_klimat*VLOOKUP($A180,Leveranser_per_nät,'Leveranser per nät'!S$1,FALSE)/VLOOKUP($B180,Korrigeringsfaktor_GD,'Korrigeringsfaktor GD'!S$1,FALSE),
"")</f>
        <v>648.47425742574251</v>
      </c>
      <c r="T180" s="18">
        <f>IFERROR(
                  Andel_oberoende_av_klimat*VLOOKUP($A180,Leveranser_per_nät,'Leveranser per nät'!T$1,FALSE)
               +Andel_beroende_av_klimat*VLOOKUP($A180,Leveranser_per_nät,'Leveranser per nät'!T$1,FALSE)/VLOOKUP($B180,Korrigeringsfaktor_GD,'Korrigeringsfaktor GD'!T$1,FALSE),
"")</f>
        <v>695.45514285714285</v>
      </c>
      <c r="U180" s="18">
        <f>IFERROR(
                  Andel_oberoende_av_klimat*VLOOKUP($A180,Leveranser_per_nät,'Leveranser per nät'!U$1,FALSE)
               +Andel_beroende_av_klimat*VLOOKUP($A180,Leveranser_per_nät,'Leveranser per nät'!U$1,FALSE)/VLOOKUP($B180,Korrigeringsfaktor_GD,'Korrigeringsfaktor GD'!U$1,FALSE),
"")</f>
        <v>696.03770588235295</v>
      </c>
      <c r="V180" s="18">
        <f>IFERROR(
                  Andel_oberoende_av_klimat*VLOOKUP($A180,Leveranser_per_nät,'Leveranser per nät'!V$1,FALSE)
               +Andel_beroende_av_klimat*VLOOKUP($A180,Leveranser_per_nät,'Leveranser per nät'!V$1,FALSE)/VLOOKUP($B180,Korrigeringsfaktor_GD,'Korrigeringsfaktor GD'!V$1,FALSE),
"")</f>
        <v>697.43083793103449</v>
      </c>
      <c r="W180" s="18">
        <f>IFERROR(
                  Andel_oberoende_av_klimat*VLOOKUP($A180,Leveranser_per_nät,'Leveranser per nät'!W$1,FALSE)
               +Andel_beroende_av_klimat*VLOOKUP($A180,Leveranser_per_nät,'Leveranser per nät'!W$1,FALSE)/VLOOKUP($B180,Korrigeringsfaktor_GD,'Korrigeringsfaktor GD'!W$1,FALSE),
"")</f>
        <v>746.44904347826082</v>
      </c>
      <c r="X180" s="18">
        <f>IFERROR(
                  Andel_oberoende_av_klimat*VLOOKUP($A180,Leveranser_per_nät,'Leveranser per nät'!X$1,FALSE)
               +Andel_beroende_av_klimat*VLOOKUP($A180,Leveranser_per_nät,'Leveranser per nät'!X$1,FALSE)/VLOOKUP($B180,Korrigeringsfaktor_GD,'Korrigeringsfaktor GD'!X$1,FALSE),
"")</f>
        <v>744.94376923076925</v>
      </c>
      <c r="Y180" s="18">
        <f>IFERROR(
                  Andel_oberoende_av_klimat*VLOOKUP($A180,Leveranser_per_nät,'Leveranser per nät'!Y$1,FALSE)
               +Andel_beroende_av_klimat*VLOOKUP($A180,Leveranser_per_nät,'Leveranser per nät'!Y$1,FALSE)/VLOOKUP($B180,Korrigeringsfaktor_GD,'Korrigeringsfaktor GD'!Y$1,FALSE),
"")</f>
        <v>772.12233707865164</v>
      </c>
      <c r="Z180" s="18">
        <f>IFERROR(
                  Andel_oberoende_av_klimat*VLOOKUP($A180,Leveranser_per_nät,'Leveranser per nät'!Z$1,FALSE)
               +Andel_beroende_av_klimat*VLOOKUP($A180,Leveranser_per_nät,'Leveranser per nät'!Z$1,FALSE)/VLOOKUP($B180,Korrigeringsfaktor_GD,'Korrigeringsfaktor GD'!Z$1,FALSE),
"")</f>
        <v>690.81690515463924</v>
      </c>
      <c r="AA180" s="18">
        <f>IFERROR(
                  Andel_oberoende_av_klimat*VLOOKUP($A180,Leveranser_per_nät,'Leveranser per nät'!AA$1,FALSE)
               +Andel_beroende_av_klimat*VLOOKUP($A180,Leveranser_per_nät,'Leveranser per nät'!AA$1,FALSE)/VLOOKUP($B180,Korrigeringsfaktor_GD,'Korrigeringsfaktor GD'!AA$1,FALSE),
"")</f>
        <v>695.62487601125565</v>
      </c>
      <c r="AB180" s="18">
        <f>IFERROR(
                  Andel_oberoende_av_klimat*VLOOKUP($A180,Leveranser_per_nät,'Leveranser per nät'!AB$1,FALSE)
               +Andel_beroende_av_klimat*VLOOKUP($A180,Leveranser_per_nät,'Leveranser per nät'!AB$1,FALSE)/VLOOKUP($B180,Korrigeringsfaktor_GD,'Korrigeringsfaktor GD'!AB$1,FALSE),
"")</f>
        <v>736.7181807321773</v>
      </c>
      <c r="AC180" s="18">
        <f>IFERROR(
                  Andel_oberoende_av_klimat*VLOOKUP($A180,Leveranser_per_nät,'Leveranser per nät'!AC$1,FALSE)
               +Andel_beroende_av_klimat*VLOOKUP($A180,Leveranser_per_nät,'Leveranser per nät'!AC$1,FALSE)/VLOOKUP($B180,Korrigeringsfaktor_GD,'Korrigeringsfaktor GD'!AC$1,FALSE),
"")</f>
        <v>726.84295604963802</v>
      </c>
      <c r="AD180">
        <v>711.67200000000003</v>
      </c>
    </row>
    <row r="181" spans="1:30" x14ac:dyDescent="0.25">
      <c r="A181" t="s">
        <v>267</v>
      </c>
      <c r="B181" t="s">
        <v>230</v>
      </c>
      <c r="C181" s="18">
        <f>IFERROR(
                  Andel_oberoende_av_klimat*VLOOKUP($A181,Leveranser_per_nät,'Leveranser per nät'!C$1,FALSE)
               +Andel_beroende_av_klimat*VLOOKUP($A181,Leveranser_per_nät,'Leveranser per nät'!C$1,FALSE)/VLOOKUP($B181,Korrigeringsfaktor_GD,'Korrigeringsfaktor GD'!C$1,FALSE),
"")</f>
        <v>0</v>
      </c>
      <c r="D181" s="18">
        <f>IFERROR(
                  Andel_oberoende_av_klimat*VLOOKUP($A181,Leveranser_per_nät,'Leveranser per nät'!D$1,FALSE)
               +Andel_beroende_av_klimat*VLOOKUP($A181,Leveranser_per_nät,'Leveranser per nät'!D$1,FALSE)/VLOOKUP($B181,Korrigeringsfaktor_GD,'Korrigeringsfaktor GD'!D$1,FALSE),
"")</f>
        <v>0</v>
      </c>
      <c r="E181" s="18">
        <f>IFERROR(
                  Andel_oberoende_av_klimat*VLOOKUP($A181,Leveranser_per_nät,'Leveranser per nät'!E$1,FALSE)
               +Andel_beroende_av_klimat*VLOOKUP($A181,Leveranser_per_nät,'Leveranser per nät'!E$1,FALSE)/VLOOKUP($B181,Korrigeringsfaktor_GD,'Korrigeringsfaktor GD'!E$1,FALSE),
"")</f>
        <v>0</v>
      </c>
      <c r="F181" s="18">
        <f>IFERROR(
                  Andel_oberoende_av_klimat*VLOOKUP($A181,Leveranser_per_nät,'Leveranser per nät'!F$1,FALSE)
               +Andel_beroende_av_klimat*VLOOKUP($A181,Leveranser_per_nät,'Leveranser per nät'!F$1,FALSE)/VLOOKUP($B181,Korrigeringsfaktor_GD,'Korrigeringsfaktor GD'!F$1,FALSE),
"")</f>
        <v>0.99306930693069306</v>
      </c>
      <c r="G181" s="18">
        <f>IFERROR(
                  Andel_oberoende_av_klimat*VLOOKUP($A181,Leveranser_per_nät,'Leveranser per nät'!G$1,FALSE)
               +Andel_beroende_av_klimat*VLOOKUP($A181,Leveranser_per_nät,'Leveranser per nät'!G$1,FALSE)/VLOOKUP($B181,Korrigeringsfaktor_GD,'Korrigeringsfaktor GD'!G$1,FALSE),
"")</f>
        <v>1.0777777777777777</v>
      </c>
      <c r="H181" s="18">
        <f>IFERROR(
                  Andel_oberoende_av_klimat*VLOOKUP($A181,Leveranser_per_nät,'Leveranser per nät'!H$1,FALSE)
               +Andel_beroende_av_klimat*VLOOKUP($A181,Leveranser_per_nät,'Leveranser per nät'!H$1,FALSE)/VLOOKUP($B181,Korrigeringsfaktor_GD,'Korrigeringsfaktor GD'!H$1,FALSE),
"")</f>
        <v>5.6297099009900986</v>
      </c>
      <c r="I181" s="18">
        <f>IFERROR(
                  Andel_oberoende_av_klimat*VLOOKUP($A181,Leveranser_per_nät,'Leveranser per nät'!I$1,FALSE)
               +Andel_beroende_av_klimat*VLOOKUP($A181,Leveranser_per_nät,'Leveranser per nät'!I$1,FALSE)/VLOOKUP($B181,Korrigeringsfaktor_GD,'Korrigeringsfaktor GD'!I$1,FALSE),
"")</f>
        <v>5.0353535353535355</v>
      </c>
      <c r="J181" s="18">
        <f>IFERROR(
                  Andel_oberoende_av_klimat*VLOOKUP($A181,Leveranser_per_nät,'Leveranser per nät'!J$1,FALSE)
               +Andel_beroende_av_klimat*VLOOKUP($A181,Leveranser_per_nät,'Leveranser per nät'!J$1,FALSE)/VLOOKUP($B181,Korrigeringsfaktor_GD,'Korrigeringsfaktor GD'!J$1,FALSE),
"")</f>
        <v>5.1458333333333339</v>
      </c>
      <c r="K181" s="18">
        <f>IFERROR(
                  Andel_oberoende_av_klimat*VLOOKUP($A181,Leveranser_per_nät,'Leveranser per nät'!K$1,FALSE)
               +Andel_beroende_av_klimat*VLOOKUP($A181,Leveranser_per_nät,'Leveranser per nät'!K$1,FALSE)/VLOOKUP($B181,Korrigeringsfaktor_GD,'Korrigeringsfaktor GD'!K$1,FALSE),
"")</f>
        <v>5.5332492929292929</v>
      </c>
      <c r="L181" s="18">
        <f>IFERROR(
                  Andel_oberoende_av_klimat*VLOOKUP($A181,Leveranser_per_nät,'Leveranser per nät'!L$1,FALSE)
               +Andel_beroende_av_klimat*VLOOKUP($A181,Leveranser_per_nät,'Leveranser per nät'!L$1,FALSE)/VLOOKUP($B181,Korrigeringsfaktor_GD,'Korrigeringsfaktor GD'!L$1,FALSE),
"")</f>
        <v>5.4091329032258066</v>
      </c>
      <c r="M181" s="18">
        <f>IFERROR(
                  Andel_oberoende_av_klimat*VLOOKUP($A181,Leveranser_per_nät,'Leveranser per nät'!M$1,FALSE)
               +Andel_beroende_av_klimat*VLOOKUP($A181,Leveranser_per_nät,'Leveranser per nät'!M$1,FALSE)/VLOOKUP($B181,Korrigeringsfaktor_GD,'Korrigeringsfaktor GD'!M$1,FALSE),
"")</f>
        <v>5.642408602150538</v>
      </c>
      <c r="N181" s="18">
        <f>IFERROR(
                  Andel_oberoende_av_klimat*VLOOKUP($A181,Leveranser_per_nät,'Leveranser per nät'!N$1,FALSE)
               +Andel_beroende_av_klimat*VLOOKUP($A181,Leveranser_per_nät,'Leveranser per nät'!N$1,FALSE)/VLOOKUP($B181,Korrigeringsfaktor_GD,'Korrigeringsfaktor GD'!N$1,FALSE),
"")</f>
        <v>5.6413559139784946</v>
      </c>
      <c r="O181" s="18">
        <f>IFERROR(
                  Andel_oberoende_av_klimat*VLOOKUP($A181,Leveranser_per_nät,'Leveranser per nät'!O$1,FALSE)
               +Andel_beroende_av_klimat*VLOOKUP($A181,Leveranser_per_nät,'Leveranser per nät'!O$1,FALSE)/VLOOKUP($B181,Korrigeringsfaktor_GD,'Korrigeringsfaktor GD'!O$1,FALSE),
"")</f>
        <v>5.6887268817204291</v>
      </c>
      <c r="P181" s="18">
        <f>IFERROR(
                  Andel_oberoende_av_klimat*VLOOKUP($A181,Leveranser_per_nät,'Leveranser per nät'!P$1,FALSE)
               +Andel_beroende_av_klimat*VLOOKUP($A181,Leveranser_per_nät,'Leveranser per nät'!P$1,FALSE)/VLOOKUP($B181,Korrigeringsfaktor_GD,'Korrigeringsfaktor GD'!P$1,FALSE),
"")</f>
        <v>5.5126428571428567</v>
      </c>
      <c r="Q181" s="18">
        <f>IFERROR(
                  Andel_oberoende_av_klimat*VLOOKUP($A181,Leveranser_per_nät,'Leveranser per nät'!Q$1,FALSE)
               +Andel_beroende_av_klimat*VLOOKUP($A181,Leveranser_per_nät,'Leveranser per nät'!Q$1,FALSE)/VLOOKUP($B181,Korrigeringsfaktor_GD,'Korrigeringsfaktor GD'!Q$1,FALSE),
"")</f>
        <v>5.2310747747747746</v>
      </c>
      <c r="R181" s="18">
        <f>IFERROR(
                  Andel_oberoende_av_klimat*VLOOKUP($A181,Leveranser_per_nät,'Leveranser per nät'!R$1,FALSE)
               +Andel_beroende_av_klimat*VLOOKUP($A181,Leveranser_per_nät,'Leveranser per nät'!R$1,FALSE)/VLOOKUP($B181,Korrigeringsfaktor_GD,'Korrigeringsfaktor GD'!R$1,FALSE),
"")</f>
        <v>5.4103076923076916</v>
      </c>
      <c r="S181" s="18">
        <f>IFERROR(
                  Andel_oberoende_av_klimat*VLOOKUP($A181,Leveranser_per_nät,'Leveranser per nät'!S$1,FALSE)
               +Andel_beroende_av_klimat*VLOOKUP($A181,Leveranser_per_nät,'Leveranser per nät'!S$1,FALSE)/VLOOKUP($B181,Korrigeringsfaktor_GD,'Korrigeringsfaktor GD'!S$1,FALSE),
"")</f>
        <v>6.43</v>
      </c>
      <c r="T181" s="18">
        <f>IFERROR(
                  Andel_oberoende_av_klimat*VLOOKUP($A181,Leveranser_per_nät,'Leveranser per nät'!T$1,FALSE)
               +Andel_beroende_av_klimat*VLOOKUP($A181,Leveranser_per_nät,'Leveranser per nät'!T$1,FALSE)/VLOOKUP($B181,Korrigeringsfaktor_GD,'Korrigeringsfaktor GD'!T$1,FALSE),
"")</f>
        <v>5.9803215053763434</v>
      </c>
      <c r="U181" s="18">
        <f>IFERROR(
                  Andel_oberoende_av_klimat*VLOOKUP($A181,Leveranser_per_nät,'Leveranser per nät'!U$1,FALSE)
               +Andel_beroende_av_klimat*VLOOKUP($A181,Leveranser_per_nät,'Leveranser per nät'!U$1,FALSE)/VLOOKUP($B181,Korrigeringsfaktor_GD,'Korrigeringsfaktor GD'!U$1,FALSE),
"")</f>
        <v>6.818022222222222</v>
      </c>
      <c r="V181" s="18">
        <f>IFERROR(
                  Andel_oberoende_av_klimat*VLOOKUP($A181,Leveranser_per_nät,'Leveranser per nät'!V$1,FALSE)
               +Andel_beroende_av_klimat*VLOOKUP($A181,Leveranser_per_nät,'Leveranser per nät'!V$1,FALSE)/VLOOKUP($B181,Korrigeringsfaktor_GD,'Korrigeringsfaktor GD'!V$1,FALSE),
"")</f>
        <v>6.7271863636363634</v>
      </c>
      <c r="W181" s="18">
        <f>IFERROR(
                  Andel_oberoende_av_klimat*VLOOKUP($A181,Leveranser_per_nät,'Leveranser per nät'!W$1,FALSE)
               +Andel_beroende_av_klimat*VLOOKUP($A181,Leveranser_per_nät,'Leveranser per nät'!W$1,FALSE)/VLOOKUP($B181,Korrigeringsfaktor_GD,'Korrigeringsfaktor GD'!W$1,FALSE),
"")</f>
        <v>6.7531030927835056</v>
      </c>
      <c r="X181" s="18">
        <f>IFERROR(
                  Andel_oberoende_av_klimat*VLOOKUP($A181,Leveranser_per_nät,'Leveranser per nät'!X$1,FALSE)
               +Andel_beroende_av_klimat*VLOOKUP($A181,Leveranser_per_nät,'Leveranser per nät'!X$1,FALSE)/VLOOKUP($B181,Korrigeringsfaktor_GD,'Korrigeringsfaktor GD'!X$1,FALSE),
"")</f>
        <v>6.7013857142857152</v>
      </c>
      <c r="Y181" s="18">
        <f>IFERROR(
                  Andel_oberoende_av_klimat*VLOOKUP($A181,Leveranser_per_nät,'Leveranser per nät'!Y$1,FALSE)
               +Andel_beroende_av_klimat*VLOOKUP($A181,Leveranser_per_nät,'Leveranser per nät'!Y$1,FALSE)/VLOOKUP($B181,Korrigeringsfaktor_GD,'Korrigeringsfaktor GD'!Y$1,FALSE),
"")</f>
        <v>6.9185757575757574</v>
      </c>
      <c r="Z181" s="18">
        <f>IFERROR(
                  Andel_oberoende_av_klimat*VLOOKUP($A181,Leveranser_per_nät,'Leveranser per nät'!Z$1,FALSE)
               +Andel_beroende_av_klimat*VLOOKUP($A181,Leveranser_per_nät,'Leveranser per nät'!Z$1,FALSE)/VLOOKUP($B181,Korrigeringsfaktor_GD,'Korrigeringsfaktor GD'!Z$1,FALSE),
"")</f>
        <v>6.8072444444444438</v>
      </c>
      <c r="AA181" s="18">
        <f>IFERROR(
                  Andel_oberoende_av_klimat*VLOOKUP($A181,Leveranser_per_nät,'Leveranser per nät'!AA$1,FALSE)
               +Andel_beroende_av_klimat*VLOOKUP($A181,Leveranser_per_nät,'Leveranser per nät'!AA$1,FALSE)/VLOOKUP($B181,Korrigeringsfaktor_GD,'Korrigeringsfaktor GD'!AA$1,FALSE),
"")</f>
        <v>6.5408252363873496</v>
      </c>
      <c r="AB181" s="18">
        <f>IFERROR(
                  Andel_oberoende_av_klimat*VLOOKUP($A181,Leveranser_per_nät,'Leveranser per nät'!AB$1,FALSE)
               +Andel_beroende_av_klimat*VLOOKUP($A181,Leveranser_per_nät,'Leveranser per nät'!AB$1,FALSE)/VLOOKUP($B181,Korrigeringsfaktor_GD,'Korrigeringsfaktor GD'!AB$1,FALSE),
"")</f>
        <v>5.7441994277400585</v>
      </c>
      <c r="AC181" s="18">
        <f>IFERROR(
                  Andel_oberoende_av_klimat*VLOOKUP($A181,Leveranser_per_nät,'Leveranser per nät'!AC$1,FALSE)
               +Andel_beroende_av_klimat*VLOOKUP($A181,Leveranser_per_nät,'Leveranser per nät'!AC$1,FALSE)/VLOOKUP($B181,Korrigeringsfaktor_GD,'Korrigeringsfaktor GD'!AC$1,FALSE),
"")</f>
        <v>5.5513936743215027</v>
      </c>
      <c r="AD181">
        <v>240.6</v>
      </c>
    </row>
    <row r="182" spans="1:30" x14ac:dyDescent="0.25">
      <c r="A182" t="s">
        <v>346</v>
      </c>
      <c r="B182" t="s">
        <v>346</v>
      </c>
      <c r="C182" s="18">
        <f>IFERROR(
                  Andel_oberoende_av_klimat*VLOOKUP($A182,Leveranser_per_nät,'Leveranser per nät'!C$1,FALSE)
               +Andel_beroende_av_klimat*VLOOKUP($A182,Leveranser_per_nät,'Leveranser per nät'!C$1,FALSE)/VLOOKUP($B182,Korrigeringsfaktor_GD,'Korrigeringsfaktor GD'!C$1,FALSE),
"")</f>
        <v>59.048894059405939</v>
      </c>
      <c r="D182" s="18">
        <f>IFERROR(
                  Andel_oberoende_av_klimat*VLOOKUP($A182,Leveranser_per_nät,'Leveranser per nät'!D$1,FALSE)
               +Andel_beroende_av_klimat*VLOOKUP($A182,Leveranser_per_nät,'Leveranser per nät'!D$1,FALSE)/VLOOKUP($B182,Korrigeringsfaktor_GD,'Korrigeringsfaktor GD'!D$1,FALSE),
"")</f>
        <v>68.749858762886603</v>
      </c>
      <c r="E182" s="18">
        <f>IFERROR(
                  Andel_oberoende_av_klimat*VLOOKUP($A182,Leveranser_per_nät,'Leveranser per nät'!E$1,FALSE)
               +Andel_beroende_av_klimat*VLOOKUP($A182,Leveranser_per_nät,'Leveranser per nät'!E$1,FALSE)/VLOOKUP($B182,Korrigeringsfaktor_GD,'Korrigeringsfaktor GD'!E$1,FALSE),
"")</f>
        <v>91.179253846153841</v>
      </c>
      <c r="F182" s="18">
        <f>IFERROR(
                  Andel_oberoende_av_klimat*VLOOKUP($A182,Leveranser_per_nät,'Leveranser per nät'!F$1,FALSE)
               +Andel_beroende_av_klimat*VLOOKUP($A182,Leveranser_per_nät,'Leveranser per nät'!F$1,FALSE)/VLOOKUP($B182,Korrigeringsfaktor_GD,'Korrigeringsfaktor GD'!F$1,FALSE),
"")</f>
        <v>93.623999999999995</v>
      </c>
      <c r="G182" s="18">
        <f>IFERROR(
                  Andel_oberoende_av_klimat*VLOOKUP($A182,Leveranser_per_nät,'Leveranser per nät'!G$1,FALSE)
               +Andel_beroende_av_klimat*VLOOKUP($A182,Leveranser_per_nät,'Leveranser per nät'!G$1,FALSE)/VLOOKUP($B182,Korrigeringsfaktor_GD,'Korrigeringsfaktor GD'!G$1,FALSE),
"")</f>
        <v>95.161538461538456</v>
      </c>
      <c r="H182" s="18">
        <f>IFERROR(
                  Andel_oberoende_av_klimat*VLOOKUP($A182,Leveranser_per_nät,'Leveranser per nät'!H$1,FALSE)
               +Andel_beroende_av_klimat*VLOOKUP($A182,Leveranser_per_nät,'Leveranser per nät'!H$1,FALSE)/VLOOKUP($B182,Korrigeringsfaktor_GD,'Korrigeringsfaktor GD'!H$1,FALSE),
"")</f>
        <v>99.7</v>
      </c>
      <c r="I182" s="18">
        <f>IFERROR(
                  Andel_oberoende_av_klimat*VLOOKUP($A182,Leveranser_per_nät,'Leveranser per nät'!I$1,FALSE)
               +Andel_beroende_av_klimat*VLOOKUP($A182,Leveranser_per_nät,'Leveranser per nät'!I$1,FALSE)/VLOOKUP($B182,Korrigeringsfaktor_GD,'Korrigeringsfaktor GD'!I$1,FALSE),
"")</f>
        <v>95</v>
      </c>
      <c r="J182" s="18">
        <f>IFERROR(
                  Andel_oberoende_av_klimat*VLOOKUP($A182,Leveranser_per_nät,'Leveranser per nät'!J$1,FALSE)
               +Andel_beroende_av_klimat*VLOOKUP($A182,Leveranser_per_nät,'Leveranser per nät'!J$1,FALSE)/VLOOKUP($B182,Korrigeringsfaktor_GD,'Korrigeringsfaktor GD'!J$1,FALSE),
"")</f>
        <v>98.109000000000009</v>
      </c>
      <c r="K182" s="18">
        <f>IFERROR(
                  Andel_oberoende_av_klimat*VLOOKUP($A182,Leveranser_per_nät,'Leveranser per nät'!K$1,FALSE)
               +Andel_beroende_av_klimat*VLOOKUP($A182,Leveranser_per_nät,'Leveranser per nät'!K$1,FALSE)/VLOOKUP($B182,Korrigeringsfaktor_GD,'Korrigeringsfaktor GD'!K$1,FALSE),
"")</f>
        <v>98.114900000000006</v>
      </c>
      <c r="L182" s="18">
        <f>IFERROR(
                  Andel_oberoende_av_klimat*VLOOKUP($A182,Leveranser_per_nät,'Leveranser per nät'!L$1,FALSE)
               +Andel_beroende_av_klimat*VLOOKUP($A182,Leveranser_per_nät,'Leveranser per nät'!L$1,FALSE)/VLOOKUP($B182,Korrigeringsfaktor_GD,'Korrigeringsfaktor GD'!L$1,FALSE),
"")</f>
        <v>103.4299</v>
      </c>
      <c r="M182" s="18">
        <f>IFERROR(
                  Andel_oberoende_av_klimat*VLOOKUP($A182,Leveranser_per_nät,'Leveranser per nät'!M$1,FALSE)
               +Andel_beroende_av_klimat*VLOOKUP($A182,Leveranser_per_nät,'Leveranser per nät'!M$1,FALSE)/VLOOKUP($B182,Korrigeringsfaktor_GD,'Korrigeringsfaktor GD'!M$1,FALSE),
"")</f>
        <v>95.170425531914887</v>
      </c>
      <c r="N182" s="18">
        <f>IFERROR(
                  Andel_oberoende_av_klimat*VLOOKUP($A182,Leveranser_per_nät,'Leveranser per nät'!N$1,FALSE)
               +Andel_beroende_av_klimat*VLOOKUP($A182,Leveranser_per_nät,'Leveranser per nät'!N$1,FALSE)/VLOOKUP($B182,Korrigeringsfaktor_GD,'Korrigeringsfaktor GD'!N$1,FALSE),
"")</f>
        <v>91.340869565217375</v>
      </c>
      <c r="O182" s="18">
        <f>IFERROR(
                  Andel_oberoende_av_klimat*VLOOKUP($A182,Leveranser_per_nät,'Leveranser per nät'!O$1,FALSE)
               +Andel_beroende_av_klimat*VLOOKUP($A182,Leveranser_per_nät,'Leveranser per nät'!O$1,FALSE)/VLOOKUP($B182,Korrigeringsfaktor_GD,'Korrigeringsfaktor GD'!O$1,FALSE),
"")</f>
        <v>93.583978494623651</v>
      </c>
      <c r="P182" s="18">
        <f>IFERROR(
                  Andel_oberoende_av_klimat*VLOOKUP($A182,Leveranser_per_nät,'Leveranser per nät'!P$1,FALSE)
               +Andel_beroende_av_klimat*VLOOKUP($A182,Leveranser_per_nät,'Leveranser per nät'!P$1,FALSE)/VLOOKUP($B182,Korrigeringsfaktor_GD,'Korrigeringsfaktor GD'!P$1,FALSE),
"")</f>
        <v>95.30083333333333</v>
      </c>
      <c r="Q182" s="18">
        <f>IFERROR(
                  Andel_oberoende_av_klimat*VLOOKUP($A182,Leveranser_per_nät,'Leveranser per nät'!Q$1,FALSE)
               +Andel_beroende_av_klimat*VLOOKUP($A182,Leveranser_per_nät,'Leveranser per nät'!Q$1,FALSE)/VLOOKUP($B182,Korrigeringsfaktor_GD,'Korrigeringsfaktor GD'!Q$1,FALSE),
"")</f>
        <v>99.365925925925922</v>
      </c>
      <c r="R182" s="18">
        <f>IFERROR(
                  Andel_oberoende_av_klimat*VLOOKUP($A182,Leveranser_per_nät,'Leveranser per nät'!R$1,FALSE)
               +Andel_beroende_av_klimat*VLOOKUP($A182,Leveranser_per_nät,'Leveranser per nät'!R$1,FALSE)/VLOOKUP($B182,Korrigeringsfaktor_GD,'Korrigeringsfaktor GD'!R$1,FALSE),
"")</f>
        <v>97.538888888888891</v>
      </c>
      <c r="S182" s="18">
        <f>IFERROR(
                  Andel_oberoende_av_klimat*VLOOKUP($A182,Leveranser_per_nät,'Leveranser per nät'!S$1,FALSE)
               +Andel_beroende_av_klimat*VLOOKUP($A182,Leveranser_per_nät,'Leveranser per nät'!S$1,FALSE)/VLOOKUP($B182,Korrigeringsfaktor_GD,'Korrigeringsfaktor GD'!S$1,FALSE),
"")</f>
        <v>98</v>
      </c>
      <c r="T182" s="18">
        <f>IFERROR(
                  Andel_oberoende_av_klimat*VLOOKUP($A182,Leveranser_per_nät,'Leveranser per nät'!T$1,FALSE)
               +Andel_beroende_av_klimat*VLOOKUP($A182,Leveranser_per_nät,'Leveranser per nät'!T$1,FALSE)/VLOOKUP($B182,Korrigeringsfaktor_GD,'Korrigeringsfaktor GD'!T$1,FALSE),
"")</f>
        <v>101.68967741935482</v>
      </c>
      <c r="U182" s="18">
        <f>IFERROR(
                  Andel_oberoende_av_klimat*VLOOKUP($A182,Leveranser_per_nät,'Leveranser per nät'!U$1,FALSE)
               +Andel_beroende_av_klimat*VLOOKUP($A182,Leveranser_per_nät,'Leveranser per nät'!U$1,FALSE)/VLOOKUP($B182,Korrigeringsfaktor_GD,'Korrigeringsfaktor GD'!U$1,FALSE),
"")</f>
        <v>100.98777777777778</v>
      </c>
      <c r="V182" s="18">
        <f>IFERROR(
                  Andel_oberoende_av_klimat*VLOOKUP($A182,Leveranser_per_nät,'Leveranser per nät'!V$1,FALSE)
               +Andel_beroende_av_klimat*VLOOKUP($A182,Leveranser_per_nät,'Leveranser per nät'!V$1,FALSE)/VLOOKUP($B182,Korrigeringsfaktor_GD,'Korrigeringsfaktor GD'!V$1,FALSE),
"")</f>
        <v>105.04613678160919</v>
      </c>
      <c r="W182" s="18">
        <f>IFERROR(
                  Andel_oberoende_av_klimat*VLOOKUP($A182,Leveranser_per_nät,'Leveranser per nät'!W$1,FALSE)
               +Andel_beroende_av_klimat*VLOOKUP($A182,Leveranser_per_nät,'Leveranser per nät'!W$1,FALSE)/VLOOKUP($B182,Korrigeringsfaktor_GD,'Korrigeringsfaktor GD'!W$1,FALSE),
"")</f>
        <v>101.9215789473684</v>
      </c>
      <c r="X182" s="18">
        <f>IFERROR(
                  Andel_oberoende_av_klimat*VLOOKUP($A182,Leveranser_per_nät,'Leveranser per nät'!X$1,FALSE)
               +Andel_beroende_av_klimat*VLOOKUP($A182,Leveranser_per_nät,'Leveranser per nät'!X$1,FALSE)/VLOOKUP($B182,Korrigeringsfaktor_GD,'Korrigeringsfaktor GD'!X$1,FALSE),
"")</f>
        <v>106.75956565656566</v>
      </c>
      <c r="Y182" s="18">
        <f>IFERROR(
                  Andel_oberoende_av_klimat*VLOOKUP($A182,Leveranser_per_nät,'Leveranser per nät'!Y$1,FALSE)
               +Andel_beroende_av_klimat*VLOOKUP($A182,Leveranser_per_nät,'Leveranser per nät'!Y$1,FALSE)/VLOOKUP($B182,Korrigeringsfaktor_GD,'Korrigeringsfaktor GD'!Y$1,FALSE),
"")</f>
        <v>109.6442857142857</v>
      </c>
      <c r="Z182" s="18">
        <f>IFERROR(
                  Andel_oberoende_av_klimat*VLOOKUP($A182,Leveranser_per_nät,'Leveranser per nät'!Z$1,FALSE)
               +Andel_beroende_av_klimat*VLOOKUP($A182,Leveranser_per_nät,'Leveranser per nät'!Z$1,FALSE)/VLOOKUP($B182,Korrigeringsfaktor_GD,'Korrigeringsfaktor GD'!Z$1,FALSE),
"")</f>
        <v>89.84595940594059</v>
      </c>
      <c r="AA182" s="18">
        <f>IFERROR(
                  Andel_oberoende_av_klimat*VLOOKUP($A182,Leveranser_per_nät,'Leveranser per nät'!AA$1,FALSE)
               +Andel_beroende_av_klimat*VLOOKUP($A182,Leveranser_per_nät,'Leveranser per nät'!AA$1,FALSE)/VLOOKUP($B182,Korrigeringsfaktor_GD,'Korrigeringsfaktor GD'!AA$1,FALSE),
"")</f>
        <v>79.938176269757633</v>
      </c>
      <c r="AB182" s="18">
        <f>IFERROR(
                  Andel_oberoende_av_klimat*VLOOKUP($A182,Leveranser_per_nät,'Leveranser per nät'!AB$1,FALSE)
               +Andel_beroende_av_klimat*VLOOKUP($A182,Leveranser_per_nät,'Leveranser per nät'!AB$1,FALSE)/VLOOKUP($B182,Korrigeringsfaktor_GD,'Korrigeringsfaktor GD'!AB$1,FALSE),
"")</f>
        <v>92.064161073825517</v>
      </c>
      <c r="AC182" s="18">
        <f>IFERROR(
                  Andel_oberoende_av_klimat*VLOOKUP($A182,Leveranser_per_nät,'Leveranser per nät'!AC$1,FALSE)
               +Andel_beroende_av_klimat*VLOOKUP($A182,Leveranser_per_nät,'Leveranser per nät'!AC$1,FALSE)/VLOOKUP($B182,Korrigeringsfaktor_GD,'Korrigeringsfaktor GD'!AC$1,FALSE),
"")</f>
        <v>91.823476482617593</v>
      </c>
      <c r="AD182">
        <v>90.4</v>
      </c>
    </row>
    <row r="183" spans="1:30" x14ac:dyDescent="0.25">
      <c r="A183" t="s">
        <v>162</v>
      </c>
      <c r="B183" t="s">
        <v>162</v>
      </c>
      <c r="C183" s="18">
        <f>IFERROR(
                  Andel_oberoende_av_klimat*VLOOKUP($A183,Leveranser_per_nät,'Leveranser per nät'!C$1,FALSE)
               +Andel_beroende_av_klimat*VLOOKUP($A183,Leveranser_per_nät,'Leveranser per nät'!C$1,FALSE)/VLOOKUP($B183,Korrigeringsfaktor_GD,'Korrigeringsfaktor GD'!C$1,FALSE),
"")</f>
        <v>295.14955752212393</v>
      </c>
      <c r="D183" s="18">
        <f>IFERROR(
                  Andel_oberoende_av_klimat*VLOOKUP($A183,Leveranser_per_nät,'Leveranser per nät'!D$1,FALSE)
               +Andel_beroende_av_klimat*VLOOKUP($A183,Leveranser_per_nät,'Leveranser per nät'!D$1,FALSE)/VLOOKUP($B183,Korrigeringsfaktor_GD,'Korrigeringsfaktor GD'!D$1,FALSE),
"")</f>
        <v>287.33999999999997</v>
      </c>
      <c r="E183" s="18">
        <f>IFERROR(
                  Andel_oberoende_av_klimat*VLOOKUP($A183,Leveranser_per_nät,'Leveranser per nät'!E$1,FALSE)
               +Andel_beroende_av_klimat*VLOOKUP($A183,Leveranser_per_nät,'Leveranser per nät'!E$1,FALSE)/VLOOKUP($B183,Korrigeringsfaktor_GD,'Korrigeringsfaktor GD'!E$1,FALSE),
"")</f>
        <v>291.96237623762374</v>
      </c>
      <c r="F183" s="18">
        <f>IFERROR(
                  Andel_oberoende_av_klimat*VLOOKUP($A183,Leveranser_per_nät,'Leveranser per nät'!F$1,FALSE)
               +Andel_beroende_av_klimat*VLOOKUP($A183,Leveranser_per_nät,'Leveranser per nät'!F$1,FALSE)/VLOOKUP($B183,Korrigeringsfaktor_GD,'Korrigeringsfaktor GD'!F$1,FALSE),
"")</f>
        <v>312.35957446808516</v>
      </c>
      <c r="G183" s="18">
        <f>IFERROR(
                  Andel_oberoende_av_klimat*VLOOKUP($A183,Leveranser_per_nät,'Leveranser per nät'!G$1,FALSE)
               +Andel_beroende_av_klimat*VLOOKUP($A183,Leveranser_per_nät,'Leveranser per nät'!G$1,FALSE)/VLOOKUP($B183,Korrigeringsfaktor_GD,'Korrigeringsfaktor GD'!G$1,FALSE),
"")</f>
        <v>320.81860465116279</v>
      </c>
      <c r="H183" s="18">
        <f>IFERROR(
                  Andel_oberoende_av_klimat*VLOOKUP($A183,Leveranser_per_nät,'Leveranser per nät'!H$1,FALSE)
               +Andel_beroende_av_klimat*VLOOKUP($A183,Leveranser_per_nät,'Leveranser per nät'!H$1,FALSE)/VLOOKUP($B183,Korrigeringsfaktor_GD,'Korrigeringsfaktor GD'!H$1,FALSE),
"")</f>
        <v>339.38282828282826</v>
      </c>
      <c r="I183" s="18">
        <f>IFERROR(
                  Andel_oberoende_av_klimat*VLOOKUP($A183,Leveranser_per_nät,'Leveranser per nät'!I$1,FALSE)
               +Andel_beroende_av_klimat*VLOOKUP($A183,Leveranser_per_nät,'Leveranser per nät'!I$1,FALSE)/VLOOKUP($B183,Korrigeringsfaktor_GD,'Korrigeringsfaktor GD'!I$1,FALSE),
"")</f>
        <v>362.0602659574468</v>
      </c>
      <c r="J183" s="18">
        <f>IFERROR(
                  Andel_oberoende_av_klimat*VLOOKUP($A183,Leveranser_per_nät,'Leveranser per nät'!J$1,FALSE)
               +Andel_beroende_av_klimat*VLOOKUP($A183,Leveranser_per_nät,'Leveranser per nät'!J$1,FALSE)/VLOOKUP($B183,Korrigeringsfaktor_GD,'Korrigeringsfaktor GD'!J$1,FALSE),
"")</f>
        <v>356.01100000000002</v>
      </c>
      <c r="K183" s="18">
        <f>IFERROR(
                  Andel_oberoende_av_klimat*VLOOKUP($A183,Leveranser_per_nät,'Leveranser per nät'!K$1,FALSE)
               +Andel_beroende_av_klimat*VLOOKUP($A183,Leveranser_per_nät,'Leveranser per nät'!K$1,FALSE)/VLOOKUP($B183,Korrigeringsfaktor_GD,'Korrigeringsfaktor GD'!K$1,FALSE),
"")</f>
        <v>367.012</v>
      </c>
      <c r="L183" s="18">
        <f>IFERROR(
                  Andel_oberoende_av_klimat*VLOOKUP($A183,Leveranser_per_nät,'Leveranser per nät'!L$1,FALSE)
               +Andel_beroende_av_klimat*VLOOKUP($A183,Leveranser_per_nät,'Leveranser per nät'!L$1,FALSE)/VLOOKUP($B183,Korrigeringsfaktor_GD,'Korrigeringsfaktor GD'!L$1,FALSE),
"")</f>
        <v>367.63750206185568</v>
      </c>
      <c r="M183" s="18">
        <f>IFERROR(
                  Andel_oberoende_av_klimat*VLOOKUP($A183,Leveranser_per_nät,'Leveranser per nät'!M$1,FALSE)
               +Andel_beroende_av_klimat*VLOOKUP($A183,Leveranser_per_nät,'Leveranser per nät'!M$1,FALSE)/VLOOKUP($B183,Korrigeringsfaktor_GD,'Korrigeringsfaktor GD'!M$1,FALSE),
"")</f>
        <v>380.64</v>
      </c>
      <c r="N183" s="18">
        <f>IFERROR(
                  Andel_oberoende_av_klimat*VLOOKUP($A183,Leveranser_per_nät,'Leveranser per nät'!N$1,FALSE)
               +Andel_beroende_av_klimat*VLOOKUP($A183,Leveranser_per_nät,'Leveranser per nät'!N$1,FALSE)/VLOOKUP($B183,Korrigeringsfaktor_GD,'Korrigeringsfaktor GD'!N$1,FALSE),
"")</f>
        <v>374.44694444444445</v>
      </c>
      <c r="O183" s="18">
        <f>IFERROR(
                  Andel_oberoende_av_klimat*VLOOKUP($A183,Leveranser_per_nät,'Leveranser per nät'!O$1,FALSE)
               +Andel_beroende_av_klimat*VLOOKUP($A183,Leveranser_per_nät,'Leveranser per nät'!O$1,FALSE)/VLOOKUP($B183,Korrigeringsfaktor_GD,'Korrigeringsfaktor GD'!O$1,FALSE),
"")</f>
        <v>362.59545454545452</v>
      </c>
      <c r="P183" s="18">
        <f>IFERROR(
                  Andel_oberoende_av_klimat*VLOOKUP($A183,Leveranser_per_nät,'Leveranser per nät'!P$1,FALSE)
               +Andel_beroende_av_klimat*VLOOKUP($A183,Leveranser_per_nät,'Leveranser per nät'!P$1,FALSE)/VLOOKUP($B183,Korrigeringsfaktor_GD,'Korrigeringsfaktor GD'!P$1,FALSE),
"")</f>
        <v>365.8417</v>
      </c>
      <c r="Q183" s="18">
        <f>IFERROR(
                  Andel_oberoende_av_klimat*VLOOKUP($A183,Leveranser_per_nät,'Leveranser per nät'!Q$1,FALSE)
               +Andel_beroende_av_klimat*VLOOKUP($A183,Leveranser_per_nät,'Leveranser per nät'!Q$1,FALSE)/VLOOKUP($B183,Korrigeringsfaktor_GD,'Korrigeringsfaktor GD'!Q$1,FALSE),
"")</f>
        <v>382.30522982456148</v>
      </c>
      <c r="R183" s="18">
        <f>IFERROR(
                  Andel_oberoende_av_klimat*VLOOKUP($A183,Leveranser_per_nät,'Leveranser per nät'!R$1,FALSE)
               +Andel_beroende_av_klimat*VLOOKUP($A183,Leveranser_per_nät,'Leveranser per nät'!R$1,FALSE)/VLOOKUP($B183,Korrigeringsfaktor_GD,'Korrigeringsfaktor GD'!R$1,FALSE),
"")</f>
        <v>375.03542608695648</v>
      </c>
      <c r="S183" s="18">
        <f>IFERROR(
                  Andel_oberoende_av_klimat*VLOOKUP($A183,Leveranser_per_nät,'Leveranser per nät'!S$1,FALSE)
               +Andel_beroende_av_klimat*VLOOKUP($A183,Leveranser_per_nät,'Leveranser per nät'!S$1,FALSE)/VLOOKUP($B183,Korrigeringsfaktor_GD,'Korrigeringsfaktor GD'!S$1,FALSE),
"")</f>
        <v>382.68686868686871</v>
      </c>
      <c r="T183" s="18">
        <f>IFERROR(
                  Andel_oberoende_av_klimat*VLOOKUP($A183,Leveranser_per_nät,'Leveranser per nät'!T$1,FALSE)
               +Andel_beroende_av_klimat*VLOOKUP($A183,Leveranser_per_nät,'Leveranser per nät'!T$1,FALSE)/VLOOKUP($B183,Korrigeringsfaktor_GD,'Korrigeringsfaktor GD'!T$1,FALSE),
"")</f>
        <v>389.14628865979387</v>
      </c>
      <c r="U183" s="18">
        <f>IFERROR(
                  Andel_oberoende_av_klimat*VLOOKUP($A183,Leveranser_per_nät,'Leveranser per nät'!U$1,FALSE)
               +Andel_beroende_av_klimat*VLOOKUP($A183,Leveranser_per_nät,'Leveranser per nät'!U$1,FALSE)/VLOOKUP($B183,Korrigeringsfaktor_GD,'Korrigeringsfaktor GD'!U$1,FALSE),
"")</f>
        <v>389.86470588235295</v>
      </c>
      <c r="V183" s="18">
        <f>IFERROR(
                  Andel_oberoende_av_klimat*VLOOKUP($A183,Leveranser_per_nät,'Leveranser per nät'!V$1,FALSE)
               +Andel_beroende_av_klimat*VLOOKUP($A183,Leveranser_per_nät,'Leveranser per nät'!V$1,FALSE)/VLOOKUP($B183,Korrigeringsfaktor_GD,'Korrigeringsfaktor GD'!V$1,FALSE),
"")</f>
        <v>389.41333333333341</v>
      </c>
      <c r="W183" s="18">
        <f>IFERROR(
                  Andel_oberoende_av_klimat*VLOOKUP($A183,Leveranser_per_nät,'Leveranser per nät'!W$1,FALSE)
               +Andel_beroende_av_klimat*VLOOKUP($A183,Leveranser_per_nät,'Leveranser per nät'!W$1,FALSE)/VLOOKUP($B183,Korrigeringsfaktor_GD,'Korrigeringsfaktor GD'!W$1,FALSE),
"")</f>
        <v>390.26923076923072</v>
      </c>
      <c r="X183" s="18">
        <f>IFERROR(
                  Andel_oberoende_av_klimat*VLOOKUP($A183,Leveranser_per_nät,'Leveranser per nät'!X$1,FALSE)
               +Andel_beroende_av_klimat*VLOOKUP($A183,Leveranser_per_nät,'Leveranser per nät'!X$1,FALSE)/VLOOKUP($B183,Korrigeringsfaktor_GD,'Korrigeringsfaktor GD'!X$1,FALSE),
"")</f>
        <v>392.63444444444445</v>
      </c>
      <c r="Y183" s="18">
        <f>IFERROR(
                  Andel_oberoende_av_klimat*VLOOKUP($A183,Leveranser_per_nät,'Leveranser per nät'!Y$1,FALSE)
               +Andel_beroende_av_klimat*VLOOKUP($A183,Leveranser_per_nät,'Leveranser per nät'!Y$1,FALSE)/VLOOKUP($B183,Korrigeringsfaktor_GD,'Korrigeringsfaktor GD'!Y$1,FALSE),
"")</f>
        <v>400.81606741573029</v>
      </c>
      <c r="Z183" s="18">
        <f>IFERROR(
                  Andel_oberoende_av_klimat*VLOOKUP($A183,Leveranser_per_nät,'Leveranser per nät'!Z$1,FALSE)
               +Andel_beroende_av_klimat*VLOOKUP($A183,Leveranser_per_nät,'Leveranser per nät'!Z$1,FALSE)/VLOOKUP($B183,Korrigeringsfaktor_GD,'Korrigeringsfaktor GD'!Z$1,FALSE),
"")</f>
        <v>379.68384615384616</v>
      </c>
      <c r="AA183" s="18">
        <f>IFERROR(
                  Andel_oberoende_av_klimat*VLOOKUP($A183,Leveranser_per_nät,'Leveranser per nät'!AA$1,FALSE)
               +Andel_beroende_av_klimat*VLOOKUP($A183,Leveranser_per_nät,'Leveranser per nät'!AA$1,FALSE)/VLOOKUP($B183,Korrigeringsfaktor_GD,'Korrigeringsfaktor GD'!AA$1,FALSE),
"")</f>
        <v>366.42461538461538</v>
      </c>
      <c r="AB183" s="18">
        <f>IFERROR(
                  Andel_oberoende_av_klimat*VLOOKUP($A183,Leveranser_per_nät,'Leveranser per nät'!AB$1,FALSE)
               +Andel_beroende_av_klimat*VLOOKUP($A183,Leveranser_per_nät,'Leveranser per nät'!AB$1,FALSE)/VLOOKUP($B183,Korrigeringsfaktor_GD,'Korrigeringsfaktor GD'!AB$1,FALSE),
"")</f>
        <v>380.34554455445544</v>
      </c>
      <c r="AC183" s="18">
        <f>IFERROR(
                  Andel_oberoende_av_klimat*VLOOKUP($A183,Leveranser_per_nät,'Leveranser per nät'!AC$1,FALSE)
               +Andel_beroende_av_klimat*VLOOKUP($A183,Leveranser_per_nät,'Leveranser per nät'!AC$1,FALSE)/VLOOKUP($B183,Korrigeringsfaktor_GD,'Korrigeringsfaktor GD'!AC$1,FALSE),
"")</f>
        <v>374.4940439442658</v>
      </c>
      <c r="AD183">
        <v>356.57</v>
      </c>
    </row>
    <row r="184" spans="1:30" x14ac:dyDescent="0.25">
      <c r="A184" t="s">
        <v>237</v>
      </c>
      <c r="B184" t="s">
        <v>237</v>
      </c>
      <c r="C184" s="18">
        <f>IFERROR(
                  Andel_oberoende_av_klimat*VLOOKUP($A184,Leveranser_per_nät,'Leveranser per nät'!C$1,FALSE)
               +Andel_beroende_av_klimat*VLOOKUP($A184,Leveranser_per_nät,'Leveranser per nät'!C$1,FALSE)/VLOOKUP($B184,Korrigeringsfaktor_GD,'Korrigeringsfaktor GD'!C$1,FALSE),
"")</f>
        <v>0</v>
      </c>
      <c r="D184" s="18">
        <f>IFERROR(
                  Andel_oberoende_av_klimat*VLOOKUP($A184,Leveranser_per_nät,'Leveranser per nät'!D$1,FALSE)
               +Andel_beroende_av_klimat*VLOOKUP($A184,Leveranser_per_nät,'Leveranser per nät'!D$1,FALSE)/VLOOKUP($B184,Korrigeringsfaktor_GD,'Korrigeringsfaktor GD'!D$1,FALSE),
"")</f>
        <v>0</v>
      </c>
      <c r="E184" s="18">
        <f>IFERROR(
                  Andel_oberoende_av_klimat*VLOOKUP($A184,Leveranser_per_nät,'Leveranser per nät'!E$1,FALSE)
               +Andel_beroende_av_klimat*VLOOKUP($A184,Leveranser_per_nät,'Leveranser per nät'!E$1,FALSE)/VLOOKUP($B184,Korrigeringsfaktor_GD,'Korrigeringsfaktor GD'!E$1,FALSE),
"")</f>
        <v>0</v>
      </c>
      <c r="F184" s="18">
        <f>IFERROR(
                  Andel_oberoende_av_klimat*VLOOKUP($A184,Leveranser_per_nät,'Leveranser per nät'!F$1,FALSE)
               +Andel_beroende_av_klimat*VLOOKUP($A184,Leveranser_per_nät,'Leveranser per nät'!F$1,FALSE)/VLOOKUP($B184,Korrigeringsfaktor_GD,'Korrigeringsfaktor GD'!F$1,FALSE),
"")</f>
        <v>0</v>
      </c>
      <c r="G184" s="18">
        <f>IFERROR(
                  Andel_oberoende_av_klimat*VLOOKUP($A184,Leveranser_per_nät,'Leveranser per nät'!G$1,FALSE)
               +Andel_beroende_av_klimat*VLOOKUP($A184,Leveranser_per_nät,'Leveranser per nät'!G$1,FALSE)/VLOOKUP($B184,Korrigeringsfaktor_GD,'Korrigeringsfaktor GD'!G$1,FALSE),
"")</f>
        <v>0</v>
      </c>
      <c r="H184" s="18">
        <f>IFERROR(
                  Andel_oberoende_av_klimat*VLOOKUP($A184,Leveranser_per_nät,'Leveranser per nät'!H$1,FALSE)
               +Andel_beroende_av_klimat*VLOOKUP($A184,Leveranser_per_nät,'Leveranser per nät'!H$1,FALSE)/VLOOKUP($B184,Korrigeringsfaktor_GD,'Korrigeringsfaktor GD'!H$1,FALSE),
"")</f>
        <v>0</v>
      </c>
      <c r="I184" s="18">
        <f>IFERROR(
                  Andel_oberoende_av_klimat*VLOOKUP($A184,Leveranser_per_nät,'Leveranser per nät'!I$1,FALSE)
               +Andel_beroende_av_klimat*VLOOKUP($A184,Leveranser_per_nät,'Leveranser per nät'!I$1,FALSE)/VLOOKUP($B184,Korrigeringsfaktor_GD,'Korrigeringsfaktor GD'!I$1,FALSE),
"")</f>
        <v>0</v>
      </c>
      <c r="J184" s="18">
        <f>IFERROR(
                  Andel_oberoende_av_klimat*VLOOKUP($A184,Leveranser_per_nät,'Leveranser per nät'!J$1,FALSE)
               +Andel_beroende_av_klimat*VLOOKUP($A184,Leveranser_per_nät,'Leveranser per nät'!J$1,FALSE)/VLOOKUP($B184,Korrigeringsfaktor_GD,'Korrigeringsfaktor GD'!J$1,FALSE),
"")</f>
        <v>0</v>
      </c>
      <c r="K184" s="18">
        <f>IFERROR(
                  Andel_oberoende_av_klimat*VLOOKUP($A184,Leveranser_per_nät,'Leveranser per nät'!K$1,FALSE)
               +Andel_beroende_av_klimat*VLOOKUP($A184,Leveranser_per_nät,'Leveranser per nät'!K$1,FALSE)/VLOOKUP($B184,Korrigeringsfaktor_GD,'Korrigeringsfaktor GD'!K$1,FALSE),
"")</f>
        <v>15.697085714285715</v>
      </c>
      <c r="L184" s="18">
        <f>IFERROR(
                  Andel_oberoende_av_klimat*VLOOKUP($A184,Leveranser_per_nät,'Leveranser per nät'!L$1,FALSE)
               +Andel_beroende_av_klimat*VLOOKUP($A184,Leveranser_per_nät,'Leveranser per nät'!L$1,FALSE)/VLOOKUP($B184,Korrigeringsfaktor_GD,'Korrigeringsfaktor GD'!L$1,FALSE),
"")</f>
        <v>16.15711052631579</v>
      </c>
      <c r="M184" s="18">
        <f>IFERROR(
                  Andel_oberoende_av_klimat*VLOOKUP($A184,Leveranser_per_nät,'Leveranser per nät'!M$1,FALSE)
               +Andel_beroende_av_klimat*VLOOKUP($A184,Leveranser_per_nät,'Leveranser per nät'!M$1,FALSE)/VLOOKUP($B184,Korrigeringsfaktor_GD,'Korrigeringsfaktor GD'!M$1,FALSE),
"")</f>
        <v>16.687478260869565</v>
      </c>
      <c r="N184" s="18">
        <f>IFERROR(
                  Andel_oberoende_av_klimat*VLOOKUP($A184,Leveranser_per_nät,'Leveranser per nät'!N$1,FALSE)
               +Andel_beroende_av_klimat*VLOOKUP($A184,Leveranser_per_nät,'Leveranser per nät'!N$1,FALSE)/VLOOKUP($B184,Korrigeringsfaktor_GD,'Korrigeringsfaktor GD'!N$1,FALSE),
"")</f>
        <v>17.123733333333334</v>
      </c>
      <c r="O184" s="18">
        <f>IFERROR(
                  Andel_oberoende_av_klimat*VLOOKUP($A184,Leveranser_per_nät,'Leveranser per nät'!O$1,FALSE)
               +Andel_beroende_av_klimat*VLOOKUP($A184,Leveranser_per_nät,'Leveranser per nät'!O$1,FALSE)/VLOOKUP($B184,Korrigeringsfaktor_GD,'Korrigeringsfaktor GD'!O$1,FALSE),
"")</f>
        <v>17.243022471910109</v>
      </c>
      <c r="P184" s="18">
        <f>IFERROR(
                  Andel_oberoende_av_klimat*VLOOKUP($A184,Leveranser_per_nät,'Leveranser per nät'!P$1,FALSE)
               +Andel_beroende_av_klimat*VLOOKUP($A184,Leveranser_per_nät,'Leveranser per nät'!P$1,FALSE)/VLOOKUP($B184,Korrigeringsfaktor_GD,'Korrigeringsfaktor GD'!P$1,FALSE),
"")</f>
        <v>17.242857142857144</v>
      </c>
      <c r="Q184" s="18">
        <f>IFERROR(
                  Andel_oberoende_av_klimat*VLOOKUP($A184,Leveranser_per_nät,'Leveranser per nät'!Q$1,FALSE)
               +Andel_beroende_av_klimat*VLOOKUP($A184,Leveranser_per_nät,'Leveranser per nät'!Q$1,FALSE)/VLOOKUP($B184,Korrigeringsfaktor_GD,'Korrigeringsfaktor GD'!Q$1,FALSE),
"")</f>
        <v>16.542021367521368</v>
      </c>
      <c r="R184" s="18">
        <f>IFERROR(
                  Andel_oberoende_av_klimat*VLOOKUP($A184,Leveranser_per_nät,'Leveranser per nät'!R$1,FALSE)
               +Andel_beroende_av_klimat*VLOOKUP($A184,Leveranser_per_nät,'Leveranser per nät'!R$1,FALSE)/VLOOKUP($B184,Korrigeringsfaktor_GD,'Korrigeringsfaktor GD'!R$1,FALSE),
"")</f>
        <v>16.230923076923077</v>
      </c>
      <c r="S184" s="18">
        <f>IFERROR(
                  Andel_oberoende_av_klimat*VLOOKUP($A184,Leveranser_per_nät,'Leveranser per nät'!S$1,FALSE)
               +Andel_beroende_av_klimat*VLOOKUP($A184,Leveranser_per_nät,'Leveranser per nät'!S$1,FALSE)/VLOOKUP($B184,Korrigeringsfaktor_GD,'Korrigeringsfaktor GD'!S$1,FALSE),
"")</f>
        <v>16.335999999999999</v>
      </c>
      <c r="T184" s="18">
        <f>IFERROR(
                  Andel_oberoende_av_klimat*VLOOKUP($A184,Leveranser_per_nät,'Leveranser per nät'!T$1,FALSE)
               +Andel_beroende_av_klimat*VLOOKUP($A184,Leveranser_per_nät,'Leveranser per nät'!T$1,FALSE)/VLOOKUP($B184,Korrigeringsfaktor_GD,'Korrigeringsfaktor GD'!T$1,FALSE),
"")</f>
        <v>16.415863917525776</v>
      </c>
      <c r="U184" s="18">
        <f>IFERROR(
                  Andel_oberoende_av_klimat*VLOOKUP($A184,Leveranser_per_nät,'Leveranser per nät'!U$1,FALSE)
               +Andel_beroende_av_klimat*VLOOKUP($A184,Leveranser_per_nät,'Leveranser per nät'!U$1,FALSE)/VLOOKUP($B184,Korrigeringsfaktor_GD,'Korrigeringsfaktor GD'!U$1,FALSE),
"")</f>
        <v>16.455320930232556</v>
      </c>
      <c r="V184" s="18">
        <f>IFERROR(
                  Andel_oberoende_av_klimat*VLOOKUP($A184,Leveranser_per_nät,'Leveranser per nät'!V$1,FALSE)
               +Andel_beroende_av_klimat*VLOOKUP($A184,Leveranser_per_nät,'Leveranser per nät'!V$1,FALSE)/VLOOKUP($B184,Korrigeringsfaktor_GD,'Korrigeringsfaktor GD'!V$1,FALSE),
"")</f>
        <v>15.995827272727272</v>
      </c>
      <c r="W184" s="18">
        <f>IFERROR(
                  Andel_oberoende_av_klimat*VLOOKUP($A184,Leveranser_per_nät,'Leveranser per nät'!W$1,FALSE)
               +Andel_beroende_av_klimat*VLOOKUP($A184,Leveranser_per_nät,'Leveranser per nät'!W$1,FALSE)/VLOOKUP($B184,Korrigeringsfaktor_GD,'Korrigeringsfaktor GD'!W$1,FALSE),
"")</f>
        <v>16.337720430107524</v>
      </c>
      <c r="X184" s="18">
        <f>IFERROR(
                  Andel_oberoende_av_klimat*VLOOKUP($A184,Leveranser_per_nät,'Leveranser per nät'!X$1,FALSE)
               +Andel_beroende_av_klimat*VLOOKUP($A184,Leveranser_per_nät,'Leveranser per nät'!X$1,FALSE)/VLOOKUP($B184,Korrigeringsfaktor_GD,'Korrigeringsfaktor GD'!X$1,FALSE),
"")</f>
        <v>16.573076923076922</v>
      </c>
      <c r="Y184" s="18">
        <f>IFERROR(
                  Andel_oberoende_av_klimat*VLOOKUP($A184,Leveranser_per_nät,'Leveranser per nät'!Y$1,FALSE)
               +Andel_beroende_av_klimat*VLOOKUP($A184,Leveranser_per_nät,'Leveranser per nät'!Y$1,FALSE)/VLOOKUP($B184,Korrigeringsfaktor_GD,'Korrigeringsfaktor GD'!Y$1,FALSE),
"")</f>
        <v>16.145384615384614</v>
      </c>
      <c r="Z184" s="18">
        <f>IFERROR(
                  Andel_oberoende_av_klimat*VLOOKUP($A184,Leveranser_per_nät,'Leveranser per nät'!Z$1,FALSE)
               +Andel_beroende_av_klimat*VLOOKUP($A184,Leveranser_per_nät,'Leveranser per nät'!Z$1,FALSE)/VLOOKUP($B184,Korrigeringsfaktor_GD,'Korrigeringsfaktor GD'!Z$1,FALSE),
"")</f>
        <v>15.700869565217392</v>
      </c>
      <c r="AA184" s="18">
        <f>IFERROR(
                  Andel_oberoende_av_klimat*VLOOKUP($A184,Leveranser_per_nät,'Leveranser per nät'!AA$1,FALSE)
               +Andel_beroende_av_klimat*VLOOKUP($A184,Leveranser_per_nät,'Leveranser per nät'!AA$1,FALSE)/VLOOKUP($B184,Korrigeringsfaktor_GD,'Korrigeringsfaktor GD'!AA$1,FALSE),
"")</f>
        <v>15.476962337929615</v>
      </c>
      <c r="AB184" s="18">
        <f>IFERROR(
                  Andel_oberoende_av_klimat*VLOOKUP($A184,Leveranser_per_nät,'Leveranser per nät'!AB$1,FALSE)
               +Andel_beroende_av_klimat*VLOOKUP($A184,Leveranser_per_nät,'Leveranser per nät'!AB$1,FALSE)/VLOOKUP($B184,Korrigeringsfaktor_GD,'Korrigeringsfaktor GD'!AB$1,FALSE),
"")</f>
        <v>16.274262626262626</v>
      </c>
      <c r="AC184" s="18">
        <f>IFERROR(
                  Andel_oberoende_av_klimat*VLOOKUP($A184,Leveranser_per_nät,'Leveranser per nät'!AC$1,FALSE)
               +Andel_beroende_av_klimat*VLOOKUP($A184,Leveranser_per_nät,'Leveranser per nät'!AC$1,FALSE)/VLOOKUP($B184,Korrigeringsfaktor_GD,'Korrigeringsfaktor GD'!AC$1,FALSE),
"")</f>
        <v>15.627904967602593</v>
      </c>
      <c r="AD184">
        <v>14.8</v>
      </c>
    </row>
    <row r="185" spans="1:30" x14ac:dyDescent="0.25">
      <c r="A185" t="s">
        <v>164</v>
      </c>
      <c r="B185" t="s">
        <v>164</v>
      </c>
      <c r="C185" s="18">
        <f>IFERROR(
                  Andel_oberoende_av_klimat*VLOOKUP($A185,Leveranser_per_nät,'Leveranser per nät'!C$1,FALSE)
               +Andel_beroende_av_klimat*VLOOKUP($A185,Leveranser_per_nät,'Leveranser per nät'!C$1,FALSE)/VLOOKUP($B185,Korrigeringsfaktor_GD,'Korrigeringsfaktor GD'!C$1,FALSE),
"")</f>
        <v>108.22499999999999</v>
      </c>
      <c r="D185" s="18">
        <f>IFERROR(
                  Andel_oberoende_av_klimat*VLOOKUP($A185,Leveranser_per_nät,'Leveranser per nät'!D$1,FALSE)
               +Andel_beroende_av_klimat*VLOOKUP($A185,Leveranser_per_nät,'Leveranser per nät'!D$1,FALSE)/VLOOKUP($B185,Korrigeringsfaktor_GD,'Korrigeringsfaktor GD'!D$1,FALSE),
"")</f>
        <v>104.00414851485149</v>
      </c>
      <c r="E185" s="18">
        <f>IFERROR(
                  Andel_oberoende_av_klimat*VLOOKUP($A185,Leveranser_per_nät,'Leveranser per nät'!E$1,FALSE)
               +Andel_beroende_av_klimat*VLOOKUP($A185,Leveranser_per_nät,'Leveranser per nät'!E$1,FALSE)/VLOOKUP($B185,Korrigeringsfaktor_GD,'Korrigeringsfaktor GD'!E$1,FALSE),
"")</f>
        <v>110.29027722772275</v>
      </c>
      <c r="F185" s="18">
        <f>IFERROR(
                  Andel_oberoende_av_klimat*VLOOKUP($A185,Leveranser_per_nät,'Leveranser per nät'!F$1,FALSE)
               +Andel_beroende_av_klimat*VLOOKUP($A185,Leveranser_per_nät,'Leveranser per nät'!F$1,FALSE)/VLOOKUP($B185,Korrigeringsfaktor_GD,'Korrigeringsfaktor GD'!F$1,FALSE),
"")</f>
        <v>115.15168421052633</v>
      </c>
      <c r="G185" s="18">
        <f>IFERROR(
                  Andel_oberoende_av_klimat*VLOOKUP($A185,Leveranser_per_nät,'Leveranser per nät'!G$1,FALSE)
               +Andel_beroende_av_klimat*VLOOKUP($A185,Leveranser_per_nät,'Leveranser per nät'!G$1,FALSE)/VLOOKUP($B185,Korrigeringsfaktor_GD,'Korrigeringsfaktor GD'!G$1,FALSE),
"")</f>
        <v>117.63081839080461</v>
      </c>
      <c r="H185" s="18">
        <f>IFERROR(
                  Andel_oberoende_av_klimat*VLOOKUP($A185,Leveranser_per_nät,'Leveranser per nät'!H$1,FALSE)
               +Andel_beroende_av_klimat*VLOOKUP($A185,Leveranser_per_nät,'Leveranser per nät'!H$1,FALSE)/VLOOKUP($B185,Korrigeringsfaktor_GD,'Korrigeringsfaktor GD'!H$1,FALSE),
"")</f>
        <v>130.33500000000001</v>
      </c>
      <c r="I185" s="18">
        <f>IFERROR(
                  Andel_oberoende_av_klimat*VLOOKUP($A185,Leveranser_per_nät,'Leveranser per nät'!I$1,FALSE)
               +Andel_beroende_av_klimat*VLOOKUP($A185,Leveranser_per_nät,'Leveranser per nät'!I$1,FALSE)/VLOOKUP($B185,Korrigeringsfaktor_GD,'Korrigeringsfaktor GD'!I$1,FALSE),
"")</f>
        <v>139.87022978723405</v>
      </c>
      <c r="J185" s="18">
        <f>IFERROR(
                  Andel_oberoende_av_klimat*VLOOKUP($A185,Leveranser_per_nät,'Leveranser per nät'!J$1,FALSE)
               +Andel_beroende_av_klimat*VLOOKUP($A185,Leveranser_per_nät,'Leveranser per nät'!J$1,FALSE)/VLOOKUP($B185,Korrigeringsfaktor_GD,'Korrigeringsfaktor GD'!J$1,FALSE),
"")</f>
        <v>137.82366868686867</v>
      </c>
      <c r="K185" s="18">
        <f>IFERROR(
                  Andel_oberoende_av_klimat*VLOOKUP($A185,Leveranser_per_nät,'Leveranser per nät'!K$1,FALSE)
               +Andel_beroende_av_klimat*VLOOKUP($A185,Leveranser_per_nät,'Leveranser per nät'!K$1,FALSE)/VLOOKUP($B185,Korrigeringsfaktor_GD,'Korrigeringsfaktor GD'!K$1,FALSE),
"")</f>
        <v>138.19200000000001</v>
      </c>
      <c r="L185" s="18">
        <f>IFERROR(
                  Andel_oberoende_av_klimat*VLOOKUP($A185,Leveranser_per_nät,'Leveranser per nät'!L$1,FALSE)
               +Andel_beroende_av_klimat*VLOOKUP($A185,Leveranser_per_nät,'Leveranser per nät'!L$1,FALSE)/VLOOKUP($B185,Korrigeringsfaktor_GD,'Korrigeringsfaktor GD'!L$1,FALSE),
"")</f>
        <v>137.33022857142856</v>
      </c>
      <c r="M185" s="18">
        <f>IFERROR(
                  Andel_oberoende_av_klimat*VLOOKUP($A185,Leveranser_per_nät,'Leveranser per nät'!M$1,FALSE)
               +Andel_beroende_av_klimat*VLOOKUP($A185,Leveranser_per_nät,'Leveranser per nät'!M$1,FALSE)/VLOOKUP($B185,Korrigeringsfaktor_GD,'Korrigeringsfaktor GD'!M$1,FALSE),
"")</f>
        <v>138.62914893617022</v>
      </c>
      <c r="N185" s="18">
        <f>IFERROR(
                  Andel_oberoende_av_klimat*VLOOKUP($A185,Leveranser_per_nät,'Leveranser per nät'!N$1,FALSE)
               +Andel_beroende_av_klimat*VLOOKUP($A185,Leveranser_per_nät,'Leveranser per nät'!N$1,FALSE)/VLOOKUP($B185,Korrigeringsfaktor_GD,'Korrigeringsfaktor GD'!N$1,FALSE),
"")</f>
        <v>153.64543483146068</v>
      </c>
      <c r="O185" s="18">
        <f>IFERROR(
                  Andel_oberoende_av_klimat*VLOOKUP($A185,Leveranser_per_nät,'Leveranser per nät'!O$1,FALSE)
               +Andel_beroende_av_klimat*VLOOKUP($A185,Leveranser_per_nät,'Leveranser per nät'!O$1,FALSE)/VLOOKUP($B185,Korrigeringsfaktor_GD,'Korrigeringsfaktor GD'!O$1,FALSE),
"")</f>
        <v>157.54494382022472</v>
      </c>
      <c r="P185" s="18">
        <f>IFERROR(
                  Andel_oberoende_av_klimat*VLOOKUP($A185,Leveranser_per_nät,'Leveranser per nät'!P$1,FALSE)
               +Andel_beroende_av_klimat*VLOOKUP($A185,Leveranser_per_nät,'Leveranser per nät'!P$1,FALSE)/VLOOKUP($B185,Korrigeringsfaktor_GD,'Korrigeringsfaktor GD'!P$1,FALSE),
"")</f>
        <v>158.04406701030928</v>
      </c>
      <c r="Q185" s="18">
        <f>IFERROR(
                  Andel_oberoende_av_klimat*VLOOKUP($A185,Leveranser_per_nät,'Leveranser per nät'!Q$1,FALSE)
               +Andel_beroende_av_klimat*VLOOKUP($A185,Leveranser_per_nät,'Leveranser per nät'!Q$1,FALSE)/VLOOKUP($B185,Korrigeringsfaktor_GD,'Korrigeringsfaktor GD'!Q$1,FALSE),
"")</f>
        <v>165.73832631578949</v>
      </c>
      <c r="R185" s="18">
        <f>IFERROR(
                  Andel_oberoende_av_klimat*VLOOKUP($A185,Leveranser_per_nät,'Leveranser per nät'!R$1,FALSE)
               +Andel_beroende_av_klimat*VLOOKUP($A185,Leveranser_per_nät,'Leveranser per nät'!R$1,FALSE)/VLOOKUP($B185,Korrigeringsfaktor_GD,'Korrigeringsfaktor GD'!R$1,FALSE),
"")</f>
        <v>163.16666666666666</v>
      </c>
      <c r="S185" s="18">
        <f>IFERROR(
                  Andel_oberoende_av_klimat*VLOOKUP($A185,Leveranser_per_nät,'Leveranser per nät'!S$1,FALSE)
               +Andel_beroende_av_klimat*VLOOKUP($A185,Leveranser_per_nät,'Leveranser per nät'!S$1,FALSE)/VLOOKUP($B185,Korrigeringsfaktor_GD,'Korrigeringsfaktor GD'!S$1,FALSE),
"")</f>
        <v>170</v>
      </c>
      <c r="T185" s="18">
        <f>IFERROR(
                  Andel_oberoende_av_klimat*VLOOKUP($A185,Leveranser_per_nät,'Leveranser per nät'!T$1,FALSE)
               +Andel_beroende_av_klimat*VLOOKUP($A185,Leveranser_per_nät,'Leveranser per nät'!T$1,FALSE)/VLOOKUP($B185,Korrigeringsfaktor_GD,'Korrigeringsfaktor GD'!T$1,FALSE),
"")</f>
        <v>175.15567422680411</v>
      </c>
      <c r="U185" s="18">
        <f>IFERROR(
                  Andel_oberoende_av_klimat*VLOOKUP($A185,Leveranser_per_nät,'Leveranser per nät'!U$1,FALSE)
               +Andel_beroende_av_klimat*VLOOKUP($A185,Leveranser_per_nät,'Leveranser per nät'!U$1,FALSE)/VLOOKUP($B185,Korrigeringsfaktor_GD,'Korrigeringsfaktor GD'!U$1,FALSE),
"")</f>
        <v>177.93333333333334</v>
      </c>
      <c r="V185" s="18">
        <f>IFERROR(
                  Andel_oberoende_av_klimat*VLOOKUP($A185,Leveranser_per_nät,'Leveranser per nät'!V$1,FALSE)
               +Andel_beroende_av_klimat*VLOOKUP($A185,Leveranser_per_nät,'Leveranser per nät'!V$1,FALSE)/VLOOKUP($B185,Korrigeringsfaktor_GD,'Korrigeringsfaktor GD'!V$1,FALSE),
"")</f>
        <v>178.40606741573032</v>
      </c>
      <c r="W185" s="18">
        <f>IFERROR(
                  Andel_oberoende_av_klimat*VLOOKUP($A185,Leveranser_per_nät,'Leveranser per nät'!W$1,FALSE)
               +Andel_beroende_av_klimat*VLOOKUP($A185,Leveranser_per_nät,'Leveranser per nät'!W$1,FALSE)/VLOOKUP($B185,Korrigeringsfaktor_GD,'Korrigeringsfaktor GD'!W$1,FALSE),
"")</f>
        <v>178.21760526315791</v>
      </c>
      <c r="X185" s="18">
        <f>IFERROR(
                  Andel_oberoende_av_klimat*VLOOKUP($A185,Leveranser_per_nät,'Leveranser per nät'!X$1,FALSE)
               +Andel_beroende_av_klimat*VLOOKUP($A185,Leveranser_per_nät,'Leveranser per nät'!X$1,FALSE)/VLOOKUP($B185,Korrigeringsfaktor_GD,'Korrigeringsfaktor GD'!X$1,FALSE),
"")</f>
        <v>176.08200212765956</v>
      </c>
      <c r="Y185" s="18">
        <f>IFERROR(
                  Andel_oberoende_av_klimat*VLOOKUP($A185,Leveranser_per_nät,'Leveranser per nät'!Y$1,FALSE)
               +Andel_beroende_av_klimat*VLOOKUP($A185,Leveranser_per_nät,'Leveranser per nät'!Y$1,FALSE)/VLOOKUP($B185,Korrigeringsfaktor_GD,'Korrigeringsfaktor GD'!Y$1,FALSE),
"")</f>
        <v>176.66528709677419</v>
      </c>
      <c r="Z185" s="18">
        <f>IFERROR(
                  Andel_oberoende_av_klimat*VLOOKUP($A185,Leveranser_per_nät,'Leveranser per nät'!Z$1,FALSE)
               +Andel_beroende_av_klimat*VLOOKUP($A185,Leveranser_per_nät,'Leveranser per nät'!Z$1,FALSE)/VLOOKUP($B185,Korrigeringsfaktor_GD,'Korrigeringsfaktor GD'!Z$1,FALSE),
"")</f>
        <v>178.39142413793104</v>
      </c>
      <c r="AA185" s="18">
        <f>IFERROR(
                  Andel_oberoende_av_klimat*VLOOKUP($A185,Leveranser_per_nät,'Leveranser per nät'!AA$1,FALSE)
               +Andel_beroende_av_klimat*VLOOKUP($A185,Leveranser_per_nät,'Leveranser per nät'!AA$1,FALSE)/VLOOKUP($B185,Korrigeringsfaktor_GD,'Korrigeringsfaktor GD'!AA$1,FALSE),
"")</f>
        <v>176.31577606128312</v>
      </c>
      <c r="AB185" s="18">
        <f>IFERROR(
                  Andel_oberoende_av_klimat*VLOOKUP($A185,Leveranser_per_nät,'Leveranser per nät'!AB$1,FALSE)
               +Andel_beroende_av_klimat*VLOOKUP($A185,Leveranser_per_nät,'Leveranser per nät'!AB$1,FALSE)/VLOOKUP($B185,Korrigeringsfaktor_GD,'Korrigeringsfaktor GD'!AB$1,FALSE),
"")</f>
        <v>169.74666666666667</v>
      </c>
      <c r="AC185" s="18">
        <f>IFERROR(
                  Andel_oberoende_av_klimat*VLOOKUP($A185,Leveranser_per_nät,'Leveranser per nät'!AC$1,FALSE)
               +Andel_beroende_av_klimat*VLOOKUP($A185,Leveranser_per_nät,'Leveranser per nät'!AC$1,FALSE)/VLOOKUP($B185,Korrigeringsfaktor_GD,'Korrigeringsfaktor GD'!AC$1,FALSE),
"")</f>
        <v>165.02512637590863</v>
      </c>
      <c r="AD185">
        <v>160.703</v>
      </c>
    </row>
    <row r="186" spans="1:30" x14ac:dyDescent="0.25">
      <c r="A186" t="s">
        <v>165</v>
      </c>
      <c r="B186" t="s">
        <v>165</v>
      </c>
      <c r="C186" s="18">
        <f>IFERROR(
                  Andel_oberoende_av_klimat*VLOOKUP($A186,Leveranser_per_nät,'Leveranser per nät'!C$1,FALSE)
               +Andel_beroende_av_klimat*VLOOKUP($A186,Leveranser_per_nät,'Leveranser per nät'!C$1,FALSE)/VLOOKUP($B186,Korrigeringsfaktor_GD,'Korrigeringsfaktor GD'!C$1,FALSE),
"")</f>
        <v>352.07272727272726</v>
      </c>
      <c r="D186" s="18">
        <f>IFERROR(
                  Andel_oberoende_av_klimat*VLOOKUP($A186,Leveranser_per_nät,'Leveranser per nät'!D$1,FALSE)
               +Andel_beroende_av_klimat*VLOOKUP($A186,Leveranser_per_nät,'Leveranser per nät'!D$1,FALSE)/VLOOKUP($B186,Korrigeringsfaktor_GD,'Korrigeringsfaktor GD'!D$1,FALSE),
"")</f>
        <v>346.52307216494847</v>
      </c>
      <c r="E186" s="18">
        <f>IFERROR(
                  Andel_oberoende_av_klimat*VLOOKUP($A186,Leveranser_per_nät,'Leveranser per nät'!E$1,FALSE)
               +Andel_beroende_av_klimat*VLOOKUP($A186,Leveranser_per_nät,'Leveranser per nät'!E$1,FALSE)/VLOOKUP($B186,Korrigeringsfaktor_GD,'Korrigeringsfaktor GD'!E$1,FALSE),
"")</f>
        <v>336.65049504950491</v>
      </c>
      <c r="F186" s="18">
        <f>IFERROR(
                  Andel_oberoende_av_klimat*VLOOKUP($A186,Leveranser_per_nät,'Leveranser per nät'!F$1,FALSE)
               +Andel_beroende_av_klimat*VLOOKUP($A186,Leveranser_per_nät,'Leveranser per nät'!F$1,FALSE)/VLOOKUP($B186,Korrigeringsfaktor_GD,'Korrigeringsfaktor GD'!F$1,FALSE),
"")</f>
        <v>338.5958333333333</v>
      </c>
      <c r="G186" s="18">
        <f>IFERROR(
                  Andel_oberoende_av_klimat*VLOOKUP($A186,Leveranser_per_nät,'Leveranser per nät'!G$1,FALSE)
               +Andel_beroende_av_klimat*VLOOKUP($A186,Leveranser_per_nät,'Leveranser per nät'!G$1,FALSE)/VLOOKUP($B186,Korrigeringsfaktor_GD,'Korrigeringsfaktor GD'!G$1,FALSE),
"")</f>
        <v>343.52988505747123</v>
      </c>
      <c r="H186" s="18">
        <f>IFERROR(
                  Andel_oberoende_av_klimat*VLOOKUP($A186,Leveranser_per_nät,'Leveranser per nät'!H$1,FALSE)
               +Andel_beroende_av_klimat*VLOOKUP($A186,Leveranser_per_nät,'Leveranser per nät'!H$1,FALSE)/VLOOKUP($B186,Korrigeringsfaktor_GD,'Korrigeringsfaktor GD'!H$1,FALSE),
"")</f>
        <v>350.55346534653467</v>
      </c>
      <c r="I186" s="18">
        <f>IFERROR(
                  Andel_oberoende_av_klimat*VLOOKUP($A186,Leveranser_per_nät,'Leveranser per nät'!I$1,FALSE)
               +Andel_beroende_av_klimat*VLOOKUP($A186,Leveranser_per_nät,'Leveranser per nät'!I$1,FALSE)/VLOOKUP($B186,Korrigeringsfaktor_GD,'Korrigeringsfaktor GD'!I$1,FALSE),
"")</f>
        <v>352.46907216494844</v>
      </c>
      <c r="J186" s="18">
        <f>IFERROR(
                  Andel_oberoende_av_klimat*VLOOKUP($A186,Leveranser_per_nät,'Leveranser per nät'!J$1,FALSE)
               +Andel_beroende_av_klimat*VLOOKUP($A186,Leveranser_per_nät,'Leveranser per nät'!J$1,FALSE)/VLOOKUP($B186,Korrigeringsfaktor_GD,'Korrigeringsfaktor GD'!J$1,FALSE),
"")</f>
        <v>357.02857142857147</v>
      </c>
      <c r="K186" s="18">
        <f>IFERROR(
                  Andel_oberoende_av_klimat*VLOOKUP($A186,Leveranser_per_nät,'Leveranser per nät'!K$1,FALSE)
               +Andel_beroende_av_klimat*VLOOKUP($A186,Leveranser_per_nät,'Leveranser per nät'!K$1,FALSE)/VLOOKUP($B186,Korrigeringsfaktor_GD,'Korrigeringsfaktor GD'!K$1,FALSE),
"")</f>
        <v>359.19969896907219</v>
      </c>
      <c r="L186" s="18">
        <f>IFERROR(
                  Andel_oberoende_av_klimat*VLOOKUP($A186,Leveranser_per_nät,'Leveranser per nät'!L$1,FALSE)
               +Andel_beroende_av_klimat*VLOOKUP($A186,Leveranser_per_nät,'Leveranser per nät'!L$1,FALSE)/VLOOKUP($B186,Korrigeringsfaktor_GD,'Korrigeringsfaktor GD'!L$1,FALSE),
"")</f>
        <v>354.61691489361704</v>
      </c>
      <c r="M186" s="18">
        <f>IFERROR(
                  Andel_oberoende_av_klimat*VLOOKUP($A186,Leveranser_per_nät,'Leveranser per nät'!M$1,FALSE)
               +Andel_beroende_av_klimat*VLOOKUP($A186,Leveranser_per_nät,'Leveranser per nät'!M$1,FALSE)/VLOOKUP($B186,Korrigeringsfaktor_GD,'Korrigeringsfaktor GD'!M$1,FALSE),
"")</f>
        <v>357.51304347826084</v>
      </c>
      <c r="N186" s="18">
        <f>IFERROR(
                  Andel_oberoende_av_klimat*VLOOKUP($A186,Leveranser_per_nät,'Leveranser per nät'!N$1,FALSE)
               +Andel_beroende_av_klimat*VLOOKUP($A186,Leveranser_per_nät,'Leveranser per nät'!N$1,FALSE)/VLOOKUP($B186,Korrigeringsfaktor_GD,'Korrigeringsfaktor GD'!N$1,FALSE),
"")</f>
        <v>349.02608695652174</v>
      </c>
      <c r="O186" s="18">
        <f>IFERROR(
                  Andel_oberoende_av_klimat*VLOOKUP($A186,Leveranser_per_nät,'Leveranser per nät'!O$1,FALSE)
               +Andel_beroende_av_klimat*VLOOKUP($A186,Leveranser_per_nät,'Leveranser per nät'!O$1,FALSE)/VLOOKUP($B186,Korrigeringsfaktor_GD,'Korrigeringsfaktor GD'!O$1,FALSE),
"")</f>
        <v>357.82222222222219</v>
      </c>
      <c r="P186" s="18">
        <f>IFERROR(
                  Andel_oberoende_av_klimat*VLOOKUP($A186,Leveranser_per_nät,'Leveranser per nät'!P$1,FALSE)
               +Andel_beroende_av_klimat*VLOOKUP($A186,Leveranser_per_nät,'Leveranser per nät'!P$1,FALSE)/VLOOKUP($B186,Korrigeringsfaktor_GD,'Korrigeringsfaktor GD'!P$1,FALSE),
"")</f>
        <v>351.46767676767678</v>
      </c>
      <c r="Q186" s="18">
        <f>IFERROR(
                  Andel_oberoende_av_klimat*VLOOKUP($A186,Leveranser_per_nät,'Leveranser per nät'!Q$1,FALSE)
               +Andel_beroende_av_klimat*VLOOKUP($A186,Leveranser_per_nät,'Leveranser per nät'!Q$1,FALSE)/VLOOKUP($B186,Korrigeringsfaktor_GD,'Korrigeringsfaktor GD'!Q$1,FALSE),
"")</f>
        <v>350.86239572954969</v>
      </c>
      <c r="R186" s="18">
        <f>IFERROR(
                  Andel_oberoende_av_klimat*VLOOKUP($A186,Leveranser_per_nät,'Leveranser per nät'!R$1,FALSE)
               +Andel_beroende_av_klimat*VLOOKUP($A186,Leveranser_per_nät,'Leveranser per nät'!R$1,FALSE)/VLOOKUP($B186,Korrigeringsfaktor_GD,'Korrigeringsfaktor GD'!R$1,FALSE),
"")</f>
        <v>347.10255955197243</v>
      </c>
      <c r="S186" s="18">
        <f>IFERROR(
                  Andel_oberoende_av_klimat*VLOOKUP($A186,Leveranser_per_nät,'Leveranser per nät'!S$1,FALSE)
               +Andel_beroende_av_klimat*VLOOKUP($A186,Leveranser_per_nät,'Leveranser per nät'!S$1,FALSE)/VLOOKUP($B186,Korrigeringsfaktor_GD,'Korrigeringsfaktor GD'!S$1,FALSE),
"")</f>
        <v>323.26969696969695</v>
      </c>
      <c r="T186" s="18">
        <f>IFERROR(
                  Andel_oberoende_av_klimat*VLOOKUP($A186,Leveranser_per_nät,'Leveranser per nät'!T$1,FALSE)
               +Andel_beroende_av_klimat*VLOOKUP($A186,Leveranser_per_nät,'Leveranser per nät'!T$1,FALSE)/VLOOKUP($B186,Korrigeringsfaktor_GD,'Korrigeringsfaktor GD'!T$1,FALSE),
"")</f>
        <v>336.12583333333339</v>
      </c>
      <c r="U186" s="18">
        <f>IFERROR(
                  Andel_oberoende_av_klimat*VLOOKUP($A186,Leveranser_per_nät,'Leveranser per nät'!U$1,FALSE)
               +Andel_beroende_av_klimat*VLOOKUP($A186,Leveranser_per_nät,'Leveranser per nät'!U$1,FALSE)/VLOOKUP($B186,Korrigeringsfaktor_GD,'Korrigeringsfaktor GD'!U$1,FALSE),
"")</f>
        <v>325.30402298850572</v>
      </c>
      <c r="V186" s="18">
        <f>IFERROR(
                  Andel_oberoende_av_klimat*VLOOKUP($A186,Leveranser_per_nät,'Leveranser per nät'!V$1,FALSE)
               +Andel_beroende_av_klimat*VLOOKUP($A186,Leveranser_per_nät,'Leveranser per nät'!V$1,FALSE)/VLOOKUP($B186,Korrigeringsfaktor_GD,'Korrigeringsfaktor GD'!V$1,FALSE),
"")</f>
        <v>321.17438202247195</v>
      </c>
      <c r="W186" s="18">
        <f>IFERROR(
                  Andel_oberoende_av_klimat*VLOOKUP($A186,Leveranser_per_nät,'Leveranser per nät'!W$1,FALSE)
               +Andel_beroende_av_klimat*VLOOKUP($A186,Leveranser_per_nät,'Leveranser per nät'!W$1,FALSE)/VLOOKUP($B186,Korrigeringsfaktor_GD,'Korrigeringsfaktor GD'!W$1,FALSE),
"")</f>
        <v>333.34473684210525</v>
      </c>
      <c r="X186" s="18">
        <f>IFERROR(
                  Andel_oberoende_av_klimat*VLOOKUP($A186,Leveranser_per_nät,'Leveranser per nät'!X$1,FALSE)
               +Andel_beroende_av_klimat*VLOOKUP($A186,Leveranser_per_nät,'Leveranser per nät'!X$1,FALSE)/VLOOKUP($B186,Korrigeringsfaktor_GD,'Korrigeringsfaktor GD'!X$1,FALSE),
"")</f>
        <v>322.54083333333335</v>
      </c>
      <c r="Y186" s="18">
        <f>IFERROR(
                  Andel_oberoende_av_klimat*VLOOKUP($A186,Leveranser_per_nät,'Leveranser per nät'!Y$1,FALSE)
               +Andel_beroende_av_klimat*VLOOKUP($A186,Leveranser_per_nät,'Leveranser per nät'!Y$1,FALSE)/VLOOKUP($B186,Korrigeringsfaktor_GD,'Korrigeringsfaktor GD'!Y$1,FALSE),
"")</f>
        <v>318.83659574468089</v>
      </c>
      <c r="Z186" s="18">
        <f>IFERROR(
                  Andel_oberoende_av_klimat*VLOOKUP($A186,Leveranser_per_nät,'Leveranser per nät'!Z$1,FALSE)
               +Andel_beroende_av_klimat*VLOOKUP($A186,Leveranser_per_nät,'Leveranser per nät'!Z$1,FALSE)/VLOOKUP($B186,Korrigeringsfaktor_GD,'Korrigeringsfaktor GD'!Z$1,FALSE),
"")</f>
        <v>315.07574468085113</v>
      </c>
      <c r="AA186" s="18">
        <f>IFERROR(
                  Andel_oberoende_av_klimat*VLOOKUP($A186,Leveranser_per_nät,'Leveranser per nät'!AA$1,FALSE)
               +Andel_beroende_av_klimat*VLOOKUP($A186,Leveranser_per_nät,'Leveranser per nät'!AA$1,FALSE)/VLOOKUP($B186,Korrigeringsfaktor_GD,'Korrigeringsfaktor GD'!AA$1,FALSE),
"")</f>
        <v>323.31235767842264</v>
      </c>
      <c r="AB186" s="18">
        <f>IFERROR(
                  Andel_oberoende_av_klimat*VLOOKUP($A186,Leveranser_per_nät,'Leveranser per nät'!AB$1,FALSE)
               +Andel_beroende_av_klimat*VLOOKUP($A186,Leveranser_per_nät,'Leveranser per nät'!AB$1,FALSE)/VLOOKUP($B186,Korrigeringsfaktor_GD,'Korrigeringsfaktor GD'!AB$1,FALSE),
"")</f>
        <v>316.42210937499999</v>
      </c>
      <c r="AC186" s="18">
        <f>IFERROR(
                  Andel_oberoende_av_klimat*VLOOKUP($A186,Leveranser_per_nät,'Leveranser per nät'!AC$1,FALSE)
               +Andel_beroende_av_klimat*VLOOKUP($A186,Leveranser_per_nät,'Leveranser per nät'!AC$1,FALSE)/VLOOKUP($B186,Korrigeringsfaktor_GD,'Korrigeringsfaktor GD'!AC$1,FALSE),
"")</f>
        <v>312.58150368033648</v>
      </c>
      <c r="AD186">
        <v>301.7</v>
      </c>
    </row>
    <row r="187" spans="1:30" x14ac:dyDescent="0.25">
      <c r="A187" t="s">
        <v>0</v>
      </c>
      <c r="B187" t="s">
        <v>0</v>
      </c>
      <c r="C187" s="18">
        <f>IFERROR(
                  Andel_oberoende_av_klimat*VLOOKUP($A187,Leveranser_per_nät,'Leveranser per nät'!C$1,FALSE)
               +Andel_beroende_av_klimat*VLOOKUP($A187,Leveranser_per_nät,'Leveranser per nät'!C$1,FALSE)/VLOOKUP($B187,Korrigeringsfaktor_GD,'Korrigeringsfaktor GD'!C$1,FALSE),
"")</f>
        <v>82.324999999999989</v>
      </c>
      <c r="D187" s="18">
        <f>IFERROR(
                  Andel_oberoende_av_klimat*VLOOKUP($A187,Leveranser_per_nät,'Leveranser per nät'!D$1,FALSE)
               +Andel_beroende_av_klimat*VLOOKUP($A187,Leveranser_per_nät,'Leveranser per nät'!D$1,FALSE)/VLOOKUP($B187,Korrigeringsfaktor_GD,'Korrigeringsfaktor GD'!D$1,FALSE),
"")</f>
        <v>57</v>
      </c>
      <c r="E187" s="18">
        <f>IFERROR(
                  Andel_oberoende_av_klimat*VLOOKUP($A187,Leveranser_per_nät,'Leveranser per nät'!E$1,FALSE)
               +Andel_beroende_av_klimat*VLOOKUP($A187,Leveranser_per_nät,'Leveranser per nät'!E$1,FALSE)/VLOOKUP($B187,Korrigeringsfaktor_GD,'Korrigeringsfaktor GD'!E$1,FALSE),
"")</f>
        <v>56.21764705882353</v>
      </c>
      <c r="F187" s="18">
        <f>IFERROR(
                  Andel_oberoende_av_klimat*VLOOKUP($A187,Leveranser_per_nät,'Leveranser per nät'!F$1,FALSE)
               +Andel_beroende_av_klimat*VLOOKUP($A187,Leveranser_per_nät,'Leveranser per nät'!F$1,FALSE)/VLOOKUP($B187,Korrigeringsfaktor_GD,'Korrigeringsfaktor GD'!F$1,FALSE),
"")</f>
        <v>79.629473684210524</v>
      </c>
      <c r="G187" s="18">
        <f>IFERROR(
                  Andel_oberoende_av_klimat*VLOOKUP($A187,Leveranser_per_nät,'Leveranser per nät'!G$1,FALSE)
               +Andel_beroende_av_klimat*VLOOKUP($A187,Leveranser_per_nät,'Leveranser per nät'!G$1,FALSE)/VLOOKUP($B187,Korrigeringsfaktor_GD,'Korrigeringsfaktor GD'!G$1,FALSE),
"")</f>
        <v>84.833103448275864</v>
      </c>
      <c r="H187" s="18">
        <f>IFERROR(
                  Andel_oberoende_av_klimat*VLOOKUP($A187,Leveranser_per_nät,'Leveranser per nät'!H$1,FALSE)
               +Andel_beroende_av_klimat*VLOOKUP($A187,Leveranser_per_nät,'Leveranser per nät'!H$1,FALSE)/VLOOKUP($B187,Korrigeringsfaktor_GD,'Korrigeringsfaktor GD'!H$1,FALSE),
"")</f>
        <v>166.22306262626265</v>
      </c>
      <c r="I187" s="18">
        <f>IFERROR(
                  Andel_oberoende_av_klimat*VLOOKUP($A187,Leveranser_per_nät,'Leveranser per nät'!I$1,FALSE)
               +Andel_beroende_av_klimat*VLOOKUP($A187,Leveranser_per_nät,'Leveranser per nät'!I$1,FALSE)/VLOOKUP($B187,Korrigeringsfaktor_GD,'Korrigeringsfaktor GD'!I$1,FALSE),
"")</f>
        <v>199.81710000000004</v>
      </c>
      <c r="J187" s="18">
        <f>IFERROR(
                  Andel_oberoende_av_klimat*VLOOKUP($A187,Leveranser_per_nät,'Leveranser per nät'!J$1,FALSE)
               +Andel_beroende_av_klimat*VLOOKUP($A187,Leveranser_per_nät,'Leveranser per nät'!J$1,FALSE)/VLOOKUP($B187,Korrigeringsfaktor_GD,'Korrigeringsfaktor GD'!J$1,FALSE),
"")</f>
        <v>198.55305353535354</v>
      </c>
      <c r="K187" s="18">
        <f>IFERROR(
                  Andel_oberoende_av_klimat*VLOOKUP($A187,Leveranser_per_nät,'Leveranser per nät'!K$1,FALSE)
               +Andel_beroende_av_klimat*VLOOKUP($A187,Leveranser_per_nät,'Leveranser per nät'!K$1,FALSE)/VLOOKUP($B187,Korrigeringsfaktor_GD,'Korrigeringsfaktor GD'!K$1,FALSE),
"")</f>
        <v>201.1</v>
      </c>
      <c r="L187" s="18">
        <f>IFERROR(
                  Andel_oberoende_av_klimat*VLOOKUP($A187,Leveranser_per_nät,'Leveranser per nät'!L$1,FALSE)
               +Andel_beroende_av_klimat*VLOOKUP($A187,Leveranser_per_nät,'Leveranser per nät'!L$1,FALSE)/VLOOKUP($B187,Korrigeringsfaktor_GD,'Korrigeringsfaktor GD'!L$1,FALSE),
"")</f>
        <v>201.66332857142859</v>
      </c>
      <c r="M187" s="18">
        <f>IFERROR(
                  Andel_oberoende_av_klimat*VLOOKUP($A187,Leveranser_per_nät,'Leveranser per nät'!M$1,FALSE)
               +Andel_beroende_av_klimat*VLOOKUP($A187,Leveranser_per_nät,'Leveranser per nät'!M$1,FALSE)/VLOOKUP($B187,Korrigeringsfaktor_GD,'Korrigeringsfaktor GD'!M$1,FALSE),
"")</f>
        <v>207.71221935483871</v>
      </c>
      <c r="N187" s="18">
        <f>IFERROR(
                  Andel_oberoende_av_klimat*VLOOKUP($A187,Leveranser_per_nät,'Leveranser per nät'!N$1,FALSE)
               +Andel_beroende_av_klimat*VLOOKUP($A187,Leveranser_per_nät,'Leveranser per nät'!N$1,FALSE)/VLOOKUP($B187,Korrigeringsfaktor_GD,'Korrigeringsfaktor GD'!N$1,FALSE),
"")</f>
        <v>210.95919887640449</v>
      </c>
      <c r="O187" s="18">
        <f>IFERROR(
                  Andel_oberoende_av_klimat*VLOOKUP($A187,Leveranser_per_nät,'Leveranser per nät'!O$1,FALSE)
               +Andel_beroende_av_klimat*VLOOKUP($A187,Leveranser_per_nät,'Leveranser per nät'!O$1,FALSE)/VLOOKUP($B187,Korrigeringsfaktor_GD,'Korrigeringsfaktor GD'!O$1,FALSE),
"")</f>
        <v>215.44085454545456</v>
      </c>
      <c r="P187" s="18">
        <f>IFERROR(
                  Andel_oberoende_av_klimat*VLOOKUP($A187,Leveranser_per_nät,'Leveranser per nät'!P$1,FALSE)
               +Andel_beroende_av_klimat*VLOOKUP($A187,Leveranser_per_nät,'Leveranser per nät'!P$1,FALSE)/VLOOKUP($B187,Korrigeringsfaktor_GD,'Korrigeringsfaktor GD'!P$1,FALSE),
"")</f>
        <v>228.13432989690725</v>
      </c>
      <c r="Q187" s="18">
        <f>IFERROR(
                  Andel_oberoende_av_klimat*VLOOKUP($A187,Leveranser_per_nät,'Leveranser per nät'!Q$1,FALSE)
               +Andel_beroende_av_klimat*VLOOKUP($A187,Leveranser_per_nät,'Leveranser per nät'!Q$1,FALSE)/VLOOKUP($B187,Korrigeringsfaktor_GD,'Korrigeringsfaktor GD'!Q$1,FALSE),
"")</f>
        <v>248.38839999999999</v>
      </c>
      <c r="R187" s="18">
        <f>IFERROR(
                  Andel_oberoende_av_klimat*VLOOKUP($A187,Leveranser_per_nät,'Leveranser per nät'!R$1,FALSE)
               +Andel_beroende_av_klimat*VLOOKUP($A187,Leveranser_per_nät,'Leveranser per nät'!R$1,FALSE)/VLOOKUP($B187,Korrigeringsfaktor_GD,'Korrigeringsfaktor GD'!R$1,FALSE),
"")</f>
        <v>279.85925591397842</v>
      </c>
      <c r="S187" s="18">
        <f>IFERROR(
                  Andel_oberoende_av_klimat*VLOOKUP($A187,Leveranser_per_nät,'Leveranser per nät'!S$1,FALSE)
               +Andel_beroende_av_klimat*VLOOKUP($A187,Leveranser_per_nät,'Leveranser per nät'!S$1,FALSE)/VLOOKUP($B187,Korrigeringsfaktor_GD,'Korrigeringsfaktor GD'!S$1,FALSE),
"")</f>
        <v>248.5</v>
      </c>
      <c r="T187" s="18">
        <f>IFERROR(
                  Andel_oberoende_av_klimat*VLOOKUP($A187,Leveranser_per_nät,'Leveranser per nät'!T$1,FALSE)
               +Andel_beroende_av_klimat*VLOOKUP($A187,Leveranser_per_nät,'Leveranser per nät'!T$1,FALSE)/VLOOKUP($B187,Korrigeringsfaktor_GD,'Korrigeringsfaktor GD'!T$1,FALSE),
"")</f>
        <v>242.31</v>
      </c>
      <c r="U187" s="18">
        <f>IFERROR(
                  Andel_oberoende_av_klimat*VLOOKUP($A187,Leveranser_per_nät,'Leveranser per nät'!U$1,FALSE)
               +Andel_beroende_av_klimat*VLOOKUP($A187,Leveranser_per_nät,'Leveranser per nät'!U$1,FALSE)/VLOOKUP($B187,Korrigeringsfaktor_GD,'Korrigeringsfaktor GD'!U$1,FALSE),
"")</f>
        <v>243.22984337349396</v>
      </c>
      <c r="V187" s="18">
        <f>IFERROR(
                  Andel_oberoende_av_klimat*VLOOKUP($A187,Leveranser_per_nät,'Leveranser per nät'!V$1,FALSE)
               +Andel_beroende_av_klimat*VLOOKUP($A187,Leveranser_per_nät,'Leveranser per nät'!V$1,FALSE)/VLOOKUP($B187,Korrigeringsfaktor_GD,'Korrigeringsfaktor GD'!V$1,FALSE),
"")</f>
        <v>236.22497674418605</v>
      </c>
      <c r="W187" s="18">
        <f>IFERROR(
                  Andel_oberoende_av_klimat*VLOOKUP($A187,Leveranser_per_nät,'Leveranser per nät'!W$1,FALSE)
               +Andel_beroende_av_klimat*VLOOKUP($A187,Leveranser_per_nät,'Leveranser per nät'!W$1,FALSE)/VLOOKUP($B187,Korrigeringsfaktor_GD,'Korrigeringsfaktor GD'!W$1,FALSE),
"")</f>
        <v>245.8411111111111</v>
      </c>
      <c r="X187" s="18">
        <f>IFERROR(
                  Andel_oberoende_av_klimat*VLOOKUP($A187,Leveranser_per_nät,'Leveranser per nät'!X$1,FALSE)
               +Andel_beroende_av_klimat*VLOOKUP($A187,Leveranser_per_nät,'Leveranser per nät'!X$1,FALSE)/VLOOKUP($B187,Korrigeringsfaktor_GD,'Korrigeringsfaktor GD'!X$1,FALSE),
"")</f>
        <v>262.69804494382021</v>
      </c>
      <c r="Y187" s="18">
        <f>IFERROR(
                  Andel_oberoende_av_klimat*VLOOKUP($A187,Leveranser_per_nät,'Leveranser per nät'!Y$1,FALSE)
               +Andel_beroende_av_klimat*VLOOKUP($A187,Leveranser_per_nät,'Leveranser per nät'!Y$1,FALSE)/VLOOKUP($B187,Korrigeringsfaktor_GD,'Korrigeringsfaktor GD'!Y$1,FALSE),
"")</f>
        <v>264.34520449438202</v>
      </c>
      <c r="Z187" s="18">
        <f>IFERROR(
                  Andel_oberoende_av_klimat*VLOOKUP($A187,Leveranser_per_nät,'Leveranser per nät'!Z$1,FALSE)
               +Andel_beroende_av_klimat*VLOOKUP($A187,Leveranser_per_nät,'Leveranser per nät'!Z$1,FALSE)/VLOOKUP($B187,Korrigeringsfaktor_GD,'Korrigeringsfaktor GD'!Z$1,FALSE),
"")</f>
        <v>252.9586153846154</v>
      </c>
      <c r="AA187" s="18">
        <f>IFERROR(
                  Andel_oberoende_av_klimat*VLOOKUP($A187,Leveranser_per_nät,'Leveranser per nät'!AA$1,FALSE)
               +Andel_beroende_av_klimat*VLOOKUP($A187,Leveranser_per_nät,'Leveranser per nät'!AA$1,FALSE)/VLOOKUP($B187,Korrigeringsfaktor_GD,'Korrigeringsfaktor GD'!AA$1,FALSE),
"")</f>
        <v>260.32288838268795</v>
      </c>
      <c r="AB187" s="18">
        <f>IFERROR(
                  Andel_oberoende_av_klimat*VLOOKUP($A187,Leveranser_per_nät,'Leveranser per nät'!AB$1,FALSE)
               +Andel_beroende_av_klimat*VLOOKUP($A187,Leveranser_per_nät,'Leveranser per nät'!AB$1,FALSE)/VLOOKUP($B187,Korrigeringsfaktor_GD,'Korrigeringsfaktor GD'!AB$1,FALSE),
"")</f>
        <v>261.42887649402394</v>
      </c>
      <c r="AC187" s="18">
        <f>IFERROR(
                  Andel_oberoende_av_klimat*VLOOKUP($A187,Leveranser_per_nät,'Leveranser per nät'!AC$1,FALSE)
               +Andel_beroende_av_klimat*VLOOKUP($A187,Leveranser_per_nät,'Leveranser per nät'!AC$1,FALSE)/VLOOKUP($B187,Korrigeringsfaktor_GD,'Korrigeringsfaktor GD'!AC$1,FALSE),
"")</f>
        <v>253.72518378378379</v>
      </c>
      <c r="AD187">
        <v>240.09800000000001</v>
      </c>
    </row>
    <row r="188" spans="1:30" x14ac:dyDescent="0.25">
      <c r="A188" t="s">
        <v>166</v>
      </c>
      <c r="B188" t="s">
        <v>166</v>
      </c>
      <c r="C188" s="18">
        <f>IFERROR(
                  Andel_oberoende_av_klimat*VLOOKUP($A188,Leveranser_per_nät,'Leveranser per nät'!C$1,FALSE)
               +Andel_beroende_av_klimat*VLOOKUP($A188,Leveranser_per_nät,'Leveranser per nät'!C$1,FALSE)/VLOOKUP($B188,Korrigeringsfaktor_GD,'Korrigeringsfaktor GD'!C$1,FALSE),
"")</f>
        <v>449.4545454545455</v>
      </c>
      <c r="D188" s="18">
        <f>IFERROR(
                  Andel_oberoende_av_klimat*VLOOKUP($A188,Leveranser_per_nät,'Leveranser per nät'!D$1,FALSE)
               +Andel_beroende_av_klimat*VLOOKUP($A188,Leveranser_per_nät,'Leveranser per nät'!D$1,FALSE)/VLOOKUP($B188,Korrigeringsfaktor_GD,'Korrigeringsfaktor GD'!D$1,FALSE),
"")</f>
        <v>446.92471428571429</v>
      </c>
      <c r="E188" s="18">
        <f>IFERROR(
                  Andel_oberoende_av_klimat*VLOOKUP($A188,Leveranser_per_nät,'Leveranser per nät'!E$1,FALSE)
               +Andel_beroende_av_klimat*VLOOKUP($A188,Leveranser_per_nät,'Leveranser per nät'!E$1,FALSE)/VLOOKUP($B188,Korrigeringsfaktor_GD,'Korrigeringsfaktor GD'!E$1,FALSE),
"")</f>
        <v>463.76336633663368</v>
      </c>
      <c r="F188" s="18">
        <f>IFERROR(
                  Andel_oberoende_av_klimat*VLOOKUP($A188,Leveranser_per_nät,'Leveranser per nät'!F$1,FALSE)
               +Andel_beroende_av_klimat*VLOOKUP($A188,Leveranser_per_nät,'Leveranser per nät'!F$1,FALSE)/VLOOKUP($B188,Korrigeringsfaktor_GD,'Korrigeringsfaktor GD'!F$1,FALSE),
"")</f>
        <v>484.20526315789476</v>
      </c>
      <c r="G188" s="18">
        <f>IFERROR(
                  Andel_oberoende_av_klimat*VLOOKUP($A188,Leveranser_per_nät,'Leveranser per nät'!G$1,FALSE)
               +Andel_beroende_av_klimat*VLOOKUP($A188,Leveranser_per_nät,'Leveranser per nät'!G$1,FALSE)/VLOOKUP($B188,Korrigeringsfaktor_GD,'Korrigeringsfaktor GD'!G$1,FALSE),
"")</f>
        <v>457.27647058823533</v>
      </c>
      <c r="H188" s="18">
        <f>IFERROR(
                  Andel_oberoende_av_klimat*VLOOKUP($A188,Leveranser_per_nät,'Leveranser per nät'!H$1,FALSE)
               +Andel_beroende_av_klimat*VLOOKUP($A188,Leveranser_per_nät,'Leveranser per nät'!H$1,FALSE)/VLOOKUP($B188,Korrigeringsfaktor_GD,'Korrigeringsfaktor GD'!H$1,FALSE),
"")</f>
        <v>477.66633663366338</v>
      </c>
      <c r="I188" s="18">
        <f>IFERROR(
                  Andel_oberoende_av_klimat*VLOOKUP($A188,Leveranser_per_nät,'Leveranser per nät'!I$1,FALSE)
               +Andel_beroende_av_klimat*VLOOKUP($A188,Leveranser_per_nät,'Leveranser per nät'!I$1,FALSE)/VLOOKUP($B188,Korrigeringsfaktor_GD,'Korrigeringsfaktor GD'!I$1,FALSE),
"")</f>
        <v>481.65000000000003</v>
      </c>
      <c r="J188" s="18">
        <f>IFERROR(
                  Andel_oberoende_av_klimat*VLOOKUP($A188,Leveranser_per_nät,'Leveranser per nät'!J$1,FALSE)
               +Andel_beroende_av_klimat*VLOOKUP($A188,Leveranser_per_nät,'Leveranser per nät'!J$1,FALSE)/VLOOKUP($B188,Korrigeringsfaktor_GD,'Korrigeringsfaktor GD'!J$1,FALSE),
"")</f>
        <v>481.19690721649488</v>
      </c>
      <c r="K188" s="18">
        <f>IFERROR(
                  Andel_oberoende_av_klimat*VLOOKUP($A188,Leveranser_per_nät,'Leveranser per nät'!K$1,FALSE)
               +Andel_beroende_av_klimat*VLOOKUP($A188,Leveranser_per_nät,'Leveranser per nät'!K$1,FALSE)/VLOOKUP($B188,Korrigeringsfaktor_GD,'Korrigeringsfaktor GD'!K$1,FALSE),
"")</f>
        <v>468.48901666666666</v>
      </c>
      <c r="L188" s="18">
        <f>IFERROR(
                  Andel_oberoende_av_klimat*VLOOKUP($A188,Leveranser_per_nät,'Leveranser per nät'!L$1,FALSE)
               +Andel_beroende_av_klimat*VLOOKUP($A188,Leveranser_per_nät,'Leveranser per nät'!L$1,FALSE)/VLOOKUP($B188,Korrigeringsfaktor_GD,'Korrigeringsfaktor GD'!L$1,FALSE),
"")</f>
        <v>472.34013010752687</v>
      </c>
      <c r="M188" s="18">
        <f>IFERROR(
                  Andel_oberoende_av_klimat*VLOOKUP($A188,Leveranser_per_nät,'Leveranser per nät'!M$1,FALSE)
               +Andel_beroende_av_klimat*VLOOKUP($A188,Leveranser_per_nät,'Leveranser per nät'!M$1,FALSE)/VLOOKUP($B188,Korrigeringsfaktor_GD,'Korrigeringsfaktor GD'!M$1,FALSE),
"")</f>
        <v>490.68718260869565</v>
      </c>
      <c r="N188" s="18">
        <f>IFERROR(
                  Andel_oberoende_av_klimat*VLOOKUP($A188,Leveranser_per_nät,'Leveranser per nät'!N$1,FALSE)
               +Andel_beroende_av_klimat*VLOOKUP($A188,Leveranser_per_nät,'Leveranser per nät'!N$1,FALSE)/VLOOKUP($B188,Korrigeringsfaktor_GD,'Korrigeringsfaktor GD'!N$1,FALSE),
"")</f>
        <v>491.50299130434786</v>
      </c>
      <c r="O188" s="18">
        <f>IFERROR(
                  Andel_oberoende_av_klimat*VLOOKUP($A188,Leveranser_per_nät,'Leveranser per nät'!O$1,FALSE)
               +Andel_beroende_av_klimat*VLOOKUP($A188,Leveranser_per_nät,'Leveranser per nät'!O$1,FALSE)/VLOOKUP($B188,Korrigeringsfaktor_GD,'Korrigeringsfaktor GD'!O$1,FALSE),
"")</f>
        <v>531.89346067415727</v>
      </c>
      <c r="P188" s="18">
        <f>IFERROR(
                  Andel_oberoende_av_klimat*VLOOKUP($A188,Leveranser_per_nät,'Leveranser per nät'!P$1,FALSE)
               +Andel_beroende_av_klimat*VLOOKUP($A188,Leveranser_per_nät,'Leveranser per nät'!P$1,FALSE)/VLOOKUP($B188,Korrigeringsfaktor_GD,'Korrigeringsfaktor GD'!P$1,FALSE),
"")</f>
        <v>599.39237171717173</v>
      </c>
      <c r="Q188" s="18">
        <f>IFERROR(
                  Andel_oberoende_av_klimat*VLOOKUP($A188,Leveranser_per_nät,'Leveranser per nät'!Q$1,FALSE)
               +Andel_beroende_av_klimat*VLOOKUP($A188,Leveranser_per_nät,'Leveranser per nät'!Q$1,FALSE)/VLOOKUP($B188,Korrigeringsfaktor_GD,'Korrigeringsfaktor GD'!Q$1,FALSE),
"")</f>
        <v>644.29803333333336</v>
      </c>
      <c r="R188" s="18">
        <f>IFERROR(
                  Andel_oberoende_av_klimat*VLOOKUP($A188,Leveranser_per_nät,'Leveranser per nät'!R$1,FALSE)
               +Andel_beroende_av_klimat*VLOOKUP($A188,Leveranser_per_nät,'Leveranser per nät'!R$1,FALSE)/VLOOKUP($B188,Korrigeringsfaktor_GD,'Korrigeringsfaktor GD'!R$1,FALSE),
"")</f>
        <v>624.98890769230775</v>
      </c>
      <c r="S188" s="18">
        <f>IFERROR(
                  Andel_oberoende_av_klimat*VLOOKUP($A188,Leveranser_per_nät,'Leveranser per nät'!S$1,FALSE)
               +Andel_beroende_av_klimat*VLOOKUP($A188,Leveranser_per_nät,'Leveranser per nät'!S$1,FALSE)/VLOOKUP($B188,Korrigeringsfaktor_GD,'Korrigeringsfaktor GD'!S$1,FALSE),
"")</f>
        <v>555</v>
      </c>
      <c r="T188" s="18">
        <f>IFERROR(
                  Andel_oberoende_av_klimat*VLOOKUP($A188,Leveranser_per_nät,'Leveranser per nät'!T$1,FALSE)
               +Andel_beroende_av_klimat*VLOOKUP($A188,Leveranser_per_nät,'Leveranser per nät'!T$1,FALSE)/VLOOKUP($B188,Korrigeringsfaktor_GD,'Korrigeringsfaktor GD'!T$1,FALSE),
"")</f>
        <v>557.00432061855668</v>
      </c>
      <c r="U188" s="18">
        <f>IFERROR(
                  Andel_oberoende_av_klimat*VLOOKUP($A188,Leveranser_per_nät,'Leveranser per nät'!U$1,FALSE)
               +Andel_beroende_av_klimat*VLOOKUP($A188,Leveranser_per_nät,'Leveranser per nät'!U$1,FALSE)/VLOOKUP($B188,Korrigeringsfaktor_GD,'Korrigeringsfaktor GD'!U$1,FALSE),
"")</f>
        <v>545.56317674418608</v>
      </c>
      <c r="V188" s="18">
        <f>IFERROR(
                  Andel_oberoende_av_klimat*VLOOKUP($A188,Leveranser_per_nät,'Leveranser per nät'!V$1,FALSE)
               +Andel_beroende_av_klimat*VLOOKUP($A188,Leveranser_per_nät,'Leveranser per nät'!V$1,FALSE)/VLOOKUP($B188,Korrigeringsfaktor_GD,'Korrigeringsfaktor GD'!V$1,FALSE),
"")</f>
        <v>530.50015454545451</v>
      </c>
      <c r="W188" s="18">
        <f>IFERROR(
                  Andel_oberoende_av_klimat*VLOOKUP($A188,Leveranser_per_nät,'Leveranser per nät'!W$1,FALSE)
               +Andel_beroende_av_klimat*VLOOKUP($A188,Leveranser_per_nät,'Leveranser per nät'!W$1,FALSE)/VLOOKUP($B188,Korrigeringsfaktor_GD,'Korrigeringsfaktor GD'!W$1,FALSE),
"")</f>
        <v>530.02849462365589</v>
      </c>
      <c r="X188" s="18">
        <f>IFERROR(
                  Andel_oberoende_av_klimat*VLOOKUP($A188,Leveranser_per_nät,'Leveranser per nät'!X$1,FALSE)
               +Andel_beroende_av_klimat*VLOOKUP($A188,Leveranser_per_nät,'Leveranser per nät'!X$1,FALSE)/VLOOKUP($B188,Korrigeringsfaktor_GD,'Korrigeringsfaktor GD'!X$1,FALSE),
"")</f>
        <v>541.72667826086956</v>
      </c>
      <c r="Y188" s="18">
        <f>IFERROR(
                  Andel_oberoende_av_klimat*VLOOKUP($A188,Leveranser_per_nät,'Leveranser per nät'!Y$1,FALSE)
               +Andel_beroende_av_klimat*VLOOKUP($A188,Leveranser_per_nät,'Leveranser per nät'!Y$1,FALSE)/VLOOKUP($B188,Korrigeringsfaktor_GD,'Korrigeringsfaktor GD'!Y$1,FALSE),
"")</f>
        <v>550.80241739130429</v>
      </c>
      <c r="Z188" s="18">
        <f>IFERROR(
                  Andel_oberoende_av_klimat*VLOOKUP($A188,Leveranser_per_nät,'Leveranser per nät'!Z$1,FALSE)
               +Andel_beroende_av_klimat*VLOOKUP($A188,Leveranser_per_nät,'Leveranser per nät'!Z$1,FALSE)/VLOOKUP($B188,Korrigeringsfaktor_GD,'Korrigeringsfaktor GD'!Z$1,FALSE),
"")</f>
        <v>539.58728888888891</v>
      </c>
      <c r="AA188" s="18">
        <f>IFERROR(
                  Andel_oberoende_av_klimat*VLOOKUP($A188,Leveranser_per_nät,'Leveranser per nät'!AA$1,FALSE)
               +Andel_beroende_av_klimat*VLOOKUP($A188,Leveranser_per_nät,'Leveranser per nät'!AA$1,FALSE)/VLOOKUP($B188,Korrigeringsfaktor_GD,'Korrigeringsfaktor GD'!AA$1,FALSE),
"")</f>
        <v>586.45679045092834</v>
      </c>
      <c r="AB188" s="18">
        <f>IFERROR(
                  Andel_oberoende_av_klimat*VLOOKUP($A188,Leveranser_per_nät,'Leveranser per nät'!AB$1,FALSE)
               +Andel_beroende_av_klimat*VLOOKUP($A188,Leveranser_per_nät,'Leveranser per nät'!AB$1,FALSE)/VLOOKUP($B188,Korrigeringsfaktor_GD,'Korrigeringsfaktor GD'!AB$1,FALSE),
"")</f>
        <v>540.6656231306082</v>
      </c>
      <c r="AC188" s="18">
        <f>IFERROR(
                  Andel_oberoende_av_klimat*VLOOKUP($A188,Leveranser_per_nät,'Leveranser per nät'!AC$1,FALSE)
               +Andel_beroende_av_klimat*VLOOKUP($A188,Leveranser_per_nät,'Leveranser per nät'!AC$1,FALSE)/VLOOKUP($B188,Korrigeringsfaktor_GD,'Korrigeringsfaktor GD'!AC$1,FALSE),
"")</f>
        <v>529.74162939297116</v>
      </c>
      <c r="AD188">
        <v>564.79999999999995</v>
      </c>
    </row>
    <row r="189" spans="1:30" x14ac:dyDescent="0.25">
      <c r="A189" t="s">
        <v>168</v>
      </c>
      <c r="B189" t="s">
        <v>168</v>
      </c>
      <c r="C189" s="18">
        <f>IFERROR(
                  Andel_oberoende_av_klimat*VLOOKUP($A189,Leveranser_per_nät,'Leveranser per nät'!C$1,FALSE)
               +Andel_beroende_av_klimat*VLOOKUP($A189,Leveranser_per_nät,'Leveranser per nät'!C$1,FALSE)/VLOOKUP($B189,Korrigeringsfaktor_GD,'Korrigeringsfaktor GD'!C$1,FALSE),
"")</f>
        <v>197.29369369369368</v>
      </c>
      <c r="D189" s="18">
        <f>IFERROR(
                  Andel_oberoende_av_klimat*VLOOKUP($A189,Leveranser_per_nät,'Leveranser per nät'!D$1,FALSE)
               +Andel_beroende_av_klimat*VLOOKUP($A189,Leveranser_per_nät,'Leveranser per nät'!D$1,FALSE)/VLOOKUP($B189,Korrigeringsfaktor_GD,'Korrigeringsfaktor GD'!D$1,FALSE),
"")</f>
        <v>187.49642424242424</v>
      </c>
      <c r="E189" s="18">
        <f>IFERROR(
                  Andel_oberoende_av_klimat*VLOOKUP($A189,Leveranser_per_nät,'Leveranser per nät'!E$1,FALSE)
               +Andel_beroende_av_klimat*VLOOKUP($A189,Leveranser_per_nät,'Leveranser per nät'!E$1,FALSE)/VLOOKUP($B189,Korrigeringsfaktor_GD,'Korrigeringsfaktor GD'!E$1,FALSE),
"")</f>
        <v>188.08543689320385</v>
      </c>
      <c r="F189" s="18">
        <f>IFERROR(
                  Andel_oberoende_av_klimat*VLOOKUP($A189,Leveranser_per_nät,'Leveranser per nät'!F$1,FALSE)
               +Andel_beroende_av_klimat*VLOOKUP($A189,Leveranser_per_nät,'Leveranser per nät'!F$1,FALSE)/VLOOKUP($B189,Korrigeringsfaktor_GD,'Korrigeringsfaktor GD'!F$1,FALSE),
"")</f>
        <v>181.44736842105263</v>
      </c>
      <c r="G189" s="18">
        <f>IFERROR(
                  Andel_oberoende_av_klimat*VLOOKUP($A189,Leveranser_per_nät,'Leveranser per nät'!G$1,FALSE)
               +Andel_beroende_av_klimat*VLOOKUP($A189,Leveranser_per_nät,'Leveranser per nät'!G$1,FALSE)/VLOOKUP($B189,Korrigeringsfaktor_GD,'Korrigeringsfaktor GD'!G$1,FALSE),
"")</f>
        <v>180.74999999999997</v>
      </c>
      <c r="H189" s="18">
        <f>IFERROR(
                  Andel_oberoende_av_klimat*VLOOKUP($A189,Leveranser_per_nät,'Leveranser per nät'!H$1,FALSE)
               +Andel_beroende_av_klimat*VLOOKUP($A189,Leveranser_per_nät,'Leveranser per nät'!H$1,FALSE)/VLOOKUP($B189,Korrigeringsfaktor_GD,'Korrigeringsfaktor GD'!H$1,FALSE),
"")</f>
        <v>191</v>
      </c>
      <c r="I189" s="18">
        <f>IFERROR(
                  Andel_oberoende_av_klimat*VLOOKUP($A189,Leveranser_per_nät,'Leveranser per nät'!I$1,FALSE)
               +Andel_beroende_av_klimat*VLOOKUP($A189,Leveranser_per_nät,'Leveranser per nät'!I$1,FALSE)/VLOOKUP($B189,Korrigeringsfaktor_GD,'Korrigeringsfaktor GD'!I$1,FALSE),
"")</f>
        <v>184.91855670103092</v>
      </c>
      <c r="J189" s="18">
        <f>IFERROR(
                  Andel_oberoende_av_klimat*VLOOKUP($A189,Leveranser_per_nät,'Leveranser per nät'!J$1,FALSE)
               +Andel_beroende_av_klimat*VLOOKUP($A189,Leveranser_per_nät,'Leveranser per nät'!J$1,FALSE)/VLOOKUP($B189,Korrigeringsfaktor_GD,'Korrigeringsfaktor GD'!J$1,FALSE),
"")</f>
        <v>188.32222222222225</v>
      </c>
      <c r="K189" s="18">
        <f>IFERROR(
                  Andel_oberoende_av_klimat*VLOOKUP($A189,Leveranser_per_nät,'Leveranser per nät'!K$1,FALSE)
               +Andel_beroende_av_klimat*VLOOKUP($A189,Leveranser_per_nät,'Leveranser per nät'!K$1,FALSE)/VLOOKUP($B189,Korrigeringsfaktor_GD,'Korrigeringsfaktor GD'!K$1,FALSE),
"")</f>
        <v>195.58471428571431</v>
      </c>
      <c r="L189" s="18">
        <f>IFERROR(
                  Andel_oberoende_av_klimat*VLOOKUP($A189,Leveranser_per_nät,'Leveranser per nät'!L$1,FALSE)
               +Andel_beroende_av_klimat*VLOOKUP($A189,Leveranser_per_nät,'Leveranser per nät'!L$1,FALSE)/VLOOKUP($B189,Korrigeringsfaktor_GD,'Korrigeringsfaktor GD'!L$1,FALSE),
"")</f>
        <v>190.67526315789476</v>
      </c>
      <c r="M189" s="18">
        <f>IFERROR(
                  Andel_oberoende_av_klimat*VLOOKUP($A189,Leveranser_per_nät,'Leveranser per nät'!M$1,FALSE)
               +Andel_beroende_av_klimat*VLOOKUP($A189,Leveranser_per_nät,'Leveranser per nät'!M$1,FALSE)/VLOOKUP($B189,Korrigeringsfaktor_GD,'Korrigeringsfaktor GD'!M$1,FALSE),
"")</f>
        <v>194.85679139784946</v>
      </c>
      <c r="N189" s="18">
        <f>IFERROR(
                  Andel_oberoende_av_klimat*VLOOKUP($A189,Leveranser_per_nät,'Leveranser per nät'!N$1,FALSE)
               +Andel_beroende_av_klimat*VLOOKUP($A189,Leveranser_per_nät,'Leveranser per nät'!N$1,FALSE)/VLOOKUP($B189,Korrigeringsfaktor_GD,'Korrigeringsfaktor GD'!N$1,FALSE),
"")</f>
        <v>191.49495384615383</v>
      </c>
      <c r="O189" s="18">
        <f>IFERROR(
                  Andel_oberoende_av_klimat*VLOOKUP($A189,Leveranser_per_nät,'Leveranser per nät'!O$1,FALSE)
               +Andel_beroende_av_klimat*VLOOKUP($A189,Leveranser_per_nät,'Leveranser per nät'!O$1,FALSE)/VLOOKUP($B189,Korrigeringsfaktor_GD,'Korrigeringsfaktor GD'!O$1,FALSE),
"")</f>
        <v>182.9694382022472</v>
      </c>
      <c r="P189" s="18">
        <f>IFERROR(
                  Andel_oberoende_av_klimat*VLOOKUP($A189,Leveranser_per_nät,'Leveranser per nät'!P$1,FALSE)
               +Andel_beroende_av_klimat*VLOOKUP($A189,Leveranser_per_nät,'Leveranser per nät'!P$1,FALSE)/VLOOKUP($B189,Korrigeringsfaktor_GD,'Korrigeringsfaktor GD'!P$1,FALSE),
"")</f>
        <v>190.28</v>
      </c>
      <c r="Q189" s="18">
        <f>IFERROR(
                  Andel_oberoende_av_klimat*VLOOKUP($A189,Leveranser_per_nät,'Leveranser per nät'!Q$1,FALSE)
               +Andel_beroende_av_klimat*VLOOKUP($A189,Leveranser_per_nät,'Leveranser per nät'!Q$1,FALSE)/VLOOKUP($B189,Korrigeringsfaktor_GD,'Korrigeringsfaktor GD'!Q$1,FALSE),
"")</f>
        <v>201.12726495726497</v>
      </c>
      <c r="R189" s="18">
        <f>IFERROR(
                  Andel_oberoende_av_klimat*VLOOKUP($A189,Leveranser_per_nät,'Leveranser per nät'!R$1,FALSE)
               +Andel_beroende_av_klimat*VLOOKUP($A189,Leveranser_per_nät,'Leveranser per nät'!R$1,FALSE)/VLOOKUP($B189,Korrigeringsfaktor_GD,'Korrigeringsfaktor GD'!R$1,FALSE),
"")</f>
        <v>195.61666666666667</v>
      </c>
      <c r="S189" s="18">
        <f>IFERROR(
                  Andel_oberoende_av_klimat*VLOOKUP($A189,Leveranser_per_nät,'Leveranser per nät'!S$1,FALSE)
               +Andel_beroende_av_klimat*VLOOKUP($A189,Leveranser_per_nät,'Leveranser per nät'!S$1,FALSE)/VLOOKUP($B189,Korrigeringsfaktor_GD,'Korrigeringsfaktor GD'!S$1,FALSE),
"")</f>
        <v>195</v>
      </c>
      <c r="T189" s="18">
        <f>IFERROR(
                  Andel_oberoende_av_klimat*VLOOKUP($A189,Leveranser_per_nät,'Leveranser per nät'!T$1,FALSE)
               +Andel_beroende_av_klimat*VLOOKUP($A189,Leveranser_per_nät,'Leveranser per nät'!T$1,FALSE)/VLOOKUP($B189,Korrigeringsfaktor_GD,'Korrigeringsfaktor GD'!T$1,FALSE),
"")</f>
        <v>188.18783505154641</v>
      </c>
      <c r="U189" s="18">
        <f>IFERROR(
                  Andel_oberoende_av_klimat*VLOOKUP($A189,Leveranser_per_nät,'Leveranser per nät'!U$1,FALSE)
               +Andel_beroende_av_klimat*VLOOKUP($A189,Leveranser_per_nät,'Leveranser per nät'!U$1,FALSE)/VLOOKUP($B189,Korrigeringsfaktor_GD,'Korrigeringsfaktor GD'!U$1,FALSE),
"")</f>
        <v>184.69363636363636</v>
      </c>
      <c r="V189" s="18">
        <f>IFERROR(
                  Andel_oberoende_av_klimat*VLOOKUP($A189,Leveranser_per_nät,'Leveranser per nät'!V$1,FALSE)
               +Andel_beroende_av_klimat*VLOOKUP($A189,Leveranser_per_nät,'Leveranser per nät'!V$1,FALSE)/VLOOKUP($B189,Korrigeringsfaktor_GD,'Korrigeringsfaktor GD'!V$1,FALSE),
"")</f>
        <v>177.46363636363634</v>
      </c>
      <c r="W189" s="18">
        <f>IFERROR(
                  Andel_oberoende_av_klimat*VLOOKUP($A189,Leveranser_per_nät,'Leveranser per nät'!W$1,FALSE)
               +Andel_beroende_av_klimat*VLOOKUP($A189,Leveranser_per_nät,'Leveranser per nät'!W$1,FALSE)/VLOOKUP($B189,Korrigeringsfaktor_GD,'Korrigeringsfaktor GD'!W$1,FALSE),
"")</f>
        <v>184.85204301075268</v>
      </c>
      <c r="X189" s="18">
        <f>IFERROR(
                  Andel_oberoende_av_klimat*VLOOKUP($A189,Leveranser_per_nät,'Leveranser per nät'!X$1,FALSE)
               +Andel_beroende_av_klimat*VLOOKUP($A189,Leveranser_per_nät,'Leveranser per nät'!X$1,FALSE)/VLOOKUP($B189,Korrigeringsfaktor_GD,'Korrigeringsfaktor GD'!X$1,FALSE),
"")</f>
        <v>178.1148387096774</v>
      </c>
      <c r="Y189" s="18">
        <f>IFERROR(
                  Andel_oberoende_av_klimat*VLOOKUP($A189,Leveranser_per_nät,'Leveranser per nät'!Y$1,FALSE)
               +Andel_beroende_av_klimat*VLOOKUP($A189,Leveranser_per_nät,'Leveranser per nät'!Y$1,FALSE)/VLOOKUP($B189,Korrigeringsfaktor_GD,'Korrigeringsfaktor GD'!Y$1,FALSE),
"")</f>
        <v>180.77217391304347</v>
      </c>
      <c r="Z189" s="18">
        <f>IFERROR(
                  Andel_oberoende_av_klimat*VLOOKUP($A189,Leveranser_per_nät,'Leveranser per nät'!Z$1,FALSE)
               +Andel_beroende_av_klimat*VLOOKUP($A189,Leveranser_per_nät,'Leveranser per nät'!Z$1,FALSE)/VLOOKUP($B189,Korrigeringsfaktor_GD,'Korrigeringsfaktor GD'!Z$1,FALSE),
"")</f>
        <v>182.37239425287356</v>
      </c>
      <c r="AA189" s="18">
        <f>IFERROR(
                  Andel_oberoende_av_klimat*VLOOKUP($A189,Leveranser_per_nät,'Leveranser per nät'!AA$1,FALSE)
               +Andel_beroende_av_klimat*VLOOKUP($A189,Leveranser_per_nät,'Leveranser per nät'!AA$1,FALSE)/VLOOKUP($B189,Korrigeringsfaktor_GD,'Korrigeringsfaktor GD'!AA$1,FALSE),
"")</f>
        <v>175.67241688654352</v>
      </c>
      <c r="AB189" s="18">
        <f>IFERROR(
                  Andel_oberoende_av_klimat*VLOOKUP($A189,Leveranser_per_nät,'Leveranser per nät'!AB$1,FALSE)
               +Andel_beroende_av_klimat*VLOOKUP($A189,Leveranser_per_nät,'Leveranser per nät'!AB$1,FALSE)/VLOOKUP($B189,Korrigeringsfaktor_GD,'Korrigeringsfaktor GD'!AB$1,FALSE),
"")</f>
        <v>175.47539726027395</v>
      </c>
      <c r="AC189" s="18">
        <f>IFERROR(
                  Andel_oberoende_av_klimat*VLOOKUP($A189,Leveranser_per_nät,'Leveranser per nät'!AC$1,FALSE)
               +Andel_beroende_av_klimat*VLOOKUP($A189,Leveranser_per_nät,'Leveranser per nät'!AC$1,FALSE)/VLOOKUP($B189,Korrigeringsfaktor_GD,'Korrigeringsfaktor GD'!AC$1,FALSE),
"")</f>
        <v>169.95915789473685</v>
      </c>
      <c r="AD189">
        <v>163.92</v>
      </c>
    </row>
    <row r="190" spans="1:30" x14ac:dyDescent="0.25">
      <c r="A190" t="s">
        <v>170</v>
      </c>
      <c r="B190" t="s">
        <v>170</v>
      </c>
      <c r="C190" s="18">
        <f>IFERROR(
                  Andel_oberoende_av_klimat*VLOOKUP($A190,Leveranser_per_nät,'Leveranser per nät'!C$1,FALSE)
               +Andel_beroende_av_klimat*VLOOKUP($A190,Leveranser_per_nät,'Leveranser per nät'!C$1,FALSE)/VLOOKUP($B190,Korrigeringsfaktor_GD,'Korrigeringsfaktor GD'!C$1,FALSE),
"")</f>
        <v>0</v>
      </c>
      <c r="D190" s="18">
        <f>IFERROR(
                  Andel_oberoende_av_klimat*VLOOKUP($A190,Leveranser_per_nät,'Leveranser per nät'!D$1,FALSE)
               +Andel_beroende_av_klimat*VLOOKUP($A190,Leveranser_per_nät,'Leveranser per nät'!D$1,FALSE)/VLOOKUP($B190,Korrigeringsfaktor_GD,'Korrigeringsfaktor GD'!D$1,FALSE),
"")</f>
        <v>0</v>
      </c>
      <c r="E190" s="18">
        <f>IFERROR(
                  Andel_oberoende_av_klimat*VLOOKUP($A190,Leveranser_per_nät,'Leveranser per nät'!E$1,FALSE)
               +Andel_beroende_av_klimat*VLOOKUP($A190,Leveranser_per_nät,'Leveranser per nät'!E$1,FALSE)/VLOOKUP($B190,Korrigeringsfaktor_GD,'Korrigeringsfaktor GD'!E$1,FALSE),
"")</f>
        <v>0</v>
      </c>
      <c r="F190" s="18">
        <f>IFERROR(
                  Andel_oberoende_av_klimat*VLOOKUP($A190,Leveranser_per_nät,'Leveranser per nät'!F$1,FALSE)
               +Andel_beroende_av_klimat*VLOOKUP($A190,Leveranser_per_nät,'Leveranser per nät'!F$1,FALSE)/VLOOKUP($B190,Korrigeringsfaktor_GD,'Korrigeringsfaktor GD'!F$1,FALSE),
"")</f>
        <v>0</v>
      </c>
      <c r="G190" s="18">
        <f>IFERROR(
                  Andel_oberoende_av_klimat*VLOOKUP($A190,Leveranser_per_nät,'Leveranser per nät'!G$1,FALSE)
               +Andel_beroende_av_klimat*VLOOKUP($A190,Leveranser_per_nät,'Leveranser per nät'!G$1,FALSE)/VLOOKUP($B190,Korrigeringsfaktor_GD,'Korrigeringsfaktor GD'!G$1,FALSE),
"")</f>
        <v>0</v>
      </c>
      <c r="H190" s="18">
        <f>IFERROR(
                  Andel_oberoende_av_klimat*VLOOKUP($A190,Leveranser_per_nät,'Leveranser per nät'!H$1,FALSE)
               +Andel_beroende_av_klimat*VLOOKUP($A190,Leveranser_per_nät,'Leveranser per nät'!H$1,FALSE)/VLOOKUP($B190,Korrigeringsfaktor_GD,'Korrigeringsfaktor GD'!H$1,FALSE),
"")</f>
        <v>0</v>
      </c>
      <c r="I190" s="18">
        <f>IFERROR(
                  Andel_oberoende_av_klimat*VLOOKUP($A190,Leveranser_per_nät,'Leveranser per nät'!I$1,FALSE)
               +Andel_beroende_av_klimat*VLOOKUP($A190,Leveranser_per_nät,'Leveranser per nät'!I$1,FALSE)/VLOOKUP($B190,Korrigeringsfaktor_GD,'Korrigeringsfaktor GD'!I$1,FALSE),
"")</f>
        <v>0</v>
      </c>
      <c r="J190" s="18">
        <f>IFERROR(
                  Andel_oberoende_av_klimat*VLOOKUP($A190,Leveranser_per_nät,'Leveranser per nät'!J$1,FALSE)
               +Andel_beroende_av_klimat*VLOOKUP($A190,Leveranser_per_nät,'Leveranser per nät'!J$1,FALSE)/VLOOKUP($B190,Korrigeringsfaktor_GD,'Korrigeringsfaktor GD'!J$1,FALSE),
"")</f>
        <v>0</v>
      </c>
      <c r="K190" s="18">
        <f>IFERROR(
                  Andel_oberoende_av_klimat*VLOOKUP($A190,Leveranser_per_nät,'Leveranser per nät'!K$1,FALSE)
               +Andel_beroende_av_klimat*VLOOKUP($A190,Leveranser_per_nät,'Leveranser per nät'!K$1,FALSE)/VLOOKUP($B190,Korrigeringsfaktor_GD,'Korrigeringsfaktor GD'!K$1,FALSE),
"")</f>
        <v>25.180620833333332</v>
      </c>
      <c r="L190" s="18">
        <f>IFERROR(
                  Andel_oberoende_av_klimat*VLOOKUP($A190,Leveranser_per_nät,'Leveranser per nät'!L$1,FALSE)
               +Andel_beroende_av_klimat*VLOOKUP($A190,Leveranser_per_nät,'Leveranser per nät'!L$1,FALSE)/VLOOKUP($B190,Korrigeringsfaktor_GD,'Korrigeringsfaktor GD'!L$1,FALSE),
"")</f>
        <v>30.956401075268815</v>
      </c>
      <c r="M190" s="18">
        <f>IFERROR(
                  Andel_oberoende_av_klimat*VLOOKUP($A190,Leveranser_per_nät,'Leveranser per nät'!M$1,FALSE)
               +Andel_beroende_av_klimat*VLOOKUP($A190,Leveranser_per_nät,'Leveranser per nät'!M$1,FALSE)/VLOOKUP($B190,Korrigeringsfaktor_GD,'Korrigeringsfaktor GD'!M$1,FALSE),
"")</f>
        <v>34.738709677419351</v>
      </c>
      <c r="N190" s="18">
        <f>IFERROR(
                  Andel_oberoende_av_klimat*VLOOKUP($A190,Leveranser_per_nät,'Leveranser per nät'!N$1,FALSE)
               +Andel_beroende_av_klimat*VLOOKUP($A190,Leveranser_per_nät,'Leveranser per nät'!N$1,FALSE)/VLOOKUP($B190,Korrigeringsfaktor_GD,'Korrigeringsfaktor GD'!N$1,FALSE),
"")</f>
        <v>36.017725806451615</v>
      </c>
      <c r="O190" s="18">
        <f>IFERROR(
                  Andel_oberoende_av_klimat*VLOOKUP($A190,Leveranser_per_nät,'Leveranser per nät'!O$1,FALSE)
               +Andel_beroende_av_klimat*VLOOKUP($A190,Leveranser_per_nät,'Leveranser per nät'!O$1,FALSE)/VLOOKUP($B190,Korrigeringsfaktor_GD,'Korrigeringsfaktor GD'!O$1,FALSE),
"")</f>
        <v>36.072359550561799</v>
      </c>
      <c r="P190" s="18">
        <f>IFERROR(
                  Andel_oberoende_av_klimat*VLOOKUP($A190,Leveranser_per_nät,'Leveranser per nät'!P$1,FALSE)
               +Andel_beroende_av_klimat*VLOOKUP($A190,Leveranser_per_nät,'Leveranser per nät'!P$1,FALSE)/VLOOKUP($B190,Korrigeringsfaktor_GD,'Korrigeringsfaktor GD'!P$1,FALSE),
"")</f>
        <v>36.556666666666665</v>
      </c>
      <c r="Q190" s="18">
        <f>IFERROR(
                  Andel_oberoende_av_klimat*VLOOKUP($A190,Leveranser_per_nät,'Leveranser per nät'!Q$1,FALSE)
               +Andel_beroende_av_klimat*VLOOKUP($A190,Leveranser_per_nät,'Leveranser per nät'!Q$1,FALSE)/VLOOKUP($B190,Korrigeringsfaktor_GD,'Korrigeringsfaktor GD'!Q$1,FALSE),
"")</f>
        <v>37.488666666666667</v>
      </c>
      <c r="R190" s="18">
        <f>IFERROR(
                  Andel_oberoende_av_klimat*VLOOKUP($A190,Leveranser_per_nät,'Leveranser per nät'!R$1,FALSE)
               +Andel_beroende_av_klimat*VLOOKUP($A190,Leveranser_per_nät,'Leveranser per nät'!R$1,FALSE)/VLOOKUP($B190,Korrigeringsfaktor_GD,'Korrigeringsfaktor GD'!R$1,FALSE),
"")</f>
        <v>37.024347826086952</v>
      </c>
      <c r="S190" s="18">
        <f>IFERROR(
                  Andel_oberoende_av_klimat*VLOOKUP($A190,Leveranser_per_nät,'Leveranser per nät'!S$1,FALSE)
               +Andel_beroende_av_klimat*VLOOKUP($A190,Leveranser_per_nät,'Leveranser per nät'!S$1,FALSE)/VLOOKUP($B190,Korrigeringsfaktor_GD,'Korrigeringsfaktor GD'!S$1,FALSE),
"")</f>
        <v>37</v>
      </c>
      <c r="T190" s="18">
        <f>IFERROR(
                  Andel_oberoende_av_klimat*VLOOKUP($A190,Leveranser_per_nät,'Leveranser per nät'!T$1,FALSE)
               +Andel_beroende_av_klimat*VLOOKUP($A190,Leveranser_per_nät,'Leveranser per nät'!T$1,FALSE)/VLOOKUP($B190,Korrigeringsfaktor_GD,'Korrigeringsfaktor GD'!T$1,FALSE),
"")</f>
        <v>37.021428571428572</v>
      </c>
      <c r="U190" s="18">
        <f>IFERROR(
                  Andel_oberoende_av_klimat*VLOOKUP($A190,Leveranser_per_nät,'Leveranser per nät'!U$1,FALSE)
               +Andel_beroende_av_klimat*VLOOKUP($A190,Leveranser_per_nät,'Leveranser per nät'!U$1,FALSE)/VLOOKUP($B190,Korrigeringsfaktor_GD,'Korrigeringsfaktor GD'!U$1,FALSE),
"")</f>
        <v>39.099767441860465</v>
      </c>
      <c r="V190" s="18">
        <f>IFERROR(
                  Andel_oberoende_av_klimat*VLOOKUP($A190,Leveranser_per_nät,'Leveranser per nät'!V$1,FALSE)
               +Andel_beroende_av_klimat*VLOOKUP($A190,Leveranser_per_nät,'Leveranser per nät'!V$1,FALSE)/VLOOKUP($B190,Korrigeringsfaktor_GD,'Korrigeringsfaktor GD'!V$1,FALSE),
"")</f>
        <v>36.807272727272732</v>
      </c>
      <c r="W190" s="18">
        <f>IFERROR(
                  Andel_oberoende_av_klimat*VLOOKUP($A190,Leveranser_per_nät,'Leveranser per nät'!W$1,FALSE)
               +Andel_beroende_av_klimat*VLOOKUP($A190,Leveranser_per_nät,'Leveranser per nät'!W$1,FALSE)/VLOOKUP($B190,Korrigeringsfaktor_GD,'Korrigeringsfaktor GD'!W$1,FALSE),
"")</f>
        <v>38.528387096774196</v>
      </c>
      <c r="X190" s="18">
        <f>IFERROR(
                  Andel_oberoende_av_klimat*VLOOKUP($A190,Leveranser_per_nät,'Leveranser per nät'!X$1,FALSE)
               +Andel_beroende_av_klimat*VLOOKUP($A190,Leveranser_per_nät,'Leveranser per nät'!X$1,FALSE)/VLOOKUP($B190,Korrigeringsfaktor_GD,'Korrigeringsfaktor GD'!X$1,FALSE),
"")</f>
        <v>38.791559139784944</v>
      </c>
      <c r="Y190" s="18">
        <f>IFERROR(
                  Andel_oberoende_av_klimat*VLOOKUP($A190,Leveranser_per_nät,'Leveranser per nät'!Y$1,FALSE)
               +Andel_beroende_av_klimat*VLOOKUP($A190,Leveranser_per_nät,'Leveranser per nät'!Y$1,FALSE)/VLOOKUP($B190,Korrigeringsfaktor_GD,'Korrigeringsfaktor GD'!Y$1,FALSE),
"")</f>
        <v>38.528387096774196</v>
      </c>
      <c r="Z190" s="18">
        <f>IFERROR(
                  Andel_oberoende_av_klimat*VLOOKUP($A190,Leveranser_per_nät,'Leveranser per nät'!Z$1,FALSE)
               +Andel_beroende_av_klimat*VLOOKUP($A190,Leveranser_per_nät,'Leveranser per nät'!Z$1,FALSE)/VLOOKUP($B190,Korrigeringsfaktor_GD,'Korrigeringsfaktor GD'!Z$1,FALSE),
"")</f>
        <v>39.929318181818189</v>
      </c>
      <c r="AA190" s="18">
        <f>IFERROR(
                  Andel_oberoende_av_klimat*VLOOKUP($A190,Leveranser_per_nät,'Leveranser per nät'!AA$1,FALSE)
               +Andel_beroende_av_klimat*VLOOKUP($A190,Leveranser_per_nät,'Leveranser per nät'!AA$1,FALSE)/VLOOKUP($B190,Korrigeringsfaktor_GD,'Korrigeringsfaktor GD'!AA$1,FALSE),
"")</f>
        <v>36.689552921423775</v>
      </c>
      <c r="AB190" s="18">
        <f>IFERROR(
                  Andel_oberoende_av_klimat*VLOOKUP($A190,Leveranser_per_nät,'Leveranser per nät'!AB$1,FALSE)
               +Andel_beroende_av_klimat*VLOOKUP($A190,Leveranser_per_nät,'Leveranser per nät'!AB$1,FALSE)/VLOOKUP($B190,Korrigeringsfaktor_GD,'Korrigeringsfaktor GD'!AB$1,FALSE),
"")</f>
        <v>38.428552031714567</v>
      </c>
      <c r="AC190" s="18">
        <f>IFERROR(
                  Andel_oberoende_av_klimat*VLOOKUP($A190,Leveranser_per_nät,'Leveranser per nät'!AC$1,FALSE)
               +Andel_beroende_av_klimat*VLOOKUP($A190,Leveranser_per_nät,'Leveranser per nät'!AC$1,FALSE)/VLOOKUP($B190,Korrigeringsfaktor_GD,'Korrigeringsfaktor GD'!AC$1,FALSE),
"")</f>
        <v>36.842312236286915</v>
      </c>
      <c r="AD190">
        <v>35.479999999999997</v>
      </c>
    </row>
    <row r="191" spans="1:30" x14ac:dyDescent="0.25">
      <c r="A191" t="s">
        <v>22</v>
      </c>
      <c r="B191" t="s">
        <v>21</v>
      </c>
      <c r="C191" s="18">
        <f>IFERROR(
                  Andel_oberoende_av_klimat*VLOOKUP($A191,Leveranser_per_nät,'Leveranser per nät'!C$1,FALSE)
               +Andel_beroende_av_klimat*VLOOKUP($A191,Leveranser_per_nät,'Leveranser per nät'!C$1,FALSE)/VLOOKUP($B191,Korrigeringsfaktor_GD,'Korrigeringsfaktor GD'!C$1,FALSE),
"")</f>
        <v>2.8090909090909086</v>
      </c>
      <c r="D191" s="18">
        <f>IFERROR(
                  Andel_oberoende_av_klimat*VLOOKUP($A191,Leveranser_per_nät,'Leveranser per nät'!D$1,FALSE)
               +Andel_beroende_av_klimat*VLOOKUP($A191,Leveranser_per_nät,'Leveranser per nät'!D$1,FALSE)/VLOOKUP($B191,Korrigeringsfaktor_GD,'Korrigeringsfaktor GD'!D$1,FALSE),
"")</f>
        <v>11.928041666666667</v>
      </c>
      <c r="E191" s="18">
        <f>IFERROR(
                  Andel_oberoende_av_klimat*VLOOKUP($A191,Leveranser_per_nät,'Leveranser per nät'!E$1,FALSE)
               +Andel_beroende_av_klimat*VLOOKUP($A191,Leveranser_per_nät,'Leveranser per nät'!E$1,FALSE)/VLOOKUP($B191,Korrigeringsfaktor_GD,'Korrigeringsfaktor GD'!E$1,FALSE),
"")</f>
        <v>11.916831683168315</v>
      </c>
      <c r="F191" s="18">
        <f>IFERROR(
                  Andel_oberoende_av_klimat*VLOOKUP($A191,Leveranser_per_nät,'Leveranser per nät'!F$1,FALSE)
               +Andel_beroende_av_klimat*VLOOKUP($A191,Leveranser_per_nät,'Leveranser per nät'!F$1,FALSE)/VLOOKUP($B191,Korrigeringsfaktor_GD,'Korrigeringsfaktor GD'!F$1,FALSE),
"")</f>
        <v>12.171428571428571</v>
      </c>
      <c r="G191" s="18">
        <f>IFERROR(
                  Andel_oberoende_av_klimat*VLOOKUP($A191,Leveranser_per_nät,'Leveranser per nät'!G$1,FALSE)
               +Andel_beroende_av_klimat*VLOOKUP($A191,Leveranser_per_nät,'Leveranser per nät'!G$1,FALSE)/VLOOKUP($B191,Korrigeringsfaktor_GD,'Korrigeringsfaktor GD'!G$1,FALSE),
"")</f>
        <v>12.933333333333334</v>
      </c>
      <c r="H191" s="18">
        <f>IFERROR(
                  Andel_oberoende_av_klimat*VLOOKUP($A191,Leveranser_per_nät,'Leveranser per nät'!H$1,FALSE)
               +Andel_beroende_av_klimat*VLOOKUP($A191,Leveranser_per_nät,'Leveranser per nät'!H$1,FALSE)/VLOOKUP($B191,Korrigeringsfaktor_GD,'Korrigeringsfaktor GD'!H$1,FALSE),
"")</f>
        <v>12.821568627450981</v>
      </c>
      <c r="I191" s="18">
        <f>IFERROR(
                  Andel_oberoende_av_klimat*VLOOKUP($A191,Leveranser_per_nät,'Leveranser per nät'!I$1,FALSE)
               +Andel_beroende_av_klimat*VLOOKUP($A191,Leveranser_per_nät,'Leveranser per nät'!I$1,FALSE)/VLOOKUP($B191,Korrigeringsfaktor_GD,'Korrigeringsfaktor GD'!I$1,FALSE),
"")</f>
        <v>14.098989898989899</v>
      </c>
      <c r="J191" s="18">
        <f>IFERROR(
                  Andel_oberoende_av_klimat*VLOOKUP($A191,Leveranser_per_nät,'Leveranser per nät'!J$1,FALSE)
               +Andel_beroende_av_klimat*VLOOKUP($A191,Leveranser_per_nät,'Leveranser per nät'!J$1,FALSE)/VLOOKUP($B191,Korrigeringsfaktor_GD,'Korrigeringsfaktor GD'!J$1,FALSE),
"")</f>
        <v>14.303092783505155</v>
      </c>
      <c r="K191" s="18">
        <f>IFERROR(
                  Andel_oberoende_av_klimat*VLOOKUP($A191,Leveranser_per_nät,'Leveranser per nät'!K$1,FALSE)
               +Andel_beroende_av_klimat*VLOOKUP($A191,Leveranser_per_nät,'Leveranser per nät'!K$1,FALSE)/VLOOKUP($B191,Korrigeringsfaktor_GD,'Korrigeringsfaktor GD'!K$1,FALSE),
"")</f>
        <v>13.931723195876287</v>
      </c>
      <c r="L191" s="18">
        <f>IFERROR(
                  Andel_oberoende_av_klimat*VLOOKUP($A191,Leveranser_per_nät,'Leveranser per nät'!L$1,FALSE)
               +Andel_beroende_av_klimat*VLOOKUP($A191,Leveranser_per_nät,'Leveranser per nät'!L$1,FALSE)/VLOOKUP($B191,Korrigeringsfaktor_GD,'Korrigeringsfaktor GD'!L$1,FALSE),
"")</f>
        <v>13.859986842105261</v>
      </c>
      <c r="M191" s="18">
        <f>IFERROR(
                  Andel_oberoende_av_klimat*VLOOKUP($A191,Leveranser_per_nät,'Leveranser per nät'!M$1,FALSE)
               +Andel_beroende_av_klimat*VLOOKUP($A191,Leveranser_per_nät,'Leveranser per nät'!M$1,FALSE)/VLOOKUP($B191,Korrigeringsfaktor_GD,'Korrigeringsfaktor GD'!M$1,FALSE),
"")</f>
        <v>17.111826086956519</v>
      </c>
      <c r="N191" s="18">
        <f>IFERROR(
                  Andel_oberoende_av_klimat*VLOOKUP($A191,Leveranser_per_nät,'Leveranser per nät'!N$1,FALSE)
               +Andel_beroende_av_klimat*VLOOKUP($A191,Leveranser_per_nät,'Leveranser per nät'!N$1,FALSE)/VLOOKUP($B191,Korrigeringsfaktor_GD,'Korrigeringsfaktor GD'!N$1,FALSE),
"")</f>
        <v>15.503063829787237</v>
      </c>
      <c r="O191" s="18">
        <f>IFERROR(
                  Andel_oberoende_av_klimat*VLOOKUP($A191,Leveranser_per_nät,'Leveranser per nät'!O$1,FALSE)
               +Andel_beroende_av_klimat*VLOOKUP($A191,Leveranser_per_nät,'Leveranser per nät'!O$1,FALSE)/VLOOKUP($B191,Korrigeringsfaktor_GD,'Korrigeringsfaktor GD'!O$1,FALSE),
"")</f>
        <v>16.067191489361704</v>
      </c>
      <c r="P191" s="18">
        <f>IFERROR(
                  Andel_oberoende_av_klimat*VLOOKUP($A191,Leveranser_per_nät,'Leveranser per nät'!P$1,FALSE)
               +Andel_beroende_av_klimat*VLOOKUP($A191,Leveranser_per_nät,'Leveranser per nät'!P$1,FALSE)/VLOOKUP($B191,Korrigeringsfaktor_GD,'Korrigeringsfaktor GD'!P$1,FALSE),
"")</f>
        <v>15.899999999999999</v>
      </c>
      <c r="Q191" s="18">
        <f>IFERROR(
                  Andel_oberoende_av_klimat*VLOOKUP($A191,Leveranser_per_nät,'Leveranser per nät'!Q$1,FALSE)
               +Andel_beroende_av_klimat*VLOOKUP($A191,Leveranser_per_nät,'Leveranser per nät'!Q$1,FALSE)/VLOOKUP($B191,Korrigeringsfaktor_GD,'Korrigeringsfaktor GD'!Q$1,FALSE),
"")</f>
        <v>16.65251111111111</v>
      </c>
      <c r="R191" s="18">
        <f>IFERROR(
                  Andel_oberoende_av_klimat*VLOOKUP($A191,Leveranser_per_nät,'Leveranser per nät'!R$1,FALSE)
               +Andel_beroende_av_klimat*VLOOKUP($A191,Leveranser_per_nät,'Leveranser per nät'!R$1,FALSE)/VLOOKUP($B191,Korrigeringsfaktor_GD,'Korrigeringsfaktor GD'!R$1,FALSE),
"")</f>
        <v>17.646504347826085</v>
      </c>
      <c r="S191" s="18">
        <f>IFERROR(
                  Andel_oberoende_av_klimat*VLOOKUP($A191,Leveranser_per_nät,'Leveranser per nät'!S$1,FALSE)
               +Andel_beroende_av_klimat*VLOOKUP($A191,Leveranser_per_nät,'Leveranser per nät'!S$1,FALSE)/VLOOKUP($B191,Korrigeringsfaktor_GD,'Korrigeringsfaktor GD'!S$1,FALSE),
"")</f>
        <v>17.281333333333333</v>
      </c>
      <c r="T191" s="18">
        <f>IFERROR(
                  Andel_oberoende_av_klimat*VLOOKUP($A191,Leveranser_per_nät,'Leveranser per nät'!T$1,FALSE)
               +Andel_beroende_av_klimat*VLOOKUP($A191,Leveranser_per_nät,'Leveranser per nät'!T$1,FALSE)/VLOOKUP($B191,Korrigeringsfaktor_GD,'Korrigeringsfaktor GD'!T$1,FALSE),
"")</f>
        <v>17.87723157894737</v>
      </c>
      <c r="U191" s="18">
        <f>IFERROR(
                  Andel_oberoende_av_klimat*VLOOKUP($A191,Leveranser_per_nät,'Leveranser per nät'!U$1,FALSE)
               +Andel_beroende_av_klimat*VLOOKUP($A191,Leveranser_per_nät,'Leveranser per nät'!U$1,FALSE)/VLOOKUP($B191,Korrigeringsfaktor_GD,'Korrigeringsfaktor GD'!U$1,FALSE),
"")</f>
        <v>17.869054545454546</v>
      </c>
      <c r="V191" s="18">
        <f>IFERROR(
                  Andel_oberoende_av_klimat*VLOOKUP($A191,Leveranser_per_nät,'Leveranser per nät'!V$1,FALSE)
               +Andel_beroende_av_klimat*VLOOKUP($A191,Leveranser_per_nät,'Leveranser per nät'!V$1,FALSE)/VLOOKUP($B191,Korrigeringsfaktor_GD,'Korrigeringsfaktor GD'!V$1,FALSE),
"")</f>
        <v>18.803260674157304</v>
      </c>
      <c r="W191" s="18">
        <f>IFERROR(
                  Andel_oberoende_av_klimat*VLOOKUP($A191,Leveranser_per_nät,'Leveranser per nät'!W$1,FALSE)
               +Andel_beroende_av_klimat*VLOOKUP($A191,Leveranser_per_nät,'Leveranser per nät'!W$1,FALSE)/VLOOKUP($B191,Korrigeringsfaktor_GD,'Korrigeringsfaktor GD'!W$1,FALSE),
"")</f>
        <v>21.906957446808512</v>
      </c>
      <c r="X191" s="18">
        <f>IFERROR(
                  Andel_oberoende_av_klimat*VLOOKUP($A191,Leveranser_per_nät,'Leveranser per nät'!X$1,FALSE)
               +Andel_beroende_av_klimat*VLOOKUP($A191,Leveranser_per_nät,'Leveranser per nät'!X$1,FALSE)/VLOOKUP($B191,Korrigeringsfaktor_GD,'Korrigeringsfaktor GD'!X$1,FALSE),
"")</f>
        <v>23.813627835051548</v>
      </c>
      <c r="Y191" s="18">
        <f>IFERROR(
                  Andel_oberoende_av_klimat*VLOOKUP($A191,Leveranser_per_nät,'Leveranser per nät'!Y$1,FALSE)
               +Andel_beroende_av_klimat*VLOOKUP($A191,Leveranser_per_nät,'Leveranser per nät'!Y$1,FALSE)/VLOOKUP($B191,Korrigeringsfaktor_GD,'Korrigeringsfaktor GD'!Y$1,FALSE),
"")</f>
        <v>23.169988659793816</v>
      </c>
      <c r="Z191" s="18">
        <f>IFERROR(
                  Andel_oberoende_av_klimat*VLOOKUP($A191,Leveranser_per_nät,'Leveranser per nät'!Z$1,FALSE)
               +Andel_beroende_av_klimat*VLOOKUP($A191,Leveranser_per_nät,'Leveranser per nät'!Z$1,FALSE)/VLOOKUP($B191,Korrigeringsfaktor_GD,'Korrigeringsfaktor GD'!Z$1,FALSE),
"")</f>
        <v>23.715538461538458</v>
      </c>
      <c r="AA191" s="18">
        <f>IFERROR(
                  Andel_oberoende_av_klimat*VLOOKUP($A191,Leveranser_per_nät,'Leveranser per nät'!AA$1,FALSE)
               +Andel_beroende_av_klimat*VLOOKUP($A191,Leveranser_per_nät,'Leveranser per nät'!AA$1,FALSE)/VLOOKUP($B191,Korrigeringsfaktor_GD,'Korrigeringsfaktor GD'!AA$1,FALSE),
"")</f>
        <v>25.890349338374289</v>
      </c>
      <c r="AB191" s="18">
        <f>IFERROR(
                  Andel_oberoende_av_klimat*VLOOKUP($A191,Leveranser_per_nät,'Leveranser per nät'!AB$1,FALSE)
               +Andel_beroende_av_klimat*VLOOKUP($A191,Leveranser_per_nät,'Leveranser per nät'!AB$1,FALSE)/VLOOKUP($B191,Korrigeringsfaktor_GD,'Korrigeringsfaktor GD'!AB$1,FALSE),
"")</f>
        <v>24.069355009823184</v>
      </c>
      <c r="AC191" s="18">
        <f>IFERROR(
                  Andel_oberoende_av_klimat*VLOOKUP($A191,Leveranser_per_nät,'Leveranser per nät'!AC$1,FALSE)
               +Andel_beroende_av_klimat*VLOOKUP($A191,Leveranser_per_nät,'Leveranser per nät'!AC$1,FALSE)/VLOOKUP($B191,Korrigeringsfaktor_GD,'Korrigeringsfaktor GD'!AC$1,FALSE),
"")</f>
        <v>23.823850724637683</v>
      </c>
      <c r="AD191">
        <v>122.995</v>
      </c>
    </row>
    <row r="192" spans="1:30" x14ac:dyDescent="0.25">
      <c r="A192" t="s">
        <v>203</v>
      </c>
      <c r="B192" t="s">
        <v>203</v>
      </c>
      <c r="C192" s="18">
        <f>IFERROR(
                  Andel_oberoende_av_klimat*VLOOKUP($A192,Leveranser_per_nät,'Leveranser per nät'!C$1,FALSE)
               +Andel_beroende_av_klimat*VLOOKUP($A192,Leveranser_per_nät,'Leveranser per nät'!C$1,FALSE)/VLOOKUP($B192,Korrigeringsfaktor_GD,'Korrigeringsfaktor GD'!C$1,FALSE),
"")</f>
        <v>0</v>
      </c>
      <c r="D192" s="18">
        <f>IFERROR(
                  Andel_oberoende_av_klimat*VLOOKUP($A192,Leveranser_per_nät,'Leveranser per nät'!D$1,FALSE)
               +Andel_beroende_av_klimat*VLOOKUP($A192,Leveranser_per_nät,'Leveranser per nät'!D$1,FALSE)/VLOOKUP($B192,Korrigeringsfaktor_GD,'Korrigeringsfaktor GD'!D$1,FALSE),
"")</f>
        <v>17.458158415841581</v>
      </c>
      <c r="E192" s="18">
        <f>IFERROR(
                  Andel_oberoende_av_klimat*VLOOKUP($A192,Leveranser_per_nät,'Leveranser per nät'!E$1,FALSE)
               +Andel_beroende_av_klimat*VLOOKUP($A192,Leveranser_per_nät,'Leveranser per nät'!E$1,FALSE)/VLOOKUP($B192,Korrigeringsfaktor_GD,'Korrigeringsfaktor GD'!E$1,FALSE),
"")</f>
        <v>22.840594059405941</v>
      </c>
      <c r="F192" s="18">
        <f>IFERROR(
                  Andel_oberoende_av_klimat*VLOOKUP($A192,Leveranser_per_nät,'Leveranser per nät'!F$1,FALSE)
               +Andel_beroende_av_klimat*VLOOKUP($A192,Leveranser_per_nät,'Leveranser per nät'!F$1,FALSE)/VLOOKUP($B192,Korrigeringsfaktor_GD,'Korrigeringsfaktor GD'!F$1,FALSE),
"")</f>
        <v>25.072340425531912</v>
      </c>
      <c r="G192" s="18">
        <f>IFERROR(
                  Andel_oberoende_av_klimat*VLOOKUP($A192,Leveranser_per_nät,'Leveranser per nät'!G$1,FALSE)
               +Andel_beroende_av_klimat*VLOOKUP($A192,Leveranser_per_nät,'Leveranser per nät'!G$1,FALSE)/VLOOKUP($B192,Korrigeringsfaktor_GD,'Korrigeringsfaktor GD'!G$1,FALSE),
"")</f>
        <v>41.216279069767438</v>
      </c>
      <c r="H192" s="18">
        <f>IFERROR(
                  Andel_oberoende_av_klimat*VLOOKUP($A192,Leveranser_per_nät,'Leveranser per nät'!H$1,FALSE)
               +Andel_beroende_av_klimat*VLOOKUP($A192,Leveranser_per_nät,'Leveranser per nät'!H$1,FALSE)/VLOOKUP($B192,Korrigeringsfaktor_GD,'Korrigeringsfaktor GD'!H$1,FALSE),
"")</f>
        <v>63.556435643564356</v>
      </c>
      <c r="I192" s="18">
        <f>IFERROR(
                  Andel_oberoende_av_klimat*VLOOKUP($A192,Leveranser_per_nät,'Leveranser per nät'!I$1,FALSE)
               +Andel_beroende_av_klimat*VLOOKUP($A192,Leveranser_per_nät,'Leveranser per nät'!I$1,FALSE)/VLOOKUP($B192,Korrigeringsfaktor_GD,'Korrigeringsfaktor GD'!I$1,FALSE),
"")</f>
        <v>74.172340425531928</v>
      </c>
      <c r="J192" s="18">
        <f>IFERROR(
                  Andel_oberoende_av_klimat*VLOOKUP($A192,Leveranser_per_nät,'Leveranser per nät'!J$1,FALSE)
               +Andel_beroende_av_klimat*VLOOKUP($A192,Leveranser_per_nät,'Leveranser per nät'!J$1,FALSE)/VLOOKUP($B192,Korrigeringsfaktor_GD,'Korrigeringsfaktor GD'!J$1,FALSE),
"")</f>
        <v>76.074471428571428</v>
      </c>
      <c r="K192" s="18">
        <f>IFERROR(
                  Andel_oberoende_av_klimat*VLOOKUP($A192,Leveranser_per_nät,'Leveranser per nät'!K$1,FALSE)
               +Andel_beroende_av_klimat*VLOOKUP($A192,Leveranser_per_nät,'Leveranser per nät'!K$1,FALSE)/VLOOKUP($B192,Korrigeringsfaktor_GD,'Korrigeringsfaktor GD'!K$1,FALSE),
"")</f>
        <v>79.42363838383838</v>
      </c>
      <c r="L192" s="18">
        <f>IFERROR(
                  Andel_oberoende_av_klimat*VLOOKUP($A192,Leveranser_per_nät,'Leveranser per nät'!L$1,FALSE)
               +Andel_beroende_av_klimat*VLOOKUP($A192,Leveranser_per_nät,'Leveranser per nät'!L$1,FALSE)/VLOOKUP($B192,Korrigeringsfaktor_GD,'Korrigeringsfaktor GD'!L$1,FALSE),
"")</f>
        <v>76.969316666666671</v>
      </c>
      <c r="M192" s="18">
        <f>IFERROR(
                  Andel_oberoende_av_klimat*VLOOKUP($A192,Leveranser_per_nät,'Leveranser per nät'!M$1,FALSE)
               +Andel_beroende_av_klimat*VLOOKUP($A192,Leveranser_per_nät,'Leveranser per nät'!M$1,FALSE)/VLOOKUP($B192,Korrigeringsfaktor_GD,'Korrigeringsfaktor GD'!M$1,FALSE),
"")</f>
        <v>0</v>
      </c>
      <c r="N192" s="18">
        <f>IFERROR(
                  Andel_oberoende_av_klimat*VLOOKUP($A192,Leveranser_per_nät,'Leveranser per nät'!N$1,FALSE)
               +Andel_beroende_av_klimat*VLOOKUP($A192,Leveranser_per_nät,'Leveranser per nät'!N$1,FALSE)/VLOOKUP($B192,Korrigeringsfaktor_GD,'Korrigeringsfaktor GD'!N$1,FALSE),
"")</f>
        <v>0</v>
      </c>
      <c r="O192" s="18">
        <f>IFERROR(
                  Andel_oberoende_av_klimat*VLOOKUP($A192,Leveranser_per_nät,'Leveranser per nät'!O$1,FALSE)
               +Andel_beroende_av_klimat*VLOOKUP($A192,Leveranser_per_nät,'Leveranser per nät'!O$1,FALSE)/VLOOKUP($B192,Korrigeringsfaktor_GD,'Korrigeringsfaktor GD'!O$1,FALSE),
"")</f>
        <v>0</v>
      </c>
      <c r="P192" s="18">
        <f>IFERROR(
                  Andel_oberoende_av_klimat*VLOOKUP($A192,Leveranser_per_nät,'Leveranser per nät'!P$1,FALSE)
               +Andel_beroende_av_klimat*VLOOKUP($A192,Leveranser_per_nät,'Leveranser per nät'!P$1,FALSE)/VLOOKUP($B192,Korrigeringsfaktor_GD,'Korrigeringsfaktor GD'!P$1,FALSE),
"")</f>
        <v>0</v>
      </c>
      <c r="Q192" s="18">
        <f>IFERROR(
                  Andel_oberoende_av_klimat*VLOOKUP($A192,Leveranser_per_nät,'Leveranser per nät'!Q$1,FALSE)
               +Andel_beroende_av_klimat*VLOOKUP($A192,Leveranser_per_nät,'Leveranser per nät'!Q$1,FALSE)/VLOOKUP($B192,Korrigeringsfaktor_GD,'Korrigeringsfaktor GD'!Q$1,FALSE),
"")</f>
        <v>0</v>
      </c>
      <c r="R192" s="18">
        <f>IFERROR(
                  Andel_oberoende_av_klimat*VLOOKUP($A192,Leveranser_per_nät,'Leveranser per nät'!R$1,FALSE)
               +Andel_beroende_av_klimat*VLOOKUP($A192,Leveranser_per_nät,'Leveranser per nät'!R$1,FALSE)/VLOOKUP($B192,Korrigeringsfaktor_GD,'Korrigeringsfaktor GD'!R$1,FALSE),
"")</f>
        <v>0</v>
      </c>
      <c r="S192" s="18" t="str">
        <f>IFERROR(
                  Andel_oberoende_av_klimat*VLOOKUP($A192,Leveranser_per_nät,'Leveranser per nät'!S$1,FALSE)
               +Andel_beroende_av_klimat*VLOOKUP($A192,Leveranser_per_nät,'Leveranser per nät'!S$1,FALSE)/VLOOKUP($B192,Korrigeringsfaktor_GD,'Korrigeringsfaktor GD'!S$1,FALSE),
"")</f>
        <v/>
      </c>
      <c r="T192" s="18" t="str">
        <f>IFERROR(
                  Andel_oberoende_av_klimat*VLOOKUP($A192,Leveranser_per_nät,'Leveranser per nät'!T$1,FALSE)
               +Andel_beroende_av_klimat*VLOOKUP($A192,Leveranser_per_nät,'Leveranser per nät'!T$1,FALSE)/VLOOKUP($B192,Korrigeringsfaktor_GD,'Korrigeringsfaktor GD'!T$1,FALSE),
"")</f>
        <v/>
      </c>
      <c r="U192" s="18" t="str">
        <f>IFERROR(
                  Andel_oberoende_av_klimat*VLOOKUP($A192,Leveranser_per_nät,'Leveranser per nät'!U$1,FALSE)
               +Andel_beroende_av_klimat*VLOOKUP($A192,Leveranser_per_nät,'Leveranser per nät'!U$1,FALSE)/VLOOKUP($B192,Korrigeringsfaktor_GD,'Korrigeringsfaktor GD'!U$1,FALSE),
"")</f>
        <v/>
      </c>
      <c r="V192" s="18" t="str">
        <f>IFERROR(
                  Andel_oberoende_av_klimat*VLOOKUP($A192,Leveranser_per_nät,'Leveranser per nät'!V$1,FALSE)
               +Andel_beroende_av_klimat*VLOOKUP($A192,Leveranser_per_nät,'Leveranser per nät'!V$1,FALSE)/VLOOKUP($B192,Korrigeringsfaktor_GD,'Korrigeringsfaktor GD'!V$1,FALSE),
"")</f>
        <v/>
      </c>
      <c r="W192" s="18" t="str">
        <f>IFERROR(
                  Andel_oberoende_av_klimat*VLOOKUP($A192,Leveranser_per_nät,'Leveranser per nät'!W$1,FALSE)
               +Andel_beroende_av_klimat*VLOOKUP($A192,Leveranser_per_nät,'Leveranser per nät'!W$1,FALSE)/VLOOKUP($B192,Korrigeringsfaktor_GD,'Korrigeringsfaktor GD'!W$1,FALSE),
"")</f>
        <v/>
      </c>
      <c r="X192" s="18" t="str">
        <f>IFERROR(
                  Andel_oberoende_av_klimat*VLOOKUP($A192,Leveranser_per_nät,'Leveranser per nät'!X$1,FALSE)
               +Andel_beroende_av_klimat*VLOOKUP($A192,Leveranser_per_nät,'Leveranser per nät'!X$1,FALSE)/VLOOKUP($B192,Korrigeringsfaktor_GD,'Korrigeringsfaktor GD'!X$1,FALSE),
"")</f>
        <v/>
      </c>
      <c r="Y192" s="18" t="str">
        <f>IFERROR(
                  Andel_oberoende_av_klimat*VLOOKUP($A192,Leveranser_per_nät,'Leveranser per nät'!Y$1,FALSE)
               +Andel_beroende_av_klimat*VLOOKUP($A192,Leveranser_per_nät,'Leveranser per nät'!Y$1,FALSE)/VLOOKUP($B192,Korrigeringsfaktor_GD,'Korrigeringsfaktor GD'!Y$1,FALSE),
"")</f>
        <v/>
      </c>
      <c r="Z192" s="18">
        <f>IFERROR(
                  Andel_oberoende_av_klimat*VLOOKUP($A192,Leveranser_per_nät,'Leveranser per nät'!Z$1,FALSE)
               +Andel_beroende_av_klimat*VLOOKUP($A192,Leveranser_per_nät,'Leveranser per nät'!Z$1,FALSE)/VLOOKUP($B192,Korrigeringsfaktor_GD,'Korrigeringsfaktor GD'!Z$1,FALSE),
"")</f>
        <v>0</v>
      </c>
      <c r="AA192" s="18" t="str">
        <f>IFERROR(
                  Andel_oberoende_av_klimat*VLOOKUP($A192,Leveranser_per_nät,'Leveranser per nät'!AA$1,FALSE)
               +Andel_beroende_av_klimat*VLOOKUP($A192,Leveranser_per_nät,'Leveranser per nät'!AA$1,FALSE)/VLOOKUP($B192,Korrigeringsfaktor_GD,'Korrigeringsfaktor GD'!AA$1,FALSE),
"")</f>
        <v/>
      </c>
      <c r="AB192" s="18">
        <f>IFERROR(
                  Andel_oberoende_av_klimat*VLOOKUP($A192,Leveranser_per_nät,'Leveranser per nät'!AB$1,FALSE)
               +Andel_beroende_av_klimat*VLOOKUP($A192,Leveranser_per_nät,'Leveranser per nät'!AB$1,FALSE)/VLOOKUP($B192,Korrigeringsfaktor_GD,'Korrigeringsfaktor GD'!AB$1,FALSE),
"")</f>
        <v>0</v>
      </c>
      <c r="AC192" s="18">
        <f>IFERROR(
                  Andel_oberoende_av_klimat*VLOOKUP($A192,Leveranser_per_nät,'Leveranser per nät'!AC$1,FALSE)
               +Andel_beroende_av_klimat*VLOOKUP($A192,Leveranser_per_nät,'Leveranser per nät'!AC$1,FALSE)/VLOOKUP($B192,Korrigeringsfaktor_GD,'Korrigeringsfaktor GD'!AC$1,FALSE),
"")</f>
        <v>0</v>
      </c>
      <c r="AD192" t="e">
        <v>#N/A</v>
      </c>
    </row>
    <row r="193" spans="1:30" x14ac:dyDescent="0.25">
      <c r="A193" t="s">
        <v>390</v>
      </c>
      <c r="B193" t="s">
        <v>505</v>
      </c>
      <c r="C193" s="18">
        <f>IFERROR(
                  Andel_oberoende_av_klimat*VLOOKUP($A193,Leveranser_per_nät,'Leveranser per nät'!C$1,FALSE)
               +Andel_beroende_av_klimat*VLOOKUP($A193,Leveranser_per_nät,'Leveranser per nät'!C$1,FALSE)/VLOOKUP($B193,Korrigeringsfaktor_GD,'Korrigeringsfaktor GD'!C$1,FALSE),
"")</f>
        <v>244.59607843137255</v>
      </c>
      <c r="D193" s="18">
        <f>IFERROR(
                  Andel_oberoende_av_klimat*VLOOKUP($A193,Leveranser_per_nät,'Leveranser per nät'!D$1,FALSE)
               +Andel_beroende_av_klimat*VLOOKUP($A193,Leveranser_per_nät,'Leveranser per nät'!D$1,FALSE)/VLOOKUP($B193,Korrigeringsfaktor_GD,'Korrigeringsfaktor GD'!D$1,FALSE),
"")</f>
        <v>241.13628571428575</v>
      </c>
      <c r="E193" s="18">
        <f>IFERROR(
                  Andel_oberoende_av_klimat*VLOOKUP($A193,Leveranser_per_nät,'Leveranser per nät'!E$1,FALSE)
               +Andel_beroende_av_klimat*VLOOKUP($A193,Leveranser_per_nät,'Leveranser per nät'!E$1,FALSE)/VLOOKUP($B193,Korrigeringsfaktor_GD,'Korrigeringsfaktor GD'!E$1,FALSE),
"")</f>
        <v>250.65849056603773</v>
      </c>
      <c r="F193" s="18">
        <f>IFERROR(
                  Andel_oberoende_av_klimat*VLOOKUP($A193,Leveranser_per_nät,'Leveranser per nät'!F$1,FALSE)
               +Andel_beroende_av_klimat*VLOOKUP($A193,Leveranser_per_nät,'Leveranser per nät'!F$1,FALSE)/VLOOKUP($B193,Korrigeringsfaktor_GD,'Korrigeringsfaktor GD'!F$1,FALSE),
"")</f>
        <v>224.57676767676767</v>
      </c>
      <c r="G193" s="18">
        <f>IFERROR(
                  Andel_oberoende_av_klimat*VLOOKUP($A193,Leveranser_per_nät,'Leveranser per nät'!G$1,FALSE)
               +Andel_beroende_av_klimat*VLOOKUP($A193,Leveranser_per_nät,'Leveranser per nät'!G$1,FALSE)/VLOOKUP($B193,Korrigeringsfaktor_GD,'Korrigeringsfaktor GD'!G$1,FALSE),
"")</f>
        <v>232.96382978723406</v>
      </c>
      <c r="H193" s="18">
        <f>IFERROR(
                  Andel_oberoende_av_klimat*VLOOKUP($A193,Leveranser_per_nät,'Leveranser per nät'!H$1,FALSE)
               +Andel_beroende_av_klimat*VLOOKUP($A193,Leveranser_per_nät,'Leveranser per nät'!H$1,FALSE)/VLOOKUP($B193,Korrigeringsfaktor_GD,'Korrigeringsfaktor GD'!H$1,FALSE),
"")</f>
        <v>233.64040404040401</v>
      </c>
      <c r="I193" s="18">
        <f>IFERROR(
                  Andel_oberoende_av_klimat*VLOOKUP($A193,Leveranser_per_nät,'Leveranser per nät'!I$1,FALSE)
               +Andel_beroende_av_klimat*VLOOKUP($A193,Leveranser_per_nät,'Leveranser per nät'!I$1,FALSE)/VLOOKUP($B193,Korrigeringsfaktor_GD,'Korrigeringsfaktor GD'!I$1,FALSE),
"")</f>
        <v>226.18571428571428</v>
      </c>
      <c r="J193" s="18">
        <f>IFERROR(
                  Andel_oberoende_av_klimat*VLOOKUP($A193,Leveranser_per_nät,'Leveranser per nät'!J$1,FALSE)
               +Andel_beroende_av_klimat*VLOOKUP($A193,Leveranser_per_nät,'Leveranser per nät'!J$1,FALSE)/VLOOKUP($B193,Korrigeringsfaktor_GD,'Korrigeringsfaktor GD'!J$1,FALSE),
"")</f>
        <v>214.06666666666666</v>
      </c>
      <c r="K193" s="18">
        <f>IFERROR(
                  Andel_oberoende_av_klimat*VLOOKUP($A193,Leveranser_per_nät,'Leveranser per nät'!K$1,FALSE)
               +Andel_beroende_av_klimat*VLOOKUP($A193,Leveranser_per_nät,'Leveranser per nät'!K$1,FALSE)/VLOOKUP($B193,Korrigeringsfaktor_GD,'Korrigeringsfaktor GD'!K$1,FALSE),
"")</f>
        <v>218.39903195876289</v>
      </c>
      <c r="L193" s="18">
        <f>IFERROR(
                  Andel_oberoende_av_klimat*VLOOKUP($A193,Leveranser_per_nät,'Leveranser per nät'!L$1,FALSE)
               +Andel_beroende_av_klimat*VLOOKUP($A193,Leveranser_per_nät,'Leveranser per nät'!L$1,FALSE)/VLOOKUP($B193,Korrigeringsfaktor_GD,'Korrigeringsfaktor GD'!L$1,FALSE),
"")</f>
        <v>210.96911914893622</v>
      </c>
      <c r="M193" s="18">
        <f>IFERROR(
                  Andel_oberoende_av_klimat*VLOOKUP($A193,Leveranser_per_nät,'Leveranser per nät'!M$1,FALSE)
               +Andel_beroende_av_klimat*VLOOKUP($A193,Leveranser_per_nät,'Leveranser per nät'!M$1,FALSE)/VLOOKUP($B193,Korrigeringsfaktor_GD,'Korrigeringsfaktor GD'!M$1,FALSE),
"")</f>
        <v>209.21823404255321</v>
      </c>
      <c r="N193" s="18">
        <f>IFERROR(
                  Andel_oberoende_av_klimat*VLOOKUP($A193,Leveranser_per_nät,'Leveranser per nät'!N$1,FALSE)
               +Andel_beroende_av_klimat*VLOOKUP($A193,Leveranser_per_nät,'Leveranser per nät'!N$1,FALSE)/VLOOKUP($B193,Korrigeringsfaktor_GD,'Korrigeringsfaktor GD'!N$1,FALSE),
"")</f>
        <v>206.18434736842107</v>
      </c>
      <c r="O193" s="18">
        <f>IFERROR(
                  Andel_oberoende_av_klimat*VLOOKUP($A193,Leveranser_per_nät,'Leveranser per nät'!O$1,FALSE)
               +Andel_beroende_av_klimat*VLOOKUP($A193,Leveranser_per_nät,'Leveranser per nät'!O$1,FALSE)/VLOOKUP($B193,Korrigeringsfaktor_GD,'Korrigeringsfaktor GD'!O$1,FALSE),
"")</f>
        <v>217.48669896907217</v>
      </c>
      <c r="P193" s="18">
        <f>IFERROR(
                  Andel_oberoende_av_klimat*VLOOKUP($A193,Leveranser_per_nät,'Leveranser per nät'!P$1,FALSE)
               +Andel_beroende_av_klimat*VLOOKUP($A193,Leveranser_per_nät,'Leveranser per nät'!P$1,FALSE)/VLOOKUP($B193,Korrigeringsfaktor_GD,'Korrigeringsfaktor GD'!P$1,FALSE),
"")</f>
        <v>206.30576701030924</v>
      </c>
      <c r="Q193" s="18">
        <f>IFERROR(
                  Andel_oberoende_av_klimat*VLOOKUP($A193,Leveranser_per_nät,'Leveranser per nät'!Q$1,FALSE)
               +Andel_beroende_av_klimat*VLOOKUP($A193,Leveranser_per_nät,'Leveranser per nät'!Q$1,FALSE)/VLOOKUP($B193,Korrigeringsfaktor_GD,'Korrigeringsfaktor GD'!Q$1,FALSE),
"")</f>
        <v>207.31036666666665</v>
      </c>
      <c r="R193" s="18">
        <f>IFERROR(
                  Andel_oberoende_av_klimat*VLOOKUP($A193,Leveranser_per_nät,'Leveranser per nät'!R$1,FALSE)
               +Andel_beroende_av_klimat*VLOOKUP($A193,Leveranser_per_nät,'Leveranser per nät'!R$1,FALSE)/VLOOKUP($B193,Korrigeringsfaktor_GD,'Korrigeringsfaktor GD'!R$1,FALSE),
"")</f>
        <v>209.83578888888889</v>
      </c>
      <c r="S193" s="18">
        <f>IFERROR(
                  Andel_oberoende_av_klimat*VLOOKUP($A193,Leveranser_per_nät,'Leveranser per nät'!S$1,FALSE)
               +Andel_beroende_av_klimat*VLOOKUP($A193,Leveranser_per_nät,'Leveranser per nät'!S$1,FALSE)/VLOOKUP($B193,Korrigeringsfaktor_GD,'Korrigeringsfaktor GD'!S$1,FALSE),
"")</f>
        <v>210.61650485436894</v>
      </c>
      <c r="T193" s="18">
        <f>IFERROR(
                  Andel_oberoende_av_klimat*VLOOKUP($A193,Leveranser_per_nät,'Leveranser per nät'!T$1,FALSE)
               +Andel_beroende_av_klimat*VLOOKUP($A193,Leveranser_per_nät,'Leveranser per nät'!T$1,FALSE)/VLOOKUP($B193,Korrigeringsfaktor_GD,'Korrigeringsfaktor GD'!T$1,FALSE),
"")</f>
        <v>203.59936666666664</v>
      </c>
      <c r="U193" s="18">
        <f>IFERROR(
                  Andel_oberoende_av_klimat*VLOOKUP($A193,Leveranser_per_nät,'Leveranser per nät'!U$1,FALSE)
               +Andel_beroende_av_klimat*VLOOKUP($A193,Leveranser_per_nät,'Leveranser per nät'!U$1,FALSE)/VLOOKUP($B193,Korrigeringsfaktor_GD,'Korrigeringsfaktor GD'!U$1,FALSE),
"")</f>
        <v>207.11529148936171</v>
      </c>
      <c r="V193" s="18">
        <f>IFERROR(
                  Andel_oberoende_av_klimat*VLOOKUP($A193,Leveranser_per_nät,'Leveranser per nät'!V$1,FALSE)
               +Andel_beroende_av_klimat*VLOOKUP($A193,Leveranser_per_nät,'Leveranser per nät'!V$1,FALSE)/VLOOKUP($B193,Korrigeringsfaktor_GD,'Korrigeringsfaktor GD'!V$1,FALSE),
"")</f>
        <v>209.0421</v>
      </c>
      <c r="W193" s="18">
        <f>IFERROR(
                  Andel_oberoende_av_klimat*VLOOKUP($A193,Leveranser_per_nät,'Leveranser per nät'!W$1,FALSE)
               +Andel_beroende_av_klimat*VLOOKUP($A193,Leveranser_per_nät,'Leveranser per nät'!W$1,FALSE)/VLOOKUP($B193,Korrigeringsfaktor_GD,'Korrigeringsfaktor GD'!W$1,FALSE),
"")</f>
        <v>201.29503225806451</v>
      </c>
      <c r="X193" s="18">
        <f>IFERROR(
                  Andel_oberoende_av_klimat*VLOOKUP($A193,Leveranser_per_nät,'Leveranser per nät'!X$1,FALSE)
               +Andel_beroende_av_klimat*VLOOKUP($A193,Leveranser_per_nät,'Leveranser per nät'!X$1,FALSE)/VLOOKUP($B193,Korrigeringsfaktor_GD,'Korrigeringsfaktor GD'!X$1,FALSE),
"")</f>
        <v>206.65049166666668</v>
      </c>
      <c r="Y193" s="18">
        <f>IFERROR(
                  Andel_oberoende_av_klimat*VLOOKUP($A193,Leveranser_per_nät,'Leveranser per nät'!Y$1,FALSE)
               +Andel_beroende_av_klimat*VLOOKUP($A193,Leveranser_per_nät,'Leveranser per nät'!Y$1,FALSE)/VLOOKUP($B193,Korrigeringsfaktor_GD,'Korrigeringsfaktor GD'!Y$1,FALSE),
"")</f>
        <v>209.00720851063829</v>
      </c>
      <c r="Z193" s="18">
        <f>IFERROR(
                  Andel_oberoende_av_klimat*VLOOKUP($A193,Leveranser_per_nät,'Leveranser per nät'!Z$1,FALSE)
               +Andel_beroende_av_klimat*VLOOKUP($A193,Leveranser_per_nät,'Leveranser per nät'!Z$1,FALSE)/VLOOKUP($B193,Korrigeringsfaktor_GD,'Korrigeringsfaktor GD'!Z$1,FALSE),
"")</f>
        <v>215.63305833333334</v>
      </c>
      <c r="AA193" s="18">
        <f>IFERROR(
                  Andel_oberoende_av_klimat*VLOOKUP($A193,Leveranser_per_nät,'Leveranser per nät'!AA$1,FALSE)
               +Andel_beroende_av_klimat*VLOOKUP($A193,Leveranser_per_nät,'Leveranser per nät'!AA$1,FALSE)/VLOOKUP($B193,Korrigeringsfaktor_GD,'Korrigeringsfaktor GD'!AA$1,FALSE),
"")</f>
        <v>228.90035151649326</v>
      </c>
      <c r="AB193" s="18">
        <f>IFERROR(
                  Andel_oberoende_av_klimat*VLOOKUP($A193,Leveranser_per_nät,'Leveranser per nät'!AB$1,FALSE)
               +Andel_beroende_av_klimat*VLOOKUP($A193,Leveranser_per_nät,'Leveranser per nät'!AB$1,FALSE)/VLOOKUP($B193,Korrigeringsfaktor_GD,'Korrigeringsfaktor GD'!AB$1,FALSE),
"")</f>
        <v>226</v>
      </c>
      <c r="AC193" s="18">
        <f>IFERROR(
                  Andel_oberoende_av_klimat*VLOOKUP($A193,Leveranser_per_nät,'Leveranser per nät'!AC$1,FALSE)
               +Andel_beroende_av_klimat*VLOOKUP($A193,Leveranser_per_nät,'Leveranser per nät'!AC$1,FALSE)/VLOOKUP($B193,Korrigeringsfaktor_GD,'Korrigeringsfaktor GD'!AC$1,FALSE),
"")</f>
        <v>227.21918644067796</v>
      </c>
      <c r="AD193" t="e">
        <v>#N/A</v>
      </c>
    </row>
    <row r="194" spans="1:30" x14ac:dyDescent="0.25">
      <c r="A194" t="s">
        <v>307</v>
      </c>
      <c r="B194" t="s">
        <v>307</v>
      </c>
      <c r="C194" s="18">
        <f>IFERROR(
                  Andel_oberoende_av_klimat*VLOOKUP($A194,Leveranser_per_nät,'Leveranser per nät'!C$1,FALSE)
               +Andel_beroende_av_klimat*VLOOKUP($A194,Leveranser_per_nät,'Leveranser per nät'!C$1,FALSE)/VLOOKUP($B194,Korrigeringsfaktor_GD,'Korrigeringsfaktor GD'!C$1,FALSE),
"")</f>
        <v>0</v>
      </c>
      <c r="D194" s="18">
        <f>IFERROR(
                  Andel_oberoende_av_klimat*VLOOKUP($A194,Leveranser_per_nät,'Leveranser per nät'!D$1,FALSE)
               +Andel_beroende_av_klimat*VLOOKUP($A194,Leveranser_per_nät,'Leveranser per nät'!D$1,FALSE)/VLOOKUP($B194,Korrigeringsfaktor_GD,'Korrigeringsfaktor GD'!D$1,FALSE),
"")</f>
        <v>0</v>
      </c>
      <c r="E194" s="18">
        <f>IFERROR(
                  Andel_oberoende_av_klimat*VLOOKUP($A194,Leveranser_per_nät,'Leveranser per nät'!E$1,FALSE)
               +Andel_beroende_av_klimat*VLOOKUP($A194,Leveranser_per_nät,'Leveranser per nät'!E$1,FALSE)/VLOOKUP($B194,Korrigeringsfaktor_GD,'Korrigeringsfaktor GD'!E$1,FALSE),
"")</f>
        <v>0</v>
      </c>
      <c r="F194" s="18">
        <f>IFERROR(
                  Andel_oberoende_av_klimat*VLOOKUP($A194,Leveranser_per_nät,'Leveranser per nät'!F$1,FALSE)
               +Andel_beroende_av_klimat*VLOOKUP($A194,Leveranser_per_nät,'Leveranser per nät'!F$1,FALSE)/VLOOKUP($B194,Korrigeringsfaktor_GD,'Korrigeringsfaktor GD'!F$1,FALSE),
"")</f>
        <v>0</v>
      </c>
      <c r="G194" s="18">
        <f>IFERROR(
                  Andel_oberoende_av_klimat*VLOOKUP($A194,Leveranser_per_nät,'Leveranser per nät'!G$1,FALSE)
               +Andel_beroende_av_klimat*VLOOKUP($A194,Leveranser_per_nät,'Leveranser per nät'!G$1,FALSE)/VLOOKUP($B194,Korrigeringsfaktor_GD,'Korrigeringsfaktor GD'!G$1,FALSE),
"")</f>
        <v>12.224177272727275</v>
      </c>
      <c r="H194" s="18">
        <f>IFERROR(
                  Andel_oberoende_av_klimat*VLOOKUP($A194,Leveranser_per_nät,'Leveranser per nät'!H$1,FALSE)
               +Andel_beroende_av_klimat*VLOOKUP($A194,Leveranser_per_nät,'Leveranser per nät'!H$1,FALSE)/VLOOKUP($B194,Korrigeringsfaktor_GD,'Korrigeringsfaktor GD'!H$1,FALSE),
"")</f>
        <v>11.916831683168315</v>
      </c>
      <c r="I194" s="18">
        <f>IFERROR(
                  Andel_oberoende_av_klimat*VLOOKUP($A194,Leveranser_per_nät,'Leveranser per nät'!I$1,FALSE)
               +Andel_beroende_av_klimat*VLOOKUP($A194,Leveranser_per_nät,'Leveranser per nät'!I$1,FALSE)/VLOOKUP($B194,Korrigeringsfaktor_GD,'Korrigeringsfaktor GD'!I$1,FALSE),
"")</f>
        <v>12.876542105263159</v>
      </c>
      <c r="J194" s="18">
        <f>IFERROR(
                  Andel_oberoende_av_klimat*VLOOKUP($A194,Leveranser_per_nät,'Leveranser per nät'!J$1,FALSE)
               +Andel_beroende_av_klimat*VLOOKUP($A194,Leveranser_per_nät,'Leveranser per nät'!J$1,FALSE)/VLOOKUP($B194,Korrigeringsfaktor_GD,'Korrigeringsfaktor GD'!J$1,FALSE),
"")</f>
        <v>12.506811111111112</v>
      </c>
      <c r="K194" s="18">
        <f>IFERROR(
                  Andel_oberoende_av_klimat*VLOOKUP($A194,Leveranser_per_nät,'Leveranser per nät'!K$1,FALSE)
               +Andel_beroende_av_klimat*VLOOKUP($A194,Leveranser_per_nät,'Leveranser per nät'!K$1,FALSE)/VLOOKUP($B194,Korrigeringsfaktor_GD,'Korrigeringsfaktor GD'!K$1,FALSE),
"")</f>
        <v>12</v>
      </c>
      <c r="L194" s="18">
        <f>IFERROR(
                  Andel_oberoende_av_klimat*VLOOKUP($A194,Leveranser_per_nät,'Leveranser per nät'!L$1,FALSE)
               +Andel_beroende_av_klimat*VLOOKUP($A194,Leveranser_per_nät,'Leveranser per nät'!L$1,FALSE)/VLOOKUP($B194,Korrigeringsfaktor_GD,'Korrigeringsfaktor GD'!L$1,FALSE),
"")</f>
        <v>11.238144329896908</v>
      </c>
      <c r="M194" s="18">
        <f>IFERROR(
                  Andel_oberoende_av_klimat*VLOOKUP($A194,Leveranser_per_nät,'Leveranser per nät'!M$1,FALSE)
               +Andel_beroende_av_klimat*VLOOKUP($A194,Leveranser_per_nät,'Leveranser per nät'!M$1,FALSE)/VLOOKUP($B194,Korrigeringsfaktor_GD,'Korrigeringsfaktor GD'!M$1,FALSE),
"")</f>
        <v>11.491489361702127</v>
      </c>
      <c r="N194" s="18">
        <f>IFERROR(
                  Andel_oberoende_av_klimat*VLOOKUP($A194,Leveranser_per_nät,'Leveranser per nät'!N$1,FALSE)
               +Andel_beroende_av_klimat*VLOOKUP($A194,Leveranser_per_nät,'Leveranser per nät'!N$1,FALSE)/VLOOKUP($B194,Korrigeringsfaktor_GD,'Korrigeringsfaktor GD'!N$1,FALSE),
"")</f>
        <v>65.757692307692309</v>
      </c>
      <c r="O194" s="18">
        <f>IFERROR(
                  Andel_oberoende_av_klimat*VLOOKUP($A194,Leveranser_per_nät,'Leveranser per nät'!O$1,FALSE)
               +Andel_beroende_av_klimat*VLOOKUP($A194,Leveranser_per_nät,'Leveranser per nät'!O$1,FALSE)/VLOOKUP($B194,Korrigeringsfaktor_GD,'Korrigeringsfaktor GD'!O$1,FALSE),
"")</f>
        <v>69.947777777777787</v>
      </c>
      <c r="P194" s="18">
        <f>IFERROR(
                  Andel_oberoende_av_klimat*VLOOKUP($A194,Leveranser_per_nät,'Leveranser per nät'!P$1,FALSE)
               +Andel_beroende_av_klimat*VLOOKUP($A194,Leveranser_per_nät,'Leveranser per nät'!P$1,FALSE)/VLOOKUP($B194,Korrigeringsfaktor_GD,'Korrigeringsfaktor GD'!P$1,FALSE),
"")</f>
        <v>78.652222222222221</v>
      </c>
      <c r="Q194" s="18">
        <f>IFERROR(
                  Andel_oberoende_av_klimat*VLOOKUP($A194,Leveranser_per_nät,'Leveranser per nät'!Q$1,FALSE)
               +Andel_beroende_av_klimat*VLOOKUP($A194,Leveranser_per_nät,'Leveranser per nät'!Q$1,FALSE)/VLOOKUP($B194,Korrigeringsfaktor_GD,'Korrigeringsfaktor GD'!Q$1,FALSE),
"")</f>
        <v>18.791724137931034</v>
      </c>
      <c r="R194" s="18">
        <f>IFERROR(
                  Andel_oberoende_av_klimat*VLOOKUP($A194,Leveranser_per_nät,'Leveranser per nät'!R$1,FALSE)
               +Andel_beroende_av_klimat*VLOOKUP($A194,Leveranser_per_nät,'Leveranser per nät'!R$1,FALSE)/VLOOKUP($B194,Korrigeringsfaktor_GD,'Korrigeringsfaktor GD'!R$1,FALSE),
"")</f>
        <v>18.711538461538463</v>
      </c>
      <c r="S194" s="18">
        <f>IFERROR(
                  Andel_oberoende_av_klimat*VLOOKUP($A194,Leveranser_per_nät,'Leveranser per nät'!S$1,FALSE)
               +Andel_beroende_av_klimat*VLOOKUP($A194,Leveranser_per_nät,'Leveranser per nät'!S$1,FALSE)/VLOOKUP($B194,Korrigeringsfaktor_GD,'Korrigeringsfaktor GD'!S$1,FALSE),
"")</f>
        <v>21.847524752475248</v>
      </c>
      <c r="T194" s="18">
        <f>IFERROR(
                  Andel_oberoende_av_klimat*VLOOKUP($A194,Leveranser_per_nät,'Leveranser per nät'!T$1,FALSE)
               +Andel_beroende_av_klimat*VLOOKUP($A194,Leveranser_per_nät,'Leveranser per nät'!T$1,FALSE)/VLOOKUP($B194,Korrigeringsfaktor_GD,'Korrigeringsfaktor GD'!T$1,FALSE),
"")</f>
        <v>17.925858585858585</v>
      </c>
      <c r="U194" s="18">
        <f>IFERROR(
                  Andel_oberoende_av_klimat*VLOOKUP($A194,Leveranser_per_nät,'Leveranser per nät'!U$1,FALSE)
               +Andel_beroende_av_klimat*VLOOKUP($A194,Leveranser_per_nät,'Leveranser per nät'!U$1,FALSE)/VLOOKUP($B194,Korrigeringsfaktor_GD,'Korrigeringsfaktor GD'!U$1,FALSE),
"")</f>
        <v>18.667701149425284</v>
      </c>
      <c r="V194" s="18">
        <f>IFERROR(
                  Andel_oberoende_av_klimat*VLOOKUP($A194,Leveranser_per_nät,'Leveranser per nät'!V$1,FALSE)
               +Andel_beroende_av_klimat*VLOOKUP($A194,Leveranser_per_nät,'Leveranser per nät'!V$1,FALSE)/VLOOKUP($B194,Korrigeringsfaktor_GD,'Korrigeringsfaktor GD'!V$1,FALSE),
"")</f>
        <v>19.060909090909089</v>
      </c>
      <c r="W194" s="18">
        <f>IFERROR(
                  Andel_oberoende_av_klimat*VLOOKUP($A194,Leveranser_per_nät,'Leveranser per nät'!W$1,FALSE)
               +Andel_beroende_av_klimat*VLOOKUP($A194,Leveranser_per_nät,'Leveranser per nät'!W$1,FALSE)/VLOOKUP($B194,Korrigeringsfaktor_GD,'Korrigeringsfaktor GD'!W$1,FALSE),
"")</f>
        <v>19.369462365591396</v>
      </c>
      <c r="X194" s="18">
        <f>IFERROR(
                  Andel_oberoende_av_klimat*VLOOKUP($A194,Leveranser_per_nät,'Leveranser per nät'!X$1,FALSE)
               +Andel_beroende_av_klimat*VLOOKUP($A194,Leveranser_per_nät,'Leveranser per nät'!X$1,FALSE)/VLOOKUP($B194,Korrigeringsfaktor_GD,'Korrigeringsfaktor GD'!X$1,FALSE),
"")</f>
        <v>19.626086956521739</v>
      </c>
      <c r="Y194" s="18">
        <f>IFERROR(
                  Andel_oberoende_av_klimat*VLOOKUP($A194,Leveranser_per_nät,'Leveranser per nät'!Y$1,FALSE)
               +Andel_beroende_av_klimat*VLOOKUP($A194,Leveranser_per_nät,'Leveranser per nät'!Y$1,FALSE)/VLOOKUP($B194,Korrigeringsfaktor_GD,'Korrigeringsfaktor GD'!Y$1,FALSE),
"")</f>
        <v>19.994615384615383</v>
      </c>
      <c r="Z194" s="18">
        <f>IFERROR(
                  Andel_oberoende_av_klimat*VLOOKUP($A194,Leveranser_per_nät,'Leveranser per nät'!Z$1,FALSE)
               +Andel_beroende_av_klimat*VLOOKUP($A194,Leveranser_per_nät,'Leveranser per nät'!Z$1,FALSE)/VLOOKUP($B194,Korrigeringsfaktor_GD,'Korrigeringsfaktor GD'!Z$1,FALSE),
"")</f>
        <v>19.786476470588237</v>
      </c>
      <c r="AA194" s="18">
        <f>IFERROR(
                  Andel_oberoende_av_klimat*VLOOKUP($A194,Leveranser_per_nät,'Leveranser per nät'!AA$1,FALSE)
               +Andel_beroende_av_klimat*VLOOKUP($A194,Leveranser_per_nät,'Leveranser per nät'!AA$1,FALSE)/VLOOKUP($B194,Korrigeringsfaktor_GD,'Korrigeringsfaktor GD'!AA$1,FALSE),
"")</f>
        <v>19.27755511022044</v>
      </c>
      <c r="AB194" s="18">
        <f>IFERROR(
                  Andel_oberoende_av_klimat*VLOOKUP($A194,Leveranser_per_nät,'Leveranser per nät'!AB$1,FALSE)
               +Andel_beroende_av_klimat*VLOOKUP($A194,Leveranser_per_nät,'Leveranser per nät'!AB$1,FALSE)/VLOOKUP($B194,Korrigeringsfaktor_GD,'Korrigeringsfaktor GD'!AB$1,FALSE),
"")</f>
        <v>19.159643597262956</v>
      </c>
      <c r="AC194" s="18">
        <f>IFERROR(
                  Andel_oberoende_av_klimat*VLOOKUP($A194,Leveranser_per_nät,'Leveranser per nät'!AC$1,FALSE)
               +Andel_beroende_av_klimat*VLOOKUP($A194,Leveranser_per_nät,'Leveranser per nät'!AC$1,FALSE)/VLOOKUP($B194,Korrigeringsfaktor_GD,'Korrigeringsfaktor GD'!AC$1,FALSE),
"")</f>
        <v>18.946997905759162</v>
      </c>
      <c r="AD194">
        <v>18.341999999999999</v>
      </c>
    </row>
    <row r="195" spans="1:30" x14ac:dyDescent="0.25">
      <c r="A195" t="s">
        <v>135</v>
      </c>
      <c r="B195" t="s">
        <v>133</v>
      </c>
      <c r="C195" s="18">
        <f>IFERROR(
                  Andel_oberoende_av_klimat*VLOOKUP($A195,Leveranser_per_nät,'Leveranser per nät'!C$1,FALSE)
               +Andel_beroende_av_klimat*VLOOKUP($A195,Leveranser_per_nät,'Leveranser per nät'!C$1,FALSE)/VLOOKUP($B195,Korrigeringsfaktor_GD,'Korrigeringsfaktor GD'!C$1,FALSE),
"")</f>
        <v>5.5499999999999989</v>
      </c>
      <c r="D195" s="18">
        <f>IFERROR(
                  Andel_oberoende_av_klimat*VLOOKUP($A195,Leveranser_per_nät,'Leveranser per nät'!D$1,FALSE)
               +Andel_beroende_av_klimat*VLOOKUP($A195,Leveranser_per_nät,'Leveranser per nät'!D$1,FALSE)/VLOOKUP($B195,Korrigeringsfaktor_GD,'Korrigeringsfaktor GD'!D$1,FALSE),
"")</f>
        <v>6.1399999999999988</v>
      </c>
      <c r="E195" s="18">
        <f>IFERROR(
                  Andel_oberoende_av_klimat*VLOOKUP($A195,Leveranser_per_nät,'Leveranser per nät'!E$1,FALSE)
               +Andel_beroende_av_klimat*VLOOKUP($A195,Leveranser_per_nät,'Leveranser per nät'!E$1,FALSE)/VLOOKUP($B195,Korrigeringsfaktor_GD,'Korrigeringsfaktor GD'!E$1,FALSE),
"")</f>
        <v>7.8368932038834949</v>
      </c>
      <c r="F195" s="18">
        <f>IFERROR(
                  Andel_oberoende_av_klimat*VLOOKUP($A195,Leveranser_per_nät,'Leveranser per nät'!F$1,FALSE)
               +Andel_beroende_av_klimat*VLOOKUP($A195,Leveranser_per_nät,'Leveranser per nät'!F$1,FALSE)/VLOOKUP($B195,Korrigeringsfaktor_GD,'Korrigeringsfaktor GD'!F$1,FALSE),
"")</f>
        <v>8.4215053763440864</v>
      </c>
      <c r="G195" s="18">
        <f>IFERROR(
                  Andel_oberoende_av_klimat*VLOOKUP($A195,Leveranser_per_nät,'Leveranser per nät'!G$1,FALSE)
               +Andel_beroende_av_klimat*VLOOKUP($A195,Leveranser_per_nät,'Leveranser per nät'!G$1,FALSE)/VLOOKUP($B195,Korrigeringsfaktor_GD,'Korrigeringsfaktor GD'!G$1,FALSE),
"")</f>
        <v>8.7636363636363637</v>
      </c>
      <c r="H195" s="18">
        <f>IFERROR(
                  Andel_oberoende_av_klimat*VLOOKUP($A195,Leveranser_per_nät,'Leveranser per nät'!H$1,FALSE)
               +Andel_beroende_av_klimat*VLOOKUP($A195,Leveranser_per_nät,'Leveranser per nät'!H$1,FALSE)/VLOOKUP($B195,Korrigeringsfaktor_GD,'Korrigeringsfaktor GD'!H$1,FALSE),
"")</f>
        <v>8.1142857142857139</v>
      </c>
      <c r="I195" s="18">
        <f>IFERROR(
                  Andel_oberoende_av_klimat*VLOOKUP($A195,Leveranser_per_nät,'Leveranser per nät'!I$1,FALSE)
               +Andel_beroende_av_klimat*VLOOKUP($A195,Leveranser_per_nät,'Leveranser per nät'!I$1,FALSE)/VLOOKUP($B195,Korrigeringsfaktor_GD,'Korrigeringsfaktor GD'!I$1,FALSE),
"")</f>
        <v>8.6241598618288755</v>
      </c>
      <c r="J195" s="18">
        <f>IFERROR(
                  Andel_oberoende_av_klimat*VLOOKUP($A195,Leveranser_per_nät,'Leveranser per nät'!J$1,FALSE)
               +Andel_beroende_av_klimat*VLOOKUP($A195,Leveranser_per_nät,'Leveranser per nät'!J$1,FALSE)/VLOOKUP($B195,Korrigeringsfaktor_GD,'Korrigeringsfaktor GD'!J$1,FALSE),
"")</f>
        <v>8.6964938996692212</v>
      </c>
      <c r="K195" s="18">
        <f>IFERROR(
                  Andel_oberoende_av_klimat*VLOOKUP($A195,Leveranser_per_nät,'Leveranser per nät'!K$1,FALSE)
               +Andel_beroende_av_klimat*VLOOKUP($A195,Leveranser_per_nät,'Leveranser per nät'!K$1,FALSE)/VLOOKUP($B195,Korrigeringsfaktor_GD,'Korrigeringsfaktor GD'!K$1,FALSE),
"")</f>
        <v>9.0810550839894617</v>
      </c>
      <c r="L195" s="18">
        <f>IFERROR(
                  Andel_oberoende_av_klimat*VLOOKUP($A195,Leveranser_per_nät,'Leveranser per nät'!L$1,FALSE)
               +Andel_beroende_av_klimat*VLOOKUP($A195,Leveranser_per_nät,'Leveranser per nät'!L$1,FALSE)/VLOOKUP($B195,Korrigeringsfaktor_GD,'Korrigeringsfaktor GD'!L$1,FALSE),
"")</f>
        <v>9.5412709234880904</v>
      </c>
      <c r="M195" s="18">
        <f>IFERROR(
                  Andel_oberoende_av_klimat*VLOOKUP($A195,Leveranser_per_nät,'Leveranser per nät'!M$1,FALSE)
               +Andel_beroende_av_klimat*VLOOKUP($A195,Leveranser_per_nät,'Leveranser per nät'!M$1,FALSE)/VLOOKUP($B195,Korrigeringsfaktor_GD,'Korrigeringsfaktor GD'!M$1,FALSE),
"")</f>
        <v>8.9815384615384612</v>
      </c>
      <c r="N195" s="18">
        <f>IFERROR(
                  Andel_oberoende_av_klimat*VLOOKUP($A195,Leveranser_per_nät,'Leveranser per nät'!N$1,FALSE)
               +Andel_beroende_av_klimat*VLOOKUP($A195,Leveranser_per_nät,'Leveranser per nät'!N$1,FALSE)/VLOOKUP($B195,Korrigeringsfaktor_GD,'Korrigeringsfaktor GD'!N$1,FALSE),
"")</f>
        <v>8.9455555555555559</v>
      </c>
      <c r="O195" s="18">
        <f>IFERROR(
                  Andel_oberoende_av_klimat*VLOOKUP($A195,Leveranser_per_nät,'Leveranser per nät'!O$1,FALSE)
               +Andel_beroende_av_klimat*VLOOKUP($A195,Leveranser_per_nät,'Leveranser per nät'!O$1,FALSE)/VLOOKUP($B195,Korrigeringsfaktor_GD,'Korrigeringsfaktor GD'!O$1,FALSE),
"")</f>
        <v>8.9094382022471912</v>
      </c>
      <c r="P195" s="18">
        <f>IFERROR(
                  Andel_oberoende_av_klimat*VLOOKUP($A195,Leveranser_per_nät,'Leveranser per nät'!P$1,FALSE)
               +Andel_beroende_av_klimat*VLOOKUP($A195,Leveranser_per_nät,'Leveranser per nät'!P$1,FALSE)/VLOOKUP($B195,Korrigeringsfaktor_GD,'Korrigeringsfaktor GD'!P$1,FALSE),
"")</f>
        <v>8.888350515463916</v>
      </c>
      <c r="Q195" s="18">
        <f>IFERROR(
                  Andel_oberoende_av_klimat*VLOOKUP($A195,Leveranser_per_nät,'Leveranser per nät'!Q$1,FALSE)
               +Andel_beroende_av_klimat*VLOOKUP($A195,Leveranser_per_nät,'Leveranser per nät'!Q$1,FALSE)/VLOOKUP($B195,Korrigeringsfaktor_GD,'Korrigeringsfaktor GD'!Q$1,FALSE),
"")</f>
        <v>8.3249999999999993</v>
      </c>
      <c r="R195" s="18">
        <f>IFERROR(
                  Andel_oberoende_av_klimat*VLOOKUP($A195,Leveranser_per_nät,'Leveranser per nät'!R$1,FALSE)
               +Andel_beroende_av_klimat*VLOOKUP($A195,Leveranser_per_nät,'Leveranser per nät'!R$1,FALSE)/VLOOKUP($B195,Korrigeringsfaktor_GD,'Korrigeringsfaktor GD'!R$1,FALSE),
"")</f>
        <v>8.6708510638297884</v>
      </c>
      <c r="S195" s="18">
        <f>IFERROR(
                  Andel_oberoende_av_klimat*VLOOKUP($A195,Leveranser_per_nät,'Leveranser per nät'!S$1,FALSE)
               +Andel_beroende_av_klimat*VLOOKUP($A195,Leveranser_per_nät,'Leveranser per nät'!S$1,FALSE)/VLOOKUP($B195,Korrigeringsfaktor_GD,'Korrigeringsfaktor GD'!S$1,FALSE),
"")</f>
        <v>8.2424752475247534</v>
      </c>
      <c r="T195" s="18">
        <f>IFERROR(
                  Andel_oberoende_av_klimat*VLOOKUP($A195,Leveranser_per_nät,'Leveranser per nät'!T$1,FALSE)
               +Andel_beroende_av_klimat*VLOOKUP($A195,Leveranser_per_nät,'Leveranser per nät'!T$1,FALSE)/VLOOKUP($B195,Korrigeringsfaktor_GD,'Korrigeringsfaktor GD'!T$1,FALSE),
"")</f>
        <v>8.4796907216494866</v>
      </c>
      <c r="U195" s="18">
        <f>IFERROR(
                  Andel_oberoende_av_klimat*VLOOKUP($A195,Leveranser_per_nät,'Leveranser per nät'!U$1,FALSE)
               +Andel_beroende_av_klimat*VLOOKUP($A195,Leveranser_per_nät,'Leveranser per nät'!U$1,FALSE)/VLOOKUP($B195,Korrigeringsfaktor_GD,'Korrigeringsfaktor GD'!U$1,FALSE),
"")</f>
        <v>8.1261538461538443</v>
      </c>
      <c r="V195" s="18">
        <f>IFERROR(
                  Andel_oberoende_av_klimat*VLOOKUP($A195,Leveranser_per_nät,'Leveranser per nät'!V$1,FALSE)
               +Andel_beroende_av_klimat*VLOOKUP($A195,Leveranser_per_nät,'Leveranser per nät'!V$1,FALSE)/VLOOKUP($B195,Korrigeringsfaktor_GD,'Korrigeringsfaktor GD'!V$1,FALSE),
"")</f>
        <v>8.0635632183908044</v>
      </c>
      <c r="W195" s="18">
        <f>IFERROR(
                  Andel_oberoende_av_klimat*VLOOKUP($A195,Leveranser_per_nät,'Leveranser per nät'!W$1,FALSE)
               +Andel_beroende_av_klimat*VLOOKUP($A195,Leveranser_per_nät,'Leveranser per nät'!W$1,FALSE)/VLOOKUP($B195,Korrigeringsfaktor_GD,'Korrigeringsfaktor GD'!W$1,FALSE),
"")</f>
        <v>8.1372795698924723</v>
      </c>
      <c r="X195" s="18">
        <f>IFERROR(
                  Andel_oberoende_av_klimat*VLOOKUP($A195,Leveranser_per_nät,'Leveranser per nät'!X$1,FALSE)
               +Andel_beroende_av_klimat*VLOOKUP($A195,Leveranser_per_nät,'Leveranser per nät'!X$1,FALSE)/VLOOKUP($B195,Korrigeringsfaktor_GD,'Korrigeringsfaktor GD'!X$1,FALSE),
"")</f>
        <v>8.2688157894736847</v>
      </c>
      <c r="Y195" s="18">
        <f>IFERROR(
                  Andel_oberoende_av_klimat*VLOOKUP($A195,Leveranser_per_nät,'Leveranser per nät'!Y$1,FALSE)
               +Andel_beroende_av_klimat*VLOOKUP($A195,Leveranser_per_nät,'Leveranser per nät'!Y$1,FALSE)/VLOOKUP($B195,Korrigeringsfaktor_GD,'Korrigeringsfaktor GD'!Y$1,FALSE),
"")</f>
        <v>7.643930769230769</v>
      </c>
      <c r="Z195" s="18">
        <f>IFERROR(
                  Andel_oberoende_av_klimat*VLOOKUP($A195,Leveranser_per_nät,'Leveranser per nät'!Z$1,FALSE)
               +Andel_beroende_av_klimat*VLOOKUP($A195,Leveranser_per_nät,'Leveranser per nät'!Z$1,FALSE)/VLOOKUP($B195,Korrigeringsfaktor_GD,'Korrigeringsfaktor GD'!Z$1,FALSE),
"")</f>
        <v>7.2025202247191</v>
      </c>
      <c r="AA195" s="18">
        <f>IFERROR(
                  Andel_oberoende_av_klimat*VLOOKUP($A195,Leveranser_per_nät,'Leveranser per nät'!AA$1,FALSE)
               +Andel_beroende_av_klimat*VLOOKUP($A195,Leveranser_per_nät,'Leveranser per nät'!AA$1,FALSE)/VLOOKUP($B195,Korrigeringsfaktor_GD,'Korrigeringsfaktor GD'!AA$1,FALSE),
"")</f>
        <v>7.673334146341463</v>
      </c>
      <c r="AB195" s="18">
        <f>IFERROR(
                  Andel_oberoende_av_klimat*VLOOKUP($A195,Leveranser_per_nät,'Leveranser per nät'!AB$1,FALSE)
               +Andel_beroende_av_klimat*VLOOKUP($A195,Leveranser_per_nät,'Leveranser per nät'!AB$1,FALSE)/VLOOKUP($B195,Korrigeringsfaktor_GD,'Korrigeringsfaktor GD'!AB$1,FALSE),
"")</f>
        <v>7.1105953921568634</v>
      </c>
      <c r="AC195" s="18">
        <f>IFERROR(
                  Andel_oberoende_av_klimat*VLOOKUP($A195,Leveranser_per_nät,'Leveranser per nät'!AC$1,FALSE)
               +Andel_beroende_av_klimat*VLOOKUP($A195,Leveranser_per_nät,'Leveranser per nät'!AC$1,FALSE)/VLOOKUP($B195,Korrigeringsfaktor_GD,'Korrigeringsfaktor GD'!AC$1,FALSE),
"")</f>
        <v>7.2644646578140968</v>
      </c>
      <c r="AD195">
        <v>174.447</v>
      </c>
    </row>
    <row r="196" spans="1:30" x14ac:dyDescent="0.25">
      <c r="A196" t="s">
        <v>788</v>
      </c>
      <c r="B196" t="s">
        <v>448</v>
      </c>
      <c r="C196" s="18">
        <f>IFERROR(
                  Andel_oberoende_av_klimat*VLOOKUP($A196,Leveranser_per_nät,'Leveranser per nät'!C$1,FALSE)
               +Andel_beroende_av_klimat*VLOOKUP($A196,Leveranser_per_nät,'Leveranser per nät'!C$1,FALSE)/VLOOKUP($B196,Korrigeringsfaktor_GD,'Korrigeringsfaktor GD'!C$1,FALSE),
"")</f>
        <v>48.443859649122814</v>
      </c>
      <c r="D196" s="18">
        <f>IFERROR(
                  Andel_oberoende_av_klimat*VLOOKUP($A196,Leveranser_per_nät,'Leveranser per nät'!D$1,FALSE)
               +Andel_beroende_av_klimat*VLOOKUP($A196,Leveranser_per_nät,'Leveranser per nät'!D$1,FALSE)/VLOOKUP($B196,Korrigeringsfaktor_GD,'Korrigeringsfaktor GD'!D$1,FALSE),
"")</f>
        <v>49.921009708737863</v>
      </c>
      <c r="E196" s="18">
        <f>IFERROR(
                  Andel_oberoende_av_klimat*VLOOKUP($A196,Leveranser_per_nät,'Leveranser per nät'!E$1,FALSE)
               +Andel_beroende_av_klimat*VLOOKUP($A196,Leveranser_per_nät,'Leveranser per nät'!E$1,FALSE)/VLOOKUP($B196,Korrigeringsfaktor_GD,'Korrigeringsfaktor GD'!E$1,FALSE),
"")</f>
        <v>55.611881188118815</v>
      </c>
      <c r="F196" s="18">
        <f>IFERROR(
                  Andel_oberoende_av_klimat*VLOOKUP($A196,Leveranser_per_nät,'Leveranser per nät'!F$1,FALSE)
               +Andel_beroende_av_klimat*VLOOKUP($A196,Leveranser_per_nät,'Leveranser per nät'!F$1,FALSE)/VLOOKUP($B196,Korrigeringsfaktor_GD,'Korrigeringsfaktor GD'!F$1,FALSE),
"")</f>
        <v>58.063157894736847</v>
      </c>
      <c r="G196" s="18">
        <f>IFERROR(
                  Andel_oberoende_av_klimat*VLOOKUP($A196,Leveranser_per_nät,'Leveranser per nät'!G$1,FALSE)
               +Andel_beroende_av_klimat*VLOOKUP($A196,Leveranser_per_nät,'Leveranser per nät'!G$1,FALSE)/VLOOKUP($B196,Korrigeringsfaktor_GD,'Korrigeringsfaktor GD'!G$1,FALSE),
"")</f>
        <v>62.440909090909088</v>
      </c>
      <c r="H196" s="18">
        <f>IFERROR(
                  Andel_oberoende_av_klimat*VLOOKUP($A196,Leveranser_per_nät,'Leveranser per nät'!H$1,FALSE)
               +Andel_beroende_av_klimat*VLOOKUP($A196,Leveranser_per_nät,'Leveranser per nät'!H$1,FALSE)/VLOOKUP($B196,Korrigeringsfaktor_GD,'Korrigeringsfaktor GD'!H$1,FALSE),
"")</f>
        <v>59</v>
      </c>
      <c r="I196" s="18">
        <f>IFERROR(
                  Andel_oberoende_av_klimat*VLOOKUP($A196,Leveranser_per_nät,'Leveranser per nät'!I$1,FALSE)
               +Andel_beroende_av_klimat*VLOOKUP($A196,Leveranser_per_nät,'Leveranser per nät'!I$1,FALSE)/VLOOKUP($B196,Korrigeringsfaktor_GD,'Korrigeringsfaktor GD'!I$1,FALSE),
"")</f>
        <v>57.026315789473685</v>
      </c>
      <c r="J196" s="18">
        <f>IFERROR(
                  Andel_oberoende_av_klimat*VLOOKUP($A196,Leveranser_per_nät,'Leveranser per nät'!J$1,FALSE)
               +Andel_beroende_av_klimat*VLOOKUP($A196,Leveranser_per_nät,'Leveranser per nät'!J$1,FALSE)/VLOOKUP($B196,Korrigeringsfaktor_GD,'Korrigeringsfaktor GD'!J$1,FALSE),
"")</f>
        <v>54.037400000000005</v>
      </c>
      <c r="K196" s="18">
        <f>IFERROR(
                  Andel_oberoende_av_klimat*VLOOKUP($A196,Leveranser_per_nät,'Leveranser per nät'!K$1,FALSE)
               +Andel_beroende_av_klimat*VLOOKUP($A196,Leveranser_per_nät,'Leveranser per nät'!K$1,FALSE)/VLOOKUP($B196,Korrigeringsfaktor_GD,'Korrigeringsfaktor GD'!K$1,FALSE),
"")</f>
        <v>54.292188888888887</v>
      </c>
      <c r="L196" s="18">
        <f>IFERROR(
                  Andel_oberoende_av_klimat*VLOOKUP($A196,Leveranser_per_nät,'Leveranser per nät'!L$1,FALSE)
               +Andel_beroende_av_klimat*VLOOKUP($A196,Leveranser_per_nät,'Leveranser per nät'!L$1,FALSE)/VLOOKUP($B196,Korrigeringsfaktor_GD,'Korrigeringsfaktor GD'!L$1,FALSE),
"")</f>
        <v>55.034214432989693</v>
      </c>
      <c r="M196" s="18">
        <f>IFERROR(
                  Andel_oberoende_av_klimat*VLOOKUP($A196,Leveranser_per_nät,'Leveranser per nät'!M$1,FALSE)
               +Andel_beroende_av_klimat*VLOOKUP($A196,Leveranser_per_nät,'Leveranser per nät'!M$1,FALSE)/VLOOKUP($B196,Korrigeringsfaktor_GD,'Korrigeringsfaktor GD'!M$1,FALSE),
"")</f>
        <v>56.153545161290324</v>
      </c>
      <c r="N196" s="18">
        <f>IFERROR(
                  Andel_oberoende_av_klimat*VLOOKUP($A196,Leveranser_per_nät,'Leveranser per nät'!N$1,FALSE)
               +Andel_beroende_av_klimat*VLOOKUP($A196,Leveranser_per_nät,'Leveranser per nät'!N$1,FALSE)/VLOOKUP($B196,Korrigeringsfaktor_GD,'Korrigeringsfaktor GD'!N$1,FALSE),
"")</f>
        <v>58.059090909090898</v>
      </c>
      <c r="O196" s="18">
        <f>IFERROR(
                  Andel_oberoende_av_klimat*VLOOKUP($A196,Leveranser_per_nät,'Leveranser per nät'!O$1,FALSE)
               +Andel_beroende_av_klimat*VLOOKUP($A196,Leveranser_per_nät,'Leveranser per nät'!O$1,FALSE)/VLOOKUP($B196,Korrigeringsfaktor_GD,'Korrigeringsfaktor GD'!O$1,FALSE),
"")</f>
        <v>59.483181818181819</v>
      </c>
      <c r="P196" s="18">
        <f>IFERROR(
                  Andel_oberoende_av_klimat*VLOOKUP($A196,Leveranser_per_nät,'Leveranser per nät'!P$1,FALSE)
               +Andel_beroende_av_klimat*VLOOKUP($A196,Leveranser_per_nät,'Leveranser per nät'!P$1,FALSE)/VLOOKUP($B196,Korrigeringsfaktor_GD,'Korrigeringsfaktor GD'!P$1,FALSE),
"")</f>
        <v>60.823750000000004</v>
      </c>
      <c r="Q196" s="18">
        <f>IFERROR(
                  Andel_oberoende_av_klimat*VLOOKUP($A196,Leveranser_per_nät,'Leveranser per nät'!Q$1,FALSE)
               +Andel_beroende_av_klimat*VLOOKUP($A196,Leveranser_per_nät,'Leveranser per nät'!Q$1,FALSE)/VLOOKUP($B196,Korrigeringsfaktor_GD,'Korrigeringsfaktor GD'!Q$1,FALSE),
"")</f>
        <v>54.125586206896557</v>
      </c>
      <c r="R196" s="18">
        <f>IFERROR(
                  Andel_oberoende_av_klimat*VLOOKUP($A196,Leveranser_per_nät,'Leveranser per nät'!R$1,FALSE)
               +Andel_beroende_av_klimat*VLOOKUP($A196,Leveranser_per_nät,'Leveranser per nät'!R$1,FALSE)/VLOOKUP($B196,Korrigeringsfaktor_GD,'Korrigeringsfaktor GD'!R$1,FALSE),
"")</f>
        <v>64.535666086956525</v>
      </c>
      <c r="S196" s="18">
        <f>IFERROR(
                  Andel_oberoende_av_klimat*VLOOKUP($A196,Leveranser_per_nät,'Leveranser per nät'!S$1,FALSE)
               +Andel_beroende_av_klimat*VLOOKUP($A196,Leveranser_per_nät,'Leveranser per nät'!S$1,FALSE)/VLOOKUP($B196,Korrigeringsfaktor_GD,'Korrigeringsfaktor GD'!S$1,FALSE),
"")</f>
        <v>62.135294117647049</v>
      </c>
      <c r="T196" s="18">
        <f>IFERROR(
                  Andel_oberoende_av_klimat*VLOOKUP($A196,Leveranser_per_nät,'Leveranser per nät'!T$1,FALSE)
               +Andel_beroende_av_klimat*VLOOKUP($A196,Leveranser_per_nät,'Leveranser per nät'!T$1,FALSE)/VLOOKUP($B196,Korrigeringsfaktor_GD,'Korrigeringsfaktor GD'!T$1,FALSE),
"")</f>
        <v>59.064696969696968</v>
      </c>
      <c r="U196" s="18">
        <f>IFERROR(
                  Andel_oberoende_av_klimat*VLOOKUP($A196,Leveranser_per_nät,'Leveranser per nät'!U$1,FALSE)
               +Andel_beroende_av_klimat*VLOOKUP($A196,Leveranser_per_nät,'Leveranser per nät'!U$1,FALSE)/VLOOKUP($B196,Korrigeringsfaktor_GD,'Korrigeringsfaktor GD'!U$1,FALSE),
"")</f>
        <v>56.893333333333338</v>
      </c>
      <c r="V196" s="18">
        <f>IFERROR(
                  Andel_oberoende_av_klimat*VLOOKUP($A196,Leveranser_per_nät,'Leveranser per nät'!V$1,FALSE)
               +Andel_beroende_av_klimat*VLOOKUP($A196,Leveranser_per_nät,'Leveranser per nät'!V$1,FALSE)/VLOOKUP($B196,Korrigeringsfaktor_GD,'Korrigeringsfaktor GD'!V$1,FALSE),
"")</f>
        <v>57.12222222222222</v>
      </c>
      <c r="W196" s="18">
        <f>IFERROR(
                  Andel_oberoende_av_klimat*VLOOKUP($A196,Leveranser_per_nät,'Leveranser per nät'!W$1,FALSE)
               +Andel_beroende_av_klimat*VLOOKUP($A196,Leveranser_per_nät,'Leveranser per nät'!W$1,FALSE)/VLOOKUP($B196,Korrigeringsfaktor_GD,'Korrigeringsfaktor GD'!W$1,FALSE),
"")</f>
        <v>58.502127659574469</v>
      </c>
      <c r="X196" s="18">
        <f>IFERROR(
                  Andel_oberoende_av_klimat*VLOOKUP($A196,Leveranser_per_nät,'Leveranser per nät'!X$1,FALSE)
               +Andel_beroende_av_klimat*VLOOKUP($A196,Leveranser_per_nät,'Leveranser per nät'!X$1,FALSE)/VLOOKUP($B196,Korrigeringsfaktor_GD,'Korrigeringsfaktor GD'!X$1,FALSE),
"")</f>
        <v>57.457446808510639</v>
      </c>
      <c r="Y196" s="18">
        <f>IFERROR(
                  Andel_oberoende_av_klimat*VLOOKUP($A196,Leveranser_per_nät,'Leveranser per nät'!Y$1,FALSE)
               +Andel_beroende_av_klimat*VLOOKUP($A196,Leveranser_per_nät,'Leveranser per nät'!Y$1,FALSE)/VLOOKUP($B196,Korrigeringsfaktor_GD,'Korrigeringsfaktor GD'!Y$1,FALSE),
"")</f>
        <v>57.12222222222222</v>
      </c>
      <c r="Z196" s="18">
        <f>IFERROR(
                  Andel_oberoende_av_klimat*VLOOKUP($A196,Leveranser_per_nät,'Leveranser per nät'!Z$1,FALSE)
               +Andel_beroende_av_klimat*VLOOKUP($A196,Leveranser_per_nät,'Leveranser per nät'!Z$1,FALSE)/VLOOKUP($B196,Korrigeringsfaktor_GD,'Korrigeringsfaktor GD'!Z$1,FALSE),
"")</f>
        <v>52.104123711340208</v>
      </c>
      <c r="AA196" s="18">
        <f>IFERROR(
                  Andel_oberoende_av_klimat*VLOOKUP($A196,Leveranser_per_nät,'Leveranser per nät'!AA$1,FALSE)
               +Andel_beroende_av_klimat*VLOOKUP($A196,Leveranser_per_nät,'Leveranser per nät'!AA$1,FALSE)/VLOOKUP($B196,Korrigeringsfaktor_GD,'Korrigeringsfaktor GD'!AA$1,FALSE),
"")</f>
        <v>56.19911091873778</v>
      </c>
      <c r="AB196" s="18">
        <f>IFERROR(
                  Andel_oberoende_av_klimat*VLOOKUP($A196,Leveranser_per_nät,'Leveranser per nät'!AB$1,FALSE)
               +Andel_beroende_av_klimat*VLOOKUP($A196,Leveranser_per_nät,'Leveranser per nät'!AB$1,FALSE)/VLOOKUP($B196,Korrigeringsfaktor_GD,'Korrigeringsfaktor GD'!AB$1,FALSE),
"")</f>
        <v>55.30224257620452</v>
      </c>
      <c r="AC196" s="18">
        <f>IFERROR(
                  Andel_oberoende_av_klimat*VLOOKUP($A196,Leveranser_per_nät,'Leveranser per nät'!AC$1,FALSE)
               +Andel_beroende_av_klimat*VLOOKUP($A196,Leveranser_per_nät,'Leveranser per nät'!AC$1,FALSE)/VLOOKUP($B196,Korrigeringsfaktor_GD,'Korrigeringsfaktor GD'!AC$1,FALSE),
"")</f>
        <v>54.382416293929722</v>
      </c>
      <c r="AD196" t="e">
        <v>#N/A</v>
      </c>
    </row>
    <row r="197" spans="1:30" x14ac:dyDescent="0.25">
      <c r="A197" t="s">
        <v>341</v>
      </c>
      <c r="B197" t="s">
        <v>341</v>
      </c>
      <c r="C197" s="18">
        <f>IFERROR(
                  Andel_oberoende_av_klimat*VLOOKUP($A197,Leveranser_per_nät,'Leveranser per nät'!C$1,FALSE)
               +Andel_beroende_av_klimat*VLOOKUP($A197,Leveranser_per_nät,'Leveranser per nät'!C$1,FALSE)/VLOOKUP("Uppsala",Korrigeringsfaktor_GD,'Korrigeringsfaktor GD'!C$1,FALSE),
"")</f>
        <v>0</v>
      </c>
      <c r="D197" s="18">
        <f>IFERROR(
                  Andel_oberoende_av_klimat*VLOOKUP($A197,Leveranser_per_nät,'Leveranser per nät'!D$1,FALSE)
               +Andel_beroende_av_klimat*VLOOKUP($A197,Leveranser_per_nät,'Leveranser per nät'!D$1,FALSE)/VLOOKUP("Uppsala",Korrigeringsfaktor_GD,'Korrigeringsfaktor GD'!D$1,FALSE),
"")</f>
        <v>0</v>
      </c>
      <c r="E197" s="18">
        <f>IFERROR(
                  Andel_oberoende_av_klimat*VLOOKUP($A197,Leveranser_per_nät,'Leveranser per nät'!E$1,FALSE)
               +Andel_beroende_av_klimat*VLOOKUP($A197,Leveranser_per_nät,'Leveranser per nät'!E$1,FALSE)/VLOOKUP("Uppsala",Korrigeringsfaktor_GD,'Korrigeringsfaktor GD'!E$1,FALSE),
"")</f>
        <v>60.162745098039217</v>
      </c>
      <c r="F197" s="18">
        <f>IFERROR(
                  Andel_oberoende_av_klimat*VLOOKUP($A197,Leveranser_per_nät,'Leveranser per nät'!F$1,FALSE)
               +Andel_beroende_av_klimat*VLOOKUP($A197,Leveranser_per_nät,'Leveranser per nät'!F$1,FALSE)/VLOOKUP("Uppsala",Korrigeringsfaktor_GD,'Korrigeringsfaktor GD'!F$1,FALSE),
"")</f>
        <v>63.725531914893622</v>
      </c>
      <c r="G197" s="18">
        <f>IFERROR(
                  Andel_oberoende_av_klimat*VLOOKUP($A197,Leveranser_per_nät,'Leveranser per nät'!G$1,FALSE)
               +Andel_beroende_av_klimat*VLOOKUP($A197,Leveranser_per_nät,'Leveranser per nät'!G$1,FALSE)/VLOOKUP("Uppsala",Korrigeringsfaktor_GD,'Korrigeringsfaktor GD'!G$1,FALSE),
"")</f>
        <v>66.092424242424244</v>
      </c>
      <c r="H197" s="18">
        <f>IFERROR(
                  Andel_oberoende_av_klimat*VLOOKUP($A197,Leveranser_per_nät,'Leveranser per nät'!H$1,FALSE)
               +Andel_beroende_av_klimat*VLOOKUP($A197,Leveranser_per_nät,'Leveranser per nät'!H$1,FALSE)/VLOOKUP("Uppsala",Korrigeringsfaktor_GD,'Korrigeringsfaktor GD'!H$1,FALSE),
"")</f>
        <v>60.519047619047626</v>
      </c>
      <c r="I197" s="18">
        <f>IFERROR(
                  Andel_oberoende_av_klimat*VLOOKUP($A197,Leveranser_per_nät,'Leveranser per nät'!I$1,FALSE)
               +Andel_beroende_av_klimat*VLOOKUP($A197,Leveranser_per_nät,'Leveranser per nät'!I$1,FALSE)/VLOOKUP("Uppsala",Korrigeringsfaktor_GD,'Korrigeringsfaktor GD'!I$1,FALSE),
"")</f>
        <v>60.277319587628867</v>
      </c>
      <c r="J197" s="18">
        <f>IFERROR(
                  Andel_oberoende_av_klimat*VLOOKUP($A197,Leveranser_per_nät,'Leveranser per nät'!J$1,FALSE)
               +Andel_beroende_av_klimat*VLOOKUP($A197,Leveranser_per_nät,'Leveranser per nät'!J$1,FALSE)/VLOOKUP("Uppsala",Korrigeringsfaktor_GD,'Korrigeringsfaktor GD'!J$1,FALSE),
"")</f>
        <v>48.385485714285721</v>
      </c>
      <c r="K197" s="18">
        <f>IFERROR(
                  Andel_oberoende_av_klimat*VLOOKUP($A197,Leveranser_per_nät,'Leveranser per nät'!K$1,FALSE)
               +Andel_beroende_av_klimat*VLOOKUP($A197,Leveranser_per_nät,'Leveranser per nät'!K$1,FALSE)/VLOOKUP("Uppsala",Korrigeringsfaktor_GD,'Korrigeringsfaktor GD'!K$1,FALSE),
"")</f>
        <v>50.277947362453602</v>
      </c>
      <c r="L197" s="18">
        <f>IFERROR(
                  Andel_oberoende_av_klimat*VLOOKUP($A197,Leveranser_per_nät,'Leveranser per nät'!L$1,FALSE)
               +Andel_beroende_av_klimat*VLOOKUP($A197,Leveranser_per_nät,'Leveranser per nät'!L$1,FALSE)/VLOOKUP("Uppsala",Korrigeringsfaktor_GD,'Korrigeringsfaktor GD'!L$1,FALSE),
"")</f>
        <v>51.396063315658651</v>
      </c>
      <c r="M197" s="18">
        <f>IFERROR(
                  Andel_oberoende_av_klimat*VLOOKUP($A197,Leveranser_per_nät,'Leveranser per nät'!M$1,FALSE)
               +Andel_beroende_av_klimat*VLOOKUP($A197,Leveranser_per_nät,'Leveranser per nät'!M$1,FALSE)/VLOOKUP("Uppsala",Korrigeringsfaktor_GD,'Korrigeringsfaktor GD'!M$1,FALSE),
"")</f>
        <v>52.754921739130424</v>
      </c>
      <c r="N197" s="18">
        <f>IFERROR(
                  Andel_oberoende_av_klimat*VLOOKUP($A197,Leveranser_per_nät,'Leveranser per nät'!N$1,FALSE)
               +Andel_beroende_av_klimat*VLOOKUP($A197,Leveranser_per_nät,'Leveranser per nät'!N$1,FALSE)/VLOOKUP("Uppsala",Korrigeringsfaktor_GD,'Korrigeringsfaktor GD'!N$1,FALSE),
"")</f>
        <v>45.829565217391306</v>
      </c>
      <c r="O197" s="18">
        <f>IFERROR(
                  Andel_oberoende_av_klimat*VLOOKUP($A197,Leveranser_per_nät,'Leveranser per nät'!O$1,FALSE)
               +Andel_beroende_av_klimat*VLOOKUP($A197,Leveranser_per_nät,'Leveranser per nät'!O$1,FALSE)/VLOOKUP("Uppsala",Korrigeringsfaktor_GD,'Korrigeringsfaktor GD'!O$1,FALSE),
"")</f>
        <v>46.611573033707856</v>
      </c>
      <c r="P197" s="18">
        <f>IFERROR(
                  Andel_oberoende_av_klimat*VLOOKUP($A197,Leveranser_per_nät,'Leveranser per nät'!P$1,FALSE)
               +Andel_beroende_av_klimat*VLOOKUP($A197,Leveranser_per_nät,'Leveranser per nät'!P$1,FALSE)/VLOOKUP("Uppsala",Korrigeringsfaktor_GD,'Korrigeringsfaktor GD'!P$1,FALSE),
"")</f>
        <v>46.076391752577322</v>
      </c>
      <c r="Q197" s="18">
        <f>IFERROR(
                  Andel_oberoende_av_klimat*VLOOKUP($A197,Leveranser_per_nät,'Leveranser per nät'!Q$1,FALSE)
               +Andel_beroende_av_klimat*VLOOKUP($A197,Leveranser_per_nät,'Leveranser per nät'!Q$1,FALSE)/VLOOKUP("Uppsala",Korrigeringsfaktor_GD,'Korrigeringsfaktor GD'!Q$1,FALSE),
"")</f>
        <v>45.172413793103452</v>
      </c>
      <c r="R197" s="18">
        <f>IFERROR(
                  Andel_oberoende_av_klimat*VLOOKUP($A197,Leveranser_per_nät,'Leveranser per nät'!R$1,FALSE)
               +Andel_beroende_av_klimat*VLOOKUP($A197,Leveranser_per_nät,'Leveranser per nät'!R$1,FALSE)/VLOOKUP("Uppsala",Korrigeringsfaktor_GD,'Korrigeringsfaktor GD'!R$1,FALSE),
"")</f>
        <v>47.422222222222224</v>
      </c>
      <c r="S197" s="18">
        <f>IFERROR(
                  Andel_oberoende_av_klimat*VLOOKUP($A197,Leveranser_per_nät,'Leveranser per nät'!S$1,FALSE)
               +Andel_beroende_av_klimat*VLOOKUP($A197,Leveranser_per_nät,'Leveranser per nät'!S$1,FALSE)/VLOOKUP("Uppsala",Korrigeringsfaktor_GD,'Korrigeringsfaktor GD'!S$1,FALSE),
"")</f>
        <v>47</v>
      </c>
      <c r="T197" s="18">
        <f>IFERROR(
                  Andel_oberoende_av_klimat*VLOOKUP($A197,Leveranser_per_nät,'Leveranser per nät'!T$1,FALSE)
               +Andel_beroende_av_klimat*VLOOKUP($A197,Leveranser_per_nät,'Leveranser per nät'!T$1,FALSE)/VLOOKUP("Uppsala",Korrigeringsfaktor_GD,'Korrigeringsfaktor GD'!T$1,FALSE),
"")</f>
        <v>47.176315789473691</v>
      </c>
      <c r="U197" s="18">
        <f>IFERROR(
                  Andel_oberoende_av_klimat*VLOOKUP($A197,Leveranser_per_nät,'Leveranser per nät'!U$1,FALSE)
               +Andel_beroende_av_klimat*VLOOKUP($A197,Leveranser_per_nät,'Leveranser per nät'!U$1,FALSE)/VLOOKUP("Uppsala",Korrigeringsfaktor_GD,'Korrigeringsfaktor GD'!U$1,FALSE),
"")</f>
        <v>48.132696629213477</v>
      </c>
      <c r="V197" s="18">
        <f>IFERROR(
                  Andel_oberoende_av_klimat*VLOOKUP($A197,Leveranser_per_nät,'Leveranser per nät'!V$1,FALSE)
               +Andel_beroende_av_klimat*VLOOKUP($A197,Leveranser_per_nät,'Leveranser per nät'!V$1,FALSE)/VLOOKUP("Uppsala",Korrigeringsfaktor_GD,'Korrigeringsfaktor GD'!V$1,FALSE),
"")</f>
        <v>49.327865168539319</v>
      </c>
      <c r="W197" s="18">
        <f>IFERROR(
                  Andel_oberoende_av_klimat*VLOOKUP($A197,Leveranser_per_nät,'Leveranser per nät'!W$1,FALSE)
               +Andel_beroende_av_klimat*VLOOKUP($A197,Leveranser_per_nät,'Leveranser per nät'!W$1,FALSE)/VLOOKUP("Uppsala",Korrigeringsfaktor_GD,'Korrigeringsfaktor GD'!W$1,FALSE),
"")</f>
        <v>50.802731182795696</v>
      </c>
      <c r="X197" s="18">
        <f>IFERROR(
                  Andel_oberoende_av_klimat*VLOOKUP($A197,Leveranser_per_nät,'Leveranser per nät'!X$1,FALSE)
               +Andel_beroende_av_klimat*VLOOKUP($A197,Leveranser_per_nät,'Leveranser per nät'!X$1,FALSE)/VLOOKUP("Uppsala",Korrigeringsfaktor_GD,'Korrigeringsfaktor GD'!X$1,FALSE),
"")</f>
        <v>50.144680851063825</v>
      </c>
      <c r="Y197" s="18">
        <f>IFERROR(
                  Andel_oberoende_av_klimat*VLOOKUP($A197,Leveranser_per_nät,'Leveranser per nät'!Y$1,FALSE)
               +Andel_beroende_av_klimat*VLOOKUP($A197,Leveranser_per_nät,'Leveranser per nät'!Y$1,FALSE)/VLOOKUP($B197,Korrigeringsfaktor_GD,'Korrigeringsfaktor GD'!Y$1,FALSE),
"")</f>
        <v>50.836869565217391</v>
      </c>
      <c r="Z197" s="18">
        <f>IFERROR(
                  Andel_oberoende_av_klimat*VLOOKUP($A197,Leveranser_per_nät,'Leveranser per nät'!Z$1,FALSE)
               +Andel_beroende_av_klimat*VLOOKUP($A197,Leveranser_per_nät,'Leveranser per nät'!Z$1,FALSE)/VLOOKUP($B197,Korrigeringsfaktor_GD,'Korrigeringsfaktor GD'!Z$1,FALSE),
"")</f>
        <v>50.456999999999994</v>
      </c>
      <c r="AA197" s="18">
        <f>IFERROR(
                  Andel_oberoende_av_klimat*VLOOKUP($A197,Leveranser_per_nät,'Leveranser per nät'!AA$1,FALSE)
               +Andel_beroende_av_klimat*VLOOKUP($A197,Leveranser_per_nät,'Leveranser per nät'!AA$1,FALSE)/VLOOKUP($B197,Korrigeringsfaktor_GD,'Korrigeringsfaktor GD'!AA$1,FALSE),
"")</f>
        <v>57.546666666666667</v>
      </c>
      <c r="AB197" s="18">
        <f>IFERROR(
                  Andel_oberoende_av_klimat*VLOOKUP($A197,Leveranser_per_nät,'Leveranser per nät'!AB$1,FALSE)
               +Andel_beroende_av_klimat*VLOOKUP($A197,Leveranser_per_nät,'Leveranser per nät'!AB$1,FALSE)/VLOOKUP($B197,Korrigeringsfaktor_GD,'Korrigeringsfaktor GD'!AB$1,FALSE),
"")</f>
        <v>50.255750050290125</v>
      </c>
      <c r="AC197" s="18">
        <f>IFERROR(
                  Andel_oberoende_av_klimat*VLOOKUP($A197,Leveranser_per_nät,'Leveranser per nät'!AC$1,FALSE)
               +Andel_beroende_av_klimat*VLOOKUP($A197,Leveranser_per_nät,'Leveranser per nät'!AC$1,FALSE)/VLOOKUP($B197,Korrigeringsfaktor_GD,'Korrigeringsfaktor GD'!AC$1,FALSE),
"")</f>
        <v>55.528103949846468</v>
      </c>
      <c r="AD197" t="e">
        <v>#N/A</v>
      </c>
    </row>
    <row r="198" spans="1:30" x14ac:dyDescent="0.25">
      <c r="A198" t="s">
        <v>402</v>
      </c>
      <c r="B198" t="s">
        <v>207</v>
      </c>
      <c r="C198" s="18">
        <f>IFERROR(
                  Andel_oberoende_av_klimat*VLOOKUP($A198,Leveranser_per_nät,'Leveranser per nät'!C$1,FALSE)
               +Andel_beroende_av_klimat*VLOOKUP($A198,Leveranser_per_nät,'Leveranser per nät'!C$1,FALSE)/VLOOKUP($B198,Korrigeringsfaktor_GD,'Korrigeringsfaktor GD'!C$1,FALSE),
"")</f>
        <v>7.4450450450450445</v>
      </c>
      <c r="D198" s="18">
        <f>IFERROR(
                  Andel_oberoende_av_klimat*VLOOKUP($A198,Leveranser_per_nät,'Leveranser per nät'!D$1,FALSE)
               +Andel_beroende_av_klimat*VLOOKUP($A198,Leveranser_per_nät,'Leveranser per nät'!D$1,FALSE)/VLOOKUP($B198,Korrigeringsfaktor_GD,'Korrigeringsfaktor GD'!D$1,FALSE),
"")</f>
        <v>7.7592857142857135</v>
      </c>
      <c r="E198" s="18">
        <f>IFERROR(
                  Andel_oberoende_av_klimat*VLOOKUP($A198,Leveranser_per_nät,'Leveranser per nät'!E$1,FALSE)
               +Andel_beroende_av_klimat*VLOOKUP($A198,Leveranser_per_nät,'Leveranser per nät'!E$1,FALSE)/VLOOKUP($B198,Korrigeringsfaktor_GD,'Korrigeringsfaktor GD'!E$1,FALSE),
"")</f>
        <v>7.8901960784313721</v>
      </c>
      <c r="F198" s="18">
        <f>IFERROR(
                  Andel_oberoende_av_klimat*VLOOKUP($A198,Leveranser_per_nät,'Leveranser per nät'!F$1,FALSE)
               +Andel_beroende_av_klimat*VLOOKUP($A198,Leveranser_per_nät,'Leveranser per nät'!F$1,FALSE)/VLOOKUP($B198,Korrigeringsfaktor_GD,'Korrigeringsfaktor GD'!F$1,FALSE),
"")</f>
        <v>7.2578947368421058</v>
      </c>
      <c r="G198" s="18">
        <f>IFERROR(
                  Andel_oberoende_av_klimat*VLOOKUP($A198,Leveranser_per_nät,'Leveranser per nät'!G$1,FALSE)
               +Andel_beroende_av_klimat*VLOOKUP($A198,Leveranser_per_nät,'Leveranser per nät'!G$1,FALSE)/VLOOKUP($B198,Korrigeringsfaktor_GD,'Korrigeringsfaktor GD'!G$1,FALSE),
"")</f>
        <v>6.6275862068965505</v>
      </c>
      <c r="H198" s="18">
        <f>IFERROR(
                  Andel_oberoende_av_klimat*VLOOKUP($A198,Leveranser_per_nät,'Leveranser per nät'!H$1,FALSE)
               +Andel_beroende_av_klimat*VLOOKUP($A198,Leveranser_per_nät,'Leveranser per nät'!H$1,FALSE)/VLOOKUP($B198,Korrigeringsfaktor_GD,'Korrigeringsfaktor GD'!H$1,FALSE),
"")</f>
        <v>7.0494949494949495</v>
      </c>
      <c r="I198" s="18">
        <f>IFERROR(
                  Andel_oberoende_av_klimat*VLOOKUP($A198,Leveranser_per_nät,'Leveranser per nät'!I$1,FALSE)
               +Andel_beroende_av_klimat*VLOOKUP($A198,Leveranser_per_nät,'Leveranser per nät'!I$1,FALSE)/VLOOKUP($B198,Korrigeringsfaktor_GD,'Korrigeringsfaktor GD'!I$1,FALSE),
"")</f>
        <v>7.1</v>
      </c>
      <c r="J198" s="18">
        <f>IFERROR(
                  Andel_oberoende_av_klimat*VLOOKUP($A198,Leveranser_per_nät,'Leveranser per nät'!J$1,FALSE)
               +Andel_beroende_av_klimat*VLOOKUP($A198,Leveranser_per_nät,'Leveranser per nät'!J$1,FALSE)/VLOOKUP($B198,Korrigeringsfaktor_GD,'Korrigeringsfaktor GD'!J$1,FALSE),
"")</f>
        <v>7.1</v>
      </c>
      <c r="K198" s="18">
        <f>IFERROR(
                  Andel_oberoende_av_klimat*VLOOKUP($A198,Leveranser_per_nät,'Leveranser per nät'!K$1,FALSE)
               +Andel_beroende_av_klimat*VLOOKUP($A198,Leveranser_per_nät,'Leveranser per nät'!K$1,FALSE)/VLOOKUP($B198,Korrigeringsfaktor_GD,'Korrigeringsfaktor GD'!K$1,FALSE),
"")</f>
        <v>0</v>
      </c>
      <c r="L198" s="18">
        <f>IFERROR(
                  Andel_oberoende_av_klimat*VLOOKUP($A198,Leveranser_per_nät,'Leveranser per nät'!L$1,FALSE)
               +Andel_beroende_av_klimat*VLOOKUP($A198,Leveranser_per_nät,'Leveranser per nät'!L$1,FALSE)/VLOOKUP($B198,Korrigeringsfaktor_GD,'Korrigeringsfaktor GD'!L$1,FALSE),
"")</f>
        <v>0</v>
      </c>
      <c r="M198" s="18">
        <f>IFERROR(
                  Andel_oberoende_av_klimat*VLOOKUP($A198,Leveranser_per_nät,'Leveranser per nät'!M$1,FALSE)
               +Andel_beroende_av_klimat*VLOOKUP($A198,Leveranser_per_nät,'Leveranser per nät'!M$1,FALSE)/VLOOKUP($B198,Korrigeringsfaktor_GD,'Korrigeringsfaktor GD'!M$1,FALSE),
"")</f>
        <v>0</v>
      </c>
      <c r="N198" s="18">
        <f>IFERROR(
                  Andel_oberoende_av_klimat*VLOOKUP($A198,Leveranser_per_nät,'Leveranser per nät'!N$1,FALSE)
               +Andel_beroende_av_klimat*VLOOKUP($A198,Leveranser_per_nät,'Leveranser per nät'!N$1,FALSE)/VLOOKUP($B198,Korrigeringsfaktor_GD,'Korrigeringsfaktor GD'!N$1,FALSE),
"")</f>
        <v>0</v>
      </c>
      <c r="O198" s="18">
        <f>IFERROR(
                  Andel_oberoende_av_klimat*VLOOKUP($A198,Leveranser_per_nät,'Leveranser per nät'!O$1,FALSE)
               +Andel_beroende_av_klimat*VLOOKUP($A198,Leveranser_per_nät,'Leveranser per nät'!O$1,FALSE)/VLOOKUP($B198,Korrigeringsfaktor_GD,'Korrigeringsfaktor GD'!O$1,FALSE),
"")</f>
        <v>0</v>
      </c>
      <c r="P198" s="18">
        <f>IFERROR(
                  Andel_oberoende_av_klimat*VLOOKUP($A198,Leveranser_per_nät,'Leveranser per nät'!P$1,FALSE)
               +Andel_beroende_av_klimat*VLOOKUP($A198,Leveranser_per_nät,'Leveranser per nät'!P$1,FALSE)/VLOOKUP($B198,Korrigeringsfaktor_GD,'Korrigeringsfaktor GD'!P$1,FALSE),
"")</f>
        <v>0</v>
      </c>
      <c r="Q198" s="18">
        <f>IFERROR(
                  Andel_oberoende_av_klimat*VLOOKUP($A198,Leveranser_per_nät,'Leveranser per nät'!Q$1,FALSE)
               +Andel_beroende_av_klimat*VLOOKUP($A198,Leveranser_per_nät,'Leveranser per nät'!Q$1,FALSE)/VLOOKUP($B198,Korrigeringsfaktor_GD,'Korrigeringsfaktor GD'!Q$1,FALSE),
"")</f>
        <v>0</v>
      </c>
      <c r="R198" s="18">
        <f>IFERROR(
                  Andel_oberoende_av_klimat*VLOOKUP($A198,Leveranser_per_nät,'Leveranser per nät'!R$1,FALSE)
               +Andel_beroende_av_klimat*VLOOKUP($A198,Leveranser_per_nät,'Leveranser per nät'!R$1,FALSE)/VLOOKUP($B198,Korrigeringsfaktor_GD,'Korrigeringsfaktor GD'!R$1,FALSE),
"")</f>
        <v>0</v>
      </c>
      <c r="S198" s="18" t="str">
        <f>IFERROR(
                  Andel_oberoende_av_klimat*VLOOKUP($A198,Leveranser_per_nät,'Leveranser per nät'!S$1,FALSE)
               +Andel_beroende_av_klimat*VLOOKUP($A198,Leveranser_per_nät,'Leveranser per nät'!S$1,FALSE)/VLOOKUP($B198,Korrigeringsfaktor_GD,'Korrigeringsfaktor GD'!S$1,FALSE),
"")</f>
        <v/>
      </c>
      <c r="T198" s="18" t="str">
        <f>IFERROR(
                  Andel_oberoende_av_klimat*VLOOKUP($A198,Leveranser_per_nät,'Leveranser per nät'!T$1,FALSE)
               +Andel_beroende_av_klimat*VLOOKUP($A198,Leveranser_per_nät,'Leveranser per nät'!T$1,FALSE)/VLOOKUP($B198,Korrigeringsfaktor_GD,'Korrigeringsfaktor GD'!T$1,FALSE),
"")</f>
        <v/>
      </c>
      <c r="U198" s="18" t="str">
        <f>IFERROR(
                  Andel_oberoende_av_klimat*VLOOKUP($A198,Leveranser_per_nät,'Leveranser per nät'!U$1,FALSE)
               +Andel_beroende_av_klimat*VLOOKUP($A198,Leveranser_per_nät,'Leveranser per nät'!U$1,FALSE)/VLOOKUP($B198,Korrigeringsfaktor_GD,'Korrigeringsfaktor GD'!U$1,FALSE),
"")</f>
        <v/>
      </c>
      <c r="V198" s="18" t="str">
        <f>IFERROR(
                  Andel_oberoende_av_klimat*VLOOKUP($A198,Leveranser_per_nät,'Leveranser per nät'!V$1,FALSE)
               +Andel_beroende_av_klimat*VLOOKUP($A198,Leveranser_per_nät,'Leveranser per nät'!V$1,FALSE)/VLOOKUP($B198,Korrigeringsfaktor_GD,'Korrigeringsfaktor GD'!V$1,FALSE),
"")</f>
        <v/>
      </c>
      <c r="W198" s="18" t="str">
        <f>IFERROR(
                  Andel_oberoende_av_klimat*VLOOKUP($A198,Leveranser_per_nät,'Leveranser per nät'!W$1,FALSE)
               +Andel_beroende_av_klimat*VLOOKUP($A198,Leveranser_per_nät,'Leveranser per nät'!W$1,FALSE)/VLOOKUP($B198,Korrigeringsfaktor_GD,'Korrigeringsfaktor GD'!W$1,FALSE),
"")</f>
        <v/>
      </c>
      <c r="X198" s="18" t="str">
        <f>IFERROR(
                  Andel_oberoende_av_klimat*VLOOKUP($A198,Leveranser_per_nät,'Leveranser per nät'!X$1,FALSE)
               +Andel_beroende_av_klimat*VLOOKUP($A198,Leveranser_per_nät,'Leveranser per nät'!X$1,FALSE)/VLOOKUP($B198,Korrigeringsfaktor_GD,'Korrigeringsfaktor GD'!X$1,FALSE),
"")</f>
        <v/>
      </c>
      <c r="Y198" s="18" t="str">
        <f>IFERROR(
                  Andel_oberoende_av_klimat*VLOOKUP($A198,Leveranser_per_nät,'Leveranser per nät'!Y$1,FALSE)
               +Andel_beroende_av_klimat*VLOOKUP($A198,Leveranser_per_nät,'Leveranser per nät'!Y$1,FALSE)/VLOOKUP($B198,Korrigeringsfaktor_GD,'Korrigeringsfaktor GD'!Y$1,FALSE),
"")</f>
        <v/>
      </c>
      <c r="Z198" s="18">
        <f>IFERROR(
                  Andel_oberoende_av_klimat*VLOOKUP($A198,Leveranser_per_nät,'Leveranser per nät'!Z$1,FALSE)
               +Andel_beroende_av_klimat*VLOOKUP($A198,Leveranser_per_nät,'Leveranser per nät'!Z$1,FALSE)/VLOOKUP($B198,Korrigeringsfaktor_GD,'Korrigeringsfaktor GD'!Z$1,FALSE),
"")</f>
        <v>0</v>
      </c>
      <c r="AA198" s="18" t="str">
        <f>IFERROR(
                  Andel_oberoende_av_klimat*VLOOKUP($A198,Leveranser_per_nät,'Leveranser per nät'!AA$1,FALSE)
               +Andel_beroende_av_klimat*VLOOKUP($A198,Leveranser_per_nät,'Leveranser per nät'!AA$1,FALSE)/VLOOKUP($B198,Korrigeringsfaktor_GD,'Korrigeringsfaktor GD'!AA$1,FALSE),
"")</f>
        <v/>
      </c>
      <c r="AB198" s="18">
        <f>IFERROR(
                  Andel_oberoende_av_klimat*VLOOKUP($A198,Leveranser_per_nät,'Leveranser per nät'!AB$1,FALSE)
               +Andel_beroende_av_klimat*VLOOKUP($A198,Leveranser_per_nät,'Leveranser per nät'!AB$1,FALSE)/VLOOKUP($B198,Korrigeringsfaktor_GD,'Korrigeringsfaktor GD'!AB$1,FALSE),
"")</f>
        <v>0</v>
      </c>
      <c r="AC198" s="18">
        <f>IFERROR(
                  Andel_oberoende_av_klimat*VLOOKUP($A198,Leveranser_per_nät,'Leveranser per nät'!AC$1,FALSE)
               +Andel_beroende_av_klimat*VLOOKUP($A198,Leveranser_per_nät,'Leveranser per nät'!AC$1,FALSE)/VLOOKUP($B198,Korrigeringsfaktor_GD,'Korrigeringsfaktor GD'!AC$1,FALSE),
"")</f>
        <v>0</v>
      </c>
      <c r="AD198">
        <v>1373.4</v>
      </c>
    </row>
    <row r="199" spans="1:30" x14ac:dyDescent="0.25">
      <c r="A199" t="s">
        <v>175</v>
      </c>
      <c r="B199" t="s">
        <v>174</v>
      </c>
      <c r="C199" s="18">
        <f>IFERROR(
                  Andel_oberoende_av_klimat*VLOOKUP($A199,Leveranser_per_nät,'Leveranser per nät'!C$1,FALSE)
               +Andel_beroende_av_klimat*VLOOKUP($A199,Leveranser_per_nät,'Leveranser per nät'!C$1,FALSE)/VLOOKUP($B199,Korrigeringsfaktor_GD,'Korrigeringsfaktor GD'!C$1,FALSE),
"")</f>
        <v>0</v>
      </c>
      <c r="D199" s="18">
        <f>IFERROR(
                  Andel_oberoende_av_klimat*VLOOKUP($A199,Leveranser_per_nät,'Leveranser per nät'!D$1,FALSE)
               +Andel_beroende_av_klimat*VLOOKUP($A199,Leveranser_per_nät,'Leveranser per nät'!D$1,FALSE)/VLOOKUP($B199,Korrigeringsfaktor_GD,'Korrigeringsfaktor GD'!D$1,FALSE),
"")</f>
        <v>0</v>
      </c>
      <c r="E199" s="18">
        <f>IFERROR(
                  Andel_oberoende_av_klimat*VLOOKUP($A199,Leveranser_per_nät,'Leveranser per nät'!E$1,FALSE)
               +Andel_beroende_av_klimat*VLOOKUP($A199,Leveranser_per_nät,'Leveranser per nät'!E$1,FALSE)/VLOOKUP($B199,Korrigeringsfaktor_GD,'Korrigeringsfaktor GD'!E$1,FALSE),
"")</f>
        <v>1.972549019607843</v>
      </c>
      <c r="F199" s="18">
        <f>IFERROR(
                  Andel_oberoende_av_klimat*VLOOKUP($A199,Leveranser_per_nät,'Leveranser per nät'!F$1,FALSE)
               +Andel_beroende_av_klimat*VLOOKUP($A199,Leveranser_per_nät,'Leveranser per nät'!F$1,FALSE)/VLOOKUP($B199,Korrigeringsfaktor_GD,'Korrigeringsfaktor GD'!F$1,FALSE),
"")</f>
        <v>11.320833333333333</v>
      </c>
      <c r="G199" s="18">
        <f>IFERROR(
                  Andel_oberoende_av_klimat*VLOOKUP($A199,Leveranser_per_nät,'Leveranser per nät'!G$1,FALSE)
               +Andel_beroende_av_klimat*VLOOKUP($A199,Leveranser_per_nät,'Leveranser per nät'!G$1,FALSE)/VLOOKUP($B199,Korrigeringsfaktor_GD,'Korrigeringsfaktor GD'!G$1,FALSE),
"")</f>
        <v>12.150574712643678</v>
      </c>
      <c r="H199" s="18">
        <f>IFERROR(
                  Andel_oberoende_av_klimat*VLOOKUP($A199,Leveranser_per_nät,'Leveranser per nät'!H$1,FALSE)
               +Andel_beroende_av_klimat*VLOOKUP($A199,Leveranser_per_nät,'Leveranser per nät'!H$1,FALSE)/VLOOKUP($B199,Korrigeringsfaktor_GD,'Korrigeringsfaktor GD'!H$1,FALSE),
"")</f>
        <v>12</v>
      </c>
      <c r="I199" s="18">
        <f>IFERROR(
                  Andel_oberoende_av_klimat*VLOOKUP($A199,Leveranser_per_nät,'Leveranser per nät'!I$1,FALSE)
               +Andel_beroende_av_klimat*VLOOKUP($A199,Leveranser_per_nät,'Leveranser per nät'!I$1,FALSE)/VLOOKUP($B199,Korrigeringsfaktor_GD,'Korrigeringsfaktor GD'!I$1,FALSE),
"")</f>
        <v>13.185714285714285</v>
      </c>
      <c r="J199" s="18">
        <f>IFERROR(
                  Andel_oberoende_av_klimat*VLOOKUP($A199,Leveranser_per_nät,'Leveranser per nät'!J$1,FALSE)
               +Andel_beroende_av_klimat*VLOOKUP($A199,Leveranser_per_nät,'Leveranser per nät'!J$1,FALSE)/VLOOKUP($B199,Korrigeringsfaktor_GD,'Korrigeringsfaktor GD'!J$1,FALSE),
"")</f>
        <v>12.171428571428571</v>
      </c>
      <c r="K199" s="18">
        <f>IFERROR(
                  Andel_oberoende_av_klimat*VLOOKUP($A199,Leveranser_per_nät,'Leveranser per nät'!K$1,FALSE)
               +Andel_beroende_av_klimat*VLOOKUP($A199,Leveranser_per_nät,'Leveranser per nät'!K$1,FALSE)/VLOOKUP($B199,Korrigeringsfaktor_GD,'Korrigeringsfaktor GD'!K$1,FALSE),
"")</f>
        <v>7.8891142857142853</v>
      </c>
      <c r="L199" s="18">
        <f>IFERROR(
                  Andel_oberoende_av_klimat*VLOOKUP($A199,Leveranser_per_nät,'Leveranser per nät'!L$1,FALSE)
               +Andel_beroende_av_klimat*VLOOKUP($A199,Leveranser_per_nät,'Leveranser per nät'!L$1,FALSE)/VLOOKUP($B199,Korrigeringsfaktor_GD,'Korrigeringsfaktor GD'!L$1,FALSE),
"")</f>
        <v>12.829725531914894</v>
      </c>
      <c r="M199" s="18">
        <f>IFERROR(
                  Andel_oberoende_av_klimat*VLOOKUP($A199,Leveranser_per_nät,'Leveranser per nät'!M$1,FALSE)
               +Andel_beroende_av_klimat*VLOOKUP($A199,Leveranser_per_nät,'Leveranser per nät'!M$1,FALSE)/VLOOKUP($B199,Korrigeringsfaktor_GD,'Korrigeringsfaktor GD'!M$1,FALSE),
"")</f>
        <v>12.801513043478261</v>
      </c>
      <c r="N199" s="18">
        <f>IFERROR(
                  Andel_oberoende_av_klimat*VLOOKUP($A199,Leveranser_per_nät,'Leveranser per nät'!N$1,FALSE)
               +Andel_beroende_av_klimat*VLOOKUP($A199,Leveranser_per_nät,'Leveranser per nät'!N$1,FALSE)/VLOOKUP($B199,Korrigeringsfaktor_GD,'Korrigeringsfaktor GD'!N$1,FALSE),
"")</f>
        <v>12.771808695652172</v>
      </c>
      <c r="O199" s="18">
        <f>IFERROR(
                  Andel_oberoende_av_klimat*VLOOKUP($A199,Leveranser_per_nät,'Leveranser per nät'!O$1,FALSE)
               +Andel_beroende_av_klimat*VLOOKUP($A199,Leveranser_per_nät,'Leveranser per nät'!O$1,FALSE)/VLOOKUP($B199,Korrigeringsfaktor_GD,'Korrigeringsfaktor GD'!O$1,FALSE),
"")</f>
        <v>12.599249438202246</v>
      </c>
      <c r="P199" s="18">
        <f>IFERROR(
                  Andel_oberoende_av_klimat*VLOOKUP($A199,Leveranser_per_nät,'Leveranser per nät'!P$1,FALSE)
               +Andel_beroende_av_klimat*VLOOKUP($A199,Leveranser_per_nät,'Leveranser per nät'!P$1,FALSE)/VLOOKUP($B199,Korrigeringsfaktor_GD,'Korrigeringsfaktor GD'!P$1,FALSE),
"")</f>
        <v>13.04777142857143</v>
      </c>
      <c r="Q199" s="18">
        <f>IFERROR(
                  Andel_oberoende_av_klimat*VLOOKUP($A199,Leveranser_per_nät,'Leveranser per nät'!Q$1,FALSE)
               +Andel_beroende_av_klimat*VLOOKUP($A199,Leveranser_per_nät,'Leveranser per nät'!Q$1,FALSE)/VLOOKUP($B199,Korrigeringsfaktor_GD,'Korrigeringsfaktor GD'!Q$1,FALSE),
"")</f>
        <v>14.907132478632478</v>
      </c>
      <c r="R199" s="18">
        <f>IFERROR(
                  Andel_oberoende_av_klimat*VLOOKUP($A199,Leveranser_per_nät,'Leveranser per nät'!R$1,FALSE)
               +Andel_beroende_av_klimat*VLOOKUP($A199,Leveranser_per_nät,'Leveranser per nät'!R$1,FALSE)/VLOOKUP($B199,Korrigeringsfaktor_GD,'Korrigeringsfaktor GD'!R$1,FALSE),
"")</f>
        <v>14.455155555555557</v>
      </c>
      <c r="S199" s="18">
        <f>IFERROR(
                  Andel_oberoende_av_klimat*VLOOKUP($A199,Leveranser_per_nät,'Leveranser per nät'!S$1,FALSE)
               +Andel_beroende_av_klimat*VLOOKUP($A199,Leveranser_per_nät,'Leveranser per nät'!S$1,FALSE)/VLOOKUP($B199,Korrigeringsfaktor_GD,'Korrigeringsfaktor GD'!S$1,FALSE),
"")</f>
        <v>15.16</v>
      </c>
      <c r="T199" s="18">
        <f>IFERROR(
                  Andel_oberoende_av_klimat*VLOOKUP($A199,Leveranser_per_nät,'Leveranser per nät'!T$1,FALSE)
               +Andel_beroende_av_klimat*VLOOKUP($A199,Leveranser_per_nät,'Leveranser per nät'!T$1,FALSE)/VLOOKUP($B199,Korrigeringsfaktor_GD,'Korrigeringsfaktor GD'!T$1,FALSE),
"")</f>
        <v>15.163741666666667</v>
      </c>
      <c r="U199" s="18">
        <f>IFERROR(
                  Andel_oberoende_av_klimat*VLOOKUP($A199,Leveranser_per_nät,'Leveranser per nät'!U$1,FALSE)
               +Andel_beroende_av_klimat*VLOOKUP($A199,Leveranser_per_nät,'Leveranser per nät'!U$1,FALSE)/VLOOKUP($B199,Korrigeringsfaktor_GD,'Korrigeringsfaktor GD'!U$1,FALSE),
"")</f>
        <v>14.11055</v>
      </c>
      <c r="V199" s="18">
        <f>IFERROR(
                  Andel_oberoende_av_klimat*VLOOKUP($A199,Leveranser_per_nät,'Leveranser per nät'!V$1,FALSE)
               +Andel_beroende_av_klimat*VLOOKUP($A199,Leveranser_per_nät,'Leveranser per nät'!V$1,FALSE)/VLOOKUP($B199,Korrigeringsfaktor_GD,'Korrigeringsfaktor GD'!V$1,FALSE),
"")</f>
        <v>14.116027272727273</v>
      </c>
      <c r="W199" s="18">
        <f>IFERROR(
                  Andel_oberoende_av_klimat*VLOOKUP($A199,Leveranser_per_nät,'Leveranser per nät'!W$1,FALSE)
               +Andel_beroende_av_klimat*VLOOKUP($A199,Leveranser_per_nät,'Leveranser per nät'!W$1,FALSE)/VLOOKUP($B199,Korrigeringsfaktor_GD,'Korrigeringsfaktor GD'!W$1,FALSE),
"")</f>
        <v>14.512359139784945</v>
      </c>
      <c r="X199" s="18">
        <f>IFERROR(
                  Andel_oberoende_av_klimat*VLOOKUP($A199,Leveranser_per_nät,'Leveranser per nät'!X$1,FALSE)
               +Andel_beroende_av_klimat*VLOOKUP($A199,Leveranser_per_nät,'Leveranser per nät'!X$1,FALSE)/VLOOKUP($B199,Korrigeringsfaktor_GD,'Korrigeringsfaktor GD'!X$1,FALSE),
"")</f>
        <v>15.767368085106384</v>
      </c>
      <c r="Y199" s="18">
        <f>IFERROR(
                  Andel_oberoende_av_klimat*VLOOKUP($A199,Leveranser_per_nät,'Leveranser per nät'!Y$1,FALSE)
               +Andel_beroende_av_klimat*VLOOKUP($A199,Leveranser_per_nät,'Leveranser per nät'!Y$1,FALSE)/VLOOKUP($B199,Korrigeringsfaktor_GD,'Korrigeringsfaktor GD'!Y$1,FALSE),
"")</f>
        <v>17.264086021505374</v>
      </c>
      <c r="Z199" s="18">
        <f>IFERROR(
                  Andel_oberoende_av_klimat*VLOOKUP($A199,Leveranser_per_nät,'Leveranser per nät'!Z$1,FALSE)
               +Andel_beroende_av_klimat*VLOOKUP($A199,Leveranser_per_nät,'Leveranser per nät'!Z$1,FALSE)/VLOOKUP($B199,Korrigeringsfaktor_GD,'Korrigeringsfaktor GD'!Z$1,FALSE),
"")</f>
        <v>0</v>
      </c>
      <c r="AA199" s="18" t="str">
        <f>IFERROR(
                  Andel_oberoende_av_klimat*VLOOKUP($A199,Leveranser_per_nät,'Leveranser per nät'!AA$1,FALSE)
               +Andel_beroende_av_klimat*VLOOKUP($A199,Leveranser_per_nät,'Leveranser per nät'!AA$1,FALSE)/VLOOKUP($B199,Korrigeringsfaktor_GD,'Korrigeringsfaktor GD'!AA$1,FALSE),
"")</f>
        <v/>
      </c>
      <c r="AB199" s="18">
        <f>IFERROR(
                  Andel_oberoende_av_klimat*VLOOKUP($A199,Leveranser_per_nät,'Leveranser per nät'!AB$1,FALSE)
               +Andel_beroende_av_klimat*VLOOKUP($A199,Leveranser_per_nät,'Leveranser per nät'!AB$1,FALSE)/VLOOKUP($B199,Korrigeringsfaktor_GD,'Korrigeringsfaktor GD'!AB$1,FALSE),
"")</f>
        <v>0</v>
      </c>
      <c r="AC199" s="18">
        <f>IFERROR(
                  Andel_oberoende_av_klimat*VLOOKUP($A199,Leveranser_per_nät,'Leveranser per nät'!AC$1,FALSE)
               +Andel_beroende_av_klimat*VLOOKUP($A199,Leveranser_per_nät,'Leveranser per nät'!AC$1,FALSE)/VLOOKUP($B199,Korrigeringsfaktor_GD,'Korrigeringsfaktor GD'!AC$1,FALSE),
"")</f>
        <v>0</v>
      </c>
      <c r="AD199" t="e">
        <v>#N/A</v>
      </c>
    </row>
    <row r="200" spans="1:30" x14ac:dyDescent="0.25">
      <c r="A200" t="s">
        <v>126</v>
      </c>
      <c r="B200" t="s">
        <v>126</v>
      </c>
      <c r="C200" s="18">
        <f>IFERROR(
                  Andel_oberoende_av_klimat*VLOOKUP($A200,Leveranser_per_nät,'Leveranser per nät'!C$1,FALSE)
               +Andel_beroende_av_klimat*VLOOKUP($A200,Leveranser_per_nät,'Leveranser per nät'!C$1,FALSE)/VLOOKUP($B200,Korrigeringsfaktor_GD,'Korrigeringsfaktor GD'!C$1,FALSE),
"")</f>
        <v>0</v>
      </c>
      <c r="D200" s="18">
        <f>IFERROR(
                  Andel_oberoende_av_klimat*VLOOKUP($A200,Leveranser_per_nät,'Leveranser per nät'!D$1,FALSE)
               +Andel_beroende_av_klimat*VLOOKUP($A200,Leveranser_per_nät,'Leveranser per nät'!D$1,FALSE)/VLOOKUP($B200,Korrigeringsfaktor_GD,'Korrigeringsfaktor GD'!D$1,FALSE),
"")</f>
        <v>0</v>
      </c>
      <c r="E200" s="18">
        <f>IFERROR(
                  Andel_oberoende_av_klimat*VLOOKUP($A200,Leveranser_per_nät,'Leveranser per nät'!E$1,FALSE)
               +Andel_beroende_av_klimat*VLOOKUP($A200,Leveranser_per_nät,'Leveranser per nät'!E$1,FALSE)/VLOOKUP($B200,Korrigeringsfaktor_GD,'Korrigeringsfaktor GD'!E$1,FALSE),
"")</f>
        <v>0</v>
      </c>
      <c r="F200" s="18">
        <f>IFERROR(
                  Andel_oberoende_av_klimat*VLOOKUP($A200,Leveranser_per_nät,'Leveranser per nät'!F$1,FALSE)
               +Andel_beroende_av_klimat*VLOOKUP($A200,Leveranser_per_nät,'Leveranser per nät'!F$1,FALSE)/VLOOKUP($B200,Korrigeringsfaktor_GD,'Korrigeringsfaktor GD'!F$1,FALSE),
"")</f>
        <v>0</v>
      </c>
      <c r="G200" s="18">
        <f>IFERROR(
                  Andel_oberoende_av_klimat*VLOOKUP($A200,Leveranser_per_nät,'Leveranser per nät'!G$1,FALSE)
               +Andel_beroende_av_klimat*VLOOKUP($A200,Leveranser_per_nät,'Leveranser per nät'!G$1,FALSE)/VLOOKUP($B200,Korrigeringsfaktor_GD,'Korrigeringsfaktor GD'!G$1,FALSE),
"")</f>
        <v>0</v>
      </c>
      <c r="H200" s="18">
        <f>IFERROR(
                  Andel_oberoende_av_klimat*VLOOKUP($A200,Leveranser_per_nät,'Leveranser per nät'!H$1,FALSE)
               +Andel_beroende_av_klimat*VLOOKUP($A200,Leveranser_per_nät,'Leveranser per nät'!H$1,FALSE)/VLOOKUP($B200,Korrigeringsfaktor_GD,'Korrigeringsfaktor GD'!H$1,FALSE),
"")</f>
        <v>0</v>
      </c>
      <c r="I200" s="18">
        <f>IFERROR(
                  Andel_oberoende_av_klimat*VLOOKUP($A200,Leveranser_per_nät,'Leveranser per nät'!I$1,FALSE)
               +Andel_beroende_av_klimat*VLOOKUP($A200,Leveranser_per_nät,'Leveranser per nät'!I$1,FALSE)/VLOOKUP($B200,Korrigeringsfaktor_GD,'Korrigeringsfaktor GD'!I$1,FALSE),
"")</f>
        <v>0</v>
      </c>
      <c r="J200" s="18">
        <f>IFERROR(
                  Andel_oberoende_av_klimat*VLOOKUP($A200,Leveranser_per_nät,'Leveranser per nät'!J$1,FALSE)
               +Andel_beroende_av_klimat*VLOOKUP($A200,Leveranser_per_nät,'Leveranser per nät'!J$1,FALSE)/VLOOKUP($B200,Korrigeringsfaktor_GD,'Korrigeringsfaktor GD'!J$1,FALSE),
"")</f>
        <v>0</v>
      </c>
      <c r="K200" s="18">
        <f>IFERROR(
                  Andel_oberoende_av_klimat*VLOOKUP($A200,Leveranser_per_nät,'Leveranser per nät'!K$1,FALSE)
               +Andel_beroende_av_klimat*VLOOKUP($A200,Leveranser_per_nät,'Leveranser per nät'!K$1,FALSE)/VLOOKUP($B200,Korrigeringsfaktor_GD,'Korrigeringsfaktor GD'!K$1,FALSE),
"")</f>
        <v>0</v>
      </c>
      <c r="L200" s="18">
        <f>IFERROR(
                  Andel_oberoende_av_klimat*VLOOKUP($A200,Leveranser_per_nät,'Leveranser per nät'!L$1,FALSE)
               +Andel_beroende_av_klimat*VLOOKUP($A200,Leveranser_per_nät,'Leveranser per nät'!L$1,FALSE)/VLOOKUP($B200,Korrigeringsfaktor_GD,'Korrigeringsfaktor GD'!L$1,FALSE),
"")</f>
        <v>0</v>
      </c>
      <c r="M200" s="18">
        <f>IFERROR(
                  Andel_oberoende_av_klimat*VLOOKUP($A200,Leveranser_per_nät,'Leveranser per nät'!M$1,FALSE)
               +Andel_beroende_av_klimat*VLOOKUP($A200,Leveranser_per_nät,'Leveranser per nät'!M$1,FALSE)/VLOOKUP($B200,Korrigeringsfaktor_GD,'Korrigeringsfaktor GD'!M$1,FALSE),
"")</f>
        <v>0</v>
      </c>
      <c r="N200" s="18">
        <f>IFERROR(
                  Andel_oberoende_av_klimat*VLOOKUP($A200,Leveranser_per_nät,'Leveranser per nät'!N$1,FALSE)
               +Andel_beroende_av_klimat*VLOOKUP($A200,Leveranser_per_nät,'Leveranser per nät'!N$1,FALSE)/VLOOKUP($B200,Korrigeringsfaktor_GD,'Korrigeringsfaktor GD'!N$1,FALSE),
"")</f>
        <v>0</v>
      </c>
      <c r="O200" s="18">
        <f>IFERROR(
                  Andel_oberoende_av_klimat*VLOOKUP($A200,Leveranser_per_nät,'Leveranser per nät'!O$1,FALSE)
               +Andel_beroende_av_klimat*VLOOKUP($A200,Leveranser_per_nät,'Leveranser per nät'!O$1,FALSE)/VLOOKUP($B200,Korrigeringsfaktor_GD,'Korrigeringsfaktor GD'!O$1,FALSE),
"")</f>
        <v>14.54153846153846</v>
      </c>
      <c r="P200" s="18">
        <f>IFERROR(
                  Andel_oberoende_av_klimat*VLOOKUP($A200,Leveranser_per_nät,'Leveranser per nät'!P$1,FALSE)
               +Andel_beroende_av_klimat*VLOOKUP($A200,Leveranser_per_nät,'Leveranser per nät'!P$1,FALSE)/VLOOKUP($B200,Korrigeringsfaktor_GD,'Korrigeringsfaktor GD'!P$1,FALSE),
"")</f>
        <v>13.794285714285714</v>
      </c>
      <c r="Q200" s="18">
        <f>IFERROR(
                  Andel_oberoende_av_klimat*VLOOKUP($A200,Leveranser_per_nät,'Leveranser per nät'!Q$1,FALSE)
               +Andel_beroende_av_klimat*VLOOKUP($A200,Leveranser_per_nät,'Leveranser per nät'!Q$1,FALSE)/VLOOKUP($B200,Korrigeringsfaktor_GD,'Korrigeringsfaktor GD'!Q$1,FALSE),
"")</f>
        <v>11.195130434782609</v>
      </c>
      <c r="R200" s="18">
        <f>IFERROR(
                  Andel_oberoende_av_klimat*VLOOKUP($A200,Leveranser_per_nät,'Leveranser per nät'!R$1,FALSE)
               +Andel_beroende_av_klimat*VLOOKUP($A200,Leveranser_per_nät,'Leveranser per nät'!R$1,FALSE)/VLOOKUP($B200,Korrigeringsfaktor_GD,'Korrigeringsfaktor GD'!R$1,FALSE),
"")</f>
        <v>11.804307692307692</v>
      </c>
      <c r="S200" s="18">
        <f>IFERROR(
                  Andel_oberoende_av_klimat*VLOOKUP($A200,Leveranser_per_nät,'Leveranser per nät'!S$1,FALSE)
               +Andel_beroende_av_klimat*VLOOKUP($A200,Leveranser_per_nät,'Leveranser per nät'!S$1,FALSE)/VLOOKUP($B200,Korrigeringsfaktor_GD,'Korrigeringsfaktor GD'!S$1,FALSE),
"")</f>
        <v>12.07</v>
      </c>
      <c r="T200" s="18">
        <f>IFERROR(
                  Andel_oberoende_av_klimat*VLOOKUP($A200,Leveranser_per_nät,'Leveranser per nät'!T$1,FALSE)
               +Andel_beroende_av_klimat*VLOOKUP($A200,Leveranser_per_nät,'Leveranser per nät'!T$1,FALSE)/VLOOKUP($B200,Korrigeringsfaktor_GD,'Korrigeringsfaktor GD'!T$1,FALSE),
"")</f>
        <v>12.284505263157897</v>
      </c>
      <c r="U200" s="18">
        <f>IFERROR(
                  Andel_oberoende_av_klimat*VLOOKUP($A200,Leveranser_per_nät,'Leveranser per nät'!U$1,FALSE)
               +Andel_beroende_av_klimat*VLOOKUP($A200,Leveranser_per_nät,'Leveranser per nät'!U$1,FALSE)/VLOOKUP($B200,Korrigeringsfaktor_GD,'Korrigeringsfaktor GD'!U$1,FALSE),
"")</f>
        <v>12.075422222222223</v>
      </c>
      <c r="V200" s="18">
        <f>IFERROR(
                  Andel_oberoende_av_klimat*VLOOKUP($A200,Leveranser_per_nät,'Leveranser per nät'!V$1,FALSE)
               +Andel_beroende_av_klimat*VLOOKUP($A200,Leveranser_per_nät,'Leveranser per nät'!V$1,FALSE)/VLOOKUP($B200,Korrigeringsfaktor_GD,'Korrigeringsfaktor GD'!V$1,FALSE),
"")</f>
        <v>11.844847311827957</v>
      </c>
      <c r="W200" s="18">
        <f>IFERROR(
                  Andel_oberoende_av_klimat*VLOOKUP($A200,Leveranser_per_nät,'Leveranser per nät'!W$1,FALSE)
               +Andel_beroende_av_klimat*VLOOKUP($A200,Leveranser_per_nät,'Leveranser per nät'!W$1,FALSE)/VLOOKUP($B200,Korrigeringsfaktor_GD,'Korrigeringsfaktor GD'!W$1,FALSE),
"")</f>
        <v>11.820484536082475</v>
      </c>
      <c r="X200" s="18">
        <f>IFERROR(
                  Andel_oberoende_av_klimat*VLOOKUP($A200,Leveranser_per_nät,'Leveranser per nät'!X$1,FALSE)
               +Andel_beroende_av_klimat*VLOOKUP($A200,Leveranser_per_nät,'Leveranser per nät'!X$1,FALSE)/VLOOKUP($B200,Korrigeringsfaktor_GD,'Korrigeringsfaktor GD'!X$1,FALSE),
"")</f>
        <v>11.317460606060607</v>
      </c>
      <c r="Y200" s="18">
        <f>IFERROR(
                  Andel_oberoende_av_klimat*VLOOKUP($A200,Leveranser_per_nät,'Leveranser per nät'!Y$1,FALSE)
               +Andel_beroende_av_klimat*VLOOKUP($A200,Leveranser_per_nät,'Leveranser per nät'!Y$1,FALSE)/VLOOKUP($B200,Korrigeringsfaktor_GD,'Korrigeringsfaktor GD'!Y$1,FALSE),
"")</f>
        <v>11.340309278350515</v>
      </c>
      <c r="Z200" s="18">
        <f>IFERROR(
                  Andel_oberoende_av_klimat*VLOOKUP($A200,Leveranser_per_nät,'Leveranser per nät'!Z$1,FALSE)
               +Andel_beroende_av_klimat*VLOOKUP($A200,Leveranser_per_nät,'Leveranser per nät'!Z$1,FALSE)/VLOOKUP($B200,Korrigeringsfaktor_GD,'Korrigeringsfaktor GD'!Z$1,FALSE),
"")</f>
        <v>11.751915384615383</v>
      </c>
      <c r="AA200" s="18">
        <f>IFERROR(
                  Andel_oberoende_av_klimat*VLOOKUP($A200,Leveranser_per_nät,'Leveranser per nät'!AA$1,FALSE)
               +Andel_beroende_av_klimat*VLOOKUP($A200,Leveranser_per_nät,'Leveranser per nät'!AA$1,FALSE)/VLOOKUP($B200,Korrigeringsfaktor_GD,'Korrigeringsfaktor GD'!AA$1,FALSE),
"")</f>
        <v>11.779935471826205</v>
      </c>
      <c r="AB200" s="18">
        <f>IFERROR(
                  Andel_oberoende_av_klimat*VLOOKUP($A200,Leveranser_per_nät,'Leveranser per nät'!AB$1,FALSE)
               +Andel_beroende_av_klimat*VLOOKUP($A200,Leveranser_per_nät,'Leveranser per nät'!AB$1,FALSE)/VLOOKUP($B200,Korrigeringsfaktor_GD,'Korrigeringsfaktor GD'!AB$1,FALSE),
"")</f>
        <v>11.413614398422091</v>
      </c>
      <c r="AC200" s="18">
        <f>IFERROR(
                  Andel_oberoende_av_klimat*VLOOKUP($A200,Leveranser_per_nät,'Leveranser per nät'!AC$1,FALSE)
               +Andel_beroende_av_klimat*VLOOKUP($A200,Leveranser_per_nät,'Leveranser per nät'!AC$1,FALSE)/VLOOKUP($B200,Korrigeringsfaktor_GD,'Korrigeringsfaktor GD'!AC$1,FALSE),
"")</f>
        <v>10.712925182101976</v>
      </c>
      <c r="AD200">
        <v>10.417</v>
      </c>
    </row>
    <row r="201" spans="1:30" x14ac:dyDescent="0.25">
      <c r="A201" t="s">
        <v>290</v>
      </c>
      <c r="B201" t="s">
        <v>288</v>
      </c>
      <c r="C201" s="18">
        <f>IFERROR(
                  Andel_oberoende_av_klimat*VLOOKUP($A201,Leveranser_per_nät,'Leveranser per nät'!C$1,FALSE)
               +Andel_beroende_av_klimat*VLOOKUP($A201,Leveranser_per_nät,'Leveranser per nät'!C$1,FALSE)/VLOOKUP($B201,Korrigeringsfaktor_GD,'Korrigeringsfaktor GD'!C$1,FALSE),
"")</f>
        <v>0</v>
      </c>
      <c r="D201" s="18">
        <f>IFERROR(
                  Andel_oberoende_av_klimat*VLOOKUP($A201,Leveranser_per_nät,'Leveranser per nät'!D$1,FALSE)
               +Andel_beroende_av_klimat*VLOOKUP($A201,Leveranser_per_nät,'Leveranser per nät'!D$1,FALSE)/VLOOKUP($B201,Korrigeringsfaktor_GD,'Korrigeringsfaktor GD'!D$1,FALSE),
"")</f>
        <v>0</v>
      </c>
      <c r="E201" s="18">
        <f>IFERROR(
                  Andel_oberoende_av_klimat*VLOOKUP($A201,Leveranser_per_nät,'Leveranser per nät'!E$1,FALSE)
               +Andel_beroende_av_klimat*VLOOKUP($A201,Leveranser_per_nät,'Leveranser per nät'!E$1,FALSE)/VLOOKUP($B201,Korrigeringsfaktor_GD,'Korrigeringsfaktor GD'!E$1,FALSE),
"")</f>
        <v>0</v>
      </c>
      <c r="F201" s="18">
        <f>IFERROR(
                  Andel_oberoende_av_klimat*VLOOKUP($A201,Leveranser_per_nät,'Leveranser per nät'!F$1,FALSE)
               +Andel_beroende_av_klimat*VLOOKUP($A201,Leveranser_per_nät,'Leveranser per nät'!F$1,FALSE)/VLOOKUP($B201,Korrigeringsfaktor_GD,'Korrigeringsfaktor GD'!F$1,FALSE),
"")</f>
        <v>0</v>
      </c>
      <c r="G201" s="18">
        <f>IFERROR(
                  Andel_oberoende_av_klimat*VLOOKUP($A201,Leveranser_per_nät,'Leveranser per nät'!G$1,FALSE)
               +Andel_beroende_av_klimat*VLOOKUP($A201,Leveranser_per_nät,'Leveranser per nät'!G$1,FALSE)/VLOOKUP($B201,Korrigeringsfaktor_GD,'Korrigeringsfaktor GD'!G$1,FALSE),
"")</f>
        <v>0</v>
      </c>
      <c r="H201" s="18">
        <f>IFERROR(
                  Andel_oberoende_av_klimat*VLOOKUP($A201,Leveranser_per_nät,'Leveranser per nät'!H$1,FALSE)
               +Andel_beroende_av_klimat*VLOOKUP($A201,Leveranser_per_nät,'Leveranser per nät'!H$1,FALSE)/VLOOKUP($B201,Korrigeringsfaktor_GD,'Korrigeringsfaktor GD'!H$1,FALSE),
"")</f>
        <v>0</v>
      </c>
      <c r="I201" s="18">
        <f>IFERROR(
                  Andel_oberoende_av_klimat*VLOOKUP($A201,Leveranser_per_nät,'Leveranser per nät'!I$1,FALSE)
               +Andel_beroende_av_klimat*VLOOKUP($A201,Leveranser_per_nät,'Leveranser per nät'!I$1,FALSE)/VLOOKUP($B201,Korrigeringsfaktor_GD,'Korrigeringsfaktor GD'!I$1,FALSE),
"")</f>
        <v>0</v>
      </c>
      <c r="J201" s="18">
        <f>IFERROR(
                  Andel_oberoende_av_klimat*VLOOKUP($A201,Leveranser_per_nät,'Leveranser per nät'!J$1,FALSE)
               +Andel_beroende_av_klimat*VLOOKUP($A201,Leveranser_per_nät,'Leveranser per nät'!J$1,FALSE)/VLOOKUP($B201,Korrigeringsfaktor_GD,'Korrigeringsfaktor GD'!J$1,FALSE),
"")</f>
        <v>0</v>
      </c>
      <c r="K201" s="18">
        <f>IFERROR(
                  Andel_oberoende_av_klimat*VLOOKUP($A201,Leveranser_per_nät,'Leveranser per nät'!K$1,FALSE)
               +Andel_beroende_av_klimat*VLOOKUP($A201,Leveranser_per_nät,'Leveranser per nät'!K$1,FALSE)/VLOOKUP($B201,Korrigeringsfaktor_GD,'Korrigeringsfaktor GD'!K$1,FALSE),
"")</f>
        <v>0</v>
      </c>
      <c r="L201" s="18">
        <f>IFERROR(
                  Andel_oberoende_av_klimat*VLOOKUP($A201,Leveranser_per_nät,'Leveranser per nät'!L$1,FALSE)
               +Andel_beroende_av_klimat*VLOOKUP($A201,Leveranser_per_nät,'Leveranser per nät'!L$1,FALSE)/VLOOKUP($B201,Korrigeringsfaktor_GD,'Korrigeringsfaktor GD'!L$1,FALSE),
"")</f>
        <v>0</v>
      </c>
      <c r="M201" s="18">
        <f>IFERROR(
                  Andel_oberoende_av_klimat*VLOOKUP($A201,Leveranser_per_nät,'Leveranser per nät'!M$1,FALSE)
               +Andel_beroende_av_klimat*VLOOKUP($A201,Leveranser_per_nät,'Leveranser per nät'!M$1,FALSE)/VLOOKUP($B201,Korrigeringsfaktor_GD,'Korrigeringsfaktor GD'!M$1,FALSE),
"")</f>
        <v>0.52703333333333335</v>
      </c>
      <c r="N201" s="18">
        <f>IFERROR(
                  Andel_oberoende_av_klimat*VLOOKUP($A201,Leveranser_per_nät,'Leveranser per nät'!N$1,FALSE)
               +Andel_beroende_av_klimat*VLOOKUP($A201,Leveranser_per_nät,'Leveranser per nät'!N$1,FALSE)/VLOOKUP($B201,Korrigeringsfaktor_GD,'Korrigeringsfaktor GD'!N$1,FALSE),
"")</f>
        <v>0.48375652173913042</v>
      </c>
      <c r="O201" s="18">
        <f>IFERROR(
                  Andel_oberoende_av_klimat*VLOOKUP($A201,Leveranser_per_nät,'Leveranser per nät'!O$1,FALSE)
               +Andel_beroende_av_klimat*VLOOKUP($A201,Leveranser_per_nät,'Leveranser per nät'!O$1,FALSE)/VLOOKUP($B201,Korrigeringsfaktor_GD,'Korrigeringsfaktor GD'!O$1,FALSE),
"")</f>
        <v>0.40523846153846155</v>
      </c>
      <c r="P201" s="18">
        <f>IFERROR(
                  Andel_oberoende_av_klimat*VLOOKUP($A201,Leveranser_per_nät,'Leveranser per nät'!P$1,FALSE)
               +Andel_beroende_av_klimat*VLOOKUP($A201,Leveranser_per_nät,'Leveranser per nät'!P$1,FALSE)/VLOOKUP($B201,Korrigeringsfaktor_GD,'Korrigeringsfaktor GD'!P$1,FALSE),
"")</f>
        <v>0.29718571428571428</v>
      </c>
      <c r="Q201" s="18">
        <f>IFERROR(
                  Andel_oberoende_av_klimat*VLOOKUP($A201,Leveranser_per_nät,'Leveranser per nät'!Q$1,FALSE)
               +Andel_beroende_av_klimat*VLOOKUP($A201,Leveranser_per_nät,'Leveranser per nät'!Q$1,FALSE)/VLOOKUP($B201,Korrigeringsfaktor_GD,'Korrigeringsfaktor GD'!Q$1,FALSE),
"")</f>
        <v>0</v>
      </c>
      <c r="R201" s="18">
        <f>IFERROR(
                  Andel_oberoende_av_klimat*VLOOKUP($A201,Leveranser_per_nät,'Leveranser per nät'!R$1,FALSE)
               +Andel_beroende_av_klimat*VLOOKUP($A201,Leveranser_per_nät,'Leveranser per nät'!R$1,FALSE)/VLOOKUP($B201,Korrigeringsfaktor_GD,'Korrigeringsfaktor GD'!R$1,FALSE),
"")</f>
        <v>0</v>
      </c>
      <c r="S201" s="18" t="str">
        <f>IFERROR(
                  Andel_oberoende_av_klimat*VLOOKUP($A201,Leveranser_per_nät,'Leveranser per nät'!S$1,FALSE)
               +Andel_beroende_av_klimat*VLOOKUP($A201,Leveranser_per_nät,'Leveranser per nät'!S$1,FALSE)/VLOOKUP($B201,Korrigeringsfaktor_GD,'Korrigeringsfaktor GD'!S$1,FALSE),
"")</f>
        <v/>
      </c>
      <c r="T201" s="18" t="str">
        <f>IFERROR(
                  Andel_oberoende_av_klimat*VLOOKUP($A201,Leveranser_per_nät,'Leveranser per nät'!T$1,FALSE)
               +Andel_beroende_av_klimat*VLOOKUP($A201,Leveranser_per_nät,'Leveranser per nät'!T$1,FALSE)/VLOOKUP($B201,Korrigeringsfaktor_GD,'Korrigeringsfaktor GD'!T$1,FALSE),
"")</f>
        <v/>
      </c>
      <c r="U201" s="18" t="str">
        <f>IFERROR(
                  Andel_oberoende_av_klimat*VLOOKUP($A201,Leveranser_per_nät,'Leveranser per nät'!U$1,FALSE)
               +Andel_beroende_av_klimat*VLOOKUP($A201,Leveranser_per_nät,'Leveranser per nät'!U$1,FALSE)/VLOOKUP($B201,Korrigeringsfaktor_GD,'Korrigeringsfaktor GD'!U$1,FALSE),
"")</f>
        <v/>
      </c>
      <c r="V201" s="18" t="str">
        <f>IFERROR(
                  Andel_oberoende_av_klimat*VLOOKUP($A201,Leveranser_per_nät,'Leveranser per nät'!V$1,FALSE)
               +Andel_beroende_av_klimat*VLOOKUP($A201,Leveranser_per_nät,'Leveranser per nät'!V$1,FALSE)/VLOOKUP($B201,Korrigeringsfaktor_GD,'Korrigeringsfaktor GD'!V$1,FALSE),
"")</f>
        <v/>
      </c>
      <c r="W201" s="18" t="str">
        <f>IFERROR(
                  Andel_oberoende_av_klimat*VLOOKUP($A201,Leveranser_per_nät,'Leveranser per nät'!W$1,FALSE)
               +Andel_beroende_av_klimat*VLOOKUP($A201,Leveranser_per_nät,'Leveranser per nät'!W$1,FALSE)/VLOOKUP($B201,Korrigeringsfaktor_GD,'Korrigeringsfaktor GD'!W$1,FALSE),
"")</f>
        <v/>
      </c>
      <c r="X201" s="18" t="str">
        <f>IFERROR(
                  Andel_oberoende_av_klimat*VLOOKUP($A201,Leveranser_per_nät,'Leveranser per nät'!X$1,FALSE)
               +Andel_beroende_av_klimat*VLOOKUP($A201,Leveranser_per_nät,'Leveranser per nät'!X$1,FALSE)/VLOOKUP($B201,Korrigeringsfaktor_GD,'Korrigeringsfaktor GD'!X$1,FALSE),
"")</f>
        <v/>
      </c>
      <c r="Y201" s="18" t="str">
        <f>IFERROR(
                  Andel_oberoende_av_klimat*VLOOKUP($A201,Leveranser_per_nät,'Leveranser per nät'!Y$1,FALSE)
               +Andel_beroende_av_klimat*VLOOKUP($A201,Leveranser_per_nät,'Leveranser per nät'!Y$1,FALSE)/VLOOKUP($B201,Korrigeringsfaktor_GD,'Korrigeringsfaktor GD'!Y$1,FALSE),
"")</f>
        <v/>
      </c>
      <c r="Z201" s="18">
        <f>IFERROR(
                  Andel_oberoende_av_klimat*VLOOKUP($A201,Leveranser_per_nät,'Leveranser per nät'!Z$1,FALSE)
               +Andel_beroende_av_klimat*VLOOKUP($A201,Leveranser_per_nät,'Leveranser per nät'!Z$1,FALSE)/VLOOKUP($B201,Korrigeringsfaktor_GD,'Korrigeringsfaktor GD'!Z$1,FALSE),
"")</f>
        <v>0</v>
      </c>
      <c r="AA201" s="18" t="str">
        <f>IFERROR(
                  Andel_oberoende_av_klimat*VLOOKUP($A201,Leveranser_per_nät,'Leveranser per nät'!AA$1,FALSE)
               +Andel_beroende_av_klimat*VLOOKUP($A201,Leveranser_per_nät,'Leveranser per nät'!AA$1,FALSE)/VLOOKUP($B201,Korrigeringsfaktor_GD,'Korrigeringsfaktor GD'!AA$1,FALSE),
"")</f>
        <v/>
      </c>
      <c r="AB201" s="18">
        <f>IFERROR(
                  Andel_oberoende_av_klimat*VLOOKUP($A201,Leveranser_per_nät,'Leveranser per nät'!AB$1,FALSE)
               +Andel_beroende_av_klimat*VLOOKUP($A201,Leveranser_per_nät,'Leveranser per nät'!AB$1,FALSE)/VLOOKUP($B201,Korrigeringsfaktor_GD,'Korrigeringsfaktor GD'!AB$1,FALSE),
"")</f>
        <v>0</v>
      </c>
      <c r="AC201" s="18">
        <f>IFERROR(
                  Andel_oberoende_av_klimat*VLOOKUP($A201,Leveranser_per_nät,'Leveranser per nät'!AC$1,FALSE)
               +Andel_beroende_av_klimat*VLOOKUP($A201,Leveranser_per_nät,'Leveranser per nät'!AC$1,FALSE)/VLOOKUP($B201,Korrigeringsfaktor_GD,'Korrigeringsfaktor GD'!AC$1,FALSE),
"")</f>
        <v>0</v>
      </c>
      <c r="AD201">
        <v>513.26678000000004</v>
      </c>
    </row>
    <row r="202" spans="1:30" x14ac:dyDescent="0.25">
      <c r="A202" t="s">
        <v>211</v>
      </c>
      <c r="B202" t="s">
        <v>211</v>
      </c>
      <c r="C202" s="18">
        <f>IFERROR(
                  Andel_oberoende_av_klimat*VLOOKUP($A202,Leveranser_per_nät,'Leveranser per nät'!C$1,FALSE)
               +Andel_beroende_av_klimat*VLOOKUP($A202,Leveranser_per_nät,'Leveranser per nät'!C$1,FALSE)/VLOOKUP($B202,Korrigeringsfaktor_GD,'Korrigeringsfaktor GD'!C$1,FALSE),
"")</f>
        <v>43.893457943925227</v>
      </c>
      <c r="D202" s="18">
        <f>IFERROR(
                  Andel_oberoende_av_klimat*VLOOKUP($A202,Leveranser_per_nät,'Leveranser per nät'!D$1,FALSE)
               +Andel_beroende_av_klimat*VLOOKUP($A202,Leveranser_per_nät,'Leveranser per nät'!D$1,FALSE)/VLOOKUP($B202,Korrigeringsfaktor_GD,'Korrigeringsfaktor GD'!D$1,FALSE),
"")</f>
        <v>42.192570212765958</v>
      </c>
      <c r="E202" s="18">
        <f>IFERROR(
                  Andel_oberoende_av_klimat*VLOOKUP($A202,Leveranser_per_nät,'Leveranser per nät'!E$1,FALSE)
               +Andel_beroende_av_klimat*VLOOKUP($A202,Leveranser_per_nät,'Leveranser per nät'!E$1,FALSE)/VLOOKUP($B202,Korrigeringsfaktor_GD,'Korrigeringsfaktor GD'!E$1,FALSE),
"")</f>
        <v>39</v>
      </c>
      <c r="F202" s="18">
        <f>IFERROR(
                  Andel_oberoende_av_klimat*VLOOKUP($A202,Leveranser_per_nät,'Leveranser per nät'!F$1,FALSE)
               +Andel_beroende_av_klimat*VLOOKUP($A202,Leveranser_per_nät,'Leveranser per nät'!F$1,FALSE)/VLOOKUP($B202,Korrigeringsfaktor_GD,'Korrigeringsfaktor GD'!F$1,FALSE),
"")</f>
        <v>38.268686868686871</v>
      </c>
      <c r="G202" s="18">
        <f>IFERROR(
                  Andel_oberoende_av_klimat*VLOOKUP($A202,Leveranser_per_nät,'Leveranser per nät'!G$1,FALSE)
               +Andel_beroende_av_klimat*VLOOKUP($A202,Leveranser_per_nät,'Leveranser per nät'!G$1,FALSE)/VLOOKUP($B202,Korrigeringsfaktor_GD,'Korrigeringsfaktor GD'!G$1,FALSE),
"")</f>
        <v>37.83</v>
      </c>
      <c r="H202" s="18">
        <f>IFERROR(
                  Andel_oberoende_av_klimat*VLOOKUP($A202,Leveranser_per_nät,'Leveranser per nät'!H$1,FALSE)
               +Andel_beroende_av_klimat*VLOOKUP($A202,Leveranser_per_nät,'Leveranser per nät'!H$1,FALSE)/VLOOKUP($B202,Korrigeringsfaktor_GD,'Korrigeringsfaktor GD'!H$1,FALSE),
"")</f>
        <v>40.707342857142862</v>
      </c>
      <c r="I202" s="18">
        <f>IFERROR(
                  Andel_oberoende_av_klimat*VLOOKUP($A202,Leveranser_per_nät,'Leveranser per nät'!I$1,FALSE)
               +Andel_beroende_av_klimat*VLOOKUP($A202,Leveranser_per_nät,'Leveranser per nät'!I$1,FALSE)/VLOOKUP($B202,Korrigeringsfaktor_GD,'Korrigeringsfaktor GD'!I$1,FALSE),
"")</f>
        <v>39.227884210526319</v>
      </c>
      <c r="J202" s="18">
        <f>IFERROR(
                  Andel_oberoende_av_klimat*VLOOKUP($A202,Leveranser_per_nät,'Leveranser per nät'!J$1,FALSE)
               +Andel_beroende_av_klimat*VLOOKUP($A202,Leveranser_per_nät,'Leveranser per nät'!J$1,FALSE)/VLOOKUP($B202,Korrigeringsfaktor_GD,'Korrigeringsfaktor GD'!J$1,FALSE),
"")</f>
        <v>38.542857142857144</v>
      </c>
      <c r="K202" s="18">
        <f>IFERROR(
                  Andel_oberoende_av_klimat*VLOOKUP($A202,Leveranser_per_nät,'Leveranser per nät'!K$1,FALSE)
               +Andel_beroende_av_klimat*VLOOKUP($A202,Leveranser_per_nät,'Leveranser per nät'!K$1,FALSE)/VLOOKUP($B202,Korrigeringsfaktor_GD,'Korrigeringsfaktor GD'!K$1,FALSE),
"")</f>
        <v>36.952040206185565</v>
      </c>
      <c r="L202" s="18">
        <f>IFERROR(
                  Andel_oberoende_av_klimat*VLOOKUP($A202,Leveranser_per_nät,'Leveranser per nät'!L$1,FALSE)
               +Andel_beroende_av_klimat*VLOOKUP($A202,Leveranser_per_nät,'Leveranser per nät'!L$1,FALSE)/VLOOKUP($B202,Korrigeringsfaktor_GD,'Korrigeringsfaktor GD'!L$1,FALSE),
"")</f>
        <v>37.353608510638296</v>
      </c>
      <c r="M202" s="18">
        <f>IFERROR(
                  Andel_oberoende_av_klimat*VLOOKUP($A202,Leveranser_per_nät,'Leveranser per nät'!M$1,FALSE)
               +Andel_beroende_av_klimat*VLOOKUP($A202,Leveranser_per_nät,'Leveranser per nät'!M$1,FALSE)/VLOOKUP($B202,Korrigeringsfaktor_GD,'Korrigeringsfaktor GD'!M$1,FALSE),
"")</f>
        <v>39.850230769230777</v>
      </c>
      <c r="N202" s="18">
        <f>IFERROR(
                  Andel_oberoende_av_klimat*VLOOKUP($A202,Leveranser_per_nät,'Leveranser per nät'!N$1,FALSE)
               +Andel_beroende_av_klimat*VLOOKUP($A202,Leveranser_per_nät,'Leveranser per nät'!N$1,FALSE)/VLOOKUP($B202,Korrigeringsfaktor_GD,'Korrigeringsfaktor GD'!N$1,FALSE),
"")</f>
        <v>38.935255319148943</v>
      </c>
      <c r="O202" s="18">
        <f>IFERROR(
                  Andel_oberoende_av_klimat*VLOOKUP($A202,Leveranser_per_nät,'Leveranser per nät'!O$1,FALSE)
               +Andel_beroende_av_klimat*VLOOKUP($A202,Leveranser_per_nät,'Leveranser per nät'!O$1,FALSE)/VLOOKUP($B202,Korrigeringsfaktor_GD,'Korrigeringsfaktor GD'!O$1,FALSE),
"")</f>
        <v>10.585384615384616</v>
      </c>
      <c r="P202" s="18">
        <f>IFERROR(
                  Andel_oberoende_av_klimat*VLOOKUP($A202,Leveranser_per_nät,'Leveranser per nät'!P$1,FALSE)
               +Andel_beroende_av_klimat*VLOOKUP($A202,Leveranser_per_nät,'Leveranser per nät'!P$1,FALSE)/VLOOKUP($B202,Korrigeringsfaktor_GD,'Korrigeringsfaktor GD'!P$1,FALSE),
"")</f>
        <v>43.512857142857143</v>
      </c>
      <c r="Q202" s="18">
        <f>IFERROR(
                  Andel_oberoende_av_klimat*VLOOKUP($A202,Leveranser_per_nät,'Leveranser per nät'!Q$1,FALSE)
               +Andel_beroende_av_klimat*VLOOKUP($A202,Leveranser_per_nät,'Leveranser per nät'!Q$1,FALSE)/VLOOKUP($B202,Korrigeringsfaktor_GD,'Korrigeringsfaktor GD'!Q$1,FALSE),
"")</f>
        <v>48.775249999999993</v>
      </c>
      <c r="R202" s="18">
        <f>IFERROR(
                  Andel_oberoende_av_klimat*VLOOKUP($A202,Leveranser_per_nät,'Leveranser per nät'!R$1,FALSE)
               +Andel_beroende_av_klimat*VLOOKUP($A202,Leveranser_per_nät,'Leveranser per nät'!R$1,FALSE)/VLOOKUP($B202,Korrigeringsfaktor_GD,'Korrigeringsfaktor GD'!R$1,FALSE),
"")</f>
        <v>43.303846153846152</v>
      </c>
      <c r="S202" s="18">
        <f>IFERROR(
                  Andel_oberoende_av_klimat*VLOOKUP($A202,Leveranser_per_nät,'Leveranser per nät'!S$1,FALSE)
               +Andel_beroende_av_klimat*VLOOKUP($A202,Leveranser_per_nät,'Leveranser per nät'!S$1,FALSE)/VLOOKUP($B202,Korrigeringsfaktor_GD,'Korrigeringsfaktor GD'!S$1,FALSE),
"")</f>
        <v>43.614285714285714</v>
      </c>
      <c r="T202" s="18">
        <f>IFERROR(
                  Andel_oberoende_av_klimat*VLOOKUP($A202,Leveranser_per_nät,'Leveranser per nät'!T$1,FALSE)
               +Andel_beroende_av_klimat*VLOOKUP($A202,Leveranser_per_nät,'Leveranser per nät'!T$1,FALSE)/VLOOKUP($B202,Korrigeringsfaktor_GD,'Korrigeringsfaktor GD'!T$1,FALSE),
"")</f>
        <v>64.770212765957439</v>
      </c>
      <c r="U202" s="18">
        <f>IFERROR(
                  Andel_oberoende_av_klimat*VLOOKUP($A202,Leveranser_per_nät,'Leveranser per nät'!U$1,FALSE)
               +Andel_beroende_av_klimat*VLOOKUP($A202,Leveranser_per_nät,'Leveranser per nät'!U$1,FALSE)/VLOOKUP($B202,Korrigeringsfaktor_GD,'Korrigeringsfaktor GD'!U$1,FALSE),
"")</f>
        <v>43.444186046511625</v>
      </c>
      <c r="V202" s="18">
        <f>IFERROR(
                  Andel_oberoende_av_klimat*VLOOKUP($A202,Leveranser_per_nät,'Leveranser per nät'!V$1,FALSE)
               +Andel_beroende_av_klimat*VLOOKUP($A202,Leveranser_per_nät,'Leveranser per nät'!V$1,FALSE)/VLOOKUP($B202,Korrigeringsfaktor_GD,'Korrigeringsfaktor GD'!V$1,FALSE),
"")</f>
        <v>49.013953488372096</v>
      </c>
      <c r="W202" s="18">
        <f>IFERROR(
                  Andel_oberoende_av_klimat*VLOOKUP($A202,Leveranser_per_nät,'Leveranser per nät'!W$1,FALSE)
               +Andel_beroende_av_klimat*VLOOKUP($A202,Leveranser_per_nät,'Leveranser per nät'!W$1,FALSE)/VLOOKUP($B202,Korrigeringsfaktor_GD,'Korrigeringsfaktor GD'!W$1,FALSE),
"")</f>
        <v>44.556521739130432</v>
      </c>
      <c r="X202" s="18">
        <f>IFERROR(
                  Andel_oberoende_av_klimat*VLOOKUP($A202,Leveranser_per_nät,'Leveranser per nät'!X$1,FALSE)
               +Andel_beroende_av_klimat*VLOOKUP($A202,Leveranser_per_nät,'Leveranser per nät'!X$1,FALSE)/VLOOKUP($B202,Korrigeringsfaktor_GD,'Korrigeringsfaktor GD'!X$1,FALSE),
"")</f>
        <v>49.1</v>
      </c>
      <c r="Y202" s="18">
        <f>IFERROR(
                  Andel_oberoende_av_klimat*VLOOKUP($A202,Leveranser_per_nät,'Leveranser per nät'!Y$1,FALSE)
               +Andel_beroende_av_klimat*VLOOKUP($A202,Leveranser_per_nät,'Leveranser per nät'!Y$1,FALSE)/VLOOKUP($B202,Korrigeringsfaktor_GD,'Korrigeringsfaktor GD'!Y$1,FALSE),
"")</f>
        <v>46.820678947368421</v>
      </c>
      <c r="Z202" s="18">
        <f>IFERROR(
                  Andel_oberoende_av_klimat*VLOOKUP($A202,Leveranser_per_nät,'Leveranser per nät'!Z$1,FALSE)
               +Andel_beroende_av_klimat*VLOOKUP($A202,Leveranser_per_nät,'Leveranser per nät'!Z$1,FALSE)/VLOOKUP($B202,Korrigeringsfaktor_GD,'Korrigeringsfaktor GD'!Z$1,FALSE),
"")</f>
        <v>44.995486597938147</v>
      </c>
      <c r="AA202" s="18">
        <f>IFERROR(
                  Andel_oberoende_av_klimat*VLOOKUP($A202,Leveranser_per_nät,'Leveranser per nät'!AA$1,FALSE)
               +Andel_beroende_av_klimat*VLOOKUP($A202,Leveranser_per_nät,'Leveranser per nät'!AA$1,FALSE)/VLOOKUP($B202,Korrigeringsfaktor_GD,'Korrigeringsfaktor GD'!AA$1,FALSE),
"")</f>
        <v>43.866232349576762</v>
      </c>
      <c r="AB202" s="18">
        <f>IFERROR(
                  Andel_oberoende_av_klimat*VLOOKUP($A202,Leveranser_per_nät,'Leveranser per nät'!AB$1,FALSE)
               +Andel_beroende_av_klimat*VLOOKUP($A202,Leveranser_per_nät,'Leveranser per nät'!AB$1,FALSE)/VLOOKUP($B202,Korrigeringsfaktor_GD,'Korrigeringsfaktor GD'!AB$1,FALSE),
"")</f>
        <v>45.044749266862169</v>
      </c>
      <c r="AC202" s="18">
        <f>IFERROR(
                  Andel_oberoende_av_klimat*VLOOKUP($A202,Leveranser_per_nät,'Leveranser per nät'!AC$1,FALSE)
               +Andel_beroende_av_klimat*VLOOKUP($A202,Leveranser_per_nät,'Leveranser per nät'!AC$1,FALSE)/VLOOKUP($B202,Korrigeringsfaktor_GD,'Korrigeringsfaktor GD'!AC$1,FALSE),
"")</f>
        <v>42.534759420289859</v>
      </c>
      <c r="AD202">
        <v>41.512</v>
      </c>
    </row>
    <row r="203" spans="1:30" x14ac:dyDescent="0.25">
      <c r="A203" t="s">
        <v>34</v>
      </c>
      <c r="B203" t="s">
        <v>34</v>
      </c>
      <c r="C203" s="18">
        <f>IFERROR(
                  Andel_oberoende_av_klimat*VLOOKUP($A203,Leveranser_per_nät,'Leveranser per nät'!C$1,FALSE)
               +Andel_beroende_av_klimat*VLOOKUP($A203,Leveranser_per_nät,'Leveranser per nät'!C$1,FALSE)/VLOOKUP($B203,Korrigeringsfaktor_GD,'Korrigeringsfaktor GD'!C$1,FALSE),
"")</f>
        <v>198.6053097345133</v>
      </c>
      <c r="D203" s="18">
        <f>IFERROR(
                  Andel_oberoende_av_klimat*VLOOKUP($A203,Leveranser_per_nät,'Leveranser per nät'!D$1,FALSE)
               +Andel_beroende_av_klimat*VLOOKUP($A203,Leveranser_per_nät,'Leveranser per nät'!D$1,FALSE)/VLOOKUP($B203,Korrigeringsfaktor_GD,'Korrigeringsfaktor GD'!D$1,FALSE),
"")</f>
        <v>202.92378217821783</v>
      </c>
      <c r="E203" s="18">
        <f>IFERROR(
                  Andel_oberoende_av_klimat*VLOOKUP($A203,Leveranser_per_nät,'Leveranser per nät'!E$1,FALSE)
               +Andel_beroende_av_klimat*VLOOKUP($A203,Leveranser_per_nät,'Leveranser per nät'!E$1,FALSE)/VLOOKUP($B203,Korrigeringsfaktor_GD,'Korrigeringsfaktor GD'!E$1,FALSE),
"")</f>
        <v>219</v>
      </c>
      <c r="F203" s="18">
        <f>IFERROR(
                  Andel_oberoende_av_klimat*VLOOKUP($A203,Leveranser_per_nät,'Leveranser per nät'!F$1,FALSE)
               +Andel_beroende_av_klimat*VLOOKUP($A203,Leveranser_per_nät,'Leveranser per nät'!F$1,FALSE)/VLOOKUP($B203,Korrigeringsfaktor_GD,'Korrigeringsfaktor GD'!F$1,FALSE),
"")</f>
        <v>229.82978723404256</v>
      </c>
      <c r="G203" s="18">
        <f>IFERROR(
                  Andel_oberoende_av_klimat*VLOOKUP($A203,Leveranser_per_nät,'Leveranser per nät'!G$1,FALSE)
               +Andel_beroende_av_klimat*VLOOKUP($A203,Leveranser_per_nät,'Leveranser per nät'!G$1,FALSE)/VLOOKUP($B203,Korrigeringsfaktor_GD,'Korrigeringsfaktor GD'!G$1,FALSE),
"")</f>
        <v>246.32528735632184</v>
      </c>
      <c r="H203" s="18">
        <f>IFERROR(
                  Andel_oberoende_av_klimat*VLOOKUP($A203,Leveranser_per_nät,'Leveranser per nät'!H$1,FALSE)
               +Andel_beroende_av_klimat*VLOOKUP($A203,Leveranser_per_nät,'Leveranser per nät'!H$1,FALSE)/VLOOKUP($B203,Korrigeringsfaktor_GD,'Korrigeringsfaktor GD'!H$1,FALSE),
"")</f>
        <v>243.71111111111111</v>
      </c>
      <c r="I203" s="18">
        <f>IFERROR(
                  Andel_oberoende_av_klimat*VLOOKUP($A203,Leveranser_per_nät,'Leveranser per nät'!I$1,FALSE)
               +Andel_beroende_av_klimat*VLOOKUP($A203,Leveranser_per_nät,'Leveranser per nät'!I$1,FALSE)/VLOOKUP($B203,Korrigeringsfaktor_GD,'Korrigeringsfaktor GD'!I$1,FALSE),
"")</f>
        <v>272.66170212765962</v>
      </c>
      <c r="J203" s="18">
        <f>IFERROR(
                  Andel_oberoende_av_klimat*VLOOKUP($A203,Leveranser_per_nät,'Leveranser per nät'!J$1,FALSE)
               +Andel_beroende_av_klimat*VLOOKUP($A203,Leveranser_per_nät,'Leveranser per nät'!J$1,FALSE)/VLOOKUP($B203,Korrigeringsfaktor_GD,'Korrigeringsfaktor GD'!J$1,FALSE),
"")</f>
        <v>275.8857142857143</v>
      </c>
      <c r="K203" s="18">
        <f>IFERROR(
                  Andel_oberoende_av_klimat*VLOOKUP($A203,Leveranser_per_nät,'Leveranser per nät'!K$1,FALSE)
               +Andel_beroende_av_klimat*VLOOKUP($A203,Leveranser_per_nät,'Leveranser per nät'!K$1,FALSE)/VLOOKUP($B203,Korrigeringsfaktor_GD,'Korrigeringsfaktor GD'!K$1,FALSE),
"")</f>
        <v>267.78500000000003</v>
      </c>
      <c r="L203" s="18">
        <f>IFERROR(
                  Andel_oberoende_av_klimat*VLOOKUP($A203,Leveranser_per_nät,'Leveranser per nät'!L$1,FALSE)
               +Andel_beroende_av_klimat*VLOOKUP($A203,Leveranser_per_nät,'Leveranser per nät'!L$1,FALSE)/VLOOKUP($B203,Korrigeringsfaktor_GD,'Korrigeringsfaktor GD'!L$1,FALSE),
"")</f>
        <v>275.45565714285721</v>
      </c>
      <c r="M203" s="18">
        <f>IFERROR(
                  Andel_oberoende_av_klimat*VLOOKUP($A203,Leveranser_per_nät,'Leveranser per nät'!M$1,FALSE)
               +Andel_beroende_av_klimat*VLOOKUP($A203,Leveranser_per_nät,'Leveranser per nät'!M$1,FALSE)/VLOOKUP($B203,Korrigeringsfaktor_GD,'Korrigeringsfaktor GD'!M$1,FALSE),
"")</f>
        <v>275.17207021276602</v>
      </c>
      <c r="N203" s="18">
        <f>IFERROR(
                  Andel_oberoende_av_klimat*VLOOKUP($A203,Leveranser_per_nät,'Leveranser per nät'!N$1,FALSE)
               +Andel_beroende_av_klimat*VLOOKUP($A203,Leveranser_per_nät,'Leveranser per nät'!N$1,FALSE)/VLOOKUP($B203,Korrigeringsfaktor_GD,'Korrigeringsfaktor GD'!N$1,FALSE),
"")</f>
        <v>288.45859999999999</v>
      </c>
      <c r="O203" s="18">
        <f>IFERROR(
                  Andel_oberoende_av_klimat*VLOOKUP($A203,Leveranser_per_nät,'Leveranser per nät'!O$1,FALSE)
               +Andel_beroende_av_klimat*VLOOKUP($A203,Leveranser_per_nät,'Leveranser per nät'!O$1,FALSE)/VLOOKUP($B203,Korrigeringsfaktor_GD,'Korrigeringsfaktor GD'!O$1,FALSE),
"")</f>
        <v>300.77828764044938</v>
      </c>
      <c r="P203" s="18">
        <f>IFERROR(
                  Andel_oberoende_av_klimat*VLOOKUP($A203,Leveranser_per_nät,'Leveranser per nät'!P$1,FALSE)
               +Andel_beroende_av_klimat*VLOOKUP($A203,Leveranser_per_nät,'Leveranser per nät'!P$1,FALSE)/VLOOKUP($B203,Korrigeringsfaktor_GD,'Korrigeringsfaktor GD'!P$1,FALSE),
"")</f>
        <v>302.17802857142863</v>
      </c>
      <c r="Q203" s="18">
        <f>IFERROR(
                  Andel_oberoende_av_klimat*VLOOKUP($A203,Leveranser_per_nät,'Leveranser per nät'!Q$1,FALSE)
               +Andel_beroende_av_klimat*VLOOKUP($A203,Leveranser_per_nät,'Leveranser per nät'!Q$1,FALSE)/VLOOKUP($B203,Korrigeringsfaktor_GD,'Korrigeringsfaktor GD'!Q$1,FALSE),
"")</f>
        <v>347.03359565217397</v>
      </c>
      <c r="R203" s="18">
        <f>IFERROR(
                  Andel_oberoende_av_klimat*VLOOKUP($A203,Leveranser_per_nät,'Leveranser per nät'!R$1,FALSE)
               +Andel_beroende_av_klimat*VLOOKUP($A203,Leveranser_per_nät,'Leveranser per nät'!R$1,FALSE)/VLOOKUP($B203,Korrigeringsfaktor_GD,'Korrigeringsfaktor GD'!R$1,FALSE),
"")</f>
        <v>351.37273043478257</v>
      </c>
      <c r="S203" s="18">
        <f>IFERROR(
                  Andel_oberoende_av_klimat*VLOOKUP($A203,Leveranser_per_nät,'Leveranser per nät'!S$1,FALSE)
               +Andel_beroende_av_klimat*VLOOKUP($A203,Leveranser_per_nät,'Leveranser per nät'!S$1,FALSE)/VLOOKUP($B203,Korrigeringsfaktor_GD,'Korrigeringsfaktor GD'!S$1,FALSE),
"")</f>
        <v>353</v>
      </c>
      <c r="T203" s="18">
        <f>IFERROR(
                  Andel_oberoende_av_klimat*VLOOKUP($A203,Leveranser_per_nät,'Leveranser per nät'!T$1,FALSE)
               +Andel_beroende_av_klimat*VLOOKUP($A203,Leveranser_per_nät,'Leveranser per nät'!T$1,FALSE)/VLOOKUP($B203,Korrigeringsfaktor_GD,'Korrigeringsfaktor GD'!T$1,FALSE),
"")</f>
        <v>355.85199999999998</v>
      </c>
      <c r="U203" s="18">
        <f>IFERROR(
                  Andel_oberoende_av_klimat*VLOOKUP($A203,Leveranser_per_nät,'Leveranser per nät'!U$1,FALSE)
               +Andel_beroende_av_klimat*VLOOKUP($A203,Leveranser_per_nät,'Leveranser per nät'!U$1,FALSE)/VLOOKUP($B203,Korrigeringsfaktor_GD,'Korrigeringsfaktor GD'!U$1,FALSE),
"")</f>
        <v>367.79581204819272</v>
      </c>
      <c r="V203" s="18">
        <f>IFERROR(
                  Andel_oberoende_av_klimat*VLOOKUP($A203,Leveranser_per_nät,'Leveranser per nät'!V$1,FALSE)
               +Andel_beroende_av_klimat*VLOOKUP($A203,Leveranser_per_nät,'Leveranser per nät'!V$1,FALSE)/VLOOKUP($B203,Korrigeringsfaktor_GD,'Korrigeringsfaktor GD'!V$1,FALSE),
"")</f>
        <v>368.64126818181819</v>
      </c>
      <c r="W203" s="18">
        <f>IFERROR(
                  Andel_oberoende_av_klimat*VLOOKUP($A203,Leveranser_per_nät,'Leveranser per nät'!W$1,FALSE)
               +Andel_beroende_av_klimat*VLOOKUP($A203,Leveranser_per_nät,'Leveranser per nät'!W$1,FALSE)/VLOOKUP($B203,Korrigeringsfaktor_GD,'Korrigeringsfaktor GD'!W$1,FALSE),
"")</f>
        <v>378.12243333333333</v>
      </c>
      <c r="X203" s="18">
        <f>IFERROR(
                  Andel_oberoende_av_klimat*VLOOKUP($A203,Leveranser_per_nät,'Leveranser per nät'!X$1,FALSE)
               +Andel_beroende_av_klimat*VLOOKUP($A203,Leveranser_per_nät,'Leveranser per nät'!X$1,FALSE)/VLOOKUP($B203,Korrigeringsfaktor_GD,'Korrigeringsfaktor GD'!X$1,FALSE),
"")</f>
        <v>381.28662307692309</v>
      </c>
      <c r="Y203" s="18">
        <f>IFERROR(
                  Andel_oberoende_av_klimat*VLOOKUP($A203,Leveranser_per_nät,'Leveranser per nät'!Y$1,FALSE)
               +Andel_beroende_av_klimat*VLOOKUP($A203,Leveranser_per_nät,'Leveranser per nät'!Y$1,FALSE)/VLOOKUP($B203,Korrigeringsfaktor_GD,'Korrigeringsfaktor GD'!Y$1,FALSE),
"")</f>
        <v>386.54575505617981</v>
      </c>
      <c r="Z203" s="18">
        <f>IFERROR(
                  Andel_oberoende_av_klimat*VLOOKUP($A203,Leveranser_per_nät,'Leveranser per nät'!Z$1,FALSE)
               +Andel_beroende_av_klimat*VLOOKUP($A203,Leveranser_per_nät,'Leveranser per nät'!Z$1,FALSE)/VLOOKUP($B203,Korrigeringsfaktor_GD,'Korrigeringsfaktor GD'!Z$1,FALSE),
"")</f>
        <v>347.97483608247421</v>
      </c>
      <c r="AA203" s="18">
        <f>IFERROR(
                  Andel_oberoende_av_klimat*VLOOKUP($A203,Leveranser_per_nät,'Leveranser per nät'!AA$1,FALSE)
               +Andel_beroende_av_klimat*VLOOKUP($A203,Leveranser_per_nät,'Leveranser per nät'!AA$1,FALSE)/VLOOKUP($B203,Korrigeringsfaktor_GD,'Korrigeringsfaktor GD'!AA$1,FALSE),
"")</f>
        <v>357.22421597276775</v>
      </c>
      <c r="AB203" s="18">
        <f>IFERROR(
                  Andel_oberoende_av_klimat*VLOOKUP($A203,Leveranser_per_nät,'Leveranser per nät'!AB$1,FALSE)
               +Andel_beroende_av_klimat*VLOOKUP($A203,Leveranser_per_nät,'Leveranser per nät'!AB$1,FALSE)/VLOOKUP($B203,Korrigeringsfaktor_GD,'Korrigeringsfaktor GD'!AB$1,FALSE),
"")</f>
        <v>358.98320980392157</v>
      </c>
      <c r="AC203" s="18">
        <f>IFERROR(
                  Andel_oberoende_av_klimat*VLOOKUP($A203,Leveranser_per_nät,'Leveranser per nät'!AC$1,FALSE)
               +Andel_beroende_av_klimat*VLOOKUP($A203,Leveranser_per_nät,'Leveranser per nät'!AC$1,FALSE)/VLOOKUP($B203,Korrigeringsfaktor_GD,'Korrigeringsfaktor GD'!AC$1,FALSE),
"")</f>
        <v>349.56403589743593</v>
      </c>
      <c r="AD203">
        <v>333.59699999999998</v>
      </c>
    </row>
    <row r="204" spans="1:30" x14ac:dyDescent="0.25">
      <c r="A204" t="s">
        <v>268</v>
      </c>
      <c r="B204" t="s">
        <v>259</v>
      </c>
      <c r="C204" s="18">
        <f>IFERROR(
                  Andel_oberoende_av_klimat*VLOOKUP($A204,Leveranser_per_nät,'Leveranser per nät'!C$1,FALSE)
               +Andel_beroende_av_klimat*VLOOKUP($A204,Leveranser_per_nät,'Leveranser per nät'!C$1,FALSE)/VLOOKUP($B204,Korrigeringsfaktor_GD,'Korrigeringsfaktor GD'!C$1,FALSE),
"")</f>
        <v>0</v>
      </c>
      <c r="D204" s="18">
        <f>IFERROR(
                  Andel_oberoende_av_klimat*VLOOKUP($A204,Leveranser_per_nät,'Leveranser per nät'!D$1,FALSE)
               +Andel_beroende_av_klimat*VLOOKUP($A204,Leveranser_per_nät,'Leveranser per nät'!D$1,FALSE)/VLOOKUP($B204,Korrigeringsfaktor_GD,'Korrigeringsfaktor GD'!D$1,FALSE),
"")</f>
        <v>0</v>
      </c>
      <c r="E204" s="18">
        <f>IFERROR(
                  Andel_oberoende_av_klimat*VLOOKUP($A204,Leveranser_per_nät,'Leveranser per nät'!E$1,FALSE)
               +Andel_beroende_av_klimat*VLOOKUP($A204,Leveranser_per_nät,'Leveranser per nät'!E$1,FALSE)/VLOOKUP($B204,Korrigeringsfaktor_GD,'Korrigeringsfaktor GD'!E$1,FALSE),
"")</f>
        <v>0</v>
      </c>
      <c r="F204" s="18">
        <f>IFERROR(
                  Andel_oberoende_av_klimat*VLOOKUP($A204,Leveranser_per_nät,'Leveranser per nät'!F$1,FALSE)
               +Andel_beroende_av_klimat*VLOOKUP($A204,Leveranser_per_nät,'Leveranser per nät'!F$1,FALSE)/VLOOKUP($B204,Korrigeringsfaktor_GD,'Korrigeringsfaktor GD'!F$1,FALSE),
"")</f>
        <v>0</v>
      </c>
      <c r="G204" s="18">
        <f>IFERROR(
                  Andel_oberoende_av_klimat*VLOOKUP($A204,Leveranser_per_nät,'Leveranser per nät'!G$1,FALSE)
               +Andel_beroende_av_klimat*VLOOKUP($A204,Leveranser_per_nät,'Leveranser per nät'!G$1,FALSE)/VLOOKUP($B204,Korrigeringsfaktor_GD,'Korrigeringsfaktor GD'!G$1,FALSE),
"")</f>
        <v>0</v>
      </c>
      <c r="H204" s="18">
        <f>IFERROR(
                  Andel_oberoende_av_klimat*VLOOKUP($A204,Leveranser_per_nät,'Leveranser per nät'!H$1,FALSE)
               +Andel_beroende_av_klimat*VLOOKUP($A204,Leveranser_per_nät,'Leveranser per nät'!H$1,FALSE)/VLOOKUP($B204,Korrigeringsfaktor_GD,'Korrigeringsfaktor GD'!H$1,FALSE),
"")</f>
        <v>0</v>
      </c>
      <c r="I204" s="18">
        <f>IFERROR(
                  Andel_oberoende_av_klimat*VLOOKUP($A204,Leveranser_per_nät,'Leveranser per nät'!I$1,FALSE)
               +Andel_beroende_av_klimat*VLOOKUP($A204,Leveranser_per_nät,'Leveranser per nät'!I$1,FALSE)/VLOOKUP($B204,Korrigeringsfaktor_GD,'Korrigeringsfaktor GD'!I$1,FALSE),
"")</f>
        <v>0</v>
      </c>
      <c r="J204" s="18">
        <f>IFERROR(
                  Andel_oberoende_av_klimat*VLOOKUP($A204,Leveranser_per_nät,'Leveranser per nät'!J$1,FALSE)
               +Andel_beroende_av_klimat*VLOOKUP($A204,Leveranser_per_nät,'Leveranser per nät'!J$1,FALSE)/VLOOKUP($B204,Korrigeringsfaktor_GD,'Korrigeringsfaktor GD'!J$1,FALSE),
"")</f>
        <v>0</v>
      </c>
      <c r="K204" s="18">
        <f>IFERROR(
                  Andel_oberoende_av_klimat*VLOOKUP($A204,Leveranser_per_nät,'Leveranser per nät'!K$1,FALSE)
               +Andel_beroende_av_klimat*VLOOKUP($A204,Leveranser_per_nät,'Leveranser per nät'!K$1,FALSE)/VLOOKUP($B204,Korrigeringsfaktor_GD,'Korrigeringsfaktor GD'!K$1,FALSE),
"")</f>
        <v>0</v>
      </c>
      <c r="L204" s="18">
        <f>IFERROR(
                  Andel_oberoende_av_klimat*VLOOKUP($A204,Leveranser_per_nät,'Leveranser per nät'!L$1,FALSE)
               +Andel_beroende_av_klimat*VLOOKUP($A204,Leveranser_per_nät,'Leveranser per nät'!L$1,FALSE)/VLOOKUP($B204,Korrigeringsfaktor_GD,'Korrigeringsfaktor GD'!L$1,FALSE),
"")</f>
        <v>1.2152772340425533</v>
      </c>
      <c r="M204" s="18">
        <f>IFERROR(
                  Andel_oberoende_av_klimat*VLOOKUP($A204,Leveranser_per_nät,'Leveranser per nät'!M$1,FALSE)
               +Andel_beroende_av_klimat*VLOOKUP($A204,Leveranser_per_nät,'Leveranser per nät'!M$1,FALSE)/VLOOKUP($B204,Korrigeringsfaktor_GD,'Korrigeringsfaktor GD'!M$1,FALSE),
"")</f>
        <v>1.20902</v>
      </c>
      <c r="N204" s="18">
        <f>IFERROR(
                  Andel_oberoende_av_klimat*VLOOKUP($A204,Leveranser_per_nät,'Leveranser per nät'!N$1,FALSE)
               +Andel_beroende_av_klimat*VLOOKUP($A204,Leveranser_per_nät,'Leveranser per nät'!N$1,FALSE)/VLOOKUP($B204,Korrigeringsfaktor_GD,'Korrigeringsfaktor GD'!N$1,FALSE),
"")</f>
        <v>1.1571157894736843</v>
      </c>
      <c r="O204" s="18">
        <f>IFERROR(
                  Andel_oberoende_av_klimat*VLOOKUP($A204,Leveranser_per_nät,'Leveranser per nät'!O$1,FALSE)
               +Andel_beroende_av_klimat*VLOOKUP($A204,Leveranser_per_nät,'Leveranser per nät'!O$1,FALSE)/VLOOKUP($B204,Korrigeringsfaktor_GD,'Korrigeringsfaktor GD'!O$1,FALSE),
"")</f>
        <v>1.1836234042553191</v>
      </c>
      <c r="P204" s="18">
        <f>IFERROR(
                  Andel_oberoende_av_klimat*VLOOKUP($A204,Leveranser_per_nät,'Leveranser per nät'!P$1,FALSE)
               +Andel_beroende_av_klimat*VLOOKUP($A204,Leveranser_per_nät,'Leveranser per nät'!P$1,FALSE)/VLOOKUP($B204,Korrigeringsfaktor_GD,'Korrigeringsfaktor GD'!P$1,FALSE),
"")</f>
        <v>1.307177777777778</v>
      </c>
      <c r="Q204" s="18">
        <f>IFERROR(
                  Andel_oberoende_av_klimat*VLOOKUP($A204,Leveranser_per_nät,'Leveranser per nät'!Q$1,FALSE)
               +Andel_beroende_av_klimat*VLOOKUP($A204,Leveranser_per_nät,'Leveranser per nät'!Q$1,FALSE)/VLOOKUP($B204,Korrigeringsfaktor_GD,'Korrigeringsfaktor GD'!Q$1,FALSE),
"")</f>
        <v>1.2321549549549549</v>
      </c>
      <c r="R204" s="18">
        <f>IFERROR(
                  Andel_oberoende_av_klimat*VLOOKUP($A204,Leveranser_per_nät,'Leveranser per nät'!R$1,FALSE)
               +Andel_beroende_av_klimat*VLOOKUP($A204,Leveranser_per_nät,'Leveranser per nät'!R$1,FALSE)/VLOOKUP($B204,Korrigeringsfaktor_GD,'Korrigeringsfaktor GD'!R$1,FALSE),
"")</f>
        <v>0.86761111111111111</v>
      </c>
      <c r="S204" s="18">
        <f>IFERROR(
                  Andel_oberoende_av_klimat*VLOOKUP($A204,Leveranser_per_nät,'Leveranser per nät'!S$1,FALSE)
               +Andel_beroende_av_klimat*VLOOKUP($A204,Leveranser_per_nät,'Leveranser per nät'!S$1,FALSE)/VLOOKUP($B204,Korrigeringsfaktor_GD,'Korrigeringsfaktor GD'!S$1,FALSE),
"")</f>
        <v>0.79888235294117638</v>
      </c>
      <c r="T204" s="18">
        <f>IFERROR(
                  Andel_oberoende_av_klimat*VLOOKUP($A204,Leveranser_per_nät,'Leveranser per nät'!T$1,FALSE)
               +Andel_beroende_av_klimat*VLOOKUP($A204,Leveranser_per_nät,'Leveranser per nät'!T$1,FALSE)/VLOOKUP($B204,Korrigeringsfaktor_GD,'Korrigeringsfaktor GD'!T$1,FALSE),
"")</f>
        <v>0.68951075268817197</v>
      </c>
      <c r="U204" s="18">
        <f>IFERROR(
                  Andel_oberoende_av_klimat*VLOOKUP($A204,Leveranser_per_nät,'Leveranser per nät'!U$1,FALSE)
               +Andel_beroende_av_klimat*VLOOKUP($A204,Leveranser_per_nät,'Leveranser per nät'!U$1,FALSE)/VLOOKUP($B204,Korrigeringsfaktor_GD,'Korrigeringsfaktor GD'!U$1,FALSE),
"")</f>
        <v>0.54325842696629212</v>
      </c>
      <c r="V204" s="18">
        <f>IFERROR(
                  Andel_oberoende_av_klimat*VLOOKUP($A204,Leveranser_per_nät,'Leveranser per nät'!V$1,FALSE)
               +Andel_beroende_av_klimat*VLOOKUP($A204,Leveranser_per_nät,'Leveranser per nät'!V$1,FALSE)/VLOOKUP($B204,Korrigeringsfaktor_GD,'Korrigeringsfaktor GD'!V$1,FALSE),
"")</f>
        <v>0.26402359550561794</v>
      </c>
      <c r="W204" s="18" t="str">
        <f>IFERROR(
                  Andel_oberoende_av_klimat*VLOOKUP($A204,Leveranser_per_nät,'Leveranser per nät'!W$1,FALSE)
               +Andel_beroende_av_klimat*VLOOKUP($A204,Leveranser_per_nät,'Leveranser per nät'!W$1,FALSE)/VLOOKUP($B204,Korrigeringsfaktor_GD,'Korrigeringsfaktor GD'!W$1,FALSE),
"")</f>
        <v/>
      </c>
      <c r="X204" s="18" t="str">
        <f>IFERROR(
                  Andel_oberoende_av_klimat*VLOOKUP($A204,Leveranser_per_nät,'Leveranser per nät'!X$1,FALSE)
               +Andel_beroende_av_klimat*VLOOKUP($A204,Leveranser_per_nät,'Leveranser per nät'!X$1,FALSE)/VLOOKUP($B204,Korrigeringsfaktor_GD,'Korrigeringsfaktor GD'!X$1,FALSE),
"")</f>
        <v/>
      </c>
      <c r="Y204" s="18" t="str">
        <f>IFERROR(
                  Andel_oberoende_av_klimat*VLOOKUP($A204,Leveranser_per_nät,'Leveranser per nät'!Y$1,FALSE)
               +Andel_beroende_av_klimat*VLOOKUP($A204,Leveranser_per_nät,'Leveranser per nät'!Y$1,FALSE)/VLOOKUP($B204,Korrigeringsfaktor_GD,'Korrigeringsfaktor GD'!Y$1,FALSE),
"")</f>
        <v/>
      </c>
      <c r="Z204" s="18">
        <f>IFERROR(
                  Andel_oberoende_av_klimat*VLOOKUP($A204,Leveranser_per_nät,'Leveranser per nät'!Z$1,FALSE)
               +Andel_beroende_av_klimat*VLOOKUP($A204,Leveranser_per_nät,'Leveranser per nät'!Z$1,FALSE)/VLOOKUP($B204,Korrigeringsfaktor_GD,'Korrigeringsfaktor GD'!Z$1,FALSE),
"")</f>
        <v>0</v>
      </c>
      <c r="AA204" s="18" t="str">
        <f>IFERROR(
                  Andel_oberoende_av_klimat*VLOOKUP($A204,Leveranser_per_nät,'Leveranser per nät'!AA$1,FALSE)
               +Andel_beroende_av_klimat*VLOOKUP($A204,Leveranser_per_nät,'Leveranser per nät'!AA$1,FALSE)/VLOOKUP($B204,Korrigeringsfaktor_GD,'Korrigeringsfaktor GD'!AA$1,FALSE),
"")</f>
        <v/>
      </c>
      <c r="AB204" s="18">
        <f>IFERROR(
                  Andel_oberoende_av_klimat*VLOOKUP($A204,Leveranser_per_nät,'Leveranser per nät'!AB$1,FALSE)
               +Andel_beroende_av_klimat*VLOOKUP($A204,Leveranser_per_nät,'Leveranser per nät'!AB$1,FALSE)/VLOOKUP($B204,Korrigeringsfaktor_GD,'Korrigeringsfaktor GD'!AB$1,FALSE),
"")</f>
        <v>0</v>
      </c>
      <c r="AC204" s="18">
        <f>IFERROR(
                  Andel_oberoende_av_klimat*VLOOKUP($A204,Leveranser_per_nät,'Leveranser per nät'!AC$1,FALSE)
               +Andel_beroende_av_klimat*VLOOKUP($A204,Leveranser_per_nät,'Leveranser per nät'!AC$1,FALSE)/VLOOKUP($B204,Korrigeringsfaktor_GD,'Korrigeringsfaktor GD'!AC$1,FALSE),
"")</f>
        <v>0</v>
      </c>
      <c r="AD204">
        <v>94.608599999999996</v>
      </c>
    </row>
    <row r="205" spans="1:30" x14ac:dyDescent="0.25">
      <c r="A205" t="s">
        <v>172</v>
      </c>
      <c r="B205" t="s">
        <v>172</v>
      </c>
      <c r="C205" s="18">
        <f>IFERROR(
                  Andel_oberoende_av_klimat*VLOOKUP($A205,Leveranser_per_nät,'Leveranser per nät'!C$1,FALSE)
               +Andel_beroende_av_klimat*VLOOKUP($A205,Leveranser_per_nät,'Leveranser per nät'!C$1,FALSE)/VLOOKUP($B205,Korrigeringsfaktor_GD,'Korrigeringsfaktor GD'!C$1,FALSE),
"")</f>
        <v>58.990909090909085</v>
      </c>
      <c r="D205" s="18">
        <f>IFERROR(
                  Andel_oberoende_av_klimat*VLOOKUP($A205,Leveranser_per_nät,'Leveranser per nät'!D$1,FALSE)
               +Andel_beroende_av_klimat*VLOOKUP($A205,Leveranser_per_nät,'Leveranser per nät'!D$1,FALSE)/VLOOKUP($B205,Korrigeringsfaktor_GD,'Korrigeringsfaktor GD'!D$1,FALSE),
"")</f>
        <v>75.584571428571422</v>
      </c>
      <c r="E205" s="18">
        <f>IFERROR(
                  Andel_oberoende_av_klimat*VLOOKUP($A205,Leveranser_per_nät,'Leveranser per nät'!E$1,FALSE)
               +Andel_beroende_av_klimat*VLOOKUP($A205,Leveranser_per_nät,'Leveranser per nät'!E$1,FALSE)/VLOOKUP($B205,Korrigeringsfaktor_GD,'Korrigeringsfaktor GD'!E$1,FALSE),
"")</f>
        <v>73.983663366336643</v>
      </c>
      <c r="F205" s="18">
        <f>IFERROR(
                  Andel_oberoende_av_klimat*VLOOKUP($A205,Leveranser_per_nät,'Leveranser per nät'!F$1,FALSE)
               +Andel_beroende_av_klimat*VLOOKUP($A205,Leveranser_per_nät,'Leveranser per nät'!F$1,FALSE)/VLOOKUP($B205,Korrigeringsfaktor_GD,'Korrigeringsfaktor GD'!F$1,FALSE),
"")</f>
        <v>86.411457894736841</v>
      </c>
      <c r="G205" s="18">
        <f>IFERROR(
                  Andel_oberoende_av_klimat*VLOOKUP($A205,Leveranser_per_nät,'Leveranser per nät'!G$1,FALSE)
               +Andel_beroende_av_klimat*VLOOKUP($A205,Leveranser_per_nät,'Leveranser per nät'!G$1,FALSE)/VLOOKUP($B205,Korrigeringsfaktor_GD,'Korrigeringsfaktor GD'!G$1,FALSE),
"")</f>
        <v>84.66046511627907</v>
      </c>
      <c r="H205" s="18">
        <f>IFERROR(
                  Andel_oberoende_av_klimat*VLOOKUP($A205,Leveranser_per_nät,'Leveranser per nät'!H$1,FALSE)
               +Andel_beroende_av_klimat*VLOOKUP($A205,Leveranser_per_nät,'Leveranser per nät'!H$1,FALSE)/VLOOKUP($B205,Korrigeringsfaktor_GD,'Korrigeringsfaktor GD'!H$1,FALSE),
"")</f>
        <v>89.89164059405941</v>
      </c>
      <c r="I205" s="18">
        <f>IFERROR(
                  Andel_oberoende_av_klimat*VLOOKUP($A205,Leveranser_per_nät,'Leveranser per nät'!I$1,FALSE)
               +Andel_beroende_av_klimat*VLOOKUP($A205,Leveranser_per_nät,'Leveranser per nät'!I$1,FALSE)/VLOOKUP($B205,Korrigeringsfaktor_GD,'Korrigeringsfaktor GD'!I$1,FALSE),
"")</f>
        <v>93.591265979381461</v>
      </c>
      <c r="J205" s="18">
        <f>IFERROR(
                  Andel_oberoende_av_klimat*VLOOKUP($A205,Leveranser_per_nät,'Leveranser per nät'!J$1,FALSE)
               +Andel_beroende_av_klimat*VLOOKUP($A205,Leveranser_per_nät,'Leveranser per nät'!J$1,FALSE)/VLOOKUP($B205,Korrigeringsfaktor_GD,'Korrigeringsfaktor GD'!J$1,FALSE),
"")</f>
        <v>96.053871428571426</v>
      </c>
      <c r="K205" s="18">
        <f>IFERROR(
                  Andel_oberoende_av_klimat*VLOOKUP($A205,Leveranser_per_nät,'Leveranser per nät'!K$1,FALSE)
               +Andel_beroende_av_klimat*VLOOKUP($A205,Leveranser_per_nät,'Leveranser per nät'!K$1,FALSE)/VLOOKUP($B205,Korrigeringsfaktor_GD,'Korrigeringsfaktor GD'!K$1,FALSE),
"")</f>
        <v>98.632245833333343</v>
      </c>
      <c r="L205" s="18">
        <f>IFERROR(
                  Andel_oberoende_av_klimat*VLOOKUP($A205,Leveranser_per_nät,'Leveranser per nät'!L$1,FALSE)
               +Andel_beroende_av_klimat*VLOOKUP($A205,Leveranser_per_nät,'Leveranser per nät'!L$1,FALSE)/VLOOKUP($B205,Korrigeringsfaktor_GD,'Korrigeringsfaktor GD'!L$1,FALSE),
"")</f>
        <v>97.426290322580641</v>
      </c>
      <c r="M205" s="18">
        <f>IFERROR(
                  Andel_oberoende_av_klimat*VLOOKUP($A205,Leveranser_per_nät,'Leveranser per nät'!M$1,FALSE)
               +Andel_beroende_av_klimat*VLOOKUP($A205,Leveranser_per_nät,'Leveranser per nät'!M$1,FALSE)/VLOOKUP($B205,Korrigeringsfaktor_GD,'Korrigeringsfaktor GD'!M$1,FALSE),
"")</f>
        <v>98.331999999999994</v>
      </c>
      <c r="N205" s="18">
        <f>IFERROR(
                  Andel_oberoende_av_klimat*VLOOKUP($A205,Leveranser_per_nät,'Leveranser per nät'!N$1,FALSE)
               +Andel_beroende_av_klimat*VLOOKUP($A205,Leveranser_per_nät,'Leveranser per nät'!N$1,FALSE)/VLOOKUP($B205,Korrigeringsfaktor_GD,'Korrigeringsfaktor GD'!N$1,FALSE),
"")</f>
        <v>98.381860869565202</v>
      </c>
      <c r="O205" s="18">
        <f>IFERROR(
                  Andel_oberoende_av_klimat*VLOOKUP($A205,Leveranser_per_nät,'Leveranser per nät'!O$1,FALSE)
               +Andel_beroende_av_klimat*VLOOKUP($A205,Leveranser_per_nät,'Leveranser per nät'!O$1,FALSE)/VLOOKUP($B205,Korrigeringsfaktor_GD,'Korrigeringsfaktor GD'!O$1,FALSE),
"")</f>
        <v>99.183777528089891</v>
      </c>
      <c r="P205" s="18">
        <f>IFERROR(
                  Andel_oberoende_av_klimat*VLOOKUP($A205,Leveranser_per_nät,'Leveranser per nät'!P$1,FALSE)
               +Andel_beroende_av_klimat*VLOOKUP($A205,Leveranser_per_nät,'Leveranser per nät'!P$1,FALSE)/VLOOKUP($B205,Korrigeringsfaktor_GD,'Korrigeringsfaktor GD'!P$1,FALSE),
"")</f>
        <v>98.784572727272717</v>
      </c>
      <c r="Q205" s="18">
        <f>IFERROR(
                  Andel_oberoende_av_klimat*VLOOKUP($A205,Leveranser_per_nät,'Leveranser per nät'!Q$1,FALSE)
               +Andel_beroende_av_klimat*VLOOKUP($A205,Leveranser_per_nät,'Leveranser per nät'!Q$1,FALSE)/VLOOKUP($B205,Korrigeringsfaktor_GD,'Korrigeringsfaktor GD'!Q$1,FALSE),
"")</f>
        <v>106.90444705882354</v>
      </c>
      <c r="R205" s="18">
        <f>IFERROR(
                  Andel_oberoende_av_klimat*VLOOKUP($A205,Leveranser_per_nät,'Leveranser per nät'!R$1,FALSE)
               +Andel_beroende_av_klimat*VLOOKUP($A205,Leveranser_per_nät,'Leveranser per nät'!R$1,FALSE)/VLOOKUP($B205,Korrigeringsfaktor_GD,'Korrigeringsfaktor GD'!R$1,FALSE),
"")</f>
        <v>118.38736923076922</v>
      </c>
      <c r="S205" s="18">
        <f>IFERROR(
                  Andel_oberoende_av_klimat*VLOOKUP($A205,Leveranser_per_nät,'Leveranser per nät'!S$1,FALSE)
               +Andel_beroende_av_klimat*VLOOKUP($A205,Leveranser_per_nät,'Leveranser per nät'!S$1,FALSE)/VLOOKUP($B205,Korrigeringsfaktor_GD,'Korrigeringsfaktor GD'!S$1,FALSE),
"")</f>
        <v>106.74949494949493</v>
      </c>
      <c r="T205" s="18">
        <f>IFERROR(
                  Andel_oberoende_av_klimat*VLOOKUP($A205,Leveranser_per_nät,'Leveranser per nät'!T$1,FALSE)
               +Andel_beroende_av_klimat*VLOOKUP($A205,Leveranser_per_nät,'Leveranser per nät'!T$1,FALSE)/VLOOKUP($B205,Korrigeringsfaktor_GD,'Korrigeringsfaktor GD'!T$1,FALSE),
"")</f>
        <v>104.97500000000001</v>
      </c>
      <c r="U205" s="18">
        <f>IFERROR(
                  Andel_oberoende_av_klimat*VLOOKUP($A205,Leveranser_per_nät,'Leveranser per nät'!U$1,FALSE)
               +Andel_beroende_av_klimat*VLOOKUP($A205,Leveranser_per_nät,'Leveranser per nät'!U$1,FALSE)/VLOOKUP($B205,Korrigeringsfaktor_GD,'Korrigeringsfaktor GD'!U$1,FALSE),
"")</f>
        <v>99.141860465116281</v>
      </c>
      <c r="V205" s="18">
        <f>IFERROR(
                  Andel_oberoende_av_klimat*VLOOKUP($A205,Leveranser_per_nät,'Leveranser per nät'!V$1,FALSE)
               +Andel_beroende_av_klimat*VLOOKUP($A205,Leveranser_per_nät,'Leveranser per nät'!V$1,FALSE)/VLOOKUP($B205,Korrigeringsfaktor_GD,'Korrigeringsfaktor GD'!V$1,FALSE),
"")</f>
        <v>98.309195402298855</v>
      </c>
      <c r="W205" s="18">
        <f>IFERROR(
                  Andel_oberoende_av_klimat*VLOOKUP($A205,Leveranser_per_nät,'Leveranser per nät'!W$1,FALSE)
               +Andel_beroende_av_klimat*VLOOKUP($A205,Leveranser_per_nät,'Leveranser per nät'!W$1,FALSE)/VLOOKUP($B205,Korrigeringsfaktor_GD,'Korrigeringsfaktor GD'!W$1,FALSE),
"")</f>
        <v>112.03993191489363</v>
      </c>
      <c r="X205" s="18">
        <f>IFERROR(
                  Andel_oberoende_av_klimat*VLOOKUP($A205,Leveranser_per_nät,'Leveranser per nät'!X$1,FALSE)
               +Andel_beroende_av_klimat*VLOOKUP($A205,Leveranser_per_nät,'Leveranser per nät'!X$1,FALSE)/VLOOKUP($B205,Korrigeringsfaktor_GD,'Korrigeringsfaktor GD'!X$1,FALSE),
"")</f>
        <v>96.968584210526316</v>
      </c>
      <c r="Y205" s="18">
        <f>IFERROR(
                  Andel_oberoende_av_klimat*VLOOKUP($A205,Leveranser_per_nät,'Leveranser per nät'!Y$1,FALSE)
               +Andel_beroende_av_klimat*VLOOKUP($A205,Leveranser_per_nät,'Leveranser per nät'!Y$1,FALSE)/VLOOKUP($B205,Korrigeringsfaktor_GD,'Korrigeringsfaktor GD'!Y$1,FALSE),
"")</f>
        <v>98.636881720430125</v>
      </c>
      <c r="Z205" s="18">
        <f>IFERROR(
                  Andel_oberoende_av_klimat*VLOOKUP($A205,Leveranser_per_nät,'Leveranser per nät'!Z$1,FALSE)
               +Andel_beroende_av_klimat*VLOOKUP($A205,Leveranser_per_nät,'Leveranser per nät'!Z$1,FALSE)/VLOOKUP($B205,Korrigeringsfaktor_GD,'Korrigeringsfaktor GD'!Z$1,FALSE),
"")</f>
        <v>95.372173913043468</v>
      </c>
      <c r="AA205" s="18">
        <f>IFERROR(
                  Andel_oberoende_av_klimat*VLOOKUP($A205,Leveranser_per_nät,'Leveranser per nät'!AA$1,FALSE)
               +Andel_beroende_av_klimat*VLOOKUP($A205,Leveranser_per_nät,'Leveranser per nät'!AA$1,FALSE)/VLOOKUP($B205,Korrigeringsfaktor_GD,'Korrigeringsfaktor GD'!AA$1,FALSE),
"")</f>
        <v>93.964558139534887</v>
      </c>
      <c r="AB205" s="18">
        <f>IFERROR(
                  Andel_oberoende_av_klimat*VLOOKUP($A205,Leveranser_per_nät,'Leveranser per nät'!AB$1,FALSE)
               +Andel_beroende_av_klimat*VLOOKUP($A205,Leveranser_per_nät,'Leveranser per nät'!AB$1,FALSE)/VLOOKUP($B205,Korrigeringsfaktor_GD,'Korrigeringsfaktor GD'!AB$1,FALSE),
"")</f>
        <v>94.317630516431933</v>
      </c>
      <c r="AC205" s="18">
        <f>IFERROR(
                  Andel_oberoende_av_klimat*VLOOKUP($A205,Leveranser_per_nät,'Leveranser per nät'!AC$1,FALSE)
               +Andel_beroende_av_klimat*VLOOKUP($A205,Leveranser_per_nät,'Leveranser per nät'!AC$1,FALSE)/VLOOKUP($B205,Korrigeringsfaktor_GD,'Korrigeringsfaktor GD'!AC$1,FALSE),
"")</f>
        <v>91.28062482341069</v>
      </c>
      <c r="AD205" t="e">
        <v>#N/A</v>
      </c>
    </row>
    <row r="206" spans="1:30" x14ac:dyDescent="0.25">
      <c r="A206" t="s">
        <v>801</v>
      </c>
      <c r="B206" t="s">
        <v>88</v>
      </c>
      <c r="C206" s="18">
        <f>IFERROR(
                  Andel_oberoende_av_klimat*VLOOKUP($A206,Leveranser_per_nät,'Leveranser per nät'!C$1,FALSE)
               +Andel_beroende_av_klimat*VLOOKUP($A206,Leveranser_per_nät,'Leveranser per nät'!C$1,FALSE)/VLOOKUP($B206,Korrigeringsfaktor_GD,'Korrigeringsfaktor GD'!C$1,FALSE),
"")</f>
        <v>0</v>
      </c>
      <c r="D206" s="18">
        <f>IFERROR(
                  Andel_oberoende_av_klimat*VLOOKUP($A206,Leveranser_per_nät,'Leveranser per nät'!D$1,FALSE)
               +Andel_beroende_av_klimat*VLOOKUP($A206,Leveranser_per_nät,'Leveranser per nät'!D$1,FALSE)/VLOOKUP($B206,Korrigeringsfaktor_GD,'Korrigeringsfaktor GD'!D$1,FALSE),
"")</f>
        <v>0</v>
      </c>
      <c r="E206" s="18">
        <f>IFERROR(
                  Andel_oberoende_av_klimat*VLOOKUP($A206,Leveranser_per_nät,'Leveranser per nät'!E$1,FALSE)
               +Andel_beroende_av_klimat*VLOOKUP($A206,Leveranser_per_nät,'Leveranser per nät'!E$1,FALSE)/VLOOKUP($B206,Korrigeringsfaktor_GD,'Korrigeringsfaktor GD'!E$1,FALSE),
"")</f>
        <v>0</v>
      </c>
      <c r="F206" s="18">
        <f>IFERROR(
                  Andel_oberoende_av_klimat*VLOOKUP($A206,Leveranser_per_nät,'Leveranser per nät'!F$1,FALSE)
               +Andel_beroende_av_klimat*VLOOKUP($A206,Leveranser_per_nät,'Leveranser per nät'!F$1,FALSE)/VLOOKUP($B206,Korrigeringsfaktor_GD,'Korrigeringsfaktor GD'!F$1,FALSE),
"")</f>
        <v>0</v>
      </c>
      <c r="G206" s="18">
        <f>IFERROR(
                  Andel_oberoende_av_klimat*VLOOKUP($A206,Leveranser_per_nät,'Leveranser per nät'!G$1,FALSE)
               +Andel_beroende_av_klimat*VLOOKUP($A206,Leveranser_per_nät,'Leveranser per nät'!G$1,FALSE)/VLOOKUP($B206,Korrigeringsfaktor_GD,'Korrigeringsfaktor GD'!G$1,FALSE),
"")</f>
        <v>0</v>
      </c>
      <c r="H206" s="18">
        <f>IFERROR(
                  Andel_oberoende_av_klimat*VLOOKUP($A206,Leveranser_per_nät,'Leveranser per nät'!H$1,FALSE)
               +Andel_beroende_av_klimat*VLOOKUP($A206,Leveranser_per_nät,'Leveranser per nät'!H$1,FALSE)/VLOOKUP($B206,Korrigeringsfaktor_GD,'Korrigeringsfaktor GD'!H$1,FALSE),
"")</f>
        <v>0</v>
      </c>
      <c r="I206" s="18">
        <f>IFERROR(
                  Andel_oberoende_av_klimat*VLOOKUP($A206,Leveranser_per_nät,'Leveranser per nät'!I$1,FALSE)
               +Andel_beroende_av_klimat*VLOOKUP($A206,Leveranser_per_nät,'Leveranser per nät'!I$1,FALSE)/VLOOKUP($B206,Korrigeringsfaktor_GD,'Korrigeringsfaktor GD'!I$1,FALSE),
"")</f>
        <v>0</v>
      </c>
      <c r="J206" s="18">
        <f>IFERROR(
                  Andel_oberoende_av_klimat*VLOOKUP($A206,Leveranser_per_nät,'Leveranser per nät'!J$1,FALSE)
               +Andel_beroende_av_klimat*VLOOKUP($A206,Leveranser_per_nät,'Leveranser per nät'!J$1,FALSE)/VLOOKUP($B206,Korrigeringsfaktor_GD,'Korrigeringsfaktor GD'!J$1,FALSE),
"")</f>
        <v>0</v>
      </c>
      <c r="K206" s="18">
        <f>IFERROR(
                  Andel_oberoende_av_klimat*VLOOKUP($A206,Leveranser_per_nät,'Leveranser per nät'!K$1,FALSE)
               +Andel_beroende_av_klimat*VLOOKUP($A206,Leveranser_per_nät,'Leveranser per nät'!K$1,FALSE)/VLOOKUP($B206,Korrigeringsfaktor_GD,'Korrigeringsfaktor GD'!K$1,FALSE),
"")</f>
        <v>0</v>
      </c>
      <c r="L206" s="18">
        <f>IFERROR(
                  Andel_oberoende_av_klimat*VLOOKUP($A206,Leveranser_per_nät,'Leveranser per nät'!L$1,FALSE)
               +Andel_beroende_av_klimat*VLOOKUP($A206,Leveranser_per_nät,'Leveranser per nät'!L$1,FALSE)/VLOOKUP($B206,Korrigeringsfaktor_GD,'Korrigeringsfaktor GD'!L$1,FALSE),
"")</f>
        <v>0</v>
      </c>
      <c r="M206" s="18">
        <f>IFERROR(
                  Andel_oberoende_av_klimat*VLOOKUP($A206,Leveranser_per_nät,'Leveranser per nät'!M$1,FALSE)
               +Andel_beroende_av_klimat*VLOOKUP($A206,Leveranser_per_nät,'Leveranser per nät'!M$1,FALSE)/VLOOKUP($B206,Korrigeringsfaktor_GD,'Korrigeringsfaktor GD'!M$1,FALSE),
"")</f>
        <v>0</v>
      </c>
      <c r="N206" s="18">
        <f>IFERROR(
                  Andel_oberoende_av_klimat*VLOOKUP($A206,Leveranser_per_nät,'Leveranser per nät'!N$1,FALSE)
               +Andel_beroende_av_klimat*VLOOKUP($A206,Leveranser_per_nät,'Leveranser per nät'!N$1,FALSE)/VLOOKUP($B206,Korrigeringsfaktor_GD,'Korrigeringsfaktor GD'!N$1,FALSE),
"")</f>
        <v>0</v>
      </c>
      <c r="O206" s="18">
        <f>IFERROR(
                  Andel_oberoende_av_klimat*VLOOKUP($A206,Leveranser_per_nät,'Leveranser per nät'!O$1,FALSE)
               +Andel_beroende_av_klimat*VLOOKUP($A206,Leveranser_per_nät,'Leveranser per nät'!O$1,FALSE)/VLOOKUP($B206,Korrigeringsfaktor_GD,'Korrigeringsfaktor GD'!O$1,FALSE),
"")</f>
        <v>0</v>
      </c>
      <c r="P206" s="18">
        <f>IFERROR(
                  Andel_oberoende_av_klimat*VLOOKUP($A206,Leveranser_per_nät,'Leveranser per nät'!P$1,FALSE)
               +Andel_beroende_av_klimat*VLOOKUP($A206,Leveranser_per_nät,'Leveranser per nät'!P$1,FALSE)/VLOOKUP($B206,Korrigeringsfaktor_GD,'Korrigeringsfaktor GD'!P$1,FALSE),
"")</f>
        <v>0</v>
      </c>
      <c r="Q206" s="18">
        <f>IFERROR(
                  Andel_oberoende_av_klimat*VLOOKUP($A206,Leveranser_per_nät,'Leveranser per nät'!Q$1,FALSE)
               +Andel_beroende_av_klimat*VLOOKUP($A206,Leveranser_per_nät,'Leveranser per nät'!Q$1,FALSE)/VLOOKUP($B206,Korrigeringsfaktor_GD,'Korrigeringsfaktor GD'!Q$1,FALSE),
"")</f>
        <v>0</v>
      </c>
      <c r="R206" s="18">
        <f>IFERROR(
                  Andel_oberoende_av_klimat*VLOOKUP($A206,Leveranser_per_nät,'Leveranser per nät'!R$1,FALSE)
               +Andel_beroende_av_klimat*VLOOKUP($A206,Leveranser_per_nät,'Leveranser per nät'!R$1,FALSE)/VLOOKUP($B206,Korrigeringsfaktor_GD,'Korrigeringsfaktor GD'!R$1,FALSE),
"")</f>
        <v>0</v>
      </c>
      <c r="S206" s="18" t="str">
        <f>IFERROR(
                  Andel_oberoende_av_klimat*VLOOKUP($A206,Leveranser_per_nät,'Leveranser per nät'!S$1,FALSE)
               +Andel_beroende_av_klimat*VLOOKUP($A206,Leveranser_per_nät,'Leveranser per nät'!S$1,FALSE)/VLOOKUP($B206,Korrigeringsfaktor_GD,'Korrigeringsfaktor GD'!S$1,FALSE),
"")</f>
        <v/>
      </c>
      <c r="T206" s="18" t="str">
        <f>IFERROR(
                  Andel_oberoende_av_klimat*VLOOKUP($A206,Leveranser_per_nät,'Leveranser per nät'!T$1,FALSE)
               +Andel_beroende_av_klimat*VLOOKUP($A206,Leveranser_per_nät,'Leveranser per nät'!T$1,FALSE)/VLOOKUP($B206,Korrigeringsfaktor_GD,'Korrigeringsfaktor GD'!T$1,FALSE),
"")</f>
        <v/>
      </c>
      <c r="U206" s="18" t="str">
        <f>IFERROR(
                  Andel_oberoende_av_klimat*VLOOKUP($A206,Leveranser_per_nät,'Leveranser per nät'!U$1,FALSE)
               +Andel_beroende_av_klimat*VLOOKUP($A206,Leveranser_per_nät,'Leveranser per nät'!U$1,FALSE)/VLOOKUP($B206,Korrigeringsfaktor_GD,'Korrigeringsfaktor GD'!U$1,FALSE),
"")</f>
        <v/>
      </c>
      <c r="V206" s="18">
        <f>IFERROR(
                  Andel_oberoende_av_klimat*VLOOKUP($A206,Leveranser_per_nät,'Leveranser per nät'!V$1,FALSE)
               +Andel_beroende_av_klimat*VLOOKUP($A206,Leveranser_per_nät,'Leveranser per nät'!V$1,FALSE)/VLOOKUP($B206,Korrigeringsfaktor_GD,'Korrigeringsfaktor GD'!V$1,FALSE),
"")</f>
        <v>2.3607045454545452</v>
      </c>
      <c r="W206" s="18">
        <f>IFERROR(
                  Andel_oberoende_av_klimat*VLOOKUP($A206,Leveranser_per_nät,'Leveranser per nät'!W$1,FALSE)
               +Andel_beroende_av_klimat*VLOOKUP($A206,Leveranser_per_nät,'Leveranser per nät'!W$1,FALSE)/VLOOKUP($B206,Korrigeringsfaktor_GD,'Korrigeringsfaktor GD'!W$1,FALSE),
"")</f>
        <v>2.226214893617021</v>
      </c>
      <c r="X206" s="18">
        <f>IFERROR(
                  Andel_oberoende_av_klimat*VLOOKUP($A206,Leveranser_per_nät,'Leveranser per nät'!X$1,FALSE)
               +Andel_beroende_av_klimat*VLOOKUP($A206,Leveranser_per_nät,'Leveranser per nät'!X$1,FALSE)/VLOOKUP($B206,Korrigeringsfaktor_GD,'Korrigeringsfaktor GD'!X$1,FALSE),
"")</f>
        <v>2.3484425531914894</v>
      </c>
      <c r="Y206" s="18">
        <f>IFERROR(
                  Andel_oberoende_av_klimat*VLOOKUP($A206,Leveranser_per_nät,'Leveranser per nät'!Y$1,FALSE)
               +Andel_beroende_av_klimat*VLOOKUP($A206,Leveranser_per_nät,'Leveranser per nät'!Y$1,FALSE)/VLOOKUP($B206,Korrigeringsfaktor_GD,'Korrigeringsfaktor GD'!Y$1,FALSE),
"")</f>
        <v>2.7075139784946236</v>
      </c>
      <c r="Z206" s="18">
        <f>IFERROR(
                  Andel_oberoende_av_klimat*VLOOKUP($A206,Leveranser_per_nät,'Leveranser per nät'!Z$1,FALSE)
               +Andel_beroende_av_klimat*VLOOKUP($A206,Leveranser_per_nät,'Leveranser per nät'!Z$1,FALSE)/VLOOKUP($B206,Korrigeringsfaktor_GD,'Korrigeringsfaktor GD'!Z$1,FALSE),
"")</f>
        <v>2.7247302325581395</v>
      </c>
      <c r="AA206" s="18">
        <f>IFERROR(
                  Andel_oberoende_av_klimat*VLOOKUP($A206,Leveranser_per_nät,'Leveranser per nät'!AA$1,FALSE)
               +Andel_beroende_av_klimat*VLOOKUP($A206,Leveranser_per_nät,'Leveranser per nät'!AA$1,FALSE)/VLOOKUP($B206,Korrigeringsfaktor_GD,'Korrigeringsfaktor GD'!AA$1,FALSE),
"")</f>
        <v>2.7667131011608621</v>
      </c>
      <c r="AB206" s="18">
        <f>IFERROR(
                  Andel_oberoende_av_klimat*VLOOKUP($A206,Leveranser_per_nät,'Leveranser per nät'!AB$1,FALSE)
               +Andel_beroende_av_klimat*VLOOKUP($A206,Leveranser_per_nät,'Leveranser per nät'!AB$1,FALSE)/VLOOKUP($B206,Korrigeringsfaktor_GD,'Korrigeringsfaktor GD'!AB$1,FALSE),
"")</f>
        <v>0</v>
      </c>
      <c r="AC206" s="18">
        <f>IFERROR(
                  Andel_oberoende_av_klimat*VLOOKUP($A206,Leveranser_per_nät,'Leveranser per nät'!AC$1,FALSE)
               +Andel_beroende_av_klimat*VLOOKUP($A206,Leveranser_per_nät,'Leveranser per nät'!AC$1,FALSE)/VLOOKUP($B206,Korrigeringsfaktor_GD,'Korrigeringsfaktor GD'!AC$1,FALSE),
"")</f>
        <v>0</v>
      </c>
      <c r="AD206" t="e">
        <v>#N/A</v>
      </c>
    </row>
    <row r="207" spans="1:30" x14ac:dyDescent="0.25">
      <c r="A207" t="s">
        <v>155</v>
      </c>
      <c r="B207" t="s">
        <v>157</v>
      </c>
      <c r="C207" s="18">
        <f>IFERROR(
                  Andel_oberoende_av_klimat*VLOOKUP($A207,Leveranser_per_nät,'Leveranser per nät'!C$1,FALSE)
               +Andel_beroende_av_klimat*VLOOKUP($A207,Leveranser_per_nät,'Leveranser per nät'!C$1,FALSE)/VLOOKUP($B207,Korrigeringsfaktor_GD,'Korrigeringsfaktor GD'!C$1,FALSE),
"")</f>
        <v>0</v>
      </c>
      <c r="D207" s="18">
        <f>IFERROR(
                  Andel_oberoende_av_klimat*VLOOKUP($A207,Leveranser_per_nät,'Leveranser per nät'!D$1,FALSE)
               +Andel_beroende_av_klimat*VLOOKUP($A207,Leveranser_per_nät,'Leveranser per nät'!D$1,FALSE)/VLOOKUP($B207,Korrigeringsfaktor_GD,'Korrigeringsfaktor GD'!D$1,FALSE),
"")</f>
        <v>0</v>
      </c>
      <c r="E207" s="18">
        <f>IFERROR(
                  Andel_oberoende_av_klimat*VLOOKUP($A207,Leveranser_per_nät,'Leveranser per nät'!E$1,FALSE)
               +Andel_beroende_av_klimat*VLOOKUP($A207,Leveranser_per_nät,'Leveranser per nät'!E$1,FALSE)/VLOOKUP($B207,Korrigeringsfaktor_GD,'Korrigeringsfaktor GD'!E$1,FALSE),
"")</f>
        <v>0</v>
      </c>
      <c r="F207" s="18">
        <f>IFERROR(
                  Andel_oberoende_av_klimat*VLOOKUP($A207,Leveranser_per_nät,'Leveranser per nät'!F$1,FALSE)
               +Andel_beroende_av_klimat*VLOOKUP($A207,Leveranser_per_nät,'Leveranser per nät'!F$1,FALSE)/VLOOKUP($B207,Korrigeringsfaktor_GD,'Korrigeringsfaktor GD'!F$1,FALSE),
"")</f>
        <v>18.127272727272725</v>
      </c>
      <c r="G207" s="18">
        <f>IFERROR(
                  Andel_oberoende_av_klimat*VLOOKUP($A207,Leveranser_per_nät,'Leveranser per nät'!G$1,FALSE)
               +Andel_beroende_av_klimat*VLOOKUP($A207,Leveranser_per_nät,'Leveranser per nät'!G$1,FALSE)/VLOOKUP($B207,Korrigeringsfaktor_GD,'Korrigeringsfaktor GD'!G$1,FALSE),
"")</f>
        <v>17.895698924731182</v>
      </c>
      <c r="H207" s="18">
        <f>IFERROR(
                  Andel_oberoende_av_klimat*VLOOKUP($A207,Leveranser_per_nät,'Leveranser per nät'!H$1,FALSE)
               +Andel_beroende_av_klimat*VLOOKUP($A207,Leveranser_per_nät,'Leveranser per nät'!H$1,FALSE)/VLOOKUP($B207,Korrigeringsfaktor_GD,'Korrigeringsfaktor GD'!H$1,FALSE),
"")</f>
        <v>18.739215686274509</v>
      </c>
      <c r="I207" s="18">
        <f>IFERROR(
                  Andel_oberoende_av_klimat*VLOOKUP($A207,Leveranser_per_nät,'Leveranser per nät'!I$1,FALSE)
               +Andel_beroende_av_klimat*VLOOKUP($A207,Leveranser_per_nät,'Leveranser per nät'!I$1,FALSE)/VLOOKUP($B207,Korrigeringsfaktor_GD,'Korrigeringsfaktor GD'!I$1,FALSE),
"")</f>
        <v>19.848936170212767</v>
      </c>
      <c r="J207" s="18">
        <f>IFERROR(
                  Andel_oberoende_av_klimat*VLOOKUP($A207,Leveranser_per_nät,'Leveranser per nät'!J$1,FALSE)
               +Andel_beroende_av_klimat*VLOOKUP($A207,Leveranser_per_nät,'Leveranser per nät'!J$1,FALSE)/VLOOKUP($B207,Korrigeringsfaktor_GD,'Korrigeringsfaktor GD'!J$1,FALSE),
"")</f>
        <v>21.773684210526316</v>
      </c>
      <c r="K207" s="18">
        <f>IFERROR(
                  Andel_oberoende_av_klimat*VLOOKUP($A207,Leveranser_per_nät,'Leveranser per nät'!K$1,FALSE)
               +Andel_beroende_av_klimat*VLOOKUP($A207,Leveranser_per_nät,'Leveranser per nät'!K$1,FALSE)/VLOOKUP($B207,Korrigeringsfaktor_GD,'Korrigeringsfaktor GD'!K$1,FALSE),
"")</f>
        <v>11.431806315789476</v>
      </c>
      <c r="L207" s="18">
        <f>IFERROR(
                  Andel_oberoende_av_klimat*VLOOKUP($A207,Leveranser_per_nät,'Leveranser per nät'!L$1,FALSE)
               +Andel_beroende_av_klimat*VLOOKUP($A207,Leveranser_per_nät,'Leveranser per nät'!L$1,FALSE)/VLOOKUP($B207,Korrigeringsfaktor_GD,'Korrigeringsfaktor GD'!L$1,FALSE),
"")</f>
        <v>23.978973333333336</v>
      </c>
      <c r="M207" s="18">
        <f>IFERROR(
                  Andel_oberoende_av_klimat*VLOOKUP($A207,Leveranser_per_nät,'Leveranser per nät'!M$1,FALSE)
               +Andel_beroende_av_klimat*VLOOKUP($A207,Leveranser_per_nät,'Leveranser per nät'!M$1,FALSE)/VLOOKUP($B207,Korrigeringsfaktor_GD,'Korrigeringsfaktor GD'!M$1,FALSE),
"")</f>
        <v>13.772706666666666</v>
      </c>
      <c r="N207" s="18">
        <f>IFERROR(
                  Andel_oberoende_av_klimat*VLOOKUP($A207,Leveranser_per_nät,'Leveranser per nät'!N$1,FALSE)
               +Andel_beroende_av_klimat*VLOOKUP($A207,Leveranser_per_nät,'Leveranser per nät'!N$1,FALSE)/VLOOKUP($B207,Korrigeringsfaktor_GD,'Korrigeringsfaktor GD'!N$1,FALSE),
"")</f>
        <v>25.685591397849461</v>
      </c>
      <c r="O207" s="18">
        <f>IFERROR(
                  Andel_oberoende_av_klimat*VLOOKUP($A207,Leveranser_per_nät,'Leveranser per nät'!O$1,FALSE)
               +Andel_beroende_av_klimat*VLOOKUP($A207,Leveranser_per_nät,'Leveranser per nät'!O$1,FALSE)/VLOOKUP($B207,Korrigeringsfaktor_GD,'Korrigeringsfaktor GD'!O$1,FALSE),
"")</f>
        <v>24.987894736842108</v>
      </c>
      <c r="P207" s="18">
        <f>IFERROR(
                  Andel_oberoende_av_klimat*VLOOKUP($A207,Leveranser_per_nät,'Leveranser per nät'!P$1,FALSE)
               +Andel_beroende_av_klimat*VLOOKUP($A207,Leveranser_per_nät,'Leveranser per nät'!P$1,FALSE)/VLOOKUP($B207,Korrigeringsfaktor_GD,'Korrigeringsfaktor GD'!P$1,FALSE),
"")</f>
        <v>26</v>
      </c>
      <c r="Q207" s="18">
        <f>IFERROR(
                  Andel_oberoende_av_klimat*VLOOKUP($A207,Leveranser_per_nät,'Leveranser per nät'!Q$1,FALSE)
               +Andel_beroende_av_klimat*VLOOKUP($A207,Leveranser_per_nät,'Leveranser per nät'!Q$1,FALSE)/VLOOKUP($B207,Korrigeringsfaktor_GD,'Korrigeringsfaktor GD'!Q$1,FALSE),
"")</f>
        <v>22.263043478260869</v>
      </c>
      <c r="R207" s="18">
        <f>IFERROR(
                  Andel_oberoende_av_klimat*VLOOKUP($A207,Leveranser_per_nät,'Leveranser per nät'!R$1,FALSE)
               +Andel_beroende_av_klimat*VLOOKUP($A207,Leveranser_per_nät,'Leveranser per nät'!R$1,FALSE)/VLOOKUP($B207,Korrigeringsfaktor_GD,'Korrigeringsfaktor GD'!R$1,FALSE),
"")</f>
        <v>14.788636363636364</v>
      </c>
      <c r="S207" s="18">
        <f>IFERROR(
                  Andel_oberoende_av_klimat*VLOOKUP($A207,Leveranser_per_nät,'Leveranser per nät'!S$1,FALSE)
               +Andel_beroende_av_klimat*VLOOKUP($A207,Leveranser_per_nät,'Leveranser per nät'!S$1,FALSE)/VLOOKUP($B207,Korrigeringsfaktor_GD,'Korrigeringsfaktor GD'!S$1,FALSE),
"")</f>
        <v>20.711764705882352</v>
      </c>
      <c r="T207" s="18">
        <f>IFERROR(
                  Andel_oberoende_av_klimat*VLOOKUP($A207,Leveranser_per_nät,'Leveranser per nät'!T$1,FALSE)
               +Andel_beroende_av_klimat*VLOOKUP($A207,Leveranser_per_nät,'Leveranser per nät'!T$1,FALSE)/VLOOKUP($B207,Korrigeringsfaktor_GD,'Korrigeringsfaktor GD'!T$1,FALSE),
"")</f>
        <v>20.809421052631578</v>
      </c>
      <c r="U207" s="18">
        <f>IFERROR(
                  Andel_oberoende_av_klimat*VLOOKUP($A207,Leveranser_per_nät,'Leveranser per nät'!U$1,FALSE)
               +Andel_beroende_av_klimat*VLOOKUP($A207,Leveranser_per_nät,'Leveranser per nät'!U$1,FALSE)/VLOOKUP($B207,Korrigeringsfaktor_GD,'Korrigeringsfaktor GD'!U$1,FALSE),
"")</f>
        <v>20.080153846153848</v>
      </c>
      <c r="V207" s="18">
        <f>IFERROR(
                  Andel_oberoende_av_klimat*VLOOKUP($A207,Leveranser_per_nät,'Leveranser per nät'!V$1,FALSE)
               +Andel_beroende_av_klimat*VLOOKUP($A207,Leveranser_per_nät,'Leveranser per nät'!V$1,FALSE)/VLOOKUP($B207,Korrigeringsfaktor_GD,'Korrigeringsfaktor GD'!V$1,FALSE),
"")</f>
        <v>18.93786021505376</v>
      </c>
      <c r="W207" s="18">
        <f>IFERROR(
                  Andel_oberoende_av_klimat*VLOOKUP($A207,Leveranser_per_nät,'Leveranser per nät'!W$1,FALSE)
               +Andel_beroende_av_klimat*VLOOKUP($A207,Leveranser_per_nät,'Leveranser per nät'!W$1,FALSE)/VLOOKUP($B207,Korrigeringsfaktor_GD,'Korrigeringsfaktor GD'!W$1,FALSE),
"")</f>
        <v>18.661020202020204</v>
      </c>
      <c r="X207" s="18">
        <f>IFERROR(
                  Andel_oberoende_av_klimat*VLOOKUP($A207,Leveranser_per_nät,'Leveranser per nät'!X$1,FALSE)
               +Andel_beroende_av_klimat*VLOOKUP($A207,Leveranser_per_nät,'Leveranser per nät'!X$1,FALSE)/VLOOKUP($B207,Korrigeringsfaktor_GD,'Korrigeringsfaktor GD'!X$1,FALSE),
"")</f>
        <v>18.500881188118811</v>
      </c>
      <c r="Y207" s="18">
        <f>IFERROR(
                  Andel_oberoende_av_klimat*VLOOKUP($A207,Leveranser_per_nät,'Leveranser per nät'!Y$1,FALSE)
               +Andel_beroende_av_klimat*VLOOKUP($A207,Leveranser_per_nät,'Leveranser per nät'!Y$1,FALSE)/VLOOKUP($B207,Korrigeringsfaktor_GD,'Korrigeringsfaktor GD'!Y$1,FALSE),
"")</f>
        <v>18.63</v>
      </c>
      <c r="Z207" s="18">
        <f>IFERROR(
                  Andel_oberoende_av_klimat*VLOOKUP($A207,Leveranser_per_nät,'Leveranser per nät'!Z$1,FALSE)
               +Andel_beroende_av_klimat*VLOOKUP($A207,Leveranser_per_nät,'Leveranser per nät'!Z$1,FALSE)/VLOOKUP($B207,Korrigeringsfaktor_GD,'Korrigeringsfaktor GD'!Z$1,FALSE),
"")</f>
        <v>20.045593023255815</v>
      </c>
      <c r="AA207" s="18">
        <f>IFERROR(
                  Andel_oberoende_av_klimat*VLOOKUP($A207,Leveranser_per_nät,'Leveranser per nät'!AA$1,FALSE)
               +Andel_beroende_av_klimat*VLOOKUP($A207,Leveranser_per_nät,'Leveranser per nät'!AA$1,FALSE)/VLOOKUP($B207,Korrigeringsfaktor_GD,'Korrigeringsfaktor GD'!AA$1,FALSE),
"")</f>
        <v>21.671731343283582</v>
      </c>
      <c r="AB207" s="18">
        <f>IFERROR(
                  Andel_oberoende_av_klimat*VLOOKUP($A207,Leveranser_per_nät,'Leveranser per nät'!AB$1,FALSE)
               +Andel_beroende_av_klimat*VLOOKUP($A207,Leveranser_per_nät,'Leveranser per nät'!AB$1,FALSE)/VLOOKUP($B207,Korrigeringsfaktor_GD,'Korrigeringsfaktor GD'!AB$1,FALSE),
"")</f>
        <v>18.24684782608696</v>
      </c>
      <c r="AC207" s="18">
        <f>IFERROR(
                  Andel_oberoende_av_klimat*VLOOKUP($A207,Leveranser_per_nät,'Leveranser per nät'!AC$1,FALSE)
               +Andel_beroende_av_klimat*VLOOKUP($A207,Leveranser_per_nät,'Leveranser per nät'!AC$1,FALSE)/VLOOKUP($B207,Korrigeringsfaktor_GD,'Korrigeringsfaktor GD'!AC$1,FALSE),
"")</f>
        <v>12.647709807886754</v>
      </c>
      <c r="AD207">
        <v>524.17999999999995</v>
      </c>
    </row>
    <row r="208" spans="1:30" x14ac:dyDescent="0.25">
      <c r="A208" t="s">
        <v>283</v>
      </c>
      <c r="B208" t="s">
        <v>283</v>
      </c>
      <c r="C208" s="18">
        <f>IFERROR(
                  Andel_oberoende_av_klimat*VLOOKUP($A208,Leveranser_per_nät,'Leveranser per nät'!C$1,FALSE)
               +Andel_beroende_av_klimat*VLOOKUP($A208,Leveranser_per_nät,'Leveranser per nät'!C$1,FALSE)/VLOOKUP($B208,Korrigeringsfaktor_GD,'Korrigeringsfaktor GD'!C$1,FALSE),
"")</f>
        <v>75.864912280701759</v>
      </c>
      <c r="D208" s="18">
        <f>IFERROR(
                  Andel_oberoende_av_klimat*VLOOKUP($A208,Leveranser_per_nät,'Leveranser per nät'!D$1,FALSE)
               +Andel_beroende_av_klimat*VLOOKUP($A208,Leveranser_per_nät,'Leveranser per nät'!D$1,FALSE)/VLOOKUP($B208,Korrigeringsfaktor_GD,'Korrigeringsfaktor GD'!D$1,FALSE),
"")</f>
        <v>76.515990099009898</v>
      </c>
      <c r="E208" s="18">
        <f>IFERROR(
                  Andel_oberoende_av_klimat*VLOOKUP($A208,Leveranser_per_nät,'Leveranser per nät'!E$1,FALSE)
               +Andel_beroende_av_klimat*VLOOKUP($A208,Leveranser_per_nät,'Leveranser per nät'!E$1,FALSE)/VLOOKUP($B208,Korrigeringsfaktor_GD,'Korrigeringsfaktor GD'!E$1,FALSE),
"")</f>
        <v>85.403960396039594</v>
      </c>
      <c r="F208" s="18">
        <f>IFERROR(
                  Andel_oberoende_av_klimat*VLOOKUP($A208,Leveranser_per_nät,'Leveranser per nät'!F$1,FALSE)
               +Andel_beroende_av_klimat*VLOOKUP($A208,Leveranser_per_nät,'Leveranser per nät'!F$1,FALSE)/VLOOKUP($B208,Korrigeringsfaktor_GD,'Korrigeringsfaktor GD'!F$1,FALSE),
"")</f>
        <v>88.797872340425528</v>
      </c>
      <c r="G208" s="18">
        <f>IFERROR(
                  Andel_oberoende_av_klimat*VLOOKUP($A208,Leveranser_per_nät,'Leveranser per nät'!G$1,FALSE)
               +Andel_beroende_av_klimat*VLOOKUP($A208,Leveranser_per_nät,'Leveranser per nät'!G$1,FALSE)/VLOOKUP($B208,Korrigeringsfaktor_GD,'Korrigeringsfaktor GD'!G$1,FALSE),
"")</f>
        <v>89.116279069767444</v>
      </c>
      <c r="H208" s="18">
        <f>IFERROR(
                  Andel_oberoende_av_klimat*VLOOKUP($A208,Leveranser_per_nät,'Leveranser per nät'!H$1,FALSE)
               +Andel_beroende_av_klimat*VLOOKUP($A208,Leveranser_per_nät,'Leveranser per nät'!H$1,FALSE)/VLOOKUP($B208,Korrigeringsfaktor_GD,'Korrigeringsfaktor GD'!H$1,FALSE),
"")</f>
        <v>91.163762376237614</v>
      </c>
      <c r="I208" s="18">
        <f>IFERROR(
                  Andel_oberoende_av_klimat*VLOOKUP($A208,Leveranser_per_nät,'Leveranser per nät'!I$1,FALSE)
               +Andel_beroende_av_klimat*VLOOKUP($A208,Leveranser_per_nät,'Leveranser per nät'!I$1,FALSE)/VLOOKUP($B208,Korrigeringsfaktor_GD,'Korrigeringsfaktor GD'!I$1,FALSE),
"")</f>
        <v>96.667900000000003</v>
      </c>
      <c r="J208" s="18">
        <f>IFERROR(
                  Andel_oberoende_av_klimat*VLOOKUP($A208,Leveranser_per_nät,'Leveranser per nät'!J$1,FALSE)
               +Andel_beroende_av_klimat*VLOOKUP($A208,Leveranser_per_nät,'Leveranser per nät'!J$1,FALSE)/VLOOKUP($B208,Korrigeringsfaktor_GD,'Korrigeringsfaktor GD'!J$1,FALSE),
"")</f>
        <v>114.61428571428571</v>
      </c>
      <c r="K208" s="18">
        <f>IFERROR(
                  Andel_oberoende_av_klimat*VLOOKUP($A208,Leveranser_per_nät,'Leveranser per nät'!K$1,FALSE)
               +Andel_beroende_av_klimat*VLOOKUP($A208,Leveranser_per_nät,'Leveranser per nät'!K$1,FALSE)/VLOOKUP($B208,Korrigeringsfaktor_GD,'Korrigeringsfaktor GD'!K$1,FALSE),
"")</f>
        <v>116.46804123711341</v>
      </c>
      <c r="L208" s="18">
        <f>IFERROR(
                  Andel_oberoende_av_klimat*VLOOKUP($A208,Leveranser_per_nät,'Leveranser per nät'!L$1,FALSE)
               +Andel_beroende_av_klimat*VLOOKUP($A208,Leveranser_per_nät,'Leveranser per nät'!L$1,FALSE)/VLOOKUP($B208,Korrigeringsfaktor_GD,'Korrigeringsfaktor GD'!L$1,FALSE),
"")</f>
        <v>129.98034027270828</v>
      </c>
      <c r="M208" s="18">
        <f>IFERROR(
                  Andel_oberoende_av_klimat*VLOOKUP($A208,Leveranser_per_nät,'Leveranser per nät'!M$1,FALSE)
               +Andel_beroende_av_klimat*VLOOKUP($A208,Leveranser_per_nät,'Leveranser per nät'!M$1,FALSE)/VLOOKUP($B208,Korrigeringsfaktor_GD,'Korrigeringsfaktor GD'!M$1,FALSE),
"")</f>
        <v>111.94846153846154</v>
      </c>
      <c r="N208" s="18">
        <f>IFERROR(
                  Andel_oberoende_av_klimat*VLOOKUP($A208,Leveranser_per_nät,'Leveranser per nät'!N$1,FALSE)
               +Andel_beroende_av_klimat*VLOOKUP($A208,Leveranser_per_nät,'Leveranser per nät'!N$1,FALSE)/VLOOKUP($B208,Korrigeringsfaktor_GD,'Korrigeringsfaktor GD'!N$1,FALSE),
"")</f>
        <v>116.1181818181818</v>
      </c>
      <c r="O208" s="18">
        <f>IFERROR(
                  Andel_oberoende_av_klimat*VLOOKUP($A208,Leveranser_per_nät,'Leveranser per nät'!O$1,FALSE)
               +Andel_beroende_av_klimat*VLOOKUP($A208,Leveranser_per_nät,'Leveranser per nät'!O$1,FALSE)/VLOOKUP($B208,Korrigeringsfaktor_GD,'Korrigeringsfaktor GD'!O$1,FALSE),
"")</f>
        <v>113.92820689655173</v>
      </c>
      <c r="P208" s="18">
        <f>IFERROR(
                  Andel_oberoende_av_klimat*VLOOKUP($A208,Leveranser_per_nät,'Leveranser per nät'!P$1,FALSE)
               +Andel_beroende_av_klimat*VLOOKUP($A208,Leveranser_per_nät,'Leveranser per nät'!P$1,FALSE)/VLOOKUP($B208,Korrigeringsfaktor_GD,'Korrigeringsfaktor GD'!P$1,FALSE),
"")</f>
        <v>121.33875</v>
      </c>
      <c r="Q208" s="18">
        <f>IFERROR(
                  Andel_oberoende_av_klimat*VLOOKUP($A208,Leveranser_per_nät,'Leveranser per nät'!Q$1,FALSE)
               +Andel_beroende_av_klimat*VLOOKUP($A208,Leveranser_per_nät,'Leveranser per nät'!Q$1,FALSE)/VLOOKUP($B208,Korrigeringsfaktor_GD,'Korrigeringsfaktor GD'!Q$1,FALSE),
"")</f>
        <v>122.46050847457627</v>
      </c>
      <c r="R208" s="18">
        <f>IFERROR(
                  Andel_oberoende_av_klimat*VLOOKUP($A208,Leveranser_per_nät,'Leveranser per nät'!R$1,FALSE)
               +Andel_beroende_av_klimat*VLOOKUP($A208,Leveranser_per_nät,'Leveranser per nät'!R$1,FALSE)/VLOOKUP($B208,Korrigeringsfaktor_GD,'Korrigeringsfaktor GD'!R$1,FALSE),
"")</f>
        <v>119.00538461538461</v>
      </c>
      <c r="S208" s="18">
        <f>IFERROR(
                  Andel_oberoende_av_klimat*VLOOKUP($A208,Leveranser_per_nät,'Leveranser per nät'!S$1,FALSE)
               +Andel_beroende_av_klimat*VLOOKUP($A208,Leveranser_per_nät,'Leveranser per nät'!S$1,FALSE)/VLOOKUP($B208,Korrigeringsfaktor_GD,'Korrigeringsfaktor GD'!S$1,FALSE),
"")</f>
        <v>119.33921568627451</v>
      </c>
      <c r="T208" s="18">
        <f>IFERROR(
                  Andel_oberoende_av_klimat*VLOOKUP($A208,Leveranser_per_nät,'Leveranser per nät'!T$1,FALSE)
               +Andel_beroende_av_klimat*VLOOKUP($A208,Leveranser_per_nät,'Leveranser per nät'!T$1,FALSE)/VLOOKUP($B208,Korrigeringsfaktor_GD,'Korrigeringsfaktor GD'!T$1,FALSE),
"")</f>
        <v>118.20995959595959</v>
      </c>
      <c r="U208" s="18">
        <f>IFERROR(
                  Andel_oberoende_av_klimat*VLOOKUP($A208,Leveranser_per_nät,'Leveranser per nät'!U$1,FALSE)
               +Andel_beroende_av_klimat*VLOOKUP($A208,Leveranser_per_nät,'Leveranser per nät'!U$1,FALSE)/VLOOKUP($B208,Korrigeringsfaktor_GD,'Korrigeringsfaktor GD'!U$1,FALSE),
"")</f>
        <v>120.34866666666667</v>
      </c>
      <c r="V208" s="18">
        <f>IFERROR(
                  Andel_oberoende_av_klimat*VLOOKUP($A208,Leveranser_per_nät,'Leveranser per nät'!V$1,FALSE)
               +Andel_beroende_av_klimat*VLOOKUP($A208,Leveranser_per_nät,'Leveranser per nät'!V$1,FALSE)/VLOOKUP($B208,Korrigeringsfaktor_GD,'Korrigeringsfaktor GD'!V$1,FALSE),
"")</f>
        <v>119.3531111111111</v>
      </c>
      <c r="W208" s="18">
        <f>IFERROR(
                  Andel_oberoende_av_klimat*VLOOKUP($A208,Leveranser_per_nät,'Leveranser per nät'!W$1,FALSE)
               +Andel_beroende_av_klimat*VLOOKUP($A208,Leveranser_per_nät,'Leveranser per nät'!W$1,FALSE)/VLOOKUP($B208,Korrigeringsfaktor_GD,'Korrigeringsfaktor GD'!W$1,FALSE),
"")</f>
        <v>122.8657894736842</v>
      </c>
      <c r="X208" s="18">
        <f>IFERROR(
                  Andel_oberoende_av_klimat*VLOOKUP($A208,Leveranser_per_nät,'Leveranser per nät'!X$1,FALSE)
               +Andel_beroende_av_klimat*VLOOKUP($A208,Leveranser_per_nät,'Leveranser per nät'!X$1,FALSE)/VLOOKUP($B208,Korrigeringsfaktor_GD,'Korrigeringsfaktor GD'!X$1,FALSE),
"")</f>
        <v>123.69021276595745</v>
      </c>
      <c r="Y208" s="18">
        <f>IFERROR(
                  Andel_oberoende_av_klimat*VLOOKUP($A208,Leveranser_per_nät,'Leveranser per nät'!Y$1,FALSE)
               +Andel_beroende_av_klimat*VLOOKUP($A208,Leveranser_per_nät,'Leveranser per nät'!Y$1,FALSE)/VLOOKUP($B208,Korrigeringsfaktor_GD,'Korrigeringsfaktor GD'!Y$1,FALSE),
"")</f>
        <v>128.84260869565219</v>
      </c>
      <c r="Z208" s="18">
        <f>IFERROR(
                  Andel_oberoende_av_klimat*VLOOKUP($A208,Leveranser_per_nät,'Leveranser per nät'!Z$1,FALSE)
               +Andel_beroende_av_klimat*VLOOKUP($A208,Leveranser_per_nät,'Leveranser per nät'!Z$1,FALSE)/VLOOKUP($B208,Korrigeringsfaktor_GD,'Korrigeringsfaktor GD'!Z$1,FALSE),
"")</f>
        <v>122.01060869565219</v>
      </c>
      <c r="AA208" s="18">
        <f>IFERROR(
                  Andel_oberoende_av_klimat*VLOOKUP($A208,Leveranser_per_nät,'Leveranser per nät'!AA$1,FALSE)
               +Andel_beroende_av_klimat*VLOOKUP($A208,Leveranser_per_nät,'Leveranser per nät'!AA$1,FALSE)/VLOOKUP($B208,Korrigeringsfaktor_GD,'Korrigeringsfaktor GD'!AA$1,FALSE),
"")</f>
        <v>124.73930322580645</v>
      </c>
      <c r="AB208" s="18">
        <f>IFERROR(
                  Andel_oberoende_av_klimat*VLOOKUP($A208,Leveranser_per_nät,'Leveranser per nät'!AB$1,FALSE)
               +Andel_beroende_av_klimat*VLOOKUP($A208,Leveranser_per_nät,'Leveranser per nät'!AB$1,FALSE)/VLOOKUP($B208,Korrigeringsfaktor_GD,'Korrigeringsfaktor GD'!AB$1,FALSE),
"")</f>
        <v>125.64147619047617</v>
      </c>
      <c r="AC208" s="18">
        <f>IFERROR(
                  Andel_oberoende_av_klimat*VLOOKUP($A208,Leveranser_per_nät,'Leveranser per nät'!AC$1,FALSE)
               +Andel_beroende_av_klimat*VLOOKUP($A208,Leveranser_per_nät,'Leveranser per nät'!AC$1,FALSE)/VLOOKUP($B208,Korrigeringsfaktor_GD,'Korrigeringsfaktor GD'!AC$1,FALSE),
"")</f>
        <v>122.87379104477614</v>
      </c>
      <c r="AD208">
        <v>117.44</v>
      </c>
    </row>
    <row r="209" spans="1:30" x14ac:dyDescent="0.25">
      <c r="A209" t="s">
        <v>68</v>
      </c>
      <c r="B209" t="s">
        <v>441</v>
      </c>
      <c r="C209" s="18">
        <f>IFERROR(
                  Andel_oberoende_av_klimat*VLOOKUP($A209,Leveranser_per_nät,'Leveranser per nät'!C$1,FALSE)
               +Andel_beroende_av_klimat*VLOOKUP($A209,Leveranser_per_nät,'Leveranser per nät'!C$1,FALSE)/VLOOKUP($B209,Korrigeringsfaktor_GD,'Korrigeringsfaktor GD'!C$1,FALSE),
"")</f>
        <v>48.39279279279279</v>
      </c>
      <c r="D209" s="18">
        <f>IFERROR(
                  Andel_oberoende_av_klimat*VLOOKUP($A209,Leveranser_per_nät,'Leveranser per nät'!D$1,FALSE)
               +Andel_beroende_av_klimat*VLOOKUP($A209,Leveranser_per_nät,'Leveranser per nät'!D$1,FALSE)/VLOOKUP($B209,Korrigeringsfaktor_GD,'Korrigeringsfaktor GD'!D$1,FALSE),
"")</f>
        <v>48.099711111111112</v>
      </c>
      <c r="E209" s="18">
        <f>IFERROR(
                  Andel_oberoende_av_klimat*VLOOKUP($A209,Leveranser_per_nät,'Leveranser per nät'!E$1,FALSE)
               +Andel_beroende_av_klimat*VLOOKUP($A209,Leveranser_per_nät,'Leveranser per nät'!E$1,FALSE)/VLOOKUP($B209,Korrigeringsfaktor_GD,'Korrigeringsfaktor GD'!E$1,FALSE),
"")</f>
        <v>49.481392156862746</v>
      </c>
      <c r="F209" s="18">
        <f>IFERROR(
                  Andel_oberoende_av_klimat*VLOOKUP($A209,Leveranser_per_nät,'Leveranser per nät'!F$1,FALSE)
               +Andel_beroende_av_klimat*VLOOKUP($A209,Leveranser_per_nät,'Leveranser per nät'!F$1,FALSE)/VLOOKUP($B209,Korrigeringsfaktor_GD,'Korrigeringsfaktor GD'!F$1,FALSE),
"")</f>
        <v>45.921036170212766</v>
      </c>
      <c r="G209" s="18">
        <f>IFERROR(
                  Andel_oberoende_av_klimat*VLOOKUP($A209,Leveranser_per_nät,'Leveranser per nät'!G$1,FALSE)
               +Andel_beroende_av_klimat*VLOOKUP($A209,Leveranser_per_nät,'Leveranser per nät'!G$1,FALSE)/VLOOKUP($B209,Korrigeringsfaktor_GD,'Korrigeringsfaktor GD'!G$1,FALSE),
"")</f>
        <v>48.090454545454541</v>
      </c>
      <c r="H209" s="18">
        <f>IFERROR(
                  Andel_oberoende_av_klimat*VLOOKUP($A209,Leveranser_per_nät,'Leveranser per nät'!H$1,FALSE)
               +Andel_beroende_av_klimat*VLOOKUP($A209,Leveranser_per_nät,'Leveranser per nät'!H$1,FALSE)/VLOOKUP($B209,Korrigeringsfaktor_GD,'Korrigeringsfaktor GD'!H$1,FALSE),
"")</f>
        <v>50.714285714285715</v>
      </c>
      <c r="I209" s="18">
        <f>IFERROR(
                  Andel_oberoende_av_klimat*VLOOKUP($A209,Leveranser_per_nät,'Leveranser per nät'!I$1,FALSE)
               +Andel_beroende_av_klimat*VLOOKUP($A209,Leveranser_per_nät,'Leveranser per nät'!I$1,FALSE)/VLOOKUP($B209,Korrigeringsfaktor_GD,'Korrigeringsfaktor GD'!I$1,FALSE),
"")</f>
        <v>47.915360824742265</v>
      </c>
      <c r="J209" s="18">
        <f>IFERROR(
                  Andel_oberoende_av_klimat*VLOOKUP($A209,Leveranser_per_nät,'Leveranser per nät'!J$1,FALSE)
               +Andel_beroende_av_klimat*VLOOKUP($A209,Leveranser_per_nät,'Leveranser per nät'!J$1,FALSE)/VLOOKUP($B209,Korrigeringsfaktor_GD,'Korrigeringsfaktor GD'!J$1,FALSE),
"")</f>
        <v>48.883212121212111</v>
      </c>
      <c r="K209" s="18">
        <f>IFERROR(
                  Andel_oberoende_av_klimat*VLOOKUP($A209,Leveranser_per_nät,'Leveranser per nät'!K$1,FALSE)
               +Andel_beroende_av_klimat*VLOOKUP($A209,Leveranser_per_nät,'Leveranser per nät'!K$1,FALSE)/VLOOKUP($B209,Korrigeringsfaktor_GD,'Korrigeringsfaktor GD'!K$1,FALSE),
"")</f>
        <v>51.891871428571427</v>
      </c>
      <c r="L209" s="18">
        <f>IFERROR(
                  Andel_oberoende_av_klimat*VLOOKUP($A209,Leveranser_per_nät,'Leveranser per nät'!L$1,FALSE)
               +Andel_beroende_av_klimat*VLOOKUP($A209,Leveranser_per_nät,'Leveranser per nät'!L$1,FALSE)/VLOOKUP($B209,Korrigeringsfaktor_GD,'Korrigeringsfaktor GD'!L$1,FALSE),
"")</f>
        <v>54.43382604024184</v>
      </c>
      <c r="M209" s="18">
        <f>IFERROR(
                  Andel_oberoende_av_klimat*VLOOKUP($A209,Leveranser_per_nät,'Leveranser per nät'!M$1,FALSE)
               +Andel_beroende_av_klimat*VLOOKUP($A209,Leveranser_per_nät,'Leveranser per nät'!M$1,FALSE)/VLOOKUP($B209,Korrigeringsfaktor_GD,'Korrigeringsfaktor GD'!M$1,FALSE),
"")</f>
        <v>48.602612903225804</v>
      </c>
      <c r="N209" s="18">
        <f>IFERROR(
                  Andel_oberoende_av_klimat*VLOOKUP($A209,Leveranser_per_nät,'Leveranser per nät'!N$1,FALSE)
               +Andel_beroende_av_klimat*VLOOKUP($A209,Leveranser_per_nät,'Leveranser per nät'!N$1,FALSE)/VLOOKUP($B209,Korrigeringsfaktor_GD,'Korrigeringsfaktor GD'!N$1,FALSE),
"")</f>
        <v>49.436521739130434</v>
      </c>
      <c r="O209" s="18">
        <f>IFERROR(
                  Andel_oberoende_av_klimat*VLOOKUP($A209,Leveranser_per_nät,'Leveranser per nät'!O$1,FALSE)
               +Andel_beroende_av_klimat*VLOOKUP($A209,Leveranser_per_nät,'Leveranser per nät'!O$1,FALSE)/VLOOKUP($B209,Korrigeringsfaktor_GD,'Korrigeringsfaktor GD'!O$1,FALSE),
"")</f>
        <v>50.171818181818175</v>
      </c>
      <c r="P209" s="18">
        <f>IFERROR(
                  Andel_oberoende_av_klimat*VLOOKUP($A209,Leveranser_per_nät,'Leveranser per nät'!P$1,FALSE)
               +Andel_beroende_av_klimat*VLOOKUP($A209,Leveranser_per_nät,'Leveranser per nät'!P$1,FALSE)/VLOOKUP($B209,Korrigeringsfaktor_GD,'Korrigeringsfaktor GD'!P$1,FALSE),
"")</f>
        <v>50.060824742268039</v>
      </c>
      <c r="Q209" s="18">
        <f>IFERROR(
                  Andel_oberoende_av_klimat*VLOOKUP($A209,Leveranser_per_nät,'Leveranser per nät'!Q$1,FALSE)
               +Andel_beroende_av_klimat*VLOOKUP($A209,Leveranser_per_nät,'Leveranser per nät'!Q$1,FALSE)/VLOOKUP($B209,Korrigeringsfaktor_GD,'Korrigeringsfaktor GD'!Q$1,FALSE),
"")</f>
        <v>49.765299145299139</v>
      </c>
      <c r="R209" s="18">
        <f>IFERROR(
                  Andel_oberoende_av_klimat*VLOOKUP($A209,Leveranser_per_nät,'Leveranser per nät'!R$1,FALSE)
               +Andel_beroende_av_klimat*VLOOKUP($A209,Leveranser_per_nät,'Leveranser per nät'!R$1,FALSE)/VLOOKUP($B209,Korrigeringsfaktor_GD,'Korrigeringsfaktor GD'!R$1,FALSE),
"")</f>
        <v>49.254444444444445</v>
      </c>
      <c r="S209" s="18">
        <f>IFERROR(
                  Andel_oberoende_av_klimat*VLOOKUP($A209,Leveranser_per_nät,'Leveranser per nät'!S$1,FALSE)
               +Andel_beroende_av_klimat*VLOOKUP($A209,Leveranser_per_nät,'Leveranser per nät'!S$1,FALSE)/VLOOKUP($B209,Korrigeringsfaktor_GD,'Korrigeringsfaktor GD'!S$1,FALSE),
"")</f>
        <v>51</v>
      </c>
      <c r="T209" s="18">
        <f>IFERROR(
                  Andel_oberoende_av_klimat*VLOOKUP($A209,Leveranser_per_nät,'Leveranser per nät'!T$1,FALSE)
               +Andel_beroende_av_klimat*VLOOKUP($A209,Leveranser_per_nät,'Leveranser per nät'!T$1,FALSE)/VLOOKUP($B209,Korrigeringsfaktor_GD,'Korrigeringsfaktor GD'!T$1,FALSE),
"")</f>
        <v>50.635000000000005</v>
      </c>
      <c r="U209" s="18">
        <f>IFERROR(
                  Andel_oberoende_av_klimat*VLOOKUP($A209,Leveranser_per_nät,'Leveranser per nät'!U$1,FALSE)
               +Andel_beroende_av_klimat*VLOOKUP($A209,Leveranser_per_nät,'Leveranser per nät'!U$1,FALSE)/VLOOKUP($B209,Korrigeringsfaktor_GD,'Korrigeringsfaktor GD'!U$1,FALSE),
"")</f>
        <v>50.938636363636363</v>
      </c>
      <c r="V209" s="18">
        <f>IFERROR(
                  Andel_oberoende_av_klimat*VLOOKUP($A209,Leveranser_per_nät,'Leveranser per nät'!V$1,FALSE)
               +Andel_beroende_av_klimat*VLOOKUP($A209,Leveranser_per_nät,'Leveranser per nät'!V$1,FALSE)/VLOOKUP($B209,Korrigeringsfaktor_GD,'Korrigeringsfaktor GD'!V$1,FALSE),
"")</f>
        <v>51.474252873563216</v>
      </c>
      <c r="W209" s="18">
        <f>IFERROR(
                  Andel_oberoende_av_klimat*VLOOKUP($A209,Leveranser_per_nät,'Leveranser per nät'!W$1,FALSE)
               +Andel_beroende_av_klimat*VLOOKUP($A209,Leveranser_per_nät,'Leveranser per nät'!W$1,FALSE)/VLOOKUP($B209,Korrigeringsfaktor_GD,'Korrigeringsfaktor GD'!W$1,FALSE),
"")</f>
        <v>51.876521739130432</v>
      </c>
      <c r="X209" s="18">
        <f>IFERROR(
                  Andel_oberoende_av_klimat*VLOOKUP($A209,Leveranser_per_nät,'Leveranser per nät'!X$1,FALSE)
               +Andel_beroende_av_klimat*VLOOKUP($A209,Leveranser_per_nät,'Leveranser per nät'!X$1,FALSE)/VLOOKUP($B209,Korrigeringsfaktor_GD,'Korrigeringsfaktor GD'!X$1,FALSE),
"")</f>
        <v>54.634782608695652</v>
      </c>
      <c r="Y209" s="18">
        <f>IFERROR(
                  Andel_oberoende_av_klimat*VLOOKUP($A209,Leveranser_per_nät,'Leveranser per nät'!Y$1,FALSE)
               +Andel_beroende_av_klimat*VLOOKUP($A209,Leveranser_per_nät,'Leveranser per nät'!Y$1,FALSE)/VLOOKUP($B209,Korrigeringsfaktor_GD,'Korrigeringsfaktor GD'!Y$1,FALSE),
"")</f>
        <v>58.415555555555557</v>
      </c>
      <c r="Z209" s="18">
        <f>IFERROR(
                  Andel_oberoende_av_klimat*VLOOKUP($A209,Leveranser_per_nät,'Leveranser per nät'!Z$1,FALSE)
               +Andel_beroende_av_klimat*VLOOKUP($A209,Leveranser_per_nät,'Leveranser per nät'!Z$1,FALSE)/VLOOKUP($B209,Korrigeringsfaktor_GD,'Korrigeringsfaktor GD'!Z$1,FALSE),
"")</f>
        <v>0</v>
      </c>
      <c r="AA209" s="18" t="str">
        <f>IFERROR(
                  Andel_oberoende_av_klimat*VLOOKUP($A209,Leveranser_per_nät,'Leveranser per nät'!AA$1,FALSE)
               +Andel_beroende_av_klimat*VLOOKUP($A209,Leveranser_per_nät,'Leveranser per nät'!AA$1,FALSE)/VLOOKUP($B209,Korrigeringsfaktor_GD,'Korrigeringsfaktor GD'!AA$1,FALSE),
"")</f>
        <v/>
      </c>
      <c r="AB209" s="18">
        <f>IFERROR(
                  Andel_oberoende_av_klimat*VLOOKUP($A209,Leveranser_per_nät,'Leveranser per nät'!AB$1,FALSE)
               +Andel_beroende_av_klimat*VLOOKUP($A209,Leveranser_per_nät,'Leveranser per nät'!AB$1,FALSE)/VLOOKUP($B209,Korrigeringsfaktor_GD,'Korrigeringsfaktor GD'!AB$1,FALSE),
"")</f>
        <v>0</v>
      </c>
      <c r="AC209" s="18">
        <f>IFERROR(
                  Andel_oberoende_av_klimat*VLOOKUP($A209,Leveranser_per_nät,'Leveranser per nät'!AC$1,FALSE)
               +Andel_beroende_av_klimat*VLOOKUP($A209,Leveranser_per_nät,'Leveranser per nät'!AC$1,FALSE)/VLOOKUP($B209,Korrigeringsfaktor_GD,'Korrigeringsfaktor GD'!AC$1,FALSE),
"")</f>
        <v>0</v>
      </c>
      <c r="AD209" t="e">
        <v>#N/A</v>
      </c>
    </row>
    <row r="210" spans="1:30" x14ac:dyDescent="0.25">
      <c r="A210" t="s">
        <v>209</v>
      </c>
      <c r="B210" t="s">
        <v>209</v>
      </c>
      <c r="C210" s="18">
        <f>IFERROR(
                  Andel_oberoende_av_klimat*VLOOKUP($A210,Leveranser_per_nät,'Leveranser per nät'!C$1,FALSE)
               +Andel_beroende_av_klimat*VLOOKUP($A210,Leveranser_per_nät,'Leveranser per nät'!C$1,FALSE)/VLOOKUP("Köping",Korrigeringsfaktor_GD,'Korrigeringsfaktor GD'!C$1,FALSE),
"")</f>
        <v>24.196396396396395</v>
      </c>
      <c r="D210" s="18">
        <f>IFERROR(
                  Andel_oberoende_av_klimat*VLOOKUP($A210,Leveranser_per_nät,'Leveranser per nät'!D$1,FALSE)
               +Andel_beroende_av_klimat*VLOOKUP($A210,Leveranser_per_nät,'Leveranser per nät'!D$1,FALSE)/VLOOKUP("Köping",Korrigeringsfaktor_GD,'Korrigeringsfaktor GD'!D$1,FALSE),
"")</f>
        <v>24.53557142857143</v>
      </c>
      <c r="E210" s="18">
        <f>IFERROR(
                  Andel_oberoende_av_klimat*VLOOKUP($A210,Leveranser_per_nät,'Leveranser per nät'!E$1,FALSE)
               +Andel_beroende_av_klimat*VLOOKUP($A210,Leveranser_per_nät,'Leveranser per nät'!E$1,FALSE)/VLOOKUP("Köping",Korrigeringsfaktor_GD,'Korrigeringsfaktor GD'!E$1,FALSE),
"")</f>
        <v>24.656862745098039</v>
      </c>
      <c r="F210" s="18">
        <f>IFERROR(
                  Andel_oberoende_av_klimat*VLOOKUP($A210,Leveranser_per_nät,'Leveranser per nät'!F$1,FALSE)
               +Andel_beroende_av_klimat*VLOOKUP($A210,Leveranser_per_nät,'Leveranser per nät'!F$1,FALSE)/VLOOKUP("Köping",Korrigeringsfaktor_GD,'Korrigeringsfaktor GD'!F$1,FALSE),
"")</f>
        <v>25.729166666666668</v>
      </c>
      <c r="G210" s="18">
        <f>IFERROR(
                  Andel_oberoende_av_klimat*VLOOKUP($A210,Leveranser_per_nät,'Leveranser per nät'!G$1,FALSE)
               +Andel_beroende_av_klimat*VLOOKUP($A210,Leveranser_per_nät,'Leveranser per nät'!G$1,FALSE)/VLOOKUP("Köping",Korrigeringsfaktor_GD,'Korrigeringsfaktor GD'!G$1,FALSE),
"")</f>
        <v>28.719540229885059</v>
      </c>
      <c r="H210" s="18">
        <f>IFERROR(
                  Andel_oberoende_av_klimat*VLOOKUP($A210,Leveranser_per_nät,'Leveranser per nät'!H$1,FALSE)
               +Andel_beroende_av_klimat*VLOOKUP($A210,Leveranser_per_nät,'Leveranser per nät'!H$1,FALSE)/VLOOKUP("Köping",Korrigeringsfaktor_GD,'Korrigeringsfaktor GD'!H$1,FALSE),
"")</f>
        <v>32.636000000000003</v>
      </c>
      <c r="I210" s="18">
        <f>IFERROR(
                  Andel_oberoende_av_klimat*VLOOKUP($A210,Leveranser_per_nät,'Leveranser per nät'!I$1,FALSE)
               +Andel_beroende_av_klimat*VLOOKUP($A210,Leveranser_per_nät,'Leveranser per nät'!I$1,FALSE)/VLOOKUP("Köping",Korrigeringsfaktor_GD,'Korrigeringsfaktor GD'!I$1,FALSE),
"")</f>
        <v>35.5</v>
      </c>
      <c r="J210" s="18">
        <f>IFERROR(
                  Andel_oberoende_av_klimat*VLOOKUP($A210,Leveranser_per_nät,'Leveranser per nät'!J$1,FALSE)
               +Andel_beroende_av_klimat*VLOOKUP($A210,Leveranser_per_nät,'Leveranser per nät'!J$1,FALSE)/VLOOKUP("Köping",Korrigeringsfaktor_GD,'Korrigeringsfaktor GD'!J$1,FALSE),
"")</f>
        <v>38.018471428571431</v>
      </c>
      <c r="K210" s="18">
        <f>IFERROR(
                  Andel_oberoende_av_klimat*VLOOKUP($A210,Leveranser_per_nät,'Leveranser per nät'!K$1,FALSE)
               +Andel_beroende_av_klimat*VLOOKUP($A210,Leveranser_per_nät,'Leveranser per nät'!K$1,FALSE)/VLOOKUP("Köping",Korrigeringsfaktor_GD,'Korrigeringsfaktor GD'!K$1,FALSE),
"")</f>
        <v>37.447428571428574</v>
      </c>
      <c r="L210" s="18">
        <f>IFERROR(
                  Andel_oberoende_av_klimat*VLOOKUP($A210,Leveranser_per_nät,'Leveranser per nät'!L$1,FALSE)
               +Andel_beroende_av_klimat*VLOOKUP($A210,Leveranser_per_nät,'Leveranser per nät'!L$1,FALSE)/VLOOKUP("Köping",Korrigeringsfaktor_GD,'Korrigeringsfaktor GD'!L$1,FALSE),
"")</f>
        <v>37.093482978723401</v>
      </c>
      <c r="M210" s="18">
        <f>IFERROR(
                  Andel_oberoende_av_klimat*VLOOKUP($A210,Leveranser_per_nät,'Leveranser per nät'!M$1,FALSE)
               +Andel_beroende_av_klimat*VLOOKUP($A210,Leveranser_per_nät,'Leveranser per nät'!M$1,FALSE)/VLOOKUP("Köping",Korrigeringsfaktor_GD,'Korrigeringsfaktor GD'!M$1,FALSE),
"")</f>
        <v>37.926086956521736</v>
      </c>
      <c r="N210" s="18">
        <f>IFERROR(
                  Andel_oberoende_av_klimat*VLOOKUP($A210,Leveranser_per_nät,'Leveranser per nät'!N$1,FALSE)
               +Andel_beroende_av_klimat*VLOOKUP($A210,Leveranser_per_nät,'Leveranser per nät'!N$1,FALSE)/VLOOKUP("Köping",Korrigeringsfaktor_GD,'Korrigeringsfaktor GD'!N$1,FALSE),
"")</f>
        <v>38.19130434782609</v>
      </c>
      <c r="O210" s="18">
        <f>IFERROR(
                  Andel_oberoende_av_klimat*VLOOKUP($A210,Leveranser_per_nät,'Leveranser per nät'!O$1,FALSE)
               +Andel_beroende_av_klimat*VLOOKUP($A210,Leveranser_per_nät,'Leveranser per nät'!O$1,FALSE)/VLOOKUP("Köping",Korrigeringsfaktor_GD,'Korrigeringsfaktor GD'!O$1,FALSE),
"")</f>
        <v>39.114606741573034</v>
      </c>
      <c r="P210" s="18">
        <f>IFERROR(
                  Andel_oberoende_av_klimat*VLOOKUP($A210,Leveranser_per_nät,'Leveranser per nät'!P$1,FALSE)
               +Andel_beroende_av_klimat*VLOOKUP($A210,Leveranser_per_nät,'Leveranser per nät'!P$1,FALSE)/VLOOKUP("Köping",Korrigeringsfaktor_GD,'Korrigeringsfaktor GD'!P$1,FALSE),
"")</f>
        <v>38.542857142857144</v>
      </c>
      <c r="Q210" s="18">
        <f>IFERROR(
                  Andel_oberoende_av_klimat*VLOOKUP($A210,Leveranser_per_nät,'Leveranser per nät'!Q$1,FALSE)
               +Andel_beroende_av_klimat*VLOOKUP($A210,Leveranser_per_nät,'Leveranser per nät'!Q$1,FALSE)/VLOOKUP("Köping",Korrigeringsfaktor_GD,'Korrigeringsfaktor GD'!Q$1,FALSE),
"")</f>
        <v>38.806153846153848</v>
      </c>
      <c r="R210" s="18">
        <f>IFERROR(
                  Andel_oberoende_av_klimat*VLOOKUP($A210,Leveranser_per_nät,'Leveranser per nät'!R$1,FALSE)
               +Andel_beroende_av_klimat*VLOOKUP($A210,Leveranser_per_nät,'Leveranser per nät'!R$1,FALSE)/VLOOKUP("Köping",Korrigeringsfaktor_GD,'Korrigeringsfaktor GD'!R$1,FALSE),
"")</f>
        <v>38.799999999999997</v>
      </c>
      <c r="S210" s="18">
        <f>IFERROR(
                  Andel_oberoende_av_klimat*VLOOKUP($A210,Leveranser_per_nät,'Leveranser per nät'!S$1,FALSE)
               +Andel_beroende_av_klimat*VLOOKUP($A210,Leveranser_per_nät,'Leveranser per nät'!S$1,FALSE)/VLOOKUP("Köping",Korrigeringsfaktor_GD,'Korrigeringsfaktor GD'!S$1,FALSE),
"")</f>
        <v>39</v>
      </c>
      <c r="T210" s="18">
        <f>IFERROR(
                  Andel_oberoende_av_klimat*VLOOKUP($A210,Leveranser_per_nät,'Leveranser per nät'!T$1,FALSE)
               +Andel_beroende_av_klimat*VLOOKUP($A210,Leveranser_per_nät,'Leveranser per nät'!T$1,FALSE)/VLOOKUP("Köping",Korrigeringsfaktor_GD,'Korrigeringsfaktor GD'!T$1,FALSE),
"")</f>
        <v>38.285000000000004</v>
      </c>
      <c r="U210" s="18">
        <f>IFERROR(
                  Andel_oberoende_av_klimat*VLOOKUP($A210,Leveranser_per_nät,'Leveranser per nät'!U$1,FALSE)
               +Andel_beroende_av_klimat*VLOOKUP($A210,Leveranser_per_nät,'Leveranser per nät'!U$1,FALSE)/VLOOKUP("Köping",Korrigeringsfaktor_GD,'Korrigeringsfaktor GD'!U$1,FALSE),
"")</f>
        <v>37.683636363636367</v>
      </c>
      <c r="V210" s="18">
        <f>IFERROR(
                  Andel_oberoende_av_klimat*VLOOKUP($A210,Leveranser_per_nät,'Leveranser per nät'!V$1,FALSE)
               +Andel_beroende_av_klimat*VLOOKUP($A210,Leveranser_per_nät,'Leveranser per nät'!V$1,FALSE)/VLOOKUP("Köping",Korrigeringsfaktor_GD,'Korrigeringsfaktor GD'!V$1,FALSE),
"")</f>
        <v>37.683636363636367</v>
      </c>
      <c r="W210" s="18">
        <f>IFERROR(
                  Andel_oberoende_av_klimat*VLOOKUP($A210,Leveranser_per_nät,'Leveranser per nät'!W$1,FALSE)
               +Andel_beroende_av_klimat*VLOOKUP($A210,Leveranser_per_nät,'Leveranser per nät'!W$1,FALSE)/VLOOKUP("Köping",Korrigeringsfaktor_GD,'Korrigeringsfaktor GD'!W$1,FALSE),
"")</f>
        <v>39.581075268817209</v>
      </c>
      <c r="X210" s="18">
        <f>IFERROR(
                  Andel_oberoende_av_klimat*VLOOKUP($A210,Leveranser_per_nät,'Leveranser per nät'!X$1,FALSE)
               +Andel_beroende_av_klimat*VLOOKUP($A210,Leveranser_per_nät,'Leveranser per nät'!X$1,FALSE)/VLOOKUP("Köping",Korrigeringsfaktor_GD,'Korrigeringsfaktor GD'!X$1,FALSE),
"")</f>
        <v>40.220212765957449</v>
      </c>
      <c r="Y210" s="18">
        <f>IFERROR(
                  Andel_oberoende_av_klimat*VLOOKUP($A210,Leveranser_per_nät,'Leveranser per nät'!Y$1,FALSE)
               +Andel_beroende_av_klimat*VLOOKUP($A210,Leveranser_per_nät,'Leveranser per nät'!Y$1,FALSE)/VLOOKUP($B210,Korrigeringsfaktor_GD,'Korrigeringsfaktor GD'!Y$1,FALSE),
"")</f>
        <v>40.416923076923077</v>
      </c>
      <c r="Z210" s="18">
        <f>IFERROR(
                  Andel_oberoende_av_klimat*VLOOKUP($A210,Leveranser_per_nät,'Leveranser per nät'!Z$1,FALSE)
               +Andel_beroende_av_klimat*VLOOKUP($A210,Leveranser_per_nät,'Leveranser per nät'!Z$1,FALSE)/VLOOKUP($B210,Korrigeringsfaktor_GD,'Korrigeringsfaktor GD'!Z$1,FALSE),
"")</f>
        <v>43.791204819277105</v>
      </c>
      <c r="AA210" s="18">
        <f>IFERROR(
                  Andel_oberoende_av_klimat*VLOOKUP($A210,Leveranser_per_nät,'Leveranser per nät'!AA$1,FALSE)
               +Andel_beroende_av_klimat*VLOOKUP($A210,Leveranser_per_nät,'Leveranser per nät'!AA$1,FALSE)/VLOOKUP($B210,Korrigeringsfaktor_GD,'Korrigeringsfaktor GD'!AA$1,FALSE),
"")</f>
        <v>41.652091188075403</v>
      </c>
      <c r="AB210" s="18">
        <f>IFERROR(
                  Andel_oberoende_av_klimat*VLOOKUP($A210,Leveranser_per_nät,'Leveranser per nät'!AB$1,FALSE)
               +Andel_beroende_av_klimat*VLOOKUP($A210,Leveranser_per_nät,'Leveranser per nät'!AB$1,FALSE)/VLOOKUP($B210,Korrigeringsfaktor_GD,'Korrigeringsfaktor GD'!AB$1,FALSE),
"")</f>
        <v>38.142810969637615</v>
      </c>
      <c r="AC210" s="18">
        <f>IFERROR(
                  Andel_oberoende_av_klimat*VLOOKUP($A210,Leveranser_per_nät,'Leveranser per nät'!AC$1,FALSE)
               +Andel_beroende_av_klimat*VLOOKUP($A210,Leveranser_per_nät,'Leveranser per nät'!AC$1,FALSE)/VLOOKUP($B210,Korrigeringsfaktor_GD,'Korrigeringsfaktor GD'!AC$1,FALSE),
"")</f>
        <v>37.380224119530418</v>
      </c>
      <c r="AD210">
        <v>35.700000000000003</v>
      </c>
    </row>
    <row r="211" spans="1:30" x14ac:dyDescent="0.25">
      <c r="A211" t="s">
        <v>173</v>
      </c>
      <c r="B211" t="s">
        <v>173</v>
      </c>
      <c r="C211" s="18">
        <f>IFERROR(
                  Andel_oberoende_av_klimat*VLOOKUP($A211,Leveranser_per_nät,'Leveranser per nät'!C$1,FALSE)
               +Andel_beroende_av_klimat*VLOOKUP($A211,Leveranser_per_nät,'Leveranser per nät'!C$1,FALSE)/VLOOKUP($B211,Korrigeringsfaktor_GD,'Korrigeringsfaktor GD'!C$1,FALSE),
"")</f>
        <v>0</v>
      </c>
      <c r="D211" s="18">
        <f>IFERROR(
                  Andel_oberoende_av_klimat*VLOOKUP($A211,Leveranser_per_nät,'Leveranser per nät'!D$1,FALSE)
               +Andel_beroende_av_klimat*VLOOKUP($A211,Leveranser_per_nät,'Leveranser per nät'!D$1,FALSE)/VLOOKUP($B211,Korrigeringsfaktor_GD,'Korrigeringsfaktor GD'!D$1,FALSE),
"")</f>
        <v>0</v>
      </c>
      <c r="E211" s="18">
        <f>IFERROR(
                  Andel_oberoende_av_klimat*VLOOKUP($A211,Leveranser_per_nät,'Leveranser per nät'!E$1,FALSE)
               +Andel_beroende_av_klimat*VLOOKUP($A211,Leveranser_per_nät,'Leveranser per nät'!E$1,FALSE)/VLOOKUP($B211,Korrigeringsfaktor_GD,'Korrigeringsfaktor GD'!E$1,FALSE),
"")</f>
        <v>70.421523762376225</v>
      </c>
      <c r="F211" s="18">
        <f>IFERROR(
                  Andel_oberoende_av_klimat*VLOOKUP($A211,Leveranser_per_nät,'Leveranser per nät'!F$1,FALSE)
               +Andel_beroende_av_klimat*VLOOKUP($A211,Leveranser_per_nät,'Leveranser per nät'!F$1,FALSE)/VLOOKUP($B211,Korrigeringsfaktor_GD,'Korrigeringsfaktor GD'!F$1,FALSE),
"")</f>
        <v>88.131578947368425</v>
      </c>
      <c r="G211" s="18">
        <f>IFERROR(
                  Andel_oberoende_av_klimat*VLOOKUP($A211,Leveranser_per_nät,'Leveranser per nät'!G$1,FALSE)
               +Andel_beroende_av_klimat*VLOOKUP($A211,Leveranser_per_nät,'Leveranser per nät'!G$1,FALSE)/VLOOKUP($B211,Korrigeringsfaktor_GD,'Korrigeringsfaktor GD'!G$1,FALSE),
"")</f>
        <v>90.316006976744177</v>
      </c>
      <c r="H211" s="18">
        <f>IFERROR(
                  Andel_oberoende_av_klimat*VLOOKUP($A211,Leveranser_per_nät,'Leveranser per nät'!H$1,FALSE)
               +Andel_beroende_av_klimat*VLOOKUP($A211,Leveranser_per_nät,'Leveranser per nät'!H$1,FALSE)/VLOOKUP($B211,Korrigeringsfaktor_GD,'Korrigeringsfaktor GD'!H$1,FALSE),
"")</f>
        <v>88.764705882352942</v>
      </c>
      <c r="I211" s="18">
        <f>IFERROR(
                  Andel_oberoende_av_klimat*VLOOKUP($A211,Leveranser_per_nät,'Leveranser per nät'!I$1,FALSE)
               +Andel_beroende_av_klimat*VLOOKUP($A211,Leveranser_per_nät,'Leveranser per nät'!I$1,FALSE)/VLOOKUP($B211,Korrigeringsfaktor_GD,'Korrigeringsfaktor GD'!I$1,FALSE),
"")</f>
        <v>93.315789473684205</v>
      </c>
      <c r="J211" s="18">
        <f>IFERROR(
                  Andel_oberoende_av_klimat*VLOOKUP($A211,Leveranser_per_nät,'Leveranser per nät'!J$1,FALSE)
               +Andel_beroende_av_klimat*VLOOKUP($A211,Leveranser_per_nät,'Leveranser per nät'!J$1,FALSE)/VLOOKUP($B211,Korrigeringsfaktor_GD,'Korrigeringsfaktor GD'!J$1,FALSE),
"")</f>
        <v>95.913414141414137</v>
      </c>
      <c r="K211" s="18">
        <f>IFERROR(
                  Andel_oberoende_av_klimat*VLOOKUP($A211,Leveranser_per_nät,'Leveranser per nät'!K$1,FALSE)
               +Andel_beroende_av_klimat*VLOOKUP($A211,Leveranser_per_nät,'Leveranser per nät'!K$1,FALSE)/VLOOKUP($B211,Korrigeringsfaktor_GD,'Korrigeringsfaktor GD'!K$1,FALSE),
"")</f>
        <v>98.69</v>
      </c>
      <c r="L211" s="18">
        <f>IFERROR(
                  Andel_oberoende_av_klimat*VLOOKUP($A211,Leveranser_per_nät,'Leveranser per nät'!L$1,FALSE)
               +Andel_beroende_av_klimat*VLOOKUP($A211,Leveranser_per_nät,'Leveranser per nät'!L$1,FALSE)/VLOOKUP($B211,Korrigeringsfaktor_GD,'Korrigeringsfaktor GD'!L$1,FALSE),
"")</f>
        <v>93.654166666666669</v>
      </c>
      <c r="M211" s="18">
        <f>IFERROR(
                  Andel_oberoende_av_klimat*VLOOKUP($A211,Leveranser_per_nät,'Leveranser per nät'!M$1,FALSE)
               +Andel_beroende_av_klimat*VLOOKUP($A211,Leveranser_per_nät,'Leveranser per nät'!M$1,FALSE)/VLOOKUP($B211,Korrigeringsfaktor_GD,'Korrigeringsfaktor GD'!M$1,FALSE),
"")</f>
        <v>105.02608695652174</v>
      </c>
      <c r="N211" s="18">
        <f>IFERROR(
                  Andel_oberoende_av_klimat*VLOOKUP($A211,Leveranser_per_nät,'Leveranser per nät'!N$1,FALSE)
               +Andel_beroende_av_klimat*VLOOKUP($A211,Leveranser_per_nät,'Leveranser per nät'!N$1,FALSE)/VLOOKUP($B211,Korrigeringsfaktor_GD,'Korrigeringsfaktor GD'!N$1,FALSE),
"")</f>
        <v>126.82211111111113</v>
      </c>
      <c r="O211" s="18">
        <f>IFERROR(
                  Andel_oberoende_av_klimat*VLOOKUP($A211,Leveranser_per_nät,'Leveranser per nät'!O$1,FALSE)
               +Andel_beroende_av_klimat*VLOOKUP($A211,Leveranser_per_nät,'Leveranser per nät'!O$1,FALSE)/VLOOKUP($B211,Korrigeringsfaktor_GD,'Korrigeringsfaktor GD'!O$1,FALSE),
"")</f>
        <v>112.89430344827585</v>
      </c>
      <c r="P211" s="18">
        <f>IFERROR(
                  Andel_oberoende_av_klimat*VLOOKUP($A211,Leveranser_per_nät,'Leveranser per nät'!P$1,FALSE)
               +Andel_beroende_av_klimat*VLOOKUP($A211,Leveranser_per_nät,'Leveranser per nät'!P$1,FALSE)/VLOOKUP($B211,Korrigeringsfaktor_GD,'Korrigeringsfaktor GD'!P$1,FALSE),
"")</f>
        <v>113.17745833333333</v>
      </c>
      <c r="Q211" s="18">
        <f>IFERROR(
                  Andel_oberoende_av_klimat*VLOOKUP($A211,Leveranser_per_nät,'Leveranser per nät'!Q$1,FALSE)
               +Andel_beroende_av_klimat*VLOOKUP($A211,Leveranser_per_nät,'Leveranser per nät'!Q$1,FALSE)/VLOOKUP($B211,Korrigeringsfaktor_GD,'Korrigeringsfaktor GD'!Q$1,FALSE),
"")</f>
        <v>122.06213220338984</v>
      </c>
      <c r="R211" s="18">
        <f>IFERROR(
                  Andel_oberoende_av_klimat*VLOOKUP($A211,Leveranser_per_nät,'Leveranser per nät'!R$1,FALSE)
               +Andel_beroende_av_klimat*VLOOKUP($A211,Leveranser_per_nät,'Leveranser per nät'!R$1,FALSE)/VLOOKUP($B211,Korrigeringsfaktor_GD,'Korrigeringsfaktor GD'!R$1,FALSE),
"")</f>
        <v>118.55555555555557</v>
      </c>
      <c r="S211" s="18">
        <f>IFERROR(
                  Andel_oberoende_av_klimat*VLOOKUP($A211,Leveranser_per_nät,'Leveranser per nät'!S$1,FALSE)
               +Andel_beroende_av_klimat*VLOOKUP($A211,Leveranser_per_nät,'Leveranser per nät'!S$1,FALSE)/VLOOKUP($B211,Korrigeringsfaktor_GD,'Korrigeringsfaktor GD'!S$1,FALSE),
"")</f>
        <v>127.11287128712871</v>
      </c>
      <c r="T211" s="18">
        <f>IFERROR(
                  Andel_oberoende_av_klimat*VLOOKUP($A211,Leveranser_per_nät,'Leveranser per nät'!T$1,FALSE)
               +Andel_beroende_av_klimat*VLOOKUP($A211,Leveranser_per_nät,'Leveranser per nät'!T$1,FALSE)/VLOOKUP($B211,Korrigeringsfaktor_GD,'Korrigeringsfaktor GD'!T$1,FALSE),
"")</f>
        <v>128.51</v>
      </c>
      <c r="U211" s="18">
        <f>IFERROR(
                  Andel_oberoende_av_klimat*VLOOKUP($A211,Leveranser_per_nät,'Leveranser per nät'!U$1,FALSE)
               +Andel_beroende_av_klimat*VLOOKUP($A211,Leveranser_per_nät,'Leveranser per nät'!U$1,FALSE)/VLOOKUP($B211,Korrigeringsfaktor_GD,'Korrigeringsfaktor GD'!U$1,FALSE),
"")</f>
        <v>121.26666666666665</v>
      </c>
      <c r="V211" s="18">
        <f>IFERROR(
                  Andel_oberoende_av_klimat*VLOOKUP($A211,Leveranser_per_nät,'Leveranser per nät'!V$1,FALSE)
               +Andel_beroende_av_klimat*VLOOKUP($A211,Leveranser_per_nät,'Leveranser per nät'!V$1,FALSE)/VLOOKUP($B211,Korrigeringsfaktor_GD,'Korrigeringsfaktor GD'!V$1,FALSE),
"")</f>
        <v>125.71</v>
      </c>
      <c r="W211" s="18">
        <f>IFERROR(
                  Andel_oberoende_av_klimat*VLOOKUP($A211,Leveranser_per_nät,'Leveranser per nät'!W$1,FALSE)
               +Andel_beroende_av_klimat*VLOOKUP($A211,Leveranser_per_nät,'Leveranser per nät'!W$1,FALSE)/VLOOKUP($B211,Korrigeringsfaktor_GD,'Korrigeringsfaktor GD'!W$1,FALSE),
"")</f>
        <v>119.23684210526318</v>
      </c>
      <c r="X211" s="18">
        <f>IFERROR(
                  Andel_oberoende_av_klimat*VLOOKUP($A211,Leveranser_per_nät,'Leveranser per nät'!X$1,FALSE)
               +Andel_beroende_av_klimat*VLOOKUP($A211,Leveranser_per_nät,'Leveranser per nät'!X$1,FALSE)/VLOOKUP($B211,Korrigeringsfaktor_GD,'Korrigeringsfaktor GD'!X$1,FALSE),
"")</f>
        <v>118.95376344086021</v>
      </c>
      <c r="Y211" s="18">
        <f>IFERROR(
                  Andel_oberoende_av_klimat*VLOOKUP($A211,Leveranser_per_nät,'Leveranser per nät'!Y$1,FALSE)
               +Andel_beroende_av_klimat*VLOOKUP($A211,Leveranser_per_nät,'Leveranser per nät'!Y$1,FALSE)/VLOOKUP($B211,Korrigeringsfaktor_GD,'Korrigeringsfaktor GD'!Y$1,FALSE),
"")</f>
        <v>123.06086956521739</v>
      </c>
      <c r="Z211" s="18">
        <f>IFERROR(
                  Andel_oberoende_av_klimat*VLOOKUP($A211,Leveranser_per_nät,'Leveranser per nät'!Z$1,FALSE)
               +Andel_beroende_av_klimat*VLOOKUP($A211,Leveranser_per_nät,'Leveranser per nät'!Z$1,FALSE)/VLOOKUP($B211,Korrigeringsfaktor_GD,'Korrigeringsfaktor GD'!Z$1,FALSE),
"")</f>
        <v>120.72695652173914</v>
      </c>
      <c r="AA211" s="18">
        <f>IFERROR(
                  Andel_oberoende_av_klimat*VLOOKUP($A211,Leveranser_per_nät,'Leveranser per nät'!AA$1,FALSE)
               +Andel_beroende_av_klimat*VLOOKUP($A211,Leveranser_per_nät,'Leveranser per nät'!AA$1,FALSE)/VLOOKUP($B211,Korrigeringsfaktor_GD,'Korrigeringsfaktor GD'!AA$1,FALSE),
"")</f>
        <v>125.56850282485877</v>
      </c>
      <c r="AB211" s="18">
        <f>IFERROR(
                  Andel_oberoende_av_klimat*VLOOKUP($A211,Leveranser_per_nät,'Leveranser per nät'!AB$1,FALSE)
               +Andel_beroende_av_klimat*VLOOKUP($A211,Leveranser_per_nät,'Leveranser per nät'!AB$1,FALSE)/VLOOKUP($B211,Korrigeringsfaktor_GD,'Korrigeringsfaktor GD'!AB$1,FALSE),
"")</f>
        <v>0</v>
      </c>
      <c r="AC211" s="18">
        <f>IFERROR(
                  Andel_oberoende_av_klimat*VLOOKUP($A211,Leveranser_per_nät,'Leveranser per nät'!AC$1,FALSE)
               +Andel_beroende_av_klimat*VLOOKUP($A211,Leveranser_per_nät,'Leveranser per nät'!AC$1,FALSE)/VLOOKUP($B211,Korrigeringsfaktor_GD,'Korrigeringsfaktor GD'!AC$1,FALSE),
"")</f>
        <v>0</v>
      </c>
      <c r="AD211" t="e">
        <v>#N/A</v>
      </c>
    </row>
    <row r="212" spans="1:30" x14ac:dyDescent="0.25">
      <c r="A212" t="s">
        <v>1139</v>
      </c>
      <c r="B212" t="s">
        <v>173</v>
      </c>
      <c r="C212" s="18">
        <f>IFERROR(
                  Andel_oberoende_av_klimat*VLOOKUP($A212,Leveranser_per_nät,'Leveranser per nät'!C$1,FALSE)
               +Andel_beroende_av_klimat*VLOOKUP($A212,Leveranser_per_nät,'Leveranser per nät'!C$1,FALSE)/VLOOKUP($B212,Korrigeringsfaktor_GD,'Korrigeringsfaktor GD'!C$1,FALSE),
"")</f>
        <v>0</v>
      </c>
      <c r="D212" s="18">
        <f>IFERROR(
                  Andel_oberoende_av_klimat*VLOOKUP($A212,Leveranser_per_nät,'Leveranser per nät'!D$1,FALSE)
               +Andel_beroende_av_klimat*VLOOKUP($A212,Leveranser_per_nät,'Leveranser per nät'!D$1,FALSE)/VLOOKUP($B212,Korrigeringsfaktor_GD,'Korrigeringsfaktor GD'!D$1,FALSE),
"")</f>
        <v>0</v>
      </c>
      <c r="E212" s="18">
        <f>IFERROR(
                  Andel_oberoende_av_klimat*VLOOKUP($A212,Leveranser_per_nät,'Leveranser per nät'!E$1,FALSE)
               +Andel_beroende_av_klimat*VLOOKUP($A212,Leveranser_per_nät,'Leveranser per nät'!E$1,FALSE)/VLOOKUP($B212,Korrigeringsfaktor_GD,'Korrigeringsfaktor GD'!E$1,FALSE),
"")</f>
        <v>0</v>
      </c>
      <c r="F212" s="18">
        <f>IFERROR(
                  Andel_oberoende_av_klimat*VLOOKUP($A212,Leveranser_per_nät,'Leveranser per nät'!F$1,FALSE)
               +Andel_beroende_av_klimat*VLOOKUP($A212,Leveranser_per_nät,'Leveranser per nät'!F$1,FALSE)/VLOOKUP($B212,Korrigeringsfaktor_GD,'Korrigeringsfaktor GD'!F$1,FALSE),
"")</f>
        <v>0</v>
      </c>
      <c r="G212" s="18">
        <f>IFERROR(
                  Andel_oberoende_av_klimat*VLOOKUP($A212,Leveranser_per_nät,'Leveranser per nät'!G$1,FALSE)
               +Andel_beroende_av_klimat*VLOOKUP($A212,Leveranser_per_nät,'Leveranser per nät'!G$1,FALSE)/VLOOKUP($B212,Korrigeringsfaktor_GD,'Korrigeringsfaktor GD'!G$1,FALSE),
"")</f>
        <v>0</v>
      </c>
      <c r="H212" s="18">
        <f>IFERROR(
                  Andel_oberoende_av_klimat*VLOOKUP($A212,Leveranser_per_nät,'Leveranser per nät'!H$1,FALSE)
               +Andel_beroende_av_klimat*VLOOKUP($A212,Leveranser_per_nät,'Leveranser per nät'!H$1,FALSE)/VLOOKUP($B212,Korrigeringsfaktor_GD,'Korrigeringsfaktor GD'!H$1,FALSE),
"")</f>
        <v>0</v>
      </c>
      <c r="I212" s="18">
        <f>IFERROR(
                  Andel_oberoende_av_klimat*VLOOKUP($A212,Leveranser_per_nät,'Leveranser per nät'!I$1,FALSE)
               +Andel_beroende_av_klimat*VLOOKUP($A212,Leveranser_per_nät,'Leveranser per nät'!I$1,FALSE)/VLOOKUP($B212,Korrigeringsfaktor_GD,'Korrigeringsfaktor GD'!I$1,FALSE),
"")</f>
        <v>0</v>
      </c>
      <c r="J212" s="18">
        <f>IFERROR(
                  Andel_oberoende_av_klimat*VLOOKUP($A212,Leveranser_per_nät,'Leveranser per nät'!J$1,FALSE)
               +Andel_beroende_av_klimat*VLOOKUP($A212,Leveranser_per_nät,'Leveranser per nät'!J$1,FALSE)/VLOOKUP($B212,Korrigeringsfaktor_GD,'Korrigeringsfaktor GD'!J$1,FALSE),
"")</f>
        <v>0</v>
      </c>
      <c r="K212" s="18">
        <f>IFERROR(
                  Andel_oberoende_av_klimat*VLOOKUP($A212,Leveranser_per_nät,'Leveranser per nät'!K$1,FALSE)
               +Andel_beroende_av_klimat*VLOOKUP($A212,Leveranser_per_nät,'Leveranser per nät'!K$1,FALSE)/VLOOKUP($B212,Korrigeringsfaktor_GD,'Korrigeringsfaktor GD'!K$1,FALSE),
"")</f>
        <v>0</v>
      </c>
      <c r="L212" s="18">
        <f>IFERROR(
                  Andel_oberoende_av_klimat*VLOOKUP($A212,Leveranser_per_nät,'Leveranser per nät'!L$1,FALSE)
               +Andel_beroende_av_klimat*VLOOKUP($A212,Leveranser_per_nät,'Leveranser per nät'!L$1,FALSE)/VLOOKUP($B212,Korrigeringsfaktor_GD,'Korrigeringsfaktor GD'!L$1,FALSE),
"")</f>
        <v>0</v>
      </c>
      <c r="M212" s="18">
        <f>IFERROR(
                  Andel_oberoende_av_klimat*VLOOKUP($A212,Leveranser_per_nät,'Leveranser per nät'!M$1,FALSE)
               +Andel_beroende_av_klimat*VLOOKUP($A212,Leveranser_per_nät,'Leveranser per nät'!M$1,FALSE)/VLOOKUP($B212,Korrigeringsfaktor_GD,'Korrigeringsfaktor GD'!M$1,FALSE),
"")</f>
        <v>0</v>
      </c>
      <c r="N212" s="18">
        <f>IFERROR(
                  Andel_oberoende_av_klimat*VLOOKUP($A212,Leveranser_per_nät,'Leveranser per nät'!N$1,FALSE)
               +Andel_beroende_av_klimat*VLOOKUP($A212,Leveranser_per_nät,'Leveranser per nät'!N$1,FALSE)/VLOOKUP($B212,Korrigeringsfaktor_GD,'Korrigeringsfaktor GD'!N$1,FALSE),
"")</f>
        <v>0</v>
      </c>
      <c r="O212" s="18">
        <f>IFERROR(
                  Andel_oberoende_av_klimat*VLOOKUP($A212,Leveranser_per_nät,'Leveranser per nät'!O$1,FALSE)
               +Andel_beroende_av_klimat*VLOOKUP($A212,Leveranser_per_nät,'Leveranser per nät'!O$1,FALSE)/VLOOKUP($B212,Korrigeringsfaktor_GD,'Korrigeringsfaktor GD'!O$1,FALSE),
"")</f>
        <v>0</v>
      </c>
      <c r="P212" s="18">
        <f>IFERROR(
                  Andel_oberoende_av_klimat*VLOOKUP($A212,Leveranser_per_nät,'Leveranser per nät'!P$1,FALSE)
               +Andel_beroende_av_klimat*VLOOKUP($A212,Leveranser_per_nät,'Leveranser per nät'!P$1,FALSE)/VLOOKUP($B212,Korrigeringsfaktor_GD,'Korrigeringsfaktor GD'!P$1,FALSE),
"")</f>
        <v>0</v>
      </c>
      <c r="Q212" s="18">
        <f>IFERROR(
                  Andel_oberoende_av_klimat*VLOOKUP($A212,Leveranser_per_nät,'Leveranser per nät'!Q$1,FALSE)
               +Andel_beroende_av_klimat*VLOOKUP($A212,Leveranser_per_nät,'Leveranser per nät'!Q$1,FALSE)/VLOOKUP($B212,Korrigeringsfaktor_GD,'Korrigeringsfaktor GD'!Q$1,FALSE),
"")</f>
        <v>0</v>
      </c>
      <c r="R212" s="18">
        <f>IFERROR(
                  Andel_oberoende_av_klimat*VLOOKUP($A212,Leveranser_per_nät,'Leveranser per nät'!R$1,FALSE)
               +Andel_beroende_av_klimat*VLOOKUP($A212,Leveranser_per_nät,'Leveranser per nät'!R$1,FALSE)/VLOOKUP($B212,Korrigeringsfaktor_GD,'Korrigeringsfaktor GD'!R$1,FALSE),
"")</f>
        <v>0</v>
      </c>
      <c r="S212" s="18">
        <f>IFERROR(
                  Andel_oberoende_av_klimat*VLOOKUP($A212,Leveranser_per_nät,'Leveranser per nät'!S$1,FALSE)
               +Andel_beroende_av_klimat*VLOOKUP($A212,Leveranser_per_nät,'Leveranser per nät'!S$1,FALSE)/VLOOKUP($B212,Korrigeringsfaktor_GD,'Korrigeringsfaktor GD'!S$1,FALSE),
"")</f>
        <v>0</v>
      </c>
      <c r="T212" s="18">
        <f>IFERROR(
                  Andel_oberoende_av_klimat*VLOOKUP($A212,Leveranser_per_nät,'Leveranser per nät'!T$1,FALSE)
               +Andel_beroende_av_klimat*VLOOKUP($A212,Leveranser_per_nät,'Leveranser per nät'!T$1,FALSE)/VLOOKUP($B212,Korrigeringsfaktor_GD,'Korrigeringsfaktor GD'!T$1,FALSE),
"")</f>
        <v>0</v>
      </c>
      <c r="U212" s="18">
        <f>IFERROR(
                  Andel_oberoende_av_klimat*VLOOKUP($A212,Leveranser_per_nät,'Leveranser per nät'!U$1,FALSE)
               +Andel_beroende_av_klimat*VLOOKUP($A212,Leveranser_per_nät,'Leveranser per nät'!U$1,FALSE)/VLOOKUP($B212,Korrigeringsfaktor_GD,'Korrigeringsfaktor GD'!U$1,FALSE),
"")</f>
        <v>0</v>
      </c>
      <c r="V212" s="18">
        <f>IFERROR(
                  Andel_oberoende_av_klimat*VLOOKUP($A212,Leveranser_per_nät,'Leveranser per nät'!V$1,FALSE)
               +Andel_beroende_av_klimat*VLOOKUP($A212,Leveranser_per_nät,'Leveranser per nät'!V$1,FALSE)/VLOOKUP($B212,Korrigeringsfaktor_GD,'Korrigeringsfaktor GD'!V$1,FALSE),
"")</f>
        <v>0</v>
      </c>
      <c r="W212" s="18">
        <f>IFERROR(
                  Andel_oberoende_av_klimat*VLOOKUP($A212,Leveranser_per_nät,'Leveranser per nät'!W$1,FALSE)
               +Andel_beroende_av_klimat*VLOOKUP($A212,Leveranser_per_nät,'Leveranser per nät'!W$1,FALSE)/VLOOKUP($B212,Korrigeringsfaktor_GD,'Korrigeringsfaktor GD'!W$1,FALSE),
"")</f>
        <v>0</v>
      </c>
      <c r="X212" s="18">
        <f>IFERROR(
                  Andel_oberoende_av_klimat*VLOOKUP($A212,Leveranser_per_nät,'Leveranser per nät'!X$1,FALSE)
               +Andel_beroende_av_klimat*VLOOKUP($A212,Leveranser_per_nät,'Leveranser per nät'!X$1,FALSE)/VLOOKUP($B212,Korrigeringsfaktor_GD,'Korrigeringsfaktor GD'!X$1,FALSE),
"")</f>
        <v>0</v>
      </c>
      <c r="Y212" s="18">
        <f>IFERROR(
                  Andel_oberoende_av_klimat*VLOOKUP($A212,Leveranser_per_nät,'Leveranser per nät'!Y$1,FALSE)
               +Andel_beroende_av_klimat*VLOOKUP($A212,Leveranser_per_nät,'Leveranser per nät'!Y$1,FALSE)/VLOOKUP($B212,Korrigeringsfaktor_GD,'Korrigeringsfaktor GD'!Y$1,FALSE),
"")</f>
        <v>0</v>
      </c>
      <c r="Z212" s="18">
        <f>IFERROR(
                  Andel_oberoende_av_klimat*VLOOKUP($A212,Leveranser_per_nät,'Leveranser per nät'!Z$1,FALSE)
               +Andel_beroende_av_klimat*VLOOKUP($A212,Leveranser_per_nät,'Leveranser per nät'!Z$1,FALSE)/VLOOKUP($B212,Korrigeringsfaktor_GD,'Korrigeringsfaktor GD'!Z$1,FALSE),
"")</f>
        <v>0</v>
      </c>
      <c r="AA212" s="18">
        <f>IFERROR(
                  Andel_oberoende_av_klimat*VLOOKUP($A212,Leveranser_per_nät,'Leveranser per nät'!AA$1,FALSE)
               +Andel_beroende_av_klimat*VLOOKUP($A212,Leveranser_per_nät,'Leveranser per nät'!AA$1,FALSE)/VLOOKUP($B212,Korrigeringsfaktor_GD,'Korrigeringsfaktor GD'!AA$1,FALSE),
"")</f>
        <v>0</v>
      </c>
      <c r="AB212" s="18">
        <f>IFERROR(
                  Andel_oberoende_av_klimat*VLOOKUP($A212,Leveranser_per_nät,'Leveranser per nät'!AB$1,FALSE)
               +Andel_beroende_av_klimat*VLOOKUP($A212,Leveranser_per_nät,'Leveranser per nät'!AB$1,FALSE)/VLOOKUP($B212,Korrigeringsfaktor_GD,'Korrigeringsfaktor GD'!AB$1,FALSE),
"")</f>
        <v>126.83783783783784</v>
      </c>
      <c r="AC212" s="18">
        <f>IFERROR(
                  Andel_oberoende_av_klimat*VLOOKUP($A212,Leveranser_per_nät,'Leveranser per nät'!AC$1,FALSE)
               +Andel_beroende_av_klimat*VLOOKUP($A212,Leveranser_per_nät,'Leveranser per nät'!AC$1,FALSE)/VLOOKUP($B212,Korrigeringsfaktor_GD,'Korrigeringsfaktor GD'!AC$1,FALSE),
"")</f>
        <v>119.31043944265809</v>
      </c>
      <c r="AD212" t="e">
        <v>#N/A</v>
      </c>
    </row>
    <row r="213" spans="1:30" x14ac:dyDescent="0.25">
      <c r="A213" t="s">
        <v>656</v>
      </c>
      <c r="B213" t="s">
        <v>165</v>
      </c>
      <c r="C213" s="18">
        <f>IFERROR(
                  Andel_oberoende_av_klimat*VLOOKUP($A213,Leveranser_per_nät,'Leveranser per nät'!C$1,FALSE)
               +Andel_beroende_av_klimat*VLOOKUP($A213,Leveranser_per_nät,'Leveranser per nät'!C$1,FALSE)/VLOOKUP($B213,Korrigeringsfaktor_GD,'Korrigeringsfaktor GD'!C$1,FALSE),
"")</f>
        <v>0</v>
      </c>
      <c r="D213" s="18">
        <f>IFERROR(
                  Andel_oberoende_av_klimat*VLOOKUP($A213,Leveranser_per_nät,'Leveranser per nät'!D$1,FALSE)
               +Andel_beroende_av_klimat*VLOOKUP($A213,Leveranser_per_nät,'Leveranser per nät'!D$1,FALSE)/VLOOKUP($B213,Korrigeringsfaktor_GD,'Korrigeringsfaktor GD'!D$1,FALSE),
"")</f>
        <v>0</v>
      </c>
      <c r="E213" s="18">
        <f>IFERROR(
                  Andel_oberoende_av_klimat*VLOOKUP($A213,Leveranser_per_nät,'Leveranser per nät'!E$1,FALSE)
               +Andel_beroende_av_klimat*VLOOKUP($A213,Leveranser_per_nät,'Leveranser per nät'!E$1,FALSE)/VLOOKUP($B213,Korrigeringsfaktor_GD,'Korrigeringsfaktor GD'!E$1,FALSE),
"")</f>
        <v>0</v>
      </c>
      <c r="F213" s="18">
        <f>IFERROR(
                  Andel_oberoende_av_klimat*VLOOKUP($A213,Leveranser_per_nät,'Leveranser per nät'!F$1,FALSE)
               +Andel_beroende_av_klimat*VLOOKUP($A213,Leveranser_per_nät,'Leveranser per nät'!F$1,FALSE)/VLOOKUP($B213,Korrigeringsfaktor_GD,'Korrigeringsfaktor GD'!F$1,FALSE),
"")</f>
        <v>0</v>
      </c>
      <c r="G213" s="18">
        <f>IFERROR(
                  Andel_oberoende_av_klimat*VLOOKUP($A213,Leveranser_per_nät,'Leveranser per nät'!G$1,FALSE)
               +Andel_beroende_av_klimat*VLOOKUP($A213,Leveranser_per_nät,'Leveranser per nät'!G$1,FALSE)/VLOOKUP($B213,Korrigeringsfaktor_GD,'Korrigeringsfaktor GD'!G$1,FALSE),
"")</f>
        <v>0</v>
      </c>
      <c r="H213" s="18">
        <f>IFERROR(
                  Andel_oberoende_av_klimat*VLOOKUP($A213,Leveranser_per_nät,'Leveranser per nät'!H$1,FALSE)
               +Andel_beroende_av_klimat*VLOOKUP($A213,Leveranser_per_nät,'Leveranser per nät'!H$1,FALSE)/VLOOKUP($B213,Korrigeringsfaktor_GD,'Korrigeringsfaktor GD'!H$1,FALSE),
"")</f>
        <v>0</v>
      </c>
      <c r="I213" s="18">
        <f>IFERROR(
                  Andel_oberoende_av_klimat*VLOOKUP($A213,Leveranser_per_nät,'Leveranser per nät'!I$1,FALSE)
               +Andel_beroende_av_klimat*VLOOKUP($A213,Leveranser_per_nät,'Leveranser per nät'!I$1,FALSE)/VLOOKUP($B213,Korrigeringsfaktor_GD,'Korrigeringsfaktor GD'!I$1,FALSE),
"")</f>
        <v>0</v>
      </c>
      <c r="J213" s="18">
        <f>IFERROR(
                  Andel_oberoende_av_klimat*VLOOKUP($A213,Leveranser_per_nät,'Leveranser per nät'!J$1,FALSE)
               +Andel_beroende_av_klimat*VLOOKUP($A213,Leveranser_per_nät,'Leveranser per nät'!J$1,FALSE)/VLOOKUP($B213,Korrigeringsfaktor_GD,'Korrigeringsfaktor GD'!J$1,FALSE),
"")</f>
        <v>0</v>
      </c>
      <c r="K213" s="18">
        <f>IFERROR(
                  Andel_oberoende_av_klimat*VLOOKUP($A213,Leveranser_per_nät,'Leveranser per nät'!K$1,FALSE)
               +Andel_beroende_av_klimat*VLOOKUP($A213,Leveranser_per_nät,'Leveranser per nät'!K$1,FALSE)/VLOOKUP($B213,Korrigeringsfaktor_GD,'Korrigeringsfaktor GD'!K$1,FALSE),
"")</f>
        <v>0</v>
      </c>
      <c r="L213" s="18">
        <f>IFERROR(
                  Andel_oberoende_av_klimat*VLOOKUP($A213,Leveranser_per_nät,'Leveranser per nät'!L$1,FALSE)
               +Andel_beroende_av_klimat*VLOOKUP($A213,Leveranser_per_nät,'Leveranser per nät'!L$1,FALSE)/VLOOKUP($B213,Korrigeringsfaktor_GD,'Korrigeringsfaktor GD'!L$1,FALSE),
"")</f>
        <v>0</v>
      </c>
      <c r="M213" s="18">
        <f>IFERROR(
                  Andel_oberoende_av_klimat*VLOOKUP($A213,Leveranser_per_nät,'Leveranser per nät'!M$1,FALSE)
               +Andel_beroende_av_klimat*VLOOKUP($A213,Leveranser_per_nät,'Leveranser per nät'!M$1,FALSE)/VLOOKUP($B213,Korrigeringsfaktor_GD,'Korrigeringsfaktor GD'!M$1,FALSE),
"")</f>
        <v>0</v>
      </c>
      <c r="N213" s="18">
        <f>IFERROR(
                  Andel_oberoende_av_klimat*VLOOKUP($A213,Leveranser_per_nät,'Leveranser per nät'!N$1,FALSE)
               +Andel_beroende_av_klimat*VLOOKUP($A213,Leveranser_per_nät,'Leveranser per nät'!N$1,FALSE)/VLOOKUP($B213,Korrigeringsfaktor_GD,'Korrigeringsfaktor GD'!N$1,FALSE),
"")</f>
        <v>4.2434782608695656</v>
      </c>
      <c r="O213" s="18">
        <f>IFERROR(
                  Andel_oberoende_av_klimat*VLOOKUP($A213,Leveranser_per_nät,'Leveranser per nät'!O$1,FALSE)
               +Andel_beroende_av_klimat*VLOOKUP($A213,Leveranser_per_nät,'Leveranser per nät'!O$1,FALSE)/VLOOKUP($B213,Korrigeringsfaktor_GD,'Korrigeringsfaktor GD'!O$1,FALSE),
"")</f>
        <v>0</v>
      </c>
      <c r="P213" s="18">
        <f>IFERROR(
                  Andel_oberoende_av_klimat*VLOOKUP($A213,Leveranser_per_nät,'Leveranser per nät'!P$1,FALSE)
               +Andel_beroende_av_klimat*VLOOKUP($A213,Leveranser_per_nät,'Leveranser per nät'!P$1,FALSE)/VLOOKUP($B213,Korrigeringsfaktor_GD,'Korrigeringsfaktor GD'!P$1,FALSE),
"")</f>
        <v>0</v>
      </c>
      <c r="Q213" s="18">
        <f>IFERROR(
                  Andel_oberoende_av_klimat*VLOOKUP($A213,Leveranser_per_nät,'Leveranser per nät'!Q$1,FALSE)
               +Andel_beroende_av_klimat*VLOOKUP($A213,Leveranser_per_nät,'Leveranser per nät'!Q$1,FALSE)/VLOOKUP($B213,Korrigeringsfaktor_GD,'Korrigeringsfaktor GD'!Q$1,FALSE),
"")</f>
        <v>4.1287586206896556</v>
      </c>
      <c r="R213" s="18">
        <f>IFERROR(
                  Andel_oberoende_av_klimat*VLOOKUP($A213,Leveranser_per_nät,'Leveranser per nät'!R$1,FALSE)
               +Andel_beroende_av_klimat*VLOOKUP($A213,Leveranser_per_nät,'Leveranser per nät'!R$1,FALSE)/VLOOKUP($B213,Korrigeringsfaktor_GD,'Korrigeringsfaktor GD'!R$1,FALSE),
"")</f>
        <v>3.6428888888888888</v>
      </c>
      <c r="S213" s="18">
        <f>IFERROR(
                  Andel_oberoende_av_klimat*VLOOKUP($A213,Leveranser_per_nät,'Leveranser per nät'!S$1,FALSE)
               +Andel_beroende_av_klimat*VLOOKUP($A213,Leveranser_per_nät,'Leveranser per nät'!S$1,FALSE)/VLOOKUP($B213,Korrigeringsfaktor_GD,'Korrigeringsfaktor GD'!S$1,FALSE),
"")</f>
        <v>3.3434747474747475</v>
      </c>
      <c r="T213" s="18">
        <f>IFERROR(
                  Andel_oberoende_av_klimat*VLOOKUP($A213,Leveranser_per_nät,'Leveranser per nät'!T$1,FALSE)
               +Andel_beroende_av_klimat*VLOOKUP($A213,Leveranser_per_nät,'Leveranser per nät'!T$1,FALSE)/VLOOKUP($B213,Korrigeringsfaktor_GD,'Korrigeringsfaktor GD'!T$1,FALSE),
"")</f>
        <v>2.8425583333333333</v>
      </c>
      <c r="U213" s="18">
        <f>IFERROR(
                  Andel_oberoende_av_klimat*VLOOKUP($A213,Leveranser_per_nät,'Leveranser per nät'!U$1,FALSE)
               +Andel_beroende_av_klimat*VLOOKUP($A213,Leveranser_per_nät,'Leveranser per nät'!U$1,FALSE)/VLOOKUP($B213,Korrigeringsfaktor_GD,'Korrigeringsfaktor GD'!U$1,FALSE),
"")</f>
        <v>2.573712643678161</v>
      </c>
      <c r="V213" s="18">
        <f>IFERROR(
                  Andel_oberoende_av_klimat*VLOOKUP($A213,Leveranser_per_nät,'Leveranser per nät'!V$1,FALSE)
               +Andel_beroende_av_klimat*VLOOKUP($A213,Leveranser_per_nät,'Leveranser per nät'!V$1,FALSE)/VLOOKUP($B213,Korrigeringsfaktor_GD,'Korrigeringsfaktor GD'!V$1,FALSE),
"")</f>
        <v>2.5207191011235954</v>
      </c>
      <c r="W213" s="18">
        <f>IFERROR(
                  Andel_oberoende_av_klimat*VLOOKUP($A213,Leveranser_per_nät,'Leveranser per nät'!W$1,FALSE)
               +Andel_beroende_av_klimat*VLOOKUP($A213,Leveranser_per_nät,'Leveranser per nät'!W$1,FALSE)/VLOOKUP($B213,Korrigeringsfaktor_GD,'Korrigeringsfaktor GD'!W$1,FALSE),
"")</f>
        <v>2.6646842105263158</v>
      </c>
      <c r="X213" s="18">
        <f>IFERROR(
                  Andel_oberoende_av_klimat*VLOOKUP($A213,Leveranser_per_nät,'Leveranser per nät'!X$1,FALSE)
               +Andel_beroende_av_klimat*VLOOKUP($A213,Leveranser_per_nät,'Leveranser per nät'!X$1,FALSE)/VLOOKUP($B213,Korrigeringsfaktor_GD,'Korrigeringsfaktor GD'!X$1,FALSE),
"")</f>
        <v>2.5626250000000006</v>
      </c>
      <c r="Y213" s="18" t="str">
        <f>IFERROR(
                  Andel_oberoende_av_klimat*VLOOKUP($A213,Leveranser_per_nät,'Leveranser per nät'!Y$1,FALSE)
               +Andel_beroende_av_klimat*VLOOKUP($A213,Leveranser_per_nät,'Leveranser per nät'!Y$1,FALSE)/VLOOKUP($B213,Korrigeringsfaktor_GD,'Korrigeringsfaktor GD'!Y$1,FALSE),
"")</f>
        <v/>
      </c>
      <c r="Z213" s="18">
        <f>IFERROR(
                  Andel_oberoende_av_klimat*VLOOKUP($A213,Leveranser_per_nät,'Leveranser per nät'!Z$1,FALSE)
               +Andel_beroende_av_klimat*VLOOKUP($A213,Leveranser_per_nät,'Leveranser per nät'!Z$1,FALSE)/VLOOKUP($B213,Korrigeringsfaktor_GD,'Korrigeringsfaktor GD'!Z$1,FALSE),
"")</f>
        <v>0</v>
      </c>
      <c r="AA213" s="18" t="str">
        <f>IFERROR(
                  Andel_oberoende_av_klimat*VLOOKUP($A213,Leveranser_per_nät,'Leveranser per nät'!AA$1,FALSE)
               +Andel_beroende_av_klimat*VLOOKUP($A213,Leveranser_per_nät,'Leveranser per nät'!AA$1,FALSE)/VLOOKUP($B213,Korrigeringsfaktor_GD,'Korrigeringsfaktor GD'!AA$1,FALSE),
"")</f>
        <v/>
      </c>
      <c r="AB213" s="18">
        <f>IFERROR(
                  Andel_oberoende_av_klimat*VLOOKUP($A213,Leveranser_per_nät,'Leveranser per nät'!AB$1,FALSE)
               +Andel_beroende_av_klimat*VLOOKUP($A213,Leveranser_per_nät,'Leveranser per nät'!AB$1,FALSE)/VLOOKUP($B213,Korrigeringsfaktor_GD,'Korrigeringsfaktor GD'!AB$1,FALSE),
"")</f>
        <v>0</v>
      </c>
      <c r="AC213" s="18">
        <f>IFERROR(
                  Andel_oberoende_av_klimat*VLOOKUP($A213,Leveranser_per_nät,'Leveranser per nät'!AC$1,FALSE)
               +Andel_beroende_av_klimat*VLOOKUP($A213,Leveranser_per_nät,'Leveranser per nät'!AC$1,FALSE)/VLOOKUP($B213,Korrigeringsfaktor_GD,'Korrigeringsfaktor GD'!AC$1,FALSE),
"")</f>
        <v>0</v>
      </c>
      <c r="AD213">
        <v>301.7</v>
      </c>
    </row>
    <row r="214" spans="1:30" x14ac:dyDescent="0.25">
      <c r="A214" t="s">
        <v>104</v>
      </c>
      <c r="B214" t="s">
        <v>518</v>
      </c>
      <c r="C214" s="18">
        <f>IFERROR(
                  Andel_oberoende_av_klimat*VLOOKUP($A214,Leveranser_per_nät,'Leveranser per nät'!C$1,FALSE)
               +Andel_beroende_av_klimat*VLOOKUP($A214,Leveranser_per_nät,'Leveranser per nät'!C$1,FALSE)/VLOOKUP($B214,Korrigeringsfaktor_GD,'Korrigeringsfaktor GD'!C$1,FALSE),
"")</f>
        <v>0</v>
      </c>
      <c r="D214" s="18">
        <f>IFERROR(
                  Andel_oberoende_av_klimat*VLOOKUP($A214,Leveranser_per_nät,'Leveranser per nät'!D$1,FALSE)
               +Andel_beroende_av_klimat*VLOOKUP($A214,Leveranser_per_nät,'Leveranser per nät'!D$1,FALSE)/VLOOKUP($B214,Korrigeringsfaktor_GD,'Korrigeringsfaktor GD'!D$1,FALSE),
"")</f>
        <v>0</v>
      </c>
      <c r="E214" s="18">
        <f>IFERROR(
                  Andel_oberoende_av_klimat*VLOOKUP($A214,Leveranser_per_nät,'Leveranser per nät'!E$1,FALSE)
               +Andel_beroende_av_klimat*VLOOKUP($A214,Leveranser_per_nät,'Leveranser per nät'!E$1,FALSE)/VLOOKUP($B214,Korrigeringsfaktor_GD,'Korrigeringsfaktor GD'!E$1,FALSE),
"")</f>
        <v>0</v>
      </c>
      <c r="F214" s="18">
        <f>IFERROR(
                  Andel_oberoende_av_klimat*VLOOKUP($A214,Leveranser_per_nät,'Leveranser per nät'!F$1,FALSE)
               +Andel_beroende_av_klimat*VLOOKUP($A214,Leveranser_per_nät,'Leveranser per nät'!F$1,FALSE)/VLOOKUP($B214,Korrigeringsfaktor_GD,'Korrigeringsfaktor GD'!F$1,FALSE),
"")</f>
        <v>0</v>
      </c>
      <c r="G214" s="18">
        <f>IFERROR(
                  Andel_oberoende_av_klimat*VLOOKUP($A214,Leveranser_per_nät,'Leveranser per nät'!G$1,FALSE)
               +Andel_beroende_av_klimat*VLOOKUP($A214,Leveranser_per_nät,'Leveranser per nät'!G$1,FALSE)/VLOOKUP($B214,Korrigeringsfaktor_GD,'Korrigeringsfaktor GD'!G$1,FALSE),
"")</f>
        <v>0</v>
      </c>
      <c r="H214" s="18">
        <f>IFERROR(
                  Andel_oberoende_av_klimat*VLOOKUP($A214,Leveranser_per_nät,'Leveranser per nät'!H$1,FALSE)
               +Andel_beroende_av_klimat*VLOOKUP($A214,Leveranser_per_nät,'Leveranser per nät'!H$1,FALSE)/VLOOKUP($B214,Korrigeringsfaktor_GD,'Korrigeringsfaktor GD'!H$1,FALSE),
"")</f>
        <v>0</v>
      </c>
      <c r="I214" s="18">
        <f>IFERROR(
                  Andel_oberoende_av_klimat*VLOOKUP($A214,Leveranser_per_nät,'Leveranser per nät'!I$1,FALSE)
               +Andel_beroende_av_klimat*VLOOKUP($A214,Leveranser_per_nät,'Leveranser per nät'!I$1,FALSE)/VLOOKUP($B214,Korrigeringsfaktor_GD,'Korrigeringsfaktor GD'!I$1,FALSE),
"")</f>
        <v>0</v>
      </c>
      <c r="J214" s="18">
        <f>IFERROR(
                  Andel_oberoende_av_klimat*VLOOKUP($A214,Leveranser_per_nät,'Leveranser per nät'!J$1,FALSE)
               +Andel_beroende_av_klimat*VLOOKUP($A214,Leveranser_per_nät,'Leveranser per nät'!J$1,FALSE)/VLOOKUP($B214,Korrigeringsfaktor_GD,'Korrigeringsfaktor GD'!J$1,FALSE),
"")</f>
        <v>0</v>
      </c>
      <c r="K214" s="18">
        <f>IFERROR(
                  Andel_oberoende_av_klimat*VLOOKUP($A214,Leveranser_per_nät,'Leveranser per nät'!K$1,FALSE)
               +Andel_beroende_av_klimat*VLOOKUP($A214,Leveranser_per_nät,'Leveranser per nät'!K$1,FALSE)/VLOOKUP($B214,Korrigeringsfaktor_GD,'Korrigeringsfaktor GD'!K$1,FALSE),
"")</f>
        <v>0</v>
      </c>
      <c r="L214" s="18">
        <f>IFERROR(
                  Andel_oberoende_av_klimat*VLOOKUP($A214,Leveranser_per_nät,'Leveranser per nät'!L$1,FALSE)
               +Andel_beroende_av_klimat*VLOOKUP($A214,Leveranser_per_nät,'Leveranser per nät'!L$1,FALSE)/VLOOKUP($B214,Korrigeringsfaktor_GD,'Korrigeringsfaktor GD'!L$1,FALSE),
"")</f>
        <v>0</v>
      </c>
      <c r="M214" s="18">
        <f>IFERROR(
                  Andel_oberoende_av_klimat*VLOOKUP($A214,Leveranser_per_nät,'Leveranser per nät'!M$1,FALSE)
               +Andel_beroende_av_klimat*VLOOKUP($A214,Leveranser_per_nät,'Leveranser per nät'!M$1,FALSE)/VLOOKUP($B214,Korrigeringsfaktor_GD,'Korrigeringsfaktor GD'!M$1,FALSE),
"")</f>
        <v>0.82951827956989244</v>
      </c>
      <c r="N214" s="18">
        <f>IFERROR(
                  Andel_oberoende_av_klimat*VLOOKUP($A214,Leveranser_per_nät,'Leveranser per nät'!N$1,FALSE)
               +Andel_beroende_av_klimat*VLOOKUP($A214,Leveranser_per_nät,'Leveranser per nät'!N$1,FALSE)/VLOOKUP($B214,Korrigeringsfaktor_GD,'Korrigeringsfaktor GD'!N$1,FALSE),
"")</f>
        <v>0.88158260869565197</v>
      </c>
      <c r="O214" s="18">
        <f>IFERROR(
                  Andel_oberoende_av_klimat*VLOOKUP($A214,Leveranser_per_nät,'Leveranser per nät'!O$1,FALSE)
               +Andel_beroende_av_klimat*VLOOKUP($A214,Leveranser_per_nät,'Leveranser per nät'!O$1,FALSE)/VLOOKUP($B214,Korrigeringsfaktor_GD,'Korrigeringsfaktor GD'!O$1,FALSE),
"")</f>
        <v>0.85726179775280897</v>
      </c>
      <c r="P214" s="18">
        <f>IFERROR(
                  Andel_oberoende_av_klimat*VLOOKUP($A214,Leveranser_per_nät,'Leveranser per nät'!P$1,FALSE)
               +Andel_beroende_av_klimat*VLOOKUP($A214,Leveranser_per_nät,'Leveranser per nät'!P$1,FALSE)/VLOOKUP($B214,Korrigeringsfaktor_GD,'Korrigeringsfaktor GD'!P$1,FALSE),
"")</f>
        <v>0.79457878787878788</v>
      </c>
      <c r="Q214" s="18">
        <f>IFERROR(
                  Andel_oberoende_av_klimat*VLOOKUP($A214,Leveranser_per_nät,'Leveranser per nät'!Q$1,FALSE)
               +Andel_beroende_av_klimat*VLOOKUP($A214,Leveranser_per_nät,'Leveranser per nät'!Q$1,FALSE)/VLOOKUP($B214,Korrigeringsfaktor_GD,'Korrigeringsfaktor GD'!Q$1,FALSE),
"")</f>
        <v>0.83694745762711875</v>
      </c>
      <c r="R214" s="18">
        <f>IFERROR(
                  Andel_oberoende_av_klimat*VLOOKUP($A214,Leveranser_per_nät,'Leveranser per nät'!R$1,FALSE)
               +Andel_beroende_av_klimat*VLOOKUP($A214,Leveranser_per_nät,'Leveranser per nät'!R$1,FALSE)/VLOOKUP($B214,Korrigeringsfaktor_GD,'Korrigeringsfaktor GD'!R$1,FALSE),
"")</f>
        <v>1.0820615384615384</v>
      </c>
      <c r="S214" s="18">
        <f>IFERROR(
                  Andel_oberoende_av_klimat*VLOOKUP($A214,Leveranser_per_nät,'Leveranser per nät'!S$1,FALSE)
               +Andel_beroende_av_klimat*VLOOKUP($A214,Leveranser_per_nät,'Leveranser per nät'!S$1,FALSE)/VLOOKUP($B214,Korrigeringsfaktor_GD,'Korrigeringsfaktor GD'!S$1,FALSE),
"")</f>
        <v>0.90000000000000013</v>
      </c>
      <c r="T214" s="18">
        <f>IFERROR(
                  Andel_oberoende_av_klimat*VLOOKUP($A214,Leveranser_per_nät,'Leveranser per nät'!T$1,FALSE)
               +Andel_beroende_av_klimat*VLOOKUP($A214,Leveranser_per_nät,'Leveranser per nät'!T$1,FALSE)/VLOOKUP($B214,Korrigeringsfaktor_GD,'Korrigeringsfaktor GD'!T$1,FALSE),
"")</f>
        <v>0.91948453608247438</v>
      </c>
      <c r="U214" s="18">
        <f>IFERROR(
                  Andel_oberoende_av_klimat*VLOOKUP($A214,Leveranser_per_nät,'Leveranser per nät'!U$1,FALSE)
               +Andel_beroende_av_klimat*VLOOKUP($A214,Leveranser_per_nät,'Leveranser per nät'!U$1,FALSE)/VLOOKUP($B214,Korrigeringsfaktor_GD,'Korrigeringsfaktor GD'!U$1,FALSE),
"")</f>
        <v>0.87636363636363623</v>
      </c>
      <c r="V214" s="18">
        <f>IFERROR(
                  Andel_oberoende_av_klimat*VLOOKUP($A214,Leveranser_per_nät,'Leveranser per nät'!V$1,FALSE)
               +Andel_beroende_av_klimat*VLOOKUP($A214,Leveranser_per_nät,'Leveranser per nät'!V$1,FALSE)/VLOOKUP($B214,Korrigeringsfaktor_GD,'Korrigeringsfaktor GD'!V$1,FALSE),
"")</f>
        <v>0.87636363636363623</v>
      </c>
      <c r="W214" s="18">
        <f>IFERROR(
                  Andel_oberoende_av_klimat*VLOOKUP($A214,Leveranser_per_nät,'Leveranser per nät'!W$1,FALSE)
               +Andel_beroende_av_klimat*VLOOKUP($A214,Leveranser_per_nät,'Leveranser per nät'!W$1,FALSE)/VLOOKUP($B214,Korrigeringsfaktor_GD,'Korrigeringsfaktor GD'!W$1,FALSE),
"")</f>
        <v>0.8421505376344085</v>
      </c>
      <c r="X214" s="18">
        <f>IFERROR(
                  Andel_oberoende_av_klimat*VLOOKUP($A214,Leveranser_per_nät,'Leveranser per nät'!X$1,FALSE)
               +Andel_beroende_av_klimat*VLOOKUP($A214,Leveranser_per_nät,'Leveranser per nät'!X$1,FALSE)/VLOOKUP($B214,Korrigeringsfaktor_GD,'Korrigeringsfaktor GD'!X$1,FALSE),
"")</f>
        <v>0.82323478260869565</v>
      </c>
      <c r="Y214" s="18">
        <f>IFERROR(
                  Andel_oberoende_av_klimat*VLOOKUP($A214,Leveranser_per_nät,'Leveranser per nät'!Y$1,FALSE)
               +Andel_beroende_av_klimat*VLOOKUP($A214,Leveranser_per_nät,'Leveranser per nät'!Y$1,FALSE)/VLOOKUP($B214,Korrigeringsfaktor_GD,'Korrigeringsfaktor GD'!Y$1,FALSE),
"")</f>
        <v>0.81623304347826087</v>
      </c>
      <c r="Z214" s="18">
        <f>IFERROR(
                  Andel_oberoende_av_klimat*VLOOKUP($A214,Leveranser_per_nät,'Leveranser per nät'!Z$1,FALSE)
               +Andel_beroende_av_klimat*VLOOKUP($A214,Leveranser_per_nät,'Leveranser per nät'!Z$1,FALSE)/VLOOKUP($B214,Korrigeringsfaktor_GD,'Korrigeringsfaktor GD'!Z$1,FALSE),
"")</f>
        <v>0.87073529411764705</v>
      </c>
      <c r="AA214" s="18">
        <f>IFERROR(
                  Andel_oberoende_av_klimat*VLOOKUP($A214,Leveranser_per_nät,'Leveranser per nät'!AA$1,FALSE)
               +Andel_beroende_av_klimat*VLOOKUP($A214,Leveranser_per_nät,'Leveranser per nät'!AA$1,FALSE)/VLOOKUP($B214,Korrigeringsfaktor_GD,'Korrigeringsfaktor GD'!AA$1,FALSE),
"")</f>
        <v>0.83397508960573474</v>
      </c>
      <c r="AB214" s="18">
        <f>IFERROR(
                  Andel_oberoende_av_klimat*VLOOKUP($A214,Leveranser_per_nät,'Leveranser per nät'!AB$1,FALSE)
               +Andel_beroende_av_klimat*VLOOKUP($A214,Leveranser_per_nät,'Leveranser per nät'!AB$1,FALSE)/VLOOKUP($B214,Korrigeringsfaktor_GD,'Korrigeringsfaktor GD'!AB$1,FALSE),
"")</f>
        <v>0.79172413793103447</v>
      </c>
      <c r="AC214" s="18">
        <f>IFERROR(
                  Andel_oberoende_av_klimat*VLOOKUP($A214,Leveranser_per_nät,'Leveranser per nät'!AC$1,FALSE)
               +Andel_beroende_av_klimat*VLOOKUP($A214,Leveranser_per_nät,'Leveranser per nät'!AC$1,FALSE)/VLOOKUP($B214,Korrigeringsfaktor_GD,'Korrigeringsfaktor GD'!AC$1,FALSE),
"")</f>
        <v>0.74140481283422455</v>
      </c>
      <c r="AD214" t="e">
        <v>#N/A</v>
      </c>
    </row>
    <row r="215" spans="1:30" x14ac:dyDescent="0.25">
      <c r="A215" t="s">
        <v>291</v>
      </c>
      <c r="B215" t="s">
        <v>288</v>
      </c>
      <c r="C215" s="18">
        <f>IFERROR(
                  Andel_oberoende_av_klimat*VLOOKUP($A215,Leveranser_per_nät,'Leveranser per nät'!C$1,FALSE)
               +Andel_beroende_av_klimat*VLOOKUP($A215,Leveranser_per_nät,'Leveranser per nät'!C$1,FALSE)/VLOOKUP($B215,Korrigeringsfaktor_GD,'Korrigeringsfaktor GD'!C$1,FALSE),
"")</f>
        <v>0</v>
      </c>
      <c r="D215" s="18">
        <f>IFERROR(
                  Andel_oberoende_av_klimat*VLOOKUP($A215,Leveranser_per_nät,'Leveranser per nät'!D$1,FALSE)
               +Andel_beroende_av_klimat*VLOOKUP($A215,Leveranser_per_nät,'Leveranser per nät'!D$1,FALSE)/VLOOKUP($B215,Korrigeringsfaktor_GD,'Korrigeringsfaktor GD'!D$1,FALSE),
"")</f>
        <v>0</v>
      </c>
      <c r="E215" s="18">
        <f>IFERROR(
                  Andel_oberoende_av_klimat*VLOOKUP($A215,Leveranser_per_nät,'Leveranser per nät'!E$1,FALSE)
               +Andel_beroende_av_klimat*VLOOKUP($A215,Leveranser_per_nät,'Leveranser per nät'!E$1,FALSE)/VLOOKUP($B215,Korrigeringsfaktor_GD,'Korrigeringsfaktor GD'!E$1,FALSE),
"")</f>
        <v>0</v>
      </c>
      <c r="F215" s="18">
        <f>IFERROR(
                  Andel_oberoende_av_klimat*VLOOKUP($A215,Leveranser_per_nät,'Leveranser per nät'!F$1,FALSE)
               +Andel_beroende_av_klimat*VLOOKUP($A215,Leveranser_per_nät,'Leveranser per nät'!F$1,FALSE)/VLOOKUP($B215,Korrigeringsfaktor_GD,'Korrigeringsfaktor GD'!F$1,FALSE),
"")</f>
        <v>0</v>
      </c>
      <c r="G215" s="18">
        <f>IFERROR(
                  Andel_oberoende_av_klimat*VLOOKUP($A215,Leveranser_per_nät,'Leveranser per nät'!G$1,FALSE)
               +Andel_beroende_av_klimat*VLOOKUP($A215,Leveranser_per_nät,'Leveranser per nät'!G$1,FALSE)/VLOOKUP($B215,Korrigeringsfaktor_GD,'Korrigeringsfaktor GD'!G$1,FALSE),
"")</f>
        <v>0</v>
      </c>
      <c r="H215" s="18">
        <f>IFERROR(
                  Andel_oberoende_av_klimat*VLOOKUP($A215,Leveranser_per_nät,'Leveranser per nät'!H$1,FALSE)
               +Andel_beroende_av_klimat*VLOOKUP($A215,Leveranser_per_nät,'Leveranser per nät'!H$1,FALSE)/VLOOKUP($B215,Korrigeringsfaktor_GD,'Korrigeringsfaktor GD'!H$1,FALSE),
"")</f>
        <v>0</v>
      </c>
      <c r="I215" s="18">
        <f>IFERROR(
                  Andel_oberoende_av_klimat*VLOOKUP($A215,Leveranser_per_nät,'Leveranser per nät'!I$1,FALSE)
               +Andel_beroende_av_klimat*VLOOKUP($A215,Leveranser_per_nät,'Leveranser per nät'!I$1,FALSE)/VLOOKUP($B215,Korrigeringsfaktor_GD,'Korrigeringsfaktor GD'!I$1,FALSE),
"")</f>
        <v>0</v>
      </c>
      <c r="J215" s="18">
        <f>IFERROR(
                  Andel_oberoende_av_klimat*VLOOKUP($A215,Leveranser_per_nät,'Leveranser per nät'!J$1,FALSE)
               +Andel_beroende_av_klimat*VLOOKUP($A215,Leveranser_per_nät,'Leveranser per nät'!J$1,FALSE)/VLOOKUP($B215,Korrigeringsfaktor_GD,'Korrigeringsfaktor GD'!J$1,FALSE),
"")</f>
        <v>0</v>
      </c>
      <c r="K215" s="18">
        <f>IFERROR(
                  Andel_oberoende_av_klimat*VLOOKUP($A215,Leveranser_per_nät,'Leveranser per nät'!K$1,FALSE)
               +Andel_beroende_av_klimat*VLOOKUP($A215,Leveranser_per_nät,'Leveranser per nät'!K$1,FALSE)/VLOOKUP($B215,Korrigeringsfaktor_GD,'Korrigeringsfaktor GD'!K$1,FALSE),
"")</f>
        <v>0</v>
      </c>
      <c r="L215" s="18">
        <f>IFERROR(
                  Andel_oberoende_av_klimat*VLOOKUP($A215,Leveranser_per_nät,'Leveranser per nät'!L$1,FALSE)
               +Andel_beroende_av_klimat*VLOOKUP($A215,Leveranser_per_nät,'Leveranser per nät'!L$1,FALSE)/VLOOKUP($B215,Korrigeringsfaktor_GD,'Korrigeringsfaktor GD'!L$1,FALSE),
"")</f>
        <v>0</v>
      </c>
      <c r="M215" s="18">
        <f>IFERROR(
                  Andel_oberoende_av_klimat*VLOOKUP($A215,Leveranser_per_nät,'Leveranser per nät'!M$1,FALSE)
               +Andel_beroende_av_klimat*VLOOKUP($A215,Leveranser_per_nät,'Leveranser per nät'!M$1,FALSE)/VLOOKUP($B215,Korrigeringsfaktor_GD,'Korrigeringsfaktor GD'!M$1,FALSE),
"")</f>
        <v>21.848711111111111</v>
      </c>
      <c r="N215" s="18">
        <f>IFERROR(
                  Andel_oberoende_av_klimat*VLOOKUP($A215,Leveranser_per_nät,'Leveranser per nät'!N$1,FALSE)
               +Andel_beroende_av_klimat*VLOOKUP($A215,Leveranser_per_nät,'Leveranser per nät'!N$1,FALSE)/VLOOKUP($B215,Korrigeringsfaktor_GD,'Korrigeringsfaktor GD'!N$1,FALSE),
"")</f>
        <v>22.366313043478257</v>
      </c>
      <c r="O215" s="18">
        <f>IFERROR(
                  Andel_oberoende_av_klimat*VLOOKUP($A215,Leveranser_per_nät,'Leveranser per nät'!O$1,FALSE)
               +Andel_beroende_av_klimat*VLOOKUP($A215,Leveranser_per_nät,'Leveranser per nät'!O$1,FALSE)/VLOOKUP($B215,Korrigeringsfaktor_GD,'Korrigeringsfaktor GD'!O$1,FALSE),
"")</f>
        <v>22.95103846153846</v>
      </c>
      <c r="P215" s="18">
        <f>IFERROR(
                  Andel_oberoende_av_klimat*VLOOKUP($A215,Leveranser_per_nät,'Leveranser per nät'!P$1,FALSE)
               +Andel_beroende_av_klimat*VLOOKUP($A215,Leveranser_per_nät,'Leveranser per nät'!P$1,FALSE)/VLOOKUP($B215,Korrigeringsfaktor_GD,'Korrigeringsfaktor GD'!P$1,FALSE),
"")</f>
        <v>23.45028571428572</v>
      </c>
      <c r="Q215" s="18">
        <f>IFERROR(
                  Andel_oberoende_av_klimat*VLOOKUP($A215,Leveranser_per_nät,'Leveranser per nät'!Q$1,FALSE)
               +Andel_beroende_av_klimat*VLOOKUP($A215,Leveranser_per_nät,'Leveranser per nät'!Q$1,FALSE)/VLOOKUP($B215,Korrigeringsfaktor_GD,'Korrigeringsfaktor GD'!Q$1,FALSE),
"")</f>
        <v>24.828422123893809</v>
      </c>
      <c r="R215" s="18">
        <f>IFERROR(
                  Andel_oberoende_av_klimat*VLOOKUP($A215,Leveranser_per_nät,'Leveranser per nät'!R$1,FALSE)
               +Andel_beroende_av_klimat*VLOOKUP($A215,Leveranser_per_nät,'Leveranser per nät'!R$1,FALSE)/VLOOKUP($B215,Korrigeringsfaktor_GD,'Korrigeringsfaktor GD'!R$1,FALSE),
"")</f>
        <v>29.403846153846153</v>
      </c>
      <c r="S215" s="18">
        <f>IFERROR(
                  Andel_oberoende_av_klimat*VLOOKUP($A215,Leveranser_per_nät,'Leveranser per nät'!S$1,FALSE)
               +Andel_beroende_av_klimat*VLOOKUP($A215,Leveranser_per_nät,'Leveranser per nät'!S$1,FALSE)/VLOOKUP($B215,Korrigeringsfaktor_GD,'Korrigeringsfaktor GD'!S$1,FALSE),
"")</f>
        <v>24.699999999999996</v>
      </c>
      <c r="T215" s="18">
        <f>IFERROR(
                  Andel_oberoende_av_klimat*VLOOKUP($A215,Leveranser_per_nät,'Leveranser per nät'!T$1,FALSE)
               +Andel_beroende_av_klimat*VLOOKUP($A215,Leveranser_per_nät,'Leveranser per nät'!T$1,FALSE)/VLOOKUP($B215,Korrigeringsfaktor_GD,'Korrigeringsfaktor GD'!T$1,FALSE),
"")</f>
        <v>24.05603010752688</v>
      </c>
      <c r="U215" s="18">
        <f>IFERROR(
                  Andel_oberoende_av_klimat*VLOOKUP($A215,Leveranser_per_nät,'Leveranser per nät'!U$1,FALSE)
               +Andel_beroende_av_klimat*VLOOKUP($A215,Leveranser_per_nät,'Leveranser per nät'!U$1,FALSE)/VLOOKUP($B215,Korrigeringsfaktor_GD,'Korrigeringsfaktor GD'!U$1,FALSE),
"")</f>
        <v>23.638390804597702</v>
      </c>
      <c r="V215" s="18">
        <f>IFERROR(
                  Andel_oberoende_av_klimat*VLOOKUP($A215,Leveranser_per_nät,'Leveranser per nät'!V$1,FALSE)
               +Andel_beroende_av_klimat*VLOOKUP($A215,Leveranser_per_nät,'Leveranser per nät'!V$1,FALSE)/VLOOKUP($B215,Korrigeringsfaktor_GD,'Korrigeringsfaktor GD'!V$1,FALSE),
"")</f>
        <v>23.405481818181819</v>
      </c>
      <c r="W215" s="18">
        <f>IFERROR(
                  Andel_oberoende_av_klimat*VLOOKUP($A215,Leveranser_per_nät,'Leveranser per nät'!W$1,FALSE)
               +Andel_beroende_av_klimat*VLOOKUP($A215,Leveranser_per_nät,'Leveranser per nät'!W$1,FALSE)/VLOOKUP($B215,Korrigeringsfaktor_GD,'Korrigeringsfaktor GD'!W$1,FALSE),
"")</f>
        <v>23.967876923076922</v>
      </c>
      <c r="X215" s="18">
        <f>IFERROR(
                  Andel_oberoende_av_klimat*VLOOKUP($A215,Leveranser_per_nät,'Leveranser per nät'!X$1,FALSE)
               +Andel_beroende_av_klimat*VLOOKUP($A215,Leveranser_per_nät,'Leveranser per nät'!X$1,FALSE)/VLOOKUP($B215,Korrigeringsfaktor_GD,'Korrigeringsfaktor GD'!X$1,FALSE),
"")</f>
        <v>23.338096774193552</v>
      </c>
      <c r="Y215" s="18">
        <f>IFERROR(
                  Andel_oberoende_av_klimat*VLOOKUP($A215,Leveranser_per_nät,'Leveranser per nät'!Y$1,FALSE)
               +Andel_beroende_av_klimat*VLOOKUP($A215,Leveranser_per_nät,'Leveranser per nät'!Y$1,FALSE)/VLOOKUP($B215,Korrigeringsfaktor_GD,'Korrigeringsfaktor GD'!Y$1,FALSE),
"")</f>
        <v>23.379957446808511</v>
      </c>
      <c r="Z215" s="18">
        <f>IFERROR(
                  Andel_oberoende_av_klimat*VLOOKUP($A215,Leveranser_per_nät,'Leveranser per nät'!Z$1,FALSE)
               +Andel_beroende_av_klimat*VLOOKUP($A215,Leveranser_per_nät,'Leveranser per nät'!Z$1,FALSE)/VLOOKUP($B215,Korrigeringsfaktor_GD,'Korrigeringsfaktor GD'!Z$1,FALSE),
"")</f>
        <v>21.914953846153843</v>
      </c>
      <c r="AA215" s="18">
        <f>IFERROR(
                  Andel_oberoende_av_klimat*VLOOKUP($A215,Leveranser_per_nät,'Leveranser per nät'!AA$1,FALSE)
               +Andel_beroende_av_klimat*VLOOKUP($A215,Leveranser_per_nät,'Leveranser per nät'!AA$1,FALSE)/VLOOKUP($B215,Korrigeringsfaktor_GD,'Korrigeringsfaktor GD'!AA$1,FALSE),
"")</f>
        <v>19.3946890851735</v>
      </c>
      <c r="AB215" s="18">
        <f>IFERROR(
                  Andel_oberoende_av_klimat*VLOOKUP($A215,Leveranser_per_nät,'Leveranser per nät'!AB$1,FALSE)
               +Andel_beroende_av_klimat*VLOOKUP($A215,Leveranser_per_nät,'Leveranser per nät'!AB$1,FALSE)/VLOOKUP($B215,Korrigeringsfaktor_GD,'Korrigeringsfaktor GD'!AB$1,FALSE),
"")</f>
        <v>20.533395774647886</v>
      </c>
      <c r="AC215" s="18">
        <f>IFERROR(
                  Andel_oberoende_av_klimat*VLOOKUP($A215,Leveranser_per_nät,'Leveranser per nät'!AC$1,FALSE)
               +Andel_beroende_av_klimat*VLOOKUP($A215,Leveranser_per_nät,'Leveranser per nät'!AC$1,FALSE)/VLOOKUP($B215,Korrigeringsfaktor_GD,'Korrigeringsfaktor GD'!AC$1,FALSE),
"")</f>
        <v>19.635383420382166</v>
      </c>
      <c r="AD215">
        <v>513.26678000000004</v>
      </c>
    </row>
    <row r="216" spans="1:30" x14ac:dyDescent="0.25">
      <c r="A216" t="s">
        <v>182</v>
      </c>
      <c r="B216" t="s">
        <v>256</v>
      </c>
      <c r="C216" s="18">
        <f>IFERROR(
                  Andel_oberoende_av_klimat*VLOOKUP($A216,Leveranser_per_nät,'Leveranser per nät'!C$1,FALSE)
               +Andel_beroende_av_klimat*VLOOKUP($A216,Leveranser_per_nät,'Leveranser per nät'!C$1,FALSE)/VLOOKUP($B216,Korrigeringsfaktor_GD,'Korrigeringsfaktor GD'!C$1,FALSE),
"")</f>
        <v>0</v>
      </c>
      <c r="D216" s="18">
        <f>IFERROR(
                  Andel_oberoende_av_klimat*VLOOKUP($A216,Leveranser_per_nät,'Leveranser per nät'!D$1,FALSE)
               +Andel_beroende_av_klimat*VLOOKUP($A216,Leveranser_per_nät,'Leveranser per nät'!D$1,FALSE)/VLOOKUP($B216,Korrigeringsfaktor_GD,'Korrigeringsfaktor GD'!D$1,FALSE),
"")</f>
        <v>0</v>
      </c>
      <c r="E216" s="18">
        <f>IFERROR(
                  Andel_oberoende_av_klimat*VLOOKUP($A216,Leveranser_per_nät,'Leveranser per nät'!E$1,FALSE)
               +Andel_beroende_av_klimat*VLOOKUP($A216,Leveranser_per_nät,'Leveranser per nät'!E$1,FALSE)/VLOOKUP($B216,Korrigeringsfaktor_GD,'Korrigeringsfaktor GD'!E$1,FALSE),
"")</f>
        <v>0</v>
      </c>
      <c r="F216" s="18">
        <f>IFERROR(
                  Andel_oberoende_av_klimat*VLOOKUP($A216,Leveranser_per_nät,'Leveranser per nät'!F$1,FALSE)
               +Andel_beroende_av_klimat*VLOOKUP($A216,Leveranser_per_nät,'Leveranser per nät'!F$1,FALSE)/VLOOKUP($B216,Korrigeringsfaktor_GD,'Korrigeringsfaktor GD'!F$1,FALSE),
"")</f>
        <v>0</v>
      </c>
      <c r="G216" s="18">
        <f>IFERROR(
                  Andel_oberoende_av_klimat*VLOOKUP($A216,Leveranser_per_nät,'Leveranser per nät'!G$1,FALSE)
               +Andel_beroende_av_klimat*VLOOKUP($A216,Leveranser_per_nät,'Leveranser per nät'!G$1,FALSE)/VLOOKUP($B216,Korrigeringsfaktor_GD,'Korrigeringsfaktor GD'!G$1,FALSE),
"")</f>
        <v>0</v>
      </c>
      <c r="H216" s="18">
        <f>IFERROR(
                  Andel_oberoende_av_klimat*VLOOKUP($A216,Leveranser_per_nät,'Leveranser per nät'!H$1,FALSE)
               +Andel_beroende_av_klimat*VLOOKUP($A216,Leveranser_per_nät,'Leveranser per nät'!H$1,FALSE)/VLOOKUP($B216,Korrigeringsfaktor_GD,'Korrigeringsfaktor GD'!H$1,FALSE),
"")</f>
        <v>0</v>
      </c>
      <c r="I216" s="18">
        <f>IFERROR(
                  Andel_oberoende_av_klimat*VLOOKUP($A216,Leveranser_per_nät,'Leveranser per nät'!I$1,FALSE)
               +Andel_beroende_av_klimat*VLOOKUP($A216,Leveranser_per_nät,'Leveranser per nät'!I$1,FALSE)/VLOOKUP($B216,Korrigeringsfaktor_GD,'Korrigeringsfaktor GD'!I$1,FALSE),
"")</f>
        <v>0</v>
      </c>
      <c r="J216" s="18">
        <f>IFERROR(
                  Andel_oberoende_av_klimat*VLOOKUP($A216,Leveranser_per_nät,'Leveranser per nät'!J$1,FALSE)
               +Andel_beroende_av_klimat*VLOOKUP($A216,Leveranser_per_nät,'Leveranser per nät'!J$1,FALSE)/VLOOKUP($B216,Korrigeringsfaktor_GD,'Korrigeringsfaktor GD'!J$1,FALSE),
"")</f>
        <v>0</v>
      </c>
      <c r="K216" s="18">
        <f>IFERROR(
                  Andel_oberoende_av_klimat*VLOOKUP($A216,Leveranser_per_nät,'Leveranser per nät'!K$1,FALSE)
               +Andel_beroende_av_klimat*VLOOKUP($A216,Leveranser_per_nät,'Leveranser per nät'!K$1,FALSE)/VLOOKUP($B216,Korrigeringsfaktor_GD,'Korrigeringsfaktor GD'!K$1,FALSE),
"")</f>
        <v>0</v>
      </c>
      <c r="L216" s="18">
        <f>IFERROR(
                  Andel_oberoende_av_klimat*VLOOKUP($A216,Leveranser_per_nät,'Leveranser per nät'!L$1,FALSE)
               +Andel_beroende_av_klimat*VLOOKUP($A216,Leveranser_per_nät,'Leveranser per nät'!L$1,FALSE)/VLOOKUP($B216,Korrigeringsfaktor_GD,'Korrigeringsfaktor GD'!L$1,FALSE),
"")</f>
        <v>0</v>
      </c>
      <c r="M216" s="18">
        <f>IFERROR(
                  Andel_oberoende_av_klimat*VLOOKUP($A216,Leveranser_per_nät,'Leveranser per nät'!M$1,FALSE)
               +Andel_beroende_av_klimat*VLOOKUP($A216,Leveranser_per_nät,'Leveranser per nät'!M$1,FALSE)/VLOOKUP($B216,Korrigeringsfaktor_GD,'Korrigeringsfaktor GD'!M$1,FALSE),
"")</f>
        <v>10.827950537634408</v>
      </c>
      <c r="N216" s="18">
        <f>IFERROR(
                  Andel_oberoende_av_klimat*VLOOKUP($A216,Leveranser_per_nät,'Leveranser per nät'!N$1,FALSE)
               +Andel_beroende_av_klimat*VLOOKUP($A216,Leveranser_per_nät,'Leveranser per nät'!N$1,FALSE)/VLOOKUP($B216,Korrigeringsfaktor_GD,'Korrigeringsfaktor GD'!N$1,FALSE),
"")</f>
        <v>10.998107692307691</v>
      </c>
      <c r="O216" s="18">
        <f>IFERROR(
                  Andel_oberoende_av_klimat*VLOOKUP($A216,Leveranser_per_nät,'Leveranser per nät'!O$1,FALSE)
               +Andel_beroende_av_klimat*VLOOKUP($A216,Leveranser_per_nät,'Leveranser per nät'!O$1,FALSE)/VLOOKUP($B216,Korrigeringsfaktor_GD,'Korrigeringsfaktor GD'!O$1,FALSE),
"")</f>
        <v>12.958122222222222</v>
      </c>
      <c r="P216" s="18">
        <f>IFERROR(
                  Andel_oberoende_av_klimat*VLOOKUP($A216,Leveranser_per_nät,'Leveranser per nät'!P$1,FALSE)
               +Andel_beroende_av_klimat*VLOOKUP($A216,Leveranser_per_nät,'Leveranser per nät'!P$1,FALSE)/VLOOKUP($B216,Korrigeringsfaktor_GD,'Korrigeringsfaktor GD'!P$1,FALSE),
"")</f>
        <v>13.956571428571429</v>
      </c>
      <c r="Q216" s="18">
        <f>IFERROR(
                  Andel_oberoende_av_klimat*VLOOKUP($A216,Leveranser_per_nät,'Leveranser per nät'!Q$1,FALSE)
               +Andel_beroende_av_klimat*VLOOKUP($A216,Leveranser_per_nät,'Leveranser per nät'!Q$1,FALSE)/VLOOKUP($B216,Korrigeringsfaktor_GD,'Korrigeringsfaktor GD'!Q$1,FALSE),
"")</f>
        <v>13.695747457627121</v>
      </c>
      <c r="R216" s="18">
        <f>IFERROR(
                  Andel_oberoende_av_klimat*VLOOKUP($A216,Leveranser_per_nät,'Leveranser per nät'!R$1,FALSE)
               +Andel_beroende_av_klimat*VLOOKUP($A216,Leveranser_per_nät,'Leveranser per nät'!R$1,FALSE)/VLOOKUP($B216,Korrigeringsfaktor_GD,'Korrigeringsfaktor GD'!R$1,FALSE),
"")</f>
        <v>13.681876923076922</v>
      </c>
      <c r="S216" s="18">
        <f>IFERROR(
                  Andel_oberoende_av_klimat*VLOOKUP($A216,Leveranser_per_nät,'Leveranser per nät'!S$1,FALSE)
               +Andel_beroende_av_klimat*VLOOKUP($A216,Leveranser_per_nät,'Leveranser per nät'!S$1,FALSE)/VLOOKUP($B216,Korrigeringsfaktor_GD,'Korrigeringsfaktor GD'!S$1,FALSE),
"")</f>
        <v>13.237613861386139</v>
      </c>
      <c r="T216" s="18">
        <f>IFERROR(
                  Andel_oberoende_av_klimat*VLOOKUP($A216,Leveranser_per_nät,'Leveranser per nät'!T$1,FALSE)
               +Andel_beroende_av_klimat*VLOOKUP($A216,Leveranser_per_nät,'Leveranser per nät'!T$1,FALSE)/VLOOKUP($B216,Korrigeringsfaktor_GD,'Korrigeringsfaktor GD'!T$1,FALSE),
"")</f>
        <v>12.839842857142859</v>
      </c>
      <c r="U216" s="18">
        <f>IFERROR(
                  Andel_oberoende_av_klimat*VLOOKUP($A216,Leveranser_per_nät,'Leveranser per nät'!U$1,FALSE)
               +Andel_beroende_av_klimat*VLOOKUP($A216,Leveranser_per_nät,'Leveranser per nät'!U$1,FALSE)/VLOOKUP($B216,Korrigeringsfaktor_GD,'Korrigeringsfaktor GD'!U$1,FALSE),
"")</f>
        <v>13.249782352941176</v>
      </c>
      <c r="V216" s="18">
        <f>IFERROR(
                  Andel_oberoende_av_klimat*VLOOKUP($A216,Leveranser_per_nät,'Leveranser per nät'!V$1,FALSE)
               +Andel_beroende_av_klimat*VLOOKUP($A216,Leveranser_per_nät,'Leveranser per nät'!V$1,FALSE)/VLOOKUP($B216,Korrigeringsfaktor_GD,'Korrigeringsfaktor GD'!V$1,FALSE),
"")</f>
        <v>13.88677191011236</v>
      </c>
      <c r="W216" s="18">
        <f>IFERROR(
                  Andel_oberoende_av_klimat*VLOOKUP($A216,Leveranser_per_nät,'Leveranser per nät'!W$1,FALSE)
               +Andel_beroende_av_klimat*VLOOKUP($A216,Leveranser_per_nät,'Leveranser per nät'!W$1,FALSE)/VLOOKUP($B216,Korrigeringsfaktor_GD,'Korrigeringsfaktor GD'!W$1,FALSE),
"")</f>
        <v>13.476382978723406</v>
      </c>
      <c r="X216" s="18">
        <f>IFERROR(
                  Andel_oberoende_av_klimat*VLOOKUP($A216,Leveranser_per_nät,'Leveranser per nät'!X$1,FALSE)
               +Andel_beroende_av_klimat*VLOOKUP($A216,Leveranser_per_nät,'Leveranser per nät'!X$1,FALSE)/VLOOKUP($B216,Korrigeringsfaktor_GD,'Korrigeringsfaktor GD'!X$1,FALSE),
"")</f>
        <v>14.533913043478258</v>
      </c>
      <c r="Y216" s="18">
        <f>IFERROR(
                  Andel_oberoende_av_klimat*VLOOKUP($A216,Leveranser_per_nät,'Leveranser per nät'!Y$1,FALSE)
               +Andel_beroende_av_klimat*VLOOKUP($A216,Leveranser_per_nät,'Leveranser per nät'!Y$1,FALSE)/VLOOKUP($B216,Korrigeringsfaktor_GD,'Korrigeringsfaktor GD'!Y$1,FALSE),
"")</f>
        <v>12.456538461538461</v>
      </c>
      <c r="Z216" s="18">
        <f>IFERROR(
                  Andel_oberoende_av_klimat*VLOOKUP($A216,Leveranser_per_nät,'Leveranser per nät'!Z$1,FALSE)
               +Andel_beroende_av_klimat*VLOOKUP($A216,Leveranser_per_nät,'Leveranser per nät'!Z$1,FALSE)/VLOOKUP($B216,Korrigeringsfaktor_GD,'Korrigeringsfaktor GD'!Z$1,FALSE),
"")</f>
        <v>11.755571428571429</v>
      </c>
      <c r="AA216" s="18">
        <f>IFERROR(
                  Andel_oberoende_av_klimat*VLOOKUP($A216,Leveranser_per_nät,'Leveranser per nät'!AA$1,FALSE)
               +Andel_beroende_av_klimat*VLOOKUP($A216,Leveranser_per_nät,'Leveranser per nät'!AA$1,FALSE)/VLOOKUP($B216,Korrigeringsfaktor_GD,'Korrigeringsfaktor GD'!AA$1,FALSE),
"")</f>
        <v>11.538533759124086</v>
      </c>
      <c r="AB216" s="18">
        <f>IFERROR(
                  Andel_oberoende_av_klimat*VLOOKUP($A216,Leveranser_per_nät,'Leveranser per nät'!AB$1,FALSE)
               +Andel_beroende_av_klimat*VLOOKUP($A216,Leveranser_per_nät,'Leveranser per nät'!AB$1,FALSE)/VLOOKUP($B216,Korrigeringsfaktor_GD,'Korrigeringsfaktor GD'!AB$1,FALSE),
"")</f>
        <v>13.186490196078431</v>
      </c>
      <c r="AC216" s="18">
        <f>IFERROR(
                  Andel_oberoende_av_klimat*VLOOKUP($A216,Leveranser_per_nät,'Leveranser per nät'!AC$1,FALSE)
               +Andel_beroende_av_klimat*VLOOKUP($A216,Leveranser_per_nät,'Leveranser per nät'!AC$1,FALSE)/VLOOKUP($B216,Korrigeringsfaktor_GD,'Korrigeringsfaktor GD'!AC$1,FALSE),
"")</f>
        <v>13.590673796791442</v>
      </c>
      <c r="AD216">
        <v>87.4</v>
      </c>
    </row>
    <row r="217" spans="1:30" x14ac:dyDescent="0.25">
      <c r="A217" t="s">
        <v>269</v>
      </c>
      <c r="B217" t="s">
        <v>261</v>
      </c>
      <c r="C217" s="18">
        <f>IFERROR(
                  Andel_oberoende_av_klimat*VLOOKUP($A217,Leveranser_per_nät,'Leveranser per nät'!C$1,FALSE)
               +Andel_beroende_av_klimat*VLOOKUP($A217,Leveranser_per_nät,'Leveranser per nät'!C$1,FALSE)/VLOOKUP($B217,Korrigeringsfaktor_GD,'Korrigeringsfaktor GD'!C$1,FALSE),
"")</f>
        <v>0</v>
      </c>
      <c r="D217" s="18">
        <f>IFERROR(
                  Andel_oberoende_av_klimat*VLOOKUP($A217,Leveranser_per_nät,'Leveranser per nät'!D$1,FALSE)
               +Andel_beroende_av_klimat*VLOOKUP($A217,Leveranser_per_nät,'Leveranser per nät'!D$1,FALSE)/VLOOKUP($B217,Korrigeringsfaktor_GD,'Korrigeringsfaktor GD'!D$1,FALSE),
"")</f>
        <v>0</v>
      </c>
      <c r="E217" s="18">
        <f>IFERROR(
                  Andel_oberoende_av_klimat*VLOOKUP($A217,Leveranser_per_nät,'Leveranser per nät'!E$1,FALSE)
               +Andel_beroende_av_klimat*VLOOKUP($A217,Leveranser_per_nät,'Leveranser per nät'!E$1,FALSE)/VLOOKUP($B217,Korrigeringsfaktor_GD,'Korrigeringsfaktor GD'!E$1,FALSE),
"")</f>
        <v>0</v>
      </c>
      <c r="F217" s="18">
        <f>IFERROR(
                  Andel_oberoende_av_klimat*VLOOKUP($A217,Leveranser_per_nät,'Leveranser per nät'!F$1,FALSE)
               +Andel_beroende_av_klimat*VLOOKUP($A217,Leveranser_per_nät,'Leveranser per nät'!F$1,FALSE)/VLOOKUP($B217,Korrigeringsfaktor_GD,'Korrigeringsfaktor GD'!F$1,FALSE),
"")</f>
        <v>0</v>
      </c>
      <c r="G217" s="18">
        <f>IFERROR(
                  Andel_oberoende_av_klimat*VLOOKUP($A217,Leveranser_per_nät,'Leveranser per nät'!G$1,FALSE)
               +Andel_beroende_av_klimat*VLOOKUP($A217,Leveranser_per_nät,'Leveranser per nät'!G$1,FALSE)/VLOOKUP($B217,Korrigeringsfaktor_GD,'Korrigeringsfaktor GD'!G$1,FALSE),
"")</f>
        <v>0</v>
      </c>
      <c r="H217" s="18">
        <f>IFERROR(
                  Andel_oberoende_av_klimat*VLOOKUP($A217,Leveranser_per_nät,'Leveranser per nät'!H$1,FALSE)
               +Andel_beroende_av_klimat*VLOOKUP($A217,Leveranser_per_nät,'Leveranser per nät'!H$1,FALSE)/VLOOKUP($B217,Korrigeringsfaktor_GD,'Korrigeringsfaktor GD'!H$1,FALSE),
"")</f>
        <v>5.1970000000000001</v>
      </c>
      <c r="I217" s="18">
        <f>IFERROR(
                  Andel_oberoende_av_klimat*VLOOKUP($A217,Leveranser_per_nät,'Leveranser per nät'!I$1,FALSE)
               +Andel_beroende_av_klimat*VLOOKUP($A217,Leveranser_per_nät,'Leveranser per nät'!I$1,FALSE)/VLOOKUP($B217,Korrigeringsfaktor_GD,'Korrigeringsfaktor GD'!I$1,FALSE),
"")</f>
        <v>5.1082474226804129</v>
      </c>
      <c r="J217" s="18">
        <f>IFERROR(
                  Andel_oberoende_av_klimat*VLOOKUP($A217,Leveranser_per_nät,'Leveranser per nät'!J$1,FALSE)
               +Andel_beroende_av_klimat*VLOOKUP($A217,Leveranser_per_nät,'Leveranser per nät'!J$1,FALSE)/VLOOKUP($B217,Korrigeringsfaktor_GD,'Korrigeringsfaktor GD'!J$1,FALSE),
"")</f>
        <v>5.1458333333333339</v>
      </c>
      <c r="K217" s="18">
        <f>IFERROR(
                  Andel_oberoende_av_klimat*VLOOKUP($A217,Leveranser_per_nät,'Leveranser per nät'!K$1,FALSE)
               +Andel_beroende_av_klimat*VLOOKUP($A217,Leveranser_per_nät,'Leveranser per nät'!K$1,FALSE)/VLOOKUP($B217,Korrigeringsfaktor_GD,'Korrigeringsfaktor GD'!K$1,FALSE),
"")</f>
        <v>5.2895000000000003</v>
      </c>
      <c r="L217" s="18">
        <f>IFERROR(
                  Andel_oberoende_av_klimat*VLOOKUP($A217,Leveranser_per_nät,'Leveranser per nät'!L$1,FALSE)
               +Andel_beroende_av_klimat*VLOOKUP($A217,Leveranser_per_nät,'Leveranser per nät'!L$1,FALSE)/VLOOKUP($B217,Korrigeringsfaktor_GD,'Korrigeringsfaktor GD'!L$1,FALSE),
"")</f>
        <v>5.2847217391304344</v>
      </c>
      <c r="M217" s="18">
        <f>IFERROR(
                  Andel_oberoende_av_klimat*VLOOKUP($A217,Leveranser_per_nät,'Leveranser per nät'!M$1,FALSE)
               +Andel_beroende_av_klimat*VLOOKUP($A217,Leveranser_per_nät,'Leveranser per nät'!M$1,FALSE)/VLOOKUP($B217,Korrigeringsfaktor_GD,'Korrigeringsfaktor GD'!M$1,FALSE),
"")</f>
        <v>5.282069565217391</v>
      </c>
      <c r="N217" s="18">
        <f>IFERROR(
                  Andel_oberoende_av_klimat*VLOOKUP($A217,Leveranser_per_nät,'Leveranser per nät'!N$1,FALSE)
               +Andel_beroende_av_klimat*VLOOKUP($A217,Leveranser_per_nät,'Leveranser per nät'!N$1,FALSE)/VLOOKUP($B217,Korrigeringsfaktor_GD,'Korrigeringsfaktor GD'!N$1,FALSE),
"")</f>
        <v>5.0402709677419359</v>
      </c>
      <c r="O217" s="18">
        <f>IFERROR(
                  Andel_oberoende_av_klimat*VLOOKUP($A217,Leveranser_per_nät,'Leveranser per nät'!O$1,FALSE)
               +Andel_beroende_av_klimat*VLOOKUP($A217,Leveranser_per_nät,'Leveranser per nät'!O$1,FALSE)/VLOOKUP($B217,Korrigeringsfaktor_GD,'Korrigeringsfaktor GD'!O$1,FALSE),
"")</f>
        <v>5.1571193548387093</v>
      </c>
      <c r="P217" s="18">
        <f>IFERROR(
                  Andel_oberoende_av_klimat*VLOOKUP($A217,Leveranser_per_nät,'Leveranser per nät'!P$1,FALSE)
               +Andel_beroende_av_klimat*VLOOKUP($A217,Leveranser_per_nät,'Leveranser per nät'!P$1,FALSE)/VLOOKUP($B217,Korrigeringsfaktor_GD,'Korrigeringsfaktor GD'!P$1,FALSE),
"")</f>
        <v>5.5227857142857149</v>
      </c>
      <c r="Q217" s="18">
        <f>IFERROR(
                  Andel_oberoende_av_klimat*VLOOKUP($A217,Leveranser_per_nät,'Leveranser per nät'!Q$1,FALSE)
               +Andel_beroende_av_klimat*VLOOKUP($A217,Leveranser_per_nät,'Leveranser per nät'!Q$1,FALSE)/VLOOKUP($B217,Korrigeringsfaktor_GD,'Korrigeringsfaktor GD'!Q$1,FALSE),
"")</f>
        <v>5.1082315315315316</v>
      </c>
      <c r="R217" s="18">
        <f>IFERROR(
                  Andel_oberoende_av_klimat*VLOOKUP($A217,Leveranser_per_nät,'Leveranser per nät'!R$1,FALSE)
               +Andel_beroende_av_klimat*VLOOKUP($A217,Leveranser_per_nät,'Leveranser per nät'!R$1,FALSE)/VLOOKUP($B217,Korrigeringsfaktor_GD,'Korrigeringsfaktor GD'!R$1,FALSE),
"")</f>
        <v>4.9998111111111117</v>
      </c>
      <c r="S217" s="18">
        <f>IFERROR(
                  Andel_oberoende_av_klimat*VLOOKUP($A217,Leveranser_per_nät,'Leveranser per nät'!S$1,FALSE)
               +Andel_beroende_av_klimat*VLOOKUP($A217,Leveranser_per_nät,'Leveranser per nät'!S$1,FALSE)/VLOOKUP($B217,Korrigeringsfaktor_GD,'Korrigeringsfaktor GD'!S$1,FALSE),
"")</f>
        <v>5.18</v>
      </c>
      <c r="T217" s="18">
        <f>IFERROR(
                  Andel_oberoende_av_klimat*VLOOKUP($A217,Leveranser_per_nät,'Leveranser per nät'!T$1,FALSE)
               +Andel_beroende_av_klimat*VLOOKUP($A217,Leveranser_per_nät,'Leveranser per nät'!T$1,FALSE)/VLOOKUP($B217,Korrigeringsfaktor_GD,'Korrigeringsfaktor GD'!T$1,FALSE),
"")</f>
        <v>5.2067478260869571</v>
      </c>
      <c r="U217" s="18">
        <f>IFERROR(
                  Andel_oberoende_av_klimat*VLOOKUP($A217,Leveranser_per_nät,'Leveranser per nät'!U$1,FALSE)
               +Andel_beroende_av_klimat*VLOOKUP($A217,Leveranser_per_nät,'Leveranser per nät'!U$1,FALSE)/VLOOKUP($B217,Korrigeringsfaktor_GD,'Korrigeringsfaktor GD'!U$1,FALSE),
"")</f>
        <v>5.252011111111111</v>
      </c>
      <c r="V217" s="18">
        <f>IFERROR(
                  Andel_oberoende_av_klimat*VLOOKUP($A217,Leveranser_per_nät,'Leveranser per nät'!V$1,FALSE)
               +Andel_beroende_av_klimat*VLOOKUP($A217,Leveranser_per_nät,'Leveranser per nät'!V$1,FALSE)/VLOOKUP($B217,Korrigeringsfaktor_GD,'Korrigeringsfaktor GD'!V$1,FALSE),
"")</f>
        <v>5.0899862068965511</v>
      </c>
      <c r="W217" s="18">
        <f>IFERROR(
                  Andel_oberoende_av_klimat*VLOOKUP($A217,Leveranser_per_nät,'Leveranser per nät'!W$1,FALSE)
               +Andel_beroende_av_klimat*VLOOKUP($A217,Leveranser_per_nät,'Leveranser per nät'!W$1,FALSE)/VLOOKUP($B217,Korrigeringsfaktor_GD,'Korrigeringsfaktor GD'!W$1,FALSE),
"")</f>
        <v>5.3146166666666659</v>
      </c>
      <c r="X217" s="18">
        <f>IFERROR(
                  Andel_oberoende_av_klimat*VLOOKUP($A217,Leveranser_per_nät,'Leveranser per nät'!X$1,FALSE)
               +Andel_beroende_av_klimat*VLOOKUP($A217,Leveranser_per_nät,'Leveranser per nät'!X$1,FALSE)/VLOOKUP($B217,Korrigeringsfaktor_GD,'Korrigeringsfaktor GD'!X$1,FALSE),
"")</f>
        <v>5.3655714285714282</v>
      </c>
      <c r="Y217" s="18">
        <f>IFERROR(
                  Andel_oberoende_av_klimat*VLOOKUP($A217,Leveranser_per_nät,'Leveranser per nät'!Y$1,FALSE)
               +Andel_beroende_av_klimat*VLOOKUP($A217,Leveranser_per_nät,'Leveranser per nät'!Y$1,FALSE)/VLOOKUP($B217,Korrigeringsfaktor_GD,'Korrigeringsfaktor GD'!Y$1,FALSE),
"")</f>
        <v>5.3840927835051549</v>
      </c>
      <c r="Z217" s="18">
        <f>IFERROR(
                  Andel_oberoende_av_klimat*VLOOKUP($A217,Leveranser_per_nät,'Leveranser per nät'!Z$1,FALSE)
               +Andel_beroende_av_klimat*VLOOKUP($A217,Leveranser_per_nät,'Leveranser per nät'!Z$1,FALSE)/VLOOKUP($B217,Korrigeringsfaktor_GD,'Korrigeringsfaktor GD'!Z$1,FALSE),
"")</f>
        <v>5.5368747474747479</v>
      </c>
      <c r="AA217" s="18">
        <f>IFERROR(
                  Andel_oberoende_av_klimat*VLOOKUP($A217,Leveranser_per_nät,'Leveranser per nät'!AA$1,FALSE)
               +Andel_beroende_av_klimat*VLOOKUP($A217,Leveranser_per_nät,'Leveranser per nät'!AA$1,FALSE)/VLOOKUP($B217,Korrigeringsfaktor_GD,'Korrigeringsfaktor GD'!AA$1,FALSE),
"")</f>
        <v>5.2942764943820224</v>
      </c>
      <c r="AB217" s="18">
        <f>IFERROR(
                  Andel_oberoende_av_klimat*VLOOKUP($A217,Leveranser_per_nät,'Leveranser per nät'!AB$1,FALSE)
               +Andel_beroende_av_klimat*VLOOKUP($A217,Leveranser_per_nät,'Leveranser per nät'!AB$1,FALSE)/VLOOKUP($B217,Korrigeringsfaktor_GD,'Korrigeringsfaktor GD'!AB$1,FALSE),
"")</f>
        <v>5.0859983239171367</v>
      </c>
      <c r="AC217" s="18">
        <f>IFERROR(
                  Andel_oberoende_av_klimat*VLOOKUP($A217,Leveranser_per_nät,'Leveranser per nät'!AC$1,FALSE)
               +Andel_beroende_av_klimat*VLOOKUP($A217,Leveranser_per_nät,'Leveranser per nät'!AC$1,FALSE)/VLOOKUP($B217,Korrigeringsfaktor_GD,'Korrigeringsfaktor GD'!AC$1,FALSE),
"")</f>
        <v>5.5349603033367032</v>
      </c>
      <c r="AD217">
        <v>351.95330000000001</v>
      </c>
    </row>
    <row r="218" spans="1:30" x14ac:dyDescent="0.25">
      <c r="A218" t="s">
        <v>32</v>
      </c>
      <c r="B218" t="s">
        <v>533</v>
      </c>
      <c r="C218" s="18">
        <f>IFERROR(
                  Andel_oberoende_av_klimat*VLOOKUP($A218,Leveranser_per_nät,'Leveranser per nät'!C$1,FALSE)
               +Andel_beroende_av_klimat*VLOOKUP($A218,Leveranser_per_nät,'Leveranser per nät'!C$1,FALSE)/VLOOKUP($B218,Korrigeringsfaktor_GD,'Korrigeringsfaktor GD'!C$1,FALSE),
"")</f>
        <v>0</v>
      </c>
      <c r="D218" s="18">
        <f>IFERROR(
                  Andel_oberoende_av_klimat*VLOOKUP($A218,Leveranser_per_nät,'Leveranser per nät'!D$1,FALSE)
               +Andel_beroende_av_klimat*VLOOKUP($A218,Leveranser_per_nät,'Leveranser per nät'!D$1,FALSE)/VLOOKUP($B218,Korrigeringsfaktor_GD,'Korrigeringsfaktor GD'!D$1,FALSE),
"")</f>
        <v>0</v>
      </c>
      <c r="E218" s="18">
        <f>IFERROR(
                  Andel_oberoende_av_klimat*VLOOKUP($A218,Leveranser_per_nät,'Leveranser per nät'!E$1,FALSE)
               +Andel_beroende_av_klimat*VLOOKUP($A218,Leveranser_per_nät,'Leveranser per nät'!E$1,FALSE)/VLOOKUP($B218,Korrigeringsfaktor_GD,'Korrigeringsfaktor GD'!E$1,FALSE),
"")</f>
        <v>0</v>
      </c>
      <c r="F218" s="18">
        <f>IFERROR(
                  Andel_oberoende_av_klimat*VLOOKUP($A218,Leveranser_per_nät,'Leveranser per nät'!F$1,FALSE)
               +Andel_beroende_av_klimat*VLOOKUP($A218,Leveranser_per_nät,'Leveranser per nät'!F$1,FALSE)/VLOOKUP($B218,Korrigeringsfaktor_GD,'Korrigeringsfaktor GD'!F$1,FALSE),
"")</f>
        <v>0</v>
      </c>
      <c r="G218" s="18">
        <f>IFERROR(
                  Andel_oberoende_av_klimat*VLOOKUP($A218,Leveranser_per_nät,'Leveranser per nät'!G$1,FALSE)
               +Andel_beroende_av_klimat*VLOOKUP($A218,Leveranser_per_nät,'Leveranser per nät'!G$1,FALSE)/VLOOKUP($B218,Korrigeringsfaktor_GD,'Korrigeringsfaktor GD'!G$1,FALSE),
"")</f>
        <v>0</v>
      </c>
      <c r="H218" s="18">
        <f>IFERROR(
                  Andel_oberoende_av_klimat*VLOOKUP($A218,Leveranser_per_nät,'Leveranser per nät'!H$1,FALSE)
               +Andel_beroende_av_klimat*VLOOKUP($A218,Leveranser_per_nät,'Leveranser per nät'!H$1,FALSE)/VLOOKUP($B218,Korrigeringsfaktor_GD,'Korrigeringsfaktor GD'!H$1,FALSE),
"")</f>
        <v>0</v>
      </c>
      <c r="I218" s="18">
        <f>IFERROR(
                  Andel_oberoende_av_klimat*VLOOKUP($A218,Leveranser_per_nät,'Leveranser per nät'!I$1,FALSE)
               +Andel_beroende_av_klimat*VLOOKUP($A218,Leveranser_per_nät,'Leveranser per nät'!I$1,FALSE)/VLOOKUP($B218,Korrigeringsfaktor_GD,'Korrigeringsfaktor GD'!I$1,FALSE),
"")</f>
        <v>0</v>
      </c>
      <c r="J218" s="18">
        <f>IFERROR(
                  Andel_oberoende_av_klimat*VLOOKUP($A218,Leveranser_per_nät,'Leveranser per nät'!J$1,FALSE)
               +Andel_beroende_av_klimat*VLOOKUP($A218,Leveranser_per_nät,'Leveranser per nät'!J$1,FALSE)/VLOOKUP($B218,Korrigeringsfaktor_GD,'Korrigeringsfaktor GD'!J$1,FALSE),
"")</f>
        <v>0</v>
      </c>
      <c r="K218" s="18">
        <f>IFERROR(
                  Andel_oberoende_av_klimat*VLOOKUP($A218,Leveranser_per_nät,'Leveranser per nät'!K$1,FALSE)
               +Andel_beroende_av_klimat*VLOOKUP($A218,Leveranser_per_nät,'Leveranser per nät'!K$1,FALSE)/VLOOKUP($B218,Korrigeringsfaktor_GD,'Korrigeringsfaktor GD'!K$1,FALSE),
"")</f>
        <v>0</v>
      </c>
      <c r="L218" s="18">
        <f>IFERROR(
                  Andel_oberoende_av_klimat*VLOOKUP($A218,Leveranser_per_nät,'Leveranser per nät'!L$1,FALSE)
               +Andel_beroende_av_klimat*VLOOKUP($A218,Leveranser_per_nät,'Leveranser per nät'!L$1,FALSE)/VLOOKUP($B218,Korrigeringsfaktor_GD,'Korrigeringsfaktor GD'!L$1,FALSE),
"")</f>
        <v>0</v>
      </c>
      <c r="M218" s="18">
        <f>IFERROR(
                  Andel_oberoende_av_klimat*VLOOKUP($A218,Leveranser_per_nät,'Leveranser per nät'!M$1,FALSE)
               +Andel_beroende_av_klimat*VLOOKUP($A218,Leveranser_per_nät,'Leveranser per nät'!M$1,FALSE)/VLOOKUP($B218,Korrigeringsfaktor_GD,'Korrigeringsfaktor GD'!M$1,FALSE),
"")</f>
        <v>3.2581222222222221</v>
      </c>
      <c r="N218" s="18">
        <f>IFERROR(
                  Andel_oberoende_av_klimat*VLOOKUP($A218,Leveranser_per_nät,'Leveranser per nät'!N$1,FALSE)
               +Andel_beroende_av_klimat*VLOOKUP($A218,Leveranser_per_nät,'Leveranser per nät'!N$1,FALSE)/VLOOKUP($B218,Korrigeringsfaktor_GD,'Korrigeringsfaktor GD'!N$1,FALSE),
"")</f>
        <v>3.9071063829787236</v>
      </c>
      <c r="O218" s="18">
        <f>IFERROR(
                  Andel_oberoende_av_klimat*VLOOKUP($A218,Leveranser_per_nät,'Leveranser per nät'!O$1,FALSE)
               +Andel_beroende_av_klimat*VLOOKUP($A218,Leveranser_per_nät,'Leveranser per nät'!O$1,FALSE)/VLOOKUP($B218,Korrigeringsfaktor_GD,'Korrigeringsfaktor GD'!O$1,FALSE),
"")</f>
        <v>3.9370537634408604</v>
      </c>
      <c r="P218" s="18">
        <f>IFERROR(
                  Andel_oberoende_av_klimat*VLOOKUP($A218,Leveranser_per_nät,'Leveranser per nät'!P$1,FALSE)
               +Andel_beroende_av_klimat*VLOOKUP($A218,Leveranser_per_nät,'Leveranser per nät'!P$1,FALSE)/VLOOKUP($B218,Korrigeringsfaktor_GD,'Korrigeringsfaktor GD'!P$1,FALSE),
"")</f>
        <v>0</v>
      </c>
      <c r="Q218" s="18">
        <f>IFERROR(
                  Andel_oberoende_av_klimat*VLOOKUP($A218,Leveranser_per_nät,'Leveranser per nät'!Q$1,FALSE)
               +Andel_beroende_av_klimat*VLOOKUP($A218,Leveranser_per_nät,'Leveranser per nät'!Q$1,FALSE)/VLOOKUP($B218,Korrigeringsfaktor_GD,'Korrigeringsfaktor GD'!Q$1,FALSE),
"")</f>
        <v>0</v>
      </c>
      <c r="R218" s="18">
        <f>IFERROR(
                  Andel_oberoende_av_klimat*VLOOKUP($A218,Leveranser_per_nät,'Leveranser per nät'!R$1,FALSE)
               +Andel_beroende_av_klimat*VLOOKUP($A218,Leveranser_per_nät,'Leveranser per nät'!R$1,FALSE)/VLOOKUP($B218,Korrigeringsfaktor_GD,'Korrigeringsfaktor GD'!R$1,FALSE),
"")</f>
        <v>0</v>
      </c>
      <c r="S218" s="18" t="str">
        <f>IFERROR(
                  Andel_oberoende_av_klimat*VLOOKUP($A218,Leveranser_per_nät,'Leveranser per nät'!S$1,FALSE)
               +Andel_beroende_av_klimat*VLOOKUP($A218,Leveranser_per_nät,'Leveranser per nät'!S$1,FALSE)/VLOOKUP($B218,Korrigeringsfaktor_GD,'Korrigeringsfaktor GD'!S$1,FALSE),
"")</f>
        <v/>
      </c>
      <c r="T218" s="18" t="str">
        <f>IFERROR(
                  Andel_oberoende_av_klimat*VLOOKUP($A218,Leveranser_per_nät,'Leveranser per nät'!T$1,FALSE)
               +Andel_beroende_av_klimat*VLOOKUP($A218,Leveranser_per_nät,'Leveranser per nät'!T$1,FALSE)/VLOOKUP($B218,Korrigeringsfaktor_GD,'Korrigeringsfaktor GD'!T$1,FALSE),
"")</f>
        <v/>
      </c>
      <c r="U218" s="18" t="str">
        <f>IFERROR(
                  Andel_oberoende_av_klimat*VLOOKUP($A218,Leveranser_per_nät,'Leveranser per nät'!U$1,FALSE)
               +Andel_beroende_av_klimat*VLOOKUP($A218,Leveranser_per_nät,'Leveranser per nät'!U$1,FALSE)/VLOOKUP($B218,Korrigeringsfaktor_GD,'Korrigeringsfaktor GD'!U$1,FALSE),
"")</f>
        <v/>
      </c>
      <c r="V218" s="18" t="str">
        <f>IFERROR(
                  Andel_oberoende_av_klimat*VLOOKUP($A218,Leveranser_per_nät,'Leveranser per nät'!V$1,FALSE)
               +Andel_beroende_av_klimat*VLOOKUP($A218,Leveranser_per_nät,'Leveranser per nät'!V$1,FALSE)/VLOOKUP($B218,Korrigeringsfaktor_GD,'Korrigeringsfaktor GD'!V$1,FALSE),
"")</f>
        <v/>
      </c>
      <c r="W218" s="18" t="str">
        <f>IFERROR(
                  Andel_oberoende_av_klimat*VLOOKUP($A218,Leveranser_per_nät,'Leveranser per nät'!W$1,FALSE)
               +Andel_beroende_av_klimat*VLOOKUP($A218,Leveranser_per_nät,'Leveranser per nät'!W$1,FALSE)/VLOOKUP($B218,Korrigeringsfaktor_GD,'Korrigeringsfaktor GD'!W$1,FALSE),
"")</f>
        <v/>
      </c>
      <c r="X218" s="18" t="str">
        <f>IFERROR(
                  Andel_oberoende_av_klimat*VLOOKUP($A218,Leveranser_per_nät,'Leveranser per nät'!X$1,FALSE)
               +Andel_beroende_av_klimat*VLOOKUP($A218,Leveranser_per_nät,'Leveranser per nät'!X$1,FALSE)/VLOOKUP($B218,Korrigeringsfaktor_GD,'Korrigeringsfaktor GD'!X$1,FALSE),
"")</f>
        <v/>
      </c>
      <c r="Y218" s="18" t="str">
        <f>IFERROR(
                  Andel_oberoende_av_klimat*VLOOKUP($A218,Leveranser_per_nät,'Leveranser per nät'!Y$1,FALSE)
               +Andel_beroende_av_klimat*VLOOKUP($A218,Leveranser_per_nät,'Leveranser per nät'!Y$1,FALSE)/VLOOKUP($B218,Korrigeringsfaktor_GD,'Korrigeringsfaktor GD'!Y$1,FALSE),
"")</f>
        <v/>
      </c>
      <c r="Z218" s="18">
        <f>IFERROR(
                  Andel_oberoende_av_klimat*VLOOKUP($A218,Leveranser_per_nät,'Leveranser per nät'!Z$1,FALSE)
               +Andel_beroende_av_klimat*VLOOKUP($A218,Leveranser_per_nät,'Leveranser per nät'!Z$1,FALSE)/VLOOKUP($B218,Korrigeringsfaktor_GD,'Korrigeringsfaktor GD'!Z$1,FALSE),
"")</f>
        <v>0</v>
      </c>
      <c r="AA218" s="18" t="str">
        <f>IFERROR(
                  Andel_oberoende_av_klimat*VLOOKUP($A218,Leveranser_per_nät,'Leveranser per nät'!AA$1,FALSE)
               +Andel_beroende_av_klimat*VLOOKUP($A218,Leveranser_per_nät,'Leveranser per nät'!AA$1,FALSE)/VLOOKUP($B218,Korrigeringsfaktor_GD,'Korrigeringsfaktor GD'!AA$1,FALSE),
"")</f>
        <v/>
      </c>
      <c r="AB218" s="18">
        <f>IFERROR(
                  Andel_oberoende_av_klimat*VLOOKUP($A218,Leveranser_per_nät,'Leveranser per nät'!AB$1,FALSE)
               +Andel_beroende_av_klimat*VLOOKUP($A218,Leveranser_per_nät,'Leveranser per nät'!AB$1,FALSE)/VLOOKUP($B218,Korrigeringsfaktor_GD,'Korrigeringsfaktor GD'!AB$1,FALSE),
"")</f>
        <v>0</v>
      </c>
      <c r="AC218" s="18">
        <f>IFERROR(
                  Andel_oberoende_av_klimat*VLOOKUP($A218,Leveranser_per_nät,'Leveranser per nät'!AC$1,FALSE)
               +Andel_beroende_av_klimat*VLOOKUP($A218,Leveranser_per_nät,'Leveranser per nät'!AC$1,FALSE)/VLOOKUP($B218,Korrigeringsfaktor_GD,'Korrigeringsfaktor GD'!AC$1,FALSE),
"")</f>
        <v>0</v>
      </c>
      <c r="AD218">
        <v>11</v>
      </c>
    </row>
    <row r="219" spans="1:30" x14ac:dyDescent="0.25">
      <c r="A219" t="s">
        <v>174</v>
      </c>
      <c r="B219" t="s">
        <v>174</v>
      </c>
      <c r="C219" s="18">
        <f>IFERROR(
                  Andel_oberoende_av_klimat*VLOOKUP($A219,Leveranser_per_nät,'Leveranser per nät'!C$1,FALSE)
               +Andel_beroende_av_klimat*VLOOKUP($A219,Leveranser_per_nät,'Leveranser per nät'!C$1,FALSE)/VLOOKUP($B219,Korrigeringsfaktor_GD,'Korrigeringsfaktor GD'!C$1,FALSE),
"")</f>
        <v>214.04504504504507</v>
      </c>
      <c r="D219" s="18">
        <f>IFERROR(
                  Andel_oberoende_av_klimat*VLOOKUP($A219,Leveranser_per_nät,'Leveranser per nät'!D$1,FALSE)
               +Andel_beroende_av_klimat*VLOOKUP($A219,Leveranser_per_nät,'Leveranser per nät'!D$1,FALSE)/VLOOKUP($B219,Korrigeringsfaktor_GD,'Korrigeringsfaktor GD'!D$1,FALSE),
"")</f>
        <v>191.90285714285716</v>
      </c>
      <c r="E219" s="18">
        <f>IFERROR(
                  Andel_oberoende_av_klimat*VLOOKUP($A219,Leveranser_per_nät,'Leveranser per nät'!E$1,FALSE)
               +Andel_beroende_av_klimat*VLOOKUP($A219,Leveranser_per_nät,'Leveranser per nät'!E$1,FALSE)/VLOOKUP($B219,Korrigeringsfaktor_GD,'Korrigeringsfaktor GD'!E$1,FALSE),
"")</f>
        <v>205.1450980392157</v>
      </c>
      <c r="F219" s="18">
        <f>IFERROR(
                  Andel_oberoende_av_klimat*VLOOKUP($A219,Leveranser_per_nät,'Leveranser per nät'!F$1,FALSE)
               +Andel_beroende_av_klimat*VLOOKUP($A219,Leveranser_per_nät,'Leveranser per nät'!F$1,FALSE)/VLOOKUP($B219,Korrigeringsfaktor_GD,'Korrigeringsfaktor GD'!F$1,FALSE),
"")</f>
        <v>198.62916666666666</v>
      </c>
      <c r="G219" s="18">
        <f>IFERROR(
                  Andel_oberoende_av_klimat*VLOOKUP($A219,Leveranser_per_nät,'Leveranser per nät'!G$1,FALSE)
               +Andel_beroende_av_klimat*VLOOKUP($A219,Leveranser_per_nät,'Leveranser per nät'!G$1,FALSE)/VLOOKUP($B219,Korrigeringsfaktor_GD,'Korrigeringsfaktor GD'!G$1,FALSE),
"")</f>
        <v>193.30459770114942</v>
      </c>
      <c r="H219" s="18">
        <f>IFERROR(
                  Andel_oberoende_av_klimat*VLOOKUP($A219,Leveranser_per_nät,'Leveranser per nät'!H$1,FALSE)
               +Andel_beroende_av_klimat*VLOOKUP($A219,Leveranser_per_nät,'Leveranser per nät'!H$1,FALSE)/VLOOKUP($B219,Korrigeringsfaktor_GD,'Korrigeringsfaktor GD'!H$1,FALSE),
"")</f>
        <v>194</v>
      </c>
      <c r="I219" s="18">
        <f>IFERROR(
                  Andel_oberoende_av_klimat*VLOOKUP($A219,Leveranser_per_nät,'Leveranser per nät'!I$1,FALSE)
               +Andel_beroende_av_klimat*VLOOKUP($A219,Leveranser_per_nät,'Leveranser per nät'!I$1,FALSE)/VLOOKUP($B219,Korrigeringsfaktor_GD,'Korrigeringsfaktor GD'!I$1,FALSE),
"")</f>
        <v>200.82857142857142</v>
      </c>
      <c r="J219" s="18">
        <f>IFERROR(
                  Andel_oberoende_av_klimat*VLOOKUP($A219,Leveranser_per_nät,'Leveranser per nät'!J$1,FALSE)
               +Andel_beroende_av_klimat*VLOOKUP($A219,Leveranser_per_nät,'Leveranser per nät'!J$1,FALSE)/VLOOKUP($B219,Korrigeringsfaktor_GD,'Korrigeringsfaktor GD'!J$1,FALSE),
"")</f>
        <v>188.65714285714287</v>
      </c>
      <c r="K219" s="18">
        <f>IFERROR(
                  Andel_oberoende_av_klimat*VLOOKUP($A219,Leveranser_per_nät,'Leveranser per nät'!K$1,FALSE)
               +Andel_beroende_av_klimat*VLOOKUP($A219,Leveranser_per_nät,'Leveranser per nät'!K$1,FALSE)/VLOOKUP($B219,Korrigeringsfaktor_GD,'Korrigeringsfaktor GD'!K$1,FALSE),
"")</f>
        <v>189.10038571428572</v>
      </c>
      <c r="L219" s="18">
        <f>IFERROR(
                  Andel_oberoende_av_klimat*VLOOKUP($A219,Leveranser_per_nät,'Leveranser per nät'!L$1,FALSE)
               +Andel_beroende_av_klimat*VLOOKUP($A219,Leveranser_per_nät,'Leveranser per nät'!L$1,FALSE)/VLOOKUP($B219,Korrigeringsfaktor_GD,'Korrigeringsfaktor GD'!L$1,FALSE),
"")</f>
        <v>192.67257872340426</v>
      </c>
      <c r="M219" s="18">
        <f>IFERROR(
                  Andel_oberoende_av_klimat*VLOOKUP($A219,Leveranser_per_nät,'Leveranser per nät'!M$1,FALSE)
               +Andel_beroende_av_klimat*VLOOKUP($A219,Leveranser_per_nät,'Leveranser per nät'!M$1,FALSE)/VLOOKUP($B219,Korrigeringsfaktor_GD,'Korrigeringsfaktor GD'!M$1,FALSE),
"")</f>
        <v>191.31721739130435</v>
      </c>
      <c r="N219" s="18">
        <f>IFERROR(
                  Andel_oberoende_av_klimat*VLOOKUP($A219,Leveranser_per_nät,'Leveranser per nät'!N$1,FALSE)
               +Andel_beroende_av_klimat*VLOOKUP($A219,Leveranser_per_nät,'Leveranser per nät'!N$1,FALSE)/VLOOKUP($B219,Korrigeringsfaktor_GD,'Korrigeringsfaktor GD'!N$1,FALSE),
"")</f>
        <v>195.04193043478261</v>
      </c>
      <c r="O219" s="18">
        <f>IFERROR(
                  Andel_oberoende_av_klimat*VLOOKUP($A219,Leveranser_per_nät,'Leveranser per nät'!O$1,FALSE)
               +Andel_beroende_av_klimat*VLOOKUP($A219,Leveranser_per_nät,'Leveranser per nät'!O$1,FALSE)/VLOOKUP($B219,Korrigeringsfaktor_GD,'Korrigeringsfaktor GD'!O$1,FALSE),
"")</f>
        <v>193.17835056179774</v>
      </c>
      <c r="P219" s="18">
        <f>IFERROR(
                  Andel_oberoende_av_klimat*VLOOKUP($A219,Leveranser_per_nät,'Leveranser per nät'!P$1,FALSE)
               +Andel_beroende_av_klimat*VLOOKUP($A219,Leveranser_per_nät,'Leveranser per nät'!P$1,FALSE)/VLOOKUP($B219,Korrigeringsfaktor_GD,'Korrigeringsfaktor GD'!P$1,FALSE),
"")</f>
        <v>197.51997142857144</v>
      </c>
      <c r="Q219" s="18">
        <f>IFERROR(
                  Andel_oberoende_av_klimat*VLOOKUP($A219,Leveranser_per_nät,'Leveranser per nät'!Q$1,FALSE)
               +Andel_beroende_av_klimat*VLOOKUP($A219,Leveranser_per_nät,'Leveranser per nät'!Q$1,FALSE)/VLOOKUP($B219,Korrigeringsfaktor_GD,'Korrigeringsfaktor GD'!Q$1,FALSE),
"")</f>
        <v>203.76464615384617</v>
      </c>
      <c r="R219" s="18">
        <f>IFERROR(
                  Andel_oberoende_av_klimat*VLOOKUP($A219,Leveranser_per_nät,'Leveranser per nät'!R$1,FALSE)
               +Andel_beroende_av_klimat*VLOOKUP($A219,Leveranser_per_nät,'Leveranser per nät'!R$1,FALSE)/VLOOKUP($B219,Korrigeringsfaktor_GD,'Korrigeringsfaktor GD'!R$1,FALSE),
"")</f>
        <v>201.35367777777776</v>
      </c>
      <c r="S219" s="18">
        <f>IFERROR(
                  Andel_oberoende_av_klimat*VLOOKUP($A219,Leveranser_per_nät,'Leveranser per nät'!S$1,FALSE)
               +Andel_beroende_av_klimat*VLOOKUP($A219,Leveranser_per_nät,'Leveranser per nät'!S$1,FALSE)/VLOOKUP($B219,Korrigeringsfaktor_GD,'Korrigeringsfaktor GD'!S$1,FALSE),
"")</f>
        <v>207</v>
      </c>
      <c r="T219" s="18">
        <f>IFERROR(
                  Andel_oberoende_av_klimat*VLOOKUP($A219,Leveranser_per_nät,'Leveranser per nät'!T$1,FALSE)
               +Andel_beroende_av_klimat*VLOOKUP($A219,Leveranser_per_nät,'Leveranser per nät'!T$1,FALSE)/VLOOKUP($B219,Korrigeringsfaktor_GD,'Korrigeringsfaktor GD'!T$1,FALSE),
"")</f>
        <v>204.44395833333334</v>
      </c>
      <c r="U219" s="18">
        <f>IFERROR(
                  Andel_oberoende_av_klimat*VLOOKUP($A219,Leveranser_per_nät,'Leveranser per nät'!U$1,FALSE)
               +Andel_beroende_av_klimat*VLOOKUP($A219,Leveranser_per_nät,'Leveranser per nät'!U$1,FALSE)/VLOOKUP($B219,Korrigeringsfaktor_GD,'Korrigeringsfaktor GD'!U$1,FALSE),
"")</f>
        <v>202.54845</v>
      </c>
      <c r="V219" s="18">
        <f>IFERROR(
                  Andel_oberoende_av_klimat*VLOOKUP($A219,Leveranser_per_nät,'Leveranser per nät'!V$1,FALSE)
               +Andel_beroende_av_klimat*VLOOKUP($A219,Leveranser_per_nät,'Leveranser per nät'!V$1,FALSE)/VLOOKUP($B219,Korrigeringsfaktor_GD,'Korrigeringsfaktor GD'!V$1,FALSE),
"")</f>
        <v>206.19412272727271</v>
      </c>
      <c r="W219" s="18">
        <f>IFERROR(
                  Andel_oberoende_av_klimat*VLOOKUP($A219,Leveranser_per_nät,'Leveranser per nät'!W$1,FALSE)
               +Andel_beroende_av_klimat*VLOOKUP($A219,Leveranser_per_nät,'Leveranser per nät'!W$1,FALSE)/VLOOKUP($B219,Korrigeringsfaktor_GD,'Korrigeringsfaktor GD'!W$1,FALSE),
"")</f>
        <v>206.55531505376345</v>
      </c>
      <c r="X219" s="18" t="str">
        <f>IFERROR(
                  Andel_oberoende_av_klimat*VLOOKUP($A219,Leveranser_per_nät,'Leveranser per nät'!X$1,FALSE)
               +Andel_beroende_av_klimat*VLOOKUP($A219,Leveranser_per_nät,'Leveranser per nät'!X$1,FALSE)/VLOOKUP($B219,Korrigeringsfaktor_GD,'Korrigeringsfaktor GD'!X$1,FALSE),
"")</f>
        <v/>
      </c>
      <c r="Y219" s="18" t="str">
        <f>IFERROR(
                  Andel_oberoende_av_klimat*VLOOKUP($A219,Leveranser_per_nät,'Leveranser per nät'!Y$1,FALSE)
               +Andel_beroende_av_klimat*VLOOKUP($A219,Leveranser_per_nät,'Leveranser per nät'!Y$1,FALSE)/VLOOKUP($B219,Korrigeringsfaktor_GD,'Korrigeringsfaktor GD'!Y$1,FALSE),
"")</f>
        <v/>
      </c>
      <c r="Z219" s="18">
        <f>IFERROR(
                  Andel_oberoende_av_klimat*VLOOKUP($A219,Leveranser_per_nät,'Leveranser per nät'!Z$1,FALSE)
               +Andel_beroende_av_klimat*VLOOKUP($A219,Leveranser_per_nät,'Leveranser per nät'!Z$1,FALSE)/VLOOKUP($B219,Korrigeringsfaktor_GD,'Korrigeringsfaktor GD'!Z$1,FALSE),
"")</f>
        <v>0</v>
      </c>
      <c r="AA219" s="18" t="str">
        <f>IFERROR(
                  Andel_oberoende_av_klimat*VLOOKUP($A219,Leveranser_per_nät,'Leveranser per nät'!AA$1,FALSE)
               +Andel_beroende_av_klimat*VLOOKUP($A219,Leveranser_per_nät,'Leveranser per nät'!AA$1,FALSE)/VLOOKUP($B219,Korrigeringsfaktor_GD,'Korrigeringsfaktor GD'!AA$1,FALSE),
"")</f>
        <v/>
      </c>
      <c r="AB219" s="18">
        <f>IFERROR(
                  Andel_oberoende_av_klimat*VLOOKUP($A219,Leveranser_per_nät,'Leveranser per nät'!AB$1,FALSE)
               +Andel_beroende_av_klimat*VLOOKUP($A219,Leveranser_per_nät,'Leveranser per nät'!AB$1,FALSE)/VLOOKUP($B219,Korrigeringsfaktor_GD,'Korrigeringsfaktor GD'!AB$1,FALSE),
"")</f>
        <v>0</v>
      </c>
      <c r="AC219" s="18">
        <f>IFERROR(
                  Andel_oberoende_av_klimat*VLOOKUP($A219,Leveranser_per_nät,'Leveranser per nät'!AC$1,FALSE)
               +Andel_beroende_av_klimat*VLOOKUP($A219,Leveranser_per_nät,'Leveranser per nät'!AC$1,FALSE)/VLOOKUP($B219,Korrigeringsfaktor_GD,'Korrigeringsfaktor GD'!AC$1,FALSE),
"")</f>
        <v>0</v>
      </c>
      <c r="AD219" t="e">
        <v>#N/A</v>
      </c>
    </row>
    <row r="220" spans="1:30" x14ac:dyDescent="0.25">
      <c r="A220" t="s">
        <v>86</v>
      </c>
      <c r="B220" t="s">
        <v>78</v>
      </c>
      <c r="C220" s="18">
        <f>IFERROR(
                  Andel_oberoende_av_klimat*VLOOKUP($A220,Leveranser_per_nät,'Leveranser per nät'!C$1,FALSE)
               +Andel_beroende_av_klimat*VLOOKUP($A220,Leveranser_per_nät,'Leveranser per nät'!C$1,FALSE)/VLOOKUP($B220,Korrigeringsfaktor_GD,'Korrigeringsfaktor GD'!C$1,FALSE),
"")</f>
        <v>0</v>
      </c>
      <c r="D220" s="18">
        <f>IFERROR(
                  Andel_oberoende_av_klimat*VLOOKUP($A220,Leveranser_per_nät,'Leveranser per nät'!D$1,FALSE)
               +Andel_beroende_av_klimat*VLOOKUP($A220,Leveranser_per_nät,'Leveranser per nät'!D$1,FALSE)/VLOOKUP($B220,Korrigeringsfaktor_GD,'Korrigeringsfaktor GD'!D$1,FALSE),
"")</f>
        <v>0</v>
      </c>
      <c r="E220" s="18">
        <f>IFERROR(
                  Andel_oberoende_av_klimat*VLOOKUP($A220,Leveranser_per_nät,'Leveranser per nät'!E$1,FALSE)
               +Andel_beroende_av_klimat*VLOOKUP($A220,Leveranser_per_nät,'Leveranser per nät'!E$1,FALSE)/VLOOKUP($B220,Korrigeringsfaktor_GD,'Korrigeringsfaktor GD'!E$1,FALSE),
"")</f>
        <v>0</v>
      </c>
      <c r="F220" s="18">
        <f>IFERROR(
                  Andel_oberoende_av_klimat*VLOOKUP($A220,Leveranser_per_nät,'Leveranser per nät'!F$1,FALSE)
               +Andel_beroende_av_klimat*VLOOKUP($A220,Leveranser_per_nät,'Leveranser per nät'!F$1,FALSE)/VLOOKUP($B220,Korrigeringsfaktor_GD,'Korrigeringsfaktor GD'!F$1,FALSE),
"")</f>
        <v>0</v>
      </c>
      <c r="G220" s="18">
        <f>IFERROR(
                  Andel_oberoende_av_klimat*VLOOKUP($A220,Leveranser_per_nät,'Leveranser per nät'!G$1,FALSE)
               +Andel_beroende_av_klimat*VLOOKUP($A220,Leveranser_per_nät,'Leveranser per nät'!G$1,FALSE)/VLOOKUP($B220,Korrigeringsfaktor_GD,'Korrigeringsfaktor GD'!G$1,FALSE),
"")</f>
        <v>0</v>
      </c>
      <c r="H220" s="18">
        <f>IFERROR(
                  Andel_oberoende_av_klimat*VLOOKUP($A220,Leveranser_per_nät,'Leveranser per nät'!H$1,FALSE)
               +Andel_beroende_av_klimat*VLOOKUP($A220,Leveranser_per_nät,'Leveranser per nät'!H$1,FALSE)/VLOOKUP($B220,Korrigeringsfaktor_GD,'Korrigeringsfaktor GD'!H$1,FALSE),
"")</f>
        <v>0</v>
      </c>
      <c r="I220" s="18">
        <f>IFERROR(
                  Andel_oberoende_av_klimat*VLOOKUP($A220,Leveranser_per_nät,'Leveranser per nät'!I$1,FALSE)
               +Andel_beroende_av_klimat*VLOOKUP($A220,Leveranser_per_nät,'Leveranser per nät'!I$1,FALSE)/VLOOKUP($B220,Korrigeringsfaktor_GD,'Korrigeringsfaktor GD'!I$1,FALSE),
"")</f>
        <v>0</v>
      </c>
      <c r="J220" s="18">
        <f>IFERROR(
                  Andel_oberoende_av_klimat*VLOOKUP($A220,Leveranser_per_nät,'Leveranser per nät'!J$1,FALSE)
               +Andel_beroende_av_klimat*VLOOKUP($A220,Leveranser_per_nät,'Leveranser per nät'!J$1,FALSE)/VLOOKUP($B220,Korrigeringsfaktor_GD,'Korrigeringsfaktor GD'!J$1,FALSE),
"")</f>
        <v>0</v>
      </c>
      <c r="K220" s="18">
        <f>IFERROR(
                  Andel_oberoende_av_klimat*VLOOKUP($A220,Leveranser_per_nät,'Leveranser per nät'!K$1,FALSE)
               +Andel_beroende_av_klimat*VLOOKUP($A220,Leveranser_per_nät,'Leveranser per nät'!K$1,FALSE)/VLOOKUP($B220,Korrigeringsfaktor_GD,'Korrigeringsfaktor GD'!K$1,FALSE),
"")</f>
        <v>0</v>
      </c>
      <c r="L220" s="18">
        <f>IFERROR(
                  Andel_oberoende_av_klimat*VLOOKUP($A220,Leveranser_per_nät,'Leveranser per nät'!L$1,FALSE)
               +Andel_beroende_av_klimat*VLOOKUP($A220,Leveranser_per_nät,'Leveranser per nät'!L$1,FALSE)/VLOOKUP($B220,Korrigeringsfaktor_GD,'Korrigeringsfaktor GD'!L$1,FALSE),
"")</f>
        <v>14.691447605864656</v>
      </c>
      <c r="M220" s="18">
        <f>IFERROR(
                  Andel_oberoende_av_klimat*VLOOKUP($A220,Leveranser_per_nät,'Leveranser per nät'!M$1,FALSE)
               +Andel_beroende_av_klimat*VLOOKUP($A220,Leveranser_per_nät,'Leveranser per nät'!M$1,FALSE)/VLOOKUP($B220,Korrigeringsfaktor_GD,'Korrigeringsfaktor GD'!M$1,FALSE),
"")</f>
        <v>9.0404860215053748</v>
      </c>
      <c r="N220" s="18">
        <f>IFERROR(
                  Andel_oberoende_av_klimat*VLOOKUP($A220,Leveranser_per_nät,'Leveranser per nät'!N$1,FALSE)
               +Andel_beroende_av_klimat*VLOOKUP($A220,Leveranser_per_nät,'Leveranser per nät'!N$1,FALSE)/VLOOKUP($B220,Korrigeringsfaktor_GD,'Korrigeringsfaktor GD'!N$1,FALSE),
"")</f>
        <v>9.9155555555555548</v>
      </c>
      <c r="O220" s="18">
        <f>IFERROR(
                  Andel_oberoende_av_klimat*VLOOKUP($A220,Leveranser_per_nät,'Leveranser per nät'!O$1,FALSE)
               +Andel_beroende_av_klimat*VLOOKUP($A220,Leveranser_per_nät,'Leveranser per nät'!O$1,FALSE)/VLOOKUP($B220,Korrigeringsfaktor_GD,'Korrigeringsfaktor GD'!O$1,FALSE),
"")</f>
        <v>9.4628888888888874</v>
      </c>
      <c r="P220" s="18">
        <f>IFERROR(
                  Andel_oberoende_av_klimat*VLOOKUP($A220,Leveranser_per_nät,'Leveranser per nät'!P$1,FALSE)
               +Andel_beroende_av_klimat*VLOOKUP($A220,Leveranser_per_nät,'Leveranser per nät'!P$1,FALSE)/VLOOKUP($B220,Korrigeringsfaktor_GD,'Korrigeringsfaktor GD'!P$1,FALSE),
"")</f>
        <v>10.015229896907217</v>
      </c>
      <c r="Q220" s="18">
        <f>IFERROR(
                  Andel_oberoende_av_klimat*VLOOKUP($A220,Leveranser_per_nät,'Leveranser per nät'!Q$1,FALSE)
               +Andel_beroende_av_klimat*VLOOKUP($A220,Leveranser_per_nät,'Leveranser per nät'!Q$1,FALSE)/VLOOKUP($B220,Korrigeringsfaktor_GD,'Korrigeringsfaktor GD'!Q$1,FALSE),
"")</f>
        <v>9.9956521739130437</v>
      </c>
      <c r="R220" s="18">
        <f>IFERROR(
                  Andel_oberoende_av_klimat*VLOOKUP($A220,Leveranser_per_nät,'Leveranser per nät'!R$1,FALSE)
               +Andel_beroende_av_klimat*VLOOKUP($A220,Leveranser_per_nät,'Leveranser per nät'!R$1,FALSE)/VLOOKUP($B220,Korrigeringsfaktor_GD,'Korrigeringsfaktor GD'!R$1,FALSE),
"")</f>
        <v>10.123971796223078</v>
      </c>
      <c r="S220" s="18">
        <f>IFERROR(
                  Andel_oberoende_av_klimat*VLOOKUP($A220,Leveranser_per_nät,'Leveranser per nät'!S$1,FALSE)
               +Andel_beroende_av_klimat*VLOOKUP($A220,Leveranser_per_nät,'Leveranser per nät'!S$1,FALSE)/VLOOKUP($B220,Korrigeringsfaktor_GD,'Korrigeringsfaktor GD'!S$1,FALSE),
"")</f>
        <v>10.188215686274511</v>
      </c>
      <c r="T220" s="18">
        <f>IFERROR(
                  Andel_oberoende_av_klimat*VLOOKUP($A220,Leveranser_per_nät,'Leveranser per nät'!T$1,FALSE)
               +Andel_beroende_av_klimat*VLOOKUP($A220,Leveranser_per_nät,'Leveranser per nät'!T$1,FALSE)/VLOOKUP($B220,Korrigeringsfaktor_GD,'Korrigeringsfaktor GD'!T$1,FALSE),
"")</f>
        <v>10.110989898989898</v>
      </c>
      <c r="U220" s="18">
        <f>IFERROR(
                  Andel_oberoende_av_klimat*VLOOKUP($A220,Leveranser_per_nät,'Leveranser per nät'!U$1,FALSE)
               +Andel_beroende_av_klimat*VLOOKUP($A220,Leveranser_per_nät,'Leveranser per nät'!U$1,FALSE)/VLOOKUP($B220,Korrigeringsfaktor_GD,'Korrigeringsfaktor GD'!U$1,FALSE),
"")</f>
        <v>11.23529411764706</v>
      </c>
      <c r="V220" s="18">
        <f>IFERROR(
                  Andel_oberoende_av_klimat*VLOOKUP($A220,Leveranser_per_nät,'Leveranser per nät'!V$1,FALSE)
               +Andel_beroende_av_klimat*VLOOKUP($A220,Leveranser_per_nät,'Leveranser per nät'!V$1,FALSE)/VLOOKUP($B220,Korrigeringsfaktor_GD,'Korrigeringsfaktor GD'!V$1,FALSE),
"")</f>
        <v>10.777777777777779</v>
      </c>
      <c r="W220" s="18">
        <f>IFERROR(
                  Andel_oberoende_av_klimat*VLOOKUP($A220,Leveranser_per_nät,'Leveranser per nät'!W$1,FALSE)
               +Andel_beroende_av_klimat*VLOOKUP($A220,Leveranser_per_nät,'Leveranser per nät'!W$1,FALSE)/VLOOKUP($B220,Korrigeringsfaktor_GD,'Korrigeringsfaktor GD'!W$1,FALSE),
"")</f>
        <v>10.446808510638299</v>
      </c>
      <c r="X220" s="18">
        <f>IFERROR(
                  Andel_oberoende_av_klimat*VLOOKUP($A220,Leveranser_per_nät,'Leveranser per nät'!X$1,FALSE)
               +Andel_beroende_av_klimat*VLOOKUP($A220,Leveranser_per_nät,'Leveranser per nät'!X$1,FALSE)/VLOOKUP($B220,Korrigeringsfaktor_GD,'Korrigeringsfaktor GD'!X$1,FALSE),
"")</f>
        <v>10.526881720430108</v>
      </c>
      <c r="Y220" s="18">
        <f>IFERROR(
                  Andel_oberoende_av_klimat*VLOOKUP($A220,Leveranser_per_nät,'Leveranser per nät'!Y$1,FALSE)
               +Andel_beroende_av_klimat*VLOOKUP($A220,Leveranser_per_nät,'Leveranser per nät'!Y$1,FALSE)/VLOOKUP($B220,Korrigeringsfaktor_GD,'Korrigeringsfaktor GD'!Y$1,FALSE),
"")</f>
        <v>10.562222222222223</v>
      </c>
      <c r="Z220" s="18">
        <f>IFERROR(
                  Andel_oberoende_av_klimat*VLOOKUP($A220,Leveranser_per_nät,'Leveranser per nät'!Z$1,FALSE)
               +Andel_beroende_av_klimat*VLOOKUP($A220,Leveranser_per_nät,'Leveranser per nät'!Z$1,FALSE)/VLOOKUP($B220,Korrigeringsfaktor_GD,'Korrigeringsfaktor GD'!Z$1,FALSE),
"")</f>
        <v>10.188750000000001</v>
      </c>
      <c r="AA220" s="18">
        <f>IFERROR(
                  Andel_oberoende_av_klimat*VLOOKUP($A220,Leveranser_per_nät,'Leveranser per nät'!AA$1,FALSE)
               +Andel_beroende_av_klimat*VLOOKUP($A220,Leveranser_per_nät,'Leveranser per nät'!AA$1,FALSE)/VLOOKUP($B220,Korrigeringsfaktor_GD,'Korrigeringsfaktor GD'!AA$1,FALSE),
"")</f>
        <v>10.803674911660776</v>
      </c>
      <c r="AB220" s="18">
        <f>IFERROR(
                  Andel_oberoende_av_klimat*VLOOKUP($A220,Leveranser_per_nät,'Leveranser per nät'!AB$1,FALSE)
               +Andel_beroende_av_klimat*VLOOKUP($A220,Leveranser_per_nät,'Leveranser per nät'!AB$1,FALSE)/VLOOKUP($B220,Korrigeringsfaktor_GD,'Korrigeringsfaktor GD'!AB$1,FALSE),
"")</f>
        <v>10.670581959262853</v>
      </c>
      <c r="AC220" s="18">
        <f>IFERROR(
                  Andel_oberoende_av_klimat*VLOOKUP($A220,Leveranser_per_nät,'Leveranser per nät'!AC$1,FALSE)
               +Andel_beroende_av_klimat*VLOOKUP($A220,Leveranser_per_nät,'Leveranser per nät'!AC$1,FALSE)/VLOOKUP($B220,Korrigeringsfaktor_GD,'Korrigeringsfaktor GD'!AC$1,FALSE),
"")</f>
        <v>10.402262773722626</v>
      </c>
      <c r="AD220">
        <v>137.1</v>
      </c>
    </row>
    <row r="221" spans="1:30" x14ac:dyDescent="0.25">
      <c r="A221" t="s">
        <v>76</v>
      </c>
      <c r="B221" t="s">
        <v>355</v>
      </c>
      <c r="C221" s="18">
        <f>IFERROR(
                  Andel_oberoende_av_klimat*VLOOKUP($A221,Leveranser_per_nät,'Leveranser per nät'!C$1,FALSE)
               +Andel_beroende_av_klimat*VLOOKUP($A221,Leveranser_per_nät,'Leveranser per nät'!C$1,FALSE)/VLOOKUP($B221,Korrigeringsfaktor_GD,'Korrigeringsfaktor GD'!C$1,FALSE),
"")</f>
        <v>0</v>
      </c>
      <c r="D221" s="18">
        <f>IFERROR(
                  Andel_oberoende_av_klimat*VLOOKUP($A221,Leveranser_per_nät,'Leveranser per nät'!D$1,FALSE)
               +Andel_beroende_av_klimat*VLOOKUP($A221,Leveranser_per_nät,'Leveranser per nät'!D$1,FALSE)/VLOOKUP($B221,Korrigeringsfaktor_GD,'Korrigeringsfaktor GD'!D$1,FALSE),
"")</f>
        <v>0</v>
      </c>
      <c r="E221" s="18">
        <f>IFERROR(
                  Andel_oberoende_av_klimat*VLOOKUP($A221,Leveranser_per_nät,'Leveranser per nät'!E$1,FALSE)
               +Andel_beroende_av_klimat*VLOOKUP($A221,Leveranser_per_nät,'Leveranser per nät'!E$1,FALSE)/VLOOKUP($B221,Korrigeringsfaktor_GD,'Korrigeringsfaktor GD'!E$1,FALSE),
"")</f>
        <v>0</v>
      </c>
      <c r="F221" s="18">
        <f>IFERROR(
                  Andel_oberoende_av_klimat*VLOOKUP($A221,Leveranser_per_nät,'Leveranser per nät'!F$1,FALSE)
               +Andel_beroende_av_klimat*VLOOKUP($A221,Leveranser_per_nät,'Leveranser per nät'!F$1,FALSE)/VLOOKUP($B221,Korrigeringsfaktor_GD,'Korrigeringsfaktor GD'!F$1,FALSE),
"")</f>
        <v>0</v>
      </c>
      <c r="G221" s="18">
        <f>IFERROR(
                  Andel_oberoende_av_klimat*VLOOKUP($A221,Leveranser_per_nät,'Leveranser per nät'!G$1,FALSE)
               +Andel_beroende_av_klimat*VLOOKUP($A221,Leveranser_per_nät,'Leveranser per nät'!G$1,FALSE)/VLOOKUP($B221,Korrigeringsfaktor_GD,'Korrigeringsfaktor GD'!G$1,FALSE),
"")</f>
        <v>0</v>
      </c>
      <c r="H221" s="18">
        <f>IFERROR(
                  Andel_oberoende_av_klimat*VLOOKUP($A221,Leveranser_per_nät,'Leveranser per nät'!H$1,FALSE)
               +Andel_beroende_av_klimat*VLOOKUP($A221,Leveranser_per_nät,'Leveranser per nät'!H$1,FALSE)/VLOOKUP($B221,Korrigeringsfaktor_GD,'Korrigeringsfaktor GD'!H$1,FALSE),
"")</f>
        <v>0</v>
      </c>
      <c r="I221" s="18">
        <f>IFERROR(
                  Andel_oberoende_av_klimat*VLOOKUP($A221,Leveranser_per_nät,'Leveranser per nät'!I$1,FALSE)
               +Andel_beroende_av_klimat*VLOOKUP($A221,Leveranser_per_nät,'Leveranser per nät'!I$1,FALSE)/VLOOKUP($B221,Korrigeringsfaktor_GD,'Korrigeringsfaktor GD'!I$1,FALSE),
"")</f>
        <v>0</v>
      </c>
      <c r="J221" s="18">
        <f>IFERROR(
                  Andel_oberoende_av_klimat*VLOOKUP($A221,Leveranser_per_nät,'Leveranser per nät'!J$1,FALSE)
               +Andel_beroende_av_klimat*VLOOKUP($A221,Leveranser_per_nät,'Leveranser per nät'!J$1,FALSE)/VLOOKUP($B221,Korrigeringsfaktor_GD,'Korrigeringsfaktor GD'!J$1,FALSE),
"")</f>
        <v>0</v>
      </c>
      <c r="K221" s="18">
        <f>IFERROR(
                  Andel_oberoende_av_klimat*VLOOKUP($A221,Leveranser_per_nät,'Leveranser per nät'!K$1,FALSE)
               +Andel_beroende_av_klimat*VLOOKUP($A221,Leveranser_per_nät,'Leveranser per nät'!K$1,FALSE)/VLOOKUP($B221,Korrigeringsfaktor_GD,'Korrigeringsfaktor GD'!K$1,FALSE),
"")</f>
        <v>0</v>
      </c>
      <c r="L221" s="18">
        <f>IFERROR(
                  Andel_oberoende_av_klimat*VLOOKUP($A221,Leveranser_per_nät,'Leveranser per nät'!L$1,FALSE)
               +Andel_beroende_av_klimat*VLOOKUP($A221,Leveranser_per_nät,'Leveranser per nät'!L$1,FALSE)/VLOOKUP($B221,Korrigeringsfaktor_GD,'Korrigeringsfaktor GD'!L$1,FALSE),
"")</f>
        <v>12.82097880294276</v>
      </c>
      <c r="M221" s="18">
        <f>IFERROR(
                  Andel_oberoende_av_klimat*VLOOKUP($A221,Leveranser_per_nät,'Leveranser per nät'!M$1,FALSE)
               +Andel_beroende_av_klimat*VLOOKUP($A221,Leveranser_per_nät,'Leveranser per nät'!M$1,FALSE)/VLOOKUP($B221,Korrigeringsfaktor_GD,'Korrigeringsfaktor GD'!M$1,FALSE),
"")</f>
        <v>9.9226387096774182</v>
      </c>
      <c r="N221" s="18">
        <f>IFERROR(
                  Andel_oberoende_av_klimat*VLOOKUP($A221,Leveranser_per_nät,'Leveranser per nät'!N$1,FALSE)
               +Andel_beroende_av_klimat*VLOOKUP($A221,Leveranser_per_nät,'Leveranser per nät'!N$1,FALSE)/VLOOKUP($B221,Korrigeringsfaktor_GD,'Korrigeringsfaktor GD'!N$1,FALSE),
"")</f>
        <v>12.933333333333334</v>
      </c>
      <c r="O221" s="18">
        <f>IFERROR(
                  Andel_oberoende_av_klimat*VLOOKUP($A221,Leveranser_per_nät,'Leveranser per nät'!O$1,FALSE)
               +Andel_beroende_av_klimat*VLOOKUP($A221,Leveranser_per_nät,'Leveranser per nät'!O$1,FALSE)/VLOOKUP($B221,Korrigeringsfaktor_GD,'Korrigeringsfaktor GD'!O$1,FALSE),
"")</f>
        <v>13.096077777777777</v>
      </c>
      <c r="P221" s="18">
        <f>IFERROR(
                  Andel_oberoende_av_klimat*VLOOKUP($A221,Leveranser_per_nät,'Leveranser per nät'!P$1,FALSE)
               +Andel_beroende_av_klimat*VLOOKUP($A221,Leveranser_per_nät,'Leveranser per nät'!P$1,FALSE)/VLOOKUP($B221,Korrigeringsfaktor_GD,'Korrigeringsfaktor GD'!P$1,FALSE),
"")</f>
        <v>13.912822680412372</v>
      </c>
      <c r="Q221" s="18">
        <f>IFERROR(
                  Andel_oberoende_av_klimat*VLOOKUP($A221,Leveranser_per_nät,'Leveranser per nät'!Q$1,FALSE)
               +Andel_beroende_av_klimat*VLOOKUP($A221,Leveranser_per_nät,'Leveranser per nät'!Q$1,FALSE)/VLOOKUP($B221,Korrigeringsfaktor_GD,'Korrigeringsfaktor GD'!Q$1,FALSE),
"")</f>
        <v>13.710526315789476</v>
      </c>
      <c r="R221" s="18">
        <f>IFERROR(
                  Andel_oberoende_av_klimat*VLOOKUP($A221,Leveranser_per_nät,'Leveranser per nät'!R$1,FALSE)
               +Andel_beroende_av_klimat*VLOOKUP($A221,Leveranser_per_nät,'Leveranser per nät'!R$1,FALSE)/VLOOKUP($B221,Korrigeringsfaktor_GD,'Korrigeringsfaktor GD'!R$1,FALSE),
"")</f>
        <v>14.303155598930768</v>
      </c>
      <c r="S221" s="18">
        <f>IFERROR(
                  Andel_oberoende_av_klimat*VLOOKUP($A221,Leveranser_per_nät,'Leveranser per nät'!S$1,FALSE)
               +Andel_beroende_av_klimat*VLOOKUP($A221,Leveranser_per_nät,'Leveranser per nät'!S$1,FALSE)/VLOOKUP($B221,Korrigeringsfaktor_GD,'Korrigeringsfaktor GD'!S$1,FALSE),
"")</f>
        <v>13.932762376237623</v>
      </c>
      <c r="T221" s="18">
        <f>IFERROR(
                  Andel_oberoende_av_klimat*VLOOKUP($A221,Leveranser_per_nät,'Leveranser per nät'!T$1,FALSE)
               +Andel_beroende_av_klimat*VLOOKUP($A221,Leveranser_per_nät,'Leveranser per nät'!T$1,FALSE)/VLOOKUP($B221,Korrigeringsfaktor_GD,'Korrigeringsfaktor GD'!T$1,FALSE),
"")</f>
        <v>13.937858585858585</v>
      </c>
      <c r="U221" s="18">
        <f>IFERROR(
                  Andel_oberoende_av_klimat*VLOOKUP($A221,Leveranser_per_nät,'Leveranser per nät'!U$1,FALSE)
               +Andel_beroende_av_klimat*VLOOKUP($A221,Leveranser_per_nät,'Leveranser per nät'!U$1,FALSE)/VLOOKUP($B221,Korrigeringsfaktor_GD,'Korrigeringsfaktor GD'!U$1,FALSE),
"")</f>
        <v>15.729411764705883</v>
      </c>
      <c r="V221" s="18">
        <f>IFERROR(
                  Andel_oberoende_av_klimat*VLOOKUP($A221,Leveranser_per_nät,'Leveranser per nät'!V$1,FALSE)
               +Andel_beroende_av_klimat*VLOOKUP($A221,Leveranser_per_nät,'Leveranser per nät'!V$1,FALSE)/VLOOKUP($B221,Korrigeringsfaktor_GD,'Korrigeringsfaktor GD'!V$1,FALSE),
"")</f>
        <v>14.44222222222222</v>
      </c>
      <c r="W221" s="18">
        <f>IFERROR(
                  Andel_oberoende_av_klimat*VLOOKUP($A221,Leveranser_per_nät,'Leveranser per nät'!W$1,FALSE)
               +Andel_beroende_av_klimat*VLOOKUP($A221,Leveranser_per_nät,'Leveranser per nät'!W$1,FALSE)/VLOOKUP($B221,Korrigeringsfaktor_GD,'Korrigeringsfaktor GD'!W$1,FALSE),
"")</f>
        <v>14.842903225806451</v>
      </c>
      <c r="X221" s="18">
        <f>IFERROR(
                  Andel_oberoende_av_klimat*VLOOKUP($A221,Leveranser_per_nät,'Leveranser per nät'!X$1,FALSE)
               +Andel_beroende_av_klimat*VLOOKUP($A221,Leveranser_per_nät,'Leveranser per nät'!X$1,FALSE)/VLOOKUP($B221,Korrigeringsfaktor_GD,'Korrigeringsfaktor GD'!X$1,FALSE),
"")</f>
        <v>15.196666666666665</v>
      </c>
      <c r="Y221" s="18">
        <f>IFERROR(
                  Andel_oberoende_av_klimat*VLOOKUP($A221,Leveranser_per_nät,'Leveranser per nät'!Y$1,FALSE)
               +Andel_beroende_av_klimat*VLOOKUP($A221,Leveranser_per_nät,'Leveranser per nät'!Y$1,FALSE)/VLOOKUP($B221,Korrigeringsfaktor_GD,'Korrigeringsfaktor GD'!Y$1,FALSE),
"")</f>
        <v>15.555454545454545</v>
      </c>
      <c r="Z221" s="18">
        <f>IFERROR(
                  Andel_oberoende_av_klimat*VLOOKUP($A221,Leveranser_per_nät,'Leveranser per nät'!Z$1,FALSE)
               +Andel_beroende_av_klimat*VLOOKUP($A221,Leveranser_per_nät,'Leveranser per nät'!Z$1,FALSE)/VLOOKUP($B221,Korrigeringsfaktor_GD,'Korrigeringsfaktor GD'!Z$1,FALSE),
"")</f>
        <v>14.334444444444445</v>
      </c>
      <c r="AA221" s="18">
        <f>IFERROR(
                  Andel_oberoende_av_klimat*VLOOKUP($A221,Leveranser_per_nät,'Leveranser per nät'!AA$1,FALSE)
               +Andel_beroende_av_klimat*VLOOKUP($A221,Leveranser_per_nät,'Leveranser per nät'!AA$1,FALSE)/VLOOKUP($B221,Korrigeringsfaktor_GD,'Korrigeringsfaktor GD'!AA$1,FALSE),
"")</f>
        <v>14.597339869281043</v>
      </c>
      <c r="AB221" s="18">
        <f>IFERROR(
                  Andel_oberoende_av_klimat*VLOOKUP($A221,Leveranser_per_nät,'Leveranser per nät'!AB$1,FALSE)
               +Andel_beroende_av_klimat*VLOOKUP($A221,Leveranser_per_nät,'Leveranser per nät'!AB$1,FALSE)/VLOOKUP($B221,Korrigeringsfaktor_GD,'Korrigeringsfaktor GD'!AB$1,FALSE),
"")</f>
        <v>13.870897308075776</v>
      </c>
      <c r="AC221" s="18">
        <f>IFERROR(
                  Andel_oberoende_av_klimat*VLOOKUP($A221,Leveranser_per_nät,'Leveranser per nät'!AC$1,FALSE)
               +Andel_beroende_av_klimat*VLOOKUP($A221,Leveranser_per_nät,'Leveranser per nät'!AC$1,FALSE)/VLOOKUP($B221,Korrigeringsfaktor_GD,'Korrigeringsfaktor GD'!AC$1,FALSE),
"")</f>
        <v>13.947219251336898</v>
      </c>
      <c r="AD221">
        <v>141.869</v>
      </c>
    </row>
    <row r="222" spans="1:30" x14ac:dyDescent="0.25">
      <c r="A222" t="s">
        <v>176</v>
      </c>
      <c r="B222" t="s">
        <v>176</v>
      </c>
      <c r="C222" s="18">
        <f>IFERROR(
                  Andel_oberoende_av_klimat*VLOOKUP($A222,Leveranser_per_nät,'Leveranser per nät'!C$1,FALSE)
               +Andel_beroende_av_klimat*VLOOKUP($A222,Leveranser_per_nät,'Leveranser per nät'!C$1,FALSE)/VLOOKUP($B222,Korrigeringsfaktor_GD,'Korrigeringsfaktor GD'!C$1,FALSE),
"")</f>
        <v>248.98260869565217</v>
      </c>
      <c r="D222" s="18">
        <f>IFERROR(
                  Andel_oberoende_av_klimat*VLOOKUP($A222,Leveranser_per_nät,'Leveranser per nät'!D$1,FALSE)
               +Andel_beroende_av_klimat*VLOOKUP($A222,Leveranser_per_nät,'Leveranser per nät'!D$1,FALSE)/VLOOKUP($B222,Korrigeringsfaktor_GD,'Korrigeringsfaktor GD'!D$1,FALSE),
"")</f>
        <v>246.15681553398059</v>
      </c>
      <c r="E222" s="18">
        <f>IFERROR(
                  Andel_oberoende_av_klimat*VLOOKUP($A222,Leveranser_per_nät,'Leveranser per nät'!E$1,FALSE)
               +Andel_beroende_av_klimat*VLOOKUP($A222,Leveranser_per_nät,'Leveranser per nät'!E$1,FALSE)/VLOOKUP($B222,Korrigeringsfaktor_GD,'Korrigeringsfaktor GD'!E$1,FALSE),
"")</f>
        <v>246</v>
      </c>
      <c r="F222" s="18">
        <f>IFERROR(
                  Andel_oberoende_av_klimat*VLOOKUP($A222,Leveranser_per_nät,'Leveranser per nät'!F$1,FALSE)
               +Andel_beroende_av_klimat*VLOOKUP($A222,Leveranser_per_nät,'Leveranser per nät'!F$1,FALSE)/VLOOKUP($B222,Korrigeringsfaktor_GD,'Korrigeringsfaktor GD'!F$1,FALSE),
"")</f>
        <v>259.21052631578948</v>
      </c>
      <c r="G222" s="18">
        <f>IFERROR(
                  Andel_oberoende_av_klimat*VLOOKUP($A222,Leveranser_per_nät,'Leveranser per nät'!G$1,FALSE)
               +Andel_beroende_av_klimat*VLOOKUP($A222,Leveranser_per_nät,'Leveranser per nät'!G$1,FALSE)/VLOOKUP($B222,Korrigeringsfaktor_GD,'Korrigeringsfaktor GD'!G$1,FALSE),
"")</f>
        <v>261.81363636363636</v>
      </c>
      <c r="H222" s="18">
        <f>IFERROR(
                  Andel_oberoende_av_klimat*VLOOKUP($A222,Leveranser_per_nät,'Leveranser per nät'!H$1,FALSE)
               +Andel_beroende_av_klimat*VLOOKUP($A222,Leveranser_per_nät,'Leveranser per nät'!H$1,FALSE)/VLOOKUP($B222,Korrigeringsfaktor_GD,'Korrigeringsfaktor GD'!H$1,FALSE),
"")</f>
        <v>262.17029702970297</v>
      </c>
      <c r="I222" s="18">
        <f>IFERROR(
                  Andel_oberoende_av_klimat*VLOOKUP($A222,Leveranser_per_nät,'Leveranser per nät'!I$1,FALSE)
               +Andel_beroende_av_klimat*VLOOKUP($A222,Leveranser_per_nät,'Leveranser per nät'!I$1,FALSE)/VLOOKUP($B222,Korrigeringsfaktor_GD,'Korrigeringsfaktor GD'!I$1,FALSE),
"")</f>
        <v>273.72631578947369</v>
      </c>
      <c r="J222" s="18">
        <f>IFERROR(
                  Andel_oberoende_av_klimat*VLOOKUP($A222,Leveranser_per_nät,'Leveranser per nät'!J$1,FALSE)
               +Andel_beroende_av_klimat*VLOOKUP($A222,Leveranser_per_nät,'Leveranser per nät'!J$1,FALSE)/VLOOKUP($B222,Korrigeringsfaktor_GD,'Korrigeringsfaktor GD'!J$1,FALSE),
"")</f>
        <v>274</v>
      </c>
      <c r="K222" s="18">
        <f>IFERROR(
                  Andel_oberoende_av_klimat*VLOOKUP($A222,Leveranser_per_nät,'Leveranser per nät'!K$1,FALSE)
               +Andel_beroende_av_klimat*VLOOKUP($A222,Leveranser_per_nät,'Leveranser per nät'!K$1,FALSE)/VLOOKUP($B222,Korrigeringsfaktor_GD,'Korrigeringsfaktor GD'!K$1,FALSE),
"")</f>
        <v>271.82550404040398</v>
      </c>
      <c r="L222" s="18">
        <f>IFERROR(
                  Andel_oberoende_av_klimat*VLOOKUP($A222,Leveranser_per_nät,'Leveranser per nät'!L$1,FALSE)
               +Andel_beroende_av_klimat*VLOOKUP($A222,Leveranser_per_nät,'Leveranser per nät'!L$1,FALSE)/VLOOKUP($B222,Korrigeringsfaktor_GD,'Korrigeringsfaktor GD'!L$1,FALSE),
"")</f>
        <v>270.70237731958764</v>
      </c>
      <c r="M222" s="18">
        <f>IFERROR(
                  Andel_oberoende_av_klimat*VLOOKUP($A222,Leveranser_per_nät,'Leveranser per nät'!M$1,FALSE)
               +Andel_beroende_av_klimat*VLOOKUP($A222,Leveranser_per_nät,'Leveranser per nät'!M$1,FALSE)/VLOOKUP($B222,Korrigeringsfaktor_GD,'Korrigeringsfaktor GD'!M$1,FALSE),
"")</f>
        <v>271.68407956989245</v>
      </c>
      <c r="N222" s="18">
        <f>IFERROR(
                  Andel_oberoende_av_klimat*VLOOKUP($A222,Leveranser_per_nät,'Leveranser per nät'!N$1,FALSE)
               +Andel_beroende_av_klimat*VLOOKUP($A222,Leveranser_per_nät,'Leveranser per nät'!N$1,FALSE)/VLOOKUP($B222,Korrigeringsfaktor_GD,'Korrigeringsfaktor GD'!N$1,FALSE),
"")</f>
        <v>282.4224227272727</v>
      </c>
      <c r="O222" s="18">
        <f>IFERROR(
                  Andel_oberoende_av_klimat*VLOOKUP($A222,Leveranser_per_nät,'Leveranser per nät'!O$1,FALSE)
               +Andel_beroende_av_klimat*VLOOKUP($A222,Leveranser_per_nät,'Leveranser per nät'!O$1,FALSE)/VLOOKUP($B222,Korrigeringsfaktor_GD,'Korrigeringsfaktor GD'!O$1,FALSE),
"")</f>
        <v>281.38174090909087</v>
      </c>
      <c r="P222" s="18">
        <f>IFERROR(
                  Andel_oberoende_av_klimat*VLOOKUP($A222,Leveranser_per_nät,'Leveranser per nät'!P$1,FALSE)
               +Andel_beroende_av_klimat*VLOOKUP($A222,Leveranser_per_nät,'Leveranser per nät'!P$1,FALSE)/VLOOKUP($B222,Korrigeringsfaktor_GD,'Korrigeringsfaktor GD'!P$1,FALSE),
"")</f>
        <v>281.10174742268043</v>
      </c>
      <c r="Q222" s="18">
        <f>IFERROR(
                  Andel_oberoende_av_klimat*VLOOKUP($A222,Leveranser_per_nät,'Leveranser per nät'!Q$1,FALSE)
               +Andel_beroende_av_klimat*VLOOKUP($A222,Leveranser_per_nät,'Leveranser per nät'!Q$1,FALSE)/VLOOKUP($B222,Korrigeringsfaktor_GD,'Korrigeringsfaktor GD'!Q$1,FALSE),
"")</f>
        <v>316.53514957264957</v>
      </c>
      <c r="R222" s="18">
        <f>IFERROR(
                  Andel_oberoende_av_klimat*VLOOKUP($A222,Leveranser_per_nät,'Leveranser per nät'!R$1,FALSE)
               +Andel_beroende_av_klimat*VLOOKUP($A222,Leveranser_per_nät,'Leveranser per nät'!R$1,FALSE)/VLOOKUP($B222,Korrigeringsfaktor_GD,'Korrigeringsfaktor GD'!R$1,FALSE),
"")</f>
        <v>286.20170215053764</v>
      </c>
      <c r="S222" s="18">
        <f>IFERROR(
                  Andel_oberoende_av_klimat*VLOOKUP($A222,Leveranser_per_nät,'Leveranser per nät'!S$1,FALSE)
               +Andel_beroende_av_klimat*VLOOKUP($A222,Leveranser_per_nät,'Leveranser per nät'!S$1,FALSE)/VLOOKUP($B222,Korrigeringsfaktor_GD,'Korrigeringsfaktor GD'!S$1,FALSE),
"")</f>
        <v>278.70490099009902</v>
      </c>
      <c r="T222" s="18">
        <f>IFERROR(
                  Andel_oberoende_av_klimat*VLOOKUP($A222,Leveranser_per_nät,'Leveranser per nät'!T$1,FALSE)
               +Andel_beroende_av_klimat*VLOOKUP($A222,Leveranser_per_nät,'Leveranser per nät'!T$1,FALSE)/VLOOKUP($B222,Korrigeringsfaktor_GD,'Korrigeringsfaktor GD'!T$1,FALSE),
"")</f>
        <v>270.67599999999999</v>
      </c>
      <c r="U222" s="18">
        <f>IFERROR(
                  Andel_oberoende_av_klimat*VLOOKUP($A222,Leveranser_per_nät,'Leveranser per nät'!U$1,FALSE)
               +Andel_beroende_av_klimat*VLOOKUP($A222,Leveranser_per_nät,'Leveranser per nät'!U$1,FALSE)/VLOOKUP($B222,Korrigeringsfaktor_GD,'Korrigeringsfaktor GD'!U$1,FALSE),
"")</f>
        <v>240.09013975903616</v>
      </c>
      <c r="V222" s="18">
        <f>IFERROR(
                  Andel_oberoende_av_klimat*VLOOKUP($A222,Leveranser_per_nät,'Leveranser per nät'!V$1,FALSE)
               +Andel_beroende_av_klimat*VLOOKUP($A222,Leveranser_per_nät,'Leveranser per nät'!V$1,FALSE)/VLOOKUP($B222,Korrigeringsfaktor_GD,'Korrigeringsfaktor GD'!V$1,FALSE),
"")</f>
        <v>265.54471910112363</v>
      </c>
      <c r="W222" s="18">
        <f>IFERROR(
                  Andel_oberoende_av_klimat*VLOOKUP($A222,Leveranser_per_nät,'Leveranser per nät'!W$1,FALSE)
               +Andel_beroende_av_klimat*VLOOKUP($A222,Leveranser_per_nät,'Leveranser per nät'!W$1,FALSE)/VLOOKUP($B222,Korrigeringsfaktor_GD,'Korrigeringsfaktor GD'!W$1,FALSE),
"")</f>
        <v>268.84238260869563</v>
      </c>
      <c r="X222" s="18">
        <f>IFERROR(
                  Andel_oberoende_av_klimat*VLOOKUP($A222,Leveranser_per_nät,'Leveranser per nät'!X$1,FALSE)
               +Andel_beroende_av_klimat*VLOOKUP($A222,Leveranser_per_nät,'Leveranser per nät'!X$1,FALSE)/VLOOKUP($B222,Korrigeringsfaktor_GD,'Korrigeringsfaktor GD'!X$1,FALSE),
"")</f>
        <v>289.40869230769232</v>
      </c>
      <c r="Y222" s="18">
        <f>IFERROR(
                  Andel_oberoende_av_klimat*VLOOKUP($A222,Leveranser_per_nät,'Leveranser per nät'!Y$1,FALSE)
               +Andel_beroende_av_klimat*VLOOKUP($A222,Leveranser_per_nät,'Leveranser per nät'!Y$1,FALSE)/VLOOKUP($B222,Korrigeringsfaktor_GD,'Korrigeringsfaktor GD'!Y$1,FALSE),
"")</f>
        <v>241.75</v>
      </c>
      <c r="Z222" s="18">
        <f>IFERROR(
                  Andel_oberoende_av_klimat*VLOOKUP($A222,Leveranser_per_nät,'Leveranser per nät'!Z$1,FALSE)
               +Andel_beroende_av_klimat*VLOOKUP($A222,Leveranser_per_nät,'Leveranser per nät'!Z$1,FALSE)/VLOOKUP($B222,Korrigeringsfaktor_GD,'Korrigeringsfaktor GD'!Z$1,FALSE),
"")</f>
        <v>222.81333333333333</v>
      </c>
      <c r="AA222" s="18">
        <f>IFERROR(
                  Andel_oberoende_av_klimat*VLOOKUP($A222,Leveranser_per_nät,'Leveranser per nät'!AA$1,FALSE)
               +Andel_beroende_av_klimat*VLOOKUP($A222,Leveranser_per_nät,'Leveranser per nät'!AA$1,FALSE)/VLOOKUP($B222,Korrigeringsfaktor_GD,'Korrigeringsfaktor GD'!AA$1,FALSE),
"")</f>
        <v>347.40443737574549</v>
      </c>
      <c r="AB222" s="18">
        <f>IFERROR(
                  Andel_oberoende_av_klimat*VLOOKUP($A222,Leveranser_per_nät,'Leveranser per nät'!AB$1,FALSE)
               +Andel_beroende_av_klimat*VLOOKUP($A222,Leveranser_per_nät,'Leveranser per nät'!AB$1,FALSE)/VLOOKUP($B222,Korrigeringsfaktor_GD,'Korrigeringsfaktor GD'!AB$1,FALSE),
"")</f>
        <v>273.09400680272108</v>
      </c>
      <c r="AC222" s="18">
        <f>IFERROR(
                  Andel_oberoende_av_klimat*VLOOKUP($A222,Leveranser_per_nät,'Leveranser per nät'!AC$1,FALSE)
               +Andel_beroende_av_klimat*VLOOKUP($A222,Leveranser_per_nät,'Leveranser per nät'!AC$1,FALSE)/VLOOKUP($B222,Korrigeringsfaktor_GD,'Korrigeringsfaktor GD'!AC$1,FALSE),
"")</f>
        <v>289.46859620653316</v>
      </c>
      <c r="AD222">
        <v>310.774</v>
      </c>
    </row>
    <row r="223" spans="1:30" x14ac:dyDescent="0.25">
      <c r="A223" t="s">
        <v>83</v>
      </c>
      <c r="B223" t="s">
        <v>510</v>
      </c>
      <c r="C223" s="18">
        <f>IFERROR(
                  Andel_oberoende_av_klimat*VLOOKUP($A223,Leveranser_per_nät,'Leveranser per nät'!C$1,FALSE)
               +Andel_beroende_av_klimat*VLOOKUP($A223,Leveranser_per_nät,'Leveranser per nät'!C$1,FALSE)/VLOOKUP($B223,Korrigeringsfaktor_GD,'Korrigeringsfaktor GD'!C$1,FALSE),
"")</f>
        <v>0</v>
      </c>
      <c r="D223" s="18">
        <f>IFERROR(
                  Andel_oberoende_av_klimat*VLOOKUP($A223,Leveranser_per_nät,'Leveranser per nät'!D$1,FALSE)
               +Andel_beroende_av_klimat*VLOOKUP($A223,Leveranser_per_nät,'Leveranser per nät'!D$1,FALSE)/VLOOKUP($B223,Korrigeringsfaktor_GD,'Korrigeringsfaktor GD'!D$1,FALSE),
"")</f>
        <v>0</v>
      </c>
      <c r="E223" s="18">
        <f>IFERROR(
                  Andel_oberoende_av_klimat*VLOOKUP($A223,Leveranser_per_nät,'Leveranser per nät'!E$1,FALSE)
               +Andel_beroende_av_klimat*VLOOKUP($A223,Leveranser_per_nät,'Leveranser per nät'!E$1,FALSE)/VLOOKUP($B223,Korrigeringsfaktor_GD,'Korrigeringsfaktor GD'!E$1,FALSE),
"")</f>
        <v>0</v>
      </c>
      <c r="F223" s="18">
        <f>IFERROR(
                  Andel_oberoende_av_klimat*VLOOKUP($A223,Leveranser_per_nät,'Leveranser per nät'!F$1,FALSE)
               +Andel_beroende_av_klimat*VLOOKUP($A223,Leveranser_per_nät,'Leveranser per nät'!F$1,FALSE)/VLOOKUP($B223,Korrigeringsfaktor_GD,'Korrigeringsfaktor GD'!F$1,FALSE),
"")</f>
        <v>0</v>
      </c>
      <c r="G223" s="18">
        <f>IFERROR(
                  Andel_oberoende_av_klimat*VLOOKUP($A223,Leveranser_per_nät,'Leveranser per nät'!G$1,FALSE)
               +Andel_beroende_av_klimat*VLOOKUP($A223,Leveranser_per_nät,'Leveranser per nät'!G$1,FALSE)/VLOOKUP($B223,Korrigeringsfaktor_GD,'Korrigeringsfaktor GD'!G$1,FALSE),
"")</f>
        <v>0</v>
      </c>
      <c r="H223" s="18">
        <f>IFERROR(
                  Andel_oberoende_av_klimat*VLOOKUP($A223,Leveranser_per_nät,'Leveranser per nät'!H$1,FALSE)
               +Andel_beroende_av_klimat*VLOOKUP($A223,Leveranser_per_nät,'Leveranser per nät'!H$1,FALSE)/VLOOKUP($B223,Korrigeringsfaktor_GD,'Korrigeringsfaktor GD'!H$1,FALSE),
"")</f>
        <v>0</v>
      </c>
      <c r="I223" s="18">
        <f>IFERROR(
                  Andel_oberoende_av_klimat*VLOOKUP($A223,Leveranser_per_nät,'Leveranser per nät'!I$1,FALSE)
               +Andel_beroende_av_klimat*VLOOKUP($A223,Leveranser_per_nät,'Leveranser per nät'!I$1,FALSE)/VLOOKUP($B223,Korrigeringsfaktor_GD,'Korrigeringsfaktor GD'!I$1,FALSE),
"")</f>
        <v>0</v>
      </c>
      <c r="J223" s="18">
        <f>IFERROR(
                  Andel_oberoende_av_klimat*VLOOKUP($A223,Leveranser_per_nät,'Leveranser per nät'!J$1,FALSE)
               +Andel_beroende_av_klimat*VLOOKUP($A223,Leveranser_per_nät,'Leveranser per nät'!J$1,FALSE)/VLOOKUP($B223,Korrigeringsfaktor_GD,'Korrigeringsfaktor GD'!J$1,FALSE),
"")</f>
        <v>0</v>
      </c>
      <c r="K223" s="18">
        <f>IFERROR(
                  Andel_oberoende_av_klimat*VLOOKUP($A223,Leveranser_per_nät,'Leveranser per nät'!K$1,FALSE)
               +Andel_beroende_av_klimat*VLOOKUP($A223,Leveranser_per_nät,'Leveranser per nät'!K$1,FALSE)/VLOOKUP($B223,Korrigeringsfaktor_GD,'Korrigeringsfaktor GD'!K$1,FALSE),
"")</f>
        <v>0</v>
      </c>
      <c r="L223" s="18">
        <f>IFERROR(
                  Andel_oberoende_av_klimat*VLOOKUP($A223,Leveranser_per_nät,'Leveranser per nät'!L$1,FALSE)
               +Andel_beroende_av_klimat*VLOOKUP($A223,Leveranser_per_nät,'Leveranser per nät'!L$1,FALSE)/VLOOKUP($B223,Korrigeringsfaktor_GD,'Korrigeringsfaktor GD'!L$1,FALSE),
"")</f>
        <v>19.752938860756803</v>
      </c>
      <c r="M223" s="18">
        <f>IFERROR(
                  Andel_oberoende_av_klimat*VLOOKUP($A223,Leveranser_per_nät,'Leveranser per nät'!M$1,FALSE)
               +Andel_beroende_av_klimat*VLOOKUP($A223,Leveranser_per_nät,'Leveranser per nät'!M$1,FALSE)/VLOOKUP($B223,Korrigeringsfaktor_GD,'Korrigeringsfaktor GD'!M$1,FALSE),
"")</f>
        <v>13.440230769230769</v>
      </c>
      <c r="N223" s="18">
        <f>IFERROR(
                  Andel_oberoende_av_klimat*VLOOKUP($A223,Leveranser_per_nät,'Leveranser per nät'!N$1,FALSE)
               +Andel_beroende_av_klimat*VLOOKUP($A223,Leveranser_per_nät,'Leveranser per nät'!N$1,FALSE)/VLOOKUP($B223,Korrigeringsfaktor_GD,'Korrigeringsfaktor GD'!N$1,FALSE),
"")</f>
        <v>13.769863636363636</v>
      </c>
      <c r="O223" s="18">
        <f>IFERROR(
                  Andel_oberoende_av_klimat*VLOOKUP($A223,Leveranser_per_nät,'Leveranser per nät'!O$1,FALSE)
               +Andel_beroende_av_klimat*VLOOKUP($A223,Leveranser_per_nät,'Leveranser per nät'!O$1,FALSE)/VLOOKUP($B223,Korrigeringsfaktor_GD,'Korrigeringsfaktor GD'!O$1,FALSE),
"")</f>
        <v>15.049039080459771</v>
      </c>
      <c r="P223" s="18">
        <f>IFERROR(
                  Andel_oberoende_av_klimat*VLOOKUP($A223,Leveranser_per_nät,'Leveranser per nät'!P$1,FALSE)
               +Andel_beroende_av_klimat*VLOOKUP($A223,Leveranser_per_nät,'Leveranser per nät'!P$1,FALSE)/VLOOKUP($B223,Korrigeringsfaktor_GD,'Korrigeringsfaktor GD'!P$1,FALSE),
"")</f>
        <v>14.352758333333334</v>
      </c>
      <c r="Q223" s="18">
        <f>IFERROR(
                  Andel_oberoende_av_klimat*VLOOKUP($A223,Leveranser_per_nät,'Leveranser per nät'!Q$1,FALSE)
               +Andel_beroende_av_klimat*VLOOKUP($A223,Leveranser_per_nät,'Leveranser per nät'!Q$1,FALSE)/VLOOKUP($B223,Korrigeringsfaktor_GD,'Korrigeringsfaktor GD'!Q$1,FALSE),
"")</f>
        <v>14.291525423728814</v>
      </c>
      <c r="R223" s="18">
        <f>IFERROR(
                  Andel_oberoende_av_klimat*VLOOKUP($A223,Leveranser_per_nät,'Leveranser per nät'!R$1,FALSE)
               +Andel_beroende_av_klimat*VLOOKUP($A223,Leveranser_per_nät,'Leveranser per nät'!R$1,FALSE)/VLOOKUP($B223,Korrigeringsfaktor_GD,'Korrigeringsfaktor GD'!R$1,FALSE),
"")</f>
        <v>15.120978608923078</v>
      </c>
      <c r="S223" s="18">
        <f>IFERROR(
                  Andel_oberoende_av_klimat*VLOOKUP($A223,Leveranser_per_nät,'Leveranser per nät'!S$1,FALSE)
               +Andel_beroende_av_klimat*VLOOKUP($A223,Leveranser_per_nät,'Leveranser per nät'!S$1,FALSE)/VLOOKUP($B223,Korrigeringsfaktor_GD,'Korrigeringsfaktor GD'!S$1,FALSE),
"")</f>
        <v>14.695490196078431</v>
      </c>
      <c r="T223" s="18">
        <f>IFERROR(
                  Andel_oberoende_av_klimat*VLOOKUP($A223,Leveranser_per_nät,'Leveranser per nät'!T$1,FALSE)
               +Andel_beroende_av_klimat*VLOOKUP($A223,Leveranser_per_nät,'Leveranser per nät'!T$1,FALSE)/VLOOKUP($B223,Korrigeringsfaktor_GD,'Korrigeringsfaktor GD'!T$1,FALSE),
"")</f>
        <v>15.659949494949496</v>
      </c>
      <c r="U223" s="18">
        <f>IFERROR(
                  Andel_oberoende_av_klimat*VLOOKUP($A223,Leveranser_per_nät,'Leveranser per nät'!U$1,FALSE)
               +Andel_beroende_av_klimat*VLOOKUP($A223,Leveranser_per_nät,'Leveranser per nät'!U$1,FALSE)/VLOOKUP($B223,Korrigeringsfaktor_GD,'Korrigeringsfaktor GD'!U$1,FALSE),
"")</f>
        <v>20.399999999999999</v>
      </c>
      <c r="V223" s="18">
        <f>IFERROR(
                  Andel_oberoende_av_klimat*VLOOKUP($A223,Leveranser_per_nät,'Leveranser per nät'!V$1,FALSE)
               +Andel_beroende_av_klimat*VLOOKUP($A223,Leveranser_per_nät,'Leveranser per nät'!V$1,FALSE)/VLOOKUP($B223,Korrigeringsfaktor_GD,'Korrigeringsfaktor GD'!V$1,FALSE),
"")</f>
        <v>15.86314606741573</v>
      </c>
      <c r="W223" s="18">
        <f>IFERROR(
                  Andel_oberoende_av_klimat*VLOOKUP($A223,Leveranser_per_nät,'Leveranser per nät'!W$1,FALSE)
               +Andel_beroende_av_klimat*VLOOKUP($A223,Leveranser_per_nät,'Leveranser per nät'!W$1,FALSE)/VLOOKUP($B223,Korrigeringsfaktor_GD,'Korrigeringsfaktor GD'!W$1,FALSE),
"")</f>
        <v>16.211397849462365</v>
      </c>
      <c r="X223" s="18">
        <f>IFERROR(
                  Andel_oberoende_av_klimat*VLOOKUP($A223,Leveranser_per_nät,'Leveranser per nät'!X$1,FALSE)
               +Andel_beroende_av_klimat*VLOOKUP($A223,Leveranser_per_nät,'Leveranser per nät'!X$1,FALSE)/VLOOKUP($B223,Korrigeringsfaktor_GD,'Korrigeringsfaktor GD'!X$1,FALSE),
"")</f>
        <v>16.252307692307689</v>
      </c>
      <c r="Y223" s="18">
        <f>IFERROR(
                  Andel_oberoende_av_klimat*VLOOKUP($A223,Leveranser_per_nät,'Leveranser per nät'!Y$1,FALSE)
               +Andel_beroende_av_klimat*VLOOKUP($A223,Leveranser_per_nät,'Leveranser per nät'!Y$1,FALSE)/VLOOKUP($B223,Korrigeringsfaktor_GD,'Korrigeringsfaktor GD'!Y$1,FALSE),
"")</f>
        <v>16.597777777777779</v>
      </c>
      <c r="Z223" s="18">
        <f>IFERROR(
                  Andel_oberoende_av_klimat*VLOOKUP($A223,Leveranser_per_nät,'Leveranser per nät'!Z$1,FALSE)
               +Andel_beroende_av_klimat*VLOOKUP($A223,Leveranser_per_nät,'Leveranser per nät'!Z$1,FALSE)/VLOOKUP($B223,Korrigeringsfaktor_GD,'Korrigeringsfaktor GD'!Z$1,FALSE),
"")</f>
        <v>16.431818181818183</v>
      </c>
      <c r="AA223" s="18">
        <f>IFERROR(
                  Andel_oberoende_av_klimat*VLOOKUP($A223,Leveranser_per_nät,'Leveranser per nät'!AA$1,FALSE)
               +Andel_beroende_av_klimat*VLOOKUP($A223,Leveranser_per_nät,'Leveranser per nät'!AA$1,FALSE)/VLOOKUP($B223,Korrigeringsfaktor_GD,'Korrigeringsfaktor GD'!AA$1,FALSE),
"")</f>
        <v>16.535097247706425</v>
      </c>
      <c r="AB223" s="18">
        <f>IFERROR(
                  Andel_oberoende_av_klimat*VLOOKUP($A223,Leveranser_per_nät,'Leveranser per nät'!AB$1,FALSE)
               +Andel_beroende_av_klimat*VLOOKUP($A223,Leveranser_per_nät,'Leveranser per nät'!AB$1,FALSE)/VLOOKUP($B223,Korrigeringsfaktor_GD,'Korrigeringsfaktor GD'!AB$1,FALSE),
"")</f>
        <v>15.790800931098698</v>
      </c>
      <c r="AC223" s="18">
        <f>IFERROR(
                  Andel_oberoende_av_klimat*VLOOKUP($A223,Leveranser_per_nät,'Leveranser per nät'!AC$1,FALSE)
               +Andel_beroende_av_klimat*VLOOKUP($A223,Leveranser_per_nät,'Leveranser per nät'!AC$1,FALSE)/VLOOKUP($B223,Korrigeringsfaktor_GD,'Korrigeringsfaktor GD'!AC$1,FALSE),
"")</f>
        <v>15.231492561983472</v>
      </c>
      <c r="AD223">
        <v>3143.35</v>
      </c>
    </row>
    <row r="224" spans="1:30" x14ac:dyDescent="0.25">
      <c r="A224" t="s">
        <v>184</v>
      </c>
      <c r="B224" t="s">
        <v>184</v>
      </c>
      <c r="C224" s="18">
        <f>IFERROR(
                  Andel_oberoende_av_klimat*VLOOKUP($A224,Leveranser_per_nät,'Leveranser per nät'!C$1,FALSE)
               +Andel_beroende_av_klimat*VLOOKUP($A224,Leveranser_per_nät,'Leveranser per nät'!C$1,FALSE)/VLOOKUP($B224,Korrigeringsfaktor_GD,'Korrigeringsfaktor GD'!C$1,FALSE),
"")</f>
        <v>29.027272727272727</v>
      </c>
      <c r="D224" s="18">
        <f>IFERROR(
                  Andel_oberoende_av_klimat*VLOOKUP($A224,Leveranser_per_nät,'Leveranser per nät'!D$1,FALSE)
               +Andel_beroende_av_klimat*VLOOKUP($A224,Leveranser_per_nät,'Leveranser per nät'!D$1,FALSE)/VLOOKUP($B224,Korrigeringsfaktor_GD,'Korrigeringsfaktor GD'!D$1,FALSE),
"")</f>
        <v>30.469142857142856</v>
      </c>
      <c r="E224" s="18">
        <f>IFERROR(
                  Andel_oberoende_av_klimat*VLOOKUP($A224,Leveranser_per_nät,'Leveranser per nät'!E$1,FALSE)
               +Andel_beroende_av_klimat*VLOOKUP($A224,Leveranser_per_nät,'Leveranser per nät'!E$1,FALSE)/VLOOKUP($B224,Korrigeringsfaktor_GD,'Korrigeringsfaktor GD'!E$1,FALSE),
"")</f>
        <v>31.560784313725488</v>
      </c>
      <c r="F224" s="18">
        <f>IFERROR(
                  Andel_oberoende_av_klimat*VLOOKUP($A224,Leveranser_per_nät,'Leveranser per nät'!F$1,FALSE)
               +Andel_beroende_av_klimat*VLOOKUP($A224,Leveranser_per_nät,'Leveranser per nät'!F$1,FALSE)/VLOOKUP($B224,Korrigeringsfaktor_GD,'Korrigeringsfaktor GD'!F$1,FALSE),
"")</f>
        <v>31.904166666666669</v>
      </c>
      <c r="G224" s="18">
        <f>IFERROR(
                  Andel_oberoende_av_klimat*VLOOKUP($A224,Leveranser_per_nät,'Leveranser per nät'!G$1,FALSE)
               +Andel_beroende_av_klimat*VLOOKUP($A224,Leveranser_per_nät,'Leveranser per nät'!G$1,FALSE)/VLOOKUP($B224,Korrigeringsfaktor_GD,'Korrigeringsfaktor GD'!G$1,FALSE),
"")</f>
        <v>33.137931034482762</v>
      </c>
      <c r="H224" s="18">
        <f>IFERROR(
                  Andel_oberoende_av_klimat*VLOOKUP($A224,Leveranser_per_nät,'Leveranser per nät'!H$1,FALSE)
               +Andel_beroende_av_klimat*VLOOKUP($A224,Leveranser_per_nät,'Leveranser per nät'!H$1,FALSE)/VLOOKUP($B224,Korrigeringsfaktor_GD,'Korrigeringsfaktor GD'!H$1,FALSE),
"")</f>
        <v>33.764356435643563</v>
      </c>
      <c r="I224" s="18">
        <f>IFERROR(
                  Andel_oberoende_av_klimat*VLOOKUP($A224,Leveranser_per_nät,'Leveranser per nät'!I$1,FALSE)
               +Andel_beroende_av_klimat*VLOOKUP($A224,Leveranser_per_nät,'Leveranser per nät'!I$1,FALSE)/VLOOKUP($B224,Korrigeringsfaktor_GD,'Korrigeringsfaktor GD'!I$1,FALSE),
"")</f>
        <v>33.962500000000006</v>
      </c>
      <c r="J224" s="18">
        <f>IFERROR(
                  Andel_oberoende_av_klimat*VLOOKUP($A224,Leveranser_per_nät,'Leveranser per nät'!J$1,FALSE)
               +Andel_beroende_av_klimat*VLOOKUP($A224,Leveranser_per_nät,'Leveranser per nät'!J$1,FALSE)/VLOOKUP($B224,Korrigeringsfaktor_GD,'Korrigeringsfaktor GD'!J$1,FALSE),
"")</f>
        <v>34.459342857142857</v>
      </c>
      <c r="K224" s="18">
        <f>IFERROR(
                  Andel_oberoende_av_klimat*VLOOKUP($A224,Leveranser_per_nät,'Leveranser per nät'!K$1,FALSE)
               +Andel_beroende_av_klimat*VLOOKUP($A224,Leveranser_per_nät,'Leveranser per nät'!K$1,FALSE)/VLOOKUP($B224,Korrigeringsfaktor_GD,'Korrigeringsfaktor GD'!K$1,FALSE),
"")</f>
        <v>33.953498969072172</v>
      </c>
      <c r="L224" s="18">
        <f>IFERROR(
                  Andel_oberoende_av_klimat*VLOOKUP($A224,Leveranser_per_nät,'Leveranser per nät'!L$1,FALSE)
               +Andel_beroende_av_klimat*VLOOKUP($A224,Leveranser_per_nät,'Leveranser per nät'!L$1,FALSE)/VLOOKUP($B224,Korrigeringsfaktor_GD,'Korrigeringsfaktor GD'!L$1,FALSE),
"")</f>
        <v>33.020310526315797</v>
      </c>
      <c r="M224" s="18">
        <f>IFERROR(
                  Andel_oberoende_av_klimat*VLOOKUP($A224,Leveranser_per_nät,'Leveranser per nät'!M$1,FALSE)
               +Andel_beroende_av_klimat*VLOOKUP($A224,Leveranser_per_nät,'Leveranser per nät'!M$1,FALSE)/VLOOKUP($B224,Korrigeringsfaktor_GD,'Korrigeringsfaktor GD'!M$1,FALSE),
"")</f>
        <v>32.288626086956519</v>
      </c>
      <c r="N224" s="18">
        <f>IFERROR(
                  Andel_oberoende_av_klimat*VLOOKUP($A224,Leveranser_per_nät,'Leveranser per nät'!N$1,FALSE)
               +Andel_beroende_av_klimat*VLOOKUP($A224,Leveranser_per_nät,'Leveranser per nät'!N$1,FALSE)/VLOOKUP($B224,Korrigeringsfaktor_GD,'Korrigeringsfaktor GD'!N$1,FALSE),
"")</f>
        <v>32.464730434782609</v>
      </c>
      <c r="O224" s="18">
        <f>IFERROR(
                  Andel_oberoende_av_klimat*VLOOKUP($A224,Leveranser_per_nät,'Leveranser per nät'!O$1,FALSE)
               +Andel_beroende_av_klimat*VLOOKUP($A224,Leveranser_per_nät,'Leveranser per nät'!O$1,FALSE)/VLOOKUP($B224,Korrigeringsfaktor_GD,'Korrigeringsfaktor GD'!O$1,FALSE),
"")</f>
        <v>32.528411111111112</v>
      </c>
      <c r="P224" s="18">
        <f>IFERROR(
                  Andel_oberoende_av_klimat*VLOOKUP($A224,Leveranser_per_nät,'Leveranser per nät'!P$1,FALSE)
               +Andel_beroende_av_klimat*VLOOKUP($A224,Leveranser_per_nät,'Leveranser per nät'!P$1,FALSE)/VLOOKUP($B224,Korrigeringsfaktor_GD,'Korrigeringsfaktor GD'!P$1,FALSE),
"")</f>
        <v>31.803292929292926</v>
      </c>
      <c r="Q224" s="18">
        <f>IFERROR(
                  Andel_oberoende_av_klimat*VLOOKUP($A224,Leveranser_per_nät,'Leveranser per nät'!Q$1,FALSE)
               +Andel_beroende_av_klimat*VLOOKUP($A224,Leveranser_per_nät,'Leveranser per nät'!Q$1,FALSE)/VLOOKUP($B224,Korrigeringsfaktor_GD,'Korrigeringsfaktor GD'!Q$1,FALSE),
"")</f>
        <v>32.821741880341875</v>
      </c>
      <c r="R224" s="18">
        <f>IFERROR(
                  Andel_oberoende_av_klimat*VLOOKUP($A224,Leveranser_per_nät,'Leveranser per nät'!R$1,FALSE)
               +Andel_beroende_av_klimat*VLOOKUP($A224,Leveranser_per_nät,'Leveranser per nät'!R$1,FALSE)/VLOOKUP($B224,Korrigeringsfaktor_GD,'Korrigeringsfaktor GD'!R$1,FALSE),
"")</f>
        <v>31.23009230769231</v>
      </c>
      <c r="S224" s="18">
        <f>IFERROR(
                  Andel_oberoende_av_klimat*VLOOKUP($A224,Leveranser_per_nät,'Leveranser per nät'!S$1,FALSE)
               +Andel_beroende_av_klimat*VLOOKUP($A224,Leveranser_per_nät,'Leveranser per nät'!S$1,FALSE)/VLOOKUP($B224,Korrigeringsfaktor_GD,'Korrigeringsfaktor GD'!S$1,FALSE),
"")</f>
        <v>30</v>
      </c>
      <c r="T224" s="18">
        <f>IFERROR(
                  Andel_oberoende_av_klimat*VLOOKUP($A224,Leveranser_per_nät,'Leveranser per nät'!T$1,FALSE)
               +Andel_beroende_av_klimat*VLOOKUP($A224,Leveranser_per_nät,'Leveranser per nät'!T$1,FALSE)/VLOOKUP($B224,Korrigeringsfaktor_GD,'Korrigeringsfaktor GD'!T$1,FALSE),
"")</f>
        <v>30.725770833333335</v>
      </c>
      <c r="U224" s="18">
        <f>IFERROR(
                  Andel_oberoende_av_klimat*VLOOKUP($A224,Leveranser_per_nät,'Leveranser per nät'!U$1,FALSE)
               +Andel_beroende_av_klimat*VLOOKUP($A224,Leveranser_per_nät,'Leveranser per nät'!U$1,FALSE)/VLOOKUP($B224,Korrigeringsfaktor_GD,'Korrigeringsfaktor GD'!U$1,FALSE),
"")</f>
        <v>30.294696551724137</v>
      </c>
      <c r="V224" s="18">
        <f>IFERROR(
                  Andel_oberoende_av_klimat*VLOOKUP($A224,Leveranser_per_nät,'Leveranser per nät'!V$1,FALSE)
               +Andel_beroende_av_klimat*VLOOKUP($A224,Leveranser_per_nät,'Leveranser per nät'!V$1,FALSE)/VLOOKUP($B224,Korrigeringsfaktor_GD,'Korrigeringsfaktor GD'!V$1,FALSE),
"")</f>
        <v>29.591286516853931</v>
      </c>
      <c r="W224" s="18">
        <f>IFERROR(
                  Andel_oberoende_av_klimat*VLOOKUP($A224,Leveranser_per_nät,'Leveranser per nät'!W$1,FALSE)
               +Andel_beroende_av_klimat*VLOOKUP($A224,Leveranser_per_nät,'Leveranser per nät'!W$1,FALSE)/VLOOKUP($B224,Korrigeringsfaktor_GD,'Korrigeringsfaktor GD'!W$1,FALSE),
"")</f>
        <v>31.006127659574474</v>
      </c>
      <c r="X224" s="18">
        <f>IFERROR(
                  Andel_oberoende_av_klimat*VLOOKUP($A224,Leveranser_per_nät,'Leveranser per nät'!X$1,FALSE)
               +Andel_beroende_av_klimat*VLOOKUP($A224,Leveranser_per_nät,'Leveranser per nät'!X$1,FALSE)/VLOOKUP($B224,Korrigeringsfaktor_GD,'Korrigeringsfaktor GD'!X$1,FALSE),
"")</f>
        <v>31.953391304347825</v>
      </c>
      <c r="Y224" s="18">
        <f>IFERROR(
                  Andel_oberoende_av_klimat*VLOOKUP($A224,Leveranser_per_nät,'Leveranser per nät'!Y$1,FALSE)
               +Andel_beroende_av_klimat*VLOOKUP($A224,Leveranser_per_nät,'Leveranser per nät'!Y$1,FALSE)/VLOOKUP($B224,Korrigeringsfaktor_GD,'Korrigeringsfaktor GD'!Y$1,FALSE),
"")</f>
        <v>31.477060869565214</v>
      </c>
      <c r="Z224" s="18">
        <f>IFERROR(
                  Andel_oberoende_av_klimat*VLOOKUP($A224,Leveranser_per_nät,'Leveranser per nät'!Z$1,FALSE)
               +Andel_beroende_av_klimat*VLOOKUP($A224,Leveranser_per_nät,'Leveranser per nät'!Z$1,FALSE)/VLOOKUP($B224,Korrigeringsfaktor_GD,'Korrigeringsfaktor GD'!Z$1,FALSE),
"")</f>
        <v>28.975806896551724</v>
      </c>
      <c r="AA224" s="18">
        <f>IFERROR(
                  Andel_oberoende_av_klimat*VLOOKUP($A224,Leveranser_per_nät,'Leveranser per nät'!AA$1,FALSE)
               +Andel_beroende_av_klimat*VLOOKUP($A224,Leveranser_per_nät,'Leveranser per nät'!AA$1,FALSE)/VLOOKUP($B224,Korrigeringsfaktor_GD,'Korrigeringsfaktor GD'!AA$1,FALSE),
"")</f>
        <v>28.524047773279353</v>
      </c>
      <c r="AB224" s="18">
        <f>IFERROR(
                  Andel_oberoende_av_klimat*VLOOKUP($A224,Leveranser_per_nät,'Leveranser per nät'!AB$1,FALSE)
               +Andel_beroende_av_klimat*VLOOKUP($A224,Leveranser_per_nät,'Leveranser per nät'!AB$1,FALSE)/VLOOKUP($B224,Korrigeringsfaktor_GD,'Korrigeringsfaktor GD'!AB$1,FALSE),
"")</f>
        <v>29.524371964461999</v>
      </c>
      <c r="AC224" s="18">
        <f>IFERROR(
                  Andel_oberoende_av_klimat*VLOOKUP($A224,Leveranser_per_nät,'Leveranser per nät'!AC$1,FALSE)
               +Andel_beroende_av_klimat*VLOOKUP($A224,Leveranser_per_nät,'Leveranser per nät'!AC$1,FALSE)/VLOOKUP($B224,Korrigeringsfaktor_GD,'Korrigeringsfaktor GD'!AC$1,FALSE),
"")</f>
        <v>28.387530499468649</v>
      </c>
      <c r="AD224">
        <v>27.193999999999999</v>
      </c>
    </row>
    <row r="225" spans="1:30" x14ac:dyDescent="0.25">
      <c r="A225" t="s">
        <v>38</v>
      </c>
      <c r="B225" t="s">
        <v>38</v>
      </c>
      <c r="C225" s="18">
        <f>IFERROR(
                  Andel_oberoende_av_klimat*VLOOKUP($A225,Leveranser_per_nät,'Leveranser per nät'!C$1,FALSE)
               +Andel_beroende_av_klimat*VLOOKUP($A225,Leveranser_per_nät,'Leveranser per nät'!C$1,FALSE)/VLOOKUP($B225,Korrigeringsfaktor_GD,'Korrigeringsfaktor GD'!C$1,FALSE),
"")</f>
        <v>0</v>
      </c>
      <c r="D225" s="18">
        <f>IFERROR(
                  Andel_oberoende_av_klimat*VLOOKUP($A225,Leveranser_per_nät,'Leveranser per nät'!D$1,FALSE)
               +Andel_beroende_av_klimat*VLOOKUP($A225,Leveranser_per_nät,'Leveranser per nät'!D$1,FALSE)/VLOOKUP($B225,Korrigeringsfaktor_GD,'Korrigeringsfaktor GD'!D$1,FALSE),
"")</f>
        <v>0</v>
      </c>
      <c r="E225" s="18">
        <f>IFERROR(
                  Andel_oberoende_av_klimat*VLOOKUP($A225,Leveranser_per_nät,'Leveranser per nät'!E$1,FALSE)
               +Andel_beroende_av_klimat*VLOOKUP($A225,Leveranser_per_nät,'Leveranser per nät'!E$1,FALSE)/VLOOKUP($B225,Korrigeringsfaktor_GD,'Korrigeringsfaktor GD'!E$1,FALSE),
"")</f>
        <v>0</v>
      </c>
      <c r="F225" s="18">
        <f>IFERROR(
                  Andel_oberoende_av_klimat*VLOOKUP($A225,Leveranser_per_nät,'Leveranser per nät'!F$1,FALSE)
               +Andel_beroende_av_klimat*VLOOKUP($A225,Leveranser_per_nät,'Leveranser per nät'!F$1,FALSE)/VLOOKUP($B225,Korrigeringsfaktor_GD,'Korrigeringsfaktor GD'!F$1,FALSE),
"")</f>
        <v>0</v>
      </c>
      <c r="G225" s="18">
        <f>IFERROR(
                  Andel_oberoende_av_klimat*VLOOKUP($A225,Leveranser_per_nät,'Leveranser per nät'!G$1,FALSE)
               +Andel_beroende_av_klimat*VLOOKUP($A225,Leveranser_per_nät,'Leveranser per nät'!G$1,FALSE)/VLOOKUP($B225,Korrigeringsfaktor_GD,'Korrigeringsfaktor GD'!G$1,FALSE),
"")</f>
        <v>12.133254545454546</v>
      </c>
      <c r="H225" s="18">
        <f>IFERROR(
                  Andel_oberoende_av_klimat*VLOOKUP($A225,Leveranser_per_nät,'Leveranser per nät'!H$1,FALSE)
               +Andel_beroende_av_klimat*VLOOKUP($A225,Leveranser_per_nät,'Leveranser per nät'!H$1,FALSE)/VLOOKUP($B225,Korrigeringsfaktor_GD,'Korrigeringsfaktor GD'!H$1,FALSE),
"")</f>
        <v>13.96851287128713</v>
      </c>
      <c r="I225" s="18">
        <f>IFERROR(
                  Andel_oberoende_av_klimat*VLOOKUP($A225,Leveranser_per_nät,'Leveranser per nät'!I$1,FALSE)
               +Andel_beroende_av_klimat*VLOOKUP($A225,Leveranser_per_nät,'Leveranser per nät'!I$1,FALSE)/VLOOKUP($B225,Korrigeringsfaktor_GD,'Korrigeringsfaktor GD'!I$1,FALSE),
"")</f>
        <v>19.271428571428572</v>
      </c>
      <c r="J225" s="18">
        <f>IFERROR(
                  Andel_oberoende_av_klimat*VLOOKUP($A225,Leveranser_per_nät,'Leveranser per nät'!J$1,FALSE)
               +Andel_beroende_av_klimat*VLOOKUP($A225,Leveranser_per_nät,'Leveranser per nät'!J$1,FALSE)/VLOOKUP($B225,Korrigeringsfaktor_GD,'Korrigeringsfaktor GD'!J$1,FALSE),
"")</f>
        <v>19.554166666666667</v>
      </c>
      <c r="K225" s="18">
        <f>IFERROR(
                  Andel_oberoende_av_klimat*VLOOKUP($A225,Leveranser_per_nät,'Leveranser per nät'!K$1,FALSE)
               +Andel_beroende_av_klimat*VLOOKUP($A225,Leveranser_per_nät,'Leveranser per nät'!K$1,FALSE)/VLOOKUP($B225,Korrigeringsfaktor_GD,'Korrigeringsfaktor GD'!K$1,FALSE),
"")</f>
        <v>23.465000000000003</v>
      </c>
      <c r="L225" s="18">
        <f>IFERROR(
                  Andel_oberoende_av_klimat*VLOOKUP($A225,Leveranser_per_nät,'Leveranser per nät'!L$1,FALSE)
               +Andel_beroende_av_klimat*VLOOKUP($A225,Leveranser_per_nät,'Leveranser per nät'!L$1,FALSE)/VLOOKUP($B225,Korrigeringsfaktor_GD,'Korrigeringsfaktor GD'!L$1,FALSE),
"")</f>
        <v>23.533269565217392</v>
      </c>
      <c r="M225" s="18">
        <f>IFERROR(
                  Andel_oberoende_av_klimat*VLOOKUP($A225,Leveranser_per_nät,'Leveranser per nät'!M$1,FALSE)
               +Andel_beroende_av_klimat*VLOOKUP($A225,Leveranser_per_nät,'Leveranser per nät'!M$1,FALSE)/VLOOKUP($B225,Korrigeringsfaktor_GD,'Korrigeringsfaktor GD'!M$1,FALSE),
"")</f>
        <v>24.18782608695652</v>
      </c>
      <c r="N225" s="18">
        <f>IFERROR(
                  Andel_oberoende_av_klimat*VLOOKUP($A225,Leveranser_per_nät,'Leveranser per nät'!N$1,FALSE)
               +Andel_beroende_av_klimat*VLOOKUP($A225,Leveranser_per_nät,'Leveranser per nät'!N$1,FALSE)/VLOOKUP($B225,Korrigeringsfaktor_GD,'Korrigeringsfaktor GD'!N$1,FALSE),
"")</f>
        <v>24.001290322580644</v>
      </c>
      <c r="O225" s="18">
        <f>IFERROR(
                  Andel_oberoende_av_klimat*VLOOKUP($A225,Leveranser_per_nät,'Leveranser per nät'!O$1,FALSE)
               +Andel_beroende_av_klimat*VLOOKUP($A225,Leveranser_per_nät,'Leveranser per nät'!O$1,FALSE)/VLOOKUP($B225,Korrigeringsfaktor_GD,'Korrigeringsfaktor GD'!O$1,FALSE),
"")</f>
        <v>24.18782608695652</v>
      </c>
      <c r="P225" s="18">
        <f>IFERROR(
                  Andel_oberoende_av_klimat*VLOOKUP($A225,Leveranser_per_nät,'Leveranser per nät'!P$1,FALSE)
               +Andel_beroende_av_klimat*VLOOKUP($A225,Leveranser_per_nät,'Leveranser per nät'!P$1,FALSE)/VLOOKUP($B225,Korrigeringsfaktor_GD,'Korrigeringsfaktor GD'!P$1,FALSE),
"")</f>
        <v>26.087159595959594</v>
      </c>
      <c r="Q225" s="18">
        <f>IFERROR(
                  Andel_oberoende_av_klimat*VLOOKUP($A225,Leveranser_per_nät,'Leveranser per nät'!Q$1,FALSE)
               +Andel_beroende_av_klimat*VLOOKUP($A225,Leveranser_per_nät,'Leveranser per nät'!Q$1,FALSE)/VLOOKUP($B225,Korrigeringsfaktor_GD,'Korrigeringsfaktor GD'!Q$1,FALSE),
"")</f>
        <v>26.471034482758618</v>
      </c>
      <c r="R225" s="18">
        <f>IFERROR(
                  Andel_oberoende_av_klimat*VLOOKUP($A225,Leveranser_per_nät,'Leveranser per nät'!R$1,FALSE)
               +Andel_beroende_av_klimat*VLOOKUP($A225,Leveranser_per_nät,'Leveranser per nät'!R$1,FALSE)/VLOOKUP($B225,Korrigeringsfaktor_GD,'Korrigeringsfaktor GD'!R$1,FALSE),
"")</f>
        <v>31.17876923076923</v>
      </c>
      <c r="S225" s="18">
        <f>IFERROR(
                  Andel_oberoende_av_klimat*VLOOKUP($A225,Leveranser_per_nät,'Leveranser per nät'!S$1,FALSE)
               +Andel_beroende_av_klimat*VLOOKUP($A225,Leveranser_per_nät,'Leveranser per nät'!S$1,FALSE)/VLOOKUP($B225,Korrigeringsfaktor_GD,'Korrigeringsfaktor GD'!S$1,FALSE),
"")</f>
        <v>34</v>
      </c>
      <c r="T225" s="18">
        <f>IFERROR(
                  Andel_oberoende_av_klimat*VLOOKUP($A225,Leveranser_per_nät,'Leveranser per nät'!T$1,FALSE)
               +Andel_beroende_av_klimat*VLOOKUP($A225,Leveranser_per_nät,'Leveranser per nät'!T$1,FALSE)/VLOOKUP($B225,Korrigeringsfaktor_GD,'Korrigeringsfaktor GD'!T$1,FALSE),
"")</f>
        <v>33.412925000000001</v>
      </c>
      <c r="U225" s="18">
        <f>IFERROR(
                  Andel_oberoende_av_klimat*VLOOKUP($A225,Leveranser_per_nät,'Leveranser per nät'!U$1,FALSE)
               +Andel_beroende_av_klimat*VLOOKUP($A225,Leveranser_per_nät,'Leveranser per nät'!U$1,FALSE)/VLOOKUP($B225,Korrigeringsfaktor_GD,'Korrigeringsfaktor GD'!U$1,FALSE),
"")</f>
        <v>32.712849438202248</v>
      </c>
      <c r="V225" s="18">
        <f>IFERROR(
                  Andel_oberoende_av_klimat*VLOOKUP($A225,Leveranser_per_nät,'Leveranser per nät'!V$1,FALSE)
               +Andel_beroende_av_klimat*VLOOKUP($A225,Leveranser_per_nät,'Leveranser per nät'!V$1,FALSE)/VLOOKUP($B225,Korrigeringsfaktor_GD,'Korrigeringsfaktor GD'!V$1,FALSE),
"")</f>
        <v>32.121008695652172</v>
      </c>
      <c r="W225" s="18">
        <f>IFERROR(
                  Andel_oberoende_av_klimat*VLOOKUP($A225,Leveranser_per_nät,'Leveranser per nät'!W$1,FALSE)
               +Andel_beroende_av_klimat*VLOOKUP($A225,Leveranser_per_nät,'Leveranser per nät'!W$1,FALSE)/VLOOKUP($B225,Korrigeringsfaktor_GD,'Korrigeringsfaktor GD'!W$1,FALSE),
"")</f>
        <v>33.355210526315787</v>
      </c>
      <c r="X225" s="18">
        <f>IFERROR(
                  Andel_oberoende_av_klimat*VLOOKUP($A225,Leveranser_per_nät,'Leveranser per nät'!X$1,FALSE)
               +Andel_beroende_av_klimat*VLOOKUP($A225,Leveranser_per_nät,'Leveranser per nät'!X$1,FALSE)/VLOOKUP($B225,Korrigeringsfaktor_GD,'Korrigeringsfaktor GD'!X$1,FALSE),
"")</f>
        <v>33.670502061855672</v>
      </c>
      <c r="Y225" s="18">
        <f>IFERROR(
                  Andel_oberoende_av_klimat*VLOOKUP($A225,Leveranser_per_nät,'Leveranser per nät'!Y$1,FALSE)
               +Andel_beroende_av_klimat*VLOOKUP($A225,Leveranser_per_nät,'Leveranser per nät'!Y$1,FALSE)/VLOOKUP($B225,Korrigeringsfaktor_GD,'Korrigeringsfaktor GD'!Y$1,FALSE),
"")</f>
        <v>34.920654166666665</v>
      </c>
      <c r="Z225" s="18">
        <f>IFERROR(
                  Andel_oberoende_av_klimat*VLOOKUP($A225,Leveranser_per_nät,'Leveranser per nät'!Z$1,FALSE)
               +Andel_beroende_av_klimat*VLOOKUP($A225,Leveranser_per_nät,'Leveranser per nät'!Z$1,FALSE)/VLOOKUP($B225,Korrigeringsfaktor_GD,'Korrigeringsfaktor GD'!Z$1,FALSE),
"")</f>
        <v>35.064353846153843</v>
      </c>
      <c r="AA225" s="18">
        <f>IFERROR(
                  Andel_oberoende_av_klimat*VLOOKUP($A225,Leveranser_per_nät,'Leveranser per nät'!AA$1,FALSE)
               +Andel_beroende_av_klimat*VLOOKUP($A225,Leveranser_per_nät,'Leveranser per nät'!AA$1,FALSE)/VLOOKUP($B225,Korrigeringsfaktor_GD,'Korrigeringsfaktor GD'!AA$1,FALSE),
"")</f>
        <v>33.894408482438699</v>
      </c>
      <c r="AB225" s="18">
        <f>IFERROR(
                  Andel_oberoende_av_klimat*VLOOKUP($A225,Leveranser_per_nät,'Leveranser per nät'!AB$1,FALSE)
               +Andel_beroende_av_klimat*VLOOKUP($A225,Leveranser_per_nät,'Leveranser per nät'!AB$1,FALSE)/VLOOKUP($B225,Korrigeringsfaktor_GD,'Korrigeringsfaktor GD'!AB$1,FALSE),
"")</f>
        <v>33.576780487804875</v>
      </c>
      <c r="AC225" s="18">
        <f>IFERROR(
                  Andel_oberoende_av_klimat*VLOOKUP($A225,Leveranser_per_nät,'Leveranser per nät'!AC$1,FALSE)
               +Andel_beroende_av_klimat*VLOOKUP($A225,Leveranser_per_nät,'Leveranser per nät'!AC$1,FALSE)/VLOOKUP($B225,Korrigeringsfaktor_GD,'Korrigeringsfaktor GD'!AC$1,FALSE),
"")</f>
        <v>32.816735845213856</v>
      </c>
      <c r="AD225">
        <v>32.401000000000003</v>
      </c>
    </row>
    <row r="226" spans="1:30" x14ac:dyDescent="0.25">
      <c r="A226" t="s">
        <v>957</v>
      </c>
      <c r="B226" t="s">
        <v>77</v>
      </c>
      <c r="C226" s="18">
        <f>IFERROR(
                  Andel_oberoende_av_klimat*VLOOKUP($A226,Leveranser_per_nät,'Leveranser per nät'!C$1,FALSE)
               +Andel_beroende_av_klimat*VLOOKUP($A226,Leveranser_per_nät,'Leveranser per nät'!C$1,FALSE)/VLOOKUP($B226,Korrigeringsfaktor_GD,'Korrigeringsfaktor GD'!C$1,FALSE),
"")</f>
        <v>0</v>
      </c>
      <c r="D226" s="18">
        <f>IFERROR(
                  Andel_oberoende_av_klimat*VLOOKUP($A226,Leveranser_per_nät,'Leveranser per nät'!D$1,FALSE)
               +Andel_beroende_av_klimat*VLOOKUP($A226,Leveranser_per_nät,'Leveranser per nät'!D$1,FALSE)/VLOOKUP($B226,Korrigeringsfaktor_GD,'Korrigeringsfaktor GD'!D$1,FALSE),
"")</f>
        <v>0</v>
      </c>
      <c r="E226" s="18">
        <f>IFERROR(
                  Andel_oberoende_av_klimat*VLOOKUP($A226,Leveranser_per_nät,'Leveranser per nät'!E$1,FALSE)
               +Andel_beroende_av_klimat*VLOOKUP($A226,Leveranser_per_nät,'Leveranser per nät'!E$1,FALSE)/VLOOKUP($B226,Korrigeringsfaktor_GD,'Korrigeringsfaktor GD'!E$1,FALSE),
"")</f>
        <v>0</v>
      </c>
      <c r="F226" s="18">
        <f>IFERROR(
                  Andel_oberoende_av_klimat*VLOOKUP($A226,Leveranser_per_nät,'Leveranser per nät'!F$1,FALSE)
               +Andel_beroende_av_klimat*VLOOKUP($A226,Leveranser_per_nät,'Leveranser per nät'!F$1,FALSE)/VLOOKUP($B226,Korrigeringsfaktor_GD,'Korrigeringsfaktor GD'!F$1,FALSE),
"")</f>
        <v>0</v>
      </c>
      <c r="G226" s="18">
        <f>IFERROR(
                  Andel_oberoende_av_klimat*VLOOKUP($A226,Leveranser_per_nät,'Leveranser per nät'!G$1,FALSE)
               +Andel_beroende_av_klimat*VLOOKUP($A226,Leveranser_per_nät,'Leveranser per nät'!G$1,FALSE)/VLOOKUP($B226,Korrigeringsfaktor_GD,'Korrigeringsfaktor GD'!G$1,FALSE),
"")</f>
        <v>0</v>
      </c>
      <c r="H226" s="18">
        <f>IFERROR(
                  Andel_oberoende_av_klimat*VLOOKUP($A226,Leveranser_per_nät,'Leveranser per nät'!H$1,FALSE)
               +Andel_beroende_av_klimat*VLOOKUP($A226,Leveranser_per_nät,'Leveranser per nät'!H$1,FALSE)/VLOOKUP($B226,Korrigeringsfaktor_GD,'Korrigeringsfaktor GD'!H$1,FALSE),
"")</f>
        <v>0</v>
      </c>
      <c r="I226" s="18">
        <f>IFERROR(
                  Andel_oberoende_av_klimat*VLOOKUP($A226,Leveranser_per_nät,'Leveranser per nät'!I$1,FALSE)
               +Andel_beroende_av_klimat*VLOOKUP($A226,Leveranser_per_nät,'Leveranser per nät'!I$1,FALSE)/VLOOKUP($B226,Korrigeringsfaktor_GD,'Korrigeringsfaktor GD'!I$1,FALSE),
"")</f>
        <v>0</v>
      </c>
      <c r="J226" s="18">
        <f>IFERROR(
                  Andel_oberoende_av_klimat*VLOOKUP($A226,Leveranser_per_nät,'Leveranser per nät'!J$1,FALSE)
               +Andel_beroende_av_klimat*VLOOKUP($A226,Leveranser_per_nät,'Leveranser per nät'!J$1,FALSE)/VLOOKUP($B226,Korrigeringsfaktor_GD,'Korrigeringsfaktor GD'!J$1,FALSE),
"")</f>
        <v>0</v>
      </c>
      <c r="K226" s="18">
        <f>IFERROR(
                  Andel_oberoende_av_klimat*VLOOKUP($A226,Leveranser_per_nät,'Leveranser per nät'!K$1,FALSE)
               +Andel_beroende_av_klimat*VLOOKUP($A226,Leveranser_per_nät,'Leveranser per nät'!K$1,FALSE)/VLOOKUP($B226,Korrigeringsfaktor_GD,'Korrigeringsfaktor GD'!K$1,FALSE),
"")</f>
        <v>0</v>
      </c>
      <c r="L226" s="18">
        <f>IFERROR(
                  Andel_oberoende_av_klimat*VLOOKUP($A226,Leveranser_per_nät,'Leveranser per nät'!L$1,FALSE)
               +Andel_beroende_av_klimat*VLOOKUP($A226,Leveranser_per_nät,'Leveranser per nät'!L$1,FALSE)/VLOOKUP($B226,Korrigeringsfaktor_GD,'Korrigeringsfaktor GD'!L$1,FALSE),
"")</f>
        <v>0</v>
      </c>
      <c r="M226" s="18">
        <f>IFERROR(
                  Andel_oberoende_av_klimat*VLOOKUP($A226,Leveranser_per_nät,'Leveranser per nät'!M$1,FALSE)
               +Andel_beroende_av_klimat*VLOOKUP($A226,Leveranser_per_nät,'Leveranser per nät'!M$1,FALSE)/VLOOKUP($B226,Korrigeringsfaktor_GD,'Korrigeringsfaktor GD'!M$1,FALSE),
"")</f>
        <v>0</v>
      </c>
      <c r="N226" s="18">
        <f>IFERROR(
                  Andel_oberoende_av_klimat*VLOOKUP($A226,Leveranser_per_nät,'Leveranser per nät'!N$1,FALSE)
               +Andel_beroende_av_klimat*VLOOKUP($A226,Leveranser_per_nät,'Leveranser per nät'!N$1,FALSE)/VLOOKUP($B226,Korrigeringsfaktor_GD,'Korrigeringsfaktor GD'!N$1,FALSE),
"")</f>
        <v>0</v>
      </c>
      <c r="O226" s="18">
        <f>IFERROR(
                  Andel_oberoende_av_klimat*VLOOKUP($A226,Leveranser_per_nät,'Leveranser per nät'!O$1,FALSE)
               +Andel_beroende_av_klimat*VLOOKUP($A226,Leveranser_per_nät,'Leveranser per nät'!O$1,FALSE)/VLOOKUP($B226,Korrigeringsfaktor_GD,'Korrigeringsfaktor GD'!O$1,FALSE),
"")</f>
        <v>0</v>
      </c>
      <c r="P226" s="18">
        <f>IFERROR(
                  Andel_oberoende_av_klimat*VLOOKUP($A226,Leveranser_per_nät,'Leveranser per nät'!P$1,FALSE)
               +Andel_beroende_av_klimat*VLOOKUP($A226,Leveranser_per_nät,'Leveranser per nät'!P$1,FALSE)/VLOOKUP($B226,Korrigeringsfaktor_GD,'Korrigeringsfaktor GD'!P$1,FALSE),
"")</f>
        <v>0</v>
      </c>
      <c r="Q226" s="18">
        <f>IFERROR(
                  Andel_oberoende_av_klimat*VLOOKUP($A226,Leveranser_per_nät,'Leveranser per nät'!Q$1,FALSE)
               +Andel_beroende_av_klimat*VLOOKUP($A226,Leveranser_per_nät,'Leveranser per nät'!Q$1,FALSE)/VLOOKUP($B226,Korrigeringsfaktor_GD,'Korrigeringsfaktor GD'!Q$1,FALSE),
"")</f>
        <v>0</v>
      </c>
      <c r="R226" s="18">
        <f>IFERROR(
                  Andel_oberoende_av_klimat*VLOOKUP($A226,Leveranser_per_nät,'Leveranser per nät'!R$1,FALSE)
               +Andel_beroende_av_klimat*VLOOKUP($A226,Leveranser_per_nät,'Leveranser per nät'!R$1,FALSE)/VLOOKUP($B226,Korrigeringsfaktor_GD,'Korrigeringsfaktor GD'!R$1,FALSE),
"")</f>
        <v>0</v>
      </c>
      <c r="S226" s="18">
        <f>IFERROR(
                  Andel_oberoende_av_klimat*VLOOKUP($A226,Leveranser_per_nät,'Leveranser per nät'!S$1,FALSE)
               +Andel_beroende_av_klimat*VLOOKUP($A226,Leveranser_per_nät,'Leveranser per nät'!S$1,FALSE)/VLOOKUP($B226,Korrigeringsfaktor_GD,'Korrigeringsfaktor GD'!S$1,FALSE),
"")</f>
        <v>0</v>
      </c>
      <c r="T226" s="18">
        <f>IFERROR(
                  Andel_oberoende_av_klimat*VLOOKUP($A226,Leveranser_per_nät,'Leveranser per nät'!T$1,FALSE)
               +Andel_beroende_av_klimat*VLOOKUP($A226,Leveranser_per_nät,'Leveranser per nät'!T$1,FALSE)/VLOOKUP($B226,Korrigeringsfaktor_GD,'Korrigeringsfaktor GD'!T$1,FALSE),
"")</f>
        <v>16.735714285714288</v>
      </c>
      <c r="U226" s="18">
        <f>IFERROR(
                  Andel_oberoende_av_klimat*VLOOKUP($A226,Leveranser_per_nät,'Leveranser per nät'!U$1,FALSE)
               +Andel_beroende_av_klimat*VLOOKUP($A226,Leveranser_per_nät,'Leveranser per nät'!U$1,FALSE)/VLOOKUP($B226,Korrigeringsfaktor_GD,'Korrigeringsfaktor GD'!U$1,FALSE),
"")</f>
        <v>17.600465116279072</v>
      </c>
      <c r="V226" s="18">
        <f>IFERROR(
                  Andel_oberoende_av_klimat*VLOOKUP($A226,Leveranser_per_nät,'Leveranser per nät'!V$1,FALSE)
               +Andel_beroende_av_klimat*VLOOKUP($A226,Leveranser_per_nät,'Leveranser per nät'!V$1,FALSE)/VLOOKUP($B226,Korrigeringsfaktor_GD,'Korrigeringsfaktor GD'!V$1,FALSE),
"")</f>
        <v>15.102584269662923</v>
      </c>
      <c r="W226" s="18">
        <f>IFERROR(
                  Andel_oberoende_av_klimat*VLOOKUP($A226,Leveranser_per_nät,'Leveranser per nät'!W$1,FALSE)
               +Andel_beroende_av_klimat*VLOOKUP($A226,Leveranser_per_nät,'Leveranser per nät'!W$1,FALSE)/VLOOKUP($B226,Korrigeringsfaktor_GD,'Korrigeringsfaktor GD'!W$1,FALSE),
"")</f>
        <v>15.594782608695651</v>
      </c>
      <c r="X226" s="18">
        <f>IFERROR(
                  Andel_oberoende_av_klimat*VLOOKUP($A226,Leveranser_per_nät,'Leveranser per nät'!X$1,FALSE)
               +Andel_beroende_av_klimat*VLOOKUP($A226,Leveranser_per_nät,'Leveranser per nät'!X$1,FALSE)/VLOOKUP($B226,Korrigeringsfaktor_GD,'Korrigeringsfaktor GD'!X$1,FALSE),
"")</f>
        <v>16.841011235955058</v>
      </c>
      <c r="Y226" s="18">
        <f>IFERROR(
                  Andel_oberoende_av_klimat*VLOOKUP($A226,Leveranser_per_nät,'Leveranser per nät'!Y$1,FALSE)
               +Andel_beroende_av_klimat*VLOOKUP($A226,Leveranser_per_nät,'Leveranser per nät'!Y$1,FALSE)/VLOOKUP($B226,Korrigeringsfaktor_GD,'Korrigeringsfaktor GD'!Y$1,FALSE),
"")</f>
        <v>17.342183908045975</v>
      </c>
      <c r="Z226" s="18">
        <f>IFERROR(
                  Andel_oberoende_av_klimat*VLOOKUP($A226,Leveranser_per_nät,'Leveranser per nät'!Z$1,FALSE)
               +Andel_beroende_av_klimat*VLOOKUP($A226,Leveranser_per_nät,'Leveranser per nät'!Z$1,FALSE)/VLOOKUP($B226,Korrigeringsfaktor_GD,'Korrigeringsfaktor GD'!Z$1,FALSE),
"")</f>
        <v>17.150676470588238</v>
      </c>
      <c r="AA226" s="18">
        <f>IFERROR(
                  Andel_oberoende_av_klimat*VLOOKUP($A226,Leveranser_per_nät,'Leveranser per nät'!AA$1,FALSE)
               +Andel_beroende_av_klimat*VLOOKUP($A226,Leveranser_per_nät,'Leveranser per nät'!AA$1,FALSE)/VLOOKUP($B226,Korrigeringsfaktor_GD,'Korrigeringsfaktor GD'!AA$1,FALSE),
"")</f>
        <v>17.02</v>
      </c>
      <c r="AB226" s="18">
        <f>IFERROR(
                  Andel_oberoende_av_klimat*VLOOKUP($A226,Leveranser_per_nät,'Leveranser per nät'!AB$1,FALSE)
               +Andel_beroende_av_klimat*VLOOKUP($A226,Leveranser_per_nät,'Leveranser per nät'!AB$1,FALSE)/VLOOKUP($B226,Korrigeringsfaktor_GD,'Korrigeringsfaktor GD'!AB$1,FALSE),
"")</f>
        <v>16.178587351778656</v>
      </c>
      <c r="AC226" s="18">
        <f>IFERROR(
                  Andel_oberoende_av_klimat*VLOOKUP($A226,Leveranser_per_nät,'Leveranser per nät'!AC$1,FALSE)
               +Andel_beroende_av_klimat*VLOOKUP($A226,Leveranser_per_nät,'Leveranser per nät'!AC$1,FALSE)/VLOOKUP($B226,Korrigeringsfaktor_GD,'Korrigeringsfaktor GD'!AC$1,FALSE),
"")</f>
        <v>15.584670833333334</v>
      </c>
      <c r="AD226">
        <v>16.850000000000001</v>
      </c>
    </row>
    <row r="227" spans="1:30" x14ac:dyDescent="0.25">
      <c r="A227" t="s">
        <v>186</v>
      </c>
      <c r="B227" t="s">
        <v>510</v>
      </c>
      <c r="C227" s="18">
        <f>IFERROR(
                  Andel_oberoende_av_klimat*VLOOKUP($A227,Leveranser_per_nät,'Leveranser per nät'!C$1,FALSE)
               +Andel_beroende_av_klimat*VLOOKUP($A227,Leveranser_per_nät,'Leveranser per nät'!C$1,FALSE)/VLOOKUP($B227,Korrigeringsfaktor_GD,'Korrigeringsfaktor GD'!C$1,FALSE),
"")</f>
        <v>23.764912280701758</v>
      </c>
      <c r="D227" s="18">
        <f>IFERROR(
                  Andel_oberoende_av_klimat*VLOOKUP($A227,Leveranser_per_nät,'Leveranser per nät'!D$1,FALSE)
               +Andel_beroende_av_klimat*VLOOKUP($A227,Leveranser_per_nät,'Leveranser per nät'!D$1,FALSE)/VLOOKUP($B227,Korrigeringsfaktor_GD,'Korrigeringsfaktor GD'!D$1,FALSE),
"")</f>
        <v>23.068999999999999</v>
      </c>
      <c r="E227" s="18">
        <f>IFERROR(
                  Andel_oberoende_av_klimat*VLOOKUP($A227,Leveranser_per_nät,'Leveranser per nät'!E$1,FALSE)
               +Andel_beroende_av_klimat*VLOOKUP($A227,Leveranser_per_nät,'Leveranser per nät'!E$1,FALSE)/VLOOKUP($B227,Korrigeringsfaktor_GD,'Korrigeringsfaktor GD'!E$1,FALSE),
"")</f>
        <v>23.83366336633663</v>
      </c>
      <c r="F227" s="18">
        <f>IFERROR(
                  Andel_oberoende_av_klimat*VLOOKUP($A227,Leveranser_per_nät,'Leveranser per nät'!F$1,FALSE)
               +Andel_beroende_av_klimat*VLOOKUP($A227,Leveranser_per_nät,'Leveranser per nät'!F$1,FALSE)/VLOOKUP($B227,Korrigeringsfaktor_GD,'Korrigeringsfaktor GD'!F$1,FALSE),
"")</f>
        <v>23.847368421052632</v>
      </c>
      <c r="G227" s="18">
        <f>IFERROR(
                  Andel_oberoende_av_klimat*VLOOKUP($A227,Leveranser_per_nät,'Leveranser per nät'!G$1,FALSE)
               +Andel_beroende_av_klimat*VLOOKUP($A227,Leveranser_per_nät,'Leveranser per nät'!G$1,FALSE)/VLOOKUP($B227,Korrigeringsfaktor_GD,'Korrigeringsfaktor GD'!G$1,FALSE),
"")</f>
        <v>22.279069767441861</v>
      </c>
      <c r="H227" s="18">
        <f>IFERROR(
                  Andel_oberoende_av_klimat*VLOOKUP($A227,Leveranser_per_nät,'Leveranser per nät'!H$1,FALSE)
               +Andel_beroende_av_klimat*VLOOKUP($A227,Leveranser_per_nät,'Leveranser per nät'!H$1,FALSE)/VLOOKUP($B227,Korrigeringsfaktor_GD,'Korrigeringsfaktor GD'!H$1,FALSE),
"")</f>
        <v>22.684313725490195</v>
      </c>
      <c r="I227" s="18">
        <f>IFERROR(
                  Andel_oberoende_av_klimat*VLOOKUP($A227,Leveranser_per_nät,'Leveranser per nät'!I$1,FALSE)
               +Andel_beroende_av_klimat*VLOOKUP($A227,Leveranser_per_nät,'Leveranser per nät'!I$1,FALSE)/VLOOKUP($B227,Korrigeringsfaktor_GD,'Korrigeringsfaktor GD'!I$1,FALSE),
"")</f>
        <v>23.847368421052632</v>
      </c>
      <c r="J227" s="18">
        <f>IFERROR(
                  Andel_oberoende_av_klimat*VLOOKUP($A227,Leveranser_per_nät,'Leveranser per nät'!J$1,FALSE)
               +Andel_beroende_av_klimat*VLOOKUP($A227,Leveranser_per_nät,'Leveranser per nät'!J$1,FALSE)/VLOOKUP($B227,Korrigeringsfaktor_GD,'Korrigeringsfaktor GD'!J$1,FALSE),
"")</f>
        <v>26.183838383838385</v>
      </c>
      <c r="K227" s="18">
        <f>IFERROR(
                  Andel_oberoende_av_klimat*VLOOKUP($A227,Leveranser_per_nät,'Leveranser per nät'!K$1,FALSE)
               +Andel_beroende_av_klimat*VLOOKUP($A227,Leveranser_per_nät,'Leveranser per nät'!K$1,FALSE)/VLOOKUP($B227,Korrigeringsfaktor_GD,'Korrigeringsfaktor GD'!K$1,FALSE),
"")</f>
        <v>26.117857142857144</v>
      </c>
      <c r="L227" s="18">
        <f>IFERROR(
                  Andel_oberoende_av_klimat*VLOOKUP($A227,Leveranser_per_nät,'Leveranser per nät'!L$1,FALSE)
               +Andel_beroende_av_klimat*VLOOKUP($A227,Leveranser_per_nät,'Leveranser per nät'!L$1,FALSE)/VLOOKUP($B227,Korrigeringsfaktor_GD,'Korrigeringsfaktor GD'!L$1,FALSE),
"")</f>
        <v>26.024736842105266</v>
      </c>
      <c r="M227" s="18">
        <f>IFERROR(
                  Andel_oberoende_av_klimat*VLOOKUP($A227,Leveranser_per_nät,'Leveranser per nät'!M$1,FALSE)
               +Andel_beroende_av_klimat*VLOOKUP($A227,Leveranser_per_nät,'Leveranser per nät'!M$1,FALSE)/VLOOKUP($B227,Korrigeringsfaktor_GD,'Korrigeringsfaktor GD'!M$1,FALSE),
"")</f>
        <v>25.982307692307693</v>
      </c>
      <c r="N227" s="18">
        <f>IFERROR(
                  Andel_oberoende_av_klimat*VLOOKUP($A227,Leveranser_per_nät,'Leveranser per nät'!N$1,FALSE)
               +Andel_beroende_av_klimat*VLOOKUP($A227,Leveranser_per_nät,'Leveranser per nät'!N$1,FALSE)/VLOOKUP($B227,Korrigeringsfaktor_GD,'Korrigeringsfaktor GD'!N$1,FALSE),
"")</f>
        <v>26.948181818181819</v>
      </c>
      <c r="O227" s="18">
        <f>IFERROR(
                  Andel_oberoende_av_klimat*VLOOKUP($A227,Leveranser_per_nät,'Leveranser per nät'!O$1,FALSE)
               +Andel_beroende_av_klimat*VLOOKUP($A227,Leveranser_per_nät,'Leveranser per nät'!O$1,FALSE)/VLOOKUP($B227,Korrigeringsfaktor_GD,'Korrigeringsfaktor GD'!O$1,FALSE),
"")</f>
        <v>30.928735632183908</v>
      </c>
      <c r="P227" s="18">
        <f>IFERROR(
                  Andel_oberoende_av_klimat*VLOOKUP($A227,Leveranser_per_nät,'Leveranser per nät'!P$1,FALSE)
               +Andel_beroende_av_klimat*VLOOKUP($A227,Leveranser_per_nät,'Leveranser per nät'!P$1,FALSE)/VLOOKUP($B227,Korrigeringsfaktor_GD,'Korrigeringsfaktor GD'!P$1,FALSE),
"")</f>
        <v>25.729166666666668</v>
      </c>
      <c r="Q227" s="18">
        <f>IFERROR(
                  Andel_oberoende_av_klimat*VLOOKUP($A227,Leveranser_per_nät,'Leveranser per nät'!Q$1,FALSE)
               +Andel_beroende_av_klimat*VLOOKUP($A227,Leveranser_per_nät,'Leveranser per nät'!Q$1,FALSE)/VLOOKUP($B227,Korrigeringsfaktor_GD,'Korrigeringsfaktor GD'!Q$1,FALSE),
"")</f>
        <v>28.556254237288137</v>
      </c>
      <c r="R227" s="18">
        <f>IFERROR(
                  Andel_oberoende_av_klimat*VLOOKUP($A227,Leveranser_per_nät,'Leveranser per nät'!R$1,FALSE)
               +Andel_beroende_av_klimat*VLOOKUP($A227,Leveranser_per_nät,'Leveranser per nät'!R$1,FALSE)/VLOOKUP($B227,Korrigeringsfaktor_GD,'Korrigeringsfaktor GD'!R$1,FALSE),
"")</f>
        <v>27.8</v>
      </c>
      <c r="S227" s="18">
        <f>IFERROR(
                  Andel_oberoende_av_klimat*VLOOKUP($A227,Leveranser_per_nät,'Leveranser per nät'!S$1,FALSE)
               +Andel_beroende_av_klimat*VLOOKUP($A227,Leveranser_per_nät,'Leveranser per nät'!S$1,FALSE)/VLOOKUP($B227,Korrigeringsfaktor_GD,'Korrigeringsfaktor GD'!S$1,FALSE),
"")</f>
        <v>29.588235294117645</v>
      </c>
      <c r="T227" s="18">
        <f>IFERROR(
                  Andel_oberoende_av_klimat*VLOOKUP($A227,Leveranser_per_nät,'Leveranser per nät'!T$1,FALSE)
               +Andel_beroende_av_klimat*VLOOKUP($A227,Leveranser_per_nät,'Leveranser per nät'!T$1,FALSE)/VLOOKUP($B227,Korrigeringsfaktor_GD,'Korrigeringsfaktor GD'!T$1,FALSE),
"")</f>
        <v>30.212121212121211</v>
      </c>
      <c r="U227" s="18">
        <f>IFERROR(
                  Andel_oberoende_av_klimat*VLOOKUP($A227,Leveranser_per_nät,'Leveranser per nät'!U$1,FALSE)
               +Andel_beroende_av_klimat*VLOOKUP($A227,Leveranser_per_nät,'Leveranser per nät'!U$1,FALSE)/VLOOKUP($B227,Korrigeringsfaktor_GD,'Korrigeringsfaktor GD'!U$1,FALSE),
"")</f>
        <v>30.6</v>
      </c>
      <c r="V227" s="18">
        <f>IFERROR(
                  Andel_oberoende_av_klimat*VLOOKUP($A227,Leveranser_per_nät,'Leveranser per nät'!V$1,FALSE)
               +Andel_beroende_av_klimat*VLOOKUP($A227,Leveranser_per_nät,'Leveranser per nät'!V$1,FALSE)/VLOOKUP($B227,Korrigeringsfaktor_GD,'Korrigeringsfaktor GD'!V$1,FALSE),
"")</f>
        <v>30.748426966292136</v>
      </c>
      <c r="W227" s="18">
        <f>IFERROR(
                  Andel_oberoende_av_klimat*VLOOKUP($A227,Leveranser_per_nät,'Leveranser per nät'!W$1,FALSE)
               +Andel_beroende_av_klimat*VLOOKUP($A227,Leveranser_per_nät,'Leveranser per nät'!W$1,FALSE)/VLOOKUP($B227,Korrigeringsfaktor_GD,'Korrigeringsfaktor GD'!W$1,FALSE),
"")</f>
        <v>32.633333333333333</v>
      </c>
      <c r="X227" s="18">
        <f>IFERROR(
                  Andel_oberoende_av_klimat*VLOOKUP($A227,Leveranser_per_nät,'Leveranser per nät'!X$1,FALSE)
               +Andel_beroende_av_klimat*VLOOKUP($A227,Leveranser_per_nät,'Leveranser per nät'!X$1,FALSE)/VLOOKUP($B227,Korrigeringsfaktor_GD,'Korrigeringsfaktor GD'!X$1,FALSE),
"")</f>
        <v>32.07692307692308</v>
      </c>
      <c r="Y227" s="18">
        <f>IFERROR(
                  Andel_oberoende_av_klimat*VLOOKUP($A227,Leveranser_per_nät,'Leveranser per nät'!Y$1,FALSE)
               +Andel_beroende_av_klimat*VLOOKUP($A227,Leveranser_per_nät,'Leveranser per nät'!Y$1,FALSE)/VLOOKUP($B227,Korrigeringsfaktor_GD,'Korrigeringsfaktor GD'!Y$1,FALSE),
"")</f>
        <v>31.255555555555553</v>
      </c>
      <c r="Z227" s="18">
        <f>IFERROR(
                  Andel_oberoende_av_klimat*VLOOKUP($A227,Leveranser_per_nät,'Leveranser per nät'!Z$1,FALSE)
               +Andel_beroende_av_klimat*VLOOKUP($A227,Leveranser_per_nät,'Leveranser per nät'!Z$1,FALSE)/VLOOKUP($B227,Korrigeringsfaktor_GD,'Korrigeringsfaktor GD'!Z$1,FALSE),
"")</f>
        <v>31.943454545454546</v>
      </c>
      <c r="AA227" s="18">
        <f>IFERROR(
                  Andel_oberoende_av_klimat*VLOOKUP($A227,Leveranser_per_nät,'Leveranser per nät'!AA$1,FALSE)
               +Andel_beroende_av_klimat*VLOOKUP($A227,Leveranser_per_nät,'Leveranser per nät'!AA$1,FALSE)/VLOOKUP($B227,Korrigeringsfaktor_GD,'Korrigeringsfaktor GD'!AA$1,FALSE),
"")</f>
        <v>29.804284403669726</v>
      </c>
      <c r="AB227" s="18">
        <f>IFERROR(
                  Andel_oberoende_av_klimat*VLOOKUP($A227,Leveranser_per_nät,'Leveranser per nät'!AB$1,FALSE)
               +Andel_beroende_av_klimat*VLOOKUP($A227,Leveranser_per_nät,'Leveranser per nät'!AB$1,FALSE)/VLOOKUP($B227,Korrigeringsfaktor_GD,'Korrigeringsfaktor GD'!AB$1,FALSE),
"")</f>
        <v>29.419182495344508</v>
      </c>
      <c r="AC227" s="18">
        <f>IFERROR(
                  Andel_oberoende_av_klimat*VLOOKUP($A227,Leveranser_per_nät,'Leveranser per nät'!AC$1,FALSE)
               +Andel_beroende_av_klimat*VLOOKUP($A227,Leveranser_per_nät,'Leveranser per nät'!AC$1,FALSE)/VLOOKUP($B227,Korrigeringsfaktor_GD,'Korrigeringsfaktor GD'!AC$1,FALSE),
"")</f>
        <v>29.159504132231405</v>
      </c>
      <c r="AD227">
        <v>3143.35</v>
      </c>
    </row>
    <row r="228" spans="1:30" x14ac:dyDescent="0.25">
      <c r="A228" t="s">
        <v>270</v>
      </c>
      <c r="B228" t="s">
        <v>261</v>
      </c>
      <c r="C228" s="18">
        <f>IFERROR(
                  Andel_oberoende_av_klimat*VLOOKUP($A228,Leveranser_per_nät,'Leveranser per nät'!C$1,FALSE)
               +Andel_beroende_av_klimat*VLOOKUP($A228,Leveranser_per_nät,'Leveranser per nät'!C$1,FALSE)/VLOOKUP($B228,Korrigeringsfaktor_GD,'Korrigeringsfaktor GD'!C$1,FALSE),
"")</f>
        <v>0</v>
      </c>
      <c r="D228" s="18">
        <f>IFERROR(
                  Andel_oberoende_av_klimat*VLOOKUP($A228,Leveranser_per_nät,'Leveranser per nät'!D$1,FALSE)
               +Andel_beroende_av_klimat*VLOOKUP($A228,Leveranser_per_nät,'Leveranser per nät'!D$1,FALSE)/VLOOKUP($B228,Korrigeringsfaktor_GD,'Korrigeringsfaktor GD'!D$1,FALSE),
"")</f>
        <v>0</v>
      </c>
      <c r="E228" s="18">
        <f>IFERROR(
                  Andel_oberoende_av_klimat*VLOOKUP($A228,Leveranser_per_nät,'Leveranser per nät'!E$1,FALSE)
               +Andel_beroende_av_klimat*VLOOKUP($A228,Leveranser_per_nät,'Leveranser per nät'!E$1,FALSE)/VLOOKUP($B228,Korrigeringsfaktor_GD,'Korrigeringsfaktor GD'!E$1,FALSE),
"")</f>
        <v>0</v>
      </c>
      <c r="F228" s="18">
        <f>IFERROR(
                  Andel_oberoende_av_klimat*VLOOKUP($A228,Leveranser_per_nät,'Leveranser per nät'!F$1,FALSE)
               +Andel_beroende_av_klimat*VLOOKUP($A228,Leveranser_per_nät,'Leveranser per nät'!F$1,FALSE)/VLOOKUP($B228,Korrigeringsfaktor_GD,'Korrigeringsfaktor GD'!F$1,FALSE),
"")</f>
        <v>0</v>
      </c>
      <c r="G228" s="18">
        <f>IFERROR(
                  Andel_oberoende_av_klimat*VLOOKUP($A228,Leveranser_per_nät,'Leveranser per nät'!G$1,FALSE)
               +Andel_beroende_av_klimat*VLOOKUP($A228,Leveranser_per_nät,'Leveranser per nät'!G$1,FALSE)/VLOOKUP($B228,Korrigeringsfaktor_GD,'Korrigeringsfaktor GD'!G$1,FALSE),
"")</f>
        <v>0</v>
      </c>
      <c r="H228" s="18">
        <f>IFERROR(
                  Andel_oberoende_av_klimat*VLOOKUP($A228,Leveranser_per_nät,'Leveranser per nät'!H$1,FALSE)
               +Andel_beroende_av_klimat*VLOOKUP($A228,Leveranser_per_nät,'Leveranser per nät'!H$1,FALSE)/VLOOKUP($B228,Korrigeringsfaktor_GD,'Korrigeringsfaktor GD'!H$1,FALSE),
"")</f>
        <v>0</v>
      </c>
      <c r="I228" s="18">
        <f>IFERROR(
                  Andel_oberoende_av_klimat*VLOOKUP($A228,Leveranser_per_nät,'Leveranser per nät'!I$1,FALSE)
               +Andel_beroende_av_klimat*VLOOKUP($A228,Leveranser_per_nät,'Leveranser per nät'!I$1,FALSE)/VLOOKUP($B228,Korrigeringsfaktor_GD,'Korrigeringsfaktor GD'!I$1,FALSE),
"")</f>
        <v>0</v>
      </c>
      <c r="J228" s="18">
        <f>IFERROR(
                  Andel_oberoende_av_klimat*VLOOKUP($A228,Leveranser_per_nät,'Leveranser per nät'!J$1,FALSE)
               +Andel_beroende_av_klimat*VLOOKUP($A228,Leveranser_per_nät,'Leveranser per nät'!J$1,FALSE)/VLOOKUP($B228,Korrigeringsfaktor_GD,'Korrigeringsfaktor GD'!J$1,FALSE),
"")</f>
        <v>0</v>
      </c>
      <c r="K228" s="18">
        <f>IFERROR(
                  Andel_oberoende_av_klimat*VLOOKUP($A228,Leveranser_per_nät,'Leveranser per nät'!K$1,FALSE)
               +Andel_beroende_av_klimat*VLOOKUP($A228,Leveranser_per_nät,'Leveranser per nät'!K$1,FALSE)/VLOOKUP($B228,Korrigeringsfaktor_GD,'Korrigeringsfaktor GD'!K$1,FALSE),
"")</f>
        <v>0</v>
      </c>
      <c r="L228" s="18">
        <f>IFERROR(
                  Andel_oberoende_av_klimat*VLOOKUP($A228,Leveranser_per_nät,'Leveranser per nät'!L$1,FALSE)
               +Andel_beroende_av_klimat*VLOOKUP($A228,Leveranser_per_nät,'Leveranser per nät'!L$1,FALSE)/VLOOKUP($B228,Korrigeringsfaktor_GD,'Korrigeringsfaktor GD'!L$1,FALSE),
"")</f>
        <v>0</v>
      </c>
      <c r="M228" s="18">
        <f>IFERROR(
                  Andel_oberoende_av_klimat*VLOOKUP($A228,Leveranser_per_nät,'Leveranser per nät'!M$1,FALSE)
               +Andel_beroende_av_klimat*VLOOKUP($A228,Leveranser_per_nät,'Leveranser per nät'!M$1,FALSE)/VLOOKUP($B228,Korrigeringsfaktor_GD,'Korrigeringsfaktor GD'!M$1,FALSE),
"")</f>
        <v>0.51133913043478252</v>
      </c>
      <c r="N228" s="18">
        <f>IFERROR(
                  Andel_oberoende_av_klimat*VLOOKUP($A228,Leveranser_per_nät,'Leveranser per nät'!N$1,FALSE)
               +Andel_beroende_av_klimat*VLOOKUP($A228,Leveranser_per_nät,'Leveranser per nät'!N$1,FALSE)/VLOOKUP($B228,Korrigeringsfaktor_GD,'Korrigeringsfaktor GD'!N$1,FALSE),
"")</f>
        <v>3.4222892473118276</v>
      </c>
      <c r="O228" s="18">
        <f>IFERROR(
                  Andel_oberoende_av_klimat*VLOOKUP($A228,Leveranser_per_nät,'Leveranser per nät'!O$1,FALSE)
               +Andel_beroende_av_klimat*VLOOKUP($A228,Leveranser_per_nät,'Leveranser per nät'!O$1,FALSE)/VLOOKUP($B228,Korrigeringsfaktor_GD,'Korrigeringsfaktor GD'!O$1,FALSE),
"")</f>
        <v>3.4412376344086022</v>
      </c>
      <c r="P228" s="18">
        <f>IFERROR(
                  Andel_oberoende_av_klimat*VLOOKUP($A228,Leveranser_per_nät,'Leveranser per nät'!P$1,FALSE)
               +Andel_beroende_av_klimat*VLOOKUP($A228,Leveranser_per_nät,'Leveranser per nät'!P$1,FALSE)/VLOOKUP($B228,Korrigeringsfaktor_GD,'Korrigeringsfaktor GD'!P$1,FALSE),
"")</f>
        <v>3.1473285714285715</v>
      </c>
      <c r="Q228" s="18">
        <f>IFERROR(
                  Andel_oberoende_av_klimat*VLOOKUP($A228,Leveranser_per_nät,'Leveranser per nät'!Q$1,FALSE)
               +Andel_beroende_av_klimat*VLOOKUP($A228,Leveranser_per_nät,'Leveranser per nät'!Q$1,FALSE)/VLOOKUP($B228,Korrigeringsfaktor_GD,'Korrigeringsfaktor GD'!Q$1,FALSE),
"")</f>
        <v>3.4433333333333334</v>
      </c>
      <c r="R228" s="18">
        <f>IFERROR(
                  Andel_oberoende_av_klimat*VLOOKUP($A228,Leveranser_per_nät,'Leveranser per nät'!R$1,FALSE)
               +Andel_beroende_av_klimat*VLOOKUP($A228,Leveranser_per_nät,'Leveranser per nät'!R$1,FALSE)/VLOOKUP($B228,Korrigeringsfaktor_GD,'Korrigeringsfaktor GD'!R$1,FALSE),
"")</f>
        <v>3.3842222222222222</v>
      </c>
      <c r="S228" s="18">
        <f>IFERROR(
                  Andel_oberoende_av_klimat*VLOOKUP($A228,Leveranser_per_nät,'Leveranser per nät'!S$1,FALSE)
               +Andel_beroende_av_klimat*VLOOKUP($A228,Leveranser_per_nät,'Leveranser per nät'!S$1,FALSE)/VLOOKUP($B228,Korrigeringsfaktor_GD,'Korrigeringsfaktor GD'!S$1,FALSE),
"")</f>
        <v>3.24</v>
      </c>
      <c r="T228" s="18">
        <f>IFERROR(
                  Andel_oberoende_av_klimat*VLOOKUP($A228,Leveranser_per_nät,'Leveranser per nät'!T$1,FALSE)
               +Andel_beroende_av_klimat*VLOOKUP($A228,Leveranser_per_nät,'Leveranser per nät'!T$1,FALSE)/VLOOKUP($B228,Korrigeringsfaktor_GD,'Korrigeringsfaktor GD'!T$1,FALSE),
"")</f>
        <v>3.044695652173913</v>
      </c>
      <c r="U228" s="18">
        <f>IFERROR(
                  Andel_oberoende_av_klimat*VLOOKUP($A228,Leveranser_per_nät,'Leveranser per nät'!U$1,FALSE)
               +Andel_beroende_av_klimat*VLOOKUP($A228,Leveranser_per_nät,'Leveranser per nät'!U$1,FALSE)/VLOOKUP($B228,Korrigeringsfaktor_GD,'Korrigeringsfaktor GD'!U$1,FALSE),
"")</f>
        <v>2.8733555555555554</v>
      </c>
      <c r="V228" s="18">
        <f>IFERROR(
                  Andel_oberoende_av_klimat*VLOOKUP($A228,Leveranser_per_nät,'Leveranser per nät'!V$1,FALSE)
               +Andel_beroende_av_klimat*VLOOKUP($A228,Leveranser_per_nät,'Leveranser per nät'!V$1,FALSE)/VLOOKUP($B228,Korrigeringsfaktor_GD,'Korrigeringsfaktor GD'!V$1,FALSE),
"")</f>
        <v>2.7449252873563217</v>
      </c>
      <c r="W228" s="18">
        <f>IFERROR(
                  Andel_oberoende_av_klimat*VLOOKUP($A228,Leveranser_per_nät,'Leveranser per nät'!W$1,FALSE)
               +Andel_beroende_av_klimat*VLOOKUP($A228,Leveranser_per_nät,'Leveranser per nät'!W$1,FALSE)/VLOOKUP($B228,Korrigeringsfaktor_GD,'Korrigeringsfaktor GD'!W$1,FALSE),
"")</f>
        <v>2.9187166666666666</v>
      </c>
      <c r="X228" s="18">
        <f>IFERROR(
                  Andel_oberoende_av_klimat*VLOOKUP($A228,Leveranser_per_nät,'Leveranser per nät'!X$1,FALSE)
               +Andel_beroende_av_klimat*VLOOKUP($A228,Leveranser_per_nät,'Leveranser per nät'!X$1,FALSE)/VLOOKUP($B228,Korrigeringsfaktor_GD,'Korrigeringsfaktor GD'!X$1,FALSE),
"")</f>
        <v>2.7243714285714287</v>
      </c>
      <c r="Y228" s="18">
        <f>IFERROR(
                  Andel_oberoende_av_klimat*VLOOKUP($A228,Leveranser_per_nät,'Leveranser per nät'!Y$1,FALSE)
               +Andel_beroende_av_klimat*VLOOKUP($A228,Leveranser_per_nät,'Leveranser per nät'!Y$1,FALSE)/VLOOKUP($B228,Korrigeringsfaktor_GD,'Korrigeringsfaktor GD'!Y$1,FALSE),
"")</f>
        <v>2.9168092783505153</v>
      </c>
      <c r="Z228" s="18">
        <f>IFERROR(
                  Andel_oberoende_av_klimat*VLOOKUP($A228,Leveranser_per_nät,'Leveranser per nät'!Z$1,FALSE)
               +Andel_beroende_av_klimat*VLOOKUP($A228,Leveranser_per_nät,'Leveranser per nät'!Z$1,FALSE)/VLOOKUP($B228,Korrigeringsfaktor_GD,'Korrigeringsfaktor GD'!Z$1,FALSE),
"")</f>
        <v>2.8832434343434343</v>
      </c>
      <c r="AA228" s="18">
        <f>IFERROR(
                  Andel_oberoende_av_klimat*VLOOKUP($A228,Leveranser_per_nät,'Leveranser per nät'!AA$1,FALSE)
               +Andel_beroende_av_klimat*VLOOKUP($A228,Leveranser_per_nät,'Leveranser per nät'!AA$1,FALSE)/VLOOKUP($B228,Korrigeringsfaktor_GD,'Korrigeringsfaktor GD'!AA$1,FALSE),
"")</f>
        <v>2.6449648988764047</v>
      </c>
      <c r="AB228" s="18">
        <f>IFERROR(
                  Andel_oberoende_av_klimat*VLOOKUP($A228,Leveranser_per_nät,'Leveranser per nät'!AB$1,FALSE)
               +Andel_beroende_av_klimat*VLOOKUP($A228,Leveranser_per_nät,'Leveranser per nät'!AB$1,FALSE)/VLOOKUP($B228,Korrigeringsfaktor_GD,'Korrigeringsfaktor GD'!AB$1,FALSE),
"")</f>
        <v>2.9149991713747645</v>
      </c>
      <c r="AC228" s="18">
        <f>IFERROR(
                  Andel_oberoende_av_klimat*VLOOKUP($A228,Leveranser_per_nät,'Leveranser per nät'!AC$1,FALSE)
               +Andel_beroende_av_klimat*VLOOKUP($A228,Leveranser_per_nät,'Leveranser per nät'!AC$1,FALSE)/VLOOKUP($B228,Korrigeringsfaktor_GD,'Korrigeringsfaktor GD'!AC$1,FALSE),
"")</f>
        <v>2.7077184630940341</v>
      </c>
      <c r="AD228">
        <v>351.95330000000001</v>
      </c>
    </row>
    <row r="229" spans="1:30" x14ac:dyDescent="0.25">
      <c r="A229" t="s">
        <v>292</v>
      </c>
      <c r="B229" t="s">
        <v>533</v>
      </c>
      <c r="C229" s="18">
        <f>IFERROR(
                  Andel_oberoende_av_klimat*VLOOKUP($A229,Leveranser_per_nät,'Leveranser per nät'!C$1,FALSE)
               +Andel_beroende_av_klimat*VLOOKUP($A229,Leveranser_per_nät,'Leveranser per nät'!C$1,FALSE)/VLOOKUP($B229,Korrigeringsfaktor_GD,'Korrigeringsfaktor GD'!C$1,FALSE),
"")</f>
        <v>0</v>
      </c>
      <c r="D229" s="18">
        <f>IFERROR(
                  Andel_oberoende_av_klimat*VLOOKUP($A229,Leveranser_per_nät,'Leveranser per nät'!D$1,FALSE)
               +Andel_beroende_av_klimat*VLOOKUP($A229,Leveranser_per_nät,'Leveranser per nät'!D$1,FALSE)/VLOOKUP($B229,Korrigeringsfaktor_GD,'Korrigeringsfaktor GD'!D$1,FALSE),
"")</f>
        <v>0</v>
      </c>
      <c r="E229" s="18">
        <f>IFERROR(
                  Andel_oberoende_av_klimat*VLOOKUP($A229,Leveranser_per_nät,'Leveranser per nät'!E$1,FALSE)
               +Andel_beroende_av_klimat*VLOOKUP($A229,Leveranser_per_nät,'Leveranser per nät'!E$1,FALSE)/VLOOKUP($B229,Korrigeringsfaktor_GD,'Korrigeringsfaktor GD'!E$1,FALSE),
"")</f>
        <v>0</v>
      </c>
      <c r="F229" s="18">
        <f>IFERROR(
                  Andel_oberoende_av_klimat*VLOOKUP($A229,Leveranser_per_nät,'Leveranser per nät'!F$1,FALSE)
               +Andel_beroende_av_klimat*VLOOKUP($A229,Leveranser_per_nät,'Leveranser per nät'!F$1,FALSE)/VLOOKUP($B229,Korrigeringsfaktor_GD,'Korrigeringsfaktor GD'!F$1,FALSE),
"")</f>
        <v>0</v>
      </c>
      <c r="G229" s="18">
        <f>IFERROR(
                  Andel_oberoende_av_klimat*VLOOKUP($A229,Leveranser_per_nät,'Leveranser per nät'!G$1,FALSE)
               +Andel_beroende_av_klimat*VLOOKUP($A229,Leveranser_per_nät,'Leveranser per nät'!G$1,FALSE)/VLOOKUP($B229,Korrigeringsfaktor_GD,'Korrigeringsfaktor GD'!G$1,FALSE),
"")</f>
        <v>0</v>
      </c>
      <c r="H229" s="18">
        <f>IFERROR(
                  Andel_oberoende_av_klimat*VLOOKUP($A229,Leveranser_per_nät,'Leveranser per nät'!H$1,FALSE)
               +Andel_beroende_av_klimat*VLOOKUP($A229,Leveranser_per_nät,'Leveranser per nät'!H$1,FALSE)/VLOOKUP($B229,Korrigeringsfaktor_GD,'Korrigeringsfaktor GD'!H$1,FALSE),
"")</f>
        <v>0</v>
      </c>
      <c r="I229" s="18">
        <f>IFERROR(
                  Andel_oberoende_av_klimat*VLOOKUP($A229,Leveranser_per_nät,'Leveranser per nät'!I$1,FALSE)
               +Andel_beroende_av_klimat*VLOOKUP($A229,Leveranser_per_nät,'Leveranser per nät'!I$1,FALSE)/VLOOKUP($B229,Korrigeringsfaktor_GD,'Korrigeringsfaktor GD'!I$1,FALSE),
"")</f>
        <v>0</v>
      </c>
      <c r="J229" s="18">
        <f>IFERROR(
                  Andel_oberoende_av_klimat*VLOOKUP($A229,Leveranser_per_nät,'Leveranser per nät'!J$1,FALSE)
               +Andel_beroende_av_klimat*VLOOKUP($A229,Leveranser_per_nät,'Leveranser per nät'!J$1,FALSE)/VLOOKUP($B229,Korrigeringsfaktor_GD,'Korrigeringsfaktor GD'!J$1,FALSE),
"")</f>
        <v>0</v>
      </c>
      <c r="K229" s="18">
        <f>IFERROR(
                  Andel_oberoende_av_klimat*VLOOKUP($A229,Leveranser_per_nät,'Leveranser per nät'!K$1,FALSE)
               +Andel_beroende_av_klimat*VLOOKUP($A229,Leveranser_per_nät,'Leveranser per nät'!K$1,FALSE)/VLOOKUP($B229,Korrigeringsfaktor_GD,'Korrigeringsfaktor GD'!K$1,FALSE),
"")</f>
        <v>0</v>
      </c>
      <c r="L229" s="18">
        <f>IFERROR(
                  Andel_oberoende_av_klimat*VLOOKUP($A229,Leveranser_per_nät,'Leveranser per nät'!L$1,FALSE)
               +Andel_beroende_av_klimat*VLOOKUP($A229,Leveranser_per_nät,'Leveranser per nät'!L$1,FALSE)/VLOOKUP($B229,Korrigeringsfaktor_GD,'Korrigeringsfaktor GD'!L$1,FALSE),
"")</f>
        <v>0</v>
      </c>
      <c r="M229" s="18">
        <f>IFERROR(
                  Andel_oberoende_av_klimat*VLOOKUP($A229,Leveranser_per_nät,'Leveranser per nät'!M$1,FALSE)
               +Andel_beroende_av_klimat*VLOOKUP($A229,Leveranser_per_nät,'Leveranser per nät'!M$1,FALSE)/VLOOKUP($B229,Korrigeringsfaktor_GD,'Korrigeringsfaktor GD'!M$1,FALSE),
"")</f>
        <v>1.5972666666666666</v>
      </c>
      <c r="N229" s="18">
        <f>IFERROR(
                  Andel_oberoende_av_klimat*VLOOKUP($A229,Leveranser_per_nät,'Leveranser per nät'!N$1,FALSE)
               +Andel_beroende_av_klimat*VLOOKUP($A229,Leveranser_per_nät,'Leveranser per nät'!N$1,FALSE)/VLOOKUP($B229,Korrigeringsfaktor_GD,'Korrigeringsfaktor GD'!N$1,FALSE),
"")</f>
        <v>1.7581978723404257</v>
      </c>
      <c r="O229" s="18">
        <f>IFERROR(
                  Andel_oberoende_av_klimat*VLOOKUP($A229,Leveranser_per_nät,'Leveranser per nät'!O$1,FALSE)
               +Andel_beroende_av_klimat*VLOOKUP($A229,Leveranser_per_nät,'Leveranser per nät'!O$1,FALSE)/VLOOKUP($B229,Korrigeringsfaktor_GD,'Korrigeringsfaktor GD'!O$1,FALSE),
"")</f>
        <v>1.6927225806451613</v>
      </c>
      <c r="P229" s="18">
        <f>IFERROR(
                  Andel_oberoende_av_klimat*VLOOKUP($A229,Leveranser_per_nät,'Leveranser per nät'!P$1,FALSE)
               +Andel_beroende_av_klimat*VLOOKUP($A229,Leveranser_per_nät,'Leveranser per nät'!P$1,FALSE)/VLOOKUP($B229,Korrigeringsfaktor_GD,'Korrigeringsfaktor GD'!P$1,FALSE),
"")</f>
        <v>1.6519999999999999</v>
      </c>
      <c r="Q229" s="18">
        <f>IFERROR(
                  Andel_oberoende_av_klimat*VLOOKUP($A229,Leveranser_per_nät,'Leveranser per nät'!Q$1,FALSE)
               +Andel_beroende_av_klimat*VLOOKUP($A229,Leveranser_per_nät,'Leveranser per nät'!Q$1,FALSE)/VLOOKUP($B229,Korrigeringsfaktor_GD,'Korrigeringsfaktor GD'!Q$1,FALSE),
"")</f>
        <v>0</v>
      </c>
      <c r="R229" s="18">
        <f>IFERROR(
                  Andel_oberoende_av_klimat*VLOOKUP($A229,Leveranser_per_nät,'Leveranser per nät'!R$1,FALSE)
               +Andel_beroende_av_klimat*VLOOKUP($A229,Leveranser_per_nät,'Leveranser per nät'!R$1,FALSE)/VLOOKUP($B229,Korrigeringsfaktor_GD,'Korrigeringsfaktor GD'!R$1,FALSE),
"")</f>
        <v>0</v>
      </c>
      <c r="S229" s="18" t="str">
        <f>IFERROR(
                  Andel_oberoende_av_klimat*VLOOKUP($A229,Leveranser_per_nät,'Leveranser per nät'!S$1,FALSE)
               +Andel_beroende_av_klimat*VLOOKUP($A229,Leveranser_per_nät,'Leveranser per nät'!S$1,FALSE)/VLOOKUP($B229,Korrigeringsfaktor_GD,'Korrigeringsfaktor GD'!S$1,FALSE),
"")</f>
        <v/>
      </c>
      <c r="T229" s="18" t="str">
        <f>IFERROR(
                  Andel_oberoende_av_klimat*VLOOKUP($A229,Leveranser_per_nät,'Leveranser per nät'!T$1,FALSE)
               +Andel_beroende_av_klimat*VLOOKUP($A229,Leveranser_per_nät,'Leveranser per nät'!T$1,FALSE)/VLOOKUP($B229,Korrigeringsfaktor_GD,'Korrigeringsfaktor GD'!T$1,FALSE),
"")</f>
        <v/>
      </c>
      <c r="U229" s="18" t="str">
        <f>IFERROR(
                  Andel_oberoende_av_klimat*VLOOKUP($A229,Leveranser_per_nät,'Leveranser per nät'!U$1,FALSE)
               +Andel_beroende_av_klimat*VLOOKUP($A229,Leveranser_per_nät,'Leveranser per nät'!U$1,FALSE)/VLOOKUP($B229,Korrigeringsfaktor_GD,'Korrigeringsfaktor GD'!U$1,FALSE),
"")</f>
        <v/>
      </c>
      <c r="V229" s="18" t="str">
        <f>IFERROR(
                  Andel_oberoende_av_klimat*VLOOKUP($A229,Leveranser_per_nät,'Leveranser per nät'!V$1,FALSE)
               +Andel_beroende_av_klimat*VLOOKUP($A229,Leveranser_per_nät,'Leveranser per nät'!V$1,FALSE)/VLOOKUP($B229,Korrigeringsfaktor_GD,'Korrigeringsfaktor GD'!V$1,FALSE),
"")</f>
        <v/>
      </c>
      <c r="W229" s="18" t="str">
        <f>IFERROR(
                  Andel_oberoende_av_klimat*VLOOKUP($A229,Leveranser_per_nät,'Leveranser per nät'!W$1,FALSE)
               +Andel_beroende_av_klimat*VLOOKUP($A229,Leveranser_per_nät,'Leveranser per nät'!W$1,FALSE)/VLOOKUP($B229,Korrigeringsfaktor_GD,'Korrigeringsfaktor GD'!W$1,FALSE),
"")</f>
        <v/>
      </c>
      <c r="X229" s="18" t="str">
        <f>IFERROR(
                  Andel_oberoende_av_klimat*VLOOKUP($A229,Leveranser_per_nät,'Leveranser per nät'!X$1,FALSE)
               +Andel_beroende_av_klimat*VLOOKUP($A229,Leveranser_per_nät,'Leveranser per nät'!X$1,FALSE)/VLOOKUP($B229,Korrigeringsfaktor_GD,'Korrigeringsfaktor GD'!X$1,FALSE),
"")</f>
        <v/>
      </c>
      <c r="Y229" s="18" t="str">
        <f>IFERROR(
                  Andel_oberoende_av_klimat*VLOOKUP($A229,Leveranser_per_nät,'Leveranser per nät'!Y$1,FALSE)
               +Andel_beroende_av_klimat*VLOOKUP($A229,Leveranser_per_nät,'Leveranser per nät'!Y$1,FALSE)/VLOOKUP($B229,Korrigeringsfaktor_GD,'Korrigeringsfaktor GD'!Y$1,FALSE),
"")</f>
        <v/>
      </c>
      <c r="Z229" s="18">
        <f>IFERROR(
                  Andel_oberoende_av_klimat*VLOOKUP($A229,Leveranser_per_nät,'Leveranser per nät'!Z$1,FALSE)
               +Andel_beroende_av_klimat*VLOOKUP($A229,Leveranser_per_nät,'Leveranser per nät'!Z$1,FALSE)/VLOOKUP($B229,Korrigeringsfaktor_GD,'Korrigeringsfaktor GD'!Z$1,FALSE),
"")</f>
        <v>0</v>
      </c>
      <c r="AA229" s="18" t="str">
        <f>IFERROR(
                  Andel_oberoende_av_klimat*VLOOKUP($A229,Leveranser_per_nät,'Leveranser per nät'!AA$1,FALSE)
               +Andel_beroende_av_klimat*VLOOKUP($A229,Leveranser_per_nät,'Leveranser per nät'!AA$1,FALSE)/VLOOKUP($B229,Korrigeringsfaktor_GD,'Korrigeringsfaktor GD'!AA$1,FALSE),
"")</f>
        <v/>
      </c>
      <c r="AB229" s="18">
        <f>IFERROR(
                  Andel_oberoende_av_klimat*VLOOKUP($A229,Leveranser_per_nät,'Leveranser per nät'!AB$1,FALSE)
               +Andel_beroende_av_klimat*VLOOKUP($A229,Leveranser_per_nät,'Leveranser per nät'!AB$1,FALSE)/VLOOKUP($B229,Korrigeringsfaktor_GD,'Korrigeringsfaktor GD'!AB$1,FALSE),
"")</f>
        <v>0</v>
      </c>
      <c r="AC229" s="18">
        <f>IFERROR(
                  Andel_oberoende_av_klimat*VLOOKUP($A229,Leveranser_per_nät,'Leveranser per nät'!AC$1,FALSE)
               +Andel_beroende_av_klimat*VLOOKUP($A229,Leveranser_per_nät,'Leveranser per nät'!AC$1,FALSE)/VLOOKUP($B229,Korrigeringsfaktor_GD,'Korrigeringsfaktor GD'!AC$1,FALSE),
"")</f>
        <v>0</v>
      </c>
      <c r="AD229">
        <v>11</v>
      </c>
    </row>
    <row r="230" spans="1:30" x14ac:dyDescent="0.25">
      <c r="A230" t="s">
        <v>490</v>
      </c>
      <c r="B230" t="s">
        <v>78</v>
      </c>
      <c r="C230" s="18">
        <f>IFERROR(
                  Andel_oberoende_av_klimat*VLOOKUP($A230,Leveranser_per_nät,'Leveranser per nät'!C$1,FALSE)
               +Andel_beroende_av_klimat*VLOOKUP($A230,Leveranser_per_nät,'Leveranser per nät'!C$1,FALSE)/VLOOKUP($B230,Korrigeringsfaktor_GD,'Korrigeringsfaktor GD'!C$1,FALSE),
"")</f>
        <v>0</v>
      </c>
      <c r="D230" s="18">
        <f>IFERROR(
                  Andel_oberoende_av_klimat*VLOOKUP($A230,Leveranser_per_nät,'Leveranser per nät'!D$1,FALSE)
               +Andel_beroende_av_klimat*VLOOKUP($A230,Leveranser_per_nät,'Leveranser per nät'!D$1,FALSE)/VLOOKUP($B230,Korrigeringsfaktor_GD,'Korrigeringsfaktor GD'!D$1,FALSE),
"")</f>
        <v>0</v>
      </c>
      <c r="E230" s="18">
        <f>IFERROR(
                  Andel_oberoende_av_klimat*VLOOKUP($A230,Leveranser_per_nät,'Leveranser per nät'!E$1,FALSE)
               +Andel_beroende_av_klimat*VLOOKUP($A230,Leveranser_per_nät,'Leveranser per nät'!E$1,FALSE)/VLOOKUP($B230,Korrigeringsfaktor_GD,'Korrigeringsfaktor GD'!E$1,FALSE),
"")</f>
        <v>0</v>
      </c>
      <c r="F230" s="18">
        <f>IFERROR(
                  Andel_oberoende_av_klimat*VLOOKUP($A230,Leveranser_per_nät,'Leveranser per nät'!F$1,FALSE)
               +Andel_beroende_av_klimat*VLOOKUP($A230,Leveranser_per_nät,'Leveranser per nät'!F$1,FALSE)/VLOOKUP($B230,Korrigeringsfaktor_GD,'Korrigeringsfaktor GD'!F$1,FALSE),
"")</f>
        <v>0</v>
      </c>
      <c r="G230" s="18">
        <f>IFERROR(
                  Andel_oberoende_av_klimat*VLOOKUP($A230,Leveranser_per_nät,'Leveranser per nät'!G$1,FALSE)
               +Andel_beroende_av_klimat*VLOOKUP($A230,Leveranser_per_nät,'Leveranser per nät'!G$1,FALSE)/VLOOKUP($B230,Korrigeringsfaktor_GD,'Korrigeringsfaktor GD'!G$1,FALSE),
"")</f>
        <v>0</v>
      </c>
      <c r="H230" s="18">
        <f>IFERROR(
                  Andel_oberoende_av_klimat*VLOOKUP($A230,Leveranser_per_nät,'Leveranser per nät'!H$1,FALSE)
               +Andel_beroende_av_klimat*VLOOKUP($A230,Leveranser_per_nät,'Leveranser per nät'!H$1,FALSE)/VLOOKUP($B230,Korrigeringsfaktor_GD,'Korrigeringsfaktor GD'!H$1,FALSE),
"")</f>
        <v>0</v>
      </c>
      <c r="I230" s="18">
        <f>IFERROR(
                  Andel_oberoende_av_klimat*VLOOKUP($A230,Leveranser_per_nät,'Leveranser per nät'!I$1,FALSE)
               +Andel_beroende_av_klimat*VLOOKUP($A230,Leveranser_per_nät,'Leveranser per nät'!I$1,FALSE)/VLOOKUP($B230,Korrigeringsfaktor_GD,'Korrigeringsfaktor GD'!I$1,FALSE),
"")</f>
        <v>0</v>
      </c>
      <c r="J230" s="18">
        <f>IFERROR(
                  Andel_oberoende_av_klimat*VLOOKUP($A230,Leveranser_per_nät,'Leveranser per nät'!J$1,FALSE)
               +Andel_beroende_av_klimat*VLOOKUP($A230,Leveranser_per_nät,'Leveranser per nät'!J$1,FALSE)/VLOOKUP($B230,Korrigeringsfaktor_GD,'Korrigeringsfaktor GD'!J$1,FALSE),
"")</f>
        <v>0</v>
      </c>
      <c r="K230" s="18">
        <f>IFERROR(
                  Andel_oberoende_av_klimat*VLOOKUP($A230,Leveranser_per_nät,'Leveranser per nät'!K$1,FALSE)
               +Andel_beroende_av_klimat*VLOOKUP($A230,Leveranser_per_nät,'Leveranser per nät'!K$1,FALSE)/VLOOKUP($B230,Korrigeringsfaktor_GD,'Korrigeringsfaktor GD'!K$1,FALSE),
"")</f>
        <v>0</v>
      </c>
      <c r="L230" s="18">
        <f>IFERROR(
                  Andel_oberoende_av_klimat*VLOOKUP($A230,Leveranser_per_nät,'Leveranser per nät'!L$1,FALSE)
               +Andel_beroende_av_klimat*VLOOKUP($A230,Leveranser_per_nät,'Leveranser per nät'!L$1,FALSE)/VLOOKUP($B230,Korrigeringsfaktor_GD,'Korrigeringsfaktor GD'!L$1,FALSE),
"")</f>
        <v>0</v>
      </c>
      <c r="M230" s="18">
        <f>IFERROR(
                  Andel_oberoende_av_klimat*VLOOKUP($A230,Leveranser_per_nät,'Leveranser per nät'!M$1,FALSE)
               +Andel_beroende_av_klimat*VLOOKUP($A230,Leveranser_per_nät,'Leveranser per nät'!M$1,FALSE)/VLOOKUP($B230,Korrigeringsfaktor_GD,'Korrigeringsfaktor GD'!M$1,FALSE),
"")</f>
        <v>0</v>
      </c>
      <c r="N230" s="18">
        <f>IFERROR(
                  Andel_oberoende_av_klimat*VLOOKUP($A230,Leveranser_per_nät,'Leveranser per nät'!N$1,FALSE)
               +Andel_beroende_av_klimat*VLOOKUP($A230,Leveranser_per_nät,'Leveranser per nät'!N$1,FALSE)/VLOOKUP($B230,Korrigeringsfaktor_GD,'Korrigeringsfaktor GD'!N$1,FALSE),
"")</f>
        <v>0</v>
      </c>
      <c r="O230" s="18">
        <f>IFERROR(
                  Andel_oberoende_av_klimat*VLOOKUP($A230,Leveranser_per_nät,'Leveranser per nät'!O$1,FALSE)
               +Andel_beroende_av_klimat*VLOOKUP($A230,Leveranser_per_nät,'Leveranser per nät'!O$1,FALSE)/VLOOKUP($B230,Korrigeringsfaktor_GD,'Korrigeringsfaktor GD'!O$1,FALSE),
"")</f>
        <v>0</v>
      </c>
      <c r="P230" s="18">
        <f>IFERROR(
                  Andel_oberoende_av_klimat*VLOOKUP($A230,Leveranser_per_nät,'Leveranser per nät'!P$1,FALSE)
               +Andel_beroende_av_klimat*VLOOKUP($A230,Leveranser_per_nät,'Leveranser per nät'!P$1,FALSE)/VLOOKUP($B230,Korrigeringsfaktor_GD,'Korrigeringsfaktor GD'!P$1,FALSE),
"")</f>
        <v>0</v>
      </c>
      <c r="Q230" s="18">
        <f>IFERROR(
                  Andel_oberoende_av_klimat*VLOOKUP($A230,Leveranser_per_nät,'Leveranser per nät'!Q$1,FALSE)
               +Andel_beroende_av_klimat*VLOOKUP($A230,Leveranser_per_nät,'Leveranser per nät'!Q$1,FALSE)/VLOOKUP($B230,Korrigeringsfaktor_GD,'Korrigeringsfaktor GD'!Q$1,FALSE),
"")</f>
        <v>7.1786956521739143</v>
      </c>
      <c r="R230" s="18">
        <f>IFERROR(
                  Andel_oberoende_av_klimat*VLOOKUP($A230,Leveranser_per_nät,'Leveranser per nät'!R$1,FALSE)
               +Andel_beroende_av_klimat*VLOOKUP($A230,Leveranser_per_nät,'Leveranser per nät'!R$1,FALSE)/VLOOKUP($B230,Korrigeringsfaktor_GD,'Korrigeringsfaktor GD'!R$1,FALSE),
"")</f>
        <v>7.4846153846153847</v>
      </c>
      <c r="S230" s="18">
        <f>IFERROR(
                  Andel_oberoende_av_klimat*VLOOKUP($A230,Leveranser_per_nät,'Leveranser per nät'!S$1,FALSE)
               +Andel_beroende_av_klimat*VLOOKUP($A230,Leveranser_per_nät,'Leveranser per nät'!S$1,FALSE)/VLOOKUP($B230,Korrigeringsfaktor_GD,'Korrigeringsfaktor GD'!S$1,FALSE),
"")</f>
        <v>8.4819607843137241</v>
      </c>
      <c r="T230" s="18">
        <f>IFERROR(
                  Andel_oberoende_av_klimat*VLOOKUP($A230,Leveranser_per_nät,'Leveranser per nät'!T$1,FALSE)
               +Andel_beroende_av_klimat*VLOOKUP($A230,Leveranser_per_nät,'Leveranser per nät'!T$1,FALSE)/VLOOKUP($B230,Korrigeringsfaktor_GD,'Korrigeringsfaktor GD'!T$1,FALSE),
"")</f>
        <v>7.5832424242424246</v>
      </c>
      <c r="U230" s="18">
        <f>IFERROR(
                  Andel_oberoende_av_klimat*VLOOKUP($A230,Leveranser_per_nät,'Leveranser per nät'!U$1,FALSE)
               +Andel_beroende_av_klimat*VLOOKUP($A230,Leveranser_per_nät,'Leveranser per nät'!U$1,FALSE)/VLOOKUP($B230,Korrigeringsfaktor_GD,'Korrigeringsfaktor GD'!U$1,FALSE),
"")</f>
        <v>7.5276470588235291</v>
      </c>
      <c r="V230" s="18">
        <f>IFERROR(
                  Andel_oberoende_av_klimat*VLOOKUP($A230,Leveranser_per_nät,'Leveranser per nät'!V$1,FALSE)
               +Andel_beroende_av_klimat*VLOOKUP($A230,Leveranser_per_nät,'Leveranser per nät'!V$1,FALSE)/VLOOKUP($B230,Korrigeringsfaktor_GD,'Korrigeringsfaktor GD'!V$1,FALSE),
"")</f>
        <v>6.7899999999999991</v>
      </c>
      <c r="W230" s="18">
        <f>IFERROR(
                  Andel_oberoende_av_klimat*VLOOKUP($A230,Leveranser_per_nät,'Leveranser per nät'!W$1,FALSE)
               +Andel_beroende_av_klimat*VLOOKUP($A230,Leveranser_per_nät,'Leveranser per nät'!W$1,FALSE)/VLOOKUP($B230,Korrigeringsfaktor_GD,'Korrigeringsfaktor GD'!W$1,FALSE),
"")</f>
        <v>7.2082978723404265</v>
      </c>
      <c r="X230" s="18">
        <f>IFERROR(
                  Andel_oberoende_av_klimat*VLOOKUP($A230,Leveranser_per_nät,'Leveranser per nät'!X$1,FALSE)
               +Andel_beroende_av_klimat*VLOOKUP($A230,Leveranser_per_nät,'Leveranser per nät'!X$1,FALSE)/VLOOKUP($B230,Korrigeringsfaktor_GD,'Korrigeringsfaktor GD'!X$1,FALSE),
"")</f>
        <v>7.2635483870967743</v>
      </c>
      <c r="Y230" s="18">
        <f>IFERROR(
                  Andel_oberoende_av_klimat*VLOOKUP($A230,Leveranser_per_nät,'Leveranser per nät'!Y$1,FALSE)
               +Andel_beroende_av_klimat*VLOOKUP($A230,Leveranser_per_nät,'Leveranser per nät'!Y$1,FALSE)/VLOOKUP($B230,Korrigeringsfaktor_GD,'Korrigeringsfaktor GD'!Y$1,FALSE),
"")</f>
        <v>7.5444444444444443</v>
      </c>
      <c r="Z230" s="18">
        <f>IFERROR(
                  Andel_oberoende_av_klimat*VLOOKUP($A230,Leveranser_per_nät,'Leveranser per nät'!Z$1,FALSE)
               +Andel_beroende_av_klimat*VLOOKUP($A230,Leveranser_per_nät,'Leveranser per nät'!Z$1,FALSE)/VLOOKUP($B230,Korrigeringsfaktor_GD,'Korrigeringsfaktor GD'!Z$1,FALSE),
"")</f>
        <v>6.3808333333333334</v>
      </c>
      <c r="AA230" s="18">
        <f>IFERROR(
                  Andel_oberoende_av_klimat*VLOOKUP($A230,Leveranser_per_nät,'Leveranser per nät'!AA$1,FALSE)
               +Andel_beroende_av_klimat*VLOOKUP($A230,Leveranser_per_nät,'Leveranser per nät'!AA$1,FALSE)/VLOOKUP($B230,Korrigeringsfaktor_GD,'Korrigeringsfaktor GD'!AA$1,FALSE),
"")</f>
        <v>6.3485512367491168</v>
      </c>
      <c r="AB230" s="18">
        <f>IFERROR(
                  Andel_oberoende_av_klimat*VLOOKUP($A230,Leveranser_per_nät,'Leveranser per nät'!AB$1,FALSE)
               +Andel_beroende_av_klimat*VLOOKUP($A230,Leveranser_per_nät,'Leveranser per nät'!AB$1,FALSE)/VLOOKUP($B230,Korrigeringsfaktor_GD,'Korrigeringsfaktor GD'!AB$1,FALSE),
"")</f>
        <v>6.6568768186226963</v>
      </c>
      <c r="AC230" s="18">
        <f>IFERROR(
                  Andel_oberoende_av_klimat*VLOOKUP($A230,Leveranser_per_nät,'Leveranser per nät'!AC$1,FALSE)
               +Andel_beroende_av_klimat*VLOOKUP($A230,Leveranser_per_nät,'Leveranser per nät'!AC$1,FALSE)/VLOOKUP($B230,Korrigeringsfaktor_GD,'Korrigeringsfaktor GD'!AC$1,FALSE),
"")</f>
        <v>6.4885401459854002</v>
      </c>
      <c r="AD230">
        <v>137.1</v>
      </c>
    </row>
    <row r="231" spans="1:30" x14ac:dyDescent="0.25">
      <c r="A231" t="s">
        <v>403</v>
      </c>
      <c r="B231" t="s">
        <v>420</v>
      </c>
      <c r="C231" s="18">
        <f>IFERROR(
                  Andel_oberoende_av_klimat*VLOOKUP($A231,Leveranser_per_nät,'Leveranser per nät'!C$1,FALSE)
               +Andel_beroende_av_klimat*VLOOKUP($A231,Leveranser_per_nät,'Leveranser per nät'!C$1,FALSE)/VLOOKUP($B231,Korrigeringsfaktor_GD,'Korrigeringsfaktor GD'!C$1,FALSE),
"")</f>
        <v>0</v>
      </c>
      <c r="D231" s="18">
        <f>IFERROR(
                  Andel_oberoende_av_klimat*VLOOKUP($A231,Leveranser_per_nät,'Leveranser per nät'!D$1,FALSE)
               +Andel_beroende_av_klimat*VLOOKUP($A231,Leveranser_per_nät,'Leveranser per nät'!D$1,FALSE)/VLOOKUP($B231,Korrigeringsfaktor_GD,'Korrigeringsfaktor GD'!D$1,FALSE),
"")</f>
        <v>0</v>
      </c>
      <c r="E231" s="18">
        <f>IFERROR(
                  Andel_oberoende_av_klimat*VLOOKUP($A231,Leveranser_per_nät,'Leveranser per nät'!E$1,FALSE)
               +Andel_beroende_av_klimat*VLOOKUP($A231,Leveranser_per_nät,'Leveranser per nät'!E$1,FALSE)/VLOOKUP($B231,Korrigeringsfaktor_GD,'Korrigeringsfaktor GD'!E$1,FALSE),
"")</f>
        <v>0</v>
      </c>
      <c r="F231" s="18">
        <f>IFERROR(
                  Andel_oberoende_av_klimat*VLOOKUP($A231,Leveranser_per_nät,'Leveranser per nät'!F$1,FALSE)
               +Andel_beroende_av_klimat*VLOOKUP($A231,Leveranser_per_nät,'Leveranser per nät'!F$1,FALSE)/VLOOKUP($B231,Korrigeringsfaktor_GD,'Korrigeringsfaktor GD'!F$1,FALSE),
"")</f>
        <v>0</v>
      </c>
      <c r="G231" s="18">
        <f>IFERROR(
                  Andel_oberoende_av_klimat*VLOOKUP($A231,Leveranser_per_nät,'Leveranser per nät'!G$1,FALSE)
               +Andel_beroende_av_klimat*VLOOKUP($A231,Leveranser_per_nät,'Leveranser per nät'!G$1,FALSE)/VLOOKUP($B231,Korrigeringsfaktor_GD,'Korrigeringsfaktor GD'!G$1,FALSE),
"")</f>
        <v>0</v>
      </c>
      <c r="H231" s="18">
        <f>IFERROR(
                  Andel_oberoende_av_klimat*VLOOKUP($A231,Leveranser_per_nät,'Leveranser per nät'!H$1,FALSE)
               +Andel_beroende_av_klimat*VLOOKUP($A231,Leveranser_per_nät,'Leveranser per nät'!H$1,FALSE)/VLOOKUP($B231,Korrigeringsfaktor_GD,'Korrigeringsfaktor GD'!H$1,FALSE),
"")</f>
        <v>0</v>
      </c>
      <c r="I231" s="18">
        <f>IFERROR(
                  Andel_oberoende_av_klimat*VLOOKUP($A231,Leveranser_per_nät,'Leveranser per nät'!I$1,FALSE)
               +Andel_beroende_av_klimat*VLOOKUP($A231,Leveranser_per_nät,'Leveranser per nät'!I$1,FALSE)/VLOOKUP($B231,Korrigeringsfaktor_GD,'Korrigeringsfaktor GD'!I$1,FALSE),
"")</f>
        <v>0</v>
      </c>
      <c r="J231" s="18">
        <f>IFERROR(
                  Andel_oberoende_av_klimat*VLOOKUP($A231,Leveranser_per_nät,'Leveranser per nät'!J$1,FALSE)
               +Andel_beroende_av_klimat*VLOOKUP($A231,Leveranser_per_nät,'Leveranser per nät'!J$1,FALSE)/VLOOKUP($B231,Korrigeringsfaktor_GD,'Korrigeringsfaktor GD'!J$1,FALSE),
"")</f>
        <v>0</v>
      </c>
      <c r="K231" s="18">
        <f>IFERROR(
                  Andel_oberoende_av_klimat*VLOOKUP($A231,Leveranser_per_nät,'Leveranser per nät'!K$1,FALSE)
               +Andel_beroende_av_klimat*VLOOKUP($A231,Leveranser_per_nät,'Leveranser per nät'!K$1,FALSE)/VLOOKUP($B231,Korrigeringsfaktor_GD,'Korrigeringsfaktor GD'!K$1,FALSE),
"")</f>
        <v>0</v>
      </c>
      <c r="L231" s="18">
        <f>IFERROR(
                  Andel_oberoende_av_klimat*VLOOKUP($A231,Leveranser_per_nät,'Leveranser per nät'!L$1,FALSE)
               +Andel_beroende_av_klimat*VLOOKUP($A231,Leveranser_per_nät,'Leveranser per nät'!L$1,FALSE)/VLOOKUP($B231,Korrigeringsfaktor_GD,'Korrigeringsfaktor GD'!L$1,FALSE),
"")</f>
        <v>5.8202473293341015</v>
      </c>
      <c r="M231" s="18">
        <f>IFERROR(
                  Andel_oberoende_av_klimat*VLOOKUP($A231,Leveranser_per_nät,'Leveranser per nät'!M$1,FALSE)
               +Andel_beroende_av_klimat*VLOOKUP($A231,Leveranser_per_nät,'Leveranser per nät'!M$1,FALSE)/VLOOKUP($B231,Korrigeringsfaktor_GD,'Korrigeringsfaktor GD'!M$1,FALSE),
"")</f>
        <v>10.00685376344086</v>
      </c>
      <c r="N231" s="18">
        <f>IFERROR(
                  Andel_oberoende_av_klimat*VLOOKUP($A231,Leveranser_per_nät,'Leveranser per nät'!N$1,FALSE)
               +Andel_beroende_av_klimat*VLOOKUP($A231,Leveranser_per_nät,'Leveranser per nät'!N$1,FALSE)/VLOOKUP($B231,Korrigeringsfaktor_GD,'Korrigeringsfaktor GD'!N$1,FALSE),
"")</f>
        <v>10.078260869565216</v>
      </c>
      <c r="O231" s="18">
        <f>IFERROR(
                  Andel_oberoende_av_klimat*VLOOKUP($A231,Leveranser_per_nät,'Leveranser per nät'!O$1,FALSE)
               +Andel_beroende_av_klimat*VLOOKUP($A231,Leveranser_per_nät,'Leveranser per nät'!O$1,FALSE)/VLOOKUP($B231,Korrigeringsfaktor_GD,'Korrigeringsfaktor GD'!O$1,FALSE),
"")</f>
        <v>0</v>
      </c>
      <c r="P231" s="18">
        <f>IFERROR(
                  Andel_oberoende_av_klimat*VLOOKUP($A231,Leveranser_per_nät,'Leveranser per nät'!P$1,FALSE)
               +Andel_beroende_av_klimat*VLOOKUP($A231,Leveranser_per_nät,'Leveranser per nät'!P$1,FALSE)/VLOOKUP($B231,Korrigeringsfaktor_GD,'Korrigeringsfaktor GD'!P$1,FALSE),
"")</f>
        <v>0</v>
      </c>
      <c r="Q231" s="18">
        <f>IFERROR(
                  Andel_oberoende_av_klimat*VLOOKUP($A231,Leveranser_per_nät,'Leveranser per nät'!Q$1,FALSE)
               +Andel_beroende_av_klimat*VLOOKUP($A231,Leveranser_per_nät,'Leveranser per nät'!Q$1,FALSE)/VLOOKUP($B231,Korrigeringsfaktor_GD,'Korrigeringsfaktor GD'!Q$1,FALSE),
"")</f>
        <v>0</v>
      </c>
      <c r="R231" s="18">
        <f>IFERROR(
                  Andel_oberoende_av_klimat*VLOOKUP($A231,Leveranser_per_nät,'Leveranser per nät'!R$1,FALSE)
               +Andel_beroende_av_klimat*VLOOKUP($A231,Leveranser_per_nät,'Leveranser per nät'!R$1,FALSE)/VLOOKUP($B231,Korrigeringsfaktor_GD,'Korrigeringsfaktor GD'!R$1,FALSE),
"")</f>
        <v>0</v>
      </c>
      <c r="S231" s="18" t="str">
        <f>IFERROR(
                  Andel_oberoende_av_klimat*VLOOKUP($A231,Leveranser_per_nät,'Leveranser per nät'!S$1,FALSE)
               +Andel_beroende_av_klimat*VLOOKUP($A231,Leveranser_per_nät,'Leveranser per nät'!S$1,FALSE)/VLOOKUP($B231,Korrigeringsfaktor_GD,'Korrigeringsfaktor GD'!S$1,FALSE),
"")</f>
        <v/>
      </c>
      <c r="T231" s="18" t="str">
        <f>IFERROR(
                  Andel_oberoende_av_klimat*VLOOKUP($A231,Leveranser_per_nät,'Leveranser per nät'!T$1,FALSE)
               +Andel_beroende_av_klimat*VLOOKUP($A231,Leveranser_per_nät,'Leveranser per nät'!T$1,FALSE)/VLOOKUP($B231,Korrigeringsfaktor_GD,'Korrigeringsfaktor GD'!T$1,FALSE),
"")</f>
        <v/>
      </c>
      <c r="U231" s="18" t="str">
        <f>IFERROR(
                  Andel_oberoende_av_klimat*VLOOKUP($A231,Leveranser_per_nät,'Leveranser per nät'!U$1,FALSE)
               +Andel_beroende_av_klimat*VLOOKUP($A231,Leveranser_per_nät,'Leveranser per nät'!U$1,FALSE)/VLOOKUP($B231,Korrigeringsfaktor_GD,'Korrigeringsfaktor GD'!U$1,FALSE),
"")</f>
        <v/>
      </c>
      <c r="V231" s="18" t="str">
        <f>IFERROR(
                  Andel_oberoende_av_klimat*VLOOKUP($A231,Leveranser_per_nät,'Leveranser per nät'!V$1,FALSE)
               +Andel_beroende_av_klimat*VLOOKUP($A231,Leveranser_per_nät,'Leveranser per nät'!V$1,FALSE)/VLOOKUP($B231,Korrigeringsfaktor_GD,'Korrigeringsfaktor GD'!V$1,FALSE),
"")</f>
        <v/>
      </c>
      <c r="W231" s="18" t="str">
        <f>IFERROR(
                  Andel_oberoende_av_klimat*VLOOKUP($A231,Leveranser_per_nät,'Leveranser per nät'!W$1,FALSE)
               +Andel_beroende_av_klimat*VLOOKUP($A231,Leveranser_per_nät,'Leveranser per nät'!W$1,FALSE)/VLOOKUP($B231,Korrigeringsfaktor_GD,'Korrigeringsfaktor GD'!W$1,FALSE),
"")</f>
        <v/>
      </c>
      <c r="X231" s="18" t="str">
        <f>IFERROR(
                  Andel_oberoende_av_klimat*VLOOKUP($A231,Leveranser_per_nät,'Leveranser per nät'!X$1,FALSE)
               +Andel_beroende_av_klimat*VLOOKUP($A231,Leveranser_per_nät,'Leveranser per nät'!X$1,FALSE)/VLOOKUP($B231,Korrigeringsfaktor_GD,'Korrigeringsfaktor GD'!X$1,FALSE),
"")</f>
        <v/>
      </c>
      <c r="Y231" s="18" t="str">
        <f>IFERROR(
                  Andel_oberoende_av_klimat*VLOOKUP($A231,Leveranser_per_nät,'Leveranser per nät'!Y$1,FALSE)
               +Andel_beroende_av_klimat*VLOOKUP($A231,Leveranser_per_nät,'Leveranser per nät'!Y$1,FALSE)/VLOOKUP($B231,Korrigeringsfaktor_GD,'Korrigeringsfaktor GD'!Y$1,FALSE),
"")</f>
        <v/>
      </c>
      <c r="Z231" s="18">
        <f>IFERROR(
                  Andel_oberoende_av_klimat*VLOOKUP($A231,Leveranser_per_nät,'Leveranser per nät'!Z$1,FALSE)
               +Andel_beroende_av_klimat*VLOOKUP($A231,Leveranser_per_nät,'Leveranser per nät'!Z$1,FALSE)/VLOOKUP($B231,Korrigeringsfaktor_GD,'Korrigeringsfaktor GD'!Z$1,FALSE),
"")</f>
        <v>0</v>
      </c>
      <c r="AA231" s="18" t="str">
        <f>IFERROR(
                  Andel_oberoende_av_klimat*VLOOKUP($A231,Leveranser_per_nät,'Leveranser per nät'!AA$1,FALSE)
               +Andel_beroende_av_klimat*VLOOKUP($A231,Leveranser_per_nät,'Leveranser per nät'!AA$1,FALSE)/VLOOKUP($B231,Korrigeringsfaktor_GD,'Korrigeringsfaktor GD'!AA$1,FALSE),
"")</f>
        <v/>
      </c>
      <c r="AB231" s="18">
        <f>IFERROR(
                  Andel_oberoende_av_klimat*VLOOKUP($A231,Leveranser_per_nät,'Leveranser per nät'!AB$1,FALSE)
               +Andel_beroende_av_klimat*VLOOKUP($A231,Leveranser_per_nät,'Leveranser per nät'!AB$1,FALSE)/VLOOKUP($B231,Korrigeringsfaktor_GD,'Korrigeringsfaktor GD'!AB$1,FALSE),
"")</f>
        <v>0</v>
      </c>
      <c r="AC231" s="18">
        <f>IFERROR(
                  Andel_oberoende_av_klimat*VLOOKUP($A231,Leveranser_per_nät,'Leveranser per nät'!AC$1,FALSE)
               +Andel_beroende_av_klimat*VLOOKUP($A231,Leveranser_per_nät,'Leveranser per nät'!AC$1,FALSE)/VLOOKUP($B231,Korrigeringsfaktor_GD,'Korrigeringsfaktor GD'!AC$1,FALSE),
"")</f>
        <v>0</v>
      </c>
      <c r="AD231">
        <v>7723.8890000000001</v>
      </c>
    </row>
    <row r="232" spans="1:30" x14ac:dyDescent="0.25">
      <c r="A232" t="s">
        <v>188</v>
      </c>
      <c r="B232" t="s">
        <v>256</v>
      </c>
      <c r="C232" s="18">
        <f>IFERROR(
                  Andel_oberoende_av_klimat*VLOOKUP($A232,Leveranser_per_nät,'Leveranser per nät'!C$1,FALSE)
               +Andel_beroende_av_klimat*VLOOKUP($A232,Leveranser_per_nät,'Leveranser per nät'!C$1,FALSE)/VLOOKUP($B232,Korrigeringsfaktor_GD,'Korrigeringsfaktor GD'!C$1,FALSE),
"")</f>
        <v>197.02499999999998</v>
      </c>
      <c r="D232" s="18">
        <f>IFERROR(
                  Andel_oberoende_av_klimat*VLOOKUP($A232,Leveranser_per_nät,'Leveranser per nät'!D$1,FALSE)
               +Andel_beroende_av_klimat*VLOOKUP($A232,Leveranser_per_nät,'Leveranser per nät'!D$1,FALSE)/VLOOKUP($B232,Korrigeringsfaktor_GD,'Korrigeringsfaktor GD'!D$1,FALSE),
"")</f>
        <v>197.44628282828282</v>
      </c>
      <c r="E232" s="18">
        <f>IFERROR(
                  Andel_oberoende_av_klimat*VLOOKUP($A232,Leveranser_per_nät,'Leveranser per nät'!E$1,FALSE)
               +Andel_beroende_av_klimat*VLOOKUP($A232,Leveranser_per_nät,'Leveranser per nät'!E$1,FALSE)/VLOOKUP($B232,Korrigeringsfaktor_GD,'Korrigeringsfaktor GD'!E$1,FALSE),
"")</f>
        <v>211.52376237623761</v>
      </c>
      <c r="F232" s="18">
        <f>IFERROR(
                  Andel_oberoende_av_klimat*VLOOKUP($A232,Leveranser_per_nät,'Leveranser per nät'!F$1,FALSE)
               +Andel_beroende_av_klimat*VLOOKUP($A232,Leveranser_per_nät,'Leveranser per nät'!F$1,FALSE)/VLOOKUP($B232,Korrigeringsfaktor_GD,'Korrigeringsfaktor GD'!F$1,FALSE),
"")</f>
        <v>218.77368421052631</v>
      </c>
      <c r="G232" s="18">
        <f>IFERROR(
                  Andel_oberoende_av_klimat*VLOOKUP($A232,Leveranser_per_nät,'Leveranser per nät'!G$1,FALSE)
               +Andel_beroende_av_klimat*VLOOKUP($A232,Leveranser_per_nät,'Leveranser per nät'!G$1,FALSE)/VLOOKUP($B232,Korrigeringsfaktor_GD,'Korrigeringsfaktor GD'!G$1,FALSE),
"")</f>
        <v>222.02413793103449</v>
      </c>
      <c r="H232" s="18">
        <f>IFERROR(
                  Andel_oberoende_av_klimat*VLOOKUP($A232,Leveranser_per_nät,'Leveranser per nät'!H$1,FALSE)
               +Andel_beroende_av_klimat*VLOOKUP($A232,Leveranser_per_nät,'Leveranser per nät'!H$1,FALSE)/VLOOKUP($B232,Korrigeringsfaktor_GD,'Korrigeringsfaktor GD'!H$1,FALSE),
"")</f>
        <v>242</v>
      </c>
      <c r="I232" s="18">
        <f>IFERROR(
                  Andel_oberoende_av_klimat*VLOOKUP($A232,Leveranser_per_nät,'Leveranser per nät'!I$1,FALSE)
               +Andel_beroende_av_klimat*VLOOKUP($A232,Leveranser_per_nät,'Leveranser per nät'!I$1,FALSE)/VLOOKUP($B232,Korrigeringsfaktor_GD,'Korrigeringsfaktor GD'!I$1,FALSE),
"")</f>
        <v>246.54468085106384</v>
      </c>
      <c r="J232" s="18">
        <f>IFERROR(
                  Andel_oberoende_av_klimat*VLOOKUP($A232,Leveranser_per_nät,'Leveranser per nät'!J$1,FALSE)
               +Andel_beroende_av_klimat*VLOOKUP($A232,Leveranser_per_nät,'Leveranser per nät'!J$1,FALSE)/VLOOKUP($B232,Korrigeringsfaktor_GD,'Korrigeringsfaktor GD'!J$1,FALSE),
"")</f>
        <v>258.64285714285717</v>
      </c>
      <c r="K232" s="18">
        <f>IFERROR(
                  Andel_oberoende_av_klimat*VLOOKUP($A232,Leveranser_per_nät,'Leveranser per nät'!K$1,FALSE)
               +Andel_beroende_av_klimat*VLOOKUP($A232,Leveranser_per_nät,'Leveranser per nät'!K$1,FALSE)/VLOOKUP($B232,Korrigeringsfaktor_GD,'Korrigeringsfaktor GD'!K$1,FALSE),
"")</f>
        <v>255.6568</v>
      </c>
      <c r="L232" s="18">
        <f>IFERROR(
                  Andel_oberoende_av_klimat*VLOOKUP($A232,Leveranser_per_nät,'Leveranser per nät'!L$1,FALSE)
               +Andel_beroende_av_klimat*VLOOKUP($A232,Leveranser_per_nät,'Leveranser per nät'!L$1,FALSE)/VLOOKUP($B232,Korrigeringsfaktor_GD,'Korrigeringsfaktor GD'!L$1,FALSE),
"")</f>
        <v>260.04000000000002</v>
      </c>
      <c r="M232" s="18">
        <f>IFERROR(
                  Andel_oberoende_av_klimat*VLOOKUP($A232,Leveranser_per_nät,'Leveranser per nät'!M$1,FALSE)
               +Andel_beroende_av_klimat*VLOOKUP($A232,Leveranser_per_nät,'Leveranser per nät'!M$1,FALSE)/VLOOKUP($B232,Korrigeringsfaktor_GD,'Korrigeringsfaktor GD'!M$1,FALSE),
"")</f>
        <v>331.07464086021508</v>
      </c>
      <c r="N232" s="18">
        <f>IFERROR(
                  Andel_oberoende_av_klimat*VLOOKUP($A232,Leveranser_per_nät,'Leveranser per nät'!N$1,FALSE)
               +Andel_beroende_av_klimat*VLOOKUP($A232,Leveranser_per_nät,'Leveranser per nät'!N$1,FALSE)/VLOOKUP($B232,Korrigeringsfaktor_GD,'Korrigeringsfaktor GD'!N$1,FALSE),
"")</f>
        <v>277.34883846153843</v>
      </c>
      <c r="O232" s="18">
        <f>IFERROR(
                  Andel_oberoende_av_klimat*VLOOKUP($A232,Leveranser_per_nät,'Leveranser per nät'!O$1,FALSE)
               +Andel_beroende_av_klimat*VLOOKUP($A232,Leveranser_per_nät,'Leveranser per nät'!O$1,FALSE)/VLOOKUP($B232,Korrigeringsfaktor_GD,'Korrigeringsfaktor GD'!O$1,FALSE),
"")</f>
        <v>283.83816666666667</v>
      </c>
      <c r="P232" s="18">
        <f>IFERROR(
                  Andel_oberoende_av_klimat*VLOOKUP($A232,Leveranser_per_nät,'Leveranser per nät'!P$1,FALSE)
               +Andel_beroende_av_klimat*VLOOKUP($A232,Leveranser_per_nät,'Leveranser per nät'!P$1,FALSE)/VLOOKUP($B232,Korrigeringsfaktor_GD,'Korrigeringsfaktor GD'!P$1,FALSE),
"")</f>
        <v>293.26752857142856</v>
      </c>
      <c r="Q232" s="18">
        <f>IFERROR(
                  Andel_oberoende_av_klimat*VLOOKUP($A232,Leveranser_per_nät,'Leveranser per nät'!Q$1,FALSE)
               +Andel_beroende_av_klimat*VLOOKUP($A232,Leveranser_per_nät,'Leveranser per nät'!Q$1,FALSE)/VLOOKUP($B232,Korrigeringsfaktor_GD,'Korrigeringsfaktor GD'!Q$1,FALSE),
"")</f>
        <v>301.74054915254243</v>
      </c>
      <c r="R232" s="18">
        <f>IFERROR(
                  Andel_oberoende_av_klimat*VLOOKUP($A232,Leveranser_per_nät,'Leveranser per nät'!R$1,FALSE)
               +Andel_beroende_av_klimat*VLOOKUP($A232,Leveranser_per_nät,'Leveranser per nät'!R$1,FALSE)/VLOOKUP($B232,Korrigeringsfaktor_GD,'Korrigeringsfaktor GD'!R$1,FALSE),
"")</f>
        <v>309.59790769230767</v>
      </c>
      <c r="S232" s="18">
        <f>IFERROR(
                  Andel_oberoende_av_klimat*VLOOKUP($A232,Leveranser_per_nät,'Leveranser per nät'!S$1,FALSE)
               +Andel_beroende_av_klimat*VLOOKUP($A232,Leveranser_per_nät,'Leveranser per nät'!S$1,FALSE)/VLOOKUP($B232,Korrigeringsfaktor_GD,'Korrigeringsfaktor GD'!S$1,FALSE),
"")</f>
        <v>298.91386138613859</v>
      </c>
      <c r="T232" s="18">
        <f>IFERROR(
                  Andel_oberoende_av_klimat*VLOOKUP($A232,Leveranser_per_nät,'Leveranser per nät'!T$1,FALSE)
               +Andel_beroende_av_klimat*VLOOKUP($A232,Leveranser_per_nät,'Leveranser per nät'!T$1,FALSE)/VLOOKUP($B232,Korrigeringsfaktor_GD,'Korrigeringsfaktor GD'!T$1,FALSE),
"")</f>
        <v>299.11894285714288</v>
      </c>
      <c r="U232" s="18">
        <f>IFERROR(
                  Andel_oberoende_av_klimat*VLOOKUP($A232,Leveranser_per_nät,'Leveranser per nät'!U$1,FALSE)
               +Andel_beroende_av_klimat*VLOOKUP($A232,Leveranser_per_nät,'Leveranser per nät'!U$1,FALSE)/VLOOKUP($B232,Korrigeringsfaktor_GD,'Korrigeringsfaktor GD'!U$1,FALSE),
"")</f>
        <v>311.15023529411764</v>
      </c>
      <c r="V232" s="18">
        <f>IFERROR(
                  Andel_oberoende_av_klimat*VLOOKUP($A232,Leveranser_per_nät,'Leveranser per nät'!V$1,FALSE)
               +Andel_beroende_av_klimat*VLOOKUP($A232,Leveranser_per_nät,'Leveranser per nät'!V$1,FALSE)/VLOOKUP($B232,Korrigeringsfaktor_GD,'Korrigeringsfaktor GD'!V$1,FALSE),
"")</f>
        <v>310.73295505617978</v>
      </c>
      <c r="W232" s="18">
        <f>IFERROR(
                  Andel_oberoende_av_klimat*VLOOKUP($A232,Leveranser_per_nät,'Leveranser per nät'!W$1,FALSE)
               +Andel_beroende_av_klimat*VLOOKUP($A232,Leveranser_per_nät,'Leveranser per nät'!W$1,FALSE)/VLOOKUP($B232,Korrigeringsfaktor_GD,'Korrigeringsfaktor GD'!W$1,FALSE),
"")</f>
        <v>310.83120638297873</v>
      </c>
      <c r="X232" s="18">
        <f>IFERROR(
                  Andel_oberoende_av_klimat*VLOOKUP($A232,Leveranser_per_nät,'Leveranser per nät'!X$1,FALSE)
               +Andel_beroende_av_klimat*VLOOKUP($A232,Leveranser_per_nät,'Leveranser per nät'!X$1,FALSE)/VLOOKUP($B232,Korrigeringsfaktor_GD,'Korrigeringsfaktor GD'!X$1,FALSE),
"")</f>
        <v>318.46667826086957</v>
      </c>
      <c r="Y232" s="18">
        <f>IFERROR(
                  Andel_oberoende_av_klimat*VLOOKUP($A232,Leveranser_per_nät,'Leveranser per nät'!Y$1,FALSE)
               +Andel_beroende_av_klimat*VLOOKUP($A232,Leveranser_per_nät,'Leveranser per nät'!Y$1,FALSE)/VLOOKUP($B232,Korrigeringsfaktor_GD,'Korrigeringsfaktor GD'!Y$1,FALSE),
"")</f>
        <v>316.43670769230766</v>
      </c>
      <c r="Z232" s="18">
        <f>IFERROR(
                  Andel_oberoende_av_klimat*VLOOKUP($A232,Leveranser_per_nät,'Leveranser per nät'!Z$1,FALSE)
               +Andel_beroende_av_klimat*VLOOKUP($A232,Leveranser_per_nät,'Leveranser per nät'!Z$1,FALSE)/VLOOKUP($B232,Korrigeringsfaktor_GD,'Korrigeringsfaktor GD'!Z$1,FALSE),
"")</f>
        <v>296.76985714285718</v>
      </c>
      <c r="AA232" s="18">
        <f>IFERROR(
                  Andel_oberoende_av_klimat*VLOOKUP($A232,Leveranser_per_nät,'Leveranser per nät'!AA$1,FALSE)
               +Andel_beroende_av_klimat*VLOOKUP($A232,Leveranser_per_nät,'Leveranser per nät'!AA$1,FALSE)/VLOOKUP($B232,Korrigeringsfaktor_GD,'Korrigeringsfaktor GD'!AA$1,FALSE),
"")</f>
        <v>210.84349475364962</v>
      </c>
      <c r="AB232" s="18">
        <f>IFERROR(
                  Andel_oberoende_av_klimat*VLOOKUP($A232,Leveranser_per_nät,'Leveranser per nät'!AB$1,FALSE)
               +Andel_beroende_av_klimat*VLOOKUP($A232,Leveranser_per_nät,'Leveranser per nät'!AB$1,FALSE)/VLOOKUP($B232,Korrigeringsfaktor_GD,'Korrigeringsfaktor GD'!AB$1,FALSE),
"")</f>
        <v>281.85752941176469</v>
      </c>
      <c r="AC232" s="18">
        <f>IFERROR(
                  Andel_oberoende_av_klimat*VLOOKUP($A232,Leveranser_per_nät,'Leveranser per nät'!AC$1,FALSE)
               +Andel_beroende_av_klimat*VLOOKUP($A232,Leveranser_per_nät,'Leveranser per nät'!AC$1,FALSE)/VLOOKUP($B232,Korrigeringsfaktor_GD,'Korrigeringsfaktor GD'!AC$1,FALSE),
"")</f>
        <v>280.20278074866309</v>
      </c>
      <c r="AD232">
        <v>87.4</v>
      </c>
    </row>
    <row r="233" spans="1:30" x14ac:dyDescent="0.25">
      <c r="A233" t="s">
        <v>189</v>
      </c>
      <c r="B233" t="s">
        <v>189</v>
      </c>
      <c r="C233" s="18">
        <f>IFERROR(
                  Andel_oberoende_av_klimat*VLOOKUP($A233,Leveranser_per_nät,'Leveranser per nät'!C$1,FALSE)
               +Andel_beroende_av_klimat*VLOOKUP($A233,Leveranser_per_nät,'Leveranser per nät'!C$1,FALSE)/VLOOKUP("Simrishamn",Korrigeringsfaktor_GD,'Korrigeringsfaktor GD'!C$1,FALSE),
"")</f>
        <v>10.802150000000001</v>
      </c>
      <c r="D233" s="18">
        <f>IFERROR(
                  Andel_oberoende_av_klimat*VLOOKUP($A233,Leveranser_per_nät,'Leveranser per nät'!D$1,FALSE)
               +Andel_beroende_av_klimat*VLOOKUP($A233,Leveranser_per_nät,'Leveranser per nät'!D$1,FALSE)/VLOOKUP("Simrishamn",Korrigeringsfaktor_GD,'Korrigeringsfaktor GD'!D$1,FALSE),
"")</f>
        <v>10.56</v>
      </c>
      <c r="E233" s="18">
        <f>IFERROR(
                  Andel_oberoende_av_klimat*VLOOKUP($A233,Leveranser_per_nät,'Leveranser per nät'!E$1,FALSE)
               +Andel_beroende_av_klimat*VLOOKUP($A233,Leveranser_per_nät,'Leveranser per nät'!E$1,FALSE)/VLOOKUP("Simrishamn",Korrigeringsfaktor_GD,'Korrigeringsfaktor GD'!E$1,FALSE),
"")</f>
        <v>10.52</v>
      </c>
      <c r="F233" s="18">
        <f>IFERROR(
                  Andel_oberoende_av_klimat*VLOOKUP($A233,Leveranser_per_nät,'Leveranser per nät'!F$1,FALSE)
               +Andel_beroende_av_klimat*VLOOKUP($A233,Leveranser_per_nät,'Leveranser per nät'!F$1,FALSE)/VLOOKUP("Simrishamn",Korrigeringsfaktor_GD,'Korrigeringsfaktor GD'!F$1,FALSE),
"")</f>
        <v>10.969148936170214</v>
      </c>
      <c r="G233" s="18">
        <f>IFERROR(
                  Andel_oberoende_av_klimat*VLOOKUP($A233,Leveranser_per_nät,'Leveranser per nät'!G$1,FALSE)
               +Andel_beroende_av_klimat*VLOOKUP($A233,Leveranser_per_nät,'Leveranser per nät'!G$1,FALSE)/VLOOKUP("Simrishamn",Korrigeringsfaktor_GD,'Korrigeringsfaktor GD'!G$1,FALSE),
"")</f>
        <v>11.045977011494253</v>
      </c>
      <c r="H233" s="18">
        <f>IFERROR(
                  Andel_oberoende_av_klimat*VLOOKUP($A233,Leveranser_per_nät,'Leveranser per nät'!H$1,FALSE)
               +Andel_beroende_av_klimat*VLOOKUP($A233,Leveranser_per_nät,'Leveranser per nät'!H$1,FALSE)/VLOOKUP("Simrishamn",Korrigeringsfaktor_GD,'Korrigeringsfaktor GD'!H$1,FALSE),
"")</f>
        <v>11.077777777777778</v>
      </c>
      <c r="I233" s="18">
        <f>IFERROR(
                  Andel_oberoende_av_klimat*VLOOKUP($A233,Leveranser_per_nät,'Leveranser per nät'!I$1,FALSE)
               +Andel_beroende_av_klimat*VLOOKUP($A233,Leveranser_per_nät,'Leveranser per nät'!I$1,FALSE)/VLOOKUP("Simrishamn",Korrigeringsfaktor_GD,'Korrigeringsfaktor GD'!I$1,FALSE),
"")</f>
        <v>11.491489361702127</v>
      </c>
      <c r="J233" s="18">
        <f>IFERROR(
                  Andel_oberoende_av_klimat*VLOOKUP($A233,Leveranser_per_nät,'Leveranser per nät'!J$1,FALSE)
               +Andel_beroende_av_klimat*VLOOKUP($A233,Leveranser_per_nät,'Leveranser per nät'!J$1,FALSE)/VLOOKUP("Simrishamn",Korrigeringsfaktor_GD,'Korrigeringsfaktor GD'!J$1,FALSE),
"")</f>
        <v>11.479685714285713</v>
      </c>
      <c r="K233" s="18">
        <f>IFERROR(
                  Andel_oberoende_av_klimat*VLOOKUP($A233,Leveranser_per_nät,'Leveranser per nät'!K$1,FALSE)
               +Andel_beroende_av_klimat*VLOOKUP($A233,Leveranser_per_nät,'Leveranser per nät'!K$1,FALSE)/VLOOKUP("Simrishamn",Korrigeringsfaktor_GD,'Korrigeringsfaktor GD'!K$1,FALSE),
"")</f>
        <v>12.2631</v>
      </c>
      <c r="L233" s="18">
        <f>IFERROR(
                  Andel_oberoende_av_klimat*VLOOKUP($A233,Leveranser_per_nät,'Leveranser per nät'!L$1,FALSE)
               +Andel_beroende_av_klimat*VLOOKUP($A233,Leveranser_per_nät,'Leveranser per nät'!L$1,FALSE)/VLOOKUP("Simrishamn",Korrigeringsfaktor_GD,'Korrigeringsfaktor GD'!L$1,FALSE),
"")</f>
        <v>12.601024742268041</v>
      </c>
      <c r="M233" s="18">
        <f>IFERROR(
                  Andel_oberoende_av_klimat*VLOOKUP($A233,Leveranser_per_nät,'Leveranser per nät'!M$1,FALSE)
               +Andel_beroende_av_klimat*VLOOKUP($A233,Leveranser_per_nät,'Leveranser per nät'!M$1,FALSE)/VLOOKUP("Simrishamn",Korrigeringsfaktor_GD,'Korrigeringsfaktor GD'!M$1,FALSE),
"")</f>
        <v>12.77958085106383</v>
      </c>
      <c r="N233" s="18">
        <f>IFERROR(
                  Andel_oberoende_av_klimat*VLOOKUP($A233,Leveranser_per_nät,'Leveranser per nät'!N$1,FALSE)
               +Andel_beroende_av_klimat*VLOOKUP($A233,Leveranser_per_nät,'Leveranser per nät'!N$1,FALSE)/VLOOKUP("Simrishamn",Korrigeringsfaktor_GD,'Korrigeringsfaktor GD'!N$1,FALSE),
"")</f>
        <v>12.877397752808989</v>
      </c>
      <c r="O233" s="18">
        <f>IFERROR(
                  Andel_oberoende_av_klimat*VLOOKUP($A233,Leveranser_per_nät,'Leveranser per nät'!O$1,FALSE)
               +Andel_beroende_av_klimat*VLOOKUP($A233,Leveranser_per_nät,'Leveranser per nät'!O$1,FALSE)/VLOOKUP("Simrishamn",Korrigeringsfaktor_GD,'Korrigeringsfaktor GD'!O$1,FALSE),
"")</f>
        <v>12.562307865168538</v>
      </c>
      <c r="P233" s="18">
        <f>IFERROR(
                  Andel_oberoende_av_klimat*VLOOKUP($A233,Leveranser_per_nät,'Leveranser per nät'!P$1,FALSE)
               +Andel_beroende_av_klimat*VLOOKUP($A233,Leveranser_per_nät,'Leveranser per nät'!P$1,FALSE)/VLOOKUP("Simrishamn",Korrigeringsfaktor_GD,'Korrigeringsfaktor GD'!P$1,FALSE),
"")</f>
        <v>12.427464884536082</v>
      </c>
      <c r="Q233" s="18">
        <f>IFERROR(
                  Andel_oberoende_av_klimat*VLOOKUP($A233,Leveranser_per_nät,'Leveranser per nät'!Q$1,FALSE)
               +Andel_beroende_av_klimat*VLOOKUP($A233,Leveranser_per_nät,'Leveranser per nät'!Q$1,FALSE)/VLOOKUP("Simrishamn",Korrigeringsfaktor_GD,'Korrigeringsfaktor GD'!Q$1,FALSE),
"")</f>
        <v>13.223143612280703</v>
      </c>
      <c r="R233" s="18">
        <f>IFERROR(
                  Andel_oberoende_av_klimat*VLOOKUP($A233,Leveranser_per_nät,'Leveranser per nät'!R$1,FALSE)
               +Andel_beroende_av_klimat*VLOOKUP($A233,Leveranser_per_nät,'Leveranser per nät'!R$1,FALSE)/VLOOKUP("Simrishamn",Korrigeringsfaktor_GD,'Korrigeringsfaktor GD'!R$1,FALSE),
"")</f>
        <v>11.995678457446809</v>
      </c>
      <c r="S233" s="18">
        <f>IFERROR(
                  Andel_oberoende_av_klimat*VLOOKUP($A233,Leveranser_per_nät,'Leveranser per nät'!S$1,FALSE)
               +Andel_beroende_av_klimat*VLOOKUP($A233,Leveranser_per_nät,'Leveranser per nät'!S$1,FALSE)/VLOOKUP("Simrishamn",Korrigeringsfaktor_GD,'Korrigeringsfaktor GD'!S$1,FALSE),
"")</f>
        <v>12.075722772277228</v>
      </c>
      <c r="T233" s="18">
        <f>IFERROR(
                  Andel_oberoende_av_klimat*VLOOKUP($A233,Leveranser_per_nät,'Leveranser per nät'!T$1,FALSE)
               +Andel_beroende_av_klimat*VLOOKUP($A233,Leveranser_per_nät,'Leveranser per nät'!T$1,FALSE)/VLOOKUP("Simrishamn",Korrigeringsfaktor_GD,'Korrigeringsfaktor GD'!T$1,FALSE),
"")</f>
        <v>12.272857142857143</v>
      </c>
      <c r="U233" s="18">
        <f>IFERROR(
                  Andel_oberoende_av_klimat*VLOOKUP($A233,Leveranser_per_nät,'Leveranser per nät'!U$1,FALSE)
               +Andel_beroende_av_klimat*VLOOKUP($A233,Leveranser_per_nät,'Leveranser per nät'!U$1,FALSE)/VLOOKUP("Simrishamn",Korrigeringsfaktor_GD,'Korrigeringsfaktor GD'!U$1,FALSE),
"")</f>
        <v>11.81219156626506</v>
      </c>
      <c r="V233" s="18">
        <f>IFERROR(
                  Andel_oberoende_av_klimat*VLOOKUP($A233,Leveranser_per_nät,'Leveranser per nät'!V$1,FALSE)
               +Andel_beroende_av_klimat*VLOOKUP($A233,Leveranser_per_nät,'Leveranser per nät'!V$1,FALSE)/VLOOKUP("Simrishamn",Korrigeringsfaktor_GD,'Korrigeringsfaktor GD'!V$1,FALSE),
"")</f>
        <v>11.35329090909091</v>
      </c>
      <c r="W233" s="18">
        <f>IFERROR(
                  Andel_oberoende_av_klimat*VLOOKUP($A233,Leveranser_per_nät,'Leveranser per nät'!W$1,FALSE)
               +Andel_beroende_av_klimat*VLOOKUP($A233,Leveranser_per_nät,'Leveranser per nät'!W$1,FALSE)/VLOOKUP("Simrishamn",Korrigeringsfaktor_GD,'Korrigeringsfaktor GD'!W$1,FALSE),
"")</f>
        <v>12.820166666666665</v>
      </c>
      <c r="X233" s="18">
        <f>IFERROR(
                  Andel_oberoende_av_klimat*VLOOKUP($A233,Leveranser_per_nät,'Leveranser per nät'!X$1,FALSE)
               +Andel_beroende_av_klimat*VLOOKUP($A233,Leveranser_per_nät,'Leveranser per nät'!X$1,FALSE)/VLOOKUP("Simrishamn",Korrigeringsfaktor_GD,'Korrigeringsfaktor GD'!X$1,FALSE),
"")</f>
        <v>12.624347826086957</v>
      </c>
      <c r="Y233" s="18">
        <f>IFERROR(
                  Andel_oberoende_av_klimat*VLOOKUP($A233,Leveranser_per_nät,'Leveranser per nät'!Y$1,FALSE)
               +Andel_beroende_av_klimat*VLOOKUP($A233,Leveranser_per_nät,'Leveranser per nät'!Y$1,FALSE)/VLOOKUP($B233,Korrigeringsfaktor_GD,'Korrigeringsfaktor GD'!Y$1,FALSE),
"")</f>
        <v>13.176130769230769</v>
      </c>
      <c r="Z233" s="18">
        <f>IFERROR(
                  Andel_oberoende_av_klimat*VLOOKUP($A233,Leveranser_per_nät,'Leveranser per nät'!Z$1,FALSE)
               +Andel_beroende_av_klimat*VLOOKUP($A233,Leveranser_per_nät,'Leveranser per nät'!Z$1,FALSE)/VLOOKUP($B233,Korrigeringsfaktor_GD,'Korrigeringsfaktor GD'!Z$1,FALSE),
"")</f>
        <v>11.93580202020202</v>
      </c>
      <c r="AA233" s="18">
        <f>IFERROR(
                  Andel_oberoende_av_klimat*VLOOKUP($A233,Leveranser_per_nät,'Leveranser per nät'!AA$1,FALSE)
               +Andel_beroende_av_klimat*VLOOKUP($A233,Leveranser_per_nät,'Leveranser per nät'!AA$1,FALSE)/VLOOKUP($B233,Korrigeringsfaktor_GD,'Korrigeringsfaktor GD'!AA$1,FALSE),
"")</f>
        <v>11.980272004011365</v>
      </c>
      <c r="AB233" s="18">
        <f>IFERROR(
                  Andel_oberoende_av_klimat*VLOOKUP($A233,Leveranser_per_nät,'Leveranser per nät'!AB$1,FALSE)
               +Andel_beroende_av_klimat*VLOOKUP($A233,Leveranser_per_nät,'Leveranser per nät'!AB$1,FALSE)/VLOOKUP($B233,Korrigeringsfaktor_GD,'Korrigeringsfaktor GD'!AB$1,FALSE),
"")</f>
        <v>12.636990291262135</v>
      </c>
      <c r="AC233" s="18">
        <f>IFERROR(
                  Andel_oberoende_av_klimat*VLOOKUP($A233,Leveranser_per_nät,'Leveranser per nät'!AC$1,FALSE)
               +Andel_beroende_av_klimat*VLOOKUP($A233,Leveranser_per_nät,'Leveranser per nät'!AC$1,FALSE)/VLOOKUP($B233,Korrigeringsfaktor_GD,'Korrigeringsfaktor GD'!AC$1,FALSE),
"")</f>
        <v>12.440180469583778</v>
      </c>
      <c r="AD233">
        <v>11.881</v>
      </c>
    </row>
    <row r="234" spans="1:30" x14ac:dyDescent="0.25">
      <c r="A234" t="s">
        <v>190</v>
      </c>
      <c r="B234" t="s">
        <v>190</v>
      </c>
      <c r="C234" s="18">
        <f>IFERROR(
                  Andel_oberoende_av_klimat*VLOOKUP($A234,Leveranser_per_nät,'Leveranser per nät'!C$1,FALSE)
               +Andel_beroende_av_klimat*VLOOKUP($A234,Leveranser_per_nät,'Leveranser per nät'!C$1,FALSE)/VLOOKUP($B234,Korrigeringsfaktor_GD,'Korrigeringsfaktor GD'!C$1,FALSE),
"")</f>
        <v>65.954128440366972</v>
      </c>
      <c r="D234" s="18">
        <f>IFERROR(
                  Andel_oberoende_av_klimat*VLOOKUP($A234,Leveranser_per_nät,'Leveranser per nät'!D$1,FALSE)
               +Andel_beroende_av_klimat*VLOOKUP($A234,Leveranser_per_nät,'Leveranser per nät'!D$1,FALSE)/VLOOKUP($B234,Korrigeringsfaktor_GD,'Korrigeringsfaktor GD'!D$1,FALSE),
"")</f>
        <v>63.597680412371133</v>
      </c>
      <c r="E234" s="18">
        <f>IFERROR(
                  Andel_oberoende_av_klimat*VLOOKUP($A234,Leveranser_per_nät,'Leveranser per nät'!E$1,FALSE)
               +Andel_beroende_av_klimat*VLOOKUP($A234,Leveranser_per_nät,'Leveranser per nät'!E$1,FALSE)/VLOOKUP($B234,Korrigeringsfaktor_GD,'Korrigeringsfaktor GD'!E$1,FALSE),
"")</f>
        <v>66.080392156862743</v>
      </c>
      <c r="F234" s="18">
        <f>IFERROR(
                  Andel_oberoende_av_klimat*VLOOKUP($A234,Leveranser_per_nät,'Leveranser per nät'!F$1,FALSE)
               +Andel_beroende_av_klimat*VLOOKUP($A234,Leveranser_per_nät,'Leveranser per nät'!F$1,FALSE)/VLOOKUP($B234,Korrigeringsfaktor_GD,'Korrigeringsfaktor GD'!F$1,FALSE),
"")</f>
        <v>69.47216494845361</v>
      </c>
      <c r="G234" s="18">
        <f>IFERROR(
                  Andel_oberoende_av_klimat*VLOOKUP($A234,Leveranser_per_nät,'Leveranser per nät'!G$1,FALSE)
               +Andel_beroende_av_klimat*VLOOKUP($A234,Leveranser_per_nät,'Leveranser per nät'!G$1,FALSE)/VLOOKUP($B234,Korrigeringsfaktor_GD,'Korrigeringsfaktor GD'!G$1,FALSE),
"")</f>
        <v>69.013636363636365</v>
      </c>
      <c r="H234" s="18">
        <f>IFERROR(
                  Andel_oberoende_av_klimat*VLOOKUP($A234,Leveranser_per_nät,'Leveranser per nät'!H$1,FALSE)
               +Andel_beroende_av_klimat*VLOOKUP($A234,Leveranser_per_nät,'Leveranser per nät'!H$1,FALSE)/VLOOKUP($B234,Korrigeringsfaktor_GD,'Korrigeringsfaktor GD'!H$1,FALSE),
"")</f>
        <v>71.500990099009897</v>
      </c>
      <c r="I234" s="18">
        <f>IFERROR(
                  Andel_oberoende_av_klimat*VLOOKUP($A234,Leveranser_per_nät,'Leveranser per nät'!I$1,FALSE)
               +Andel_beroende_av_klimat*VLOOKUP($A234,Leveranser_per_nät,'Leveranser per nät'!I$1,FALSE)/VLOOKUP($B234,Korrigeringsfaktor_GD,'Korrigeringsfaktor GD'!I$1,FALSE),
"")</f>
        <v>75.530303030303031</v>
      </c>
      <c r="J234" s="18">
        <f>IFERROR(
                  Andel_oberoende_av_klimat*VLOOKUP($A234,Leveranser_per_nät,'Leveranser per nät'!J$1,FALSE)
               +Andel_beroende_av_klimat*VLOOKUP($A234,Leveranser_per_nät,'Leveranser per nät'!J$1,FALSE)/VLOOKUP($B234,Korrigeringsfaktor_GD,'Korrigeringsfaktor GD'!J$1,FALSE),
"")</f>
        <v>75.602061855670101</v>
      </c>
      <c r="K234" s="18">
        <f>IFERROR(
                  Andel_oberoende_av_klimat*VLOOKUP($A234,Leveranser_per_nät,'Leveranser per nät'!K$1,FALSE)
               +Andel_beroende_av_klimat*VLOOKUP($A234,Leveranser_per_nät,'Leveranser per nät'!K$1,FALSE)/VLOOKUP($B234,Korrigeringsfaktor_GD,'Korrigeringsfaktor GD'!K$1,FALSE),
"")</f>
        <v>75.413056701030925</v>
      </c>
      <c r="L234" s="18">
        <f>IFERROR(
                  Andel_oberoende_av_klimat*VLOOKUP($A234,Leveranser_per_nät,'Leveranser per nät'!L$1,FALSE)
               +Andel_beroende_av_klimat*VLOOKUP($A234,Leveranser_per_nät,'Leveranser per nät'!L$1,FALSE)/VLOOKUP($B234,Korrigeringsfaktor_GD,'Korrigeringsfaktor GD'!L$1,FALSE),
"")</f>
        <v>77.071511827956982</v>
      </c>
      <c r="M234" s="18">
        <f>IFERROR(
                  Andel_oberoende_av_klimat*VLOOKUP($A234,Leveranser_per_nät,'Leveranser per nät'!M$1,FALSE)
               +Andel_beroende_av_klimat*VLOOKUP($A234,Leveranser_per_nät,'Leveranser per nät'!M$1,FALSE)/VLOOKUP($B234,Korrigeringsfaktor_GD,'Korrigeringsfaktor GD'!M$1,FALSE),
"")</f>
        <v>76.258607692307692</v>
      </c>
      <c r="N234" s="18">
        <f>IFERROR(
                  Andel_oberoende_av_klimat*VLOOKUP($A234,Leveranser_per_nät,'Leveranser per nät'!N$1,FALSE)
               +Andel_beroende_av_klimat*VLOOKUP($A234,Leveranser_per_nät,'Leveranser per nät'!N$1,FALSE)/VLOOKUP($B234,Korrigeringsfaktor_GD,'Korrigeringsfaktor GD'!N$1,FALSE),
"")</f>
        <v>74.780695652173904</v>
      </c>
      <c r="O234" s="18">
        <f>IFERROR(
                  Andel_oberoende_av_klimat*VLOOKUP($A234,Leveranser_per_nät,'Leveranser per nät'!O$1,FALSE)
               +Andel_beroende_av_klimat*VLOOKUP($A234,Leveranser_per_nät,'Leveranser per nät'!O$1,FALSE)/VLOOKUP($B234,Korrigeringsfaktor_GD,'Korrigeringsfaktor GD'!O$1,FALSE),
"")</f>
        <v>77.884533333333337</v>
      </c>
      <c r="P234" s="18">
        <f>IFERROR(
                  Andel_oberoende_av_klimat*VLOOKUP($A234,Leveranser_per_nät,'Leveranser per nät'!P$1,FALSE)
               +Andel_beroende_av_klimat*VLOOKUP($A234,Leveranser_per_nät,'Leveranser per nät'!P$1,FALSE)/VLOOKUP($B234,Korrigeringsfaktor_GD,'Korrigeringsfaktor GD'!P$1,FALSE),
"")</f>
        <v>78.169985714285716</v>
      </c>
      <c r="Q234" s="18">
        <f>IFERROR(
                  Andel_oberoende_av_klimat*VLOOKUP($A234,Leveranser_per_nät,'Leveranser per nät'!Q$1,FALSE)
               +Andel_beroende_av_klimat*VLOOKUP($A234,Leveranser_per_nät,'Leveranser per nät'!Q$1,FALSE)/VLOOKUP($B234,Korrigeringsfaktor_GD,'Korrigeringsfaktor GD'!Q$1,FALSE),
"")</f>
        <v>81.171056521739132</v>
      </c>
      <c r="R234" s="18">
        <f>IFERROR(
                  Andel_oberoende_av_klimat*VLOOKUP($A234,Leveranser_per_nät,'Leveranser per nät'!R$1,FALSE)
               +Andel_beroende_av_klimat*VLOOKUP($A234,Leveranser_per_nät,'Leveranser per nät'!R$1,FALSE)/VLOOKUP($B234,Korrigeringsfaktor_GD,'Korrigeringsfaktor GD'!R$1,FALSE),
"")</f>
        <v>78.893333333333345</v>
      </c>
      <c r="S234" s="18">
        <f>IFERROR(
                  Andel_oberoende_av_klimat*VLOOKUP($A234,Leveranser_per_nät,'Leveranser per nät'!S$1,FALSE)
               +Andel_beroende_av_klimat*VLOOKUP($A234,Leveranser_per_nät,'Leveranser per nät'!S$1,FALSE)/VLOOKUP($B234,Korrigeringsfaktor_GD,'Korrigeringsfaktor GD'!S$1,FALSE),
"")</f>
        <v>80.464949494949508</v>
      </c>
      <c r="T234" s="18">
        <f>IFERROR(
                  Andel_oberoende_av_klimat*VLOOKUP($A234,Leveranser_per_nät,'Leveranser per nät'!T$1,FALSE)
               +Andel_beroende_av_klimat*VLOOKUP($A234,Leveranser_per_nät,'Leveranser per nät'!T$1,FALSE)/VLOOKUP($B234,Korrigeringsfaktor_GD,'Korrigeringsfaktor GD'!T$1,FALSE),
"")</f>
        <v>83.430536842105255</v>
      </c>
      <c r="U234" s="18">
        <f>IFERROR(
                  Andel_oberoende_av_klimat*VLOOKUP($A234,Leveranser_per_nät,'Leveranser per nät'!U$1,FALSE)
               +Andel_beroende_av_klimat*VLOOKUP($A234,Leveranser_per_nät,'Leveranser per nät'!U$1,FALSE)/VLOOKUP($B234,Korrigeringsfaktor_GD,'Korrigeringsfaktor GD'!U$1,FALSE),
"")</f>
        <v>88.73181818181817</v>
      </c>
      <c r="V234" s="18">
        <f>IFERROR(
                  Andel_oberoende_av_klimat*VLOOKUP($A234,Leveranser_per_nät,'Leveranser per nät'!V$1,FALSE)
               +Andel_beroende_av_klimat*VLOOKUP($A234,Leveranser_per_nät,'Leveranser per nät'!V$1,FALSE)/VLOOKUP($B234,Korrigeringsfaktor_GD,'Korrigeringsfaktor GD'!V$1,FALSE),
"")</f>
        <v>90.964444444444453</v>
      </c>
      <c r="W234" s="18">
        <f>IFERROR(
                  Andel_oberoende_av_klimat*VLOOKUP($A234,Leveranser_per_nät,'Leveranser per nät'!W$1,FALSE)
               +Andel_beroende_av_klimat*VLOOKUP($A234,Leveranser_per_nät,'Leveranser per nät'!W$1,FALSE)/VLOOKUP($B234,Korrigeringsfaktor_GD,'Korrigeringsfaktor GD'!W$1,FALSE),
"")</f>
        <v>96.01157894736842</v>
      </c>
      <c r="X234" s="18">
        <f>IFERROR(
                  Andel_oberoende_av_klimat*VLOOKUP($A234,Leveranser_per_nät,'Leveranser per nät'!X$1,FALSE)
               +Andel_beroende_av_klimat*VLOOKUP($A234,Leveranser_per_nät,'Leveranser per nät'!X$1,FALSE)/VLOOKUP($B234,Korrigeringsfaktor_GD,'Korrigeringsfaktor GD'!X$1,FALSE),
"")</f>
        <v>94.196082474226813</v>
      </c>
      <c r="Y234" s="18">
        <f>IFERROR(
                  Andel_oberoende_av_klimat*VLOOKUP($A234,Leveranser_per_nät,'Leveranser per nät'!Y$1,FALSE)
               +Andel_beroende_av_klimat*VLOOKUP($A234,Leveranser_per_nät,'Leveranser per nät'!Y$1,FALSE)/VLOOKUP($B234,Korrigeringsfaktor_GD,'Korrigeringsfaktor GD'!Y$1,FALSE),
"")</f>
        <v>88.131578947368425</v>
      </c>
      <c r="Z234" s="18">
        <f>IFERROR(
                  Andel_oberoende_av_klimat*VLOOKUP($A234,Leveranser_per_nät,'Leveranser per nät'!Z$1,FALSE)
               +Andel_beroende_av_klimat*VLOOKUP($A234,Leveranser_per_nät,'Leveranser per nät'!Z$1,FALSE)/VLOOKUP($B234,Korrigeringsfaktor_GD,'Korrigeringsfaktor GD'!Z$1,FALSE),
"")</f>
        <v>90.180898876404498</v>
      </c>
      <c r="AA234" s="18">
        <f>IFERROR(
                  Andel_oberoende_av_klimat*VLOOKUP($A234,Leveranser_per_nät,'Leveranser per nät'!AA$1,FALSE)
               +Andel_beroende_av_klimat*VLOOKUP($A234,Leveranser_per_nät,'Leveranser per nät'!AA$1,FALSE)/VLOOKUP($B234,Korrigeringsfaktor_GD,'Korrigeringsfaktor GD'!AA$1,FALSE),
"")</f>
        <v>87.94618138424822</v>
      </c>
      <c r="AB234" s="18">
        <f>IFERROR(
                  Andel_oberoende_av_klimat*VLOOKUP($A234,Leveranser_per_nät,'Leveranser per nät'!AB$1,FALSE)
               +Andel_beroende_av_klimat*VLOOKUP($A234,Leveranser_per_nät,'Leveranser per nät'!AB$1,FALSE)/VLOOKUP($B234,Korrigeringsfaktor_GD,'Korrigeringsfaktor GD'!AB$1,FALSE),
"")</f>
        <v>86.243358778625947</v>
      </c>
      <c r="AC234" s="18">
        <f>IFERROR(
                  Andel_oberoende_av_klimat*VLOOKUP($A234,Leveranser_per_nät,'Leveranser per nät'!AC$1,FALSE)
               +Andel_beroende_av_klimat*VLOOKUP($A234,Leveranser_per_nät,'Leveranser per nät'!AC$1,FALSE)/VLOOKUP($B234,Korrigeringsfaktor_GD,'Korrigeringsfaktor GD'!AC$1,FALSE),
"")</f>
        <v>80.478461538461531</v>
      </c>
      <c r="AD234">
        <v>79.8</v>
      </c>
    </row>
    <row r="235" spans="1:30" x14ac:dyDescent="0.25">
      <c r="A235" t="s">
        <v>308</v>
      </c>
      <c r="B235" t="s">
        <v>308</v>
      </c>
      <c r="C235" s="18">
        <f>IFERROR(
                  Andel_oberoende_av_klimat*VLOOKUP($A235,Leveranser_per_nät,'Leveranser per nät'!C$1,FALSE)
               +Andel_beroende_av_klimat*VLOOKUP($A235,Leveranser_per_nät,'Leveranser per nät'!C$1,FALSE)/VLOOKUP($B235,Korrigeringsfaktor_GD,'Korrigeringsfaktor GD'!C$1,FALSE),
"")</f>
        <v>1165.5</v>
      </c>
      <c r="D235" s="18">
        <f>IFERROR(
                  Andel_oberoende_av_klimat*VLOOKUP($A235,Leveranser_per_nät,'Leveranser per nät'!D$1,FALSE)
               +Andel_beroende_av_klimat*VLOOKUP($A235,Leveranser_per_nät,'Leveranser per nät'!D$1,FALSE)/VLOOKUP($B235,Korrigeringsfaktor_GD,'Korrigeringsfaktor GD'!D$1,FALSE),
"")</f>
        <v>1132.038111111111</v>
      </c>
      <c r="E235" s="18">
        <f>IFERROR(
                  Andel_oberoende_av_klimat*VLOOKUP($A235,Leveranser_per_nät,'Leveranser per nät'!E$1,FALSE)
               +Andel_beroende_av_klimat*VLOOKUP($A235,Leveranser_per_nät,'Leveranser per nät'!E$1,FALSE)/VLOOKUP($B235,Korrigeringsfaktor_GD,'Korrigeringsfaktor GD'!E$1,FALSE),
"")</f>
        <v>1173.6666666666667</v>
      </c>
      <c r="F235" s="18">
        <f>IFERROR(
                  Andel_oberoende_av_klimat*VLOOKUP($A235,Leveranser_per_nät,'Leveranser per nät'!F$1,FALSE)
               +Andel_beroende_av_klimat*VLOOKUP($A235,Leveranser_per_nät,'Leveranser per nät'!F$1,FALSE)/VLOOKUP($B235,Korrigeringsfaktor_GD,'Korrigeringsfaktor GD'!F$1,FALSE),
"")</f>
        <v>1146.0148936170212</v>
      </c>
      <c r="G235" s="18">
        <f>IFERROR(
                  Andel_oberoende_av_klimat*VLOOKUP($A235,Leveranser_per_nät,'Leveranser per nät'!G$1,FALSE)
               +Andel_beroende_av_klimat*VLOOKUP($A235,Leveranser_per_nät,'Leveranser per nät'!G$1,FALSE)/VLOOKUP($B235,Korrigeringsfaktor_GD,'Korrigeringsfaktor GD'!G$1,FALSE),
"")</f>
        <v>1154.3045977011495</v>
      </c>
      <c r="H235" s="18">
        <f>IFERROR(
                  Andel_oberoende_av_klimat*VLOOKUP($A235,Leveranser_per_nät,'Leveranser per nät'!H$1,FALSE)
               +Andel_beroende_av_klimat*VLOOKUP($A235,Leveranser_per_nät,'Leveranser per nät'!H$1,FALSE)/VLOOKUP($B235,Korrigeringsfaktor_GD,'Korrigeringsfaktor GD'!H$1,FALSE),
"")</f>
        <v>1228</v>
      </c>
      <c r="I235" s="18">
        <f>IFERROR(
                  Andel_oberoende_av_klimat*VLOOKUP($A235,Leveranser_per_nät,'Leveranser per nät'!I$1,FALSE)
               +Andel_beroende_av_klimat*VLOOKUP($A235,Leveranser_per_nät,'Leveranser per nät'!I$1,FALSE)/VLOOKUP($B235,Korrigeringsfaktor_GD,'Korrigeringsfaktor GD'!I$1,FALSE),
"")</f>
        <v>1291.9052631578948</v>
      </c>
      <c r="J235" s="18">
        <f>IFERROR(
                  Andel_oberoende_av_klimat*VLOOKUP($A235,Leveranser_per_nät,'Leveranser per nät'!J$1,FALSE)
               +Andel_beroende_av_klimat*VLOOKUP($A235,Leveranser_per_nät,'Leveranser per nät'!J$1,FALSE)/VLOOKUP($B235,Korrigeringsfaktor_GD,'Korrigeringsfaktor GD'!J$1,FALSE),
"")</f>
        <v>1289.0505050505051</v>
      </c>
      <c r="K235" s="18">
        <f>IFERROR(
                  Andel_oberoende_av_klimat*VLOOKUP($A235,Leveranser_per_nät,'Leveranser per nät'!K$1,FALSE)
               +Andel_beroende_av_klimat*VLOOKUP($A235,Leveranser_per_nät,'Leveranser per nät'!K$1,FALSE)/VLOOKUP($B235,Korrigeringsfaktor_GD,'Korrigeringsfaktor GD'!K$1,FALSE),
"")</f>
        <v>1263.370202020202</v>
      </c>
      <c r="L235" s="18">
        <f>IFERROR(
                  Andel_oberoende_av_klimat*VLOOKUP($A235,Leveranser_per_nät,'Leveranser per nät'!L$1,FALSE)
               +Andel_beroende_av_klimat*VLOOKUP($A235,Leveranser_per_nät,'Leveranser per nät'!L$1,FALSE)/VLOOKUP($B235,Korrigeringsfaktor_GD,'Korrigeringsfaktor GD'!L$1,FALSE),
"")</f>
        <v>1267.1100000000001</v>
      </c>
      <c r="M235" s="18">
        <f>IFERROR(
                  Andel_oberoende_av_klimat*VLOOKUP($A235,Leveranser_per_nät,'Leveranser per nät'!M$1,FALSE)
               +Andel_beroende_av_klimat*VLOOKUP($A235,Leveranser_per_nät,'Leveranser per nät'!M$1,FALSE)/VLOOKUP($B235,Korrigeringsfaktor_GD,'Korrigeringsfaktor GD'!M$1,FALSE),
"")</f>
        <v>1343.1248387096775</v>
      </c>
      <c r="N235" s="18">
        <f>IFERROR(
                  Andel_oberoende_av_klimat*VLOOKUP($A235,Leveranser_per_nät,'Leveranser per nät'!N$1,FALSE)
               +Andel_beroende_av_klimat*VLOOKUP($A235,Leveranser_per_nät,'Leveranser per nät'!N$1,FALSE)/VLOOKUP($B235,Korrigeringsfaktor_GD,'Korrigeringsfaktor GD'!N$1,FALSE),
"")</f>
        <v>1693.02</v>
      </c>
      <c r="O235" s="18">
        <f>IFERROR(
                  Andel_oberoende_av_klimat*VLOOKUP($A235,Leveranser_per_nät,'Leveranser per nät'!O$1,FALSE)
               +Andel_beroende_av_klimat*VLOOKUP($A235,Leveranser_per_nät,'Leveranser per nät'!O$1,FALSE)/VLOOKUP($B235,Korrigeringsfaktor_GD,'Korrigeringsfaktor GD'!O$1,FALSE),
"")</f>
        <v>1314.8888888888889</v>
      </c>
      <c r="P235" s="18">
        <f>IFERROR(
                  Andel_oberoende_av_klimat*VLOOKUP($A235,Leveranser_per_nät,'Leveranser per nät'!P$1,FALSE)
               +Andel_beroende_av_klimat*VLOOKUP($A235,Leveranser_per_nät,'Leveranser per nät'!P$1,FALSE)/VLOOKUP($B235,Korrigeringsfaktor_GD,'Korrigeringsfaktor GD'!P$1,FALSE),
"")</f>
        <v>1286.8349494949493</v>
      </c>
      <c r="Q235" s="18">
        <f>IFERROR(
                  Andel_oberoende_av_klimat*VLOOKUP($A235,Leveranser_per_nät,'Leveranser per nät'!Q$1,FALSE)
               +Andel_beroende_av_klimat*VLOOKUP($A235,Leveranser_per_nät,'Leveranser per nät'!Q$1,FALSE)/VLOOKUP($B235,Korrigeringsfaktor_GD,'Korrigeringsfaktor GD'!Q$1,FALSE),
"")</f>
        <v>1424.6864406779662</v>
      </c>
      <c r="R235" s="18">
        <f>IFERROR(
                  Andel_oberoende_av_klimat*VLOOKUP($A235,Leveranser_per_nät,'Leveranser per nät'!R$1,FALSE)
               +Andel_beroende_av_klimat*VLOOKUP($A235,Leveranser_per_nät,'Leveranser per nät'!R$1,FALSE)/VLOOKUP($B235,Korrigeringsfaktor_GD,'Korrigeringsfaktor GD'!R$1,FALSE),
"")</f>
        <v>1332.7961538461539</v>
      </c>
      <c r="S235" s="18">
        <f>IFERROR(
                  Andel_oberoende_av_klimat*VLOOKUP($A235,Leveranser_per_nät,'Leveranser per nät'!S$1,FALSE)
               +Andel_beroende_av_klimat*VLOOKUP($A235,Leveranser_per_nät,'Leveranser per nät'!S$1,FALSE)/VLOOKUP($B235,Korrigeringsfaktor_GD,'Korrigeringsfaktor GD'!S$1,FALSE),
"")</f>
        <v>1219.489108910891</v>
      </c>
      <c r="T235" s="18">
        <f>IFERROR(
                  Andel_oberoende_av_klimat*VLOOKUP($A235,Leveranser_per_nät,'Leveranser per nät'!T$1,FALSE)
               +Andel_beroende_av_klimat*VLOOKUP($A235,Leveranser_per_nät,'Leveranser per nät'!T$1,FALSE)/VLOOKUP($B235,Korrigeringsfaktor_GD,'Korrigeringsfaktor GD'!T$1,FALSE),
"")</f>
        <v>1278.71</v>
      </c>
      <c r="U235" s="18">
        <f>IFERROR(
                  Andel_oberoende_av_klimat*VLOOKUP($A235,Leveranser_per_nät,'Leveranser per nät'!U$1,FALSE)
               +Andel_beroende_av_klimat*VLOOKUP($A235,Leveranser_per_nät,'Leveranser per nät'!U$1,FALSE)/VLOOKUP($B235,Korrigeringsfaktor_GD,'Korrigeringsfaktor GD'!U$1,FALSE),
"")</f>
        <v>1337.7690909090911</v>
      </c>
      <c r="V235" s="18">
        <f>IFERROR(
                  Andel_oberoende_av_klimat*VLOOKUP($A235,Leveranser_per_nät,'Leveranser per nät'!V$1,FALSE)
               +Andel_beroende_av_klimat*VLOOKUP($A235,Leveranser_per_nät,'Leveranser per nät'!V$1,FALSE)/VLOOKUP($B235,Korrigeringsfaktor_GD,'Korrigeringsfaktor GD'!V$1,FALSE),
"")</f>
        <v>1365.0459090909089</v>
      </c>
      <c r="W235" s="18">
        <f>IFERROR(
                  Andel_oberoende_av_klimat*VLOOKUP($A235,Leveranser_per_nät,'Leveranser per nät'!W$1,FALSE)
               +Andel_beroende_av_klimat*VLOOKUP($A235,Leveranser_per_nät,'Leveranser per nät'!W$1,FALSE)/VLOOKUP($B235,Korrigeringsfaktor_GD,'Korrigeringsfaktor GD'!W$1,FALSE),
"")</f>
        <v>1302.1752688172044</v>
      </c>
      <c r="X235" s="18">
        <f>IFERROR(
                  Andel_oberoende_av_klimat*VLOOKUP($A235,Leveranser_per_nät,'Leveranser per nät'!X$1,FALSE)
               +Andel_beroende_av_klimat*VLOOKUP($A235,Leveranser_per_nät,'Leveranser per nät'!X$1,FALSE)/VLOOKUP($B235,Korrigeringsfaktor_GD,'Korrigeringsfaktor GD'!X$1,FALSE),
"")</f>
        <v>1305.9584615384615</v>
      </c>
      <c r="Y235" s="18">
        <f>IFERROR(
                  Andel_oberoende_av_klimat*VLOOKUP($A235,Leveranser_per_nät,'Leveranser per nät'!Y$1,FALSE)
               +Andel_beroende_av_klimat*VLOOKUP($A235,Leveranser_per_nät,'Leveranser per nät'!Y$1,FALSE)/VLOOKUP($B235,Korrigeringsfaktor_GD,'Korrigeringsfaktor GD'!Y$1,FALSE),
"")</f>
        <v>1331.1388461538463</v>
      </c>
      <c r="Z235" s="18">
        <f>IFERROR(
                  Andel_oberoende_av_klimat*VLOOKUP($A235,Leveranser_per_nät,'Leveranser per nät'!Z$1,FALSE)
               +Andel_beroende_av_klimat*VLOOKUP($A235,Leveranser_per_nät,'Leveranser per nät'!Z$1,FALSE)/VLOOKUP($B235,Korrigeringsfaktor_GD,'Korrigeringsfaktor GD'!Z$1,FALSE),
"")</f>
        <v>1292.9283044444444</v>
      </c>
      <c r="AA235" s="18">
        <f>IFERROR(
                  Andel_oberoende_av_klimat*VLOOKUP($A235,Leveranser_per_nät,'Leveranser per nät'!AA$1,FALSE)
               +Andel_beroende_av_klimat*VLOOKUP($A235,Leveranser_per_nät,'Leveranser per nät'!AA$1,FALSE)/VLOOKUP($B235,Korrigeringsfaktor_GD,'Korrigeringsfaktor GD'!AA$1,FALSE),
"")</f>
        <v>1473.4731918505943</v>
      </c>
      <c r="AB235" s="18">
        <f>IFERROR(
                  Andel_oberoende_av_klimat*VLOOKUP($A235,Leveranser_per_nät,'Leveranser per nät'!AB$1,FALSE)
               +Andel_beroende_av_klimat*VLOOKUP($A235,Leveranser_per_nät,'Leveranser per nät'!AB$1,FALSE)/VLOOKUP($B235,Korrigeringsfaktor_GD,'Korrigeringsfaktor GD'!AB$1,FALSE),
"")</f>
        <v>1323.971000944287</v>
      </c>
      <c r="AC235" s="18">
        <f>IFERROR(
                  Andel_oberoende_av_klimat*VLOOKUP($A235,Leveranser_per_nät,'Leveranser per nät'!AC$1,FALSE)
               +Andel_beroende_av_klimat*VLOOKUP($A235,Leveranser_per_nät,'Leveranser per nät'!AC$1,FALSE)/VLOOKUP($B235,Korrigeringsfaktor_GD,'Korrigeringsfaktor GD'!AC$1,FALSE),
"")</f>
        <v>1312.1358974358975</v>
      </c>
      <c r="AD235">
        <v>1362.3</v>
      </c>
    </row>
    <row r="236" spans="1:30" x14ac:dyDescent="0.25">
      <c r="A236" t="s">
        <v>369</v>
      </c>
      <c r="B236" t="s">
        <v>370</v>
      </c>
      <c r="C236" s="18">
        <f>IFERROR(
                  Andel_oberoende_av_klimat*VLOOKUP($A236,Leveranser_per_nät,'Leveranser per nät'!C$1,FALSE)
               +Andel_beroende_av_klimat*VLOOKUP($A236,Leveranser_per_nät,'Leveranser per nät'!C$1,FALSE)/VLOOKUP($B236,Korrigeringsfaktor_GD,'Korrigeringsfaktor GD'!C$1,FALSE),
"")</f>
        <v>0</v>
      </c>
      <c r="D236" s="18">
        <f>IFERROR(
                  Andel_oberoende_av_klimat*VLOOKUP($A236,Leveranser_per_nät,'Leveranser per nät'!D$1,FALSE)
               +Andel_beroende_av_klimat*VLOOKUP($A236,Leveranser_per_nät,'Leveranser per nät'!D$1,FALSE)/VLOOKUP($B236,Korrigeringsfaktor_GD,'Korrigeringsfaktor GD'!D$1,FALSE),
"")</f>
        <v>0</v>
      </c>
      <c r="E236" s="18">
        <f>IFERROR(
                  Andel_oberoende_av_klimat*VLOOKUP($A236,Leveranser_per_nät,'Leveranser per nät'!E$1,FALSE)
               +Andel_beroende_av_klimat*VLOOKUP($A236,Leveranser_per_nät,'Leveranser per nät'!E$1,FALSE)/VLOOKUP($B236,Korrigeringsfaktor_GD,'Korrigeringsfaktor GD'!E$1,FALSE),
"")</f>
        <v>0</v>
      </c>
      <c r="F236" s="18">
        <f>IFERROR(
                  Andel_oberoende_av_klimat*VLOOKUP($A236,Leveranser_per_nät,'Leveranser per nät'!F$1,FALSE)
               +Andel_beroende_av_klimat*VLOOKUP($A236,Leveranser_per_nät,'Leveranser per nät'!F$1,FALSE)/VLOOKUP($B236,Korrigeringsfaktor_GD,'Korrigeringsfaktor GD'!F$1,FALSE),
"")</f>
        <v>0</v>
      </c>
      <c r="G236" s="18">
        <f>IFERROR(
                  Andel_oberoende_av_klimat*VLOOKUP($A236,Leveranser_per_nät,'Leveranser per nät'!G$1,FALSE)
               +Andel_beroende_av_klimat*VLOOKUP($A236,Leveranser_per_nät,'Leveranser per nät'!G$1,FALSE)/VLOOKUP($B236,Korrigeringsfaktor_GD,'Korrigeringsfaktor GD'!G$1,FALSE),
"")</f>
        <v>0</v>
      </c>
      <c r="H236" s="18">
        <f>IFERROR(
                  Andel_oberoende_av_klimat*VLOOKUP($A236,Leveranser_per_nät,'Leveranser per nät'!H$1,FALSE)
               +Andel_beroende_av_klimat*VLOOKUP($A236,Leveranser_per_nät,'Leveranser per nät'!H$1,FALSE)/VLOOKUP($B236,Korrigeringsfaktor_GD,'Korrigeringsfaktor GD'!H$1,FALSE),
"")</f>
        <v>0</v>
      </c>
      <c r="I236" s="18">
        <f>IFERROR(
                  Andel_oberoende_av_klimat*VLOOKUP($A236,Leveranser_per_nät,'Leveranser per nät'!I$1,FALSE)
               +Andel_beroende_av_klimat*VLOOKUP($A236,Leveranser_per_nät,'Leveranser per nät'!I$1,FALSE)/VLOOKUP($B236,Korrigeringsfaktor_GD,'Korrigeringsfaktor GD'!I$1,FALSE),
"")</f>
        <v>0</v>
      </c>
      <c r="J236" s="18">
        <f>IFERROR(
                  Andel_oberoende_av_klimat*VLOOKUP($A236,Leveranser_per_nät,'Leveranser per nät'!J$1,FALSE)
               +Andel_beroende_av_klimat*VLOOKUP($A236,Leveranser_per_nät,'Leveranser per nät'!J$1,FALSE)/VLOOKUP($B236,Korrigeringsfaktor_GD,'Korrigeringsfaktor GD'!J$1,FALSE),
"")</f>
        <v>0</v>
      </c>
      <c r="K236" s="18">
        <f>IFERROR(
                  Andel_oberoende_av_klimat*VLOOKUP($A236,Leveranser_per_nät,'Leveranser per nät'!K$1,FALSE)
               +Andel_beroende_av_klimat*VLOOKUP($A236,Leveranser_per_nät,'Leveranser per nät'!K$1,FALSE)/VLOOKUP($B236,Korrigeringsfaktor_GD,'Korrigeringsfaktor GD'!K$1,FALSE),
"")</f>
        <v>0.77187499999999987</v>
      </c>
      <c r="L236" s="18">
        <f>IFERROR(
                  Andel_oberoende_av_klimat*VLOOKUP($A236,Leveranser_per_nät,'Leveranser per nät'!L$1,FALSE)
               +Andel_beroende_av_klimat*VLOOKUP($A236,Leveranser_per_nät,'Leveranser per nät'!L$1,FALSE)/VLOOKUP($B236,Korrigeringsfaktor_GD,'Korrigeringsfaktor GD'!L$1,FALSE),
"")</f>
        <v>0.69262340425531921</v>
      </c>
      <c r="M236" s="18">
        <f>IFERROR(
                  Andel_oberoende_av_klimat*VLOOKUP($A236,Leveranser_per_nät,'Leveranser per nät'!M$1,FALSE)
               +Andel_beroende_av_klimat*VLOOKUP($A236,Leveranser_per_nät,'Leveranser per nät'!M$1,FALSE)/VLOOKUP($B236,Korrigeringsfaktor_GD,'Korrigeringsfaktor GD'!M$1,FALSE),
"")</f>
        <v>0.86222222222222222</v>
      </c>
      <c r="N236" s="18">
        <f>IFERROR(
                  Andel_oberoende_av_klimat*VLOOKUP($A236,Leveranser_per_nät,'Leveranser per nät'!N$1,FALSE)
               +Andel_beroende_av_klimat*VLOOKUP($A236,Leveranser_per_nät,'Leveranser per nät'!N$1,FALSE)/VLOOKUP($B236,Korrigeringsfaktor_GD,'Korrigeringsfaktor GD'!N$1,FALSE),
"")</f>
        <v>1.1073617021276596</v>
      </c>
      <c r="O236" s="18">
        <f>IFERROR(
                  Andel_oberoende_av_klimat*VLOOKUP($A236,Leveranser_per_nät,'Leveranser per nät'!O$1,FALSE)
               +Andel_beroende_av_klimat*VLOOKUP($A236,Leveranser_per_nät,'Leveranser per nät'!O$1,FALSE)/VLOOKUP($B236,Korrigeringsfaktor_GD,'Korrigeringsfaktor GD'!O$1,FALSE),
"")</f>
        <v>1.2255473684210525</v>
      </c>
      <c r="P236" s="18">
        <f>IFERROR(
                  Andel_oberoende_av_klimat*VLOOKUP($A236,Leveranser_per_nät,'Leveranser per nät'!P$1,FALSE)
               +Andel_beroende_av_klimat*VLOOKUP($A236,Leveranser_per_nät,'Leveranser per nät'!P$1,FALSE)/VLOOKUP($B236,Korrigeringsfaktor_GD,'Korrigeringsfaktor GD'!P$1,FALSE),
"")</f>
        <v>1.4</v>
      </c>
      <c r="Q236" s="18">
        <f>IFERROR(
                  Andel_oberoende_av_klimat*VLOOKUP($A236,Leveranser_per_nät,'Leveranser per nät'!Q$1,FALSE)
               +Andel_beroende_av_klimat*VLOOKUP($A236,Leveranser_per_nät,'Leveranser per nät'!Q$1,FALSE)/VLOOKUP($B236,Korrigeringsfaktor_GD,'Korrigeringsfaktor GD'!Q$1,FALSE),
"")</f>
        <v>0.34184912280701757</v>
      </c>
      <c r="R236" s="18">
        <f>IFERROR(
                  Andel_oberoende_av_klimat*VLOOKUP($A236,Leveranser_per_nät,'Leveranser per nät'!R$1,FALSE)
               +Andel_beroende_av_klimat*VLOOKUP($A236,Leveranser_per_nät,'Leveranser per nät'!R$1,FALSE)/VLOOKUP($B236,Korrigeringsfaktor_GD,'Korrigeringsfaktor GD'!R$1,FALSE),
"")</f>
        <v>0.5346153846153846</v>
      </c>
      <c r="S236" s="18">
        <f>IFERROR(
                  Andel_oberoende_av_klimat*VLOOKUP($A236,Leveranser_per_nät,'Leveranser per nät'!S$1,FALSE)
               +Andel_beroende_av_klimat*VLOOKUP($A236,Leveranser_per_nät,'Leveranser per nät'!S$1,FALSE)/VLOOKUP($B236,Korrigeringsfaktor_GD,'Korrigeringsfaktor GD'!S$1,FALSE),
"")</f>
        <v>0.90000000000000013</v>
      </c>
      <c r="T236" s="18">
        <f>IFERROR(
                  Andel_oberoende_av_klimat*VLOOKUP($A236,Leveranser_per_nät,'Leveranser per nät'!T$1,FALSE)
               +Andel_beroende_av_klimat*VLOOKUP($A236,Leveranser_per_nät,'Leveranser per nät'!T$1,FALSE)/VLOOKUP($B236,Korrigeringsfaktor_GD,'Korrigeringsfaktor GD'!T$1,FALSE),
"")</f>
        <v>0.87479166666666663</v>
      </c>
      <c r="U236" s="18">
        <f>IFERROR(
                  Andel_oberoende_av_klimat*VLOOKUP($A236,Leveranser_per_nät,'Leveranser per nät'!U$1,FALSE)
               +Andel_beroende_av_klimat*VLOOKUP($A236,Leveranser_per_nät,'Leveranser per nät'!U$1,FALSE)/VLOOKUP($B236,Korrigeringsfaktor_GD,'Korrigeringsfaktor GD'!U$1,FALSE),
"")</f>
        <v>0.87636363636363623</v>
      </c>
      <c r="V236" s="18">
        <f>IFERROR(
                  Andel_oberoende_av_klimat*VLOOKUP($A236,Leveranser_per_nät,'Leveranser per nät'!V$1,FALSE)
               +Andel_beroende_av_klimat*VLOOKUP($A236,Leveranser_per_nät,'Leveranser per nät'!V$1,FALSE)/VLOOKUP($B236,Korrigeringsfaktor_GD,'Korrigeringsfaktor GD'!V$1,FALSE),
"")</f>
        <v>0.54772727272727273</v>
      </c>
      <c r="W236" s="18" t="str">
        <f>IFERROR(
                  Andel_oberoende_av_klimat*VLOOKUP($A236,Leveranser_per_nät,'Leveranser per nät'!W$1,FALSE)
               +Andel_beroende_av_klimat*VLOOKUP($A236,Leveranser_per_nät,'Leveranser per nät'!W$1,FALSE)/VLOOKUP($B236,Korrigeringsfaktor_GD,'Korrigeringsfaktor GD'!W$1,FALSE),
"")</f>
        <v/>
      </c>
      <c r="X236" s="18">
        <f>IFERROR(
                  Andel_oberoende_av_klimat*VLOOKUP($A236,Leveranser_per_nät,'Leveranser per nät'!X$1,FALSE)
               +Andel_beroende_av_klimat*VLOOKUP($A236,Leveranser_per_nät,'Leveranser per nät'!X$1,FALSE)/VLOOKUP($B236,Korrigeringsfaktor_GD,'Korrigeringsfaktor GD'!X$1,FALSE),
"")</f>
        <v>0</v>
      </c>
      <c r="Y236" s="18" t="str">
        <f>IFERROR(
                  Andel_oberoende_av_klimat*VLOOKUP($A236,Leveranser_per_nät,'Leveranser per nät'!Y$1,FALSE)
               +Andel_beroende_av_klimat*VLOOKUP($A236,Leveranser_per_nät,'Leveranser per nät'!Y$1,FALSE)/VLOOKUP($B236,Korrigeringsfaktor_GD,'Korrigeringsfaktor GD'!Y$1,FALSE),
"")</f>
        <v/>
      </c>
      <c r="Z236" s="18">
        <f>IFERROR(
                  Andel_oberoende_av_klimat*VLOOKUP($A236,Leveranser_per_nät,'Leveranser per nät'!Z$1,FALSE)
               +Andel_beroende_av_klimat*VLOOKUP($A236,Leveranser_per_nät,'Leveranser per nät'!Z$1,FALSE)/VLOOKUP($B236,Korrigeringsfaktor_GD,'Korrigeringsfaktor GD'!Z$1,FALSE),
"")</f>
        <v>0</v>
      </c>
      <c r="AA236" s="18" t="str">
        <f>IFERROR(
                  Andel_oberoende_av_klimat*VLOOKUP($A236,Leveranser_per_nät,'Leveranser per nät'!AA$1,FALSE)
               +Andel_beroende_av_klimat*VLOOKUP($A236,Leveranser_per_nät,'Leveranser per nät'!AA$1,FALSE)/VLOOKUP($B236,Korrigeringsfaktor_GD,'Korrigeringsfaktor GD'!AA$1,FALSE),
"")</f>
        <v/>
      </c>
      <c r="AB236" s="18">
        <f>IFERROR(
                  Andel_oberoende_av_klimat*VLOOKUP($A236,Leveranser_per_nät,'Leveranser per nät'!AB$1,FALSE)
               +Andel_beroende_av_klimat*VLOOKUP($A236,Leveranser_per_nät,'Leveranser per nät'!AB$1,FALSE)/VLOOKUP($B236,Korrigeringsfaktor_GD,'Korrigeringsfaktor GD'!AB$1,FALSE),
"")</f>
        <v>0</v>
      </c>
      <c r="AC236" s="18">
        <f>IFERROR(
                  Andel_oberoende_av_klimat*VLOOKUP($A236,Leveranser_per_nät,'Leveranser per nät'!AC$1,FALSE)
               +Andel_beroende_av_klimat*VLOOKUP($A236,Leveranser_per_nät,'Leveranser per nät'!AC$1,FALSE)/VLOOKUP($B236,Korrigeringsfaktor_GD,'Korrigeringsfaktor GD'!AC$1,FALSE),
"")</f>
        <v>0.44146165099268542</v>
      </c>
      <c r="AD236">
        <v>21.763000000000002</v>
      </c>
    </row>
    <row r="237" spans="1:30" x14ac:dyDescent="0.25">
      <c r="A237" t="s">
        <v>78</v>
      </c>
      <c r="B237" t="s">
        <v>78</v>
      </c>
      <c r="C237" s="18">
        <f>IFERROR(
                  Andel_oberoende_av_klimat*VLOOKUP($A237,Leveranser_per_nät,'Leveranser per nät'!C$1,FALSE)
               +Andel_beroende_av_klimat*VLOOKUP($A237,Leveranser_per_nät,'Leveranser per nät'!C$1,FALSE)/VLOOKUP($B237,Korrigeringsfaktor_GD,'Korrigeringsfaktor GD'!C$1,FALSE),
"")</f>
        <v>67.524999999999991</v>
      </c>
      <c r="D237" s="18">
        <f>IFERROR(
                  Andel_oberoende_av_klimat*VLOOKUP($A237,Leveranser_per_nät,'Leveranser per nät'!D$1,FALSE)
               +Andel_beroende_av_klimat*VLOOKUP($A237,Leveranser_per_nät,'Leveranser per nät'!D$1,FALSE)/VLOOKUP($B237,Korrigeringsfaktor_GD,'Korrigeringsfaktor GD'!D$1,FALSE),
"")</f>
        <v>68.233792079207916</v>
      </c>
      <c r="E237" s="18">
        <f>IFERROR(
                  Andel_oberoende_av_klimat*VLOOKUP($A237,Leveranser_per_nät,'Leveranser per nät'!E$1,FALSE)
               +Andel_beroende_av_klimat*VLOOKUP($A237,Leveranser_per_nät,'Leveranser per nät'!E$1,FALSE)/VLOOKUP($B237,Korrigeringsfaktor_GD,'Korrigeringsfaktor GD'!E$1,FALSE),
"")</f>
        <v>71.500990099009897</v>
      </c>
      <c r="F237" s="18">
        <f>IFERROR(
                  Andel_oberoende_av_klimat*VLOOKUP($A237,Leveranser_per_nät,'Leveranser per nät'!F$1,FALSE)
               +Andel_beroende_av_klimat*VLOOKUP($A237,Leveranser_per_nät,'Leveranser per nät'!F$1,FALSE)/VLOOKUP($B237,Korrigeringsfaktor_GD,'Korrigeringsfaktor GD'!F$1,FALSE),
"")</f>
        <v>74.172340425531928</v>
      </c>
      <c r="G237" s="18">
        <f>IFERROR(
                  Andel_oberoende_av_klimat*VLOOKUP($A237,Leveranser_per_nät,'Leveranser per nät'!G$1,FALSE)
               +Andel_beroende_av_klimat*VLOOKUP($A237,Leveranser_per_nät,'Leveranser per nät'!G$1,FALSE)/VLOOKUP($B237,Korrigeringsfaktor_GD,'Korrigeringsfaktor GD'!G$1,FALSE),
"")</f>
        <v>80.635632183908044</v>
      </c>
      <c r="H237" s="18">
        <f>IFERROR(
                  Andel_oberoende_av_klimat*VLOOKUP($A237,Leveranser_per_nät,'Leveranser per nät'!H$1,FALSE)
               +Andel_beroende_av_klimat*VLOOKUP($A237,Leveranser_per_nät,'Leveranser per nät'!H$1,FALSE)/VLOOKUP($B237,Korrigeringsfaktor_GD,'Korrigeringsfaktor GD'!H$1,FALSE),
"")</f>
        <v>81</v>
      </c>
      <c r="I237" s="18">
        <f>IFERROR(
                  Andel_oberoende_av_klimat*VLOOKUP($A237,Leveranser_per_nät,'Leveranser per nät'!I$1,FALSE)
               +Andel_beroende_av_klimat*VLOOKUP($A237,Leveranser_per_nät,'Leveranser per nät'!I$1,FALSE)/VLOOKUP($B237,Korrigeringsfaktor_GD,'Korrigeringsfaktor GD'!I$1,FALSE),
"")</f>
        <v>96.110638297872342</v>
      </c>
      <c r="J237" s="18">
        <f>IFERROR(
                  Andel_oberoende_av_klimat*VLOOKUP($A237,Leveranser_per_nät,'Leveranser per nät'!J$1,FALSE)
               +Andel_beroende_av_klimat*VLOOKUP($A237,Leveranser_per_nät,'Leveranser per nät'!J$1,FALSE)/VLOOKUP($B237,Korrigeringsfaktor_GD,'Korrigeringsfaktor GD'!J$1,FALSE),
"")</f>
        <v>96.88964285714286</v>
      </c>
      <c r="K237" s="18">
        <f>IFERROR(
                  Andel_oberoende_av_klimat*VLOOKUP($A237,Leveranser_per_nät,'Leveranser per nät'!K$1,FALSE)
               +Andel_beroende_av_klimat*VLOOKUP($A237,Leveranser_per_nät,'Leveranser per nät'!K$1,FALSE)/VLOOKUP($B237,Korrigeringsfaktor_GD,'Korrigeringsfaktor GD'!K$1,FALSE),
"")</f>
        <v>102.221</v>
      </c>
      <c r="L237" s="18">
        <f>IFERROR(
                  Andel_oberoende_av_klimat*VLOOKUP($A237,Leveranser_per_nät,'Leveranser per nät'!L$1,FALSE)
               +Andel_beroende_av_klimat*VLOOKUP($A237,Leveranser_per_nät,'Leveranser per nät'!L$1,FALSE)/VLOOKUP($B237,Korrigeringsfaktor_GD,'Korrigeringsfaktor GD'!L$1,FALSE),
"")</f>
        <v>115.78149278350516</v>
      </c>
      <c r="M237" s="18">
        <f>IFERROR(
                  Andel_oberoende_av_klimat*VLOOKUP($A237,Leveranser_per_nät,'Leveranser per nät'!M$1,FALSE)
               +Andel_beroende_av_klimat*VLOOKUP($A237,Leveranser_per_nät,'Leveranser per nät'!M$1,FALSE)/VLOOKUP($B237,Korrigeringsfaktor_GD,'Korrigeringsfaktor GD'!M$1,FALSE),
"")</f>
        <v>122.11182795698923</v>
      </c>
      <c r="N237" s="18">
        <f>IFERROR(
                  Andel_oberoende_av_klimat*VLOOKUP($A237,Leveranser_per_nät,'Leveranser per nät'!N$1,FALSE)
               +Andel_beroende_av_klimat*VLOOKUP($A237,Leveranser_per_nät,'Leveranser per nät'!N$1,FALSE)/VLOOKUP($B237,Korrigeringsfaktor_GD,'Korrigeringsfaktor GD'!N$1,FALSE),
"")</f>
        <v>119.63333333333333</v>
      </c>
      <c r="O237" s="18">
        <f>IFERROR(
                  Andel_oberoende_av_klimat*VLOOKUP($A237,Leveranser_per_nät,'Leveranser per nät'!O$1,FALSE)
               +Andel_beroende_av_klimat*VLOOKUP($A237,Leveranser_per_nät,'Leveranser per nät'!O$1,FALSE)/VLOOKUP($B237,Korrigeringsfaktor_GD,'Korrigeringsfaktor GD'!O$1,FALSE),
"")</f>
        <v>129.22555555555556</v>
      </c>
      <c r="P237" s="18">
        <f>IFERROR(
                  Andel_oberoende_av_klimat*VLOOKUP($A237,Leveranser_per_nät,'Leveranser per nät'!P$1,FALSE)
               +Andel_beroende_av_klimat*VLOOKUP($A237,Leveranser_per_nät,'Leveranser per nät'!P$1,FALSE)/VLOOKUP($B237,Korrigeringsfaktor_GD,'Korrigeringsfaktor GD'!P$1,FALSE),
"")</f>
        <v>129.69738041237113</v>
      </c>
      <c r="Q237" s="18">
        <f>IFERROR(
                  Andel_oberoende_av_klimat*VLOOKUP($A237,Leveranser_per_nät,'Leveranser per nät'!Q$1,FALSE)
               +Andel_beroende_av_klimat*VLOOKUP($A237,Leveranser_per_nät,'Leveranser per nät'!Q$1,FALSE)/VLOOKUP($B237,Korrigeringsfaktor_GD,'Korrigeringsfaktor GD'!Q$1,FALSE),
"")</f>
        <v>136.30434782608697</v>
      </c>
      <c r="R237" s="18">
        <f>IFERROR(
                  Andel_oberoende_av_klimat*VLOOKUP($A237,Leveranser_per_nät,'Leveranser per nät'!R$1,FALSE)
               +Andel_beroende_av_klimat*VLOOKUP($A237,Leveranser_per_nät,'Leveranser per nät'!R$1,FALSE)/VLOOKUP($B237,Korrigeringsfaktor_GD,'Korrigeringsfaktor GD'!R$1,FALSE),
"")</f>
        <v>139</v>
      </c>
      <c r="S237" s="18">
        <f>IFERROR(
                  Andel_oberoende_av_klimat*VLOOKUP($A237,Leveranser_per_nät,'Leveranser per nät'!S$1,FALSE)
               +Andel_beroende_av_klimat*VLOOKUP($A237,Leveranser_per_nät,'Leveranser per nät'!S$1,FALSE)/VLOOKUP($B237,Korrigeringsfaktor_GD,'Korrigeringsfaktor GD'!S$1,FALSE),
"")</f>
        <v>137.0921568627451</v>
      </c>
      <c r="T237" s="18">
        <f>IFERROR(
                  Andel_oberoende_av_klimat*VLOOKUP($A237,Leveranser_per_nät,'Leveranser per nät'!T$1,FALSE)
               +Andel_beroende_av_klimat*VLOOKUP($A237,Leveranser_per_nät,'Leveranser per nät'!T$1,FALSE)/VLOOKUP($B237,Korrigeringsfaktor_GD,'Korrigeringsfaktor GD'!T$1,FALSE),
"")</f>
        <v>146.730202020202</v>
      </c>
      <c r="U237" s="18">
        <f>IFERROR(
                  Andel_oberoende_av_klimat*VLOOKUP($A237,Leveranser_per_nät,'Leveranser per nät'!U$1,FALSE)
               +Andel_beroende_av_klimat*VLOOKUP($A237,Leveranser_per_nät,'Leveranser per nät'!U$1,FALSE)/VLOOKUP($B237,Korrigeringsfaktor_GD,'Korrigeringsfaktor GD'!U$1,FALSE),
"")</f>
        <v>144.82294117647061</v>
      </c>
      <c r="V237" s="18">
        <f>IFERROR(
                  Andel_oberoende_av_klimat*VLOOKUP($A237,Leveranser_per_nät,'Leveranser per nät'!V$1,FALSE)
               +Andel_beroende_av_klimat*VLOOKUP($A237,Leveranser_per_nät,'Leveranser per nät'!V$1,FALSE)/VLOOKUP($B237,Korrigeringsfaktor_GD,'Korrigeringsfaktor GD'!V$1,FALSE),
"")</f>
        <v>144.20666666666668</v>
      </c>
      <c r="W237" s="18">
        <f>IFERROR(
                  Andel_oberoende_av_klimat*VLOOKUP($A237,Leveranser_per_nät,'Leveranser per nät'!W$1,FALSE)
               +Andel_beroende_av_klimat*VLOOKUP($A237,Leveranser_per_nät,'Leveranser per nät'!W$1,FALSE)/VLOOKUP($B237,Korrigeringsfaktor_GD,'Korrigeringsfaktor GD'!W$1,FALSE),
"")</f>
        <v>148.34468085106386</v>
      </c>
      <c r="X237" s="18">
        <f>IFERROR(
                  Andel_oberoende_av_klimat*VLOOKUP($A237,Leveranser_per_nät,'Leveranser per nät'!X$1,FALSE)
               +Andel_beroende_av_klimat*VLOOKUP($A237,Leveranser_per_nät,'Leveranser per nät'!X$1,FALSE)/VLOOKUP($B237,Korrigeringsfaktor_GD,'Korrigeringsfaktor GD'!X$1,FALSE),
"")</f>
        <v>148.3237634408602</v>
      </c>
      <c r="Y237" s="18">
        <f>IFERROR(
                  Andel_oberoende_av_klimat*VLOOKUP($A237,Leveranser_per_nät,'Leveranser per nät'!Y$1,FALSE)
               +Andel_beroende_av_klimat*VLOOKUP($A237,Leveranser_per_nät,'Leveranser per nät'!Y$1,FALSE)/VLOOKUP($B237,Korrigeringsfaktor_GD,'Korrigeringsfaktor GD'!Y$1,FALSE),
"")</f>
        <v>150.24222222222221</v>
      </c>
      <c r="Z237" s="18">
        <f>IFERROR(
                  Andel_oberoende_av_klimat*VLOOKUP($A237,Leveranser_per_nät,'Leveranser per nät'!Z$1,FALSE)
               +Andel_beroende_av_klimat*VLOOKUP($A237,Leveranser_per_nät,'Leveranser per nät'!Z$1,FALSE)/VLOOKUP($B237,Korrigeringsfaktor_GD,'Korrigeringsfaktor GD'!Z$1,FALSE),
"")</f>
        <v>139.96666666666667</v>
      </c>
      <c r="AA237" s="18">
        <f>IFERROR(
                  Andel_oberoende_av_klimat*VLOOKUP($A237,Leveranser_per_nät,'Leveranser per nät'!AA$1,FALSE)
               +Andel_beroende_av_klimat*VLOOKUP($A237,Leveranser_per_nät,'Leveranser per nät'!AA$1,FALSE)/VLOOKUP($B237,Korrigeringsfaktor_GD,'Korrigeringsfaktor GD'!AA$1,FALSE),
"")</f>
        <v>157.6</v>
      </c>
      <c r="AB237" s="18">
        <f>IFERROR(
                  Andel_oberoende_av_klimat*VLOOKUP($A237,Leveranser_per_nät,'Leveranser per nät'!AB$1,FALSE)
               +Andel_beroende_av_klimat*VLOOKUP($A237,Leveranser_per_nät,'Leveranser per nät'!AB$1,FALSE)/VLOOKUP($B237,Korrigeringsfaktor_GD,'Korrigeringsfaktor GD'!AB$1,FALSE),
"")</f>
        <v>132.75574490785647</v>
      </c>
      <c r="AC237" s="18">
        <f>IFERROR(
                  Andel_oberoende_av_klimat*VLOOKUP($A237,Leveranser_per_nät,'Leveranser per nät'!AC$1,FALSE)
               +Andel_beroende_av_klimat*VLOOKUP($A237,Leveranser_per_nät,'Leveranser per nät'!AC$1,FALSE)/VLOOKUP($B237,Korrigeringsfaktor_GD,'Korrigeringsfaktor GD'!AC$1,FALSE),
"")</f>
        <v>128.12291970802917</v>
      </c>
      <c r="AD237">
        <v>137.1</v>
      </c>
    </row>
    <row r="238" spans="1:30" x14ac:dyDescent="0.25">
      <c r="A238" s="4" t="s">
        <v>404</v>
      </c>
      <c r="B238" t="s">
        <v>308</v>
      </c>
      <c r="C238" s="18">
        <f>IFERROR(
                  Andel_oberoende_av_klimat*VLOOKUP($A238,Leveranser_per_nät,'Leveranser per nät'!C$1,FALSE)
               +Andel_beroende_av_klimat*VLOOKUP($A238,Leveranser_per_nät,'Leveranser per nät'!C$1,FALSE)/VLOOKUP($B238,Korrigeringsfaktor_GD,'Korrigeringsfaktor GD'!C$1,FALSE),
"")</f>
        <v>0</v>
      </c>
      <c r="D238" s="18">
        <f>IFERROR(
                  Andel_oberoende_av_klimat*VLOOKUP($A238,Leveranser_per_nät,'Leveranser per nät'!D$1,FALSE)
               +Andel_beroende_av_klimat*VLOOKUP($A238,Leveranser_per_nät,'Leveranser per nät'!D$1,FALSE)/VLOOKUP($B238,Korrigeringsfaktor_GD,'Korrigeringsfaktor GD'!D$1,FALSE),
"")</f>
        <v>0</v>
      </c>
      <c r="E238" s="18">
        <f>IFERROR(
                  Andel_oberoende_av_klimat*VLOOKUP($A238,Leveranser_per_nät,'Leveranser per nät'!E$1,FALSE)
               +Andel_beroende_av_klimat*VLOOKUP($A238,Leveranser_per_nät,'Leveranser per nät'!E$1,FALSE)/VLOOKUP($B238,Korrigeringsfaktor_GD,'Korrigeringsfaktor GD'!E$1,FALSE),
"")</f>
        <v>0</v>
      </c>
      <c r="F238" s="18">
        <f>IFERROR(
                  Andel_oberoende_av_klimat*VLOOKUP($A238,Leveranser_per_nät,'Leveranser per nät'!F$1,FALSE)
               +Andel_beroende_av_klimat*VLOOKUP($A238,Leveranser_per_nät,'Leveranser per nät'!F$1,FALSE)/VLOOKUP($B238,Korrigeringsfaktor_GD,'Korrigeringsfaktor GD'!F$1,FALSE),
"")</f>
        <v>0</v>
      </c>
      <c r="G238" s="18">
        <f>IFERROR(
                  Andel_oberoende_av_klimat*VLOOKUP($A238,Leveranser_per_nät,'Leveranser per nät'!G$1,FALSE)
               +Andel_beroende_av_klimat*VLOOKUP($A238,Leveranser_per_nät,'Leveranser per nät'!G$1,FALSE)/VLOOKUP($B238,Korrigeringsfaktor_GD,'Korrigeringsfaktor GD'!G$1,FALSE),
"")</f>
        <v>0</v>
      </c>
      <c r="H238" s="18">
        <f>IFERROR(
                  Andel_oberoende_av_klimat*VLOOKUP($A238,Leveranser_per_nät,'Leveranser per nät'!H$1,FALSE)
               +Andel_beroende_av_klimat*VLOOKUP($A238,Leveranser_per_nät,'Leveranser per nät'!H$1,FALSE)/VLOOKUP($B238,Korrigeringsfaktor_GD,'Korrigeringsfaktor GD'!H$1,FALSE),
"")</f>
        <v>0</v>
      </c>
      <c r="I238" s="18">
        <f>IFERROR(
                  Andel_oberoende_av_klimat*VLOOKUP($A238,Leveranser_per_nät,'Leveranser per nät'!I$1,FALSE)
               +Andel_beroende_av_klimat*VLOOKUP($A238,Leveranser_per_nät,'Leveranser per nät'!I$1,FALSE)/VLOOKUP($B238,Korrigeringsfaktor_GD,'Korrigeringsfaktor GD'!I$1,FALSE),
"")</f>
        <v>0</v>
      </c>
      <c r="J238" s="18">
        <f>IFERROR(
                  Andel_oberoende_av_klimat*VLOOKUP($A238,Leveranser_per_nät,'Leveranser per nät'!J$1,FALSE)
               +Andel_beroende_av_klimat*VLOOKUP($A238,Leveranser_per_nät,'Leveranser per nät'!J$1,FALSE)/VLOOKUP($B238,Korrigeringsfaktor_GD,'Korrigeringsfaktor GD'!J$1,FALSE),
"")</f>
        <v>0</v>
      </c>
      <c r="K238" s="18">
        <f>IFERROR(
                  Andel_oberoende_av_klimat*VLOOKUP($A238,Leveranser_per_nät,'Leveranser per nät'!K$1,FALSE)
               +Andel_beroende_av_klimat*VLOOKUP($A238,Leveranser_per_nät,'Leveranser per nät'!K$1,FALSE)/VLOOKUP($B238,Korrigeringsfaktor_GD,'Korrigeringsfaktor GD'!K$1,FALSE),
"")</f>
        <v>0</v>
      </c>
      <c r="L238" s="18">
        <f>IFERROR(
                  Andel_oberoende_av_klimat*VLOOKUP($A238,Leveranser_per_nät,'Leveranser per nät'!L$1,FALSE)
               +Andel_beroende_av_klimat*VLOOKUP($A238,Leveranser_per_nät,'Leveranser per nät'!L$1,FALSE)/VLOOKUP($B238,Korrigeringsfaktor_GD,'Korrigeringsfaktor GD'!L$1,FALSE),
"")</f>
        <v>0</v>
      </c>
      <c r="M238" s="18">
        <f>IFERROR(
                  Andel_oberoende_av_klimat*VLOOKUP($A238,Leveranser_per_nät,'Leveranser per nät'!M$1,FALSE)
               +Andel_beroende_av_klimat*VLOOKUP($A238,Leveranser_per_nät,'Leveranser per nät'!M$1,FALSE)/VLOOKUP($B238,Korrigeringsfaktor_GD,'Korrigeringsfaktor GD'!M$1,FALSE),
"")</f>
        <v>0</v>
      </c>
      <c r="N238" s="18">
        <f>IFERROR(
                  Andel_oberoende_av_klimat*VLOOKUP($A238,Leveranser_per_nät,'Leveranser per nät'!N$1,FALSE)
               +Andel_beroende_av_klimat*VLOOKUP($A238,Leveranser_per_nät,'Leveranser per nät'!N$1,FALSE)/VLOOKUP($B238,Korrigeringsfaktor_GD,'Korrigeringsfaktor GD'!N$1,FALSE),
"")</f>
        <v>0</v>
      </c>
      <c r="O238" s="18">
        <f>IFERROR(
                  Andel_oberoende_av_klimat*VLOOKUP($A238,Leveranser_per_nät,'Leveranser per nät'!O$1,FALSE)
               +Andel_beroende_av_klimat*VLOOKUP($A238,Leveranser_per_nät,'Leveranser per nät'!O$1,FALSE)/VLOOKUP($B238,Korrigeringsfaktor_GD,'Korrigeringsfaktor GD'!O$1,FALSE),
"")</f>
        <v>0</v>
      </c>
      <c r="P238" s="18">
        <f>IFERROR(
                  Andel_oberoende_av_klimat*VLOOKUP($A238,Leveranser_per_nät,'Leveranser per nät'!P$1,FALSE)
               +Andel_beroende_av_klimat*VLOOKUP($A238,Leveranser_per_nät,'Leveranser per nät'!P$1,FALSE)/VLOOKUP($B238,Korrigeringsfaktor_GD,'Korrigeringsfaktor GD'!P$1,FALSE),
"")</f>
        <v>0</v>
      </c>
      <c r="Q238" s="18">
        <f>IFERROR(
                  Andel_oberoende_av_klimat*VLOOKUP($A238,Leveranser_per_nät,'Leveranser per nät'!Q$1,FALSE)
               +Andel_beroende_av_klimat*VLOOKUP($A238,Leveranser_per_nät,'Leveranser per nät'!Q$1,FALSE)/VLOOKUP($B238,Korrigeringsfaktor_GD,'Korrigeringsfaktor GD'!Q$1,FALSE),
"")</f>
        <v>3.2155932203389836</v>
      </c>
      <c r="R238" s="18">
        <f>IFERROR(
                  Andel_oberoende_av_klimat*VLOOKUP($A238,Leveranser_per_nät,'Leveranser per nät'!R$1,FALSE)
               +Andel_beroende_av_klimat*VLOOKUP($A238,Leveranser_per_nät,'Leveranser per nät'!R$1,FALSE)/VLOOKUP($B238,Korrigeringsfaktor_GD,'Korrigeringsfaktor GD'!R$1,FALSE),
"")</f>
        <v>3.3338615384615382</v>
      </c>
      <c r="S238" s="18">
        <f>IFERROR(
                  Andel_oberoende_av_klimat*VLOOKUP($A238,Leveranser_per_nät,'Leveranser per nät'!S$1,FALSE)
               +Andel_beroende_av_klimat*VLOOKUP($A238,Leveranser_per_nät,'Leveranser per nät'!S$1,FALSE)/VLOOKUP($B238,Korrigeringsfaktor_GD,'Korrigeringsfaktor GD'!S$1,FALSE),
"")</f>
        <v>3.7835940594059405</v>
      </c>
      <c r="T238" s="18">
        <f>IFERROR(
                  Andel_oberoende_av_klimat*VLOOKUP($A238,Leveranser_per_nät,'Leveranser per nät'!T$1,FALSE)
               +Andel_beroende_av_klimat*VLOOKUP($A238,Leveranser_per_nät,'Leveranser per nät'!T$1,FALSE)/VLOOKUP($B238,Korrigeringsfaktor_GD,'Korrigeringsfaktor GD'!T$1,FALSE),
"")</f>
        <v>4.3107142857142859</v>
      </c>
      <c r="U238" s="18">
        <f>IFERROR(
                  Andel_oberoende_av_klimat*VLOOKUP($A238,Leveranser_per_nät,'Leveranser per nät'!U$1,FALSE)
               +Andel_beroende_av_klimat*VLOOKUP($A238,Leveranser_per_nät,'Leveranser per nät'!U$1,FALSE)/VLOOKUP($B238,Korrigeringsfaktor_GD,'Korrigeringsfaktor GD'!U$1,FALSE),
"")</f>
        <v>4.0750909090909095</v>
      </c>
      <c r="V238" s="18">
        <f>IFERROR(
                  Andel_oberoende_av_klimat*VLOOKUP($A238,Leveranser_per_nät,'Leveranser per nät'!V$1,FALSE)
               +Andel_beroende_av_klimat*VLOOKUP($A238,Leveranser_per_nät,'Leveranser per nät'!V$1,FALSE)/VLOOKUP($B238,Korrigeringsfaktor_GD,'Korrigeringsfaktor GD'!V$1,FALSE),
"")</f>
        <v>4.3051363636363638</v>
      </c>
      <c r="W238" s="18">
        <f>IFERROR(
                  Andel_oberoende_av_klimat*VLOOKUP($A238,Leveranser_per_nät,'Leveranser per nät'!W$1,FALSE)
               +Andel_beroende_av_klimat*VLOOKUP($A238,Leveranser_per_nät,'Leveranser per nät'!W$1,FALSE)/VLOOKUP($B238,Korrigeringsfaktor_GD,'Korrigeringsfaktor GD'!W$1,FALSE),
"")</f>
        <v>4.3897096774193543</v>
      </c>
      <c r="X238" s="18">
        <f>IFERROR(
                  Andel_oberoende_av_klimat*VLOOKUP($A238,Leveranser_per_nät,'Leveranser per nät'!X$1,FALSE)
               +Andel_beroende_av_klimat*VLOOKUP($A238,Leveranser_per_nät,'Leveranser per nät'!X$1,FALSE)/VLOOKUP($B238,Korrigeringsfaktor_GD,'Korrigeringsfaktor GD'!X$1,FALSE),
"")</f>
        <v>4.4554846153846146</v>
      </c>
      <c r="Y238" s="18">
        <f>IFERROR(
                  Andel_oberoende_av_klimat*VLOOKUP($A238,Leveranser_per_nät,'Leveranser per nät'!Y$1,FALSE)
               +Andel_beroende_av_klimat*VLOOKUP($A238,Leveranser_per_nät,'Leveranser per nät'!Y$1,FALSE)/VLOOKUP($B238,Korrigeringsfaktor_GD,'Korrigeringsfaktor GD'!Y$1,FALSE),
"")</f>
        <v>4.5645461538461536</v>
      </c>
      <c r="Z238" s="18">
        <f>IFERROR(
                  Andel_oberoende_av_klimat*VLOOKUP($A238,Leveranser_per_nät,'Leveranser per nät'!Z$1,FALSE)
               +Andel_beroende_av_klimat*VLOOKUP($A238,Leveranser_per_nät,'Leveranser per nät'!Z$1,FALSE)/VLOOKUP($B238,Korrigeringsfaktor_GD,'Korrigeringsfaktor GD'!Z$1,FALSE),
"")</f>
        <v>4.6851000000000003</v>
      </c>
      <c r="AA238" s="18">
        <f>IFERROR(
                  Andel_oberoende_av_klimat*VLOOKUP($A238,Leveranser_per_nät,'Leveranser per nät'!AA$1,FALSE)
               +Andel_beroende_av_klimat*VLOOKUP($A238,Leveranser_per_nät,'Leveranser per nät'!AA$1,FALSE)/VLOOKUP($B238,Korrigeringsfaktor_GD,'Korrigeringsfaktor GD'!AA$1,FALSE),
"")</f>
        <v>4.6208488964346355</v>
      </c>
      <c r="AB238" s="18">
        <f>IFERROR(
                  Andel_oberoende_av_klimat*VLOOKUP($A238,Leveranser_per_nät,'Leveranser per nät'!AB$1,FALSE)
               +Andel_beroende_av_klimat*VLOOKUP($A238,Leveranser_per_nät,'Leveranser per nät'!AB$1,FALSE)/VLOOKUP($B238,Korrigeringsfaktor_GD,'Korrigeringsfaktor GD'!AB$1,FALSE),
"")</f>
        <v>4.5935845136921625</v>
      </c>
      <c r="AC238" s="18">
        <f>IFERROR(
                  Andel_oberoende_av_klimat*VLOOKUP($A238,Leveranser_per_nät,'Leveranser per nät'!AC$1,FALSE)
               +Andel_beroende_av_klimat*VLOOKUP($A238,Leveranser_per_nät,'Leveranser per nät'!AC$1,FALSE)/VLOOKUP($B238,Korrigeringsfaktor_GD,'Korrigeringsfaktor GD'!AC$1,FALSE),
"")</f>
        <v>4.4280769230769224</v>
      </c>
      <c r="AD238">
        <v>1362.3</v>
      </c>
    </row>
    <row r="239" spans="1:30" x14ac:dyDescent="0.25">
      <c r="A239" t="s">
        <v>193</v>
      </c>
      <c r="B239" t="s">
        <v>193</v>
      </c>
      <c r="C239" s="18">
        <f>IFERROR(
                  Andel_oberoende_av_klimat*VLOOKUP($A239,Leveranser_per_nät,'Leveranser per nät'!C$1,FALSE)
               +Andel_beroende_av_klimat*VLOOKUP($A239,Leveranser_per_nät,'Leveranser per nät'!C$1,FALSE)/VLOOKUP($B239,Korrigeringsfaktor_GD,'Korrigeringsfaktor GD'!C$1,FALSE),
"")</f>
        <v>55.589908256880733</v>
      </c>
      <c r="D239" s="18">
        <f>IFERROR(
                  Andel_oberoende_av_klimat*VLOOKUP($A239,Leveranser_per_nät,'Leveranser per nät'!D$1,FALSE)
               +Andel_beroende_av_klimat*VLOOKUP($A239,Leveranser_per_nät,'Leveranser per nät'!D$1,FALSE)/VLOOKUP($B239,Korrigeringsfaktor_GD,'Korrigeringsfaktor GD'!D$1,FALSE),
"")</f>
        <v>53.418105263157898</v>
      </c>
      <c r="E239" s="18">
        <f>IFERROR(
                  Andel_oberoende_av_klimat*VLOOKUP($A239,Leveranser_per_nät,'Leveranser per nät'!E$1,FALSE)
               +Andel_beroende_av_klimat*VLOOKUP($A239,Leveranser_per_nät,'Leveranser per nät'!E$1,FALSE)/VLOOKUP($B239,Korrigeringsfaktor_GD,'Korrigeringsfaktor GD'!E$1,FALSE),
"")</f>
        <v>53</v>
      </c>
      <c r="F239" s="18">
        <f>IFERROR(
                  Andel_oberoende_av_klimat*VLOOKUP($A239,Leveranser_per_nät,'Leveranser per nät'!F$1,FALSE)
               +Andel_beroende_av_klimat*VLOOKUP($A239,Leveranser_per_nät,'Leveranser per nät'!F$1,FALSE)/VLOOKUP($B239,Korrigeringsfaktor_GD,'Korrigeringsfaktor GD'!F$1,FALSE),
"")</f>
        <v>56.8</v>
      </c>
      <c r="G239" s="18">
        <f>IFERROR(
                  Andel_oberoende_av_klimat*VLOOKUP($A239,Leveranser_per_nät,'Leveranser per nät'!G$1,FALSE)
               +Andel_beroende_av_klimat*VLOOKUP($A239,Leveranser_per_nät,'Leveranser per nät'!G$1,FALSE)/VLOOKUP($B239,Korrigeringsfaktor_GD,'Korrigeringsfaktor GD'!G$1,FALSE),
"")</f>
        <v>65.74444444444444</v>
      </c>
      <c r="H239" s="18">
        <f>IFERROR(
                  Andel_oberoende_av_klimat*VLOOKUP($A239,Leveranser_per_nät,'Leveranser per nät'!H$1,FALSE)
               +Andel_beroende_av_klimat*VLOOKUP($A239,Leveranser_per_nät,'Leveranser per nät'!H$1,FALSE)/VLOOKUP($B239,Korrigeringsfaktor_GD,'Korrigeringsfaktor GD'!H$1,FALSE),
"")</f>
        <v>74.956862745098036</v>
      </c>
      <c r="I239" s="18">
        <f>IFERROR(
                  Andel_oberoende_av_klimat*VLOOKUP($A239,Leveranser_per_nät,'Leveranser per nät'!I$1,FALSE)
               +Andel_beroende_av_klimat*VLOOKUP($A239,Leveranser_per_nät,'Leveranser per nät'!I$1,FALSE)/VLOOKUP($B239,Korrigeringsfaktor_GD,'Korrigeringsfaktor GD'!I$1,FALSE),
"")</f>
        <v>65.928571428571431</v>
      </c>
      <c r="J239" s="18">
        <f>IFERROR(
                  Andel_oberoende_av_klimat*VLOOKUP($A239,Leveranser_per_nät,'Leveranser per nät'!J$1,FALSE)
               +Andel_beroende_av_klimat*VLOOKUP($A239,Leveranser_per_nät,'Leveranser per nät'!J$1,FALSE)/VLOOKUP($B239,Korrigeringsfaktor_GD,'Korrigeringsfaktor GD'!J$1,FALSE),
"")</f>
        <v>68.954166666666666</v>
      </c>
      <c r="K239" s="18">
        <f>IFERROR(
                  Andel_oberoende_av_klimat*VLOOKUP($A239,Leveranser_per_nät,'Leveranser per nät'!K$1,FALSE)
               +Andel_beroende_av_klimat*VLOOKUP($A239,Leveranser_per_nät,'Leveranser per nät'!K$1,FALSE)/VLOOKUP($B239,Korrigeringsfaktor_GD,'Korrigeringsfaktor GD'!K$1,FALSE),
"")</f>
        <v>69.413930927835054</v>
      </c>
      <c r="L239" s="18">
        <f>IFERROR(
                  Andel_oberoende_av_klimat*VLOOKUP($A239,Leveranser_per_nät,'Leveranser per nät'!L$1,FALSE)
               +Andel_beroende_av_klimat*VLOOKUP($A239,Leveranser_per_nät,'Leveranser per nät'!L$1,FALSE)/VLOOKUP($B239,Korrigeringsfaktor_GD,'Korrigeringsfaktor GD'!L$1,FALSE),
"")</f>
        <v>72.101782978723406</v>
      </c>
      <c r="M239" s="18">
        <f>IFERROR(
                  Andel_oberoende_av_klimat*VLOOKUP($A239,Leveranser_per_nät,'Leveranser per nät'!M$1,FALSE)
               +Andel_beroende_av_klimat*VLOOKUP($A239,Leveranser_per_nät,'Leveranser per nät'!M$1,FALSE)/VLOOKUP($B239,Korrigeringsfaktor_GD,'Korrigeringsfaktor GD'!M$1,FALSE),
"")</f>
        <v>73.035946153846155</v>
      </c>
      <c r="N239" s="18">
        <f>IFERROR(
                  Andel_oberoende_av_klimat*VLOOKUP($A239,Leveranser_per_nät,'Leveranser per nät'!N$1,FALSE)
               +Andel_beroende_av_klimat*VLOOKUP($A239,Leveranser_per_nät,'Leveranser per nät'!N$1,FALSE)/VLOOKUP($B239,Korrigeringsfaktor_GD,'Korrigeringsfaktor GD'!N$1,FALSE),
"")</f>
        <v>74.905706382978721</v>
      </c>
      <c r="O239" s="18">
        <f>IFERROR(
                  Andel_oberoende_av_klimat*VLOOKUP($A239,Leveranser_per_nät,'Leveranser per nät'!O$1,FALSE)
               +Andel_beroende_av_klimat*VLOOKUP($A239,Leveranser_per_nät,'Leveranser per nät'!O$1,FALSE)/VLOOKUP($B239,Korrigeringsfaktor_GD,'Korrigeringsfaktor GD'!O$1,FALSE),
"")</f>
        <v>73.94877872340426</v>
      </c>
      <c r="P239" s="18">
        <f>IFERROR(
                  Andel_oberoende_av_klimat*VLOOKUP($A239,Leveranser_per_nät,'Leveranser per nät'!P$1,FALSE)
               +Andel_beroende_av_klimat*VLOOKUP($A239,Leveranser_per_nät,'Leveranser per nät'!P$1,FALSE)/VLOOKUP($B239,Korrigeringsfaktor_GD,'Korrigeringsfaktor GD'!P$1,FALSE),
"")</f>
        <v>70.084873267326728</v>
      </c>
      <c r="Q239" s="18">
        <f>IFERROR(
                  Andel_oberoende_av_klimat*VLOOKUP($A239,Leveranser_per_nät,'Leveranser per nät'!Q$1,FALSE)
               +Andel_beroende_av_klimat*VLOOKUP($A239,Leveranser_per_nät,'Leveranser per nät'!Q$1,FALSE)/VLOOKUP($B239,Korrigeringsfaktor_GD,'Korrigeringsfaktor GD'!Q$1,FALSE),
"")</f>
        <v>70.758350427350436</v>
      </c>
      <c r="R239" s="18">
        <f>IFERROR(
                  Andel_oberoende_av_klimat*VLOOKUP($A239,Leveranser_per_nät,'Leveranser per nät'!R$1,FALSE)
               +Andel_beroende_av_klimat*VLOOKUP($A239,Leveranser_per_nät,'Leveranser per nät'!R$1,FALSE)/VLOOKUP($B239,Korrigeringsfaktor_GD,'Korrigeringsfaktor GD'!R$1,FALSE),
"")</f>
        <v>66.229026086956523</v>
      </c>
      <c r="S239" s="18">
        <f>IFERROR(
                  Andel_oberoende_av_klimat*VLOOKUP($A239,Leveranser_per_nät,'Leveranser per nät'!S$1,FALSE)
               +Andel_beroende_av_klimat*VLOOKUP($A239,Leveranser_per_nät,'Leveranser per nät'!S$1,FALSE)/VLOOKUP($B239,Korrigeringsfaktor_GD,'Korrigeringsfaktor GD'!S$1,FALSE),
"")</f>
        <v>65.542574257425741</v>
      </c>
      <c r="T239" s="18">
        <f>IFERROR(
                  Andel_oberoende_av_klimat*VLOOKUP($A239,Leveranser_per_nät,'Leveranser per nät'!T$1,FALSE)
               +Andel_beroende_av_klimat*VLOOKUP($A239,Leveranser_per_nät,'Leveranser per nät'!T$1,FALSE)/VLOOKUP($B239,Korrigeringsfaktor_GD,'Korrigeringsfaktor GD'!T$1,FALSE),
"")</f>
        <v>64.940416666666678</v>
      </c>
      <c r="U239" s="18">
        <f>IFERROR(
                  Andel_oberoende_av_klimat*VLOOKUP($A239,Leveranser_per_nät,'Leveranser per nät'!U$1,FALSE)
               +Andel_beroende_av_klimat*VLOOKUP($A239,Leveranser_per_nät,'Leveranser per nät'!U$1,FALSE)/VLOOKUP($B239,Korrigeringsfaktor_GD,'Korrigeringsfaktor GD'!U$1,FALSE),
"")</f>
        <v>56.498876404494382</v>
      </c>
      <c r="V239" s="18">
        <f>IFERROR(
                  Andel_oberoende_av_klimat*VLOOKUP($A239,Leveranser_per_nät,'Leveranser per nät'!V$1,FALSE)
               +Andel_beroende_av_klimat*VLOOKUP($A239,Leveranser_per_nät,'Leveranser per nät'!V$1,FALSE)/VLOOKUP($B239,Korrigeringsfaktor_GD,'Korrigeringsfaktor GD'!V$1,FALSE),
"")</f>
        <v>62.697391304347825</v>
      </c>
      <c r="W239" s="18">
        <f>IFERROR(
                  Andel_oberoende_av_klimat*VLOOKUP($A239,Leveranser_per_nät,'Leveranser per nät'!W$1,FALSE)
               +Andel_beroende_av_klimat*VLOOKUP($A239,Leveranser_per_nät,'Leveranser per nät'!W$1,FALSE)/VLOOKUP($B239,Korrigeringsfaktor_GD,'Korrigeringsfaktor GD'!W$1,FALSE),
"")</f>
        <v>65.146250000000009</v>
      </c>
      <c r="X239" s="18">
        <f>IFERROR(
                  Andel_oberoende_av_klimat*VLOOKUP($A239,Leveranser_per_nät,'Leveranser per nät'!X$1,FALSE)
               +Andel_beroende_av_klimat*VLOOKUP($A239,Leveranser_per_nät,'Leveranser per nät'!X$1,FALSE)/VLOOKUP($B239,Korrigeringsfaktor_GD,'Korrigeringsfaktor GD'!X$1,FALSE),
"")</f>
        <v>64</v>
      </c>
      <c r="Y239" s="18">
        <f>IFERROR(
                  Andel_oberoende_av_klimat*VLOOKUP($A239,Leveranser_per_nät,'Leveranser per nät'!Y$1,FALSE)
               +Andel_beroende_av_klimat*VLOOKUP($A239,Leveranser_per_nät,'Leveranser per nät'!Y$1,FALSE)/VLOOKUP($B239,Korrigeringsfaktor_GD,'Korrigeringsfaktor GD'!Y$1,FALSE),
"")</f>
        <v>63.546161616161626</v>
      </c>
      <c r="Z239" s="18">
        <f>IFERROR(
                  Andel_oberoende_av_klimat*VLOOKUP($A239,Leveranser_per_nät,'Leveranser per nät'!Z$1,FALSE)
               +Andel_beroende_av_klimat*VLOOKUP($A239,Leveranser_per_nät,'Leveranser per nät'!Z$1,FALSE)/VLOOKUP($B239,Korrigeringsfaktor_GD,'Korrigeringsfaktor GD'!Z$1,FALSE),
"")</f>
        <v>65.971538461538472</v>
      </c>
      <c r="AA239" s="18">
        <f>IFERROR(
                  Andel_oberoende_av_klimat*VLOOKUP($A239,Leveranser_per_nät,'Leveranser per nät'!AA$1,FALSE)
               +Andel_beroende_av_klimat*VLOOKUP($A239,Leveranser_per_nät,'Leveranser per nät'!AA$1,FALSE)/VLOOKUP($B239,Korrigeringsfaktor_GD,'Korrigeringsfaktor GD'!AA$1,FALSE),
"")</f>
        <v>64.808640081799581</v>
      </c>
      <c r="AB239" s="18">
        <f>IFERROR(
                  Andel_oberoende_av_klimat*VLOOKUP($A239,Leveranser_per_nät,'Leveranser per nät'!AB$1,FALSE)
               +Andel_beroende_av_klimat*VLOOKUP($A239,Leveranser_per_nät,'Leveranser per nät'!AB$1,FALSE)/VLOOKUP($B239,Korrigeringsfaktor_GD,'Korrigeringsfaktor GD'!AB$1,FALSE),
"")</f>
        <v>63.111705882352943</v>
      </c>
      <c r="AC239" s="18">
        <f>IFERROR(
                  Andel_oberoende_av_klimat*VLOOKUP($A239,Leveranser_per_nät,'Leveranser per nät'!AC$1,FALSE)
               +Andel_beroende_av_klimat*VLOOKUP($A239,Leveranser_per_nät,'Leveranser per nät'!AC$1,FALSE)/VLOOKUP($B239,Korrigeringsfaktor_GD,'Korrigeringsfaktor GD'!AC$1,FALSE),
"")</f>
        <v>61.035580287474325</v>
      </c>
      <c r="AD239">
        <v>59.915999999999997</v>
      </c>
    </row>
    <row r="240" spans="1:30" x14ac:dyDescent="0.25">
      <c r="A240" t="s">
        <v>479</v>
      </c>
      <c r="B240" t="s">
        <v>126</v>
      </c>
      <c r="C240" s="18">
        <f>IFERROR(
                  Andel_oberoende_av_klimat*VLOOKUP($A240,Leveranser_per_nät,'Leveranser per nät'!C$1,FALSE)
               +Andel_beroende_av_klimat*VLOOKUP($A240,Leveranser_per_nät,'Leveranser per nät'!C$1,FALSE)/VLOOKUP($B240,Korrigeringsfaktor_GD,'Korrigeringsfaktor GD'!C$1,FALSE),
"")</f>
        <v>16.187733333333334</v>
      </c>
      <c r="D240" s="18">
        <f>IFERROR(
                  Andel_oberoende_av_klimat*VLOOKUP($A240,Leveranser_per_nät,'Leveranser per nät'!D$1,FALSE)
               +Andel_beroende_av_klimat*VLOOKUP($A240,Leveranser_per_nät,'Leveranser per nät'!D$1,FALSE)/VLOOKUP($B240,Korrigeringsfaktor_GD,'Korrigeringsfaktor GD'!D$1,FALSE),
"")</f>
        <v>15.519833333333334</v>
      </c>
      <c r="E240" s="18">
        <f>IFERROR(
                  Andel_oberoende_av_klimat*VLOOKUP($A240,Leveranser_per_nät,'Leveranser per nät'!E$1,FALSE)
               +Andel_beroende_av_klimat*VLOOKUP($A240,Leveranser_per_nät,'Leveranser per nät'!E$1,FALSE)/VLOOKUP($B240,Korrigeringsfaktor_GD,'Korrigeringsfaktor GD'!E$1,FALSE),
"")</f>
        <v>15.889108910891089</v>
      </c>
      <c r="F240" s="18">
        <f>IFERROR(
                  Andel_oberoende_av_klimat*VLOOKUP($A240,Leveranser_per_nät,'Leveranser per nät'!F$1,FALSE)
               +Andel_beroende_av_klimat*VLOOKUP($A240,Leveranser_per_nät,'Leveranser per nät'!F$1,FALSE)/VLOOKUP($B240,Korrigeringsfaktor_GD,'Korrigeringsfaktor GD'!F$1,FALSE),
"")</f>
        <v>15.4375</v>
      </c>
      <c r="G240" s="18">
        <f>IFERROR(
                  Andel_oberoende_av_klimat*VLOOKUP($A240,Leveranser_per_nät,'Leveranser per nät'!G$1,FALSE)
               +Andel_beroende_av_klimat*VLOOKUP($A240,Leveranser_per_nät,'Leveranser per nät'!G$1,FALSE)/VLOOKUP($B240,Korrigeringsfaktor_GD,'Korrigeringsfaktor GD'!G$1,FALSE),
"")</f>
        <v>16.431818181818183</v>
      </c>
      <c r="H240" s="18">
        <f>IFERROR(
                  Andel_oberoende_av_klimat*VLOOKUP($A240,Leveranser_per_nät,'Leveranser per nät'!H$1,FALSE)
               +Andel_beroende_av_klimat*VLOOKUP($A240,Leveranser_per_nät,'Leveranser per nät'!H$1,FALSE)/VLOOKUP($B240,Korrigeringsfaktor_GD,'Korrigeringsfaktor GD'!H$1,FALSE),
"")</f>
        <v>0</v>
      </c>
      <c r="I240" s="18">
        <f>IFERROR(
                  Andel_oberoende_av_klimat*VLOOKUP($A240,Leveranser_per_nät,'Leveranser per nät'!I$1,FALSE)
               +Andel_beroende_av_klimat*VLOOKUP($A240,Leveranser_per_nät,'Leveranser per nät'!I$1,FALSE)/VLOOKUP($B240,Korrigeringsfaktor_GD,'Korrigeringsfaktor GD'!I$1,FALSE),
"")</f>
        <v>0</v>
      </c>
      <c r="J240" s="18">
        <f>IFERROR(
                  Andel_oberoende_av_klimat*VLOOKUP($A240,Leveranser_per_nät,'Leveranser per nät'!J$1,FALSE)
               +Andel_beroende_av_klimat*VLOOKUP($A240,Leveranser_per_nät,'Leveranser per nät'!J$1,FALSE)/VLOOKUP($B240,Korrigeringsfaktor_GD,'Korrigeringsfaktor GD'!J$1,FALSE),
"")</f>
        <v>14.303092783505155</v>
      </c>
      <c r="K240" s="18">
        <f>IFERROR(
                  Andel_oberoende_av_klimat*VLOOKUP($A240,Leveranser_per_nät,'Leveranser per nät'!K$1,FALSE)
               +Andel_beroende_av_klimat*VLOOKUP($A240,Leveranser_per_nät,'Leveranser per nät'!K$1,FALSE)/VLOOKUP($B240,Korrigeringsfaktor_GD,'Korrigeringsfaktor GD'!K$1,FALSE),
"")</f>
        <v>0</v>
      </c>
      <c r="L240" s="18">
        <f>IFERROR(
                  Andel_oberoende_av_klimat*VLOOKUP($A240,Leveranser_per_nät,'Leveranser per nät'!L$1,FALSE)
               +Andel_beroende_av_klimat*VLOOKUP($A240,Leveranser_per_nät,'Leveranser per nät'!L$1,FALSE)/VLOOKUP($B240,Korrigeringsfaktor_GD,'Korrigeringsfaktor GD'!L$1,FALSE),
"")</f>
        <v>0</v>
      </c>
      <c r="M240" s="18">
        <f>IFERROR(
                  Andel_oberoende_av_klimat*VLOOKUP($A240,Leveranser_per_nät,'Leveranser per nät'!M$1,FALSE)
               +Andel_beroende_av_klimat*VLOOKUP($A240,Leveranser_per_nät,'Leveranser per nät'!M$1,FALSE)/VLOOKUP($B240,Korrigeringsfaktor_GD,'Korrigeringsfaktor GD'!M$1,FALSE),
"")</f>
        <v>0</v>
      </c>
      <c r="N240" s="18">
        <f>IFERROR(
                  Andel_oberoende_av_klimat*VLOOKUP($A240,Leveranser_per_nät,'Leveranser per nät'!N$1,FALSE)
               +Andel_beroende_av_klimat*VLOOKUP($A240,Leveranser_per_nät,'Leveranser per nät'!N$1,FALSE)/VLOOKUP($B240,Korrigeringsfaktor_GD,'Korrigeringsfaktor GD'!N$1,FALSE),
"")</f>
        <v>0</v>
      </c>
      <c r="O240" s="18">
        <f>IFERROR(
                  Andel_oberoende_av_klimat*VLOOKUP($A240,Leveranser_per_nät,'Leveranser per nät'!O$1,FALSE)
               +Andel_beroende_av_klimat*VLOOKUP($A240,Leveranser_per_nät,'Leveranser per nät'!O$1,FALSE)/VLOOKUP($B240,Korrigeringsfaktor_GD,'Korrigeringsfaktor GD'!O$1,FALSE),
"")</f>
        <v>0</v>
      </c>
      <c r="P240" s="18">
        <f>IFERROR(
                  Andel_oberoende_av_klimat*VLOOKUP($A240,Leveranser_per_nät,'Leveranser per nät'!P$1,FALSE)
               +Andel_beroende_av_klimat*VLOOKUP($A240,Leveranser_per_nät,'Leveranser per nät'!P$1,FALSE)/VLOOKUP($B240,Korrigeringsfaktor_GD,'Korrigeringsfaktor GD'!P$1,FALSE),
"")</f>
        <v>0</v>
      </c>
      <c r="Q240" s="18">
        <f>IFERROR(
                  Andel_oberoende_av_klimat*VLOOKUP($A240,Leveranser_per_nät,'Leveranser per nät'!Q$1,FALSE)
               +Andel_beroende_av_klimat*VLOOKUP($A240,Leveranser_per_nät,'Leveranser per nät'!Q$1,FALSE)/VLOOKUP($B240,Korrigeringsfaktor_GD,'Korrigeringsfaktor GD'!Q$1,FALSE),
"")</f>
        <v>0</v>
      </c>
      <c r="R240" s="18">
        <f>IFERROR(
                  Andel_oberoende_av_klimat*VLOOKUP($A240,Leveranser_per_nät,'Leveranser per nät'!R$1,FALSE)
               +Andel_beroende_av_klimat*VLOOKUP($A240,Leveranser_per_nät,'Leveranser per nät'!R$1,FALSE)/VLOOKUP($B240,Korrigeringsfaktor_GD,'Korrigeringsfaktor GD'!R$1,FALSE),
"")</f>
        <v>0</v>
      </c>
      <c r="S240" s="18" t="str">
        <f>IFERROR(
                  Andel_oberoende_av_klimat*VLOOKUP($A240,Leveranser_per_nät,'Leveranser per nät'!S$1,FALSE)
               +Andel_beroende_av_klimat*VLOOKUP($A240,Leveranser_per_nät,'Leveranser per nät'!S$1,FALSE)/VLOOKUP($B240,Korrigeringsfaktor_GD,'Korrigeringsfaktor GD'!S$1,FALSE),
"")</f>
        <v/>
      </c>
      <c r="T240" s="18" t="str">
        <f>IFERROR(
                  Andel_oberoende_av_klimat*VLOOKUP($A240,Leveranser_per_nät,'Leveranser per nät'!T$1,FALSE)
               +Andel_beroende_av_klimat*VLOOKUP($A240,Leveranser_per_nät,'Leveranser per nät'!T$1,FALSE)/VLOOKUP($B240,Korrigeringsfaktor_GD,'Korrigeringsfaktor GD'!T$1,FALSE),
"")</f>
        <v/>
      </c>
      <c r="U240" s="18" t="str">
        <f>IFERROR(
                  Andel_oberoende_av_klimat*VLOOKUP($A240,Leveranser_per_nät,'Leveranser per nät'!U$1,FALSE)
               +Andel_beroende_av_klimat*VLOOKUP($A240,Leveranser_per_nät,'Leveranser per nät'!U$1,FALSE)/VLOOKUP($B240,Korrigeringsfaktor_GD,'Korrigeringsfaktor GD'!U$1,FALSE),
"")</f>
        <v/>
      </c>
      <c r="V240" s="18" t="str">
        <f>IFERROR(
                  Andel_oberoende_av_klimat*VLOOKUP($A240,Leveranser_per_nät,'Leveranser per nät'!V$1,FALSE)
               +Andel_beroende_av_klimat*VLOOKUP($A240,Leveranser_per_nät,'Leveranser per nät'!V$1,FALSE)/VLOOKUP($B240,Korrigeringsfaktor_GD,'Korrigeringsfaktor GD'!V$1,FALSE),
"")</f>
        <v/>
      </c>
      <c r="W240" s="18" t="str">
        <f>IFERROR(
                  Andel_oberoende_av_klimat*VLOOKUP($A240,Leveranser_per_nät,'Leveranser per nät'!W$1,FALSE)
               +Andel_beroende_av_klimat*VLOOKUP($A240,Leveranser_per_nät,'Leveranser per nät'!W$1,FALSE)/VLOOKUP($B240,Korrigeringsfaktor_GD,'Korrigeringsfaktor GD'!W$1,FALSE),
"")</f>
        <v/>
      </c>
      <c r="X240" s="18" t="str">
        <f>IFERROR(
                  Andel_oberoende_av_klimat*VLOOKUP($A240,Leveranser_per_nät,'Leveranser per nät'!X$1,FALSE)
               +Andel_beroende_av_klimat*VLOOKUP($A240,Leveranser_per_nät,'Leveranser per nät'!X$1,FALSE)/VLOOKUP($B240,Korrigeringsfaktor_GD,'Korrigeringsfaktor GD'!X$1,FALSE),
"")</f>
        <v/>
      </c>
      <c r="Y240" s="18" t="str">
        <f>IFERROR(
                  Andel_oberoende_av_klimat*VLOOKUP($A240,Leveranser_per_nät,'Leveranser per nät'!Y$1,FALSE)
               +Andel_beroende_av_klimat*VLOOKUP($A240,Leveranser_per_nät,'Leveranser per nät'!Y$1,FALSE)/VLOOKUP($B240,Korrigeringsfaktor_GD,'Korrigeringsfaktor GD'!Y$1,FALSE),
"")</f>
        <v/>
      </c>
      <c r="Z240" s="18">
        <f>IFERROR(
                  Andel_oberoende_av_klimat*VLOOKUP($A240,Leveranser_per_nät,'Leveranser per nät'!Z$1,FALSE)
               +Andel_beroende_av_klimat*VLOOKUP($A240,Leveranser_per_nät,'Leveranser per nät'!Z$1,FALSE)/VLOOKUP($B240,Korrigeringsfaktor_GD,'Korrigeringsfaktor GD'!Z$1,FALSE),
"")</f>
        <v>0</v>
      </c>
      <c r="AA240" s="18" t="str">
        <f>IFERROR(
                  Andel_oberoende_av_klimat*VLOOKUP($A240,Leveranser_per_nät,'Leveranser per nät'!AA$1,FALSE)
               +Andel_beroende_av_klimat*VLOOKUP($A240,Leveranser_per_nät,'Leveranser per nät'!AA$1,FALSE)/VLOOKUP($B240,Korrigeringsfaktor_GD,'Korrigeringsfaktor GD'!AA$1,FALSE),
"")</f>
        <v/>
      </c>
      <c r="AB240" s="18">
        <f>IFERROR(
                  Andel_oberoende_av_klimat*VLOOKUP($A240,Leveranser_per_nät,'Leveranser per nät'!AB$1,FALSE)
               +Andel_beroende_av_klimat*VLOOKUP($A240,Leveranser_per_nät,'Leveranser per nät'!AB$1,FALSE)/VLOOKUP($B240,Korrigeringsfaktor_GD,'Korrigeringsfaktor GD'!AB$1,FALSE),
"")</f>
        <v>0</v>
      </c>
      <c r="AC240" s="18">
        <f>IFERROR(
                  Andel_oberoende_av_klimat*VLOOKUP($A240,Leveranser_per_nät,'Leveranser per nät'!AC$1,FALSE)
               +Andel_beroende_av_klimat*VLOOKUP($A240,Leveranser_per_nät,'Leveranser per nät'!AC$1,FALSE)/VLOOKUP($B240,Korrigeringsfaktor_GD,'Korrigeringsfaktor GD'!AC$1,FALSE),
"")</f>
        <v>0</v>
      </c>
      <c r="AD240">
        <v>10.417</v>
      </c>
    </row>
    <row r="241" spans="1:30" x14ac:dyDescent="0.25">
      <c r="A241" t="s">
        <v>302</v>
      </c>
      <c r="B241" t="s">
        <v>301</v>
      </c>
      <c r="C241" s="18">
        <f>IFERROR(
                  Andel_oberoende_av_klimat*VLOOKUP($A241,Leveranser_per_nät,'Leveranser per nät'!C$1,FALSE)
               +Andel_beroende_av_klimat*VLOOKUP($A241,Leveranser_per_nät,'Leveranser per nät'!C$1,FALSE)/VLOOKUP($B241,Korrigeringsfaktor_GD,'Korrigeringsfaktor GD'!C$1,FALSE),
"")</f>
        <v>0</v>
      </c>
      <c r="D241" s="18">
        <f>IFERROR(
                  Andel_oberoende_av_klimat*VLOOKUP($A241,Leveranser_per_nät,'Leveranser per nät'!D$1,FALSE)
               +Andel_beroende_av_klimat*VLOOKUP($A241,Leveranser_per_nät,'Leveranser per nät'!D$1,FALSE)/VLOOKUP($B241,Korrigeringsfaktor_GD,'Korrigeringsfaktor GD'!D$1,FALSE),
"")</f>
        <v>16.454684210526313</v>
      </c>
      <c r="E241" s="18">
        <f>IFERROR(
                  Andel_oberoende_av_klimat*VLOOKUP($A241,Leveranser_per_nät,'Leveranser per nät'!E$1,FALSE)
               +Andel_beroende_av_klimat*VLOOKUP($A241,Leveranser_per_nät,'Leveranser per nät'!E$1,FALSE)/VLOOKUP($B241,Korrigeringsfaktor_GD,'Korrigeringsfaktor GD'!E$1,FALSE),
"")</f>
        <v>17.752941176470586</v>
      </c>
      <c r="F241" s="18">
        <f>IFERROR(
                  Andel_oberoende_av_klimat*VLOOKUP($A241,Leveranser_per_nät,'Leveranser per nät'!F$1,FALSE)
               +Andel_beroende_av_klimat*VLOOKUP($A241,Leveranser_per_nät,'Leveranser per nät'!F$1,FALSE)/VLOOKUP($B241,Korrigeringsfaktor_GD,'Korrigeringsfaktor GD'!F$1,FALSE),
"")</f>
        <v>0</v>
      </c>
      <c r="G241" s="18">
        <f>IFERROR(
                  Andel_oberoende_av_klimat*VLOOKUP($A241,Leveranser_per_nät,'Leveranser per nät'!G$1,FALSE)
               +Andel_beroende_av_klimat*VLOOKUP($A241,Leveranser_per_nät,'Leveranser per nät'!G$1,FALSE)/VLOOKUP($B241,Korrigeringsfaktor_GD,'Korrigeringsfaktor GD'!G$1,FALSE),
"")</f>
        <v>0</v>
      </c>
      <c r="H241" s="18">
        <f>IFERROR(
                  Andel_oberoende_av_klimat*VLOOKUP($A241,Leveranser_per_nät,'Leveranser per nät'!H$1,FALSE)
               +Andel_beroende_av_klimat*VLOOKUP($A241,Leveranser_per_nät,'Leveranser per nät'!H$1,FALSE)/VLOOKUP($B241,Korrigeringsfaktor_GD,'Korrigeringsfaktor GD'!H$1,FALSE),
"")</f>
        <v>0</v>
      </c>
      <c r="I241" s="18">
        <f>IFERROR(
                  Andel_oberoende_av_klimat*VLOOKUP($A241,Leveranser_per_nät,'Leveranser per nät'!I$1,FALSE)
               +Andel_beroende_av_klimat*VLOOKUP($A241,Leveranser_per_nät,'Leveranser per nät'!I$1,FALSE)/VLOOKUP($B241,Korrigeringsfaktor_GD,'Korrigeringsfaktor GD'!I$1,FALSE),
"")</f>
        <v>0</v>
      </c>
      <c r="J241" s="18">
        <f>IFERROR(
                  Andel_oberoende_av_klimat*VLOOKUP($A241,Leveranser_per_nät,'Leveranser per nät'!J$1,FALSE)
               +Andel_beroende_av_klimat*VLOOKUP($A241,Leveranser_per_nät,'Leveranser per nät'!J$1,FALSE)/VLOOKUP($B241,Korrigeringsfaktor_GD,'Korrigeringsfaktor GD'!J$1,FALSE),
"")</f>
        <v>0</v>
      </c>
      <c r="K241" s="18">
        <f>IFERROR(
                  Andel_oberoende_av_klimat*VLOOKUP($A241,Leveranser_per_nät,'Leveranser per nät'!K$1,FALSE)
               +Andel_beroende_av_klimat*VLOOKUP($A241,Leveranser_per_nät,'Leveranser per nät'!K$1,FALSE)/VLOOKUP($B241,Korrigeringsfaktor_GD,'Korrigeringsfaktor GD'!K$1,FALSE),
"")</f>
        <v>0</v>
      </c>
      <c r="L241" s="18">
        <f>IFERROR(
                  Andel_oberoende_av_klimat*VLOOKUP($A241,Leveranser_per_nät,'Leveranser per nät'!L$1,FALSE)
               +Andel_beroende_av_klimat*VLOOKUP($A241,Leveranser_per_nät,'Leveranser per nät'!L$1,FALSE)/VLOOKUP($B241,Korrigeringsfaktor_GD,'Korrigeringsfaktor GD'!L$1,FALSE),
"")</f>
        <v>0</v>
      </c>
      <c r="M241" s="18">
        <f>IFERROR(
                  Andel_oberoende_av_klimat*VLOOKUP($A241,Leveranser_per_nät,'Leveranser per nät'!M$1,FALSE)
               +Andel_beroende_av_klimat*VLOOKUP($A241,Leveranser_per_nät,'Leveranser per nät'!M$1,FALSE)/VLOOKUP($B241,Korrigeringsfaktor_GD,'Korrigeringsfaktor GD'!M$1,FALSE),
"")</f>
        <v>13.180407692307693</v>
      </c>
      <c r="N241" s="18">
        <f>IFERROR(
                  Andel_oberoende_av_klimat*VLOOKUP($A241,Leveranser_per_nät,'Leveranser per nät'!N$1,FALSE)
               +Andel_beroende_av_klimat*VLOOKUP($A241,Leveranser_per_nät,'Leveranser per nät'!N$1,FALSE)/VLOOKUP($B241,Korrigeringsfaktor_GD,'Korrigeringsfaktor GD'!N$1,FALSE),
"")</f>
        <v>12.41540430107527</v>
      </c>
      <c r="O241" s="18">
        <f>IFERROR(
                  Andel_oberoende_av_klimat*VLOOKUP($A241,Leveranser_per_nät,'Leveranser per nät'!O$1,FALSE)
               +Andel_beroende_av_klimat*VLOOKUP($A241,Leveranser_per_nät,'Leveranser per nät'!O$1,FALSE)/VLOOKUP($B241,Korrigeringsfaktor_GD,'Korrigeringsfaktor GD'!O$1,FALSE),
"")</f>
        <v>12.701791304347827</v>
      </c>
      <c r="P241" s="18">
        <f>IFERROR(
                  Andel_oberoende_av_klimat*VLOOKUP($A241,Leveranser_per_nät,'Leveranser per nät'!P$1,FALSE)
               +Andel_beroende_av_klimat*VLOOKUP($A241,Leveranser_per_nät,'Leveranser per nät'!P$1,FALSE)/VLOOKUP($B241,Korrigeringsfaktor_GD,'Korrigeringsfaktor GD'!P$1,FALSE),
"")</f>
        <v>11.426223235353536</v>
      </c>
      <c r="Q241" s="18">
        <f>IFERROR(
                  Andel_oberoende_av_klimat*VLOOKUP($A241,Leveranser_per_nät,'Leveranser per nät'!Q$1,FALSE)
               +Andel_beroende_av_klimat*VLOOKUP($A241,Leveranser_per_nät,'Leveranser per nät'!Q$1,FALSE)/VLOOKUP($B241,Korrigeringsfaktor_GD,'Korrigeringsfaktor GD'!Q$1,FALSE),
"")</f>
        <v>11.759591273913042</v>
      </c>
      <c r="R241" s="18">
        <f>IFERROR(
                  Andel_oberoende_av_klimat*VLOOKUP($A241,Leveranser_per_nät,'Leveranser per nät'!R$1,FALSE)
               +Andel_beroende_av_klimat*VLOOKUP($A241,Leveranser_per_nät,'Leveranser per nät'!R$1,FALSE)/VLOOKUP($B241,Korrigeringsfaktor_GD,'Korrigeringsfaktor GD'!R$1,FALSE),
"")</f>
        <v>11.55410769230769</v>
      </c>
      <c r="S241" s="18">
        <f>IFERROR(
                  Andel_oberoende_av_klimat*VLOOKUP($A241,Leveranser_per_nät,'Leveranser per nät'!S$1,FALSE)
               +Andel_beroende_av_klimat*VLOOKUP($A241,Leveranser_per_nät,'Leveranser per nät'!S$1,FALSE)/VLOOKUP($B241,Korrigeringsfaktor_GD,'Korrigeringsfaktor GD'!S$1,FALSE),
"")</f>
        <v>11.994212121212122</v>
      </c>
      <c r="T241" s="18">
        <f>IFERROR(
                  Andel_oberoende_av_klimat*VLOOKUP($A241,Leveranser_per_nät,'Leveranser per nät'!T$1,FALSE)
               +Andel_beroende_av_klimat*VLOOKUP($A241,Leveranser_per_nät,'Leveranser per nät'!T$1,FALSE)/VLOOKUP($B241,Korrigeringsfaktor_GD,'Korrigeringsfaktor GD'!T$1,FALSE),
"")</f>
        <v>11.492912605263159</v>
      </c>
      <c r="U241" s="18">
        <f>IFERROR(
                  Andel_oberoende_av_klimat*VLOOKUP($A241,Leveranser_per_nät,'Leveranser per nät'!U$1,FALSE)
               +Andel_beroende_av_klimat*VLOOKUP($A241,Leveranser_per_nät,'Leveranser per nät'!U$1,FALSE)/VLOOKUP($B241,Korrigeringsfaktor_GD,'Korrigeringsfaktor GD'!U$1,FALSE),
"")</f>
        <v>11.359685820224719</v>
      </c>
      <c r="V241" s="18">
        <f>IFERROR(
                  Andel_oberoende_av_klimat*VLOOKUP($A241,Leveranser_per_nät,'Leveranser per nät'!V$1,FALSE)
               +Andel_beroende_av_klimat*VLOOKUP($A241,Leveranser_per_nät,'Leveranser per nät'!V$1,FALSE)/VLOOKUP($B241,Korrigeringsfaktor_GD,'Korrigeringsfaktor GD'!V$1,FALSE),
"")</f>
        <v>11.268266292134831</v>
      </c>
      <c r="W241" s="18">
        <f>IFERROR(
                  Andel_oberoende_av_klimat*VLOOKUP($A241,Leveranser_per_nät,'Leveranser per nät'!W$1,FALSE)
               +Andel_beroende_av_klimat*VLOOKUP($A241,Leveranser_per_nät,'Leveranser per nät'!W$1,FALSE)/VLOOKUP($B241,Korrigeringsfaktor_GD,'Korrigeringsfaktor GD'!W$1,FALSE),
"")</f>
        <v>10.570504347826088</v>
      </c>
      <c r="X241" s="18">
        <f>IFERROR(
                  Andel_oberoende_av_klimat*VLOOKUP($A241,Leveranser_per_nät,'Leveranser per nät'!X$1,FALSE)
               +Andel_beroende_av_klimat*VLOOKUP($A241,Leveranser_per_nät,'Leveranser per nät'!X$1,FALSE)/VLOOKUP($B241,Korrigeringsfaktor_GD,'Korrigeringsfaktor GD'!X$1,FALSE),
"")</f>
        <v>10.244817391304348</v>
      </c>
      <c r="Y241" s="18">
        <f>IFERROR(
                  Andel_oberoende_av_klimat*VLOOKUP($A241,Leveranser_per_nät,'Leveranser per nät'!Y$1,FALSE)
               +Andel_beroende_av_klimat*VLOOKUP($A241,Leveranser_per_nät,'Leveranser per nät'!Y$1,FALSE)/VLOOKUP($B241,Korrigeringsfaktor_GD,'Korrigeringsfaktor GD'!Y$1,FALSE),
"")</f>
        <v>9.99948494623656</v>
      </c>
      <c r="Z241" s="18">
        <f>IFERROR(
                  Andel_oberoende_av_klimat*VLOOKUP($A241,Leveranser_per_nät,'Leveranser per nät'!Z$1,FALSE)
               +Andel_beroende_av_klimat*VLOOKUP($A241,Leveranser_per_nät,'Leveranser per nät'!Z$1,FALSE)/VLOOKUP($B241,Korrigeringsfaktor_GD,'Korrigeringsfaktor GD'!Z$1,FALSE),
"")</f>
        <v>10.47129411764706</v>
      </c>
      <c r="AA241" s="18">
        <f>IFERROR(
                  Andel_oberoende_av_klimat*VLOOKUP($A241,Leveranser_per_nät,'Leveranser per nät'!AA$1,FALSE)
               +Andel_beroende_av_klimat*VLOOKUP($A241,Leveranser_per_nät,'Leveranser per nät'!AA$1,FALSE)/VLOOKUP($B241,Korrigeringsfaktor_GD,'Korrigeringsfaktor GD'!AA$1,FALSE),
"")</f>
        <v>9.5265658338960169</v>
      </c>
      <c r="AB241" s="18">
        <f>IFERROR(
                  Andel_oberoende_av_klimat*VLOOKUP($A241,Leveranser_per_nät,'Leveranser per nät'!AB$1,FALSE)
               +Andel_beroende_av_klimat*VLOOKUP($A241,Leveranser_per_nät,'Leveranser per nät'!AB$1,FALSE)/VLOOKUP($B241,Korrigeringsfaktor_GD,'Korrigeringsfaktor GD'!AB$1,FALSE),
"")</f>
        <v>9.1773684210526305</v>
      </c>
      <c r="AC241" s="18">
        <f>IFERROR(
                  Andel_oberoende_av_klimat*VLOOKUP($A241,Leveranser_per_nät,'Leveranser per nät'!AC$1,FALSE)
               +Andel_beroende_av_klimat*VLOOKUP($A241,Leveranser_per_nät,'Leveranser per nät'!AC$1,FALSE)/VLOOKUP($B241,Korrigeringsfaktor_GD,'Korrigeringsfaktor GD'!AC$1,FALSE),
"")</f>
        <v>9.1202229946524049</v>
      </c>
      <c r="AD241">
        <v>115.232</v>
      </c>
    </row>
    <row r="242" spans="1:30" x14ac:dyDescent="0.25">
      <c r="A242" t="s">
        <v>293</v>
      </c>
      <c r="B242" t="s">
        <v>288</v>
      </c>
      <c r="C242" s="18">
        <f>IFERROR(
                  Andel_oberoende_av_klimat*VLOOKUP($A242,Leveranser_per_nät,'Leveranser per nät'!C$1,FALSE)
               +Andel_beroende_av_klimat*VLOOKUP($A242,Leveranser_per_nät,'Leveranser per nät'!C$1,FALSE)/VLOOKUP($B242,Korrigeringsfaktor_GD,'Korrigeringsfaktor GD'!C$1,FALSE),
"")</f>
        <v>0</v>
      </c>
      <c r="D242" s="18">
        <f>IFERROR(
                  Andel_oberoende_av_klimat*VLOOKUP($A242,Leveranser_per_nät,'Leveranser per nät'!D$1,FALSE)
               +Andel_beroende_av_klimat*VLOOKUP($A242,Leveranser_per_nät,'Leveranser per nät'!D$1,FALSE)/VLOOKUP($B242,Korrigeringsfaktor_GD,'Korrigeringsfaktor GD'!D$1,FALSE),
"")</f>
        <v>0</v>
      </c>
      <c r="E242" s="18">
        <f>IFERROR(
                  Andel_oberoende_av_klimat*VLOOKUP($A242,Leveranser_per_nät,'Leveranser per nät'!E$1,FALSE)
               +Andel_beroende_av_klimat*VLOOKUP($A242,Leveranser_per_nät,'Leveranser per nät'!E$1,FALSE)/VLOOKUP($B242,Korrigeringsfaktor_GD,'Korrigeringsfaktor GD'!E$1,FALSE),
"")</f>
        <v>0</v>
      </c>
      <c r="F242" s="18">
        <f>IFERROR(
                  Andel_oberoende_av_klimat*VLOOKUP($A242,Leveranser_per_nät,'Leveranser per nät'!F$1,FALSE)
               +Andel_beroende_av_klimat*VLOOKUP($A242,Leveranser_per_nät,'Leveranser per nät'!F$1,FALSE)/VLOOKUP($B242,Korrigeringsfaktor_GD,'Korrigeringsfaktor GD'!F$1,FALSE),
"")</f>
        <v>0</v>
      </c>
      <c r="G242" s="18">
        <f>IFERROR(
                  Andel_oberoende_av_klimat*VLOOKUP($A242,Leveranser_per_nät,'Leveranser per nät'!G$1,FALSE)
               +Andel_beroende_av_klimat*VLOOKUP($A242,Leveranser_per_nät,'Leveranser per nät'!G$1,FALSE)/VLOOKUP($B242,Korrigeringsfaktor_GD,'Korrigeringsfaktor GD'!G$1,FALSE),
"")</f>
        <v>0</v>
      </c>
      <c r="H242" s="18">
        <f>IFERROR(
                  Andel_oberoende_av_klimat*VLOOKUP($A242,Leveranser_per_nät,'Leveranser per nät'!H$1,FALSE)
               +Andel_beroende_av_klimat*VLOOKUP($A242,Leveranser_per_nät,'Leveranser per nät'!H$1,FALSE)/VLOOKUP($B242,Korrigeringsfaktor_GD,'Korrigeringsfaktor GD'!H$1,FALSE),
"")</f>
        <v>0</v>
      </c>
      <c r="I242" s="18">
        <f>IFERROR(
                  Andel_oberoende_av_klimat*VLOOKUP($A242,Leveranser_per_nät,'Leveranser per nät'!I$1,FALSE)
               +Andel_beroende_av_klimat*VLOOKUP($A242,Leveranser_per_nät,'Leveranser per nät'!I$1,FALSE)/VLOOKUP($B242,Korrigeringsfaktor_GD,'Korrigeringsfaktor GD'!I$1,FALSE),
"")</f>
        <v>0</v>
      </c>
      <c r="J242" s="18">
        <f>IFERROR(
                  Andel_oberoende_av_klimat*VLOOKUP($A242,Leveranser_per_nät,'Leveranser per nät'!J$1,FALSE)
               +Andel_beroende_av_klimat*VLOOKUP($A242,Leveranser_per_nät,'Leveranser per nät'!J$1,FALSE)/VLOOKUP($B242,Korrigeringsfaktor_GD,'Korrigeringsfaktor GD'!J$1,FALSE),
"")</f>
        <v>0</v>
      </c>
      <c r="K242" s="18">
        <f>IFERROR(
                  Andel_oberoende_av_klimat*VLOOKUP($A242,Leveranser_per_nät,'Leveranser per nät'!K$1,FALSE)
               +Andel_beroende_av_klimat*VLOOKUP($A242,Leveranser_per_nät,'Leveranser per nät'!K$1,FALSE)/VLOOKUP($B242,Korrigeringsfaktor_GD,'Korrigeringsfaktor GD'!K$1,FALSE),
"")</f>
        <v>0</v>
      </c>
      <c r="L242" s="18">
        <f>IFERROR(
                  Andel_oberoende_av_klimat*VLOOKUP($A242,Leveranser_per_nät,'Leveranser per nät'!L$1,FALSE)
               +Andel_beroende_av_klimat*VLOOKUP($A242,Leveranser_per_nät,'Leveranser per nät'!L$1,FALSE)/VLOOKUP($B242,Korrigeringsfaktor_GD,'Korrigeringsfaktor GD'!L$1,FALSE),
"")</f>
        <v>0</v>
      </c>
      <c r="M242" s="18">
        <f>IFERROR(
                  Andel_oberoende_av_klimat*VLOOKUP($A242,Leveranser_per_nät,'Leveranser per nät'!M$1,FALSE)
               +Andel_beroende_av_klimat*VLOOKUP($A242,Leveranser_per_nät,'Leveranser per nät'!M$1,FALSE)/VLOOKUP($B242,Korrigeringsfaktor_GD,'Korrigeringsfaktor GD'!M$1,FALSE),
"")</f>
        <v>0.20369999999999999</v>
      </c>
      <c r="N242" s="18">
        <f>IFERROR(
                  Andel_oberoende_av_klimat*VLOOKUP($A242,Leveranser_per_nät,'Leveranser per nät'!N$1,FALSE)
               +Andel_beroende_av_klimat*VLOOKUP($A242,Leveranser_per_nät,'Leveranser per nät'!N$1,FALSE)/VLOOKUP($B242,Korrigeringsfaktor_GD,'Korrigeringsfaktor GD'!N$1,FALSE),
"")</f>
        <v>0.90810434782608696</v>
      </c>
      <c r="O242" s="18">
        <f>IFERROR(
                  Andel_oberoende_av_klimat*VLOOKUP($A242,Leveranser_per_nät,'Leveranser per nät'!O$1,FALSE)
               +Andel_beroende_av_klimat*VLOOKUP($A242,Leveranser_per_nät,'Leveranser per nät'!O$1,FALSE)/VLOOKUP($B242,Korrigeringsfaktor_GD,'Korrigeringsfaktor GD'!O$1,FALSE),
"")</f>
        <v>1.594223076923077</v>
      </c>
      <c r="P242" s="18">
        <f>IFERROR(
                  Andel_oberoende_av_klimat*VLOOKUP($A242,Leveranser_per_nät,'Leveranser per nät'!P$1,FALSE)
               +Andel_beroende_av_klimat*VLOOKUP($A242,Leveranser_per_nät,'Leveranser per nät'!P$1,FALSE)/VLOOKUP($B242,Korrigeringsfaktor_GD,'Korrigeringsfaktor GD'!P$1,FALSE),
"")</f>
        <v>1.7942714285714287</v>
      </c>
      <c r="Q242" s="18">
        <f>IFERROR(
                  Andel_oberoende_av_klimat*VLOOKUP($A242,Leveranser_per_nät,'Leveranser per nät'!Q$1,FALSE)
               +Andel_beroende_av_klimat*VLOOKUP($A242,Leveranser_per_nät,'Leveranser per nät'!Q$1,FALSE)/VLOOKUP($B242,Korrigeringsfaktor_GD,'Korrigeringsfaktor GD'!Q$1,FALSE),
"")</f>
        <v>0</v>
      </c>
      <c r="R242" s="18">
        <f>IFERROR(
                  Andel_oberoende_av_klimat*VLOOKUP($A242,Leveranser_per_nät,'Leveranser per nät'!R$1,FALSE)
               +Andel_beroende_av_klimat*VLOOKUP($A242,Leveranser_per_nät,'Leveranser per nät'!R$1,FALSE)/VLOOKUP($B242,Korrigeringsfaktor_GD,'Korrigeringsfaktor GD'!R$1,FALSE),
"")</f>
        <v>0</v>
      </c>
      <c r="S242" s="18" t="str">
        <f>IFERROR(
                  Andel_oberoende_av_klimat*VLOOKUP($A242,Leveranser_per_nät,'Leveranser per nät'!S$1,FALSE)
               +Andel_beroende_av_klimat*VLOOKUP($A242,Leveranser_per_nät,'Leveranser per nät'!S$1,FALSE)/VLOOKUP($B242,Korrigeringsfaktor_GD,'Korrigeringsfaktor GD'!S$1,FALSE),
"")</f>
        <v/>
      </c>
      <c r="T242" s="18" t="str">
        <f>IFERROR(
                  Andel_oberoende_av_klimat*VLOOKUP($A242,Leveranser_per_nät,'Leveranser per nät'!T$1,FALSE)
               +Andel_beroende_av_klimat*VLOOKUP($A242,Leveranser_per_nät,'Leveranser per nät'!T$1,FALSE)/VLOOKUP($B242,Korrigeringsfaktor_GD,'Korrigeringsfaktor GD'!T$1,FALSE),
"")</f>
        <v/>
      </c>
      <c r="U242" s="18" t="str">
        <f>IFERROR(
                  Andel_oberoende_av_klimat*VLOOKUP($A242,Leveranser_per_nät,'Leveranser per nät'!U$1,FALSE)
               +Andel_beroende_av_klimat*VLOOKUP($A242,Leveranser_per_nät,'Leveranser per nät'!U$1,FALSE)/VLOOKUP($B242,Korrigeringsfaktor_GD,'Korrigeringsfaktor GD'!U$1,FALSE),
"")</f>
        <v/>
      </c>
      <c r="V242" s="18" t="str">
        <f>IFERROR(
                  Andel_oberoende_av_klimat*VLOOKUP($A242,Leveranser_per_nät,'Leveranser per nät'!V$1,FALSE)
               +Andel_beroende_av_klimat*VLOOKUP($A242,Leveranser_per_nät,'Leveranser per nät'!V$1,FALSE)/VLOOKUP($B242,Korrigeringsfaktor_GD,'Korrigeringsfaktor GD'!V$1,FALSE),
"")</f>
        <v/>
      </c>
      <c r="W242" s="18" t="str">
        <f>IFERROR(
                  Andel_oberoende_av_klimat*VLOOKUP($A242,Leveranser_per_nät,'Leveranser per nät'!W$1,FALSE)
               +Andel_beroende_av_klimat*VLOOKUP($A242,Leveranser_per_nät,'Leveranser per nät'!W$1,FALSE)/VLOOKUP($B242,Korrigeringsfaktor_GD,'Korrigeringsfaktor GD'!W$1,FALSE),
"")</f>
        <v/>
      </c>
      <c r="X242" s="18" t="str">
        <f>IFERROR(
                  Andel_oberoende_av_klimat*VLOOKUP($A242,Leveranser_per_nät,'Leveranser per nät'!X$1,FALSE)
               +Andel_beroende_av_klimat*VLOOKUP($A242,Leveranser_per_nät,'Leveranser per nät'!X$1,FALSE)/VLOOKUP($B242,Korrigeringsfaktor_GD,'Korrigeringsfaktor GD'!X$1,FALSE),
"")</f>
        <v/>
      </c>
      <c r="Y242" s="18" t="str">
        <f>IFERROR(
                  Andel_oberoende_av_klimat*VLOOKUP($A242,Leveranser_per_nät,'Leveranser per nät'!Y$1,FALSE)
               +Andel_beroende_av_klimat*VLOOKUP($A242,Leveranser_per_nät,'Leveranser per nät'!Y$1,FALSE)/VLOOKUP($B242,Korrigeringsfaktor_GD,'Korrigeringsfaktor GD'!Y$1,FALSE),
"")</f>
        <v/>
      </c>
      <c r="Z242" s="18">
        <f>IFERROR(
                  Andel_oberoende_av_klimat*VLOOKUP($A242,Leveranser_per_nät,'Leveranser per nät'!Z$1,FALSE)
               +Andel_beroende_av_klimat*VLOOKUP($A242,Leveranser_per_nät,'Leveranser per nät'!Z$1,FALSE)/VLOOKUP($B242,Korrigeringsfaktor_GD,'Korrigeringsfaktor GD'!Z$1,FALSE),
"")</f>
        <v>0</v>
      </c>
      <c r="AA242" s="18" t="str">
        <f>IFERROR(
                  Andel_oberoende_av_klimat*VLOOKUP($A242,Leveranser_per_nät,'Leveranser per nät'!AA$1,FALSE)
               +Andel_beroende_av_klimat*VLOOKUP($A242,Leveranser_per_nät,'Leveranser per nät'!AA$1,FALSE)/VLOOKUP($B242,Korrigeringsfaktor_GD,'Korrigeringsfaktor GD'!AA$1,FALSE),
"")</f>
        <v/>
      </c>
      <c r="AB242" s="18">
        <f>IFERROR(
                  Andel_oberoende_av_klimat*VLOOKUP($A242,Leveranser_per_nät,'Leveranser per nät'!AB$1,FALSE)
               +Andel_beroende_av_klimat*VLOOKUP($A242,Leveranser_per_nät,'Leveranser per nät'!AB$1,FALSE)/VLOOKUP($B242,Korrigeringsfaktor_GD,'Korrigeringsfaktor GD'!AB$1,FALSE),
"")</f>
        <v>0</v>
      </c>
      <c r="AC242" s="18">
        <f>IFERROR(
                  Andel_oberoende_av_klimat*VLOOKUP($A242,Leveranser_per_nät,'Leveranser per nät'!AC$1,FALSE)
               +Andel_beroende_av_klimat*VLOOKUP($A242,Leveranser_per_nät,'Leveranser per nät'!AC$1,FALSE)/VLOOKUP($B242,Korrigeringsfaktor_GD,'Korrigeringsfaktor GD'!AC$1,FALSE),
"")</f>
        <v>0</v>
      </c>
      <c r="AD242">
        <v>513.26678000000004</v>
      </c>
    </row>
    <row r="243" spans="1:30" x14ac:dyDescent="0.25">
      <c r="A243" t="s">
        <v>359</v>
      </c>
      <c r="B243" t="s">
        <v>126</v>
      </c>
      <c r="C243" s="18">
        <f>IFERROR(
                  Andel_oberoende_av_klimat*VLOOKUP($A243,Leveranser_per_nät,'Leveranser per nät'!C$1,FALSE)
               +Andel_beroende_av_klimat*VLOOKUP($A243,Leveranser_per_nät,'Leveranser per nät'!C$1,FALSE)/VLOOKUP($B243,Korrigeringsfaktor_GD,'Korrigeringsfaktor GD'!C$1,FALSE),
"")</f>
        <v>68.266666666666666</v>
      </c>
      <c r="D243" s="18">
        <f>IFERROR(
                  Andel_oberoende_av_klimat*VLOOKUP($A243,Leveranser_per_nät,'Leveranser per nät'!D$1,FALSE)
               +Andel_beroende_av_klimat*VLOOKUP($A243,Leveranser_per_nät,'Leveranser per nät'!D$1,FALSE)/VLOOKUP($B243,Korrigeringsfaktor_GD,'Korrigeringsfaktor GD'!D$1,FALSE),
"")</f>
        <v>65.763750000000002</v>
      </c>
      <c r="E243" s="18">
        <f>IFERROR(
                  Andel_oberoende_av_klimat*VLOOKUP($A243,Leveranser_per_nät,'Leveranser per nät'!E$1,FALSE)
               +Andel_beroende_av_klimat*VLOOKUP($A243,Leveranser_per_nät,'Leveranser per nät'!E$1,FALSE)/VLOOKUP($B243,Korrigeringsfaktor_GD,'Korrigeringsfaktor GD'!E$1,FALSE),
"")</f>
        <v>65.353891089108913</v>
      </c>
      <c r="F243" s="18">
        <f>IFERROR(
                  Andel_oberoende_av_klimat*VLOOKUP($A243,Leveranser_per_nät,'Leveranser per nät'!F$1,FALSE)
               +Andel_beroende_av_klimat*VLOOKUP($A243,Leveranser_per_nät,'Leveranser per nät'!F$1,FALSE)/VLOOKUP($B243,Korrigeringsfaktor_GD,'Korrigeringsfaktor GD'!F$1,FALSE),
"")</f>
        <v>80.274999999999991</v>
      </c>
      <c r="G243" s="18">
        <f>IFERROR(
                  Andel_oberoende_av_klimat*VLOOKUP($A243,Leveranser_per_nät,'Leveranser per nät'!G$1,FALSE)
               +Andel_beroende_av_klimat*VLOOKUP($A243,Leveranser_per_nät,'Leveranser per nät'!G$1,FALSE)/VLOOKUP($B243,Korrigeringsfaktor_GD,'Korrigeringsfaktor GD'!G$1,FALSE),
"")</f>
        <v>85.445454545454538</v>
      </c>
      <c r="H243" s="18">
        <f>IFERROR(
                  Andel_oberoende_av_klimat*VLOOKUP($A243,Leveranser_per_nät,'Leveranser per nät'!H$1,FALSE)
               +Andel_beroende_av_klimat*VLOOKUP($A243,Leveranser_per_nät,'Leveranser per nät'!H$1,FALSE)/VLOOKUP($B243,Korrigeringsfaktor_GD,'Korrigeringsfaktor GD'!H$1,FALSE),
"")</f>
        <v>94.447842574257422</v>
      </c>
      <c r="I243" s="18">
        <f>IFERROR(
                  Andel_oberoende_av_klimat*VLOOKUP($A243,Leveranser_per_nät,'Leveranser per nät'!I$1,FALSE)
               +Andel_beroende_av_klimat*VLOOKUP($A243,Leveranser_per_nät,'Leveranser per nät'!I$1,FALSE)/VLOOKUP($B243,Korrigeringsfaktor_GD,'Korrigeringsfaktor GD'!I$1,FALSE),
"")</f>
        <v>90.926804123711335</v>
      </c>
      <c r="J243" s="18">
        <f>IFERROR(
                  Andel_oberoende_av_klimat*VLOOKUP($A243,Leveranser_per_nät,'Leveranser per nät'!J$1,FALSE)
               +Andel_beroende_av_klimat*VLOOKUP($A243,Leveranser_per_nät,'Leveranser per nät'!J$1,FALSE)/VLOOKUP($B243,Korrigeringsfaktor_GD,'Korrigeringsfaktor GD'!J$1,FALSE),
"")</f>
        <v>93.991752577319588</v>
      </c>
      <c r="K243" s="18">
        <f>IFERROR(
                  Andel_oberoende_av_klimat*VLOOKUP($A243,Leveranser_per_nät,'Leveranser per nät'!K$1,FALSE)
               +Andel_beroende_av_klimat*VLOOKUP($A243,Leveranser_per_nät,'Leveranser per nät'!K$1,FALSE)/VLOOKUP($B243,Korrigeringsfaktor_GD,'Korrigeringsfaktor GD'!K$1,FALSE),
"")</f>
        <v>101.12593092783506</v>
      </c>
      <c r="L243" s="18">
        <f>IFERROR(
                  Andel_oberoende_av_klimat*VLOOKUP($A243,Leveranser_per_nät,'Leveranser per nät'!L$1,FALSE)
               +Andel_beroende_av_klimat*VLOOKUP($A243,Leveranser_per_nät,'Leveranser per nät'!L$1,FALSE)/VLOOKUP($B243,Korrigeringsfaktor_GD,'Korrigeringsfaktor GD'!L$1,FALSE),
"")</f>
        <v>99.718965957446812</v>
      </c>
      <c r="M243" s="18">
        <f>IFERROR(
                  Andel_oberoende_av_klimat*VLOOKUP($A243,Leveranser_per_nät,'Leveranser per nät'!M$1,FALSE)
               +Andel_beroende_av_klimat*VLOOKUP($A243,Leveranser_per_nät,'Leveranser per nät'!M$1,FALSE)/VLOOKUP($B243,Korrigeringsfaktor_GD,'Korrigeringsfaktor GD'!M$1,FALSE),
"")</f>
        <v>100.64883076923077</v>
      </c>
      <c r="N243" s="18">
        <f>IFERROR(
                  Andel_oberoende_av_klimat*VLOOKUP($A243,Leveranser_per_nät,'Leveranser per nät'!N$1,FALSE)
               +Andel_beroende_av_klimat*VLOOKUP($A243,Leveranser_per_nät,'Leveranser per nät'!N$1,FALSE)/VLOOKUP($B243,Korrigeringsfaktor_GD,'Korrigeringsfaktor GD'!N$1,FALSE),
"")</f>
        <v>101.36229139784946</v>
      </c>
      <c r="O243" s="18">
        <f>IFERROR(
                  Andel_oberoende_av_klimat*VLOOKUP($A243,Leveranser_per_nät,'Leveranser per nät'!O$1,FALSE)
               +Andel_beroende_av_klimat*VLOOKUP($A243,Leveranser_per_nät,'Leveranser per nät'!O$1,FALSE)/VLOOKUP($B243,Korrigeringsfaktor_GD,'Korrigeringsfaktor GD'!O$1,FALSE),
"")</f>
        <v>112.28740769230768</v>
      </c>
      <c r="P243" s="18">
        <f>IFERROR(
                  Andel_oberoende_av_klimat*VLOOKUP($A243,Leveranser_per_nät,'Leveranser per nät'!P$1,FALSE)
               +Andel_beroende_av_klimat*VLOOKUP($A243,Leveranser_per_nät,'Leveranser per nät'!P$1,FALSE)/VLOOKUP($B243,Korrigeringsfaktor_GD,'Korrigeringsfaktor GD'!P$1,FALSE),
"")</f>
        <v>110.64335714285716</v>
      </c>
      <c r="Q243" s="18">
        <f>IFERROR(
                  Andel_oberoende_av_klimat*VLOOKUP($A243,Leveranser_per_nät,'Leveranser per nät'!Q$1,FALSE)
               +Andel_beroende_av_klimat*VLOOKUP($A243,Leveranser_per_nät,'Leveranser per nät'!Q$1,FALSE)/VLOOKUP($B243,Korrigeringsfaktor_GD,'Korrigeringsfaktor GD'!Q$1,FALSE),
"")</f>
        <v>107.01708695652174</v>
      </c>
      <c r="R243" s="18">
        <f>IFERROR(
                  Andel_oberoende_av_klimat*VLOOKUP($A243,Leveranser_per_nät,'Leveranser per nät'!R$1,FALSE)
               +Andel_beroende_av_klimat*VLOOKUP($A243,Leveranser_per_nät,'Leveranser per nät'!R$1,FALSE)/VLOOKUP($B243,Korrigeringsfaktor_GD,'Korrigeringsfaktor GD'!R$1,FALSE),
"")</f>
        <v>106.56167692307693</v>
      </c>
      <c r="S243" s="18">
        <f>IFERROR(
                  Andel_oberoende_av_klimat*VLOOKUP($A243,Leveranser_per_nät,'Leveranser per nät'!S$1,FALSE)
               +Andel_beroende_av_klimat*VLOOKUP($A243,Leveranser_per_nät,'Leveranser per nät'!S$1,FALSE)/VLOOKUP($B243,Korrigeringsfaktor_GD,'Korrigeringsfaktor GD'!S$1,FALSE),
"")</f>
        <v>106</v>
      </c>
      <c r="T243" s="18">
        <f>IFERROR(
                  Andel_oberoende_av_klimat*VLOOKUP($A243,Leveranser_per_nät,'Leveranser per nät'!T$1,FALSE)
               +Andel_beroende_av_klimat*VLOOKUP($A243,Leveranser_per_nät,'Leveranser per nät'!T$1,FALSE)/VLOOKUP($B243,Korrigeringsfaktor_GD,'Korrigeringsfaktor GD'!T$1,FALSE),
"")</f>
        <v>106.02851052631578</v>
      </c>
      <c r="U243" s="18">
        <f>IFERROR(
                  Andel_oberoende_av_klimat*VLOOKUP($A243,Leveranser_per_nät,'Leveranser per nät'!U$1,FALSE)
               +Andel_beroende_av_klimat*VLOOKUP($A243,Leveranser_per_nät,'Leveranser per nät'!U$1,FALSE)/VLOOKUP($B243,Korrigeringsfaktor_GD,'Korrigeringsfaktor GD'!U$1,FALSE),
"")</f>
        <v>103.47852222222221</v>
      </c>
      <c r="V243" s="18">
        <f>IFERROR(
                  Andel_oberoende_av_klimat*VLOOKUP($A243,Leveranser_per_nät,'Leveranser per nät'!V$1,FALSE)
               +Andel_beroende_av_klimat*VLOOKUP($A243,Leveranser_per_nät,'Leveranser per nät'!V$1,FALSE)/VLOOKUP($B243,Korrigeringsfaktor_GD,'Korrigeringsfaktor GD'!V$1,FALSE),
"")</f>
        <v>101.90653118279567</v>
      </c>
      <c r="W243" s="18">
        <f>IFERROR(
                  Andel_oberoende_av_klimat*VLOOKUP($A243,Leveranser_per_nät,'Leveranser per nät'!W$1,FALSE)
               +Andel_beroende_av_klimat*VLOOKUP($A243,Leveranser_per_nät,'Leveranser per nät'!W$1,FALSE)/VLOOKUP($B243,Korrigeringsfaktor_GD,'Korrigeringsfaktor GD'!W$1,FALSE),
"")</f>
        <v>107.30486701030928</v>
      </c>
      <c r="X243" s="18">
        <f>IFERROR(
                  Andel_oberoende_av_klimat*VLOOKUP($A243,Leveranser_per_nät,'Leveranser per nät'!X$1,FALSE)
               +Andel_beroende_av_klimat*VLOOKUP($A243,Leveranser_per_nät,'Leveranser per nät'!X$1,FALSE)/VLOOKUP($B243,Korrigeringsfaktor_GD,'Korrigeringsfaktor GD'!X$1,FALSE),
"")</f>
        <v>104.51178383838385</v>
      </c>
      <c r="Y243" s="18">
        <f>IFERROR(
                  Andel_oberoende_av_klimat*VLOOKUP($A243,Leveranser_per_nät,'Leveranser per nät'!Y$1,FALSE)
               +Andel_beroende_av_klimat*VLOOKUP($A243,Leveranser_per_nät,'Leveranser per nät'!Y$1,FALSE)/VLOOKUP($B243,Korrigeringsfaktor_GD,'Korrigeringsfaktor GD'!Y$1,FALSE),
"")</f>
        <v>104.05397835051545</v>
      </c>
      <c r="Z243" s="18">
        <f>IFERROR(
                  Andel_oberoende_av_klimat*VLOOKUP($A243,Leveranser_per_nät,'Leveranser per nät'!Z$1,FALSE)
               +Andel_beroende_av_klimat*VLOOKUP($A243,Leveranser_per_nät,'Leveranser per nät'!Z$1,FALSE)/VLOOKUP($B243,Korrigeringsfaktor_GD,'Korrigeringsfaktor GD'!Z$1,FALSE),
"")</f>
        <v>109.98963076923076</v>
      </c>
      <c r="AA243" s="18">
        <f>IFERROR(
                  Andel_oberoende_av_klimat*VLOOKUP($A243,Leveranser_per_nät,'Leveranser per nät'!AA$1,FALSE)
               +Andel_beroende_av_klimat*VLOOKUP($A243,Leveranser_per_nät,'Leveranser per nät'!AA$1,FALSE)/VLOOKUP($B243,Korrigeringsfaktor_GD,'Korrigeringsfaktor GD'!AA$1,FALSE),
"")</f>
        <v>112.16180580448065</v>
      </c>
      <c r="AB243" s="18">
        <f>IFERROR(
                  Andel_oberoende_av_klimat*VLOOKUP($A243,Leveranser_per_nät,'Leveranser per nät'!AB$1,FALSE)
               +Andel_beroende_av_klimat*VLOOKUP($A243,Leveranser_per_nät,'Leveranser per nät'!AB$1,FALSE)/VLOOKUP($B243,Korrigeringsfaktor_GD,'Korrigeringsfaktor GD'!AB$1,FALSE),
"")</f>
        <v>105.02505917159763</v>
      </c>
      <c r="AC243" s="18">
        <f>IFERROR(
                  Andel_oberoende_av_klimat*VLOOKUP($A243,Leveranser_per_nät,'Leveranser per nät'!AC$1,FALSE)
               +Andel_beroende_av_klimat*VLOOKUP($A243,Leveranser_per_nät,'Leveranser per nät'!AC$1,FALSE)/VLOOKUP($B243,Korrigeringsfaktor_GD,'Korrigeringsfaktor GD'!AC$1,FALSE),
"")</f>
        <v>108.59987513007283</v>
      </c>
      <c r="AD243">
        <v>10.417</v>
      </c>
    </row>
    <row r="244" spans="1:30" x14ac:dyDescent="0.25">
      <c r="A244" t="s">
        <v>196</v>
      </c>
      <c r="B244" t="s">
        <v>196</v>
      </c>
      <c r="C244" s="18">
        <f>IFERROR(
                  Andel_oberoende_av_klimat*VLOOKUP($A244,Leveranser_per_nät,'Leveranser per nät'!C$1,FALSE)
               +Andel_beroende_av_klimat*VLOOKUP($A244,Leveranser_per_nät,'Leveranser per nät'!C$1,FALSE)/VLOOKUP($B244,Korrigeringsfaktor_GD,'Korrigeringsfaktor GD'!C$1,FALSE),
"")</f>
        <v>656.85882352941178</v>
      </c>
      <c r="D244" s="18">
        <f>IFERROR(
                  Andel_oberoende_av_klimat*VLOOKUP($A244,Leveranser_per_nät,'Leveranser per nät'!D$1,FALSE)
               +Andel_beroende_av_klimat*VLOOKUP($A244,Leveranser_per_nät,'Leveranser per nät'!D$1,FALSE)/VLOOKUP($B244,Korrigeringsfaktor_GD,'Korrigeringsfaktor GD'!D$1,FALSE),
"")</f>
        <v>664.53190721649491</v>
      </c>
      <c r="E244" s="18">
        <f>IFERROR(
                  Andel_oberoende_av_klimat*VLOOKUP($A244,Leveranser_per_nät,'Leveranser per nät'!E$1,FALSE)
               +Andel_beroende_av_klimat*VLOOKUP($A244,Leveranser_per_nät,'Leveranser per nät'!E$1,FALSE)/VLOOKUP($B244,Korrigeringsfaktor_GD,'Korrigeringsfaktor GD'!E$1,FALSE),
"")</f>
        <v>679.85868076923066</v>
      </c>
      <c r="F244" s="18">
        <f>IFERROR(
                  Andel_oberoende_av_klimat*VLOOKUP($A244,Leveranser_per_nät,'Leveranser per nät'!F$1,FALSE)
               +Andel_beroende_av_klimat*VLOOKUP($A244,Leveranser_per_nät,'Leveranser per nät'!F$1,FALSE)/VLOOKUP($B244,Korrigeringsfaktor_GD,'Korrigeringsfaktor GD'!F$1,FALSE),
"")</f>
        <v>681</v>
      </c>
      <c r="G244" s="18">
        <f>IFERROR(
                  Andel_oberoende_av_klimat*VLOOKUP($A244,Leveranser_per_nät,'Leveranser per nät'!G$1,FALSE)
               +Andel_beroende_av_klimat*VLOOKUP($A244,Leveranser_per_nät,'Leveranser per nät'!G$1,FALSE)/VLOOKUP($B244,Korrigeringsfaktor_GD,'Korrigeringsfaktor GD'!G$1,FALSE),
"")</f>
        <v>675.7538461538461</v>
      </c>
      <c r="H244" s="18">
        <f>IFERROR(
                  Andel_oberoende_av_klimat*VLOOKUP($A244,Leveranser_per_nät,'Leveranser per nät'!H$1,FALSE)
               +Andel_beroende_av_klimat*VLOOKUP($A244,Leveranser_per_nät,'Leveranser per nät'!H$1,FALSE)/VLOOKUP($B244,Korrigeringsfaktor_GD,'Korrigeringsfaktor GD'!H$1,FALSE),
"")</f>
        <v>704.85199999999998</v>
      </c>
      <c r="I244" s="18">
        <f>IFERROR(
                  Andel_oberoende_av_klimat*VLOOKUP($A244,Leveranser_per_nät,'Leveranser per nät'!I$1,FALSE)
               +Andel_beroende_av_klimat*VLOOKUP($A244,Leveranser_per_nät,'Leveranser per nät'!I$1,FALSE)/VLOOKUP($B244,Korrigeringsfaktor_GD,'Korrigeringsfaktor GD'!I$1,FALSE),
"")</f>
        <v>729.39110101010101</v>
      </c>
      <c r="J244" s="18">
        <f>IFERROR(
                  Andel_oberoende_av_klimat*VLOOKUP($A244,Leveranser_per_nät,'Leveranser per nät'!J$1,FALSE)
               +Andel_beroende_av_klimat*VLOOKUP($A244,Leveranser_per_nät,'Leveranser per nät'!J$1,FALSE)/VLOOKUP($B244,Korrigeringsfaktor_GD,'Korrigeringsfaktor GD'!J$1,FALSE),
"")</f>
        <v>722.47500000000002</v>
      </c>
      <c r="K244" s="18">
        <f>IFERROR(
                  Andel_oberoende_av_klimat*VLOOKUP($A244,Leveranser_per_nät,'Leveranser per nät'!K$1,FALSE)
               +Andel_beroende_av_klimat*VLOOKUP($A244,Leveranser_per_nät,'Leveranser per nät'!K$1,FALSE)/VLOOKUP($B244,Korrigeringsfaktor_GD,'Korrigeringsfaktor GD'!K$1,FALSE),
"")</f>
        <v>738.16872929292924</v>
      </c>
      <c r="L244" s="18">
        <f>IFERROR(
                  Andel_oberoende_av_klimat*VLOOKUP($A244,Leveranser_per_nät,'Leveranser per nät'!L$1,FALSE)
               +Andel_beroende_av_klimat*VLOOKUP($A244,Leveranser_per_nät,'Leveranser per nät'!L$1,FALSE)/VLOOKUP($B244,Korrigeringsfaktor_GD,'Korrigeringsfaktor GD'!L$1,FALSE),
"")</f>
        <v>731.575652173913</v>
      </c>
      <c r="M244" s="18">
        <f>IFERROR(
                  Andel_oberoende_av_klimat*VLOOKUP($A244,Leveranser_per_nät,'Leveranser per nät'!M$1,FALSE)
               +Andel_beroende_av_klimat*VLOOKUP($A244,Leveranser_per_nät,'Leveranser per nät'!M$1,FALSE)/VLOOKUP($B244,Korrigeringsfaktor_GD,'Korrigeringsfaktor GD'!M$1,FALSE),
"")</f>
        <v>747.30333333333328</v>
      </c>
      <c r="N244" s="18">
        <f>IFERROR(
                  Andel_oberoende_av_klimat*VLOOKUP($A244,Leveranser_per_nät,'Leveranser per nät'!N$1,FALSE)
               +Andel_beroende_av_klimat*VLOOKUP($A244,Leveranser_per_nät,'Leveranser per nät'!N$1,FALSE)/VLOOKUP($B244,Korrigeringsfaktor_GD,'Korrigeringsfaktor GD'!N$1,FALSE),
"")</f>
        <v>776.77860215053761</v>
      </c>
      <c r="O244" s="18">
        <f>IFERROR(
                  Andel_oberoende_av_klimat*VLOOKUP($A244,Leveranser_per_nät,'Leveranser per nät'!O$1,FALSE)
               +Andel_beroende_av_klimat*VLOOKUP($A244,Leveranser_per_nät,'Leveranser per nät'!O$1,FALSE)/VLOOKUP($B244,Korrigeringsfaktor_GD,'Korrigeringsfaktor GD'!O$1,FALSE),
"")</f>
        <v>776.98913978494625</v>
      </c>
      <c r="P244" s="18">
        <f>IFERROR(
                  Andel_oberoende_av_klimat*VLOOKUP($A244,Leveranser_per_nät,'Leveranser per nät'!P$1,FALSE)
               +Andel_beroende_av_klimat*VLOOKUP($A244,Leveranser_per_nät,'Leveranser per nät'!P$1,FALSE)/VLOOKUP($B244,Korrigeringsfaktor_GD,'Korrigeringsfaktor GD'!P$1,FALSE),
"")</f>
        <v>779.518556701031</v>
      </c>
      <c r="Q244" s="18">
        <f>IFERROR(
                  Andel_oberoende_av_klimat*VLOOKUP($A244,Leveranser_per_nät,'Leveranser per nät'!Q$1,FALSE)
               +Andel_beroende_av_klimat*VLOOKUP($A244,Leveranser_per_nät,'Leveranser per nät'!Q$1,FALSE)/VLOOKUP($B244,Korrigeringsfaktor_GD,'Korrigeringsfaktor GD'!Q$1,FALSE),
"")</f>
        <v>811.8011009174312</v>
      </c>
      <c r="R244" s="18">
        <f>IFERROR(
                  Andel_oberoende_av_klimat*VLOOKUP($A244,Leveranser_per_nät,'Leveranser per nät'!R$1,FALSE)
               +Andel_beroende_av_klimat*VLOOKUP($A244,Leveranser_per_nät,'Leveranser per nät'!R$1,FALSE)/VLOOKUP($B244,Korrigeringsfaktor_GD,'Korrigeringsfaktor GD'!R$1,FALSE),
"")</f>
        <v>784.51444444444439</v>
      </c>
      <c r="S244" s="18">
        <f>IFERROR(
                  Andel_oberoende_av_klimat*VLOOKUP($A244,Leveranser_per_nät,'Leveranser per nät'!S$1,FALSE)
               +Andel_beroende_av_klimat*VLOOKUP($A244,Leveranser_per_nät,'Leveranser per nät'!S$1,FALSE)/VLOOKUP($B244,Korrigeringsfaktor_GD,'Korrigeringsfaktor GD'!S$1,FALSE),
"")</f>
        <v>811.69898989898991</v>
      </c>
      <c r="T244" s="18">
        <f>IFERROR(
                  Andel_oberoende_av_klimat*VLOOKUP($A244,Leveranser_per_nät,'Leveranser per nät'!T$1,FALSE)
               +Andel_beroende_av_klimat*VLOOKUP($A244,Leveranser_per_nät,'Leveranser per nät'!T$1,FALSE)/VLOOKUP($B244,Korrigeringsfaktor_GD,'Korrigeringsfaktor GD'!T$1,FALSE),
"")</f>
        <v>815.93860215053746</v>
      </c>
      <c r="U244" s="18">
        <f>IFERROR(
                  Andel_oberoende_av_klimat*VLOOKUP($A244,Leveranser_per_nät,'Leveranser per nät'!U$1,FALSE)
               +Andel_beroende_av_klimat*VLOOKUP($A244,Leveranser_per_nät,'Leveranser per nät'!U$1,FALSE)/VLOOKUP($B244,Korrigeringsfaktor_GD,'Korrigeringsfaktor GD'!U$1,FALSE),
"")</f>
        <v>801.32777777777778</v>
      </c>
      <c r="V244" s="18">
        <f>IFERROR(
                  Andel_oberoende_av_klimat*VLOOKUP($A244,Leveranser_per_nät,'Leveranser per nät'!V$1,FALSE)
               +Andel_beroende_av_klimat*VLOOKUP($A244,Leveranser_per_nät,'Leveranser per nät'!V$1,FALSE)/VLOOKUP($B244,Korrigeringsfaktor_GD,'Korrigeringsfaktor GD'!V$1,FALSE),
"")</f>
        <v>796.25395348837208</v>
      </c>
      <c r="W244" s="18">
        <f>IFERROR(
                  Andel_oberoende_av_klimat*VLOOKUP($A244,Leveranser_per_nät,'Leveranser per nät'!W$1,FALSE)
               +Andel_beroende_av_klimat*VLOOKUP($A244,Leveranser_per_nät,'Leveranser per nät'!W$1,FALSE)/VLOOKUP($B244,Korrigeringsfaktor_GD,'Korrigeringsfaktor GD'!W$1,FALSE),
"")</f>
        <v>807.95617021276598</v>
      </c>
      <c r="X244" s="18">
        <f>IFERROR(
                  Andel_oberoende_av_klimat*VLOOKUP($A244,Leveranser_per_nät,'Leveranser per nät'!X$1,FALSE)
               +Andel_beroende_av_klimat*VLOOKUP($A244,Leveranser_per_nät,'Leveranser per nät'!X$1,FALSE)/VLOOKUP($B244,Korrigeringsfaktor_GD,'Korrigeringsfaktor GD'!X$1,FALSE),
"")</f>
        <v>803.88208333333341</v>
      </c>
      <c r="Y244" s="18">
        <f>IFERROR(
                  Andel_oberoende_av_klimat*VLOOKUP($A244,Leveranser_per_nät,'Leveranser per nät'!Y$1,FALSE)
               +Andel_beroende_av_klimat*VLOOKUP($A244,Leveranser_per_nät,'Leveranser per nät'!Y$1,FALSE)/VLOOKUP($B244,Korrigeringsfaktor_GD,'Korrigeringsfaktor GD'!Y$1,FALSE),
"")</f>
        <v>806.28577319587635</v>
      </c>
      <c r="Z244" s="18">
        <f>IFERROR(
                  Andel_oberoende_av_klimat*VLOOKUP($A244,Leveranser_per_nät,'Leveranser per nät'!Z$1,FALSE)
               +Andel_beroende_av_klimat*VLOOKUP($A244,Leveranser_per_nät,'Leveranser per nät'!Z$1,FALSE)/VLOOKUP($B244,Korrigeringsfaktor_GD,'Korrigeringsfaktor GD'!Z$1,FALSE),
"")</f>
        <v>905.83136363636368</v>
      </c>
      <c r="AA244" s="18">
        <f>IFERROR(
                  Andel_oberoende_av_klimat*VLOOKUP($A244,Leveranser_per_nät,'Leveranser per nät'!AA$1,FALSE)
               +Andel_beroende_av_klimat*VLOOKUP($A244,Leveranser_per_nät,'Leveranser per nät'!AA$1,FALSE)/VLOOKUP($B244,Korrigeringsfaktor_GD,'Korrigeringsfaktor GD'!AA$1,FALSE),
"")</f>
        <v>800.96842237586429</v>
      </c>
      <c r="AB244" s="18">
        <f>IFERROR(
                  Andel_oberoende_av_klimat*VLOOKUP($A244,Leveranser_per_nät,'Leveranser per nät'!AB$1,FALSE)
               +Andel_beroende_av_klimat*VLOOKUP($A244,Leveranser_per_nät,'Leveranser per nät'!AB$1,FALSE)/VLOOKUP($B244,Korrigeringsfaktor_GD,'Korrigeringsfaktor GD'!AB$1,FALSE),
"")</f>
        <v>815.89814936954417</v>
      </c>
      <c r="AC244" s="18">
        <f>IFERROR(
                  Andel_oberoende_av_klimat*VLOOKUP($A244,Leveranser_per_nät,'Leveranser per nät'!AC$1,FALSE)
               +Andel_beroende_av_klimat*VLOOKUP($A244,Leveranser_per_nät,'Leveranser per nät'!AC$1,FALSE)/VLOOKUP($B244,Korrigeringsfaktor_GD,'Korrigeringsfaktor GD'!AC$1,FALSE),
"")</f>
        <v>797.10170802919708</v>
      </c>
      <c r="AD244">
        <v>765</v>
      </c>
    </row>
    <row r="245" spans="1:30" x14ac:dyDescent="0.25">
      <c r="A245" t="s">
        <v>388</v>
      </c>
      <c r="B245" t="s">
        <v>199</v>
      </c>
      <c r="C245" s="18">
        <f>IFERROR(
                  Andel_oberoende_av_klimat*VLOOKUP($A245,Leveranser_per_nät,'Leveranser per nät'!C$1,FALSE)
               +Andel_beroende_av_klimat*VLOOKUP($A245,Leveranser_per_nät,'Leveranser per nät'!C$1,FALSE)/VLOOKUP($B245,Korrigeringsfaktor_GD,'Korrigeringsfaktor GD'!C$1,FALSE),
"")</f>
        <v>832.36521739130444</v>
      </c>
      <c r="D245" s="18">
        <f>IFERROR(
                  Andel_oberoende_av_klimat*VLOOKUP($A245,Leveranser_per_nät,'Leveranser per nät'!D$1,FALSE)
               +Andel_beroende_av_klimat*VLOOKUP($A245,Leveranser_per_nät,'Leveranser per nät'!D$1,FALSE)/VLOOKUP($B245,Korrigeringsfaktor_GD,'Korrigeringsfaktor GD'!D$1,FALSE),
"")</f>
        <v>832.31705882352935</v>
      </c>
      <c r="E245" s="18">
        <f>IFERROR(
                  Andel_oberoende_av_klimat*VLOOKUP($A245,Leveranser_per_nät,'Leveranser per nät'!E$1,FALSE)
               +Andel_beroende_av_klimat*VLOOKUP($A245,Leveranser_per_nät,'Leveranser per nät'!E$1,FALSE)/VLOOKUP($B245,Korrigeringsfaktor_GD,'Korrigeringsfaktor GD'!E$1,FALSE),
"")</f>
        <v>852.98888888888894</v>
      </c>
      <c r="F245" s="18">
        <f>IFERROR(
                  Andel_oberoende_av_klimat*VLOOKUP($A245,Leveranser_per_nät,'Leveranser per nät'!F$1,FALSE)
               +Andel_beroende_av_klimat*VLOOKUP($A245,Leveranser_per_nät,'Leveranser per nät'!F$1,FALSE)/VLOOKUP($B245,Korrigeringsfaktor_GD,'Korrigeringsfaktor GD'!F$1,FALSE),
"")</f>
        <v>827.38723404255325</v>
      </c>
      <c r="G245" s="18">
        <f>IFERROR(
                  Andel_oberoende_av_klimat*VLOOKUP($A245,Leveranser_per_nät,'Leveranser per nät'!G$1,FALSE)
               +Andel_beroende_av_klimat*VLOOKUP($A245,Leveranser_per_nät,'Leveranser per nät'!G$1,FALSE)/VLOOKUP($B245,Korrigeringsfaktor_GD,'Korrigeringsfaktor GD'!G$1,FALSE),
"")</f>
        <v>801.87272727272727</v>
      </c>
      <c r="H245" s="18">
        <f>IFERROR(
                  Andel_oberoende_av_klimat*VLOOKUP($A245,Leveranser_per_nät,'Leveranser per nät'!H$1,FALSE)
               +Andel_beroende_av_klimat*VLOOKUP($A245,Leveranser_per_nät,'Leveranser per nät'!H$1,FALSE)/VLOOKUP($B245,Korrigeringsfaktor_GD,'Korrigeringsfaktor GD'!H$1,FALSE),
"")</f>
        <v>813</v>
      </c>
      <c r="I245" s="18">
        <f>IFERROR(
                  Andel_oberoende_av_klimat*VLOOKUP($A245,Leveranser_per_nät,'Leveranser per nät'!I$1,FALSE)
               +Andel_beroende_av_klimat*VLOOKUP($A245,Leveranser_per_nät,'Leveranser per nät'!I$1,FALSE)/VLOOKUP($B245,Korrigeringsfaktor_GD,'Korrigeringsfaktor GD'!I$1,FALSE),
"")</f>
        <v>894.79473684210529</v>
      </c>
      <c r="J245" s="18">
        <f>IFERROR(
                  Andel_oberoende_av_klimat*VLOOKUP($A245,Leveranser_per_nät,'Leveranser per nät'!J$1,FALSE)
               +Andel_beroende_av_klimat*VLOOKUP($A245,Leveranser_per_nät,'Leveranser per nät'!J$1,FALSE)/VLOOKUP($B245,Korrigeringsfaktor_GD,'Korrigeringsfaktor GD'!J$1,FALSE),
"")</f>
        <v>881.18686868686882</v>
      </c>
      <c r="K245" s="18">
        <f>IFERROR(
                  Andel_oberoende_av_klimat*VLOOKUP($A245,Leveranser_per_nät,'Leveranser per nät'!K$1,FALSE)
               +Andel_beroende_av_klimat*VLOOKUP($A245,Leveranser_per_nät,'Leveranser per nät'!K$1,FALSE)/VLOOKUP($B245,Korrigeringsfaktor_GD,'Korrigeringsfaktor GD'!K$1,FALSE),
"")</f>
        <v>899.81767676767663</v>
      </c>
      <c r="L245" s="18">
        <f>IFERROR(
                  Andel_oberoende_av_klimat*VLOOKUP($A245,Leveranser_per_nät,'Leveranser per nät'!L$1,FALSE)
               +Andel_beroende_av_klimat*VLOOKUP($A245,Leveranser_per_nät,'Leveranser per nät'!L$1,FALSE)/VLOOKUP($B245,Korrigeringsfaktor_GD,'Korrigeringsfaktor GD'!L$1,FALSE),
"")</f>
        <v>833.15515463917518</v>
      </c>
      <c r="M245" s="18">
        <f>IFERROR(
                  Andel_oberoende_av_klimat*VLOOKUP($A245,Leveranser_per_nät,'Leveranser per nät'!M$1,FALSE)
               +Andel_beroende_av_klimat*VLOOKUP($A245,Leveranser_per_nät,'Leveranser per nät'!M$1,FALSE)/VLOOKUP($B245,Korrigeringsfaktor_GD,'Korrigeringsfaktor GD'!M$1,FALSE),
"")</f>
        <v>819.0297872340426</v>
      </c>
      <c r="N245" s="18">
        <f>IFERROR(
                  Andel_oberoende_av_klimat*VLOOKUP($A245,Leveranser_per_nät,'Leveranser per nät'!N$1,FALSE)
               +Andel_beroende_av_klimat*VLOOKUP($A245,Leveranser_per_nät,'Leveranser per nät'!N$1,FALSE)/VLOOKUP($B245,Korrigeringsfaktor_GD,'Korrigeringsfaktor GD'!N$1,FALSE),
"")</f>
        <v>854.4545454545455</v>
      </c>
      <c r="O245" s="18">
        <f>IFERROR(
                  Andel_oberoende_av_klimat*VLOOKUP($A245,Leveranser_per_nät,'Leveranser per nät'!O$1,FALSE)
               +Andel_beroende_av_klimat*VLOOKUP($A245,Leveranser_per_nät,'Leveranser per nät'!O$1,FALSE)/VLOOKUP($B245,Korrigeringsfaktor_GD,'Korrigeringsfaktor GD'!O$1,FALSE),
"")</f>
        <v>828.7950561797752</v>
      </c>
      <c r="P245" s="18">
        <f>IFERROR(
                  Andel_oberoende_av_klimat*VLOOKUP($A245,Leveranser_per_nät,'Leveranser per nät'!P$1,FALSE)
               +Andel_beroende_av_klimat*VLOOKUP($A245,Leveranser_per_nät,'Leveranser per nät'!P$1,FALSE)/VLOOKUP($B245,Korrigeringsfaktor_GD,'Korrigeringsfaktor GD'!P$1,FALSE),
"")</f>
        <v>789.63288659793818</v>
      </c>
      <c r="Q245" s="18">
        <f>IFERROR(
                  Andel_oberoende_av_klimat*VLOOKUP($A245,Leveranser_per_nät,'Leveranser per nät'!Q$1,FALSE)
               +Andel_beroende_av_klimat*VLOOKUP($A245,Leveranser_per_nät,'Leveranser per nät'!Q$1,FALSE)/VLOOKUP($B245,Korrigeringsfaktor_GD,'Korrigeringsfaktor GD'!Q$1,FALSE),
"")</f>
        <v>0</v>
      </c>
      <c r="R245" s="18">
        <f>IFERROR(
                  Andel_oberoende_av_klimat*VLOOKUP($A245,Leveranser_per_nät,'Leveranser per nät'!R$1,FALSE)
               +Andel_beroende_av_klimat*VLOOKUP($A245,Leveranser_per_nät,'Leveranser per nät'!R$1,FALSE)/VLOOKUP($B245,Korrigeringsfaktor_GD,'Korrigeringsfaktor GD'!R$1,FALSE),
"")</f>
        <v>0</v>
      </c>
      <c r="S245" s="18">
        <f>IFERROR(
                  Andel_oberoende_av_klimat*VLOOKUP($A245,Leveranser_per_nät,'Leveranser per nät'!S$1,FALSE)
               +Andel_beroende_av_klimat*VLOOKUP($A245,Leveranser_per_nät,'Leveranser per nät'!S$1,FALSE)/VLOOKUP($B245,Korrigeringsfaktor_GD,'Korrigeringsfaktor GD'!S$1,FALSE),
"")</f>
        <v>0</v>
      </c>
      <c r="T245" s="18" t="str">
        <f>IFERROR(
                  Andel_oberoende_av_klimat*VLOOKUP($A245,Leveranser_per_nät,'Leveranser per nät'!T$1,FALSE)
               +Andel_beroende_av_klimat*VLOOKUP($A245,Leveranser_per_nät,'Leveranser per nät'!T$1,FALSE)/VLOOKUP($B245,Korrigeringsfaktor_GD,'Korrigeringsfaktor GD'!T$1,FALSE),
"")</f>
        <v/>
      </c>
      <c r="U245" s="18" t="str">
        <f>IFERROR(
                  Andel_oberoende_av_klimat*VLOOKUP($A245,Leveranser_per_nät,'Leveranser per nät'!U$1,FALSE)
               +Andel_beroende_av_klimat*VLOOKUP($A245,Leveranser_per_nät,'Leveranser per nät'!U$1,FALSE)/VLOOKUP($B245,Korrigeringsfaktor_GD,'Korrigeringsfaktor GD'!U$1,FALSE),
"")</f>
        <v/>
      </c>
      <c r="V245" s="18" t="str">
        <f>IFERROR(
                  Andel_oberoende_av_klimat*VLOOKUP($A245,Leveranser_per_nät,'Leveranser per nät'!V$1,FALSE)
               +Andel_beroende_av_klimat*VLOOKUP($A245,Leveranser_per_nät,'Leveranser per nät'!V$1,FALSE)/VLOOKUP($B245,Korrigeringsfaktor_GD,'Korrigeringsfaktor GD'!V$1,FALSE),
"")</f>
        <v/>
      </c>
      <c r="W245" s="18" t="str">
        <f>IFERROR(
                  Andel_oberoende_av_klimat*VLOOKUP($A245,Leveranser_per_nät,'Leveranser per nät'!W$1,FALSE)
               +Andel_beroende_av_klimat*VLOOKUP($A245,Leveranser_per_nät,'Leveranser per nät'!W$1,FALSE)/VLOOKUP($B245,Korrigeringsfaktor_GD,'Korrigeringsfaktor GD'!W$1,FALSE),
"")</f>
        <v/>
      </c>
      <c r="X245" s="18" t="str">
        <f>IFERROR(
                  Andel_oberoende_av_klimat*VLOOKUP($A245,Leveranser_per_nät,'Leveranser per nät'!X$1,FALSE)
               +Andel_beroende_av_klimat*VLOOKUP($A245,Leveranser_per_nät,'Leveranser per nät'!X$1,FALSE)/VLOOKUP($B245,Korrigeringsfaktor_GD,'Korrigeringsfaktor GD'!X$1,FALSE),
"")</f>
        <v/>
      </c>
      <c r="Y245" s="18" t="str">
        <f>IFERROR(
                  Andel_oberoende_av_klimat*VLOOKUP($A245,Leveranser_per_nät,'Leveranser per nät'!Y$1,FALSE)
               +Andel_beroende_av_klimat*VLOOKUP($A245,Leveranser_per_nät,'Leveranser per nät'!Y$1,FALSE)/VLOOKUP($B245,Korrigeringsfaktor_GD,'Korrigeringsfaktor GD'!Y$1,FALSE),
"")</f>
        <v/>
      </c>
      <c r="Z245" s="18">
        <f>IFERROR(
                  Andel_oberoende_av_klimat*VLOOKUP($A245,Leveranser_per_nät,'Leveranser per nät'!Z$1,FALSE)
               +Andel_beroende_av_klimat*VLOOKUP($A245,Leveranser_per_nät,'Leveranser per nät'!Z$1,FALSE)/VLOOKUP($B245,Korrigeringsfaktor_GD,'Korrigeringsfaktor GD'!Z$1,FALSE),
"")</f>
        <v>0</v>
      </c>
      <c r="AA245" s="18" t="str">
        <f>IFERROR(
                  Andel_oberoende_av_klimat*VLOOKUP($A245,Leveranser_per_nät,'Leveranser per nät'!AA$1,FALSE)
               +Andel_beroende_av_klimat*VLOOKUP($A245,Leveranser_per_nät,'Leveranser per nät'!AA$1,FALSE)/VLOOKUP($B245,Korrigeringsfaktor_GD,'Korrigeringsfaktor GD'!AA$1,FALSE),
"")</f>
        <v/>
      </c>
      <c r="AB245" s="18">
        <f>IFERROR(
                  Andel_oberoende_av_klimat*VLOOKUP($A245,Leveranser_per_nät,'Leveranser per nät'!AB$1,FALSE)
               +Andel_beroende_av_klimat*VLOOKUP($A245,Leveranser_per_nät,'Leveranser per nät'!AB$1,FALSE)/VLOOKUP($B245,Korrigeringsfaktor_GD,'Korrigeringsfaktor GD'!AB$1,FALSE),
"")</f>
        <v>0</v>
      </c>
      <c r="AC245" s="18">
        <f>IFERROR(
                  Andel_oberoende_av_klimat*VLOOKUP($A245,Leveranser_per_nät,'Leveranser per nät'!AC$1,FALSE)
               +Andel_beroende_av_klimat*VLOOKUP($A245,Leveranser_per_nät,'Leveranser per nät'!AC$1,FALSE)/VLOOKUP($B245,Korrigeringsfaktor_GD,'Korrigeringsfaktor GD'!AC$1,FALSE),
"")</f>
        <v>0</v>
      </c>
      <c r="AD245" t="e">
        <v>#N/A</v>
      </c>
    </row>
    <row r="246" spans="1:30" x14ac:dyDescent="0.25">
      <c r="A246" t="s">
        <v>259</v>
      </c>
      <c r="B246" t="s">
        <v>259</v>
      </c>
      <c r="C246" s="18">
        <f>IFERROR(
                  Andel_oberoende_av_klimat*VLOOKUP($A246,Leveranser_per_nät,'Leveranser per nät'!C$1,FALSE)
               +Andel_beroende_av_klimat*VLOOKUP($A246,Leveranser_per_nät,'Leveranser per nät'!C$1,FALSE)/VLOOKUP($B246,Korrigeringsfaktor_GD,'Korrigeringsfaktor GD'!C$1,FALSE),
"")</f>
        <v>85.030899999999988</v>
      </c>
      <c r="D246" s="18">
        <f>IFERROR(
                  Andel_oberoende_av_klimat*VLOOKUP($A246,Leveranser_per_nät,'Leveranser per nät'!D$1,FALSE)
               +Andel_beroende_av_klimat*VLOOKUP($A246,Leveranser_per_nät,'Leveranser per nät'!D$1,FALSE)/VLOOKUP($B246,Korrigeringsfaktor_GD,'Korrigeringsfaktor GD'!D$1,FALSE),
"")</f>
        <v>84.929721649484534</v>
      </c>
      <c r="E246" s="18">
        <f>IFERROR(
                  Andel_oberoende_av_klimat*VLOOKUP($A246,Leveranser_per_nät,'Leveranser per nät'!E$1,FALSE)
               +Andel_beroende_av_klimat*VLOOKUP($A246,Leveranser_per_nät,'Leveranser per nät'!E$1,FALSE)/VLOOKUP($B246,Korrigeringsfaktor_GD,'Korrigeringsfaktor GD'!E$1,FALSE),
"")</f>
        <v>87.429360194174748</v>
      </c>
      <c r="F246" s="18">
        <f>IFERROR(
                  Andel_oberoende_av_klimat*VLOOKUP($A246,Leveranser_per_nät,'Leveranser per nät'!F$1,FALSE)
               +Andel_beroende_av_klimat*VLOOKUP($A246,Leveranser_per_nät,'Leveranser per nät'!F$1,FALSE)/VLOOKUP($B246,Korrigeringsfaktor_GD,'Korrigeringsfaktor GD'!F$1,FALSE),
"")</f>
        <v>90.254000000000005</v>
      </c>
      <c r="G246" s="18">
        <f>IFERROR(
                  Andel_oberoende_av_klimat*VLOOKUP($A246,Leveranser_per_nät,'Leveranser per nät'!G$1,FALSE)
               +Andel_beroende_av_klimat*VLOOKUP($A246,Leveranser_per_nät,'Leveranser per nät'!G$1,FALSE)/VLOOKUP($B246,Korrigeringsfaktor_GD,'Korrigeringsfaktor GD'!G$1,FALSE),
"")</f>
        <v>94.65290434782608</v>
      </c>
      <c r="H246" s="18">
        <f>IFERROR(
                  Andel_oberoende_av_klimat*VLOOKUP($A246,Leveranser_per_nät,'Leveranser per nät'!H$1,FALSE)
               +Andel_beroende_av_klimat*VLOOKUP($A246,Leveranser_per_nät,'Leveranser per nät'!H$1,FALSE)/VLOOKUP($B246,Korrigeringsfaktor_GD,'Korrigeringsfaktor GD'!H$1,FALSE),
"")</f>
        <v>120.49223300970874</v>
      </c>
      <c r="I246" s="18">
        <f>IFERROR(
                  Andel_oberoende_av_klimat*VLOOKUP($A246,Leveranser_per_nät,'Leveranser per nät'!I$1,FALSE)
               +Andel_beroende_av_klimat*VLOOKUP($A246,Leveranser_per_nät,'Leveranser per nät'!I$1,FALSE)/VLOOKUP($B246,Korrigeringsfaktor_GD,'Korrigeringsfaktor GD'!I$1,FALSE),
"")</f>
        <v>120.41250000000001</v>
      </c>
      <c r="J246" s="18">
        <f>IFERROR(
                  Andel_oberoende_av_klimat*VLOOKUP($A246,Leveranser_per_nät,'Leveranser per nät'!J$1,FALSE)
               +Andel_beroende_av_klimat*VLOOKUP($A246,Leveranser_per_nät,'Leveranser per nät'!J$1,FALSE)/VLOOKUP($B246,Korrigeringsfaktor_GD,'Korrigeringsfaktor GD'!J$1,FALSE),
"")</f>
        <v>119.52379484536083</v>
      </c>
      <c r="K246" s="18">
        <f>IFERROR(
                  Andel_oberoende_av_klimat*VLOOKUP($A246,Leveranser_per_nät,'Leveranser per nät'!K$1,FALSE)
               +Andel_beroende_av_klimat*VLOOKUP($A246,Leveranser_per_nät,'Leveranser per nät'!K$1,FALSE)/VLOOKUP($B246,Korrigeringsfaktor_GD,'Korrigeringsfaktor GD'!K$1,FALSE),
"")</f>
        <v>120.84848484848484</v>
      </c>
      <c r="L246" s="18">
        <f>IFERROR(
                  Andel_oberoende_av_klimat*VLOOKUP($A246,Leveranser_per_nät,'Leveranser per nät'!L$1,FALSE)
               +Andel_beroende_av_klimat*VLOOKUP($A246,Leveranser_per_nät,'Leveranser per nät'!L$1,FALSE)/VLOOKUP($B246,Korrigeringsfaktor_GD,'Korrigeringsfaktor GD'!L$1,FALSE),
"")</f>
        <v>133.39843191489362</v>
      </c>
      <c r="M246" s="18">
        <f>IFERROR(
                  Andel_oberoende_av_klimat*VLOOKUP($A246,Leveranser_per_nät,'Leveranser per nät'!M$1,FALSE)
               +Andel_beroende_av_klimat*VLOOKUP($A246,Leveranser_per_nät,'Leveranser per nät'!M$1,FALSE)/VLOOKUP($B246,Korrigeringsfaktor_GD,'Korrigeringsfaktor GD'!M$1,FALSE),
"")</f>
        <v>104.8107304347826</v>
      </c>
      <c r="N246" s="18">
        <f>IFERROR(
                  Andel_oberoende_av_klimat*VLOOKUP($A246,Leveranser_per_nät,'Leveranser per nät'!N$1,FALSE)
               +Andel_beroende_av_klimat*VLOOKUP($A246,Leveranser_per_nät,'Leveranser per nät'!N$1,FALSE)/VLOOKUP($B246,Korrigeringsfaktor_GD,'Korrigeringsfaktor GD'!N$1,FALSE),
"")</f>
        <v>102.43688947368422</v>
      </c>
      <c r="O246" s="18">
        <f>IFERROR(
                  Andel_oberoende_av_klimat*VLOOKUP($A246,Leveranser_per_nät,'Leveranser per nät'!O$1,FALSE)
               +Andel_beroende_av_klimat*VLOOKUP($A246,Leveranser_per_nät,'Leveranser per nät'!O$1,FALSE)/VLOOKUP($B246,Korrigeringsfaktor_GD,'Korrigeringsfaktor GD'!O$1,FALSE),
"")</f>
        <v>103.86843829787233</v>
      </c>
      <c r="P246" s="18">
        <f>IFERROR(
                  Andel_oberoende_av_klimat*VLOOKUP($A246,Leveranser_per_nät,'Leveranser per nät'!P$1,FALSE)
               +Andel_beroende_av_klimat*VLOOKUP($A246,Leveranser_per_nät,'Leveranser per nät'!P$1,FALSE)/VLOOKUP($B246,Korrigeringsfaktor_GD,'Korrigeringsfaktor GD'!P$1,FALSE),
"")</f>
        <v>105.64473838383839</v>
      </c>
      <c r="Q246" s="18">
        <f>IFERROR(
                  Andel_oberoende_av_klimat*VLOOKUP($A246,Leveranser_per_nät,'Leveranser per nät'!Q$1,FALSE)
               +Andel_beroende_av_klimat*VLOOKUP($A246,Leveranser_per_nät,'Leveranser per nät'!Q$1,FALSE)/VLOOKUP($B246,Korrigeringsfaktor_GD,'Korrigeringsfaktor GD'!Q$1,FALSE),
"")</f>
        <v>109.24952162162162</v>
      </c>
      <c r="R246" s="18">
        <f>IFERROR(
                  Andel_oberoende_av_klimat*VLOOKUP($A246,Leveranser_per_nät,'Leveranser per nät'!R$1,FALSE)
               +Andel_beroende_av_klimat*VLOOKUP($A246,Leveranser_per_nät,'Leveranser per nät'!R$1,FALSE)/VLOOKUP($B246,Korrigeringsfaktor_GD,'Korrigeringsfaktor GD'!R$1,FALSE),
"")</f>
        <v>106.22577777777778</v>
      </c>
      <c r="S246" s="18">
        <f>IFERROR(
                  Andel_oberoende_av_klimat*VLOOKUP($A246,Leveranser_per_nät,'Leveranser per nät'!S$1,FALSE)
               +Andel_beroende_av_klimat*VLOOKUP($A246,Leveranser_per_nät,'Leveranser per nät'!S$1,FALSE)/VLOOKUP($B246,Korrigeringsfaktor_GD,'Korrigeringsfaktor GD'!S$1,FALSE),
"")</f>
        <v>109.47647058823529</v>
      </c>
      <c r="T246" s="18">
        <f>IFERROR(
                  Andel_oberoende_av_klimat*VLOOKUP($A246,Leveranser_per_nät,'Leveranser per nät'!T$1,FALSE)
               +Andel_beroende_av_klimat*VLOOKUP($A246,Leveranser_per_nät,'Leveranser per nät'!T$1,FALSE)/VLOOKUP($B246,Korrigeringsfaktor_GD,'Korrigeringsfaktor GD'!T$1,FALSE),
"")</f>
        <v>108.34793010752688</v>
      </c>
      <c r="U246" s="18">
        <f>IFERROR(
                  Andel_oberoende_av_klimat*VLOOKUP($A246,Leveranser_per_nät,'Leveranser per nät'!U$1,FALSE)
               +Andel_beroende_av_klimat*VLOOKUP($A246,Leveranser_per_nät,'Leveranser per nät'!U$1,FALSE)/VLOOKUP($B246,Korrigeringsfaktor_GD,'Korrigeringsfaktor GD'!U$1,FALSE),
"")</f>
        <v>105.52251685393259</v>
      </c>
      <c r="V246" s="18">
        <f>IFERROR(
                  Andel_oberoende_av_klimat*VLOOKUP($A246,Leveranser_per_nät,'Leveranser per nät'!V$1,FALSE)
               +Andel_beroende_av_klimat*VLOOKUP($A246,Leveranser_per_nät,'Leveranser per nät'!V$1,FALSE)/VLOOKUP($B246,Korrigeringsfaktor_GD,'Korrigeringsfaktor GD'!V$1,FALSE),
"")</f>
        <v>102.69974606741573</v>
      </c>
      <c r="W246" s="18">
        <f>IFERROR(
                  Andel_oberoende_av_klimat*VLOOKUP($A246,Leveranser_per_nät,'Leveranser per nät'!W$1,FALSE)
               +Andel_beroende_av_klimat*VLOOKUP($A246,Leveranser_per_nät,'Leveranser per nät'!W$1,FALSE)/VLOOKUP($B246,Korrigeringsfaktor_GD,'Korrigeringsfaktor GD'!W$1,FALSE),
"")</f>
        <v>105.98564166666665</v>
      </c>
      <c r="X246" s="18">
        <f>IFERROR(
                  Andel_oberoende_av_klimat*VLOOKUP($A246,Leveranser_per_nät,'Leveranser per nät'!X$1,FALSE)
               +Andel_beroende_av_klimat*VLOOKUP($A246,Leveranser_per_nät,'Leveranser per nät'!X$1,FALSE)/VLOOKUP($B246,Korrigeringsfaktor_GD,'Korrigeringsfaktor GD'!X$1,FALSE),
"")</f>
        <v>104.79671752577319</v>
      </c>
      <c r="Y246" s="18">
        <f>IFERROR(
                  Andel_oberoende_av_klimat*VLOOKUP($A246,Leveranser_per_nät,'Leveranser per nät'!Y$1,FALSE)
               +Andel_beroende_av_klimat*VLOOKUP($A246,Leveranser_per_nät,'Leveranser per nät'!Y$1,FALSE)/VLOOKUP($B246,Korrigeringsfaktor_GD,'Korrigeringsfaktor GD'!Y$1,FALSE),
"")</f>
        <v>107.10755714285715</v>
      </c>
      <c r="Z246" s="18">
        <f>IFERROR(
                  Andel_oberoende_av_klimat*VLOOKUP($A246,Leveranser_per_nät,'Leveranser per nät'!Z$1,FALSE)
               +Andel_beroende_av_klimat*VLOOKUP($A246,Leveranser_per_nät,'Leveranser per nät'!Z$1,FALSE)/VLOOKUP($B246,Korrigeringsfaktor_GD,'Korrigeringsfaktor GD'!Z$1,FALSE),
"")</f>
        <v>118.58591860465116</v>
      </c>
      <c r="AA246" s="18">
        <f>IFERROR(
                  Andel_oberoende_av_klimat*VLOOKUP($A246,Leveranser_per_nät,'Leveranser per nät'!AA$1,FALSE)
               +Andel_beroende_av_klimat*VLOOKUP($A246,Leveranser_per_nät,'Leveranser per nät'!AA$1,FALSE)/VLOOKUP($B246,Korrigeringsfaktor_GD,'Korrigeringsfaktor GD'!AA$1,FALSE),
"")</f>
        <v>108.54269064366289</v>
      </c>
      <c r="AB246" s="18">
        <f>IFERROR(
                  Andel_oberoende_av_klimat*VLOOKUP($A246,Leveranser_per_nät,'Leveranser per nät'!AB$1,FALSE)
               +Andel_beroende_av_klimat*VLOOKUP($A246,Leveranser_per_nät,'Leveranser per nät'!AB$1,FALSE)/VLOOKUP($B246,Korrigeringsfaktor_GD,'Korrigeringsfaktor GD'!AB$1,FALSE),
"")</f>
        <v>102.56819810810811</v>
      </c>
      <c r="AC246" s="18">
        <f>IFERROR(
                  Andel_oberoende_av_klimat*VLOOKUP($A246,Leveranser_per_nät,'Leveranser per nät'!AC$1,FALSE)
               +Andel_beroende_av_klimat*VLOOKUP($A246,Leveranser_per_nät,'Leveranser per nät'!AC$1,FALSE)/VLOOKUP($B246,Korrigeringsfaktor_GD,'Korrigeringsfaktor GD'!AC$1,FALSE),
"")</f>
        <v>98.094179999999994</v>
      </c>
      <c r="AD246">
        <v>94.608599999999996</v>
      </c>
    </row>
    <row r="247" spans="1:30" x14ac:dyDescent="0.25">
      <c r="A247" s="4" t="s">
        <v>405</v>
      </c>
      <c r="B247" t="s">
        <v>520</v>
      </c>
      <c r="C247" s="18">
        <f>IFERROR(
                  Andel_oberoende_av_klimat*VLOOKUP($A247,Leveranser_per_nät,'Leveranser per nät'!C$1,FALSE)
               +Andel_beroende_av_klimat*VLOOKUP($A247,Leveranser_per_nät,'Leveranser per nät'!C$1,FALSE)/VLOOKUP($B247,Korrigeringsfaktor_GD,'Korrigeringsfaktor GD'!C$1,FALSE),
"")</f>
        <v>0</v>
      </c>
      <c r="D247" s="18">
        <f>IFERROR(
                  Andel_oberoende_av_klimat*VLOOKUP($A247,Leveranser_per_nät,'Leveranser per nät'!D$1,FALSE)
               +Andel_beroende_av_klimat*VLOOKUP($A247,Leveranser_per_nät,'Leveranser per nät'!D$1,FALSE)/VLOOKUP($B247,Korrigeringsfaktor_GD,'Korrigeringsfaktor GD'!D$1,FALSE),
"")</f>
        <v>0</v>
      </c>
      <c r="E247" s="18">
        <f>IFERROR(
                  Andel_oberoende_av_klimat*VLOOKUP($A247,Leveranser_per_nät,'Leveranser per nät'!E$1,FALSE)
               +Andel_beroende_av_klimat*VLOOKUP($A247,Leveranser_per_nät,'Leveranser per nät'!E$1,FALSE)/VLOOKUP($B247,Korrigeringsfaktor_GD,'Korrigeringsfaktor GD'!E$1,FALSE),
"")</f>
        <v>0</v>
      </c>
      <c r="F247" s="18">
        <f>IFERROR(
                  Andel_oberoende_av_klimat*VLOOKUP($A247,Leveranser_per_nät,'Leveranser per nät'!F$1,FALSE)
               +Andel_beroende_av_klimat*VLOOKUP($A247,Leveranser_per_nät,'Leveranser per nät'!F$1,FALSE)/VLOOKUP($B247,Korrigeringsfaktor_GD,'Korrigeringsfaktor GD'!F$1,FALSE),
"")</f>
        <v>0</v>
      </c>
      <c r="G247" s="18">
        <f>IFERROR(
                  Andel_oberoende_av_klimat*VLOOKUP($A247,Leveranser_per_nät,'Leveranser per nät'!G$1,FALSE)
               +Andel_beroende_av_klimat*VLOOKUP($A247,Leveranser_per_nät,'Leveranser per nät'!G$1,FALSE)/VLOOKUP($B247,Korrigeringsfaktor_GD,'Korrigeringsfaktor GD'!G$1,FALSE),
"")</f>
        <v>0</v>
      </c>
      <c r="H247" s="18">
        <f>IFERROR(
                  Andel_oberoende_av_klimat*VLOOKUP($A247,Leveranser_per_nät,'Leveranser per nät'!H$1,FALSE)
               +Andel_beroende_av_klimat*VLOOKUP($A247,Leveranser_per_nät,'Leveranser per nät'!H$1,FALSE)/VLOOKUP($B247,Korrigeringsfaktor_GD,'Korrigeringsfaktor GD'!H$1,FALSE),
"")</f>
        <v>0</v>
      </c>
      <c r="I247" s="18">
        <f>IFERROR(
                  Andel_oberoende_av_klimat*VLOOKUP($A247,Leveranser_per_nät,'Leveranser per nät'!I$1,FALSE)
               +Andel_beroende_av_klimat*VLOOKUP($A247,Leveranser_per_nät,'Leveranser per nät'!I$1,FALSE)/VLOOKUP($B247,Korrigeringsfaktor_GD,'Korrigeringsfaktor GD'!I$1,FALSE),
"")</f>
        <v>0</v>
      </c>
      <c r="J247" s="18">
        <f>IFERROR(
                  Andel_oberoende_av_klimat*VLOOKUP($A247,Leveranser_per_nät,'Leveranser per nät'!J$1,FALSE)
               +Andel_beroende_av_klimat*VLOOKUP($A247,Leveranser_per_nät,'Leveranser per nät'!J$1,FALSE)/VLOOKUP($B247,Korrigeringsfaktor_GD,'Korrigeringsfaktor GD'!J$1,FALSE),
"")</f>
        <v>0</v>
      </c>
      <c r="K247" s="18">
        <f>IFERROR(
                  Andel_oberoende_av_klimat*VLOOKUP($A247,Leveranser_per_nät,'Leveranser per nät'!K$1,FALSE)
               +Andel_beroende_av_klimat*VLOOKUP($A247,Leveranser_per_nät,'Leveranser per nät'!K$1,FALSE)/VLOOKUP($B247,Korrigeringsfaktor_GD,'Korrigeringsfaktor GD'!K$1,FALSE),
"")</f>
        <v>0</v>
      </c>
      <c r="L247" s="18">
        <f>IFERROR(
                  Andel_oberoende_av_klimat*VLOOKUP($A247,Leveranser_per_nät,'Leveranser per nät'!L$1,FALSE)
               +Andel_beroende_av_klimat*VLOOKUP($A247,Leveranser_per_nät,'Leveranser per nät'!L$1,FALSE)/VLOOKUP($B247,Korrigeringsfaktor_GD,'Korrigeringsfaktor GD'!L$1,FALSE),
"")</f>
        <v>0</v>
      </c>
      <c r="M247" s="18">
        <f>IFERROR(
                  Andel_oberoende_av_klimat*VLOOKUP($A247,Leveranser_per_nät,'Leveranser per nät'!M$1,FALSE)
               +Andel_beroende_av_klimat*VLOOKUP($A247,Leveranser_per_nät,'Leveranser per nät'!M$1,FALSE)/VLOOKUP($B247,Korrigeringsfaktor_GD,'Korrigeringsfaktor GD'!M$1,FALSE),
"")</f>
        <v>0</v>
      </c>
      <c r="N247" s="18">
        <f>IFERROR(
                  Andel_oberoende_av_klimat*VLOOKUP($A247,Leveranser_per_nät,'Leveranser per nät'!N$1,FALSE)
               +Andel_beroende_av_klimat*VLOOKUP($A247,Leveranser_per_nät,'Leveranser per nät'!N$1,FALSE)/VLOOKUP($B247,Korrigeringsfaktor_GD,'Korrigeringsfaktor GD'!N$1,FALSE),
"")</f>
        <v>0</v>
      </c>
      <c r="O247" s="18">
        <f>IFERROR(
                  Andel_oberoende_av_klimat*VLOOKUP($A247,Leveranser_per_nät,'Leveranser per nät'!O$1,FALSE)
               +Andel_beroende_av_klimat*VLOOKUP($A247,Leveranser_per_nät,'Leveranser per nät'!O$1,FALSE)/VLOOKUP($B247,Korrigeringsfaktor_GD,'Korrigeringsfaktor GD'!O$1,FALSE),
"")</f>
        <v>0</v>
      </c>
      <c r="P247" s="18">
        <f>IFERROR(
                  Andel_oberoende_av_klimat*VLOOKUP($A247,Leveranser_per_nät,'Leveranser per nät'!P$1,FALSE)
               +Andel_beroende_av_klimat*VLOOKUP($A247,Leveranser_per_nät,'Leveranser per nät'!P$1,FALSE)/VLOOKUP($B247,Korrigeringsfaktor_GD,'Korrigeringsfaktor GD'!P$1,FALSE),
"")</f>
        <v>0</v>
      </c>
      <c r="Q247" s="18">
        <f>IFERROR(
                  Andel_oberoende_av_klimat*VLOOKUP($A247,Leveranser_per_nät,'Leveranser per nät'!Q$1,FALSE)
               +Andel_beroende_av_klimat*VLOOKUP($A247,Leveranser_per_nät,'Leveranser per nät'!Q$1,FALSE)/VLOOKUP($B247,Korrigeringsfaktor_GD,'Korrigeringsfaktor GD'!Q$1,FALSE),
"")</f>
        <v>2.3274709401709406</v>
      </c>
      <c r="R247" s="18">
        <f>IFERROR(
                  Andel_oberoende_av_klimat*VLOOKUP($A247,Leveranser_per_nät,'Leveranser per nät'!R$1,FALSE)
               +Andel_beroende_av_klimat*VLOOKUP($A247,Leveranser_per_nät,'Leveranser per nät'!R$1,FALSE)/VLOOKUP($B247,Korrigeringsfaktor_GD,'Korrigeringsfaktor GD'!R$1,FALSE),
"")</f>
        <v>2.252752688172043</v>
      </c>
      <c r="S247" s="18">
        <f>IFERROR(
                  Andel_oberoende_av_klimat*VLOOKUP($A247,Leveranser_per_nät,'Leveranser per nät'!S$1,FALSE)
               +Andel_beroende_av_klimat*VLOOKUP($A247,Leveranser_per_nät,'Leveranser per nät'!S$1,FALSE)/VLOOKUP($B247,Korrigeringsfaktor_GD,'Korrigeringsfaktor GD'!S$1,FALSE),
"")</f>
        <v>2.4300000000000002</v>
      </c>
      <c r="T247" s="18">
        <f>IFERROR(
                  Andel_oberoende_av_klimat*VLOOKUP($A247,Leveranser_per_nät,'Leveranser per nät'!T$1,FALSE)
               +Andel_beroende_av_klimat*VLOOKUP($A247,Leveranser_per_nät,'Leveranser per nät'!T$1,FALSE)/VLOOKUP($B247,Korrigeringsfaktor_GD,'Korrigeringsfaktor GD'!T$1,FALSE),
"")</f>
        <v>2.4979329896907219</v>
      </c>
      <c r="U247" s="18">
        <f>IFERROR(
                  Andel_oberoende_av_klimat*VLOOKUP($A247,Leveranser_per_nät,'Leveranser per nät'!U$1,FALSE)
               +Andel_beroende_av_klimat*VLOOKUP($A247,Leveranser_per_nät,'Leveranser per nät'!U$1,FALSE)/VLOOKUP($B247,Korrigeringsfaktor_GD,'Korrigeringsfaktor GD'!U$1,FALSE),
"")</f>
        <v>2.3196551724137935</v>
      </c>
      <c r="V247" s="18">
        <f>IFERROR(
                  Andel_oberoende_av_klimat*VLOOKUP($A247,Leveranser_per_nät,'Leveranser per nät'!V$1,FALSE)
               +Andel_beroende_av_klimat*VLOOKUP($A247,Leveranser_per_nät,'Leveranser per nät'!V$1,FALSE)/VLOOKUP($B247,Korrigeringsfaktor_GD,'Korrigeringsfaktor GD'!V$1,FALSE),
"")</f>
        <v>2.2816853932584271</v>
      </c>
      <c r="W247" s="18">
        <f>IFERROR(
                  Andel_oberoende_av_klimat*VLOOKUP($A247,Leveranser_per_nät,'Leveranser per nät'!W$1,FALSE)
               +Andel_beroende_av_klimat*VLOOKUP($A247,Leveranser_per_nät,'Leveranser per nät'!W$1,FALSE)/VLOOKUP($B247,Korrigeringsfaktor_GD,'Korrigeringsfaktor GD'!W$1,FALSE),
"")</f>
        <v>2.4699230769230769</v>
      </c>
      <c r="X247" s="18">
        <f>IFERROR(
                  Andel_oberoende_av_klimat*VLOOKUP($A247,Leveranser_per_nät,'Leveranser per nät'!X$1,FALSE)
               +Andel_beroende_av_klimat*VLOOKUP($A247,Leveranser_per_nät,'Leveranser per nät'!X$1,FALSE)/VLOOKUP($B247,Korrigeringsfaktor_GD,'Korrigeringsfaktor GD'!X$1,FALSE),
"")</f>
        <v>2.2808695652173911</v>
      </c>
      <c r="Y247" s="18">
        <f>IFERROR(
                  Andel_oberoende_av_klimat*VLOOKUP($A247,Leveranser_per_nät,'Leveranser per nät'!Y$1,FALSE)
               +Andel_beroende_av_klimat*VLOOKUP($A247,Leveranser_per_nät,'Leveranser per nät'!Y$1,FALSE)/VLOOKUP($B247,Korrigeringsfaktor_GD,'Korrigeringsfaktor GD'!Y$1,FALSE),
"")</f>
        <v>2.2848888888888892</v>
      </c>
      <c r="Z247" s="18">
        <f>IFERROR(
                  Andel_oberoende_av_klimat*VLOOKUP($A247,Leveranser_per_nät,'Leveranser per nät'!Z$1,FALSE)
               +Andel_beroende_av_klimat*VLOOKUP($A247,Leveranser_per_nät,'Leveranser per nät'!Z$1,FALSE)/VLOOKUP($B247,Korrigeringsfaktor_GD,'Korrigeringsfaktor GD'!Z$1,FALSE),
"")</f>
        <v>2.4229325842696632</v>
      </c>
      <c r="AA247" s="18">
        <f>IFERROR(
                  Andel_oberoende_av_klimat*VLOOKUP($A247,Leveranser_per_nät,'Leveranser per nät'!AA$1,FALSE)
               +Andel_beroende_av_klimat*VLOOKUP($A247,Leveranser_per_nät,'Leveranser per nät'!AA$1,FALSE)/VLOOKUP($B247,Korrigeringsfaktor_GD,'Korrigeringsfaktor GD'!AA$1,FALSE),
"")</f>
        <v>2.3239878550440745</v>
      </c>
      <c r="AB247" s="18">
        <f>IFERROR(
                  Andel_oberoende_av_klimat*VLOOKUP($A247,Leveranser_per_nät,'Leveranser per nät'!AB$1,FALSE)
               +Andel_beroende_av_klimat*VLOOKUP($A247,Leveranser_per_nät,'Leveranser per nät'!AB$1,FALSE)/VLOOKUP($B247,Korrigeringsfaktor_GD,'Korrigeringsfaktor GD'!AB$1,FALSE),
"")</f>
        <v>2.3053075173095943</v>
      </c>
      <c r="AC247" s="18">
        <f>IFERROR(
                  Andel_oberoende_av_klimat*VLOOKUP($A247,Leveranser_per_nät,'Leveranser per nät'!AC$1,FALSE)
               +Andel_beroende_av_klimat*VLOOKUP($A247,Leveranser_per_nät,'Leveranser per nät'!AC$1,FALSE)/VLOOKUP($B247,Korrigeringsfaktor_GD,'Korrigeringsfaktor GD'!AC$1,FALSE),
"")</f>
        <v>2.2296693446088796</v>
      </c>
      <c r="AD247">
        <v>48.96</v>
      </c>
    </row>
    <row r="248" spans="1:30" x14ac:dyDescent="0.25">
      <c r="A248" t="s">
        <v>187</v>
      </c>
      <c r="B248" t="s">
        <v>187</v>
      </c>
      <c r="C248" s="18">
        <f>IFERROR(
                  Andel_oberoende_av_klimat*VLOOKUP($A248,Leveranser_per_nät,'Leveranser per nät'!C$1,FALSE)
               +Andel_beroende_av_klimat*VLOOKUP($A248,Leveranser_per_nät,'Leveranser per nät'!C$1,FALSE)/VLOOKUP($B248,Korrigeringsfaktor_GD,'Korrigeringsfaktor GD'!C$1,FALSE),
"")</f>
        <v>0</v>
      </c>
      <c r="D248" s="18">
        <f>IFERROR(
                  Andel_oberoende_av_klimat*VLOOKUP($A248,Leveranser_per_nät,'Leveranser per nät'!D$1,FALSE)
               +Andel_beroende_av_klimat*VLOOKUP($A248,Leveranser_per_nät,'Leveranser per nät'!D$1,FALSE)/VLOOKUP($B248,Korrigeringsfaktor_GD,'Korrigeringsfaktor GD'!D$1,FALSE),
"")</f>
        <v>0</v>
      </c>
      <c r="E248" s="18">
        <f>IFERROR(
                  Andel_oberoende_av_klimat*VLOOKUP($A248,Leveranser_per_nät,'Leveranser per nät'!E$1,FALSE)
               +Andel_beroende_av_klimat*VLOOKUP($A248,Leveranser_per_nät,'Leveranser per nät'!E$1,FALSE)/VLOOKUP($B248,Korrigeringsfaktor_GD,'Korrigeringsfaktor GD'!E$1,FALSE),
"")</f>
        <v>0</v>
      </c>
      <c r="F248" s="18">
        <f>IFERROR(
                  Andel_oberoende_av_klimat*VLOOKUP($A248,Leveranser_per_nät,'Leveranser per nät'!F$1,FALSE)
               +Andel_beroende_av_klimat*VLOOKUP($A248,Leveranser_per_nät,'Leveranser per nät'!F$1,FALSE)/VLOOKUP($B248,Korrigeringsfaktor_GD,'Korrigeringsfaktor GD'!F$1,FALSE),
"")</f>
        <v>0</v>
      </c>
      <c r="G248" s="18">
        <f>IFERROR(
                  Andel_oberoende_av_klimat*VLOOKUP($A248,Leveranser_per_nät,'Leveranser per nät'!G$1,FALSE)
               +Andel_beroende_av_klimat*VLOOKUP($A248,Leveranser_per_nät,'Leveranser per nät'!G$1,FALSE)/VLOOKUP($B248,Korrigeringsfaktor_GD,'Korrigeringsfaktor GD'!G$1,FALSE),
"")</f>
        <v>0</v>
      </c>
      <c r="H248" s="18">
        <f>IFERROR(
                  Andel_oberoende_av_klimat*VLOOKUP($A248,Leveranser_per_nät,'Leveranser per nät'!H$1,FALSE)
               +Andel_beroende_av_klimat*VLOOKUP($A248,Leveranser_per_nät,'Leveranser per nät'!H$1,FALSE)/VLOOKUP($B248,Korrigeringsfaktor_GD,'Korrigeringsfaktor GD'!H$1,FALSE),
"")</f>
        <v>0</v>
      </c>
      <c r="I248" s="18">
        <f>IFERROR(
                  Andel_oberoende_av_klimat*VLOOKUP($A248,Leveranser_per_nät,'Leveranser per nät'!I$1,FALSE)
               +Andel_beroende_av_klimat*VLOOKUP($A248,Leveranser_per_nät,'Leveranser per nät'!I$1,FALSE)/VLOOKUP($B248,Korrigeringsfaktor_GD,'Korrigeringsfaktor GD'!I$1,FALSE),
"")</f>
        <v>0</v>
      </c>
      <c r="J248" s="18">
        <f>IFERROR(
                  Andel_oberoende_av_klimat*VLOOKUP($A248,Leveranser_per_nät,'Leveranser per nät'!J$1,FALSE)
               +Andel_beroende_av_klimat*VLOOKUP($A248,Leveranser_per_nät,'Leveranser per nät'!J$1,FALSE)/VLOOKUP($B248,Korrigeringsfaktor_GD,'Korrigeringsfaktor GD'!J$1,FALSE),
"")</f>
        <v>18.347414285714287</v>
      </c>
      <c r="K248" s="18">
        <f>IFERROR(
                  Andel_oberoende_av_klimat*VLOOKUP($A248,Leveranser_per_nät,'Leveranser per nät'!K$1,FALSE)
               +Andel_beroende_av_klimat*VLOOKUP($A248,Leveranser_per_nät,'Leveranser per nät'!K$1,FALSE)/VLOOKUP($B248,Korrigeringsfaktor_GD,'Korrigeringsfaktor GD'!K$1,FALSE),
"")</f>
        <v>33.756666666666661</v>
      </c>
      <c r="L248" s="18">
        <f>IFERROR(
                  Andel_oberoende_av_klimat*VLOOKUP($A248,Leveranser_per_nät,'Leveranser per nät'!L$1,FALSE)
               +Andel_beroende_av_klimat*VLOOKUP($A248,Leveranser_per_nät,'Leveranser per nät'!L$1,FALSE)/VLOOKUP($B248,Korrigeringsfaktor_GD,'Korrigeringsfaktor GD'!L$1,FALSE),
"")</f>
        <v>37.195861702127658</v>
      </c>
      <c r="M248" s="18">
        <f>IFERROR(
                  Andel_oberoende_av_klimat*VLOOKUP($A248,Leveranser_per_nät,'Leveranser per nät'!M$1,FALSE)
               +Andel_beroende_av_klimat*VLOOKUP($A248,Leveranser_per_nät,'Leveranser per nät'!M$1,FALSE)/VLOOKUP($B248,Korrigeringsfaktor_GD,'Korrigeringsfaktor GD'!M$1,FALSE),
"")</f>
        <v>38.83766923076923</v>
      </c>
      <c r="N248" s="18">
        <f>IFERROR(
                  Andel_oberoende_av_klimat*VLOOKUP($A248,Leveranser_per_nät,'Leveranser per nät'!N$1,FALSE)
               +Andel_beroende_av_klimat*VLOOKUP($A248,Leveranser_per_nät,'Leveranser per nät'!N$1,FALSE)/VLOOKUP($B248,Korrigeringsfaktor_GD,'Korrigeringsfaktor GD'!N$1,FALSE),
"")</f>
        <v>39.421877777777773</v>
      </c>
      <c r="O248" s="18">
        <f>IFERROR(
                  Andel_oberoende_av_klimat*VLOOKUP($A248,Leveranser_per_nät,'Leveranser per nät'!O$1,FALSE)
               +Andel_beroende_av_klimat*VLOOKUP($A248,Leveranser_per_nät,'Leveranser per nät'!O$1,FALSE)/VLOOKUP($B248,Korrigeringsfaktor_GD,'Korrigeringsfaktor GD'!O$1,FALSE),
"")</f>
        <v>42.39080454545455</v>
      </c>
      <c r="P248" s="18">
        <f>IFERROR(
                  Andel_oberoende_av_klimat*VLOOKUP($A248,Leveranser_per_nät,'Leveranser per nät'!P$1,FALSE)
               +Andel_beroende_av_klimat*VLOOKUP($A248,Leveranser_per_nät,'Leveranser per nät'!P$1,FALSE)/VLOOKUP($B248,Korrigeringsfaktor_GD,'Korrigeringsfaktor GD'!P$1,FALSE),
"")</f>
        <v>43.387085714285718</v>
      </c>
      <c r="Q248" s="18">
        <f>IFERROR(
                  Andel_oberoende_av_klimat*VLOOKUP($A248,Leveranser_per_nät,'Leveranser per nät'!Q$1,FALSE)
               +Andel_beroende_av_klimat*VLOOKUP($A248,Leveranser_per_nät,'Leveranser per nät'!Q$1,FALSE)/VLOOKUP($B248,Korrigeringsfaktor_GD,'Korrigeringsfaktor GD'!Q$1,FALSE),
"")</f>
        <v>45.196633333333331</v>
      </c>
      <c r="R248" s="18">
        <f>IFERROR(
                  Andel_oberoende_av_klimat*VLOOKUP($A248,Leveranser_per_nät,'Leveranser per nät'!R$1,FALSE)
               +Andel_beroende_av_klimat*VLOOKUP($A248,Leveranser_per_nät,'Leveranser per nät'!R$1,FALSE)/VLOOKUP($B248,Korrigeringsfaktor_GD,'Korrigeringsfaktor GD'!R$1,FALSE),
"")</f>
        <v>44.005930434782613</v>
      </c>
      <c r="S248" s="18">
        <f>IFERROR(
                  Andel_oberoende_av_klimat*VLOOKUP($A248,Leveranser_per_nät,'Leveranser per nät'!S$1,FALSE)
               +Andel_beroende_av_klimat*VLOOKUP($A248,Leveranser_per_nät,'Leveranser per nät'!S$1,FALSE)/VLOOKUP($B248,Korrigeringsfaktor_GD,'Korrigeringsfaktor GD'!S$1,FALSE),
"")</f>
        <v>41.708910891089104</v>
      </c>
      <c r="T248" s="18">
        <f>IFERROR(
                  Andel_oberoende_av_klimat*VLOOKUP($A248,Leveranser_per_nät,'Leveranser per nät'!T$1,FALSE)
               +Andel_beroende_av_klimat*VLOOKUP($A248,Leveranser_per_nät,'Leveranser per nät'!T$1,FALSE)/VLOOKUP($B248,Korrigeringsfaktor_GD,'Korrigeringsfaktor GD'!T$1,FALSE),
"")</f>
        <v>43.924657142857143</v>
      </c>
      <c r="U248" s="18">
        <f>IFERROR(
                  Andel_oberoende_av_klimat*VLOOKUP($A248,Leveranser_per_nät,'Leveranser per nät'!U$1,FALSE)
               +Andel_beroende_av_klimat*VLOOKUP($A248,Leveranser_per_nät,'Leveranser per nät'!U$1,FALSE)/VLOOKUP($B248,Korrigeringsfaktor_GD,'Korrigeringsfaktor GD'!U$1,FALSE),
"")</f>
        <v>44.440082352941175</v>
      </c>
      <c r="V248" s="18">
        <f>IFERROR(
                  Andel_oberoende_av_klimat*VLOOKUP($A248,Leveranser_per_nät,'Leveranser per nät'!V$1,FALSE)
               +Andel_beroende_av_klimat*VLOOKUP($A248,Leveranser_per_nät,'Leveranser per nät'!V$1,FALSE)/VLOOKUP($B248,Korrigeringsfaktor_GD,'Korrigeringsfaktor GD'!V$1,FALSE),
"")</f>
        <v>44.419586363636363</v>
      </c>
      <c r="W248" s="18">
        <f>IFERROR(
                  Andel_oberoende_av_klimat*VLOOKUP($A248,Leveranser_per_nät,'Leveranser per nät'!W$1,FALSE)
               +Andel_beroende_av_klimat*VLOOKUP($A248,Leveranser_per_nät,'Leveranser per nät'!W$1,FALSE)/VLOOKUP($B248,Korrigeringsfaktor_GD,'Korrigeringsfaktor GD'!W$1,FALSE),
"")</f>
        <v>45.791935483870972</v>
      </c>
      <c r="X248" s="18">
        <f>IFERROR(
                  Andel_oberoende_av_klimat*VLOOKUP($A248,Leveranser_per_nät,'Leveranser per nät'!X$1,FALSE)
               +Andel_beroende_av_klimat*VLOOKUP($A248,Leveranser_per_nät,'Leveranser per nät'!X$1,FALSE)/VLOOKUP($B248,Korrigeringsfaktor_GD,'Korrigeringsfaktor GD'!X$1,FALSE),
"")</f>
        <v>46.216782608695652</v>
      </c>
      <c r="Y248" s="18">
        <f>IFERROR(
                  Andel_oberoende_av_klimat*VLOOKUP($A248,Leveranser_per_nät,'Leveranser per nät'!Y$1,FALSE)
               +Andel_beroende_av_klimat*VLOOKUP($A248,Leveranser_per_nät,'Leveranser per nät'!Y$1,FALSE)/VLOOKUP($B248,Korrigeringsfaktor_GD,'Korrigeringsfaktor GD'!Y$1,FALSE),
"")</f>
        <v>46.711984946236562</v>
      </c>
      <c r="Z248" s="18">
        <f>IFERROR(
                  Andel_oberoende_av_klimat*VLOOKUP($A248,Leveranser_per_nät,'Leveranser per nät'!Z$1,FALSE)
               +Andel_beroende_av_klimat*VLOOKUP($A248,Leveranser_per_nät,'Leveranser per nät'!Z$1,FALSE)/VLOOKUP($B248,Korrigeringsfaktor_GD,'Korrigeringsfaktor GD'!Z$1,FALSE),
"")</f>
        <v>47.155879069767444</v>
      </c>
      <c r="AA248" s="18">
        <f>IFERROR(
                  Andel_oberoende_av_klimat*VLOOKUP($A248,Leveranser_per_nät,'Leveranser per nät'!AA$1,FALSE)
               +Andel_beroende_av_klimat*VLOOKUP($A248,Leveranser_per_nät,'Leveranser per nät'!AA$1,FALSE)/VLOOKUP($B248,Korrigeringsfaktor_GD,'Korrigeringsfaktor GD'!AA$1,FALSE),
"")</f>
        <v>45.878264943253455</v>
      </c>
      <c r="AB248" s="18">
        <f>IFERROR(
                  Andel_oberoende_av_klimat*VLOOKUP($A248,Leveranser_per_nät,'Leveranser per nät'!AB$1,FALSE)
               +Andel_beroende_av_klimat*VLOOKUP($A248,Leveranser_per_nät,'Leveranser per nät'!AB$1,FALSE)/VLOOKUP($B248,Korrigeringsfaktor_GD,'Korrigeringsfaktor GD'!AB$1,FALSE),
"")</f>
        <v>43.383503336510955</v>
      </c>
      <c r="AC248" s="18">
        <f>IFERROR(
                  Andel_oberoende_av_klimat*VLOOKUP($A248,Leveranser_per_nät,'Leveranser per nät'!AC$1,FALSE)
               +Andel_beroende_av_klimat*VLOOKUP($A248,Leveranser_per_nät,'Leveranser per nät'!AC$1,FALSE)/VLOOKUP($B248,Korrigeringsfaktor_GD,'Korrigeringsfaktor GD'!AC$1,FALSE),
"")</f>
        <v>42.638057894736846</v>
      </c>
      <c r="AD248">
        <v>41.122999999999998</v>
      </c>
    </row>
    <row r="249" spans="1:30" x14ac:dyDescent="0.25">
      <c r="A249" t="s">
        <v>69</v>
      </c>
      <c r="B249" t="s">
        <v>49</v>
      </c>
      <c r="C249" s="18">
        <f>IFERROR(
                  Andel_oberoende_av_klimat*VLOOKUP($A249,Leveranser_per_nät,'Leveranser per nät'!C$1,FALSE)
               +Andel_beroende_av_klimat*VLOOKUP($A249,Leveranser_per_nät,'Leveranser per nät'!C$1,FALSE)/VLOOKUP($B249,Korrigeringsfaktor_GD,'Korrigeringsfaktor GD'!C$1,FALSE),
"")</f>
        <v>1.9207547169811321</v>
      </c>
      <c r="D249" s="18">
        <f>IFERROR(
                  Andel_oberoende_av_klimat*VLOOKUP($A249,Leveranser_per_nät,'Leveranser per nät'!D$1,FALSE)
               +Andel_beroende_av_klimat*VLOOKUP($A249,Leveranser_per_nät,'Leveranser per nät'!D$1,FALSE)/VLOOKUP($B249,Korrigeringsfaktor_GD,'Korrigeringsfaktor GD'!D$1,FALSE),
"")</f>
        <v>4.0544063829787236</v>
      </c>
      <c r="E249" s="18">
        <f>IFERROR(
                  Andel_oberoende_av_klimat*VLOOKUP($A249,Leveranser_per_nät,'Leveranser per nät'!E$1,FALSE)
               +Andel_beroende_av_klimat*VLOOKUP($A249,Leveranser_per_nät,'Leveranser per nät'!E$1,FALSE)/VLOOKUP($B249,Korrigeringsfaktor_GD,'Korrigeringsfaktor GD'!E$1,FALSE),
"")</f>
        <v>4.028282828282828</v>
      </c>
      <c r="F249" s="18">
        <f>IFERROR(
                  Andel_oberoende_av_klimat*VLOOKUP($A249,Leveranser_per_nät,'Leveranser per nät'!F$1,FALSE)
               +Andel_beroende_av_klimat*VLOOKUP($A249,Leveranser_per_nät,'Leveranser per nät'!F$1,FALSE)/VLOOKUP($B249,Korrigeringsfaktor_GD,'Korrigeringsfaktor GD'!F$1,FALSE),
"")</f>
        <v>1.9678161616161616</v>
      </c>
      <c r="G249" s="18">
        <f>IFERROR(
                  Andel_oberoende_av_klimat*VLOOKUP($A249,Leveranser_per_nät,'Leveranser per nät'!G$1,FALSE)
               +Andel_beroende_av_klimat*VLOOKUP($A249,Leveranser_per_nät,'Leveranser per nät'!G$1,FALSE)/VLOOKUP($B249,Korrigeringsfaktor_GD,'Korrigeringsfaktor GD'!G$1,FALSE),
"")</f>
        <v>1.9991910112359554</v>
      </c>
      <c r="H249" s="18">
        <f>IFERROR(
                  Andel_oberoende_av_klimat*VLOOKUP($A249,Leveranser_per_nät,'Leveranser per nät'!H$1,FALSE)
               +Andel_beroende_av_klimat*VLOOKUP($A249,Leveranser_per_nät,'Leveranser per nät'!H$1,FALSE)/VLOOKUP($B249,Korrigeringsfaktor_GD,'Korrigeringsfaktor GD'!H$1,FALSE),
"")</f>
        <v>4</v>
      </c>
      <c r="I249" s="18">
        <f>IFERROR(
                  Andel_oberoende_av_klimat*VLOOKUP($A249,Leveranser_per_nät,'Leveranser per nät'!I$1,FALSE)
               +Andel_beroende_av_klimat*VLOOKUP($A249,Leveranser_per_nät,'Leveranser per nät'!I$1,FALSE)/VLOOKUP($B249,Korrigeringsfaktor_GD,'Korrigeringsfaktor GD'!I$1,FALSE),
"")</f>
        <v>4.1473684210526311</v>
      </c>
      <c r="J249" s="18">
        <f>IFERROR(
                  Andel_oberoende_av_klimat*VLOOKUP($A249,Leveranser_per_nät,'Leveranser per nät'!J$1,FALSE)
               +Andel_beroende_av_klimat*VLOOKUP($A249,Leveranser_per_nät,'Leveranser per nät'!J$1,FALSE)/VLOOKUP($B249,Korrigeringsfaktor_GD,'Korrigeringsfaktor GD'!J$1,FALSE),
"")</f>
        <v>4.3614285714285712</v>
      </c>
      <c r="K249" s="18">
        <f>IFERROR(
                  Andel_oberoende_av_klimat*VLOOKUP($A249,Leveranser_per_nät,'Leveranser per nät'!K$1,FALSE)
               +Andel_beroende_av_klimat*VLOOKUP($A249,Leveranser_per_nät,'Leveranser per nät'!K$1,FALSE)/VLOOKUP($B249,Korrigeringsfaktor_GD,'Korrigeringsfaktor GD'!K$1,FALSE),
"")</f>
        <v>4.3930927835051552</v>
      </c>
      <c r="L249" s="18">
        <f>IFERROR(
                  Andel_oberoende_av_klimat*VLOOKUP($A249,Leveranser_per_nät,'Leveranser per nät'!L$1,FALSE)
               +Andel_beroende_av_klimat*VLOOKUP($A249,Leveranser_per_nät,'Leveranser per nät'!L$1,FALSE)/VLOOKUP($B249,Korrigeringsfaktor_GD,'Korrigeringsfaktor GD'!L$1,FALSE),
"")</f>
        <v>4.518599859364171</v>
      </c>
      <c r="M249" s="18">
        <f>IFERROR(
                  Andel_oberoende_av_klimat*VLOOKUP($A249,Leveranser_per_nät,'Leveranser per nät'!M$1,FALSE)
               +Andel_beroende_av_klimat*VLOOKUP($A249,Leveranser_per_nät,'Leveranser per nät'!M$1,FALSE)/VLOOKUP($B249,Korrigeringsfaktor_GD,'Korrigeringsfaktor GD'!M$1,FALSE),
"")</f>
        <v>3.9240769230769228</v>
      </c>
      <c r="N249" s="18">
        <f>IFERROR(
                  Andel_oberoende_av_klimat*VLOOKUP($A249,Leveranser_per_nät,'Leveranser per nät'!N$1,FALSE)
               +Andel_beroende_av_klimat*VLOOKUP($A249,Leveranser_per_nät,'Leveranser per nät'!N$1,FALSE)/VLOOKUP($B249,Korrigeringsfaktor_GD,'Korrigeringsfaktor GD'!N$1,FALSE),
"")</f>
        <v>3.9697872340425531</v>
      </c>
      <c r="O249" s="18">
        <f>IFERROR(
                  Andel_oberoende_av_klimat*VLOOKUP($A249,Leveranser_per_nät,'Leveranser per nät'!O$1,FALSE)
               +Andel_beroende_av_klimat*VLOOKUP($A249,Leveranser_per_nät,'Leveranser per nät'!O$1,FALSE)/VLOOKUP($B249,Korrigeringsfaktor_GD,'Korrigeringsfaktor GD'!O$1,FALSE),
"")</f>
        <v>4.1373913043478261</v>
      </c>
      <c r="P249" s="18">
        <f>IFERROR(
                  Andel_oberoende_av_klimat*VLOOKUP($A249,Leveranser_per_nät,'Leveranser per nät'!P$1,FALSE)
               +Andel_beroende_av_klimat*VLOOKUP($A249,Leveranser_per_nät,'Leveranser per nät'!P$1,FALSE)/VLOOKUP($B249,Korrigeringsfaktor_GD,'Korrigeringsfaktor GD'!P$1,FALSE),
"")</f>
        <v>6.0424242424242411</v>
      </c>
      <c r="Q249" s="18">
        <f>IFERROR(
                  Andel_oberoende_av_klimat*VLOOKUP($A249,Leveranser_per_nät,'Leveranser per nät'!Q$1,FALSE)
               +Andel_beroende_av_klimat*VLOOKUP($A249,Leveranser_per_nät,'Leveranser per nät'!Q$1,FALSE)/VLOOKUP($B249,Korrigeringsfaktor_GD,'Korrigeringsfaktor GD'!Q$1,FALSE),
"")</f>
        <v>4.3873684210526323</v>
      </c>
      <c r="R249" s="18">
        <f>IFERROR(
                  Andel_oberoende_av_klimat*VLOOKUP($A249,Leveranser_per_nät,'Leveranser per nät'!R$1,FALSE)
               +Andel_beroende_av_klimat*VLOOKUP($A249,Leveranser_per_nät,'Leveranser per nät'!R$1,FALSE)/VLOOKUP($B249,Korrigeringsfaktor_GD,'Korrigeringsfaktor GD'!R$1,FALSE),
"")</f>
        <v>4.774115384615385</v>
      </c>
      <c r="S249" s="18">
        <f>IFERROR(
                  Andel_oberoende_av_klimat*VLOOKUP($A249,Leveranser_per_nät,'Leveranser per nät'!S$1,FALSE)
               +Andel_beroende_av_klimat*VLOOKUP($A249,Leveranser_per_nät,'Leveranser per nät'!S$1,FALSE)/VLOOKUP($B249,Korrigeringsfaktor_GD,'Korrigeringsfaktor GD'!S$1,FALSE),
"")</f>
        <v>4.1592020202020201</v>
      </c>
      <c r="T249" s="18">
        <f>IFERROR(
                  Andel_oberoende_av_klimat*VLOOKUP($A249,Leveranser_per_nät,'Leveranser per nät'!T$1,FALSE)
               +Andel_beroende_av_klimat*VLOOKUP($A249,Leveranser_per_nät,'Leveranser per nät'!T$1,FALSE)/VLOOKUP($B249,Korrigeringsfaktor_GD,'Korrigeringsfaktor GD'!T$1,FALSE),
"")</f>
        <v>3.9524421052631578</v>
      </c>
      <c r="U249" s="18">
        <f>IFERROR(
                  Andel_oberoende_av_klimat*VLOOKUP($A249,Leveranser_per_nät,'Leveranser per nät'!U$1,FALSE)
               +Andel_beroende_av_klimat*VLOOKUP($A249,Leveranser_per_nät,'Leveranser per nät'!U$1,FALSE)/VLOOKUP($B249,Korrigeringsfaktor_GD,'Korrigeringsfaktor GD'!U$1,FALSE),
"")</f>
        <v>4.1287640449438197</v>
      </c>
      <c r="V249" s="18">
        <f>IFERROR(
                  Andel_oberoende_av_klimat*VLOOKUP($A249,Leveranser_per_nät,'Leveranser per nät'!V$1,FALSE)
               +Andel_beroende_av_klimat*VLOOKUP($A249,Leveranser_per_nät,'Leveranser per nät'!V$1,FALSE)/VLOOKUP($B249,Korrigeringsfaktor_GD,'Korrigeringsfaktor GD'!V$1,FALSE),
"")</f>
        <v>4.0313043478260866</v>
      </c>
      <c r="W249" s="18">
        <f>IFERROR(
                  Andel_oberoende_av_klimat*VLOOKUP($A249,Leveranser_per_nät,'Leveranser per nät'!W$1,FALSE)
               +Andel_beroende_av_klimat*VLOOKUP($A249,Leveranser_per_nät,'Leveranser per nät'!W$1,FALSE)/VLOOKUP($B249,Korrigeringsfaktor_GD,'Korrigeringsfaktor GD'!W$1,FALSE),
"")</f>
        <v>4.2296969696969704</v>
      </c>
      <c r="X249" s="18">
        <f>IFERROR(
                  Andel_oberoende_av_klimat*VLOOKUP($A249,Leveranser_per_nät,'Leveranser per nät'!X$1,FALSE)
               +Andel_beroende_av_klimat*VLOOKUP($A249,Leveranser_per_nät,'Leveranser per nät'!X$1,FALSE)/VLOOKUP($B249,Korrigeringsfaktor_GD,'Korrigeringsfaktor GD'!X$1,FALSE),
"")</f>
        <v>4.2296969696969704</v>
      </c>
      <c r="Y249" s="18">
        <f>IFERROR(
                  Andel_oberoende_av_klimat*VLOOKUP($A249,Leveranser_per_nät,'Leveranser per nät'!Y$1,FALSE)
               +Andel_beroende_av_klimat*VLOOKUP($A249,Leveranser_per_nät,'Leveranser per nät'!Y$1,FALSE)/VLOOKUP($B249,Korrigeringsfaktor_GD,'Korrigeringsfaktor GD'!Y$1,FALSE),
"")</f>
        <v>3.9722772277227723</v>
      </c>
      <c r="Z249" s="18">
        <f>IFERROR(
                  Andel_oberoende_av_klimat*VLOOKUP($A249,Leveranser_per_nät,'Leveranser per nät'!Z$1,FALSE)
               +Andel_beroende_av_klimat*VLOOKUP($A249,Leveranser_per_nät,'Leveranser per nät'!Z$1,FALSE)/VLOOKUP($B249,Korrigeringsfaktor_GD,'Korrigeringsfaktor GD'!Z$1,FALSE),
"")</f>
        <v>4.2722727272727274</v>
      </c>
      <c r="AA249" s="18">
        <f>IFERROR(
                  Andel_oberoende_av_klimat*VLOOKUP($A249,Leveranser_per_nät,'Leveranser per nät'!AA$1,FALSE)
               +Andel_beroende_av_klimat*VLOOKUP($A249,Leveranser_per_nät,'Leveranser per nät'!AA$1,FALSE)/VLOOKUP($B249,Korrigeringsfaktor_GD,'Korrigeringsfaktor GD'!AA$1,FALSE),
"")</f>
        <v>3.9767108167770422</v>
      </c>
      <c r="AB249" s="18">
        <f>IFERROR(
                  Andel_oberoende_av_klimat*VLOOKUP($A249,Leveranser_per_nät,'Leveranser per nät'!AB$1,FALSE)
               +Andel_beroende_av_klimat*VLOOKUP($A249,Leveranser_per_nät,'Leveranser per nät'!AB$1,FALSE)/VLOOKUP($B249,Korrigeringsfaktor_GD,'Korrigeringsfaktor GD'!AB$1,FALSE),
"")</f>
        <v>3.6956638009049776</v>
      </c>
      <c r="AC249" s="18">
        <f>IFERROR(
                  Andel_oberoende_av_klimat*VLOOKUP($A249,Leveranser_per_nät,'Leveranser per nät'!AC$1,FALSE)
               +Andel_beroende_av_klimat*VLOOKUP($A249,Leveranser_per_nät,'Leveranser per nät'!AC$1,FALSE)/VLOOKUP($B249,Korrigeringsfaktor_GD,'Korrigeringsfaktor GD'!AC$1,FALSE),
"")</f>
        <v>3.5973162162162158</v>
      </c>
      <c r="AD249">
        <v>62.655999999999999</v>
      </c>
    </row>
    <row r="250" spans="1:30" x14ac:dyDescent="0.25">
      <c r="A250" t="s">
        <v>147</v>
      </c>
      <c r="B250" t="s">
        <v>145</v>
      </c>
      <c r="C250" s="18">
        <f>IFERROR(
                  Andel_oberoende_av_klimat*VLOOKUP($A250,Leveranser_per_nät,'Leveranser per nät'!C$1,FALSE)
               +Andel_beroende_av_klimat*VLOOKUP($A250,Leveranser_per_nät,'Leveranser per nät'!C$1,FALSE)/VLOOKUP($B250,Korrigeringsfaktor_GD,'Korrigeringsfaktor GD'!C$1,FALSE),
"")</f>
        <v>0</v>
      </c>
      <c r="D250" s="18">
        <f>IFERROR(
                  Andel_oberoende_av_klimat*VLOOKUP($A250,Leveranser_per_nät,'Leveranser per nät'!D$1,FALSE)
               +Andel_beroende_av_klimat*VLOOKUP($A250,Leveranser_per_nät,'Leveranser per nät'!D$1,FALSE)/VLOOKUP($B250,Korrigeringsfaktor_GD,'Korrigeringsfaktor GD'!D$1,FALSE),
"")</f>
        <v>0</v>
      </c>
      <c r="E250" s="18">
        <f>IFERROR(
                  Andel_oberoende_av_klimat*VLOOKUP($A250,Leveranser_per_nät,'Leveranser per nät'!E$1,FALSE)
               +Andel_beroende_av_klimat*VLOOKUP($A250,Leveranser_per_nät,'Leveranser per nät'!E$1,FALSE)/VLOOKUP($B250,Korrigeringsfaktor_GD,'Korrigeringsfaktor GD'!E$1,FALSE),
"")</f>
        <v>0</v>
      </c>
      <c r="F250" s="18">
        <f>IFERROR(
                  Andel_oberoende_av_klimat*VLOOKUP($A250,Leveranser_per_nät,'Leveranser per nät'!F$1,FALSE)
               +Andel_beroende_av_klimat*VLOOKUP($A250,Leveranser_per_nät,'Leveranser per nät'!F$1,FALSE)/VLOOKUP($B250,Korrigeringsfaktor_GD,'Korrigeringsfaktor GD'!F$1,FALSE),
"")</f>
        <v>0</v>
      </c>
      <c r="G250" s="18">
        <f>IFERROR(
                  Andel_oberoende_av_klimat*VLOOKUP($A250,Leveranser_per_nät,'Leveranser per nät'!G$1,FALSE)
               +Andel_beroende_av_klimat*VLOOKUP($A250,Leveranser_per_nät,'Leveranser per nät'!G$1,FALSE)/VLOOKUP($B250,Korrigeringsfaktor_GD,'Korrigeringsfaktor GD'!G$1,FALSE),
"")</f>
        <v>0</v>
      </c>
      <c r="H250" s="18">
        <f>IFERROR(
                  Andel_oberoende_av_klimat*VLOOKUP($A250,Leveranser_per_nät,'Leveranser per nät'!H$1,FALSE)
               +Andel_beroende_av_klimat*VLOOKUP($A250,Leveranser_per_nät,'Leveranser per nät'!H$1,FALSE)/VLOOKUP($B250,Korrigeringsfaktor_GD,'Korrigeringsfaktor GD'!H$1,FALSE),
"")</f>
        <v>4.3499999999999996</v>
      </c>
      <c r="I250" s="18">
        <f>IFERROR(
                  Andel_oberoende_av_klimat*VLOOKUP($A250,Leveranser_per_nät,'Leveranser per nät'!I$1,FALSE)
               +Andel_beroende_av_klimat*VLOOKUP($A250,Leveranser_per_nät,'Leveranser per nät'!I$1,FALSE)/VLOOKUP($B250,Korrigeringsfaktor_GD,'Korrigeringsfaktor GD'!I$1,FALSE),
"")</f>
        <v>5.2002428571428574</v>
      </c>
      <c r="J250" s="18">
        <f>IFERROR(
                  Andel_oberoende_av_klimat*VLOOKUP($A250,Leveranser_per_nät,'Leveranser per nät'!J$1,FALSE)
               +Andel_beroende_av_klimat*VLOOKUP($A250,Leveranser_per_nät,'Leveranser per nät'!J$1,FALSE)/VLOOKUP($B250,Korrigeringsfaktor_GD,'Korrigeringsfaktor GD'!J$1,FALSE),
"")</f>
        <v>5.2379969072164947</v>
      </c>
      <c r="K250" s="18">
        <f>IFERROR(
                  Andel_oberoende_av_klimat*VLOOKUP($A250,Leveranser_per_nät,'Leveranser per nät'!K$1,FALSE)
               +Andel_beroende_av_klimat*VLOOKUP($A250,Leveranser_per_nät,'Leveranser per nät'!K$1,FALSE)/VLOOKUP($B250,Korrigeringsfaktor_GD,'Korrigeringsfaktor GD'!K$1,FALSE),
"")</f>
        <v>5.1082474226804129</v>
      </c>
      <c r="L250" s="18">
        <f>IFERROR(
                  Andel_oberoende_av_klimat*VLOOKUP($A250,Leveranser_per_nät,'Leveranser per nät'!L$1,FALSE)
               +Andel_beroende_av_klimat*VLOOKUP($A250,Leveranser_per_nät,'Leveranser per nät'!L$1,FALSE)/VLOOKUP($B250,Korrigeringsfaktor_GD,'Korrigeringsfaktor GD'!L$1,FALSE),
"")</f>
        <v>6.8424731182795693</v>
      </c>
      <c r="M250" s="18">
        <f>IFERROR(
                  Andel_oberoende_av_klimat*VLOOKUP($A250,Leveranser_per_nät,'Leveranser per nät'!M$1,FALSE)
               +Andel_beroende_av_klimat*VLOOKUP($A250,Leveranser_per_nät,'Leveranser per nät'!M$1,FALSE)/VLOOKUP($B250,Korrigeringsfaktor_GD,'Korrigeringsfaktor GD'!M$1,FALSE),
"")</f>
        <v>7.1502608695652174</v>
      </c>
      <c r="N250" s="18">
        <f>IFERROR(
                  Andel_oberoende_av_klimat*VLOOKUP($A250,Leveranser_per_nät,'Leveranser per nät'!N$1,FALSE)
               +Andel_beroende_av_klimat*VLOOKUP($A250,Leveranser_per_nät,'Leveranser per nät'!N$1,FALSE)/VLOOKUP($B250,Korrigeringsfaktor_GD,'Korrigeringsfaktor GD'!N$1,FALSE),
"")</f>
        <v>6.8319462365591397</v>
      </c>
      <c r="O250" s="18">
        <f>IFERROR(
                  Andel_oberoende_av_klimat*VLOOKUP($A250,Leveranser_per_nät,'Leveranser per nät'!O$1,FALSE)
               +Andel_beroende_av_klimat*VLOOKUP($A250,Leveranser_per_nät,'Leveranser per nät'!O$1,FALSE)/VLOOKUP($B250,Korrigeringsfaktor_GD,'Korrigeringsfaktor GD'!O$1,FALSE),
"")</f>
        <v>7.0088076923076921</v>
      </c>
      <c r="P250" s="18">
        <f>IFERROR(
                  Andel_oberoende_av_klimat*VLOOKUP($A250,Leveranser_per_nät,'Leveranser per nät'!P$1,FALSE)
               +Andel_beroende_av_klimat*VLOOKUP($A250,Leveranser_per_nät,'Leveranser per nät'!P$1,FALSE)/VLOOKUP($B250,Korrigeringsfaktor_GD,'Korrigeringsfaktor GD'!P$1,FALSE),
"")</f>
        <v>6.6386101010101015</v>
      </c>
      <c r="Q250" s="18">
        <f>IFERROR(
                  Andel_oberoende_av_klimat*VLOOKUP($A250,Leveranser_per_nät,'Leveranser per nät'!Q$1,FALSE)
               +Andel_beroende_av_klimat*VLOOKUP($A250,Leveranser_per_nät,'Leveranser per nät'!Q$1,FALSE)/VLOOKUP($B250,Korrigeringsfaktor_GD,'Korrigeringsfaktor GD'!Q$1,FALSE),
"")</f>
        <v>6.8152173913043494</v>
      </c>
      <c r="R250" s="18">
        <f>IFERROR(
                  Andel_oberoende_av_klimat*VLOOKUP($A250,Leveranser_per_nät,'Leveranser per nät'!R$1,FALSE)
               +Andel_beroende_av_klimat*VLOOKUP($A250,Leveranser_per_nät,'Leveranser per nät'!R$1,FALSE)/VLOOKUP($B250,Korrigeringsfaktor_GD,'Korrigeringsfaktor GD'!R$1,FALSE),
"")</f>
        <v>6.7899999999999991</v>
      </c>
      <c r="S250" s="18">
        <f>IFERROR(
                  Andel_oberoende_av_klimat*VLOOKUP($A250,Leveranser_per_nät,'Leveranser per nät'!S$1,FALSE)
               +Andel_beroende_av_klimat*VLOOKUP($A250,Leveranser_per_nät,'Leveranser per nät'!S$1,FALSE)/VLOOKUP($B250,Korrigeringsfaktor_GD,'Korrigeringsfaktor GD'!S$1,FALSE),
"")</f>
        <v>6.379999999999999</v>
      </c>
      <c r="T250" s="18">
        <f>IFERROR(
                  Andel_oberoende_av_klimat*VLOOKUP($A250,Leveranser_per_nät,'Leveranser per nät'!T$1,FALSE)
               +Andel_beroende_av_klimat*VLOOKUP($A250,Leveranser_per_nät,'Leveranser per nät'!T$1,FALSE)/VLOOKUP($B250,Korrigeringsfaktor_GD,'Korrigeringsfaktor GD'!T$1,FALSE),
"")</f>
        <v>6.4740421052631572</v>
      </c>
      <c r="U250" s="18">
        <f>IFERROR(
                  Andel_oberoende_av_klimat*VLOOKUP($A250,Leveranser_per_nät,'Leveranser per nät'!U$1,FALSE)
               +Andel_beroende_av_klimat*VLOOKUP($A250,Leveranser_per_nät,'Leveranser per nät'!U$1,FALSE)/VLOOKUP($B250,Korrigeringsfaktor_GD,'Korrigeringsfaktor GD'!U$1,FALSE),
"")</f>
        <v>6.5744444444444436</v>
      </c>
      <c r="V250" s="18">
        <f>IFERROR(
                  Andel_oberoende_av_klimat*VLOOKUP($A250,Leveranser_per_nät,'Leveranser per nät'!V$1,FALSE)
               +Andel_beroende_av_klimat*VLOOKUP($A250,Leveranser_per_nät,'Leveranser per nät'!V$1,FALSE)/VLOOKUP($B250,Korrigeringsfaktor_GD,'Korrigeringsfaktor GD'!V$1,FALSE),
"")</f>
        <v>7.0569230769230762</v>
      </c>
      <c r="W250" s="18">
        <f>IFERROR(
                  Andel_oberoende_av_klimat*VLOOKUP($A250,Leveranser_per_nät,'Leveranser per nät'!W$1,FALSE)
               +Andel_beroende_av_klimat*VLOOKUP($A250,Leveranser_per_nät,'Leveranser per nät'!W$1,FALSE)/VLOOKUP($B250,Korrigeringsfaktor_GD,'Korrigeringsfaktor GD'!W$1,FALSE),
"")</f>
        <v>6.9674583333333331</v>
      </c>
      <c r="X250" s="18">
        <f>IFERROR(
                  Andel_oberoende_av_klimat*VLOOKUP($A250,Leveranser_per_nät,'Leveranser per nät'!X$1,FALSE)
               +Andel_beroende_av_klimat*VLOOKUP($A250,Leveranser_per_nät,'Leveranser per nät'!X$1,FALSE)/VLOOKUP($B250,Korrigeringsfaktor_GD,'Korrigeringsfaktor GD'!X$1,FALSE),
"")</f>
        <v>6.9472164948453612</v>
      </c>
      <c r="Y250" s="18">
        <f>IFERROR(
                  Andel_oberoende_av_klimat*VLOOKUP($A250,Leveranser_per_nät,'Leveranser per nät'!Y$1,FALSE)
               +Andel_beroende_av_klimat*VLOOKUP($A250,Leveranser_per_nät,'Leveranser per nät'!Y$1,FALSE)/VLOOKUP($B250,Korrigeringsfaktor_GD,'Korrigeringsfaktor GD'!Y$1,FALSE),
"")</f>
        <v>6.7822083333333332</v>
      </c>
      <c r="Z250" s="18">
        <f>IFERROR(
                  Andel_oberoende_av_klimat*VLOOKUP($A250,Leveranser_per_nät,'Leveranser per nät'!Z$1,FALSE)
               +Andel_beroende_av_klimat*VLOOKUP($A250,Leveranser_per_nät,'Leveranser per nät'!Z$1,FALSE)/VLOOKUP($B250,Korrigeringsfaktor_GD,'Korrigeringsfaktor GD'!Z$1,FALSE),
"")</f>
        <v>6.7161505376344071</v>
      </c>
      <c r="AA250" s="18">
        <f>IFERROR(
                  Andel_oberoende_av_klimat*VLOOKUP($A250,Leveranser_per_nät,'Leveranser per nät'!AA$1,FALSE)
               +Andel_beroende_av_klimat*VLOOKUP($A250,Leveranser_per_nät,'Leveranser per nät'!AA$1,FALSE)/VLOOKUP($B250,Korrigeringsfaktor_GD,'Korrigeringsfaktor GD'!AA$1,FALSE),
"")</f>
        <v>6.7846293969849247</v>
      </c>
      <c r="AB250" s="18">
        <f>IFERROR(
                  Andel_oberoende_av_klimat*VLOOKUP($A250,Leveranser_per_nät,'Leveranser per nät'!AB$1,FALSE)
               +Andel_beroende_av_klimat*VLOOKUP($A250,Leveranser_per_nät,'Leveranser per nät'!AB$1,FALSE)/VLOOKUP($B250,Korrigeringsfaktor_GD,'Korrigeringsfaktor GD'!AB$1,FALSE),
"")</f>
        <v>6.7046946946946946</v>
      </c>
      <c r="AC250" s="18">
        <f>IFERROR(
                  Andel_oberoende_av_klimat*VLOOKUP($A250,Leveranser_per_nät,'Leveranser per nät'!AC$1,FALSE)
               +Andel_beroende_av_klimat*VLOOKUP($A250,Leveranser_per_nät,'Leveranser per nät'!AC$1,FALSE)/VLOOKUP($B250,Korrigeringsfaktor_GD,'Korrigeringsfaktor GD'!AC$1,FALSE),
"")</f>
        <v>6.3247368421052625</v>
      </c>
      <c r="AD250">
        <v>56.100999999999999</v>
      </c>
    </row>
    <row r="251" spans="1:30" x14ac:dyDescent="0.25">
      <c r="A251" s="3" t="s">
        <v>24</v>
      </c>
      <c r="B251" t="s">
        <v>23</v>
      </c>
      <c r="C251" s="18">
        <f>IFERROR(
                  Andel_oberoende_av_klimat*VLOOKUP($A251,Leveranser_per_nät,'Leveranser per nät'!C$1,FALSE)
               +Andel_beroende_av_klimat*VLOOKUP($A251,Leveranser_per_nät,'Leveranser per nät'!C$1,FALSE)/VLOOKUP($B251,Korrigeringsfaktor_GD,'Korrigeringsfaktor GD'!C$1,FALSE),
"")</f>
        <v>0</v>
      </c>
      <c r="D251" s="18">
        <f>IFERROR(
                  Andel_oberoende_av_klimat*VLOOKUP($A251,Leveranser_per_nät,'Leveranser per nät'!D$1,FALSE)
               +Andel_beroende_av_klimat*VLOOKUP($A251,Leveranser_per_nät,'Leveranser per nät'!D$1,FALSE)/VLOOKUP($B251,Korrigeringsfaktor_GD,'Korrigeringsfaktor GD'!D$1,FALSE),
"")</f>
        <v>0</v>
      </c>
      <c r="E251" s="18">
        <f>IFERROR(
                  Andel_oberoende_av_klimat*VLOOKUP($A251,Leveranser_per_nät,'Leveranser per nät'!E$1,FALSE)
               +Andel_beroende_av_klimat*VLOOKUP($A251,Leveranser_per_nät,'Leveranser per nät'!E$1,FALSE)/VLOOKUP($B251,Korrigeringsfaktor_GD,'Korrigeringsfaktor GD'!E$1,FALSE),
"")</f>
        <v>0</v>
      </c>
      <c r="F251" s="18">
        <f>IFERROR(
                  Andel_oberoende_av_klimat*VLOOKUP($A251,Leveranser_per_nät,'Leveranser per nät'!F$1,FALSE)
               +Andel_beroende_av_klimat*VLOOKUP($A251,Leveranser_per_nät,'Leveranser per nät'!F$1,FALSE)/VLOOKUP($B251,Korrigeringsfaktor_GD,'Korrigeringsfaktor GD'!F$1,FALSE),
"")</f>
        <v>0</v>
      </c>
      <c r="G251" s="18">
        <f>IFERROR(
                  Andel_oberoende_av_klimat*VLOOKUP($A251,Leveranser_per_nät,'Leveranser per nät'!G$1,FALSE)
               +Andel_beroende_av_klimat*VLOOKUP($A251,Leveranser_per_nät,'Leveranser per nät'!G$1,FALSE)/VLOOKUP($B251,Korrigeringsfaktor_GD,'Korrigeringsfaktor GD'!G$1,FALSE),
"")</f>
        <v>0</v>
      </c>
      <c r="H251" s="18">
        <f>IFERROR(
                  Andel_oberoende_av_klimat*VLOOKUP($A251,Leveranser_per_nät,'Leveranser per nät'!H$1,FALSE)
               +Andel_beroende_av_klimat*VLOOKUP($A251,Leveranser_per_nät,'Leveranser per nät'!H$1,FALSE)/VLOOKUP($B251,Korrigeringsfaktor_GD,'Korrigeringsfaktor GD'!H$1,FALSE),
"")</f>
        <v>0</v>
      </c>
      <c r="I251" s="18">
        <f>IFERROR(
                  Andel_oberoende_av_klimat*VLOOKUP($A251,Leveranser_per_nät,'Leveranser per nät'!I$1,FALSE)
               +Andel_beroende_av_klimat*VLOOKUP($A251,Leveranser_per_nät,'Leveranser per nät'!I$1,FALSE)/VLOOKUP($B251,Korrigeringsfaktor_GD,'Korrigeringsfaktor GD'!I$1,FALSE),
"")</f>
        <v>0</v>
      </c>
      <c r="J251" s="18">
        <f>IFERROR(
                  Andel_oberoende_av_klimat*VLOOKUP($A251,Leveranser_per_nät,'Leveranser per nät'!J$1,FALSE)
               +Andel_beroende_av_klimat*VLOOKUP($A251,Leveranser_per_nät,'Leveranser per nät'!J$1,FALSE)/VLOOKUP($B251,Korrigeringsfaktor_GD,'Korrigeringsfaktor GD'!J$1,FALSE),
"")</f>
        <v>0</v>
      </c>
      <c r="K251" s="18">
        <f>IFERROR(
                  Andel_oberoende_av_klimat*VLOOKUP($A251,Leveranser_per_nät,'Leveranser per nät'!K$1,FALSE)
               +Andel_beroende_av_klimat*VLOOKUP($A251,Leveranser_per_nät,'Leveranser per nät'!K$1,FALSE)/VLOOKUP($B251,Korrigeringsfaktor_GD,'Korrigeringsfaktor GD'!K$1,FALSE),
"")</f>
        <v>0</v>
      </c>
      <c r="L251" s="18">
        <f>IFERROR(
                  Andel_oberoende_av_klimat*VLOOKUP($A251,Leveranser_per_nät,'Leveranser per nät'!L$1,FALSE)
               +Andel_beroende_av_klimat*VLOOKUP($A251,Leveranser_per_nät,'Leveranser per nät'!L$1,FALSE)/VLOOKUP($B251,Korrigeringsfaktor_GD,'Korrigeringsfaktor GD'!L$1,FALSE),
"")</f>
        <v>0</v>
      </c>
      <c r="M251" s="18">
        <f>IFERROR(
                  Andel_oberoende_av_klimat*VLOOKUP($A251,Leveranser_per_nät,'Leveranser per nät'!M$1,FALSE)
               +Andel_beroende_av_klimat*VLOOKUP($A251,Leveranser_per_nät,'Leveranser per nät'!M$1,FALSE)/VLOOKUP($B251,Korrigeringsfaktor_GD,'Korrigeringsfaktor GD'!M$1,FALSE),
"")</f>
        <v>0</v>
      </c>
      <c r="N251" s="18">
        <f>IFERROR(
                  Andel_oberoende_av_klimat*VLOOKUP($A251,Leveranser_per_nät,'Leveranser per nät'!N$1,FALSE)
               +Andel_beroende_av_klimat*VLOOKUP($A251,Leveranser_per_nät,'Leveranser per nät'!N$1,FALSE)/VLOOKUP($B251,Korrigeringsfaktor_GD,'Korrigeringsfaktor GD'!N$1,FALSE),
"")</f>
        <v>0</v>
      </c>
      <c r="O251" s="18">
        <f>IFERROR(
                  Andel_oberoende_av_klimat*VLOOKUP($A251,Leveranser_per_nät,'Leveranser per nät'!O$1,FALSE)
               +Andel_beroende_av_klimat*VLOOKUP($A251,Leveranser_per_nät,'Leveranser per nät'!O$1,FALSE)/VLOOKUP($B251,Korrigeringsfaktor_GD,'Korrigeringsfaktor GD'!O$1,FALSE),
"")</f>
        <v>0</v>
      </c>
      <c r="P251" s="18">
        <f>IFERROR(
                  Andel_oberoende_av_klimat*VLOOKUP($A251,Leveranser_per_nät,'Leveranser per nät'!P$1,FALSE)
               +Andel_beroende_av_klimat*VLOOKUP($A251,Leveranser_per_nät,'Leveranser per nät'!P$1,FALSE)/VLOOKUP($B251,Korrigeringsfaktor_GD,'Korrigeringsfaktor GD'!P$1,FALSE),
"")</f>
        <v>0</v>
      </c>
      <c r="Q251" s="18">
        <f>IFERROR(
                  Andel_oberoende_av_klimat*VLOOKUP($A251,Leveranser_per_nät,'Leveranser per nät'!Q$1,FALSE)
               +Andel_beroende_av_klimat*VLOOKUP($A251,Leveranser_per_nät,'Leveranser per nät'!Q$1,FALSE)/VLOOKUP($B251,Korrigeringsfaktor_GD,'Korrigeringsfaktor GD'!Q$1,FALSE),
"")</f>
        <v>2.1037451327433625</v>
      </c>
      <c r="R251" s="18">
        <f>IFERROR(
                  Andel_oberoende_av_klimat*VLOOKUP($A251,Leveranser_per_nät,'Leveranser per nät'!R$1,FALSE)
               +Andel_beroende_av_klimat*VLOOKUP($A251,Leveranser_per_nät,'Leveranser per nät'!R$1,FALSE)/VLOOKUP($B251,Korrigeringsfaktor_GD,'Korrigeringsfaktor GD'!R$1,FALSE),
"")</f>
        <v>2.4081739130434783</v>
      </c>
      <c r="S251" s="18">
        <f>IFERROR(
                  Andel_oberoende_av_klimat*VLOOKUP($A251,Leveranser_per_nät,'Leveranser per nät'!S$1,FALSE)
               +Andel_beroende_av_klimat*VLOOKUP($A251,Leveranser_per_nät,'Leveranser per nät'!S$1,FALSE)/VLOOKUP($B251,Korrigeringsfaktor_GD,'Korrigeringsfaktor GD'!S$1,FALSE),
"")</f>
        <v>2.335</v>
      </c>
      <c r="T251" s="18">
        <f>IFERROR(
                  Andel_oberoende_av_klimat*VLOOKUP($A251,Leveranser_per_nät,'Leveranser per nät'!T$1,FALSE)
               +Andel_beroende_av_klimat*VLOOKUP($A251,Leveranser_per_nät,'Leveranser per nät'!T$1,FALSE)/VLOOKUP($B251,Korrigeringsfaktor_GD,'Korrigeringsfaktor GD'!T$1,FALSE),
"")</f>
        <v>2.4519587628865982</v>
      </c>
      <c r="U251" s="18">
        <f>IFERROR(
                  Andel_oberoende_av_klimat*VLOOKUP($A251,Leveranser_per_nät,'Leveranser per nät'!U$1,FALSE)
               +Andel_beroende_av_klimat*VLOOKUP($A251,Leveranser_per_nät,'Leveranser per nät'!U$1,FALSE)/VLOOKUP($B251,Korrigeringsfaktor_GD,'Korrigeringsfaktor GD'!U$1,FALSE),
"")</f>
        <v>2.2947441860465116</v>
      </c>
      <c r="V251" s="18">
        <f>IFERROR(
                  Andel_oberoende_av_klimat*VLOOKUP($A251,Leveranser_per_nät,'Leveranser per nät'!V$1,FALSE)
               +Andel_beroende_av_klimat*VLOOKUP($A251,Leveranser_per_nät,'Leveranser per nät'!V$1,FALSE)/VLOOKUP($B251,Korrigeringsfaktor_GD,'Korrigeringsfaktor GD'!V$1,FALSE),
"")</f>
        <v>2.3391882352941176</v>
      </c>
      <c r="W251" s="18">
        <f>IFERROR(
                  Andel_oberoende_av_klimat*VLOOKUP($A251,Leveranser_per_nät,'Leveranser per nät'!W$1,FALSE)
               +Andel_beroende_av_klimat*VLOOKUP($A251,Leveranser_per_nät,'Leveranser per nät'!W$1,FALSE)/VLOOKUP($B251,Korrigeringsfaktor_GD,'Korrigeringsfaktor GD'!W$1,FALSE),
"")</f>
        <v>2.0434666666666668</v>
      </c>
      <c r="X251" s="18">
        <f>IFERROR(
                  Andel_oberoende_av_klimat*VLOOKUP($A251,Leveranser_per_nät,'Leveranser per nät'!X$1,FALSE)
               +Andel_beroende_av_klimat*VLOOKUP($A251,Leveranser_per_nät,'Leveranser per nät'!X$1,FALSE)/VLOOKUP($B251,Korrigeringsfaktor_GD,'Korrigeringsfaktor GD'!X$1,FALSE),
"")</f>
        <v>1.7636818181818184</v>
      </c>
      <c r="Y251" s="18">
        <f>IFERROR(
                  Andel_oberoende_av_klimat*VLOOKUP($A251,Leveranser_per_nät,'Leveranser per nät'!Y$1,FALSE)
               +Andel_beroende_av_klimat*VLOOKUP($A251,Leveranser_per_nät,'Leveranser per nät'!Y$1,FALSE)/VLOOKUP($B251,Korrigeringsfaktor_GD,'Korrigeringsfaktor GD'!Y$1,FALSE),
"")</f>
        <v>2.3185505747126438</v>
      </c>
      <c r="Z251" s="18">
        <f>IFERROR(
                  Andel_oberoende_av_klimat*VLOOKUP($A251,Leveranser_per_nät,'Leveranser per nät'!Z$1,FALSE)
               +Andel_beroende_av_klimat*VLOOKUP($A251,Leveranser_per_nät,'Leveranser per nät'!Z$1,FALSE)/VLOOKUP($B251,Korrigeringsfaktor_GD,'Korrigeringsfaktor GD'!Z$1,FALSE),
"")</f>
        <v>2.4274391752577316</v>
      </c>
      <c r="AA251" s="18">
        <f>IFERROR(
                  Andel_oberoende_av_klimat*VLOOKUP($A251,Leveranser_per_nät,'Leveranser per nät'!AA$1,FALSE)
               +Andel_beroende_av_klimat*VLOOKUP($A251,Leveranser_per_nät,'Leveranser per nät'!AA$1,FALSE)/VLOOKUP($B251,Korrigeringsfaktor_GD,'Korrigeringsfaktor GD'!AA$1,FALSE),
"")</f>
        <v>1.9598822778257117</v>
      </c>
      <c r="AB251" s="18">
        <f>IFERROR(
                  Andel_oberoende_av_klimat*VLOOKUP($A251,Leveranser_per_nät,'Leveranser per nät'!AB$1,FALSE)
               +Andel_beroende_av_klimat*VLOOKUP($A251,Leveranser_per_nät,'Leveranser per nät'!AB$1,FALSE)/VLOOKUP($B251,Korrigeringsfaktor_GD,'Korrigeringsfaktor GD'!AB$1,FALSE),
"")</f>
        <v>1.6835700197238659</v>
      </c>
      <c r="AC251" s="18">
        <f>IFERROR(
                  Andel_oberoende_av_klimat*VLOOKUP($A251,Leveranser_per_nät,'Leveranser per nät'!AC$1,FALSE)
               +Andel_beroende_av_klimat*VLOOKUP($A251,Leveranser_per_nät,'Leveranser per nät'!AC$1,FALSE)/VLOOKUP($B251,Korrigeringsfaktor_GD,'Korrigeringsfaktor GD'!AC$1,FALSE),
"")</f>
        <v>1.8962970936490851</v>
      </c>
      <c r="AD251">
        <v>24.7</v>
      </c>
    </row>
    <row r="252" spans="1:30" x14ac:dyDescent="0.25">
      <c r="A252" t="s">
        <v>271</v>
      </c>
      <c r="B252" t="s">
        <v>262</v>
      </c>
      <c r="C252" s="18">
        <f>IFERROR(
                  Andel_oberoende_av_klimat*VLOOKUP($A252,Leveranser_per_nät,'Leveranser per nät'!C$1,FALSE)
               +Andel_beroende_av_klimat*VLOOKUP($A252,Leveranser_per_nät,'Leveranser per nät'!C$1,FALSE)/VLOOKUP($B252,Korrigeringsfaktor_GD,'Korrigeringsfaktor GD'!C$1,FALSE),
"")</f>
        <v>0</v>
      </c>
      <c r="D252" s="18">
        <f>IFERROR(
                  Andel_oberoende_av_klimat*VLOOKUP($A252,Leveranser_per_nät,'Leveranser per nät'!D$1,FALSE)
               +Andel_beroende_av_klimat*VLOOKUP($A252,Leveranser_per_nät,'Leveranser per nät'!D$1,FALSE)/VLOOKUP($B252,Korrigeringsfaktor_GD,'Korrigeringsfaktor GD'!D$1,FALSE),
"")</f>
        <v>0</v>
      </c>
      <c r="E252" s="18">
        <f>IFERROR(
                  Andel_oberoende_av_klimat*VLOOKUP($A252,Leveranser_per_nät,'Leveranser per nät'!E$1,FALSE)
               +Andel_beroende_av_klimat*VLOOKUP($A252,Leveranser_per_nät,'Leveranser per nät'!E$1,FALSE)/VLOOKUP($B252,Korrigeringsfaktor_GD,'Korrigeringsfaktor GD'!E$1,FALSE),
"")</f>
        <v>0</v>
      </c>
      <c r="F252" s="18">
        <f>IFERROR(
                  Andel_oberoende_av_klimat*VLOOKUP($A252,Leveranser_per_nät,'Leveranser per nät'!F$1,FALSE)
               +Andel_beroende_av_klimat*VLOOKUP($A252,Leveranser_per_nät,'Leveranser per nät'!F$1,FALSE)/VLOOKUP($B252,Korrigeringsfaktor_GD,'Korrigeringsfaktor GD'!F$1,FALSE),
"")</f>
        <v>1.007070707070707</v>
      </c>
      <c r="G252" s="18">
        <f>IFERROR(
                  Andel_oberoende_av_klimat*VLOOKUP($A252,Leveranser_per_nät,'Leveranser per nät'!G$1,FALSE)
               +Andel_beroende_av_klimat*VLOOKUP($A252,Leveranser_per_nät,'Leveranser per nät'!G$1,FALSE)/VLOOKUP($B252,Korrigeringsfaktor_GD,'Korrigeringsfaktor GD'!G$1,FALSE),
"")</f>
        <v>1.0692307692307692</v>
      </c>
      <c r="H252" s="18">
        <f>IFERROR(
                  Andel_oberoende_av_klimat*VLOOKUP($A252,Leveranser_per_nät,'Leveranser per nät'!H$1,FALSE)
               +Andel_beroende_av_klimat*VLOOKUP($A252,Leveranser_per_nät,'Leveranser per nät'!H$1,FALSE)/VLOOKUP($B252,Korrigeringsfaktor_GD,'Korrigeringsfaktor GD'!H$1,FALSE),
"")</f>
        <v>1</v>
      </c>
      <c r="I252" s="18">
        <f>IFERROR(
                  Andel_oberoende_av_klimat*VLOOKUP($A252,Leveranser_per_nät,'Leveranser per nät'!I$1,FALSE)
               +Andel_beroende_av_klimat*VLOOKUP($A252,Leveranser_per_nät,'Leveranser per nät'!I$1,FALSE)/VLOOKUP($B252,Korrigeringsfaktor_GD,'Korrigeringsfaktor GD'!I$1,FALSE),
"")</f>
        <v>2.0583333333333336</v>
      </c>
      <c r="J252" s="18">
        <f>IFERROR(
                  Andel_oberoende_av_klimat*VLOOKUP($A252,Leveranser_per_nät,'Leveranser per nät'!J$1,FALSE)
               +Andel_beroende_av_klimat*VLOOKUP($A252,Leveranser_per_nät,'Leveranser per nät'!J$1,FALSE)/VLOOKUP($B252,Korrigeringsfaktor_GD,'Korrigeringsfaktor GD'!J$1,FALSE),
"")</f>
        <v>2.0583333333333336</v>
      </c>
      <c r="K252" s="18">
        <f>IFERROR(
                  Andel_oberoende_av_klimat*VLOOKUP($A252,Leveranser_per_nät,'Leveranser per nät'!K$1,FALSE)
               +Andel_beroende_av_klimat*VLOOKUP($A252,Leveranser_per_nät,'Leveranser per nät'!K$1,FALSE)/VLOOKUP($B252,Korrigeringsfaktor_GD,'Korrigeringsfaktor GD'!K$1,FALSE),
"")</f>
        <v>0.96545876288659804</v>
      </c>
      <c r="L252" s="18">
        <f>IFERROR(
                  Andel_oberoende_av_klimat*VLOOKUP($A252,Leveranser_per_nät,'Leveranser per nät'!L$1,FALSE)
               +Andel_beroende_av_klimat*VLOOKUP($A252,Leveranser_per_nät,'Leveranser per nät'!L$1,FALSE)/VLOOKUP($B252,Korrigeringsfaktor_GD,'Korrigeringsfaktor GD'!L$1,FALSE),
"")</f>
        <v>0.95329739130434787</v>
      </c>
      <c r="M252" s="18">
        <f>IFERROR(
                  Andel_oberoende_av_klimat*VLOOKUP($A252,Leveranser_per_nät,'Leveranser per nät'!M$1,FALSE)
               +Andel_beroende_av_klimat*VLOOKUP($A252,Leveranser_per_nät,'Leveranser per nät'!M$1,FALSE)/VLOOKUP($B252,Korrigeringsfaktor_GD,'Korrigeringsfaktor GD'!M$1,FALSE),
"")</f>
        <v>0.99973076923076931</v>
      </c>
      <c r="N252" s="18">
        <f>IFERROR(
                  Andel_oberoende_av_klimat*VLOOKUP($A252,Leveranser_per_nät,'Leveranser per nät'!N$1,FALSE)
               +Andel_beroende_av_klimat*VLOOKUP($A252,Leveranser_per_nät,'Leveranser per nät'!N$1,FALSE)/VLOOKUP($B252,Korrigeringsfaktor_GD,'Korrigeringsfaktor GD'!N$1,FALSE),
"")</f>
        <v>1.1266434782608696</v>
      </c>
      <c r="O252" s="18">
        <f>IFERROR(
                  Andel_oberoende_av_klimat*VLOOKUP($A252,Leveranser_per_nät,'Leveranser per nät'!O$1,FALSE)
               +Andel_beroende_av_klimat*VLOOKUP($A252,Leveranser_per_nät,'Leveranser per nät'!O$1,FALSE)/VLOOKUP($B252,Korrigeringsfaktor_GD,'Korrigeringsfaktor GD'!O$1,FALSE),
"")</f>
        <v>1.3016869565217393</v>
      </c>
      <c r="P252" s="18">
        <f>IFERROR(
                  Andel_oberoende_av_klimat*VLOOKUP($A252,Leveranser_per_nät,'Leveranser per nät'!P$1,FALSE)
               +Andel_beroende_av_klimat*VLOOKUP($A252,Leveranser_per_nät,'Leveranser per nät'!P$1,FALSE)/VLOOKUP($B252,Korrigeringsfaktor_GD,'Korrigeringsfaktor GD'!P$1,FALSE),
"")</f>
        <v>1.9048285714285713</v>
      </c>
      <c r="Q252" s="18">
        <f>IFERROR(
                  Andel_oberoende_av_klimat*VLOOKUP($A252,Leveranser_per_nät,'Leveranser per nät'!Q$1,FALSE)
               +Andel_beroende_av_klimat*VLOOKUP($A252,Leveranser_per_nät,'Leveranser per nät'!Q$1,FALSE)/VLOOKUP($B252,Korrigeringsfaktor_GD,'Korrigeringsfaktor GD'!Q$1,FALSE),
"")</f>
        <v>1.9935181818181817</v>
      </c>
      <c r="R252" s="18">
        <f>IFERROR(
                  Andel_oberoende_av_klimat*VLOOKUP($A252,Leveranser_per_nät,'Leveranser per nät'!R$1,FALSE)
               +Andel_beroende_av_klimat*VLOOKUP($A252,Leveranser_per_nät,'Leveranser per nät'!R$1,FALSE)/VLOOKUP($B252,Korrigeringsfaktor_GD,'Korrigeringsfaktor GD'!R$1,FALSE),
"")</f>
        <v>1.9432333333333331</v>
      </c>
      <c r="S252" s="18">
        <f>IFERROR(
                  Andel_oberoende_av_klimat*VLOOKUP($A252,Leveranser_per_nät,'Leveranser per nät'!S$1,FALSE)
               +Andel_beroende_av_klimat*VLOOKUP($A252,Leveranser_per_nät,'Leveranser per nät'!S$1,FALSE)/VLOOKUP($B252,Korrigeringsfaktor_GD,'Korrigeringsfaktor GD'!S$1,FALSE),
"")</f>
        <v>1.9033636363636366</v>
      </c>
      <c r="T252" s="18">
        <f>IFERROR(
                  Andel_oberoende_av_klimat*VLOOKUP($A252,Leveranser_per_nät,'Leveranser per nät'!T$1,FALSE)
               +Andel_beroende_av_klimat*VLOOKUP($A252,Leveranser_per_nät,'Leveranser per nät'!T$1,FALSE)/VLOOKUP($B252,Korrigeringsfaktor_GD,'Korrigeringsfaktor GD'!T$1,FALSE),
"")</f>
        <v>2.0899130434782607</v>
      </c>
      <c r="U252" s="18">
        <f>IFERROR(
                  Andel_oberoende_av_klimat*VLOOKUP($A252,Leveranser_per_nät,'Leveranser per nät'!U$1,FALSE)
               +Andel_beroende_av_klimat*VLOOKUP($A252,Leveranser_per_nät,'Leveranser per nät'!U$1,FALSE)/VLOOKUP($B252,Korrigeringsfaktor_GD,'Korrigeringsfaktor GD'!U$1,FALSE),
"")</f>
        <v>2.6214227272727273</v>
      </c>
      <c r="V252" s="18">
        <f>IFERROR(
                  Andel_oberoende_av_klimat*VLOOKUP($A252,Leveranser_per_nät,'Leveranser per nät'!V$1,FALSE)
               +Andel_beroende_av_klimat*VLOOKUP($A252,Leveranser_per_nät,'Leveranser per nät'!V$1,FALSE)/VLOOKUP($B252,Korrigeringsfaktor_GD,'Korrigeringsfaktor GD'!V$1,FALSE),
"")</f>
        <v>2.6436647058823532</v>
      </c>
      <c r="W252" s="18">
        <f>IFERROR(
                  Andel_oberoende_av_klimat*VLOOKUP($A252,Leveranser_per_nät,'Leveranser per nät'!W$1,FALSE)
               +Andel_beroende_av_klimat*VLOOKUP($A252,Leveranser_per_nät,'Leveranser per nät'!W$1,FALSE)/VLOOKUP($B252,Korrigeringsfaktor_GD,'Korrigeringsfaktor GD'!W$1,FALSE),
"")</f>
        <v>3.3168617021276594</v>
      </c>
      <c r="X252" s="18">
        <f>IFERROR(
                  Andel_oberoende_av_klimat*VLOOKUP($A252,Leveranser_per_nät,'Leveranser per nät'!X$1,FALSE)
               +Andel_beroende_av_klimat*VLOOKUP($A252,Leveranser_per_nät,'Leveranser per nät'!X$1,FALSE)/VLOOKUP($B252,Korrigeringsfaktor_GD,'Korrigeringsfaktor GD'!X$1,FALSE),
"")</f>
        <v>3.3935842105263161</v>
      </c>
      <c r="Y252" s="18">
        <f>IFERROR(
                  Andel_oberoende_av_klimat*VLOOKUP($A252,Leveranser_per_nät,'Leveranser per nät'!Y$1,FALSE)
               +Andel_beroende_av_klimat*VLOOKUP($A252,Leveranser_per_nät,'Leveranser per nät'!Y$1,FALSE)/VLOOKUP($B252,Korrigeringsfaktor_GD,'Korrigeringsfaktor GD'!Y$1,FALSE),
"")</f>
        <v>3.3607382978723406</v>
      </c>
      <c r="Z252" s="18">
        <f>IFERROR(
                  Andel_oberoende_av_klimat*VLOOKUP($A252,Leveranser_per_nät,'Leveranser per nät'!Z$1,FALSE)
               +Andel_beroende_av_klimat*VLOOKUP($A252,Leveranser_per_nät,'Leveranser per nät'!Z$1,FALSE)/VLOOKUP($B252,Korrigeringsfaktor_GD,'Korrigeringsfaktor GD'!Z$1,FALSE),
"")</f>
        <v>3.500188172043011</v>
      </c>
      <c r="AA252" s="18">
        <f>IFERROR(
                  Andel_oberoende_av_klimat*VLOOKUP($A252,Leveranser_per_nät,'Leveranser per nät'!AA$1,FALSE)
               +Andel_beroende_av_klimat*VLOOKUP($A252,Leveranser_per_nät,'Leveranser per nät'!AA$1,FALSE)/VLOOKUP($B252,Korrigeringsfaktor_GD,'Korrigeringsfaktor GD'!AA$1,FALSE),
"")</f>
        <v>3.4503765432098765</v>
      </c>
      <c r="AB252" s="18">
        <f>IFERROR(
                  Andel_oberoende_av_klimat*VLOOKUP($A252,Leveranser_per_nät,'Leveranser per nät'!AB$1,FALSE)
               +Andel_beroende_av_klimat*VLOOKUP($A252,Leveranser_per_nät,'Leveranser per nät'!AB$1,FALSE)/VLOOKUP($B252,Korrigeringsfaktor_GD,'Korrigeringsfaktor GD'!AB$1,FALSE),
"")</f>
        <v>3.2317923965351296</v>
      </c>
      <c r="AC252" s="18">
        <f>IFERROR(
                  Andel_oberoende_av_klimat*VLOOKUP($A252,Leveranser_per_nät,'Leveranser per nät'!AC$1,FALSE)
               +Andel_beroende_av_klimat*VLOOKUP($A252,Leveranser_per_nät,'Leveranser per nät'!AC$1,FALSE)/VLOOKUP($B252,Korrigeringsfaktor_GD,'Korrigeringsfaktor GD'!AC$1,FALSE),
"")</f>
        <v>3.5483202028397569</v>
      </c>
      <c r="AD252">
        <v>9.2136999999999993</v>
      </c>
    </row>
    <row r="253" spans="1:30" x14ac:dyDescent="0.25">
      <c r="A253" s="3" t="s">
        <v>200</v>
      </c>
      <c r="B253" t="s">
        <v>239</v>
      </c>
      <c r="C253" s="18">
        <f>IFERROR(
                  Andel_oberoende_av_klimat*VLOOKUP($A253,Leveranser_per_nät,'Leveranser per nät'!C$1,FALSE)
               +Andel_beroende_av_klimat*VLOOKUP($A253,Leveranser_per_nät,'Leveranser per nät'!C$1,FALSE)/VLOOKUP($B253,Korrigeringsfaktor_GD,'Korrigeringsfaktor GD'!C$1,FALSE),
"")</f>
        <v>0</v>
      </c>
      <c r="D253" s="18">
        <f>IFERROR(
                  Andel_oberoende_av_klimat*VLOOKUP($A253,Leveranser_per_nät,'Leveranser per nät'!D$1,FALSE)
               +Andel_beroende_av_klimat*VLOOKUP($A253,Leveranser_per_nät,'Leveranser per nät'!D$1,FALSE)/VLOOKUP($B253,Korrigeringsfaktor_GD,'Korrigeringsfaktor GD'!D$1,FALSE),
"")</f>
        <v>0</v>
      </c>
      <c r="E253" s="18">
        <f>IFERROR(
                  Andel_oberoende_av_klimat*VLOOKUP($A253,Leveranser_per_nät,'Leveranser per nät'!E$1,FALSE)
               +Andel_beroende_av_klimat*VLOOKUP($A253,Leveranser_per_nät,'Leveranser per nät'!E$1,FALSE)/VLOOKUP($B253,Korrigeringsfaktor_GD,'Korrigeringsfaktor GD'!E$1,FALSE),
"")</f>
        <v>0</v>
      </c>
      <c r="F253" s="18">
        <f>IFERROR(
                  Andel_oberoende_av_klimat*VLOOKUP($A253,Leveranser_per_nät,'Leveranser per nät'!F$1,FALSE)
               +Andel_beroende_av_klimat*VLOOKUP($A253,Leveranser_per_nät,'Leveranser per nät'!F$1,FALSE)/VLOOKUP($B253,Korrigeringsfaktor_GD,'Korrigeringsfaktor GD'!F$1,FALSE),
"")</f>
        <v>0</v>
      </c>
      <c r="G253" s="18">
        <f>IFERROR(
                  Andel_oberoende_av_klimat*VLOOKUP($A253,Leveranser_per_nät,'Leveranser per nät'!G$1,FALSE)
               +Andel_beroende_av_klimat*VLOOKUP($A253,Leveranser_per_nät,'Leveranser per nät'!G$1,FALSE)/VLOOKUP($B253,Korrigeringsfaktor_GD,'Korrigeringsfaktor GD'!G$1,FALSE),
"")</f>
        <v>0</v>
      </c>
      <c r="H253" s="18">
        <f>IFERROR(
                  Andel_oberoende_av_klimat*VLOOKUP($A253,Leveranser_per_nät,'Leveranser per nät'!H$1,FALSE)
               +Andel_beroende_av_klimat*VLOOKUP($A253,Leveranser_per_nät,'Leveranser per nät'!H$1,FALSE)/VLOOKUP($B253,Korrigeringsfaktor_GD,'Korrigeringsfaktor GD'!H$1,FALSE),
"")</f>
        <v>0</v>
      </c>
      <c r="I253" s="18">
        <f>IFERROR(
                  Andel_oberoende_av_klimat*VLOOKUP($A253,Leveranser_per_nät,'Leveranser per nät'!I$1,FALSE)
               +Andel_beroende_av_klimat*VLOOKUP($A253,Leveranser_per_nät,'Leveranser per nät'!I$1,FALSE)/VLOOKUP($B253,Korrigeringsfaktor_GD,'Korrigeringsfaktor GD'!I$1,FALSE),
"")</f>
        <v>0</v>
      </c>
      <c r="J253" s="18">
        <f>IFERROR(
                  Andel_oberoende_av_klimat*VLOOKUP($A253,Leveranser_per_nät,'Leveranser per nät'!J$1,FALSE)
               +Andel_beroende_av_klimat*VLOOKUP($A253,Leveranser_per_nät,'Leveranser per nät'!J$1,FALSE)/VLOOKUP($B253,Korrigeringsfaktor_GD,'Korrigeringsfaktor GD'!J$1,FALSE),
"")</f>
        <v>0</v>
      </c>
      <c r="K253" s="18">
        <f>IFERROR(
                  Andel_oberoende_av_klimat*VLOOKUP($A253,Leveranser_per_nät,'Leveranser per nät'!K$1,FALSE)
               +Andel_beroende_av_klimat*VLOOKUP($A253,Leveranser_per_nät,'Leveranser per nät'!K$1,FALSE)/VLOOKUP($B253,Korrigeringsfaktor_GD,'Korrigeringsfaktor GD'!K$1,FALSE),
"")</f>
        <v>0</v>
      </c>
      <c r="L253" s="18">
        <f>IFERROR(
                  Andel_oberoende_av_klimat*VLOOKUP($A253,Leveranser_per_nät,'Leveranser per nät'!L$1,FALSE)
               +Andel_beroende_av_klimat*VLOOKUP($A253,Leveranser_per_nät,'Leveranser per nät'!L$1,FALSE)/VLOOKUP($B253,Korrigeringsfaktor_GD,'Korrigeringsfaktor GD'!L$1,FALSE),
"")</f>
        <v>0</v>
      </c>
      <c r="M253" s="18">
        <f>IFERROR(
                  Andel_oberoende_av_klimat*VLOOKUP($A253,Leveranser_per_nät,'Leveranser per nät'!M$1,FALSE)
               +Andel_beroende_av_klimat*VLOOKUP($A253,Leveranser_per_nät,'Leveranser per nät'!M$1,FALSE)/VLOOKUP($B253,Korrigeringsfaktor_GD,'Korrigeringsfaktor GD'!M$1,FALSE),
"")</f>
        <v>0</v>
      </c>
      <c r="N253" s="18">
        <f>IFERROR(
                  Andel_oberoende_av_klimat*VLOOKUP($A253,Leveranser_per_nät,'Leveranser per nät'!N$1,FALSE)
               +Andel_beroende_av_klimat*VLOOKUP($A253,Leveranser_per_nät,'Leveranser per nät'!N$1,FALSE)/VLOOKUP($B253,Korrigeringsfaktor_GD,'Korrigeringsfaktor GD'!N$1,FALSE),
"")</f>
        <v>0</v>
      </c>
      <c r="O253" s="18">
        <f>IFERROR(
                  Andel_oberoende_av_klimat*VLOOKUP($A253,Leveranser_per_nät,'Leveranser per nät'!O$1,FALSE)
               +Andel_beroende_av_klimat*VLOOKUP($A253,Leveranser_per_nät,'Leveranser per nät'!O$1,FALSE)/VLOOKUP($B253,Korrigeringsfaktor_GD,'Korrigeringsfaktor GD'!O$1,FALSE),
"")</f>
        <v>0</v>
      </c>
      <c r="P253" s="18">
        <f>IFERROR(
                  Andel_oberoende_av_klimat*VLOOKUP($A253,Leveranser_per_nät,'Leveranser per nät'!P$1,FALSE)
               +Andel_beroende_av_klimat*VLOOKUP($A253,Leveranser_per_nät,'Leveranser per nät'!P$1,FALSE)/VLOOKUP($B253,Korrigeringsfaktor_GD,'Korrigeringsfaktor GD'!P$1,FALSE),
"")</f>
        <v>0</v>
      </c>
      <c r="Q253" s="18">
        <f>IFERROR(
                  Andel_oberoende_av_klimat*VLOOKUP($A253,Leveranser_per_nät,'Leveranser per nät'!Q$1,FALSE)
               +Andel_beroende_av_klimat*VLOOKUP($A253,Leveranser_per_nät,'Leveranser per nät'!Q$1,FALSE)/VLOOKUP($B253,Korrigeringsfaktor_GD,'Korrigeringsfaktor GD'!Q$1,FALSE),
"")</f>
        <v>0</v>
      </c>
      <c r="R253" s="18">
        <f>IFERROR(
                  Andel_oberoende_av_klimat*VLOOKUP($A253,Leveranser_per_nät,'Leveranser per nät'!R$1,FALSE)
               +Andel_beroende_av_klimat*VLOOKUP($A253,Leveranser_per_nät,'Leveranser per nät'!R$1,FALSE)/VLOOKUP($B253,Korrigeringsfaktor_GD,'Korrigeringsfaktor GD'!R$1,FALSE),
"")</f>
        <v>0</v>
      </c>
      <c r="S253" s="18" t="str">
        <f>IFERROR(
                  Andel_oberoende_av_klimat*VLOOKUP($A253,Leveranser_per_nät,'Leveranser per nät'!S$1,FALSE)
               +Andel_beroende_av_klimat*VLOOKUP($A253,Leveranser_per_nät,'Leveranser per nät'!S$1,FALSE)/VLOOKUP($B253,Korrigeringsfaktor_GD,'Korrigeringsfaktor GD'!S$1,FALSE),
"")</f>
        <v/>
      </c>
      <c r="T253" s="18" t="str">
        <f>IFERROR(
                  Andel_oberoende_av_klimat*VLOOKUP($A253,Leveranser_per_nät,'Leveranser per nät'!T$1,FALSE)
               +Andel_beroende_av_klimat*VLOOKUP($A253,Leveranser_per_nät,'Leveranser per nät'!T$1,FALSE)/VLOOKUP($B253,Korrigeringsfaktor_GD,'Korrigeringsfaktor GD'!T$1,FALSE),
"")</f>
        <v/>
      </c>
      <c r="U253" s="18">
        <f>IFERROR(
                  Andel_oberoende_av_klimat*VLOOKUP($A253,Leveranser_per_nät,'Leveranser per nät'!U$1,FALSE)
               +Andel_beroende_av_klimat*VLOOKUP($A253,Leveranser_per_nät,'Leveranser per nät'!U$1,FALSE)/VLOOKUP($B253,Korrigeringsfaktor_GD,'Korrigeringsfaktor GD'!U$1,FALSE),
"")</f>
        <v>14.788636363636364</v>
      </c>
      <c r="V253" s="18">
        <f>IFERROR(
                  Andel_oberoende_av_klimat*VLOOKUP($A253,Leveranser_per_nät,'Leveranser per nät'!V$1,FALSE)
               +Andel_beroende_av_klimat*VLOOKUP($A253,Leveranser_per_nät,'Leveranser per nät'!V$1,FALSE)/VLOOKUP($B253,Korrigeringsfaktor_GD,'Korrigeringsfaktor GD'!V$1,FALSE),
"")</f>
        <v>14.892704545454546</v>
      </c>
      <c r="W253" s="18">
        <f>IFERROR(
                  Andel_oberoende_av_klimat*VLOOKUP($A253,Leveranser_per_nät,'Leveranser per nät'!W$1,FALSE)
               +Andel_beroende_av_klimat*VLOOKUP($A253,Leveranser_per_nät,'Leveranser per nät'!W$1,FALSE)/VLOOKUP($B253,Korrigeringsfaktor_GD,'Korrigeringsfaktor GD'!W$1,FALSE),
"")</f>
        <v>15.252340425531916</v>
      </c>
      <c r="X253" s="18">
        <f>IFERROR(
                  Andel_oberoende_av_klimat*VLOOKUP($A253,Leveranser_per_nät,'Leveranser per nät'!X$1,FALSE)
               +Andel_beroende_av_klimat*VLOOKUP($A253,Leveranser_per_nät,'Leveranser per nät'!X$1,FALSE)/VLOOKUP($B253,Korrigeringsfaktor_GD,'Korrigeringsfaktor GD'!X$1,FALSE),
"")</f>
        <v>15.699791397849463</v>
      </c>
      <c r="Y253" s="18">
        <f>IFERROR(
                  Andel_oberoende_av_klimat*VLOOKUP($A253,Leveranser_per_nät,'Leveranser per nät'!Y$1,FALSE)
               +Andel_beroende_av_klimat*VLOOKUP($A253,Leveranser_per_nät,'Leveranser per nät'!Y$1,FALSE)/VLOOKUP($B253,Korrigeringsfaktor_GD,'Korrigeringsfaktor GD'!Y$1,FALSE),
"")</f>
        <v>15.579784946236559</v>
      </c>
      <c r="Z253" s="18">
        <f>IFERROR(
                  Andel_oberoende_av_klimat*VLOOKUP($A253,Leveranser_per_nät,'Leveranser per nät'!Z$1,FALSE)
               +Andel_beroende_av_klimat*VLOOKUP($A253,Leveranser_per_nät,'Leveranser per nät'!Z$1,FALSE)/VLOOKUP($B253,Korrigeringsfaktor_GD,'Korrigeringsfaktor GD'!Z$1,FALSE),
"")</f>
        <v>15.532844943820225</v>
      </c>
      <c r="AA253" s="18">
        <f>IFERROR(
                  Andel_oberoende_av_klimat*VLOOKUP($A253,Leveranser_per_nät,'Leveranser per nät'!AA$1,FALSE)
               +Andel_beroende_av_klimat*VLOOKUP($A253,Leveranser_per_nät,'Leveranser per nät'!AA$1,FALSE)/VLOOKUP($B253,Korrigeringsfaktor_GD,'Korrigeringsfaktor GD'!AA$1,FALSE),
"")</f>
        <v>14.910011890606423</v>
      </c>
      <c r="AB253" s="18">
        <f>IFERROR(
                  Andel_oberoende_av_klimat*VLOOKUP($A253,Leveranser_per_nät,'Leveranser per nät'!AB$1,FALSE)
               +Andel_beroende_av_klimat*VLOOKUP($A253,Leveranser_per_nät,'Leveranser per nät'!AB$1,FALSE)/VLOOKUP($B253,Korrigeringsfaktor_GD,'Korrigeringsfaktor GD'!AB$1,FALSE),
"")</f>
        <v>14.776324110671936</v>
      </c>
      <c r="AC253" s="18">
        <f>IFERROR(
                  Andel_oberoende_av_klimat*VLOOKUP($A253,Leveranser_per_nät,'Leveranser per nät'!AC$1,FALSE)
               +Andel_beroende_av_klimat*VLOOKUP($A253,Leveranser_per_nät,'Leveranser per nät'!AC$1,FALSE)/VLOOKUP($B253,Korrigeringsfaktor_GD,'Korrigeringsfaktor GD'!AC$1,FALSE),
"")</f>
        <v>14.390588235294118</v>
      </c>
      <c r="AD253">
        <v>43.4</v>
      </c>
    </row>
    <row r="254" spans="1:30" x14ac:dyDescent="0.25">
      <c r="A254" t="s">
        <v>43</v>
      </c>
      <c r="B254" t="s">
        <v>43</v>
      </c>
      <c r="C254" s="18">
        <f>IFERROR(
                  Andel_oberoende_av_klimat*VLOOKUP($A254,Leveranser_per_nät,'Leveranser per nät'!C$1,FALSE)
               +Andel_beroende_av_klimat*VLOOKUP($A254,Leveranser_per_nät,'Leveranser per nät'!C$1,FALSE)/VLOOKUP($B254,Korrigeringsfaktor_GD,'Korrigeringsfaktor GD'!C$1,FALSE),
"")</f>
        <v>2298.2667103448275</v>
      </c>
      <c r="D254" s="18">
        <f>IFERROR(
                  Andel_oberoende_av_klimat*VLOOKUP($A254,Leveranser_per_nät,'Leveranser per nät'!D$1,FALSE)
               +Andel_beroende_av_klimat*VLOOKUP($A254,Leveranser_per_nät,'Leveranser per nät'!D$1,FALSE)/VLOOKUP($B254,Korrigeringsfaktor_GD,'Korrigeringsfaktor GD'!D$1,FALSE),
"")</f>
        <v>2299.3569960784316</v>
      </c>
      <c r="E254" s="18">
        <f>IFERROR(
                  Andel_oberoende_av_klimat*VLOOKUP($A254,Leveranser_per_nät,'Leveranser per nät'!E$1,FALSE)
               +Andel_beroende_av_klimat*VLOOKUP($A254,Leveranser_per_nät,'Leveranser per nät'!E$1,FALSE)/VLOOKUP($B254,Korrigeringsfaktor_GD,'Korrigeringsfaktor GD'!E$1,FALSE),
"")</f>
        <v>2288.3748242424244</v>
      </c>
      <c r="F254" s="18">
        <f>IFERROR(
                  Andel_oberoende_av_klimat*VLOOKUP($A254,Leveranser_per_nät,'Leveranser per nät'!F$1,FALSE)
               +Andel_beroende_av_klimat*VLOOKUP($A254,Leveranser_per_nät,'Leveranser per nät'!F$1,FALSE)/VLOOKUP($B254,Korrigeringsfaktor_GD,'Korrigeringsfaktor GD'!F$1,FALSE),
"")</f>
        <v>3028.2059361702131</v>
      </c>
      <c r="G254" s="18">
        <f>IFERROR(
                  Andel_oberoende_av_klimat*VLOOKUP($A254,Leveranser_per_nät,'Leveranser per nät'!G$1,FALSE)
               +Andel_beroende_av_klimat*VLOOKUP($A254,Leveranser_per_nät,'Leveranser per nät'!G$1,FALSE)/VLOOKUP($B254,Korrigeringsfaktor_GD,'Korrigeringsfaktor GD'!G$1,FALSE),
"")</f>
        <v>3036.8251712643678</v>
      </c>
      <c r="H254" s="18">
        <f>IFERROR(
                  Andel_oberoende_av_klimat*VLOOKUP($A254,Leveranser_per_nät,'Leveranser per nät'!H$1,FALSE)
               +Andel_beroende_av_klimat*VLOOKUP($A254,Leveranser_per_nät,'Leveranser per nät'!H$1,FALSE)/VLOOKUP($B254,Korrigeringsfaktor_GD,'Korrigeringsfaktor GD'!H$1,FALSE),
"")</f>
        <v>2255</v>
      </c>
      <c r="I254" s="18">
        <f>IFERROR(
                  Andel_oberoende_av_klimat*VLOOKUP($A254,Leveranser_per_nät,'Leveranser per nät'!I$1,FALSE)
               +Andel_beroende_av_klimat*VLOOKUP($A254,Leveranser_per_nät,'Leveranser per nät'!I$1,FALSE)/VLOOKUP($B254,Korrigeringsfaktor_GD,'Korrigeringsfaktor GD'!I$1,FALSE),
"")</f>
        <v>2282.3196526315792</v>
      </c>
      <c r="J254" s="18">
        <f>IFERROR(
                  Andel_oberoende_av_klimat*VLOOKUP($A254,Leveranser_per_nät,'Leveranser per nät'!J$1,FALSE)
               +Andel_beroende_av_klimat*VLOOKUP($A254,Leveranser_per_nät,'Leveranser per nät'!J$1,FALSE)/VLOOKUP($B254,Korrigeringsfaktor_GD,'Korrigeringsfaktor GD'!J$1,FALSE),
"")</f>
        <v>2257.2429999999999</v>
      </c>
      <c r="K254" s="18">
        <f>IFERROR(
                  Andel_oberoende_av_klimat*VLOOKUP($A254,Leveranser_per_nät,'Leveranser per nät'!K$1,FALSE)
               +Andel_beroende_av_klimat*VLOOKUP($A254,Leveranser_per_nät,'Leveranser per nät'!K$1,FALSE)/VLOOKUP($B254,Korrigeringsfaktor_GD,'Korrigeringsfaktor GD'!K$1,FALSE),
"")</f>
        <v>2245.7676767676767</v>
      </c>
      <c r="L254" s="18">
        <f>IFERROR(
                  Andel_oberoende_av_klimat*VLOOKUP($A254,Leveranser_per_nät,'Leveranser per nät'!L$1,FALSE)
               +Andel_beroende_av_klimat*VLOOKUP($A254,Leveranser_per_nät,'Leveranser per nät'!L$1,FALSE)/VLOOKUP($B254,Korrigeringsfaktor_GD,'Korrigeringsfaktor GD'!L$1,FALSE),
"")</f>
        <v>2473.2387681696368</v>
      </c>
      <c r="M254" s="18">
        <f>IFERROR(
                  Andel_oberoende_av_klimat*VLOOKUP($A254,Leveranser_per_nät,'Leveranser per nät'!M$1,FALSE)
               +Andel_beroende_av_klimat*VLOOKUP($A254,Leveranser_per_nät,'Leveranser per nät'!M$1,FALSE)/VLOOKUP($B254,Korrigeringsfaktor_GD,'Korrigeringsfaktor GD'!M$1,FALSE),
"")</f>
        <v>2298.2978723404258</v>
      </c>
      <c r="N254" s="18">
        <f>IFERROR(
                  Andel_oberoende_av_klimat*VLOOKUP($A254,Leveranser_per_nät,'Leveranser per nät'!N$1,FALSE)
               +Andel_beroende_av_klimat*VLOOKUP($A254,Leveranser_per_nät,'Leveranser per nät'!N$1,FALSE)/VLOOKUP($B254,Korrigeringsfaktor_GD,'Korrigeringsfaktor GD'!N$1,FALSE),
"")</f>
        <v>2244.542528735632</v>
      </c>
      <c r="O254" s="18">
        <f>IFERROR(
                  Andel_oberoende_av_klimat*VLOOKUP($A254,Leveranser_per_nät,'Leveranser per nät'!O$1,FALSE)
               +Andel_beroende_av_klimat*VLOOKUP($A254,Leveranser_per_nät,'Leveranser per nät'!O$1,FALSE)/VLOOKUP($B254,Korrigeringsfaktor_GD,'Korrigeringsfaktor GD'!O$1,FALSE),
"")</f>
        <v>2532.6707865168537</v>
      </c>
      <c r="P254" s="18">
        <f>IFERROR(
                  Andel_oberoende_av_klimat*VLOOKUP($A254,Leveranser_per_nät,'Leveranser per nät'!P$1,FALSE)
               +Andel_beroende_av_klimat*VLOOKUP($A254,Leveranser_per_nät,'Leveranser per nät'!P$1,FALSE)/VLOOKUP($B254,Korrigeringsfaktor_GD,'Korrigeringsfaktor GD'!P$1,FALSE),
"")</f>
        <v>2230.5080639175262</v>
      </c>
      <c r="Q254" s="18">
        <f>IFERROR(
                  Andel_oberoende_av_klimat*VLOOKUP($A254,Leveranser_per_nät,'Leveranser per nät'!Q$1,FALSE)
               +Andel_beroende_av_klimat*VLOOKUP($A254,Leveranser_per_nät,'Leveranser per nät'!Q$1,FALSE)/VLOOKUP($B254,Korrigeringsfaktor_GD,'Korrigeringsfaktor GD'!Q$1,FALSE),
"")</f>
        <v>2247.523076923077</v>
      </c>
      <c r="R254" s="18">
        <f>IFERROR(
                  Andel_oberoende_av_klimat*VLOOKUP($A254,Leveranser_per_nät,'Leveranser per nät'!R$1,FALSE)
               +Andel_beroende_av_klimat*VLOOKUP($A254,Leveranser_per_nät,'Leveranser per nät'!R$1,FALSE)/VLOOKUP($B254,Korrigeringsfaktor_GD,'Korrigeringsfaktor GD'!R$1,FALSE),
"")</f>
        <v>2278.3985233673134</v>
      </c>
      <c r="S254" s="18">
        <f>IFERROR(
                  Andel_oberoende_av_klimat*VLOOKUP($A254,Leveranser_per_nät,'Leveranser per nät'!S$1,FALSE)
               +Andel_beroende_av_klimat*VLOOKUP($A254,Leveranser_per_nät,'Leveranser per nät'!S$1,FALSE)/VLOOKUP($B254,Korrigeringsfaktor_GD,'Korrigeringsfaktor GD'!S$1,FALSE),
"")</f>
        <v>2244</v>
      </c>
      <c r="T254" s="18">
        <f>IFERROR(
                  Andel_oberoende_av_klimat*VLOOKUP($A254,Leveranser_per_nät,'Leveranser per nät'!T$1,FALSE)
               +Andel_beroende_av_klimat*VLOOKUP($A254,Leveranser_per_nät,'Leveranser per nät'!T$1,FALSE)/VLOOKUP($B254,Korrigeringsfaktor_GD,'Korrigeringsfaktor GD'!T$1,FALSE),
"")</f>
        <v>2200</v>
      </c>
      <c r="U254" s="18">
        <f>IFERROR(
                  Andel_oberoende_av_klimat*VLOOKUP($A254,Leveranser_per_nät,'Leveranser per nät'!U$1,FALSE)
               +Andel_beroende_av_klimat*VLOOKUP($A254,Leveranser_per_nät,'Leveranser per nät'!U$1,FALSE)/VLOOKUP($B254,Korrigeringsfaktor_GD,'Korrigeringsfaktor GD'!U$1,FALSE),
"")</f>
        <v>2218.1445783132531</v>
      </c>
      <c r="V254" s="18">
        <f>IFERROR(
                  Andel_oberoende_av_klimat*VLOOKUP($A254,Leveranser_per_nät,'Leveranser per nät'!V$1,FALSE)
               +Andel_beroende_av_klimat*VLOOKUP($A254,Leveranser_per_nät,'Leveranser per nät'!V$1,FALSE)/VLOOKUP($B254,Korrigeringsfaktor_GD,'Korrigeringsfaktor GD'!V$1,FALSE),
"")</f>
        <v>2229.5325842696629</v>
      </c>
      <c r="W254" s="18">
        <f>IFERROR(
                  Andel_oberoende_av_klimat*VLOOKUP($A254,Leveranser_per_nät,'Leveranser per nät'!W$1,FALSE)
               +Andel_beroende_av_klimat*VLOOKUP($A254,Leveranser_per_nät,'Leveranser per nät'!W$1,FALSE)/VLOOKUP($B254,Korrigeringsfaktor_GD,'Korrigeringsfaktor GD'!W$1,FALSE),
"")</f>
        <v>2258.5913043478258</v>
      </c>
      <c r="X254" s="18">
        <f>IFERROR(
                  Andel_oberoende_av_klimat*VLOOKUP($A254,Leveranser_per_nät,'Leveranser per nät'!X$1,FALSE)
               +Andel_beroende_av_klimat*VLOOKUP($A254,Leveranser_per_nät,'Leveranser per nät'!X$1,FALSE)/VLOOKUP($B254,Korrigeringsfaktor_GD,'Korrigeringsfaktor GD'!X$1,FALSE),
"")</f>
        <v>2257.1461538461535</v>
      </c>
      <c r="Y254" s="18">
        <f>IFERROR(
                  Andel_oberoende_av_klimat*VLOOKUP($A254,Leveranser_per_nät,'Leveranser per nät'!Y$1,FALSE)
               +Andel_beroende_av_klimat*VLOOKUP($A254,Leveranser_per_nät,'Leveranser per nät'!Y$1,FALSE)/VLOOKUP($B254,Korrigeringsfaktor_GD,'Korrigeringsfaktor GD'!Y$1,FALSE),
"")</f>
        <v>2253.4359550561794</v>
      </c>
      <c r="Z254" s="18">
        <f>IFERROR(
                  Andel_oberoende_av_klimat*VLOOKUP($A254,Leveranser_per_nät,'Leveranser per nät'!Z$1,FALSE)
               +Andel_beroende_av_klimat*VLOOKUP($A254,Leveranser_per_nät,'Leveranser per nät'!Z$1,FALSE)/VLOOKUP($B254,Korrigeringsfaktor_GD,'Korrigeringsfaktor GD'!Z$1,FALSE),
"")</f>
        <v>2177.1620689655169</v>
      </c>
      <c r="AA254" s="18">
        <f>IFERROR(
                  Andel_oberoende_av_klimat*VLOOKUP($A254,Leveranser_per_nät,'Leveranser per nät'!AA$1,FALSE)
               +Andel_beroende_av_klimat*VLOOKUP($A254,Leveranser_per_nät,'Leveranser per nät'!AA$1,FALSE)/VLOOKUP($B254,Korrigeringsfaktor_GD,'Korrigeringsfaktor GD'!AA$1,FALSE),
"")</f>
        <v>2154.3778125636672</v>
      </c>
      <c r="AB254" s="18">
        <f>IFERROR(
                  Andel_oberoende_av_klimat*VLOOKUP($A254,Leveranser_per_nät,'Leveranser per nät'!AB$1,FALSE)
               +Andel_beroende_av_klimat*VLOOKUP($A254,Leveranser_per_nät,'Leveranser per nät'!AB$1,FALSE)/VLOOKUP($B254,Korrigeringsfaktor_GD,'Korrigeringsfaktor GD'!AB$1,FALSE),
"")</f>
        <v>2144.6789262626262</v>
      </c>
      <c r="AC254" s="18">
        <f>IFERROR(
                  Andel_oberoende_av_klimat*VLOOKUP($A254,Leveranser_per_nät,'Leveranser per nät'!AC$1,FALSE)
               +Andel_beroende_av_klimat*VLOOKUP($A254,Leveranser_per_nät,'Leveranser per nät'!AC$1,FALSE)/VLOOKUP($B254,Korrigeringsfaktor_GD,'Korrigeringsfaktor GD'!AC$1,FALSE),
"")</f>
        <v>2105.3316740088108</v>
      </c>
      <c r="AD254" t="e">
        <v>#N/A</v>
      </c>
    </row>
    <row r="255" spans="1:30" x14ac:dyDescent="0.25">
      <c r="A255" t="s">
        <v>201</v>
      </c>
      <c r="B255" t="s">
        <v>201</v>
      </c>
      <c r="C255" s="18">
        <f>IFERROR(
                  Andel_oberoende_av_klimat*VLOOKUP($A255,Leveranser_per_nät,'Leveranser per nät'!C$1,FALSE)
               +Andel_beroende_av_klimat*VLOOKUP($A255,Leveranser_per_nät,'Leveranser per nät'!C$1,FALSE)/VLOOKUP($B255,Korrigeringsfaktor_GD,'Korrigeringsfaktor GD'!C$1,FALSE),
"")</f>
        <v>0</v>
      </c>
      <c r="D255" s="18">
        <f>IFERROR(
                  Andel_oberoende_av_klimat*VLOOKUP($A255,Leveranser_per_nät,'Leveranser per nät'!D$1,FALSE)
               +Andel_beroende_av_klimat*VLOOKUP($A255,Leveranser_per_nät,'Leveranser per nät'!D$1,FALSE)/VLOOKUP($B255,Korrigeringsfaktor_GD,'Korrigeringsfaktor GD'!D$1,FALSE),
"")</f>
        <v>0</v>
      </c>
      <c r="E255" s="18">
        <f>IFERROR(
                  Andel_oberoende_av_klimat*VLOOKUP($A255,Leveranser_per_nät,'Leveranser per nät'!E$1,FALSE)
               +Andel_beroende_av_klimat*VLOOKUP($A255,Leveranser_per_nät,'Leveranser per nät'!E$1,FALSE)/VLOOKUP($B255,Korrigeringsfaktor_GD,'Korrigeringsfaktor GD'!E$1,FALSE),
"")</f>
        <v>0</v>
      </c>
      <c r="F255" s="18">
        <f>IFERROR(
                  Andel_oberoende_av_klimat*VLOOKUP($A255,Leveranser_per_nät,'Leveranser per nät'!F$1,FALSE)
               +Andel_beroende_av_klimat*VLOOKUP($A255,Leveranser_per_nät,'Leveranser per nät'!F$1,FALSE)/VLOOKUP($B255,Korrigeringsfaktor_GD,'Korrigeringsfaktor GD'!F$1,FALSE),
"")</f>
        <v>0</v>
      </c>
      <c r="G255" s="18">
        <f>IFERROR(
                  Andel_oberoende_av_klimat*VLOOKUP($A255,Leveranser_per_nät,'Leveranser per nät'!G$1,FALSE)
               +Andel_beroende_av_klimat*VLOOKUP($A255,Leveranser_per_nät,'Leveranser per nät'!G$1,FALSE)/VLOOKUP($B255,Korrigeringsfaktor_GD,'Korrigeringsfaktor GD'!G$1,FALSE),
"")</f>
        <v>0</v>
      </c>
      <c r="H255" s="18">
        <f>IFERROR(
                  Andel_oberoende_av_klimat*VLOOKUP($A255,Leveranser_per_nät,'Leveranser per nät'!H$1,FALSE)
               +Andel_beroende_av_klimat*VLOOKUP($A255,Leveranser_per_nät,'Leveranser per nät'!H$1,FALSE)/VLOOKUP($B255,Korrigeringsfaktor_GD,'Korrigeringsfaktor GD'!H$1,FALSE),
"")</f>
        <v>18.612621359223301</v>
      </c>
      <c r="I255" s="18">
        <f>IFERROR(
                  Andel_oberoende_av_klimat*VLOOKUP($A255,Leveranser_per_nät,'Leveranser per nät'!I$1,FALSE)
               +Andel_beroende_av_klimat*VLOOKUP($A255,Leveranser_per_nät,'Leveranser per nät'!I$1,FALSE)/VLOOKUP($B255,Korrigeringsfaktor_GD,'Korrigeringsfaktor GD'!I$1,FALSE),
"")</f>
        <v>21.3</v>
      </c>
      <c r="J255" s="18">
        <f>IFERROR(
                  Andel_oberoende_av_klimat*VLOOKUP($A255,Leveranser_per_nät,'Leveranser per nät'!J$1,FALSE)
               +Andel_beroende_av_klimat*VLOOKUP($A255,Leveranser_per_nät,'Leveranser per nät'!J$1,FALSE)/VLOOKUP($B255,Korrigeringsfaktor_GD,'Korrigeringsfaktor GD'!J$1,FALSE),
"")</f>
        <v>20.480416666666663</v>
      </c>
      <c r="K255" s="18">
        <f>IFERROR(
                  Andel_oberoende_av_klimat*VLOOKUP($A255,Leveranser_per_nät,'Leveranser per nät'!K$1,FALSE)
               +Andel_beroende_av_klimat*VLOOKUP($A255,Leveranser_per_nät,'Leveranser per nät'!K$1,FALSE)/VLOOKUP($B255,Korrigeringsfaktor_GD,'Korrigeringsfaktor GD'!K$1,FALSE),
"")</f>
        <v>20.214891666666666</v>
      </c>
      <c r="L255" s="18">
        <f>IFERROR(
                  Andel_oberoende_av_klimat*VLOOKUP($A255,Leveranser_per_nät,'Leveranser per nät'!L$1,FALSE)
               +Andel_beroende_av_klimat*VLOOKUP($A255,Leveranser_per_nät,'Leveranser per nät'!L$1,FALSE)/VLOOKUP($B255,Korrigeringsfaktor_GD,'Korrigeringsfaktor GD'!L$1,FALSE),
"")</f>
        <v>20.677953763440861</v>
      </c>
      <c r="M255" s="18">
        <f>IFERROR(
                  Andel_oberoende_av_klimat*VLOOKUP($A255,Leveranser_per_nät,'Leveranser per nät'!M$1,FALSE)
               +Andel_beroende_av_klimat*VLOOKUP($A255,Leveranser_per_nät,'Leveranser per nät'!M$1,FALSE)/VLOOKUP($B255,Korrigeringsfaktor_GD,'Korrigeringsfaktor GD'!M$1,FALSE),
"")</f>
        <v>21.323478260869564</v>
      </c>
      <c r="N255" s="18">
        <f>IFERROR(
                  Andel_oberoende_av_klimat*VLOOKUP($A255,Leveranser_per_nät,'Leveranser per nät'!N$1,FALSE)
               +Andel_beroende_av_klimat*VLOOKUP($A255,Leveranser_per_nät,'Leveranser per nät'!N$1,FALSE)/VLOOKUP($B255,Korrigeringsfaktor_GD,'Korrigeringsfaktor GD'!N$1,FALSE),
"")</f>
        <v>21.943521276595746</v>
      </c>
      <c r="O255" s="18">
        <f>IFERROR(
                  Andel_oberoende_av_klimat*VLOOKUP($A255,Leveranser_per_nät,'Leveranser per nät'!O$1,FALSE)
               +Andel_beroende_av_klimat*VLOOKUP($A255,Leveranser_per_nät,'Leveranser per nät'!O$1,FALSE)/VLOOKUP($B255,Korrigeringsfaktor_GD,'Korrigeringsfaktor GD'!O$1,FALSE),
"")</f>
        <v>22.131860869565212</v>
      </c>
      <c r="P255" s="18">
        <f>IFERROR(
                  Andel_oberoende_av_klimat*VLOOKUP($A255,Leveranser_per_nät,'Leveranser per nät'!P$1,FALSE)
               +Andel_beroende_av_klimat*VLOOKUP($A255,Leveranser_per_nät,'Leveranser per nät'!P$1,FALSE)/VLOOKUP($B255,Korrigeringsfaktor_GD,'Korrigeringsfaktor GD'!P$1,FALSE),
"")</f>
        <v>24.240191919191918</v>
      </c>
      <c r="Q255" s="18">
        <f>IFERROR(
                  Andel_oberoende_av_klimat*VLOOKUP($A255,Leveranser_per_nät,'Leveranser per nät'!Q$1,FALSE)
               +Andel_beroende_av_klimat*VLOOKUP($A255,Leveranser_per_nät,'Leveranser per nät'!Q$1,FALSE)/VLOOKUP($B255,Korrigeringsfaktor_GD,'Korrigeringsfaktor GD'!Q$1,FALSE),
"")</f>
        <v>25.576620689655172</v>
      </c>
      <c r="R255" s="18">
        <f>IFERROR(
                  Andel_oberoende_av_klimat*VLOOKUP($A255,Leveranser_per_nät,'Leveranser per nät'!R$1,FALSE)
               +Andel_beroende_av_klimat*VLOOKUP($A255,Leveranser_per_nät,'Leveranser per nät'!R$1,FALSE)/VLOOKUP($B255,Korrigeringsfaktor_GD,'Korrigeringsfaktor GD'!R$1,FALSE),
"")</f>
        <v>23.869565217391301</v>
      </c>
      <c r="S255" s="18">
        <f>IFERROR(
                  Andel_oberoende_av_klimat*VLOOKUP($A255,Leveranser_per_nät,'Leveranser per nät'!S$1,FALSE)
               +Andel_beroende_av_klimat*VLOOKUP($A255,Leveranser_per_nät,'Leveranser per nät'!S$1,FALSE)/VLOOKUP($B255,Korrigeringsfaktor_GD,'Korrigeringsfaktor GD'!S$1,FALSE),
"")</f>
        <v>24.169696969696965</v>
      </c>
      <c r="T255" s="18">
        <f>IFERROR(
                  Andel_oberoende_av_klimat*VLOOKUP($A255,Leveranser_per_nät,'Leveranser per nät'!T$1,FALSE)
               +Andel_beroende_av_klimat*VLOOKUP($A255,Leveranser_per_nät,'Leveranser per nät'!T$1,FALSE)/VLOOKUP($B255,Korrigeringsfaktor_GD,'Korrigeringsfaktor GD'!T$1,FALSE),
"")</f>
        <v>24.054736842105264</v>
      </c>
      <c r="U255" s="18">
        <f>IFERROR(
                  Andel_oberoende_av_klimat*VLOOKUP($A255,Leveranser_per_nät,'Leveranser per nät'!U$1,FALSE)
               +Andel_beroende_av_klimat*VLOOKUP($A255,Leveranser_per_nät,'Leveranser per nät'!U$1,FALSE)/VLOOKUP($B255,Korrigeringsfaktor_GD,'Korrigeringsfaktor GD'!U$1,FALSE),
"")</f>
        <v>24.841162790697677</v>
      </c>
      <c r="V255" s="18">
        <f>IFERROR(
                  Andel_oberoende_av_klimat*VLOOKUP($A255,Leveranser_per_nät,'Leveranser per nät'!V$1,FALSE)
               +Andel_beroende_av_klimat*VLOOKUP($A255,Leveranser_per_nät,'Leveranser per nät'!V$1,FALSE)/VLOOKUP($B255,Korrigeringsfaktor_GD,'Korrigeringsfaktor GD'!V$1,FALSE),
"")</f>
        <v>31.04</v>
      </c>
      <c r="W255" s="18">
        <f>IFERROR(
                  Andel_oberoende_av_klimat*VLOOKUP($A255,Leveranser_per_nät,'Leveranser per nät'!W$1,FALSE)
               +Andel_beroende_av_klimat*VLOOKUP($A255,Leveranser_per_nät,'Leveranser per nät'!W$1,FALSE)/VLOOKUP($B255,Korrigeringsfaktor_GD,'Korrigeringsfaktor GD'!W$1,FALSE),
"")</f>
        <v>28.833191489361706</v>
      </c>
      <c r="X255" s="18">
        <f>IFERROR(
                  Andel_oberoende_av_klimat*VLOOKUP($A255,Leveranser_per_nät,'Leveranser per nät'!X$1,FALSE)
               +Andel_beroende_av_klimat*VLOOKUP($A255,Leveranser_per_nät,'Leveranser per nät'!X$1,FALSE)/VLOOKUP($B255,Korrigeringsfaktor_GD,'Korrigeringsfaktor GD'!X$1,FALSE),
"")</f>
        <v>27.686701030927836</v>
      </c>
      <c r="Y255" s="18">
        <f>IFERROR(
                  Andel_oberoende_av_klimat*VLOOKUP($A255,Leveranser_per_nät,'Leveranser per nät'!Y$1,FALSE)
               +Andel_beroende_av_klimat*VLOOKUP($A255,Leveranser_per_nät,'Leveranser per nät'!Y$1,FALSE)/VLOOKUP($B255,Korrigeringsfaktor_GD,'Korrigeringsfaktor GD'!Y$1,FALSE),
"")</f>
        <v>28.206382978723404</v>
      </c>
      <c r="Z255" s="18">
        <f>IFERROR(
                  Andel_oberoende_av_klimat*VLOOKUP($A255,Leveranser_per_nät,'Leveranser per nät'!Z$1,FALSE)
               +Andel_beroende_av_klimat*VLOOKUP($A255,Leveranser_per_nät,'Leveranser per nät'!Z$1,FALSE)/VLOOKUP($B255,Korrigeringsfaktor_GD,'Korrigeringsfaktor GD'!Z$1,FALSE),
"")</f>
        <v>30.335294117647059</v>
      </c>
      <c r="AA255" s="18">
        <f>IFERROR(
                  Andel_oberoende_av_klimat*VLOOKUP($A255,Leveranser_per_nät,'Leveranser per nät'!AA$1,FALSE)
               +Andel_beroende_av_klimat*VLOOKUP($A255,Leveranser_per_nät,'Leveranser per nät'!AA$1,FALSE)/VLOOKUP($B255,Korrigeringsfaktor_GD,'Korrigeringsfaktor GD'!AA$1,FALSE),
"")</f>
        <v>28.126658653846157</v>
      </c>
      <c r="AB255" s="18">
        <f>IFERROR(
                  Andel_oberoende_av_klimat*VLOOKUP($A255,Leveranser_per_nät,'Leveranser per nät'!AB$1,FALSE)
               +Andel_beroende_av_klimat*VLOOKUP($A255,Leveranser_per_nät,'Leveranser per nät'!AB$1,FALSE)/VLOOKUP($B255,Korrigeringsfaktor_GD,'Korrigeringsfaktor GD'!AB$1,FALSE),
"")</f>
        <v>27.14305084745763</v>
      </c>
      <c r="AC255" s="18">
        <f>IFERROR(
                  Andel_oberoende_av_klimat*VLOOKUP($A255,Leveranser_per_nät,'Leveranser per nät'!AC$1,FALSE)
               +Andel_beroende_av_klimat*VLOOKUP($A255,Leveranser_per_nät,'Leveranser per nät'!AC$1,FALSE)/VLOOKUP($B255,Korrigeringsfaktor_GD,'Korrigeringsfaktor GD'!AC$1,FALSE),
"")</f>
        <v>27.024054336468126</v>
      </c>
      <c r="AD255">
        <v>26.2</v>
      </c>
    </row>
    <row r="256" spans="1:30" x14ac:dyDescent="0.25">
      <c r="A256" t="s">
        <v>257</v>
      </c>
      <c r="B256" t="s">
        <v>257</v>
      </c>
      <c r="C256" s="18">
        <f>IFERROR(
                  Andel_oberoende_av_klimat*VLOOKUP($A256,Leveranser_per_nät,'Leveranser per nät'!C$1,FALSE)
               +Andel_beroende_av_klimat*VLOOKUP($A256,Leveranser_per_nät,'Leveranser per nät'!C$1,FALSE)/VLOOKUP($B256,Korrigeringsfaktor_GD,'Korrigeringsfaktor GD'!C$1,FALSE),
"")</f>
        <v>34.286407766990294</v>
      </c>
      <c r="D256" s="18">
        <f>IFERROR(
                  Andel_oberoende_av_klimat*VLOOKUP($A256,Leveranser_per_nät,'Leveranser per nät'!D$1,FALSE)
               +Andel_beroende_av_klimat*VLOOKUP($A256,Leveranser_per_nät,'Leveranser per nät'!D$1,FALSE)/VLOOKUP($B256,Korrigeringsfaktor_GD,'Korrigeringsfaktor GD'!D$1,FALSE),
"")</f>
        <v>54.913659793814432</v>
      </c>
      <c r="E256" s="18">
        <f>IFERROR(
                  Andel_oberoende_av_klimat*VLOOKUP($A256,Leveranser_per_nät,'Leveranser per nät'!E$1,FALSE)
               +Andel_beroende_av_klimat*VLOOKUP($A256,Leveranser_per_nät,'Leveranser per nät'!E$1,FALSE)/VLOOKUP($B256,Korrigeringsfaktor_GD,'Korrigeringsfaktor GD'!E$1,FALSE),
"")</f>
        <v>62.695145631067959</v>
      </c>
      <c r="F256" s="18">
        <f>IFERROR(
                  Andel_oberoende_av_klimat*VLOOKUP($A256,Leveranser_per_nät,'Leveranser per nät'!F$1,FALSE)
               +Andel_beroende_av_klimat*VLOOKUP($A256,Leveranser_per_nät,'Leveranser per nät'!F$1,FALSE)/VLOOKUP($B256,Korrigeringsfaktor_GD,'Korrigeringsfaktor GD'!F$1,FALSE),
"")</f>
        <v>69</v>
      </c>
      <c r="G256" s="18">
        <f>IFERROR(
                  Andel_oberoende_av_klimat*VLOOKUP($A256,Leveranser_per_nät,'Leveranser per nät'!G$1,FALSE)
               +Andel_beroende_av_klimat*VLOOKUP($A256,Leveranser_per_nät,'Leveranser per nät'!G$1,FALSE)/VLOOKUP($B256,Korrigeringsfaktor_GD,'Korrigeringsfaktor GD'!G$1,FALSE),
"")</f>
        <v>73.776923076923083</v>
      </c>
      <c r="H256" s="18">
        <f>IFERROR(
                  Andel_oberoende_av_klimat*VLOOKUP($A256,Leveranser_per_nät,'Leveranser per nät'!H$1,FALSE)
               +Andel_beroende_av_klimat*VLOOKUP($A256,Leveranser_per_nät,'Leveranser per nät'!H$1,FALSE)/VLOOKUP($B256,Korrigeringsfaktor_GD,'Korrigeringsfaktor GD'!H$1,FALSE),
"")</f>
        <v>84.880756862745102</v>
      </c>
      <c r="I256" s="18">
        <f>IFERROR(
                  Andel_oberoende_av_klimat*VLOOKUP($A256,Leveranser_per_nät,'Leveranser per nät'!I$1,FALSE)
               +Andel_beroende_av_klimat*VLOOKUP($A256,Leveranser_per_nät,'Leveranser per nät'!I$1,FALSE)/VLOOKUP($B256,Korrigeringsfaktor_GD,'Korrigeringsfaktor GD'!I$1,FALSE),
"")</f>
        <v>90.566666666666663</v>
      </c>
      <c r="J256" s="18">
        <f>IFERROR(
                  Andel_oberoende_av_klimat*VLOOKUP($A256,Leveranser_per_nät,'Leveranser per nät'!J$1,FALSE)
               +Andel_beroende_av_klimat*VLOOKUP($A256,Leveranser_per_nät,'Leveranser per nät'!J$1,FALSE)/VLOOKUP($B256,Korrigeringsfaktor_GD,'Korrigeringsfaktor GD'!J$1,FALSE),
"")</f>
        <v>85.420833333333334</v>
      </c>
      <c r="K256" s="18">
        <f>IFERROR(
                  Andel_oberoende_av_klimat*VLOOKUP($A256,Leveranser_per_nät,'Leveranser per nät'!K$1,FALSE)
               +Andel_beroende_av_klimat*VLOOKUP($A256,Leveranser_per_nät,'Leveranser per nät'!K$1,FALSE)/VLOOKUP($B256,Korrigeringsfaktor_GD,'Korrigeringsfaktor GD'!K$1,FALSE),
"")</f>
        <v>86.581457142857147</v>
      </c>
      <c r="L256" s="18">
        <f>IFERROR(
                  Andel_oberoende_av_klimat*VLOOKUP($A256,Leveranser_per_nät,'Leveranser per nät'!L$1,FALSE)
               +Andel_beroende_av_klimat*VLOOKUP($A256,Leveranser_per_nät,'Leveranser per nät'!L$1,FALSE)/VLOOKUP($B256,Korrigeringsfaktor_GD,'Korrigeringsfaktor GD'!L$1,FALSE),
"")</f>
        <v>88.84174893617022</v>
      </c>
      <c r="M256" s="18">
        <f>IFERROR(
                  Andel_oberoende_av_klimat*VLOOKUP($A256,Leveranser_per_nät,'Leveranser per nät'!M$1,FALSE)
               +Andel_beroende_av_klimat*VLOOKUP($A256,Leveranser_per_nät,'Leveranser per nät'!M$1,FALSE)/VLOOKUP($B256,Korrigeringsfaktor_GD,'Korrigeringsfaktor GD'!M$1,FALSE),
"")</f>
        <v>91.598660869565222</v>
      </c>
      <c r="N256" s="18">
        <f>IFERROR(
                  Andel_oberoende_av_klimat*VLOOKUP($A256,Leveranser_per_nät,'Leveranser per nät'!N$1,FALSE)
               +Andel_beroende_av_klimat*VLOOKUP($A256,Leveranser_per_nät,'Leveranser per nät'!N$1,FALSE)/VLOOKUP($B256,Korrigeringsfaktor_GD,'Korrigeringsfaktor GD'!N$1,FALSE),
"")</f>
        <v>88.063147368421056</v>
      </c>
      <c r="O256" s="18">
        <f>IFERROR(
                  Andel_oberoende_av_klimat*VLOOKUP($A256,Leveranser_per_nät,'Leveranser per nät'!O$1,FALSE)
               +Andel_beroende_av_klimat*VLOOKUP($A256,Leveranser_per_nät,'Leveranser per nät'!O$1,FALSE)/VLOOKUP($B256,Korrigeringsfaktor_GD,'Korrigeringsfaktor GD'!O$1,FALSE),
"")</f>
        <v>73.427084210526317</v>
      </c>
      <c r="P256" s="18">
        <f>IFERROR(
                  Andel_oberoende_av_klimat*VLOOKUP($A256,Leveranser_per_nät,'Leveranser per nät'!P$1,FALSE)
               +Andel_beroende_av_klimat*VLOOKUP($A256,Leveranser_per_nät,'Leveranser per nät'!P$1,FALSE)/VLOOKUP($B256,Korrigeringsfaktor_GD,'Korrigeringsfaktor GD'!P$1,FALSE),
"")</f>
        <v>79.596854545454534</v>
      </c>
      <c r="Q256" s="18">
        <f>IFERROR(
                  Andel_oberoende_av_klimat*VLOOKUP($A256,Leveranser_per_nät,'Leveranser per nät'!Q$1,FALSE)
               +Andel_beroende_av_klimat*VLOOKUP($A256,Leveranser_per_nät,'Leveranser per nät'!Q$1,FALSE)/VLOOKUP($B256,Korrigeringsfaktor_GD,'Korrigeringsfaktor GD'!Q$1,FALSE),
"")</f>
        <v>85.151036363636365</v>
      </c>
      <c r="R256" s="18">
        <f>IFERROR(
                  Andel_oberoende_av_klimat*VLOOKUP($A256,Leveranser_per_nät,'Leveranser per nät'!R$1,FALSE)
               +Andel_beroende_av_klimat*VLOOKUP($A256,Leveranser_per_nät,'Leveranser per nät'!R$1,FALSE)/VLOOKUP($B256,Korrigeringsfaktor_GD,'Korrigeringsfaktor GD'!R$1,FALSE),
"")</f>
        <v>76.488811111111104</v>
      </c>
      <c r="S256" s="18">
        <f>IFERROR(
                  Andel_oberoende_av_klimat*VLOOKUP($A256,Leveranser_per_nät,'Leveranser per nät'!S$1,FALSE)
               +Andel_beroende_av_klimat*VLOOKUP($A256,Leveranser_per_nät,'Leveranser per nät'!S$1,FALSE)/VLOOKUP($B256,Korrigeringsfaktor_GD,'Korrigeringsfaktor GD'!S$1,FALSE),
"")</f>
        <v>71.998039215686276</v>
      </c>
      <c r="T256" s="18">
        <f>IFERROR(
                  Andel_oberoende_av_klimat*VLOOKUP($A256,Leveranser_per_nät,'Leveranser per nät'!T$1,FALSE)
               +Andel_beroende_av_klimat*VLOOKUP($A256,Leveranser_per_nät,'Leveranser per nät'!T$1,FALSE)/VLOOKUP($B256,Korrigeringsfaktor_GD,'Korrigeringsfaktor GD'!T$1,FALSE),
"")</f>
        <v>75.100017021276614</v>
      </c>
      <c r="U256" s="18">
        <f>IFERROR(
                  Andel_oberoende_av_klimat*VLOOKUP($A256,Leveranser_per_nät,'Leveranser per nät'!U$1,FALSE)
               +Andel_beroende_av_klimat*VLOOKUP($A256,Leveranser_per_nät,'Leveranser per nät'!U$1,FALSE)/VLOOKUP($B256,Korrigeringsfaktor_GD,'Korrigeringsfaktor GD'!U$1,FALSE),
"")</f>
        <v>79.319815384615382</v>
      </c>
      <c r="V256" s="18">
        <f>IFERROR(
                  Andel_oberoende_av_klimat*VLOOKUP($A256,Leveranser_per_nät,'Leveranser per nät'!V$1,FALSE)
               +Andel_beroende_av_klimat*VLOOKUP($A256,Leveranser_per_nät,'Leveranser per nät'!V$1,FALSE)/VLOOKUP($B256,Korrigeringsfaktor_GD,'Korrigeringsfaktor GD'!V$1,FALSE),
"")</f>
        <v>71.983182608695643</v>
      </c>
      <c r="W256" s="18">
        <f>IFERROR(
                  Andel_oberoende_av_klimat*VLOOKUP($A256,Leveranser_per_nät,'Leveranser per nät'!W$1,FALSE)
               +Andel_beroende_av_klimat*VLOOKUP($A256,Leveranser_per_nät,'Leveranser per nät'!W$1,FALSE)/VLOOKUP($B256,Korrigeringsfaktor_GD,'Korrigeringsfaktor GD'!W$1,FALSE),
"")</f>
        <v>75.960660824742263</v>
      </c>
      <c r="X256" s="18">
        <f>IFERROR(
                  Andel_oberoende_av_klimat*VLOOKUP($A256,Leveranser_per_nät,'Leveranser per nät'!X$1,FALSE)
               +Andel_beroende_av_klimat*VLOOKUP($A256,Leveranser_per_nät,'Leveranser per nät'!X$1,FALSE)/VLOOKUP($B256,Korrigeringsfaktor_GD,'Korrigeringsfaktor GD'!X$1,FALSE),
"")</f>
        <v>81.479600000000005</v>
      </c>
      <c r="Y256" s="18">
        <f>IFERROR(
                  Andel_oberoende_av_klimat*VLOOKUP($A256,Leveranser_per_nät,'Leveranser per nät'!Y$1,FALSE)
               +Andel_beroende_av_klimat*VLOOKUP($A256,Leveranser_per_nät,'Leveranser per nät'!Y$1,FALSE)/VLOOKUP($B256,Korrigeringsfaktor_GD,'Korrigeringsfaktor GD'!Y$1,FALSE),
"")</f>
        <v>89.040085714285709</v>
      </c>
      <c r="Z256" s="18">
        <f>IFERROR(
                  Andel_oberoende_av_klimat*VLOOKUP($A256,Leveranser_per_nät,'Leveranser per nät'!Z$1,FALSE)
               +Andel_beroende_av_klimat*VLOOKUP($A256,Leveranser_per_nät,'Leveranser per nät'!Z$1,FALSE)/VLOOKUP($B256,Korrigeringsfaktor_GD,'Korrigeringsfaktor GD'!Z$1,FALSE),
"")</f>
        <v>84.712000000000003</v>
      </c>
      <c r="AA256" s="18">
        <f>IFERROR(
                  Andel_oberoende_av_klimat*VLOOKUP($A256,Leveranser_per_nät,'Leveranser per nät'!AA$1,FALSE)
               +Andel_beroende_av_klimat*VLOOKUP($A256,Leveranser_per_nät,'Leveranser per nät'!AA$1,FALSE)/VLOOKUP($B256,Korrigeringsfaktor_GD,'Korrigeringsfaktor GD'!AA$1,FALSE),
"")</f>
        <v>83.058828779304761</v>
      </c>
      <c r="AB256" s="18">
        <f>IFERROR(
                  Andel_oberoende_av_klimat*VLOOKUP($A256,Leveranser_per_nät,'Leveranser per nät'!AB$1,FALSE)
               +Andel_beroende_av_klimat*VLOOKUP($A256,Leveranser_per_nät,'Leveranser per nät'!AB$1,FALSE)/VLOOKUP($B256,Korrigeringsfaktor_GD,'Korrigeringsfaktor GD'!AB$1,FALSE),
"")</f>
        <v>69.751328119001926</v>
      </c>
      <c r="AC256" s="18">
        <f>IFERROR(
                  Andel_oberoende_av_klimat*VLOOKUP($A256,Leveranser_per_nät,'Leveranser per nät'!AC$1,FALSE)
               +Andel_beroende_av_klimat*VLOOKUP($A256,Leveranser_per_nät,'Leveranser per nät'!AC$1,FALSE)/VLOOKUP($B256,Korrigeringsfaktor_GD,'Korrigeringsfaktor GD'!AC$1,FALSE),
"")</f>
        <v>71.95235177136972</v>
      </c>
      <c r="AD256">
        <v>70.478899999999996</v>
      </c>
    </row>
    <row r="257" spans="1:30" x14ac:dyDescent="0.25">
      <c r="A257" t="s">
        <v>93</v>
      </c>
      <c r="B257" t="s">
        <v>215</v>
      </c>
      <c r="C257" s="18">
        <f>IFERROR(
                  Andel_oberoende_av_klimat*VLOOKUP($A257,Leveranser_per_nät,'Leveranser per nät'!C$1,FALSE)
               +Andel_beroende_av_klimat*VLOOKUP($A257,Leveranser_per_nät,'Leveranser per nät'!C$1,FALSE)/VLOOKUP($B257,Korrigeringsfaktor_GD,'Korrigeringsfaktor GD'!C$1,FALSE),
"")</f>
        <v>0</v>
      </c>
      <c r="D257" s="18">
        <f>IFERROR(
                  Andel_oberoende_av_klimat*VLOOKUP($A257,Leveranser_per_nät,'Leveranser per nät'!D$1,FALSE)
               +Andel_beroende_av_klimat*VLOOKUP($A257,Leveranser_per_nät,'Leveranser per nät'!D$1,FALSE)/VLOOKUP($B257,Korrigeringsfaktor_GD,'Korrigeringsfaktor GD'!D$1,FALSE),
"")</f>
        <v>0</v>
      </c>
      <c r="E257" s="18">
        <f>IFERROR(
                  Andel_oberoende_av_klimat*VLOOKUP($A257,Leveranser_per_nät,'Leveranser per nät'!E$1,FALSE)
               +Andel_beroende_av_klimat*VLOOKUP($A257,Leveranser_per_nät,'Leveranser per nät'!E$1,FALSE)/VLOOKUP($B257,Korrigeringsfaktor_GD,'Korrigeringsfaktor GD'!E$1,FALSE),
"")</f>
        <v>0</v>
      </c>
      <c r="F257" s="18">
        <f>IFERROR(
                  Andel_oberoende_av_klimat*VLOOKUP($A257,Leveranser_per_nät,'Leveranser per nät'!F$1,FALSE)
               +Andel_beroende_av_klimat*VLOOKUP($A257,Leveranser_per_nät,'Leveranser per nät'!F$1,FALSE)/VLOOKUP($B257,Korrigeringsfaktor_GD,'Korrigeringsfaktor GD'!F$1,FALSE),
"")</f>
        <v>0</v>
      </c>
      <c r="G257" s="18">
        <f>IFERROR(
                  Andel_oberoende_av_klimat*VLOOKUP($A257,Leveranser_per_nät,'Leveranser per nät'!G$1,FALSE)
               +Andel_beroende_av_klimat*VLOOKUP($A257,Leveranser_per_nät,'Leveranser per nät'!G$1,FALSE)/VLOOKUP($B257,Korrigeringsfaktor_GD,'Korrigeringsfaktor GD'!G$1,FALSE),
"")</f>
        <v>0</v>
      </c>
      <c r="H257" s="18">
        <f>IFERROR(
                  Andel_oberoende_av_klimat*VLOOKUP($A257,Leveranser_per_nät,'Leveranser per nät'!H$1,FALSE)
               +Andel_beroende_av_klimat*VLOOKUP($A257,Leveranser_per_nät,'Leveranser per nät'!H$1,FALSE)/VLOOKUP($B257,Korrigeringsfaktor_GD,'Korrigeringsfaktor GD'!H$1,FALSE),
"")</f>
        <v>0</v>
      </c>
      <c r="I257" s="18">
        <f>IFERROR(
                  Andel_oberoende_av_klimat*VLOOKUP($A257,Leveranser_per_nät,'Leveranser per nät'!I$1,FALSE)
               +Andel_beroende_av_klimat*VLOOKUP($A257,Leveranser_per_nät,'Leveranser per nät'!I$1,FALSE)/VLOOKUP($B257,Korrigeringsfaktor_GD,'Korrigeringsfaktor GD'!I$1,FALSE),
"")</f>
        <v>0</v>
      </c>
      <c r="J257" s="18">
        <f>IFERROR(
                  Andel_oberoende_av_klimat*VLOOKUP($A257,Leveranser_per_nät,'Leveranser per nät'!J$1,FALSE)
               +Andel_beroende_av_klimat*VLOOKUP($A257,Leveranser_per_nät,'Leveranser per nät'!J$1,FALSE)/VLOOKUP($B257,Korrigeringsfaktor_GD,'Korrigeringsfaktor GD'!J$1,FALSE),
"")</f>
        <v>8.056565656565656</v>
      </c>
      <c r="K257" s="18">
        <f>IFERROR(
                  Andel_oberoende_av_klimat*VLOOKUP($A257,Leveranser_per_nät,'Leveranser per nät'!K$1,FALSE)
               +Andel_beroende_av_klimat*VLOOKUP($A257,Leveranser_per_nät,'Leveranser per nät'!K$1,FALSE)/VLOOKUP($B257,Korrigeringsfaktor_GD,'Korrigeringsfaktor GD'!K$1,FALSE),
"")</f>
        <v>6.4359999999999999</v>
      </c>
      <c r="L257" s="18">
        <f>IFERROR(
                  Andel_oberoende_av_klimat*VLOOKUP($A257,Leveranser_per_nät,'Leveranser per nät'!L$1,FALSE)
               +Andel_beroende_av_klimat*VLOOKUP($A257,Leveranser_per_nät,'Leveranser per nät'!L$1,FALSE)/VLOOKUP($B257,Korrigeringsfaktor_GD,'Korrigeringsfaktor GD'!L$1,FALSE),
"")</f>
        <v>11.983167010986797</v>
      </c>
      <c r="M257" s="18">
        <f>IFERROR(
                  Andel_oberoende_av_klimat*VLOOKUP($A257,Leveranser_per_nät,'Leveranser per nät'!M$1,FALSE)
               +Andel_beroende_av_klimat*VLOOKUP($A257,Leveranser_per_nät,'Leveranser per nät'!M$1,FALSE)/VLOOKUP($B257,Korrigeringsfaktor_GD,'Korrigeringsfaktor GD'!M$1,FALSE),
"")</f>
        <v>8.9738085106382979</v>
      </c>
      <c r="N257" s="18">
        <f>IFERROR(
                  Andel_oberoende_av_klimat*VLOOKUP($A257,Leveranser_per_nät,'Leveranser per nät'!N$1,FALSE)
               +Andel_beroende_av_klimat*VLOOKUP($A257,Leveranser_per_nät,'Leveranser per nät'!N$1,FALSE)/VLOOKUP($B257,Korrigeringsfaktor_GD,'Korrigeringsfaktor GD'!N$1,FALSE),
"")</f>
        <v>8.6222222222222218</v>
      </c>
      <c r="O257" s="18">
        <f>IFERROR(
                  Andel_oberoende_av_klimat*VLOOKUP($A257,Leveranser_per_nät,'Leveranser per nät'!O$1,FALSE)
               +Andel_beroende_av_klimat*VLOOKUP($A257,Leveranser_per_nät,'Leveranser per nät'!O$1,FALSE)/VLOOKUP($B257,Korrigeringsfaktor_GD,'Korrigeringsfaktor GD'!O$1,FALSE),
"")</f>
        <v>10.777777777777779</v>
      </c>
      <c r="P257" s="18">
        <f>IFERROR(
                  Andel_oberoende_av_klimat*VLOOKUP($A257,Leveranser_per_nät,'Leveranser per nät'!P$1,FALSE)
               +Andel_beroende_av_klimat*VLOOKUP($A257,Leveranser_per_nät,'Leveranser per nät'!P$1,FALSE)/VLOOKUP($B257,Korrigeringsfaktor_GD,'Korrigeringsfaktor GD'!P$1,FALSE),
"")</f>
        <v>11.410111111111112</v>
      </c>
      <c r="Q257" s="18">
        <f>IFERROR(
                  Andel_oberoende_av_klimat*VLOOKUP($A257,Leveranser_per_nät,'Leveranser per nät'!Q$1,FALSE)
               +Andel_beroende_av_klimat*VLOOKUP($A257,Leveranser_per_nät,'Leveranser per nät'!Q$1,FALSE)/VLOOKUP($B257,Korrigeringsfaktor_GD,'Korrigeringsfaktor GD'!Q$1,FALSE),
"")</f>
        <v>13.321478260869565</v>
      </c>
      <c r="R257" s="18">
        <f>IFERROR(
                  Andel_oberoende_av_klimat*VLOOKUP($A257,Leveranser_per_nät,'Leveranser per nät'!R$1,FALSE)
               +Andel_beroende_av_klimat*VLOOKUP($A257,Leveranser_per_nät,'Leveranser per nät'!R$1,FALSE)/VLOOKUP($B257,Korrigeringsfaktor_GD,'Korrigeringsfaktor GD'!R$1,FALSE),
"")</f>
        <v>13.89893076923077</v>
      </c>
      <c r="S257" s="18">
        <f>IFERROR(
                  Andel_oberoende_av_klimat*VLOOKUP($A257,Leveranser_per_nät,'Leveranser per nät'!S$1,FALSE)
               +Andel_beroende_av_klimat*VLOOKUP($A257,Leveranser_per_nät,'Leveranser per nät'!S$1,FALSE)/VLOOKUP($B257,Korrigeringsfaktor_GD,'Korrigeringsfaktor GD'!S$1,FALSE),
"")</f>
        <v>14.598118811881188</v>
      </c>
      <c r="T257" s="18">
        <f>IFERROR(
                  Andel_oberoende_av_klimat*VLOOKUP($A257,Leveranser_per_nät,'Leveranser per nät'!T$1,FALSE)
               +Andel_beroende_av_klimat*VLOOKUP($A257,Leveranser_per_nät,'Leveranser per nät'!T$1,FALSE)/VLOOKUP($B257,Korrigeringsfaktor_GD,'Korrigeringsfaktor GD'!T$1,FALSE),
"")</f>
        <v>14.747543434343434</v>
      </c>
      <c r="U257" s="18">
        <f>IFERROR(
                  Andel_oberoende_av_klimat*VLOOKUP($A257,Leveranser_per_nät,'Leveranser per nät'!U$1,FALSE)
               +Andel_beroende_av_klimat*VLOOKUP($A257,Leveranser_per_nät,'Leveranser per nät'!U$1,FALSE)/VLOOKUP($B257,Korrigeringsfaktor_GD,'Korrigeringsfaktor GD'!U$1,FALSE),
"")</f>
        <v>14.486798850574715</v>
      </c>
      <c r="V257" s="18">
        <f>IFERROR(
                  Andel_oberoende_av_klimat*VLOOKUP($A257,Leveranser_per_nät,'Leveranser per nät'!V$1,FALSE)
               +Andel_beroende_av_klimat*VLOOKUP($A257,Leveranser_per_nät,'Leveranser per nät'!V$1,FALSE)/VLOOKUP($B257,Korrigeringsfaktor_GD,'Korrigeringsfaktor GD'!V$1,FALSE),
"")</f>
        <v>14.403953932584269</v>
      </c>
      <c r="W257" s="18">
        <f>IFERROR(
                  Andel_oberoende_av_klimat*VLOOKUP($A257,Leveranser_per_nät,'Leveranser per nät'!W$1,FALSE)
               +Andel_beroende_av_klimat*VLOOKUP($A257,Leveranser_per_nät,'Leveranser per nät'!W$1,FALSE)/VLOOKUP($B257,Korrigeringsfaktor_GD,'Korrigeringsfaktor GD'!W$1,FALSE),
"")</f>
        <v>15.238713978494626</v>
      </c>
      <c r="X257" s="18">
        <f>IFERROR(
                  Andel_oberoende_av_klimat*VLOOKUP($A257,Leveranser_per_nät,'Leveranser per nät'!X$1,FALSE)
               +Andel_beroende_av_klimat*VLOOKUP($A257,Leveranser_per_nät,'Leveranser per nät'!X$1,FALSE)/VLOOKUP($B257,Korrigeringsfaktor_GD,'Korrigeringsfaktor GD'!X$1,FALSE),
"")</f>
        <v>15.399061538461536</v>
      </c>
      <c r="Y257" s="18">
        <f>IFERROR(
                  Andel_oberoende_av_klimat*VLOOKUP($A257,Leveranser_per_nät,'Leveranser per nät'!Y$1,FALSE)
               +Andel_beroende_av_klimat*VLOOKUP($A257,Leveranser_per_nät,'Leveranser per nät'!Y$1,FALSE)/VLOOKUP($B257,Korrigeringsfaktor_GD,'Korrigeringsfaktor GD'!Y$1,FALSE),
"")</f>
        <v>15.116911111111111</v>
      </c>
      <c r="Z257" s="18">
        <f>IFERROR(
                  Andel_oberoende_av_klimat*VLOOKUP($A257,Leveranser_per_nät,'Leveranser per nät'!Z$1,FALSE)
               +Andel_beroende_av_klimat*VLOOKUP($A257,Leveranser_per_nät,'Leveranser per nät'!Z$1,FALSE)/VLOOKUP($B257,Korrigeringsfaktor_GD,'Korrigeringsfaktor GD'!Z$1,FALSE),
"")</f>
        <v>13.759930769230767</v>
      </c>
      <c r="AA257" s="18">
        <f>IFERROR(
                  Andel_oberoende_av_klimat*VLOOKUP($A257,Leveranser_per_nät,'Leveranser per nät'!AA$1,FALSE)
               +Andel_beroende_av_klimat*VLOOKUP($A257,Leveranser_per_nät,'Leveranser per nät'!AA$1,FALSE)/VLOOKUP($B257,Korrigeringsfaktor_GD,'Korrigeringsfaktor GD'!AA$1,FALSE),
"")</f>
        <v>13.642793887147336</v>
      </c>
      <c r="AB257" s="18">
        <f>IFERROR(
                  Andel_oberoende_av_klimat*VLOOKUP($A257,Leveranser_per_nät,'Leveranser per nät'!AB$1,FALSE)
               +Andel_beroende_av_klimat*VLOOKUP($A257,Leveranser_per_nät,'Leveranser per nät'!AB$1,FALSE)/VLOOKUP($B257,Korrigeringsfaktor_GD,'Korrigeringsfaktor GD'!AB$1,FALSE),
"")</f>
        <v>13.245009233791748</v>
      </c>
      <c r="AC257" s="18">
        <f>IFERROR(
                  Andel_oberoende_av_klimat*VLOOKUP($A257,Leveranser_per_nät,'Leveranser per nät'!AC$1,FALSE)
               +Andel_beroende_av_klimat*VLOOKUP($A257,Leveranser_per_nät,'Leveranser per nät'!AC$1,FALSE)/VLOOKUP($B257,Korrigeringsfaktor_GD,'Korrigeringsfaktor GD'!AC$1,FALSE),
"")</f>
        <v>12.772756900212313</v>
      </c>
      <c r="AD257">
        <v>29.885000000000002</v>
      </c>
    </row>
    <row r="258" spans="1:30" x14ac:dyDescent="0.25">
      <c r="A258" t="s">
        <v>202</v>
      </c>
      <c r="B258" t="s">
        <v>202</v>
      </c>
      <c r="C258" s="18">
        <f>IFERROR(
                  Andel_oberoende_av_klimat*VLOOKUP($A258,Leveranser_per_nät,'Leveranser per nät'!C$1,FALSE)
               +Andel_beroende_av_klimat*VLOOKUP($A258,Leveranser_per_nät,'Leveranser per nät'!C$1,FALSE)/VLOOKUP($B258,Korrigeringsfaktor_GD,'Korrigeringsfaktor GD'!C$1,FALSE),
"")</f>
        <v>29.599999999999998</v>
      </c>
      <c r="D258" s="18">
        <f>IFERROR(
                  Andel_oberoende_av_klimat*VLOOKUP($A258,Leveranser_per_nät,'Leveranser per nät'!D$1,FALSE)
               +Andel_beroende_av_klimat*VLOOKUP($A258,Leveranser_per_nät,'Leveranser per nät'!D$1,FALSE)/VLOOKUP($B258,Korrigeringsfaktor_GD,'Korrigeringsfaktor GD'!D$1,FALSE),
"")</f>
        <v>38.339999999999996</v>
      </c>
      <c r="E258" s="18">
        <f>IFERROR(
                  Andel_oberoende_av_klimat*VLOOKUP($A258,Leveranser_per_nät,'Leveranser per nät'!E$1,FALSE)
               +Andel_beroende_av_klimat*VLOOKUP($A258,Leveranser_per_nät,'Leveranser per nät'!E$1,FALSE)/VLOOKUP($B258,Korrigeringsfaktor_GD,'Korrigeringsfaktor GD'!E$1,FALSE),
"")</f>
        <v>44.688118811881189</v>
      </c>
      <c r="F258" s="18">
        <f>IFERROR(
                  Andel_oberoende_av_klimat*VLOOKUP($A258,Leveranser_per_nät,'Leveranser per nät'!F$1,FALSE)
               +Andel_beroende_av_klimat*VLOOKUP($A258,Leveranser_per_nät,'Leveranser per nät'!F$1,FALSE)/VLOOKUP($B258,Korrigeringsfaktor_GD,'Korrigeringsfaktor GD'!F$1,FALSE),
"")</f>
        <v>61.636170212765961</v>
      </c>
      <c r="G258" s="18">
        <f>IFERROR(
                  Andel_oberoende_av_klimat*VLOOKUP($A258,Leveranser_per_nät,'Leveranser per nät'!G$1,FALSE)
               +Andel_beroende_av_klimat*VLOOKUP($A258,Leveranser_per_nät,'Leveranser per nät'!G$1,FALSE)/VLOOKUP($B258,Korrigeringsfaktor_GD,'Korrigeringsfaktor GD'!G$1,FALSE),
"")</f>
        <v>64.041176470588226</v>
      </c>
      <c r="H258" s="18">
        <f>IFERROR(
                  Andel_oberoende_av_klimat*VLOOKUP($A258,Leveranser_per_nät,'Leveranser per nät'!H$1,FALSE)
               +Andel_beroende_av_klimat*VLOOKUP($A258,Leveranser_per_nät,'Leveranser per nät'!H$1,FALSE)/VLOOKUP($B258,Korrigeringsfaktor_GD,'Korrigeringsfaktor GD'!H$1,FALSE),
"")</f>
        <v>71</v>
      </c>
      <c r="I258" s="18">
        <f>IFERROR(
                  Andel_oberoende_av_klimat*VLOOKUP($A258,Leveranser_per_nät,'Leveranser per nät'!I$1,FALSE)
               +Andel_beroende_av_klimat*VLOOKUP($A258,Leveranser_per_nät,'Leveranser per nät'!I$1,FALSE)/VLOOKUP($B258,Korrigeringsfaktor_GD,'Korrigeringsfaktor GD'!I$1,FALSE),
"")</f>
        <v>80.873684210526321</v>
      </c>
      <c r="J258" s="18">
        <f>IFERROR(
                  Andel_oberoende_av_klimat*VLOOKUP($A258,Leveranser_per_nät,'Leveranser per nät'!J$1,FALSE)
               +Andel_beroende_av_klimat*VLOOKUP($A258,Leveranser_per_nät,'Leveranser per nät'!J$1,FALSE)/VLOOKUP($B258,Korrigeringsfaktor_GD,'Korrigeringsfaktor GD'!J$1,FALSE),
"")</f>
        <v>90.271428571428572</v>
      </c>
      <c r="K258" s="18">
        <f>IFERROR(
                  Andel_oberoende_av_klimat*VLOOKUP($A258,Leveranser_per_nät,'Leveranser per nät'!K$1,FALSE)
               +Andel_beroende_av_klimat*VLOOKUP($A258,Leveranser_per_nät,'Leveranser per nät'!K$1,FALSE)/VLOOKUP($B258,Korrigeringsfaktor_GD,'Korrigeringsfaktor GD'!K$1,FALSE),
"")</f>
        <v>90.927825773195877</v>
      </c>
      <c r="L258" s="18">
        <f>IFERROR(
                  Andel_oberoende_av_klimat*VLOOKUP($A258,Leveranser_per_nät,'Leveranser per nät'!L$1,FALSE)
               +Andel_beroende_av_klimat*VLOOKUP($A258,Leveranser_per_nät,'Leveranser per nät'!L$1,FALSE)/VLOOKUP($B258,Korrigeringsfaktor_GD,'Korrigeringsfaktor GD'!L$1,FALSE),
"")</f>
        <v>102.37872340425533</v>
      </c>
      <c r="M258" s="18">
        <f>IFERROR(
                  Andel_oberoende_av_klimat*VLOOKUP($A258,Leveranser_per_nät,'Leveranser per nät'!M$1,FALSE)
               +Andel_beroende_av_klimat*VLOOKUP($A258,Leveranser_per_nät,'Leveranser per nät'!M$1,FALSE)/VLOOKUP($B258,Korrigeringsfaktor_GD,'Korrigeringsfaktor GD'!M$1,FALSE),
"")</f>
        <v>115.889388172043</v>
      </c>
      <c r="N258" s="18">
        <f>IFERROR(
                  Andel_oberoende_av_klimat*VLOOKUP($A258,Leveranser_per_nät,'Leveranser per nät'!N$1,FALSE)
               +Andel_beroende_av_klimat*VLOOKUP($A258,Leveranser_per_nät,'Leveranser per nät'!N$1,FALSE)/VLOOKUP($B258,Korrigeringsfaktor_GD,'Korrigeringsfaktor GD'!N$1,FALSE),
"")</f>
        <v>117.8647</v>
      </c>
      <c r="O258" s="18">
        <f>IFERROR(
                  Andel_oberoende_av_klimat*VLOOKUP($A258,Leveranser_per_nät,'Leveranser per nät'!O$1,FALSE)
               +Andel_beroende_av_klimat*VLOOKUP($A258,Leveranser_per_nät,'Leveranser per nät'!O$1,FALSE)/VLOOKUP($B258,Korrigeringsfaktor_GD,'Korrigeringsfaktor GD'!O$1,FALSE),
"")</f>
        <v>119.40454545454546</v>
      </c>
      <c r="P258" s="18">
        <f>IFERROR(
                  Andel_oberoende_av_klimat*VLOOKUP($A258,Leveranser_per_nät,'Leveranser per nät'!P$1,FALSE)
               +Andel_beroende_av_klimat*VLOOKUP($A258,Leveranser_per_nät,'Leveranser per nät'!P$1,FALSE)/VLOOKUP($B258,Korrigeringsfaktor_GD,'Korrigeringsfaktor GD'!P$1,FALSE),
"")</f>
        <v>140.37714285714287</v>
      </c>
      <c r="Q258" s="18">
        <f>IFERROR(
                  Andel_oberoende_av_klimat*VLOOKUP($A258,Leveranser_per_nät,'Leveranser per nät'!Q$1,FALSE)
               +Andel_beroende_av_klimat*VLOOKUP($A258,Leveranser_per_nät,'Leveranser per nät'!Q$1,FALSE)/VLOOKUP($B258,Korrigeringsfaktor_GD,'Korrigeringsfaktor GD'!Q$1,FALSE),
"")</f>
        <v>133.54939999999999</v>
      </c>
      <c r="R258" s="18">
        <f>IFERROR(
                  Andel_oberoende_av_klimat*VLOOKUP($A258,Leveranser_per_nät,'Leveranser per nät'!R$1,FALSE)
               +Andel_beroende_av_klimat*VLOOKUP($A258,Leveranser_per_nät,'Leveranser per nät'!R$1,FALSE)/VLOOKUP($B258,Korrigeringsfaktor_GD,'Korrigeringsfaktor GD'!R$1,FALSE),
"")</f>
        <v>138.07511538461537</v>
      </c>
      <c r="S258" s="18">
        <f>IFERROR(
                  Andel_oberoende_av_klimat*VLOOKUP($A258,Leveranser_per_nät,'Leveranser per nät'!S$1,FALSE)
               +Andel_beroende_av_klimat*VLOOKUP($A258,Leveranser_per_nät,'Leveranser per nät'!S$1,FALSE)/VLOOKUP($B258,Korrigeringsfaktor_GD,'Korrigeringsfaktor GD'!S$1,FALSE),
"")</f>
        <v>135</v>
      </c>
      <c r="T258" s="18">
        <f>IFERROR(
                  Andel_oberoende_av_klimat*VLOOKUP($A258,Leveranser_per_nät,'Leveranser per nät'!T$1,FALSE)
               +Andel_beroende_av_klimat*VLOOKUP($A258,Leveranser_per_nät,'Leveranser per nät'!T$1,FALSE)/VLOOKUP($B258,Korrigeringsfaktor_GD,'Korrigeringsfaktor GD'!T$1,FALSE),
"")</f>
        <v>134.09762474226804</v>
      </c>
      <c r="U258" s="18">
        <f>IFERROR(
                  Andel_oberoende_av_klimat*VLOOKUP($A258,Leveranser_per_nät,'Leveranser per nät'!U$1,FALSE)
               +Andel_beroende_av_klimat*VLOOKUP($A258,Leveranser_per_nät,'Leveranser per nät'!U$1,FALSE)/VLOOKUP($B258,Korrigeringsfaktor_GD,'Korrigeringsfaktor GD'!U$1,FALSE),
"")</f>
        <v>132.00348837209302</v>
      </c>
      <c r="V258" s="18">
        <f>IFERROR(
                  Andel_oberoende_av_klimat*VLOOKUP($A258,Leveranser_per_nät,'Leveranser per nät'!V$1,FALSE)
               +Andel_beroende_av_klimat*VLOOKUP($A258,Leveranser_per_nät,'Leveranser per nät'!V$1,FALSE)/VLOOKUP($B258,Korrigeringsfaktor_GD,'Korrigeringsfaktor GD'!V$1,FALSE),
"")</f>
        <v>129.94741573033707</v>
      </c>
      <c r="W258" s="18">
        <f>IFERROR(
                  Andel_oberoende_av_klimat*VLOOKUP($A258,Leveranser_per_nät,'Leveranser per nät'!W$1,FALSE)
               +Andel_beroende_av_klimat*VLOOKUP($A258,Leveranser_per_nät,'Leveranser per nät'!W$1,FALSE)/VLOOKUP($B258,Korrigeringsfaktor_GD,'Korrigeringsfaktor GD'!W$1,FALSE),
"")</f>
        <v>134.34595744680851</v>
      </c>
      <c r="X258" s="18">
        <f>IFERROR(
                  Andel_oberoende_av_klimat*VLOOKUP($A258,Leveranser_per_nät,'Leveranser per nät'!X$1,FALSE)
               +Andel_beroende_av_klimat*VLOOKUP($A258,Leveranser_per_nät,'Leveranser per nät'!X$1,FALSE)/VLOOKUP($B258,Korrigeringsfaktor_GD,'Korrigeringsfaktor GD'!X$1,FALSE),
"")</f>
        <v>131.53970322580645</v>
      </c>
      <c r="Y258" s="18">
        <f>IFERROR(
                  Andel_oberoende_av_klimat*VLOOKUP($A258,Leveranser_per_nät,'Leveranser per nät'!Y$1,FALSE)
               +Andel_beroende_av_klimat*VLOOKUP($A258,Leveranser_per_nät,'Leveranser per nät'!Y$1,FALSE)/VLOOKUP($B258,Korrigeringsfaktor_GD,'Korrigeringsfaktor GD'!Y$1,FALSE),
"")</f>
        <v>134.08792127659575</v>
      </c>
      <c r="Z258" s="18">
        <f>IFERROR(
                  Andel_oberoende_av_klimat*VLOOKUP($A258,Leveranser_per_nät,'Leveranser per nät'!Z$1,FALSE)
               +Andel_beroende_av_klimat*VLOOKUP($A258,Leveranser_per_nät,'Leveranser per nät'!Z$1,FALSE)/VLOOKUP($B258,Korrigeringsfaktor_GD,'Korrigeringsfaktor GD'!Z$1,FALSE),
"")</f>
        <v>130.54671578947369</v>
      </c>
      <c r="AA258" s="18">
        <f>IFERROR(
                  Andel_oberoende_av_klimat*VLOOKUP($A258,Leveranser_per_nät,'Leveranser per nät'!AA$1,FALSE)
               +Andel_beroende_av_klimat*VLOOKUP($A258,Leveranser_per_nät,'Leveranser per nät'!AA$1,FALSE)/VLOOKUP($B258,Korrigeringsfaktor_GD,'Korrigeringsfaktor GD'!AA$1,FALSE),
"")</f>
        <v>136.08379936944684</v>
      </c>
      <c r="AB258" s="18">
        <f>IFERROR(
                  Andel_oberoende_av_klimat*VLOOKUP($A258,Leveranser_per_nät,'Leveranser per nät'!AB$1,FALSE)
               +Andel_beroende_av_klimat*VLOOKUP($A258,Leveranser_per_nät,'Leveranser per nät'!AB$1,FALSE)/VLOOKUP($B258,Korrigeringsfaktor_GD,'Korrigeringsfaktor GD'!AB$1,FALSE),
"")</f>
        <v>136.18655650522319</v>
      </c>
      <c r="AC258" s="18">
        <f>IFERROR(
                  Andel_oberoende_av_klimat*VLOOKUP($A258,Leveranser_per_nät,'Leveranser per nät'!AC$1,FALSE)
               +Andel_beroende_av_klimat*VLOOKUP($A258,Leveranser_per_nät,'Leveranser per nät'!AC$1,FALSE)/VLOOKUP($B258,Korrigeringsfaktor_GD,'Korrigeringsfaktor GD'!AC$1,FALSE),
"")</f>
        <v>134.91297540983606</v>
      </c>
      <c r="AD258">
        <v>132.63</v>
      </c>
    </row>
    <row r="259" spans="1:30" x14ac:dyDescent="0.25">
      <c r="A259" t="s">
        <v>82</v>
      </c>
      <c r="B259" t="s">
        <v>82</v>
      </c>
      <c r="C259" s="18">
        <f>IFERROR(
                  Andel_oberoende_av_klimat*VLOOKUP($A259,Leveranser_per_nät,'Leveranser per nät'!C$1,FALSE)
               +Andel_beroende_av_klimat*VLOOKUP($A259,Leveranser_per_nät,'Leveranser per nät'!C$1,FALSE)/VLOOKUP($B259,Korrigeringsfaktor_GD,'Korrigeringsfaktor GD'!C$1,FALSE),
"")</f>
        <v>0</v>
      </c>
      <c r="D259" s="18">
        <f>IFERROR(
                  Andel_oberoende_av_klimat*VLOOKUP($A259,Leveranser_per_nät,'Leveranser per nät'!D$1,FALSE)
               +Andel_beroende_av_klimat*VLOOKUP($A259,Leveranser_per_nät,'Leveranser per nät'!D$1,FALSE)/VLOOKUP($B259,Korrigeringsfaktor_GD,'Korrigeringsfaktor GD'!D$1,FALSE),
"")</f>
        <v>0</v>
      </c>
      <c r="E259" s="18">
        <f>IFERROR(
                  Andel_oberoende_av_klimat*VLOOKUP($A259,Leveranser_per_nät,'Leveranser per nät'!E$1,FALSE)
               +Andel_beroende_av_klimat*VLOOKUP($A259,Leveranser_per_nät,'Leveranser per nät'!E$1,FALSE)/VLOOKUP($B259,Korrigeringsfaktor_GD,'Korrigeringsfaktor GD'!E$1,FALSE),
"")</f>
        <v>0</v>
      </c>
      <c r="F259" s="18">
        <f>IFERROR(
                  Andel_oberoende_av_klimat*VLOOKUP($A259,Leveranser_per_nät,'Leveranser per nät'!F$1,FALSE)
               +Andel_beroende_av_klimat*VLOOKUP($A259,Leveranser_per_nät,'Leveranser per nät'!F$1,FALSE)/VLOOKUP($B259,Korrigeringsfaktor_GD,'Korrigeringsfaktor GD'!F$1,FALSE),
"")</f>
        <v>0</v>
      </c>
      <c r="G259" s="18">
        <f>IFERROR(
                  Andel_oberoende_av_klimat*VLOOKUP($A259,Leveranser_per_nät,'Leveranser per nät'!G$1,FALSE)
               +Andel_beroende_av_klimat*VLOOKUP($A259,Leveranser_per_nät,'Leveranser per nät'!G$1,FALSE)/VLOOKUP($B259,Korrigeringsfaktor_GD,'Korrigeringsfaktor GD'!G$1,FALSE),
"")</f>
        <v>0</v>
      </c>
      <c r="H259" s="18">
        <f>IFERROR(
                  Andel_oberoende_av_klimat*VLOOKUP($A259,Leveranser_per_nät,'Leveranser per nät'!H$1,FALSE)
               +Andel_beroende_av_klimat*VLOOKUP($A259,Leveranser_per_nät,'Leveranser per nät'!H$1,FALSE)/VLOOKUP($B259,Korrigeringsfaktor_GD,'Korrigeringsfaktor GD'!H$1,FALSE),
"")</f>
        <v>0</v>
      </c>
      <c r="I259" s="18">
        <f>IFERROR(
                  Andel_oberoende_av_klimat*VLOOKUP($A259,Leveranser_per_nät,'Leveranser per nät'!I$1,FALSE)
               +Andel_beroende_av_klimat*VLOOKUP($A259,Leveranser_per_nät,'Leveranser per nät'!I$1,FALSE)/VLOOKUP($B259,Korrigeringsfaktor_GD,'Korrigeringsfaktor GD'!I$1,FALSE),
"")</f>
        <v>0</v>
      </c>
      <c r="J259" s="18">
        <f>IFERROR(
                  Andel_oberoende_av_klimat*VLOOKUP($A259,Leveranser_per_nät,'Leveranser per nät'!J$1,FALSE)
               +Andel_beroende_av_klimat*VLOOKUP($A259,Leveranser_per_nät,'Leveranser per nät'!J$1,FALSE)/VLOOKUP($B259,Korrigeringsfaktor_GD,'Korrigeringsfaktor GD'!J$1,FALSE),
"")</f>
        <v>0</v>
      </c>
      <c r="K259" s="18">
        <f>IFERROR(
                  Andel_oberoende_av_klimat*VLOOKUP($A259,Leveranser_per_nät,'Leveranser per nät'!K$1,FALSE)
               +Andel_beroende_av_klimat*VLOOKUP($A259,Leveranser_per_nät,'Leveranser per nät'!K$1,FALSE)/VLOOKUP($B259,Korrigeringsfaktor_GD,'Korrigeringsfaktor GD'!K$1,FALSE),
"")</f>
        <v>0</v>
      </c>
      <c r="L259" s="18">
        <f>IFERROR(
                  Andel_oberoende_av_klimat*VLOOKUP($A259,Leveranser_per_nät,'Leveranser per nät'!L$1,FALSE)
               +Andel_beroende_av_klimat*VLOOKUP($A259,Leveranser_per_nät,'Leveranser per nät'!L$1,FALSE)/VLOOKUP($B259,Korrigeringsfaktor_GD,'Korrigeringsfaktor GD'!L$1,FALSE),
"")</f>
        <v>0</v>
      </c>
      <c r="M259" s="18">
        <f>IFERROR(
                  Andel_oberoende_av_klimat*VLOOKUP($A259,Leveranser_per_nät,'Leveranser per nät'!M$1,FALSE)
               +Andel_beroende_av_klimat*VLOOKUP($A259,Leveranser_per_nät,'Leveranser per nät'!M$1,FALSE)/VLOOKUP($B259,Korrigeringsfaktor_GD,'Korrigeringsfaktor GD'!M$1,FALSE),
"")</f>
        <v>18.316774193548383</v>
      </c>
      <c r="N259" s="18">
        <f>IFERROR(
                  Andel_oberoende_av_klimat*VLOOKUP($A259,Leveranser_per_nät,'Leveranser per nät'!N$1,FALSE)
               +Andel_beroende_av_klimat*VLOOKUP($A259,Leveranser_per_nät,'Leveranser per nät'!N$1,FALSE)/VLOOKUP($B259,Korrigeringsfaktor_GD,'Korrigeringsfaktor GD'!N$1,FALSE),
"")</f>
        <v>18.470786516853931</v>
      </c>
      <c r="O259" s="18">
        <f>IFERROR(
                  Andel_oberoende_av_klimat*VLOOKUP($A259,Leveranser_per_nät,'Leveranser per nät'!O$1,FALSE)
               +Andel_beroende_av_klimat*VLOOKUP($A259,Leveranser_per_nät,'Leveranser per nät'!O$1,FALSE)/VLOOKUP($B259,Korrigeringsfaktor_GD,'Korrigeringsfaktor GD'!O$1,FALSE),
"")</f>
        <v>16.951835955056183</v>
      </c>
      <c r="P259" s="18">
        <f>IFERROR(
                  Andel_oberoende_av_klimat*VLOOKUP($A259,Leveranser_per_nät,'Leveranser per nät'!P$1,FALSE)
               +Andel_beroende_av_klimat*VLOOKUP($A259,Leveranser_per_nät,'Leveranser per nät'!P$1,FALSE)/VLOOKUP($B259,Korrigeringsfaktor_GD,'Korrigeringsfaktor GD'!P$1,FALSE),
"")</f>
        <v>19.743533333333335</v>
      </c>
      <c r="Q259" s="18">
        <f>IFERROR(
                  Andel_oberoende_av_klimat*VLOOKUP($A259,Leveranser_per_nät,'Leveranser per nät'!Q$1,FALSE)
               +Andel_beroende_av_klimat*VLOOKUP($A259,Leveranser_per_nät,'Leveranser per nät'!Q$1,FALSE)/VLOOKUP($B259,Korrigeringsfaktor_GD,'Korrigeringsfaktor GD'!Q$1,FALSE),
"")</f>
        <v>19.991304347826087</v>
      </c>
      <c r="R259" s="18">
        <f>IFERROR(
                  Andel_oberoende_av_klimat*VLOOKUP($A259,Leveranser_per_nät,'Leveranser per nät'!R$1,FALSE)
               +Andel_beroende_av_klimat*VLOOKUP($A259,Leveranser_per_nät,'Leveranser per nät'!R$1,FALSE)/VLOOKUP($B259,Korrigeringsfaktor_GD,'Korrigeringsfaktor GD'!R$1,FALSE),
"")</f>
        <v>20.429449531495649</v>
      </c>
      <c r="S259" s="18">
        <f>IFERROR(
                  Andel_oberoende_av_klimat*VLOOKUP($A259,Leveranser_per_nät,'Leveranser per nät'!S$1,FALSE)
               +Andel_beroende_av_klimat*VLOOKUP($A259,Leveranser_per_nät,'Leveranser per nät'!S$1,FALSE)/VLOOKUP($B259,Korrigeringsfaktor_GD,'Korrigeringsfaktor GD'!S$1,FALSE),
"")</f>
        <v>21.698039215686272</v>
      </c>
      <c r="T259" s="18">
        <f>IFERROR(
                  Andel_oberoende_av_klimat*VLOOKUP($A259,Leveranser_per_nät,'Leveranser per nät'!T$1,FALSE)
               +Andel_beroende_av_klimat*VLOOKUP($A259,Leveranser_per_nät,'Leveranser per nät'!T$1,FALSE)/VLOOKUP($B259,Korrigeringsfaktor_GD,'Korrigeringsfaktor GD'!T$1,FALSE),
"")</f>
        <v>22.75979797979798</v>
      </c>
      <c r="U259" s="18">
        <f>IFERROR(
                  Andel_oberoende_av_klimat*VLOOKUP($A259,Leveranser_per_nät,'Leveranser per nät'!U$1,FALSE)
               +Andel_beroende_av_klimat*VLOOKUP($A259,Leveranser_per_nät,'Leveranser per nät'!U$1,FALSE)/VLOOKUP($B259,Korrigeringsfaktor_GD,'Korrigeringsfaktor GD'!U$1,FALSE),
"")</f>
        <v>24.605294117647059</v>
      </c>
      <c r="V259" s="18">
        <f>IFERROR(
                  Andel_oberoende_av_klimat*VLOOKUP($A259,Leveranser_per_nät,'Leveranser per nät'!V$1,FALSE)
               +Andel_beroende_av_klimat*VLOOKUP($A259,Leveranser_per_nät,'Leveranser per nät'!V$1,FALSE)/VLOOKUP($B259,Korrigeringsfaktor_GD,'Korrigeringsfaktor GD'!V$1,FALSE),
"")</f>
        <v>22.667692307692306</v>
      </c>
      <c r="W259" s="18">
        <f>IFERROR(
                  Andel_oberoende_av_klimat*VLOOKUP($A259,Leveranser_per_nät,'Leveranser per nät'!W$1,FALSE)
               +Andel_beroende_av_klimat*VLOOKUP($A259,Leveranser_per_nät,'Leveranser per nät'!W$1,FALSE)/VLOOKUP($B259,Korrigeringsfaktor_GD,'Korrigeringsfaktor GD'!W$1,FALSE),
"")</f>
        <v>22.14723404255319</v>
      </c>
      <c r="X259" s="18">
        <f>IFERROR(
                  Andel_oberoende_av_klimat*VLOOKUP($A259,Leveranser_per_nät,'Leveranser per nät'!X$1,FALSE)
               +Andel_beroende_av_klimat*VLOOKUP($A259,Leveranser_per_nät,'Leveranser per nät'!X$1,FALSE)/VLOOKUP($B259,Korrigeringsfaktor_GD,'Korrigeringsfaktor GD'!X$1,FALSE),
"")</f>
        <v>21.853913043478261</v>
      </c>
      <c r="Y259" s="18">
        <f>IFERROR(
                  Andel_oberoende_av_klimat*VLOOKUP($A259,Leveranser_per_nät,'Leveranser per nät'!Y$1,FALSE)
               +Andel_beroende_av_klimat*VLOOKUP($A259,Leveranser_per_nät,'Leveranser per nät'!Y$1,FALSE)/VLOOKUP($B259,Korrigeringsfaktor_GD,'Korrigeringsfaktor GD'!Y$1,FALSE),
"")</f>
        <v>21.947640449438204</v>
      </c>
      <c r="Z259" s="18">
        <f>IFERROR(
                  Andel_oberoende_av_klimat*VLOOKUP($A259,Leveranser_per_nät,'Leveranser per nät'!Z$1,FALSE)
               +Andel_beroende_av_klimat*VLOOKUP($A259,Leveranser_per_nät,'Leveranser per nät'!Z$1,FALSE)/VLOOKUP($B259,Korrigeringsfaktor_GD,'Korrigeringsfaktor GD'!Z$1,FALSE),
"")</f>
        <v>21.986666666666665</v>
      </c>
      <c r="AA259" s="18">
        <f>IFERROR(
                  Andel_oberoende_av_klimat*VLOOKUP($A259,Leveranser_per_nät,'Leveranser per nät'!AA$1,FALSE)
               +Andel_beroende_av_klimat*VLOOKUP($A259,Leveranser_per_nät,'Leveranser per nät'!AA$1,FALSE)/VLOOKUP($B259,Korrigeringsfaktor_GD,'Korrigeringsfaktor GD'!AA$1,FALSE),
"")</f>
        <v>21.941648632446608</v>
      </c>
      <c r="AB259" s="18">
        <f>IFERROR(
                  Andel_oberoende_av_klimat*VLOOKUP($A259,Leveranser_per_nät,'Leveranser per nät'!AB$1,FALSE)
               +Andel_beroende_av_klimat*VLOOKUP($A259,Leveranser_per_nät,'Leveranser per nät'!AB$1,FALSE)/VLOOKUP($B259,Korrigeringsfaktor_GD,'Korrigeringsfaktor GD'!AB$1,FALSE),
"")</f>
        <v>20.542554027504909</v>
      </c>
      <c r="AC259" s="18">
        <f>IFERROR(
                  Andel_oberoende_av_klimat*VLOOKUP($A259,Leveranser_per_nät,'Leveranser per nät'!AC$1,FALSE)
               +Andel_beroende_av_klimat*VLOOKUP($A259,Leveranser_per_nät,'Leveranser per nät'!AC$1,FALSE)/VLOOKUP($B259,Korrigeringsfaktor_GD,'Korrigeringsfaktor GD'!AC$1,FALSE),
"")</f>
        <v>19.341267305644301</v>
      </c>
      <c r="AD259">
        <v>18.5</v>
      </c>
    </row>
    <row r="260" spans="1:30" x14ac:dyDescent="0.25">
      <c r="A260" t="s">
        <v>294</v>
      </c>
      <c r="B260" t="s">
        <v>288</v>
      </c>
      <c r="C260" s="18">
        <f>IFERROR(
                  Andel_oberoende_av_klimat*VLOOKUP($A260,Leveranser_per_nät,'Leveranser per nät'!C$1,FALSE)
               +Andel_beroende_av_klimat*VLOOKUP($A260,Leveranser_per_nät,'Leveranser per nät'!C$1,FALSE)/VLOOKUP($B260,Korrigeringsfaktor_GD,'Korrigeringsfaktor GD'!C$1,FALSE),
"")</f>
        <v>0</v>
      </c>
      <c r="D260" s="18">
        <f>IFERROR(
                  Andel_oberoende_av_klimat*VLOOKUP($A260,Leveranser_per_nät,'Leveranser per nät'!D$1,FALSE)
               +Andel_beroende_av_klimat*VLOOKUP($A260,Leveranser_per_nät,'Leveranser per nät'!D$1,FALSE)/VLOOKUP($B260,Korrigeringsfaktor_GD,'Korrigeringsfaktor GD'!D$1,FALSE),
"")</f>
        <v>0</v>
      </c>
      <c r="E260" s="18">
        <f>IFERROR(
                  Andel_oberoende_av_klimat*VLOOKUP($A260,Leveranser_per_nät,'Leveranser per nät'!E$1,FALSE)
               +Andel_beroende_av_klimat*VLOOKUP($A260,Leveranser_per_nät,'Leveranser per nät'!E$1,FALSE)/VLOOKUP($B260,Korrigeringsfaktor_GD,'Korrigeringsfaktor GD'!E$1,FALSE),
"")</f>
        <v>0</v>
      </c>
      <c r="F260" s="18">
        <f>IFERROR(
                  Andel_oberoende_av_klimat*VLOOKUP($A260,Leveranser_per_nät,'Leveranser per nät'!F$1,FALSE)
               +Andel_beroende_av_klimat*VLOOKUP($A260,Leveranser_per_nät,'Leveranser per nät'!F$1,FALSE)/VLOOKUP($B260,Korrigeringsfaktor_GD,'Korrigeringsfaktor GD'!F$1,FALSE),
"")</f>
        <v>0</v>
      </c>
      <c r="G260" s="18">
        <f>IFERROR(
                  Andel_oberoende_av_klimat*VLOOKUP($A260,Leveranser_per_nät,'Leveranser per nät'!G$1,FALSE)
               +Andel_beroende_av_klimat*VLOOKUP($A260,Leveranser_per_nät,'Leveranser per nät'!G$1,FALSE)/VLOOKUP($B260,Korrigeringsfaktor_GD,'Korrigeringsfaktor GD'!G$1,FALSE),
"")</f>
        <v>0</v>
      </c>
      <c r="H260" s="18">
        <f>IFERROR(
                  Andel_oberoende_av_klimat*VLOOKUP($A260,Leveranser_per_nät,'Leveranser per nät'!H$1,FALSE)
               +Andel_beroende_av_klimat*VLOOKUP($A260,Leveranser_per_nät,'Leveranser per nät'!H$1,FALSE)/VLOOKUP($B260,Korrigeringsfaktor_GD,'Korrigeringsfaktor GD'!H$1,FALSE),
"")</f>
        <v>0</v>
      </c>
      <c r="I260" s="18">
        <f>IFERROR(
                  Andel_oberoende_av_klimat*VLOOKUP($A260,Leveranser_per_nät,'Leveranser per nät'!I$1,FALSE)
               +Andel_beroende_av_klimat*VLOOKUP($A260,Leveranser_per_nät,'Leveranser per nät'!I$1,FALSE)/VLOOKUP($B260,Korrigeringsfaktor_GD,'Korrigeringsfaktor GD'!I$1,FALSE),
"")</f>
        <v>0</v>
      </c>
      <c r="J260" s="18">
        <f>IFERROR(
                  Andel_oberoende_av_klimat*VLOOKUP($A260,Leveranser_per_nät,'Leveranser per nät'!J$1,FALSE)
               +Andel_beroende_av_klimat*VLOOKUP($A260,Leveranser_per_nät,'Leveranser per nät'!J$1,FALSE)/VLOOKUP($B260,Korrigeringsfaktor_GD,'Korrigeringsfaktor GD'!J$1,FALSE),
"")</f>
        <v>0</v>
      </c>
      <c r="K260" s="18">
        <f>IFERROR(
                  Andel_oberoende_av_klimat*VLOOKUP($A260,Leveranser_per_nät,'Leveranser per nät'!K$1,FALSE)
               +Andel_beroende_av_klimat*VLOOKUP($A260,Leveranser_per_nät,'Leveranser per nät'!K$1,FALSE)/VLOOKUP($B260,Korrigeringsfaktor_GD,'Korrigeringsfaktor GD'!K$1,FALSE),
"")</f>
        <v>0</v>
      </c>
      <c r="L260" s="18">
        <f>IFERROR(
                  Andel_oberoende_av_klimat*VLOOKUP($A260,Leveranser_per_nät,'Leveranser per nät'!L$1,FALSE)
               +Andel_beroende_av_klimat*VLOOKUP($A260,Leveranser_per_nät,'Leveranser per nät'!L$1,FALSE)/VLOOKUP($B260,Korrigeringsfaktor_GD,'Korrigeringsfaktor GD'!L$1,FALSE),
"")</f>
        <v>0</v>
      </c>
      <c r="M260" s="18">
        <f>IFERROR(
                  Andel_oberoende_av_klimat*VLOOKUP($A260,Leveranser_per_nät,'Leveranser per nät'!M$1,FALSE)
               +Andel_beroende_av_klimat*VLOOKUP($A260,Leveranser_per_nät,'Leveranser per nät'!M$1,FALSE)/VLOOKUP($B260,Korrigeringsfaktor_GD,'Korrigeringsfaktor GD'!M$1,FALSE),
"")</f>
        <v>11.631377777777777</v>
      </c>
      <c r="N260" s="18">
        <f>IFERROR(
                  Andel_oberoende_av_klimat*VLOOKUP($A260,Leveranser_per_nät,'Leveranser per nät'!N$1,FALSE)
               +Andel_beroende_av_klimat*VLOOKUP($A260,Leveranser_per_nät,'Leveranser per nät'!N$1,FALSE)/VLOOKUP($B260,Korrigeringsfaktor_GD,'Korrigeringsfaktor GD'!N$1,FALSE),
"")</f>
        <v>13.535634782608696</v>
      </c>
      <c r="O260" s="18">
        <f>IFERROR(
                  Andel_oberoende_av_klimat*VLOOKUP($A260,Leveranser_per_nät,'Leveranser per nät'!O$1,FALSE)
               +Andel_beroende_av_klimat*VLOOKUP($A260,Leveranser_per_nät,'Leveranser per nät'!O$1,FALSE)/VLOOKUP($B260,Korrigeringsfaktor_GD,'Korrigeringsfaktor GD'!O$1,FALSE),
"")</f>
        <v>12.205269230769229</v>
      </c>
      <c r="P260" s="18">
        <f>IFERROR(
                  Andel_oberoende_av_klimat*VLOOKUP($A260,Leveranser_per_nät,'Leveranser per nät'!P$1,FALSE)
               +Andel_beroende_av_klimat*VLOOKUP($A260,Leveranser_per_nät,'Leveranser per nät'!P$1,FALSE)/VLOOKUP($B260,Korrigeringsfaktor_GD,'Korrigeringsfaktor GD'!P$1,FALSE),
"")</f>
        <v>14.489071428571428</v>
      </c>
      <c r="Q260" s="18">
        <f>IFERROR(
                  Andel_oberoende_av_klimat*VLOOKUP($A260,Leveranser_per_nät,'Leveranser per nät'!Q$1,FALSE)
               +Andel_beroende_av_klimat*VLOOKUP($A260,Leveranser_per_nät,'Leveranser per nät'!Q$1,FALSE)/VLOOKUP($B260,Korrigeringsfaktor_GD,'Korrigeringsfaktor GD'!Q$1,FALSE),
"")</f>
        <v>12.136991150442478</v>
      </c>
      <c r="R260" s="18">
        <f>IFERROR(
                  Andel_oberoende_av_klimat*VLOOKUP($A260,Leveranser_per_nät,'Leveranser per nät'!R$1,FALSE)
               +Andel_beroende_av_klimat*VLOOKUP($A260,Leveranser_per_nät,'Leveranser per nät'!R$1,FALSE)/VLOOKUP($B260,Korrigeringsfaktor_GD,'Korrigeringsfaktor GD'!R$1,FALSE),
"")</f>
        <v>25.982307692307693</v>
      </c>
      <c r="S260" s="18">
        <f>IFERROR(
                  Andel_oberoende_av_klimat*VLOOKUP($A260,Leveranser_per_nät,'Leveranser per nät'!S$1,FALSE)
               +Andel_beroende_av_klimat*VLOOKUP($A260,Leveranser_per_nät,'Leveranser per nät'!S$1,FALSE)/VLOOKUP($B260,Korrigeringsfaktor_GD,'Korrigeringsfaktor GD'!S$1,FALSE),
"")</f>
        <v>16.055</v>
      </c>
      <c r="T260" s="18">
        <f>IFERROR(
                  Andel_oberoende_av_klimat*VLOOKUP($A260,Leveranser_per_nät,'Leveranser per nät'!T$1,FALSE)
               +Andel_beroende_av_klimat*VLOOKUP($A260,Leveranser_per_nät,'Leveranser per nät'!T$1,FALSE)/VLOOKUP($B260,Korrigeringsfaktor_GD,'Korrigeringsfaktor GD'!T$1,FALSE),
"")</f>
        <v>16.093496774193547</v>
      </c>
      <c r="U260" s="18">
        <f>IFERROR(
                  Andel_oberoende_av_klimat*VLOOKUP($A260,Leveranser_per_nät,'Leveranser per nät'!U$1,FALSE)
               +Andel_beroende_av_klimat*VLOOKUP($A260,Leveranser_per_nät,'Leveranser per nät'!U$1,FALSE)/VLOOKUP($B260,Korrigeringsfaktor_GD,'Korrigeringsfaktor GD'!U$1,FALSE),
"")</f>
        <v>15.906206896551726</v>
      </c>
      <c r="V260" s="18">
        <f>IFERROR(
                  Andel_oberoende_av_klimat*VLOOKUP($A260,Leveranser_per_nät,'Leveranser per nät'!V$1,FALSE)
               +Andel_beroende_av_klimat*VLOOKUP($A260,Leveranser_per_nät,'Leveranser per nät'!V$1,FALSE)/VLOOKUP($B260,Korrigeringsfaktor_GD,'Korrigeringsfaktor GD'!V$1,FALSE),
"")</f>
        <v>16.146999999999998</v>
      </c>
      <c r="W260" s="18">
        <f>IFERROR(
                  Andel_oberoende_av_klimat*VLOOKUP($A260,Leveranser_per_nät,'Leveranser per nät'!W$1,FALSE)
               +Andel_beroende_av_klimat*VLOOKUP($A260,Leveranser_per_nät,'Leveranser per nät'!W$1,FALSE)/VLOOKUP($B260,Korrigeringsfaktor_GD,'Korrigeringsfaktor GD'!W$1,FALSE),
"")</f>
        <v>20.195630769230771</v>
      </c>
      <c r="X260" s="18">
        <f>IFERROR(
                  Andel_oberoende_av_klimat*VLOOKUP($A260,Leveranser_per_nät,'Leveranser per nät'!X$1,FALSE)
               +Andel_beroende_av_klimat*VLOOKUP($A260,Leveranser_per_nät,'Leveranser per nät'!X$1,FALSE)/VLOOKUP($B260,Korrigeringsfaktor_GD,'Korrigeringsfaktor GD'!X$1,FALSE),
"")</f>
        <v>16.199818279569893</v>
      </c>
      <c r="Y260" s="18">
        <f>IFERROR(
                  Andel_oberoende_av_klimat*VLOOKUP($A260,Leveranser_per_nät,'Leveranser per nät'!Y$1,FALSE)
               +Andel_beroende_av_klimat*VLOOKUP($A260,Leveranser_per_nät,'Leveranser per nät'!Y$1,FALSE)/VLOOKUP($B260,Korrigeringsfaktor_GD,'Korrigeringsfaktor GD'!Y$1,FALSE),
"")</f>
        <v>16.700268085106384</v>
      </c>
      <c r="Z260" s="18">
        <f>IFERROR(
                  Andel_oberoende_av_klimat*VLOOKUP($A260,Leveranser_per_nät,'Leveranser per nät'!Z$1,FALSE)
               +Andel_beroende_av_klimat*VLOOKUP($A260,Leveranser_per_nät,'Leveranser per nät'!Z$1,FALSE)/VLOOKUP($B260,Korrigeringsfaktor_GD,'Korrigeringsfaktor GD'!Z$1,FALSE),
"")</f>
        <v>16.155007692307692</v>
      </c>
      <c r="AA260" s="18">
        <f>IFERROR(
                  Andel_oberoende_av_klimat*VLOOKUP($A260,Leveranser_per_nät,'Leveranser per nät'!AA$1,FALSE)
               +Andel_beroende_av_klimat*VLOOKUP($A260,Leveranser_per_nät,'Leveranser per nät'!AA$1,FALSE)/VLOOKUP($B260,Korrigeringsfaktor_GD,'Korrigeringsfaktor GD'!AA$1,FALSE),
"")</f>
        <v>16.101936151419558</v>
      </c>
      <c r="AB260" s="18">
        <f>IFERROR(
                  Andel_oberoende_av_klimat*VLOOKUP($A260,Leveranser_per_nät,'Leveranser per nät'!AB$1,FALSE)
               +Andel_beroende_av_klimat*VLOOKUP($A260,Leveranser_per_nät,'Leveranser per nät'!AB$1,FALSE)/VLOOKUP($B260,Korrigeringsfaktor_GD,'Korrigeringsfaktor GD'!AB$1,FALSE),
"")</f>
        <v>15.311423943661971</v>
      </c>
      <c r="AC260" s="18">
        <f>IFERROR(
                  Andel_oberoende_av_klimat*VLOOKUP($A260,Leveranser_per_nät,'Leveranser per nät'!AC$1,FALSE)
               +Andel_beroende_av_klimat*VLOOKUP($A260,Leveranser_per_nät,'Leveranser per nät'!AC$1,FALSE)/VLOOKUP($B260,Korrigeringsfaktor_GD,'Korrigeringsfaktor GD'!AC$1,FALSE),
"")</f>
        <v>15.150596745222927</v>
      </c>
      <c r="AD260">
        <v>513.26678000000004</v>
      </c>
    </row>
    <row r="261" spans="1:30" x14ac:dyDescent="0.25">
      <c r="A261" s="4" t="s">
        <v>205</v>
      </c>
      <c r="B261" t="s">
        <v>205</v>
      </c>
      <c r="C261" s="18">
        <f>IFERROR(
                  Andel_oberoende_av_klimat*VLOOKUP($A261,Leveranser_per_nät,'Leveranser per nät'!C$1,FALSE)
               +Andel_beroende_av_klimat*VLOOKUP($A261,Leveranser_per_nät,'Leveranser per nät'!C$1,FALSE)/VLOOKUP($B261,Korrigeringsfaktor_GD,'Korrigeringsfaktor GD'!C$1,FALSE),
"")</f>
        <v>118.39999999999999</v>
      </c>
      <c r="D261" s="18">
        <f>IFERROR(
                  Andel_oberoende_av_klimat*VLOOKUP($A261,Leveranser_per_nät,'Leveranser per nät'!D$1,FALSE)
               +Andel_beroende_av_klimat*VLOOKUP($A261,Leveranser_per_nät,'Leveranser per nät'!D$1,FALSE)/VLOOKUP($B261,Korrigeringsfaktor_GD,'Korrigeringsfaktor GD'!D$1,FALSE),
"")</f>
        <v>112.38285714285715</v>
      </c>
      <c r="E261" s="18">
        <f>IFERROR(
                  Andel_oberoende_av_klimat*VLOOKUP($A261,Leveranser_per_nät,'Leveranser per nät'!E$1,FALSE)
               +Andel_beroende_av_klimat*VLOOKUP($A261,Leveranser_per_nät,'Leveranser per nät'!E$1,FALSE)/VLOOKUP($B261,Korrigeringsfaktor_GD,'Korrigeringsfaktor GD'!E$1,FALSE),
"")</f>
        <v>124.41067961165048</v>
      </c>
      <c r="F261" s="18">
        <f>IFERROR(
                  Andel_oberoende_av_klimat*VLOOKUP($A261,Leveranser_per_nät,'Leveranser per nät'!F$1,FALSE)
               +Andel_beroende_av_klimat*VLOOKUP($A261,Leveranser_per_nät,'Leveranser per nät'!F$1,FALSE)/VLOOKUP($B261,Korrigeringsfaktor_GD,'Korrigeringsfaktor GD'!F$1,FALSE),
"")</f>
        <v>127.45106382978724</v>
      </c>
      <c r="G261" s="18">
        <f>IFERROR(
                  Andel_oberoende_av_klimat*VLOOKUP($A261,Leveranser_per_nät,'Leveranser per nät'!G$1,FALSE)
               +Andel_beroende_av_klimat*VLOOKUP($A261,Leveranser_per_nät,'Leveranser per nät'!G$1,FALSE)/VLOOKUP($B261,Korrigeringsfaktor_GD,'Korrigeringsfaktor GD'!G$1,FALSE),
"")</f>
        <v>134.76091954022988</v>
      </c>
      <c r="H261" s="18">
        <f>IFERROR(
                  Andel_oberoende_av_klimat*VLOOKUP($A261,Leveranser_per_nät,'Leveranser per nät'!H$1,FALSE)
               +Andel_beroende_av_klimat*VLOOKUP($A261,Leveranser_per_nät,'Leveranser per nät'!H$1,FALSE)/VLOOKUP($B261,Korrigeringsfaktor_GD,'Korrigeringsfaktor GD'!H$1,FALSE),
"")</f>
        <v>147</v>
      </c>
      <c r="I261" s="18">
        <f>IFERROR(
                  Andel_oberoende_av_klimat*VLOOKUP($A261,Leveranser_per_nät,'Leveranser per nät'!I$1,FALSE)
               +Andel_beroende_av_klimat*VLOOKUP($A261,Leveranser_per_nät,'Leveranser per nät'!I$1,FALSE)/VLOOKUP($B261,Korrigeringsfaktor_GD,'Korrigeringsfaktor GD'!I$1,FALSE),
"")</f>
        <v>156.04473684210527</v>
      </c>
      <c r="J261" s="18">
        <f>IFERROR(
                  Andel_oberoende_av_klimat*VLOOKUP($A261,Leveranser_per_nät,'Leveranser per nät'!J$1,FALSE)
               +Andel_beroende_av_klimat*VLOOKUP($A261,Leveranser_per_nät,'Leveranser per nät'!J$1,FALSE)/VLOOKUP($B261,Korrigeringsfaktor_GD,'Korrigeringsfaktor GD'!J$1,FALSE),
"")</f>
        <v>161.13131313131314</v>
      </c>
      <c r="K261" s="18">
        <f>IFERROR(
                  Andel_oberoende_av_klimat*VLOOKUP($A261,Leveranser_per_nät,'Leveranser per nät'!K$1,FALSE)
               +Andel_beroende_av_klimat*VLOOKUP($A261,Leveranser_per_nät,'Leveranser per nät'!K$1,FALSE)/VLOOKUP($B261,Korrigeringsfaktor_GD,'Korrigeringsfaktor GD'!K$1,FALSE),
"")</f>
        <v>160.64590505050506</v>
      </c>
      <c r="L261" s="18">
        <f>IFERROR(
                  Andel_oberoende_av_klimat*VLOOKUP($A261,Leveranser_per_nät,'Leveranser per nät'!L$1,FALSE)
               +Andel_beroende_av_klimat*VLOOKUP($A261,Leveranser_per_nät,'Leveranser per nät'!L$1,FALSE)/VLOOKUP($B261,Korrigeringsfaktor_GD,'Korrigeringsfaktor GD'!L$1,FALSE),
"")</f>
        <v>158.72528750000001</v>
      </c>
      <c r="M261" s="18">
        <f>IFERROR(
                  Andel_oberoende_av_klimat*VLOOKUP($A261,Leveranser_per_nät,'Leveranser per nät'!M$1,FALSE)
               +Andel_beroende_av_klimat*VLOOKUP($A261,Leveranser_per_nät,'Leveranser per nät'!M$1,FALSE)/VLOOKUP($B261,Korrigeringsfaktor_GD,'Korrigeringsfaktor GD'!M$1,FALSE),
"")</f>
        <v>165.27204301075267</v>
      </c>
      <c r="N261" s="18">
        <f>IFERROR(
                  Andel_oberoende_av_klimat*VLOOKUP($A261,Leveranser_per_nät,'Leveranser per nät'!N$1,FALSE)
               +Andel_beroende_av_klimat*VLOOKUP($A261,Leveranser_per_nät,'Leveranser per nät'!N$1,FALSE)/VLOOKUP($B261,Korrigeringsfaktor_GD,'Korrigeringsfaktor GD'!N$1,FALSE),
"")</f>
        <v>166.79999999999998</v>
      </c>
      <c r="O261" s="18">
        <f>IFERROR(
                  Andel_oberoende_av_klimat*VLOOKUP($A261,Leveranser_per_nät,'Leveranser per nät'!O$1,FALSE)
               +Andel_beroende_av_klimat*VLOOKUP($A261,Leveranser_per_nät,'Leveranser per nät'!O$1,FALSE)/VLOOKUP($B261,Korrigeringsfaktor_GD,'Korrigeringsfaktor GD'!O$1,FALSE),
"")</f>
        <v>176.75555555555556</v>
      </c>
      <c r="P261" s="18">
        <f>IFERROR(
                  Andel_oberoende_av_klimat*VLOOKUP($A261,Leveranser_per_nät,'Leveranser per nät'!P$1,FALSE)
               +Andel_beroende_av_klimat*VLOOKUP($A261,Leveranser_per_nät,'Leveranser per nät'!P$1,FALSE)/VLOOKUP($B261,Korrigeringsfaktor_GD,'Korrigeringsfaktor GD'!P$1,FALSE),
"")</f>
        <v>177.24444444444444</v>
      </c>
      <c r="Q261" s="18">
        <f>IFERROR(
                  Andel_oberoende_av_klimat*VLOOKUP($A261,Leveranser_per_nät,'Leveranser per nät'!Q$1,FALSE)
               +Andel_beroende_av_klimat*VLOOKUP($A261,Leveranser_per_nät,'Leveranser per nät'!Q$1,FALSE)/VLOOKUP($B261,Korrigeringsfaktor_GD,'Korrigeringsfaktor GD'!Q$1,FALSE),
"")</f>
        <v>182.53264957264958</v>
      </c>
      <c r="R261" s="18">
        <f>IFERROR(
                  Andel_oberoende_av_klimat*VLOOKUP($A261,Leveranser_per_nät,'Leveranser per nät'!R$1,FALSE)
               +Andel_beroende_av_klimat*VLOOKUP($A261,Leveranser_per_nät,'Leveranser per nät'!R$1,FALSE)/VLOOKUP($B261,Korrigeringsfaktor_GD,'Korrigeringsfaktor GD'!R$1,FALSE),
"")</f>
        <v>179.63076923076923</v>
      </c>
      <c r="S261" s="18">
        <f>IFERROR(
                  Andel_oberoende_av_klimat*VLOOKUP($A261,Leveranser_per_nät,'Leveranser per nät'!S$1,FALSE)
               +Andel_beroende_av_klimat*VLOOKUP($A261,Leveranser_per_nät,'Leveranser per nät'!S$1,FALSE)/VLOOKUP($B261,Korrigeringsfaktor_GD,'Korrigeringsfaktor GD'!S$1,FALSE),
"")</f>
        <v>184.71089108910891</v>
      </c>
      <c r="T261" s="18">
        <f>IFERROR(
                  Andel_oberoende_av_klimat*VLOOKUP($A261,Leveranser_per_nät,'Leveranser per nät'!T$1,FALSE)
               +Andel_beroende_av_klimat*VLOOKUP($A261,Leveranser_per_nät,'Leveranser per nät'!T$1,FALSE)/VLOOKUP($B261,Korrigeringsfaktor_GD,'Korrigeringsfaktor GD'!T$1,FALSE),
"")</f>
        <v>183.48428571428573</v>
      </c>
      <c r="U261" s="18">
        <f>IFERROR(
                  Andel_oberoende_av_klimat*VLOOKUP($A261,Leveranser_per_nät,'Leveranser per nät'!U$1,FALSE)
               +Andel_beroende_av_klimat*VLOOKUP($A261,Leveranser_per_nät,'Leveranser per nät'!U$1,FALSE)/VLOOKUP($B261,Korrigeringsfaktor_GD,'Korrigeringsfaktor GD'!U$1,FALSE),
"")</f>
        <v>181.70632183908043</v>
      </c>
      <c r="V261" s="18">
        <f>IFERROR(
                  Andel_oberoende_av_klimat*VLOOKUP($A261,Leveranser_per_nät,'Leveranser per nät'!V$1,FALSE)
               +Andel_beroende_av_klimat*VLOOKUP($A261,Leveranser_per_nät,'Leveranser per nät'!V$1,FALSE)/VLOOKUP($B261,Korrigeringsfaktor_GD,'Korrigeringsfaktor GD'!V$1,FALSE),
"")</f>
        <v>181.40808045977013</v>
      </c>
      <c r="W261" s="18">
        <f>IFERROR(
                  Andel_oberoende_av_klimat*VLOOKUP($A261,Leveranser_per_nät,'Leveranser per nät'!W$1,FALSE)
               +Andel_beroende_av_klimat*VLOOKUP($A261,Leveranser_per_nät,'Leveranser per nät'!W$1,FALSE)/VLOOKUP($B261,Korrigeringsfaktor_GD,'Korrigeringsfaktor GD'!W$1,FALSE),
"")</f>
        <v>188.76200000000003</v>
      </c>
      <c r="X261" s="18">
        <f>IFERROR(
                  Andel_oberoende_av_klimat*VLOOKUP($A261,Leveranser_per_nät,'Leveranser per nät'!X$1,FALSE)
               +Andel_beroende_av_klimat*VLOOKUP($A261,Leveranser_per_nät,'Leveranser per nät'!X$1,FALSE)/VLOOKUP($B261,Korrigeringsfaktor_GD,'Korrigeringsfaktor GD'!X$1,FALSE),
"")</f>
        <v>190.23823595505618</v>
      </c>
      <c r="Y261" s="18">
        <f>IFERROR(
                  Andel_oberoende_av_klimat*VLOOKUP($A261,Leveranser_per_nät,'Leveranser per nät'!Y$1,FALSE)
               +Andel_beroende_av_klimat*VLOOKUP($A261,Leveranser_per_nät,'Leveranser per nät'!Y$1,FALSE)/VLOOKUP($B261,Korrigeringsfaktor_GD,'Korrigeringsfaktor GD'!Y$1,FALSE),
"")</f>
        <v>191.09658426966291</v>
      </c>
      <c r="Z261" s="18">
        <f>IFERROR(
                  Andel_oberoende_av_klimat*VLOOKUP($A261,Leveranser_per_nät,'Leveranser per nät'!Z$1,FALSE)
               +Andel_beroende_av_klimat*VLOOKUP($A261,Leveranser_per_nät,'Leveranser per nät'!Z$1,FALSE)/VLOOKUP($B261,Korrigeringsfaktor_GD,'Korrigeringsfaktor GD'!Z$1,FALSE),
"")</f>
        <v>193.89474418604652</v>
      </c>
      <c r="AA261" s="18">
        <f>IFERROR(
                  Andel_oberoende_av_klimat*VLOOKUP($A261,Leveranser_per_nät,'Leveranser per nät'!AA$1,FALSE)
               +Andel_beroende_av_klimat*VLOOKUP($A261,Leveranser_per_nät,'Leveranser per nät'!AA$1,FALSE)/VLOOKUP($B261,Korrigeringsfaktor_GD,'Korrigeringsfaktor GD'!AA$1,FALSE),
"")</f>
        <v>190.36375358166191</v>
      </c>
      <c r="AB261" s="18">
        <f>IFERROR(
                  Andel_oberoende_av_klimat*VLOOKUP($A261,Leveranser_per_nät,'Leveranser per nät'!AB$1,FALSE)
               +Andel_beroende_av_klimat*VLOOKUP($A261,Leveranser_per_nät,'Leveranser per nät'!AB$1,FALSE)/VLOOKUP($B261,Korrigeringsfaktor_GD,'Korrigeringsfaktor GD'!AB$1,FALSE),
"")</f>
        <v>186.00188118811883</v>
      </c>
      <c r="AC261" s="18">
        <f>IFERROR(
                  Andel_oberoende_av_klimat*VLOOKUP($A261,Leveranser_per_nät,'Leveranser per nät'!AC$1,FALSE)
               +Andel_beroende_av_klimat*VLOOKUP($A261,Leveranser_per_nät,'Leveranser per nät'!AC$1,FALSE)/VLOOKUP($B261,Korrigeringsfaktor_GD,'Korrigeringsfaktor GD'!AC$1,FALSE),
"")</f>
        <v>183.33697941050374</v>
      </c>
      <c r="AD261">
        <v>174.6</v>
      </c>
    </row>
    <row r="262" spans="1:30" x14ac:dyDescent="0.25">
      <c r="A262" s="4" t="s">
        <v>795</v>
      </c>
      <c r="B262" t="s">
        <v>301</v>
      </c>
      <c r="C262" s="18"/>
      <c r="D262" s="18"/>
      <c r="E262" s="18"/>
      <c r="F262" s="18"/>
      <c r="G262" s="18"/>
      <c r="H262" s="18"/>
      <c r="I262" s="18"/>
      <c r="J262" s="18"/>
      <c r="K262" s="18"/>
      <c r="L262" s="18"/>
      <c r="M262" s="18"/>
      <c r="N262" s="18"/>
      <c r="O262" s="18"/>
      <c r="P262" s="18"/>
      <c r="Q262" s="18"/>
      <c r="R262" s="18">
        <f>IFERROR(
                  Andel_oberoende_av_klimat*VLOOKUP($A262,Leveranser_per_nät,'Leveranser per nät'!R$1,FALSE)
               +Andel_beroende_av_klimat*VLOOKUP($A262,Leveranser_per_nät,'Leveranser per nät'!R$1,FALSE)/VLOOKUP($B262,Korrigeringsfaktor_GD,'Korrigeringsfaktor GD'!R$1,FALSE),
"")</f>
        <v>0</v>
      </c>
      <c r="S262" s="18">
        <f>IFERROR(
                  Andel_oberoende_av_klimat*VLOOKUP($A262,Leveranser_per_nät,'Leveranser per nät'!S$1,FALSE)
               +Andel_beroende_av_klimat*VLOOKUP($A262,Leveranser_per_nät,'Leveranser per nät'!S$1,FALSE)/VLOOKUP($B262,Korrigeringsfaktor_GD,'Korrigeringsfaktor GD'!S$1,FALSE),
"")</f>
        <v>0</v>
      </c>
      <c r="T262" s="18">
        <f>IFERROR(
                  Andel_oberoende_av_klimat*VLOOKUP($A262,Leveranser_per_nät,'Leveranser per nät'!T$1,FALSE)
               +Andel_beroende_av_klimat*VLOOKUP($A262,Leveranser_per_nät,'Leveranser per nät'!T$1,FALSE)/VLOOKUP($B262,Korrigeringsfaktor_GD,'Korrigeringsfaktor GD'!T$1,FALSE),
"")</f>
        <v>0</v>
      </c>
      <c r="U262" s="18">
        <f>IFERROR(
                  Andel_oberoende_av_klimat*VLOOKUP($A262,Leveranser_per_nät,'Leveranser per nät'!U$1,FALSE)
               +Andel_beroende_av_klimat*VLOOKUP($A262,Leveranser_per_nät,'Leveranser per nät'!U$1,FALSE)/VLOOKUP($B262,Korrigeringsfaktor_GD,'Korrigeringsfaktor GD'!U$1,FALSE),
"")</f>
        <v>0.86704044943820224</v>
      </c>
      <c r="V262" s="18">
        <f>IFERROR(
                  Andel_oberoende_av_klimat*VLOOKUP($A262,Leveranser_per_nät,'Leveranser per nät'!V$1,FALSE)
               +Andel_beroende_av_klimat*VLOOKUP($A262,Leveranser_per_nät,'Leveranser per nät'!V$1,FALSE)/VLOOKUP($B262,Korrigeringsfaktor_GD,'Korrigeringsfaktor GD'!V$1,FALSE),
"")</f>
        <v>0.85726179775280897</v>
      </c>
      <c r="W262" s="18">
        <f>IFERROR(
                  Andel_oberoende_av_klimat*VLOOKUP($A262,Leveranser_per_nät,'Leveranser per nät'!W$1,FALSE)
               +Andel_beroende_av_klimat*VLOOKUP($A262,Leveranser_per_nät,'Leveranser per nät'!W$1,FALSE)/VLOOKUP($B262,Korrigeringsfaktor_GD,'Korrigeringsfaktor GD'!W$1,FALSE),
"")</f>
        <v>0.50603478260869561</v>
      </c>
      <c r="X262" s="18">
        <f>IFERROR(
                  Andel_oberoende_av_klimat*VLOOKUP($A262,Leveranser_per_nät,'Leveranser per nät'!X$1,FALSE)
               +Andel_beroende_av_klimat*VLOOKUP($A262,Leveranser_per_nät,'Leveranser per nät'!X$1,FALSE)/VLOOKUP($B262,Korrigeringsfaktor_GD,'Korrigeringsfaktor GD'!X$1,FALSE),
"")</f>
        <v>0</v>
      </c>
      <c r="Y262" s="18">
        <f>IFERROR(
                  Andel_oberoende_av_klimat*VLOOKUP($A262,Leveranser_per_nät,'Leveranser per nät'!Y$1,FALSE)
               +Andel_beroende_av_klimat*VLOOKUP($A262,Leveranser_per_nät,'Leveranser per nät'!Y$1,FALSE)/VLOOKUP($B262,Korrigeringsfaktor_GD,'Korrigeringsfaktor GD'!Y$1,FALSE),
"")</f>
        <v>0</v>
      </c>
      <c r="Z262" s="18">
        <f>IFERROR(
                  Andel_oberoende_av_klimat*VLOOKUP($A262,Leveranser_per_nät,'Leveranser per nät'!Z$1,FALSE)
               +Andel_beroende_av_klimat*VLOOKUP($A262,Leveranser_per_nät,'Leveranser per nät'!Z$1,FALSE)/VLOOKUP($B262,Korrigeringsfaktor_GD,'Korrigeringsfaktor GD'!Z$1,FALSE),
"")</f>
        <v>0</v>
      </c>
      <c r="AA262" s="18" t="str">
        <f>IFERROR(
                  Andel_oberoende_av_klimat*VLOOKUP($A262,Leveranser_per_nät,'Leveranser per nät'!AA$1,FALSE)
               +Andel_beroende_av_klimat*VLOOKUP($A262,Leveranser_per_nät,'Leveranser per nät'!AA$1,FALSE)/VLOOKUP($B262,Korrigeringsfaktor_GD,'Korrigeringsfaktor GD'!AA$1,FALSE),
"")</f>
        <v/>
      </c>
      <c r="AB262" s="18">
        <f>IFERROR(
                  Andel_oberoende_av_klimat*VLOOKUP($A262,Leveranser_per_nät,'Leveranser per nät'!AB$1,FALSE)
               +Andel_beroende_av_klimat*VLOOKUP($A262,Leveranser_per_nät,'Leveranser per nät'!AB$1,FALSE)/VLOOKUP($B262,Korrigeringsfaktor_GD,'Korrigeringsfaktor GD'!AB$1,FALSE),
"")</f>
        <v>0</v>
      </c>
      <c r="AC262" s="18">
        <f>IFERROR(
                  Andel_oberoende_av_klimat*VLOOKUP($A262,Leveranser_per_nät,'Leveranser per nät'!AC$1,FALSE)
               +Andel_beroende_av_klimat*VLOOKUP($A262,Leveranser_per_nät,'Leveranser per nät'!AC$1,FALSE)/VLOOKUP($B262,Korrigeringsfaktor_GD,'Korrigeringsfaktor GD'!AC$1,FALSE),
"")</f>
        <v>0</v>
      </c>
      <c r="AD262">
        <v>115.232</v>
      </c>
    </row>
    <row r="263" spans="1:30" x14ac:dyDescent="0.25">
      <c r="A263" t="s">
        <v>3</v>
      </c>
      <c r="B263" t="s">
        <v>2</v>
      </c>
      <c r="C263" s="18">
        <f>IFERROR(
                  Andel_oberoende_av_klimat*VLOOKUP($A263,Leveranser_per_nät,'Leveranser per nät'!C$1,FALSE)
               +Andel_beroende_av_klimat*VLOOKUP($A263,Leveranser_per_nät,'Leveranser per nät'!C$1,FALSE)/VLOOKUP($B263,Korrigeringsfaktor_GD,'Korrigeringsfaktor GD'!C$1,FALSE),
"")</f>
        <v>0</v>
      </c>
      <c r="D263" s="18">
        <f>IFERROR(
                  Andel_oberoende_av_klimat*VLOOKUP($A263,Leveranser_per_nät,'Leveranser per nät'!D$1,FALSE)
               +Andel_beroende_av_klimat*VLOOKUP($A263,Leveranser_per_nät,'Leveranser per nät'!D$1,FALSE)/VLOOKUP($B263,Korrigeringsfaktor_GD,'Korrigeringsfaktor GD'!D$1,FALSE),
"")</f>
        <v>0</v>
      </c>
      <c r="E263" s="18">
        <f>IFERROR(
                  Andel_oberoende_av_klimat*VLOOKUP($A263,Leveranser_per_nät,'Leveranser per nät'!E$1,FALSE)
               +Andel_beroende_av_klimat*VLOOKUP($A263,Leveranser_per_nät,'Leveranser per nät'!E$1,FALSE)/VLOOKUP($B263,Korrigeringsfaktor_GD,'Korrigeringsfaktor GD'!E$1,FALSE),
"")</f>
        <v>0</v>
      </c>
      <c r="F263" s="18">
        <f>IFERROR(
                  Andel_oberoende_av_klimat*VLOOKUP($A263,Leveranser_per_nät,'Leveranser per nät'!F$1,FALSE)
               +Andel_beroende_av_klimat*VLOOKUP($A263,Leveranser_per_nät,'Leveranser per nät'!F$1,FALSE)/VLOOKUP($B263,Korrigeringsfaktor_GD,'Korrigeringsfaktor GD'!F$1,FALSE),
"")</f>
        <v>0</v>
      </c>
      <c r="G263" s="18">
        <f>IFERROR(
                  Andel_oberoende_av_klimat*VLOOKUP($A263,Leveranser_per_nät,'Leveranser per nät'!G$1,FALSE)
               +Andel_beroende_av_klimat*VLOOKUP($A263,Leveranser_per_nät,'Leveranser per nät'!G$1,FALSE)/VLOOKUP($B263,Korrigeringsfaktor_GD,'Korrigeringsfaktor GD'!G$1,FALSE),
"")</f>
        <v>0</v>
      </c>
      <c r="H263" s="18">
        <f>IFERROR(
                  Andel_oberoende_av_klimat*VLOOKUP($A263,Leveranser_per_nät,'Leveranser per nät'!H$1,FALSE)
               +Andel_beroende_av_klimat*VLOOKUP($A263,Leveranser_per_nät,'Leveranser per nät'!H$1,FALSE)/VLOOKUP($B263,Korrigeringsfaktor_GD,'Korrigeringsfaktor GD'!H$1,FALSE),
"")</f>
        <v>8</v>
      </c>
      <c r="I263" s="18">
        <f>IFERROR(
                  Andel_oberoende_av_klimat*VLOOKUP($A263,Leveranser_per_nät,'Leveranser per nät'!I$1,FALSE)
               +Andel_beroende_av_klimat*VLOOKUP($A263,Leveranser_per_nät,'Leveranser per nät'!I$1,FALSE)/VLOOKUP($B263,Korrigeringsfaktor_GD,'Korrigeringsfaktor GD'!I$1,FALSE),
"")</f>
        <v>21.792042553191489</v>
      </c>
      <c r="J263" s="18">
        <f>IFERROR(
                  Andel_oberoende_av_klimat*VLOOKUP($A263,Leveranser_per_nät,'Leveranser per nät'!J$1,FALSE)
               +Andel_beroende_av_klimat*VLOOKUP($A263,Leveranser_per_nät,'Leveranser per nät'!J$1,FALSE)/VLOOKUP($B263,Korrigeringsfaktor_GD,'Korrigeringsfaktor GD'!J$1,FALSE),
"")</f>
        <v>21.3</v>
      </c>
      <c r="K263" s="18">
        <f>IFERROR(
                  Andel_oberoende_av_klimat*VLOOKUP($A263,Leveranser_per_nät,'Leveranser per nät'!K$1,FALSE)
               +Andel_beroende_av_klimat*VLOOKUP($A263,Leveranser_per_nät,'Leveranser per nät'!K$1,FALSE)/VLOOKUP($B263,Korrigeringsfaktor_GD,'Korrigeringsfaktor GD'!K$1,FALSE),
"")</f>
        <v>25.333333333333336</v>
      </c>
      <c r="L263" s="18">
        <f>IFERROR(
                  Andel_oberoende_av_klimat*VLOOKUP($A263,Leveranser_per_nät,'Leveranser per nät'!L$1,FALSE)
               +Andel_beroende_av_klimat*VLOOKUP($A263,Leveranser_per_nät,'Leveranser per nät'!L$1,FALSE)/VLOOKUP($B263,Korrigeringsfaktor_GD,'Korrigeringsfaktor GD'!L$1,FALSE),
"")</f>
        <v>30.308934707903781</v>
      </c>
      <c r="M263" s="18">
        <f>IFERROR(
                  Andel_oberoende_av_klimat*VLOOKUP($A263,Leveranser_per_nät,'Leveranser per nät'!M$1,FALSE)
               +Andel_beroende_av_klimat*VLOOKUP($A263,Leveranser_per_nät,'Leveranser per nät'!M$1,FALSE)/VLOOKUP($B263,Korrigeringsfaktor_GD,'Korrigeringsfaktor GD'!M$1,FALSE),
"")</f>
        <v>35.791397849462363</v>
      </c>
      <c r="N263" s="18">
        <f>IFERROR(
                  Andel_oberoende_av_klimat*VLOOKUP($A263,Leveranser_per_nät,'Leveranser per nät'!N$1,FALSE)
               +Andel_beroende_av_klimat*VLOOKUP($A263,Leveranser_per_nät,'Leveranser per nät'!N$1,FALSE)/VLOOKUP($B263,Korrigeringsfaktor_GD,'Korrigeringsfaktor GD'!N$1,FALSE),
"")</f>
        <v>35.566666666666663</v>
      </c>
      <c r="O263" s="18">
        <f>IFERROR(
                  Andel_oberoende_av_klimat*VLOOKUP($A263,Leveranser_per_nät,'Leveranser per nät'!O$1,FALSE)
               +Andel_beroende_av_klimat*VLOOKUP($A263,Leveranser_per_nät,'Leveranser per nät'!O$1,FALSE)/VLOOKUP($B263,Korrigeringsfaktor_GD,'Korrigeringsfaktor GD'!O$1,FALSE),
"")</f>
        <v>37.722222222222221</v>
      </c>
      <c r="P263" s="18">
        <f>IFERROR(
                  Andel_oberoende_av_klimat*VLOOKUP($A263,Leveranser_per_nät,'Leveranser per nät'!P$1,FALSE)
               +Andel_beroende_av_klimat*VLOOKUP($A263,Leveranser_per_nät,'Leveranser per nät'!P$1,FALSE)/VLOOKUP($B263,Korrigeringsfaktor_GD,'Korrigeringsfaktor GD'!P$1,FALSE),
"")</f>
        <v>35.757731958762889</v>
      </c>
      <c r="Q263" s="18">
        <f>IFERROR(
                  Andel_oberoende_av_klimat*VLOOKUP($A263,Leveranser_per_nät,'Leveranser per nät'!Q$1,FALSE)
               +Andel_beroende_av_klimat*VLOOKUP($A263,Leveranser_per_nät,'Leveranser per nät'!Q$1,FALSE)/VLOOKUP($B263,Korrigeringsfaktor_GD,'Korrigeringsfaktor GD'!Q$1,FALSE),
"")</f>
        <v>34.530434782608694</v>
      </c>
      <c r="R263" s="18">
        <f>IFERROR(
                  Andel_oberoende_av_klimat*VLOOKUP($A263,Leveranser_per_nät,'Leveranser per nät'!R$1,FALSE)
               +Andel_beroende_av_klimat*VLOOKUP($A263,Leveranser_per_nät,'Leveranser per nät'!R$1,FALSE)/VLOOKUP($B263,Korrigeringsfaktor_GD,'Korrigeringsfaktor GD'!R$1,FALSE),
"")</f>
        <v>36.864156521739133</v>
      </c>
      <c r="S263" s="18">
        <f>IFERROR(
                  Andel_oberoende_av_klimat*VLOOKUP($A263,Leveranser_per_nät,'Leveranser per nät'!S$1,FALSE)
               +Andel_beroende_av_klimat*VLOOKUP($A263,Leveranser_per_nät,'Leveranser per nät'!S$1,FALSE)/VLOOKUP($B263,Korrigeringsfaktor_GD,'Korrigeringsfaktor GD'!S$1,FALSE),
"")</f>
        <v>33.764356435643563</v>
      </c>
      <c r="T263" s="18">
        <f>IFERROR(
                  Andel_oberoende_av_klimat*VLOOKUP($A263,Leveranser_per_nät,'Leveranser per nät'!T$1,FALSE)
               +Andel_beroende_av_klimat*VLOOKUP($A263,Leveranser_per_nät,'Leveranser per nät'!T$1,FALSE)/VLOOKUP($B263,Korrigeringsfaktor_GD,'Korrigeringsfaktor GD'!T$1,FALSE),
"")</f>
        <v>29.515714285714289</v>
      </c>
      <c r="U263" s="18">
        <f>IFERROR(
                  Andel_oberoende_av_klimat*VLOOKUP($A263,Leveranser_per_nät,'Leveranser per nät'!U$1,FALSE)
               +Andel_beroende_av_klimat*VLOOKUP($A263,Leveranser_per_nät,'Leveranser per nät'!U$1,FALSE)/VLOOKUP($B263,Korrigeringsfaktor_GD,'Korrigeringsfaktor GD'!U$1,FALSE),
"")</f>
        <v>32.193255813953485</v>
      </c>
      <c r="V263" s="18">
        <f>IFERROR(
                  Andel_oberoende_av_klimat*VLOOKUP($A263,Leveranser_per_nät,'Leveranser per nät'!V$1,FALSE)
               +Andel_beroende_av_klimat*VLOOKUP($A263,Leveranser_per_nät,'Leveranser per nät'!V$1,FALSE)/VLOOKUP($B263,Korrigeringsfaktor_GD,'Korrigeringsfaktor GD'!V$1,FALSE),
"")</f>
        <v>33.734444444444449</v>
      </c>
      <c r="W263" s="18">
        <f>IFERROR(
                  Andel_oberoende_av_klimat*VLOOKUP($A263,Leveranser_per_nät,'Leveranser per nät'!W$1,FALSE)
               +Andel_beroende_av_klimat*VLOOKUP($A263,Leveranser_per_nät,'Leveranser per nät'!W$1,FALSE)/VLOOKUP($B263,Korrigeringsfaktor_GD,'Korrigeringsfaktor GD'!W$1,FALSE),
"")</f>
        <v>11.685210526315789</v>
      </c>
      <c r="X263" s="18">
        <f>IFERROR(
                  Andel_oberoende_av_klimat*VLOOKUP($A263,Leveranser_per_nät,'Leveranser per nät'!X$1,FALSE)
               +Andel_beroende_av_klimat*VLOOKUP($A263,Leveranser_per_nät,'Leveranser per nät'!X$1,FALSE)/VLOOKUP($B263,Korrigeringsfaktor_GD,'Korrigeringsfaktor GD'!X$1,FALSE),
"")</f>
        <v>10.842688172043012</v>
      </c>
      <c r="Y263" s="18">
        <f>IFERROR(
                  Andel_oberoende_av_klimat*VLOOKUP($A263,Leveranser_per_nät,'Leveranser per nät'!Y$1,FALSE)
               +Andel_beroende_av_klimat*VLOOKUP($A263,Leveranser_per_nät,'Leveranser per nät'!Y$1,FALSE)/VLOOKUP($B263,Korrigeringsfaktor_GD,'Korrigeringsfaktor GD'!Y$1,FALSE),
"")</f>
        <v>11.499888888888888</v>
      </c>
      <c r="Z263" s="18">
        <f>IFERROR(
                  Andel_oberoende_av_klimat*VLOOKUP($A263,Leveranser_per_nät,'Leveranser per nät'!Z$1,FALSE)
               +Andel_beroende_av_klimat*VLOOKUP($A263,Leveranser_per_nät,'Leveranser per nät'!Z$1,FALSE)/VLOOKUP($B263,Korrigeringsfaktor_GD,'Korrigeringsfaktor GD'!Z$1,FALSE),
"")</f>
        <v>11.636595505617978</v>
      </c>
      <c r="AA263" s="18">
        <f>IFERROR(
                  Andel_oberoende_av_klimat*VLOOKUP($A263,Leveranser_per_nät,'Leveranser per nät'!AA$1,FALSE)
               +Andel_beroende_av_klimat*VLOOKUP($A263,Leveranser_per_nät,'Leveranser per nät'!AA$1,FALSE)/VLOOKUP($B263,Korrigeringsfaktor_GD,'Korrigeringsfaktor GD'!AA$1,FALSE),
"")</f>
        <v>11.780939959973317</v>
      </c>
      <c r="AB263" s="18">
        <f>IFERROR(
                  Andel_oberoende_av_klimat*VLOOKUP($A263,Leveranser_per_nät,'Leveranser per nät'!AB$1,FALSE)
               +Andel_beroende_av_klimat*VLOOKUP($A263,Leveranser_per_nät,'Leveranser per nät'!AB$1,FALSE)/VLOOKUP($B263,Korrigeringsfaktor_GD,'Korrigeringsfaktor GD'!AB$1,FALSE),
"")</f>
        <v>11.444904109589039</v>
      </c>
      <c r="AC263" s="18">
        <f>IFERROR(
                  Andel_oberoende_av_klimat*VLOOKUP($A263,Leveranser_per_nät,'Leveranser per nät'!AC$1,FALSE)
               +Andel_beroende_av_klimat*VLOOKUP($A263,Leveranser_per_nät,'Leveranser per nät'!AC$1,FALSE)/VLOOKUP($B263,Korrigeringsfaktor_GD,'Korrigeringsfaktor GD'!AC$1,FALSE),
"")</f>
        <v>10.910539748953976</v>
      </c>
      <c r="AD263">
        <v>53.42</v>
      </c>
    </row>
    <row r="264" spans="1:30" x14ac:dyDescent="0.25">
      <c r="A264" t="s">
        <v>491</v>
      </c>
      <c r="B264" t="s">
        <v>376</v>
      </c>
      <c r="C264" s="18">
        <f>IFERROR(
                  Andel_oberoende_av_klimat*VLOOKUP($A264,Leveranser_per_nät,'Leveranser per nät'!C$1,FALSE)
               +Andel_beroende_av_klimat*VLOOKUP($A264,Leveranser_per_nät,'Leveranser per nät'!C$1,FALSE)/VLOOKUP($B264,Korrigeringsfaktor_GD,'Korrigeringsfaktor GD'!C$1,FALSE),
"")</f>
        <v>0</v>
      </c>
      <c r="D264" s="18">
        <f>IFERROR(
                  Andel_oberoende_av_klimat*VLOOKUP($A264,Leveranser_per_nät,'Leveranser per nät'!D$1,FALSE)
               +Andel_beroende_av_klimat*VLOOKUP($A264,Leveranser_per_nät,'Leveranser per nät'!D$1,FALSE)/VLOOKUP($B264,Korrigeringsfaktor_GD,'Korrigeringsfaktor GD'!D$1,FALSE),
"")</f>
        <v>0</v>
      </c>
      <c r="E264" s="18">
        <f>IFERROR(
                  Andel_oberoende_av_klimat*VLOOKUP($A264,Leveranser_per_nät,'Leveranser per nät'!E$1,FALSE)
               +Andel_beroende_av_klimat*VLOOKUP($A264,Leveranser_per_nät,'Leveranser per nät'!E$1,FALSE)/VLOOKUP($B264,Korrigeringsfaktor_GD,'Korrigeringsfaktor GD'!E$1,FALSE),
"")</f>
        <v>0</v>
      </c>
      <c r="F264" s="18">
        <f>IFERROR(
                  Andel_oberoende_av_klimat*VLOOKUP($A264,Leveranser_per_nät,'Leveranser per nät'!F$1,FALSE)
               +Andel_beroende_av_klimat*VLOOKUP($A264,Leveranser_per_nät,'Leveranser per nät'!F$1,FALSE)/VLOOKUP($B264,Korrigeringsfaktor_GD,'Korrigeringsfaktor GD'!F$1,FALSE),
"")</f>
        <v>0</v>
      </c>
      <c r="G264" s="18">
        <f>IFERROR(
                  Andel_oberoende_av_klimat*VLOOKUP($A264,Leveranser_per_nät,'Leveranser per nät'!G$1,FALSE)
               +Andel_beroende_av_klimat*VLOOKUP($A264,Leveranser_per_nät,'Leveranser per nät'!G$1,FALSE)/VLOOKUP($B264,Korrigeringsfaktor_GD,'Korrigeringsfaktor GD'!G$1,FALSE),
"")</f>
        <v>0</v>
      </c>
      <c r="H264" s="18">
        <f>IFERROR(
                  Andel_oberoende_av_klimat*VLOOKUP($A264,Leveranser_per_nät,'Leveranser per nät'!H$1,FALSE)
               +Andel_beroende_av_klimat*VLOOKUP($A264,Leveranser_per_nät,'Leveranser per nät'!H$1,FALSE)/VLOOKUP($B264,Korrigeringsfaktor_GD,'Korrigeringsfaktor GD'!H$1,FALSE),
"")</f>
        <v>0</v>
      </c>
      <c r="I264" s="18">
        <f>IFERROR(
                  Andel_oberoende_av_klimat*VLOOKUP($A264,Leveranser_per_nät,'Leveranser per nät'!I$1,FALSE)
               +Andel_beroende_av_klimat*VLOOKUP($A264,Leveranser_per_nät,'Leveranser per nät'!I$1,FALSE)/VLOOKUP($B264,Korrigeringsfaktor_GD,'Korrigeringsfaktor GD'!I$1,FALSE),
"")</f>
        <v>0</v>
      </c>
      <c r="J264" s="18">
        <f>IFERROR(
                  Andel_oberoende_av_klimat*VLOOKUP($A264,Leveranser_per_nät,'Leveranser per nät'!J$1,FALSE)
               +Andel_beroende_av_klimat*VLOOKUP($A264,Leveranser_per_nät,'Leveranser per nät'!J$1,FALSE)/VLOOKUP($B264,Korrigeringsfaktor_GD,'Korrigeringsfaktor GD'!J$1,FALSE),
"")</f>
        <v>0</v>
      </c>
      <c r="K264" s="18">
        <f>IFERROR(
                  Andel_oberoende_av_klimat*VLOOKUP($A264,Leveranser_per_nät,'Leveranser per nät'!K$1,FALSE)
               +Andel_beroende_av_klimat*VLOOKUP($A264,Leveranser_per_nät,'Leveranser per nät'!K$1,FALSE)/VLOOKUP($B264,Korrigeringsfaktor_GD,'Korrigeringsfaktor GD'!K$1,FALSE),
"")</f>
        <v>0</v>
      </c>
      <c r="L264" s="18">
        <f>IFERROR(
                  Andel_oberoende_av_klimat*VLOOKUP($A264,Leveranser_per_nät,'Leveranser per nät'!L$1,FALSE)
               +Andel_beroende_av_klimat*VLOOKUP($A264,Leveranser_per_nät,'Leveranser per nät'!L$1,FALSE)/VLOOKUP($B264,Korrigeringsfaktor_GD,'Korrigeringsfaktor GD'!L$1,FALSE),
"")</f>
        <v>0</v>
      </c>
      <c r="M264" s="18">
        <f>IFERROR(
                  Andel_oberoende_av_klimat*VLOOKUP($A264,Leveranser_per_nät,'Leveranser per nät'!M$1,FALSE)
               +Andel_beroende_av_klimat*VLOOKUP($A264,Leveranser_per_nät,'Leveranser per nät'!M$1,FALSE)/VLOOKUP($B264,Korrigeringsfaktor_GD,'Korrigeringsfaktor GD'!M$1,FALSE),
"")</f>
        <v>0</v>
      </c>
      <c r="N264" s="18">
        <f>IFERROR(
                  Andel_oberoende_av_klimat*VLOOKUP($A264,Leveranser_per_nät,'Leveranser per nät'!N$1,FALSE)
               +Andel_beroende_av_klimat*VLOOKUP($A264,Leveranser_per_nät,'Leveranser per nät'!N$1,FALSE)/VLOOKUP($B264,Korrigeringsfaktor_GD,'Korrigeringsfaktor GD'!N$1,FALSE),
"")</f>
        <v>0</v>
      </c>
      <c r="O264" s="18">
        <f>IFERROR(
                  Andel_oberoende_av_klimat*VLOOKUP($A264,Leveranser_per_nät,'Leveranser per nät'!O$1,FALSE)
               +Andel_beroende_av_klimat*VLOOKUP($A264,Leveranser_per_nät,'Leveranser per nät'!O$1,FALSE)/VLOOKUP($B264,Korrigeringsfaktor_GD,'Korrigeringsfaktor GD'!O$1,FALSE),
"")</f>
        <v>0</v>
      </c>
      <c r="P264" s="18">
        <f>IFERROR(
                  Andel_oberoende_av_klimat*VLOOKUP($A264,Leveranser_per_nät,'Leveranser per nät'!P$1,FALSE)
               +Andel_beroende_av_klimat*VLOOKUP($A264,Leveranser_per_nät,'Leveranser per nät'!P$1,FALSE)/VLOOKUP($B264,Korrigeringsfaktor_GD,'Korrigeringsfaktor GD'!P$1,FALSE),
"")</f>
        <v>0</v>
      </c>
      <c r="Q264" s="18">
        <f>IFERROR(
                  Andel_oberoende_av_klimat*VLOOKUP($A264,Leveranser_per_nät,'Leveranser per nät'!Q$1,FALSE)
               +Andel_beroende_av_klimat*VLOOKUP($A264,Leveranser_per_nät,'Leveranser per nät'!Q$1,FALSE)/VLOOKUP($B264,Korrigeringsfaktor_GD,'Korrigeringsfaktor GD'!Q$1,FALSE),
"")</f>
        <v>0.59281171171171165</v>
      </c>
      <c r="R264" s="18">
        <f>IFERROR(
                  Andel_oberoende_av_klimat*VLOOKUP($A264,Leveranser_per_nät,'Leveranser per nät'!R$1,FALSE)
               +Andel_beroende_av_klimat*VLOOKUP($A264,Leveranser_per_nät,'Leveranser per nät'!R$1,FALSE)/VLOOKUP($B264,Korrigeringsfaktor_GD,'Korrigeringsfaktor GD'!R$1,FALSE),
"")</f>
        <v>0.53888888888888886</v>
      </c>
      <c r="S264" s="18">
        <f>IFERROR(
                  Andel_oberoende_av_klimat*VLOOKUP($A264,Leveranser_per_nät,'Leveranser per nät'!S$1,FALSE)
               +Andel_beroende_av_klimat*VLOOKUP($A264,Leveranser_per_nät,'Leveranser per nät'!S$1,FALSE)/VLOOKUP($B264,Korrigeringsfaktor_GD,'Korrigeringsfaktor GD'!S$1,FALSE),
"")</f>
        <v>0.61871428571428577</v>
      </c>
      <c r="T264" s="18">
        <f>IFERROR(
                  Andel_oberoende_av_klimat*VLOOKUP($A264,Leveranser_per_nät,'Leveranser per nät'!T$1,FALSE)
               +Andel_beroende_av_klimat*VLOOKUP($A264,Leveranser_per_nät,'Leveranser per nät'!T$1,FALSE)/VLOOKUP($B264,Korrigeringsfaktor_GD,'Korrigeringsfaktor GD'!T$1,FALSE),
"")</f>
        <v>0.60634838709677408</v>
      </c>
      <c r="U264" s="18">
        <f>IFERROR(
                  Andel_oberoende_av_klimat*VLOOKUP($A264,Leveranser_per_nät,'Leveranser per nät'!U$1,FALSE)
               +Andel_beroende_av_klimat*VLOOKUP($A264,Leveranser_per_nät,'Leveranser per nät'!U$1,FALSE)/VLOOKUP($B264,Korrigeringsfaktor_GD,'Korrigeringsfaktor GD'!U$1,FALSE),
"")</f>
        <v>0.58168636363636361</v>
      </c>
      <c r="V264" s="18">
        <f>IFERROR(
                  Andel_oberoende_av_klimat*VLOOKUP($A264,Leveranser_per_nät,'Leveranser per nät'!V$1,FALSE)
               +Andel_beroende_av_klimat*VLOOKUP($A264,Leveranser_per_nät,'Leveranser per nät'!V$1,FALSE)/VLOOKUP($B264,Korrigeringsfaktor_GD,'Korrigeringsfaktor GD'!V$1,FALSE),
"")</f>
        <v>0.62078390804597705</v>
      </c>
      <c r="W264" s="18">
        <f>IFERROR(
                  Andel_oberoende_av_klimat*VLOOKUP($A264,Leveranser_per_nät,'Leveranser per nät'!W$1,FALSE)
               +Andel_beroende_av_klimat*VLOOKUP($A264,Leveranser_per_nät,'Leveranser per nät'!W$1,FALSE)/VLOOKUP($B264,Korrigeringsfaktor_GD,'Korrigeringsfaktor GD'!W$1,FALSE),
"")</f>
        <v>0.61113829787234042</v>
      </c>
      <c r="X264" s="18">
        <f>IFERROR(
                  Andel_oberoende_av_klimat*VLOOKUP($A264,Leveranser_per_nät,'Leveranser per nät'!X$1,FALSE)
               +Andel_beroende_av_klimat*VLOOKUP($A264,Leveranser_per_nät,'Leveranser per nät'!X$1,FALSE)/VLOOKUP($B264,Korrigeringsfaktor_GD,'Korrigeringsfaktor GD'!X$1,FALSE),
"")</f>
        <v>0.61692105263157893</v>
      </c>
      <c r="Y264" s="18">
        <f>IFERROR(
                  Andel_oberoende_av_klimat*VLOOKUP($A264,Leveranser_per_nät,'Leveranser per nät'!Y$1,FALSE)
               +Andel_beroende_av_klimat*VLOOKUP($A264,Leveranser_per_nät,'Leveranser per nät'!Y$1,FALSE)/VLOOKUP($B264,Korrigeringsfaktor_GD,'Korrigeringsfaktor GD'!Y$1,FALSE),
"")</f>
        <v>0.55575000000000008</v>
      </c>
      <c r="Z264" s="18">
        <f>IFERROR(
                  Andel_oberoende_av_klimat*VLOOKUP($A264,Leveranser_per_nät,'Leveranser per nät'!Z$1,FALSE)
               +Andel_beroende_av_klimat*VLOOKUP($A264,Leveranser_per_nät,'Leveranser per nät'!Z$1,FALSE)/VLOOKUP($B264,Korrigeringsfaktor_GD,'Korrigeringsfaktor GD'!Z$1,FALSE),
"")</f>
        <v>0.45265591397849458</v>
      </c>
      <c r="AA264" s="18">
        <f>IFERROR(
                  Andel_oberoende_av_klimat*VLOOKUP($A264,Leveranser_per_nät,'Leveranser per nät'!AA$1,FALSE)
               +Andel_beroende_av_klimat*VLOOKUP($A264,Leveranser_per_nät,'Leveranser per nät'!AA$1,FALSE)/VLOOKUP($B264,Korrigeringsfaktor_GD,'Korrigeringsfaktor GD'!AA$1,FALSE),
"")</f>
        <v>0.46095678299052456</v>
      </c>
      <c r="AB264" s="18">
        <f>IFERROR(
                  Andel_oberoende_av_klimat*VLOOKUP($A264,Leveranser_per_nät,'Leveranser per nät'!AB$1,FALSE)
               +Andel_beroende_av_klimat*VLOOKUP($A264,Leveranser_per_nät,'Leveranser per nät'!AB$1,FALSE)/VLOOKUP($B264,Korrigeringsfaktor_GD,'Korrigeringsfaktor GD'!AB$1,FALSE),
"")</f>
        <v>0.35077456647398841</v>
      </c>
      <c r="AC264" s="18">
        <f>IFERROR(
                  Andel_oberoende_av_klimat*VLOOKUP($A264,Leveranser_per_nät,'Leveranser per nät'!AC$1,FALSE)
               +Andel_beroende_av_klimat*VLOOKUP($A264,Leveranser_per_nät,'Leveranser per nät'!AC$1,FALSE)/VLOOKUP($B264,Korrigeringsfaktor_GD,'Korrigeringsfaktor GD'!AC$1,FALSE),
"")</f>
        <v>0.53125773195876291</v>
      </c>
      <c r="AD264">
        <v>223.7</v>
      </c>
    </row>
    <row r="265" spans="1:30" x14ac:dyDescent="0.25">
      <c r="A265" t="s">
        <v>52</v>
      </c>
      <c r="B265" t="s">
        <v>52</v>
      </c>
      <c r="C265" s="18">
        <f>IFERROR(
                  Andel_oberoende_av_klimat*VLOOKUP($A265,Leveranser_per_nät,'Leveranser per nät'!C$1,FALSE)
               +Andel_beroende_av_klimat*VLOOKUP($A265,Leveranser_per_nät,'Leveranser per nät'!C$1,FALSE)/VLOOKUP($B265,Korrigeringsfaktor_GD,'Korrigeringsfaktor GD'!C$1,FALSE),
"")</f>
        <v>85.740366972477062</v>
      </c>
      <c r="D265" s="18">
        <f>IFERROR(
                  Andel_oberoende_av_klimat*VLOOKUP($A265,Leveranser_per_nät,'Leveranser per nät'!D$1,FALSE)
               +Andel_beroende_av_klimat*VLOOKUP($A265,Leveranser_per_nät,'Leveranser per nät'!D$1,FALSE)/VLOOKUP($B265,Korrigeringsfaktor_GD,'Korrigeringsfaktor GD'!D$1,FALSE),
"")</f>
        <v>80.189368421052635</v>
      </c>
      <c r="E265" s="18">
        <f>IFERROR(
                  Andel_oberoende_av_klimat*VLOOKUP($A265,Leveranser_per_nät,'Leveranser per nät'!E$1,FALSE)
               +Andel_beroende_av_klimat*VLOOKUP($A265,Leveranser_per_nät,'Leveranser per nät'!E$1,FALSE)/VLOOKUP($B265,Korrigeringsfaktor_GD,'Korrigeringsfaktor GD'!E$1,FALSE),
"")</f>
        <v>80.128571428571433</v>
      </c>
      <c r="F265" s="18">
        <f>IFERROR(
                  Andel_oberoende_av_klimat*VLOOKUP($A265,Leveranser_per_nät,'Leveranser per nät'!F$1,FALSE)
               +Andel_beroende_av_klimat*VLOOKUP($A265,Leveranser_per_nät,'Leveranser per nät'!F$1,FALSE)/VLOOKUP($B265,Korrigeringsfaktor_GD,'Korrigeringsfaktor GD'!F$1,FALSE),
"")</f>
        <v>88.508333333333326</v>
      </c>
      <c r="G265" s="18">
        <f>IFERROR(
                  Andel_oberoende_av_klimat*VLOOKUP($A265,Leveranser_per_nät,'Leveranser per nät'!G$1,FALSE)
               +Andel_beroende_av_klimat*VLOOKUP($A265,Leveranser_per_nät,'Leveranser per nät'!G$1,FALSE)/VLOOKUP($B265,Korrigeringsfaktor_GD,'Korrigeringsfaktor GD'!G$1,FALSE),
"")</f>
        <v>86.921348314606746</v>
      </c>
      <c r="H265" s="18">
        <f>IFERROR(
                  Andel_oberoende_av_klimat*VLOOKUP($A265,Leveranser_per_nät,'Leveranser per nät'!H$1,FALSE)
               +Andel_beroende_av_klimat*VLOOKUP($A265,Leveranser_per_nät,'Leveranser per nät'!H$1,FALSE)/VLOOKUP($B265,Korrigeringsfaktor_GD,'Korrigeringsfaktor GD'!H$1,FALSE),
"")</f>
        <v>90.737254901960782</v>
      </c>
      <c r="I265" s="18">
        <f>IFERROR(
                  Andel_oberoende_av_klimat*VLOOKUP($A265,Leveranser_per_nät,'Leveranser per nät'!I$1,FALSE)
               +Andel_beroende_av_klimat*VLOOKUP($A265,Leveranser_per_nät,'Leveranser per nät'!I$1,FALSE)/VLOOKUP($B265,Korrigeringsfaktor_GD,'Korrigeringsfaktor GD'!I$1,FALSE),
"")</f>
        <v>96.357142857142861</v>
      </c>
      <c r="J265" s="18">
        <f>IFERROR(
                  Andel_oberoende_av_klimat*VLOOKUP($A265,Leveranser_per_nät,'Leveranser per nät'!J$1,FALSE)
               +Andel_beroende_av_klimat*VLOOKUP($A265,Leveranser_per_nät,'Leveranser per nät'!J$1,FALSE)/VLOOKUP($B265,Korrigeringsfaktor_GD,'Korrigeringsfaktor GD'!J$1,FALSE),
"")</f>
        <v>95.389473684210529</v>
      </c>
      <c r="K265" s="18">
        <f>IFERROR(
                  Andel_oberoende_av_klimat*VLOOKUP($A265,Leveranser_per_nät,'Leveranser per nät'!K$1,FALSE)
               +Andel_beroende_av_klimat*VLOOKUP($A265,Leveranser_per_nät,'Leveranser per nät'!K$1,FALSE)/VLOOKUP($B265,Korrigeringsfaktor_GD,'Korrigeringsfaktor GD'!K$1,FALSE),
"")</f>
        <v>97.020426315789464</v>
      </c>
      <c r="L265" s="18">
        <f>IFERROR(
                  Andel_oberoende_av_klimat*VLOOKUP($A265,Leveranser_per_nät,'Leveranser per nät'!L$1,FALSE)
               +Andel_beroende_av_klimat*VLOOKUP($A265,Leveranser_per_nät,'Leveranser per nät'!L$1,FALSE)/VLOOKUP($B265,Korrigeringsfaktor_GD,'Korrigeringsfaktor GD'!L$1,FALSE),
"")</f>
        <v>127.68242990547228</v>
      </c>
      <c r="M265" s="18">
        <f>IFERROR(
                  Andel_oberoende_av_klimat*VLOOKUP($A265,Leveranser_per_nät,'Leveranser per nät'!M$1,FALSE)
               +Andel_beroende_av_klimat*VLOOKUP($A265,Leveranser_per_nät,'Leveranser per nät'!M$1,FALSE)/VLOOKUP($B265,Korrigeringsfaktor_GD,'Korrigeringsfaktor GD'!M$1,FALSE),
"")</f>
        <v>89.667830769230775</v>
      </c>
      <c r="N265" s="18">
        <f>IFERROR(
                  Andel_oberoende_av_klimat*VLOOKUP($A265,Leveranser_per_nät,'Leveranser per nät'!N$1,FALSE)
               +Andel_beroende_av_klimat*VLOOKUP($A265,Leveranser_per_nät,'Leveranser per nät'!N$1,FALSE)/VLOOKUP($B265,Korrigeringsfaktor_GD,'Korrigeringsfaktor GD'!N$1,FALSE),
"")</f>
        <v>100.74225806451612</v>
      </c>
      <c r="O265" s="18">
        <f>IFERROR(
                  Andel_oberoende_av_klimat*VLOOKUP($A265,Leveranser_per_nät,'Leveranser per nät'!O$1,FALSE)
               +Andel_beroende_av_klimat*VLOOKUP($A265,Leveranser_per_nät,'Leveranser per nät'!O$1,FALSE)/VLOOKUP($B265,Korrigeringsfaktor_GD,'Korrigeringsfaktor GD'!O$1,FALSE),
"")</f>
        <v>104.28347826086954</v>
      </c>
      <c r="P265" s="18">
        <f>IFERROR(
                  Andel_oberoende_av_klimat*VLOOKUP($A265,Leveranser_per_nät,'Leveranser per nät'!P$1,FALSE)
               +Andel_beroende_av_klimat*VLOOKUP($A265,Leveranser_per_nät,'Leveranser per nät'!P$1,FALSE)/VLOOKUP($B265,Korrigeringsfaktor_GD,'Korrigeringsfaktor GD'!P$1,FALSE),
"")</f>
        <v>116</v>
      </c>
      <c r="Q265" s="18">
        <f>IFERROR(
                  Andel_oberoende_av_klimat*VLOOKUP($A265,Leveranser_per_nät,'Leveranser per nät'!Q$1,FALSE)
               +Andel_beroende_av_klimat*VLOOKUP($A265,Leveranser_per_nät,'Leveranser per nät'!Q$1,FALSE)/VLOOKUP($B265,Korrigeringsfaktor_GD,'Korrigeringsfaktor GD'!Q$1,FALSE),
"")</f>
        <v>119.70689655172416</v>
      </c>
      <c r="R265" s="18">
        <f>IFERROR(
                  Andel_oberoende_av_klimat*VLOOKUP($A265,Leveranser_per_nät,'Leveranser per nät'!R$1,FALSE)
               +Andel_beroende_av_klimat*VLOOKUP($A265,Leveranser_per_nät,'Leveranser per nät'!R$1,FALSE)/VLOOKUP($B265,Korrigeringsfaktor_GD,'Korrigeringsfaktor GD'!R$1,FALSE),
"")</f>
        <v>112.52584615384615</v>
      </c>
      <c r="S265" s="18">
        <f>IFERROR(
                  Andel_oberoende_av_klimat*VLOOKUP($A265,Leveranser_per_nät,'Leveranser per nät'!S$1,FALSE)
               +Andel_beroende_av_klimat*VLOOKUP($A265,Leveranser_per_nät,'Leveranser per nät'!S$1,FALSE)/VLOOKUP($B265,Korrigeringsfaktor_GD,'Korrigeringsfaktor GD'!S$1,FALSE),
"")</f>
        <v>113</v>
      </c>
      <c r="T265" s="18">
        <f>IFERROR(
                  Andel_oberoende_av_klimat*VLOOKUP($A265,Leveranser_per_nät,'Leveranser per nät'!T$1,FALSE)
               +Andel_beroende_av_klimat*VLOOKUP($A265,Leveranser_per_nät,'Leveranser per nät'!T$1,FALSE)/VLOOKUP($B265,Korrigeringsfaktor_GD,'Korrigeringsfaktor GD'!T$1,FALSE),
"")</f>
        <v>114.81692083333334</v>
      </c>
      <c r="U265" s="18">
        <f>IFERROR(
                  Andel_oberoende_av_klimat*VLOOKUP($A265,Leveranser_per_nät,'Leveranser per nät'!U$1,FALSE)
               +Andel_beroende_av_klimat*VLOOKUP($A265,Leveranser_per_nät,'Leveranser per nät'!U$1,FALSE)/VLOOKUP($B265,Korrigeringsfaktor_GD,'Korrigeringsfaktor GD'!U$1,FALSE),
"")</f>
        <v>109.50097931034483</v>
      </c>
      <c r="V265" s="18">
        <f>IFERROR(
                  Andel_oberoende_av_klimat*VLOOKUP($A265,Leveranser_per_nät,'Leveranser per nät'!V$1,FALSE)
               +Andel_beroende_av_klimat*VLOOKUP($A265,Leveranser_per_nät,'Leveranser per nät'!V$1,FALSE)/VLOOKUP($B265,Korrigeringsfaktor_GD,'Korrigeringsfaktor GD'!V$1,FALSE),
"")</f>
        <v>109.32636363636365</v>
      </c>
      <c r="W265" s="18">
        <f>IFERROR(
                  Andel_oberoende_av_klimat*VLOOKUP($A265,Leveranser_per_nät,'Leveranser per nät'!W$1,FALSE)
               +Andel_beroende_av_klimat*VLOOKUP($A265,Leveranser_per_nät,'Leveranser per nät'!W$1,FALSE)/VLOOKUP($B265,Korrigeringsfaktor_GD,'Korrigeringsfaktor GD'!W$1,FALSE),
"")</f>
        <v>111.39130434782608</v>
      </c>
      <c r="X265" s="18">
        <f>IFERROR(
                  Andel_oberoende_av_klimat*VLOOKUP($A265,Leveranser_per_nät,'Leveranser per nät'!X$1,FALSE)
               +Andel_beroende_av_klimat*VLOOKUP($A265,Leveranser_per_nät,'Leveranser per nät'!X$1,FALSE)/VLOOKUP($B265,Korrigeringsfaktor_GD,'Korrigeringsfaktor GD'!X$1,FALSE),
"")</f>
        <v>116.29789166666669</v>
      </c>
      <c r="Y265" s="18">
        <f>IFERROR(
                  Andel_oberoende_av_klimat*VLOOKUP($A265,Leveranser_per_nät,'Leveranser per nät'!Y$1,FALSE)
               +Andel_beroende_av_klimat*VLOOKUP($A265,Leveranser_per_nät,'Leveranser per nät'!Y$1,FALSE)/VLOOKUP($B265,Korrigeringsfaktor_GD,'Korrigeringsfaktor GD'!Y$1,FALSE),
"")</f>
        <v>111.35684210526315</v>
      </c>
      <c r="Z265" s="18">
        <f>IFERROR(
                  Andel_oberoende_av_klimat*VLOOKUP($A265,Leveranser_per_nät,'Leveranser per nät'!Z$1,FALSE)
               +Andel_beroende_av_klimat*VLOOKUP($A265,Leveranser_per_nät,'Leveranser per nät'!Z$1,FALSE)/VLOOKUP($B265,Korrigeringsfaktor_GD,'Korrigeringsfaktor GD'!Z$1,FALSE),
"")</f>
        <v>114.60864545454545</v>
      </c>
      <c r="AA265" s="18">
        <f>IFERROR(
                  Andel_oberoende_av_klimat*VLOOKUP($A265,Leveranser_per_nät,'Leveranser per nät'!AA$1,FALSE)
               +Andel_beroende_av_klimat*VLOOKUP($A265,Leveranser_per_nät,'Leveranser per nät'!AA$1,FALSE)/VLOOKUP($B265,Korrigeringsfaktor_GD,'Korrigeringsfaktor GD'!AA$1,FALSE),
"")</f>
        <v>109.62322767295598</v>
      </c>
      <c r="AB265" s="18">
        <f>IFERROR(
                  Andel_oberoende_av_klimat*VLOOKUP($A265,Leveranser_per_nät,'Leveranser per nät'!AB$1,FALSE)
               +Andel_beroende_av_klimat*VLOOKUP($A265,Leveranser_per_nät,'Leveranser per nät'!AB$1,FALSE)/VLOOKUP($B265,Korrigeringsfaktor_GD,'Korrigeringsfaktor GD'!AB$1,FALSE),
"")</f>
        <v>108.22101461006909</v>
      </c>
      <c r="AC265" s="18">
        <f>IFERROR(
                  Andel_oberoende_av_klimat*VLOOKUP($A265,Leveranser_per_nät,'Leveranser per nät'!AC$1,FALSE)
               +Andel_beroende_av_klimat*VLOOKUP($A265,Leveranser_per_nät,'Leveranser per nät'!AC$1,FALSE)/VLOOKUP($B265,Korrigeringsfaktor_GD,'Korrigeringsfaktor GD'!AC$1,FALSE),
"")</f>
        <v>105.01624478844168</v>
      </c>
      <c r="AD265">
        <v>102.71599999999999</v>
      </c>
    </row>
    <row r="266" spans="1:30" x14ac:dyDescent="0.25">
      <c r="A266" t="s">
        <v>336</v>
      </c>
      <c r="B266" t="s">
        <v>336</v>
      </c>
      <c r="C266" s="18">
        <f>IFERROR(
                  Andel_oberoende_av_klimat*VLOOKUP($A266,Leveranser_per_nät,'Leveranser per nät'!C$1,FALSE)
               +Andel_beroende_av_klimat*VLOOKUP($A266,Leveranser_per_nät,'Leveranser per nät'!C$1,FALSE)/VLOOKUP($B266,Korrigeringsfaktor_GD,'Korrigeringsfaktor GD'!C$1,FALSE),
"")</f>
        <v>90.271171171171162</v>
      </c>
      <c r="D266" s="18">
        <f>IFERROR(
                  Andel_oberoende_av_klimat*VLOOKUP($A266,Leveranser_per_nät,'Leveranser per nät'!D$1,FALSE)
               +Andel_beroende_av_klimat*VLOOKUP($A266,Leveranser_per_nät,'Leveranser per nät'!D$1,FALSE)/VLOOKUP($B266,Korrigeringsfaktor_GD,'Korrigeringsfaktor GD'!D$1,FALSE),
"")</f>
        <v>125.50771428571429</v>
      </c>
      <c r="E266" s="18">
        <f>IFERROR(
                  Andel_oberoende_av_klimat*VLOOKUP($A266,Leveranser_per_nät,'Leveranser per nät'!E$1,FALSE)
               +Andel_beroende_av_klimat*VLOOKUP($A266,Leveranser_per_nät,'Leveranser per nät'!E$1,FALSE)/VLOOKUP($B266,Korrigeringsfaktor_GD,'Korrigeringsfaktor GD'!E$1,FALSE),
"")</f>
        <v>148.90097087378641</v>
      </c>
      <c r="F266" s="18">
        <f>IFERROR(
                  Andel_oberoende_av_klimat*VLOOKUP($A266,Leveranser_per_nät,'Leveranser per nät'!F$1,FALSE)
               +Andel_beroende_av_klimat*VLOOKUP($A266,Leveranser_per_nät,'Leveranser per nät'!F$1,FALSE)/VLOOKUP($B266,Korrigeringsfaktor_GD,'Korrigeringsfaktor GD'!F$1,FALSE),
"")</f>
        <v>171.07894736842104</v>
      </c>
      <c r="G266" s="18">
        <f>IFERROR(
                  Andel_oberoende_av_klimat*VLOOKUP($A266,Leveranser_per_nät,'Leveranser per nät'!G$1,FALSE)
               +Andel_beroende_av_klimat*VLOOKUP($A266,Leveranser_per_nät,'Leveranser per nät'!G$1,FALSE)/VLOOKUP($B266,Korrigeringsfaktor_GD,'Korrigeringsfaktor GD'!G$1,FALSE),
"")</f>
        <v>169.00344827586207</v>
      </c>
      <c r="H266" s="18">
        <f>IFERROR(
                  Andel_oberoende_av_klimat*VLOOKUP($A266,Leveranser_per_nät,'Leveranser per nät'!H$1,FALSE)
               +Andel_beroende_av_klimat*VLOOKUP($A266,Leveranser_per_nät,'Leveranser per nät'!H$1,FALSE)/VLOOKUP($B266,Korrigeringsfaktor_GD,'Korrigeringsfaktor GD'!H$1,FALSE),
"")</f>
        <v>168.8217821782178</v>
      </c>
      <c r="I266" s="18">
        <f>IFERROR(
                  Andel_oberoende_av_klimat*VLOOKUP($A266,Leveranser_per_nät,'Leveranser per nät'!I$1,FALSE)
               +Andel_beroende_av_klimat*VLOOKUP($A266,Leveranser_per_nät,'Leveranser per nät'!I$1,FALSE)/VLOOKUP($B266,Korrigeringsfaktor_GD,'Korrigeringsfaktor GD'!I$1,FALSE),
"")</f>
        <v>179.4016789473684</v>
      </c>
      <c r="J266" s="18">
        <f>IFERROR(
                  Andel_oberoende_av_klimat*VLOOKUP($A266,Leveranser_per_nät,'Leveranser per nät'!J$1,FALSE)
               +Andel_beroende_av_klimat*VLOOKUP($A266,Leveranser_per_nät,'Leveranser per nät'!J$1,FALSE)/VLOOKUP($B266,Korrigeringsfaktor_GD,'Korrigeringsfaktor GD'!J$1,FALSE),
"")</f>
        <v>168.98507142857142</v>
      </c>
      <c r="K266" s="18">
        <f>IFERROR(
                  Andel_oberoende_av_klimat*VLOOKUP($A266,Leveranser_per_nät,'Leveranser per nät'!K$1,FALSE)
               +Andel_beroende_av_klimat*VLOOKUP($A266,Leveranser_per_nät,'Leveranser per nät'!K$1,FALSE)/VLOOKUP($B266,Korrigeringsfaktor_GD,'Korrigeringsfaktor GD'!K$1,FALSE),
"")</f>
        <v>143.877643255934</v>
      </c>
      <c r="L266" s="18">
        <f>IFERROR(
                  Andel_oberoende_av_klimat*VLOOKUP($A266,Leveranser_per_nät,'Leveranser per nät'!L$1,FALSE)
               +Andel_beroende_av_klimat*VLOOKUP($A266,Leveranser_per_nät,'Leveranser per nät'!L$1,FALSE)/VLOOKUP($B266,Korrigeringsfaktor_GD,'Korrigeringsfaktor GD'!L$1,FALSE),
"")</f>
        <v>147.07729432908303</v>
      </c>
      <c r="M266" s="18">
        <f>IFERROR(
                  Andel_oberoende_av_klimat*VLOOKUP($A266,Leveranser_per_nät,'Leveranser per nät'!M$1,FALSE)
               +Andel_beroende_av_klimat*VLOOKUP($A266,Leveranser_per_nät,'Leveranser per nät'!M$1,FALSE)/VLOOKUP($B266,Korrigeringsfaktor_GD,'Korrigeringsfaktor GD'!M$1,FALSE),
"")</f>
        <v>196.54942608695652</v>
      </c>
      <c r="N266" s="18">
        <f>IFERROR(
                  Andel_oberoende_av_klimat*VLOOKUP($A266,Leveranser_per_nät,'Leveranser per nät'!N$1,FALSE)
               +Andel_beroende_av_klimat*VLOOKUP($A266,Leveranser_per_nät,'Leveranser per nät'!N$1,FALSE)/VLOOKUP($B266,Korrigeringsfaktor_GD,'Korrigeringsfaktor GD'!N$1,FALSE),
"")</f>
        <v>177.27846153846156</v>
      </c>
      <c r="O266" s="18">
        <f>IFERROR(
                  Andel_oberoende_av_klimat*VLOOKUP($A266,Leveranser_per_nät,'Leveranser per nät'!O$1,FALSE)
               +Andel_beroende_av_klimat*VLOOKUP($A266,Leveranser_per_nät,'Leveranser per nät'!O$1,FALSE)/VLOOKUP($B266,Korrigeringsfaktor_GD,'Korrigeringsfaktor GD'!O$1,FALSE),
"")</f>
        <v>166.73222222222222</v>
      </c>
      <c r="P266" s="18">
        <f>IFERROR(
                  Andel_oberoende_av_klimat*VLOOKUP($A266,Leveranser_per_nät,'Leveranser per nät'!P$1,FALSE)
               +Andel_beroende_av_klimat*VLOOKUP($A266,Leveranser_per_nät,'Leveranser per nät'!P$1,FALSE)/VLOOKUP($B266,Korrigeringsfaktor_GD,'Korrigeringsfaktor GD'!P$1,FALSE),
"")</f>
        <v>166.26737373737373</v>
      </c>
      <c r="Q266" s="18">
        <f>IFERROR(
                  Andel_oberoende_av_klimat*VLOOKUP($A266,Leveranser_per_nät,'Leveranser per nät'!Q$1,FALSE)
               +Andel_beroende_av_klimat*VLOOKUP($A266,Leveranser_per_nät,'Leveranser per nät'!Q$1,FALSE)/VLOOKUP($B266,Korrigeringsfaktor_GD,'Korrigeringsfaktor GD'!Q$1,FALSE),
"")</f>
        <v>171.33096581196583</v>
      </c>
      <c r="R266" s="18">
        <f>IFERROR(
                  Andel_oberoende_av_klimat*VLOOKUP($A266,Leveranser_per_nät,'Leveranser per nät'!R$1,FALSE)
               +Andel_beroende_av_klimat*VLOOKUP($A266,Leveranser_per_nät,'Leveranser per nät'!R$1,FALSE)/VLOOKUP($B266,Korrigeringsfaktor_GD,'Korrigeringsfaktor GD'!R$1,FALSE),
"")</f>
        <v>172.25307692307692</v>
      </c>
      <c r="S266" s="18">
        <f>IFERROR(
                  Andel_oberoende_av_klimat*VLOOKUP($A266,Leveranser_per_nät,'Leveranser per nät'!S$1,FALSE)
               +Andel_beroende_av_klimat*VLOOKUP($A266,Leveranser_per_nät,'Leveranser per nät'!S$1,FALSE)/VLOOKUP($B266,Korrigeringsfaktor_GD,'Korrigeringsfaktor GD'!S$1,FALSE),
"")</f>
        <v>164.84950495049503</v>
      </c>
      <c r="T266" s="18">
        <f>IFERROR(
                  Andel_oberoende_av_klimat*VLOOKUP($A266,Leveranser_per_nät,'Leveranser per nät'!T$1,FALSE)
               +Andel_beroende_av_klimat*VLOOKUP($A266,Leveranser_per_nät,'Leveranser per nät'!T$1,FALSE)/VLOOKUP($B266,Korrigeringsfaktor_GD,'Korrigeringsfaktor GD'!T$1,FALSE),
"")</f>
        <v>162.62042857142859</v>
      </c>
      <c r="U266" s="18">
        <f>IFERROR(
                  Andel_oberoende_av_klimat*VLOOKUP($A266,Leveranser_per_nät,'Leveranser per nät'!U$1,FALSE)
               +Andel_beroende_av_klimat*VLOOKUP($A266,Leveranser_per_nät,'Leveranser per nät'!U$1,FALSE)/VLOOKUP($B266,Korrigeringsfaktor_GD,'Korrigeringsfaktor GD'!U$1,FALSE),
"")</f>
        <v>159.60772727272726</v>
      </c>
      <c r="V266" s="18">
        <f>IFERROR(
                  Andel_oberoende_av_klimat*VLOOKUP($A266,Leveranser_per_nät,'Leveranser per nät'!V$1,FALSE)
               +Andel_beroende_av_klimat*VLOOKUP($A266,Leveranser_per_nät,'Leveranser per nät'!V$1,FALSE)/VLOOKUP($B266,Korrigeringsfaktor_GD,'Korrigeringsfaktor GD'!V$1,FALSE),
"")</f>
        <v>162.4559090909091</v>
      </c>
      <c r="W266" s="18">
        <f>IFERROR(
                  Andel_oberoende_av_klimat*VLOOKUP($A266,Leveranser_per_nät,'Leveranser per nät'!W$1,FALSE)
               +Andel_beroende_av_klimat*VLOOKUP($A266,Leveranser_per_nät,'Leveranser per nät'!W$1,FALSE)/VLOOKUP($B266,Korrigeringsfaktor_GD,'Korrigeringsfaktor GD'!W$1,FALSE),
"")</f>
        <v>164.40295652173913</v>
      </c>
      <c r="X266" s="18">
        <f>IFERROR(
                  Andel_oberoende_av_klimat*VLOOKUP($A266,Leveranser_per_nät,'Leveranser per nät'!X$1,FALSE)
               +Andel_beroende_av_klimat*VLOOKUP($A266,Leveranser_per_nät,'Leveranser per nät'!X$1,FALSE)/VLOOKUP($B266,Korrigeringsfaktor_GD,'Korrigeringsfaktor GD'!X$1,FALSE),
"")</f>
        <v>161.55888888888887</v>
      </c>
      <c r="Y266" s="18">
        <f>IFERROR(
                  Andel_oberoende_av_klimat*VLOOKUP($A266,Leveranser_per_nät,'Leveranser per nät'!Y$1,FALSE)
               +Andel_beroende_av_klimat*VLOOKUP($A266,Leveranser_per_nät,'Leveranser per nät'!Y$1,FALSE)/VLOOKUP($B266,Korrigeringsfaktor_GD,'Korrigeringsfaktor GD'!Y$1,FALSE),
"")</f>
        <v>162.55475555555557</v>
      </c>
      <c r="Z266" s="18">
        <f>IFERROR(
                  Andel_oberoende_av_klimat*VLOOKUP($A266,Leveranser_per_nät,'Leveranser per nät'!Z$1,FALSE)
               +Andel_beroende_av_klimat*VLOOKUP($A266,Leveranser_per_nät,'Leveranser per nät'!Z$1,FALSE)/VLOOKUP($B266,Korrigeringsfaktor_GD,'Korrigeringsfaktor GD'!Z$1,FALSE),
"")</f>
        <v>159.48806279069768</v>
      </c>
      <c r="AA266" s="18">
        <f>IFERROR(
                  Andel_oberoende_av_klimat*VLOOKUP($A266,Leveranser_per_nät,'Leveranser per nät'!AA$1,FALSE)
               +Andel_beroende_av_klimat*VLOOKUP($A266,Leveranser_per_nät,'Leveranser per nät'!AA$1,FALSE)/VLOOKUP($B266,Korrigeringsfaktor_GD,'Korrigeringsfaktor GD'!AA$1,FALSE),
"")</f>
        <v>146.12449586049541</v>
      </c>
      <c r="AB266" s="18">
        <f>IFERROR(
                  Andel_oberoende_av_klimat*VLOOKUP($A266,Leveranser_per_nät,'Leveranser per nät'!AB$1,FALSE)
               +Andel_beroende_av_klimat*VLOOKUP($A266,Leveranser_per_nät,'Leveranser per nät'!AB$1,FALSE)/VLOOKUP($B266,Korrigeringsfaktor_GD,'Korrigeringsfaktor GD'!AB$1,FALSE),
"")</f>
        <v>146.95407692307691</v>
      </c>
      <c r="AC266" s="18">
        <f>IFERROR(
                  Andel_oberoende_av_klimat*VLOOKUP($A266,Leveranser_per_nät,'Leveranser per nät'!AC$1,FALSE)
               +Andel_beroende_av_klimat*VLOOKUP($A266,Leveranser_per_nät,'Leveranser per nät'!AC$1,FALSE)/VLOOKUP($B266,Korrigeringsfaktor_GD,'Korrigeringsfaktor GD'!AC$1,FALSE),
"")</f>
        <v>144.46328041237112</v>
      </c>
      <c r="AD266">
        <v>141.40199999999999</v>
      </c>
    </row>
    <row r="267" spans="1:30" x14ac:dyDescent="0.25">
      <c r="A267" t="s">
        <v>493</v>
      </c>
      <c r="B267" t="s">
        <v>493</v>
      </c>
      <c r="C267" s="18">
        <f>IFERROR(
                  Andel_oberoende_av_klimat*VLOOKUP($A267,Leveranser_per_nät,'Leveranser per nät'!C$1,FALSE)
               +Andel_beroende_av_klimat*VLOOKUP($A267,Leveranser_per_nät,'Leveranser per nät'!C$1,FALSE)/VLOOKUP("Jönköping",Korrigeringsfaktor_GD,'Korrigeringsfaktor GD'!C$1,FALSE),
"")</f>
        <v>0</v>
      </c>
      <c r="D267" s="18">
        <f>IFERROR(
                  Andel_oberoende_av_klimat*VLOOKUP($A267,Leveranser_per_nät,'Leveranser per nät'!D$1,FALSE)
               +Andel_beroende_av_klimat*VLOOKUP($A267,Leveranser_per_nät,'Leveranser per nät'!D$1,FALSE)/VLOOKUP("Jönköping",Korrigeringsfaktor_GD,'Korrigeringsfaktor GD'!D$1,FALSE),
"")</f>
        <v>0</v>
      </c>
      <c r="E267" s="18">
        <f>IFERROR(
                  Andel_oberoende_av_klimat*VLOOKUP($A267,Leveranser_per_nät,'Leveranser per nät'!E$1,FALSE)
               +Andel_beroende_av_klimat*VLOOKUP($A267,Leveranser_per_nät,'Leveranser per nät'!E$1,FALSE)/VLOOKUP("Jönköping",Korrigeringsfaktor_GD,'Korrigeringsfaktor GD'!E$1,FALSE),
"")</f>
        <v>0</v>
      </c>
      <c r="F267" s="18">
        <f>IFERROR(
                  Andel_oberoende_av_klimat*VLOOKUP($A267,Leveranser_per_nät,'Leveranser per nät'!F$1,FALSE)
               +Andel_beroende_av_klimat*VLOOKUP($A267,Leveranser_per_nät,'Leveranser per nät'!F$1,FALSE)/VLOOKUP("Jönköping",Korrigeringsfaktor_GD,'Korrigeringsfaktor GD'!F$1,FALSE),
"")</f>
        <v>0</v>
      </c>
      <c r="G267" s="18">
        <f>IFERROR(
                  Andel_oberoende_av_klimat*VLOOKUP($A267,Leveranser_per_nät,'Leveranser per nät'!G$1,FALSE)
               +Andel_beroende_av_klimat*VLOOKUP($A267,Leveranser_per_nät,'Leveranser per nät'!G$1,FALSE)/VLOOKUP("Jönköping",Korrigeringsfaktor_GD,'Korrigeringsfaktor GD'!G$1,FALSE),
"")</f>
        <v>0</v>
      </c>
      <c r="H267" s="18">
        <f>IFERROR(
                  Andel_oberoende_av_klimat*VLOOKUP($A267,Leveranser_per_nät,'Leveranser per nät'!H$1,FALSE)
               +Andel_beroende_av_klimat*VLOOKUP($A267,Leveranser_per_nät,'Leveranser per nät'!H$1,FALSE)/VLOOKUP("Jönköping",Korrigeringsfaktor_GD,'Korrigeringsfaktor GD'!H$1,FALSE),
"")</f>
        <v>0</v>
      </c>
      <c r="I267" s="18">
        <f>IFERROR(
                  Andel_oberoende_av_klimat*VLOOKUP($A267,Leveranser_per_nät,'Leveranser per nät'!I$1,FALSE)
               +Andel_beroende_av_klimat*VLOOKUP($A267,Leveranser_per_nät,'Leveranser per nät'!I$1,FALSE)/VLOOKUP("Jönköping",Korrigeringsfaktor_GD,'Korrigeringsfaktor GD'!I$1,FALSE),
"")</f>
        <v>0</v>
      </c>
      <c r="J267" s="18">
        <f>IFERROR(
                  Andel_oberoende_av_klimat*VLOOKUP($A267,Leveranser_per_nät,'Leveranser per nät'!J$1,FALSE)
               +Andel_beroende_av_klimat*VLOOKUP($A267,Leveranser_per_nät,'Leveranser per nät'!J$1,FALSE)/VLOOKUP("Jönköping",Korrigeringsfaktor_GD,'Korrigeringsfaktor GD'!J$1,FALSE),
"")</f>
        <v>0</v>
      </c>
      <c r="K267" s="18">
        <f>IFERROR(
                  Andel_oberoende_av_klimat*VLOOKUP($A267,Leveranser_per_nät,'Leveranser per nät'!K$1,FALSE)
               +Andel_beroende_av_klimat*VLOOKUP($A267,Leveranser_per_nät,'Leveranser per nät'!K$1,FALSE)/VLOOKUP("Jönköping",Korrigeringsfaktor_GD,'Korrigeringsfaktor GD'!K$1,FALSE),
"")</f>
        <v>0</v>
      </c>
      <c r="L267" s="18">
        <f>IFERROR(
                  Andel_oberoende_av_klimat*VLOOKUP($A267,Leveranser_per_nät,'Leveranser per nät'!L$1,FALSE)
               +Andel_beroende_av_klimat*VLOOKUP($A267,Leveranser_per_nät,'Leveranser per nät'!L$1,FALSE)/VLOOKUP("Jönköping",Korrigeringsfaktor_GD,'Korrigeringsfaktor GD'!L$1,FALSE),
"")</f>
        <v>0</v>
      </c>
      <c r="M267" s="18">
        <f>IFERROR(
                  Andel_oberoende_av_klimat*VLOOKUP($A267,Leveranser_per_nät,'Leveranser per nät'!M$1,FALSE)
               +Andel_beroende_av_klimat*VLOOKUP($A267,Leveranser_per_nät,'Leveranser per nät'!M$1,FALSE)/VLOOKUP("Jönköping",Korrigeringsfaktor_GD,'Korrigeringsfaktor GD'!M$1,FALSE),
"")</f>
        <v>0</v>
      </c>
      <c r="N267" s="18">
        <f>IFERROR(
                  Andel_oberoende_av_klimat*VLOOKUP($A267,Leveranser_per_nät,'Leveranser per nät'!N$1,FALSE)
               +Andel_beroende_av_klimat*VLOOKUP($A267,Leveranser_per_nät,'Leveranser per nät'!N$1,FALSE)/VLOOKUP("Jönköping",Korrigeringsfaktor_GD,'Korrigeringsfaktor GD'!N$1,FALSE),
"")</f>
        <v>0</v>
      </c>
      <c r="O267" s="18">
        <f>IFERROR(
                  Andel_oberoende_av_klimat*VLOOKUP($A267,Leveranser_per_nät,'Leveranser per nät'!O$1,FALSE)
               +Andel_beroende_av_klimat*VLOOKUP($A267,Leveranser_per_nät,'Leveranser per nät'!O$1,FALSE)/VLOOKUP("Jönköping",Korrigeringsfaktor_GD,'Korrigeringsfaktor GD'!O$1,FALSE),
"")</f>
        <v>0</v>
      </c>
      <c r="P267" s="18">
        <f>IFERROR(
                  Andel_oberoende_av_klimat*VLOOKUP($A267,Leveranser_per_nät,'Leveranser per nät'!P$1,FALSE)
               +Andel_beroende_av_klimat*VLOOKUP($A267,Leveranser_per_nät,'Leveranser per nät'!P$1,FALSE)/VLOOKUP("Jönköping",Korrigeringsfaktor_GD,'Korrigeringsfaktor GD'!P$1,FALSE),
"")</f>
        <v>0</v>
      </c>
      <c r="Q267" s="18">
        <f>IFERROR(
                  Andel_oberoende_av_klimat*VLOOKUP($A267,Leveranser_per_nät,'Leveranser per nät'!Q$1,FALSE)
               +Andel_beroende_av_klimat*VLOOKUP($A267,Leveranser_per_nät,'Leveranser per nät'!Q$1,FALSE)/VLOOKUP("Jönköping",Korrigeringsfaktor_GD,'Korrigeringsfaktor GD'!Q$1,FALSE),
"")</f>
        <v>0</v>
      </c>
      <c r="R267" s="18">
        <f>IFERROR(
                  Andel_oberoende_av_klimat*VLOOKUP($A267,Leveranser_per_nät,'Leveranser per nät'!R$1,FALSE)
               +Andel_beroende_av_klimat*VLOOKUP($A267,Leveranser_per_nät,'Leveranser per nät'!R$1,FALSE)/VLOOKUP("Jönköping",Korrigeringsfaktor_GD,'Korrigeringsfaktor GD'!R$1,FALSE),
"")</f>
        <v>17.642307692307689</v>
      </c>
      <c r="S267" s="18">
        <f>IFERROR(
                  Andel_oberoende_av_klimat*VLOOKUP($A267,Leveranser_per_nät,'Leveranser per nät'!S$1,FALSE)
               +Andel_beroende_av_klimat*VLOOKUP($A267,Leveranser_per_nät,'Leveranser per nät'!S$1,FALSE)/VLOOKUP("Jönköping",Korrigeringsfaktor_GD,'Korrigeringsfaktor GD'!S$1,FALSE),
"")</f>
        <v>18.371782178217821</v>
      </c>
      <c r="T267" s="18">
        <f>IFERROR(
                  Andel_oberoende_av_klimat*VLOOKUP($A267,Leveranser_per_nät,'Leveranser per nät'!T$1,FALSE)
               +Andel_beroende_av_klimat*VLOOKUP($A267,Leveranser_per_nät,'Leveranser per nät'!T$1,FALSE)/VLOOKUP("Jönköping",Korrigeringsfaktor_GD,'Korrigeringsfaktor GD'!T$1,FALSE),
"")</f>
        <v>17.547142857142859</v>
      </c>
      <c r="U267" s="18">
        <f>IFERROR(
                  Andel_oberoende_av_klimat*VLOOKUP($A267,Leveranser_per_nät,'Leveranser per nät'!U$1,FALSE)
               +Andel_beroende_av_klimat*VLOOKUP($A267,Leveranser_per_nät,'Leveranser per nät'!U$1,FALSE)/VLOOKUP("Jönköping",Korrigeringsfaktor_GD,'Korrigeringsfaktor GD'!U$1,FALSE),
"")</f>
        <v>17.414705882352941</v>
      </c>
      <c r="V267" s="18">
        <f>IFERROR(
                  Andel_oberoende_av_klimat*VLOOKUP($A267,Leveranser_per_nät,'Leveranser per nät'!V$1,FALSE)
               +Andel_beroende_av_klimat*VLOOKUP($A267,Leveranser_per_nät,'Leveranser per nät'!V$1,FALSE)/VLOOKUP("Jönköping",Korrigeringsfaktor_GD,'Korrigeringsfaktor GD'!V$1,FALSE),
"")</f>
        <v>19.108435632183905</v>
      </c>
      <c r="W267" s="18">
        <f>IFERROR(
                  Andel_oberoende_av_klimat*VLOOKUP($A267,Leveranser_per_nät,'Leveranser per nät'!W$1,FALSE)
               +Andel_beroende_av_klimat*VLOOKUP($A267,Leveranser_per_nät,'Leveranser per nät'!W$1,FALSE)/VLOOKUP("Jönköping",Korrigeringsfaktor_GD,'Korrigeringsfaktor GD'!W$1,FALSE),
"")</f>
        <v>18.989565217391302</v>
      </c>
      <c r="X267" s="18">
        <f>IFERROR(
                  Andel_oberoende_av_klimat*VLOOKUP($A267,Leveranser_per_nät,'Leveranser per nät'!X$1,FALSE)
               +Andel_beroende_av_klimat*VLOOKUP($A267,Leveranser_per_nät,'Leveranser per nät'!X$1,FALSE)/VLOOKUP("Jönköping",Korrigeringsfaktor_GD,'Korrigeringsfaktor GD'!X$1,FALSE),
"")</f>
        <v>18.818461538461541</v>
      </c>
      <c r="Y267" s="18">
        <f>IFERROR(
                  Andel_oberoende_av_klimat*VLOOKUP($A267,Leveranser_per_nät,'Leveranser per nät'!Y$1,FALSE)
               +Andel_beroende_av_klimat*VLOOKUP($A267,Leveranser_per_nät,'Leveranser per nät'!Y$1,FALSE)/VLOOKUP($B267,Korrigeringsfaktor_GD,'Korrigeringsfaktor GD'!Y$1,FALSE),
"")</f>
        <v>19.032307692307693</v>
      </c>
      <c r="Z267" s="18">
        <f>IFERROR(
                  Andel_oberoende_av_klimat*VLOOKUP($A267,Leveranser_per_nät,'Leveranser per nät'!Z$1,FALSE)
               +Andel_beroende_av_klimat*VLOOKUP($A267,Leveranser_per_nät,'Leveranser per nät'!Z$1,FALSE)/VLOOKUP($B267,Korrigeringsfaktor_GD,'Korrigeringsfaktor GD'!Z$1,FALSE),
"")</f>
        <v>19.774606741573031</v>
      </c>
      <c r="AA267" s="18">
        <f>IFERROR(
                  Andel_oberoende_av_klimat*VLOOKUP($A267,Leveranser_per_nät,'Leveranser per nät'!AA$1,FALSE)
               +Andel_beroende_av_klimat*VLOOKUP($A267,Leveranser_per_nät,'Leveranser per nät'!AA$1,FALSE)/VLOOKUP($B267,Korrigeringsfaktor_GD,'Korrigeringsfaktor GD'!AA$1,FALSE),
"")</f>
        <v>21.029731376350043</v>
      </c>
      <c r="AB267" s="18">
        <f>IFERROR(
                  Andel_oberoende_av_klimat*VLOOKUP($A267,Leveranser_per_nät,'Leveranser per nät'!AB$1,FALSE)
               +Andel_beroende_av_klimat*VLOOKUP($A267,Leveranser_per_nät,'Leveranser per nät'!AB$1,FALSE)/VLOOKUP($B267,Korrigeringsfaktor_GD,'Korrigeringsfaktor GD'!AB$1,FALSE),
"")</f>
        <v>20.056224899598394</v>
      </c>
      <c r="AC267" s="18">
        <f>IFERROR(
                  Andel_oberoende_av_klimat*VLOOKUP($A267,Leveranser_per_nät,'Leveranser per nät'!AC$1,FALSE)
               +Andel_beroende_av_klimat*VLOOKUP($A267,Leveranser_per_nät,'Leveranser per nät'!AC$1,FALSE)/VLOOKUP($B267,Korrigeringsfaktor_GD,'Korrigeringsfaktor GD'!AC$1,FALSE),
"")</f>
        <v>19.595069967707211</v>
      </c>
      <c r="AD267" t="s">
        <v>805</v>
      </c>
    </row>
    <row r="268" spans="1:30" x14ac:dyDescent="0.25">
      <c r="A268" t="s">
        <v>319</v>
      </c>
      <c r="B268" t="s">
        <v>319</v>
      </c>
      <c r="C268" s="18">
        <f>IFERROR(
                  Andel_oberoende_av_klimat*VLOOKUP($A268,Leveranser_per_nät,'Leveranser per nät'!C$1,FALSE)
               +Andel_beroende_av_klimat*VLOOKUP($A268,Leveranser_per_nät,'Leveranser per nät'!C$1,FALSE)/VLOOKUP($B268,Korrigeringsfaktor_GD,'Korrigeringsfaktor GD'!C$1,FALSE),
"")</f>
        <v>0</v>
      </c>
      <c r="D268" s="18">
        <f>IFERROR(
                  Andel_oberoende_av_klimat*VLOOKUP($A268,Leveranser_per_nät,'Leveranser per nät'!D$1,FALSE)
               +Andel_beroende_av_klimat*VLOOKUP($A268,Leveranser_per_nät,'Leveranser per nät'!D$1,FALSE)/VLOOKUP($B268,Korrigeringsfaktor_GD,'Korrigeringsfaktor GD'!D$1,FALSE),
"")</f>
        <v>0</v>
      </c>
      <c r="E268" s="18">
        <f>IFERROR(
                  Andel_oberoende_av_klimat*VLOOKUP($A268,Leveranser_per_nät,'Leveranser per nät'!E$1,FALSE)
               +Andel_beroende_av_klimat*VLOOKUP($A268,Leveranser_per_nät,'Leveranser per nät'!E$1,FALSE)/VLOOKUP($B268,Korrigeringsfaktor_GD,'Korrigeringsfaktor GD'!E$1,FALSE),
"")</f>
        <v>0</v>
      </c>
      <c r="F268" s="18">
        <f>IFERROR(
                  Andel_oberoende_av_klimat*VLOOKUP($A268,Leveranser_per_nät,'Leveranser per nät'!F$1,FALSE)
               +Andel_beroende_av_klimat*VLOOKUP($A268,Leveranser_per_nät,'Leveranser per nät'!F$1,FALSE)/VLOOKUP($B268,Korrigeringsfaktor_GD,'Korrigeringsfaktor GD'!F$1,FALSE),
"")</f>
        <v>0</v>
      </c>
      <c r="G268" s="18">
        <f>IFERROR(
                  Andel_oberoende_av_klimat*VLOOKUP($A268,Leveranser_per_nät,'Leveranser per nät'!G$1,FALSE)
               +Andel_beroende_av_klimat*VLOOKUP($A268,Leveranser_per_nät,'Leveranser per nät'!G$1,FALSE)/VLOOKUP($B268,Korrigeringsfaktor_GD,'Korrigeringsfaktor GD'!G$1,FALSE),
"")</f>
        <v>0</v>
      </c>
      <c r="H268" s="18">
        <f>IFERROR(
                  Andel_oberoende_av_klimat*VLOOKUP($A268,Leveranser_per_nät,'Leveranser per nät'!H$1,FALSE)
               +Andel_beroende_av_klimat*VLOOKUP($A268,Leveranser_per_nät,'Leveranser per nät'!H$1,FALSE)/VLOOKUP($B268,Korrigeringsfaktor_GD,'Korrigeringsfaktor GD'!H$1,FALSE),
"")</f>
        <v>0</v>
      </c>
      <c r="I268" s="18">
        <f>IFERROR(
                  Andel_oberoende_av_klimat*VLOOKUP($A268,Leveranser_per_nät,'Leveranser per nät'!I$1,FALSE)
               +Andel_beroende_av_klimat*VLOOKUP($A268,Leveranser_per_nät,'Leveranser per nät'!I$1,FALSE)/VLOOKUP($B268,Korrigeringsfaktor_GD,'Korrigeringsfaktor GD'!I$1,FALSE),
"")</f>
        <v>0</v>
      </c>
      <c r="J268" s="18">
        <f>IFERROR(
                  Andel_oberoende_av_klimat*VLOOKUP($A268,Leveranser_per_nät,'Leveranser per nät'!J$1,FALSE)
               +Andel_beroende_av_klimat*VLOOKUP($A268,Leveranser_per_nät,'Leveranser per nät'!J$1,FALSE)/VLOOKUP($B268,Korrigeringsfaktor_GD,'Korrigeringsfaktor GD'!J$1,FALSE),
"")</f>
        <v>0</v>
      </c>
      <c r="K268" s="18">
        <f>IFERROR(
                  Andel_oberoende_av_klimat*VLOOKUP($A268,Leveranser_per_nät,'Leveranser per nät'!K$1,FALSE)
               +Andel_beroende_av_klimat*VLOOKUP($A268,Leveranser_per_nät,'Leveranser per nät'!K$1,FALSE)/VLOOKUP($B268,Korrigeringsfaktor_GD,'Korrigeringsfaktor GD'!K$1,FALSE),
"")</f>
        <v>0</v>
      </c>
      <c r="L268" s="18">
        <f>IFERROR(
                  Andel_oberoende_av_klimat*VLOOKUP($A268,Leveranser_per_nät,'Leveranser per nät'!L$1,FALSE)
               +Andel_beroende_av_klimat*VLOOKUP($A268,Leveranser_per_nät,'Leveranser per nät'!L$1,FALSE)/VLOOKUP($B268,Korrigeringsfaktor_GD,'Korrigeringsfaktor GD'!L$1,FALSE),
"")</f>
        <v>0</v>
      </c>
      <c r="M268" s="18">
        <f>IFERROR(
                  Andel_oberoende_av_klimat*VLOOKUP($A268,Leveranser_per_nät,'Leveranser per nät'!M$1,FALSE)
               +Andel_beroende_av_klimat*VLOOKUP($A268,Leveranser_per_nät,'Leveranser per nät'!M$1,FALSE)/VLOOKUP($B268,Korrigeringsfaktor_GD,'Korrigeringsfaktor GD'!M$1,FALSE),
"")</f>
        <v>0.66399230769230766</v>
      </c>
      <c r="N268" s="18">
        <f>IFERROR(
                  Andel_oberoende_av_klimat*VLOOKUP($A268,Leveranser_per_nät,'Leveranser per nät'!N$1,FALSE)
               +Andel_beroende_av_klimat*VLOOKUP($A268,Leveranser_per_nät,'Leveranser per nät'!N$1,FALSE)/VLOOKUP($B268,Korrigeringsfaktor_GD,'Korrigeringsfaktor GD'!N$1,FALSE),
"")</f>
        <v>6.8848444444444441</v>
      </c>
      <c r="O268" s="18">
        <f>IFERROR(
                  Andel_oberoende_av_klimat*VLOOKUP($A268,Leveranser_per_nät,'Leveranser per nät'!O$1,FALSE)
               +Andel_beroende_av_klimat*VLOOKUP($A268,Leveranser_per_nät,'Leveranser per nät'!O$1,FALSE)/VLOOKUP($B268,Korrigeringsfaktor_GD,'Korrigeringsfaktor GD'!O$1,FALSE),
"")</f>
        <v>6.8570078651685389</v>
      </c>
      <c r="P268" s="18">
        <f>IFERROR(
                  Andel_oberoende_av_klimat*VLOOKUP($A268,Leveranser_per_nät,'Leveranser per nät'!P$1,FALSE)
               +Andel_beroende_av_klimat*VLOOKUP($A268,Leveranser_per_nät,'Leveranser per nät'!P$1,FALSE)/VLOOKUP($B268,Korrigeringsfaktor_GD,'Korrigeringsfaktor GD'!P$1,FALSE),
"")</f>
        <v>7.3180714285714288</v>
      </c>
      <c r="Q268" s="18">
        <f>IFERROR(
                  Andel_oberoende_av_klimat*VLOOKUP($A268,Leveranser_per_nät,'Leveranser per nät'!Q$1,FALSE)
               +Andel_beroende_av_klimat*VLOOKUP($A268,Leveranser_per_nät,'Leveranser per nät'!Q$1,FALSE)/VLOOKUP($B268,Korrigeringsfaktor_GD,'Korrigeringsfaktor GD'!Q$1,FALSE),
"")</f>
        <v>6.4841176470588238</v>
      </c>
      <c r="R268" s="18">
        <f>IFERROR(
                  Andel_oberoende_av_klimat*VLOOKUP($A268,Leveranser_per_nät,'Leveranser per nät'!R$1,FALSE)
               +Andel_beroende_av_klimat*VLOOKUP($A268,Leveranser_per_nät,'Leveranser per nät'!R$1,FALSE)/VLOOKUP($B268,Korrigeringsfaktor_GD,'Korrigeringsfaktor GD'!R$1,FALSE),
"")</f>
        <v>7.4950434782608699</v>
      </c>
      <c r="S268" s="18">
        <f>IFERROR(
                  Andel_oberoende_av_klimat*VLOOKUP($A268,Leveranser_per_nät,'Leveranser per nät'!S$1,FALSE)
               +Andel_beroende_av_klimat*VLOOKUP($A268,Leveranser_per_nät,'Leveranser per nät'!S$1,FALSE)/VLOOKUP($B268,Korrigeringsfaktor_GD,'Korrigeringsfaktor GD'!S$1,FALSE),
"")</f>
        <v>6.901831683168318</v>
      </c>
      <c r="T268" s="18">
        <f>IFERROR(
                  Andel_oberoende_av_klimat*VLOOKUP($A268,Leveranser_per_nät,'Leveranser per nät'!T$1,FALSE)
               +Andel_beroende_av_klimat*VLOOKUP($A268,Leveranser_per_nät,'Leveranser per nät'!T$1,FALSE)/VLOOKUP($B268,Korrigeringsfaktor_GD,'Korrigeringsfaktor GD'!T$1,FALSE),
"")</f>
        <v>6.907285714285714</v>
      </c>
      <c r="U268" s="18">
        <f>IFERROR(
                  Andel_oberoende_av_klimat*VLOOKUP($A268,Leveranser_per_nät,'Leveranser per nät'!U$1,FALSE)
               +Andel_beroende_av_klimat*VLOOKUP($A268,Leveranser_per_nät,'Leveranser per nät'!U$1,FALSE)/VLOOKUP($B268,Korrigeringsfaktor_GD,'Korrigeringsfaktor GD'!U$1,FALSE),
"")</f>
        <v>6.8085882352941169</v>
      </c>
      <c r="V268" s="18">
        <f>IFERROR(
                  Andel_oberoende_av_klimat*VLOOKUP($A268,Leveranser_per_nät,'Leveranser per nät'!V$1,FALSE)
               +Andel_beroende_av_klimat*VLOOKUP($A268,Leveranser_per_nät,'Leveranser per nät'!V$1,FALSE)/VLOOKUP($B268,Korrigeringsfaktor_GD,'Korrigeringsfaktor GD'!V$1,FALSE),
"")</f>
        <v>6.8485057471264366</v>
      </c>
      <c r="W268" s="18">
        <f>IFERROR(
                  Andel_oberoende_av_klimat*VLOOKUP($A268,Leveranser_per_nät,'Leveranser per nät'!W$1,FALSE)
               +Andel_beroende_av_klimat*VLOOKUP($A268,Leveranser_per_nät,'Leveranser per nät'!W$1,FALSE)/VLOOKUP($B268,Korrigeringsfaktor_GD,'Korrigeringsfaktor GD'!W$1,FALSE),
"")</f>
        <v>7.2605319148936172</v>
      </c>
      <c r="X268" s="18">
        <f>IFERROR(
                  Andel_oberoende_av_klimat*VLOOKUP($A268,Leveranser_per_nät,'Leveranser per nät'!X$1,FALSE)
               +Andel_beroende_av_klimat*VLOOKUP($A268,Leveranser_per_nät,'Leveranser per nät'!X$1,FALSE)/VLOOKUP($B268,Korrigeringsfaktor_GD,'Korrigeringsfaktor GD'!X$1,FALSE),
"")</f>
        <v>7.3393419354838709</v>
      </c>
      <c r="Y268" s="18">
        <f>IFERROR(
                  Andel_oberoende_av_klimat*VLOOKUP($A268,Leveranser_per_nät,'Leveranser per nät'!Y$1,FALSE)
               +Andel_beroende_av_klimat*VLOOKUP($A268,Leveranser_per_nät,'Leveranser per nät'!Y$1,FALSE)/VLOOKUP($B268,Korrigeringsfaktor_GD,'Korrigeringsfaktor GD'!Y$1,FALSE),
"")</f>
        <v>7.4738260869565218</v>
      </c>
      <c r="Z268" s="18">
        <f>IFERROR(
                  Andel_oberoende_av_klimat*VLOOKUP($A268,Leveranser_per_nät,'Leveranser per nät'!Z$1,FALSE)
               +Andel_beroende_av_klimat*VLOOKUP($A268,Leveranser_per_nät,'Leveranser per nät'!Z$1,FALSE)/VLOOKUP($B268,Korrigeringsfaktor_GD,'Korrigeringsfaktor GD'!Z$1,FALSE),
"")</f>
        <v>7.3578921348314612</v>
      </c>
      <c r="AA268" s="18">
        <f>IFERROR(
                  Andel_oberoende_av_klimat*VLOOKUP($A268,Leveranser_per_nät,'Leveranser per nät'!AA$1,FALSE)
               +Andel_beroende_av_klimat*VLOOKUP($A268,Leveranser_per_nät,'Leveranser per nät'!AA$1,FALSE)/VLOOKUP($B268,Korrigeringsfaktor_GD,'Korrigeringsfaktor GD'!AA$1,FALSE),
"")</f>
        <v>7.3357801980198012</v>
      </c>
      <c r="AB268" s="18">
        <f>IFERROR(
                  Andel_oberoende_av_klimat*VLOOKUP($A268,Leveranser_per_nät,'Leveranser per nät'!AB$1,FALSE)
               +Andel_beroende_av_klimat*VLOOKUP($A268,Leveranser_per_nät,'Leveranser per nät'!AB$1,FALSE)/VLOOKUP($B268,Korrigeringsfaktor_GD,'Korrigeringsfaktor GD'!AB$1,FALSE),
"")</f>
        <v>7.2785405405405408</v>
      </c>
      <c r="AC268" s="18">
        <f>IFERROR(
                  Andel_oberoende_av_klimat*VLOOKUP($A268,Leveranser_per_nät,'Leveranser per nät'!AC$1,FALSE)
               +Andel_beroende_av_klimat*VLOOKUP($A268,Leveranser_per_nät,'Leveranser per nät'!AC$1,FALSE)/VLOOKUP($B268,Korrigeringsfaktor_GD,'Korrigeringsfaktor GD'!AC$1,FALSE),
"")</f>
        <v>7.1602962962962966</v>
      </c>
      <c r="AD268">
        <v>6.88</v>
      </c>
    </row>
    <row r="269" spans="1:30" x14ac:dyDescent="0.25">
      <c r="A269" t="s">
        <v>206</v>
      </c>
      <c r="B269" t="s">
        <v>206</v>
      </c>
      <c r="C269" s="18">
        <f>IFERROR(
                  Andel_oberoende_av_klimat*VLOOKUP($A269,Leveranser_per_nät,'Leveranser per nät'!C$1,FALSE)
               +Andel_beroende_av_klimat*VLOOKUP($A269,Leveranser_per_nät,'Leveranser per nät'!C$1,FALSE)/VLOOKUP("Sunne",Korrigeringsfaktor_GD,'Korrigeringsfaktor GD'!C$1,FALSE),
"")</f>
        <v>37.454545454545453</v>
      </c>
      <c r="D269" s="18">
        <f>IFERROR(
                  Andel_oberoende_av_klimat*VLOOKUP($A269,Leveranser_per_nät,'Leveranser per nät'!D$1,FALSE)
               +Andel_beroende_av_klimat*VLOOKUP($A269,Leveranser_per_nät,'Leveranser per nät'!D$1,FALSE)/VLOOKUP("Sunne",Korrigeringsfaktor_GD,'Korrigeringsfaktor GD'!D$1,FALSE),
"")</f>
        <v>34.960845360824742</v>
      </c>
      <c r="E269" s="18">
        <f>IFERROR(
                  Andel_oberoende_av_klimat*VLOOKUP($A269,Leveranser_per_nät,'Leveranser per nät'!E$1,FALSE)
               +Andel_beroende_av_klimat*VLOOKUP($A269,Leveranser_per_nät,'Leveranser per nät'!E$1,FALSE)/VLOOKUP("Sunne",Korrigeringsfaktor_GD,'Korrigeringsfaktor GD'!E$1,FALSE),
"")</f>
        <v>36.25454545454545</v>
      </c>
      <c r="F269" s="18">
        <f>IFERROR(
                  Andel_oberoende_av_klimat*VLOOKUP($A269,Leveranser_per_nät,'Leveranser per nät'!F$1,FALSE)
               +Andel_beroende_av_klimat*VLOOKUP($A269,Leveranser_per_nät,'Leveranser per nät'!F$1,FALSE)/VLOOKUP("Sunne",Korrigeringsfaktor_GD,'Korrigeringsfaktor GD'!F$1,FALSE),
"")</f>
        <v>34.991666666666667</v>
      </c>
      <c r="G269" s="18">
        <f>IFERROR(
                  Andel_oberoende_av_klimat*VLOOKUP($A269,Leveranser_per_nät,'Leveranser per nät'!G$1,FALSE)
               +Andel_beroende_av_klimat*VLOOKUP($A269,Leveranser_per_nät,'Leveranser per nät'!G$1,FALSE)/VLOOKUP("Sunne",Korrigeringsfaktor_GD,'Korrigeringsfaktor GD'!G$1,FALSE),
"")</f>
        <v>34.532558139534885</v>
      </c>
      <c r="H269" s="18">
        <f>IFERROR(
                  Andel_oberoende_av_klimat*VLOOKUP($A269,Leveranser_per_nät,'Leveranser per nät'!H$1,FALSE)
               +Andel_beroende_av_klimat*VLOOKUP($A269,Leveranser_per_nät,'Leveranser per nät'!H$1,FALSE)/VLOOKUP("Sunne",Korrigeringsfaktor_GD,'Korrigeringsfaktor GD'!H$1,FALSE),
"")</f>
        <v>34.519607843137258</v>
      </c>
      <c r="I269" s="18">
        <f>IFERROR(
                  Andel_oberoende_av_klimat*VLOOKUP($A269,Leveranser_per_nät,'Leveranser per nät'!I$1,FALSE)
               +Andel_beroende_av_klimat*VLOOKUP($A269,Leveranser_per_nät,'Leveranser per nät'!I$1,FALSE)/VLOOKUP("Sunne",Korrigeringsfaktor_GD,'Korrigeringsfaktor GD'!I$1,FALSE),
"")</f>
        <v>33.471428571428575</v>
      </c>
      <c r="J269" s="18">
        <f>IFERROR(
                  Andel_oberoende_av_klimat*VLOOKUP($A269,Leveranser_per_nät,'Leveranser per nät'!J$1,FALSE)
               +Andel_beroende_av_klimat*VLOOKUP($A269,Leveranser_per_nät,'Leveranser per nät'!J$1,FALSE)/VLOOKUP("Sunne",Korrigeringsfaktor_GD,'Korrigeringsfaktor GD'!J$1,FALSE),
"")</f>
        <v>33.978571428571428</v>
      </c>
      <c r="K269" s="18">
        <f>IFERROR(
                  Andel_oberoende_av_klimat*VLOOKUP($A269,Leveranser_per_nät,'Leveranser per nät'!K$1,FALSE)
               +Andel_beroende_av_klimat*VLOOKUP($A269,Leveranser_per_nät,'Leveranser per nät'!K$1,FALSE)/VLOOKUP("Sunne",Korrigeringsfaktor_GD,'Korrigeringsfaktor GD'!K$1,FALSE),
"")</f>
        <v>35.936520618556699</v>
      </c>
      <c r="L269" s="18">
        <f>IFERROR(
                  Andel_oberoende_av_klimat*VLOOKUP($A269,Leveranser_per_nät,'Leveranser per nät'!L$1,FALSE)
               +Andel_beroende_av_klimat*VLOOKUP($A269,Leveranser_per_nät,'Leveranser per nät'!L$1,FALSE)/VLOOKUP("Sunne",Korrigeringsfaktor_GD,'Korrigeringsfaktor GD'!L$1,FALSE),
"")</f>
        <v>38.577863440860213</v>
      </c>
      <c r="M269" s="18">
        <f>IFERROR(
                  Andel_oberoende_av_klimat*VLOOKUP($A269,Leveranser_per_nät,'Leveranser per nät'!M$1,FALSE)
               +Andel_beroende_av_klimat*VLOOKUP($A269,Leveranser_per_nät,'Leveranser per nät'!M$1,FALSE)/VLOOKUP("Sunne",Korrigeringsfaktor_GD,'Korrigeringsfaktor GD'!M$1,FALSE),
"")</f>
        <v>39.238212765957449</v>
      </c>
      <c r="N269" s="18">
        <f>IFERROR(
                  Andel_oberoende_av_klimat*VLOOKUP($A269,Leveranser_per_nät,'Leveranser per nät'!N$1,FALSE)
               +Andel_beroende_av_klimat*VLOOKUP($A269,Leveranser_per_nät,'Leveranser per nät'!N$1,FALSE)/VLOOKUP("Sunne",Korrigeringsfaktor_GD,'Korrigeringsfaktor GD'!N$1,FALSE),
"")</f>
        <v>38.429629787234049</v>
      </c>
      <c r="O269" s="18">
        <f>IFERROR(
                  Andel_oberoende_av_klimat*VLOOKUP($A269,Leveranser_per_nät,'Leveranser per nät'!O$1,FALSE)
               +Andel_beroende_av_klimat*VLOOKUP($A269,Leveranser_per_nät,'Leveranser per nät'!O$1,FALSE)/VLOOKUP("Sunne",Korrigeringsfaktor_GD,'Korrigeringsfaktor GD'!O$1,FALSE),
"")</f>
        <v>38.090276923076928</v>
      </c>
      <c r="P269" s="18">
        <f>IFERROR(
                  Andel_oberoende_av_klimat*VLOOKUP($A269,Leveranser_per_nät,'Leveranser per nät'!P$1,FALSE)
               +Andel_beroende_av_klimat*VLOOKUP($A269,Leveranser_per_nät,'Leveranser per nät'!P$1,FALSE)/VLOOKUP("Sunne",Korrigeringsfaktor_GD,'Korrigeringsfaktor GD'!P$1,FALSE),
"")</f>
        <v>36.76</v>
      </c>
      <c r="Q269" s="18">
        <f>IFERROR(
                  Andel_oberoende_av_klimat*VLOOKUP($A269,Leveranser_per_nät,'Leveranser per nät'!Q$1,FALSE)
               +Andel_beroende_av_klimat*VLOOKUP($A269,Leveranser_per_nät,'Leveranser per nät'!Q$1,FALSE)/VLOOKUP("Sunne",Korrigeringsfaktor_GD,'Korrigeringsfaktor GD'!Q$1,FALSE),
"")</f>
        <v>40.021217647058826</v>
      </c>
      <c r="R269" s="18">
        <f>IFERROR(
                  Andel_oberoende_av_klimat*VLOOKUP($A269,Leveranser_per_nät,'Leveranser per nät'!R$1,FALSE)
               +Andel_beroende_av_klimat*VLOOKUP($A269,Leveranser_per_nät,'Leveranser per nät'!R$1,FALSE)/VLOOKUP("Sunne",Korrigeringsfaktor_GD,'Korrigeringsfaktor GD'!R$1,FALSE),
"")</f>
        <v>37.580967741935488</v>
      </c>
      <c r="S269" s="18">
        <f>IFERROR(
                  Andel_oberoende_av_klimat*VLOOKUP($A269,Leveranser_per_nät,'Leveranser per nät'!S$1,FALSE)
               +Andel_beroende_av_klimat*VLOOKUP($A269,Leveranser_per_nät,'Leveranser per nät'!S$1,FALSE)/VLOOKUP("Sunne",Korrigeringsfaktor_GD,'Korrigeringsfaktor GD'!S$1,FALSE),
"")</f>
        <v>36.5</v>
      </c>
      <c r="T269" s="18">
        <f>IFERROR(
                  Andel_oberoende_av_klimat*VLOOKUP($A269,Leveranser_per_nät,'Leveranser per nät'!T$1,FALSE)
               +Andel_beroende_av_klimat*VLOOKUP($A269,Leveranser_per_nät,'Leveranser per nät'!T$1,FALSE)/VLOOKUP("Sunne",Korrigeringsfaktor_GD,'Korrigeringsfaktor GD'!T$1,FALSE),
"")</f>
        <v>34.940412371134023</v>
      </c>
      <c r="U269" s="18">
        <f>IFERROR(
                  Andel_oberoende_av_klimat*VLOOKUP($A269,Leveranser_per_nät,'Leveranser per nät'!U$1,FALSE)
               +Andel_beroende_av_klimat*VLOOKUP($A269,Leveranser_per_nät,'Leveranser per nät'!U$1,FALSE)/VLOOKUP("Sunne",Korrigeringsfaktor_GD,'Korrigeringsfaktor GD'!U$1,FALSE),
"")</f>
        <v>33.084418604651162</v>
      </c>
      <c r="V269" s="18">
        <f>IFERROR(
                  Andel_oberoende_av_klimat*VLOOKUP($A269,Leveranser_per_nät,'Leveranser per nät'!V$1,FALSE)
               +Andel_beroende_av_klimat*VLOOKUP($A269,Leveranser_per_nät,'Leveranser per nät'!V$1,FALSE)/VLOOKUP("Sunne",Korrigeringsfaktor_GD,'Korrigeringsfaktor GD'!V$1,FALSE),
"")</f>
        <v>32.59550561797753</v>
      </c>
      <c r="W269" s="18">
        <f>IFERROR(
                  Andel_oberoende_av_klimat*VLOOKUP($A269,Leveranser_per_nät,'Leveranser per nät'!W$1,FALSE)
               +Andel_beroende_av_klimat*VLOOKUP($A269,Leveranser_per_nät,'Leveranser per nät'!W$1,FALSE)/VLOOKUP("Sunne",Korrigeringsfaktor_GD,'Korrigeringsfaktor GD'!W$1,FALSE),
"")</f>
        <v>33.53425531914894</v>
      </c>
      <c r="X269" s="18">
        <f>IFERROR(
                  Andel_oberoende_av_klimat*VLOOKUP($A269,Leveranser_per_nät,'Leveranser per nät'!X$1,FALSE)
               +Andel_beroende_av_klimat*VLOOKUP($A269,Leveranser_per_nät,'Leveranser per nät'!X$1,FALSE)/VLOOKUP("Sunne",Korrigeringsfaktor_GD,'Korrigeringsfaktor GD'!X$1,FALSE),
"")</f>
        <v>34.215789473684211</v>
      </c>
      <c r="Y269" s="18">
        <f>IFERROR(
                  Andel_oberoende_av_klimat*VLOOKUP($A269,Leveranser_per_nät,'Leveranser per nät'!Y$1,FALSE)
               +Andel_beroende_av_klimat*VLOOKUP($A269,Leveranser_per_nät,'Leveranser per nät'!Y$1,FALSE)/VLOOKUP($B269,Korrigeringsfaktor_GD,'Korrigeringsfaktor GD'!Y$1,FALSE),
"")</f>
        <v>35.148947368421048</v>
      </c>
      <c r="Z269" s="18">
        <f>IFERROR(
                  Andel_oberoende_av_klimat*VLOOKUP($A269,Leveranser_per_nät,'Leveranser per nät'!Z$1,FALSE)
               +Andel_beroende_av_klimat*VLOOKUP($A269,Leveranser_per_nät,'Leveranser per nät'!Z$1,FALSE)/VLOOKUP($B269,Korrigeringsfaktor_GD,'Korrigeringsfaktor GD'!Z$1,FALSE),
"")</f>
        <v>34.422903225806451</v>
      </c>
      <c r="AA269" s="18">
        <f>IFERROR(
                  Andel_oberoende_av_klimat*VLOOKUP($A269,Leveranser_per_nät,'Leveranser per nät'!AA$1,FALSE)
               +Andel_beroende_av_klimat*VLOOKUP($A269,Leveranser_per_nät,'Leveranser per nät'!AA$1,FALSE)/VLOOKUP($B269,Korrigeringsfaktor_GD,'Korrigeringsfaktor GD'!AA$1,FALSE),
"")</f>
        <v>34.761410788381745</v>
      </c>
      <c r="AB269" s="18">
        <f>IFERROR(
                  Andel_oberoende_av_klimat*VLOOKUP($A269,Leveranser_per_nät,'Leveranser per nät'!AB$1,FALSE)
               +Andel_beroende_av_klimat*VLOOKUP($A269,Leveranser_per_nät,'Leveranser per nät'!AB$1,FALSE)/VLOOKUP($B269,Korrigeringsfaktor_GD,'Korrigeringsfaktor GD'!AB$1,FALSE),
"")</f>
        <v>35.306456692913393</v>
      </c>
      <c r="AC269" s="18">
        <f>IFERROR(
                  Andel_oberoende_av_klimat*VLOOKUP($A269,Leveranser_per_nät,'Leveranser per nät'!AC$1,FALSE)
               +Andel_beroende_av_klimat*VLOOKUP($A269,Leveranser_per_nät,'Leveranser per nät'!AC$1,FALSE)/VLOOKUP($B269,Korrigeringsfaktor_GD,'Korrigeringsfaktor GD'!AC$1,FALSE),
"")</f>
        <v>34.321620754716982</v>
      </c>
      <c r="AD269" t="e">
        <v>#N/A</v>
      </c>
    </row>
    <row r="270" spans="1:30" x14ac:dyDescent="0.25">
      <c r="A270" t="s">
        <v>210</v>
      </c>
      <c r="B270" t="s">
        <v>210</v>
      </c>
      <c r="C270" s="18">
        <f>IFERROR(
                  Andel_oberoende_av_klimat*VLOOKUP($A270,Leveranser_per_nät,'Leveranser per nät'!C$1,FALSE)
               +Andel_beroende_av_klimat*VLOOKUP($A270,Leveranser_per_nät,'Leveranser per nät'!C$1,FALSE)/VLOOKUP("Göteborg",Korrigeringsfaktor_GD,'Korrigeringsfaktor GD'!C$1,FALSE),
"")</f>
        <v>217.41878421052633</v>
      </c>
      <c r="D270" s="18">
        <f>IFERROR(
                  Andel_oberoende_av_klimat*VLOOKUP($A270,Leveranser_per_nät,'Leveranser per nät'!D$1,FALSE)
               +Andel_beroende_av_klimat*VLOOKUP($A270,Leveranser_per_nät,'Leveranser per nät'!D$1,FALSE)/VLOOKUP("Göteborg",Korrigeringsfaktor_GD,'Korrigeringsfaktor GD'!D$1,FALSE),
"")</f>
        <v>216.42952475247523</v>
      </c>
      <c r="E270" s="18">
        <f>IFERROR(
                  Andel_oberoende_av_klimat*VLOOKUP($A270,Leveranser_per_nät,'Leveranser per nät'!E$1,FALSE)
               +Andel_beroende_av_klimat*VLOOKUP($A270,Leveranser_per_nät,'Leveranser per nät'!E$1,FALSE)/VLOOKUP("Göteborg",Korrigeringsfaktor_GD,'Korrigeringsfaktor GD'!E$1,FALSE),
"")</f>
        <v>226.41980198019803</v>
      </c>
      <c r="F270" s="18">
        <f>IFERROR(
                  Andel_oberoende_av_klimat*VLOOKUP($A270,Leveranser_per_nät,'Leveranser per nät'!F$1,FALSE)
               +Andel_beroende_av_klimat*VLOOKUP($A270,Leveranser_per_nät,'Leveranser per nät'!F$1,FALSE)/VLOOKUP("Göteborg",Korrigeringsfaktor_GD,'Korrigeringsfaktor GD'!F$1,FALSE),
"")</f>
        <v>234.32631578947368</v>
      </c>
      <c r="G270" s="18">
        <f>IFERROR(
                  Andel_oberoende_av_klimat*VLOOKUP($A270,Leveranser_per_nät,'Leveranser per nät'!G$1,FALSE)
               +Andel_beroende_av_klimat*VLOOKUP($A270,Leveranser_per_nät,'Leveranser per nät'!G$1,FALSE)/VLOOKUP("Göteborg",Korrigeringsfaktor_GD,'Korrigeringsfaktor GD'!G$1,FALSE),
"")</f>
        <v>245.06976744186051</v>
      </c>
      <c r="H270" s="18">
        <f>IFERROR(
                  Andel_oberoende_av_klimat*VLOOKUP($A270,Leveranser_per_nät,'Leveranser per nät'!H$1,FALSE)
               +Andel_beroende_av_klimat*VLOOKUP($A270,Leveranser_per_nät,'Leveranser per nät'!H$1,FALSE)/VLOOKUP("Göteborg",Korrigeringsfaktor_GD,'Korrigeringsfaktor GD'!H$1,FALSE),
"")</f>
        <v>265.30784313725491</v>
      </c>
      <c r="I270" s="18">
        <f>IFERROR(
                  Andel_oberoende_av_klimat*VLOOKUP($A270,Leveranser_per_nät,'Leveranser per nät'!I$1,FALSE)
               +Andel_beroende_av_klimat*VLOOKUP($A270,Leveranser_per_nät,'Leveranser per nät'!I$1,FALSE)/VLOOKUP("Göteborg",Korrigeringsfaktor_GD,'Korrigeringsfaktor GD'!I$1,FALSE),
"")</f>
        <v>280.98421052631579</v>
      </c>
      <c r="J270" s="18">
        <f>IFERROR(
                  Andel_oberoende_av_klimat*VLOOKUP($A270,Leveranser_per_nät,'Leveranser per nät'!J$1,FALSE)
               +Andel_beroende_av_klimat*VLOOKUP($A270,Leveranser_per_nät,'Leveranser per nät'!J$1,FALSE)/VLOOKUP("Göteborg",Korrigeringsfaktor_GD,'Korrigeringsfaktor GD'!J$1,FALSE),
"")</f>
        <v>273.9232323232323</v>
      </c>
      <c r="K270" s="18">
        <f>IFERROR(
                  Andel_oberoende_av_klimat*VLOOKUP($A270,Leveranser_per_nät,'Leveranser per nät'!K$1,FALSE)
               +Andel_beroende_av_klimat*VLOOKUP($A270,Leveranser_per_nät,'Leveranser per nät'!K$1,FALSE)/VLOOKUP("Göteborg",Korrigeringsfaktor_GD,'Korrigeringsfaktor GD'!K$1,FALSE),
"")</f>
        <v>278.66526285714292</v>
      </c>
      <c r="L270" s="18">
        <f>IFERROR(
                  Andel_oberoende_av_klimat*VLOOKUP($A270,Leveranser_per_nät,'Leveranser per nät'!L$1,FALSE)
               +Andel_beroende_av_klimat*VLOOKUP($A270,Leveranser_per_nät,'Leveranser per nät'!L$1,FALSE)/VLOOKUP("Göteborg",Korrigeringsfaktor_GD,'Korrigeringsfaktor GD'!L$1,FALSE),
"")</f>
        <v>278.97273684210529</v>
      </c>
      <c r="M270" s="18">
        <f>IFERROR(
                  Andel_oberoende_av_klimat*VLOOKUP($A270,Leveranser_per_nät,'Leveranser per nät'!M$1,FALSE)
               +Andel_beroende_av_klimat*VLOOKUP($A270,Leveranser_per_nät,'Leveranser per nät'!M$1,FALSE)/VLOOKUP("Göteborg",Korrigeringsfaktor_GD,'Korrigeringsfaktor GD'!M$1,FALSE),
"")</f>
        <v>285.82356153846155</v>
      </c>
      <c r="N270" s="18">
        <f>IFERROR(
                  Andel_oberoende_av_klimat*VLOOKUP($A270,Leveranser_per_nät,'Leveranser per nät'!N$1,FALSE)
               +Andel_beroende_av_klimat*VLOOKUP($A270,Leveranser_per_nät,'Leveranser per nät'!N$1,FALSE)/VLOOKUP("Göteborg",Korrigeringsfaktor_GD,'Korrigeringsfaktor GD'!N$1,FALSE),
"")</f>
        <v>293.3561545454545</v>
      </c>
      <c r="O270" s="18">
        <f>IFERROR(
                  Andel_oberoende_av_klimat*VLOOKUP($A270,Leveranser_per_nät,'Leveranser per nät'!O$1,FALSE)
               +Andel_beroende_av_klimat*VLOOKUP($A270,Leveranser_per_nät,'Leveranser per nät'!O$1,FALSE)/VLOOKUP("Göteborg",Korrigeringsfaktor_GD,'Korrigeringsfaktor GD'!O$1,FALSE),
"")</f>
        <v>294.92758620689654</v>
      </c>
      <c r="P270" s="18">
        <f>IFERROR(
                  Andel_oberoende_av_klimat*VLOOKUP($A270,Leveranser_per_nät,'Leveranser per nät'!P$1,FALSE)
               +Andel_beroende_av_klimat*VLOOKUP($A270,Leveranser_per_nät,'Leveranser per nät'!P$1,FALSE)/VLOOKUP("Göteborg",Korrigeringsfaktor_GD,'Korrigeringsfaktor GD'!P$1,FALSE),
"")</f>
        <v>304.63333333333333</v>
      </c>
      <c r="Q270" s="18">
        <f>IFERROR(
                  Andel_oberoende_av_klimat*VLOOKUP($A270,Leveranser_per_nät,'Leveranser per nät'!Q$1,FALSE)
               +Andel_beroende_av_klimat*VLOOKUP($A270,Leveranser_per_nät,'Leveranser per nät'!Q$1,FALSE)/VLOOKUP("Göteborg",Korrigeringsfaktor_GD,'Korrigeringsfaktor GD'!Q$1,FALSE),
"")</f>
        <v>309.0542372881356</v>
      </c>
      <c r="R270" s="18">
        <f>IFERROR(
                  Andel_oberoende_av_klimat*VLOOKUP($A270,Leveranser_per_nät,'Leveranser per nät'!R$1,FALSE)
               +Andel_beroende_av_klimat*VLOOKUP($A270,Leveranser_per_nät,'Leveranser per nät'!R$1,FALSE)/VLOOKUP("Göteborg",Korrigeringsfaktor_GD,'Korrigeringsfaktor GD'!R$1,FALSE),
"")</f>
        <v>356.05384615384617</v>
      </c>
      <c r="S270" s="18">
        <f>IFERROR(
                  Andel_oberoende_av_klimat*VLOOKUP($A270,Leveranser_per_nät,'Leveranser per nät'!S$1,FALSE)
               +Andel_beroende_av_klimat*VLOOKUP($A270,Leveranser_per_nät,'Leveranser per nät'!S$1,FALSE)/VLOOKUP("Göteborg",Korrigeringsfaktor_GD,'Korrigeringsfaktor GD'!S$1,FALSE),
"")</f>
        <v>293.90980392156865</v>
      </c>
      <c r="T270" s="18">
        <f>IFERROR(
                  Andel_oberoende_av_klimat*VLOOKUP($A270,Leveranser_per_nät,'Leveranser per nät'!T$1,FALSE)
               +Andel_beroende_av_klimat*VLOOKUP($A270,Leveranser_per_nät,'Leveranser per nät'!T$1,FALSE)/VLOOKUP("Göteborg",Korrigeringsfaktor_GD,'Korrigeringsfaktor GD'!T$1,FALSE),
"")</f>
        <v>312.98750505050509</v>
      </c>
      <c r="U270" s="18">
        <f>IFERROR(
                  Andel_oberoende_av_klimat*VLOOKUP($A270,Leveranser_per_nät,'Leveranser per nät'!U$1,FALSE)
               +Andel_beroende_av_klimat*VLOOKUP($A270,Leveranser_per_nät,'Leveranser per nät'!U$1,FALSE)/VLOOKUP("Göteborg",Korrigeringsfaktor_GD,'Korrigeringsfaktor GD'!U$1,FALSE),
"")</f>
        <v>301.68539999999996</v>
      </c>
      <c r="V270" s="18">
        <f>IFERROR(
                  Andel_oberoende_av_klimat*VLOOKUP($A270,Leveranser_per_nät,'Leveranser per nät'!V$1,FALSE)
               +Andel_beroende_av_klimat*VLOOKUP($A270,Leveranser_per_nät,'Leveranser per nät'!V$1,FALSE)/VLOOKUP("Göteborg",Korrigeringsfaktor_GD,'Korrigeringsfaktor GD'!V$1,FALSE),
"")</f>
        <v>308.5892573033708</v>
      </c>
      <c r="W270" s="18">
        <f>IFERROR(
                  Andel_oberoende_av_klimat*VLOOKUP($A270,Leveranser_per_nät,'Leveranser per nät'!W$1,FALSE)
               +Andel_beroende_av_klimat*VLOOKUP($A270,Leveranser_per_nät,'Leveranser per nät'!W$1,FALSE)/VLOOKUP("Göteborg",Korrigeringsfaktor_GD,'Korrigeringsfaktor GD'!W$1,FALSE),
"")</f>
        <v>317.7118172043011</v>
      </c>
      <c r="X270" s="18">
        <f>IFERROR(
                  Andel_oberoende_av_klimat*VLOOKUP($A270,Leveranser_per_nät,'Leveranser per nät'!X$1,FALSE)
               +Andel_beroende_av_klimat*VLOOKUP($A270,Leveranser_per_nät,'Leveranser per nät'!X$1,FALSE)/VLOOKUP("Göteborg",Korrigeringsfaktor_GD,'Korrigeringsfaktor GD'!X$1,FALSE),
"")</f>
        <v>370.03724615384613</v>
      </c>
      <c r="Y270" s="18">
        <f>IFERROR(
                  Andel_oberoende_av_klimat*VLOOKUP($A270,Leveranser_per_nät,'Leveranser per nät'!Y$1,FALSE)
               +Andel_beroende_av_klimat*VLOOKUP($A270,Leveranser_per_nät,'Leveranser per nät'!Y$1,FALSE)/VLOOKUP($B270,Korrigeringsfaktor_GD,'Korrigeringsfaktor GD'!Y$1,FALSE),
"")</f>
        <v>309.43633181818183</v>
      </c>
      <c r="Z270" s="18">
        <f>IFERROR(
                  Andel_oberoende_av_klimat*VLOOKUP($A270,Leveranser_per_nät,'Leveranser per nät'!Z$1,FALSE)
               +Andel_beroende_av_klimat*VLOOKUP($A270,Leveranser_per_nät,'Leveranser per nät'!Z$1,FALSE)/VLOOKUP($B270,Korrigeringsfaktor_GD,'Korrigeringsfaktor GD'!Z$1,FALSE),
"")</f>
        <v>294.35727777777777</v>
      </c>
      <c r="AA270" s="18">
        <f>IFERROR(
                  Andel_oberoende_av_klimat*VLOOKUP($A270,Leveranser_per_nät,'Leveranser per nät'!AA$1,FALSE)
               +Andel_beroende_av_klimat*VLOOKUP($A270,Leveranser_per_nät,'Leveranser per nät'!AA$1,FALSE)/VLOOKUP($B270,Korrigeringsfaktor_GD,'Korrigeringsfaktor GD'!AA$1,FALSE),
"")</f>
        <v>316.1313744574291</v>
      </c>
      <c r="AB270" s="18">
        <f>IFERROR(
                  Andel_oberoende_av_klimat*VLOOKUP($A270,Leveranser_per_nät,'Leveranser per nät'!AB$1,FALSE)
               +Andel_beroende_av_klimat*VLOOKUP($A270,Leveranser_per_nät,'Leveranser per nät'!AB$1,FALSE)/VLOOKUP($B270,Korrigeringsfaktor_GD,'Korrigeringsfaktor GD'!AB$1,FALSE),
"")</f>
        <v>291.65666086956526</v>
      </c>
      <c r="AC270" s="18">
        <f>IFERROR(
                  Andel_oberoende_av_klimat*VLOOKUP($A270,Leveranser_per_nät,'Leveranser per nät'!AC$1,FALSE)
               +Andel_beroende_av_klimat*VLOOKUP($A270,Leveranser_per_nät,'Leveranser per nät'!AC$1,FALSE)/VLOOKUP($B270,Korrigeringsfaktor_GD,'Korrigeringsfaktor GD'!AC$1,FALSE),
"")</f>
        <v>276.73333832976448</v>
      </c>
      <c r="AD270">
        <v>348.68700000000001</v>
      </c>
    </row>
    <row r="271" spans="1:30" x14ac:dyDescent="0.25">
      <c r="A271" t="s">
        <v>84</v>
      </c>
      <c r="B271" t="s">
        <v>510</v>
      </c>
      <c r="C271" s="18">
        <f>IFERROR(
                  Andel_oberoende_av_klimat*VLOOKUP($A271,Leveranser_per_nät,'Leveranser per nät'!C$1,FALSE)
               +Andel_beroende_av_klimat*VLOOKUP($A271,Leveranser_per_nät,'Leveranser per nät'!C$1,FALSE)/VLOOKUP($B271,Korrigeringsfaktor_GD,'Korrigeringsfaktor GD'!C$1,FALSE),
"")</f>
        <v>0</v>
      </c>
      <c r="D271" s="18">
        <f>IFERROR(
                  Andel_oberoende_av_klimat*VLOOKUP($A271,Leveranser_per_nät,'Leveranser per nät'!D$1,FALSE)
               +Andel_beroende_av_klimat*VLOOKUP($A271,Leveranser_per_nät,'Leveranser per nät'!D$1,FALSE)/VLOOKUP($B271,Korrigeringsfaktor_GD,'Korrigeringsfaktor GD'!D$1,FALSE),
"")</f>
        <v>0</v>
      </c>
      <c r="E271" s="18">
        <f>IFERROR(
                  Andel_oberoende_av_klimat*VLOOKUP($A271,Leveranser_per_nät,'Leveranser per nät'!E$1,FALSE)
               +Andel_beroende_av_klimat*VLOOKUP($A271,Leveranser_per_nät,'Leveranser per nät'!E$1,FALSE)/VLOOKUP($B271,Korrigeringsfaktor_GD,'Korrigeringsfaktor GD'!E$1,FALSE),
"")</f>
        <v>0</v>
      </c>
      <c r="F271" s="18">
        <f>IFERROR(
                  Andel_oberoende_av_klimat*VLOOKUP($A271,Leveranser_per_nät,'Leveranser per nät'!F$1,FALSE)
               +Andel_beroende_av_klimat*VLOOKUP($A271,Leveranser_per_nät,'Leveranser per nät'!F$1,FALSE)/VLOOKUP($B271,Korrigeringsfaktor_GD,'Korrigeringsfaktor GD'!F$1,FALSE),
"")</f>
        <v>0</v>
      </c>
      <c r="G271" s="18">
        <f>IFERROR(
                  Andel_oberoende_av_klimat*VLOOKUP($A271,Leveranser_per_nät,'Leveranser per nät'!G$1,FALSE)
               +Andel_beroende_av_klimat*VLOOKUP($A271,Leveranser_per_nät,'Leveranser per nät'!G$1,FALSE)/VLOOKUP($B271,Korrigeringsfaktor_GD,'Korrigeringsfaktor GD'!G$1,FALSE),
"")</f>
        <v>0</v>
      </c>
      <c r="H271" s="18">
        <f>IFERROR(
                  Andel_oberoende_av_klimat*VLOOKUP($A271,Leveranser_per_nät,'Leveranser per nät'!H$1,FALSE)
               +Andel_beroende_av_klimat*VLOOKUP($A271,Leveranser_per_nät,'Leveranser per nät'!H$1,FALSE)/VLOOKUP($B271,Korrigeringsfaktor_GD,'Korrigeringsfaktor GD'!H$1,FALSE),
"")</f>
        <v>0</v>
      </c>
      <c r="I271" s="18">
        <f>IFERROR(
                  Andel_oberoende_av_klimat*VLOOKUP($A271,Leveranser_per_nät,'Leveranser per nät'!I$1,FALSE)
               +Andel_beroende_av_klimat*VLOOKUP($A271,Leveranser_per_nät,'Leveranser per nät'!I$1,FALSE)/VLOOKUP($B271,Korrigeringsfaktor_GD,'Korrigeringsfaktor GD'!I$1,FALSE),
"")</f>
        <v>0</v>
      </c>
      <c r="J271" s="18">
        <f>IFERROR(
                  Andel_oberoende_av_klimat*VLOOKUP($A271,Leveranser_per_nät,'Leveranser per nät'!J$1,FALSE)
               +Andel_beroende_av_klimat*VLOOKUP($A271,Leveranser_per_nät,'Leveranser per nät'!J$1,FALSE)/VLOOKUP($B271,Korrigeringsfaktor_GD,'Korrigeringsfaktor GD'!J$1,FALSE),
"")</f>
        <v>0</v>
      </c>
      <c r="K271" s="18">
        <f>IFERROR(
                  Andel_oberoende_av_klimat*VLOOKUP($A271,Leveranser_per_nät,'Leveranser per nät'!K$1,FALSE)
               +Andel_beroende_av_klimat*VLOOKUP($A271,Leveranser_per_nät,'Leveranser per nät'!K$1,FALSE)/VLOOKUP($B271,Korrigeringsfaktor_GD,'Korrigeringsfaktor GD'!K$1,FALSE),
"")</f>
        <v>0</v>
      </c>
      <c r="L271" s="18">
        <f>IFERROR(
                  Andel_oberoende_av_klimat*VLOOKUP($A271,Leveranser_per_nät,'Leveranser per nät'!L$1,FALSE)
               +Andel_beroende_av_klimat*VLOOKUP($A271,Leveranser_per_nät,'Leveranser per nät'!L$1,FALSE)/VLOOKUP($B271,Korrigeringsfaktor_GD,'Korrigeringsfaktor GD'!L$1,FALSE),
"")</f>
        <v>43.459845916744378</v>
      </c>
      <c r="M271" s="18">
        <f>IFERROR(
                  Andel_oberoende_av_klimat*VLOOKUP($A271,Leveranser_per_nät,'Leveranser per nät'!M$1,FALSE)
               +Andel_beroende_av_klimat*VLOOKUP($A271,Leveranser_per_nät,'Leveranser per nät'!M$1,FALSE)/VLOOKUP($B271,Korrigeringsfaktor_GD,'Korrigeringsfaktor GD'!M$1,FALSE),
"")</f>
        <v>42.389653846153848</v>
      </c>
      <c r="N271" s="18">
        <f>IFERROR(
                  Andel_oberoende_av_klimat*VLOOKUP($A271,Leveranser_per_nät,'Leveranser per nät'!N$1,FALSE)
               +Andel_beroende_av_klimat*VLOOKUP($A271,Leveranser_per_nät,'Leveranser per nät'!N$1,FALSE)/VLOOKUP($B271,Korrigeringsfaktor_GD,'Korrigeringsfaktor GD'!N$1,FALSE),
"")</f>
        <v>43.429295454545453</v>
      </c>
      <c r="O271" s="18">
        <f>IFERROR(
                  Andel_oberoende_av_klimat*VLOOKUP($A271,Leveranser_per_nät,'Leveranser per nät'!O$1,FALSE)
               +Andel_beroende_av_klimat*VLOOKUP($A271,Leveranser_per_nät,'Leveranser per nät'!O$1,FALSE)/VLOOKUP($B271,Korrigeringsfaktor_GD,'Korrigeringsfaktor GD'!O$1,FALSE),
"")</f>
        <v>43.698989655172412</v>
      </c>
      <c r="P271" s="18">
        <f>IFERROR(
                  Andel_oberoende_av_klimat*VLOOKUP($A271,Leveranser_per_nät,'Leveranser per nät'!P$1,FALSE)
               +Andel_beroende_av_klimat*VLOOKUP($A271,Leveranser_per_nät,'Leveranser per nät'!P$1,FALSE)/VLOOKUP($B271,Korrigeringsfaktor_GD,'Korrigeringsfaktor GD'!P$1,FALSE),
"")</f>
        <v>46.041829166666673</v>
      </c>
      <c r="Q271" s="18">
        <f>IFERROR(
                  Andel_oberoende_av_klimat*VLOOKUP($A271,Leveranser_per_nät,'Leveranser per nät'!Q$1,FALSE)
               +Andel_beroende_av_klimat*VLOOKUP($A271,Leveranser_per_nät,'Leveranser per nät'!Q$1,FALSE)/VLOOKUP($B271,Korrigeringsfaktor_GD,'Korrigeringsfaktor GD'!Q$1,FALSE),
"")</f>
        <v>46.447457627118645</v>
      </c>
      <c r="R271" s="18">
        <f>IFERROR(
                  Andel_oberoende_av_klimat*VLOOKUP($A271,Leveranser_per_nät,'Leveranser per nät'!R$1,FALSE)
               +Andel_beroende_av_klimat*VLOOKUP($A271,Leveranser_per_nät,'Leveranser per nät'!R$1,FALSE)/VLOOKUP($B271,Korrigeringsfaktor_GD,'Korrigeringsfaktor GD'!R$1,FALSE),
"")</f>
        <v>48.231320767730764</v>
      </c>
      <c r="S271" s="18">
        <f>IFERROR(
                  Andel_oberoende_av_klimat*VLOOKUP($A271,Leveranser_per_nät,'Leveranser per nät'!S$1,FALSE)
               +Andel_beroende_av_klimat*VLOOKUP($A271,Leveranser_per_nät,'Leveranser per nät'!S$1,FALSE)/VLOOKUP($B271,Korrigeringsfaktor_GD,'Korrigeringsfaktor GD'!S$1,FALSE),
"")</f>
        <v>46.354901960784311</v>
      </c>
      <c r="T271" s="18">
        <f>IFERROR(
                  Andel_oberoende_av_klimat*VLOOKUP($A271,Leveranser_per_nät,'Leveranser per nät'!T$1,FALSE)
               +Andel_beroende_av_klimat*VLOOKUP($A271,Leveranser_per_nät,'Leveranser per nät'!T$1,FALSE)/VLOOKUP($B271,Korrigeringsfaktor_GD,'Korrigeringsfaktor GD'!T$1,FALSE),
"")</f>
        <v>45.549808080808077</v>
      </c>
      <c r="U271" s="18">
        <f>IFERROR(
                  Andel_oberoende_av_klimat*VLOOKUP($A271,Leveranser_per_nät,'Leveranser per nät'!U$1,FALSE)
               +Andel_beroende_av_klimat*VLOOKUP($A271,Leveranser_per_nät,'Leveranser per nät'!U$1,FALSE)/VLOOKUP($B271,Korrigeringsfaktor_GD,'Korrigeringsfaktor GD'!U$1,FALSE),
"")</f>
        <v>48.977000000000004</v>
      </c>
      <c r="V271" s="18">
        <f>IFERROR(
                  Andel_oberoende_av_klimat*VLOOKUP($A271,Leveranser_per_nät,'Leveranser per nät'!V$1,FALSE)
               +Andel_beroende_av_klimat*VLOOKUP($A271,Leveranser_per_nät,'Leveranser per nät'!V$1,FALSE)/VLOOKUP($B271,Korrigeringsfaktor_GD,'Korrigeringsfaktor GD'!V$1,FALSE),
"")</f>
        <v>44.764494382022477</v>
      </c>
      <c r="W271" s="18">
        <f>IFERROR(
                  Andel_oberoende_av_klimat*VLOOKUP($A271,Leveranser_per_nät,'Leveranser per nät'!W$1,FALSE)
               +Andel_beroende_av_klimat*VLOOKUP($A271,Leveranser_per_nät,'Leveranser per nät'!W$1,FALSE)/VLOOKUP($B271,Korrigeringsfaktor_GD,'Korrigeringsfaktor GD'!W$1,FALSE),
"")</f>
        <v>49.160537634408605</v>
      </c>
      <c r="X271" s="18">
        <f>IFERROR(
                  Andel_oberoende_av_klimat*VLOOKUP($A271,Leveranser_per_nät,'Leveranser per nät'!X$1,FALSE)
               +Andel_beroende_av_klimat*VLOOKUP($A271,Leveranser_per_nät,'Leveranser per nät'!X$1,FALSE)/VLOOKUP($B271,Korrigeringsfaktor_GD,'Korrigeringsfaktor GD'!X$1,FALSE),
"")</f>
        <v>49.398461538461547</v>
      </c>
      <c r="Y271" s="18">
        <f>IFERROR(
                  Andel_oberoende_av_klimat*VLOOKUP($A271,Leveranser_per_nät,'Leveranser per nät'!Y$1,FALSE)
               +Andel_beroende_av_klimat*VLOOKUP($A271,Leveranser_per_nät,'Leveranser per nät'!Y$1,FALSE)/VLOOKUP($B271,Korrigeringsfaktor_GD,'Korrigeringsfaktor GD'!Y$1,FALSE),
"")</f>
        <v>49.362222222222215</v>
      </c>
      <c r="Z271" s="18">
        <f>IFERROR(
                  Andel_oberoende_av_klimat*VLOOKUP($A271,Leveranser_per_nät,'Leveranser per nät'!Z$1,FALSE)
               +Andel_beroende_av_klimat*VLOOKUP($A271,Leveranser_per_nät,'Leveranser per nät'!Z$1,FALSE)/VLOOKUP($B271,Korrigeringsfaktor_GD,'Korrigeringsfaktor GD'!Z$1,FALSE),
"")</f>
        <v>47.761818181818185</v>
      </c>
      <c r="AA271" s="18">
        <f>IFERROR(
                  Andel_oberoende_av_klimat*VLOOKUP($A271,Leveranser_per_nät,'Leveranser per nät'!AA$1,FALSE)
               +Andel_beroende_av_klimat*VLOOKUP($A271,Leveranser_per_nät,'Leveranser per nät'!AA$1,FALSE)/VLOOKUP($B271,Korrigeringsfaktor_GD,'Korrigeringsfaktor GD'!AA$1,FALSE),
"")</f>
        <v>48.038568440366973</v>
      </c>
      <c r="AB271" s="18">
        <f>IFERROR(
                  Andel_oberoende_av_klimat*VLOOKUP($A271,Leveranser_per_nät,'Leveranser per nät'!AB$1,FALSE)
               +Andel_beroende_av_klimat*VLOOKUP($A271,Leveranser_per_nät,'Leveranser per nät'!AB$1,FALSE)/VLOOKUP($B271,Korrigeringsfaktor_GD,'Korrigeringsfaktor GD'!AB$1,FALSE),
"")</f>
        <v>48.062435381750461</v>
      </c>
      <c r="AC271" s="18">
        <f>IFERROR(
                  Andel_oberoende_av_klimat*VLOOKUP($A271,Leveranser_per_nät,'Leveranser per nät'!AC$1,FALSE)
               +Andel_beroende_av_klimat*VLOOKUP($A271,Leveranser_per_nät,'Leveranser per nät'!AC$1,FALSE)/VLOOKUP($B271,Korrigeringsfaktor_GD,'Korrigeringsfaktor GD'!AC$1,FALSE),
"")</f>
        <v>47.81954049586777</v>
      </c>
      <c r="AD271">
        <v>3143.35</v>
      </c>
    </row>
    <row r="272" spans="1:30" x14ac:dyDescent="0.25">
      <c r="A272" t="s">
        <v>80</v>
      </c>
      <c r="B272" t="s">
        <v>80</v>
      </c>
      <c r="C272" s="18">
        <f>IFERROR(
                  Andel_oberoende_av_klimat*VLOOKUP($A272,Leveranser_per_nät,'Leveranser per nät'!C$1,FALSE)
               +Andel_beroende_av_klimat*VLOOKUP($A272,Leveranser_per_nät,'Leveranser per nät'!C$1,FALSE)/VLOOKUP($B272,Korrigeringsfaktor_GD,'Korrigeringsfaktor GD'!C$1,FALSE),
"")</f>
        <v>0</v>
      </c>
      <c r="D272" s="18">
        <f>IFERROR(
                  Andel_oberoende_av_klimat*VLOOKUP($A272,Leveranser_per_nät,'Leveranser per nät'!D$1,FALSE)
               +Andel_beroende_av_klimat*VLOOKUP($A272,Leveranser_per_nät,'Leveranser per nät'!D$1,FALSE)/VLOOKUP($B272,Korrigeringsfaktor_GD,'Korrigeringsfaktor GD'!D$1,FALSE),
"")</f>
        <v>0</v>
      </c>
      <c r="E272" s="18">
        <f>IFERROR(
                  Andel_oberoende_av_klimat*VLOOKUP($A272,Leveranser_per_nät,'Leveranser per nät'!E$1,FALSE)
               +Andel_beroende_av_klimat*VLOOKUP($A272,Leveranser_per_nät,'Leveranser per nät'!E$1,FALSE)/VLOOKUP($B272,Korrigeringsfaktor_GD,'Korrigeringsfaktor GD'!E$1,FALSE),
"")</f>
        <v>0</v>
      </c>
      <c r="F272" s="18">
        <f>IFERROR(
                  Andel_oberoende_av_klimat*VLOOKUP($A272,Leveranser_per_nät,'Leveranser per nät'!F$1,FALSE)
               +Andel_beroende_av_klimat*VLOOKUP($A272,Leveranser_per_nät,'Leveranser per nät'!F$1,FALSE)/VLOOKUP($B272,Korrigeringsfaktor_GD,'Korrigeringsfaktor GD'!F$1,FALSE),
"")</f>
        <v>0</v>
      </c>
      <c r="G272" s="18">
        <f>IFERROR(
                  Andel_oberoende_av_klimat*VLOOKUP($A272,Leveranser_per_nät,'Leveranser per nät'!G$1,FALSE)
               +Andel_beroende_av_klimat*VLOOKUP($A272,Leveranser_per_nät,'Leveranser per nät'!G$1,FALSE)/VLOOKUP($B272,Korrigeringsfaktor_GD,'Korrigeringsfaktor GD'!G$1,FALSE),
"")</f>
        <v>0</v>
      </c>
      <c r="H272" s="18">
        <f>IFERROR(
                  Andel_oberoende_av_klimat*VLOOKUP($A272,Leveranser_per_nät,'Leveranser per nät'!H$1,FALSE)
               +Andel_beroende_av_klimat*VLOOKUP($A272,Leveranser_per_nät,'Leveranser per nät'!H$1,FALSE)/VLOOKUP($B272,Korrigeringsfaktor_GD,'Korrigeringsfaktor GD'!H$1,FALSE),
"")</f>
        <v>0</v>
      </c>
      <c r="I272" s="18">
        <f>IFERROR(
                  Andel_oberoende_av_klimat*VLOOKUP($A272,Leveranser_per_nät,'Leveranser per nät'!I$1,FALSE)
               +Andel_beroende_av_klimat*VLOOKUP($A272,Leveranser_per_nät,'Leveranser per nät'!I$1,FALSE)/VLOOKUP($B272,Korrigeringsfaktor_GD,'Korrigeringsfaktor GD'!I$1,FALSE),
"")</f>
        <v>0</v>
      </c>
      <c r="J272" s="18">
        <f>IFERROR(
                  Andel_oberoende_av_klimat*VLOOKUP($A272,Leveranser_per_nät,'Leveranser per nät'!J$1,FALSE)
               +Andel_beroende_av_klimat*VLOOKUP($A272,Leveranser_per_nät,'Leveranser per nät'!J$1,FALSE)/VLOOKUP($B272,Korrigeringsfaktor_GD,'Korrigeringsfaktor GD'!J$1,FALSE),
"")</f>
        <v>0</v>
      </c>
      <c r="K272" s="18">
        <f>IFERROR(
                  Andel_oberoende_av_klimat*VLOOKUP($A272,Leveranser_per_nät,'Leveranser per nät'!K$1,FALSE)
               +Andel_beroende_av_klimat*VLOOKUP($A272,Leveranser_per_nät,'Leveranser per nät'!K$1,FALSE)/VLOOKUP($B272,Korrigeringsfaktor_GD,'Korrigeringsfaktor GD'!K$1,FALSE),
"")</f>
        <v>0</v>
      </c>
      <c r="L272" s="18">
        <f>IFERROR(
                  Andel_oberoende_av_klimat*VLOOKUP($A272,Leveranser_per_nät,'Leveranser per nät'!L$1,FALSE)
               +Andel_beroende_av_klimat*VLOOKUP($A272,Leveranser_per_nät,'Leveranser per nät'!L$1,FALSE)/VLOOKUP($B272,Korrigeringsfaktor_GD,'Korrigeringsfaktor GD'!L$1,FALSE),
"")</f>
        <v>58.444914640652172</v>
      </c>
      <c r="M272" s="18">
        <f>IFERROR(
                  Andel_oberoende_av_klimat*VLOOKUP($A272,Leveranser_per_nät,'Leveranser per nät'!M$1,FALSE)
               +Andel_beroende_av_klimat*VLOOKUP($A272,Leveranser_per_nät,'Leveranser per nät'!M$1,FALSE)/VLOOKUP($B272,Korrigeringsfaktor_GD,'Korrigeringsfaktor GD'!M$1,FALSE),
"")</f>
        <v>41.990278260869566</v>
      </c>
      <c r="N272" s="18">
        <f>IFERROR(
                  Andel_oberoende_av_klimat*VLOOKUP($A272,Leveranser_per_nät,'Leveranser per nät'!N$1,FALSE)
               +Andel_beroende_av_klimat*VLOOKUP($A272,Leveranser_per_nät,'Leveranser per nät'!N$1,FALSE)/VLOOKUP($B272,Korrigeringsfaktor_GD,'Korrigeringsfaktor GD'!N$1,FALSE),
"")</f>
        <v>40.955555555555556</v>
      </c>
      <c r="O272" s="18">
        <f>IFERROR(
                  Andel_oberoende_av_klimat*VLOOKUP($A272,Leveranser_per_nät,'Leveranser per nät'!O$1,FALSE)
               +Andel_beroende_av_klimat*VLOOKUP($A272,Leveranser_per_nät,'Leveranser per nät'!O$1,FALSE)/VLOOKUP($B272,Korrigeringsfaktor_GD,'Korrigeringsfaktor GD'!O$1,FALSE),
"")</f>
        <v>44.203781818181817</v>
      </c>
      <c r="P272" s="18">
        <f>IFERROR(
                  Andel_oberoende_av_klimat*VLOOKUP($A272,Leveranser_per_nät,'Leveranser per nät'!P$1,FALSE)
               +Andel_beroende_av_klimat*VLOOKUP($A272,Leveranser_per_nät,'Leveranser per nät'!P$1,FALSE)/VLOOKUP($B272,Korrigeringsfaktor_GD,'Korrigeringsfaktor GD'!P$1,FALSE),
"")</f>
        <v>42.168582474226803</v>
      </c>
      <c r="Q272" s="18">
        <f>IFERROR(
                  Andel_oberoende_av_klimat*VLOOKUP($A272,Leveranser_per_nät,'Leveranser per nät'!Q$1,FALSE)
               +Andel_beroende_av_klimat*VLOOKUP($A272,Leveranser_per_nät,'Leveranser per nät'!Q$1,FALSE)/VLOOKUP($B272,Korrigeringsfaktor_GD,'Korrigeringsfaktor GD'!Q$1,FALSE),
"")</f>
        <v>43.873684210526321</v>
      </c>
      <c r="R272" s="18">
        <f>IFERROR(
                  Andel_oberoende_av_klimat*VLOOKUP($A272,Leveranser_per_nät,'Leveranser per nät'!R$1,FALSE)
               +Andel_beroende_av_klimat*VLOOKUP($A272,Leveranser_per_nät,'Leveranser per nät'!R$1,FALSE)/VLOOKUP($B272,Korrigeringsfaktor_GD,'Korrigeringsfaktor GD'!R$1,FALSE),
"")</f>
        <v>57.738461538461536</v>
      </c>
      <c r="S272" s="18">
        <f>IFERROR(
                  Andel_oberoende_av_klimat*VLOOKUP($A272,Leveranser_per_nät,'Leveranser per nät'!S$1,FALSE)
               +Andel_beroende_av_klimat*VLOOKUP($A272,Leveranser_per_nät,'Leveranser per nät'!S$1,FALSE)/VLOOKUP($B272,Korrigeringsfaktor_GD,'Korrigeringsfaktor GD'!S$1,FALSE),
"")</f>
        <v>42</v>
      </c>
      <c r="T272" s="18">
        <f>IFERROR(
                  Andel_oberoende_av_klimat*VLOOKUP($A272,Leveranser_per_nät,'Leveranser per nät'!T$1,FALSE)
               +Andel_beroende_av_klimat*VLOOKUP($A272,Leveranser_per_nät,'Leveranser per nät'!T$1,FALSE)/VLOOKUP($B272,Korrigeringsfaktor_GD,'Korrigeringsfaktor GD'!T$1,FALSE),
"")</f>
        <v>44.583761855670105</v>
      </c>
      <c r="U272" s="18">
        <f>IFERROR(
                  Andel_oberoende_av_klimat*VLOOKUP($A272,Leveranser_per_nät,'Leveranser per nät'!U$1,FALSE)
               +Andel_beroende_av_klimat*VLOOKUP($A272,Leveranser_per_nät,'Leveranser per nät'!U$1,FALSE)/VLOOKUP($B272,Korrigeringsfaktor_GD,'Korrigeringsfaktor GD'!U$1,FALSE),
"")</f>
        <v>51.709163953488371</v>
      </c>
      <c r="V272" s="18">
        <f>IFERROR(
                  Andel_oberoende_av_klimat*VLOOKUP($A272,Leveranser_per_nät,'Leveranser per nät'!V$1,FALSE)
               +Andel_beroende_av_klimat*VLOOKUP($A272,Leveranser_per_nät,'Leveranser per nät'!V$1,FALSE)/VLOOKUP($B272,Korrigeringsfaktor_GD,'Korrigeringsfaktor GD'!V$1,FALSE),
"")</f>
        <v>55.277647058823533</v>
      </c>
      <c r="W272" s="18">
        <f>IFERROR(
                  Andel_oberoende_av_klimat*VLOOKUP($A272,Leveranser_per_nät,'Leveranser per nät'!W$1,FALSE)
               +Andel_beroende_av_klimat*VLOOKUP($A272,Leveranser_per_nät,'Leveranser per nät'!W$1,FALSE)/VLOOKUP($B272,Korrigeringsfaktor_GD,'Korrigeringsfaktor GD'!W$1,FALSE),
"")</f>
        <v>55.706923076923076</v>
      </c>
      <c r="X272" s="18">
        <f>IFERROR(
                  Andel_oberoende_av_klimat*VLOOKUP($A272,Leveranser_per_nät,'Leveranser per nät'!X$1,FALSE)
               +Andel_beroende_av_klimat*VLOOKUP($A272,Leveranser_per_nät,'Leveranser per nät'!X$1,FALSE)/VLOOKUP($B272,Korrigeringsfaktor_GD,'Korrigeringsfaktor GD'!X$1,FALSE),
"")</f>
        <v>55.955617977528092</v>
      </c>
      <c r="Y272" s="18">
        <f>IFERROR(
                  Andel_oberoende_av_klimat*VLOOKUP($A272,Leveranser_per_nät,'Leveranser per nät'!Y$1,FALSE)
               +Andel_beroende_av_klimat*VLOOKUP($A272,Leveranser_per_nät,'Leveranser per nät'!Y$1,FALSE)/VLOOKUP($B272,Korrigeringsfaktor_GD,'Korrigeringsfaktor GD'!Y$1,FALSE),
"")</f>
        <v>56.087272727272719</v>
      </c>
      <c r="Z272" s="18">
        <f>IFERROR(
                  Andel_oberoende_av_klimat*VLOOKUP($A272,Leveranser_per_nät,'Leveranser per nät'!Z$1,FALSE)
               +Andel_beroende_av_klimat*VLOOKUP($A272,Leveranser_per_nät,'Leveranser per nät'!Z$1,FALSE)/VLOOKUP($B272,Korrigeringsfaktor_GD,'Korrigeringsfaktor GD'!Z$1,FALSE),
"")</f>
        <v>50.980425531914889</v>
      </c>
      <c r="AA272" s="18">
        <f>IFERROR(
                  Andel_oberoende_av_klimat*VLOOKUP($A272,Leveranser_per_nät,'Leveranser per nät'!AA$1,FALSE)
               +Andel_beroende_av_klimat*VLOOKUP($A272,Leveranser_per_nät,'Leveranser per nät'!AA$1,FALSE)/VLOOKUP($B272,Korrigeringsfaktor_GD,'Korrigeringsfaktor GD'!AA$1,FALSE),
"")</f>
        <v>51.479552414605422</v>
      </c>
      <c r="AB272" s="18">
        <f>IFERROR(
                  Andel_oberoende_av_klimat*VLOOKUP($A272,Leveranser_per_nät,'Leveranser per nät'!AB$1,FALSE)
               +Andel_beroende_av_klimat*VLOOKUP($A272,Leveranser_per_nät,'Leveranser per nät'!AB$1,FALSE)/VLOOKUP($B272,Korrigeringsfaktor_GD,'Korrigeringsfaktor GD'!AB$1,FALSE),
"")</f>
        <v>51.603956478733927</v>
      </c>
      <c r="AC272" s="18">
        <f>IFERROR(
                  Andel_oberoende_av_klimat*VLOOKUP($A272,Leveranser_per_nät,'Leveranser per nät'!AC$1,FALSE)
               +Andel_beroende_av_klimat*VLOOKUP($A272,Leveranser_per_nät,'Leveranser per nät'!AC$1,FALSE)/VLOOKUP($B272,Korrigeringsfaktor_GD,'Korrigeringsfaktor GD'!AC$1,FALSE),
"")</f>
        <v>48.942486602357988</v>
      </c>
      <c r="AD272">
        <v>46.6</v>
      </c>
    </row>
    <row r="273" spans="1:30" x14ac:dyDescent="0.25">
      <c r="A273" t="s">
        <v>408</v>
      </c>
      <c r="B273" t="s">
        <v>420</v>
      </c>
      <c r="C273" s="18">
        <f>IFERROR(
                  Andel_oberoende_av_klimat*VLOOKUP($A273,Leveranser_per_nät,'Leveranser per nät'!C$1,FALSE)
               +Andel_beroende_av_klimat*VLOOKUP($A273,Leveranser_per_nät,'Leveranser per nät'!C$1,FALSE)/VLOOKUP($B273,Korrigeringsfaktor_GD,'Korrigeringsfaktor GD'!C$1,FALSE),
"")</f>
        <v>0</v>
      </c>
      <c r="D273" s="18">
        <f>IFERROR(
                  Andel_oberoende_av_klimat*VLOOKUP($A273,Leveranser_per_nät,'Leveranser per nät'!D$1,FALSE)
               +Andel_beroende_av_klimat*VLOOKUP($A273,Leveranser_per_nät,'Leveranser per nät'!D$1,FALSE)/VLOOKUP($B273,Korrigeringsfaktor_GD,'Korrigeringsfaktor GD'!D$1,FALSE),
"")</f>
        <v>0</v>
      </c>
      <c r="E273" s="18">
        <f>IFERROR(
                  Andel_oberoende_av_klimat*VLOOKUP($A273,Leveranser_per_nät,'Leveranser per nät'!E$1,FALSE)
               +Andel_beroende_av_klimat*VLOOKUP($A273,Leveranser_per_nät,'Leveranser per nät'!E$1,FALSE)/VLOOKUP($B273,Korrigeringsfaktor_GD,'Korrigeringsfaktor GD'!E$1,FALSE),
"")</f>
        <v>0</v>
      </c>
      <c r="F273" s="18">
        <f>IFERROR(
                  Andel_oberoende_av_klimat*VLOOKUP($A273,Leveranser_per_nät,'Leveranser per nät'!F$1,FALSE)
               +Andel_beroende_av_klimat*VLOOKUP($A273,Leveranser_per_nät,'Leveranser per nät'!F$1,FALSE)/VLOOKUP($B273,Korrigeringsfaktor_GD,'Korrigeringsfaktor GD'!F$1,FALSE),
"")</f>
        <v>23.159139784946234</v>
      </c>
      <c r="G273" s="18">
        <f>IFERROR(
                  Andel_oberoende_av_klimat*VLOOKUP($A273,Leveranser_per_nät,'Leveranser per nät'!G$1,FALSE)
               +Andel_beroende_av_klimat*VLOOKUP($A273,Leveranser_per_nät,'Leveranser per nät'!G$1,FALSE)/VLOOKUP($B273,Korrigeringsfaktor_GD,'Korrigeringsfaktor GD'!G$1,FALSE),
"")</f>
        <v>21.90909090909091</v>
      </c>
      <c r="H273" s="18">
        <f>IFERROR(
                  Andel_oberoende_av_klimat*VLOOKUP($A273,Leveranser_per_nät,'Leveranser per nät'!H$1,FALSE)
               +Andel_beroende_av_klimat*VLOOKUP($A273,Leveranser_per_nät,'Leveranser per nät'!H$1,FALSE)/VLOOKUP($B273,Korrigeringsfaktor_GD,'Korrigeringsfaktor GD'!H$1,FALSE),
"")</f>
        <v>0</v>
      </c>
      <c r="I273" s="18">
        <f>IFERROR(
                  Andel_oberoende_av_klimat*VLOOKUP($A273,Leveranser_per_nät,'Leveranser per nät'!I$1,FALSE)
               +Andel_beroende_av_klimat*VLOOKUP($A273,Leveranser_per_nät,'Leveranser per nät'!I$1,FALSE)/VLOOKUP($B273,Korrigeringsfaktor_GD,'Korrigeringsfaktor GD'!I$1,FALSE),
"")</f>
        <v>0</v>
      </c>
      <c r="J273" s="18">
        <f>IFERROR(
                  Andel_oberoende_av_klimat*VLOOKUP($A273,Leveranser_per_nät,'Leveranser per nät'!J$1,FALSE)
               +Andel_beroende_av_klimat*VLOOKUP($A273,Leveranser_per_nät,'Leveranser per nät'!J$1,FALSE)/VLOOKUP($B273,Korrigeringsfaktor_GD,'Korrigeringsfaktor GD'!J$1,FALSE),
"")</f>
        <v>0</v>
      </c>
      <c r="K273" s="18">
        <f>IFERROR(
                  Andel_oberoende_av_klimat*VLOOKUP($A273,Leveranser_per_nät,'Leveranser per nät'!K$1,FALSE)
               +Andel_beroende_av_klimat*VLOOKUP($A273,Leveranser_per_nät,'Leveranser per nät'!K$1,FALSE)/VLOOKUP($B273,Korrigeringsfaktor_GD,'Korrigeringsfaktor GD'!K$1,FALSE),
"")</f>
        <v>0</v>
      </c>
      <c r="L273" s="18">
        <f>IFERROR(
                  Andel_oberoende_av_klimat*VLOOKUP($A273,Leveranser_per_nät,'Leveranser per nät'!L$1,FALSE)
               +Andel_beroende_av_klimat*VLOOKUP($A273,Leveranser_per_nät,'Leveranser per nät'!L$1,FALSE)/VLOOKUP($B273,Korrigeringsfaktor_GD,'Korrigeringsfaktor GD'!L$1,FALSE),
"")</f>
        <v>17.806419660877115</v>
      </c>
      <c r="M273" s="18">
        <f>IFERROR(
                  Andel_oberoende_av_klimat*VLOOKUP($A273,Leveranser_per_nät,'Leveranser per nät'!M$1,FALSE)
               +Andel_beroende_av_klimat*VLOOKUP($A273,Leveranser_per_nät,'Leveranser per nät'!M$1,FALSE)/VLOOKUP($B273,Korrigeringsfaktor_GD,'Korrigeringsfaktor GD'!M$1,FALSE),
"")</f>
        <v>0</v>
      </c>
      <c r="N273" s="18">
        <f>IFERROR(
                  Andel_oberoende_av_klimat*VLOOKUP($A273,Leveranser_per_nät,'Leveranser per nät'!N$1,FALSE)
               +Andel_beroende_av_klimat*VLOOKUP($A273,Leveranser_per_nät,'Leveranser per nät'!N$1,FALSE)/VLOOKUP($B273,Korrigeringsfaktor_GD,'Korrigeringsfaktor GD'!N$1,FALSE),
"")</f>
        <v>0</v>
      </c>
      <c r="O273" s="18">
        <f>IFERROR(
                  Andel_oberoende_av_klimat*VLOOKUP($A273,Leveranser_per_nät,'Leveranser per nät'!O$1,FALSE)
               +Andel_beroende_av_klimat*VLOOKUP($A273,Leveranser_per_nät,'Leveranser per nät'!O$1,FALSE)/VLOOKUP($B273,Korrigeringsfaktor_GD,'Korrigeringsfaktor GD'!O$1,FALSE),
"")</f>
        <v>0</v>
      </c>
      <c r="P273" s="18">
        <f>IFERROR(
                  Andel_oberoende_av_klimat*VLOOKUP($A273,Leveranser_per_nät,'Leveranser per nät'!P$1,FALSE)
               +Andel_beroende_av_klimat*VLOOKUP($A273,Leveranser_per_nät,'Leveranser per nät'!P$1,FALSE)/VLOOKUP($B273,Korrigeringsfaktor_GD,'Korrigeringsfaktor GD'!P$1,FALSE),
"")</f>
        <v>0</v>
      </c>
      <c r="Q273" s="18">
        <f>IFERROR(
                  Andel_oberoende_av_klimat*VLOOKUP($A273,Leveranser_per_nät,'Leveranser per nät'!Q$1,FALSE)
               +Andel_beroende_av_klimat*VLOOKUP($A273,Leveranser_per_nät,'Leveranser per nät'!Q$1,FALSE)/VLOOKUP($B273,Korrigeringsfaktor_GD,'Korrigeringsfaktor GD'!Q$1,FALSE),
"")</f>
        <v>0</v>
      </c>
      <c r="R273" s="18">
        <f>IFERROR(
                  Andel_oberoende_av_klimat*VLOOKUP($A273,Leveranser_per_nät,'Leveranser per nät'!R$1,FALSE)
               +Andel_beroende_av_klimat*VLOOKUP($A273,Leveranser_per_nät,'Leveranser per nät'!R$1,FALSE)/VLOOKUP($B273,Korrigeringsfaktor_GD,'Korrigeringsfaktor GD'!R$1,FALSE),
"")</f>
        <v>0</v>
      </c>
      <c r="S273" s="18" t="str">
        <f>IFERROR(
                  Andel_oberoende_av_klimat*VLOOKUP($A273,Leveranser_per_nät,'Leveranser per nät'!S$1,FALSE)
               +Andel_beroende_av_klimat*VLOOKUP($A273,Leveranser_per_nät,'Leveranser per nät'!S$1,FALSE)/VLOOKUP($B273,Korrigeringsfaktor_GD,'Korrigeringsfaktor GD'!S$1,FALSE),
"")</f>
        <v/>
      </c>
      <c r="T273" s="18" t="str">
        <f>IFERROR(
                  Andel_oberoende_av_klimat*VLOOKUP($A273,Leveranser_per_nät,'Leveranser per nät'!T$1,FALSE)
               +Andel_beroende_av_klimat*VLOOKUP($A273,Leveranser_per_nät,'Leveranser per nät'!T$1,FALSE)/VLOOKUP($B273,Korrigeringsfaktor_GD,'Korrigeringsfaktor GD'!T$1,FALSE),
"")</f>
        <v/>
      </c>
      <c r="U273" s="18" t="str">
        <f>IFERROR(
                  Andel_oberoende_av_klimat*VLOOKUP($A273,Leveranser_per_nät,'Leveranser per nät'!U$1,FALSE)
               +Andel_beroende_av_klimat*VLOOKUP($A273,Leveranser_per_nät,'Leveranser per nät'!U$1,FALSE)/VLOOKUP($B273,Korrigeringsfaktor_GD,'Korrigeringsfaktor GD'!U$1,FALSE),
"")</f>
        <v/>
      </c>
      <c r="V273" s="18" t="str">
        <f>IFERROR(
                  Andel_oberoende_av_klimat*VLOOKUP($A273,Leveranser_per_nät,'Leveranser per nät'!V$1,FALSE)
               +Andel_beroende_av_klimat*VLOOKUP($A273,Leveranser_per_nät,'Leveranser per nät'!V$1,FALSE)/VLOOKUP($B273,Korrigeringsfaktor_GD,'Korrigeringsfaktor GD'!V$1,FALSE),
"")</f>
        <v/>
      </c>
      <c r="W273" s="18" t="str">
        <f>IFERROR(
                  Andel_oberoende_av_klimat*VLOOKUP($A273,Leveranser_per_nät,'Leveranser per nät'!W$1,FALSE)
               +Andel_beroende_av_klimat*VLOOKUP($A273,Leveranser_per_nät,'Leveranser per nät'!W$1,FALSE)/VLOOKUP($B273,Korrigeringsfaktor_GD,'Korrigeringsfaktor GD'!W$1,FALSE),
"")</f>
        <v/>
      </c>
      <c r="X273" s="18" t="str">
        <f>IFERROR(
                  Andel_oberoende_av_klimat*VLOOKUP($A273,Leveranser_per_nät,'Leveranser per nät'!X$1,FALSE)
               +Andel_beroende_av_klimat*VLOOKUP($A273,Leveranser_per_nät,'Leveranser per nät'!X$1,FALSE)/VLOOKUP($B273,Korrigeringsfaktor_GD,'Korrigeringsfaktor GD'!X$1,FALSE),
"")</f>
        <v/>
      </c>
      <c r="Y273" s="18" t="str">
        <f>IFERROR(
                  Andel_oberoende_av_klimat*VLOOKUP($A273,Leveranser_per_nät,'Leveranser per nät'!Y$1,FALSE)
               +Andel_beroende_av_klimat*VLOOKUP($A273,Leveranser_per_nät,'Leveranser per nät'!Y$1,FALSE)/VLOOKUP($B273,Korrigeringsfaktor_GD,'Korrigeringsfaktor GD'!Y$1,FALSE),
"")</f>
        <v/>
      </c>
      <c r="Z273" s="18">
        <f>IFERROR(
                  Andel_oberoende_av_klimat*VLOOKUP($A273,Leveranser_per_nät,'Leveranser per nät'!Z$1,FALSE)
               +Andel_beroende_av_klimat*VLOOKUP($A273,Leveranser_per_nät,'Leveranser per nät'!Z$1,FALSE)/VLOOKUP($B273,Korrigeringsfaktor_GD,'Korrigeringsfaktor GD'!Z$1,FALSE),
"")</f>
        <v>0</v>
      </c>
      <c r="AA273" s="18" t="str">
        <f>IFERROR(
                  Andel_oberoende_av_klimat*VLOOKUP($A273,Leveranser_per_nät,'Leveranser per nät'!AA$1,FALSE)
               +Andel_beroende_av_klimat*VLOOKUP($A273,Leveranser_per_nät,'Leveranser per nät'!AA$1,FALSE)/VLOOKUP($B273,Korrigeringsfaktor_GD,'Korrigeringsfaktor GD'!AA$1,FALSE),
"")</f>
        <v/>
      </c>
      <c r="AB273" s="18">
        <f>IFERROR(
                  Andel_oberoende_av_klimat*VLOOKUP($A273,Leveranser_per_nät,'Leveranser per nät'!AB$1,FALSE)
               +Andel_beroende_av_klimat*VLOOKUP($A273,Leveranser_per_nät,'Leveranser per nät'!AB$1,FALSE)/VLOOKUP($B273,Korrigeringsfaktor_GD,'Korrigeringsfaktor GD'!AB$1,FALSE),
"")</f>
        <v>0</v>
      </c>
      <c r="AC273" s="18">
        <f>IFERROR(
                  Andel_oberoende_av_klimat*VLOOKUP($A273,Leveranser_per_nät,'Leveranser per nät'!AC$1,FALSE)
               +Andel_beroende_av_klimat*VLOOKUP($A273,Leveranser_per_nät,'Leveranser per nät'!AC$1,FALSE)/VLOOKUP($B273,Korrigeringsfaktor_GD,'Korrigeringsfaktor GD'!AC$1,FALSE),
"")</f>
        <v>0</v>
      </c>
      <c r="AD273">
        <v>7723.8890000000001</v>
      </c>
    </row>
    <row r="274" spans="1:30" x14ac:dyDescent="0.25">
      <c r="A274" t="s">
        <v>70</v>
      </c>
      <c r="B274" t="s">
        <v>70</v>
      </c>
      <c r="C274" s="18">
        <f>IFERROR(
                  Andel_oberoende_av_klimat*VLOOKUP($A274,Leveranser_per_nät,'Leveranser per nät'!C$1,FALSE)
               +Andel_beroende_av_klimat*VLOOKUP($A274,Leveranser_per_nät,'Leveranser per nät'!C$1,FALSE)/VLOOKUP("Lindesberg",Korrigeringsfaktor_GD,'Korrigeringsfaktor GD'!C$1,FALSE),
"")</f>
        <v>29.208256880733945</v>
      </c>
      <c r="D274" s="18">
        <f>IFERROR(
                  Andel_oberoende_av_klimat*VLOOKUP($A274,Leveranser_per_nät,'Leveranser per nät'!D$1,FALSE)
               +Andel_beroende_av_klimat*VLOOKUP($A274,Leveranser_per_nät,'Leveranser per nät'!D$1,FALSE)/VLOOKUP("Lindesberg",Korrigeringsfaktor_GD,'Korrigeringsfaktor GD'!D$1,FALSE),
"")</f>
        <v>27.482371134020617</v>
      </c>
      <c r="E274" s="18">
        <f>IFERROR(
                  Andel_oberoende_av_klimat*VLOOKUP($A274,Leveranser_per_nät,'Leveranser per nät'!E$1,FALSE)
               +Andel_beroende_av_klimat*VLOOKUP($A274,Leveranser_per_nät,'Leveranser per nät'!E$1,FALSE)/VLOOKUP("Lindesberg",Korrigeringsfaktor_GD,'Korrigeringsfaktor GD'!E$1,FALSE),
"")</f>
        <v>25.643137254901962</v>
      </c>
      <c r="F274" s="18">
        <f>IFERROR(
                  Andel_oberoende_av_klimat*VLOOKUP($A274,Leveranser_per_nät,'Leveranser per nät'!F$1,FALSE)
               +Andel_beroende_av_klimat*VLOOKUP($A274,Leveranser_per_nät,'Leveranser per nät'!F$1,FALSE)/VLOOKUP("Lindesberg",Korrigeringsfaktor_GD,'Korrigeringsfaktor GD'!F$1,FALSE),
"")</f>
        <v>25.541237113402062</v>
      </c>
      <c r="G274" s="18">
        <f>IFERROR(
                  Andel_oberoende_av_klimat*VLOOKUP($A274,Leveranser_per_nät,'Leveranser per nät'!G$1,FALSE)
               +Andel_beroende_av_klimat*VLOOKUP($A274,Leveranser_per_nät,'Leveranser per nät'!G$1,FALSE)/VLOOKUP("Lindesberg",Korrigeringsfaktor_GD,'Korrigeringsfaktor GD'!G$1,FALSE),
"")</f>
        <v>25.195454545454545</v>
      </c>
      <c r="H274" s="18">
        <f>IFERROR(
                  Andel_oberoende_av_klimat*VLOOKUP($A274,Leveranser_per_nät,'Leveranser per nät'!H$1,FALSE)
               +Andel_beroende_av_klimat*VLOOKUP($A274,Leveranser_per_nät,'Leveranser per nät'!H$1,FALSE)/VLOOKUP("Lindesberg",Korrigeringsfaktor_GD,'Korrigeringsfaktor GD'!H$1,FALSE),
"")</f>
        <v>51.639603960396038</v>
      </c>
      <c r="I274" s="18">
        <f>IFERROR(
                  Andel_oberoende_av_klimat*VLOOKUP($A274,Leveranser_per_nät,'Leveranser per nät'!I$1,FALSE)
               +Andel_beroende_av_klimat*VLOOKUP($A274,Leveranser_per_nät,'Leveranser per nät'!I$1,FALSE)/VLOOKUP("Lindesberg",Korrigeringsfaktor_GD,'Korrigeringsfaktor GD'!I$1,FALSE),
"")</f>
        <v>27.190909090909091</v>
      </c>
      <c r="J274" s="18">
        <f>IFERROR(
                  Andel_oberoende_av_klimat*VLOOKUP($A274,Leveranser_per_nät,'Leveranser per nät'!J$1,FALSE)
               +Andel_beroende_av_klimat*VLOOKUP($A274,Leveranser_per_nät,'Leveranser per nät'!J$1,FALSE)/VLOOKUP("Lindesberg",Korrigeringsfaktor_GD,'Korrigeringsfaktor GD'!J$1,FALSE),
"")</f>
        <v>28.606185567010311</v>
      </c>
      <c r="K274" s="18">
        <f>IFERROR(
                  Andel_oberoende_av_klimat*VLOOKUP($A274,Leveranser_per_nät,'Leveranser per nät'!K$1,FALSE)
               +Andel_beroende_av_klimat*VLOOKUP($A274,Leveranser_per_nät,'Leveranser per nät'!K$1,FALSE)/VLOOKUP("Lindesberg",Korrigeringsfaktor_GD,'Korrigeringsfaktor GD'!K$1,FALSE),
"")</f>
        <v>29.306015463917529</v>
      </c>
      <c r="L274" s="18">
        <f>IFERROR(
                  Andel_oberoende_av_klimat*VLOOKUP($A274,Leveranser_per_nät,'Leveranser per nät'!L$1,FALSE)
               +Andel_beroende_av_klimat*VLOOKUP($A274,Leveranser_per_nät,'Leveranser per nät'!L$1,FALSE)/VLOOKUP("Lindesberg",Korrigeringsfaktor_GD,'Korrigeringsfaktor GD'!L$1,FALSE),
"")</f>
        <v>30.917451612903228</v>
      </c>
      <c r="M274" s="18">
        <f>IFERROR(
                  Andel_oberoende_av_klimat*VLOOKUP($A274,Leveranser_per_nät,'Leveranser per nät'!M$1,FALSE)
               +Andel_beroende_av_klimat*VLOOKUP($A274,Leveranser_per_nät,'Leveranser per nät'!M$1,FALSE)/VLOOKUP("Lindesberg",Korrigeringsfaktor_GD,'Korrigeringsfaktor GD'!M$1,FALSE),
"")</f>
        <v>31.40223846153846</v>
      </c>
      <c r="N274" s="18">
        <f>IFERROR(
                  Andel_oberoende_av_klimat*VLOOKUP($A274,Leveranser_per_nät,'Leveranser per nät'!N$1,FALSE)
               +Andel_beroende_av_klimat*VLOOKUP($A274,Leveranser_per_nät,'Leveranser per nät'!N$1,FALSE)/VLOOKUP("Lindesberg",Korrigeringsfaktor_GD,'Korrigeringsfaktor GD'!N$1,FALSE),
"")</f>
        <v>31.295652173913041</v>
      </c>
      <c r="O274" s="18">
        <f>IFERROR(
                  Andel_oberoende_av_klimat*VLOOKUP($A274,Leveranser_per_nät,'Leveranser per nät'!O$1,FALSE)
               +Andel_beroende_av_klimat*VLOOKUP($A274,Leveranser_per_nät,'Leveranser per nät'!O$1,FALSE)/VLOOKUP("Lindesberg",Korrigeringsfaktor_GD,'Korrigeringsfaktor GD'!O$1,FALSE),
"")</f>
        <v>32.656666666666666</v>
      </c>
      <c r="P274" s="18">
        <f>IFERROR(
                  Andel_oberoende_av_klimat*VLOOKUP($A274,Leveranser_per_nät,'Leveranser per nät'!P$1,FALSE)
               +Andel_beroende_av_klimat*VLOOKUP($A274,Leveranser_per_nät,'Leveranser per nät'!P$1,FALSE)/VLOOKUP("Lindesberg",Korrigeringsfaktor_GD,'Korrigeringsfaktor GD'!P$1,FALSE),
"")</f>
        <v>32.457142857142856</v>
      </c>
      <c r="Q274" s="18">
        <f>IFERROR(
                  Andel_oberoende_av_klimat*VLOOKUP($A274,Leveranser_per_nät,'Leveranser per nät'!Q$1,FALSE)
               +Andel_beroende_av_klimat*VLOOKUP($A274,Leveranser_per_nät,'Leveranser per nät'!Q$1,FALSE)/VLOOKUP("Lindesberg",Korrigeringsfaktor_GD,'Korrigeringsfaktor GD'!Q$1,FALSE),
"")</f>
        <v>33.894347826086957</v>
      </c>
      <c r="R274" s="18">
        <f>IFERROR(
                  Andel_oberoende_av_klimat*VLOOKUP($A274,Leveranser_per_nät,'Leveranser per nät'!R$1,FALSE)
               +Andel_beroende_av_klimat*VLOOKUP($A274,Leveranser_per_nät,'Leveranser per nät'!R$1,FALSE)/VLOOKUP("Lindesberg",Korrigeringsfaktor_GD,'Korrigeringsfaktor GD'!R$1,FALSE),
"")</f>
        <v>33.335666666666668</v>
      </c>
      <c r="S274" s="18">
        <f>IFERROR(
                  Andel_oberoende_av_klimat*VLOOKUP($A274,Leveranser_per_nät,'Leveranser per nät'!S$1,FALSE)
               +Andel_beroende_av_klimat*VLOOKUP($A274,Leveranser_per_nät,'Leveranser per nät'!S$1,FALSE)/VLOOKUP("Lindesberg",Korrigeringsfaktor_GD,'Korrigeringsfaktor GD'!S$1,FALSE),
"")</f>
        <v>34.240404040404037</v>
      </c>
      <c r="T274" s="18">
        <f>IFERROR(
                  Andel_oberoende_av_klimat*VLOOKUP($A274,Leveranser_per_nät,'Leveranser per nät'!T$1,FALSE)
               +Andel_beroende_av_klimat*VLOOKUP($A274,Leveranser_per_nät,'Leveranser per nät'!T$1,FALSE)/VLOOKUP("Lindesberg",Korrigeringsfaktor_GD,'Korrigeringsfaktor GD'!T$1,FALSE),
"")</f>
        <v>33.697368421052637</v>
      </c>
      <c r="U274" s="18">
        <f>IFERROR(
                  Andel_oberoende_av_klimat*VLOOKUP($A274,Leveranser_per_nät,'Leveranser per nät'!U$1,FALSE)
               +Andel_beroende_av_klimat*VLOOKUP($A274,Leveranser_per_nät,'Leveranser per nät'!U$1,FALSE)/VLOOKUP("Lindesberg",Korrigeringsfaktor_GD,'Korrigeringsfaktor GD'!U$1,FALSE),
"")</f>
        <v>33.520909090909093</v>
      </c>
      <c r="V274" s="18">
        <f>IFERROR(
                  Andel_oberoende_av_klimat*VLOOKUP($A274,Leveranser_per_nät,'Leveranser per nät'!V$1,FALSE)
               +Andel_beroende_av_klimat*VLOOKUP($A274,Leveranser_per_nät,'Leveranser per nät'!V$1,FALSE)/VLOOKUP("Lindesberg",Korrigeringsfaktor_GD,'Korrigeringsfaktor GD'!V$1,FALSE),
"")</f>
        <v>30.932222222222222</v>
      </c>
      <c r="W274" s="18">
        <f>IFERROR(
                  Andel_oberoende_av_klimat*VLOOKUP($A274,Leveranser_per_nät,'Leveranser per nät'!W$1,FALSE)
               +Andel_beroende_av_klimat*VLOOKUP($A274,Leveranser_per_nät,'Leveranser per nät'!W$1,FALSE)/VLOOKUP("Lindesberg",Korrigeringsfaktor_GD,'Korrigeringsfaktor GD'!W$1,FALSE),
"")</f>
        <v>32.245789473684212</v>
      </c>
      <c r="X274" s="18">
        <f>IFERROR(
                  Andel_oberoende_av_klimat*VLOOKUP($A274,Leveranser_per_nät,'Leveranser per nät'!X$1,FALSE)
               +Andel_beroende_av_klimat*VLOOKUP($A274,Leveranser_per_nät,'Leveranser per nät'!X$1,FALSE)/VLOOKUP("Lindesberg",Korrigeringsfaktor_GD,'Korrigeringsfaktor GD'!X$1,FALSE),
"")</f>
        <v>31.466804123711341</v>
      </c>
      <c r="Y274" s="18">
        <f>IFERROR(
                  Andel_oberoende_av_klimat*VLOOKUP($A274,Leveranser_per_nät,'Leveranser per nät'!Y$1,FALSE)
               +Andel_beroende_av_klimat*VLOOKUP($A274,Leveranser_per_nät,'Leveranser per nät'!Y$1,FALSE)/VLOOKUP($B274,Korrigeringsfaktor_GD,'Korrigeringsfaktor GD'!Y$1,FALSE),
"")</f>
        <v>31.831052631578949</v>
      </c>
      <c r="Z274" s="18">
        <f>IFERROR(
                  Andel_oberoende_av_klimat*VLOOKUP($A274,Leveranser_per_nät,'Leveranser per nät'!Z$1,FALSE)
               +Andel_beroende_av_klimat*VLOOKUP($A274,Leveranser_per_nät,'Leveranser per nät'!Z$1,FALSE)/VLOOKUP($B274,Korrigeringsfaktor_GD,'Korrigeringsfaktor GD'!Z$1,FALSE),
"")</f>
        <v>33.247415730337075</v>
      </c>
      <c r="AA274" s="18">
        <f>IFERROR(
                  Andel_oberoende_av_klimat*VLOOKUP($A274,Leveranser_per_nät,'Leveranser per nät'!AA$1,FALSE)
               +Andel_beroende_av_klimat*VLOOKUP($A274,Leveranser_per_nät,'Leveranser per nät'!AA$1,FALSE)/VLOOKUP($B274,Korrigeringsfaktor_GD,'Korrigeringsfaktor GD'!AA$1,FALSE),
"")</f>
        <v>31.889310183693198</v>
      </c>
      <c r="AB274" s="18">
        <f>IFERROR(
                  Andel_oberoende_av_klimat*VLOOKUP($A274,Leveranser_per_nät,'Leveranser per nät'!AB$1,FALSE)
               +Andel_beroende_av_klimat*VLOOKUP($A274,Leveranser_per_nät,'Leveranser per nät'!AB$1,FALSE)/VLOOKUP($B274,Korrigeringsfaktor_GD,'Korrigeringsfaktor GD'!AB$1,FALSE),
"")</f>
        <v>31.62635798816568</v>
      </c>
      <c r="AC274" s="18">
        <f>IFERROR(
                  Andel_oberoende_av_klimat*VLOOKUP($A274,Leveranser_per_nät,'Leveranser per nät'!AC$1,FALSE)
               +Andel_beroende_av_klimat*VLOOKUP($A274,Leveranser_per_nät,'Leveranser per nät'!AC$1,FALSE)/VLOOKUP($B274,Korrigeringsfaktor_GD,'Korrigeringsfaktor GD'!AC$1,FALSE),
"")</f>
        <v>30.544282352941174</v>
      </c>
      <c r="AD274">
        <v>29.503</v>
      </c>
    </row>
    <row r="275" spans="1:30" x14ac:dyDescent="0.25">
      <c r="A275" t="s">
        <v>356</v>
      </c>
      <c r="B275" t="s">
        <v>356</v>
      </c>
      <c r="C275" s="18">
        <f>IFERROR(
                  Andel_oberoende_av_klimat*VLOOKUP($A275,Leveranser_per_nät,'Leveranser per nät'!C$1,FALSE)
               +Andel_beroende_av_klimat*VLOOKUP($A275,Leveranser_per_nät,'Leveranser per nät'!C$1,FALSE)/VLOOKUP("Fagersta",Korrigeringsfaktor_GD,'Korrigeringsfaktor GD'!C$1,FALSE),
"")</f>
        <v>0</v>
      </c>
      <c r="D275" s="18">
        <f>IFERROR(
                  Andel_oberoende_av_klimat*VLOOKUP($A275,Leveranser_per_nät,'Leveranser per nät'!D$1,FALSE)
               +Andel_beroende_av_klimat*VLOOKUP($A275,Leveranser_per_nät,'Leveranser per nät'!D$1,FALSE)/VLOOKUP("Fagersta",Korrigeringsfaktor_GD,'Korrigeringsfaktor GD'!D$1,FALSE),
"")</f>
        <v>0</v>
      </c>
      <c r="E275" s="18">
        <f>IFERROR(
                  Andel_oberoende_av_klimat*VLOOKUP($A275,Leveranser_per_nät,'Leveranser per nät'!E$1,FALSE)
               +Andel_beroende_av_klimat*VLOOKUP($A275,Leveranser_per_nät,'Leveranser per nät'!E$1,FALSE)/VLOOKUP("Fagersta",Korrigeringsfaktor_GD,'Korrigeringsfaktor GD'!E$1,FALSE),
"")</f>
        <v>0</v>
      </c>
      <c r="F275" s="18">
        <f>IFERROR(
                  Andel_oberoende_av_klimat*VLOOKUP($A275,Leveranser_per_nät,'Leveranser per nät'!F$1,FALSE)
               +Andel_beroende_av_klimat*VLOOKUP($A275,Leveranser_per_nät,'Leveranser per nät'!F$1,FALSE)/VLOOKUP("Fagersta",Korrigeringsfaktor_GD,'Korrigeringsfaktor GD'!F$1,FALSE),
"")</f>
        <v>0</v>
      </c>
      <c r="G275" s="18">
        <f>IFERROR(
                  Andel_oberoende_av_klimat*VLOOKUP($A275,Leveranser_per_nät,'Leveranser per nät'!G$1,FALSE)
               +Andel_beroende_av_klimat*VLOOKUP($A275,Leveranser_per_nät,'Leveranser per nät'!G$1,FALSE)/VLOOKUP("Fagersta",Korrigeringsfaktor_GD,'Korrigeringsfaktor GD'!G$1,FALSE),
"")</f>
        <v>14.809341379310347</v>
      </c>
      <c r="H275" s="18">
        <f>IFERROR(
                  Andel_oberoende_av_klimat*VLOOKUP($A275,Leveranser_per_nät,'Leveranser per nät'!H$1,FALSE)
               +Andel_beroende_av_klimat*VLOOKUP($A275,Leveranser_per_nät,'Leveranser per nät'!H$1,FALSE)/VLOOKUP("Fagersta",Korrigeringsfaktor_GD,'Korrigeringsfaktor GD'!H$1,FALSE),
"")</f>
        <v>16.5</v>
      </c>
      <c r="I275" s="18">
        <f>IFERROR(
                  Andel_oberoende_av_klimat*VLOOKUP($A275,Leveranser_per_nät,'Leveranser per nät'!I$1,FALSE)
               +Andel_beroende_av_klimat*VLOOKUP($A275,Leveranser_per_nät,'Leveranser per nät'!I$1,FALSE)/VLOOKUP("Fagersta",Korrigeringsfaktor_GD,'Korrigeringsfaktor GD'!I$1,FALSE),
"")</f>
        <v>18.588814285714289</v>
      </c>
      <c r="J275" s="18">
        <f>IFERROR(
                  Andel_oberoende_av_klimat*VLOOKUP($A275,Leveranser_per_nät,'Leveranser per nät'!J$1,FALSE)
               +Andel_beroende_av_klimat*VLOOKUP($A275,Leveranser_per_nät,'Leveranser per nät'!J$1,FALSE)/VLOOKUP("Fagersta",Korrigeringsfaktor_GD,'Korrigeringsfaktor GD'!J$1,FALSE),
"")</f>
        <v>18.477552577319585</v>
      </c>
      <c r="K275" s="18">
        <f>IFERROR(
                  Andel_oberoende_av_klimat*VLOOKUP($A275,Leveranser_per_nät,'Leveranser per nät'!K$1,FALSE)
               +Andel_beroende_av_klimat*VLOOKUP($A275,Leveranser_per_nät,'Leveranser per nät'!K$1,FALSE)/VLOOKUP("Fagersta",Korrigeringsfaktor_GD,'Korrigeringsfaktor GD'!K$1,FALSE),
"")</f>
        <v>6.1298969072164944</v>
      </c>
      <c r="L275" s="18">
        <f>IFERROR(
                  Andel_oberoende_av_klimat*VLOOKUP($A275,Leveranser_per_nät,'Leveranser per nät'!L$1,FALSE)
               +Andel_beroende_av_klimat*VLOOKUP($A275,Leveranser_per_nät,'Leveranser per nät'!L$1,FALSE)/VLOOKUP("Fagersta",Korrigeringsfaktor_GD,'Korrigeringsfaktor GD'!L$1,FALSE),
"")</f>
        <v>0</v>
      </c>
      <c r="M275" s="18">
        <f>IFERROR(
                  Andel_oberoende_av_klimat*VLOOKUP($A275,Leveranser_per_nät,'Leveranser per nät'!M$1,FALSE)
               +Andel_beroende_av_klimat*VLOOKUP($A275,Leveranser_per_nät,'Leveranser per nät'!M$1,FALSE)/VLOOKUP("Fagersta",Korrigeringsfaktor_GD,'Korrigeringsfaktor GD'!M$1,FALSE),
"")</f>
        <v>24.765999999999998</v>
      </c>
      <c r="N275" s="18">
        <f>IFERROR(
                  Andel_oberoende_av_klimat*VLOOKUP($A275,Leveranser_per_nät,'Leveranser per nät'!N$1,FALSE)
               +Andel_beroende_av_klimat*VLOOKUP($A275,Leveranser_per_nät,'Leveranser per nät'!N$1,FALSE)/VLOOKUP("Fagersta",Korrigeringsfaktor_GD,'Korrigeringsfaktor GD'!N$1,FALSE),
"")</f>
        <v>19.631581720430106</v>
      </c>
      <c r="O275" s="18">
        <f>IFERROR(
                  Andel_oberoende_av_klimat*VLOOKUP($A275,Leveranser_per_nät,'Leveranser per nät'!O$1,FALSE)
               +Andel_beroende_av_klimat*VLOOKUP($A275,Leveranser_per_nät,'Leveranser per nät'!O$1,FALSE)/VLOOKUP("Fagersta",Korrigeringsfaktor_GD,'Korrigeringsfaktor GD'!O$1,FALSE),
"")</f>
        <v>19.819255555555554</v>
      </c>
      <c r="P275" s="18">
        <f>IFERROR(
                  Andel_oberoende_av_klimat*VLOOKUP($A275,Leveranser_per_nät,'Leveranser per nät'!P$1,FALSE)
               +Andel_beroende_av_klimat*VLOOKUP($A275,Leveranser_per_nät,'Leveranser per nät'!P$1,FALSE)/VLOOKUP("Fagersta",Korrigeringsfaktor_GD,'Korrigeringsfaktor GD'!P$1,FALSE),
"")</f>
        <v>19.891660606060604</v>
      </c>
      <c r="Q275" s="18">
        <f>IFERROR(
                  Andel_oberoende_av_klimat*VLOOKUP($A275,Leveranser_per_nät,'Leveranser per nät'!Q$1,FALSE)
               +Andel_beroende_av_klimat*VLOOKUP($A275,Leveranser_per_nät,'Leveranser per nät'!Q$1,FALSE)/VLOOKUP("Fagersta",Korrigeringsfaktor_GD,'Korrigeringsfaktor GD'!Q$1,FALSE),
"")</f>
        <v>20.071269565217392</v>
      </c>
      <c r="R275" s="18">
        <f>IFERROR(
                  Andel_oberoende_av_klimat*VLOOKUP($A275,Leveranser_per_nät,'Leveranser per nät'!R$1,FALSE)
               +Andel_beroende_av_klimat*VLOOKUP($A275,Leveranser_per_nät,'Leveranser per nät'!R$1,FALSE)/VLOOKUP("Fagersta",Korrigeringsfaktor_GD,'Korrigeringsfaktor GD'!R$1,FALSE),
"")</f>
        <v>18.761955555555556</v>
      </c>
      <c r="S275" s="18">
        <f>IFERROR(
                  Andel_oberoende_av_klimat*VLOOKUP($A275,Leveranser_per_nät,'Leveranser per nät'!S$1,FALSE)
               +Andel_beroende_av_klimat*VLOOKUP($A275,Leveranser_per_nät,'Leveranser per nät'!S$1,FALSE)/VLOOKUP("Fagersta",Korrigeringsfaktor_GD,'Korrigeringsfaktor GD'!S$1,FALSE),
"")</f>
        <v>18.87</v>
      </c>
      <c r="T275" s="18">
        <f>IFERROR(
                  Andel_oberoende_av_klimat*VLOOKUP($A275,Leveranser_per_nät,'Leveranser per nät'!T$1,FALSE)
               +Andel_beroende_av_klimat*VLOOKUP($A275,Leveranser_per_nät,'Leveranser per nät'!T$1,FALSE)/VLOOKUP("Fagersta",Korrigeringsfaktor_GD,'Korrigeringsfaktor GD'!T$1,FALSE),
"")</f>
        <v>19.592168421052634</v>
      </c>
      <c r="U275" s="18">
        <f>IFERROR(
                  Andel_oberoende_av_klimat*VLOOKUP($A275,Leveranser_per_nät,'Leveranser per nät'!U$1,FALSE)
               +Andel_beroende_av_klimat*VLOOKUP($A275,Leveranser_per_nät,'Leveranser per nät'!U$1,FALSE)/VLOOKUP("Fagersta",Korrigeringsfaktor_GD,'Korrigeringsfaktor GD'!U$1,FALSE),
"")</f>
        <v>18.676811111111114</v>
      </c>
      <c r="V275" s="18">
        <f>IFERROR(
                  Andel_oberoende_av_klimat*VLOOKUP($A275,Leveranser_per_nät,'Leveranser per nät'!V$1,FALSE)
               +Andel_beroende_av_klimat*VLOOKUP($A275,Leveranser_per_nät,'Leveranser per nät'!V$1,FALSE)/VLOOKUP("Fagersta",Korrigeringsfaktor_GD,'Korrigeringsfaktor GD'!V$1,FALSE),
"")</f>
        <v>18.515356521739129</v>
      </c>
      <c r="W275" s="18">
        <f>IFERROR(
                  Andel_oberoende_av_klimat*VLOOKUP($A275,Leveranser_per_nät,'Leveranser per nät'!W$1,FALSE)
               +Andel_beroende_av_klimat*VLOOKUP($A275,Leveranser_per_nät,'Leveranser per nät'!W$1,FALSE)/VLOOKUP("Fagersta",Korrigeringsfaktor_GD,'Korrigeringsfaktor GD'!W$1,FALSE),
"")</f>
        <v>18.72785670103093</v>
      </c>
      <c r="X275" s="18">
        <f>IFERROR(
                  Andel_oberoende_av_klimat*VLOOKUP($A275,Leveranser_per_nät,'Leveranser per nät'!X$1,FALSE)
               +Andel_beroende_av_klimat*VLOOKUP($A275,Leveranser_per_nät,'Leveranser per nät'!X$1,FALSE)/VLOOKUP("Fagersta",Korrigeringsfaktor_GD,'Korrigeringsfaktor GD'!X$1,FALSE),
"")</f>
        <v>18.581760824742268</v>
      </c>
      <c r="Y275" s="18">
        <f>IFERROR(
                  Andel_oberoende_av_klimat*VLOOKUP($A275,Leveranser_per_nät,'Leveranser per nät'!Y$1,FALSE)
               +Andel_beroende_av_klimat*VLOOKUP($A275,Leveranser_per_nät,'Leveranser per nät'!Y$1,FALSE)/VLOOKUP($B275,Korrigeringsfaktor_GD,'Korrigeringsfaktor GD'!Y$1,FALSE),
"")</f>
        <v>20.502437931034482</v>
      </c>
      <c r="Z275" s="18">
        <f>IFERROR(
                  Andel_oberoende_av_klimat*VLOOKUP($A275,Leveranser_per_nät,'Leveranser per nät'!Z$1,FALSE)
               +Andel_beroende_av_klimat*VLOOKUP($A275,Leveranser_per_nät,'Leveranser per nät'!Z$1,FALSE)/VLOOKUP($B275,Korrigeringsfaktor_GD,'Korrigeringsfaktor GD'!Z$1,FALSE),
"")</f>
        <v>19.929978651685396</v>
      </c>
      <c r="AA275" s="18">
        <f>IFERROR(
                  Andel_oberoende_av_klimat*VLOOKUP($A275,Leveranser_per_nät,'Leveranser per nät'!AA$1,FALSE)
               +Andel_beroende_av_klimat*VLOOKUP($A275,Leveranser_per_nät,'Leveranser per nät'!AA$1,FALSE)/VLOOKUP($B275,Korrigeringsfaktor_GD,'Korrigeringsfaktor GD'!AA$1,FALSE),
"")</f>
        <v>19.735010732484078</v>
      </c>
      <c r="AB275" s="18">
        <f>IFERROR(
                  Andel_oberoende_av_klimat*VLOOKUP($A275,Leveranser_per_nät,'Leveranser per nät'!AB$1,FALSE)
               +Andel_beroende_av_klimat*VLOOKUP($A275,Leveranser_per_nät,'Leveranser per nät'!AB$1,FALSE)/VLOOKUP($B275,Korrigeringsfaktor_GD,'Korrigeringsfaktor GD'!AB$1,FALSE),
"")</f>
        <v>19.214578512396695</v>
      </c>
      <c r="AC275" s="18">
        <f>IFERROR(
                  Andel_oberoende_av_klimat*VLOOKUP($A275,Leveranser_per_nät,'Leveranser per nät'!AC$1,FALSE)
               +Andel_beroende_av_klimat*VLOOKUP($A275,Leveranser_per_nät,'Leveranser per nät'!AC$1,FALSE)/VLOOKUP($B275,Korrigeringsfaktor_GD,'Korrigeringsfaktor GD'!AC$1,FALSE),
"")</f>
        <v>18.898215451577801</v>
      </c>
      <c r="AD275">
        <v>17.8</v>
      </c>
    </row>
    <row r="276" spans="1:30" x14ac:dyDescent="0.25">
      <c r="A276" t="s">
        <v>870</v>
      </c>
      <c r="B276" t="s">
        <v>870</v>
      </c>
      <c r="C276" s="18">
        <f>IFERROR(
                  Andel_oberoende_av_klimat*VLOOKUP($A276,Leveranser_per_nät,'Leveranser per nät'!C$1,FALSE)
               +Andel_beroende_av_klimat*VLOOKUP($A276,Leveranser_per_nät,'Leveranser per nät'!C$1,FALSE)/VLOOKUP("Hudiksvall",Korrigeringsfaktor_GD,'Korrigeringsfaktor GD'!C$1,FALSE),
"")</f>
        <v>0</v>
      </c>
      <c r="D276" s="18">
        <f>IFERROR(
                  Andel_oberoende_av_klimat*VLOOKUP($A276,Leveranser_per_nät,'Leveranser per nät'!D$1,FALSE)
               +Andel_beroende_av_klimat*VLOOKUP($A276,Leveranser_per_nät,'Leveranser per nät'!D$1,FALSE)/VLOOKUP("Hudiksvall",Korrigeringsfaktor_GD,'Korrigeringsfaktor GD'!D$1,FALSE),
"")</f>
        <v>0</v>
      </c>
      <c r="E276" s="18">
        <f>IFERROR(
                  Andel_oberoende_av_klimat*VLOOKUP($A276,Leveranser_per_nät,'Leveranser per nät'!E$1,FALSE)
               +Andel_beroende_av_klimat*VLOOKUP($A276,Leveranser_per_nät,'Leveranser per nät'!E$1,FALSE)/VLOOKUP("Hudiksvall",Korrigeringsfaktor_GD,'Korrigeringsfaktor GD'!E$1,FALSE),
"")</f>
        <v>0</v>
      </c>
      <c r="F276" s="18">
        <f>IFERROR(
                  Andel_oberoende_av_klimat*VLOOKUP($A276,Leveranser_per_nät,'Leveranser per nät'!F$1,FALSE)
               +Andel_beroende_av_klimat*VLOOKUP($A276,Leveranser_per_nät,'Leveranser per nät'!F$1,FALSE)/VLOOKUP("Hudiksvall",Korrigeringsfaktor_GD,'Korrigeringsfaktor GD'!F$1,FALSE),
"")</f>
        <v>0</v>
      </c>
      <c r="G276" s="18">
        <f>IFERROR(
                  Andel_oberoende_av_klimat*VLOOKUP($A276,Leveranser_per_nät,'Leveranser per nät'!G$1,FALSE)
               +Andel_beroende_av_klimat*VLOOKUP($A276,Leveranser_per_nät,'Leveranser per nät'!G$1,FALSE)/VLOOKUP("Hudiksvall",Korrigeringsfaktor_GD,'Korrigeringsfaktor GD'!G$1,FALSE),
"")</f>
        <v>0</v>
      </c>
      <c r="H276" s="18">
        <f>IFERROR(
                  Andel_oberoende_av_klimat*VLOOKUP($A276,Leveranser_per_nät,'Leveranser per nät'!H$1,FALSE)
               +Andel_beroende_av_klimat*VLOOKUP($A276,Leveranser_per_nät,'Leveranser per nät'!H$1,FALSE)/VLOOKUP("Hudiksvall",Korrigeringsfaktor_GD,'Korrigeringsfaktor GD'!H$1,FALSE),
"")</f>
        <v>0</v>
      </c>
      <c r="I276" s="18">
        <f>IFERROR(
                  Andel_oberoende_av_klimat*VLOOKUP($A276,Leveranser_per_nät,'Leveranser per nät'!I$1,FALSE)
               +Andel_beroende_av_klimat*VLOOKUP($A276,Leveranser_per_nät,'Leveranser per nät'!I$1,FALSE)/VLOOKUP("Hudiksvall",Korrigeringsfaktor_GD,'Korrigeringsfaktor GD'!I$1,FALSE),
"")</f>
        <v>0</v>
      </c>
      <c r="J276" s="18">
        <f>IFERROR(
                  Andel_oberoende_av_klimat*VLOOKUP($A276,Leveranser_per_nät,'Leveranser per nät'!J$1,FALSE)
               +Andel_beroende_av_klimat*VLOOKUP($A276,Leveranser_per_nät,'Leveranser per nät'!J$1,FALSE)/VLOOKUP("Hudiksvall",Korrigeringsfaktor_GD,'Korrigeringsfaktor GD'!J$1,FALSE),
"")</f>
        <v>0</v>
      </c>
      <c r="K276" s="18">
        <f>IFERROR(
                  Andel_oberoende_av_klimat*VLOOKUP($A276,Leveranser_per_nät,'Leveranser per nät'!K$1,FALSE)
               +Andel_beroende_av_klimat*VLOOKUP($A276,Leveranser_per_nät,'Leveranser per nät'!K$1,FALSE)/VLOOKUP("Hudiksvall",Korrigeringsfaktor_GD,'Korrigeringsfaktor GD'!K$1,FALSE),
"")</f>
        <v>0</v>
      </c>
      <c r="L276" s="18">
        <f>IFERROR(
                  Andel_oberoende_av_klimat*VLOOKUP($A276,Leveranser_per_nät,'Leveranser per nät'!L$1,FALSE)
               +Andel_beroende_av_klimat*VLOOKUP($A276,Leveranser_per_nät,'Leveranser per nät'!L$1,FALSE)/VLOOKUP("Hudiksvall",Korrigeringsfaktor_GD,'Korrigeringsfaktor GD'!L$1,FALSE),
"")</f>
        <v>0</v>
      </c>
      <c r="M276" s="18">
        <f>IFERROR(
                  Andel_oberoende_av_klimat*VLOOKUP($A276,Leveranser_per_nät,'Leveranser per nät'!M$1,FALSE)
               +Andel_beroende_av_klimat*VLOOKUP($A276,Leveranser_per_nät,'Leveranser per nät'!M$1,FALSE)/VLOOKUP("Hudiksvall",Korrigeringsfaktor_GD,'Korrigeringsfaktor GD'!M$1,FALSE),
"")</f>
        <v>0</v>
      </c>
      <c r="N276" s="18">
        <f>IFERROR(
                  Andel_oberoende_av_klimat*VLOOKUP($A276,Leveranser_per_nät,'Leveranser per nät'!N$1,FALSE)
               +Andel_beroende_av_klimat*VLOOKUP($A276,Leveranser_per_nät,'Leveranser per nät'!N$1,FALSE)/VLOOKUP("Hudiksvall",Korrigeringsfaktor_GD,'Korrigeringsfaktor GD'!N$1,FALSE),
"")</f>
        <v>0</v>
      </c>
      <c r="O276" s="18">
        <f>IFERROR(
                  Andel_oberoende_av_klimat*VLOOKUP($A276,Leveranser_per_nät,'Leveranser per nät'!O$1,FALSE)
               +Andel_beroende_av_klimat*VLOOKUP($A276,Leveranser_per_nät,'Leveranser per nät'!O$1,FALSE)/VLOOKUP("Hudiksvall",Korrigeringsfaktor_GD,'Korrigeringsfaktor GD'!O$1,FALSE),
"")</f>
        <v>0</v>
      </c>
      <c r="P276" s="18">
        <f>IFERROR(
                  Andel_oberoende_av_klimat*VLOOKUP($A276,Leveranser_per_nät,'Leveranser per nät'!P$1,FALSE)
               +Andel_beroende_av_klimat*VLOOKUP($A276,Leveranser_per_nät,'Leveranser per nät'!P$1,FALSE)/VLOOKUP("Hudiksvall",Korrigeringsfaktor_GD,'Korrigeringsfaktor GD'!P$1,FALSE),
"")</f>
        <v>0</v>
      </c>
      <c r="Q276" s="18">
        <f>IFERROR(
                  Andel_oberoende_av_klimat*VLOOKUP($A276,Leveranser_per_nät,'Leveranser per nät'!Q$1,FALSE)
               +Andel_beroende_av_klimat*VLOOKUP($A276,Leveranser_per_nät,'Leveranser per nät'!Q$1,FALSE)/VLOOKUP("Hudiksvall",Korrigeringsfaktor_GD,'Korrigeringsfaktor GD'!Q$1,FALSE),
"")</f>
        <v>0</v>
      </c>
      <c r="R276" s="18">
        <f>IFERROR(
                  Andel_oberoende_av_klimat*VLOOKUP($A276,Leveranser_per_nät,'Leveranser per nät'!R$1,FALSE)
               +Andel_beroende_av_klimat*VLOOKUP($A276,Leveranser_per_nät,'Leveranser per nät'!R$1,FALSE)/VLOOKUP("Hudiksvall",Korrigeringsfaktor_GD,'Korrigeringsfaktor GD'!R$1,FALSE),
"")</f>
        <v>0</v>
      </c>
      <c r="S276" s="18">
        <f>IFERROR(
                  Andel_oberoende_av_klimat*VLOOKUP($A276,Leveranser_per_nät,'Leveranser per nät'!S$1,FALSE)
               +Andel_beroende_av_klimat*VLOOKUP($A276,Leveranser_per_nät,'Leveranser per nät'!S$1,FALSE)/VLOOKUP("Hudiksvall",Korrigeringsfaktor_GD,'Korrigeringsfaktor GD'!S$1,FALSE),
"")</f>
        <v>15.307474747474746</v>
      </c>
      <c r="T276" s="18">
        <f>IFERROR(
                  Andel_oberoende_av_klimat*VLOOKUP($A276,Leveranser_per_nät,'Leveranser per nät'!T$1,FALSE)
               +Andel_beroende_av_klimat*VLOOKUP($A276,Leveranser_per_nät,'Leveranser per nät'!T$1,FALSE)/VLOOKUP("Hudiksvall",Korrigeringsfaktor_GD,'Korrigeringsfaktor GD'!T$1,FALSE),
"")</f>
        <v>15.241578947368421</v>
      </c>
      <c r="U276" s="18">
        <f>IFERROR(
                  Andel_oberoende_av_klimat*VLOOKUP($A276,Leveranser_per_nät,'Leveranser per nät'!U$1,FALSE)
               +Andel_beroende_av_klimat*VLOOKUP($A276,Leveranser_per_nät,'Leveranser per nät'!U$1,FALSE)/VLOOKUP("Hudiksvall",Korrigeringsfaktor_GD,'Korrigeringsfaktor GD'!U$1,FALSE),
"")</f>
        <v>15.319887640449437</v>
      </c>
      <c r="V276" s="18">
        <f>IFERROR(
                  Andel_oberoende_av_klimat*VLOOKUP($A276,Leveranser_per_nät,'Leveranser per nät'!V$1,FALSE)
               +Andel_beroende_av_klimat*VLOOKUP($A276,Leveranser_per_nät,'Leveranser per nät'!V$1,FALSE)/VLOOKUP("Hudiksvall",Korrigeringsfaktor_GD,'Korrigeringsfaktor GD'!V$1,FALSE),
"")</f>
        <v>15.428539325842696</v>
      </c>
      <c r="W276" s="18">
        <f>IFERROR(
                  Andel_oberoende_av_klimat*VLOOKUP($A276,Leveranser_per_nät,'Leveranser per nät'!W$1,FALSE)
               +Andel_beroende_av_klimat*VLOOKUP($A276,Leveranser_per_nät,'Leveranser per nät'!W$1,FALSE)/VLOOKUP("Hudiksvall",Korrigeringsfaktor_GD,'Korrigeringsfaktor GD'!W$1,FALSE),
"")</f>
        <v>15.04340425531915</v>
      </c>
      <c r="X276" s="18">
        <f>IFERROR(
                  Andel_oberoende_av_klimat*VLOOKUP($A276,Leveranser_per_nät,'Leveranser per nät'!X$1,FALSE)
               +Andel_beroende_av_klimat*VLOOKUP($A276,Leveranser_per_nät,'Leveranser per nät'!X$1,FALSE)/VLOOKUP("Hudiksvall",Korrigeringsfaktor_GD,'Korrigeringsfaktor GD'!X$1,FALSE),
"")</f>
        <v>14.922916666666666</v>
      </c>
      <c r="Y276" s="18">
        <f>IFERROR(
                  Andel_oberoende_av_klimat*VLOOKUP($A276,Leveranser_per_nät,'Leveranser per nät'!Y$1,FALSE)
               +Andel_beroende_av_klimat*VLOOKUP($A276,Leveranser_per_nät,'Leveranser per nät'!Y$1,FALSE)/VLOOKUP($B276,Korrigeringsfaktor_GD,'Korrigeringsfaktor GD'!Y$1,FALSE),
"")</f>
        <v>15.448947368421054</v>
      </c>
      <c r="Z276" s="18">
        <f>IFERROR(
                  Andel_oberoende_av_klimat*VLOOKUP($A276,Leveranser_per_nät,'Leveranser per nät'!Z$1,FALSE)
               +Andel_beroende_av_klimat*VLOOKUP($A276,Leveranser_per_nät,'Leveranser per nät'!Z$1,FALSE)/VLOOKUP($B276,Korrigeringsfaktor_GD,'Korrigeringsfaktor GD'!Z$1,FALSE),
"")</f>
        <v>14.609587628865981</v>
      </c>
      <c r="AA276" s="18">
        <f>IFERROR(
                  Andel_oberoende_av_klimat*VLOOKUP($A276,Leveranser_per_nät,'Leveranser per nät'!AA$1,FALSE)
               +Andel_beroende_av_klimat*VLOOKUP($A276,Leveranser_per_nät,'Leveranser per nät'!AA$1,FALSE)/VLOOKUP($B276,Korrigeringsfaktor_GD,'Korrigeringsfaktor GD'!AA$1,FALSE),
"")</f>
        <v>14.218589228295819</v>
      </c>
      <c r="AB276" s="18">
        <f>IFERROR(
                  Andel_oberoende_av_klimat*VLOOKUP($A276,Leveranser_per_nät,'Leveranser per nät'!AB$1,FALSE)
               +Andel_beroende_av_klimat*VLOOKUP($A276,Leveranser_per_nät,'Leveranser per nät'!AB$1,FALSE)/VLOOKUP($B276,Korrigeringsfaktor_GD,'Korrigeringsfaktor GD'!AB$1,FALSE),
"")</f>
        <v>14.806967294350841</v>
      </c>
      <c r="AC276" s="18">
        <f>IFERROR(
                  Andel_oberoende_av_klimat*VLOOKUP($A276,Leveranser_per_nät,'Leveranser per nät'!AC$1,FALSE)
               +Andel_beroende_av_klimat*VLOOKUP($A276,Leveranser_per_nät,'Leveranser per nät'!AC$1,FALSE)/VLOOKUP($B276,Korrigeringsfaktor_GD,'Korrigeringsfaktor GD'!AC$1,FALSE),
"")</f>
        <v>14.292836677115986</v>
      </c>
      <c r="AD276" t="s">
        <v>805</v>
      </c>
    </row>
    <row r="277" spans="1:30" x14ac:dyDescent="0.25">
      <c r="A277" t="s">
        <v>51</v>
      </c>
      <c r="B277" t="s">
        <v>51</v>
      </c>
      <c r="C277" s="18">
        <f>IFERROR(
                  Andel_oberoende_av_klimat*VLOOKUP($A277,Leveranser_per_nät,'Leveranser per nät'!C$1,FALSE)
               +Andel_beroende_av_klimat*VLOOKUP($A277,Leveranser_per_nät,'Leveranser per nät'!C$1,FALSE)/VLOOKUP($B277,Korrigeringsfaktor_GD,'Korrigeringsfaktor GD'!C$1,FALSE),
"")</f>
        <v>8.7576923076923077</v>
      </c>
      <c r="D277" s="18">
        <f>IFERROR(
                  Andel_oberoende_av_klimat*VLOOKUP($A277,Leveranser_per_nät,'Leveranser per nät'!D$1,FALSE)
               +Andel_beroende_av_klimat*VLOOKUP($A277,Leveranser_per_nät,'Leveranser per nät'!D$1,FALSE)/VLOOKUP($B277,Korrigeringsfaktor_GD,'Korrigeringsfaktor GD'!D$1,FALSE),
"")</f>
        <v>9.4954000000000001</v>
      </c>
      <c r="E277" s="18">
        <f>IFERROR(
                  Andel_oberoende_av_klimat*VLOOKUP($A277,Leveranser_per_nät,'Leveranser per nät'!E$1,FALSE)
               +Andel_beroende_av_klimat*VLOOKUP($A277,Leveranser_per_nät,'Leveranser per nät'!E$1,FALSE)/VLOOKUP($B277,Korrigeringsfaktor_GD,'Korrigeringsfaktor GD'!E$1,FALSE),
"")</f>
        <v>9.7996235294117646</v>
      </c>
      <c r="F277" s="18">
        <f>IFERROR(
                  Andel_oberoende_av_klimat*VLOOKUP($A277,Leveranser_per_nät,'Leveranser per nät'!F$1,FALSE)
               +Andel_beroende_av_klimat*VLOOKUP($A277,Leveranser_per_nät,'Leveranser per nät'!F$1,FALSE)/VLOOKUP($B277,Korrigeringsfaktor_GD,'Korrigeringsfaktor GD'!F$1,FALSE),
"")</f>
        <v>10.024381818181819</v>
      </c>
      <c r="G277" s="18">
        <f>IFERROR(
                  Andel_oberoende_av_klimat*VLOOKUP($A277,Leveranser_per_nät,'Leveranser per nät'!G$1,FALSE)
               +Andel_beroende_av_klimat*VLOOKUP($A277,Leveranser_per_nät,'Leveranser per nät'!G$1,FALSE)/VLOOKUP($B277,Korrigeringsfaktor_GD,'Korrigeringsfaktor GD'!G$1,FALSE),
"")</f>
        <v>10.777777777777779</v>
      </c>
      <c r="H277" s="18">
        <f>IFERROR(
                  Andel_oberoende_av_klimat*VLOOKUP($A277,Leveranser_per_nät,'Leveranser per nät'!H$1,FALSE)
               +Andel_beroende_av_klimat*VLOOKUP($A277,Leveranser_per_nät,'Leveranser per nät'!H$1,FALSE)/VLOOKUP($B277,Korrigeringsfaktor_GD,'Korrigeringsfaktor GD'!H$1,FALSE),
"")</f>
        <v>10.070707070707071</v>
      </c>
      <c r="I277" s="18">
        <f>IFERROR(
                  Andel_oberoende_av_klimat*VLOOKUP($A277,Leveranser_per_nät,'Leveranser per nät'!I$1,FALSE)
               +Andel_beroende_av_klimat*VLOOKUP($A277,Leveranser_per_nät,'Leveranser per nät'!I$1,FALSE)/VLOOKUP($B277,Korrigeringsfaktor_GD,'Korrigeringsfaktor GD'!I$1,FALSE),
"")</f>
        <v>10.291666666666668</v>
      </c>
      <c r="J277" s="18">
        <f>IFERROR(
                  Andel_oberoende_av_klimat*VLOOKUP($A277,Leveranser_per_nät,'Leveranser per nät'!J$1,FALSE)
               +Andel_beroende_av_klimat*VLOOKUP($A277,Leveranser_per_nät,'Leveranser per nät'!J$1,FALSE)/VLOOKUP($B277,Korrigeringsfaktor_GD,'Korrigeringsfaktor GD'!J$1,FALSE),
"")</f>
        <v>11.157142857142858</v>
      </c>
      <c r="K277" s="18">
        <f>IFERROR(
                  Andel_oberoende_av_klimat*VLOOKUP($A277,Leveranser_per_nät,'Leveranser per nät'!K$1,FALSE)
               +Andel_beroende_av_klimat*VLOOKUP($A277,Leveranser_per_nät,'Leveranser per nät'!K$1,FALSE)/VLOOKUP($B277,Korrigeringsfaktor_GD,'Korrigeringsfaktor GD'!K$1,FALSE),
"")</f>
        <v>11.225100914093989</v>
      </c>
      <c r="L277" s="18">
        <f>IFERROR(
                  Andel_oberoende_av_klimat*VLOOKUP($A277,Leveranser_per_nät,'Leveranser per nät'!L$1,FALSE)
               +Andel_beroende_av_klimat*VLOOKUP($A277,Leveranser_per_nät,'Leveranser per nät'!L$1,FALSE)/VLOOKUP($B277,Korrigeringsfaktor_GD,'Korrigeringsfaktor GD'!L$1,FALSE),
"")</f>
        <v>11.656021078172094</v>
      </c>
      <c r="M277" s="18">
        <f>IFERROR(
                  Andel_oberoende_av_klimat*VLOOKUP($A277,Leveranser_per_nät,'Leveranser per nät'!M$1,FALSE)
               +Andel_beroende_av_klimat*VLOOKUP($A277,Leveranser_per_nät,'Leveranser per nät'!M$1,FALSE)/VLOOKUP($B277,Korrigeringsfaktor_GD,'Korrigeringsfaktor GD'!M$1,FALSE),
"")</f>
        <v>10.692307692307692</v>
      </c>
      <c r="N277" s="18">
        <f>IFERROR(
                  Andel_oberoende_av_klimat*VLOOKUP($A277,Leveranser_per_nät,'Leveranser per nät'!N$1,FALSE)
               +Andel_beroende_av_klimat*VLOOKUP($A277,Leveranser_per_nät,'Leveranser per nät'!N$1,FALSE)/VLOOKUP($B277,Korrigeringsfaktor_GD,'Korrigeringsfaktor GD'!N$1,FALSE),
"")</f>
        <v>10.632150537634407</v>
      </c>
      <c r="O277" s="18">
        <f>IFERROR(
                  Andel_oberoende_av_klimat*VLOOKUP($A277,Leveranser_per_nät,'Leveranser per nät'!O$1,FALSE)
               +Andel_beroende_av_klimat*VLOOKUP($A277,Leveranser_per_nät,'Leveranser per nät'!O$1,FALSE)/VLOOKUP($B277,Korrigeringsfaktor_GD,'Korrigeringsfaktor GD'!O$1,FALSE),
"")</f>
        <v>12.825555555555555</v>
      </c>
      <c r="P277" s="18">
        <f>IFERROR(
                  Andel_oberoende_av_klimat*VLOOKUP($A277,Leveranser_per_nät,'Leveranser per nät'!P$1,FALSE)
               +Andel_beroende_av_klimat*VLOOKUP($A277,Leveranser_per_nät,'Leveranser per nät'!P$1,FALSE)/VLOOKUP($B277,Korrigeringsfaktor_GD,'Korrigeringsfaktor GD'!P$1,FALSE),
"")</f>
        <v>13.281443298969073</v>
      </c>
      <c r="Q277" s="18">
        <f>IFERROR(
                  Andel_oberoende_av_klimat*VLOOKUP($A277,Leveranser_per_nät,'Leveranser per nät'!Q$1,FALSE)
               +Andel_beroende_av_klimat*VLOOKUP($A277,Leveranser_per_nät,'Leveranser per nät'!Q$1,FALSE)/VLOOKUP($B277,Korrigeringsfaktor_GD,'Korrigeringsfaktor GD'!Q$1,FALSE),
"")</f>
        <v>12.079090909090908</v>
      </c>
      <c r="R277" s="18">
        <f>IFERROR(
                  Andel_oberoende_av_klimat*VLOOKUP($A277,Leveranser_per_nät,'Leveranser per nät'!R$1,FALSE)
               +Andel_beroende_av_klimat*VLOOKUP($A277,Leveranser_per_nät,'Leveranser per nät'!R$1,FALSE)/VLOOKUP($B277,Korrigeringsfaktor_GD,'Korrigeringsfaktor GD'!R$1,FALSE),
"")</f>
        <v>13.114258426966293</v>
      </c>
      <c r="S277" s="18">
        <f>IFERROR(
                  Andel_oberoende_av_klimat*VLOOKUP($A277,Leveranser_per_nät,'Leveranser per nät'!S$1,FALSE)
               +Andel_beroende_av_klimat*VLOOKUP($A277,Leveranser_per_nät,'Leveranser per nät'!S$1,FALSE)/VLOOKUP($B277,Korrigeringsfaktor_GD,'Korrigeringsfaktor GD'!S$1,FALSE),
"")</f>
        <v>11.430999999999999</v>
      </c>
      <c r="T277" s="18">
        <f>IFERROR(
                  Andel_oberoende_av_klimat*VLOOKUP($A277,Leveranser_per_nät,'Leveranser per nät'!T$1,FALSE)
               +Andel_beroende_av_klimat*VLOOKUP($A277,Leveranser_per_nät,'Leveranser per nät'!T$1,FALSE)/VLOOKUP($B277,Korrigeringsfaktor_GD,'Korrigeringsfaktor GD'!T$1,FALSE),
"")</f>
        <v>12.184086956521739</v>
      </c>
      <c r="U277" s="18">
        <f>IFERROR(
                  Andel_oberoende_av_klimat*VLOOKUP($A277,Leveranser_per_nät,'Leveranser per nät'!U$1,FALSE)
               +Andel_beroende_av_klimat*VLOOKUP($A277,Leveranser_per_nät,'Leveranser per nät'!U$1,FALSE)/VLOOKUP($B277,Korrigeringsfaktor_GD,'Korrigeringsfaktor GD'!U$1,FALSE),
"")</f>
        <v>12.378636363636364</v>
      </c>
      <c r="V277" s="18">
        <f>IFERROR(
                  Andel_oberoende_av_klimat*VLOOKUP($A277,Leveranser_per_nät,'Leveranser per nät'!V$1,FALSE)
               +Andel_beroende_av_klimat*VLOOKUP($A277,Leveranser_per_nät,'Leveranser per nät'!V$1,FALSE)/VLOOKUP($B277,Korrigeringsfaktor_GD,'Korrigeringsfaktor GD'!V$1,FALSE),
"")</f>
        <v>12.923793103448276</v>
      </c>
      <c r="W277" s="18">
        <f>IFERROR(
                  Andel_oberoende_av_klimat*VLOOKUP($A277,Leveranser_per_nät,'Leveranser per nät'!W$1,FALSE)
               +Andel_beroende_av_klimat*VLOOKUP($A277,Leveranser_per_nät,'Leveranser per nät'!W$1,FALSE)/VLOOKUP($B277,Korrigeringsfaktor_GD,'Korrigeringsfaktor GD'!W$1,FALSE),
"")</f>
        <v>12.131052631578948</v>
      </c>
      <c r="X277" s="18">
        <f>IFERROR(
                  Andel_oberoende_av_klimat*VLOOKUP($A277,Leveranser_per_nät,'Leveranser per nät'!X$1,FALSE)
               +Andel_beroende_av_klimat*VLOOKUP($A277,Leveranser_per_nät,'Leveranser per nät'!X$1,FALSE)/VLOOKUP($B277,Korrigeringsfaktor_GD,'Korrigeringsfaktor GD'!X$1,FALSE),
"")</f>
        <v>11.320833333333333</v>
      </c>
      <c r="Y277" s="18">
        <f>IFERROR(
                  Andel_oberoende_av_klimat*VLOOKUP($A277,Leveranser_per_nät,'Leveranser per nät'!Y$1,FALSE)
               +Andel_beroende_av_klimat*VLOOKUP($A277,Leveranser_per_nät,'Leveranser per nät'!Y$1,FALSE)/VLOOKUP($B277,Korrigeringsfaktor_GD,'Korrigeringsfaktor GD'!Y$1,FALSE),
"")</f>
        <v>11.938333333333333</v>
      </c>
      <c r="Z277" s="18">
        <f>IFERROR(
                  Andel_oberoende_av_klimat*VLOOKUP($A277,Leveranser_per_nät,'Leveranser per nät'!Z$1,FALSE)
               +Andel_beroende_av_klimat*VLOOKUP($A277,Leveranser_per_nät,'Leveranser per nät'!Z$1,FALSE)/VLOOKUP($B277,Korrigeringsfaktor_GD,'Korrigeringsfaktor GD'!Z$1,FALSE),
"")</f>
        <v>11.562857142857144</v>
      </c>
      <c r="AA277" s="18">
        <f>IFERROR(
                  Andel_oberoende_av_klimat*VLOOKUP($A277,Leveranser_per_nät,'Leveranser per nät'!AA$1,FALSE)
               +Andel_beroende_av_klimat*VLOOKUP($A277,Leveranser_per_nät,'Leveranser per nät'!AA$1,FALSE)/VLOOKUP($B277,Korrigeringsfaktor_GD,'Korrigeringsfaktor GD'!AA$1,FALSE),
"")</f>
        <v>10.992547046884514</v>
      </c>
      <c r="AB277" s="18">
        <f>IFERROR(
                  Andel_oberoende_av_klimat*VLOOKUP($A277,Leveranser_per_nät,'Leveranser per nät'!AB$1,FALSE)
               +Andel_beroende_av_klimat*VLOOKUP($A277,Leveranser_per_nät,'Leveranser per nät'!AB$1,FALSE)/VLOOKUP($B277,Korrigeringsfaktor_GD,'Korrigeringsfaktor GD'!AB$1,FALSE),
"")</f>
        <v>11.134318586640852</v>
      </c>
      <c r="AC277" s="18">
        <f>IFERROR(
                  Andel_oberoende_av_klimat*VLOOKUP($A277,Leveranser_per_nät,'Leveranser per nät'!AC$1,FALSE)
               +Andel_beroende_av_klimat*VLOOKUP($A277,Leveranser_per_nät,'Leveranser per nät'!AC$1,FALSE)/VLOOKUP($B277,Korrigeringsfaktor_GD,'Korrigeringsfaktor GD'!AC$1,FALSE),
"")</f>
        <v>11.093488706365504</v>
      </c>
      <c r="AD277">
        <v>10.89</v>
      </c>
    </row>
    <row r="278" spans="1:30" x14ac:dyDescent="0.25">
      <c r="A278" t="s">
        <v>161</v>
      </c>
      <c r="B278" t="s">
        <v>160</v>
      </c>
      <c r="C278" s="18">
        <f>IFERROR(
                  Andel_oberoende_av_klimat*VLOOKUP($A278,Leveranser_per_nät,'Leveranser per nät'!C$1,FALSE)
               +Andel_beroende_av_klimat*VLOOKUP($A278,Leveranser_per_nät,'Leveranser per nät'!C$1,FALSE)/VLOOKUP($B278,Korrigeringsfaktor_GD,'Korrigeringsfaktor GD'!C$1,FALSE),
"")</f>
        <v>0</v>
      </c>
      <c r="D278" s="18">
        <f>IFERROR(
                  Andel_oberoende_av_klimat*VLOOKUP($A278,Leveranser_per_nät,'Leveranser per nät'!D$1,FALSE)
               +Andel_beroende_av_klimat*VLOOKUP($A278,Leveranser_per_nät,'Leveranser per nät'!D$1,FALSE)/VLOOKUP($B278,Korrigeringsfaktor_GD,'Korrigeringsfaktor GD'!D$1,FALSE),
"")</f>
        <v>0</v>
      </c>
      <c r="E278" s="18">
        <f>IFERROR(
                  Andel_oberoende_av_klimat*VLOOKUP($A278,Leveranser_per_nät,'Leveranser per nät'!E$1,FALSE)
               +Andel_beroende_av_klimat*VLOOKUP($A278,Leveranser_per_nät,'Leveranser per nät'!E$1,FALSE)/VLOOKUP($B278,Korrigeringsfaktor_GD,'Korrigeringsfaktor GD'!E$1,FALSE),
"")</f>
        <v>0</v>
      </c>
      <c r="F278" s="18">
        <f>IFERROR(
                  Andel_oberoende_av_klimat*VLOOKUP($A278,Leveranser_per_nät,'Leveranser per nät'!F$1,FALSE)
               +Andel_beroende_av_klimat*VLOOKUP($A278,Leveranser_per_nät,'Leveranser per nät'!F$1,FALSE)/VLOOKUP($B278,Korrigeringsfaktor_GD,'Korrigeringsfaktor GD'!F$1,FALSE),
"")</f>
        <v>0</v>
      </c>
      <c r="G278" s="18">
        <f>IFERROR(
                  Andel_oberoende_av_klimat*VLOOKUP($A278,Leveranser_per_nät,'Leveranser per nät'!G$1,FALSE)
               +Andel_beroende_av_klimat*VLOOKUP($A278,Leveranser_per_nät,'Leveranser per nät'!G$1,FALSE)/VLOOKUP($B278,Korrigeringsfaktor_GD,'Korrigeringsfaktor GD'!G$1,FALSE),
"")</f>
        <v>0</v>
      </c>
      <c r="H278" s="18">
        <f>IFERROR(
                  Andel_oberoende_av_klimat*VLOOKUP($A278,Leveranser_per_nät,'Leveranser per nät'!H$1,FALSE)
               +Andel_beroende_av_klimat*VLOOKUP($A278,Leveranser_per_nät,'Leveranser per nät'!H$1,FALSE)/VLOOKUP($B278,Korrigeringsfaktor_GD,'Korrigeringsfaktor GD'!H$1,FALSE),
"")</f>
        <v>0.99306930693069306</v>
      </c>
      <c r="I278" s="18">
        <f>IFERROR(
                  Andel_oberoende_av_klimat*VLOOKUP($A278,Leveranser_per_nät,'Leveranser per nät'!I$1,FALSE)
               +Andel_beroende_av_klimat*VLOOKUP($A278,Leveranser_per_nät,'Leveranser per nät'!I$1,FALSE)/VLOOKUP($B278,Korrigeringsfaktor_GD,'Korrigeringsfaktor GD'!I$1,FALSE),
"")</f>
        <v>2.0736842105263156</v>
      </c>
      <c r="J278" s="18">
        <f>IFERROR(
                  Andel_oberoende_av_klimat*VLOOKUP($A278,Leveranser_per_nät,'Leveranser per nät'!J$1,FALSE)
               +Andel_beroende_av_klimat*VLOOKUP($A278,Leveranser_per_nät,'Leveranser per nät'!J$1,FALSE)/VLOOKUP($B278,Korrigeringsfaktor_GD,'Korrigeringsfaktor GD'!J$1,FALSE),
"")</f>
        <v>3.0212121212121206</v>
      </c>
      <c r="K278" s="18">
        <f>IFERROR(
                  Andel_oberoende_av_klimat*VLOOKUP($A278,Leveranser_per_nät,'Leveranser per nät'!K$1,FALSE)
               +Andel_beroende_av_klimat*VLOOKUP($A278,Leveranser_per_nät,'Leveranser per nät'!K$1,FALSE)/VLOOKUP($B278,Korrigeringsfaktor_GD,'Korrigeringsfaktor GD'!K$1,FALSE),
"")</f>
        <v>2.5418464646464649</v>
      </c>
      <c r="L278" s="18">
        <f>IFERROR(
                  Andel_oberoende_av_klimat*VLOOKUP($A278,Leveranser_per_nät,'Leveranser per nät'!L$1,FALSE)
               +Andel_beroende_av_klimat*VLOOKUP($A278,Leveranser_per_nät,'Leveranser per nät'!L$1,FALSE)/VLOOKUP($B278,Korrigeringsfaktor_GD,'Korrigeringsfaktor GD'!L$1,FALSE),
"")</f>
        <v>2.9588541666666668</v>
      </c>
      <c r="M278" s="18">
        <f>IFERROR(
                  Andel_oberoende_av_klimat*VLOOKUP($A278,Leveranser_per_nät,'Leveranser per nät'!M$1,FALSE)
               +Andel_beroende_av_klimat*VLOOKUP($A278,Leveranser_per_nät,'Leveranser per nät'!M$1,FALSE)/VLOOKUP($B278,Korrigeringsfaktor_GD,'Korrigeringsfaktor GD'!M$1,FALSE),
"")</f>
        <v>4.2107526881720432</v>
      </c>
      <c r="N278" s="18">
        <f>IFERROR(
                  Andel_oberoende_av_klimat*VLOOKUP($A278,Leveranser_per_nät,'Leveranser per nät'!N$1,FALSE)
               +Andel_beroende_av_klimat*VLOOKUP($A278,Leveranser_per_nät,'Leveranser per nät'!N$1,FALSE)/VLOOKUP($B278,Korrigeringsfaktor_GD,'Korrigeringsfaktor GD'!N$1,FALSE),
"")</f>
        <v>4.2084923076923069</v>
      </c>
      <c r="O278" s="18">
        <f>IFERROR(
                  Andel_oberoende_av_klimat*VLOOKUP($A278,Leveranser_per_nät,'Leveranser per nät'!O$1,FALSE)
               +Andel_beroende_av_klimat*VLOOKUP($A278,Leveranser_per_nät,'Leveranser per nät'!O$1,FALSE)/VLOOKUP($B278,Korrigeringsfaktor_GD,'Korrigeringsfaktor GD'!O$1,FALSE),
"")</f>
        <v>4.6139666666666663</v>
      </c>
      <c r="P278" s="18">
        <f>IFERROR(
                  Andel_oberoende_av_klimat*VLOOKUP($A278,Leveranser_per_nät,'Leveranser per nät'!P$1,FALSE)
               +Andel_beroende_av_klimat*VLOOKUP($A278,Leveranser_per_nät,'Leveranser per nät'!P$1,FALSE)/VLOOKUP($B278,Korrigeringsfaktor_GD,'Korrigeringsfaktor GD'!P$1,FALSE),
"")</f>
        <v>5.042861855670103</v>
      </c>
      <c r="Q278" s="18">
        <f>IFERROR(
                  Andel_oberoende_av_klimat*VLOOKUP($A278,Leveranser_per_nät,'Leveranser per nät'!Q$1,FALSE)
               +Andel_beroende_av_klimat*VLOOKUP($A278,Leveranser_per_nät,'Leveranser per nät'!Q$1,FALSE)/VLOOKUP($B278,Korrigeringsfaktor_GD,'Korrigeringsfaktor GD'!Q$1,FALSE),
"")</f>
        <v>8.3663608695652183</v>
      </c>
      <c r="R278" s="18">
        <f>IFERROR(
                  Andel_oberoende_av_klimat*VLOOKUP($A278,Leveranser_per_nät,'Leveranser per nät'!R$1,FALSE)
               +Andel_beroende_av_klimat*VLOOKUP($A278,Leveranser_per_nät,'Leveranser per nät'!R$1,FALSE)/VLOOKUP($B278,Korrigeringsfaktor_GD,'Korrigeringsfaktor GD'!R$1,FALSE),
"")</f>
        <v>0</v>
      </c>
      <c r="S278" s="18" t="str">
        <f>IFERROR(
                  Andel_oberoende_av_klimat*VLOOKUP($A278,Leveranser_per_nät,'Leveranser per nät'!S$1,FALSE)
               +Andel_beroende_av_klimat*VLOOKUP($A278,Leveranser_per_nät,'Leveranser per nät'!S$1,FALSE)/VLOOKUP($B278,Korrigeringsfaktor_GD,'Korrigeringsfaktor GD'!S$1,FALSE),
"")</f>
        <v/>
      </c>
      <c r="T278" s="18" t="str">
        <f>IFERROR(
                  Andel_oberoende_av_klimat*VLOOKUP($A278,Leveranser_per_nät,'Leveranser per nät'!T$1,FALSE)
               +Andel_beroende_av_klimat*VLOOKUP($A278,Leveranser_per_nät,'Leveranser per nät'!T$1,FALSE)/VLOOKUP($B278,Korrigeringsfaktor_GD,'Korrigeringsfaktor GD'!T$1,FALSE),
"")</f>
        <v/>
      </c>
      <c r="U278" s="18" t="str">
        <f>IFERROR(
                  Andel_oberoende_av_klimat*VLOOKUP($A278,Leveranser_per_nät,'Leveranser per nät'!U$1,FALSE)
               +Andel_beroende_av_klimat*VLOOKUP($A278,Leveranser_per_nät,'Leveranser per nät'!U$1,FALSE)/VLOOKUP($B278,Korrigeringsfaktor_GD,'Korrigeringsfaktor GD'!U$1,FALSE),
"")</f>
        <v/>
      </c>
      <c r="V278" s="18" t="str">
        <f>IFERROR(
                  Andel_oberoende_av_klimat*VLOOKUP($A278,Leveranser_per_nät,'Leveranser per nät'!V$1,FALSE)
               +Andel_beroende_av_klimat*VLOOKUP($A278,Leveranser_per_nät,'Leveranser per nät'!V$1,FALSE)/VLOOKUP($B278,Korrigeringsfaktor_GD,'Korrigeringsfaktor GD'!V$1,FALSE),
"")</f>
        <v/>
      </c>
      <c r="W278" s="18" t="str">
        <f>IFERROR(
                  Andel_oberoende_av_klimat*VLOOKUP($A278,Leveranser_per_nät,'Leveranser per nät'!W$1,FALSE)
               +Andel_beroende_av_klimat*VLOOKUP($A278,Leveranser_per_nät,'Leveranser per nät'!W$1,FALSE)/VLOOKUP($B278,Korrigeringsfaktor_GD,'Korrigeringsfaktor GD'!W$1,FALSE),
"")</f>
        <v/>
      </c>
      <c r="X278" s="18" t="str">
        <f>IFERROR(
                  Andel_oberoende_av_klimat*VLOOKUP($A278,Leveranser_per_nät,'Leveranser per nät'!X$1,FALSE)
               +Andel_beroende_av_klimat*VLOOKUP($A278,Leveranser_per_nät,'Leveranser per nät'!X$1,FALSE)/VLOOKUP($B278,Korrigeringsfaktor_GD,'Korrigeringsfaktor GD'!X$1,FALSE),
"")</f>
        <v/>
      </c>
      <c r="Y278" s="18" t="str">
        <f>IFERROR(
                  Andel_oberoende_av_klimat*VLOOKUP($A278,Leveranser_per_nät,'Leveranser per nät'!Y$1,FALSE)
               +Andel_beroende_av_klimat*VLOOKUP($A278,Leveranser_per_nät,'Leveranser per nät'!Y$1,FALSE)/VLOOKUP($B278,Korrigeringsfaktor_GD,'Korrigeringsfaktor GD'!Y$1,FALSE),
"")</f>
        <v/>
      </c>
      <c r="Z278" s="18">
        <f>IFERROR(
                  Andel_oberoende_av_klimat*VLOOKUP($A278,Leveranser_per_nät,'Leveranser per nät'!Z$1,FALSE)
               +Andel_beroende_av_klimat*VLOOKUP($A278,Leveranser_per_nät,'Leveranser per nät'!Z$1,FALSE)/VLOOKUP($B278,Korrigeringsfaktor_GD,'Korrigeringsfaktor GD'!Z$1,FALSE),
"")</f>
        <v>0</v>
      </c>
      <c r="AA278" s="18" t="str">
        <f>IFERROR(
                  Andel_oberoende_av_klimat*VLOOKUP($A278,Leveranser_per_nät,'Leveranser per nät'!AA$1,FALSE)
               +Andel_beroende_av_klimat*VLOOKUP($A278,Leveranser_per_nät,'Leveranser per nät'!AA$1,FALSE)/VLOOKUP($B278,Korrigeringsfaktor_GD,'Korrigeringsfaktor GD'!AA$1,FALSE),
"")</f>
        <v/>
      </c>
      <c r="AB278" s="18">
        <f>IFERROR(
                  Andel_oberoende_av_klimat*VLOOKUP($A278,Leveranser_per_nät,'Leveranser per nät'!AB$1,FALSE)
               +Andel_beroende_av_klimat*VLOOKUP($A278,Leveranser_per_nät,'Leveranser per nät'!AB$1,FALSE)/VLOOKUP($B278,Korrigeringsfaktor_GD,'Korrigeringsfaktor GD'!AB$1,FALSE),
"")</f>
        <v>0</v>
      </c>
      <c r="AC278" s="18">
        <f>IFERROR(
                  Andel_oberoende_av_klimat*VLOOKUP($A278,Leveranser_per_nät,'Leveranser per nät'!AC$1,FALSE)
               +Andel_beroende_av_klimat*VLOOKUP($A278,Leveranser_per_nät,'Leveranser per nät'!AC$1,FALSE)/VLOOKUP($B278,Korrigeringsfaktor_GD,'Korrigeringsfaktor GD'!AC$1,FALSE),
"")</f>
        <v>0</v>
      </c>
      <c r="AD278">
        <v>711.67200000000003</v>
      </c>
    </row>
    <row r="279" spans="1:30" x14ac:dyDescent="0.25">
      <c r="A279" t="s">
        <v>232</v>
      </c>
      <c r="B279" t="s">
        <v>230</v>
      </c>
      <c r="C279" s="18">
        <f>IFERROR(
                  Andel_oberoende_av_klimat*VLOOKUP($A279,Leveranser_per_nät,'Leveranser per nät'!C$1,FALSE)
               +Andel_beroende_av_klimat*VLOOKUP($A279,Leveranser_per_nät,'Leveranser per nät'!C$1,FALSE)/VLOOKUP($B279,Korrigeringsfaktor_GD,'Korrigeringsfaktor GD'!C$1,FALSE),
"")</f>
        <v>3.4420980392156864</v>
      </c>
      <c r="D279" s="18">
        <f>IFERROR(
                  Andel_oberoende_av_klimat*VLOOKUP($A279,Leveranser_per_nät,'Leveranser per nät'!D$1,FALSE)
               +Andel_beroende_av_klimat*VLOOKUP($A279,Leveranser_per_nät,'Leveranser per nät'!D$1,FALSE)/VLOOKUP($B279,Korrigeringsfaktor_GD,'Korrigeringsfaktor GD'!D$1,FALSE),
"")</f>
        <v>3.5144742268041238</v>
      </c>
      <c r="E279" s="18">
        <f>IFERROR(
                  Andel_oberoende_av_klimat*VLOOKUP($A279,Leveranser_per_nät,'Leveranser per nät'!E$1,FALSE)
               +Andel_beroende_av_klimat*VLOOKUP($A279,Leveranser_per_nät,'Leveranser per nät'!E$1,FALSE)/VLOOKUP($B279,Korrigeringsfaktor_GD,'Korrigeringsfaktor GD'!E$1,FALSE),
"")</f>
        <v>3.8923076923076922</v>
      </c>
      <c r="F279" s="18">
        <f>IFERROR(
                  Andel_oberoende_av_klimat*VLOOKUP($A279,Leveranser_per_nät,'Leveranser per nät'!F$1,FALSE)
               +Andel_beroende_av_klimat*VLOOKUP($A279,Leveranser_per_nät,'Leveranser per nät'!F$1,FALSE)/VLOOKUP($B279,Korrigeringsfaktor_GD,'Korrigeringsfaktor GD'!F$1,FALSE),
"")</f>
        <v>3.9722772277227723</v>
      </c>
      <c r="G279" s="18">
        <f>IFERROR(
                  Andel_oberoende_av_klimat*VLOOKUP($A279,Leveranser_per_nät,'Leveranser per nät'!G$1,FALSE)
               +Andel_beroende_av_klimat*VLOOKUP($A279,Leveranser_per_nät,'Leveranser per nät'!G$1,FALSE)/VLOOKUP($B279,Korrigeringsfaktor_GD,'Korrigeringsfaktor GD'!G$1,FALSE),
"")</f>
        <v>3.7722222222222221</v>
      </c>
      <c r="H279" s="18">
        <f>IFERROR(
                  Andel_oberoende_av_klimat*VLOOKUP($A279,Leveranser_per_nät,'Leveranser per nät'!H$1,FALSE)
               +Andel_beroende_av_klimat*VLOOKUP($A279,Leveranser_per_nät,'Leveranser per nät'!H$1,FALSE)/VLOOKUP($B279,Korrigeringsfaktor_GD,'Korrigeringsfaktor GD'!H$1,FALSE),
"")</f>
        <v>2.9792079207920787</v>
      </c>
      <c r="I279" s="18">
        <f>IFERROR(
                  Andel_oberoende_av_klimat*VLOOKUP($A279,Leveranser_per_nät,'Leveranser per nät'!I$1,FALSE)
               +Andel_beroende_av_klimat*VLOOKUP($A279,Leveranser_per_nät,'Leveranser per nät'!I$1,FALSE)/VLOOKUP($B279,Korrigeringsfaktor_GD,'Korrigeringsfaktor GD'!I$1,FALSE),
"")</f>
        <v>4.028282828282828</v>
      </c>
      <c r="J279" s="18">
        <f>IFERROR(
                  Andel_oberoende_av_klimat*VLOOKUP($A279,Leveranser_per_nät,'Leveranser per nät'!J$1,FALSE)
               +Andel_beroende_av_klimat*VLOOKUP($A279,Leveranser_per_nät,'Leveranser per nät'!J$1,FALSE)/VLOOKUP($B279,Korrigeringsfaktor_GD,'Korrigeringsfaktor GD'!J$1,FALSE),
"")</f>
        <v>4.1166666666666671</v>
      </c>
      <c r="K279" s="18">
        <f>IFERROR(
                  Andel_oberoende_av_klimat*VLOOKUP($A279,Leveranser_per_nät,'Leveranser per nät'!K$1,FALSE)
               +Andel_beroende_av_klimat*VLOOKUP($A279,Leveranser_per_nät,'Leveranser per nät'!K$1,FALSE)/VLOOKUP($B279,Korrigeringsfaktor_GD,'Korrigeringsfaktor GD'!K$1,FALSE),
"")</f>
        <v>4.8063456565656573</v>
      </c>
      <c r="L279" s="18">
        <f>IFERROR(
                  Andel_oberoende_av_klimat*VLOOKUP($A279,Leveranser_per_nät,'Leveranser per nät'!L$1,FALSE)
               +Andel_beroende_av_klimat*VLOOKUP($A279,Leveranser_per_nät,'Leveranser per nät'!L$1,FALSE)/VLOOKUP($B279,Korrigeringsfaktor_GD,'Korrigeringsfaktor GD'!L$1,FALSE),
"")</f>
        <v>4.7034107526881712</v>
      </c>
      <c r="M279" s="18">
        <f>IFERROR(
                  Andel_oberoende_av_klimat*VLOOKUP($A279,Leveranser_per_nät,'Leveranser per nät'!M$1,FALSE)
               +Andel_beroende_av_klimat*VLOOKUP($A279,Leveranser_per_nät,'Leveranser per nät'!M$1,FALSE)/VLOOKUP($B279,Korrigeringsfaktor_GD,'Korrigeringsfaktor GD'!M$1,FALSE),
"")</f>
        <v>5.1960688172043001</v>
      </c>
      <c r="N279" s="18">
        <f>IFERROR(
                  Andel_oberoende_av_klimat*VLOOKUP($A279,Leveranser_per_nät,'Leveranser per nät'!N$1,FALSE)
               +Andel_beroende_av_klimat*VLOOKUP($A279,Leveranser_per_nät,'Leveranser per nät'!N$1,FALSE)/VLOOKUP($B279,Korrigeringsfaktor_GD,'Korrigeringsfaktor GD'!N$1,FALSE),
"")</f>
        <v>5.6887268817204291</v>
      </c>
      <c r="O279" s="18">
        <f>IFERROR(
                  Andel_oberoende_av_klimat*VLOOKUP($A279,Leveranser_per_nät,'Leveranser per nät'!O$1,FALSE)
               +Andel_beroende_av_klimat*VLOOKUP($A279,Leveranser_per_nät,'Leveranser per nät'!O$1,FALSE)/VLOOKUP($B279,Korrigeringsfaktor_GD,'Korrigeringsfaktor GD'!O$1,FALSE),
"")</f>
        <v>5.7392559139784947</v>
      </c>
      <c r="P279" s="18">
        <f>IFERROR(
                  Andel_oberoende_av_klimat*VLOOKUP($A279,Leveranser_per_nät,'Leveranser per nät'!P$1,FALSE)
               +Andel_beroende_av_klimat*VLOOKUP($A279,Leveranser_per_nät,'Leveranser per nät'!P$1,FALSE)/VLOOKUP($B279,Korrigeringsfaktor_GD,'Korrigeringsfaktor GD'!P$1,FALSE),
"")</f>
        <v>6.4305714285714286</v>
      </c>
      <c r="Q279" s="18">
        <f>IFERROR(
                  Andel_oberoende_av_klimat*VLOOKUP($A279,Leveranser_per_nät,'Leveranser per nät'!Q$1,FALSE)
               +Andel_beroende_av_klimat*VLOOKUP($A279,Leveranser_per_nät,'Leveranser per nät'!Q$1,FALSE)/VLOOKUP($B279,Korrigeringsfaktor_GD,'Korrigeringsfaktor GD'!Q$1,FALSE),
"")</f>
        <v>5.3790450450450455</v>
      </c>
      <c r="R279" s="18">
        <f>IFERROR(
                  Andel_oberoende_av_klimat*VLOOKUP($A279,Leveranser_per_nät,'Leveranser per nät'!R$1,FALSE)
               +Andel_beroende_av_klimat*VLOOKUP($A279,Leveranser_per_nät,'Leveranser per nät'!R$1,FALSE)/VLOOKUP($B279,Korrigeringsfaktor_GD,'Korrigeringsfaktor GD'!R$1,FALSE),
"")</f>
        <v>6.7896153846153844</v>
      </c>
      <c r="S279" s="18">
        <f>IFERROR(
                  Andel_oberoende_av_klimat*VLOOKUP($A279,Leveranser_per_nät,'Leveranser per nät'!S$1,FALSE)
               +Andel_beroende_av_klimat*VLOOKUP($A279,Leveranser_per_nät,'Leveranser per nät'!S$1,FALSE)/VLOOKUP($B279,Korrigeringsfaktor_GD,'Korrigeringsfaktor GD'!S$1,FALSE),
"")</f>
        <v>6.83</v>
      </c>
      <c r="T279" s="18">
        <f>IFERROR(
                  Andel_oberoende_av_klimat*VLOOKUP($A279,Leveranser_per_nät,'Leveranser per nät'!T$1,FALSE)
               +Andel_beroende_av_klimat*VLOOKUP($A279,Leveranser_per_nät,'Leveranser per nät'!T$1,FALSE)/VLOOKUP($B279,Korrigeringsfaktor_GD,'Korrigeringsfaktor GD'!T$1,FALSE),
"")</f>
        <v>6.2634946236559141</v>
      </c>
      <c r="U279" s="18">
        <f>IFERROR(
                  Andel_oberoende_av_klimat*VLOOKUP($A279,Leveranser_per_nät,'Leveranser per nät'!U$1,FALSE)
               +Andel_beroende_av_klimat*VLOOKUP($A279,Leveranser_per_nät,'Leveranser per nät'!U$1,FALSE)/VLOOKUP($B279,Korrigeringsfaktor_GD,'Korrigeringsfaktor GD'!U$1,FALSE),
"")</f>
        <v>6.3481111111111108</v>
      </c>
      <c r="V279" s="18">
        <f>IFERROR(
                  Andel_oberoende_av_klimat*VLOOKUP($A279,Leveranser_per_nät,'Leveranser per nät'!V$1,FALSE)
               +Andel_beroende_av_klimat*VLOOKUP($A279,Leveranser_per_nät,'Leveranser per nät'!V$1,FALSE)/VLOOKUP($B279,Korrigeringsfaktor_GD,'Korrigeringsfaktor GD'!V$1,FALSE),
"")</f>
        <v>6.1893181818181819</v>
      </c>
      <c r="W279" s="18">
        <f>IFERROR(
                  Andel_oberoende_av_klimat*VLOOKUP($A279,Leveranser_per_nät,'Leveranser per nät'!W$1,FALSE)
               +Andel_beroende_av_klimat*VLOOKUP($A279,Leveranser_per_nät,'Leveranser per nät'!W$1,FALSE)/VLOOKUP($B279,Korrigeringsfaktor_GD,'Korrigeringsfaktor GD'!W$1,FALSE),
"")</f>
        <v>6.1809793814432989</v>
      </c>
      <c r="X279" s="18">
        <f>IFERROR(
                  Andel_oberoende_av_klimat*VLOOKUP($A279,Leveranser_per_nät,'Leveranser per nät'!X$1,FALSE)
               +Andel_beroende_av_klimat*VLOOKUP($A279,Leveranser_per_nät,'Leveranser per nät'!X$1,FALSE)/VLOOKUP($B279,Korrigeringsfaktor_GD,'Korrigeringsfaktor GD'!X$1,FALSE),
"")</f>
        <v>6.0999142857142861</v>
      </c>
      <c r="Y279" s="18">
        <f>IFERROR(
                  Andel_oberoende_av_klimat*VLOOKUP($A279,Leveranser_per_nät,'Leveranser per nät'!Y$1,FALSE)
               +Andel_beroende_av_klimat*VLOOKUP($A279,Leveranser_per_nät,'Leveranser per nät'!Y$1,FALSE)/VLOOKUP($B279,Korrigeringsfaktor_GD,'Korrigeringsfaktor GD'!Y$1,FALSE),
"")</f>
        <v>6.1028484848484847</v>
      </c>
      <c r="Z279" s="18">
        <f>IFERROR(
                  Andel_oberoende_av_klimat*VLOOKUP($A279,Leveranser_per_nät,'Leveranser per nät'!Z$1,FALSE)
               +Andel_beroende_av_klimat*VLOOKUP($A279,Leveranser_per_nät,'Leveranser per nät'!Z$1,FALSE)/VLOOKUP($B279,Korrigeringsfaktor_GD,'Korrigeringsfaktor GD'!Z$1,FALSE),
"")</f>
        <v>6.7468888888888889</v>
      </c>
      <c r="AA279" s="18">
        <f>IFERROR(
                  Andel_oberoende_av_klimat*VLOOKUP($A279,Leveranser_per_nät,'Leveranser per nät'!AA$1,FALSE)
               +Andel_beroende_av_klimat*VLOOKUP($A279,Leveranser_per_nät,'Leveranser per nät'!AA$1,FALSE)/VLOOKUP($B279,Korrigeringsfaktor_GD,'Korrigeringsfaktor GD'!AA$1,FALSE),
"")</f>
        <v>6.1735930877078582</v>
      </c>
      <c r="AB279" s="18">
        <f>IFERROR(
                  Andel_oberoende_av_klimat*VLOOKUP($A279,Leveranser_per_nät,'Leveranser per nät'!AB$1,FALSE)
               +Andel_beroende_av_klimat*VLOOKUP($A279,Leveranser_per_nät,'Leveranser per nät'!AB$1,FALSE)/VLOOKUP($B279,Korrigeringsfaktor_GD,'Korrigeringsfaktor GD'!AB$1,FALSE),
"")</f>
        <v>6.0695053346265766</v>
      </c>
      <c r="AC279" s="18">
        <f>IFERROR(
                  Andel_oberoende_av_klimat*VLOOKUP($A279,Leveranser_per_nät,'Leveranser per nät'!AC$1,FALSE)
               +Andel_beroende_av_klimat*VLOOKUP($A279,Leveranser_per_nät,'Leveranser per nät'!AC$1,FALSE)/VLOOKUP($B279,Korrigeringsfaktor_GD,'Korrigeringsfaktor GD'!AC$1,FALSE),
"")</f>
        <v>6.3902713987473909</v>
      </c>
      <c r="AD279">
        <v>240.6</v>
      </c>
    </row>
    <row r="280" spans="1:30" x14ac:dyDescent="0.25">
      <c r="A280" t="s">
        <v>88</v>
      </c>
      <c r="B280" t="s">
        <v>88</v>
      </c>
      <c r="C280" s="18">
        <f>IFERROR(
                  Andel_oberoende_av_klimat*VLOOKUP($A280,Leveranser_per_nät,'Leveranser per nät'!C$1,FALSE)
               +Andel_beroende_av_klimat*VLOOKUP($A280,Leveranser_per_nät,'Leveranser per nät'!C$1,FALSE)/VLOOKUP($B280,Korrigeringsfaktor_GD,'Korrigeringsfaktor GD'!C$1,FALSE),
"")</f>
        <v>961.30421621621622</v>
      </c>
      <c r="D280" s="18">
        <f>IFERROR(
                  Andel_oberoende_av_klimat*VLOOKUP($A280,Leveranser_per_nät,'Leveranser per nät'!D$1,FALSE)
               +Andel_beroende_av_klimat*VLOOKUP($A280,Leveranser_per_nät,'Leveranser per nät'!D$1,FALSE)/VLOOKUP($B280,Korrigeringsfaktor_GD,'Korrigeringsfaktor GD'!D$1,FALSE),
"")</f>
        <v>985.51939393939392</v>
      </c>
      <c r="E280" s="18">
        <f>IFERROR(
                  Andel_oberoende_av_klimat*VLOOKUP($A280,Leveranser_per_nät,'Leveranser per nät'!E$1,FALSE)
               +Andel_beroende_av_klimat*VLOOKUP($A280,Leveranser_per_nät,'Leveranser per nät'!E$1,FALSE)/VLOOKUP($B280,Korrigeringsfaktor_GD,'Korrigeringsfaktor GD'!E$1,FALSE),
"")</f>
        <v>1012.9039215686274</v>
      </c>
      <c r="F280" s="18">
        <f>IFERROR(
                  Andel_oberoende_av_klimat*VLOOKUP($A280,Leveranser_per_nät,'Leveranser per nät'!F$1,FALSE)
               +Andel_beroende_av_klimat*VLOOKUP($A280,Leveranser_per_nät,'Leveranser per nät'!F$1,FALSE)/VLOOKUP($B280,Korrigeringsfaktor_GD,'Korrigeringsfaktor GD'!F$1,FALSE),
"")</f>
        <v>1062.9627659574469</v>
      </c>
      <c r="G280" s="18">
        <f>IFERROR(
                  Andel_oberoende_av_klimat*VLOOKUP($A280,Leveranser_per_nät,'Leveranser per nät'!G$1,FALSE)
               +Andel_beroende_av_klimat*VLOOKUP($A280,Leveranser_per_nät,'Leveranser per nät'!G$1,FALSE)/VLOOKUP($B280,Korrigeringsfaktor_GD,'Korrigeringsfaktor GD'!G$1,FALSE),
"")</f>
        <v>983.0919540229886</v>
      </c>
      <c r="H280" s="18">
        <f>IFERROR(
                  Andel_oberoende_av_klimat*VLOOKUP($A280,Leveranser_per_nät,'Leveranser per nät'!H$1,FALSE)
               +Andel_beroende_av_klimat*VLOOKUP($A280,Leveranser_per_nät,'Leveranser per nät'!H$1,FALSE)/VLOOKUP($B280,Korrigeringsfaktor_GD,'Korrigeringsfaktor GD'!H$1,FALSE),
"")</f>
        <v>952</v>
      </c>
      <c r="I280" s="18">
        <f>IFERROR(
                  Andel_oberoende_av_klimat*VLOOKUP($A280,Leveranser_per_nät,'Leveranser per nät'!I$1,FALSE)
               +Andel_beroende_av_klimat*VLOOKUP($A280,Leveranser_per_nät,'Leveranser per nät'!I$1,FALSE)/VLOOKUP($B280,Korrigeringsfaktor_GD,'Korrigeringsfaktor GD'!I$1,FALSE),
"")</f>
        <v>965.30000000000007</v>
      </c>
      <c r="J280" s="18">
        <f>IFERROR(
                  Andel_oberoende_av_klimat*VLOOKUP($A280,Leveranser_per_nät,'Leveranser per nät'!J$1,FALSE)
               +Andel_beroende_av_klimat*VLOOKUP($A280,Leveranser_per_nät,'Leveranser per nät'!J$1,FALSE)/VLOOKUP($B280,Korrigeringsfaktor_GD,'Korrigeringsfaktor GD'!J$1,FALSE),
"")</f>
        <v>954.26696868686872</v>
      </c>
      <c r="K280" s="18">
        <f>IFERROR(
                  Andel_oberoende_av_klimat*VLOOKUP($A280,Leveranser_per_nät,'Leveranser per nät'!K$1,FALSE)
               +Andel_beroende_av_klimat*VLOOKUP($A280,Leveranser_per_nät,'Leveranser per nät'!K$1,FALSE)/VLOOKUP($B280,Korrigeringsfaktor_GD,'Korrigeringsfaktor GD'!K$1,FALSE),
"")</f>
        <v>1003.9846285714286</v>
      </c>
      <c r="L280" s="18">
        <f>IFERROR(
                  Andel_oberoende_av_klimat*VLOOKUP($A280,Leveranser_per_nät,'Leveranser per nät'!L$1,FALSE)
               +Andel_beroende_av_klimat*VLOOKUP($A280,Leveranser_per_nät,'Leveranser per nät'!L$1,FALSE)/VLOOKUP($B280,Korrigeringsfaktor_GD,'Korrigeringsfaktor GD'!L$1,FALSE),
"")</f>
        <v>930.82601419083267</v>
      </c>
      <c r="M280" s="18">
        <f>IFERROR(
                  Andel_oberoende_av_klimat*VLOOKUP($A280,Leveranser_per_nät,'Leveranser per nät'!M$1,FALSE)
               +Andel_beroende_av_klimat*VLOOKUP($A280,Leveranser_per_nät,'Leveranser per nät'!M$1,FALSE)/VLOOKUP($B280,Korrigeringsfaktor_GD,'Korrigeringsfaktor GD'!M$1,FALSE),
"")</f>
        <v>924.26021505376343</v>
      </c>
      <c r="N280" s="18">
        <f>IFERROR(
                  Andel_oberoende_av_klimat*VLOOKUP($A280,Leveranser_per_nät,'Leveranser per nät'!N$1,FALSE)
               +Andel_beroende_av_klimat*VLOOKUP($A280,Leveranser_per_nät,'Leveranser per nät'!N$1,FALSE)/VLOOKUP($B280,Korrigeringsfaktor_GD,'Korrigeringsfaktor GD'!N$1,FALSE),
"")</f>
        <v>962.27240769230775</v>
      </c>
      <c r="O280" s="18">
        <f>IFERROR(
                  Andel_oberoende_av_klimat*VLOOKUP($A280,Leveranser_per_nät,'Leveranser per nät'!O$1,FALSE)
               +Andel_beroende_av_klimat*VLOOKUP($A280,Leveranser_per_nät,'Leveranser per nät'!O$1,FALSE)/VLOOKUP($B280,Korrigeringsfaktor_GD,'Korrigeringsfaktor GD'!O$1,FALSE),
"")</f>
        <v>1091.9494382022472</v>
      </c>
      <c r="P280" s="18">
        <f>IFERROR(
                  Andel_oberoende_av_klimat*VLOOKUP($A280,Leveranser_per_nät,'Leveranser per nät'!P$1,FALSE)
               +Andel_beroende_av_klimat*VLOOKUP($A280,Leveranser_per_nät,'Leveranser per nät'!P$1,FALSE)/VLOOKUP($B280,Korrigeringsfaktor_GD,'Korrigeringsfaktor GD'!P$1,FALSE),
"")</f>
        <v>975.03285714285721</v>
      </c>
      <c r="Q280" s="18">
        <f>IFERROR(
                  Andel_oberoende_av_klimat*VLOOKUP($A280,Leveranser_per_nät,'Leveranser per nät'!Q$1,FALSE)
               +Andel_beroende_av_klimat*VLOOKUP($A280,Leveranser_per_nät,'Leveranser per nät'!Q$1,FALSE)/VLOOKUP($B280,Korrigeringsfaktor_GD,'Korrigeringsfaktor GD'!Q$1,FALSE),
"")</f>
        <v>986.323076923077</v>
      </c>
      <c r="R280" s="18">
        <f>IFERROR(
                  Andel_oberoende_av_klimat*VLOOKUP($A280,Leveranser_per_nät,'Leveranser per nät'!R$1,FALSE)
               +Andel_beroende_av_klimat*VLOOKUP($A280,Leveranser_per_nät,'Leveranser per nät'!R$1,FALSE)/VLOOKUP($B280,Korrigeringsfaktor_GD,'Korrigeringsfaktor GD'!R$1,FALSE),
"")</f>
        <v>991.55555555555566</v>
      </c>
      <c r="S280" s="18">
        <f>IFERROR(
                  Andel_oberoende_av_klimat*VLOOKUP($A280,Leveranser_per_nät,'Leveranser per nät'!S$1,FALSE)
               +Andel_beroende_av_klimat*VLOOKUP($A280,Leveranser_per_nät,'Leveranser per nät'!S$1,FALSE)/VLOOKUP($B280,Korrigeringsfaktor_GD,'Korrigeringsfaktor GD'!S$1,FALSE),
"")</f>
        <v>980</v>
      </c>
      <c r="T280" s="18">
        <f>IFERROR(
                  Andel_oberoende_av_klimat*VLOOKUP($A280,Leveranser_per_nät,'Leveranser per nät'!T$1,FALSE)
               +Andel_beroende_av_klimat*VLOOKUP($A280,Leveranser_per_nät,'Leveranser per nät'!T$1,FALSE)/VLOOKUP($B280,Korrigeringsfaktor_GD,'Korrigeringsfaktor GD'!T$1,FALSE),
"")</f>
        <v>981.80515463917527</v>
      </c>
      <c r="U280" s="18">
        <f>IFERROR(
                  Andel_oberoende_av_klimat*VLOOKUP($A280,Leveranser_per_nät,'Leveranser per nät'!U$1,FALSE)
               +Andel_beroende_av_klimat*VLOOKUP($A280,Leveranser_per_nät,'Leveranser per nät'!U$1,FALSE)/VLOOKUP($B280,Korrigeringsfaktor_GD,'Korrigeringsfaktor GD'!U$1,FALSE),
"")</f>
        <v>953.26454545454544</v>
      </c>
      <c r="V280" s="18">
        <f>IFERROR(
                  Andel_oberoende_av_klimat*VLOOKUP($A280,Leveranser_per_nät,'Leveranser per nät'!V$1,FALSE)
               +Andel_beroende_av_klimat*VLOOKUP($A280,Leveranser_per_nät,'Leveranser per nät'!V$1,FALSE)/VLOOKUP($B280,Korrigeringsfaktor_GD,'Korrigeringsfaktor GD'!V$1,FALSE),
"")</f>
        <v>949.7590909090909</v>
      </c>
      <c r="W280" s="18">
        <f>IFERROR(
                  Andel_oberoende_av_klimat*VLOOKUP($A280,Leveranser_per_nät,'Leveranser per nät'!W$1,FALSE)
               +Andel_beroende_av_klimat*VLOOKUP($A280,Leveranser_per_nät,'Leveranser per nät'!W$1,FALSE)/VLOOKUP($B280,Korrigeringsfaktor_GD,'Korrigeringsfaktor GD'!W$1,FALSE),
"")</f>
        <v>956.92765957446807</v>
      </c>
      <c r="X280" s="18" t="str">
        <f>IFERROR(
                  Andel_oberoende_av_klimat*VLOOKUP($A280,Leveranser_per_nät,'Leveranser per nät'!X$1,FALSE)
               +Andel_beroende_av_klimat*VLOOKUP($A280,Leveranser_per_nät,'Leveranser per nät'!X$1,FALSE)/VLOOKUP($B280,Korrigeringsfaktor_GD,'Korrigeringsfaktor GD'!X$1,FALSE),
"")</f>
        <v/>
      </c>
      <c r="Y280" s="18" t="str">
        <f>IFERROR(
                  Andel_oberoende_av_klimat*VLOOKUP($A280,Leveranser_per_nät,'Leveranser per nät'!Y$1,FALSE)
               +Andel_beroende_av_klimat*VLOOKUP($A280,Leveranser_per_nät,'Leveranser per nät'!Y$1,FALSE)/VLOOKUP($B280,Korrigeringsfaktor_GD,'Korrigeringsfaktor GD'!Y$1,FALSE),
"")</f>
        <v/>
      </c>
      <c r="Z280" s="18">
        <f>IFERROR(
                  Andel_oberoende_av_klimat*VLOOKUP($A280,Leveranser_per_nät,'Leveranser per nät'!Z$1,FALSE)
               +Andel_beroende_av_klimat*VLOOKUP($A280,Leveranser_per_nät,'Leveranser per nät'!Z$1,FALSE)/VLOOKUP($B280,Korrigeringsfaktor_GD,'Korrigeringsfaktor GD'!Z$1,FALSE),
"")</f>
        <v>0</v>
      </c>
      <c r="AA280" s="18" t="str">
        <f>IFERROR(
                  Andel_oberoende_av_klimat*VLOOKUP($A280,Leveranser_per_nät,'Leveranser per nät'!AA$1,FALSE)
               +Andel_beroende_av_klimat*VLOOKUP($A280,Leveranser_per_nät,'Leveranser per nät'!AA$1,FALSE)/VLOOKUP($B280,Korrigeringsfaktor_GD,'Korrigeringsfaktor GD'!AA$1,FALSE),
"")</f>
        <v/>
      </c>
      <c r="AB280" s="18">
        <f>IFERROR(
                  Andel_oberoende_av_klimat*VLOOKUP($A280,Leveranser_per_nät,'Leveranser per nät'!AB$1,FALSE)
               +Andel_beroende_av_klimat*VLOOKUP($A280,Leveranser_per_nät,'Leveranser per nät'!AB$1,FALSE)/VLOOKUP($B280,Korrigeringsfaktor_GD,'Korrigeringsfaktor GD'!AB$1,FALSE),
"")</f>
        <v>0</v>
      </c>
      <c r="AC280" s="18">
        <f>IFERROR(
                  Andel_oberoende_av_klimat*VLOOKUP($A280,Leveranser_per_nät,'Leveranser per nät'!AC$1,FALSE)
               +Andel_beroende_av_klimat*VLOOKUP($A280,Leveranser_per_nät,'Leveranser per nät'!AC$1,FALSE)/VLOOKUP($B280,Korrigeringsfaktor_GD,'Korrigeringsfaktor GD'!AC$1,FALSE),
"")</f>
        <v>0</v>
      </c>
      <c r="AD280" t="e">
        <v>#N/A</v>
      </c>
    </row>
    <row r="281" spans="1:30" x14ac:dyDescent="0.25">
      <c r="A281" t="s">
        <v>927</v>
      </c>
      <c r="B281" t="s">
        <v>88</v>
      </c>
      <c r="C281" s="18"/>
      <c r="D281" s="18"/>
      <c r="E281" s="18"/>
      <c r="F281" s="18"/>
      <c r="G281" s="18"/>
      <c r="H281" s="18"/>
      <c r="I281" s="18"/>
      <c r="J281" s="18"/>
      <c r="K281" s="18"/>
      <c r="L281" s="18"/>
      <c r="M281" s="18"/>
      <c r="N281" s="18"/>
      <c r="O281" s="18"/>
      <c r="P281" s="18"/>
      <c r="Q281" s="18"/>
      <c r="R281" s="18">
        <f>IFERROR(
                  Andel_oberoende_av_klimat*VLOOKUP($A281,Leveranser_per_nät,'Leveranser per nät'!R$1,FALSE)
               +Andel_beroende_av_klimat*VLOOKUP($A281,Leveranser_per_nät,'Leveranser per nät'!R$1,FALSE)/VLOOKUP($B281,Korrigeringsfaktor_GD,'Korrigeringsfaktor GD'!R$1,FALSE),
"")</f>
        <v>0</v>
      </c>
      <c r="S281" s="18">
        <f>IFERROR(
                  Andel_oberoende_av_klimat*VLOOKUP($A281,Leveranser_per_nät,'Leveranser per nät'!S$1,FALSE)
               +Andel_beroende_av_klimat*VLOOKUP($A281,Leveranser_per_nät,'Leveranser per nät'!S$1,FALSE)/VLOOKUP($B281,Korrigeringsfaktor_GD,'Korrigeringsfaktor GD'!S$1,FALSE),
"")</f>
        <v>0</v>
      </c>
      <c r="T281" s="18">
        <f>IFERROR(
                  Andel_oberoende_av_klimat*VLOOKUP($A281,Leveranser_per_nät,'Leveranser per nät'!T$1,FALSE)
               +Andel_beroende_av_klimat*VLOOKUP($A281,Leveranser_per_nät,'Leveranser per nät'!T$1,FALSE)/VLOOKUP($B281,Korrigeringsfaktor_GD,'Korrigeringsfaktor GD'!T$1,FALSE),
"")</f>
        <v>0</v>
      </c>
      <c r="U281" s="18">
        <f>IFERROR(
                  Andel_oberoende_av_klimat*VLOOKUP($A281,Leveranser_per_nät,'Leveranser per nät'!U$1,FALSE)
               +Andel_beroende_av_klimat*VLOOKUP($A281,Leveranser_per_nät,'Leveranser per nät'!U$1,FALSE)/VLOOKUP($B281,Korrigeringsfaktor_GD,'Korrigeringsfaktor GD'!U$1,FALSE),
"")</f>
        <v>0</v>
      </c>
      <c r="V281" s="18">
        <f>IFERROR(
                  Andel_oberoende_av_klimat*VLOOKUP($A281,Leveranser_per_nät,'Leveranser per nät'!V$1,FALSE)
               +Andel_beroende_av_klimat*VLOOKUP($A281,Leveranser_per_nät,'Leveranser per nät'!V$1,FALSE)/VLOOKUP($B281,Korrigeringsfaktor_GD,'Korrigeringsfaktor GD'!V$1,FALSE),
"")</f>
        <v>0</v>
      </c>
      <c r="W281" s="18">
        <f>IFERROR(
                  Andel_oberoende_av_klimat*VLOOKUP($A281,Leveranser_per_nät,'Leveranser per nät'!W$1,FALSE)
               +Andel_beroende_av_klimat*VLOOKUP($A281,Leveranser_per_nät,'Leveranser per nät'!W$1,FALSE)/VLOOKUP($B281,Korrigeringsfaktor_GD,'Korrigeringsfaktor GD'!W$1,FALSE),
"")</f>
        <v>0</v>
      </c>
      <c r="X281" s="18" t="str">
        <f>IFERROR(
                  Andel_oberoende_av_klimat*VLOOKUP($A281,Leveranser_per_nät,'Leveranser per nät'!X$1,FALSE)
               +Andel_beroende_av_klimat*VLOOKUP($A281,Leveranser_per_nät,'Leveranser per nät'!X$1,FALSE)/VLOOKUP($B281,Korrigeringsfaktor_GD,'Korrigeringsfaktor GD'!X$1,FALSE),
"")</f>
        <v/>
      </c>
      <c r="Y281" s="18" t="str">
        <f>IFERROR(
                  Andel_oberoende_av_klimat*VLOOKUP($A281,Leveranser_per_nät,'Leveranser per nät'!Y$1,FALSE)
               +Andel_beroende_av_klimat*VLOOKUP($A281,Leveranser_per_nät,'Leveranser per nät'!Y$1,FALSE)/VLOOKUP($B281,Korrigeringsfaktor_GD,'Korrigeringsfaktor GD'!Y$1,FALSE),
"")</f>
        <v/>
      </c>
      <c r="Z281" s="18">
        <f>IFERROR(
                  Andel_oberoende_av_klimat*VLOOKUP($A281,Leveranser_per_nät,'Leveranser per nät'!Z$1,FALSE)
               +Andel_beroende_av_klimat*VLOOKUP($A281,Leveranser_per_nät,'Leveranser per nät'!Z$1,FALSE)/VLOOKUP($B281,Korrigeringsfaktor_GD,'Korrigeringsfaktor GD'!Z$1,FALSE),
"")</f>
        <v>979.16511627906982</v>
      </c>
      <c r="AA281" s="18">
        <f>IFERROR(
                  Andel_oberoende_av_klimat*VLOOKUP($A281,Leveranser_per_nät,'Leveranser per nät'!AA$1,FALSE)
               +Andel_beroende_av_klimat*VLOOKUP($A281,Leveranser_per_nät,'Leveranser per nät'!AA$1,FALSE)/VLOOKUP($B281,Korrigeringsfaktor_GD,'Korrigeringsfaktor GD'!AA$1,FALSE),
"")</f>
        <v>932.02143946932006</v>
      </c>
      <c r="AB281" s="18">
        <f>IFERROR(
                  Andel_oberoende_av_klimat*VLOOKUP($A281,Leveranser_per_nät,'Leveranser per nät'!AB$1,FALSE)
               +Andel_beroende_av_klimat*VLOOKUP($A281,Leveranser_per_nät,'Leveranser per nät'!AB$1,FALSE)/VLOOKUP($B281,Korrigeringsfaktor_GD,'Korrigeringsfaktor GD'!AB$1,FALSE),
"")</f>
        <v>894.22657718120809</v>
      </c>
      <c r="AC281" s="18">
        <f>IFERROR(
                  Andel_oberoende_av_klimat*VLOOKUP($A281,Leveranser_per_nät,'Leveranser per nät'!AC$1,FALSE)
               +Andel_beroende_av_klimat*VLOOKUP($A281,Leveranser_per_nät,'Leveranser per nät'!AC$1,FALSE)/VLOOKUP($B281,Korrigeringsfaktor_GD,'Korrigeringsfaktor GD'!AC$1,FALSE),
"")</f>
        <v>819.19782608695652</v>
      </c>
      <c r="AD281" t="e">
        <v>#N/A</v>
      </c>
    </row>
    <row r="282" spans="1:30" x14ac:dyDescent="0.25">
      <c r="A282" t="s">
        <v>494</v>
      </c>
      <c r="B282" t="s">
        <v>138</v>
      </c>
      <c r="C282" s="18">
        <f>IFERROR(
                  Andel_oberoende_av_klimat*VLOOKUP($A282,Leveranser_per_nät,'Leveranser per nät'!C$1,FALSE)
               +Andel_beroende_av_klimat*VLOOKUP($A282,Leveranser_per_nät,'Leveranser per nät'!C$1,FALSE)/VLOOKUP($B282,Korrigeringsfaktor_GD,'Korrigeringsfaktor GD'!C$1,FALSE),
"")</f>
        <v>0</v>
      </c>
      <c r="D282" s="18">
        <f>IFERROR(
                  Andel_oberoende_av_klimat*VLOOKUP($A282,Leveranser_per_nät,'Leveranser per nät'!D$1,FALSE)
               +Andel_beroende_av_klimat*VLOOKUP($A282,Leveranser_per_nät,'Leveranser per nät'!D$1,FALSE)/VLOOKUP($B282,Korrigeringsfaktor_GD,'Korrigeringsfaktor GD'!D$1,FALSE),
"")</f>
        <v>0</v>
      </c>
      <c r="E282" s="18">
        <f>IFERROR(
                  Andel_oberoende_av_klimat*VLOOKUP($A282,Leveranser_per_nät,'Leveranser per nät'!E$1,FALSE)
               +Andel_beroende_av_klimat*VLOOKUP($A282,Leveranser_per_nät,'Leveranser per nät'!E$1,FALSE)/VLOOKUP($B282,Korrigeringsfaktor_GD,'Korrigeringsfaktor GD'!E$1,FALSE),
"")</f>
        <v>0</v>
      </c>
      <c r="F282" s="18">
        <f>IFERROR(
                  Andel_oberoende_av_klimat*VLOOKUP($A282,Leveranser_per_nät,'Leveranser per nät'!F$1,FALSE)
               +Andel_beroende_av_klimat*VLOOKUP($A282,Leveranser_per_nät,'Leveranser per nät'!F$1,FALSE)/VLOOKUP($B282,Korrigeringsfaktor_GD,'Korrigeringsfaktor GD'!F$1,FALSE),
"")</f>
        <v>0</v>
      </c>
      <c r="G282" s="18">
        <f>IFERROR(
                  Andel_oberoende_av_klimat*VLOOKUP($A282,Leveranser_per_nät,'Leveranser per nät'!G$1,FALSE)
               +Andel_beroende_av_klimat*VLOOKUP($A282,Leveranser_per_nät,'Leveranser per nät'!G$1,FALSE)/VLOOKUP($B282,Korrigeringsfaktor_GD,'Korrigeringsfaktor GD'!G$1,FALSE),
"")</f>
        <v>0</v>
      </c>
      <c r="H282" s="18">
        <f>IFERROR(
                  Andel_oberoende_av_klimat*VLOOKUP($A282,Leveranser_per_nät,'Leveranser per nät'!H$1,FALSE)
               +Andel_beroende_av_klimat*VLOOKUP($A282,Leveranser_per_nät,'Leveranser per nät'!H$1,FALSE)/VLOOKUP($B282,Korrigeringsfaktor_GD,'Korrigeringsfaktor GD'!H$1,FALSE),
"")</f>
        <v>0</v>
      </c>
      <c r="I282" s="18">
        <f>IFERROR(
                  Andel_oberoende_av_klimat*VLOOKUP($A282,Leveranser_per_nät,'Leveranser per nät'!I$1,FALSE)
               +Andel_beroende_av_klimat*VLOOKUP($A282,Leveranser_per_nät,'Leveranser per nät'!I$1,FALSE)/VLOOKUP($B282,Korrigeringsfaktor_GD,'Korrigeringsfaktor GD'!I$1,FALSE),
"")</f>
        <v>0</v>
      </c>
      <c r="J282" s="18">
        <f>IFERROR(
                  Andel_oberoende_av_klimat*VLOOKUP($A282,Leveranser_per_nät,'Leveranser per nät'!J$1,FALSE)
               +Andel_beroende_av_klimat*VLOOKUP($A282,Leveranser_per_nät,'Leveranser per nät'!J$1,FALSE)/VLOOKUP($B282,Korrigeringsfaktor_GD,'Korrigeringsfaktor GD'!J$1,FALSE),
"")</f>
        <v>0</v>
      </c>
      <c r="K282" s="18">
        <f>IFERROR(
                  Andel_oberoende_av_klimat*VLOOKUP($A282,Leveranser_per_nät,'Leveranser per nät'!K$1,FALSE)
               +Andel_beroende_av_klimat*VLOOKUP($A282,Leveranser_per_nät,'Leveranser per nät'!K$1,FALSE)/VLOOKUP($B282,Korrigeringsfaktor_GD,'Korrigeringsfaktor GD'!K$1,FALSE),
"")</f>
        <v>0</v>
      </c>
      <c r="L282" s="18">
        <f>IFERROR(
                  Andel_oberoende_av_klimat*VLOOKUP($A282,Leveranser_per_nät,'Leveranser per nät'!L$1,FALSE)
               +Andel_beroende_av_klimat*VLOOKUP($A282,Leveranser_per_nät,'Leveranser per nät'!L$1,FALSE)/VLOOKUP($B282,Korrigeringsfaktor_GD,'Korrigeringsfaktor GD'!L$1,FALSE),
"")</f>
        <v>0</v>
      </c>
      <c r="M282" s="18">
        <f>IFERROR(
                  Andel_oberoende_av_klimat*VLOOKUP($A282,Leveranser_per_nät,'Leveranser per nät'!M$1,FALSE)
               +Andel_beroende_av_klimat*VLOOKUP($A282,Leveranser_per_nät,'Leveranser per nät'!M$1,FALSE)/VLOOKUP($B282,Korrigeringsfaktor_GD,'Korrigeringsfaktor GD'!M$1,FALSE),
"")</f>
        <v>0</v>
      </c>
      <c r="N282" s="18">
        <f>IFERROR(
                  Andel_oberoende_av_klimat*VLOOKUP($A282,Leveranser_per_nät,'Leveranser per nät'!N$1,FALSE)
               +Andel_beroende_av_klimat*VLOOKUP($A282,Leveranser_per_nät,'Leveranser per nät'!N$1,FALSE)/VLOOKUP($B282,Korrigeringsfaktor_GD,'Korrigeringsfaktor GD'!N$1,FALSE),
"")</f>
        <v>0</v>
      </c>
      <c r="O282" s="18">
        <f>IFERROR(
                  Andel_oberoende_av_klimat*VLOOKUP($A282,Leveranser_per_nät,'Leveranser per nät'!O$1,FALSE)
               +Andel_beroende_av_klimat*VLOOKUP($A282,Leveranser_per_nät,'Leveranser per nät'!O$1,FALSE)/VLOOKUP($B282,Korrigeringsfaktor_GD,'Korrigeringsfaktor GD'!O$1,FALSE),
"")</f>
        <v>0</v>
      </c>
      <c r="P282" s="18">
        <f>IFERROR(
                  Andel_oberoende_av_klimat*VLOOKUP($A282,Leveranser_per_nät,'Leveranser per nät'!P$1,FALSE)
               +Andel_beroende_av_klimat*VLOOKUP($A282,Leveranser_per_nät,'Leveranser per nät'!P$1,FALSE)/VLOOKUP($B282,Korrigeringsfaktor_GD,'Korrigeringsfaktor GD'!P$1,FALSE),
"")</f>
        <v>4.26</v>
      </c>
      <c r="Q282" s="18">
        <f>IFERROR(
                  Andel_oberoende_av_klimat*VLOOKUP($A282,Leveranser_per_nät,'Leveranser per nät'!Q$1,FALSE)
               +Andel_beroende_av_klimat*VLOOKUP($A282,Leveranser_per_nät,'Leveranser per nät'!Q$1,FALSE)/VLOOKUP($B282,Korrigeringsfaktor_GD,'Korrigeringsfaktor GD'!Q$1,FALSE),
"")</f>
        <v>3.5439130434782609</v>
      </c>
      <c r="R282" s="18">
        <f>IFERROR(
                  Andel_oberoende_av_klimat*VLOOKUP($A282,Leveranser_per_nät,'Leveranser per nät'!R$1,FALSE)
               +Andel_beroende_av_klimat*VLOOKUP($A282,Leveranser_per_nät,'Leveranser per nät'!R$1,FALSE)/VLOOKUP($B282,Korrigeringsfaktor_GD,'Korrigeringsfaktor GD'!R$1,FALSE),
"")</f>
        <v>3.5284615384615381</v>
      </c>
      <c r="S282" s="18">
        <f>IFERROR(
                  Andel_oberoende_av_klimat*VLOOKUP($A282,Leveranser_per_nät,'Leveranser per nät'!S$1,FALSE)
               +Andel_beroende_av_klimat*VLOOKUP($A282,Leveranser_per_nät,'Leveranser per nät'!S$1,FALSE)/VLOOKUP($B282,Korrigeringsfaktor_GD,'Korrigeringsfaktor GD'!S$1,FALSE),
"")</f>
        <v>3.5</v>
      </c>
      <c r="T282" s="18">
        <f>IFERROR(
                  Andel_oberoende_av_klimat*VLOOKUP($A282,Leveranser_per_nät,'Leveranser per nät'!T$1,FALSE)
               +Andel_beroende_av_klimat*VLOOKUP($A282,Leveranser_per_nät,'Leveranser per nät'!T$1,FALSE)/VLOOKUP($B282,Korrigeringsfaktor_GD,'Korrigeringsfaktor GD'!T$1,FALSE),
"")</f>
        <v>3.4991666666666665</v>
      </c>
      <c r="U282" s="18">
        <f>IFERROR(
                  Andel_oberoende_av_klimat*VLOOKUP($A282,Leveranser_per_nät,'Leveranser per nät'!U$1,FALSE)
               +Andel_beroende_av_klimat*VLOOKUP($A282,Leveranser_per_nät,'Leveranser per nät'!U$1,FALSE)/VLOOKUP($B282,Korrigeringsfaktor_GD,'Korrigeringsfaktor GD'!U$1,FALSE),
"")</f>
        <v>3.4790666666666663</v>
      </c>
      <c r="V282" s="18">
        <f>IFERROR(
                  Andel_oberoende_av_klimat*VLOOKUP($A282,Leveranser_per_nät,'Leveranser per nät'!V$1,FALSE)
               +Andel_beroende_av_klimat*VLOOKUP($A282,Leveranser_per_nät,'Leveranser per nät'!V$1,FALSE)/VLOOKUP($B282,Korrigeringsfaktor_GD,'Korrigeringsfaktor GD'!V$1,FALSE),
"")</f>
        <v>3.5631333333333335</v>
      </c>
      <c r="W282" s="18">
        <f>IFERROR(
                  Andel_oberoende_av_klimat*VLOOKUP($A282,Leveranser_per_nät,'Leveranser per nät'!W$1,FALSE)
               +Andel_beroende_av_klimat*VLOOKUP($A282,Leveranser_per_nät,'Leveranser per nät'!W$1,FALSE)/VLOOKUP($B282,Korrigeringsfaktor_GD,'Korrigeringsfaktor GD'!W$1,FALSE),
"")</f>
        <v>3.5957684210526315</v>
      </c>
      <c r="X282" s="18">
        <f>IFERROR(
                  Andel_oberoende_av_klimat*VLOOKUP($A282,Leveranser_per_nät,'Leveranser per nät'!X$1,FALSE)
               +Andel_beroende_av_klimat*VLOOKUP($A282,Leveranser_per_nät,'Leveranser per nät'!X$1,FALSE)/VLOOKUP($B282,Korrigeringsfaktor_GD,'Korrigeringsfaktor GD'!X$1,FALSE),
"")</f>
        <v>3.5978421052631582</v>
      </c>
      <c r="Y282" s="18">
        <f>IFERROR(
                  Andel_oberoende_av_klimat*VLOOKUP($A282,Leveranser_per_nät,'Leveranser per nät'!Y$1,FALSE)
               +Andel_beroende_av_klimat*VLOOKUP($A282,Leveranser_per_nät,'Leveranser per nät'!Y$1,FALSE)/VLOOKUP($B282,Korrigeringsfaktor_GD,'Korrigeringsfaktor GD'!Y$1,FALSE),
"")</f>
        <v>3.4474468085106382</v>
      </c>
      <c r="Z282" s="18">
        <f>IFERROR(
                  Andel_oberoende_av_klimat*VLOOKUP($A282,Leveranser_per_nät,'Leveranser per nät'!Z$1,FALSE)
               +Andel_beroende_av_klimat*VLOOKUP($A282,Leveranser_per_nät,'Leveranser per nät'!Z$1,FALSE)/VLOOKUP($B282,Korrigeringsfaktor_GD,'Korrigeringsfaktor GD'!Z$1,FALSE),
"")</f>
        <v>3.395909090909091</v>
      </c>
      <c r="AA282" s="18">
        <f>IFERROR(
                  Andel_oberoende_av_klimat*VLOOKUP($A282,Leveranser_per_nät,'Leveranser per nät'!AA$1,FALSE)
               +Andel_beroende_av_klimat*VLOOKUP($A282,Leveranser_per_nät,'Leveranser per nät'!AA$1,FALSE)/VLOOKUP($B282,Korrigeringsfaktor_GD,'Korrigeringsfaktor GD'!AA$1,FALSE),
"")</f>
        <v>3.281143608281301</v>
      </c>
      <c r="AB282" s="18">
        <f>IFERROR(
                  Andel_oberoende_av_klimat*VLOOKUP($A282,Leveranser_per_nät,'Leveranser per nät'!AB$1,FALSE)
               +Andel_beroende_av_klimat*VLOOKUP($A282,Leveranser_per_nät,'Leveranser per nät'!AB$1,FALSE)/VLOOKUP($B282,Korrigeringsfaktor_GD,'Korrigeringsfaktor GD'!AB$1,FALSE),
"")</f>
        <v>3.2157905337361532</v>
      </c>
      <c r="AC282" s="18">
        <f>IFERROR(
                  Andel_oberoende_av_klimat*VLOOKUP($A282,Leveranser_per_nät,'Leveranser per nät'!AC$1,FALSE)
               +Andel_beroende_av_klimat*VLOOKUP($A282,Leveranser_per_nät,'Leveranser per nät'!AC$1,FALSE)/VLOOKUP($B282,Korrigeringsfaktor_GD,'Korrigeringsfaktor GD'!AC$1,FALSE),
"")</f>
        <v>3.1136955223880598</v>
      </c>
      <c r="AD282">
        <v>662.10699999999997</v>
      </c>
    </row>
    <row r="283" spans="1:30" x14ac:dyDescent="0.25">
      <c r="A283" t="s">
        <v>221</v>
      </c>
      <c r="B283" t="s">
        <v>221</v>
      </c>
      <c r="C283" s="18">
        <f>IFERROR(
                  Andel_oberoende_av_klimat*VLOOKUP($A283,Leveranser_per_nät,'Leveranser per nät'!C$1,FALSE)
               +Andel_beroende_av_klimat*VLOOKUP($A283,Leveranser_per_nät,'Leveranser per nät'!C$1,FALSE)/VLOOKUP($B283,Korrigeringsfaktor_GD,'Korrigeringsfaktor GD'!C$1,FALSE),
"")</f>
        <v>117.04545454545453</v>
      </c>
      <c r="D283" s="18">
        <f>IFERROR(
                  Andel_oberoende_av_klimat*VLOOKUP($A283,Leveranser_per_nät,'Leveranser per nät'!D$1,FALSE)
               +Andel_beroende_av_klimat*VLOOKUP($A283,Leveranser_per_nät,'Leveranser per nät'!D$1,FALSE)/VLOOKUP($B283,Korrigeringsfaktor_GD,'Korrigeringsfaktor GD'!D$1,FALSE),
"")</f>
        <v>125.86271428571429</v>
      </c>
      <c r="E283" s="18">
        <f>IFERROR(
                  Andel_oberoende_av_klimat*VLOOKUP($A283,Leveranser_per_nät,'Leveranser per nät'!E$1,FALSE)
               +Andel_beroende_av_klimat*VLOOKUP($A283,Leveranser_per_nät,'Leveranser per nät'!E$1,FALSE)/VLOOKUP($B283,Korrigeringsfaktor_GD,'Korrigeringsfaktor GD'!E$1,FALSE),
"")</f>
        <v>129.20196078431371</v>
      </c>
      <c r="F283" s="18">
        <f>IFERROR(
                  Andel_oberoende_av_klimat*VLOOKUP($A283,Leveranser_per_nät,'Leveranser per nät'!F$1,FALSE)
               +Andel_beroende_av_klimat*VLOOKUP($A283,Leveranser_per_nät,'Leveranser per nät'!F$1,FALSE)/VLOOKUP($B283,Korrigeringsfaktor_GD,'Korrigeringsfaktor GD'!F$1,FALSE),
"")</f>
        <v>98.952688172043011</v>
      </c>
      <c r="G283" s="18">
        <f>IFERROR(
                  Andel_oberoende_av_klimat*VLOOKUP($A283,Leveranser_per_nät,'Leveranser per nät'!G$1,FALSE)
               +Andel_beroende_av_klimat*VLOOKUP($A283,Leveranser_per_nät,'Leveranser per nät'!G$1,FALSE)/VLOOKUP($B283,Korrigeringsfaktor_GD,'Korrigeringsfaktor GD'!G$1,FALSE),
"")</f>
        <v>100.23333333333333</v>
      </c>
      <c r="H283" s="18">
        <f>IFERROR(
                  Andel_oberoende_av_klimat*VLOOKUP($A283,Leveranser_per_nät,'Leveranser per nät'!H$1,FALSE)
               +Andel_beroende_av_klimat*VLOOKUP($A283,Leveranser_per_nät,'Leveranser per nät'!H$1,FALSE)/VLOOKUP($B283,Korrigeringsfaktor_GD,'Korrigeringsfaktor GD'!H$1,FALSE),
"")</f>
        <v>102.44285714285715</v>
      </c>
      <c r="I283" s="18">
        <f>IFERROR(
                  Andel_oberoende_av_klimat*VLOOKUP($A283,Leveranser_per_nät,'Leveranser per nät'!I$1,FALSE)
               +Andel_beroende_av_klimat*VLOOKUP($A283,Leveranser_per_nät,'Leveranser per nät'!I$1,FALSE)/VLOOKUP($B283,Korrigeringsfaktor_GD,'Korrigeringsfaktor GD'!I$1,FALSE),
"")</f>
        <v>110.12083333333334</v>
      </c>
      <c r="J283" s="18">
        <f>IFERROR(
                  Andel_oberoende_av_klimat*VLOOKUP($A283,Leveranser_per_nät,'Leveranser per nät'!J$1,FALSE)
               +Andel_beroende_av_klimat*VLOOKUP($A283,Leveranser_per_nät,'Leveranser per nät'!J$1,FALSE)/VLOOKUP($B283,Korrigeringsfaktor_GD,'Korrigeringsfaktor GD'!J$1,FALSE),
"")</f>
        <v>110</v>
      </c>
      <c r="K283" s="18">
        <f>IFERROR(
                  Andel_oberoende_av_klimat*VLOOKUP($A283,Leveranser_per_nät,'Leveranser per nät'!K$1,FALSE)
               +Andel_beroende_av_klimat*VLOOKUP($A283,Leveranser_per_nät,'Leveranser per nät'!K$1,FALSE)/VLOOKUP($B283,Korrigeringsfaktor_GD,'Korrigeringsfaktor GD'!K$1,FALSE),
"")</f>
        <v>112.33773030303031</v>
      </c>
      <c r="L283" s="18">
        <f>IFERROR(
                  Andel_oberoende_av_klimat*VLOOKUP($A283,Leveranser_per_nät,'Leveranser per nät'!L$1,FALSE)
               +Andel_beroende_av_klimat*VLOOKUP($A283,Leveranser_per_nät,'Leveranser per nät'!L$1,FALSE)/VLOOKUP($B283,Korrigeringsfaktor_GD,'Korrigeringsfaktor GD'!L$1,FALSE),
"")</f>
        <v>109.38600833333334</v>
      </c>
      <c r="M283" s="18">
        <f>IFERROR(
                  Andel_oberoende_av_klimat*VLOOKUP($A283,Leveranser_per_nät,'Leveranser per nät'!M$1,FALSE)
               +Andel_beroende_av_klimat*VLOOKUP($A283,Leveranser_per_nät,'Leveranser per nät'!M$1,FALSE)/VLOOKUP($B283,Korrigeringsfaktor_GD,'Korrigeringsfaktor GD'!M$1,FALSE),
"")</f>
        <v>111.42809569892472</v>
      </c>
      <c r="N283" s="18">
        <f>IFERROR(
                  Andel_oberoende_av_klimat*VLOOKUP($A283,Leveranser_per_nät,'Leveranser per nät'!N$1,FALSE)
               +Andel_beroende_av_klimat*VLOOKUP($A283,Leveranser_per_nät,'Leveranser per nät'!N$1,FALSE)/VLOOKUP($B283,Korrigeringsfaktor_GD,'Korrigeringsfaktor GD'!N$1,FALSE),
"")</f>
        <v>111.49757311827956</v>
      </c>
      <c r="O283" s="18">
        <f>IFERROR(
                  Andel_oberoende_av_klimat*VLOOKUP($A283,Leveranser_per_nät,'Leveranser per nät'!O$1,FALSE)
               +Andel_beroende_av_klimat*VLOOKUP($A283,Leveranser_per_nät,'Leveranser per nät'!O$1,FALSE)/VLOOKUP($B283,Korrigeringsfaktor_GD,'Korrigeringsfaktor GD'!O$1,FALSE),
"")</f>
        <v>111.4353415730337</v>
      </c>
      <c r="P283" s="18">
        <f>IFERROR(
                  Andel_oberoende_av_klimat*VLOOKUP($A283,Leveranser_per_nät,'Leveranser per nät'!P$1,FALSE)
               +Andel_beroende_av_klimat*VLOOKUP($A283,Leveranser_per_nät,'Leveranser per nät'!P$1,FALSE)/VLOOKUP($B283,Korrigeringsfaktor_GD,'Korrigeringsfaktor GD'!P$1,FALSE),
"")</f>
        <v>114.42172083333334</v>
      </c>
      <c r="Q283" s="18">
        <f>IFERROR(
                  Andel_oberoende_av_klimat*VLOOKUP($A283,Leveranser_per_nät,'Leveranser per nät'!Q$1,FALSE)
               +Andel_beroende_av_klimat*VLOOKUP($A283,Leveranser_per_nät,'Leveranser per nät'!Q$1,FALSE)/VLOOKUP($B283,Korrigeringsfaktor_GD,'Korrigeringsfaktor GD'!Q$1,FALSE),
"")</f>
        <v>120.41762173913045</v>
      </c>
      <c r="R283" s="18">
        <f>IFERROR(
                  Andel_oberoende_av_klimat*VLOOKUP($A283,Leveranser_per_nät,'Leveranser per nät'!R$1,FALSE)
               +Andel_beroende_av_klimat*VLOOKUP($A283,Leveranser_per_nät,'Leveranser per nät'!R$1,FALSE)/VLOOKUP($B283,Korrigeringsfaktor_GD,'Korrigeringsfaktor GD'!R$1,FALSE),
"")</f>
        <v>116.25326956521738</v>
      </c>
      <c r="S283" s="18">
        <f>IFERROR(
                  Andel_oberoende_av_klimat*VLOOKUP($A283,Leveranser_per_nät,'Leveranser per nät'!S$1,FALSE)
               +Andel_beroende_av_klimat*VLOOKUP($A283,Leveranser_per_nät,'Leveranser per nät'!S$1,FALSE)/VLOOKUP($B283,Korrigeringsfaktor_GD,'Korrigeringsfaktor GD'!S$1,FALSE),
"")</f>
        <v>125</v>
      </c>
      <c r="T283" s="18">
        <f>IFERROR(
                  Andel_oberoende_av_klimat*VLOOKUP($A283,Leveranser_per_nät,'Leveranser per nät'!T$1,FALSE)
               +Andel_beroende_av_klimat*VLOOKUP($A283,Leveranser_per_nät,'Leveranser per nät'!T$1,FALSE)/VLOOKUP($B283,Korrigeringsfaktor_GD,'Korrigeringsfaktor GD'!T$1,FALSE),
"")</f>
        <v>126.38887083333336</v>
      </c>
      <c r="U283" s="18">
        <f>IFERROR(
                  Andel_oberoende_av_klimat*VLOOKUP($A283,Leveranser_per_nät,'Leveranser per nät'!U$1,FALSE)
               +Andel_beroende_av_klimat*VLOOKUP($A283,Leveranser_per_nät,'Leveranser per nät'!U$1,FALSE)/VLOOKUP($B283,Korrigeringsfaktor_GD,'Korrigeringsfaktor GD'!U$1,FALSE),
"")</f>
        <v>125.73933595505618</v>
      </c>
      <c r="V283" s="18">
        <f>IFERROR(
                  Andel_oberoende_av_klimat*VLOOKUP($A283,Leveranser_per_nät,'Leveranser per nät'!V$1,FALSE)
               +Andel_beroende_av_klimat*VLOOKUP($A283,Leveranser_per_nät,'Leveranser per nät'!V$1,FALSE)/VLOOKUP($B283,Korrigeringsfaktor_GD,'Korrigeringsfaktor GD'!V$1,FALSE),
"")</f>
        <v>127.69805813953491</v>
      </c>
      <c r="W283" s="18">
        <f>IFERROR(
                  Andel_oberoende_av_klimat*VLOOKUP($A283,Leveranser_per_nät,'Leveranser per nät'!W$1,FALSE)
               +Andel_beroende_av_klimat*VLOOKUP($A283,Leveranser_per_nät,'Leveranser per nät'!W$1,FALSE)/VLOOKUP($B283,Korrigeringsfaktor_GD,'Korrigeringsfaktor GD'!W$1,FALSE),
"")</f>
        <v>127.57120212765957</v>
      </c>
      <c r="X283" s="18">
        <f>IFERROR(
                  Andel_oberoende_av_klimat*VLOOKUP($A283,Leveranser_per_nät,'Leveranser per nät'!X$1,FALSE)
               +Andel_beroende_av_klimat*VLOOKUP($A283,Leveranser_per_nät,'Leveranser per nät'!X$1,FALSE)/VLOOKUP($B283,Korrigeringsfaktor_GD,'Korrigeringsfaktor GD'!X$1,FALSE),
"")</f>
        <v>131.13147446808512</v>
      </c>
      <c r="Y283" s="18">
        <f>IFERROR(
                  Andel_oberoende_av_klimat*VLOOKUP($A283,Leveranser_per_nät,'Leveranser per nät'!Y$1,FALSE)
               +Andel_beroende_av_klimat*VLOOKUP($A283,Leveranser_per_nät,'Leveranser per nät'!Y$1,FALSE)/VLOOKUP($B283,Korrigeringsfaktor_GD,'Korrigeringsfaktor GD'!Y$1,FALSE),
"")</f>
        <v>131.46507826086957</v>
      </c>
      <c r="Z283" s="18">
        <f>IFERROR(
                  Andel_oberoende_av_klimat*VLOOKUP($A283,Leveranser_per_nät,'Leveranser per nät'!Z$1,FALSE)
               +Andel_beroende_av_klimat*VLOOKUP($A283,Leveranser_per_nät,'Leveranser per nät'!Z$1,FALSE)/VLOOKUP($B283,Korrigeringsfaktor_GD,'Korrigeringsfaktor GD'!Z$1,FALSE),
"")</f>
        <v>120.31070909090909</v>
      </c>
      <c r="AA283" s="18">
        <f>IFERROR(
                  Andel_oberoende_av_klimat*VLOOKUP($A283,Leveranser_per_nät,'Leveranser per nät'!AA$1,FALSE)
               +Andel_beroende_av_klimat*VLOOKUP($A283,Leveranser_per_nät,'Leveranser per nät'!AA$1,FALSE)/VLOOKUP($B283,Korrigeringsfaktor_GD,'Korrigeringsfaktor GD'!AA$1,FALSE),
"")</f>
        <v>119.10061010617383</v>
      </c>
      <c r="AB283" s="18">
        <f>IFERROR(
                  Andel_oberoende_av_klimat*VLOOKUP($A283,Leveranser_per_nät,'Leveranser per nät'!AB$1,FALSE)
               +Andel_beroende_av_klimat*VLOOKUP($A283,Leveranser_per_nät,'Leveranser per nät'!AB$1,FALSE)/VLOOKUP($B283,Korrigeringsfaktor_GD,'Korrigeringsfaktor GD'!AB$1,FALSE),
"")</f>
        <v>130.56420156249999</v>
      </c>
      <c r="AC283" s="18">
        <f>IFERROR(
                  Andel_oberoende_av_klimat*VLOOKUP($A283,Leveranser_per_nät,'Leveranser per nät'!AC$1,FALSE)
               +Andel_beroende_av_klimat*VLOOKUP($A283,Leveranser_per_nät,'Leveranser per nät'!AC$1,FALSE)/VLOOKUP($B283,Korrigeringsfaktor_GD,'Korrigeringsfaktor GD'!AC$1,FALSE),
"")</f>
        <v>130.35701428571426</v>
      </c>
      <c r="AD283">
        <v>128.52099999999999</v>
      </c>
    </row>
    <row r="284" spans="1:30" x14ac:dyDescent="0.25">
      <c r="A284" t="s">
        <v>258</v>
      </c>
      <c r="B284" t="s">
        <v>539</v>
      </c>
      <c r="C284" s="18">
        <f>IFERROR(
                  Andel_oberoende_av_klimat*VLOOKUP($A284,Leveranser_per_nät,'Leveranser per nät'!C$1,FALSE)
               +Andel_beroende_av_klimat*VLOOKUP($A284,Leveranser_per_nät,'Leveranser per nät'!C$1,FALSE)/VLOOKUP($B284,Korrigeringsfaktor_GD,'Korrigeringsfaktor GD'!C$1,FALSE),
"")</f>
        <v>13.623076923076923</v>
      </c>
      <c r="D284" s="18">
        <f>IFERROR(
                  Andel_oberoende_av_klimat*VLOOKUP($A284,Leveranser_per_nät,'Leveranser per nät'!D$1,FALSE)
               +Andel_beroende_av_klimat*VLOOKUP($A284,Leveranser_per_nät,'Leveranser per nät'!D$1,FALSE)/VLOOKUP($B284,Korrigeringsfaktor_GD,'Korrigeringsfaktor GD'!D$1,FALSE),
"")</f>
        <v>16.509855670103093</v>
      </c>
      <c r="E284" s="18">
        <f>IFERROR(
                  Andel_oberoende_av_klimat*VLOOKUP($A284,Leveranser_per_nät,'Leveranser per nät'!E$1,FALSE)
               +Andel_beroende_av_klimat*VLOOKUP($A284,Leveranser_per_nät,'Leveranser per nät'!E$1,FALSE)/VLOOKUP($B284,Korrigeringsfaktor_GD,'Korrigeringsfaktor GD'!E$1,FALSE),
"")</f>
        <v>25.469902912621357</v>
      </c>
      <c r="F284" s="18">
        <f>IFERROR(
                  Andel_oberoende_av_klimat*VLOOKUP($A284,Leveranser_per_nät,'Leveranser per nät'!F$1,FALSE)
               +Andel_beroende_av_klimat*VLOOKUP($A284,Leveranser_per_nät,'Leveranser per nät'!F$1,FALSE)/VLOOKUP($B284,Korrigeringsfaktor_GD,'Korrigeringsfaktor GD'!F$1,FALSE),
"")</f>
        <v>9</v>
      </c>
      <c r="G284" s="18">
        <f>IFERROR(
                  Andel_oberoende_av_klimat*VLOOKUP($A284,Leveranser_per_nät,'Leveranser per nät'!G$1,FALSE)
               +Andel_beroende_av_klimat*VLOOKUP($A284,Leveranser_per_nät,'Leveranser per nät'!G$1,FALSE)/VLOOKUP($B284,Korrigeringsfaktor_GD,'Korrigeringsfaktor GD'!G$1,FALSE),
"")</f>
        <v>9.5478260869565226</v>
      </c>
      <c r="H284" s="18">
        <f>IFERROR(
                  Andel_oberoende_av_klimat*VLOOKUP($A284,Leveranser_per_nät,'Leveranser per nät'!H$1,FALSE)
               +Andel_beroende_av_klimat*VLOOKUP($A284,Leveranser_per_nät,'Leveranser per nät'!H$1,FALSE)/VLOOKUP($B284,Korrigeringsfaktor_GD,'Korrigeringsfaktor GD'!H$1,FALSE),
"")</f>
        <v>11.471358823529412</v>
      </c>
      <c r="I284" s="18">
        <f>IFERROR(
                  Andel_oberoende_av_klimat*VLOOKUP($A284,Leveranser_per_nät,'Leveranser per nät'!I$1,FALSE)
               +Andel_beroende_av_klimat*VLOOKUP($A284,Leveranser_per_nät,'Leveranser per nät'!I$1,FALSE)/VLOOKUP($B284,Korrigeringsfaktor_GD,'Korrigeringsfaktor GD'!I$1,FALSE),
"")</f>
        <v>11.320833333333333</v>
      </c>
      <c r="J284" s="18">
        <f>IFERROR(
                  Andel_oberoende_av_klimat*VLOOKUP($A284,Leveranser_per_nät,'Leveranser per nät'!J$1,FALSE)
               +Andel_beroende_av_klimat*VLOOKUP($A284,Leveranser_per_nät,'Leveranser per nät'!J$1,FALSE)/VLOOKUP($B284,Korrigeringsfaktor_GD,'Korrigeringsfaktor GD'!J$1,FALSE),
"")</f>
        <v>12.349999999999998</v>
      </c>
      <c r="K284" s="18">
        <f>IFERROR(
                  Andel_oberoende_av_klimat*VLOOKUP($A284,Leveranser_per_nät,'Leveranser per nät'!K$1,FALSE)
               +Andel_beroende_av_klimat*VLOOKUP($A284,Leveranser_per_nät,'Leveranser per nät'!K$1,FALSE)/VLOOKUP($B284,Korrigeringsfaktor_GD,'Korrigeringsfaktor GD'!K$1,FALSE),
"")</f>
        <v>12.305314285714285</v>
      </c>
      <c r="L284" s="18">
        <f>IFERROR(
                  Andel_oberoende_av_klimat*VLOOKUP($A284,Leveranser_per_nät,'Leveranser per nät'!L$1,FALSE)
               +Andel_beroende_av_klimat*VLOOKUP($A284,Leveranser_per_nät,'Leveranser per nät'!L$1,FALSE)/VLOOKUP($B284,Korrigeringsfaktor_GD,'Korrigeringsfaktor GD'!L$1,FALSE),
"")</f>
        <v>12.737062340425531</v>
      </c>
      <c r="M284" s="18">
        <f>IFERROR(
                  Andel_oberoende_av_klimat*VLOOKUP($A284,Leveranser_per_nät,'Leveranser per nät'!M$1,FALSE)
               +Andel_beroende_av_klimat*VLOOKUP($A284,Leveranser_per_nät,'Leveranser per nät'!M$1,FALSE)/VLOOKUP($B284,Korrigeringsfaktor_GD,'Korrigeringsfaktor GD'!M$1,FALSE),
"")</f>
        <v>13.449704347826085</v>
      </c>
      <c r="N284" s="18">
        <f>IFERROR(
                  Andel_oberoende_av_klimat*VLOOKUP($A284,Leveranser_per_nät,'Leveranser per nät'!N$1,FALSE)
               +Andel_beroende_av_klimat*VLOOKUP($A284,Leveranser_per_nät,'Leveranser per nät'!N$1,FALSE)/VLOOKUP($B284,Korrigeringsfaktor_GD,'Korrigeringsfaktor GD'!N$1,FALSE),
"")</f>
        <v>13.689426315789474</v>
      </c>
      <c r="O284" s="18">
        <f>IFERROR(
                  Andel_oberoende_av_klimat*VLOOKUP($A284,Leveranser_per_nät,'Leveranser per nät'!O$1,FALSE)
               +Andel_beroende_av_klimat*VLOOKUP($A284,Leveranser_per_nät,'Leveranser per nät'!O$1,FALSE)/VLOOKUP($B284,Korrigeringsfaktor_GD,'Korrigeringsfaktor GD'!O$1,FALSE),
"")</f>
        <v>14.474315789473685</v>
      </c>
      <c r="P284" s="18">
        <f>IFERROR(
                  Andel_oberoende_av_klimat*VLOOKUP($A284,Leveranser_per_nät,'Leveranser per nät'!P$1,FALSE)
               +Andel_beroende_av_klimat*VLOOKUP($A284,Leveranser_per_nät,'Leveranser per nät'!P$1,FALSE)/VLOOKUP($B284,Korrigeringsfaktor_GD,'Korrigeringsfaktor GD'!P$1,FALSE),
"")</f>
        <v>13.517910101010099</v>
      </c>
      <c r="Q284" s="18">
        <f>IFERROR(
                  Andel_oberoende_av_klimat*VLOOKUP($A284,Leveranser_per_nät,'Leveranser per nät'!Q$1,FALSE)
               +Andel_beroende_av_klimat*VLOOKUP($A284,Leveranser_per_nät,'Leveranser per nät'!Q$1,FALSE)/VLOOKUP($B284,Korrigeringsfaktor_GD,'Korrigeringsfaktor GD'!Q$1,FALSE),
"")</f>
        <v>13.113565137614678</v>
      </c>
      <c r="R284" s="18">
        <f>IFERROR(
                  Andel_oberoende_av_klimat*VLOOKUP($A284,Leveranser_per_nät,'Leveranser per nät'!R$1,FALSE)
               +Andel_beroende_av_klimat*VLOOKUP($A284,Leveranser_per_nät,'Leveranser per nät'!R$1,FALSE)/VLOOKUP($B284,Korrigeringsfaktor_GD,'Korrigeringsfaktor GD'!R$1,FALSE),
"")</f>
        <v>12.836333333333334</v>
      </c>
      <c r="S284" s="18">
        <f>IFERROR(
                  Andel_oberoende_av_klimat*VLOOKUP($A284,Leveranser_per_nät,'Leveranser per nät'!S$1,FALSE)
               +Andel_beroende_av_klimat*VLOOKUP($A284,Leveranser_per_nät,'Leveranser per nät'!S$1,FALSE)/VLOOKUP($B284,Korrigeringsfaktor_GD,'Korrigeringsfaktor GD'!S$1,FALSE),
"")</f>
        <v>13.393607843137257</v>
      </c>
      <c r="T284" s="18">
        <f>IFERROR(
                  Andel_oberoende_av_klimat*VLOOKUP($A284,Leveranser_per_nät,'Leveranser per nät'!T$1,FALSE)
               +Andel_beroende_av_klimat*VLOOKUP($A284,Leveranser_per_nät,'Leveranser per nät'!T$1,FALSE)/VLOOKUP($B284,Korrigeringsfaktor_GD,'Korrigeringsfaktor GD'!T$1,FALSE),
"")</f>
        <v>12.952997872340426</v>
      </c>
      <c r="U284" s="18">
        <f>IFERROR(
                  Andel_oberoende_av_klimat*VLOOKUP($A284,Leveranser_per_nät,'Leveranser per nät'!U$1,FALSE)
               +Andel_beroende_av_klimat*VLOOKUP($A284,Leveranser_per_nät,'Leveranser per nät'!U$1,FALSE)/VLOOKUP($B284,Korrigeringsfaktor_GD,'Korrigeringsfaktor GD'!U$1,FALSE),
"")</f>
        <v>13.094999999999999</v>
      </c>
      <c r="V284" s="18">
        <f>IFERROR(
                  Andel_oberoende_av_klimat*VLOOKUP($A284,Leveranser_per_nät,'Leveranser per nät'!V$1,FALSE)
               +Andel_beroende_av_klimat*VLOOKUP($A284,Leveranser_per_nät,'Leveranser per nät'!V$1,FALSE)/VLOOKUP($B284,Korrigeringsfaktor_GD,'Korrigeringsfaktor GD'!V$1,FALSE),
"")</f>
        <v>12.685444444444444</v>
      </c>
      <c r="W284" s="18">
        <f>IFERROR(
                  Andel_oberoende_av_klimat*VLOOKUP($A284,Leveranser_per_nät,'Leveranser per nät'!W$1,FALSE)
               +Andel_beroende_av_klimat*VLOOKUP($A284,Leveranser_per_nät,'Leveranser per nät'!W$1,FALSE)/VLOOKUP($B284,Korrigeringsfaktor_GD,'Korrigeringsfaktor GD'!W$1,FALSE),
"")</f>
        <v>12.722052631578947</v>
      </c>
      <c r="X284" s="18">
        <f>IFERROR(
                  Andel_oberoende_av_klimat*VLOOKUP($A284,Leveranser_per_nät,'Leveranser per nät'!X$1,FALSE)
               +Andel_beroende_av_klimat*VLOOKUP($A284,Leveranser_per_nät,'Leveranser per nät'!X$1,FALSE)/VLOOKUP($B284,Korrigeringsfaktor_GD,'Korrigeringsfaktor GD'!X$1,FALSE),
"")</f>
        <v>13.574708333333334</v>
      </c>
      <c r="Y284" s="18">
        <f>IFERROR(
                  Andel_oberoende_av_klimat*VLOOKUP($A284,Leveranser_per_nät,'Leveranser per nät'!Y$1,FALSE)
               +Andel_beroende_av_klimat*VLOOKUP($A284,Leveranser_per_nät,'Leveranser per nät'!Y$1,FALSE)/VLOOKUP($B284,Korrigeringsfaktor_GD,'Korrigeringsfaktor GD'!Y$1,FALSE),
"")</f>
        <v>13.553095833333334</v>
      </c>
      <c r="Z284" s="18">
        <f>IFERROR(
                  Andel_oberoende_av_klimat*VLOOKUP($A284,Leveranser_per_nät,'Leveranser per nät'!Z$1,FALSE)
               +Andel_beroende_av_klimat*VLOOKUP($A284,Leveranser_per_nät,'Leveranser per nät'!Z$1,FALSE)/VLOOKUP($B284,Korrigeringsfaktor_GD,'Korrigeringsfaktor GD'!Z$1,FALSE),
"")</f>
        <v>14.744692307692306</v>
      </c>
      <c r="AA284" s="18">
        <f>IFERROR(
                  Andel_oberoende_av_klimat*VLOOKUP($A284,Leveranser_per_nät,'Leveranser per nät'!AA$1,FALSE)
               +Andel_beroende_av_klimat*VLOOKUP($A284,Leveranser_per_nät,'Leveranser per nät'!AA$1,FALSE)/VLOOKUP($B284,Korrigeringsfaktor_GD,'Korrigeringsfaktor GD'!AA$1,FALSE),
"")</f>
        <v>14.951001295001296</v>
      </c>
      <c r="AB284" s="18">
        <f>IFERROR(
                  Andel_oberoende_av_klimat*VLOOKUP($A284,Leveranser_per_nät,'Leveranser per nät'!AB$1,FALSE)
               +Andel_beroende_av_klimat*VLOOKUP($A284,Leveranser_per_nät,'Leveranser per nät'!AB$1,FALSE)/VLOOKUP($B284,Korrigeringsfaktor_GD,'Korrigeringsfaktor GD'!AB$1,FALSE),
"")</f>
        <v>14.110240147492625</v>
      </c>
      <c r="AC284" s="18">
        <f>IFERROR(
                  Andel_oberoende_av_klimat*VLOOKUP($A284,Leveranser_per_nät,'Leveranser per nät'!AC$1,FALSE)
               +Andel_beroende_av_klimat*VLOOKUP($A284,Leveranser_per_nät,'Leveranser per nät'!AC$1,FALSE)/VLOOKUP($B284,Korrigeringsfaktor_GD,'Korrigeringsfaktor GD'!AC$1,FALSE),
"")</f>
        <v>14.144880887949261</v>
      </c>
      <c r="AD284" t="e">
        <v>#N/A</v>
      </c>
    </row>
    <row r="285" spans="1:30" x14ac:dyDescent="0.25">
      <c r="A285" t="s">
        <v>163</v>
      </c>
      <c r="B285" t="s">
        <v>163</v>
      </c>
      <c r="C285" s="18">
        <f>IFERROR(
                  Andel_oberoende_av_klimat*VLOOKUP($A285,Leveranser_per_nät,'Leveranser per nät'!C$1,FALSE)
               +Andel_beroende_av_klimat*VLOOKUP($A285,Leveranser_per_nät,'Leveranser per nät'!C$1,FALSE)/VLOOKUP($B285,Korrigeringsfaktor_GD,'Korrigeringsfaktor GD'!C$1,FALSE),
"")</f>
        <v>49.949999999999996</v>
      </c>
      <c r="D285" s="18">
        <f>IFERROR(
                  Andel_oberoende_av_klimat*VLOOKUP($A285,Leveranser_per_nät,'Leveranser per nät'!D$1,FALSE)
               +Andel_beroende_av_klimat*VLOOKUP($A285,Leveranser_per_nät,'Leveranser per nät'!D$1,FALSE)/VLOOKUP($B285,Korrigeringsfaktor_GD,'Korrigeringsfaktor GD'!D$1,FALSE),
"")</f>
        <v>48.35</v>
      </c>
      <c r="E285" s="18">
        <f>IFERROR(
                  Andel_oberoende_av_klimat*VLOOKUP($A285,Leveranser_per_nät,'Leveranser per nät'!E$1,FALSE)
               +Andel_beroende_av_klimat*VLOOKUP($A285,Leveranser_per_nät,'Leveranser per nät'!E$1,FALSE)/VLOOKUP($B285,Korrigeringsfaktor_GD,'Korrigeringsfaktor GD'!E$1,FALSE),
"")</f>
        <v>47.66732673267326</v>
      </c>
      <c r="F285" s="18">
        <f>IFERROR(
                  Andel_oberoende_av_klimat*VLOOKUP($A285,Leveranser_per_nät,'Leveranser per nät'!F$1,FALSE)
               +Andel_beroende_av_klimat*VLOOKUP($A285,Leveranser_per_nät,'Leveranser per nät'!F$1,FALSE)/VLOOKUP($B285,Korrigeringsfaktor_GD,'Korrigeringsfaktor GD'!F$1,FALSE),
"")</f>
        <v>51.189361702127663</v>
      </c>
      <c r="G285" s="18">
        <f>IFERROR(
                  Andel_oberoende_av_klimat*VLOOKUP($A285,Leveranser_per_nät,'Leveranser per nät'!G$1,FALSE)
               +Andel_beroende_av_klimat*VLOOKUP($A285,Leveranser_per_nät,'Leveranser per nät'!G$1,FALSE)/VLOOKUP($B285,Korrigeringsfaktor_GD,'Korrigeringsfaktor GD'!G$1,FALSE),
"")</f>
        <v>51.916091954022988</v>
      </c>
      <c r="H285" s="18">
        <f>IFERROR(
                  Andel_oberoende_av_klimat*VLOOKUP($A285,Leveranser_per_nät,'Leveranser per nät'!H$1,FALSE)
               +Andel_beroende_av_klimat*VLOOKUP($A285,Leveranser_per_nät,'Leveranser per nät'!H$1,FALSE)/VLOOKUP($B285,Korrigeringsfaktor_GD,'Korrigeringsfaktor GD'!H$1,FALSE),
"")</f>
        <v>55.388888888888886</v>
      </c>
      <c r="I285" s="18">
        <f>IFERROR(
                  Andel_oberoende_av_klimat*VLOOKUP($A285,Leveranser_per_nät,'Leveranser per nät'!I$1,FALSE)
               +Andel_beroende_av_klimat*VLOOKUP($A285,Leveranser_per_nät,'Leveranser per nät'!I$1,FALSE)/VLOOKUP($B285,Korrigeringsfaktor_GD,'Korrigeringsfaktor GD'!I$1,FALSE),
"")</f>
        <v>59.5468085106383</v>
      </c>
      <c r="J285" s="18">
        <f>IFERROR(
                  Andel_oberoende_av_klimat*VLOOKUP($A285,Leveranser_per_nät,'Leveranser per nät'!J$1,FALSE)
               +Andel_beroende_av_klimat*VLOOKUP($A285,Leveranser_per_nät,'Leveranser per nät'!J$1,FALSE)/VLOOKUP($B285,Korrigeringsfaktor_GD,'Korrigeringsfaktor GD'!J$1,FALSE),
"")</f>
        <v>55.388888888888886</v>
      </c>
      <c r="K285" s="18">
        <f>IFERROR(
                  Andel_oberoende_av_klimat*VLOOKUP($A285,Leveranser_per_nät,'Leveranser per nät'!K$1,FALSE)
               +Andel_beroende_av_klimat*VLOOKUP($A285,Leveranser_per_nät,'Leveranser per nät'!K$1,FALSE)/VLOOKUP($B285,Korrigeringsfaktor_GD,'Korrigeringsfaktor GD'!K$1,FALSE),
"")</f>
        <v>70.957999999999998</v>
      </c>
      <c r="L285" s="18">
        <f>IFERROR(
                  Andel_oberoende_av_klimat*VLOOKUP($A285,Leveranser_per_nät,'Leveranser per nät'!L$1,FALSE)
               +Andel_beroende_av_klimat*VLOOKUP($A285,Leveranser_per_nät,'Leveranser per nät'!L$1,FALSE)/VLOOKUP($B285,Korrigeringsfaktor_GD,'Korrigeringsfaktor GD'!L$1,FALSE),
"")</f>
        <v>81.51331606337952</v>
      </c>
      <c r="M285" s="18">
        <f>IFERROR(
                  Andel_oberoende_av_klimat*VLOOKUP($A285,Leveranser_per_nät,'Leveranser per nät'!M$1,FALSE)
               +Andel_beroende_av_klimat*VLOOKUP($A285,Leveranser_per_nät,'Leveranser per nät'!M$1,FALSE)/VLOOKUP($B285,Korrigeringsfaktor_GD,'Korrigeringsfaktor GD'!M$1,FALSE),
"")</f>
        <v>80.736417391304343</v>
      </c>
      <c r="N285" s="18">
        <f>IFERROR(
                  Andel_oberoende_av_klimat*VLOOKUP($A285,Leveranser_per_nät,'Leveranser per nät'!N$1,FALSE)
               +Andel_beroende_av_klimat*VLOOKUP($A285,Leveranser_per_nät,'Leveranser per nät'!N$1,FALSE)/VLOOKUP($B285,Korrigeringsfaktor_GD,'Korrigeringsfaktor GD'!N$1,FALSE),
"")</f>
        <v>96.245555555555555</v>
      </c>
      <c r="O285" s="18">
        <f>IFERROR(
                  Andel_oberoende_av_klimat*VLOOKUP($A285,Leveranser_per_nät,'Leveranser per nät'!O$1,FALSE)
               +Andel_beroende_av_klimat*VLOOKUP($A285,Leveranser_per_nät,'Leveranser per nät'!O$1,FALSE)/VLOOKUP($B285,Korrigeringsfaktor_GD,'Korrigeringsfaktor GD'!O$1,FALSE),
"")</f>
        <v>86.609517977528085</v>
      </c>
      <c r="P285" s="18">
        <f>IFERROR(
                  Andel_oberoende_av_klimat*VLOOKUP($A285,Leveranser_per_nät,'Leveranser per nät'!P$1,FALSE)
               +Andel_beroende_av_klimat*VLOOKUP($A285,Leveranser_per_nät,'Leveranser per nät'!P$1,FALSE)/VLOOKUP($B285,Korrigeringsfaktor_GD,'Korrigeringsfaktor GD'!P$1,FALSE),
"")</f>
        <v>89.257142857142867</v>
      </c>
      <c r="Q285" s="18">
        <f>IFERROR(
                  Andel_oberoende_av_klimat*VLOOKUP($A285,Leveranser_per_nät,'Leveranser per nät'!Q$1,FALSE)
               +Andel_beroende_av_klimat*VLOOKUP($A285,Leveranser_per_nät,'Leveranser per nät'!Q$1,FALSE)/VLOOKUP($B285,Korrigeringsfaktor_GD,'Korrigeringsfaktor GD'!Q$1,FALSE),
"")</f>
        <v>131.62105263157895</v>
      </c>
      <c r="R285" s="18">
        <f>IFERROR(
                  Andel_oberoende_av_klimat*VLOOKUP($A285,Leveranser_per_nät,'Leveranser per nät'!R$1,FALSE)
               +Andel_beroende_av_klimat*VLOOKUP($A285,Leveranser_per_nät,'Leveranser per nät'!R$1,FALSE)/VLOOKUP($B285,Korrigeringsfaktor_GD,'Korrigeringsfaktor GD'!R$1,FALSE),
"")</f>
        <v>131.01739130434783</v>
      </c>
      <c r="S285" s="18">
        <f>IFERROR(
                  Andel_oberoende_av_klimat*VLOOKUP($A285,Leveranser_per_nät,'Leveranser per nät'!S$1,FALSE)
               +Andel_beroende_av_klimat*VLOOKUP($A285,Leveranser_per_nät,'Leveranser per nät'!S$1,FALSE)/VLOOKUP($B285,Korrigeringsfaktor_GD,'Korrigeringsfaktor GD'!S$1,FALSE),
"")</f>
        <v>93</v>
      </c>
      <c r="T285" s="18">
        <f>IFERROR(
                  Andel_oberoende_av_klimat*VLOOKUP($A285,Leveranser_per_nät,'Leveranser per nät'!T$1,FALSE)
               +Andel_beroende_av_klimat*VLOOKUP($A285,Leveranser_per_nät,'Leveranser per nät'!T$1,FALSE)/VLOOKUP($B285,Korrigeringsfaktor_GD,'Korrigeringsfaktor GD'!T$1,FALSE),
"")</f>
        <v>136.31869072164949</v>
      </c>
      <c r="U285" s="18">
        <f>IFERROR(
                  Andel_oberoende_av_klimat*VLOOKUP($A285,Leveranser_per_nät,'Leveranser per nät'!U$1,FALSE)
               +Andel_beroende_av_klimat*VLOOKUP($A285,Leveranser_per_nät,'Leveranser per nät'!U$1,FALSE)/VLOOKUP($B285,Korrigeringsfaktor_GD,'Korrigeringsfaktor GD'!U$1,FALSE),
"")</f>
        <v>134.00860465116278</v>
      </c>
      <c r="V285" s="18">
        <f>IFERROR(
                  Andel_oberoende_av_klimat*VLOOKUP($A285,Leveranser_per_nät,'Leveranser per nät'!V$1,FALSE)
               +Andel_beroende_av_klimat*VLOOKUP($A285,Leveranser_per_nät,'Leveranser per nät'!V$1,FALSE)/VLOOKUP($B285,Korrigeringsfaktor_GD,'Korrigeringsfaktor GD'!V$1,FALSE),
"")</f>
        <v>144.15</v>
      </c>
      <c r="W285" s="18">
        <f>IFERROR(
                  Andel_oberoende_av_klimat*VLOOKUP($A285,Leveranser_per_nät,'Leveranser per nät'!W$1,FALSE)
               +Andel_beroende_av_klimat*VLOOKUP($A285,Leveranser_per_nät,'Leveranser per nät'!W$1,FALSE)/VLOOKUP($B285,Korrigeringsfaktor_GD,'Korrigeringsfaktor GD'!W$1,FALSE),
"")</f>
        <v>156.42946236559141</v>
      </c>
      <c r="X285" s="18">
        <f>IFERROR(
                  Andel_oberoende_av_klimat*VLOOKUP($A285,Leveranser_per_nät,'Leveranser per nät'!X$1,FALSE)
               +Andel_beroende_av_klimat*VLOOKUP($A285,Leveranser_per_nät,'Leveranser per nät'!X$1,FALSE)/VLOOKUP($B285,Korrigeringsfaktor_GD,'Korrigeringsfaktor GD'!X$1,FALSE),
"")</f>
        <v>151.96666666666667</v>
      </c>
      <c r="Y285" s="18">
        <f>IFERROR(
                  Andel_oberoende_av_klimat*VLOOKUP($A285,Leveranser_per_nät,'Leveranser per nät'!Y$1,FALSE)
               +Andel_beroende_av_klimat*VLOOKUP($A285,Leveranser_per_nät,'Leveranser per nät'!Y$1,FALSE)/VLOOKUP($B285,Korrigeringsfaktor_GD,'Korrigeringsfaktor GD'!Y$1,FALSE),
"")</f>
        <v>156.45842696629214</v>
      </c>
      <c r="Z285" s="18">
        <f>IFERROR(
                  Andel_oberoende_av_klimat*VLOOKUP($A285,Leveranser_per_nät,'Leveranser per nät'!Z$1,FALSE)
               +Andel_beroende_av_klimat*VLOOKUP($A285,Leveranser_per_nät,'Leveranser per nät'!Z$1,FALSE)/VLOOKUP($B285,Korrigeringsfaktor_GD,'Korrigeringsfaktor GD'!Z$1,FALSE),
"")</f>
        <v>135.28863636363636</v>
      </c>
      <c r="AA285" s="18">
        <f>IFERROR(
                  Andel_oberoende_av_klimat*VLOOKUP($A285,Leveranser_per_nät,'Leveranser per nät'!AA$1,FALSE)
               +Andel_beroende_av_klimat*VLOOKUP($A285,Leveranser_per_nät,'Leveranser per nät'!AA$1,FALSE)/VLOOKUP($B285,Korrigeringsfaktor_GD,'Korrigeringsfaktor GD'!AA$1,FALSE),
"")</f>
        <v>158.67166456494323</v>
      </c>
      <c r="AB285" s="18">
        <f>IFERROR(
                  Andel_oberoende_av_klimat*VLOOKUP($A285,Leveranser_per_nät,'Leveranser per nät'!AB$1,FALSE)
               +Andel_beroende_av_klimat*VLOOKUP($A285,Leveranser_per_nät,'Leveranser per nät'!AB$1,FALSE)/VLOOKUP($B285,Korrigeringsfaktor_GD,'Korrigeringsfaktor GD'!AB$1,FALSE),
"")</f>
        <v>135.00803536345774</v>
      </c>
      <c r="AC285" s="18">
        <f>IFERROR(
                  Andel_oberoende_av_klimat*VLOOKUP($A285,Leveranser_per_nät,'Leveranser per nät'!AC$1,FALSE)
               +Andel_beroende_av_klimat*VLOOKUP($A285,Leveranser_per_nät,'Leveranser per nät'!AC$1,FALSE)/VLOOKUP($B285,Korrigeringsfaktor_GD,'Korrigeringsfaktor GD'!AC$1,FALSE),
"")</f>
        <v>136.13210137275607</v>
      </c>
      <c r="AD285" t="e">
        <v>#N/A</v>
      </c>
    </row>
    <row r="286" spans="1:30" x14ac:dyDescent="0.25">
      <c r="A286" t="s">
        <v>384</v>
      </c>
      <c r="B286" t="s">
        <v>163</v>
      </c>
      <c r="C286" s="18">
        <f>IFERROR(
                  Andel_oberoende_av_klimat*VLOOKUP($A286,Leveranser_per_nät,'Leveranser per nät'!C$1,FALSE)
               +Andel_beroende_av_klimat*VLOOKUP($A286,Leveranser_per_nät,'Leveranser per nät'!C$1,FALSE)/VLOOKUP($B286,Korrigeringsfaktor_GD,'Korrigeringsfaktor GD'!C$1,FALSE),
"")</f>
        <v>0</v>
      </c>
      <c r="D286" s="18">
        <f>IFERROR(
                  Andel_oberoende_av_klimat*VLOOKUP($A286,Leveranser_per_nät,'Leveranser per nät'!D$1,FALSE)
               +Andel_beroende_av_klimat*VLOOKUP($A286,Leveranser_per_nät,'Leveranser per nät'!D$1,FALSE)/VLOOKUP($B286,Korrigeringsfaktor_GD,'Korrigeringsfaktor GD'!D$1,FALSE),
"")</f>
        <v>0</v>
      </c>
      <c r="E286" s="18">
        <f>IFERROR(
                  Andel_oberoende_av_klimat*VLOOKUP($A286,Leveranser_per_nät,'Leveranser per nät'!E$1,FALSE)
               +Andel_beroende_av_klimat*VLOOKUP($A286,Leveranser_per_nät,'Leveranser per nät'!E$1,FALSE)/VLOOKUP($B286,Korrigeringsfaktor_GD,'Korrigeringsfaktor GD'!E$1,FALSE),
"")</f>
        <v>0</v>
      </c>
      <c r="F286" s="18">
        <f>IFERROR(
                  Andel_oberoende_av_klimat*VLOOKUP($A286,Leveranser_per_nät,'Leveranser per nät'!F$1,FALSE)
               +Andel_beroende_av_klimat*VLOOKUP($A286,Leveranser_per_nät,'Leveranser per nät'!F$1,FALSE)/VLOOKUP($B286,Korrigeringsfaktor_GD,'Korrigeringsfaktor GD'!F$1,FALSE),
"")</f>
        <v>0</v>
      </c>
      <c r="G286" s="18">
        <f>IFERROR(
                  Andel_oberoende_av_klimat*VLOOKUP($A286,Leveranser_per_nät,'Leveranser per nät'!G$1,FALSE)
               +Andel_beroende_av_klimat*VLOOKUP($A286,Leveranser_per_nät,'Leveranser per nät'!G$1,FALSE)/VLOOKUP($B286,Korrigeringsfaktor_GD,'Korrigeringsfaktor GD'!G$1,FALSE),
"")</f>
        <v>0</v>
      </c>
      <c r="H286" s="18">
        <f>IFERROR(
                  Andel_oberoende_av_klimat*VLOOKUP($A286,Leveranser_per_nät,'Leveranser per nät'!H$1,FALSE)
               +Andel_beroende_av_klimat*VLOOKUP($A286,Leveranser_per_nät,'Leveranser per nät'!H$1,FALSE)/VLOOKUP($B286,Korrigeringsfaktor_GD,'Korrigeringsfaktor GD'!H$1,FALSE),
"")</f>
        <v>0</v>
      </c>
      <c r="I286" s="18">
        <f>IFERROR(
                  Andel_oberoende_av_klimat*VLOOKUP($A286,Leveranser_per_nät,'Leveranser per nät'!I$1,FALSE)
               +Andel_beroende_av_klimat*VLOOKUP($A286,Leveranser_per_nät,'Leveranser per nät'!I$1,FALSE)/VLOOKUP($B286,Korrigeringsfaktor_GD,'Korrigeringsfaktor GD'!I$1,FALSE),
"")</f>
        <v>0</v>
      </c>
      <c r="J286" s="18">
        <f>IFERROR(
                  Andel_oberoende_av_klimat*VLOOKUP($A286,Leveranser_per_nät,'Leveranser per nät'!J$1,FALSE)
               +Andel_beroende_av_klimat*VLOOKUP($A286,Leveranser_per_nät,'Leveranser per nät'!J$1,FALSE)/VLOOKUP($B286,Korrigeringsfaktor_GD,'Korrigeringsfaktor GD'!J$1,FALSE),
"")</f>
        <v>0</v>
      </c>
      <c r="K286" s="18">
        <f>IFERROR(
                  Andel_oberoende_av_klimat*VLOOKUP($A286,Leveranser_per_nät,'Leveranser per nät'!K$1,FALSE)
               +Andel_beroende_av_klimat*VLOOKUP($A286,Leveranser_per_nät,'Leveranser per nät'!K$1,FALSE)/VLOOKUP($B286,Korrigeringsfaktor_GD,'Korrigeringsfaktor GD'!K$1,FALSE),
"")</f>
        <v>0</v>
      </c>
      <c r="L286" s="18">
        <f>IFERROR(
                  Andel_oberoende_av_klimat*VLOOKUP($A286,Leveranser_per_nät,'Leveranser per nät'!L$1,FALSE)
               +Andel_beroende_av_klimat*VLOOKUP($A286,Leveranser_per_nät,'Leveranser per nät'!L$1,FALSE)/VLOOKUP($B286,Korrigeringsfaktor_GD,'Korrigeringsfaktor GD'!L$1,FALSE),
"")</f>
        <v>0</v>
      </c>
      <c r="M286" s="18">
        <f>IFERROR(
                  Andel_oberoende_av_klimat*VLOOKUP($A286,Leveranser_per_nät,'Leveranser per nät'!M$1,FALSE)
               +Andel_beroende_av_klimat*VLOOKUP($A286,Leveranser_per_nät,'Leveranser per nät'!M$1,FALSE)/VLOOKUP($B286,Korrigeringsfaktor_GD,'Korrigeringsfaktor GD'!M$1,FALSE),
"")</f>
        <v>145.86956521739131</v>
      </c>
      <c r="N286" s="18">
        <f>IFERROR(
                  Andel_oberoende_av_klimat*VLOOKUP($A286,Leveranser_per_nät,'Leveranser per nät'!N$1,FALSE)
               +Andel_beroende_av_klimat*VLOOKUP($A286,Leveranser_per_nät,'Leveranser per nät'!N$1,FALSE)/VLOOKUP($B286,Korrigeringsfaktor_GD,'Korrigeringsfaktor GD'!N$1,FALSE),
"")</f>
        <v>147.76872222222221</v>
      </c>
      <c r="O286" s="18">
        <f>IFERROR(
                  Andel_oberoende_av_klimat*VLOOKUP($A286,Leveranser_per_nät,'Leveranser per nät'!O$1,FALSE)
               +Andel_beroende_av_klimat*VLOOKUP($A286,Leveranser_per_nät,'Leveranser per nät'!O$1,FALSE)/VLOOKUP($B286,Korrigeringsfaktor_GD,'Korrigeringsfaktor GD'!O$1,FALSE),
"")</f>
        <v>144.2894382022472</v>
      </c>
      <c r="P286" s="18">
        <f>IFERROR(
                  Andel_oberoende_av_klimat*VLOOKUP($A286,Leveranser_per_nät,'Leveranser per nät'!P$1,FALSE)
               +Andel_beroende_av_klimat*VLOOKUP($A286,Leveranser_per_nät,'Leveranser per nät'!P$1,FALSE)/VLOOKUP($B286,Korrigeringsfaktor_GD,'Korrigeringsfaktor GD'!P$1,FALSE),
"")</f>
        <v>134.59571428571428</v>
      </c>
      <c r="Q286" s="18">
        <f>IFERROR(
                  Andel_oberoende_av_klimat*VLOOKUP($A286,Leveranser_per_nät,'Leveranser per nät'!Q$1,FALSE)
               +Andel_beroende_av_klimat*VLOOKUP($A286,Leveranser_per_nät,'Leveranser per nät'!Q$1,FALSE)/VLOOKUP($B286,Korrigeringsfaktor_GD,'Korrigeringsfaktor GD'!Q$1,FALSE),
"")</f>
        <v>0</v>
      </c>
      <c r="R286" s="18">
        <f>IFERROR(
                  Andel_oberoende_av_klimat*VLOOKUP($A286,Leveranser_per_nät,'Leveranser per nät'!R$1,FALSE)
               +Andel_beroende_av_klimat*VLOOKUP($A286,Leveranser_per_nät,'Leveranser per nät'!R$1,FALSE)/VLOOKUP($B286,Korrigeringsfaktor_GD,'Korrigeringsfaktor GD'!R$1,FALSE),
"")</f>
        <v>0</v>
      </c>
      <c r="S286" s="18" t="str">
        <f>IFERROR(
                  Andel_oberoende_av_klimat*VLOOKUP($A286,Leveranser_per_nät,'Leveranser per nät'!S$1,FALSE)
               +Andel_beroende_av_klimat*VLOOKUP($A286,Leveranser_per_nät,'Leveranser per nät'!S$1,FALSE)/VLOOKUP($B286,Korrigeringsfaktor_GD,'Korrigeringsfaktor GD'!S$1,FALSE),
"")</f>
        <v/>
      </c>
      <c r="T286" s="18" t="str">
        <f>IFERROR(
                  Andel_oberoende_av_klimat*VLOOKUP($A286,Leveranser_per_nät,'Leveranser per nät'!T$1,FALSE)
               +Andel_beroende_av_klimat*VLOOKUP($A286,Leveranser_per_nät,'Leveranser per nät'!T$1,FALSE)/VLOOKUP($B286,Korrigeringsfaktor_GD,'Korrigeringsfaktor GD'!T$1,FALSE),
"")</f>
        <v/>
      </c>
      <c r="U286" s="18" t="str">
        <f>IFERROR(
                  Andel_oberoende_av_klimat*VLOOKUP($A286,Leveranser_per_nät,'Leveranser per nät'!U$1,FALSE)
               +Andel_beroende_av_klimat*VLOOKUP($A286,Leveranser_per_nät,'Leveranser per nät'!U$1,FALSE)/VLOOKUP($B286,Korrigeringsfaktor_GD,'Korrigeringsfaktor GD'!U$1,FALSE),
"")</f>
        <v/>
      </c>
      <c r="V286" s="18" t="str">
        <f>IFERROR(
                  Andel_oberoende_av_klimat*VLOOKUP($A286,Leveranser_per_nät,'Leveranser per nät'!V$1,FALSE)
               +Andel_beroende_av_klimat*VLOOKUP($A286,Leveranser_per_nät,'Leveranser per nät'!V$1,FALSE)/VLOOKUP($B286,Korrigeringsfaktor_GD,'Korrigeringsfaktor GD'!V$1,FALSE),
"")</f>
        <v/>
      </c>
      <c r="W286" s="18" t="str">
        <f>IFERROR(
                  Andel_oberoende_av_klimat*VLOOKUP($A286,Leveranser_per_nät,'Leveranser per nät'!W$1,FALSE)
               +Andel_beroende_av_klimat*VLOOKUP($A286,Leveranser_per_nät,'Leveranser per nät'!W$1,FALSE)/VLOOKUP($B286,Korrigeringsfaktor_GD,'Korrigeringsfaktor GD'!W$1,FALSE),
"")</f>
        <v/>
      </c>
      <c r="X286" s="18" t="str">
        <f>IFERROR(
                  Andel_oberoende_av_klimat*VLOOKUP($A286,Leveranser_per_nät,'Leveranser per nät'!X$1,FALSE)
               +Andel_beroende_av_klimat*VLOOKUP($A286,Leveranser_per_nät,'Leveranser per nät'!X$1,FALSE)/VLOOKUP($B286,Korrigeringsfaktor_GD,'Korrigeringsfaktor GD'!X$1,FALSE),
"")</f>
        <v/>
      </c>
      <c r="Y286" s="18" t="str">
        <f>IFERROR(
                  Andel_oberoende_av_klimat*VLOOKUP($A286,Leveranser_per_nät,'Leveranser per nät'!Y$1,FALSE)
               +Andel_beroende_av_klimat*VLOOKUP($A286,Leveranser_per_nät,'Leveranser per nät'!Y$1,FALSE)/VLOOKUP($B286,Korrigeringsfaktor_GD,'Korrigeringsfaktor GD'!Y$1,FALSE),
"")</f>
        <v/>
      </c>
      <c r="Z286" s="18">
        <f>IFERROR(
                  Andel_oberoende_av_klimat*VLOOKUP($A286,Leveranser_per_nät,'Leveranser per nät'!Z$1,FALSE)
               +Andel_beroende_av_klimat*VLOOKUP($A286,Leveranser_per_nät,'Leveranser per nät'!Z$1,FALSE)/VLOOKUP($B286,Korrigeringsfaktor_GD,'Korrigeringsfaktor GD'!Z$1,FALSE),
"")</f>
        <v>0</v>
      </c>
      <c r="AA286" s="18" t="str">
        <f>IFERROR(
                  Andel_oberoende_av_klimat*VLOOKUP($A286,Leveranser_per_nät,'Leveranser per nät'!AA$1,FALSE)
               +Andel_beroende_av_klimat*VLOOKUP($A286,Leveranser_per_nät,'Leveranser per nät'!AA$1,FALSE)/VLOOKUP($B286,Korrigeringsfaktor_GD,'Korrigeringsfaktor GD'!AA$1,FALSE),
"")</f>
        <v/>
      </c>
      <c r="AB286" s="18">
        <f>IFERROR(
                  Andel_oberoende_av_klimat*VLOOKUP($A286,Leveranser_per_nät,'Leveranser per nät'!AB$1,FALSE)
               +Andel_beroende_av_klimat*VLOOKUP($A286,Leveranser_per_nät,'Leveranser per nät'!AB$1,FALSE)/VLOOKUP($B286,Korrigeringsfaktor_GD,'Korrigeringsfaktor GD'!AB$1,FALSE),
"")</f>
        <v>0</v>
      </c>
      <c r="AC286" s="18">
        <f>IFERROR(
                  Andel_oberoende_av_klimat*VLOOKUP($A286,Leveranser_per_nät,'Leveranser per nät'!AC$1,FALSE)
               +Andel_beroende_av_klimat*VLOOKUP($A286,Leveranser_per_nät,'Leveranser per nät'!AC$1,FALSE)/VLOOKUP($B286,Korrigeringsfaktor_GD,'Korrigeringsfaktor GD'!AC$1,FALSE),
"")</f>
        <v>0</v>
      </c>
      <c r="AD286" t="e">
        <v>#N/A</v>
      </c>
    </row>
    <row r="287" spans="1:30" x14ac:dyDescent="0.25">
      <c r="A287" t="s">
        <v>313</v>
      </c>
      <c r="B287" t="s">
        <v>313</v>
      </c>
      <c r="C287" s="18">
        <f>IFERROR(
                  Andel_oberoende_av_klimat*VLOOKUP($A287,Leveranser_per_nät,'Leveranser per nät'!C$1,FALSE)
               +Andel_beroende_av_klimat*VLOOKUP($A287,Leveranser_per_nät,'Leveranser per nät'!C$1,FALSE)/VLOOKUP("Södertälje",Korrigeringsfaktor_GD,'Korrigeringsfaktor GD'!C$1,FALSE),
"")</f>
        <v>0</v>
      </c>
      <c r="D287" s="18">
        <f>IFERROR(
                  Andel_oberoende_av_klimat*VLOOKUP($A287,Leveranser_per_nät,'Leveranser per nät'!D$1,FALSE)
               +Andel_beroende_av_klimat*VLOOKUP($A287,Leveranser_per_nät,'Leveranser per nät'!D$1,FALSE)/VLOOKUP("Södertälje",Korrigeringsfaktor_GD,'Korrigeringsfaktor GD'!D$1,FALSE),
"")</f>
        <v>0</v>
      </c>
      <c r="E287" s="18">
        <f>IFERROR(
                  Andel_oberoende_av_klimat*VLOOKUP($A287,Leveranser_per_nät,'Leveranser per nät'!E$1,FALSE)
               +Andel_beroende_av_klimat*VLOOKUP($A287,Leveranser_per_nät,'Leveranser per nät'!E$1,FALSE)/VLOOKUP("Södertälje",Korrigeringsfaktor_GD,'Korrigeringsfaktor GD'!E$1,FALSE),
"")</f>
        <v>0</v>
      </c>
      <c r="F287" s="18">
        <f>IFERROR(
                  Andel_oberoende_av_klimat*VLOOKUP($A287,Leveranser_per_nät,'Leveranser per nät'!F$1,FALSE)
               +Andel_beroende_av_klimat*VLOOKUP($A287,Leveranser_per_nät,'Leveranser per nät'!F$1,FALSE)/VLOOKUP("Södertälje",Korrigeringsfaktor_GD,'Korrigeringsfaktor GD'!F$1,FALSE),
"")</f>
        <v>0</v>
      </c>
      <c r="G287" s="18">
        <f>IFERROR(
                  Andel_oberoende_av_klimat*VLOOKUP($A287,Leveranser_per_nät,'Leveranser per nät'!G$1,FALSE)
               +Andel_beroende_av_klimat*VLOOKUP($A287,Leveranser_per_nät,'Leveranser per nät'!G$1,FALSE)/VLOOKUP("Södertälje",Korrigeringsfaktor_GD,'Korrigeringsfaktor GD'!G$1,FALSE),
"")</f>
        <v>0</v>
      </c>
      <c r="H287" s="18">
        <f>IFERROR(
                  Andel_oberoende_av_klimat*VLOOKUP($A287,Leveranser_per_nät,'Leveranser per nät'!H$1,FALSE)
               +Andel_beroende_av_klimat*VLOOKUP($A287,Leveranser_per_nät,'Leveranser per nät'!H$1,FALSE)/VLOOKUP("Södertälje",Korrigeringsfaktor_GD,'Korrigeringsfaktor GD'!H$1,FALSE),
"")</f>
        <v>16.113131313131312</v>
      </c>
      <c r="I287" s="18">
        <f>IFERROR(
                  Andel_oberoende_av_klimat*VLOOKUP($A287,Leveranser_per_nät,'Leveranser per nät'!I$1,FALSE)
               +Andel_beroende_av_klimat*VLOOKUP($A287,Leveranser_per_nät,'Leveranser per nät'!I$1,FALSE)/VLOOKUP("Södertälje",Korrigeringsfaktor_GD,'Korrigeringsfaktor GD'!I$1,FALSE),
"")</f>
        <v>17.368041237113403</v>
      </c>
      <c r="J287" s="18">
        <f>IFERROR(
                  Andel_oberoende_av_klimat*VLOOKUP($A287,Leveranser_per_nät,'Leveranser per nät'!J$1,FALSE)
               +Andel_beroende_av_klimat*VLOOKUP($A287,Leveranser_per_nät,'Leveranser per nät'!J$1,FALSE)/VLOOKUP("Södertälje",Korrigeringsfaktor_GD,'Korrigeringsfaktor GD'!J$1,FALSE),
"")</f>
        <v>18.127272727272725</v>
      </c>
      <c r="K287" s="18">
        <f>IFERROR(
                  Andel_oberoende_av_klimat*VLOOKUP($A287,Leveranser_per_nät,'Leveranser per nät'!K$1,FALSE)
               +Andel_beroende_av_klimat*VLOOKUP($A287,Leveranser_per_nät,'Leveranser per nät'!K$1,FALSE)/VLOOKUP("Södertälje",Korrigeringsfaktor_GD,'Korrigeringsfaktor GD'!K$1,FALSE),
"")</f>
        <v>17.632801010101012</v>
      </c>
      <c r="L287" s="18">
        <f>IFERROR(
                  Andel_oberoende_av_klimat*VLOOKUP($A287,Leveranser_per_nät,'Leveranser per nät'!L$1,FALSE)
               +Andel_beroende_av_klimat*VLOOKUP($A287,Leveranser_per_nät,'Leveranser per nät'!L$1,FALSE)/VLOOKUP("Södertälje",Korrigeringsfaktor_GD,'Korrigeringsfaktor GD'!L$1,FALSE),
"")</f>
        <v>19.038438144329898</v>
      </c>
      <c r="M287" s="18">
        <f>IFERROR(
                  Andel_oberoende_av_klimat*VLOOKUP($A287,Leveranser_per_nät,'Leveranser per nät'!M$1,FALSE)
               +Andel_beroende_av_klimat*VLOOKUP($A287,Leveranser_per_nät,'Leveranser per nät'!M$1,FALSE)/VLOOKUP("Södertälje",Korrigeringsfaktor_GD,'Korrigeringsfaktor GD'!M$1,FALSE),
"")</f>
        <v>20.382768085106385</v>
      </c>
      <c r="N287" s="18">
        <f>IFERROR(
                  Andel_oberoende_av_klimat*VLOOKUP($A287,Leveranser_per_nät,'Leveranser per nät'!N$1,FALSE)
               +Andel_beroende_av_klimat*VLOOKUP($A287,Leveranser_per_nät,'Leveranser per nät'!N$1,FALSE)/VLOOKUP("Södertälje",Korrigeringsfaktor_GD,'Korrigeringsfaktor GD'!N$1,FALSE),
"")</f>
        <v>22.209615053763439</v>
      </c>
      <c r="O287" s="18">
        <f>IFERROR(
                  Andel_oberoende_av_klimat*VLOOKUP($A287,Leveranser_per_nät,'Leveranser per nät'!O$1,FALSE)
               +Andel_beroende_av_klimat*VLOOKUP($A287,Leveranser_per_nät,'Leveranser per nät'!O$1,FALSE)/VLOOKUP("Södertälje",Korrigeringsfaktor_GD,'Korrigeringsfaktor GD'!O$1,FALSE),
"")</f>
        <v>22.923332584269659</v>
      </c>
      <c r="P287" s="18">
        <f>IFERROR(
                  Andel_oberoende_av_klimat*VLOOKUP($A287,Leveranser_per_nät,'Leveranser per nät'!P$1,FALSE)
               +Andel_beroende_av_klimat*VLOOKUP($A287,Leveranser_per_nät,'Leveranser per nät'!P$1,FALSE)/VLOOKUP("Södertälje",Korrigeringsfaktor_GD,'Korrigeringsfaktor GD'!P$1,FALSE),
"")</f>
        <v>22.856928571428572</v>
      </c>
      <c r="Q287" s="18">
        <f>IFERROR(
                  Andel_oberoende_av_klimat*VLOOKUP($A287,Leveranser_per_nät,'Leveranser per nät'!Q$1,FALSE)
               +Andel_beroende_av_klimat*VLOOKUP($A287,Leveranser_per_nät,'Leveranser per nät'!Q$1,FALSE)/VLOOKUP("Södertälje",Korrigeringsfaktor_GD,'Korrigeringsfaktor GD'!Q$1,FALSE),
"")</f>
        <v>0</v>
      </c>
      <c r="R287" s="18">
        <f>IFERROR(
                  Andel_oberoende_av_klimat*VLOOKUP($A287,Leveranser_per_nät,'Leveranser per nät'!R$1,FALSE)
               +Andel_beroende_av_klimat*VLOOKUP($A287,Leveranser_per_nät,'Leveranser per nät'!R$1,FALSE)/VLOOKUP("Södertälje",Korrigeringsfaktor_GD,'Korrigeringsfaktor GD'!R$1,FALSE),
"")</f>
        <v>0</v>
      </c>
      <c r="S287" s="18" t="str">
        <f>IFERROR(
                  Andel_oberoende_av_klimat*VLOOKUP($A287,Leveranser_per_nät,'Leveranser per nät'!S$1,FALSE)
               +Andel_beroende_av_klimat*VLOOKUP($A287,Leveranser_per_nät,'Leveranser per nät'!S$1,FALSE)/VLOOKUP("Södertälje",Korrigeringsfaktor_GD,'Korrigeringsfaktor GD'!S$1,FALSE),
"")</f>
        <v/>
      </c>
      <c r="T287" s="18" t="str">
        <f>IFERROR(
                  Andel_oberoende_av_klimat*VLOOKUP($A287,Leveranser_per_nät,'Leveranser per nät'!T$1,FALSE)
               +Andel_beroende_av_klimat*VLOOKUP($A287,Leveranser_per_nät,'Leveranser per nät'!T$1,FALSE)/VLOOKUP("Södertälje",Korrigeringsfaktor_GD,'Korrigeringsfaktor GD'!T$1,FALSE),
"")</f>
        <v/>
      </c>
      <c r="U287" s="18" t="str">
        <f>IFERROR(
                  Andel_oberoende_av_klimat*VLOOKUP($A287,Leveranser_per_nät,'Leveranser per nät'!U$1,FALSE)
               +Andel_beroende_av_klimat*VLOOKUP($A287,Leveranser_per_nät,'Leveranser per nät'!U$1,FALSE)/VLOOKUP("Södertälje",Korrigeringsfaktor_GD,'Korrigeringsfaktor GD'!U$1,FALSE),
"")</f>
        <v/>
      </c>
      <c r="V287" s="18" t="str">
        <f>IFERROR(
                  Andel_oberoende_av_klimat*VLOOKUP($A287,Leveranser_per_nät,'Leveranser per nät'!V$1,FALSE)
               +Andel_beroende_av_klimat*VLOOKUP($A287,Leveranser_per_nät,'Leveranser per nät'!V$1,FALSE)/VLOOKUP("Södertälje",Korrigeringsfaktor_GD,'Korrigeringsfaktor GD'!V$1,FALSE),
"")</f>
        <v/>
      </c>
      <c r="W287" s="18">
        <f>IFERROR(
                  Andel_oberoende_av_klimat*VLOOKUP($A287,Leveranser_per_nät,'Leveranser per nät'!W$1,FALSE)
               +Andel_beroende_av_klimat*VLOOKUP($A287,Leveranser_per_nät,'Leveranser per nät'!W$1,FALSE)/VLOOKUP("Södertälje",Korrigeringsfaktor_GD,'Korrigeringsfaktor GD'!W$1,FALSE),
"")</f>
        <v>0</v>
      </c>
      <c r="X287" s="18" t="str">
        <f>IFERROR(
                  Andel_oberoende_av_klimat*VLOOKUP($A287,Leveranser_per_nät,'Leveranser per nät'!X$1,FALSE)
               +Andel_beroende_av_klimat*VLOOKUP($A287,Leveranser_per_nät,'Leveranser per nät'!X$1,FALSE)/VLOOKUP("Södertälje",Korrigeringsfaktor_GD,'Korrigeringsfaktor GD'!X$1,FALSE),
"")</f>
        <v/>
      </c>
      <c r="Y287" s="18" t="str">
        <f>IFERROR(
                  Andel_oberoende_av_klimat*VLOOKUP($A287,Leveranser_per_nät,'Leveranser per nät'!Y$1,FALSE)
               +Andel_beroende_av_klimat*VLOOKUP($A287,Leveranser_per_nät,'Leveranser per nät'!Y$1,FALSE)/VLOOKUP($B287,Korrigeringsfaktor_GD,'Korrigeringsfaktor GD'!Y$1,FALSE),
"")</f>
        <v/>
      </c>
      <c r="Z287" s="18">
        <f>IFERROR(
                  Andel_oberoende_av_klimat*VLOOKUP($A287,Leveranser_per_nät,'Leveranser per nät'!Z$1,FALSE)
               +Andel_beroende_av_klimat*VLOOKUP($A287,Leveranser_per_nät,'Leveranser per nät'!Z$1,FALSE)/VLOOKUP($B287,Korrigeringsfaktor_GD,'Korrigeringsfaktor GD'!Z$1,FALSE),
"")</f>
        <v>0</v>
      </c>
      <c r="AA287" s="18" t="str">
        <f>IFERROR(
                  Andel_oberoende_av_klimat*VLOOKUP($A287,Leveranser_per_nät,'Leveranser per nät'!AA$1,FALSE)
               +Andel_beroende_av_klimat*VLOOKUP($A287,Leveranser_per_nät,'Leveranser per nät'!AA$1,FALSE)/VLOOKUP($B287,Korrigeringsfaktor_GD,'Korrigeringsfaktor GD'!AA$1,FALSE),
"")</f>
        <v/>
      </c>
      <c r="AB287" s="18">
        <f>IFERROR(
                  Andel_oberoende_av_klimat*VLOOKUP($A287,Leveranser_per_nät,'Leveranser per nät'!AB$1,FALSE)
               +Andel_beroende_av_klimat*VLOOKUP($A287,Leveranser_per_nät,'Leveranser per nät'!AB$1,FALSE)/VLOOKUP($B287,Korrigeringsfaktor_GD,'Korrigeringsfaktor GD'!AB$1,FALSE),
"")</f>
        <v>0</v>
      </c>
      <c r="AC287" s="18">
        <f>IFERROR(
                  Andel_oberoende_av_klimat*VLOOKUP($A287,Leveranser_per_nät,'Leveranser per nät'!AC$1,FALSE)
               +Andel_beroende_av_klimat*VLOOKUP($A287,Leveranser_per_nät,'Leveranser per nät'!AC$1,FALSE)/VLOOKUP($B287,Korrigeringsfaktor_GD,'Korrigeringsfaktor GD'!AC$1,FALSE),
"")</f>
        <v>0</v>
      </c>
      <c r="AD287" t="e">
        <v>#N/A</v>
      </c>
    </row>
    <row r="288" spans="1:30" x14ac:dyDescent="0.25">
      <c r="A288" t="s">
        <v>337</v>
      </c>
      <c r="B288" t="s">
        <v>337</v>
      </c>
      <c r="C288" s="18">
        <f>IFERROR(
                  Andel_oberoende_av_klimat*VLOOKUP($A288,Leveranser_per_nät,'Leveranser per nät'!C$1,FALSE)
               +Andel_beroende_av_klimat*VLOOKUP($A288,Leveranser_per_nät,'Leveranser per nät'!C$1,FALSE)/VLOOKUP($B288,Korrigeringsfaktor_GD,'Korrigeringsfaktor GD'!C$1,FALSE),
"")</f>
        <v>308.96936936936936</v>
      </c>
      <c r="D288" s="18">
        <f>IFERROR(
                  Andel_oberoende_av_klimat*VLOOKUP($A288,Leveranser_per_nät,'Leveranser per nät'!D$1,FALSE)
               +Andel_beroende_av_klimat*VLOOKUP($A288,Leveranser_per_nät,'Leveranser per nät'!D$1,FALSE)/VLOOKUP($B288,Korrigeringsfaktor_GD,'Korrigeringsfaktor GD'!D$1,FALSE),
"")</f>
        <v>287.63953535353539</v>
      </c>
      <c r="E288" s="18">
        <f>IFERROR(
                  Andel_oberoende_av_klimat*VLOOKUP($A288,Leveranser_per_nät,'Leveranser per nät'!E$1,FALSE)
               +Andel_beroende_av_klimat*VLOOKUP($A288,Leveranser_per_nät,'Leveranser per nät'!E$1,FALSE)/VLOOKUP($B288,Korrigeringsfaktor_GD,'Korrigeringsfaktor GD'!E$1,FALSE),
"")</f>
        <v>270.12464724919096</v>
      </c>
      <c r="F288" s="18">
        <f>IFERROR(
                  Andel_oberoende_av_klimat*VLOOKUP($A288,Leveranser_per_nät,'Leveranser per nät'!F$1,FALSE)
               +Andel_beroende_av_klimat*VLOOKUP($A288,Leveranser_per_nät,'Leveranser per nät'!F$1,FALSE)/VLOOKUP($B288,Korrigeringsfaktor_GD,'Korrigeringsfaktor GD'!F$1,FALSE),
"")</f>
        <v>277.75278014184397</v>
      </c>
      <c r="G288" s="18">
        <f>IFERROR(
                  Andel_oberoende_av_klimat*VLOOKUP($A288,Leveranser_per_nät,'Leveranser per nät'!G$1,FALSE)
               +Andel_beroende_av_klimat*VLOOKUP($A288,Leveranser_per_nät,'Leveranser per nät'!G$1,FALSE)/VLOOKUP($B288,Korrigeringsfaktor_GD,'Korrigeringsfaktor GD'!G$1,FALSE),
"")</f>
        <v>280.43636363636364</v>
      </c>
      <c r="H288" s="18">
        <f>IFERROR(
                  Andel_oberoende_av_klimat*VLOOKUP($A288,Leveranser_per_nät,'Leveranser per nät'!H$1,FALSE)
               +Andel_beroende_av_klimat*VLOOKUP($A288,Leveranser_per_nät,'Leveranser per nät'!H$1,FALSE)/VLOOKUP($B288,Korrigeringsfaktor_GD,'Korrigeringsfaktor GD'!H$1,FALSE),
"")</f>
        <v>262.84545454545457</v>
      </c>
      <c r="I288" s="18">
        <f>IFERROR(
                  Andel_oberoende_av_klimat*VLOOKUP($A288,Leveranser_per_nät,'Leveranser per nät'!I$1,FALSE)
               +Andel_beroende_av_klimat*VLOOKUP($A288,Leveranser_per_nät,'Leveranser per nät'!I$1,FALSE)/VLOOKUP($B288,Korrigeringsfaktor_GD,'Korrigeringsfaktor GD'!I$1,FALSE),
"")</f>
        <v>289.19583333333333</v>
      </c>
      <c r="J288" s="18">
        <f>IFERROR(
                  Andel_oberoende_av_klimat*VLOOKUP($A288,Leveranser_per_nät,'Leveranser per nät'!J$1,FALSE)
               +Andel_beroende_av_klimat*VLOOKUP($A288,Leveranser_per_nät,'Leveranser per nät'!J$1,FALSE)/VLOOKUP($B288,Korrigeringsfaktor_GD,'Korrigeringsfaktor GD'!J$1,FALSE),
"")</f>
        <v>298.09292929292928</v>
      </c>
      <c r="K288" s="18">
        <f>IFERROR(
                  Andel_oberoende_av_klimat*VLOOKUP($A288,Leveranser_per_nät,'Leveranser per nät'!K$1,FALSE)
               +Andel_beroende_av_klimat*VLOOKUP($A288,Leveranser_per_nät,'Leveranser per nät'!K$1,FALSE)/VLOOKUP($B288,Korrigeringsfaktor_GD,'Korrigeringsfaktor GD'!K$1,FALSE),
"")</f>
        <v>287.47190000000001</v>
      </c>
      <c r="L288" s="18">
        <f>IFERROR(
                  Andel_oberoende_av_klimat*VLOOKUP($A288,Leveranser_per_nät,'Leveranser per nät'!L$1,FALSE)
               +Andel_beroende_av_klimat*VLOOKUP($A288,Leveranser_per_nät,'Leveranser per nät'!L$1,FALSE)/VLOOKUP($B288,Korrigeringsfaktor_GD,'Korrigeringsfaktor GD'!L$1,FALSE),
"")</f>
        <v>218.15749876717837</v>
      </c>
      <c r="M288" s="18">
        <f>IFERROR(
                  Andel_oberoende_av_klimat*VLOOKUP($A288,Leveranser_per_nät,'Leveranser per nät'!M$1,FALSE)
               +Andel_beroende_av_klimat*VLOOKUP($A288,Leveranser_per_nät,'Leveranser per nät'!M$1,FALSE)/VLOOKUP($B288,Korrigeringsfaktor_GD,'Korrigeringsfaktor GD'!M$1,FALSE),
"")</f>
        <v>325.57768695652169</v>
      </c>
      <c r="N288" s="18">
        <f>IFERROR(
                  Andel_oberoende_av_klimat*VLOOKUP($A288,Leveranser_per_nät,'Leveranser per nät'!N$1,FALSE)
               +Andel_beroende_av_klimat*VLOOKUP($A288,Leveranser_per_nät,'Leveranser per nät'!N$1,FALSE)/VLOOKUP($B288,Korrigeringsfaktor_GD,'Korrigeringsfaktor GD'!N$1,FALSE),
"")</f>
        <v>281.02434782608691</v>
      </c>
      <c r="O288" s="18">
        <f>IFERROR(
                  Andel_oberoende_av_klimat*VLOOKUP($A288,Leveranser_per_nät,'Leveranser per nät'!O$1,FALSE)
               +Andel_beroende_av_klimat*VLOOKUP($A288,Leveranser_per_nät,'Leveranser per nät'!O$1,FALSE)/VLOOKUP($B288,Korrigeringsfaktor_GD,'Korrigeringsfaktor GD'!O$1,FALSE),
"")</f>
        <v>278.46454545454543</v>
      </c>
      <c r="P288" s="18">
        <f>IFERROR(
                  Andel_oberoende_av_klimat*VLOOKUP($A288,Leveranser_per_nät,'Leveranser per nät'!P$1,FALSE)
               +Andel_beroende_av_klimat*VLOOKUP($A288,Leveranser_per_nät,'Leveranser per nät'!P$1,FALSE)/VLOOKUP($B288,Korrigeringsfaktor_GD,'Korrigeringsfaktor GD'!P$1,FALSE),
"")</f>
        <v>277.30571428571426</v>
      </c>
      <c r="Q288" s="18">
        <f>IFERROR(
                  Andel_oberoende_av_klimat*VLOOKUP($A288,Leveranser_per_nät,'Leveranser per nät'!Q$1,FALSE)
               +Andel_beroende_av_klimat*VLOOKUP($A288,Leveranser_per_nät,'Leveranser per nät'!Q$1,FALSE)/VLOOKUP($B288,Korrigeringsfaktor_GD,'Korrigeringsfaktor GD'!Q$1,FALSE),
"")</f>
        <v>293.32695652173913</v>
      </c>
      <c r="R288" s="18">
        <f>IFERROR(
                  Andel_oberoende_av_klimat*VLOOKUP($A288,Leveranser_per_nät,'Leveranser per nät'!R$1,FALSE)
               +Andel_beroende_av_klimat*VLOOKUP($A288,Leveranser_per_nät,'Leveranser per nät'!R$1,FALSE)/VLOOKUP($B288,Korrigeringsfaktor_GD,'Korrigeringsfaktor GD'!R$1,FALSE),
"")</f>
        <v>284.30846153846153</v>
      </c>
      <c r="S288" s="18">
        <f>IFERROR(
                  Andel_oberoende_av_klimat*VLOOKUP($A288,Leveranser_per_nät,'Leveranser per nät'!S$1,FALSE)
               +Andel_beroende_av_klimat*VLOOKUP($A288,Leveranser_per_nät,'Leveranser per nät'!S$1,FALSE)/VLOOKUP($B288,Korrigeringsfaktor_GD,'Korrigeringsfaktor GD'!S$1,FALSE),
"")</f>
        <v>286.00808080808082</v>
      </c>
      <c r="T288" s="18">
        <f>IFERROR(
                  Andel_oberoende_av_klimat*VLOOKUP($A288,Leveranser_per_nät,'Leveranser per nät'!T$1,FALSE)
               +Andel_beroende_av_klimat*VLOOKUP($A288,Leveranser_per_nät,'Leveranser per nät'!T$1,FALSE)/VLOOKUP($B288,Korrigeringsfaktor_GD,'Korrigeringsfaktor GD'!T$1,FALSE),
"")</f>
        <v>292.33479166666672</v>
      </c>
      <c r="U288" s="18">
        <f>IFERROR(
                  Andel_oberoende_av_klimat*VLOOKUP($A288,Leveranser_per_nät,'Leveranser per nät'!U$1,FALSE)
               +Andel_beroende_av_klimat*VLOOKUP($A288,Leveranser_per_nät,'Leveranser per nät'!U$1,FALSE)/VLOOKUP($B288,Korrigeringsfaktor_GD,'Korrigeringsfaktor GD'!U$1,FALSE),
"")</f>
        <v>281.62516853932578</v>
      </c>
      <c r="V288" s="18">
        <f>IFERROR(
                  Andel_oberoende_av_klimat*VLOOKUP($A288,Leveranser_per_nät,'Leveranser per nät'!V$1,FALSE)
               +Andel_beroende_av_klimat*VLOOKUP($A288,Leveranser_per_nät,'Leveranser per nät'!V$1,FALSE)/VLOOKUP($B288,Korrigeringsfaktor_GD,'Korrigeringsfaktor GD'!V$1,FALSE),
"")</f>
        <v>278.36561797752807</v>
      </c>
      <c r="W288" s="18">
        <f>IFERROR(
                  Andel_oberoende_av_klimat*VLOOKUP($A288,Leveranser_per_nät,'Leveranser per nät'!W$1,FALSE)
               +Andel_beroende_av_klimat*VLOOKUP($A288,Leveranser_per_nät,'Leveranser per nät'!W$1,FALSE)/VLOOKUP($B288,Korrigeringsfaktor_GD,'Korrigeringsfaktor GD'!W$1,FALSE),
"")</f>
        <v>293.85142105263162</v>
      </c>
      <c r="X288" s="18">
        <f>IFERROR(
                  Andel_oberoende_av_klimat*VLOOKUP($A288,Leveranser_per_nät,'Leveranser per nät'!X$1,FALSE)
               +Andel_beroende_av_klimat*VLOOKUP($A288,Leveranser_per_nät,'Leveranser per nät'!X$1,FALSE)/VLOOKUP($B288,Korrigeringsfaktor_GD,'Korrigeringsfaktor GD'!X$1,FALSE),
"")</f>
        <v>283.69946236559139</v>
      </c>
      <c r="Y288" s="18">
        <f>IFERROR(
                  Andel_oberoende_av_klimat*VLOOKUP($A288,Leveranser_per_nät,'Leveranser per nät'!Y$1,FALSE)
               +Andel_beroende_av_klimat*VLOOKUP($A288,Leveranser_per_nät,'Leveranser per nät'!Y$1,FALSE)/VLOOKUP($B288,Korrigeringsfaktor_GD,'Korrigeringsfaktor GD'!Y$1,FALSE),
"")</f>
        <v>285.16375161290324</v>
      </c>
      <c r="Z288" s="18">
        <f>IFERROR(
                  Andel_oberoende_av_klimat*VLOOKUP($A288,Leveranser_per_nät,'Leveranser per nät'!Z$1,FALSE)
               +Andel_beroende_av_klimat*VLOOKUP($A288,Leveranser_per_nät,'Leveranser per nät'!Z$1,FALSE)/VLOOKUP($B288,Korrigeringsfaktor_GD,'Korrigeringsfaktor GD'!Z$1,FALSE),
"")</f>
        <v>282.30233333333331</v>
      </c>
      <c r="AA288" s="18">
        <f>IFERROR(
                  Andel_oberoende_av_klimat*VLOOKUP($A288,Leveranser_per_nät,'Leveranser per nät'!AA$1,FALSE)
               +Andel_beroende_av_klimat*VLOOKUP($A288,Leveranser_per_nät,'Leveranser per nät'!AA$1,FALSE)/VLOOKUP($B288,Korrigeringsfaktor_GD,'Korrigeringsfaktor GD'!AA$1,FALSE),
"")</f>
        <v>282.67132942743007</v>
      </c>
      <c r="AB288" s="18">
        <f>IFERROR(
                  Andel_oberoende_av_klimat*VLOOKUP($A288,Leveranser_per_nät,'Leveranser per nät'!AB$1,FALSE)
               +Andel_beroende_av_klimat*VLOOKUP($A288,Leveranser_per_nät,'Leveranser per nät'!AB$1,FALSE)/VLOOKUP($B288,Korrigeringsfaktor_GD,'Korrigeringsfaktor GD'!AB$1,FALSE),
"")</f>
        <v>277.85633020730506</v>
      </c>
      <c r="AC288" s="18">
        <f>IFERROR(
                  Andel_oberoende_av_klimat*VLOOKUP($A288,Leveranser_per_nät,'Leveranser per nät'!AC$1,FALSE)
               +Andel_beroende_av_klimat*VLOOKUP($A288,Leveranser_per_nät,'Leveranser per nät'!AC$1,FALSE)/VLOOKUP($B288,Korrigeringsfaktor_GD,'Korrigeringsfaktor GD'!AC$1,FALSE),
"")</f>
        <v>268.86609609292503</v>
      </c>
      <c r="AD288">
        <v>258.73</v>
      </c>
    </row>
    <row r="289" spans="1:30" x14ac:dyDescent="0.25">
      <c r="A289" t="s">
        <v>121</v>
      </c>
      <c r="B289" t="s">
        <v>121</v>
      </c>
      <c r="C289" s="18">
        <f>IFERROR(
                  Andel_oberoende_av_klimat*VLOOKUP($A289,Leveranser_per_nät,'Leveranser per nät'!C$1,FALSE)
               +Andel_beroende_av_klimat*VLOOKUP($A289,Leveranser_per_nät,'Leveranser per nät'!C$1,FALSE)/VLOOKUP($B289,Korrigeringsfaktor_GD,'Korrigeringsfaktor GD'!C$1,FALSE),
"")</f>
        <v>13.028828828828829</v>
      </c>
      <c r="D289" s="18">
        <f>IFERROR(
                  Andel_oberoende_av_klimat*VLOOKUP($A289,Leveranser_per_nät,'Leveranser per nät'!D$1,FALSE)
               +Andel_beroende_av_klimat*VLOOKUP($A289,Leveranser_per_nät,'Leveranser per nät'!D$1,FALSE)/VLOOKUP($B289,Korrigeringsfaktor_GD,'Korrigeringsfaktor GD'!D$1,FALSE),
"")</f>
        <v>14.894575757575755</v>
      </c>
      <c r="E289" s="18">
        <f>IFERROR(
                  Andel_oberoende_av_klimat*VLOOKUP($A289,Leveranser_per_nät,'Leveranser per nät'!E$1,FALSE)
               +Andel_beroende_av_klimat*VLOOKUP($A289,Leveranser_per_nät,'Leveranser per nät'!E$1,FALSE)/VLOOKUP($B289,Korrigeringsfaktor_GD,'Korrigeringsfaktor GD'!E$1,FALSE),
"")</f>
        <v>14.794117647058822</v>
      </c>
      <c r="F289" s="18">
        <f>IFERROR(
                  Andel_oberoende_av_klimat*VLOOKUP($A289,Leveranser_per_nät,'Leveranser per nät'!F$1,FALSE)
               +Andel_beroende_av_klimat*VLOOKUP($A289,Leveranser_per_nät,'Leveranser per nät'!F$1,FALSE)/VLOOKUP($B289,Korrigeringsfaktor_GD,'Korrigeringsfaktor GD'!F$1,FALSE),
"")</f>
        <v>18.948387096774191</v>
      </c>
      <c r="G289" s="18">
        <f>IFERROR(
                  Andel_oberoende_av_klimat*VLOOKUP($A289,Leveranser_per_nät,'Leveranser per nät'!G$1,FALSE)
               +Andel_beroende_av_klimat*VLOOKUP($A289,Leveranser_per_nät,'Leveranser per nät'!G$1,FALSE)/VLOOKUP($B289,Korrigeringsfaktor_GD,'Korrigeringsfaktor GD'!G$1,FALSE),
"")</f>
        <v>18.622727272727271</v>
      </c>
      <c r="H289" s="18">
        <f>IFERROR(
                  Andel_oberoende_av_klimat*VLOOKUP($A289,Leveranser_per_nät,'Leveranser per nät'!H$1,FALSE)
               +Andel_beroende_av_klimat*VLOOKUP($A289,Leveranser_per_nät,'Leveranser per nät'!H$1,FALSE)/VLOOKUP($B289,Korrigeringsfaktor_GD,'Korrigeringsfaktor GD'!H$1,FALSE),
"")</f>
        <v>16.228571428571428</v>
      </c>
      <c r="I289" s="18">
        <f>IFERROR(
                  Andel_oberoende_av_klimat*VLOOKUP($A289,Leveranser_per_nät,'Leveranser per nät'!I$1,FALSE)
               +Andel_beroende_av_klimat*VLOOKUP($A289,Leveranser_per_nät,'Leveranser per nät'!I$1,FALSE)/VLOOKUP($B289,Korrigeringsfaktor_GD,'Korrigeringsfaktor GD'!I$1,FALSE),
"")</f>
        <v>16.466666666666669</v>
      </c>
      <c r="J289" s="18">
        <f>IFERROR(
                  Andel_oberoende_av_klimat*VLOOKUP($A289,Leveranser_per_nät,'Leveranser per nät'!J$1,FALSE)
               +Andel_beroende_av_klimat*VLOOKUP($A289,Leveranser_per_nät,'Leveranser per nät'!J$1,FALSE)/VLOOKUP($B289,Korrigeringsfaktor_GD,'Korrigeringsfaktor GD'!J$1,FALSE),
"")</f>
        <v>16.113131313131312</v>
      </c>
      <c r="K289" s="18">
        <f>IFERROR(
                  Andel_oberoende_av_klimat*VLOOKUP($A289,Leveranser_per_nät,'Leveranser per nät'!K$1,FALSE)
               +Andel_beroende_av_klimat*VLOOKUP($A289,Leveranser_per_nät,'Leveranser per nät'!K$1,FALSE)/VLOOKUP($B289,Korrigeringsfaktor_GD,'Korrigeringsfaktor GD'!K$1,FALSE),
"")</f>
        <v>0</v>
      </c>
      <c r="L289" s="18">
        <f>IFERROR(
                  Andel_oberoende_av_klimat*VLOOKUP($A289,Leveranser_per_nät,'Leveranser per nät'!L$1,FALSE)
               +Andel_beroende_av_klimat*VLOOKUP($A289,Leveranser_per_nät,'Leveranser per nät'!L$1,FALSE)/VLOOKUP($B289,Korrigeringsfaktor_GD,'Korrigeringsfaktor GD'!L$1,FALSE),
"")</f>
        <v>0</v>
      </c>
      <c r="M289" s="18">
        <f>IFERROR(
                  Andel_oberoende_av_klimat*VLOOKUP($A289,Leveranser_per_nät,'Leveranser per nät'!M$1,FALSE)
               +Andel_beroende_av_klimat*VLOOKUP($A289,Leveranser_per_nät,'Leveranser per nät'!M$1,FALSE)/VLOOKUP($B289,Korrigeringsfaktor_GD,'Korrigeringsfaktor GD'!M$1,FALSE),
"")</f>
        <v>0</v>
      </c>
      <c r="N289" s="18">
        <f>IFERROR(
                  Andel_oberoende_av_klimat*VLOOKUP($A289,Leveranser_per_nät,'Leveranser per nät'!N$1,FALSE)
               +Andel_beroende_av_klimat*VLOOKUP($A289,Leveranser_per_nät,'Leveranser per nät'!N$1,FALSE)/VLOOKUP($B289,Korrigeringsfaktor_GD,'Korrigeringsfaktor GD'!N$1,FALSE),
"")</f>
        <v>0</v>
      </c>
      <c r="O289" s="18">
        <f>IFERROR(
                  Andel_oberoende_av_klimat*VLOOKUP($A289,Leveranser_per_nät,'Leveranser per nät'!O$1,FALSE)
               +Andel_beroende_av_klimat*VLOOKUP($A289,Leveranser_per_nät,'Leveranser per nät'!O$1,FALSE)/VLOOKUP($B289,Korrigeringsfaktor_GD,'Korrigeringsfaktor GD'!O$1,FALSE),
"")</f>
        <v>0</v>
      </c>
      <c r="P289" s="18">
        <f>IFERROR(
                  Andel_oberoende_av_klimat*VLOOKUP($A289,Leveranser_per_nät,'Leveranser per nät'!P$1,FALSE)
               +Andel_beroende_av_klimat*VLOOKUP($A289,Leveranser_per_nät,'Leveranser per nät'!P$1,FALSE)/VLOOKUP($B289,Korrigeringsfaktor_GD,'Korrigeringsfaktor GD'!P$1,FALSE),
"")</f>
        <v>226.13499999999999</v>
      </c>
      <c r="Q289" s="18">
        <f>IFERROR(
                  Andel_oberoende_av_klimat*VLOOKUP($A289,Leveranser_per_nät,'Leveranser per nät'!Q$1,FALSE)
               +Andel_beroende_av_klimat*VLOOKUP($A289,Leveranser_per_nät,'Leveranser per nät'!Q$1,FALSE)/VLOOKUP($B289,Korrigeringsfaktor_GD,'Korrigeringsfaktor GD'!Q$1,FALSE),
"")</f>
        <v>0</v>
      </c>
      <c r="R289" s="18">
        <f>IFERROR(
                  Andel_oberoende_av_klimat*VLOOKUP($A289,Leveranser_per_nät,'Leveranser per nät'!R$1,FALSE)
               +Andel_beroende_av_klimat*VLOOKUP($A289,Leveranser_per_nät,'Leveranser per nät'!R$1,FALSE)/VLOOKUP($B289,Korrigeringsfaktor_GD,'Korrigeringsfaktor GD'!R$1,FALSE),
"")</f>
        <v>62.311234782608693</v>
      </c>
      <c r="S289" s="18">
        <f>IFERROR(
                  Andel_oberoende_av_klimat*VLOOKUP($A289,Leveranser_per_nät,'Leveranser per nät'!S$1,FALSE)
               +Andel_beroende_av_klimat*VLOOKUP($A289,Leveranser_per_nät,'Leveranser per nät'!S$1,FALSE)/VLOOKUP($B289,Korrigeringsfaktor_GD,'Korrigeringsfaktor GD'!S$1,FALSE),
"")</f>
        <v>62</v>
      </c>
      <c r="T289" s="18">
        <f>IFERROR(
                  Andel_oberoende_av_klimat*VLOOKUP($A289,Leveranser_per_nät,'Leveranser per nät'!T$1,FALSE)
               +Andel_beroende_av_klimat*VLOOKUP($A289,Leveranser_per_nät,'Leveranser per nät'!T$1,FALSE)/VLOOKUP($B289,Korrigeringsfaktor_GD,'Korrigeringsfaktor GD'!T$1,FALSE),
"")</f>
        <v>60.767145833333338</v>
      </c>
      <c r="U289" s="18">
        <f>IFERROR(
                  Andel_oberoende_av_klimat*VLOOKUP($A289,Leveranser_per_nät,'Leveranser per nät'!U$1,FALSE)
               +Andel_beroende_av_klimat*VLOOKUP($A289,Leveranser_per_nät,'Leveranser per nät'!U$1,FALSE)/VLOOKUP($B289,Korrigeringsfaktor_GD,'Korrigeringsfaktor GD'!U$1,FALSE),
"")</f>
        <v>60.086555056179776</v>
      </c>
      <c r="V289" s="18">
        <f>IFERROR(
                  Andel_oberoende_av_klimat*VLOOKUP($A289,Leveranser_per_nät,'Leveranser per nät'!V$1,FALSE)
               +Andel_beroende_av_klimat*VLOOKUP($A289,Leveranser_per_nät,'Leveranser per nät'!V$1,FALSE)/VLOOKUP($B289,Korrigeringsfaktor_GD,'Korrigeringsfaktor GD'!V$1,FALSE),
"")</f>
        <v>58.961745454545451</v>
      </c>
      <c r="W289" s="18">
        <f>IFERROR(
                  Andel_oberoende_av_klimat*VLOOKUP($A289,Leveranser_per_nät,'Leveranser per nät'!W$1,FALSE)
               +Andel_beroende_av_klimat*VLOOKUP($A289,Leveranser_per_nät,'Leveranser per nät'!W$1,FALSE)/VLOOKUP($B289,Korrigeringsfaktor_GD,'Korrigeringsfaktor GD'!W$1,FALSE),
"")</f>
        <v>59.781204166666669</v>
      </c>
      <c r="X289" s="18">
        <f>IFERROR(
                  Andel_oberoende_av_klimat*VLOOKUP($A289,Leveranser_per_nät,'Leveranser per nät'!X$1,FALSE)
               +Andel_beroende_av_klimat*VLOOKUP($A289,Leveranser_per_nät,'Leveranser per nät'!X$1,FALSE)/VLOOKUP($B289,Korrigeringsfaktor_GD,'Korrigeringsfaktor GD'!X$1,FALSE),
"")</f>
        <v>222.24435957446809</v>
      </c>
      <c r="Y289" s="18">
        <f>IFERROR(
                  Andel_oberoende_av_klimat*VLOOKUP($A289,Leveranser_per_nät,'Leveranser per nät'!Y$1,FALSE)
               +Andel_beroende_av_klimat*VLOOKUP($A289,Leveranser_per_nät,'Leveranser per nät'!Y$1,FALSE)/VLOOKUP($B289,Korrigeringsfaktor_GD,'Korrigeringsfaktor GD'!Y$1,FALSE),
"")</f>
        <v>218.02489361702126</v>
      </c>
      <c r="Z289" s="18">
        <f>IFERROR(
                  Andel_oberoende_av_klimat*VLOOKUP($A289,Leveranser_per_nät,'Leveranser per nät'!Z$1,FALSE)
               +Andel_beroende_av_klimat*VLOOKUP($A289,Leveranser_per_nät,'Leveranser per nät'!Z$1,FALSE)/VLOOKUP($B289,Korrigeringsfaktor_GD,'Korrigeringsfaktor GD'!Z$1,FALSE),
"")</f>
        <v>72.90030909090909</v>
      </c>
      <c r="AA289" s="18">
        <f>IFERROR(
                  Andel_oberoende_av_klimat*VLOOKUP($A289,Leveranser_per_nät,'Leveranser per nät'!AA$1,FALSE)
               +Andel_beroende_av_klimat*VLOOKUP($A289,Leveranser_per_nät,'Leveranser per nät'!AA$1,FALSE)/VLOOKUP($B289,Korrigeringsfaktor_GD,'Korrigeringsfaktor GD'!AA$1,FALSE),
"")</f>
        <v>70.309461269959158</v>
      </c>
      <c r="AB289" s="18">
        <f>IFERROR(
                  Andel_oberoende_av_klimat*VLOOKUP($A289,Leveranser_per_nät,'Leveranser per nät'!AB$1,FALSE)
               +Andel_beroende_av_klimat*VLOOKUP($A289,Leveranser_per_nät,'Leveranser per nät'!AB$1,FALSE)/VLOOKUP($B289,Korrigeringsfaktor_GD,'Korrigeringsfaktor GD'!AB$1,FALSE),
"")</f>
        <v>71.82095987963892</v>
      </c>
      <c r="AC289" s="18">
        <f>IFERROR(
                  Andel_oberoende_av_klimat*VLOOKUP($A289,Leveranser_per_nät,'Leveranser per nät'!AC$1,FALSE)
               +Andel_beroende_av_klimat*VLOOKUP($A289,Leveranser_per_nät,'Leveranser per nät'!AC$1,FALSE)/VLOOKUP($B289,Korrigeringsfaktor_GD,'Korrigeringsfaktor GD'!AC$1,FALSE),
"")</f>
        <v>60.078957754010688</v>
      </c>
      <c r="AD289">
        <v>57.290999999999997</v>
      </c>
    </row>
    <row r="290" spans="1:30" x14ac:dyDescent="0.25">
      <c r="A290" t="s">
        <v>223</v>
      </c>
      <c r="B290" t="s">
        <v>223</v>
      </c>
      <c r="C290" s="18">
        <f>IFERROR(
                  Andel_oberoende_av_klimat*VLOOKUP($A290,Leveranser_per_nät,'Leveranser per nät'!C$1,FALSE)
               +Andel_beroende_av_klimat*VLOOKUP($A290,Leveranser_per_nät,'Leveranser per nät'!C$1,FALSE)/VLOOKUP($B290,Korrigeringsfaktor_GD,'Korrigeringsfaktor GD'!C$1,FALSE),
"")</f>
        <v>115.39819819819819</v>
      </c>
      <c r="D290" s="18">
        <f>IFERROR(
                  Andel_oberoende_av_klimat*VLOOKUP($A290,Leveranser_per_nät,'Leveranser per nät'!D$1,FALSE)
               +Andel_beroende_av_klimat*VLOOKUP($A290,Leveranser_per_nät,'Leveranser per nät'!D$1,FALSE)/VLOOKUP($B290,Korrigeringsfaktor_GD,'Korrigeringsfaktor GD'!D$1,FALSE),
"")</f>
        <v>115.41030303030303</v>
      </c>
      <c r="E290" s="18">
        <f>IFERROR(
                  Andel_oberoende_av_klimat*VLOOKUP($A290,Leveranser_per_nät,'Leveranser per nät'!E$1,FALSE)
               +Andel_beroende_av_klimat*VLOOKUP($A290,Leveranser_per_nät,'Leveranser per nät'!E$1,FALSE)/VLOOKUP($B290,Korrigeringsfaktor_GD,'Korrigeringsfaktor GD'!E$1,FALSE),
"")</f>
        <v>122.29803921568627</v>
      </c>
      <c r="F290" s="18">
        <f>IFERROR(
                  Andel_oberoende_av_klimat*VLOOKUP($A290,Leveranser_per_nät,'Leveranser per nät'!F$1,FALSE)
               +Andel_beroende_av_klimat*VLOOKUP($A290,Leveranser_per_nät,'Leveranser per nät'!F$1,FALSE)/VLOOKUP($B290,Korrigeringsfaktor_GD,'Korrigeringsfaktor GD'!F$1,FALSE),
"")</f>
        <v>123.27234042553192</v>
      </c>
      <c r="G290" s="18">
        <f>IFERROR(
                  Andel_oberoende_av_klimat*VLOOKUP($A290,Leveranser_per_nät,'Leveranser per nät'!G$1,FALSE)
               +Andel_beroende_av_klimat*VLOOKUP($A290,Leveranser_per_nät,'Leveranser per nät'!G$1,FALSE)/VLOOKUP($B290,Korrigeringsfaktor_GD,'Korrigeringsfaktor GD'!G$1,FALSE),
"")</f>
        <v>124.88181818181818</v>
      </c>
      <c r="H290" s="18">
        <f>IFERROR(
                  Andel_oberoende_av_klimat*VLOOKUP($A290,Leveranser_per_nät,'Leveranser per nät'!H$1,FALSE)
               +Andel_beroende_av_klimat*VLOOKUP($A290,Leveranser_per_nät,'Leveranser per nät'!H$1,FALSE)/VLOOKUP($B290,Korrigeringsfaktor_GD,'Korrigeringsfaktor GD'!H$1,FALSE),
"")</f>
        <v>134.73699999999999</v>
      </c>
      <c r="I290" s="18">
        <f>IFERROR(
                  Andel_oberoende_av_klimat*VLOOKUP($A290,Leveranser_per_nät,'Leveranser per nät'!I$1,FALSE)
               +Andel_beroende_av_klimat*VLOOKUP($A290,Leveranser_per_nät,'Leveranser per nät'!I$1,FALSE)/VLOOKUP($B290,Korrigeringsfaktor_GD,'Korrigeringsfaktor GD'!I$1,FALSE),
"")</f>
        <v>142.87062105263158</v>
      </c>
      <c r="J290" s="18">
        <f>IFERROR(
                  Andel_oberoende_av_klimat*VLOOKUP($A290,Leveranser_per_nät,'Leveranser per nät'!J$1,FALSE)
               +Andel_beroende_av_klimat*VLOOKUP($A290,Leveranser_per_nät,'Leveranser per nät'!J$1,FALSE)/VLOOKUP($B290,Korrigeringsfaktor_GD,'Korrigeringsfaktor GD'!J$1,FALSE),
"")</f>
        <v>145.38974285714286</v>
      </c>
      <c r="K290" s="18">
        <f>IFERROR(
                  Andel_oberoende_av_klimat*VLOOKUP($A290,Leveranser_per_nät,'Leveranser per nät'!K$1,FALSE)
               +Andel_beroende_av_klimat*VLOOKUP($A290,Leveranser_per_nät,'Leveranser per nät'!K$1,FALSE)/VLOOKUP($B290,Korrigeringsfaktor_GD,'Korrigeringsfaktor GD'!K$1,FALSE),
"")</f>
        <v>142.62</v>
      </c>
      <c r="L290" s="18">
        <f>IFERROR(
                  Andel_oberoende_av_klimat*VLOOKUP($A290,Leveranser_per_nät,'Leveranser per nät'!L$1,FALSE)
               +Andel_beroende_av_klimat*VLOOKUP($A290,Leveranser_per_nät,'Leveranser per nät'!L$1,FALSE)/VLOOKUP($B290,Korrigeringsfaktor_GD,'Korrigeringsfaktor GD'!L$1,FALSE),
"")</f>
        <v>144.47441666666668</v>
      </c>
      <c r="M290" s="18">
        <f>IFERROR(
                  Andel_oberoende_av_klimat*VLOOKUP($A290,Leveranser_per_nät,'Leveranser per nät'!M$1,FALSE)
               +Andel_beroende_av_klimat*VLOOKUP($A290,Leveranser_per_nät,'Leveranser per nät'!M$1,FALSE)/VLOOKUP($B290,Korrigeringsfaktor_GD,'Korrigeringsfaktor GD'!M$1,FALSE),
"")</f>
        <v>149.41013763440858</v>
      </c>
      <c r="N290" s="18">
        <f>IFERROR(
                  Andel_oberoende_av_klimat*VLOOKUP($A290,Leveranser_per_nät,'Leveranser per nät'!N$1,FALSE)
               +Andel_beroende_av_klimat*VLOOKUP($A290,Leveranser_per_nät,'Leveranser per nät'!N$1,FALSE)/VLOOKUP($B290,Korrigeringsfaktor_GD,'Korrigeringsfaktor GD'!N$1,FALSE),
"")</f>
        <v>154.29641538461539</v>
      </c>
      <c r="O290" s="18">
        <f>IFERROR(
                  Andel_oberoende_av_klimat*VLOOKUP($A290,Leveranser_per_nät,'Leveranser per nät'!O$1,FALSE)
               +Andel_beroende_av_klimat*VLOOKUP($A290,Leveranser_per_nät,'Leveranser per nät'!O$1,FALSE)/VLOOKUP($B290,Korrigeringsfaktor_GD,'Korrigeringsfaktor GD'!O$1,FALSE),
"")</f>
        <v>157.14163846153849</v>
      </c>
      <c r="P290" s="18">
        <f>IFERROR(
                  Andel_oberoende_av_klimat*VLOOKUP($A290,Leveranser_per_nät,'Leveranser per nät'!P$1,FALSE)
               +Andel_beroende_av_klimat*VLOOKUP($A290,Leveranser_per_nät,'Leveranser per nät'!P$1,FALSE)/VLOOKUP($B290,Korrigeringsfaktor_GD,'Korrigeringsfaktor GD'!P$1,FALSE),
"")</f>
        <v>158.64240000000001</v>
      </c>
      <c r="Q290" s="18">
        <f>IFERROR(
                  Andel_oberoende_av_klimat*VLOOKUP($A290,Leveranser_per_nät,'Leveranser per nät'!Q$1,FALSE)
               +Andel_beroende_av_klimat*VLOOKUP($A290,Leveranser_per_nät,'Leveranser per nät'!Q$1,FALSE)/VLOOKUP($B290,Korrigeringsfaktor_GD,'Korrigeringsfaktor GD'!Q$1,FALSE),
"")</f>
        <v>164.75573859649126</v>
      </c>
      <c r="R290" s="18">
        <f>IFERROR(
                  Andel_oberoende_av_klimat*VLOOKUP($A290,Leveranser_per_nät,'Leveranser per nät'!R$1,FALSE)
               +Andel_beroende_av_klimat*VLOOKUP($A290,Leveranser_per_nät,'Leveranser per nät'!R$1,FALSE)/VLOOKUP($B290,Korrigeringsfaktor_GD,'Korrigeringsfaktor GD'!R$1,FALSE),
"")</f>
        <v>157.86693913043479</v>
      </c>
      <c r="S290" s="18">
        <f>IFERROR(
                  Andel_oberoende_av_klimat*VLOOKUP($A290,Leveranser_per_nät,'Leveranser per nät'!S$1,FALSE)
               +Andel_beroende_av_klimat*VLOOKUP($A290,Leveranser_per_nät,'Leveranser per nät'!S$1,FALSE)/VLOOKUP($B290,Korrigeringsfaktor_GD,'Korrigeringsfaktor GD'!S$1,FALSE),
"")</f>
        <v>160.87722772277226</v>
      </c>
      <c r="T290" s="18">
        <f>IFERROR(
                  Andel_oberoende_av_klimat*VLOOKUP($A290,Leveranser_per_nät,'Leveranser per nät'!T$1,FALSE)
               +Andel_beroende_av_klimat*VLOOKUP($A290,Leveranser_per_nät,'Leveranser per nät'!T$1,FALSE)/VLOOKUP($B290,Korrigeringsfaktor_GD,'Korrigeringsfaktor GD'!T$1,FALSE),
"")</f>
        <v>159.44368571428572</v>
      </c>
      <c r="U290" s="18">
        <f>IFERROR(
                  Andel_oberoende_av_klimat*VLOOKUP($A290,Leveranser_per_nät,'Leveranser per nät'!U$1,FALSE)
               +Andel_beroende_av_klimat*VLOOKUP($A290,Leveranser_per_nät,'Leveranser per nät'!U$1,FALSE)/VLOOKUP($B290,Korrigeringsfaktor_GD,'Korrigeringsfaktor GD'!U$1,FALSE),
"")</f>
        <v>158.11542873563218</v>
      </c>
      <c r="V290" s="18">
        <f>IFERROR(
                  Andel_oberoende_av_klimat*VLOOKUP($A290,Leveranser_per_nät,'Leveranser per nät'!V$1,FALSE)
               +Andel_beroende_av_klimat*VLOOKUP($A290,Leveranser_per_nät,'Leveranser per nät'!V$1,FALSE)/VLOOKUP($B290,Korrigeringsfaktor_GD,'Korrigeringsfaktor GD'!V$1,FALSE),
"")</f>
        <v>158.21993333333333</v>
      </c>
      <c r="W290" s="18">
        <f>IFERROR(
                  Andel_oberoende_av_klimat*VLOOKUP($A290,Leveranser_per_nät,'Leveranser per nät'!W$1,FALSE)
               +Andel_beroende_av_klimat*VLOOKUP($A290,Leveranser_per_nät,'Leveranser per nät'!W$1,FALSE)/VLOOKUP($B290,Korrigeringsfaktor_GD,'Korrigeringsfaktor GD'!W$1,FALSE),
"")</f>
        <v>159.37698924731183</v>
      </c>
      <c r="X290" s="18">
        <f>IFERROR(
                  Andel_oberoende_av_klimat*VLOOKUP($A290,Leveranser_per_nät,'Leveranser per nät'!X$1,FALSE)
               +Andel_beroende_av_klimat*VLOOKUP($A290,Leveranser_per_nät,'Leveranser per nät'!X$1,FALSE)/VLOOKUP($B290,Korrigeringsfaktor_GD,'Korrigeringsfaktor GD'!X$1,FALSE),
"")</f>
        <v>161.35826086956519</v>
      </c>
      <c r="Y290" s="18">
        <f>IFERROR(
                  Andel_oberoende_av_klimat*VLOOKUP($A290,Leveranser_per_nät,'Leveranser per nät'!Y$1,FALSE)
               +Andel_beroende_av_klimat*VLOOKUP($A290,Leveranser_per_nät,'Leveranser per nät'!Y$1,FALSE)/VLOOKUP($B290,Korrigeringsfaktor_GD,'Korrigeringsfaktor GD'!Y$1,FALSE),
"")</f>
        <v>163.84674157303371</v>
      </c>
      <c r="Z290" s="18">
        <f>IFERROR(
                  Andel_oberoende_av_klimat*VLOOKUP($A290,Leveranser_per_nät,'Leveranser per nät'!Z$1,FALSE)
               +Andel_beroende_av_klimat*VLOOKUP($A290,Leveranser_per_nät,'Leveranser per nät'!Z$1,FALSE)/VLOOKUP($B290,Korrigeringsfaktor_GD,'Korrigeringsfaktor GD'!Z$1,FALSE),
"")</f>
        <v>161.85744186046514</v>
      </c>
      <c r="AA290" s="18">
        <f>IFERROR(
                  Andel_oberoende_av_klimat*VLOOKUP($A290,Leveranser_per_nät,'Leveranser per nät'!AA$1,FALSE)
               +Andel_beroende_av_klimat*VLOOKUP($A290,Leveranser_per_nät,'Leveranser per nät'!AA$1,FALSE)/VLOOKUP($B290,Korrigeringsfaktor_GD,'Korrigeringsfaktor GD'!AA$1,FALSE),
"")</f>
        <v>158.17979158626011</v>
      </c>
      <c r="AB290" s="18">
        <f>IFERROR(
                  Andel_oberoende_av_klimat*VLOOKUP($A290,Leveranser_per_nät,'Leveranser per nät'!AB$1,FALSE)
               +Andel_beroende_av_klimat*VLOOKUP($A290,Leveranser_per_nät,'Leveranser per nät'!AB$1,FALSE)/VLOOKUP($B290,Korrigeringsfaktor_GD,'Korrigeringsfaktor GD'!AB$1,FALSE),
"")</f>
        <v>156.08514313919054</v>
      </c>
      <c r="AC290" s="18">
        <f>IFERROR(
                  Andel_oberoende_av_klimat*VLOOKUP($A290,Leveranser_per_nät,'Leveranser per nät'!AC$1,FALSE)
               +Andel_beroende_av_klimat*VLOOKUP($A290,Leveranser_per_nät,'Leveranser per nät'!AC$1,FALSE)/VLOOKUP($B290,Korrigeringsfaktor_GD,'Korrigeringsfaktor GD'!AC$1,FALSE),
"")</f>
        <v>151.64209424083771</v>
      </c>
      <c r="AD290">
        <v>146.80000000000001</v>
      </c>
    </row>
    <row r="291" spans="1:30" x14ac:dyDescent="0.25">
      <c r="A291" t="s">
        <v>127</v>
      </c>
      <c r="B291" t="s">
        <v>117</v>
      </c>
      <c r="C291" s="18">
        <f>IFERROR(
                  Andel_oberoende_av_klimat*VLOOKUP($A291,Leveranser_per_nät,'Leveranser per nät'!C$1,FALSE)
               +Andel_beroende_av_klimat*VLOOKUP($A291,Leveranser_per_nät,'Leveranser per nät'!C$1,FALSE)/VLOOKUP($B291,Korrigeringsfaktor_GD,'Korrigeringsfaktor GD'!C$1,FALSE),
"")</f>
        <v>0</v>
      </c>
      <c r="D291" s="18">
        <f>IFERROR(
                  Andel_oberoende_av_klimat*VLOOKUP($A291,Leveranser_per_nät,'Leveranser per nät'!D$1,FALSE)
               +Andel_beroende_av_klimat*VLOOKUP($A291,Leveranser_per_nät,'Leveranser per nät'!D$1,FALSE)/VLOOKUP($B291,Korrigeringsfaktor_GD,'Korrigeringsfaktor GD'!D$1,FALSE),
"")</f>
        <v>0</v>
      </c>
      <c r="E291" s="18">
        <f>IFERROR(
                  Andel_oberoende_av_klimat*VLOOKUP($A291,Leveranser_per_nät,'Leveranser per nät'!E$1,FALSE)
               +Andel_beroende_av_klimat*VLOOKUP($A291,Leveranser_per_nät,'Leveranser per nät'!E$1,FALSE)/VLOOKUP($B291,Korrigeringsfaktor_GD,'Korrigeringsfaktor GD'!E$1,FALSE),
"")</f>
        <v>0</v>
      </c>
      <c r="F291" s="18">
        <f>IFERROR(
                  Andel_oberoende_av_klimat*VLOOKUP($A291,Leveranser_per_nät,'Leveranser per nät'!F$1,FALSE)
               +Andel_beroende_av_klimat*VLOOKUP($A291,Leveranser_per_nät,'Leveranser per nät'!F$1,FALSE)/VLOOKUP($B291,Korrigeringsfaktor_GD,'Korrigeringsfaktor GD'!F$1,FALSE),
"")</f>
        <v>0</v>
      </c>
      <c r="G291" s="18">
        <f>IFERROR(
                  Andel_oberoende_av_klimat*VLOOKUP($A291,Leveranser_per_nät,'Leveranser per nät'!G$1,FALSE)
               +Andel_beroende_av_klimat*VLOOKUP($A291,Leveranser_per_nät,'Leveranser per nät'!G$1,FALSE)/VLOOKUP($B291,Korrigeringsfaktor_GD,'Korrigeringsfaktor GD'!G$1,FALSE),
"")</f>
        <v>0</v>
      </c>
      <c r="H291" s="18">
        <f>IFERROR(
                  Andel_oberoende_av_klimat*VLOOKUP($A291,Leveranser_per_nät,'Leveranser per nät'!H$1,FALSE)
               +Andel_beroende_av_klimat*VLOOKUP($A291,Leveranser_per_nät,'Leveranser per nät'!H$1,FALSE)/VLOOKUP($B291,Korrigeringsfaktor_GD,'Korrigeringsfaktor GD'!H$1,FALSE),
"")</f>
        <v>0</v>
      </c>
      <c r="I291" s="18">
        <f>IFERROR(
                  Andel_oberoende_av_klimat*VLOOKUP($A291,Leveranser_per_nät,'Leveranser per nät'!I$1,FALSE)
               +Andel_beroende_av_klimat*VLOOKUP($A291,Leveranser_per_nät,'Leveranser per nät'!I$1,FALSE)/VLOOKUP($B291,Korrigeringsfaktor_GD,'Korrigeringsfaktor GD'!I$1,FALSE),
"")</f>
        <v>0</v>
      </c>
      <c r="J291" s="18">
        <f>IFERROR(
                  Andel_oberoende_av_klimat*VLOOKUP($A291,Leveranser_per_nät,'Leveranser per nät'!J$1,FALSE)
               +Andel_beroende_av_klimat*VLOOKUP($A291,Leveranser_per_nät,'Leveranser per nät'!J$1,FALSE)/VLOOKUP($B291,Korrigeringsfaktor_GD,'Korrigeringsfaktor GD'!J$1,FALSE),
"")</f>
        <v>0</v>
      </c>
      <c r="K291" s="18">
        <f>IFERROR(
                  Andel_oberoende_av_klimat*VLOOKUP($A291,Leveranser_per_nät,'Leveranser per nät'!K$1,FALSE)
               +Andel_beroende_av_klimat*VLOOKUP($A291,Leveranser_per_nät,'Leveranser per nät'!K$1,FALSE)/VLOOKUP($B291,Korrigeringsfaktor_GD,'Korrigeringsfaktor GD'!K$1,FALSE),
"")</f>
        <v>0</v>
      </c>
      <c r="L291" s="18">
        <f>IFERROR(
                  Andel_oberoende_av_klimat*VLOOKUP($A291,Leveranser_per_nät,'Leveranser per nät'!L$1,FALSE)
               +Andel_beroende_av_klimat*VLOOKUP($A291,Leveranser_per_nät,'Leveranser per nät'!L$1,FALSE)/VLOOKUP($B291,Korrigeringsfaktor_GD,'Korrigeringsfaktor GD'!L$1,FALSE),
"")</f>
        <v>0</v>
      </c>
      <c r="M291" s="18">
        <f>IFERROR(
                  Andel_oberoende_av_klimat*VLOOKUP($A291,Leveranser_per_nät,'Leveranser per nät'!M$1,FALSE)
               +Andel_beroende_av_klimat*VLOOKUP($A291,Leveranser_per_nät,'Leveranser per nät'!M$1,FALSE)/VLOOKUP($B291,Korrigeringsfaktor_GD,'Korrigeringsfaktor GD'!M$1,FALSE),
"")</f>
        <v>0</v>
      </c>
      <c r="N291" s="18">
        <f>IFERROR(
                  Andel_oberoende_av_klimat*VLOOKUP($A291,Leveranser_per_nät,'Leveranser per nät'!N$1,FALSE)
               +Andel_beroende_av_klimat*VLOOKUP($A291,Leveranser_per_nät,'Leveranser per nät'!N$1,FALSE)/VLOOKUP($B291,Korrigeringsfaktor_GD,'Korrigeringsfaktor GD'!N$1,FALSE),
"")</f>
        <v>0</v>
      </c>
      <c r="O291" s="18">
        <f>IFERROR(
                  Andel_oberoende_av_klimat*VLOOKUP($A291,Leveranser_per_nät,'Leveranser per nät'!O$1,FALSE)
               +Andel_beroende_av_klimat*VLOOKUP($A291,Leveranser_per_nät,'Leveranser per nät'!O$1,FALSE)/VLOOKUP($B291,Korrigeringsfaktor_GD,'Korrigeringsfaktor GD'!O$1,FALSE),
"")</f>
        <v>2.0156521739130433</v>
      </c>
      <c r="P291" s="18">
        <f>IFERROR(
                  Andel_oberoende_av_klimat*VLOOKUP($A291,Leveranser_per_nät,'Leveranser per nät'!P$1,FALSE)
               +Andel_beroende_av_klimat*VLOOKUP($A291,Leveranser_per_nät,'Leveranser per nät'!P$1,FALSE)/VLOOKUP($B291,Korrigeringsfaktor_GD,'Korrigeringsfaktor GD'!P$1,FALSE),
"")</f>
        <v>1.9134343434343433</v>
      </c>
      <c r="Q291" s="18">
        <f>IFERROR(
                  Andel_oberoende_av_klimat*VLOOKUP($A291,Leveranser_per_nät,'Leveranser per nät'!Q$1,FALSE)
               +Andel_beroende_av_klimat*VLOOKUP($A291,Leveranser_per_nät,'Leveranser per nät'!Q$1,FALSE)/VLOOKUP($B291,Korrigeringsfaktor_GD,'Korrigeringsfaktor GD'!Q$1,FALSE),
"")</f>
        <v>2.0591043478260871</v>
      </c>
      <c r="R291" s="18">
        <f>IFERROR(
                  Andel_oberoende_av_klimat*VLOOKUP($A291,Leveranser_per_nät,'Leveranser per nät'!R$1,FALSE)
               +Andel_beroende_av_klimat*VLOOKUP($A291,Leveranser_per_nät,'Leveranser per nät'!R$1,FALSE)/VLOOKUP($B291,Korrigeringsfaktor_GD,'Korrigeringsfaktor GD'!R$1,FALSE),
"")</f>
        <v>1.9663153846153845</v>
      </c>
      <c r="S291" s="18">
        <f>IFERROR(
                  Andel_oberoende_av_klimat*VLOOKUP($A291,Leveranser_per_nät,'Leveranser per nät'!S$1,FALSE)
               +Andel_beroende_av_klimat*VLOOKUP($A291,Leveranser_per_nät,'Leveranser per nät'!S$1,FALSE)/VLOOKUP($B291,Korrigeringsfaktor_GD,'Korrigeringsfaktor GD'!S$1,FALSE),
"")</f>
        <v>1.9436464646464646</v>
      </c>
      <c r="T291" s="18">
        <f>IFERROR(
                  Andel_oberoende_av_klimat*VLOOKUP($A291,Leveranser_per_nät,'Leveranser per nät'!T$1,FALSE)
               +Andel_beroende_av_klimat*VLOOKUP($A291,Leveranser_per_nät,'Leveranser per nät'!T$1,FALSE)/VLOOKUP($B291,Korrigeringsfaktor_GD,'Korrigeringsfaktor GD'!T$1,FALSE),
"")</f>
        <v>1.9907368421052631</v>
      </c>
      <c r="U291" s="18">
        <f>IFERROR(
                  Andel_oberoende_av_klimat*VLOOKUP($A291,Leveranser_per_nät,'Leveranser per nät'!U$1,FALSE)
               +Andel_beroende_av_klimat*VLOOKUP($A291,Leveranser_per_nät,'Leveranser per nät'!U$1,FALSE)/VLOOKUP($B291,Korrigeringsfaktor_GD,'Korrigeringsfaktor GD'!U$1,FALSE),
"")</f>
        <v>1.7677629213483148</v>
      </c>
      <c r="V291" s="18">
        <f>IFERROR(
                  Andel_oberoende_av_klimat*VLOOKUP($A291,Leveranser_per_nät,'Leveranser per nät'!V$1,FALSE)
               +Andel_beroende_av_klimat*VLOOKUP($A291,Leveranser_per_nät,'Leveranser per nät'!V$1,FALSE)/VLOOKUP($B291,Korrigeringsfaktor_GD,'Korrigeringsfaktor GD'!V$1,FALSE),
"")</f>
        <v>1.7286483146067415</v>
      </c>
      <c r="W291" s="18">
        <f>IFERROR(
                  Andel_oberoende_av_klimat*VLOOKUP($A291,Leveranser_per_nät,'Leveranser per nät'!W$1,FALSE)
               +Andel_beroende_av_klimat*VLOOKUP($A291,Leveranser_per_nät,'Leveranser per nät'!W$1,FALSE)/VLOOKUP($B291,Korrigeringsfaktor_GD,'Korrigeringsfaktor GD'!W$1,FALSE),
"")</f>
        <v>1.8804255319148937</v>
      </c>
      <c r="X291" s="18">
        <f>IFERROR(
                  Andel_oberoende_av_klimat*VLOOKUP($A291,Leveranser_per_nät,'Leveranser per nät'!X$1,FALSE)
               +Andel_beroende_av_klimat*VLOOKUP($A291,Leveranser_per_nät,'Leveranser per nät'!X$1,FALSE)/VLOOKUP($B291,Korrigeringsfaktor_GD,'Korrigeringsfaktor GD'!X$1,FALSE),
"")</f>
        <v>1.6466666666666665</v>
      </c>
      <c r="Y291" s="18">
        <f>IFERROR(
                  Andel_oberoende_av_klimat*VLOOKUP($A291,Leveranser_per_nät,'Leveranser per nät'!Y$1,FALSE)
               +Andel_beroende_av_klimat*VLOOKUP($A291,Leveranser_per_nät,'Leveranser per nät'!Y$1,FALSE)/VLOOKUP($B291,Korrigeringsfaktor_GD,'Korrigeringsfaktor GD'!Y$1,FALSE),
"")</f>
        <v>1.6228571428571428</v>
      </c>
      <c r="Z291" s="18">
        <f>IFERROR(
                  Andel_oberoende_av_klimat*VLOOKUP($A291,Leveranser_per_nät,'Leveranser per nät'!Z$1,FALSE)
               +Andel_beroende_av_klimat*VLOOKUP($A291,Leveranser_per_nät,'Leveranser per nät'!Z$1,FALSE)/VLOOKUP($B291,Korrigeringsfaktor_GD,'Korrigeringsfaktor GD'!Z$1,FALSE),
"")</f>
        <v>1.7527272727272725</v>
      </c>
      <c r="AA291" s="18">
        <f>IFERROR(
                  Andel_oberoende_av_klimat*VLOOKUP($A291,Leveranser_per_nät,'Leveranser per nät'!AA$1,FALSE)
               +Andel_beroende_av_klimat*VLOOKUP($A291,Leveranser_per_nät,'Leveranser per nät'!AA$1,FALSE)/VLOOKUP($B291,Korrigeringsfaktor_GD,'Korrigeringsfaktor GD'!AA$1,FALSE),
"")</f>
        <v>1.6030550514216575</v>
      </c>
      <c r="AB291" s="18">
        <f>IFERROR(
                  Andel_oberoende_av_klimat*VLOOKUP($A291,Leveranser_per_nät,'Leveranser per nät'!AB$1,FALSE)
               +Andel_beroende_av_klimat*VLOOKUP($A291,Leveranser_per_nät,'Leveranser per nät'!AB$1,FALSE)/VLOOKUP($B291,Korrigeringsfaktor_GD,'Korrigeringsfaktor GD'!AB$1,FALSE),
"")</f>
        <v>1.5748191593352883</v>
      </c>
      <c r="AC291" s="18">
        <f>IFERROR(
                  Andel_oberoende_av_klimat*VLOOKUP($A291,Leveranser_per_nät,'Leveranser per nät'!AC$1,FALSE)
               +Andel_beroende_av_klimat*VLOOKUP($A291,Leveranser_per_nät,'Leveranser per nät'!AC$1,FALSE)/VLOOKUP($B291,Korrigeringsfaktor_GD,'Korrigeringsfaktor GD'!AC$1,FALSE),
"")</f>
        <v>1.518004938271605</v>
      </c>
      <c r="AD291">
        <v>110.333</v>
      </c>
    </row>
    <row r="292" spans="1:30" x14ac:dyDescent="0.25">
      <c r="A292" t="s">
        <v>71</v>
      </c>
      <c r="B292" t="s">
        <v>47</v>
      </c>
      <c r="C292" s="18">
        <f>IFERROR(
                  Andel_oberoende_av_klimat*VLOOKUP($A292,Leveranser_per_nät,'Leveranser per nät'!C$1,FALSE)
               +Andel_beroende_av_klimat*VLOOKUP($A292,Leveranser_per_nät,'Leveranser per nät'!C$1,FALSE)/VLOOKUP($B292,Korrigeringsfaktor_GD,'Korrigeringsfaktor GD'!C$1,FALSE),
"")</f>
        <v>0</v>
      </c>
      <c r="D292" s="18">
        <f>IFERROR(
                  Andel_oberoende_av_klimat*VLOOKUP($A292,Leveranser_per_nät,'Leveranser per nät'!D$1,FALSE)
               +Andel_beroende_av_klimat*VLOOKUP($A292,Leveranser_per_nät,'Leveranser per nät'!D$1,FALSE)/VLOOKUP($B292,Korrigeringsfaktor_GD,'Korrigeringsfaktor GD'!D$1,FALSE),
"")</f>
        <v>1.0133404255319149</v>
      </c>
      <c r="E292" s="18">
        <f>IFERROR(
                  Andel_oberoende_av_klimat*VLOOKUP($A292,Leveranser_per_nät,'Leveranser per nät'!E$1,FALSE)
               +Andel_beroende_av_klimat*VLOOKUP($A292,Leveranser_per_nät,'Leveranser per nät'!E$1,FALSE)/VLOOKUP($B292,Korrigeringsfaktor_GD,'Korrigeringsfaktor GD'!E$1,FALSE),
"")</f>
        <v>1.007070707070707</v>
      </c>
      <c r="F292" s="18">
        <f>IFERROR(
                  Andel_oberoende_av_klimat*VLOOKUP($A292,Leveranser_per_nät,'Leveranser per nät'!F$1,FALSE)
               +Andel_beroende_av_klimat*VLOOKUP($A292,Leveranser_per_nät,'Leveranser per nät'!F$1,FALSE)/VLOOKUP($B292,Korrigeringsfaktor_GD,'Korrigeringsfaktor GD'!F$1,FALSE),
"")</f>
        <v>1.3429142857142857</v>
      </c>
      <c r="G292" s="18">
        <f>IFERROR(
                  Andel_oberoende_av_klimat*VLOOKUP($A292,Leveranser_per_nät,'Leveranser per nät'!G$1,FALSE)
               +Andel_beroende_av_klimat*VLOOKUP($A292,Leveranser_per_nät,'Leveranser per nät'!G$1,FALSE)/VLOOKUP($B292,Korrigeringsfaktor_GD,'Korrigeringsfaktor GD'!G$1,FALSE),
"")</f>
        <v>1.5088888888888889</v>
      </c>
      <c r="H292" s="18">
        <f>IFERROR(
                  Andel_oberoende_av_klimat*VLOOKUP($A292,Leveranser_per_nät,'Leveranser per nät'!H$1,FALSE)
               +Andel_beroende_av_klimat*VLOOKUP($A292,Leveranser_per_nät,'Leveranser per nät'!H$1,FALSE)/VLOOKUP($B292,Korrigeringsfaktor_GD,'Korrigeringsfaktor GD'!H$1,FALSE),
"")</f>
        <v>2</v>
      </c>
      <c r="I292" s="18">
        <f>IFERROR(
                  Andel_oberoende_av_klimat*VLOOKUP($A292,Leveranser_per_nät,'Leveranser per nät'!I$1,FALSE)
               +Andel_beroende_av_klimat*VLOOKUP($A292,Leveranser_per_nät,'Leveranser per nät'!I$1,FALSE)/VLOOKUP($B292,Korrigeringsfaktor_GD,'Korrigeringsfaktor GD'!I$1,FALSE),
"")</f>
        <v>1.0446808510638297</v>
      </c>
      <c r="J292" s="18">
        <f>IFERROR(
                  Andel_oberoende_av_klimat*VLOOKUP($A292,Leveranser_per_nät,'Leveranser per nät'!J$1,FALSE)
               +Andel_beroende_av_klimat*VLOOKUP($A292,Leveranser_per_nät,'Leveranser per nät'!J$1,FALSE)/VLOOKUP($B292,Korrigeringsfaktor_GD,'Korrigeringsfaktor GD'!J$1,FALSE),
"")</f>
        <v>1.5661886597938144</v>
      </c>
      <c r="K292" s="18">
        <f>IFERROR(
                  Andel_oberoende_av_klimat*VLOOKUP($A292,Leveranser_per_nät,'Leveranser per nät'!K$1,FALSE)
               +Andel_beroende_av_klimat*VLOOKUP($A292,Leveranser_per_nät,'Leveranser per nät'!K$1,FALSE)/VLOOKUP($B292,Korrigeringsfaktor_GD,'Korrigeringsfaktor GD'!K$1,FALSE),
"")</f>
        <v>1.5777124999999999</v>
      </c>
      <c r="L292" s="18">
        <f>IFERROR(
                  Andel_oberoende_av_klimat*VLOOKUP($A292,Leveranser_per_nät,'Leveranser per nät'!L$1,FALSE)
               +Andel_beroende_av_klimat*VLOOKUP($A292,Leveranser_per_nät,'Leveranser per nät'!L$1,FALSE)/VLOOKUP($B292,Korrigeringsfaktor_GD,'Korrigeringsfaktor GD'!L$1,FALSE),
"")</f>
        <v>2.3603439968889726</v>
      </c>
      <c r="M292" s="18">
        <f>IFERROR(
                  Andel_oberoende_av_klimat*VLOOKUP($A292,Leveranser_per_nät,'Leveranser per nät'!M$1,FALSE)
               +Andel_beroende_av_klimat*VLOOKUP($A292,Leveranser_per_nät,'Leveranser per nät'!M$1,FALSE)/VLOOKUP($B292,Korrigeringsfaktor_GD,'Korrigeringsfaktor GD'!M$1,FALSE),
"")</f>
        <v>1.4648461538461539</v>
      </c>
      <c r="N292" s="18">
        <f>IFERROR(
                  Andel_oberoende_av_klimat*VLOOKUP($A292,Leveranser_per_nät,'Leveranser per nät'!N$1,FALSE)
               +Andel_beroende_av_klimat*VLOOKUP($A292,Leveranser_per_nät,'Leveranser per nät'!N$1,FALSE)/VLOOKUP($B292,Korrigeringsfaktor_GD,'Korrigeringsfaktor GD'!N$1,FALSE),
"")</f>
        <v>1.6589473684210527</v>
      </c>
      <c r="O292" s="18">
        <f>IFERROR(
                  Andel_oberoende_av_klimat*VLOOKUP($A292,Leveranser_per_nät,'Leveranser per nät'!O$1,FALSE)
               +Andel_beroende_av_klimat*VLOOKUP($A292,Leveranser_per_nät,'Leveranser per nät'!O$1,FALSE)/VLOOKUP($B292,Korrigeringsfaktor_GD,'Korrigeringsfaktor GD'!O$1,FALSE),
"")</f>
        <v>1.4737634408602149</v>
      </c>
      <c r="P292" s="18">
        <f>IFERROR(
                  Andel_oberoende_av_klimat*VLOOKUP($A292,Leveranser_per_nät,'Leveranser per nät'!P$1,FALSE)
               +Andel_beroende_av_klimat*VLOOKUP($A292,Leveranser_per_nät,'Leveranser per nät'!P$1,FALSE)/VLOOKUP($B292,Korrigeringsfaktor_GD,'Korrigeringsfaktor GD'!P$1,FALSE),
"")</f>
        <v>2.014141414141414</v>
      </c>
      <c r="Q292" s="18">
        <f>IFERROR(
                  Andel_oberoende_av_klimat*VLOOKUP($A292,Leveranser_per_nät,'Leveranser per nät'!Q$1,FALSE)
               +Andel_beroende_av_klimat*VLOOKUP($A292,Leveranser_per_nät,'Leveranser per nät'!Q$1,FALSE)/VLOOKUP($B292,Korrigeringsfaktor_GD,'Korrigeringsfaktor GD'!Q$1,FALSE),
"")</f>
        <v>1.8499999999999999</v>
      </c>
      <c r="R292" s="18">
        <f>IFERROR(
                  Andel_oberoende_av_klimat*VLOOKUP($A292,Leveranser_per_nät,'Leveranser per nät'!R$1,FALSE)
               +Andel_beroende_av_klimat*VLOOKUP($A292,Leveranser_per_nät,'Leveranser per nät'!R$1,FALSE)/VLOOKUP($B292,Korrigeringsfaktor_GD,'Korrigeringsfaktor GD'!R$1,FALSE),
"")</f>
        <v>2.2094444444444443</v>
      </c>
      <c r="S292" s="18">
        <f>IFERROR(
                  Andel_oberoende_av_klimat*VLOOKUP($A292,Leveranser_per_nät,'Leveranser per nät'!S$1,FALSE)
               +Andel_beroende_av_klimat*VLOOKUP($A292,Leveranser_per_nät,'Leveranser per nät'!S$1,FALSE)/VLOOKUP($B292,Korrigeringsfaktor_GD,'Korrigeringsfaktor GD'!S$1,FALSE),
"")</f>
        <v>2.1</v>
      </c>
      <c r="T292" s="18">
        <f>IFERROR(
                  Andel_oberoende_av_klimat*VLOOKUP($A292,Leveranser_per_nät,'Leveranser per nät'!T$1,FALSE)
               +Andel_beroende_av_klimat*VLOOKUP($A292,Leveranser_per_nät,'Leveranser per nät'!T$1,FALSE)/VLOOKUP($B292,Korrigeringsfaktor_GD,'Korrigeringsfaktor GD'!T$1,FALSE),
"")</f>
        <v>1.9689631578947369</v>
      </c>
      <c r="U292" s="18">
        <f>IFERROR(
                  Andel_oberoende_av_klimat*VLOOKUP($A292,Leveranser_per_nät,'Leveranser per nät'!U$1,FALSE)
               +Andel_beroende_av_klimat*VLOOKUP($A292,Leveranser_per_nät,'Leveranser per nät'!U$1,FALSE)/VLOOKUP($B292,Korrigeringsfaktor_GD,'Korrigeringsfaktor GD'!U$1,FALSE),
"")</f>
        <v>1.8470786516853932</v>
      </c>
      <c r="V292" s="18">
        <f>IFERROR(
                  Andel_oberoende_av_klimat*VLOOKUP($A292,Leveranser_per_nät,'Leveranser per nät'!V$1,FALSE)
               +Andel_beroende_av_klimat*VLOOKUP($A292,Leveranser_per_nät,'Leveranser per nät'!V$1,FALSE)/VLOOKUP($B292,Korrigeringsfaktor_GD,'Korrigeringsfaktor GD'!V$1,FALSE),
"")</f>
        <v>1.8470786516853932</v>
      </c>
      <c r="W292" s="18">
        <f>IFERROR(
                  Andel_oberoende_av_klimat*VLOOKUP($A292,Leveranser_per_nät,'Leveranser per nät'!W$1,FALSE)
               +Andel_beroende_av_klimat*VLOOKUP($A292,Leveranser_per_nät,'Leveranser per nät'!W$1,FALSE)/VLOOKUP($B292,Korrigeringsfaktor_GD,'Korrigeringsfaktor GD'!W$1,FALSE),
"")</f>
        <v>1.97</v>
      </c>
      <c r="X292" s="18">
        <f>IFERROR(
                  Andel_oberoende_av_klimat*VLOOKUP($A292,Leveranser_per_nät,'Leveranser per nät'!X$1,FALSE)
               +Andel_beroende_av_klimat*VLOOKUP($A292,Leveranser_per_nät,'Leveranser per nät'!X$1,FALSE)/VLOOKUP($B292,Korrigeringsfaktor_GD,'Korrigeringsfaktor GD'!X$1,FALSE),
"")</f>
        <v>1.7495833333333333</v>
      </c>
      <c r="Y292" s="18">
        <f>IFERROR(
                  Andel_oberoende_av_klimat*VLOOKUP($A292,Leveranser_per_nät,'Leveranser per nät'!Y$1,FALSE)
               +Andel_beroende_av_klimat*VLOOKUP($A292,Leveranser_per_nät,'Leveranser per nät'!Y$1,FALSE)/VLOOKUP($B292,Korrigeringsfaktor_GD,'Korrigeringsfaktor GD'!Y$1,FALSE),
"")</f>
        <v>1.8525</v>
      </c>
      <c r="Z292" s="18">
        <f>IFERROR(
                  Andel_oberoende_av_klimat*VLOOKUP($A292,Leveranser_per_nät,'Leveranser per nät'!Z$1,FALSE)
               +Andel_beroende_av_klimat*VLOOKUP($A292,Leveranser_per_nät,'Leveranser per nät'!Z$1,FALSE)/VLOOKUP($B292,Korrigeringsfaktor_GD,'Korrigeringsfaktor GD'!Z$1,FALSE),
"")</f>
        <v>1.9690999999999999</v>
      </c>
      <c r="AA292" s="18">
        <f>IFERROR(
                  Andel_oberoende_av_klimat*VLOOKUP($A292,Leveranser_per_nät,'Leveranser per nät'!AA$1,FALSE)
               +Andel_beroende_av_klimat*VLOOKUP($A292,Leveranser_per_nät,'Leveranser per nät'!AA$1,FALSE)/VLOOKUP($B292,Korrigeringsfaktor_GD,'Korrigeringsfaktor GD'!AA$1,FALSE),
"")</f>
        <v>2.0769013609850941</v>
      </c>
      <c r="AB292" s="18">
        <f>IFERROR(
                  Andel_oberoende_av_klimat*VLOOKUP($A292,Leveranser_per_nät,'Leveranser per nät'!AB$1,FALSE)
               +Andel_beroende_av_klimat*VLOOKUP($A292,Leveranser_per_nät,'Leveranser per nät'!AB$1,FALSE)/VLOOKUP($B292,Korrigeringsfaktor_GD,'Korrigeringsfaktor GD'!AB$1,FALSE),
"")</f>
        <v>1.9350666666666667</v>
      </c>
      <c r="AC292" s="18">
        <f>IFERROR(
                  Andel_oberoende_av_klimat*VLOOKUP($A292,Leveranser_per_nät,'Leveranser per nät'!AC$1,FALSE)
               +Andel_beroende_av_klimat*VLOOKUP($A292,Leveranser_per_nät,'Leveranser per nät'!AC$1,FALSE)/VLOOKUP($B292,Korrigeringsfaktor_GD,'Korrigeringsfaktor GD'!AC$1,FALSE),
"")</f>
        <v>1.9447623188405796</v>
      </c>
      <c r="AD292" t="e">
        <v>#N/A</v>
      </c>
    </row>
    <row r="293" spans="1:30" x14ac:dyDescent="0.25">
      <c r="A293" t="s">
        <v>682</v>
      </c>
      <c r="B293" t="s">
        <v>0</v>
      </c>
      <c r="C293" s="18">
        <f>IFERROR(
                  Andel_oberoende_av_klimat*VLOOKUP($A293,Leveranser_per_nät,'Leveranser per nät'!C$1,FALSE)
               +Andel_beroende_av_klimat*VLOOKUP($A293,Leveranser_per_nät,'Leveranser per nät'!C$1,FALSE)/VLOOKUP($B293,Korrigeringsfaktor_GD,'Korrigeringsfaktor GD'!C$1,FALSE),
"")</f>
        <v>0</v>
      </c>
      <c r="D293" s="18">
        <f>IFERROR(
                  Andel_oberoende_av_klimat*VLOOKUP($A293,Leveranser_per_nät,'Leveranser per nät'!D$1,FALSE)
               +Andel_beroende_av_klimat*VLOOKUP($A293,Leveranser_per_nät,'Leveranser per nät'!D$1,FALSE)/VLOOKUP($B293,Korrigeringsfaktor_GD,'Korrigeringsfaktor GD'!D$1,FALSE),
"")</f>
        <v>0</v>
      </c>
      <c r="E293" s="18">
        <f>IFERROR(
                  Andel_oberoende_av_klimat*VLOOKUP($A293,Leveranser_per_nät,'Leveranser per nät'!E$1,FALSE)
               +Andel_beroende_av_klimat*VLOOKUP($A293,Leveranser_per_nät,'Leveranser per nät'!E$1,FALSE)/VLOOKUP($B293,Korrigeringsfaktor_GD,'Korrigeringsfaktor GD'!E$1,FALSE),
"")</f>
        <v>0</v>
      </c>
      <c r="F293" s="18">
        <f>IFERROR(
                  Andel_oberoende_av_klimat*VLOOKUP($A293,Leveranser_per_nät,'Leveranser per nät'!F$1,FALSE)
               +Andel_beroende_av_klimat*VLOOKUP($A293,Leveranser_per_nät,'Leveranser per nät'!F$1,FALSE)/VLOOKUP($B293,Korrigeringsfaktor_GD,'Korrigeringsfaktor GD'!F$1,FALSE),
"")</f>
        <v>0</v>
      </c>
      <c r="G293" s="18">
        <f>IFERROR(
                  Andel_oberoende_av_klimat*VLOOKUP($A293,Leveranser_per_nät,'Leveranser per nät'!G$1,FALSE)
               +Andel_beroende_av_klimat*VLOOKUP($A293,Leveranser_per_nät,'Leveranser per nät'!G$1,FALSE)/VLOOKUP($B293,Korrigeringsfaktor_GD,'Korrigeringsfaktor GD'!G$1,FALSE),
"")</f>
        <v>0</v>
      </c>
      <c r="H293" s="18">
        <f>IFERROR(
                  Andel_oberoende_av_klimat*VLOOKUP($A293,Leveranser_per_nät,'Leveranser per nät'!H$1,FALSE)
               +Andel_beroende_av_klimat*VLOOKUP($A293,Leveranser_per_nät,'Leveranser per nät'!H$1,FALSE)/VLOOKUP($B293,Korrigeringsfaktor_GD,'Korrigeringsfaktor GD'!H$1,FALSE),
"")</f>
        <v>0</v>
      </c>
      <c r="I293" s="18">
        <f>IFERROR(
                  Andel_oberoende_av_klimat*VLOOKUP($A293,Leveranser_per_nät,'Leveranser per nät'!I$1,FALSE)
               +Andel_beroende_av_klimat*VLOOKUP($A293,Leveranser_per_nät,'Leveranser per nät'!I$1,FALSE)/VLOOKUP($B293,Korrigeringsfaktor_GD,'Korrigeringsfaktor GD'!I$1,FALSE),
"")</f>
        <v>0</v>
      </c>
      <c r="J293" s="18">
        <f>IFERROR(
                  Andel_oberoende_av_klimat*VLOOKUP($A293,Leveranser_per_nät,'Leveranser per nät'!J$1,FALSE)
               +Andel_beroende_av_klimat*VLOOKUP($A293,Leveranser_per_nät,'Leveranser per nät'!J$1,FALSE)/VLOOKUP($B293,Korrigeringsfaktor_GD,'Korrigeringsfaktor GD'!J$1,FALSE),
"")</f>
        <v>0</v>
      </c>
      <c r="K293" s="18">
        <f>IFERROR(
                  Andel_oberoende_av_klimat*VLOOKUP($A293,Leveranser_per_nät,'Leveranser per nät'!K$1,FALSE)
               +Andel_beroende_av_klimat*VLOOKUP($A293,Leveranser_per_nät,'Leveranser per nät'!K$1,FALSE)/VLOOKUP($B293,Korrigeringsfaktor_GD,'Korrigeringsfaktor GD'!K$1,FALSE),
"")</f>
        <v>0</v>
      </c>
      <c r="L293" s="18">
        <f>IFERROR(
                  Andel_oberoende_av_klimat*VLOOKUP($A293,Leveranser_per_nät,'Leveranser per nät'!L$1,FALSE)
               +Andel_beroende_av_klimat*VLOOKUP($A293,Leveranser_per_nät,'Leveranser per nät'!L$1,FALSE)/VLOOKUP($B293,Korrigeringsfaktor_GD,'Korrigeringsfaktor GD'!L$1,FALSE),
"")</f>
        <v>0</v>
      </c>
      <c r="M293" s="18">
        <f>IFERROR(
                  Andel_oberoende_av_klimat*VLOOKUP($A293,Leveranser_per_nät,'Leveranser per nät'!M$1,FALSE)
               +Andel_beroende_av_klimat*VLOOKUP($A293,Leveranser_per_nät,'Leveranser per nät'!M$1,FALSE)/VLOOKUP($B293,Korrigeringsfaktor_GD,'Korrigeringsfaktor GD'!M$1,FALSE),
"")</f>
        <v>0</v>
      </c>
      <c r="N293" s="18">
        <f>IFERROR(
                  Andel_oberoende_av_klimat*VLOOKUP($A293,Leveranser_per_nät,'Leveranser per nät'!N$1,FALSE)
               +Andel_beroende_av_klimat*VLOOKUP($A293,Leveranser_per_nät,'Leveranser per nät'!N$1,FALSE)/VLOOKUP($B293,Korrigeringsfaktor_GD,'Korrigeringsfaktor GD'!N$1,FALSE),
"")</f>
        <v>0</v>
      </c>
      <c r="O293" s="18">
        <f>IFERROR(
                  Andel_oberoende_av_klimat*VLOOKUP($A293,Leveranser_per_nät,'Leveranser per nät'!O$1,FALSE)
               +Andel_beroende_av_klimat*VLOOKUP($A293,Leveranser_per_nät,'Leveranser per nät'!O$1,FALSE)/VLOOKUP($B293,Korrigeringsfaktor_GD,'Korrigeringsfaktor GD'!O$1,FALSE),
"")</f>
        <v>0</v>
      </c>
      <c r="P293" s="18">
        <f>IFERROR(
                  Andel_oberoende_av_klimat*VLOOKUP($A293,Leveranser_per_nät,'Leveranser per nät'!P$1,FALSE)
               +Andel_beroende_av_klimat*VLOOKUP($A293,Leveranser_per_nät,'Leveranser per nät'!P$1,FALSE)/VLOOKUP($B293,Korrigeringsfaktor_GD,'Korrigeringsfaktor GD'!P$1,FALSE),
"")</f>
        <v>0</v>
      </c>
      <c r="Q293" s="18">
        <f>IFERROR(
                  Andel_oberoende_av_klimat*VLOOKUP($A293,Leveranser_per_nät,'Leveranser per nät'!Q$1,FALSE)
               +Andel_beroende_av_klimat*VLOOKUP($A293,Leveranser_per_nät,'Leveranser per nät'!Q$1,FALSE)/VLOOKUP($B293,Korrigeringsfaktor_GD,'Korrigeringsfaktor GD'!Q$1,FALSE),
"")</f>
        <v>0</v>
      </c>
      <c r="R293" s="18">
        <f>IFERROR(
                  Andel_oberoende_av_klimat*VLOOKUP($A293,Leveranser_per_nät,'Leveranser per nät'!R$1,FALSE)
               +Andel_beroende_av_klimat*VLOOKUP($A293,Leveranser_per_nät,'Leveranser per nät'!R$1,FALSE)/VLOOKUP($B293,Korrigeringsfaktor_GD,'Korrigeringsfaktor GD'!R$1,FALSE),
"")</f>
        <v>0</v>
      </c>
      <c r="S293" s="18">
        <f>IFERROR(
                  Andel_oberoende_av_klimat*VLOOKUP($A293,Leveranser_per_nät,'Leveranser per nät'!S$1,FALSE)
               +Andel_beroende_av_klimat*VLOOKUP($A293,Leveranser_per_nät,'Leveranser per nät'!S$1,FALSE)/VLOOKUP($B293,Korrigeringsfaktor_GD,'Korrigeringsfaktor GD'!S$1,FALSE),
"")</f>
        <v>3.0428571428571427</v>
      </c>
      <c r="T293" s="18">
        <f>IFERROR(
                  Andel_oberoende_av_klimat*VLOOKUP($A293,Leveranser_per_nät,'Leveranser per nät'!T$1,FALSE)
               +Andel_beroende_av_klimat*VLOOKUP($A293,Leveranser_per_nät,'Leveranser per nät'!T$1,FALSE)/VLOOKUP($B293,Korrigeringsfaktor_GD,'Korrigeringsfaktor GD'!T$1,FALSE),
"")</f>
        <v>3.3178947368421055</v>
      </c>
      <c r="U293" s="18">
        <f>IFERROR(
                  Andel_oberoende_av_klimat*VLOOKUP($A293,Leveranser_per_nät,'Leveranser per nät'!U$1,FALSE)
               +Andel_beroende_av_klimat*VLOOKUP($A293,Leveranser_per_nät,'Leveranser per nät'!U$1,FALSE)/VLOOKUP($B293,Korrigeringsfaktor_GD,'Korrigeringsfaktor GD'!U$1,FALSE),
"")</f>
        <v>3.6702289156626509</v>
      </c>
      <c r="V293" s="18">
        <f>IFERROR(
                  Andel_oberoende_av_klimat*VLOOKUP($A293,Leveranser_per_nät,'Leveranser per nät'!V$1,FALSE)
               +Andel_beroende_av_klimat*VLOOKUP($A293,Leveranser_per_nät,'Leveranser per nät'!V$1,FALSE)/VLOOKUP($B293,Korrigeringsfaktor_GD,'Korrigeringsfaktor GD'!V$1,FALSE),
"")</f>
        <v>3.8988372093023256</v>
      </c>
      <c r="W293" s="18">
        <f>IFERROR(
                  Andel_oberoende_av_klimat*VLOOKUP($A293,Leveranser_per_nät,'Leveranser per nät'!W$1,FALSE)
               +Andel_beroende_av_klimat*VLOOKUP($A293,Leveranser_per_nät,'Leveranser per nät'!W$1,FALSE)/VLOOKUP($B293,Korrigeringsfaktor_GD,'Korrigeringsfaktor GD'!W$1,FALSE),
"")</f>
        <v>4.3111111111111109</v>
      </c>
      <c r="X293" s="18">
        <f>IFERROR(
                  Andel_oberoende_av_klimat*VLOOKUP($A293,Leveranser_per_nät,'Leveranser per nät'!X$1,FALSE)
               +Andel_beroende_av_klimat*VLOOKUP($A293,Leveranser_per_nät,'Leveranser per nät'!X$1,FALSE)/VLOOKUP($B293,Korrigeringsfaktor_GD,'Korrigeringsfaktor GD'!X$1,FALSE),
"")</f>
        <v>4.6394269662921346</v>
      </c>
      <c r="Y293" s="18">
        <f>IFERROR(
                  Andel_oberoende_av_klimat*VLOOKUP($A293,Leveranser_per_nät,'Leveranser per nät'!Y$1,FALSE)
               +Andel_beroende_av_klimat*VLOOKUP($A293,Leveranser_per_nät,'Leveranser per nät'!Y$1,FALSE)/VLOOKUP($B293,Korrigeringsfaktor_GD,'Korrigeringsfaktor GD'!Y$1,FALSE),
"")</f>
        <v>4.4514595505617987</v>
      </c>
      <c r="Z293" s="18">
        <f>IFERROR(
                  Andel_oberoende_av_klimat*VLOOKUP($A293,Leveranser_per_nät,'Leveranser per nät'!Z$1,FALSE)
               +Andel_beroende_av_klimat*VLOOKUP($A293,Leveranser_per_nät,'Leveranser per nät'!Z$1,FALSE)/VLOOKUP($B293,Korrigeringsfaktor_GD,'Korrigeringsfaktor GD'!Z$1,FALSE),
"")</f>
        <v>3.7743846153846152</v>
      </c>
      <c r="AA293" s="18">
        <f>IFERROR(
                  Andel_oberoende_av_klimat*VLOOKUP($A293,Leveranser_per_nät,'Leveranser per nät'!AA$1,FALSE)
               +Andel_beroende_av_klimat*VLOOKUP($A293,Leveranser_per_nät,'Leveranser per nät'!AA$1,FALSE)/VLOOKUP($B293,Korrigeringsfaktor_GD,'Korrigeringsfaktor GD'!AA$1,FALSE),
"")</f>
        <v>3.973027790432802</v>
      </c>
      <c r="AB293" s="18">
        <f>IFERROR(
                  Andel_oberoende_av_klimat*VLOOKUP($A293,Leveranser_per_nät,'Leveranser per nät'!AB$1,FALSE)
               +Andel_beroende_av_klimat*VLOOKUP($A293,Leveranser_per_nät,'Leveranser per nät'!AB$1,FALSE)/VLOOKUP($B293,Korrigeringsfaktor_GD,'Korrigeringsfaktor GD'!AB$1,FALSE),
"")</f>
        <v>4.2730498007968123</v>
      </c>
      <c r="AC293" s="18">
        <f>IFERROR(
                  Andel_oberoende_av_klimat*VLOOKUP($A293,Leveranser_per_nät,'Leveranser per nät'!AC$1,FALSE)
               +Andel_beroende_av_klimat*VLOOKUP($A293,Leveranser_per_nät,'Leveranser per nät'!AC$1,FALSE)/VLOOKUP($B293,Korrigeringsfaktor_GD,'Korrigeringsfaktor GD'!AC$1,FALSE),
"")</f>
        <v>4.2745810810810809</v>
      </c>
      <c r="AD293">
        <v>240.09800000000001</v>
      </c>
    </row>
    <row r="294" spans="1:30" x14ac:dyDescent="0.25">
      <c r="A294" s="3" t="s">
        <v>8</v>
      </c>
      <c r="B294" t="s">
        <v>8</v>
      </c>
      <c r="C294" s="18">
        <f>IFERROR(
                  Andel_oberoende_av_klimat*VLOOKUP($A294,Leveranser_per_nät,'Leveranser per nät'!C$1,FALSE)
               +Andel_beroende_av_klimat*VLOOKUP($A294,Leveranser_per_nät,'Leveranser per nät'!C$1,FALSE)/VLOOKUP($B294,Korrigeringsfaktor_GD,'Korrigeringsfaktor GD'!C$1,FALSE),
"")</f>
        <v>0</v>
      </c>
      <c r="D294" s="18">
        <f>IFERROR(
                  Andel_oberoende_av_klimat*VLOOKUP($A294,Leveranser_per_nät,'Leveranser per nät'!D$1,FALSE)
               +Andel_beroende_av_klimat*VLOOKUP($A294,Leveranser_per_nät,'Leveranser per nät'!D$1,FALSE)/VLOOKUP($B294,Korrigeringsfaktor_GD,'Korrigeringsfaktor GD'!D$1,FALSE),
"")</f>
        <v>0</v>
      </c>
      <c r="E294" s="18">
        <f>IFERROR(
                  Andel_oberoende_av_klimat*VLOOKUP($A294,Leveranser_per_nät,'Leveranser per nät'!E$1,FALSE)
               +Andel_beroende_av_klimat*VLOOKUP($A294,Leveranser_per_nät,'Leveranser per nät'!E$1,FALSE)/VLOOKUP($B294,Korrigeringsfaktor_GD,'Korrigeringsfaktor GD'!E$1,FALSE),
"")</f>
        <v>0</v>
      </c>
      <c r="F294" s="18">
        <f>IFERROR(
                  Andel_oberoende_av_klimat*VLOOKUP($A294,Leveranser_per_nät,'Leveranser per nät'!F$1,FALSE)
               +Andel_beroende_av_klimat*VLOOKUP($A294,Leveranser_per_nät,'Leveranser per nät'!F$1,FALSE)/VLOOKUP($B294,Korrigeringsfaktor_GD,'Korrigeringsfaktor GD'!F$1,FALSE),
"")</f>
        <v>0</v>
      </c>
      <c r="G294" s="18">
        <f>IFERROR(
                  Andel_oberoende_av_klimat*VLOOKUP($A294,Leveranser_per_nät,'Leveranser per nät'!G$1,FALSE)
               +Andel_beroende_av_klimat*VLOOKUP($A294,Leveranser_per_nät,'Leveranser per nät'!G$1,FALSE)/VLOOKUP($B294,Korrigeringsfaktor_GD,'Korrigeringsfaktor GD'!G$1,FALSE),
"")</f>
        <v>0</v>
      </c>
      <c r="H294" s="18">
        <f>IFERROR(
                  Andel_oberoende_av_klimat*VLOOKUP($A294,Leveranser_per_nät,'Leveranser per nät'!H$1,FALSE)
               +Andel_beroende_av_klimat*VLOOKUP($A294,Leveranser_per_nät,'Leveranser per nät'!H$1,FALSE)/VLOOKUP($B294,Korrigeringsfaktor_GD,'Korrigeringsfaktor GD'!H$1,FALSE),
"")</f>
        <v>0</v>
      </c>
      <c r="I294" s="18">
        <f>IFERROR(
                  Andel_oberoende_av_klimat*VLOOKUP($A294,Leveranser_per_nät,'Leveranser per nät'!I$1,FALSE)
               +Andel_beroende_av_klimat*VLOOKUP($A294,Leveranser_per_nät,'Leveranser per nät'!I$1,FALSE)/VLOOKUP($B294,Korrigeringsfaktor_GD,'Korrigeringsfaktor GD'!I$1,FALSE),
"")</f>
        <v>0</v>
      </c>
      <c r="J294" s="18">
        <f>IFERROR(
                  Andel_oberoende_av_klimat*VLOOKUP($A294,Leveranser_per_nät,'Leveranser per nät'!J$1,FALSE)
               +Andel_beroende_av_klimat*VLOOKUP($A294,Leveranser_per_nät,'Leveranser per nät'!J$1,FALSE)/VLOOKUP($B294,Korrigeringsfaktor_GD,'Korrigeringsfaktor GD'!J$1,FALSE),
"")</f>
        <v>0</v>
      </c>
      <c r="K294" s="18">
        <f>IFERROR(
                  Andel_oberoende_av_klimat*VLOOKUP($A294,Leveranser_per_nät,'Leveranser per nät'!K$1,FALSE)
               +Andel_beroende_av_klimat*VLOOKUP($A294,Leveranser_per_nät,'Leveranser per nät'!K$1,FALSE)/VLOOKUP($B294,Korrigeringsfaktor_GD,'Korrigeringsfaktor GD'!K$1,FALSE),
"")</f>
        <v>0</v>
      </c>
      <c r="L294" s="18">
        <f>IFERROR(
                  Andel_oberoende_av_klimat*VLOOKUP($A294,Leveranser_per_nät,'Leveranser per nät'!L$1,FALSE)
               +Andel_beroende_av_klimat*VLOOKUP($A294,Leveranser_per_nät,'Leveranser per nät'!L$1,FALSE)/VLOOKUP($B294,Korrigeringsfaktor_GD,'Korrigeringsfaktor GD'!L$1,FALSE),
"")</f>
        <v>0</v>
      </c>
      <c r="M294" s="18">
        <f>IFERROR(
                  Andel_oberoende_av_klimat*VLOOKUP($A294,Leveranser_per_nät,'Leveranser per nät'!M$1,FALSE)
               +Andel_beroende_av_klimat*VLOOKUP($A294,Leveranser_per_nät,'Leveranser per nät'!M$1,FALSE)/VLOOKUP($B294,Korrigeringsfaktor_GD,'Korrigeringsfaktor GD'!M$1,FALSE),
"")</f>
        <v>0</v>
      </c>
      <c r="N294" s="18">
        <f>IFERROR(
                  Andel_oberoende_av_klimat*VLOOKUP($A294,Leveranser_per_nät,'Leveranser per nät'!N$1,FALSE)
               +Andel_beroende_av_klimat*VLOOKUP($A294,Leveranser_per_nät,'Leveranser per nät'!N$1,FALSE)/VLOOKUP($B294,Korrigeringsfaktor_GD,'Korrigeringsfaktor GD'!N$1,FALSE),
"")</f>
        <v>0</v>
      </c>
      <c r="O294" s="18">
        <f>IFERROR(
                  Andel_oberoende_av_klimat*VLOOKUP($A294,Leveranser_per_nät,'Leveranser per nät'!O$1,FALSE)
               +Andel_beroende_av_klimat*VLOOKUP($A294,Leveranser_per_nät,'Leveranser per nät'!O$1,FALSE)/VLOOKUP($B294,Korrigeringsfaktor_GD,'Korrigeringsfaktor GD'!O$1,FALSE),
"")</f>
        <v>0</v>
      </c>
      <c r="P294" s="18">
        <f>IFERROR(
                  Andel_oberoende_av_klimat*VLOOKUP($A294,Leveranser_per_nät,'Leveranser per nät'!P$1,FALSE)
               +Andel_beroende_av_klimat*VLOOKUP($A294,Leveranser_per_nät,'Leveranser per nät'!P$1,FALSE)/VLOOKUP($B294,Korrigeringsfaktor_GD,'Korrigeringsfaktor GD'!P$1,FALSE),
"")</f>
        <v>25.176767676767678</v>
      </c>
      <c r="Q294" s="18">
        <f>IFERROR(
                  Andel_oberoende_av_klimat*VLOOKUP($A294,Leveranser_per_nät,'Leveranser per nät'!Q$1,FALSE)
               +Andel_beroende_av_klimat*VLOOKUP($A294,Leveranser_per_nät,'Leveranser per nät'!Q$1,FALSE)/VLOOKUP($B294,Korrigeringsfaktor_GD,'Korrigeringsfaktor GD'!Q$1,FALSE),
"")</f>
        <v>22.990000000000002</v>
      </c>
      <c r="R294" s="18">
        <f>IFERROR(
                  Andel_oberoende_av_klimat*VLOOKUP($A294,Leveranser_per_nät,'Leveranser per nät'!R$1,FALSE)
               +Andel_beroende_av_klimat*VLOOKUP($A294,Leveranser_per_nät,'Leveranser per nät'!R$1,FALSE)/VLOOKUP($B294,Korrigeringsfaktor_GD,'Korrigeringsfaktor GD'!R$1,FALSE),
"")</f>
        <v>22.667692307692306</v>
      </c>
      <c r="S294" s="18">
        <f>IFERROR(
                  Andel_oberoende_av_klimat*VLOOKUP($A294,Leveranser_per_nät,'Leveranser per nät'!S$1,FALSE)
               +Andel_beroende_av_klimat*VLOOKUP($A294,Leveranser_per_nät,'Leveranser per nät'!S$1,FALSE)/VLOOKUP($B294,Korrigeringsfaktor_GD,'Korrigeringsfaktor GD'!S$1,FALSE),
"")</f>
        <v>23</v>
      </c>
      <c r="T294" s="18">
        <f>IFERROR(
                  Andel_oberoende_av_klimat*VLOOKUP($A294,Leveranser_per_nät,'Leveranser per nät'!T$1,FALSE)
               +Andel_beroende_av_klimat*VLOOKUP($A294,Leveranser_per_nät,'Leveranser per nät'!T$1,FALSE)/VLOOKUP($B294,Korrigeringsfaktor_GD,'Korrigeringsfaktor GD'!T$1,FALSE),
"")</f>
        <v>22.641666666666666</v>
      </c>
      <c r="U294" s="18">
        <f>IFERROR(
                  Andel_oberoende_av_klimat*VLOOKUP($A294,Leveranser_per_nät,'Leveranser per nät'!U$1,FALSE)
               +Andel_beroende_av_klimat*VLOOKUP($A294,Leveranser_per_nät,'Leveranser per nät'!U$1,FALSE)/VLOOKUP($B294,Korrigeringsfaktor_GD,'Korrigeringsfaktor GD'!U$1,FALSE),
"")</f>
        <v>23.375323595505616</v>
      </c>
      <c r="V294" s="18">
        <f>IFERROR(
                  Andel_oberoende_av_klimat*VLOOKUP($A294,Leveranser_per_nät,'Leveranser per nät'!V$1,FALSE)
               +Andel_beroende_av_klimat*VLOOKUP($A294,Leveranser_per_nät,'Leveranser per nät'!V$1,FALSE)/VLOOKUP($B294,Korrigeringsfaktor_GD,'Korrigeringsfaktor GD'!V$1,FALSE),
"")</f>
        <v>24.491176404494382</v>
      </c>
      <c r="W294" s="18">
        <f>IFERROR(
                  Andel_oberoende_av_klimat*VLOOKUP($A294,Leveranser_per_nät,'Leveranser per nät'!W$1,FALSE)
               +Andel_beroende_av_klimat*VLOOKUP($A294,Leveranser_per_nät,'Leveranser per nät'!W$1,FALSE)/VLOOKUP($B294,Korrigeringsfaktor_GD,'Korrigeringsfaktor GD'!W$1,FALSE),
"")</f>
        <v>23.238925531914894</v>
      </c>
      <c r="X294" s="18">
        <f>IFERROR(
                  Andel_oberoende_av_klimat*VLOOKUP($A294,Leveranser_per_nät,'Leveranser per nät'!X$1,FALSE)
               +Andel_beroende_av_klimat*VLOOKUP($A294,Leveranser_per_nät,'Leveranser per nät'!X$1,FALSE)/VLOOKUP($B294,Korrigeringsfaktor_GD,'Korrigeringsfaktor GD'!X$1,FALSE),
"")</f>
        <v>22.706842105263156</v>
      </c>
      <c r="Y294" s="18">
        <f>IFERROR(
                  Andel_oberoende_av_klimat*VLOOKUP($A294,Leveranser_per_nät,'Leveranser per nät'!Y$1,FALSE)
               +Andel_beroende_av_klimat*VLOOKUP($A294,Leveranser_per_nät,'Leveranser per nät'!Y$1,FALSE)/VLOOKUP($B294,Korrigeringsfaktor_GD,'Korrigeringsfaktor GD'!Y$1,FALSE),
"")</f>
        <v>22.14723404255319</v>
      </c>
      <c r="Z294" s="18">
        <f>IFERROR(
                  Andel_oberoende_av_klimat*VLOOKUP($A294,Leveranser_per_nät,'Leveranser per nät'!Z$1,FALSE)
               +Andel_beroende_av_klimat*VLOOKUP($A294,Leveranser_per_nät,'Leveranser per nät'!Z$1,FALSE)/VLOOKUP($B294,Korrigeringsfaktor_GD,'Korrigeringsfaktor GD'!Z$1,FALSE),
"")</f>
        <v>22.774615384615384</v>
      </c>
      <c r="AA294" s="18">
        <f>IFERROR(
                  Andel_oberoende_av_klimat*VLOOKUP($A294,Leveranser_per_nät,'Leveranser per nät'!AA$1,FALSE)
               +Andel_beroende_av_klimat*VLOOKUP($A294,Leveranser_per_nät,'Leveranser per nät'!AA$1,FALSE)/VLOOKUP($B294,Korrigeringsfaktor_GD,'Korrigeringsfaktor GD'!AA$1,FALSE),
"")</f>
        <v>22.345508039685253</v>
      </c>
      <c r="AB294" s="18">
        <f>IFERROR(
                  Andel_oberoende_av_klimat*VLOOKUP($A294,Leveranser_per_nät,'Leveranser per nät'!AB$1,FALSE)
               +Andel_beroende_av_klimat*VLOOKUP($A294,Leveranser_per_nät,'Leveranser per nät'!AB$1,FALSE)/VLOOKUP($B294,Korrigeringsfaktor_GD,'Korrigeringsfaktor GD'!AB$1,FALSE),
"")</f>
        <v>21.5</v>
      </c>
      <c r="AC294" s="18">
        <f>IFERROR(
                  Andel_oberoende_av_klimat*VLOOKUP($A294,Leveranser_per_nät,'Leveranser per nät'!AC$1,FALSE)
               +Andel_beroende_av_klimat*VLOOKUP($A294,Leveranser_per_nät,'Leveranser per nät'!AC$1,FALSE)/VLOOKUP($B294,Korrigeringsfaktor_GD,'Korrigeringsfaktor GD'!AC$1,FALSE),
"")</f>
        <v>20.623891849529777</v>
      </c>
      <c r="AD294" t="e">
        <v>#N/A</v>
      </c>
    </row>
    <row r="295" spans="1:30" x14ac:dyDescent="0.25">
      <c r="A295" t="s">
        <v>56</v>
      </c>
      <c r="B295" t="s">
        <v>521</v>
      </c>
      <c r="C295" s="18">
        <f>IFERROR(
                  Andel_oberoende_av_klimat*VLOOKUP($A295,Leveranser_per_nät,'Leveranser per nät'!C$1,FALSE)
               +Andel_beroende_av_klimat*VLOOKUP($A295,Leveranser_per_nät,'Leveranser per nät'!C$1,FALSE)/VLOOKUP($B295,Korrigeringsfaktor_GD,'Korrigeringsfaktor GD'!C$1,FALSE),
"")</f>
        <v>4.6818181818181817</v>
      </c>
      <c r="D295" s="18">
        <f>IFERROR(
                  Andel_oberoende_av_klimat*VLOOKUP($A295,Leveranser_per_nät,'Leveranser per nät'!D$1,FALSE)
               +Andel_beroende_av_klimat*VLOOKUP($A295,Leveranser_per_nät,'Leveranser per nät'!D$1,FALSE)/VLOOKUP($B295,Korrigeringsfaktor_GD,'Korrigeringsfaktor GD'!D$1,FALSE),
"")</f>
        <v>4.9395714285714289</v>
      </c>
      <c r="E295" s="18">
        <f>IFERROR(
                  Andel_oberoende_av_klimat*VLOOKUP($A295,Leveranser_per_nät,'Leveranser per nät'!E$1,FALSE)
               +Andel_beroende_av_klimat*VLOOKUP($A295,Leveranser_per_nät,'Leveranser per nät'!E$1,FALSE)/VLOOKUP($B295,Korrigeringsfaktor_GD,'Korrigeringsfaktor GD'!E$1,FALSE),
"")</f>
        <v>4.9313725490196081</v>
      </c>
      <c r="F295" s="18">
        <f>IFERROR(
                  Andel_oberoende_av_klimat*VLOOKUP($A295,Leveranser_per_nät,'Leveranser per nät'!F$1,FALSE)
               +Andel_beroende_av_klimat*VLOOKUP($A295,Leveranser_per_nät,'Leveranser per nät'!F$1,FALSE)/VLOOKUP($B295,Korrigeringsfaktor_GD,'Korrigeringsfaktor GD'!F$1,FALSE),
"")</f>
        <v>4.1166666666666671</v>
      </c>
      <c r="G295" s="18">
        <f>IFERROR(
                  Andel_oberoende_av_klimat*VLOOKUP($A295,Leveranser_per_nät,'Leveranser per nät'!G$1,FALSE)
               +Andel_beroende_av_klimat*VLOOKUP($A295,Leveranser_per_nät,'Leveranser per nät'!G$1,FALSE)/VLOOKUP($B295,Korrigeringsfaktor_GD,'Korrigeringsfaktor GD'!G$1,FALSE),
"")</f>
        <v>4.4183908045977009</v>
      </c>
      <c r="H295" s="18">
        <f>IFERROR(
                  Andel_oberoende_av_klimat*VLOOKUP($A295,Leveranser_per_nät,'Leveranser per nät'!H$1,FALSE)
               +Andel_beroende_av_klimat*VLOOKUP($A295,Leveranser_per_nät,'Leveranser per nät'!H$1,FALSE)/VLOOKUP($B295,Korrigeringsfaktor_GD,'Korrigeringsfaktor GD'!H$1,FALSE),
"")</f>
        <v>4.9653465346534658</v>
      </c>
      <c r="I295" s="18">
        <f>IFERROR(
                  Andel_oberoende_av_klimat*VLOOKUP($A295,Leveranser_per_nät,'Leveranser per nät'!I$1,FALSE)
               +Andel_beroende_av_klimat*VLOOKUP($A295,Leveranser_per_nät,'Leveranser per nät'!I$1,FALSE)/VLOOKUP($B295,Korrigeringsfaktor_GD,'Korrigeringsfaktor GD'!I$1,FALSE),
"")</f>
        <v>5.1082474226804129</v>
      </c>
      <c r="J295" s="18">
        <f>IFERROR(
                  Andel_oberoende_av_klimat*VLOOKUP($A295,Leveranser_per_nät,'Leveranser per nät'!J$1,FALSE)
               +Andel_beroende_av_klimat*VLOOKUP($A295,Leveranser_per_nät,'Leveranser per nät'!J$1,FALSE)/VLOOKUP($B295,Korrigeringsfaktor_GD,'Korrigeringsfaktor GD'!J$1,FALSE),
"")</f>
        <v>5.0714285714285721</v>
      </c>
      <c r="K295" s="18">
        <f>IFERROR(
                  Andel_oberoende_av_klimat*VLOOKUP($A295,Leveranser_per_nät,'Leveranser per nät'!K$1,FALSE)
               +Andel_beroende_av_klimat*VLOOKUP($A295,Leveranser_per_nät,'Leveranser per nät'!K$1,FALSE)/VLOOKUP($B295,Korrigeringsfaktor_GD,'Korrigeringsfaktor GD'!K$1,FALSE),
"")</f>
        <v>5.1082474226804129</v>
      </c>
      <c r="L295" s="18">
        <f>IFERROR(
                  Andel_oberoende_av_klimat*VLOOKUP($A295,Leveranser_per_nät,'Leveranser per nät'!L$1,FALSE)
               +Andel_beroende_av_klimat*VLOOKUP($A295,Leveranser_per_nät,'Leveranser per nät'!L$1,FALSE)/VLOOKUP($B295,Korrigeringsfaktor_GD,'Korrigeringsfaktor GD'!L$1,FALSE),
"")</f>
        <v>6.2272663890986122</v>
      </c>
      <c r="M295" s="18">
        <f>IFERROR(
                  Andel_oberoende_av_klimat*VLOOKUP($A295,Leveranser_per_nät,'Leveranser per nät'!M$1,FALSE)
               +Andel_beroende_av_klimat*VLOOKUP($A295,Leveranser_per_nät,'Leveranser per nät'!M$1,FALSE)/VLOOKUP($B295,Korrigeringsfaktor_GD,'Korrigeringsfaktor GD'!M$1,FALSE),
"")</f>
        <v>4.4906608695652164</v>
      </c>
      <c r="N295" s="18">
        <f>IFERROR(
                  Andel_oberoende_av_klimat*VLOOKUP($A295,Leveranser_per_nät,'Leveranser per nät'!N$1,FALSE)
               +Andel_beroende_av_klimat*VLOOKUP($A295,Leveranser_per_nät,'Leveranser per nät'!N$1,FALSE)/VLOOKUP($B295,Korrigeringsfaktor_GD,'Korrigeringsfaktor GD'!N$1,FALSE),
"")</f>
        <v>5.1982608695652175</v>
      </c>
      <c r="O295" s="18">
        <f>IFERROR(
                  Andel_oberoende_av_klimat*VLOOKUP($A295,Leveranser_per_nät,'Leveranser per nät'!O$1,FALSE)
               +Andel_beroende_av_klimat*VLOOKUP($A295,Leveranser_per_nät,'Leveranser per nät'!O$1,FALSE)/VLOOKUP($B295,Korrigeringsfaktor_GD,'Korrigeringsfaktor GD'!O$1,FALSE),
"")</f>
        <v>5.3239325842696639</v>
      </c>
      <c r="P295" s="18">
        <f>IFERROR(
                  Andel_oberoende_av_klimat*VLOOKUP($A295,Leveranser_per_nät,'Leveranser per nät'!P$1,FALSE)
               +Andel_beroende_av_klimat*VLOOKUP($A295,Leveranser_per_nät,'Leveranser per nät'!P$1,FALSE)/VLOOKUP($B295,Korrigeringsfaktor_GD,'Korrigeringsfaktor GD'!P$1,FALSE),
"")</f>
        <v>6.0857142857142854</v>
      </c>
      <c r="Q295" s="18">
        <f>IFERROR(
                  Andel_oberoende_av_klimat*VLOOKUP($A295,Leveranser_per_nät,'Leveranser per nät'!Q$1,FALSE)
               +Andel_beroende_av_klimat*VLOOKUP($A295,Leveranser_per_nät,'Leveranser per nät'!Q$1,FALSE)/VLOOKUP($B295,Korrigeringsfaktor_GD,'Korrigeringsfaktor GD'!Q$1,FALSE),
"")</f>
        <v>6.0531034482758628</v>
      </c>
      <c r="R295" s="18">
        <f>IFERROR(
                  Andel_oberoende_av_klimat*VLOOKUP($A295,Leveranser_per_nät,'Leveranser per nät'!R$1,FALSE)
               +Andel_beroende_av_klimat*VLOOKUP($A295,Leveranser_per_nät,'Leveranser per nät'!R$1,FALSE)/VLOOKUP($B295,Korrigeringsfaktor_GD,'Korrigeringsfaktor GD'!R$1,FALSE),
"")</f>
        <v>5.6281573033707861</v>
      </c>
      <c r="S295" s="18">
        <f>IFERROR(
                  Andel_oberoende_av_klimat*VLOOKUP($A295,Leveranser_per_nät,'Leveranser per nät'!S$1,FALSE)
               +Andel_beroende_av_klimat*VLOOKUP($A295,Leveranser_per_nät,'Leveranser per nät'!S$1,FALSE)/VLOOKUP($B295,Korrigeringsfaktor_GD,'Korrigeringsfaktor GD'!S$1,FALSE),
"")</f>
        <v>5.8007272727272738</v>
      </c>
      <c r="T295" s="18">
        <f>IFERROR(
                  Andel_oberoende_av_klimat*VLOOKUP($A295,Leveranser_per_nät,'Leveranser per nät'!T$1,FALSE)
               +Andel_beroende_av_klimat*VLOOKUP($A295,Leveranser_per_nät,'Leveranser per nät'!T$1,FALSE)/VLOOKUP($B295,Korrigeringsfaktor_GD,'Korrigeringsfaktor GD'!T$1,FALSE),
"")</f>
        <v>5.7095438596491235</v>
      </c>
      <c r="U295" s="18">
        <f>IFERROR(
                  Andel_oberoende_av_klimat*VLOOKUP($A295,Leveranser_per_nät,'Leveranser per nät'!U$1,FALSE)
               +Andel_beroende_av_klimat*VLOOKUP($A295,Leveranser_per_nät,'Leveranser per nät'!U$1,FALSE)/VLOOKUP($B295,Korrigeringsfaktor_GD,'Korrigeringsfaktor GD'!U$1,FALSE),
"")</f>
        <v>5.8028199233716471</v>
      </c>
      <c r="V295" s="18">
        <f>IFERROR(
                  Andel_oberoende_av_klimat*VLOOKUP($A295,Leveranser_per_nät,'Leveranser per nät'!V$1,FALSE)
               +Andel_beroende_av_klimat*VLOOKUP($A295,Leveranser_per_nät,'Leveranser per nät'!V$1,FALSE)/VLOOKUP($B295,Korrigeringsfaktor_GD,'Korrigeringsfaktor GD'!V$1,FALSE),
"")</f>
        <v>5.4772727272727275</v>
      </c>
      <c r="W295" s="18">
        <f>IFERROR(
                  Andel_oberoende_av_klimat*VLOOKUP($A295,Leveranser_per_nät,'Leveranser per nät'!W$1,FALSE)
               +Andel_beroende_av_klimat*VLOOKUP($A295,Leveranser_per_nät,'Leveranser per nät'!W$1,FALSE)/VLOOKUP($B295,Korrigeringsfaktor_GD,'Korrigeringsfaktor GD'!W$1,FALSE),
"")</f>
        <v>5.3687096774193543</v>
      </c>
      <c r="X295" s="18">
        <f>IFERROR(
                  Andel_oberoende_av_klimat*VLOOKUP($A295,Leveranser_per_nät,'Leveranser per nät'!X$1,FALSE)
               +Andel_beroende_av_klimat*VLOOKUP($A295,Leveranser_per_nät,'Leveranser per nät'!X$1,FALSE)/VLOOKUP($B295,Korrigeringsfaktor_GD,'Korrigeringsfaktor GD'!X$1,FALSE),
"")</f>
        <v>5.579247311827956</v>
      </c>
      <c r="Y295" s="18">
        <f>IFERROR(
                  Andel_oberoende_av_klimat*VLOOKUP($A295,Leveranser_per_nät,'Leveranser per nät'!Y$1,FALSE)
               +Andel_beroende_av_klimat*VLOOKUP($A295,Leveranser_per_nät,'Leveranser per nät'!Y$1,FALSE)/VLOOKUP($B295,Korrigeringsfaktor_GD,'Korrigeringsfaktor GD'!Y$1,FALSE),
"")</f>
        <v>5.579247311827956</v>
      </c>
      <c r="Z295" s="18">
        <f>IFERROR(
                  Andel_oberoende_av_klimat*VLOOKUP($A295,Leveranser_per_nät,'Leveranser per nät'!Z$1,FALSE)
               +Andel_beroende_av_klimat*VLOOKUP($A295,Leveranser_per_nät,'Leveranser per nät'!Z$1,FALSE)/VLOOKUP($B295,Korrigeringsfaktor_GD,'Korrigeringsfaktor GD'!Z$1,FALSE),
"")</f>
        <v>5.4125287356321845</v>
      </c>
      <c r="AA295" s="18">
        <f>IFERROR(
                  Andel_oberoende_av_klimat*VLOOKUP($A295,Leveranser_per_nät,'Leveranser per nät'!AA$1,FALSE)
               +Andel_beroende_av_klimat*VLOOKUP($A295,Leveranser_per_nät,'Leveranser per nät'!AA$1,FALSE)/VLOOKUP($B295,Korrigeringsfaktor_GD,'Korrigeringsfaktor GD'!AA$1,FALSE),
"")</f>
        <v>5.1466170019467885</v>
      </c>
      <c r="AB295" s="18">
        <f>IFERROR(
                  Andel_oberoende_av_klimat*VLOOKUP($A295,Leveranser_per_nät,'Leveranser per nät'!AB$1,FALSE)
               +Andel_beroende_av_klimat*VLOOKUP($A295,Leveranser_per_nät,'Leveranser per nät'!AB$1,FALSE)/VLOOKUP($B295,Korrigeringsfaktor_GD,'Korrigeringsfaktor GD'!AB$1,FALSE),
"")</f>
        <v>5.3112270531400974</v>
      </c>
      <c r="AC295" s="18">
        <f>IFERROR(
                  Andel_oberoende_av_klimat*VLOOKUP($A295,Leveranser_per_nät,'Leveranser per nät'!AC$1,FALSE)
               +Andel_beroende_av_klimat*VLOOKUP($A295,Leveranser_per_nät,'Leveranser per nät'!AC$1,FALSE)/VLOOKUP($B295,Korrigeringsfaktor_GD,'Korrigeringsfaktor GD'!AC$1,FALSE),
"")</f>
        <v>5.0252363636363633</v>
      </c>
      <c r="AD295" t="e">
        <v>#N/A</v>
      </c>
    </row>
    <row r="296" spans="1:30" x14ac:dyDescent="0.25">
      <c r="A296" t="s">
        <v>226</v>
      </c>
      <c r="B296" t="s">
        <v>226</v>
      </c>
      <c r="C296" s="18">
        <f>IFERROR(
                  Andel_oberoende_av_klimat*VLOOKUP($A296,Leveranser_per_nät,'Leveranser per nät'!C$1,FALSE)
               +Andel_beroende_av_klimat*VLOOKUP($A296,Leveranser_per_nät,'Leveranser per nät'!C$1,FALSE)/VLOOKUP($B296,Korrigeringsfaktor_GD,'Korrigeringsfaktor GD'!C$1,FALSE),
"")</f>
        <v>0</v>
      </c>
      <c r="D296" s="18">
        <f>IFERROR(
                  Andel_oberoende_av_klimat*VLOOKUP($A296,Leveranser_per_nät,'Leveranser per nät'!D$1,FALSE)
               +Andel_beroende_av_klimat*VLOOKUP($A296,Leveranser_per_nät,'Leveranser per nät'!D$1,FALSE)/VLOOKUP($B296,Korrigeringsfaktor_GD,'Korrigeringsfaktor GD'!D$1,FALSE),
"")</f>
        <v>0</v>
      </c>
      <c r="E296" s="18">
        <f>IFERROR(
                  Andel_oberoende_av_klimat*VLOOKUP($A296,Leveranser_per_nät,'Leveranser per nät'!E$1,FALSE)
               +Andel_beroende_av_klimat*VLOOKUP($A296,Leveranser_per_nät,'Leveranser per nät'!E$1,FALSE)/VLOOKUP($B296,Korrigeringsfaktor_GD,'Korrigeringsfaktor GD'!E$1,FALSE),
"")</f>
        <v>0</v>
      </c>
      <c r="F296" s="18">
        <f>IFERROR(
                  Andel_oberoende_av_klimat*VLOOKUP($A296,Leveranser_per_nät,'Leveranser per nät'!F$1,FALSE)
               +Andel_beroende_av_klimat*VLOOKUP($A296,Leveranser_per_nät,'Leveranser per nät'!F$1,FALSE)/VLOOKUP($B296,Korrigeringsfaktor_GD,'Korrigeringsfaktor GD'!F$1,FALSE),
"")</f>
        <v>0</v>
      </c>
      <c r="G296" s="18">
        <f>IFERROR(
                  Andel_oberoende_av_klimat*VLOOKUP($A296,Leveranser_per_nät,'Leveranser per nät'!G$1,FALSE)
               +Andel_beroende_av_klimat*VLOOKUP($A296,Leveranser_per_nät,'Leveranser per nät'!G$1,FALSE)/VLOOKUP($B296,Korrigeringsfaktor_GD,'Korrigeringsfaktor GD'!G$1,FALSE),
"")</f>
        <v>0</v>
      </c>
      <c r="H296" s="18">
        <f>IFERROR(
                  Andel_oberoende_av_klimat*VLOOKUP($A296,Leveranser_per_nät,'Leveranser per nät'!H$1,FALSE)
               +Andel_beroende_av_klimat*VLOOKUP($A296,Leveranser_per_nät,'Leveranser per nät'!H$1,FALSE)/VLOOKUP($B296,Korrigeringsfaktor_GD,'Korrigeringsfaktor GD'!H$1,FALSE),
"")</f>
        <v>0</v>
      </c>
      <c r="I296" s="18">
        <f>IFERROR(
                  Andel_oberoende_av_klimat*VLOOKUP($A296,Leveranser_per_nät,'Leveranser per nät'!I$1,FALSE)
               +Andel_beroende_av_klimat*VLOOKUP($A296,Leveranser_per_nät,'Leveranser per nät'!I$1,FALSE)/VLOOKUP($B296,Korrigeringsfaktor_GD,'Korrigeringsfaktor GD'!I$1,FALSE),
"")</f>
        <v>0</v>
      </c>
      <c r="J296" s="18">
        <f>IFERROR(
                  Andel_oberoende_av_klimat*VLOOKUP($A296,Leveranser_per_nät,'Leveranser per nät'!J$1,FALSE)
               +Andel_beroende_av_klimat*VLOOKUP($A296,Leveranser_per_nät,'Leveranser per nät'!J$1,FALSE)/VLOOKUP($B296,Korrigeringsfaktor_GD,'Korrigeringsfaktor GD'!J$1,FALSE),
"")</f>
        <v>0</v>
      </c>
      <c r="K296" s="18">
        <f>IFERROR(
                  Andel_oberoende_av_klimat*VLOOKUP($A296,Leveranser_per_nät,'Leveranser per nät'!K$1,FALSE)
               +Andel_beroende_av_klimat*VLOOKUP($A296,Leveranser_per_nät,'Leveranser per nät'!K$1,FALSE)/VLOOKUP($B296,Korrigeringsfaktor_GD,'Korrigeringsfaktor GD'!K$1,FALSE),
"")</f>
        <v>0</v>
      </c>
      <c r="L296" s="18">
        <f>IFERROR(
                  Andel_oberoende_av_klimat*VLOOKUP($A296,Leveranser_per_nät,'Leveranser per nät'!L$1,FALSE)
               +Andel_beroende_av_klimat*VLOOKUP($A296,Leveranser_per_nät,'Leveranser per nät'!L$1,FALSE)/VLOOKUP($B296,Korrigeringsfaktor_GD,'Korrigeringsfaktor GD'!L$1,FALSE),
"")</f>
        <v>0</v>
      </c>
      <c r="M296" s="18">
        <f>IFERROR(
                  Andel_oberoende_av_klimat*VLOOKUP($A296,Leveranser_per_nät,'Leveranser per nät'!M$1,FALSE)
               +Andel_beroende_av_klimat*VLOOKUP($A296,Leveranser_per_nät,'Leveranser per nät'!M$1,FALSE)/VLOOKUP($B296,Korrigeringsfaktor_GD,'Korrigeringsfaktor GD'!M$1,FALSE),
"")</f>
        <v>42.08183404255319</v>
      </c>
      <c r="N296" s="18">
        <f>IFERROR(
                  Andel_oberoende_av_klimat*VLOOKUP($A296,Leveranser_per_nät,'Leveranser per nät'!N$1,FALSE)
               +Andel_beroende_av_klimat*VLOOKUP($A296,Leveranser_per_nät,'Leveranser per nät'!N$1,FALSE)/VLOOKUP($B296,Korrigeringsfaktor_GD,'Korrigeringsfaktor GD'!N$1,FALSE),
"")</f>
        <v>42.713411111111114</v>
      </c>
      <c r="O296" s="18">
        <f>IFERROR(
                  Andel_oberoende_av_klimat*VLOOKUP($A296,Leveranser_per_nät,'Leveranser per nät'!O$1,FALSE)
               +Andel_beroende_av_klimat*VLOOKUP($A296,Leveranser_per_nät,'Leveranser per nät'!O$1,FALSE)/VLOOKUP($B296,Korrigeringsfaktor_GD,'Korrigeringsfaktor GD'!O$1,FALSE),
"")</f>
        <v>44.416808988764046</v>
      </c>
      <c r="P296" s="18">
        <f>IFERROR(
                  Andel_oberoende_av_klimat*VLOOKUP($A296,Leveranser_per_nät,'Leveranser per nät'!P$1,FALSE)
               +Andel_beroende_av_klimat*VLOOKUP($A296,Leveranser_per_nät,'Leveranser per nät'!P$1,FALSE)/VLOOKUP($B296,Korrigeringsfaktor_GD,'Korrigeringsfaktor GD'!P$1,FALSE),
"")</f>
        <v>42.602783505154648</v>
      </c>
      <c r="Q296" s="18">
        <f>IFERROR(
                  Andel_oberoende_av_klimat*VLOOKUP($A296,Leveranser_per_nät,'Leveranser per nät'!Q$1,FALSE)
               +Andel_beroende_av_klimat*VLOOKUP($A296,Leveranser_per_nät,'Leveranser per nät'!Q$1,FALSE)/VLOOKUP($B296,Korrigeringsfaktor_GD,'Korrigeringsfaktor GD'!Q$1,FALSE),
"")</f>
        <v>42.776842105263157</v>
      </c>
      <c r="R296" s="18">
        <f>IFERROR(
                  Andel_oberoende_av_klimat*VLOOKUP($A296,Leveranser_per_nät,'Leveranser per nät'!R$1,FALSE)
               +Andel_beroende_av_klimat*VLOOKUP($A296,Leveranser_per_nät,'Leveranser per nät'!R$1,FALSE)/VLOOKUP($B296,Korrigeringsfaktor_GD,'Korrigeringsfaktor GD'!R$1,FALSE),
"")</f>
        <v>42.22260869565217</v>
      </c>
      <c r="S296" s="18">
        <f>IFERROR(
                  Andel_oberoende_av_klimat*VLOOKUP($A296,Leveranser_per_nät,'Leveranser per nät'!S$1,FALSE)
               +Andel_beroende_av_klimat*VLOOKUP($A296,Leveranser_per_nät,'Leveranser per nät'!S$1,FALSE)/VLOOKUP($B296,Korrigeringsfaktor_GD,'Korrigeringsfaktor GD'!S$1,FALSE),
"")</f>
        <v>42.701980198019797</v>
      </c>
      <c r="T296" s="18">
        <f>IFERROR(
                  Andel_oberoende_av_klimat*VLOOKUP($A296,Leveranser_per_nät,'Leveranser per nät'!T$1,FALSE)
               +Andel_beroende_av_klimat*VLOOKUP($A296,Leveranser_per_nät,'Leveranser per nät'!T$1,FALSE)/VLOOKUP($B296,Korrigeringsfaktor_GD,'Korrigeringsfaktor GD'!T$1,FALSE),
"")</f>
        <v>42.296288659793817</v>
      </c>
      <c r="U296" s="18">
        <f>IFERROR(
                  Andel_oberoende_av_klimat*VLOOKUP($A296,Leveranser_per_nät,'Leveranser per nät'!U$1,FALSE)
               +Andel_beroende_av_klimat*VLOOKUP($A296,Leveranser_per_nät,'Leveranser per nät'!U$1,FALSE)/VLOOKUP($B296,Korrigeringsfaktor_GD,'Korrigeringsfaktor GD'!U$1,FALSE),
"")</f>
        <v>42.964888235294119</v>
      </c>
      <c r="V296" s="18">
        <f>IFERROR(
                  Andel_oberoende_av_klimat*VLOOKUP($A296,Leveranser_per_nät,'Leveranser per nät'!V$1,FALSE)
               +Andel_beroende_av_klimat*VLOOKUP($A296,Leveranser_per_nät,'Leveranser per nät'!V$1,FALSE)/VLOOKUP($B296,Korrigeringsfaktor_GD,'Korrigeringsfaktor GD'!V$1,FALSE),
"")</f>
        <v>45.848666666666666</v>
      </c>
      <c r="W296" s="18">
        <f>IFERROR(
                  Andel_oberoende_av_klimat*VLOOKUP($A296,Leveranser_per_nät,'Leveranser per nät'!W$1,FALSE)
               +Andel_beroende_av_klimat*VLOOKUP($A296,Leveranser_per_nät,'Leveranser per nät'!W$1,FALSE)/VLOOKUP($B296,Korrigeringsfaktor_GD,'Korrigeringsfaktor GD'!W$1,FALSE),
"")</f>
        <v>51.489578947368422</v>
      </c>
      <c r="X296" s="18">
        <f>IFERROR(
                  Andel_oberoende_av_klimat*VLOOKUP($A296,Leveranser_per_nät,'Leveranser per nät'!X$1,FALSE)
               +Andel_beroende_av_klimat*VLOOKUP($A296,Leveranser_per_nät,'Leveranser per nät'!X$1,FALSE)/VLOOKUP($B296,Korrigeringsfaktor_GD,'Korrigeringsfaktor GD'!X$1,FALSE),
"")</f>
        <v>51.097483870967736</v>
      </c>
      <c r="Y296" s="18">
        <f>IFERROR(
                  Andel_oberoende_av_klimat*VLOOKUP($A296,Leveranser_per_nät,'Leveranser per nät'!Y$1,FALSE)
               +Andel_beroende_av_klimat*VLOOKUP($A296,Leveranser_per_nät,'Leveranser per nät'!Y$1,FALSE)/VLOOKUP($B296,Korrigeringsfaktor_GD,'Korrigeringsfaktor GD'!Y$1,FALSE),
"")</f>
        <v>52.81111111111111</v>
      </c>
      <c r="Z296" s="18">
        <f>IFERROR(
                  Andel_oberoende_av_klimat*VLOOKUP($A296,Leveranser_per_nät,'Leveranser per nät'!Z$1,FALSE)
               +Andel_beroende_av_klimat*VLOOKUP($A296,Leveranser_per_nät,'Leveranser per nät'!Z$1,FALSE)/VLOOKUP($B296,Korrigeringsfaktor_GD,'Korrigeringsfaktor GD'!Z$1,FALSE),
"")</f>
        <v>48.163478260869567</v>
      </c>
      <c r="AA296" s="18">
        <f>IFERROR(
                  Andel_oberoende_av_klimat*VLOOKUP($A296,Leveranser_per_nät,'Leveranser per nät'!AA$1,FALSE)
               +Andel_beroende_av_klimat*VLOOKUP($A296,Leveranser_per_nät,'Leveranser per nät'!AA$1,FALSE)/VLOOKUP($B296,Korrigeringsfaktor_GD,'Korrigeringsfaktor GD'!AA$1,FALSE),
"")</f>
        <v>51.089124872057319</v>
      </c>
      <c r="AB296" s="18">
        <f>IFERROR(
                  Andel_oberoende_av_klimat*VLOOKUP($A296,Leveranser_per_nät,'Leveranser per nät'!AB$1,FALSE)
               +Andel_beroende_av_klimat*VLOOKUP($A296,Leveranser_per_nät,'Leveranser per nät'!AB$1,FALSE)/VLOOKUP($B296,Korrigeringsfaktor_GD,'Korrigeringsfaktor GD'!AB$1,FALSE),
"")</f>
        <v>49.577385826771653</v>
      </c>
      <c r="AC296" s="18">
        <f>IFERROR(
                  Andel_oberoende_av_klimat*VLOOKUP($A296,Leveranser_per_nät,'Leveranser per nät'!AC$1,FALSE)
               +Andel_beroende_av_klimat*VLOOKUP($A296,Leveranser_per_nät,'Leveranser per nät'!AC$1,FALSE)/VLOOKUP($B296,Korrigeringsfaktor_GD,'Korrigeringsfaktor GD'!AC$1,FALSE),
"")</f>
        <v>49.743254237288134</v>
      </c>
      <c r="AD296">
        <v>47.76</v>
      </c>
    </row>
    <row r="297" spans="1:30" x14ac:dyDescent="0.25">
      <c r="A297" t="s">
        <v>26</v>
      </c>
      <c r="B297" t="s">
        <v>25</v>
      </c>
      <c r="C297" s="18">
        <f>IFERROR(
                  Andel_oberoende_av_klimat*VLOOKUP($A297,Leveranser_per_nät,'Leveranser per nät'!C$1,FALSE)
               +Andel_beroende_av_klimat*VLOOKUP($A297,Leveranser_per_nät,'Leveranser per nät'!C$1,FALSE)/VLOOKUP($B297,Korrigeringsfaktor_GD,'Korrigeringsfaktor GD'!C$1,FALSE),
"")</f>
        <v>0</v>
      </c>
      <c r="D297" s="18">
        <f>IFERROR(
                  Andel_oberoende_av_klimat*VLOOKUP($A297,Leveranser_per_nät,'Leveranser per nät'!D$1,FALSE)
               +Andel_beroende_av_klimat*VLOOKUP($A297,Leveranser_per_nät,'Leveranser per nät'!D$1,FALSE)/VLOOKUP($B297,Korrigeringsfaktor_GD,'Korrigeringsfaktor GD'!D$1,FALSE),
"")</f>
        <v>0</v>
      </c>
      <c r="E297" s="18">
        <f>IFERROR(
                  Andel_oberoende_av_klimat*VLOOKUP($A297,Leveranser_per_nät,'Leveranser per nät'!E$1,FALSE)
               +Andel_beroende_av_klimat*VLOOKUP($A297,Leveranser_per_nät,'Leveranser per nät'!E$1,FALSE)/VLOOKUP($B297,Korrigeringsfaktor_GD,'Korrigeringsfaktor GD'!E$1,FALSE),
"")</f>
        <v>0</v>
      </c>
      <c r="F297" s="18">
        <f>IFERROR(
                  Andel_oberoende_av_klimat*VLOOKUP($A297,Leveranser_per_nät,'Leveranser per nät'!F$1,FALSE)
               +Andel_beroende_av_klimat*VLOOKUP($A297,Leveranser_per_nät,'Leveranser per nät'!F$1,FALSE)/VLOOKUP($B297,Korrigeringsfaktor_GD,'Korrigeringsfaktor GD'!F$1,FALSE),
"")</f>
        <v>0</v>
      </c>
      <c r="G297" s="18">
        <f>IFERROR(
                  Andel_oberoende_av_klimat*VLOOKUP($A297,Leveranser_per_nät,'Leveranser per nät'!G$1,FALSE)
               +Andel_beroende_av_klimat*VLOOKUP($A297,Leveranser_per_nät,'Leveranser per nät'!G$1,FALSE)/VLOOKUP($B297,Korrigeringsfaktor_GD,'Korrigeringsfaktor GD'!G$1,FALSE),
"")</f>
        <v>0</v>
      </c>
      <c r="H297" s="18">
        <f>IFERROR(
                  Andel_oberoende_av_klimat*VLOOKUP($A297,Leveranser_per_nät,'Leveranser per nät'!H$1,FALSE)
               +Andel_beroende_av_klimat*VLOOKUP($A297,Leveranser_per_nät,'Leveranser per nät'!H$1,FALSE)/VLOOKUP($B297,Korrigeringsfaktor_GD,'Korrigeringsfaktor GD'!H$1,FALSE),
"")</f>
        <v>0</v>
      </c>
      <c r="I297" s="18">
        <f>IFERROR(
                  Andel_oberoende_av_klimat*VLOOKUP($A297,Leveranser_per_nät,'Leveranser per nät'!I$1,FALSE)
               +Andel_beroende_av_klimat*VLOOKUP($A297,Leveranser_per_nät,'Leveranser per nät'!I$1,FALSE)/VLOOKUP($B297,Korrigeringsfaktor_GD,'Korrigeringsfaktor GD'!I$1,FALSE),
"")</f>
        <v>0</v>
      </c>
      <c r="J297" s="18">
        <f>IFERROR(
                  Andel_oberoende_av_klimat*VLOOKUP($A297,Leveranser_per_nät,'Leveranser per nät'!J$1,FALSE)
               +Andel_beroende_av_klimat*VLOOKUP($A297,Leveranser_per_nät,'Leveranser per nät'!J$1,FALSE)/VLOOKUP($B297,Korrigeringsfaktor_GD,'Korrigeringsfaktor GD'!J$1,FALSE),
"")</f>
        <v>0</v>
      </c>
      <c r="K297" s="18">
        <f>IFERROR(
                  Andel_oberoende_av_klimat*VLOOKUP($A297,Leveranser_per_nät,'Leveranser per nät'!K$1,FALSE)
               +Andel_beroende_av_klimat*VLOOKUP($A297,Leveranser_per_nät,'Leveranser per nät'!K$1,FALSE)/VLOOKUP($B297,Korrigeringsfaktor_GD,'Korrigeringsfaktor GD'!K$1,FALSE),
"")</f>
        <v>0</v>
      </c>
      <c r="L297" s="18">
        <f>IFERROR(
                  Andel_oberoende_av_klimat*VLOOKUP($A297,Leveranser_per_nät,'Leveranser per nät'!L$1,FALSE)
               +Andel_beroende_av_klimat*VLOOKUP($A297,Leveranser_per_nät,'Leveranser per nät'!L$1,FALSE)/VLOOKUP($B297,Korrigeringsfaktor_GD,'Korrigeringsfaktor GD'!L$1,FALSE),
"")</f>
        <v>0</v>
      </c>
      <c r="M297" s="18">
        <f>IFERROR(
                  Andel_oberoende_av_klimat*VLOOKUP($A297,Leveranser_per_nät,'Leveranser per nät'!M$1,FALSE)
               +Andel_beroende_av_klimat*VLOOKUP($A297,Leveranser_per_nät,'Leveranser per nät'!M$1,FALSE)/VLOOKUP($B297,Korrigeringsfaktor_GD,'Korrigeringsfaktor GD'!M$1,FALSE),
"")</f>
        <v>0</v>
      </c>
      <c r="N297" s="18">
        <f>IFERROR(
                  Andel_oberoende_av_klimat*VLOOKUP($A297,Leveranser_per_nät,'Leveranser per nät'!N$1,FALSE)
               +Andel_beroende_av_klimat*VLOOKUP($A297,Leveranser_per_nät,'Leveranser per nät'!N$1,FALSE)/VLOOKUP($B297,Korrigeringsfaktor_GD,'Korrigeringsfaktor GD'!N$1,FALSE),
"")</f>
        <v>0.84869565217391307</v>
      </c>
      <c r="O297" s="18">
        <f>IFERROR(
                  Andel_oberoende_av_klimat*VLOOKUP($A297,Leveranser_per_nät,'Leveranser per nät'!O$1,FALSE)
               +Andel_beroende_av_klimat*VLOOKUP($A297,Leveranser_per_nät,'Leveranser per nät'!O$1,FALSE)/VLOOKUP($B297,Korrigeringsfaktor_GD,'Korrigeringsfaktor GD'!O$1,FALSE),
"")</f>
        <v>1.6038461538461535</v>
      </c>
      <c r="P297" s="18">
        <f>IFERROR(
                  Andel_oberoende_av_klimat*VLOOKUP($A297,Leveranser_per_nät,'Leveranser per nät'!P$1,FALSE)
               +Andel_beroende_av_klimat*VLOOKUP($A297,Leveranser_per_nät,'Leveranser per nät'!P$1,FALSE)/VLOOKUP($B297,Korrigeringsfaktor_GD,'Korrigeringsfaktor GD'!P$1,FALSE),
"")</f>
        <v>2.1148484848484852</v>
      </c>
      <c r="Q297" s="18">
        <f>IFERROR(
                  Andel_oberoende_av_klimat*VLOOKUP($A297,Leveranser_per_nät,'Leveranser per nät'!Q$1,FALSE)
               +Andel_beroende_av_klimat*VLOOKUP($A297,Leveranser_per_nät,'Leveranser per nät'!Q$1,FALSE)/VLOOKUP($B297,Korrigeringsfaktor_GD,'Korrigeringsfaktor GD'!Q$1,FALSE),
"")</f>
        <v>2.09</v>
      </c>
      <c r="R297" s="18">
        <f>IFERROR(
                  Andel_oberoende_av_klimat*VLOOKUP($A297,Leveranser_per_nät,'Leveranser per nät'!R$1,FALSE)
               +Andel_beroende_av_klimat*VLOOKUP($A297,Leveranser_per_nät,'Leveranser per nät'!R$1,FALSE)/VLOOKUP($B297,Korrigeringsfaktor_GD,'Korrigeringsfaktor GD'!R$1,FALSE),
"")</f>
        <v>2.2633333333333336</v>
      </c>
      <c r="S297" s="18">
        <f>IFERROR(
                  Andel_oberoende_av_klimat*VLOOKUP($A297,Leveranser_per_nät,'Leveranser per nät'!S$1,FALSE)
               +Andel_beroende_av_klimat*VLOOKUP($A297,Leveranser_per_nät,'Leveranser per nät'!S$1,FALSE)/VLOOKUP($B297,Korrigeringsfaktor_GD,'Korrigeringsfaktor GD'!S$1,FALSE),
"")</f>
        <v>2.13</v>
      </c>
      <c r="T297" s="18">
        <f>IFERROR(
                  Andel_oberoende_av_klimat*VLOOKUP($A297,Leveranser_per_nät,'Leveranser per nät'!T$1,FALSE)
               +Andel_beroende_av_klimat*VLOOKUP($A297,Leveranser_per_nät,'Leveranser per nät'!T$1,FALSE)/VLOOKUP($B297,Korrigeringsfaktor_GD,'Korrigeringsfaktor GD'!T$1,FALSE),
"")</f>
        <v>2.0580212765957446</v>
      </c>
      <c r="U297" s="18">
        <f>IFERROR(
                  Andel_oberoende_av_klimat*VLOOKUP($A297,Leveranser_per_nät,'Leveranser per nät'!U$1,FALSE)
               +Andel_beroende_av_klimat*VLOOKUP($A297,Leveranser_per_nät,'Leveranser per nät'!U$1,FALSE)/VLOOKUP($B297,Korrigeringsfaktor_GD,'Korrigeringsfaktor GD'!U$1,FALSE),
"")</f>
        <v>1.9619590909090907</v>
      </c>
      <c r="V297" s="18">
        <f>IFERROR(
                  Andel_oberoende_av_klimat*VLOOKUP($A297,Leveranser_per_nät,'Leveranser per nät'!V$1,FALSE)
               +Andel_beroende_av_klimat*VLOOKUP($A297,Leveranser_per_nät,'Leveranser per nät'!V$1,FALSE)/VLOOKUP($B297,Korrigeringsfaktor_GD,'Korrigeringsfaktor GD'!V$1,FALSE),
"")</f>
        <v>1.7612438202247191</v>
      </c>
      <c r="W297" s="18">
        <f>IFERROR(
                  Andel_oberoende_av_klimat*VLOOKUP($A297,Leveranser_per_nät,'Leveranser per nät'!W$1,FALSE)
               +Andel_beroende_av_klimat*VLOOKUP($A297,Leveranser_per_nät,'Leveranser per nät'!W$1,FALSE)/VLOOKUP($B297,Korrigeringsfaktor_GD,'Korrigeringsfaktor GD'!W$1,FALSE),
"")</f>
        <v>1.9514638297872344</v>
      </c>
      <c r="X297" s="18">
        <f>IFERROR(
                  Andel_oberoende_av_klimat*VLOOKUP($A297,Leveranser_per_nät,'Leveranser per nät'!X$1,FALSE)
               +Andel_beroende_av_klimat*VLOOKUP($A297,Leveranser_per_nät,'Leveranser per nät'!X$1,FALSE)/VLOOKUP($B297,Korrigeringsfaktor_GD,'Korrigeringsfaktor GD'!X$1,FALSE),
"")</f>
        <v>1.8706402061855669</v>
      </c>
      <c r="Y297" s="18">
        <f>IFERROR(
                  Andel_oberoende_av_klimat*VLOOKUP($A297,Leveranser_per_nät,'Leveranser per nät'!Y$1,FALSE)
               +Andel_beroende_av_klimat*VLOOKUP($A297,Leveranser_per_nät,'Leveranser per nät'!Y$1,FALSE)/VLOOKUP($B297,Korrigeringsfaktor_GD,'Korrigeringsfaktor GD'!Y$1,FALSE),
"")</f>
        <v>2.0171666666666668</v>
      </c>
      <c r="Z297" s="18">
        <f>IFERROR(
                  Andel_oberoende_av_klimat*VLOOKUP($A297,Leveranser_per_nät,'Leveranser per nät'!Z$1,FALSE)
               +Andel_beroende_av_klimat*VLOOKUP($A297,Leveranser_per_nät,'Leveranser per nät'!Z$1,FALSE)/VLOOKUP($B297,Korrigeringsfaktor_GD,'Korrigeringsfaktor GD'!Z$1,FALSE),
"")</f>
        <v>2.0057444444444443</v>
      </c>
      <c r="AA297" s="18">
        <f>IFERROR(
                  Andel_oberoende_av_klimat*VLOOKUP($A297,Leveranser_per_nät,'Leveranser per nät'!AA$1,FALSE)
               +Andel_beroende_av_klimat*VLOOKUP($A297,Leveranser_per_nät,'Leveranser per nät'!AA$1,FALSE)/VLOOKUP($B297,Korrigeringsfaktor_GD,'Korrigeringsfaktor GD'!AA$1,FALSE),
"")</f>
        <v>1.9439720930232558</v>
      </c>
      <c r="AB297" s="18">
        <f>IFERROR(
                  Andel_oberoende_av_klimat*VLOOKUP($A297,Leveranser_per_nät,'Leveranser per nät'!AB$1,FALSE)
               +Andel_beroende_av_klimat*VLOOKUP($A297,Leveranser_per_nät,'Leveranser per nät'!AB$1,FALSE)/VLOOKUP($B297,Korrigeringsfaktor_GD,'Korrigeringsfaktor GD'!AB$1,FALSE),
"")</f>
        <v>1.7505952029520295</v>
      </c>
      <c r="AC297" s="18">
        <f>IFERROR(
                  Andel_oberoende_av_klimat*VLOOKUP($A297,Leveranser_per_nät,'Leveranser per nät'!AC$1,FALSE)
               +Andel_beroende_av_klimat*VLOOKUP($A297,Leveranser_per_nät,'Leveranser per nät'!AC$1,FALSE)/VLOOKUP($B297,Korrigeringsfaktor_GD,'Korrigeringsfaktor GD'!AC$1,FALSE),
"")</f>
        <v>1.8477357212003875</v>
      </c>
      <c r="AD297">
        <v>393.77699999999999</v>
      </c>
    </row>
    <row r="298" spans="1:30" x14ac:dyDescent="0.25">
      <c r="A298" t="s">
        <v>53</v>
      </c>
      <c r="B298" t="s">
        <v>53</v>
      </c>
      <c r="C298" s="18">
        <f>IFERROR(
                  Andel_oberoende_av_klimat*VLOOKUP($A298,Leveranser_per_nät,'Leveranser per nät'!C$1,FALSE)
               +Andel_beroende_av_klimat*VLOOKUP($A298,Leveranser_per_nät,'Leveranser per nät'!C$1,FALSE)/VLOOKUP("Mora",Korrigeringsfaktor_GD,'Korrigeringsfaktor GD'!C$1,FALSE),
"")</f>
        <v>0</v>
      </c>
      <c r="D298" s="18">
        <f>IFERROR(
                  Andel_oberoende_av_klimat*VLOOKUP($A298,Leveranser_per_nät,'Leveranser per nät'!D$1,FALSE)
               +Andel_beroende_av_klimat*VLOOKUP($A298,Leveranser_per_nät,'Leveranser per nät'!D$1,FALSE)/VLOOKUP("Mora",Korrigeringsfaktor_GD,'Korrigeringsfaktor GD'!D$1,FALSE),
"")</f>
        <v>0</v>
      </c>
      <c r="E298" s="18">
        <f>IFERROR(
                  Andel_oberoende_av_klimat*VLOOKUP($A298,Leveranser_per_nät,'Leveranser per nät'!E$1,FALSE)
               +Andel_beroende_av_klimat*VLOOKUP($A298,Leveranser_per_nät,'Leveranser per nät'!E$1,FALSE)/VLOOKUP("Mora",Korrigeringsfaktor_GD,'Korrigeringsfaktor GD'!E$1,FALSE),
"")</f>
        <v>0</v>
      </c>
      <c r="F298" s="18">
        <f>IFERROR(
                  Andel_oberoende_av_klimat*VLOOKUP($A298,Leveranser_per_nät,'Leveranser per nät'!F$1,FALSE)
               +Andel_beroende_av_klimat*VLOOKUP($A298,Leveranser_per_nät,'Leveranser per nät'!F$1,FALSE)/VLOOKUP("Mora",Korrigeringsfaktor_GD,'Korrigeringsfaktor GD'!F$1,FALSE),
"")</f>
        <v>0</v>
      </c>
      <c r="G298" s="18">
        <f>IFERROR(
                  Andel_oberoende_av_klimat*VLOOKUP($A298,Leveranser_per_nät,'Leveranser per nät'!G$1,FALSE)
               +Andel_beroende_av_klimat*VLOOKUP($A298,Leveranser_per_nät,'Leveranser per nät'!G$1,FALSE)/VLOOKUP("Mora",Korrigeringsfaktor_GD,'Korrigeringsfaktor GD'!G$1,FALSE),
"")</f>
        <v>0</v>
      </c>
      <c r="H298" s="18">
        <f>IFERROR(
                  Andel_oberoende_av_klimat*VLOOKUP($A298,Leveranser_per_nät,'Leveranser per nät'!H$1,FALSE)
               +Andel_beroende_av_klimat*VLOOKUP($A298,Leveranser_per_nät,'Leveranser per nät'!H$1,FALSE)/VLOOKUP("Mora",Korrigeringsfaktor_GD,'Korrigeringsfaktor GD'!H$1,FALSE),
"")</f>
        <v>0</v>
      </c>
      <c r="I298" s="18">
        <f>IFERROR(
                  Andel_oberoende_av_klimat*VLOOKUP($A298,Leveranser_per_nät,'Leveranser per nät'!I$1,FALSE)
               +Andel_beroende_av_klimat*VLOOKUP($A298,Leveranser_per_nät,'Leveranser per nät'!I$1,FALSE)/VLOOKUP("Mora",Korrigeringsfaktor_GD,'Korrigeringsfaktor GD'!I$1,FALSE),
"")</f>
        <v>0</v>
      </c>
      <c r="J298" s="18">
        <f>IFERROR(
                  Andel_oberoende_av_klimat*VLOOKUP($A298,Leveranser_per_nät,'Leveranser per nät'!J$1,FALSE)
               +Andel_beroende_av_klimat*VLOOKUP($A298,Leveranser_per_nät,'Leveranser per nät'!J$1,FALSE)/VLOOKUP("Mora",Korrigeringsfaktor_GD,'Korrigeringsfaktor GD'!J$1,FALSE),
"")</f>
        <v>0</v>
      </c>
      <c r="K298" s="18">
        <f>IFERROR(
                  Andel_oberoende_av_klimat*VLOOKUP($A298,Leveranser_per_nät,'Leveranser per nät'!K$1,FALSE)
               +Andel_beroende_av_klimat*VLOOKUP($A298,Leveranser_per_nät,'Leveranser per nät'!K$1,FALSE)/VLOOKUP("Mora",Korrigeringsfaktor_GD,'Korrigeringsfaktor GD'!K$1,FALSE),
"")</f>
        <v>18.396689473684212</v>
      </c>
      <c r="L298" s="18">
        <f>IFERROR(
                  Andel_oberoende_av_klimat*VLOOKUP($A298,Leveranser_per_nät,'Leveranser per nät'!L$1,FALSE)
               +Andel_beroende_av_klimat*VLOOKUP($A298,Leveranser_per_nät,'Leveranser per nät'!L$1,FALSE)/VLOOKUP("Mora",Korrigeringsfaktor_GD,'Korrigeringsfaktor GD'!L$1,FALSE),
"")</f>
        <v>23.580672513536484</v>
      </c>
      <c r="M298" s="18">
        <f>IFERROR(
                  Andel_oberoende_av_klimat*VLOOKUP($A298,Leveranser_per_nät,'Leveranser per nät'!M$1,FALSE)
               +Andel_beroende_av_klimat*VLOOKUP($A298,Leveranser_per_nät,'Leveranser per nät'!M$1,FALSE)/VLOOKUP("Mora",Korrigeringsfaktor_GD,'Korrigeringsfaktor GD'!M$1,FALSE),
"")</f>
        <v>20.886353846153845</v>
      </c>
      <c r="N298" s="18">
        <f>IFERROR(
                  Andel_oberoende_av_klimat*VLOOKUP($A298,Leveranser_per_nät,'Leveranser per nät'!N$1,FALSE)
               +Andel_beroende_av_klimat*VLOOKUP($A298,Leveranser_per_nät,'Leveranser per nät'!N$1,FALSE)/VLOOKUP("Mora",Korrigeringsfaktor_GD,'Korrigeringsfaktor GD'!N$1,FALSE),
"")</f>
        <v>21.895913978494622</v>
      </c>
      <c r="O298" s="18">
        <f>IFERROR(
                  Andel_oberoende_av_klimat*VLOOKUP($A298,Leveranser_per_nät,'Leveranser per nät'!O$1,FALSE)
               +Andel_beroende_av_klimat*VLOOKUP($A298,Leveranser_per_nät,'Leveranser per nät'!O$1,FALSE)/VLOOKUP("Mora",Korrigeringsfaktor_GD,'Korrigeringsfaktor GD'!O$1,FALSE),
"")</f>
        <v>22.702608695652174</v>
      </c>
      <c r="P298" s="18">
        <f>IFERROR(
                  Andel_oberoende_av_klimat*VLOOKUP($A298,Leveranser_per_nät,'Leveranser per nät'!P$1,FALSE)
               +Andel_beroende_av_klimat*VLOOKUP($A298,Leveranser_per_nät,'Leveranser per nät'!P$1,FALSE)/VLOOKUP("Mora",Korrigeringsfaktor_GD,'Korrigeringsfaktor GD'!P$1,FALSE),
"")</f>
        <v>24</v>
      </c>
      <c r="Q298" s="18">
        <f>IFERROR(
                  Andel_oberoende_av_klimat*VLOOKUP($A298,Leveranser_per_nät,'Leveranser per nät'!Q$1,FALSE)
               +Andel_beroende_av_klimat*VLOOKUP($A298,Leveranser_per_nät,'Leveranser per nät'!Q$1,FALSE)/VLOOKUP("Mora",Korrigeringsfaktor_GD,'Korrigeringsfaktor GD'!Q$1,FALSE),
"")</f>
        <v>24.031724137931036</v>
      </c>
      <c r="R298" s="18">
        <f>IFERROR(
                  Andel_oberoende_av_klimat*VLOOKUP($A298,Leveranser_per_nät,'Leveranser per nät'!R$1,FALSE)
               +Andel_beroende_av_klimat*VLOOKUP($A298,Leveranser_per_nät,'Leveranser per nät'!R$1,FALSE)/VLOOKUP("Mora",Korrigeringsfaktor_GD,'Korrigeringsfaktor GD'!R$1,FALSE),
"")</f>
        <v>23.073999999999998</v>
      </c>
      <c r="S298" s="18">
        <f>IFERROR(
                  Andel_oberoende_av_klimat*VLOOKUP($A298,Leveranser_per_nät,'Leveranser per nät'!S$1,FALSE)
               +Andel_beroende_av_klimat*VLOOKUP($A298,Leveranser_per_nät,'Leveranser per nät'!S$1,FALSE)/VLOOKUP("Mora",Korrigeringsfaktor_GD,'Korrigeringsfaktor GD'!S$1,FALSE),
"")</f>
        <v>24</v>
      </c>
      <c r="T298" s="18">
        <f>IFERROR(
                  Andel_oberoende_av_klimat*VLOOKUP($A298,Leveranser_per_nät,'Leveranser per nät'!T$1,FALSE)
               +Andel_beroende_av_klimat*VLOOKUP($A298,Leveranser_per_nät,'Leveranser per nät'!T$1,FALSE)/VLOOKUP("Mora",Korrigeringsfaktor_GD,'Korrigeringsfaktor GD'!T$1,FALSE),
"")</f>
        <v>24.960379166666666</v>
      </c>
      <c r="U298" s="18">
        <f>IFERROR(
                  Andel_oberoende_av_klimat*VLOOKUP($A298,Leveranser_per_nät,'Leveranser per nät'!U$1,FALSE)
               +Andel_beroende_av_klimat*VLOOKUP($A298,Leveranser_per_nät,'Leveranser per nät'!U$1,FALSE)/VLOOKUP("Mora",Korrigeringsfaktor_GD,'Korrigeringsfaktor GD'!U$1,FALSE),
"")</f>
        <v>24.374052873563215</v>
      </c>
      <c r="V298" s="18">
        <f>IFERROR(
                  Andel_oberoende_av_klimat*VLOOKUP($A298,Leveranser_per_nät,'Leveranser per nät'!V$1,FALSE)
               +Andel_beroende_av_klimat*VLOOKUP($A298,Leveranser_per_nät,'Leveranser per nät'!V$1,FALSE)/VLOOKUP("Mora",Korrigeringsfaktor_GD,'Korrigeringsfaktor GD'!V$1,FALSE),
"")</f>
        <v>24.823</v>
      </c>
      <c r="W298" s="18">
        <f>IFERROR(
                  Andel_oberoende_av_klimat*VLOOKUP($A298,Leveranser_per_nät,'Leveranser per nät'!W$1,FALSE)
               +Andel_beroende_av_klimat*VLOOKUP($A298,Leveranser_per_nät,'Leveranser per nät'!W$1,FALSE)/VLOOKUP("Mora",Korrigeringsfaktor_GD,'Korrigeringsfaktor GD'!W$1,FALSE),
"")</f>
        <v>25.460869565217386</v>
      </c>
      <c r="X298" s="18">
        <f>IFERROR(
                  Andel_oberoende_av_klimat*VLOOKUP($A298,Leveranser_per_nät,'Leveranser per nät'!X$1,FALSE)
               +Andel_beroende_av_klimat*VLOOKUP($A298,Leveranser_per_nät,'Leveranser per nät'!X$1,FALSE)/VLOOKUP("Mora",Korrigeringsfaktor_GD,'Korrigeringsfaktor GD'!X$1,FALSE),
"")</f>
        <v>24.112345833333332</v>
      </c>
      <c r="Y298" s="18">
        <f>IFERROR(
                  Andel_oberoende_av_klimat*VLOOKUP($A298,Leveranser_per_nät,'Leveranser per nät'!Y$1,FALSE)
               +Andel_beroende_av_klimat*VLOOKUP($A298,Leveranser_per_nät,'Leveranser per nät'!Y$1,FALSE)/VLOOKUP($B298,Korrigeringsfaktor_GD,'Korrigeringsfaktor GD'!Y$1,FALSE),
"")</f>
        <v>22.78278350515464</v>
      </c>
      <c r="Z298" s="18">
        <f>IFERROR(
                  Andel_oberoende_av_klimat*VLOOKUP($A298,Leveranser_per_nät,'Leveranser per nät'!Z$1,FALSE)
               +Andel_beroende_av_klimat*VLOOKUP($A298,Leveranser_per_nät,'Leveranser per nät'!Z$1,FALSE)/VLOOKUP($B298,Korrigeringsfaktor_GD,'Korrigeringsfaktor GD'!Z$1,FALSE),
"")</f>
        <v>24.54550224719101</v>
      </c>
      <c r="AA298" s="18">
        <f>IFERROR(
                  Andel_oberoende_av_klimat*VLOOKUP($A298,Leveranser_per_nät,'Leveranser per nät'!AA$1,FALSE)
               +Andel_beroende_av_klimat*VLOOKUP($A298,Leveranser_per_nät,'Leveranser per nät'!AA$1,FALSE)/VLOOKUP($B298,Korrigeringsfaktor_GD,'Korrigeringsfaktor GD'!AA$1,FALSE),
"")</f>
        <v>22.932796595744676</v>
      </c>
      <c r="AB298" s="18">
        <f>IFERROR(
                  Andel_oberoende_av_klimat*VLOOKUP($A298,Leveranser_per_nät,'Leveranser per nät'!AB$1,FALSE)
               +Andel_beroende_av_klimat*VLOOKUP($A298,Leveranser_per_nät,'Leveranser per nät'!AB$1,FALSE)/VLOOKUP($B298,Korrigeringsfaktor_GD,'Korrigeringsfaktor GD'!AB$1,FALSE),
"")</f>
        <v>23.496492047713716</v>
      </c>
      <c r="AC298" s="18">
        <f>IFERROR(
                  Andel_oberoende_av_klimat*VLOOKUP($A298,Leveranser_per_nät,'Leveranser per nät'!AC$1,FALSE)
               +Andel_beroende_av_klimat*VLOOKUP($A298,Leveranser_per_nät,'Leveranser per nät'!AC$1,FALSE)/VLOOKUP($B298,Korrigeringsfaktor_GD,'Korrigeringsfaktor GD'!AC$1,FALSE),
"")</f>
        <v>22.964179710144926</v>
      </c>
      <c r="AD298">
        <v>22.411999999999999</v>
      </c>
    </row>
    <row r="299" spans="1:30" x14ac:dyDescent="0.25">
      <c r="A299" t="s">
        <v>114</v>
      </c>
      <c r="B299" t="s">
        <v>114</v>
      </c>
      <c r="C299" s="18">
        <f>IFERROR(
                  Andel_oberoende_av_klimat*VLOOKUP($A299,Leveranser_per_nät,'Leveranser per nät'!C$1,FALSE)
               +Andel_beroende_av_klimat*VLOOKUP($A299,Leveranser_per_nät,'Leveranser per nät'!C$1,FALSE)/VLOOKUP($B299,Korrigeringsfaktor_GD,'Korrigeringsfaktor GD'!C$1,FALSE),
"")</f>
        <v>34.224999999999994</v>
      </c>
      <c r="D299" s="18">
        <f>IFERROR(
                  Andel_oberoende_av_klimat*VLOOKUP($A299,Leveranser_per_nät,'Leveranser per nät'!D$1,FALSE)
               +Andel_beroende_av_klimat*VLOOKUP($A299,Leveranser_per_nät,'Leveranser per nät'!D$1,FALSE)/VLOOKUP($B299,Korrigeringsfaktor_GD,'Korrigeringsfaktor GD'!D$1,FALSE),
"")</f>
        <v>33.565742574257428</v>
      </c>
      <c r="E299" s="18">
        <f>IFERROR(
                  Andel_oberoende_av_klimat*VLOOKUP($A299,Leveranser_per_nät,'Leveranser per nät'!E$1,FALSE)
               +Andel_beroende_av_klimat*VLOOKUP($A299,Leveranser_per_nät,'Leveranser per nät'!E$1,FALSE)/VLOOKUP($B299,Korrigeringsfaktor_GD,'Korrigeringsfaktor GD'!E$1,FALSE),
"")</f>
        <v>37.736633663366334</v>
      </c>
      <c r="F299" s="18">
        <f>IFERROR(
                  Andel_oberoende_av_klimat*VLOOKUP($A299,Leveranser_per_nät,'Leveranser per nät'!F$1,FALSE)
               +Andel_beroende_av_klimat*VLOOKUP($A299,Leveranser_per_nät,'Leveranser per nät'!F$1,FALSE)/VLOOKUP($B299,Korrigeringsfaktor_GD,'Korrigeringsfaktor GD'!F$1,FALSE),
"")</f>
        <v>35.519148936170211</v>
      </c>
      <c r="G299" s="18">
        <f>IFERROR(
                  Andel_oberoende_av_klimat*VLOOKUP($A299,Leveranser_per_nät,'Leveranser per nät'!G$1,FALSE)
               +Andel_beroende_av_klimat*VLOOKUP($A299,Leveranser_per_nät,'Leveranser per nät'!G$1,FALSE)/VLOOKUP($B299,Korrigeringsfaktor_GD,'Korrigeringsfaktor GD'!G$1,FALSE),
"")</f>
        <v>33.959090909090904</v>
      </c>
      <c r="H299" s="18">
        <f>IFERROR(
                  Andel_oberoende_av_klimat*VLOOKUP($A299,Leveranser_per_nät,'Leveranser per nät'!H$1,FALSE)
               +Andel_beroende_av_klimat*VLOOKUP($A299,Leveranser_per_nät,'Leveranser per nät'!H$1,FALSE)/VLOOKUP($B299,Korrigeringsfaktor_GD,'Korrigeringsfaktor GD'!H$1,FALSE),
"")</f>
        <v>35</v>
      </c>
      <c r="I299" s="18">
        <f>IFERROR(
                  Andel_oberoende_av_klimat*VLOOKUP($A299,Leveranser_per_nät,'Leveranser per nät'!I$1,FALSE)
               +Andel_beroende_av_klimat*VLOOKUP($A299,Leveranser_per_nät,'Leveranser per nät'!I$1,FALSE)/VLOOKUP($B299,Korrigeringsfaktor_GD,'Korrigeringsfaktor GD'!I$1,FALSE),
"")</f>
        <v>39.697872340425533</v>
      </c>
      <c r="J299" s="18">
        <f>IFERROR(
                  Andel_oberoende_av_klimat*VLOOKUP($A299,Leveranser_per_nät,'Leveranser per nät'!J$1,FALSE)
               +Andel_beroende_av_klimat*VLOOKUP($A299,Leveranser_per_nät,'Leveranser per nät'!J$1,FALSE)/VLOOKUP($B299,Korrigeringsfaktor_GD,'Korrigeringsfaktor GD'!J$1,FALSE),
"")</f>
        <v>37.246600000000001</v>
      </c>
      <c r="K299" s="18">
        <f>IFERROR(
                  Andel_oberoende_av_klimat*VLOOKUP($A299,Leveranser_per_nät,'Leveranser per nät'!K$1,FALSE)
               +Andel_beroende_av_klimat*VLOOKUP($A299,Leveranser_per_nät,'Leveranser per nät'!K$1,FALSE)/VLOOKUP($B299,Korrigeringsfaktor_GD,'Korrigeringsfaktor GD'!K$1,FALSE),
"")</f>
        <v>39.664999999999999</v>
      </c>
      <c r="L299" s="18">
        <f>IFERROR(
                  Andel_oberoende_av_klimat*VLOOKUP($A299,Leveranser_per_nät,'Leveranser per nät'!L$1,FALSE)
               +Andel_beroende_av_klimat*VLOOKUP($A299,Leveranser_per_nät,'Leveranser per nät'!L$1,FALSE)/VLOOKUP($B299,Korrigeringsfaktor_GD,'Korrigeringsfaktor GD'!L$1,FALSE),
"")</f>
        <v>40.523726804123712</v>
      </c>
      <c r="M299" s="18">
        <f>IFERROR(
                  Andel_oberoende_av_klimat*VLOOKUP($A299,Leveranser_per_nät,'Leveranser per nät'!M$1,FALSE)
               +Andel_beroende_av_klimat*VLOOKUP($A299,Leveranser_per_nät,'Leveranser per nät'!M$1,FALSE)/VLOOKUP($B299,Korrigeringsfaktor_GD,'Korrigeringsfaktor GD'!M$1,FALSE),
"")</f>
        <v>41.033784946236558</v>
      </c>
      <c r="N299" s="18">
        <f>IFERROR(
                  Andel_oberoende_av_klimat*VLOOKUP($A299,Leveranser_per_nät,'Leveranser per nät'!N$1,FALSE)
               +Andel_beroende_av_klimat*VLOOKUP($A299,Leveranser_per_nät,'Leveranser per nät'!N$1,FALSE)/VLOOKUP($B299,Korrigeringsfaktor_GD,'Korrigeringsfaktor GD'!N$1,FALSE),
"")</f>
        <v>43.562806741573034</v>
      </c>
      <c r="O299" s="18">
        <f>IFERROR(
                  Andel_oberoende_av_klimat*VLOOKUP($A299,Leveranser_per_nät,'Leveranser per nät'!O$1,FALSE)
               +Andel_beroende_av_klimat*VLOOKUP($A299,Leveranser_per_nät,'Leveranser per nät'!O$1,FALSE)/VLOOKUP($B299,Korrigeringsfaktor_GD,'Korrigeringsfaktor GD'!O$1,FALSE),
"")</f>
        <v>41.85657777777778</v>
      </c>
      <c r="P299" s="18">
        <f>IFERROR(
                  Andel_oberoende_av_klimat*VLOOKUP($A299,Leveranser_per_nät,'Leveranser per nät'!P$1,FALSE)
               +Andel_beroende_av_klimat*VLOOKUP($A299,Leveranser_per_nät,'Leveranser per nät'!P$1,FALSE)/VLOOKUP($B299,Korrigeringsfaktor_GD,'Korrigeringsfaktor GD'!P$1,FALSE),
"")</f>
        <v>45.97422680412371</v>
      </c>
      <c r="Q299" s="18">
        <f>IFERROR(
                  Andel_oberoende_av_klimat*VLOOKUP($A299,Leveranser_per_nät,'Leveranser per nät'!Q$1,FALSE)
               +Andel_beroende_av_klimat*VLOOKUP($A299,Leveranser_per_nät,'Leveranser per nät'!Q$1,FALSE)/VLOOKUP($B299,Korrigeringsfaktor_GD,'Korrigeringsfaktor GD'!Q$1,FALSE),
"")</f>
        <v>43.782280701754388</v>
      </c>
      <c r="R299" s="18">
        <f>IFERROR(
                  Andel_oberoende_av_klimat*VLOOKUP($A299,Leveranser_per_nät,'Leveranser per nät'!R$1,FALSE)
               +Andel_beroende_av_klimat*VLOOKUP($A299,Leveranser_per_nät,'Leveranser per nät'!R$1,FALSE)/VLOOKUP($B299,Korrigeringsfaktor_GD,'Korrigeringsfaktor GD'!R$1,FALSE),
"")</f>
        <v>44.768695652173918</v>
      </c>
      <c r="S299" s="18">
        <f>IFERROR(
                  Andel_oberoende_av_klimat*VLOOKUP($A299,Leveranser_per_nät,'Leveranser per nät'!S$1,FALSE)
               +Andel_beroende_av_klimat*VLOOKUP($A299,Leveranser_per_nät,'Leveranser per nät'!S$1,FALSE)/VLOOKUP($B299,Korrigeringsfaktor_GD,'Korrigeringsfaktor GD'!S$1,FALSE),
"")</f>
        <v>46.674257425742574</v>
      </c>
      <c r="T299" s="18">
        <f>IFERROR(
                  Andel_oberoende_av_klimat*VLOOKUP($A299,Leveranser_per_nät,'Leveranser per nät'!T$1,FALSE)
               +Andel_beroende_av_klimat*VLOOKUP($A299,Leveranser_per_nät,'Leveranser per nät'!T$1,FALSE)/VLOOKUP($B299,Korrigeringsfaktor_GD,'Korrigeringsfaktor GD'!T$1,FALSE),
"")</f>
        <v>47.671428571428571</v>
      </c>
      <c r="U299" s="18">
        <f>IFERROR(
                  Andel_oberoende_av_klimat*VLOOKUP($A299,Leveranser_per_nät,'Leveranser per nät'!U$1,FALSE)
               +Andel_beroende_av_klimat*VLOOKUP($A299,Leveranser_per_nät,'Leveranser per nät'!U$1,FALSE)/VLOOKUP($B299,Korrigeringsfaktor_GD,'Korrigeringsfaktor GD'!U$1,FALSE),
"")</f>
        <v>51.120588235294122</v>
      </c>
      <c r="V299" s="18">
        <f>IFERROR(
                  Andel_oberoende_av_klimat*VLOOKUP($A299,Leveranser_per_nät,'Leveranser per nät'!V$1,FALSE)
               +Andel_beroende_av_klimat*VLOOKUP($A299,Leveranser_per_nät,'Leveranser per nät'!V$1,FALSE)/VLOOKUP($B299,Korrigeringsfaktor_GD,'Korrigeringsfaktor GD'!V$1,FALSE),
"")</f>
        <v>44.835555555555558</v>
      </c>
      <c r="W299" s="18">
        <f>IFERROR(
                  Andel_oberoende_av_klimat*VLOOKUP($A299,Leveranser_per_nät,'Leveranser per nät'!W$1,FALSE)
               +Andel_beroende_av_klimat*VLOOKUP($A299,Leveranser_per_nät,'Leveranser per nät'!W$1,FALSE)/VLOOKUP($B299,Korrigeringsfaktor_GD,'Korrigeringsfaktor GD'!W$1,FALSE),
"")</f>
        <v>52.634408602150536</v>
      </c>
      <c r="X299" s="18">
        <f>IFERROR(
                  Andel_oberoende_av_klimat*VLOOKUP($A299,Leveranser_per_nät,'Leveranser per nät'!X$1,FALSE)
               +Andel_beroende_av_klimat*VLOOKUP($A299,Leveranser_per_nät,'Leveranser per nät'!X$1,FALSE)/VLOOKUP($B299,Korrigeringsfaktor_GD,'Korrigeringsfaktor GD'!X$1,FALSE),
"")</f>
        <v>46.572173913043478</v>
      </c>
      <c r="Y299" s="18">
        <f>IFERROR(
                  Andel_oberoende_av_klimat*VLOOKUP($A299,Leveranser_per_nät,'Leveranser per nät'!Y$1,FALSE)
               +Andel_beroende_av_klimat*VLOOKUP($A299,Leveranser_per_nät,'Leveranser per nät'!Y$1,FALSE)/VLOOKUP($B299,Korrigeringsfaktor_GD,'Korrigeringsfaktor GD'!Y$1,FALSE),
"")</f>
        <v>50.197078651685402</v>
      </c>
      <c r="Z299" s="18">
        <f>IFERROR(
                  Andel_oberoende_av_klimat*VLOOKUP($A299,Leveranser_per_nät,'Leveranser per nät'!Z$1,FALSE)
               +Andel_beroende_av_klimat*VLOOKUP($A299,Leveranser_per_nät,'Leveranser per nät'!Z$1,FALSE)/VLOOKUP($B299,Korrigeringsfaktor_GD,'Korrigeringsfaktor GD'!Z$1,FALSE),
"")</f>
        <v>46.176966292134829</v>
      </c>
      <c r="AA299" s="18">
        <f>IFERROR(
                  Andel_oberoende_av_klimat*VLOOKUP($A299,Leveranser_per_nät,'Leveranser per nät'!AA$1,FALSE)
               +Andel_beroende_av_klimat*VLOOKUP($A299,Leveranser_per_nät,'Leveranser per nät'!AA$1,FALSE)/VLOOKUP($B299,Korrigeringsfaktor_GD,'Korrigeringsfaktor GD'!AA$1,FALSE),
"")</f>
        <v>51.59264591439689</v>
      </c>
      <c r="AB299" s="18">
        <f>IFERROR(
                  Andel_oberoende_av_klimat*VLOOKUP($A299,Leveranser_per_nät,'Leveranser per nät'!AB$1,FALSE)
               +Andel_beroende_av_klimat*VLOOKUP($A299,Leveranser_per_nät,'Leveranser per nät'!AB$1,FALSE)/VLOOKUP($B299,Korrigeringsfaktor_GD,'Korrigeringsfaktor GD'!AB$1,FALSE),
"")</f>
        <v>45.804390243902439</v>
      </c>
      <c r="AC299" s="18">
        <f>IFERROR(
                  Andel_oberoende_av_klimat*VLOOKUP($A299,Leveranser_per_nät,'Leveranser per nät'!AC$1,FALSE)
               +Andel_beroende_av_klimat*VLOOKUP($A299,Leveranser_per_nät,'Leveranser per nät'!AC$1,FALSE)/VLOOKUP($B299,Korrigeringsfaktor_GD,'Korrigeringsfaktor GD'!AC$1,FALSE),
"")</f>
        <v>45.171707529162248</v>
      </c>
      <c r="AD299" t="e">
        <v>#N/A</v>
      </c>
    </row>
    <row r="300" spans="1:30" x14ac:dyDescent="0.25">
      <c r="A300" t="s">
        <v>227</v>
      </c>
      <c r="B300" t="s">
        <v>227</v>
      </c>
      <c r="C300" s="18">
        <f>IFERROR(
                  Andel_oberoende_av_klimat*VLOOKUP($A300,Leveranser_per_nät,'Leveranser per nät'!C$1,FALSE)
               +Andel_beroende_av_klimat*VLOOKUP($A300,Leveranser_per_nät,'Leveranser per nät'!C$1,FALSE)/VLOOKUP($B300,Korrigeringsfaktor_GD,'Korrigeringsfaktor GD'!C$1,FALSE),
"")</f>
        <v>63.824999999999996</v>
      </c>
      <c r="D300" s="18">
        <f>IFERROR(
                  Andel_oberoende_av_klimat*VLOOKUP($A300,Leveranser_per_nät,'Leveranser per nät'!D$1,FALSE)
               +Andel_beroende_av_klimat*VLOOKUP($A300,Leveranser_per_nät,'Leveranser per nät'!D$1,FALSE)/VLOOKUP($B300,Korrigeringsfaktor_GD,'Korrigeringsfaktor GD'!D$1,FALSE),
"")</f>
        <v>71.371101010101015</v>
      </c>
      <c r="E300" s="18">
        <f>IFERROR(
                  Andel_oberoende_av_klimat*VLOOKUP($A300,Leveranser_per_nät,'Leveranser per nät'!E$1,FALSE)
               +Andel_beroende_av_klimat*VLOOKUP($A300,Leveranser_per_nät,'Leveranser per nät'!E$1,FALSE)/VLOOKUP($B300,Korrigeringsfaktor_GD,'Korrigeringsfaktor GD'!E$1,FALSE),
"")</f>
        <v>69.514851485148512</v>
      </c>
      <c r="F300" s="18">
        <f>IFERROR(
                  Andel_oberoende_av_klimat*VLOOKUP($A300,Leveranser_per_nät,'Leveranser per nät'!F$1,FALSE)
               +Andel_beroende_av_klimat*VLOOKUP($A300,Leveranser_per_nät,'Leveranser per nät'!F$1,FALSE)/VLOOKUP($B300,Korrigeringsfaktor_GD,'Korrigeringsfaktor GD'!F$1,FALSE),
"")</f>
        <v>71.582795698924727</v>
      </c>
      <c r="G300" s="18">
        <f>IFERROR(
                  Andel_oberoende_av_klimat*VLOOKUP($A300,Leveranser_per_nät,'Leveranser per nät'!G$1,FALSE)
               +Andel_beroende_av_klimat*VLOOKUP($A300,Leveranser_per_nät,'Leveranser per nät'!G$1,FALSE)/VLOOKUP($B300,Korrigeringsfaktor_GD,'Korrigeringsfaktor GD'!G$1,FALSE),
"")</f>
        <v>70.694252873563215</v>
      </c>
      <c r="H300" s="18">
        <f>IFERROR(
                  Andel_oberoende_av_klimat*VLOOKUP($A300,Leveranser_per_nät,'Leveranser per nät'!H$1,FALSE)
               +Andel_beroende_av_klimat*VLOOKUP($A300,Leveranser_per_nät,'Leveranser per nät'!H$1,FALSE)/VLOOKUP($B300,Korrigeringsfaktor_GD,'Korrigeringsfaktor GD'!H$1,FALSE),
"")</f>
        <v>73.516161616161611</v>
      </c>
      <c r="I300" s="18">
        <f>IFERROR(
                  Andel_oberoende_av_klimat*VLOOKUP($A300,Leveranser_per_nät,'Leveranser per nät'!I$1,FALSE)
               +Andel_beroende_av_klimat*VLOOKUP($A300,Leveranser_per_nät,'Leveranser per nät'!I$1,FALSE)/VLOOKUP($B300,Korrigeringsfaktor_GD,'Korrigeringsfaktor GD'!I$1,FALSE),
"")</f>
        <v>95.065957446808511</v>
      </c>
      <c r="J300" s="18">
        <f>IFERROR(
                  Andel_oberoende_av_klimat*VLOOKUP($A300,Leveranser_per_nät,'Leveranser per nät'!J$1,FALSE)
               +Andel_beroende_av_klimat*VLOOKUP($A300,Leveranser_per_nät,'Leveranser per nät'!J$1,FALSE)/VLOOKUP($B300,Korrigeringsfaktor_GD,'Korrigeringsfaktor GD'!J$1,FALSE),
"")</f>
        <v>94.664646464646466</v>
      </c>
      <c r="K300" s="18">
        <f>IFERROR(
                  Andel_oberoende_av_klimat*VLOOKUP($A300,Leveranser_per_nät,'Leveranser per nät'!K$1,FALSE)
               +Andel_beroende_av_klimat*VLOOKUP($A300,Leveranser_per_nät,'Leveranser per nät'!K$1,FALSE)/VLOOKUP($B300,Korrigeringsfaktor_GD,'Korrigeringsfaktor GD'!K$1,FALSE),
"")</f>
        <v>96.959000000000003</v>
      </c>
      <c r="L300" s="18">
        <f>IFERROR(
                  Andel_oberoende_av_klimat*VLOOKUP($A300,Leveranser_per_nät,'Leveranser per nät'!L$1,FALSE)
               +Andel_beroende_av_klimat*VLOOKUP($A300,Leveranser_per_nät,'Leveranser per nät'!L$1,FALSE)/VLOOKUP($B300,Korrigeringsfaktor_GD,'Korrigeringsfaktor GD'!L$1,FALSE),
"")</f>
        <v>98.463512371134016</v>
      </c>
      <c r="M300" s="18">
        <f>IFERROR(
                  Andel_oberoende_av_klimat*VLOOKUP($A300,Leveranser_per_nät,'Leveranser per nät'!M$1,FALSE)
               +Andel_beroende_av_klimat*VLOOKUP($A300,Leveranser_per_nät,'Leveranser per nät'!M$1,FALSE)/VLOOKUP($B300,Korrigeringsfaktor_GD,'Korrigeringsfaktor GD'!M$1,FALSE),
"")</f>
        <v>99.373763440860216</v>
      </c>
      <c r="N300" s="18">
        <f>IFERROR(
                  Andel_oberoende_av_klimat*VLOOKUP($A300,Leveranser_per_nät,'Leveranser per nät'!N$1,FALSE)
               +Andel_beroende_av_klimat*VLOOKUP($A300,Leveranser_per_nät,'Leveranser per nät'!N$1,FALSE)/VLOOKUP($B300,Korrigeringsfaktor_GD,'Korrigeringsfaktor GD'!N$1,FALSE),
"")</f>
        <v>104.86777777777777</v>
      </c>
      <c r="O300" s="18">
        <f>IFERROR(
                  Andel_oberoende_av_klimat*VLOOKUP($A300,Leveranser_per_nät,'Leveranser per nät'!O$1,FALSE)
               +Andel_beroende_av_klimat*VLOOKUP($A300,Leveranser_per_nät,'Leveranser per nät'!O$1,FALSE)/VLOOKUP($B300,Korrigeringsfaktor_GD,'Korrigeringsfaktor GD'!O$1,FALSE),
"")</f>
        <v>115.57045454545454</v>
      </c>
      <c r="P300" s="18">
        <f>IFERROR(
                  Andel_oberoende_av_klimat*VLOOKUP($A300,Leveranser_per_nät,'Leveranser per nät'!P$1,FALSE)
               +Andel_beroende_av_klimat*VLOOKUP($A300,Leveranser_per_nät,'Leveranser per nät'!P$1,FALSE)/VLOOKUP($B300,Korrigeringsfaktor_GD,'Korrigeringsfaktor GD'!P$1,FALSE),
"")</f>
        <v>122.80226804123711</v>
      </c>
      <c r="Q300" s="18">
        <f>IFERROR(
                  Andel_oberoende_av_klimat*VLOOKUP($A300,Leveranser_per_nät,'Leveranser per nät'!Q$1,FALSE)
               +Andel_beroende_av_klimat*VLOOKUP($A300,Leveranser_per_nät,'Leveranser per nät'!Q$1,FALSE)/VLOOKUP($B300,Korrigeringsfaktor_GD,'Korrigeringsfaktor GD'!Q$1,FALSE),
"")</f>
        <v>135.82561403508774</v>
      </c>
      <c r="R300" s="18">
        <f>IFERROR(
                  Andel_oberoende_av_klimat*VLOOKUP($A300,Leveranser_per_nät,'Leveranser per nät'!R$1,FALSE)
               +Andel_beroende_av_klimat*VLOOKUP($A300,Leveranser_per_nät,'Leveranser per nät'!R$1,FALSE)/VLOOKUP($B300,Korrigeringsfaktor_GD,'Korrigeringsfaktor GD'!R$1,FALSE),
"")</f>
        <v>136.6476923076923</v>
      </c>
      <c r="S300" s="18">
        <f>IFERROR(
                  Andel_oberoende_av_klimat*VLOOKUP($A300,Leveranser_per_nät,'Leveranser per nät'!S$1,FALSE)
               +Andel_beroende_av_klimat*VLOOKUP($A300,Leveranser_per_nät,'Leveranser per nät'!S$1,FALSE)/VLOOKUP($B300,Korrigeringsfaktor_GD,'Korrigeringsfaktor GD'!S$1,FALSE),
"")</f>
        <v>132</v>
      </c>
      <c r="T300" s="18">
        <f>IFERROR(
                  Andel_oberoende_av_klimat*VLOOKUP($A300,Leveranser_per_nät,'Leveranser per nät'!T$1,FALSE)
               +Andel_beroende_av_klimat*VLOOKUP($A300,Leveranser_per_nät,'Leveranser per nät'!T$1,FALSE)/VLOOKUP($B300,Korrigeringsfaktor_GD,'Korrigeringsfaktor GD'!T$1,FALSE),
"")</f>
        <v>134.19</v>
      </c>
      <c r="U300" s="18">
        <f>IFERROR(
                  Andel_oberoende_av_klimat*VLOOKUP($A300,Leveranser_per_nät,'Leveranser per nät'!U$1,FALSE)
               +Andel_beroende_av_klimat*VLOOKUP($A300,Leveranser_per_nät,'Leveranser per nät'!U$1,FALSE)/VLOOKUP($B300,Korrigeringsfaktor_GD,'Korrigeringsfaktor GD'!U$1,FALSE),
"")</f>
        <v>133.21448275862068</v>
      </c>
      <c r="V300" s="18">
        <f>IFERROR(
                  Andel_oberoende_av_klimat*VLOOKUP($A300,Leveranser_per_nät,'Leveranser per nät'!V$1,FALSE)
               +Andel_beroende_av_klimat*VLOOKUP($A300,Leveranser_per_nät,'Leveranser per nät'!V$1,FALSE)/VLOOKUP($B300,Korrigeringsfaktor_GD,'Korrigeringsfaktor GD'!V$1,FALSE),
"")</f>
        <v>139.40022988505748</v>
      </c>
      <c r="W300" s="18">
        <f>IFERROR(
                  Andel_oberoende_av_klimat*VLOOKUP($A300,Leveranser_per_nät,'Leveranser per nät'!W$1,FALSE)
               +Andel_beroende_av_klimat*VLOOKUP($A300,Leveranser_per_nät,'Leveranser per nät'!W$1,FALSE)/VLOOKUP($B300,Korrigeringsfaktor_GD,'Korrigeringsfaktor GD'!W$1,FALSE),
"")</f>
        <v>150.00806451612902</v>
      </c>
      <c r="X300" s="18">
        <f>IFERROR(
                  Andel_oberoende_av_klimat*VLOOKUP($A300,Leveranser_per_nät,'Leveranser per nät'!X$1,FALSE)
               +Andel_beroende_av_klimat*VLOOKUP($A300,Leveranser_per_nät,'Leveranser per nät'!X$1,FALSE)/VLOOKUP($B300,Korrigeringsfaktor_GD,'Korrigeringsfaktor GD'!X$1,FALSE),
"")</f>
        <v>151.4921739130435</v>
      </c>
      <c r="Y300" s="18">
        <f>IFERROR(
                  Andel_oberoende_av_klimat*VLOOKUP($A300,Leveranser_per_nät,'Leveranser per nät'!Y$1,FALSE)
               +Andel_beroende_av_klimat*VLOOKUP($A300,Leveranser_per_nät,'Leveranser per nät'!Y$1,FALSE)/VLOOKUP($B300,Korrigeringsfaktor_GD,'Korrigeringsfaktor GD'!Y$1,FALSE),
"")</f>
        <v>158.8876923076923</v>
      </c>
      <c r="Z300" s="18">
        <f>IFERROR(
                  Andel_oberoende_av_klimat*VLOOKUP($A300,Leveranser_per_nät,'Leveranser per nät'!Z$1,FALSE)
               +Andel_beroende_av_klimat*VLOOKUP($A300,Leveranser_per_nät,'Leveranser per nät'!Z$1,FALSE)/VLOOKUP($B300,Korrigeringsfaktor_GD,'Korrigeringsfaktor GD'!Z$1,FALSE),
"")</f>
        <v>157.67888888888888</v>
      </c>
      <c r="AA300" s="18">
        <f>IFERROR(
                  Andel_oberoende_av_klimat*VLOOKUP($A300,Leveranser_per_nät,'Leveranser per nät'!AA$1,FALSE)
               +Andel_beroende_av_klimat*VLOOKUP($A300,Leveranser_per_nät,'Leveranser per nät'!AA$1,FALSE)/VLOOKUP($B300,Korrigeringsfaktor_GD,'Korrigeringsfaktor GD'!AA$1,FALSE),
"")</f>
        <v>151.2453605015674</v>
      </c>
      <c r="AB300" s="18">
        <f>IFERROR(
                  Andel_oberoende_av_klimat*VLOOKUP($A300,Leveranser_per_nät,'Leveranser per nät'!AB$1,FALSE)
               +Andel_beroende_av_klimat*VLOOKUP($A300,Leveranser_per_nät,'Leveranser per nät'!AB$1,FALSE)/VLOOKUP($B300,Korrigeringsfaktor_GD,'Korrigeringsfaktor GD'!AB$1,FALSE),
"")</f>
        <v>148.97935323383086</v>
      </c>
      <c r="AC300" s="18">
        <f>IFERROR(
                  Andel_oberoende_av_klimat*VLOOKUP($A300,Leveranser_per_nät,'Leveranser per nät'!AC$1,FALSE)
               +Andel_beroende_av_klimat*VLOOKUP($A300,Leveranser_per_nät,'Leveranser per nät'!AC$1,FALSE)/VLOOKUP($B300,Korrigeringsfaktor_GD,'Korrigeringsfaktor GD'!AC$1,FALSE),
"")</f>
        <v>145.06043010752688</v>
      </c>
      <c r="AD300">
        <v>137.80000000000001</v>
      </c>
    </row>
    <row r="301" spans="1:30" x14ac:dyDescent="0.25">
      <c r="A301" t="s">
        <v>228</v>
      </c>
      <c r="B301" t="s">
        <v>228</v>
      </c>
      <c r="C301" s="18">
        <f>IFERROR(
                  Andel_oberoende_av_klimat*VLOOKUP($A301,Leveranser_per_nät,'Leveranser per nät'!C$1,FALSE)
               +Andel_beroende_av_klimat*VLOOKUP($A301,Leveranser_per_nät,'Leveranser per nät'!C$1,FALSE)/VLOOKUP($B301,Korrigeringsfaktor_GD,'Korrigeringsfaktor GD'!C$1,FALSE),
"")</f>
        <v>89.34054054054053</v>
      </c>
      <c r="D301" s="18">
        <f>IFERROR(
                  Andel_oberoende_av_klimat*VLOOKUP($A301,Leveranser_per_nät,'Leveranser per nät'!D$1,FALSE)
               +Andel_beroende_av_klimat*VLOOKUP($A301,Leveranser_per_nät,'Leveranser per nät'!D$1,FALSE)/VLOOKUP($B301,Korrigeringsfaktor_GD,'Korrigeringsfaktor GD'!D$1,FALSE),
"")</f>
        <v>85.37945454545455</v>
      </c>
      <c r="E301" s="18">
        <f>IFERROR(
                  Andel_oberoende_av_klimat*VLOOKUP($A301,Leveranser_per_nät,'Leveranser per nät'!E$1,FALSE)
               +Andel_beroende_av_klimat*VLOOKUP($A301,Leveranser_per_nät,'Leveranser per nät'!E$1,FALSE)/VLOOKUP($B301,Korrigeringsfaktor_GD,'Korrigeringsfaktor GD'!E$1,FALSE),
"")</f>
        <v>83.833333333333329</v>
      </c>
      <c r="F301" s="18">
        <f>IFERROR(
                  Andel_oberoende_av_klimat*VLOOKUP($A301,Leveranser_per_nät,'Leveranser per nät'!F$1,FALSE)
               +Andel_beroende_av_klimat*VLOOKUP($A301,Leveranser_per_nät,'Leveranser per nät'!F$1,FALSE)/VLOOKUP($B301,Korrigeringsfaktor_GD,'Korrigeringsfaktor GD'!F$1,FALSE),
"")</f>
        <v>85.267741935483869</v>
      </c>
      <c r="G301" s="18">
        <f>IFERROR(
                  Andel_oberoende_av_klimat*VLOOKUP($A301,Leveranser_per_nät,'Leveranser per nät'!G$1,FALSE)
               +Andel_beroende_av_klimat*VLOOKUP($A301,Leveranser_per_nät,'Leveranser per nät'!G$1,FALSE)/VLOOKUP($B301,Korrigeringsfaktor_GD,'Korrigeringsfaktor GD'!G$1,FALSE),
"")</f>
        <v>83.94942528735632</v>
      </c>
      <c r="H301" s="18">
        <f>IFERROR(
                  Andel_oberoende_av_klimat*VLOOKUP($A301,Leveranser_per_nät,'Leveranser per nät'!H$1,FALSE)
               +Andel_beroende_av_klimat*VLOOKUP($A301,Leveranser_per_nät,'Leveranser per nät'!H$1,FALSE)/VLOOKUP($B301,Korrigeringsfaktor_GD,'Korrigeringsfaktor GD'!H$1,FALSE),
"")</f>
        <v>81.156807070707075</v>
      </c>
      <c r="I301" s="18">
        <f>IFERROR(
                  Andel_oberoende_av_klimat*VLOOKUP($A301,Leveranser_per_nät,'Leveranser per nät'!I$1,FALSE)
               +Andel_beroende_av_klimat*VLOOKUP($A301,Leveranser_per_nät,'Leveranser per nät'!I$1,FALSE)/VLOOKUP($B301,Korrigeringsfaktor_GD,'Korrigeringsfaktor GD'!I$1,FALSE),
"")</f>
        <v>81.304166666666674</v>
      </c>
      <c r="J301" s="18">
        <f>IFERROR(
                  Andel_oberoende_av_klimat*VLOOKUP($A301,Leveranser_per_nät,'Leveranser per nät'!J$1,FALSE)
               +Andel_beroende_av_klimat*VLOOKUP($A301,Leveranser_per_nät,'Leveranser per nät'!J$1,FALSE)/VLOOKUP($B301,Korrigeringsfaktor_GD,'Korrigeringsfaktor GD'!J$1,FALSE),
"")</f>
        <v>86.800431313131327</v>
      </c>
      <c r="K301" s="18">
        <f>IFERROR(
                  Andel_oberoende_av_klimat*VLOOKUP($A301,Leveranser_per_nät,'Leveranser per nät'!K$1,FALSE)
               +Andel_beroende_av_klimat*VLOOKUP($A301,Leveranser_per_nät,'Leveranser per nät'!K$1,FALSE)/VLOOKUP($B301,Korrigeringsfaktor_GD,'Korrigeringsfaktor GD'!K$1,FALSE),
"")</f>
        <v>83.380371428571422</v>
      </c>
      <c r="L301" s="18">
        <f>IFERROR(
                  Andel_oberoende_av_klimat*VLOOKUP($A301,Leveranser_per_nät,'Leveranser per nät'!L$1,FALSE)
               +Andel_beroende_av_klimat*VLOOKUP($A301,Leveranser_per_nät,'Leveranser per nät'!L$1,FALSE)/VLOOKUP($B301,Korrigeringsfaktor_GD,'Korrigeringsfaktor GD'!L$1,FALSE),
"")</f>
        <v>88.148125000000007</v>
      </c>
      <c r="M301" s="18">
        <f>IFERROR(
                  Andel_oberoende_av_klimat*VLOOKUP($A301,Leveranser_per_nät,'Leveranser per nät'!M$1,FALSE)
               +Andel_beroende_av_klimat*VLOOKUP($A301,Leveranser_per_nät,'Leveranser per nät'!M$1,FALSE)/VLOOKUP($B301,Korrigeringsfaktor_GD,'Korrigeringsfaktor GD'!M$1,FALSE),
"")</f>
        <v>90.916521739130431</v>
      </c>
      <c r="N301" s="18">
        <f>IFERROR(
                  Andel_oberoende_av_klimat*VLOOKUP($A301,Leveranser_per_nät,'Leveranser per nät'!N$1,FALSE)
               +Andel_beroende_av_klimat*VLOOKUP($A301,Leveranser_per_nät,'Leveranser per nät'!N$1,FALSE)/VLOOKUP($B301,Korrigeringsfaktor_GD,'Korrigeringsfaktor GD'!N$1,FALSE),
"")</f>
        <v>90.916521739130431</v>
      </c>
      <c r="O301" s="18">
        <f>IFERROR(
                  Andel_oberoende_av_klimat*VLOOKUP($A301,Leveranser_per_nät,'Leveranser per nät'!O$1,FALSE)
               +Andel_beroende_av_klimat*VLOOKUP($A301,Leveranser_per_nät,'Leveranser per nät'!O$1,FALSE)/VLOOKUP($B301,Korrigeringsfaktor_GD,'Korrigeringsfaktor GD'!O$1,FALSE),
"")</f>
        <v>86.102727272727265</v>
      </c>
      <c r="P301" s="18">
        <f>IFERROR(
                  Andel_oberoende_av_klimat*VLOOKUP($A301,Leveranser_per_nät,'Leveranser per nät'!P$1,FALSE)
               +Andel_beroende_av_klimat*VLOOKUP($A301,Leveranser_per_nät,'Leveranser per nät'!P$1,FALSE)/VLOOKUP($B301,Korrigeringsfaktor_GD,'Korrigeringsfaktor GD'!P$1,FALSE),
"")</f>
        <v>83.475714285714275</v>
      </c>
      <c r="Q301" s="18">
        <f>IFERROR(
                  Andel_oberoende_av_klimat*VLOOKUP($A301,Leveranser_per_nät,'Leveranser per nät'!Q$1,FALSE)
               +Andel_beroende_av_klimat*VLOOKUP($A301,Leveranser_per_nät,'Leveranser per nät'!Q$1,FALSE)/VLOOKUP($B301,Korrigeringsfaktor_GD,'Korrigeringsfaktor GD'!Q$1,FALSE),
"")</f>
        <v>91.233043478260882</v>
      </c>
      <c r="R301" s="18">
        <f>IFERROR(
                  Andel_oberoende_av_klimat*VLOOKUP($A301,Leveranser_per_nät,'Leveranser per nät'!R$1,FALSE)
               +Andel_beroende_av_klimat*VLOOKUP($A301,Leveranser_per_nät,'Leveranser per nät'!R$1,FALSE)/VLOOKUP($B301,Korrigeringsfaktor_GD,'Korrigeringsfaktor GD'!R$1,FALSE),
"")</f>
        <v>88.31846153846152</v>
      </c>
      <c r="S301" s="18">
        <f>IFERROR(
                  Andel_oberoende_av_klimat*VLOOKUP($A301,Leveranser_per_nät,'Leveranser per nät'!S$1,FALSE)
               +Andel_beroende_av_klimat*VLOOKUP($A301,Leveranser_per_nät,'Leveranser per nät'!S$1,FALSE)/VLOOKUP($B301,Korrigeringsfaktor_GD,'Korrigeringsfaktor GD'!S$1,FALSE),
"")</f>
        <v>82.579797979797988</v>
      </c>
      <c r="T301" s="18">
        <f>IFERROR(
                  Andel_oberoende_av_klimat*VLOOKUP($A301,Leveranser_per_nät,'Leveranser per nät'!T$1,FALSE)
               +Andel_beroende_av_klimat*VLOOKUP($A301,Leveranser_per_nät,'Leveranser per nät'!T$1,FALSE)/VLOOKUP($B301,Korrigeringsfaktor_GD,'Korrigeringsfaktor GD'!T$1,FALSE),
"")</f>
        <v>85.523750000000007</v>
      </c>
      <c r="U301" s="18">
        <f>IFERROR(
                  Andel_oberoende_av_klimat*VLOOKUP($A301,Leveranser_per_nät,'Leveranser per nät'!U$1,FALSE)
               +Andel_beroende_av_klimat*VLOOKUP($A301,Leveranser_per_nät,'Leveranser per nät'!U$1,FALSE)/VLOOKUP($B301,Korrigeringsfaktor_GD,'Korrigeringsfaktor GD'!U$1,FALSE),
"")</f>
        <v>85.226363636363629</v>
      </c>
      <c r="V301" s="18">
        <f>IFERROR(
                  Andel_oberoende_av_klimat*VLOOKUP($A301,Leveranser_per_nät,'Leveranser per nät'!V$1,FALSE)
               +Andel_beroende_av_klimat*VLOOKUP($A301,Leveranser_per_nät,'Leveranser per nät'!V$1,FALSE)/VLOOKUP($B301,Korrigeringsfaktor_GD,'Korrigeringsfaktor GD'!V$1,FALSE),
"")</f>
        <v>84.130909090909086</v>
      </c>
      <c r="W301" s="18">
        <f>IFERROR(
                  Andel_oberoende_av_klimat*VLOOKUP($A301,Leveranser_per_nät,'Leveranser per nät'!W$1,FALSE)
               +Andel_beroende_av_klimat*VLOOKUP($A301,Leveranser_per_nät,'Leveranser per nät'!W$1,FALSE)/VLOOKUP($B301,Korrigeringsfaktor_GD,'Korrigeringsfaktor GD'!W$1,FALSE),
"")</f>
        <v>84.710000000000008</v>
      </c>
      <c r="X301" s="18">
        <f>IFERROR(
                  Andel_oberoende_av_klimat*VLOOKUP($A301,Leveranser_per_nät,'Leveranser per nät'!X$1,FALSE)
               +Andel_beroende_av_klimat*VLOOKUP($A301,Leveranser_per_nät,'Leveranser per nät'!X$1,FALSE)/VLOOKUP($B301,Korrigeringsfaktor_GD,'Korrigeringsfaktor GD'!X$1,FALSE),
"")</f>
        <v>86.081702127659582</v>
      </c>
      <c r="Y301" s="18">
        <f>IFERROR(
                  Andel_oberoende_av_klimat*VLOOKUP($A301,Leveranser_per_nät,'Leveranser per nät'!Y$1,FALSE)
               +Andel_beroende_av_klimat*VLOOKUP($A301,Leveranser_per_nät,'Leveranser per nät'!Y$1,FALSE)/VLOOKUP($B301,Korrigeringsfaktor_GD,'Korrigeringsfaktor GD'!Y$1,FALSE),
"")</f>
        <v>86.604042553191505</v>
      </c>
      <c r="Z301" s="18">
        <f>IFERROR(
                  Andel_oberoende_av_klimat*VLOOKUP($A301,Leveranser_per_nät,'Leveranser per nät'!Z$1,FALSE)
               +Andel_beroende_av_klimat*VLOOKUP($A301,Leveranser_per_nät,'Leveranser per nät'!Z$1,FALSE)/VLOOKUP($B301,Korrigeringsfaktor_GD,'Korrigeringsfaktor GD'!Z$1,FALSE),
"")</f>
        <v>83.673157894736846</v>
      </c>
      <c r="AA301" s="18">
        <f>IFERROR(
                  Andel_oberoende_av_klimat*VLOOKUP($A301,Leveranser_per_nät,'Leveranser per nät'!AA$1,FALSE)
               +Andel_beroende_av_klimat*VLOOKUP($A301,Leveranser_per_nät,'Leveranser per nät'!AA$1,FALSE)/VLOOKUP($B301,Korrigeringsfaktor_GD,'Korrigeringsfaktor GD'!AA$1,FALSE),
"")</f>
        <v>89.432594366197193</v>
      </c>
      <c r="AB301" s="18">
        <f>IFERROR(
                  Andel_oberoende_av_klimat*VLOOKUP($A301,Leveranser_per_nät,'Leveranser per nät'!AB$1,FALSE)
               +Andel_beroende_av_klimat*VLOOKUP($A301,Leveranser_per_nät,'Leveranser per nät'!AB$1,FALSE)/VLOOKUP($B301,Korrigeringsfaktor_GD,'Korrigeringsfaktor GD'!AB$1,FALSE),
"")</f>
        <v>85.783672692673647</v>
      </c>
      <c r="AC301" s="18">
        <f>IFERROR(
                  Andel_oberoende_av_klimat*VLOOKUP($A301,Leveranser_per_nät,'Leveranser per nät'!AC$1,FALSE)
               +Andel_beroende_av_klimat*VLOOKUP($A301,Leveranser_per_nät,'Leveranser per nät'!AC$1,FALSE)/VLOOKUP($B301,Korrigeringsfaktor_GD,'Korrigeringsfaktor GD'!AC$1,FALSE),
"")</f>
        <v>75.720143003064351</v>
      </c>
      <c r="AD301">
        <v>74.599999999999994</v>
      </c>
    </row>
    <row r="302" spans="1:30" x14ac:dyDescent="0.25">
      <c r="A302" t="s">
        <v>412</v>
      </c>
      <c r="B302" t="s">
        <v>412</v>
      </c>
      <c r="C302" s="18">
        <f>IFERROR(
                  Andel_oberoende_av_klimat*VLOOKUP($A302,Leveranser_per_nät,'Leveranser per nät'!C$1,FALSE)
               +Andel_beroende_av_klimat*VLOOKUP($A302,Leveranser_per_nät,'Leveranser per nät'!C$1,FALSE)/VLOOKUP($B302,Korrigeringsfaktor_GD,'Korrigeringsfaktor GD'!C$1,FALSE),
"")</f>
        <v>18.779933663366336</v>
      </c>
      <c r="D302" s="18">
        <f>IFERROR(
                  Andel_oberoende_av_klimat*VLOOKUP($A302,Leveranser_per_nät,'Leveranser per nät'!D$1,FALSE)
               +Andel_beroende_av_klimat*VLOOKUP($A302,Leveranser_per_nät,'Leveranser per nät'!D$1,FALSE)/VLOOKUP($B302,Korrigeringsfaktor_GD,'Korrigeringsfaktor GD'!D$1,FALSE),
"")</f>
        <v>19.303885714285716</v>
      </c>
      <c r="E302" s="18">
        <f>IFERROR(
                  Andel_oberoende_av_klimat*VLOOKUP($A302,Leveranser_per_nät,'Leveranser per nät'!E$1,FALSE)
               +Andel_beroende_av_klimat*VLOOKUP($A302,Leveranser_per_nät,'Leveranser per nät'!E$1,FALSE)/VLOOKUP($B302,Korrigeringsfaktor_GD,'Korrigeringsfaktor GD'!E$1,FALSE),
"")</f>
        <v>22.088679245283018</v>
      </c>
      <c r="F302" s="18">
        <f>IFERROR(
                  Andel_oberoende_av_klimat*VLOOKUP($A302,Leveranser_per_nät,'Leveranser per nät'!F$1,FALSE)
               +Andel_beroende_av_klimat*VLOOKUP($A302,Leveranser_per_nät,'Leveranser per nät'!F$1,FALSE)/VLOOKUP($B302,Korrigeringsfaktor_GD,'Korrigeringsfaktor GD'!F$1,FALSE),
"")</f>
        <v>21.196824242424238</v>
      </c>
      <c r="G302" s="18">
        <f>IFERROR(
                  Andel_oberoende_av_klimat*VLOOKUP($A302,Leveranser_per_nät,'Leveranser per nät'!G$1,FALSE)
               +Andel_beroende_av_klimat*VLOOKUP($A302,Leveranser_per_nät,'Leveranser per nät'!G$1,FALSE)/VLOOKUP($B302,Korrigeringsfaktor_GD,'Korrigeringsfaktor GD'!G$1,FALSE),
"")</f>
        <v>20.156521739130433</v>
      </c>
      <c r="H302" s="18">
        <f>IFERROR(
                  Andel_oberoende_av_klimat*VLOOKUP($A302,Leveranser_per_nät,'Leveranser per nät'!H$1,FALSE)
               +Andel_beroende_av_klimat*VLOOKUP($A302,Leveranser_per_nät,'Leveranser per nät'!H$1,FALSE)/VLOOKUP($B302,Korrigeringsfaktor_GD,'Korrigeringsfaktor GD'!H$1,FALSE),
"")</f>
        <v>21.148484848484848</v>
      </c>
      <c r="I302" s="18">
        <f>IFERROR(
                  Andel_oberoende_av_klimat*VLOOKUP($A302,Leveranser_per_nät,'Leveranser per nät'!I$1,FALSE)
               +Andel_beroende_av_klimat*VLOOKUP($A302,Leveranser_per_nät,'Leveranser per nät'!I$1,FALSE)/VLOOKUP($B302,Korrigeringsfaktor_GD,'Korrigeringsfaktor GD'!I$1,FALSE),
"")</f>
        <v>23.162626262626262</v>
      </c>
      <c r="J302" s="18">
        <f>IFERROR(
                  Andel_oberoende_av_klimat*VLOOKUP($A302,Leveranser_per_nät,'Leveranser per nät'!J$1,FALSE)
               +Andel_beroende_av_klimat*VLOOKUP($A302,Leveranser_per_nät,'Leveranser per nät'!J$1,FALSE)/VLOOKUP($B302,Korrigeringsfaktor_GD,'Korrigeringsfaktor GD'!J$1,FALSE),
"")</f>
        <v>23.497938144329897</v>
      </c>
      <c r="K302" s="18">
        <f>IFERROR(
                  Andel_oberoende_av_klimat*VLOOKUP($A302,Leveranser_per_nät,'Leveranser per nät'!K$1,FALSE)
               +Andel_beroende_av_klimat*VLOOKUP($A302,Leveranser_per_nät,'Leveranser per nät'!K$1,FALSE)/VLOOKUP($B302,Korrigeringsfaktor_GD,'Korrigeringsfaktor GD'!K$1,FALSE),
"")</f>
        <v>22.807228571428574</v>
      </c>
      <c r="L302" s="18">
        <f>IFERROR(
                  Andel_oberoende_av_klimat*VLOOKUP($A302,Leveranser_per_nät,'Leveranser per nät'!L$1,FALSE)
               +Andel_beroende_av_klimat*VLOOKUP($A302,Leveranser_per_nät,'Leveranser per nät'!L$1,FALSE)/VLOOKUP($B302,Korrigeringsfaktor_GD,'Korrigeringsfaktor GD'!L$1,FALSE),
"")</f>
        <v>23.854713043478263</v>
      </c>
      <c r="M302" s="18">
        <f>IFERROR(
                  Andel_oberoende_av_klimat*VLOOKUP($A302,Leveranser_per_nät,'Leveranser per nät'!M$1,FALSE)
               +Andel_beroende_av_klimat*VLOOKUP($A302,Leveranser_per_nät,'Leveranser per nät'!M$1,FALSE)/VLOOKUP($B302,Korrigeringsfaktor_GD,'Korrigeringsfaktor GD'!M$1,FALSE),
"")</f>
        <v>21.617580851063828</v>
      </c>
      <c r="N302" s="18">
        <f>IFERROR(
                  Andel_oberoende_av_klimat*VLOOKUP($A302,Leveranser_per_nät,'Leveranser per nät'!N$1,FALSE)
               +Andel_beroende_av_klimat*VLOOKUP($A302,Leveranser_per_nät,'Leveranser per nät'!N$1,FALSE)/VLOOKUP($B302,Korrigeringsfaktor_GD,'Korrigeringsfaktor GD'!N$1,FALSE),
"")</f>
        <v>19.744468085106384</v>
      </c>
      <c r="O302" s="18">
        <f>IFERROR(
                  Andel_oberoende_av_klimat*VLOOKUP($A302,Leveranser_per_nät,'Leveranser per nät'!O$1,FALSE)
               +Andel_beroende_av_klimat*VLOOKUP($A302,Leveranser_per_nät,'Leveranser per nät'!O$1,FALSE)/VLOOKUP($B302,Korrigeringsfaktor_GD,'Korrigeringsfaktor GD'!O$1,FALSE),
"")</f>
        <v>22.578453608247425</v>
      </c>
      <c r="P302" s="18">
        <f>IFERROR(
                  Andel_oberoende_av_klimat*VLOOKUP($A302,Leveranser_per_nät,'Leveranser per nät'!P$1,FALSE)
               +Andel_beroende_av_klimat*VLOOKUP($A302,Leveranser_per_nät,'Leveranser per nät'!P$1,FALSE)/VLOOKUP($B302,Korrigeringsfaktor_GD,'Korrigeringsfaktor GD'!P$1,FALSE),
"")</f>
        <v>24.519587628865978</v>
      </c>
      <c r="Q302" s="18">
        <f>IFERROR(
                  Andel_oberoende_av_klimat*VLOOKUP($A302,Leveranser_per_nät,'Leveranser per nät'!Q$1,FALSE)
               +Andel_beroende_av_klimat*VLOOKUP($A302,Leveranser_per_nät,'Leveranser per nät'!Q$1,FALSE)/VLOOKUP($B302,Korrigeringsfaktor_GD,'Korrigeringsfaktor GD'!Q$1,FALSE),
"")</f>
        <v>23.241132075471697</v>
      </c>
      <c r="R302" s="18">
        <f>IFERROR(
                  Andel_oberoende_av_klimat*VLOOKUP($A302,Leveranser_per_nät,'Leveranser per nät'!R$1,FALSE)
               +Andel_beroende_av_klimat*VLOOKUP($A302,Leveranser_per_nät,'Leveranser per nät'!R$1,FALSE)/VLOOKUP($B302,Korrigeringsfaktor_GD,'Korrigeringsfaktor GD'!R$1,FALSE),
"")</f>
        <v>23.202307692307691</v>
      </c>
      <c r="S302" s="18">
        <f>IFERROR(
                  Andel_oberoende_av_klimat*VLOOKUP($A302,Leveranser_per_nät,'Leveranser per nät'!S$1,FALSE)
               +Andel_beroende_av_klimat*VLOOKUP($A302,Leveranser_per_nät,'Leveranser per nät'!S$1,FALSE)/VLOOKUP($B302,Korrigeringsfaktor_GD,'Korrigeringsfaktor GD'!S$1,FALSE),
"")</f>
        <v>22.922912621359224</v>
      </c>
      <c r="T302" s="18">
        <f>IFERROR(
                  Andel_oberoende_av_klimat*VLOOKUP($A302,Leveranser_per_nät,'Leveranser per nät'!T$1,FALSE)
               +Andel_beroende_av_klimat*VLOOKUP($A302,Leveranser_per_nät,'Leveranser per nät'!T$1,FALSE)/VLOOKUP($B302,Korrigeringsfaktor_GD,'Korrigeringsfaktor GD'!T$1,FALSE),
"")</f>
        <v>24.341063829787235</v>
      </c>
      <c r="U302" s="18">
        <f>IFERROR(
                  Andel_oberoende_av_klimat*VLOOKUP($A302,Leveranser_per_nät,'Leveranser per nät'!U$1,FALSE)
               +Andel_beroende_av_klimat*VLOOKUP($A302,Leveranser_per_nät,'Leveranser per nät'!U$1,FALSE)/VLOOKUP($B302,Korrigeringsfaktor_GD,'Korrigeringsfaktor GD'!U$1,FALSE),
"")</f>
        <v>24.317096774193551</v>
      </c>
      <c r="V302" s="18">
        <f>IFERROR(
                  Andel_oberoende_av_klimat*VLOOKUP($A302,Leveranser_per_nät,'Leveranser per nät'!V$1,FALSE)
               +Andel_beroende_av_klimat*VLOOKUP($A302,Leveranser_per_nät,'Leveranser per nät'!V$1,FALSE)/VLOOKUP($B302,Korrigeringsfaktor_GD,'Korrigeringsfaktor GD'!V$1,FALSE),
"")</f>
        <v>25.327777777777776</v>
      </c>
      <c r="W302" s="18">
        <f>IFERROR(
                  Andel_oberoende_av_klimat*VLOOKUP($A302,Leveranser_per_nät,'Leveranser per nät'!W$1,FALSE)
               +Andel_beroende_av_klimat*VLOOKUP($A302,Leveranser_per_nät,'Leveranser per nät'!W$1,FALSE)/VLOOKUP($B302,Korrigeringsfaktor_GD,'Korrigeringsfaktor GD'!W$1,FALSE),
"")</f>
        <v>25.053978494623657</v>
      </c>
      <c r="X302" s="18">
        <f>IFERROR(
                  Andel_oberoende_av_klimat*VLOOKUP($A302,Leveranser_per_nät,'Leveranser per nät'!X$1,FALSE)
               +Andel_beroende_av_klimat*VLOOKUP($A302,Leveranser_per_nät,'Leveranser per nät'!X$1,FALSE)/VLOOKUP($B302,Korrigeringsfaktor_GD,'Korrigeringsfaktor GD'!X$1,FALSE),
"")</f>
        <v>25.255714285714284</v>
      </c>
      <c r="Y302" s="18">
        <f>IFERROR(
                  Andel_oberoende_av_klimat*VLOOKUP($A302,Leveranser_per_nät,'Leveranser per nät'!Y$1,FALSE)
               +Andel_beroende_av_klimat*VLOOKUP($A302,Leveranser_per_nät,'Leveranser per nät'!Y$1,FALSE)/VLOOKUP($B302,Korrigeringsfaktor_GD,'Korrigeringsfaktor GD'!Y$1,FALSE),
"")</f>
        <v>25.091578947368422</v>
      </c>
      <c r="Z302" s="18">
        <f>IFERROR(
                  Andel_oberoende_av_klimat*VLOOKUP($A302,Leveranser_per_nät,'Leveranser per nät'!Z$1,FALSE)
               +Andel_beroende_av_klimat*VLOOKUP($A302,Leveranser_per_nät,'Leveranser per nät'!Z$1,FALSE)/VLOOKUP($B302,Korrigeringsfaktor_GD,'Korrigeringsfaktor GD'!Z$1,FALSE),
"")</f>
        <v>27.189181818181819</v>
      </c>
      <c r="AA302" s="18">
        <f>IFERROR(
                  Andel_oberoende_av_klimat*VLOOKUP($A302,Leveranser_per_nät,'Leveranser per nät'!AA$1,FALSE)
               +Andel_beroende_av_klimat*VLOOKUP($A302,Leveranser_per_nät,'Leveranser per nät'!AA$1,FALSE)/VLOOKUP($B302,Korrigeringsfaktor_GD,'Korrigeringsfaktor GD'!AA$1,FALSE),
"")</f>
        <v>26.671950464396282</v>
      </c>
      <c r="AB302" s="18">
        <f>IFERROR(
                  Andel_oberoende_av_klimat*VLOOKUP($A302,Leveranser_per_nät,'Leveranser per nät'!AB$1,FALSE)
               +Andel_beroende_av_klimat*VLOOKUP($A302,Leveranser_per_nät,'Leveranser per nät'!AB$1,FALSE)/VLOOKUP($B302,Korrigeringsfaktor_GD,'Korrigeringsfaktor GD'!AB$1,FALSE),
"")</f>
        <v>24.509813176007864</v>
      </c>
      <c r="AC302" s="18">
        <f>IFERROR(
                  Andel_oberoende_av_klimat*VLOOKUP($A302,Leveranser_per_nät,'Leveranser per nät'!AC$1,FALSE)
               +Andel_beroende_av_klimat*VLOOKUP($A302,Leveranser_per_nät,'Leveranser per nät'!AC$1,FALSE)/VLOOKUP($B302,Korrigeringsfaktor_GD,'Korrigeringsfaktor GD'!AC$1,FALSE),
"")</f>
        <v>23.895856151419558</v>
      </c>
      <c r="AD302" t="s">
        <v>805</v>
      </c>
    </row>
    <row r="303" spans="1:30" x14ac:dyDescent="0.25">
      <c r="A303" t="s">
        <v>932</v>
      </c>
      <c r="B303" t="s">
        <v>932</v>
      </c>
      <c r="C303" s="18">
        <f>IFERROR(
                  Andel_oberoende_av_klimat*VLOOKUP($A303,Leveranser_per_nät,'Leveranser per nät'!C$1,FALSE)
               +Andel_beroende_av_klimat*VLOOKUP($A303,Leveranser_per_nät,'Leveranser per nät'!C$1,FALSE)/VLOOKUP("Göteborg",Korrigeringsfaktor_GD,'Korrigeringsfaktor GD'!C$1,FALSE),
"")</f>
        <v>0</v>
      </c>
      <c r="D303" s="18">
        <f>IFERROR(
                  Andel_oberoende_av_klimat*VLOOKUP($A303,Leveranser_per_nät,'Leveranser per nät'!D$1,FALSE)
               +Andel_beroende_av_klimat*VLOOKUP($A303,Leveranser_per_nät,'Leveranser per nät'!D$1,FALSE)/VLOOKUP("Göteborg",Korrigeringsfaktor_GD,'Korrigeringsfaktor GD'!D$1,FALSE),
"")</f>
        <v>0</v>
      </c>
      <c r="E303" s="18">
        <f>IFERROR(
                  Andel_oberoende_av_klimat*VLOOKUP($A303,Leveranser_per_nät,'Leveranser per nät'!E$1,FALSE)
               +Andel_beroende_av_klimat*VLOOKUP($A303,Leveranser_per_nät,'Leveranser per nät'!E$1,FALSE)/VLOOKUP("Göteborg",Korrigeringsfaktor_GD,'Korrigeringsfaktor GD'!E$1,FALSE),
"")</f>
        <v>0</v>
      </c>
      <c r="F303" s="18">
        <f>IFERROR(
                  Andel_oberoende_av_klimat*VLOOKUP($A303,Leveranser_per_nät,'Leveranser per nät'!F$1,FALSE)
               +Andel_beroende_av_klimat*VLOOKUP($A303,Leveranser_per_nät,'Leveranser per nät'!F$1,FALSE)/VLOOKUP("Göteborg",Korrigeringsfaktor_GD,'Korrigeringsfaktor GD'!F$1,FALSE),
"")</f>
        <v>0</v>
      </c>
      <c r="G303" s="18">
        <f>IFERROR(
                  Andel_oberoende_av_klimat*VLOOKUP($A303,Leveranser_per_nät,'Leveranser per nät'!G$1,FALSE)
               +Andel_beroende_av_klimat*VLOOKUP($A303,Leveranser_per_nät,'Leveranser per nät'!G$1,FALSE)/VLOOKUP("Göteborg",Korrigeringsfaktor_GD,'Korrigeringsfaktor GD'!G$1,FALSE),
"")</f>
        <v>0</v>
      </c>
      <c r="H303" s="18">
        <f>IFERROR(
                  Andel_oberoende_av_klimat*VLOOKUP($A303,Leveranser_per_nät,'Leveranser per nät'!H$1,FALSE)
               +Andel_beroende_av_klimat*VLOOKUP($A303,Leveranser_per_nät,'Leveranser per nät'!H$1,FALSE)/VLOOKUP("Göteborg",Korrigeringsfaktor_GD,'Korrigeringsfaktor GD'!H$1,FALSE),
"")</f>
        <v>0</v>
      </c>
      <c r="I303" s="18">
        <f>IFERROR(
                  Andel_oberoende_av_klimat*VLOOKUP($A303,Leveranser_per_nät,'Leveranser per nät'!I$1,FALSE)
               +Andel_beroende_av_klimat*VLOOKUP($A303,Leveranser_per_nät,'Leveranser per nät'!I$1,FALSE)/VLOOKUP("Göteborg",Korrigeringsfaktor_GD,'Korrigeringsfaktor GD'!I$1,FALSE),
"")</f>
        <v>0</v>
      </c>
      <c r="J303" s="18">
        <f>IFERROR(
                  Andel_oberoende_av_klimat*VLOOKUP($A303,Leveranser_per_nät,'Leveranser per nät'!J$1,FALSE)
               +Andel_beroende_av_klimat*VLOOKUP($A303,Leveranser_per_nät,'Leveranser per nät'!J$1,FALSE)/VLOOKUP("Göteborg",Korrigeringsfaktor_GD,'Korrigeringsfaktor GD'!J$1,FALSE),
"")</f>
        <v>0</v>
      </c>
      <c r="K303" s="18">
        <f>IFERROR(
                  Andel_oberoende_av_klimat*VLOOKUP($A303,Leveranser_per_nät,'Leveranser per nät'!K$1,FALSE)
               +Andel_beroende_av_klimat*VLOOKUP($A303,Leveranser_per_nät,'Leveranser per nät'!K$1,FALSE)/VLOOKUP("Göteborg",Korrigeringsfaktor_GD,'Korrigeringsfaktor GD'!K$1,FALSE),
"")</f>
        <v>0</v>
      </c>
      <c r="L303" s="18">
        <f>IFERROR(
                  Andel_oberoende_av_klimat*VLOOKUP($A303,Leveranser_per_nät,'Leveranser per nät'!L$1,FALSE)
               +Andel_beroende_av_klimat*VLOOKUP($A303,Leveranser_per_nät,'Leveranser per nät'!L$1,FALSE)/VLOOKUP("Göteborg",Korrigeringsfaktor_GD,'Korrigeringsfaktor GD'!L$1,FALSE),
"")</f>
        <v>0</v>
      </c>
      <c r="M303" s="18">
        <f>IFERROR(
                  Andel_oberoende_av_klimat*VLOOKUP($A303,Leveranser_per_nät,'Leveranser per nät'!M$1,FALSE)
               +Andel_beroende_av_klimat*VLOOKUP($A303,Leveranser_per_nät,'Leveranser per nät'!M$1,FALSE)/VLOOKUP("Göteborg",Korrigeringsfaktor_GD,'Korrigeringsfaktor GD'!M$1,FALSE),
"")</f>
        <v>0</v>
      </c>
      <c r="N303" s="18">
        <f>IFERROR(
                  Andel_oberoende_av_klimat*VLOOKUP($A303,Leveranser_per_nät,'Leveranser per nät'!N$1,FALSE)
               +Andel_beroende_av_klimat*VLOOKUP($A303,Leveranser_per_nät,'Leveranser per nät'!N$1,FALSE)/VLOOKUP("Göteborg",Korrigeringsfaktor_GD,'Korrigeringsfaktor GD'!N$1,FALSE),
"")</f>
        <v>0</v>
      </c>
      <c r="O303" s="18">
        <f>IFERROR(
                  Andel_oberoende_av_klimat*VLOOKUP($A303,Leveranser_per_nät,'Leveranser per nät'!O$1,FALSE)
               +Andel_beroende_av_klimat*VLOOKUP($A303,Leveranser_per_nät,'Leveranser per nät'!O$1,FALSE)/VLOOKUP("Göteborg",Korrigeringsfaktor_GD,'Korrigeringsfaktor GD'!O$1,FALSE),
"")</f>
        <v>0</v>
      </c>
      <c r="P303" s="18">
        <f>IFERROR(
                  Andel_oberoende_av_klimat*VLOOKUP($A303,Leveranser_per_nät,'Leveranser per nät'!P$1,FALSE)
               +Andel_beroende_av_klimat*VLOOKUP($A303,Leveranser_per_nät,'Leveranser per nät'!P$1,FALSE)/VLOOKUP("Göteborg",Korrigeringsfaktor_GD,'Korrigeringsfaktor GD'!P$1,FALSE),
"")</f>
        <v>0</v>
      </c>
      <c r="Q303" s="18">
        <f>IFERROR(
                  Andel_oberoende_av_klimat*VLOOKUP($A303,Leveranser_per_nät,'Leveranser per nät'!Q$1,FALSE)
               +Andel_beroende_av_klimat*VLOOKUP($A303,Leveranser_per_nät,'Leveranser per nät'!Q$1,FALSE)/VLOOKUP("Göteborg",Korrigeringsfaktor_GD,'Korrigeringsfaktor GD'!Q$1,FALSE),
"")</f>
        <v>0</v>
      </c>
      <c r="R303" s="18">
        <f>IFERROR(
                  Andel_oberoende_av_klimat*VLOOKUP($A303,Leveranser_per_nät,'Leveranser per nät'!R$1,FALSE)
               +Andel_beroende_av_klimat*VLOOKUP($A303,Leveranser_per_nät,'Leveranser per nät'!R$1,FALSE)/VLOOKUP("Göteborg",Korrigeringsfaktor_GD,'Korrigeringsfaktor GD'!R$1,FALSE),
"")</f>
        <v>0</v>
      </c>
      <c r="S303" s="18">
        <f>IFERROR(
                  Andel_oberoende_av_klimat*VLOOKUP($A303,Leveranser_per_nät,'Leveranser per nät'!S$1,FALSE)
               +Andel_beroende_av_klimat*VLOOKUP($A303,Leveranser_per_nät,'Leveranser per nät'!S$1,FALSE)/VLOOKUP("Göteborg",Korrigeringsfaktor_GD,'Korrigeringsfaktor GD'!S$1,FALSE),
"")</f>
        <v>0</v>
      </c>
      <c r="T303" s="18">
        <f>IFERROR(
                  Andel_oberoende_av_klimat*VLOOKUP($A303,Leveranser_per_nät,'Leveranser per nät'!T$1,FALSE)
               +Andel_beroende_av_klimat*VLOOKUP($A303,Leveranser_per_nät,'Leveranser per nät'!T$1,FALSE)/VLOOKUP("Göteborg",Korrigeringsfaktor_GD,'Korrigeringsfaktor GD'!T$1,FALSE),
"")</f>
        <v>0</v>
      </c>
      <c r="U303" s="18">
        <f>IFERROR(
                  Andel_oberoende_av_klimat*VLOOKUP($A303,Leveranser_per_nät,'Leveranser per nät'!U$1,FALSE)
               +Andel_beroende_av_klimat*VLOOKUP($A303,Leveranser_per_nät,'Leveranser per nät'!U$1,FALSE)/VLOOKUP("Göteborg",Korrigeringsfaktor_GD,'Korrigeringsfaktor GD'!U$1,FALSE),
"")</f>
        <v>0</v>
      </c>
      <c r="V303" s="18">
        <f>IFERROR(
                  Andel_oberoende_av_klimat*VLOOKUP($A303,Leveranser_per_nät,'Leveranser per nät'!V$1,FALSE)
               +Andel_beroende_av_klimat*VLOOKUP($A303,Leveranser_per_nät,'Leveranser per nät'!V$1,FALSE)/VLOOKUP("Göteborg",Korrigeringsfaktor_GD,'Korrigeringsfaktor GD'!V$1,FALSE),
"")</f>
        <v>0</v>
      </c>
      <c r="W303" s="18">
        <f>IFERROR(
                  Andel_oberoende_av_klimat*VLOOKUP($A303,Leveranser_per_nät,'Leveranser per nät'!W$1,FALSE)
               +Andel_beroende_av_klimat*VLOOKUP($A303,Leveranser_per_nät,'Leveranser per nät'!W$1,FALSE)/VLOOKUP("Göteborg",Korrigeringsfaktor_GD,'Korrigeringsfaktor GD'!W$1,FALSE),
"")</f>
        <v>0</v>
      </c>
      <c r="X303" s="18">
        <f>IFERROR(
                  Andel_oberoende_av_klimat*VLOOKUP($A303,Leveranser_per_nät,'Leveranser per nät'!X$1,FALSE)
               +Andel_beroende_av_klimat*VLOOKUP($A303,Leveranser_per_nät,'Leveranser per nät'!X$1,FALSE)/VLOOKUP("Göteborg",Korrigeringsfaktor_GD,'Korrigeringsfaktor GD'!X$1,FALSE),
"")</f>
        <v>0</v>
      </c>
      <c r="Y303" s="18">
        <f>IFERROR(
                  Andel_oberoende_av_klimat*VLOOKUP($A303,Leveranser_per_nät,'Leveranser per nät'!Y$1,FALSE)
               +Andel_beroende_av_klimat*VLOOKUP($A303,Leveranser_per_nät,'Leveranser per nät'!Y$1,FALSE)/VLOOKUP($B303,Korrigeringsfaktor_GD,'Korrigeringsfaktor GD'!Y$1,FALSE),
"")</f>
        <v>163.82105263157894</v>
      </c>
      <c r="Z303" s="18">
        <f>IFERROR(
                  Andel_oberoende_av_klimat*VLOOKUP($A303,Leveranser_per_nät,'Leveranser per nät'!Z$1,FALSE)
               +Andel_beroende_av_klimat*VLOOKUP($A303,Leveranser_per_nät,'Leveranser per nät'!Z$1,FALSE)/VLOOKUP($B303,Korrigeringsfaktor_GD,'Korrigeringsfaktor GD'!Z$1,FALSE),
"")</f>
        <v>165.41363636363636</v>
      </c>
      <c r="AA303" s="18">
        <f>IFERROR(
                  Andel_oberoende_av_klimat*VLOOKUP($A303,Leveranser_per_nät,'Leveranser per nät'!AA$1,FALSE)
               +Andel_beroende_av_klimat*VLOOKUP($A303,Leveranser_per_nät,'Leveranser per nät'!AA$1,FALSE)/VLOOKUP($B303,Korrigeringsfaktor_GD,'Korrigeringsfaktor GD'!AA$1,FALSE),
"")</f>
        <v>170.36274188258446</v>
      </c>
      <c r="AB303" s="18">
        <f>IFERROR(
                  Andel_oberoende_av_klimat*VLOOKUP($A303,Leveranser_per_nät,'Leveranser per nät'!AB$1,FALSE)
               +Andel_beroende_av_klimat*VLOOKUP($A303,Leveranser_per_nät,'Leveranser per nät'!AB$1,FALSE)/VLOOKUP($B303,Korrigeringsfaktor_GD,'Korrigeringsfaktor GD'!AB$1,FALSE),
"")</f>
        <v>160.54820562560622</v>
      </c>
      <c r="AC303" s="18">
        <f>IFERROR(
                  Andel_oberoende_av_klimat*VLOOKUP($A303,Leveranser_per_nät,'Leveranser per nät'!AC$1,FALSE)
               +Andel_beroende_av_klimat*VLOOKUP($A303,Leveranser_per_nät,'Leveranser per nät'!AC$1,FALSE)/VLOOKUP($B303,Korrigeringsfaktor_GD,'Korrigeringsfaktor GD'!AC$1,FALSE),
"")</f>
        <v>154.9836206896552</v>
      </c>
      <c r="AD303">
        <v>147</v>
      </c>
    </row>
    <row r="304" spans="1:30" x14ac:dyDescent="0.25">
      <c r="A304" t="s">
        <v>229</v>
      </c>
      <c r="B304" t="s">
        <v>229</v>
      </c>
      <c r="C304" s="18">
        <f>IFERROR(
                  Andel_oberoende_av_klimat*VLOOKUP($A304,Leveranser_per_nät,'Leveranser per nät'!C$1,FALSE)
               +Andel_beroende_av_klimat*VLOOKUP($A304,Leveranser_per_nät,'Leveranser per nät'!C$1,FALSE)/VLOOKUP("Klippan",Korrigeringsfaktor_GD,'Korrigeringsfaktor GD'!C$1,FALSE),
"")</f>
        <v>33.658428070175439</v>
      </c>
      <c r="D304" s="18">
        <f>IFERROR(
                  Andel_oberoende_av_klimat*VLOOKUP($A304,Leveranser_per_nät,'Leveranser per nät'!D$1,FALSE)
               +Andel_beroende_av_klimat*VLOOKUP($A304,Leveranser_per_nät,'Leveranser per nät'!D$1,FALSE)/VLOOKUP("Klippan",Korrigeringsfaktor_GD,'Korrigeringsfaktor GD'!D$1,FALSE),
"")</f>
        <v>32.678865048543692</v>
      </c>
      <c r="E304" s="18">
        <f>IFERROR(
                  Andel_oberoende_av_klimat*VLOOKUP($A304,Leveranser_per_nät,'Leveranser per nät'!E$1,FALSE)
               +Andel_beroende_av_klimat*VLOOKUP($A304,Leveranser_per_nät,'Leveranser per nät'!E$1,FALSE)/VLOOKUP("Klippan",Korrigeringsfaktor_GD,'Korrigeringsfaktor GD'!E$1,FALSE),
"")</f>
        <v>33.809044554455447</v>
      </c>
      <c r="F304" s="18">
        <f>IFERROR(
                  Andel_oberoende_av_klimat*VLOOKUP($A304,Leveranser_per_nät,'Leveranser per nät'!F$1,FALSE)
               +Andel_beroende_av_klimat*VLOOKUP($A304,Leveranser_per_nät,'Leveranser per nät'!F$1,FALSE)/VLOOKUP("Klippan",Korrigeringsfaktor_GD,'Korrigeringsfaktor GD'!F$1,FALSE),
"")</f>
        <v>32.979873684210531</v>
      </c>
      <c r="G304" s="18">
        <f>IFERROR(
                  Andel_oberoende_av_klimat*VLOOKUP($A304,Leveranser_per_nät,'Leveranser per nät'!G$1,FALSE)
               +Andel_beroende_av_klimat*VLOOKUP($A304,Leveranser_per_nät,'Leveranser per nät'!G$1,FALSE)/VLOOKUP("Klippan",Korrigeringsfaktor_GD,'Korrigeringsfaktor GD'!G$1,FALSE),
"")</f>
        <v>34.725909090909092</v>
      </c>
      <c r="H304" s="18">
        <f>IFERROR(
                  Andel_oberoende_av_klimat*VLOOKUP($A304,Leveranser_per_nät,'Leveranser per nät'!H$1,FALSE)
               +Andel_beroende_av_klimat*VLOOKUP($A304,Leveranser_per_nät,'Leveranser per nät'!H$1,FALSE)/VLOOKUP("Klippan",Korrigeringsfaktor_GD,'Korrigeringsfaktor GD'!H$1,FALSE),
"")</f>
        <v>32.700000000000003</v>
      </c>
      <c r="I304" s="18">
        <f>IFERROR(
                  Andel_oberoende_av_klimat*VLOOKUP($A304,Leveranser_per_nät,'Leveranser per nät'!I$1,FALSE)
               +Andel_beroende_av_klimat*VLOOKUP($A304,Leveranser_per_nät,'Leveranser per nät'!I$1,FALSE)/VLOOKUP("Klippan",Korrigeringsfaktor_GD,'Korrigeringsfaktor GD'!I$1,FALSE),
"")</f>
        <v>33.697368421052637</v>
      </c>
      <c r="J304" s="18">
        <f>IFERROR(
                  Andel_oberoende_av_klimat*VLOOKUP($A304,Leveranser_per_nät,'Leveranser per nät'!J$1,FALSE)
               +Andel_beroende_av_klimat*VLOOKUP($A304,Leveranser_per_nät,'Leveranser per nät'!J$1,FALSE)/VLOOKUP("Klippan",Korrigeringsfaktor_GD,'Korrigeringsfaktor GD'!J$1,FALSE),
"")</f>
        <v>32.80029292929293</v>
      </c>
      <c r="K304" s="18">
        <f>IFERROR(
                  Andel_oberoende_av_klimat*VLOOKUP($A304,Leveranser_per_nät,'Leveranser per nät'!K$1,FALSE)
               +Andel_beroende_av_klimat*VLOOKUP($A304,Leveranser_per_nät,'Leveranser per nät'!K$1,FALSE)/VLOOKUP("Klippan",Korrigeringsfaktor_GD,'Korrigeringsfaktor GD'!K$1,FALSE),
"")</f>
        <v>35.046060606060607</v>
      </c>
      <c r="L304" s="18">
        <f>IFERROR(
                  Andel_oberoende_av_klimat*VLOOKUP($A304,Leveranser_per_nät,'Leveranser per nät'!L$1,FALSE)
               +Andel_beroende_av_klimat*VLOOKUP($A304,Leveranser_per_nät,'Leveranser per nät'!L$1,FALSE)/VLOOKUP("Klippan",Korrigeringsfaktor_GD,'Korrigeringsfaktor GD'!L$1,FALSE),
"")</f>
        <v>37.903195876288663</v>
      </c>
      <c r="M304" s="18">
        <f>IFERROR(
                  Andel_oberoende_av_klimat*VLOOKUP($A304,Leveranser_per_nät,'Leveranser per nät'!M$1,FALSE)
               +Andel_beroende_av_klimat*VLOOKUP($A304,Leveranser_per_nät,'Leveranser per nät'!M$1,FALSE)/VLOOKUP("Klippan",Korrigeringsfaktor_GD,'Korrigeringsfaktor GD'!M$1,FALSE),
"")</f>
        <v>41.399067741935482</v>
      </c>
      <c r="N304" s="18">
        <f>IFERROR(
                  Andel_oberoende_av_klimat*VLOOKUP($A304,Leveranser_per_nät,'Leveranser per nät'!N$1,FALSE)
               +Andel_beroende_av_klimat*VLOOKUP($A304,Leveranser_per_nät,'Leveranser per nät'!N$1,FALSE)/VLOOKUP("Klippan",Korrigeringsfaktor_GD,'Korrigeringsfaktor GD'!N$1,FALSE),
"")</f>
        <v>43.599090909090904</v>
      </c>
      <c r="O304" s="18">
        <f>IFERROR(
                  Andel_oberoende_av_klimat*VLOOKUP($A304,Leveranser_per_nät,'Leveranser per nät'!O$1,FALSE)
               +Andel_beroende_av_klimat*VLOOKUP($A304,Leveranser_per_nät,'Leveranser per nät'!O$1,FALSE)/VLOOKUP("Klippan",Korrigeringsfaktor_GD,'Korrigeringsfaktor GD'!O$1,FALSE),
"")</f>
        <v>45.052759090909092</v>
      </c>
      <c r="P304" s="18">
        <f>IFERROR(
                  Andel_oberoende_av_klimat*VLOOKUP($A304,Leveranser_per_nät,'Leveranser per nät'!P$1,FALSE)
               +Andel_beroende_av_klimat*VLOOKUP($A304,Leveranser_per_nät,'Leveranser per nät'!P$1,FALSE)/VLOOKUP("Klippan",Korrigeringsfaktor_GD,'Korrigeringsfaktor GD'!P$1,FALSE),
"")</f>
        <v>45.077500000000001</v>
      </c>
      <c r="Q304" s="18">
        <f>IFERROR(
                  Andel_oberoende_av_klimat*VLOOKUP($A304,Leveranser_per_nät,'Leveranser per nät'!Q$1,FALSE)
               +Andel_beroende_av_klimat*VLOOKUP($A304,Leveranser_per_nät,'Leveranser per nät'!Q$1,FALSE)/VLOOKUP("Klippan",Korrigeringsfaktor_GD,'Korrigeringsfaktor GD'!Q$1,FALSE),
"")</f>
        <v>45.533793103448275</v>
      </c>
      <c r="R304" s="18">
        <f>IFERROR(
                  Andel_oberoende_av_klimat*VLOOKUP($A304,Leveranser_per_nät,'Leveranser per nät'!R$1,FALSE)
               +Andel_beroende_av_klimat*VLOOKUP($A304,Leveranser_per_nät,'Leveranser per nät'!R$1,FALSE)/VLOOKUP("Klippan",Korrigeringsfaktor_GD,'Korrigeringsfaktor GD'!R$1,FALSE),
"")</f>
        <v>46.14782608695652</v>
      </c>
      <c r="S304" s="18">
        <f>IFERROR(
                  Andel_oberoende_av_klimat*VLOOKUP($A304,Leveranser_per_nät,'Leveranser per nät'!S$1,FALSE)
               +Andel_beroende_av_klimat*VLOOKUP($A304,Leveranser_per_nät,'Leveranser per nät'!S$1,FALSE)/VLOOKUP("Klippan",Korrigeringsfaktor_GD,'Korrigeringsfaktor GD'!S$1,FALSE),
"")</f>
        <v>46.354901960784311</v>
      </c>
      <c r="T304" s="18">
        <f>IFERROR(
                  Andel_oberoende_av_klimat*VLOOKUP($A304,Leveranser_per_nät,'Leveranser per nät'!T$1,FALSE)
               +Andel_beroende_av_klimat*VLOOKUP($A304,Leveranser_per_nät,'Leveranser per nät'!T$1,FALSE)/VLOOKUP("Klippan",Korrigeringsfaktor_GD,'Korrigeringsfaktor GD'!T$1,FALSE),
"")</f>
        <v>45.821717171717168</v>
      </c>
      <c r="U304" s="18">
        <f>IFERROR(
                  Andel_oberoende_av_klimat*VLOOKUP($A304,Leveranser_per_nät,'Leveranser per nät'!U$1,FALSE)
               +Andel_beroende_av_klimat*VLOOKUP($A304,Leveranser_per_nät,'Leveranser per nät'!U$1,FALSE)/VLOOKUP("Klippan",Korrigeringsfaktor_GD,'Korrigeringsfaktor GD'!U$1,FALSE),
"")</f>
        <v>47.373333333333328</v>
      </c>
      <c r="V304" s="18">
        <f>IFERROR(
                  Andel_oberoende_av_klimat*VLOOKUP($A304,Leveranser_per_nät,'Leveranser per nät'!V$1,FALSE)
               +Andel_beroende_av_klimat*VLOOKUP($A304,Leveranser_per_nät,'Leveranser per nät'!V$1,FALSE)/VLOOKUP("Klippan",Korrigeringsfaktor_GD,'Korrigeringsfaktor GD'!V$1,FALSE),
"")</f>
        <v>47.53</v>
      </c>
      <c r="W304" s="18">
        <f>IFERROR(
                  Andel_oberoende_av_klimat*VLOOKUP($A304,Leveranser_per_nät,'Leveranser per nät'!W$1,FALSE)
               +Andel_beroende_av_klimat*VLOOKUP($A304,Leveranser_per_nät,'Leveranser per nät'!W$1,FALSE)/VLOOKUP("Klippan",Korrigeringsfaktor_GD,'Korrigeringsfaktor GD'!W$1,FALSE),
"")</f>
        <v>48.055319148936171</v>
      </c>
      <c r="X304" s="18">
        <f>IFERROR(
                  Andel_oberoende_av_klimat*VLOOKUP($A304,Leveranser_per_nät,'Leveranser per nät'!X$1,FALSE)
               +Andel_beroende_av_klimat*VLOOKUP($A304,Leveranser_per_nät,'Leveranser per nät'!X$1,FALSE)/VLOOKUP("Klippan",Korrigeringsfaktor_GD,'Korrigeringsfaktor GD'!X$1,FALSE),
"")</f>
        <v>48.055319148936171</v>
      </c>
      <c r="Y304" s="18">
        <f>IFERROR(
                  Andel_oberoende_av_klimat*VLOOKUP($A304,Leveranser_per_nät,'Leveranser per nät'!Y$1,FALSE)
               +Andel_beroende_av_klimat*VLOOKUP($A304,Leveranser_per_nät,'Leveranser per nät'!Y$1,FALSE)/VLOOKUP($B304,Korrigeringsfaktor_GD,'Korrigeringsfaktor GD'!Y$1,FALSE),
"")</f>
        <v>48.970769230769228</v>
      </c>
      <c r="Z304" s="18">
        <f>IFERROR(
                  Andel_oberoende_av_klimat*VLOOKUP($A304,Leveranser_per_nät,'Leveranser per nät'!Z$1,FALSE)
               +Andel_beroende_av_klimat*VLOOKUP($A304,Leveranser_per_nät,'Leveranser per nät'!Z$1,FALSE)/VLOOKUP($B304,Korrigeringsfaktor_GD,'Korrigeringsfaktor GD'!Z$1,FALSE),
"")</f>
        <v>48.784606741573029</v>
      </c>
      <c r="AA304" s="18">
        <f>IFERROR(
                  Andel_oberoende_av_klimat*VLOOKUP($A304,Leveranser_per_nät,'Leveranser per nät'!AA$1,FALSE)
               +Andel_beroende_av_klimat*VLOOKUP($A304,Leveranser_per_nät,'Leveranser per nät'!AA$1,FALSE)/VLOOKUP($B304,Korrigeringsfaktor_GD,'Korrigeringsfaktor GD'!AA$1,FALSE),
"")</f>
        <v>49.802931937172787</v>
      </c>
      <c r="AB304" s="18">
        <f>IFERROR(
                  Andel_oberoende_av_klimat*VLOOKUP($A304,Leveranser_per_nät,'Leveranser per nät'!AB$1,FALSE)
               +Andel_beroende_av_klimat*VLOOKUP($A304,Leveranser_per_nät,'Leveranser per nät'!AB$1,FALSE)/VLOOKUP($B304,Korrigeringsfaktor_GD,'Korrigeringsfaktor GD'!AB$1,FALSE),
"")</f>
        <v>48.228823529411763</v>
      </c>
      <c r="AC304" s="18">
        <f>IFERROR(
                  Andel_oberoende_av_klimat*VLOOKUP($A304,Leveranser_per_nät,'Leveranser per nät'!AC$1,FALSE)
               +Andel_beroende_av_klimat*VLOOKUP($A304,Leveranser_per_nät,'Leveranser per nät'!AC$1,FALSE)/VLOOKUP($B304,Korrigeringsfaktor_GD,'Korrigeringsfaktor GD'!AC$1,FALSE),
"")</f>
        <v>47.633647932131495</v>
      </c>
      <c r="AD304">
        <v>45.7</v>
      </c>
    </row>
    <row r="305" spans="1:30" x14ac:dyDescent="0.25">
      <c r="A305" t="s">
        <v>230</v>
      </c>
      <c r="B305" t="s">
        <v>230</v>
      </c>
      <c r="C305" s="18">
        <f>IFERROR(
                  Andel_oberoende_av_klimat*VLOOKUP($A305,Leveranser_per_nät,'Leveranser per nät'!C$1,FALSE)
               +Andel_beroende_av_klimat*VLOOKUP($A305,Leveranser_per_nät,'Leveranser per nät'!C$1,FALSE)/VLOOKUP($B305,Korrigeringsfaktor_GD,'Korrigeringsfaktor GD'!C$1,FALSE),
"")</f>
        <v>156.81764705882352</v>
      </c>
      <c r="D305" s="18">
        <f>IFERROR(
                  Andel_oberoende_av_klimat*VLOOKUP($A305,Leveranser_per_nät,'Leveranser per nät'!D$1,FALSE)
               +Andel_beroende_av_klimat*VLOOKUP($A305,Leveranser_per_nät,'Leveranser per nät'!D$1,FALSE)/VLOOKUP($B305,Korrigeringsfaktor_GD,'Korrigeringsfaktor GD'!D$1,FALSE),
"")</f>
        <v>156.74146391752578</v>
      </c>
      <c r="E305" s="18">
        <f>IFERROR(
                  Andel_oberoende_av_klimat*VLOOKUP($A305,Leveranser_per_nät,'Leveranser per nät'!E$1,FALSE)
               +Andel_beroende_av_klimat*VLOOKUP($A305,Leveranser_per_nät,'Leveranser per nät'!E$1,FALSE)/VLOOKUP($B305,Korrigeringsfaktor_GD,'Korrigeringsfaktor GD'!E$1,FALSE),
"")</f>
        <v>158.61153846153846</v>
      </c>
      <c r="F305" s="18">
        <f>IFERROR(
                  Andel_oberoende_av_klimat*VLOOKUP($A305,Leveranser_per_nät,'Leveranser per nät'!F$1,FALSE)
               +Andel_beroende_av_klimat*VLOOKUP($A305,Leveranser_per_nät,'Leveranser per nät'!F$1,FALSE)/VLOOKUP($B305,Korrigeringsfaktor_GD,'Korrigeringsfaktor GD'!F$1,FALSE),
"")</f>
        <v>168.8217821782178</v>
      </c>
      <c r="G305" s="18">
        <f>IFERROR(
                  Andel_oberoende_av_klimat*VLOOKUP($A305,Leveranser_per_nät,'Leveranser per nät'!G$1,FALSE)
               +Andel_beroende_av_klimat*VLOOKUP($A305,Leveranser_per_nät,'Leveranser per nät'!G$1,FALSE)/VLOOKUP($B305,Korrigeringsfaktor_GD,'Korrigeringsfaktor GD'!G$1,FALSE),
"")</f>
        <v>172.98333333333335</v>
      </c>
      <c r="H305" s="18">
        <f>IFERROR(
                  Andel_oberoende_av_klimat*VLOOKUP($A305,Leveranser_per_nät,'Leveranser per nät'!H$1,FALSE)
               +Andel_beroende_av_klimat*VLOOKUP($A305,Leveranser_per_nät,'Leveranser per nät'!H$1,FALSE)/VLOOKUP($B305,Korrigeringsfaktor_GD,'Korrigeringsfaktor GD'!H$1,FALSE),
"")</f>
        <v>167.82871287128714</v>
      </c>
      <c r="I305" s="18">
        <f>IFERROR(
                  Andel_oberoende_av_klimat*VLOOKUP($A305,Leveranser_per_nät,'Leveranser per nät'!I$1,FALSE)
               +Andel_beroende_av_klimat*VLOOKUP($A305,Leveranser_per_nät,'Leveranser per nät'!I$1,FALSE)/VLOOKUP($B305,Korrigeringsfaktor_GD,'Korrigeringsfaktor GD'!I$1,FALSE),
"")</f>
        <v>172.20909090909089</v>
      </c>
      <c r="J305" s="18">
        <f>IFERROR(
                  Andel_oberoende_av_klimat*VLOOKUP($A305,Leveranser_per_nät,'Leveranser per nät'!J$1,FALSE)
               +Andel_beroende_av_klimat*VLOOKUP($A305,Leveranser_per_nät,'Leveranser per nät'!J$1,FALSE)/VLOOKUP($B305,Korrigeringsfaktor_GD,'Korrigeringsfaktor GD'!J$1,FALSE),
"")</f>
        <v>177.45817916666667</v>
      </c>
      <c r="K305" s="18">
        <f>IFERROR(
                  Andel_oberoende_av_klimat*VLOOKUP($A305,Leveranser_per_nät,'Leveranser per nät'!K$1,FALSE)
               +Andel_beroende_av_klimat*VLOOKUP($A305,Leveranser_per_nät,'Leveranser per nät'!K$1,FALSE)/VLOOKUP($B305,Korrigeringsfaktor_GD,'Korrigeringsfaktor GD'!K$1,FALSE),
"")</f>
        <v>182.5194808080808</v>
      </c>
      <c r="L305" s="18">
        <f>IFERROR(
                  Andel_oberoende_av_klimat*VLOOKUP($A305,Leveranser_per_nät,'Leveranser per nät'!L$1,FALSE)
               +Andel_beroende_av_klimat*VLOOKUP($A305,Leveranser_per_nät,'Leveranser per nät'!L$1,FALSE)/VLOOKUP($B305,Korrigeringsfaktor_GD,'Korrigeringsfaktor GD'!L$1,FALSE),
"")</f>
        <v>184.54465806451609</v>
      </c>
      <c r="M305" s="18">
        <f>IFERROR(
                  Andel_oberoende_av_klimat*VLOOKUP($A305,Leveranser_per_nät,'Leveranser per nät'!M$1,FALSE)
               +Andel_beroende_av_klimat*VLOOKUP($A305,Leveranser_per_nät,'Leveranser per nät'!M$1,FALSE)/VLOOKUP($B305,Korrigeringsfaktor_GD,'Korrigeringsfaktor GD'!M$1,FALSE),
"")</f>
        <v>197.90537634408602</v>
      </c>
      <c r="N305" s="18">
        <f>IFERROR(
                  Andel_oberoende_av_klimat*VLOOKUP($A305,Leveranser_per_nät,'Leveranser per nät'!N$1,FALSE)
               +Andel_beroende_av_klimat*VLOOKUP($A305,Leveranser_per_nät,'Leveranser per nät'!N$1,FALSE)/VLOOKUP($B305,Korrigeringsfaktor_GD,'Korrigeringsfaktor GD'!N$1,FALSE),
"")</f>
        <v>197.90537634408602</v>
      </c>
      <c r="O305" s="18">
        <f>IFERROR(
                  Andel_oberoende_av_klimat*VLOOKUP($A305,Leveranser_per_nät,'Leveranser per nät'!O$1,FALSE)
               +Andel_beroende_av_klimat*VLOOKUP($A305,Leveranser_per_nät,'Leveranser per nät'!O$1,FALSE)/VLOOKUP($B305,Korrigeringsfaktor_GD,'Korrigeringsfaktor GD'!O$1,FALSE),
"")</f>
        <v>216.9590322580645</v>
      </c>
      <c r="P305" s="18">
        <f>IFERROR(
                  Andel_oberoende_av_klimat*VLOOKUP($A305,Leveranser_per_nät,'Leveranser per nät'!P$1,FALSE)
               +Andel_beroende_av_klimat*VLOOKUP($A305,Leveranser_per_nät,'Leveranser per nät'!P$1,FALSE)/VLOOKUP($B305,Korrigeringsfaktor_GD,'Korrigeringsfaktor GD'!P$1,FALSE),
"")</f>
        <v>214.11571428571429</v>
      </c>
      <c r="Q305" s="18">
        <f>IFERROR(
                  Andel_oberoende_av_klimat*VLOOKUP($A305,Leveranser_per_nät,'Leveranser per nät'!Q$1,FALSE)
               +Andel_beroende_av_klimat*VLOOKUP($A305,Leveranser_per_nät,'Leveranser per nät'!Q$1,FALSE)/VLOOKUP($B305,Korrigeringsfaktor_GD,'Korrigeringsfaktor GD'!Q$1,FALSE),
"")</f>
        <v>236.65936936936936</v>
      </c>
      <c r="R305" s="18">
        <f>IFERROR(
                  Andel_oberoende_av_klimat*VLOOKUP($A305,Leveranser_per_nät,'Leveranser per nät'!R$1,FALSE)
               +Andel_beroende_av_klimat*VLOOKUP($A305,Leveranser_per_nät,'Leveranser per nät'!R$1,FALSE)/VLOOKUP($B305,Korrigeringsfaktor_GD,'Korrigeringsfaktor GD'!R$1,FALSE),
"")</f>
        <v>250.86292307692304</v>
      </c>
      <c r="S305" s="18">
        <f>IFERROR(
                  Andel_oberoende_av_klimat*VLOOKUP($A305,Leveranser_per_nät,'Leveranser per nät'!S$1,FALSE)
               +Andel_beroende_av_klimat*VLOOKUP($A305,Leveranser_per_nät,'Leveranser per nät'!S$1,FALSE)/VLOOKUP($B305,Korrigeringsfaktor_GD,'Korrigeringsfaktor GD'!S$1,FALSE),
"")</f>
        <v>239</v>
      </c>
      <c r="T305" s="18">
        <f>IFERROR(
                  Andel_oberoende_av_klimat*VLOOKUP($A305,Leveranser_per_nät,'Leveranser per nät'!T$1,FALSE)
               +Andel_beroende_av_klimat*VLOOKUP($A305,Leveranser_per_nät,'Leveranser per nät'!T$1,FALSE)/VLOOKUP($B305,Korrigeringsfaktor_GD,'Korrigeringsfaktor GD'!T$1,FALSE),
"")</f>
        <v>231.51770967741936</v>
      </c>
      <c r="U305" s="18">
        <f>IFERROR(
                  Andel_oberoende_av_klimat*VLOOKUP($A305,Leveranser_per_nät,'Leveranser per nät'!U$1,FALSE)
               +Andel_beroende_av_klimat*VLOOKUP($A305,Leveranser_per_nät,'Leveranser per nät'!U$1,FALSE)/VLOOKUP($B305,Korrigeringsfaktor_GD,'Korrigeringsfaktor GD'!U$1,FALSE),
"")</f>
        <v>234.38433333333333</v>
      </c>
      <c r="V305" s="18">
        <f>IFERROR(
                  Andel_oberoende_av_klimat*VLOOKUP($A305,Leveranser_per_nät,'Leveranser per nät'!V$1,FALSE)
               +Andel_beroende_av_klimat*VLOOKUP($A305,Leveranser_per_nät,'Leveranser per nät'!V$1,FALSE)/VLOOKUP($B305,Korrigeringsfaktor_GD,'Korrigeringsfaktor GD'!V$1,FALSE),
"")</f>
        <v>232.78409090909091</v>
      </c>
      <c r="W305" s="18">
        <f>IFERROR(
                  Andel_oberoende_av_klimat*VLOOKUP($A305,Leveranser_per_nät,'Leveranser per nät'!W$1,FALSE)
               +Andel_beroende_av_klimat*VLOOKUP($A305,Leveranser_per_nät,'Leveranser per nät'!W$1,FALSE)/VLOOKUP($B305,Korrigeringsfaktor_GD,'Korrigeringsfaktor GD'!W$1,FALSE),
"")</f>
        <v>243.25474226804124</v>
      </c>
      <c r="X305" s="18">
        <f>IFERROR(
                  Andel_oberoende_av_klimat*VLOOKUP($A305,Leveranser_per_nät,'Leveranser per nät'!X$1,FALSE)
               +Andel_beroende_av_klimat*VLOOKUP($A305,Leveranser_per_nät,'Leveranser per nät'!X$1,FALSE)/VLOOKUP($B305,Korrigeringsfaktor_GD,'Korrigeringsfaktor GD'!X$1,FALSE),
"")</f>
        <v>244.44285714285715</v>
      </c>
      <c r="Y305" s="18">
        <f>IFERROR(
                  Andel_oberoende_av_klimat*VLOOKUP($A305,Leveranser_per_nät,'Leveranser per nät'!Y$1,FALSE)
               +Andel_beroende_av_klimat*VLOOKUP($A305,Leveranser_per_nät,'Leveranser per nät'!Y$1,FALSE)/VLOOKUP($B305,Korrigeringsfaktor_GD,'Korrigeringsfaktor GD'!Y$1,FALSE),
"")</f>
        <v>248.54505050505051</v>
      </c>
      <c r="Z305" s="18">
        <f>IFERROR(
                  Andel_oberoende_av_klimat*VLOOKUP($A305,Leveranser_per_nät,'Leveranser per nät'!Z$1,FALSE)
               +Andel_beroende_av_klimat*VLOOKUP($A305,Leveranser_per_nät,'Leveranser per nät'!Z$1,FALSE)/VLOOKUP($B305,Korrigeringsfaktor_GD,'Korrigeringsfaktor GD'!Z$1,FALSE),
"")</f>
        <v>275.72788888888886</v>
      </c>
      <c r="AA305" s="18">
        <f>IFERROR(
                  Andel_oberoende_av_klimat*VLOOKUP($A305,Leveranser_per_nät,'Leveranser per nät'!AA$1,FALSE)
               +Andel_beroende_av_klimat*VLOOKUP($A305,Leveranser_per_nät,'Leveranser per nät'!AA$1,FALSE)/VLOOKUP($B305,Korrigeringsfaktor_GD,'Korrigeringsfaktor GD'!AA$1,FALSE),
"")</f>
        <v>253.51524616889466</v>
      </c>
      <c r="AB305" s="18">
        <f>IFERROR(
                  Andel_oberoende_av_klimat*VLOOKUP($A305,Leveranser_per_nät,'Leveranser per nät'!AB$1,FALSE)
               +Andel_beroende_av_klimat*VLOOKUP($A305,Leveranser_per_nät,'Leveranser per nät'!AB$1,FALSE)/VLOOKUP($B305,Korrigeringsfaktor_GD,'Korrigeringsfaktor GD'!AB$1,FALSE),
"")</f>
        <v>254.13606207565473</v>
      </c>
      <c r="AC305" s="18">
        <f>IFERROR(
                  Andel_oberoende_av_klimat*VLOOKUP($A305,Leveranser_per_nät,'Leveranser per nät'!AC$1,FALSE)
               +Andel_beroende_av_klimat*VLOOKUP($A305,Leveranser_per_nät,'Leveranser per nät'!AC$1,FALSE)/VLOOKUP($B305,Korrigeringsfaktor_GD,'Korrigeringsfaktor GD'!AC$1,FALSE),
"")</f>
        <v>247.98375782881001</v>
      </c>
      <c r="AD305">
        <v>240.6</v>
      </c>
    </row>
    <row r="306" spans="1:30" x14ac:dyDescent="0.25">
      <c r="A306" t="s">
        <v>295</v>
      </c>
      <c r="B306" t="s">
        <v>207</v>
      </c>
      <c r="C306" s="18">
        <f>IFERROR(
                  Andel_oberoende_av_klimat*VLOOKUP($A306,Leveranser_per_nät,'Leveranser per nät'!C$1,FALSE)
               +Andel_beroende_av_klimat*VLOOKUP($A306,Leveranser_per_nät,'Leveranser per nät'!C$1,FALSE)/VLOOKUP($B306,Korrigeringsfaktor_GD,'Korrigeringsfaktor GD'!C$1,FALSE),
"")</f>
        <v>0</v>
      </c>
      <c r="D306" s="18">
        <f>IFERROR(
                  Andel_oberoende_av_klimat*VLOOKUP($A306,Leveranser_per_nät,'Leveranser per nät'!D$1,FALSE)
               +Andel_beroende_av_klimat*VLOOKUP($A306,Leveranser_per_nät,'Leveranser per nät'!D$1,FALSE)/VLOOKUP($B306,Korrigeringsfaktor_GD,'Korrigeringsfaktor GD'!D$1,FALSE),
"")</f>
        <v>0</v>
      </c>
      <c r="E306" s="18">
        <f>IFERROR(
                  Andel_oberoende_av_klimat*VLOOKUP($A306,Leveranser_per_nät,'Leveranser per nät'!E$1,FALSE)
               +Andel_beroende_av_klimat*VLOOKUP($A306,Leveranser_per_nät,'Leveranser per nät'!E$1,FALSE)/VLOOKUP($B306,Korrigeringsfaktor_GD,'Korrigeringsfaktor GD'!E$1,FALSE),
"")</f>
        <v>0</v>
      </c>
      <c r="F306" s="18">
        <f>IFERROR(
                  Andel_oberoende_av_klimat*VLOOKUP($A306,Leveranser_per_nät,'Leveranser per nät'!F$1,FALSE)
               +Andel_beroende_av_klimat*VLOOKUP($A306,Leveranser_per_nät,'Leveranser per nät'!F$1,FALSE)/VLOOKUP($B306,Korrigeringsfaktor_GD,'Korrigeringsfaktor GD'!F$1,FALSE),
"")</f>
        <v>0</v>
      </c>
      <c r="G306" s="18">
        <f>IFERROR(
                  Andel_oberoende_av_klimat*VLOOKUP($A306,Leveranser_per_nät,'Leveranser per nät'!G$1,FALSE)
               +Andel_beroende_av_klimat*VLOOKUP($A306,Leveranser_per_nät,'Leveranser per nät'!G$1,FALSE)/VLOOKUP($B306,Korrigeringsfaktor_GD,'Korrigeringsfaktor GD'!G$1,FALSE),
"")</f>
        <v>0</v>
      </c>
      <c r="H306" s="18">
        <f>IFERROR(
                  Andel_oberoende_av_klimat*VLOOKUP($A306,Leveranser_per_nät,'Leveranser per nät'!H$1,FALSE)
               +Andel_beroende_av_klimat*VLOOKUP($A306,Leveranser_per_nät,'Leveranser per nät'!H$1,FALSE)/VLOOKUP($B306,Korrigeringsfaktor_GD,'Korrigeringsfaktor GD'!H$1,FALSE),
"")</f>
        <v>0</v>
      </c>
      <c r="I306" s="18">
        <f>IFERROR(
                  Andel_oberoende_av_klimat*VLOOKUP($A306,Leveranser_per_nät,'Leveranser per nät'!I$1,FALSE)
               +Andel_beroende_av_klimat*VLOOKUP($A306,Leveranser_per_nät,'Leveranser per nät'!I$1,FALSE)/VLOOKUP($B306,Korrigeringsfaktor_GD,'Korrigeringsfaktor GD'!I$1,FALSE),
"")</f>
        <v>0</v>
      </c>
      <c r="J306" s="18">
        <f>IFERROR(
                  Andel_oberoende_av_klimat*VLOOKUP($A306,Leveranser_per_nät,'Leveranser per nät'!J$1,FALSE)
               +Andel_beroende_av_klimat*VLOOKUP($A306,Leveranser_per_nät,'Leveranser per nät'!J$1,FALSE)/VLOOKUP($B306,Korrigeringsfaktor_GD,'Korrigeringsfaktor GD'!J$1,FALSE),
"")</f>
        <v>0</v>
      </c>
      <c r="K306" s="18">
        <f>IFERROR(
                  Andel_oberoende_av_klimat*VLOOKUP($A306,Leveranser_per_nät,'Leveranser per nät'!K$1,FALSE)
               +Andel_beroende_av_klimat*VLOOKUP($A306,Leveranser_per_nät,'Leveranser per nät'!K$1,FALSE)/VLOOKUP($B306,Korrigeringsfaktor_GD,'Korrigeringsfaktor GD'!K$1,FALSE),
"")</f>
        <v>4.0774285714285714</v>
      </c>
      <c r="L306" s="18">
        <f>IFERROR(
                  Andel_oberoende_av_klimat*VLOOKUP($A306,Leveranser_per_nät,'Leveranser per nät'!L$1,FALSE)
               +Andel_beroende_av_klimat*VLOOKUP($A306,Leveranser_per_nät,'Leveranser per nät'!L$1,FALSE)/VLOOKUP($B306,Korrigeringsfaktor_GD,'Korrigeringsfaktor GD'!L$1,FALSE),
"")</f>
        <v>4.2622978723404259</v>
      </c>
      <c r="M306" s="18">
        <f>IFERROR(
                  Andel_oberoende_av_klimat*VLOOKUP($A306,Leveranser_per_nät,'Leveranser per nät'!M$1,FALSE)
               +Andel_beroende_av_klimat*VLOOKUP($A306,Leveranser_per_nät,'Leveranser per nät'!M$1,FALSE)/VLOOKUP($B306,Korrigeringsfaktor_GD,'Korrigeringsfaktor GD'!M$1,FALSE),
"")</f>
        <v>4.0002150537634407</v>
      </c>
      <c r="N306" s="18">
        <f>IFERROR(
                  Andel_oberoende_av_klimat*VLOOKUP($A306,Leveranser_per_nät,'Leveranser per nät'!N$1,FALSE)
               +Andel_beroende_av_klimat*VLOOKUP($A306,Leveranser_per_nät,'Leveranser per nät'!N$1,FALSE)/VLOOKUP($B306,Korrigeringsfaktor_GD,'Korrigeringsfaktor GD'!N$1,FALSE),
"")</f>
        <v>10.737419354838709</v>
      </c>
      <c r="O306" s="18">
        <f>IFERROR(
                  Andel_oberoende_av_klimat*VLOOKUP($A306,Leveranser_per_nät,'Leveranser per nät'!O$1,FALSE)
               +Andel_beroende_av_klimat*VLOOKUP($A306,Leveranser_per_nät,'Leveranser per nät'!O$1,FALSE)/VLOOKUP($B306,Korrigeringsfaktor_GD,'Korrigeringsfaktor GD'!O$1,FALSE),
"")</f>
        <v>5.3782584269662923</v>
      </c>
      <c r="P306" s="18">
        <f>IFERROR(
                  Andel_oberoende_av_klimat*VLOOKUP($A306,Leveranser_per_nät,'Leveranser per nät'!P$1,FALSE)
               +Andel_beroende_av_klimat*VLOOKUP($A306,Leveranser_per_nät,'Leveranser per nät'!P$1,FALSE)/VLOOKUP($B306,Korrigeringsfaktor_GD,'Korrigeringsfaktor GD'!P$1,FALSE),
"")</f>
        <v>4.5318181818181813</v>
      </c>
      <c r="Q306" s="18">
        <f>IFERROR(
                  Andel_oberoende_av_klimat*VLOOKUP($A306,Leveranser_per_nät,'Leveranser per nät'!Q$1,FALSE)
               +Andel_beroende_av_klimat*VLOOKUP($A306,Leveranser_per_nät,'Leveranser per nät'!Q$1,FALSE)/VLOOKUP($B306,Korrigeringsfaktor_GD,'Korrigeringsfaktor GD'!Q$1,FALSE),
"")</f>
        <v>4.7609401709401711</v>
      </c>
      <c r="R306" s="18">
        <f>IFERROR(
                  Andel_oberoende_av_klimat*VLOOKUP($A306,Leveranser_per_nät,'Leveranser per nät'!R$1,FALSE)
               +Andel_beroende_av_klimat*VLOOKUP($A306,Leveranser_per_nät,'Leveranser per nät'!R$1,FALSE)/VLOOKUP($B306,Korrigeringsfaktor_GD,'Korrigeringsfaktor GD'!R$1,FALSE),
"")</f>
        <v>5.025384615384616</v>
      </c>
      <c r="S306" s="18">
        <f>IFERROR(
                  Andel_oberoende_av_klimat*VLOOKUP($A306,Leveranser_per_nät,'Leveranser per nät'!S$1,FALSE)
               +Andel_beroende_av_klimat*VLOOKUP($A306,Leveranser_per_nät,'Leveranser per nät'!S$1,FALSE)/VLOOKUP($B306,Korrigeringsfaktor_GD,'Korrigeringsfaktor GD'!S$1,FALSE),
"")</f>
        <v>4.7</v>
      </c>
      <c r="T306" s="18">
        <f>IFERROR(
                  Andel_oberoende_av_klimat*VLOOKUP($A306,Leveranser_per_nät,'Leveranser per nät'!T$1,FALSE)
               +Andel_beroende_av_klimat*VLOOKUP($A306,Leveranser_per_nät,'Leveranser per nät'!T$1,FALSE)/VLOOKUP($B306,Korrigeringsfaktor_GD,'Korrigeringsfaktor GD'!T$1,FALSE),
"")</f>
        <v>3.8079166666666668</v>
      </c>
      <c r="U306" s="18" t="str">
        <f>IFERROR(
                  Andel_oberoende_av_klimat*VLOOKUP($A306,Leveranser_per_nät,'Leveranser per nät'!U$1,FALSE)
               +Andel_beroende_av_klimat*VLOOKUP($A306,Leveranser_per_nät,'Leveranser per nät'!U$1,FALSE)/VLOOKUP($B306,Korrigeringsfaktor_GD,'Korrigeringsfaktor GD'!U$1,FALSE),
"")</f>
        <v/>
      </c>
      <c r="V306" s="18" t="str">
        <f>IFERROR(
                  Andel_oberoende_av_klimat*VLOOKUP($A306,Leveranser_per_nät,'Leveranser per nät'!V$1,FALSE)
               +Andel_beroende_av_klimat*VLOOKUP($A306,Leveranser_per_nät,'Leveranser per nät'!V$1,FALSE)/VLOOKUP($B306,Korrigeringsfaktor_GD,'Korrigeringsfaktor GD'!V$1,FALSE),
"")</f>
        <v/>
      </c>
      <c r="W306" s="18" t="str">
        <f>IFERROR(
                  Andel_oberoende_av_klimat*VLOOKUP($A306,Leveranser_per_nät,'Leveranser per nät'!W$1,FALSE)
               +Andel_beroende_av_klimat*VLOOKUP($A306,Leveranser_per_nät,'Leveranser per nät'!W$1,FALSE)/VLOOKUP($B306,Korrigeringsfaktor_GD,'Korrigeringsfaktor GD'!W$1,FALSE),
"")</f>
        <v/>
      </c>
      <c r="X306" s="18" t="str">
        <f>IFERROR(
                  Andel_oberoende_av_klimat*VLOOKUP($A306,Leveranser_per_nät,'Leveranser per nät'!X$1,FALSE)
               +Andel_beroende_av_klimat*VLOOKUP($A306,Leveranser_per_nät,'Leveranser per nät'!X$1,FALSE)/VLOOKUP($B306,Korrigeringsfaktor_GD,'Korrigeringsfaktor GD'!X$1,FALSE),
"")</f>
        <v/>
      </c>
      <c r="Y306" s="18" t="str">
        <f>IFERROR(
                  Andel_oberoende_av_klimat*VLOOKUP($A306,Leveranser_per_nät,'Leveranser per nät'!Y$1,FALSE)
               +Andel_beroende_av_klimat*VLOOKUP($A306,Leveranser_per_nät,'Leveranser per nät'!Y$1,FALSE)/VLOOKUP($B306,Korrigeringsfaktor_GD,'Korrigeringsfaktor GD'!Y$1,FALSE),
"")</f>
        <v/>
      </c>
      <c r="Z306" s="18">
        <f>IFERROR(
                  Andel_oberoende_av_klimat*VLOOKUP($A306,Leveranser_per_nät,'Leveranser per nät'!Z$1,FALSE)
               +Andel_beroende_av_klimat*VLOOKUP($A306,Leveranser_per_nät,'Leveranser per nät'!Z$1,FALSE)/VLOOKUP($B306,Korrigeringsfaktor_GD,'Korrigeringsfaktor GD'!Z$1,FALSE),
"")</f>
        <v>0</v>
      </c>
      <c r="AA306" s="18" t="str">
        <f>IFERROR(
                  Andel_oberoende_av_klimat*VLOOKUP($A306,Leveranser_per_nät,'Leveranser per nät'!AA$1,FALSE)
               +Andel_beroende_av_klimat*VLOOKUP($A306,Leveranser_per_nät,'Leveranser per nät'!AA$1,FALSE)/VLOOKUP($B306,Korrigeringsfaktor_GD,'Korrigeringsfaktor GD'!AA$1,FALSE),
"")</f>
        <v/>
      </c>
      <c r="AB306" s="18">
        <f>IFERROR(
                  Andel_oberoende_av_klimat*VLOOKUP($A306,Leveranser_per_nät,'Leveranser per nät'!AB$1,FALSE)
               +Andel_beroende_av_klimat*VLOOKUP($A306,Leveranser_per_nät,'Leveranser per nät'!AB$1,FALSE)/VLOOKUP($B306,Korrigeringsfaktor_GD,'Korrigeringsfaktor GD'!AB$1,FALSE),
"")</f>
        <v>0</v>
      </c>
      <c r="AC306" s="18">
        <f>IFERROR(
                  Andel_oberoende_av_klimat*VLOOKUP($A306,Leveranser_per_nät,'Leveranser per nät'!AC$1,FALSE)
               +Andel_beroende_av_klimat*VLOOKUP($A306,Leveranser_per_nät,'Leveranser per nät'!AC$1,FALSE)/VLOOKUP($B306,Korrigeringsfaktor_GD,'Korrigeringsfaktor GD'!AC$1,FALSE),
"")</f>
        <v>0</v>
      </c>
      <c r="AD306">
        <v>1373.4</v>
      </c>
    </row>
    <row r="307" spans="1:30" x14ac:dyDescent="0.25">
      <c r="A307" t="s">
        <v>72</v>
      </c>
      <c r="B307" t="s">
        <v>47</v>
      </c>
      <c r="C307" s="18">
        <f>IFERROR(
                  Andel_oberoende_av_klimat*VLOOKUP($A307,Leveranser_per_nät,'Leveranser per nät'!C$1,FALSE)
               +Andel_beroende_av_klimat*VLOOKUP($A307,Leveranser_per_nät,'Leveranser per nät'!C$1,FALSE)/VLOOKUP($B307,Korrigeringsfaktor_GD,'Korrigeringsfaktor GD'!C$1,FALSE),
"")</f>
        <v>7.6830188679245284</v>
      </c>
      <c r="D307" s="18">
        <f>IFERROR(
                  Andel_oberoende_av_klimat*VLOOKUP($A307,Leveranser_per_nät,'Leveranser per nät'!D$1,FALSE)
               +Andel_beroende_av_klimat*VLOOKUP($A307,Leveranser_per_nät,'Leveranser per nät'!D$1,FALSE)/VLOOKUP($B307,Korrigeringsfaktor_GD,'Korrigeringsfaktor GD'!D$1,FALSE),
"")</f>
        <v>6.5585063829787229</v>
      </c>
      <c r="E307" s="18">
        <f>IFERROR(
                  Andel_oberoende_av_klimat*VLOOKUP($A307,Leveranser_per_nät,'Leveranser per nät'!E$1,FALSE)
               +Andel_beroende_av_klimat*VLOOKUP($A307,Leveranser_per_nät,'Leveranser per nät'!E$1,FALSE)/VLOOKUP($B307,Korrigeringsfaktor_GD,'Korrigeringsfaktor GD'!E$1,FALSE),
"")</f>
        <v>6.8007484848484854</v>
      </c>
      <c r="F307" s="18">
        <f>IFERROR(
                  Andel_oberoende_av_klimat*VLOOKUP($A307,Leveranser_per_nät,'Leveranser per nät'!F$1,FALSE)
               +Andel_beroende_av_klimat*VLOOKUP($A307,Leveranser_per_nät,'Leveranser per nät'!F$1,FALSE)/VLOOKUP($B307,Korrigeringsfaktor_GD,'Korrigeringsfaktor GD'!F$1,FALSE),
"")</f>
        <v>6.483314285714286</v>
      </c>
      <c r="G307" s="18">
        <f>IFERROR(
                  Andel_oberoende_av_klimat*VLOOKUP($A307,Leveranser_per_nät,'Leveranser per nät'!G$1,FALSE)
               +Andel_beroende_av_klimat*VLOOKUP($A307,Leveranser_per_nät,'Leveranser per nät'!G$1,FALSE)/VLOOKUP($B307,Korrigeringsfaktor_GD,'Korrigeringsfaktor GD'!G$1,FALSE),
"")</f>
        <v>6.5960000000000001</v>
      </c>
      <c r="H307" s="18">
        <f>IFERROR(
                  Andel_oberoende_av_klimat*VLOOKUP($A307,Leveranser_per_nät,'Leveranser per nät'!H$1,FALSE)
               +Andel_beroende_av_klimat*VLOOKUP($A307,Leveranser_per_nät,'Leveranser per nät'!H$1,FALSE)/VLOOKUP($B307,Korrigeringsfaktor_GD,'Korrigeringsfaktor GD'!H$1,FALSE),
"")</f>
        <v>7.1470000000000002</v>
      </c>
      <c r="I307" s="18">
        <f>IFERROR(
                  Andel_oberoende_av_klimat*VLOOKUP($A307,Leveranser_per_nät,'Leveranser per nät'!I$1,FALSE)
               +Andel_beroende_av_klimat*VLOOKUP($A307,Leveranser_per_nät,'Leveranser per nät'!I$1,FALSE)/VLOOKUP($B307,Korrigeringsfaktor_GD,'Korrigeringsfaktor GD'!I$1,FALSE),
"")</f>
        <v>7.3127659574468087</v>
      </c>
      <c r="J307" s="18">
        <f>IFERROR(
                  Andel_oberoende_av_klimat*VLOOKUP($A307,Leveranser_per_nät,'Leveranser per nät'!J$1,FALSE)
               +Andel_beroende_av_klimat*VLOOKUP($A307,Leveranser_per_nät,'Leveranser per nät'!J$1,FALSE)/VLOOKUP($B307,Korrigeringsfaktor_GD,'Korrigeringsfaktor GD'!J$1,FALSE),
"")</f>
        <v>6.7020206185567011</v>
      </c>
      <c r="K307" s="18">
        <f>IFERROR(
                  Andel_oberoende_av_klimat*VLOOKUP($A307,Leveranser_per_nät,'Leveranser per nät'!K$1,FALSE)
               +Andel_beroende_av_klimat*VLOOKUP($A307,Leveranser_per_nät,'Leveranser per nät'!K$1,FALSE)/VLOOKUP($B307,Korrigeringsfaktor_GD,'Korrigeringsfaktor GD'!K$1,FALSE),
"")</f>
        <v>6.7513333333333332</v>
      </c>
      <c r="L307" s="18">
        <f>IFERROR(
                  Andel_oberoende_av_klimat*VLOOKUP($A307,Leveranser_per_nät,'Leveranser per nät'!L$1,FALSE)
               +Andel_beroende_av_klimat*VLOOKUP($A307,Leveranser_per_nät,'Leveranser per nät'!L$1,FALSE)/VLOOKUP($B307,Korrigeringsfaktor_GD,'Korrigeringsfaktor GD'!L$1,FALSE),
"")</f>
        <v>9.4822477450777782</v>
      </c>
      <c r="M307" s="18">
        <f>IFERROR(
                  Andel_oberoende_av_klimat*VLOOKUP($A307,Leveranser_per_nät,'Leveranser per nät'!M$1,FALSE)
               +Andel_beroende_av_klimat*VLOOKUP($A307,Leveranser_per_nät,'Leveranser per nät'!M$1,FALSE)/VLOOKUP($B307,Korrigeringsfaktor_GD,'Korrigeringsfaktor GD'!M$1,FALSE),
"")</f>
        <v>6.0946153846153841</v>
      </c>
      <c r="N307" s="18">
        <f>IFERROR(
                  Andel_oberoende_av_klimat*VLOOKUP($A307,Leveranser_per_nät,'Leveranser per nät'!N$1,FALSE)
               +Andel_beroende_av_klimat*VLOOKUP($A307,Leveranser_per_nät,'Leveranser per nät'!N$1,FALSE)/VLOOKUP($B307,Korrigeringsfaktor_GD,'Korrigeringsfaktor GD'!N$1,FALSE),
"")</f>
        <v>6.1173684210526318</v>
      </c>
      <c r="O307" s="18">
        <f>IFERROR(
                  Andel_oberoende_av_klimat*VLOOKUP($A307,Leveranser_per_nät,'Leveranser per nät'!O$1,FALSE)
               +Andel_beroende_av_klimat*VLOOKUP($A307,Leveranser_per_nät,'Leveranser per nät'!O$1,FALSE)/VLOOKUP($B307,Korrigeringsfaktor_GD,'Korrigeringsfaktor GD'!O$1,FALSE),
"")</f>
        <v>6.2108602150537635</v>
      </c>
      <c r="P307" s="18">
        <f>IFERROR(
                  Andel_oberoende_av_klimat*VLOOKUP($A307,Leveranser_per_nät,'Leveranser per nät'!P$1,FALSE)
               +Andel_beroende_av_klimat*VLOOKUP($A307,Leveranser_per_nät,'Leveranser per nät'!P$1,FALSE)/VLOOKUP($B307,Korrigeringsfaktor_GD,'Korrigeringsfaktor GD'!P$1,FALSE),
"")</f>
        <v>6.0424242424242411</v>
      </c>
      <c r="Q307" s="18">
        <f>IFERROR(
                  Andel_oberoende_av_klimat*VLOOKUP($A307,Leveranser_per_nät,'Leveranser per nät'!Q$1,FALSE)
               +Andel_beroende_av_klimat*VLOOKUP($A307,Leveranser_per_nät,'Leveranser per nät'!Q$1,FALSE)/VLOOKUP($B307,Korrigeringsfaktor_GD,'Korrigeringsfaktor GD'!Q$1,FALSE),
"")</f>
        <v>6.2899999999999991</v>
      </c>
      <c r="R307" s="18">
        <f>IFERROR(
                  Andel_oberoende_av_klimat*VLOOKUP($A307,Leveranser_per_nät,'Leveranser per nät'!R$1,FALSE)
               +Andel_beroende_av_klimat*VLOOKUP($A307,Leveranser_per_nät,'Leveranser per nät'!R$1,FALSE)/VLOOKUP($B307,Korrigeringsfaktor_GD,'Korrigeringsfaktor GD'!R$1,FALSE),
"")</f>
        <v>6.9624444444444435</v>
      </c>
      <c r="S307" s="18">
        <f>IFERROR(
                  Andel_oberoende_av_klimat*VLOOKUP($A307,Leveranser_per_nät,'Leveranser per nät'!S$1,FALSE)
               +Andel_beroende_av_klimat*VLOOKUP($A307,Leveranser_per_nät,'Leveranser per nät'!S$1,FALSE)/VLOOKUP($B307,Korrigeringsfaktor_GD,'Korrigeringsfaktor GD'!S$1,FALSE),
"")</f>
        <v>6.12</v>
      </c>
      <c r="T307" s="18">
        <f>IFERROR(
                  Andel_oberoende_av_klimat*VLOOKUP($A307,Leveranser_per_nät,'Leveranser per nät'!T$1,FALSE)
               +Andel_beroende_av_klimat*VLOOKUP($A307,Leveranser_per_nät,'Leveranser per nät'!T$1,FALSE)/VLOOKUP($B307,Korrigeringsfaktor_GD,'Korrigeringsfaktor GD'!T$1,FALSE),
"")</f>
        <v>5.8229052631578941</v>
      </c>
      <c r="U307" s="18">
        <f>IFERROR(
                  Andel_oberoende_av_klimat*VLOOKUP($A307,Leveranser_per_nät,'Leveranser per nät'!U$1,FALSE)
               +Andel_beroende_av_klimat*VLOOKUP($A307,Leveranser_per_nät,'Leveranser per nät'!U$1,FALSE)/VLOOKUP($B307,Korrigeringsfaktor_GD,'Korrigeringsfaktor GD'!U$1,FALSE),
"")</f>
        <v>5.649887640449438</v>
      </c>
      <c r="V307" s="18">
        <f>IFERROR(
                  Andel_oberoende_av_klimat*VLOOKUP($A307,Leveranser_per_nät,'Leveranser per nät'!V$1,FALSE)
               +Andel_beroende_av_klimat*VLOOKUP($A307,Leveranser_per_nät,'Leveranser per nät'!V$1,FALSE)/VLOOKUP($B307,Korrigeringsfaktor_GD,'Korrigeringsfaktor GD'!V$1,FALSE),
"")</f>
        <v>5.4325842696629216</v>
      </c>
      <c r="W307" s="18">
        <f>IFERROR(
                  Andel_oberoende_av_klimat*VLOOKUP($A307,Leveranser_per_nät,'Leveranser per nät'!W$1,FALSE)
               +Andel_beroende_av_klimat*VLOOKUP($A307,Leveranser_per_nät,'Leveranser per nät'!W$1,FALSE)/VLOOKUP($B307,Korrigeringsfaktor_GD,'Korrigeringsfaktor GD'!W$1,FALSE),
"")</f>
        <v>5.5989473684210527</v>
      </c>
      <c r="X307" s="18">
        <f>IFERROR(
                  Andel_oberoende_av_klimat*VLOOKUP($A307,Leveranser_per_nät,'Leveranser per nät'!X$1,FALSE)
               +Andel_beroende_av_klimat*VLOOKUP($A307,Leveranser_per_nät,'Leveranser per nät'!X$1,FALSE)/VLOOKUP($B307,Korrigeringsfaktor_GD,'Korrigeringsfaktor GD'!X$1,FALSE),
"")</f>
        <v>5.4545833333333329</v>
      </c>
      <c r="Y307" s="18">
        <f>IFERROR(
                  Andel_oberoende_av_klimat*VLOOKUP($A307,Leveranser_per_nät,'Leveranser per nät'!Y$1,FALSE)
               +Andel_beroende_av_klimat*VLOOKUP($A307,Leveranser_per_nät,'Leveranser per nät'!Y$1,FALSE)/VLOOKUP($B307,Korrigeringsfaktor_GD,'Korrigeringsfaktor GD'!Y$1,FALSE),
"")</f>
        <v>5.6604166666666664</v>
      </c>
      <c r="Z307" s="18">
        <f>IFERROR(
                  Andel_oberoende_av_klimat*VLOOKUP($A307,Leveranser_per_nät,'Leveranser per nät'!Z$1,FALSE)
               +Andel_beroende_av_klimat*VLOOKUP($A307,Leveranser_per_nät,'Leveranser per nät'!Z$1,FALSE)/VLOOKUP($B307,Korrigeringsfaktor_GD,'Korrigeringsfaktor GD'!Z$1,FALSE),
"")</f>
        <v>5.4988222222222225</v>
      </c>
      <c r="AA307" s="18">
        <f>IFERROR(
                  Andel_oberoende_av_klimat*VLOOKUP($A307,Leveranser_per_nät,'Leveranser per nät'!AA$1,FALSE)
               +Andel_beroende_av_klimat*VLOOKUP($A307,Leveranser_per_nät,'Leveranser per nät'!AA$1,FALSE)/VLOOKUP($B307,Korrigeringsfaktor_GD,'Korrigeringsfaktor GD'!AA$1,FALSE),
"")</f>
        <v>5.4124237848347381</v>
      </c>
      <c r="AB307" s="18">
        <f>IFERROR(
                  Andel_oberoende_av_klimat*VLOOKUP($A307,Leveranser_per_nät,'Leveranser per nät'!AB$1,FALSE)
               +Andel_beroende_av_klimat*VLOOKUP($A307,Leveranser_per_nät,'Leveranser per nät'!AB$1,FALSE)/VLOOKUP($B307,Korrigeringsfaktor_GD,'Korrigeringsfaktor GD'!AB$1,FALSE),
"")</f>
        <v>5.2544201550387601</v>
      </c>
      <c r="AC307" s="18">
        <f>IFERROR(
                  Andel_oberoende_av_klimat*VLOOKUP($A307,Leveranser_per_nät,'Leveranser per nät'!AC$1,FALSE)
               +Andel_beroende_av_klimat*VLOOKUP($A307,Leveranser_per_nät,'Leveranser per nät'!AC$1,FALSE)/VLOOKUP($B307,Korrigeringsfaktor_GD,'Korrigeringsfaktor GD'!AC$1,FALSE),
"")</f>
        <v>5.1067942028985511</v>
      </c>
      <c r="AD307" t="e">
        <v>#N/A</v>
      </c>
    </row>
    <row r="308" spans="1:30" x14ac:dyDescent="0.25">
      <c r="A308" s="4" t="s">
        <v>413</v>
      </c>
      <c r="B308" t="s">
        <v>443</v>
      </c>
      <c r="C308" s="18">
        <f>IFERROR(
                  Andel_oberoende_av_klimat*VLOOKUP($A308,Leveranser_per_nät,'Leveranser per nät'!C$1,FALSE)
               +Andel_beroende_av_klimat*VLOOKUP($A308,Leveranser_per_nät,'Leveranser per nät'!C$1,FALSE)/VLOOKUP($B308,Korrigeringsfaktor_GD,'Korrigeringsfaktor GD'!C$1,FALSE),
"")</f>
        <v>0</v>
      </c>
      <c r="D308" s="18">
        <f>IFERROR(
                  Andel_oberoende_av_klimat*VLOOKUP($A308,Leveranser_per_nät,'Leveranser per nät'!D$1,FALSE)
               +Andel_beroende_av_klimat*VLOOKUP($A308,Leveranser_per_nät,'Leveranser per nät'!D$1,FALSE)/VLOOKUP($B308,Korrigeringsfaktor_GD,'Korrigeringsfaktor GD'!D$1,FALSE),
"")</f>
        <v>0</v>
      </c>
      <c r="E308" s="18">
        <f>IFERROR(
                  Andel_oberoende_av_klimat*VLOOKUP($A308,Leveranser_per_nät,'Leveranser per nät'!E$1,FALSE)
               +Andel_beroende_av_klimat*VLOOKUP($A308,Leveranser_per_nät,'Leveranser per nät'!E$1,FALSE)/VLOOKUP($B308,Korrigeringsfaktor_GD,'Korrigeringsfaktor GD'!E$1,FALSE),
"")</f>
        <v>0</v>
      </c>
      <c r="F308" s="18">
        <f>IFERROR(
                  Andel_oberoende_av_klimat*VLOOKUP($A308,Leveranser_per_nät,'Leveranser per nät'!F$1,FALSE)
               +Andel_beroende_av_klimat*VLOOKUP($A308,Leveranser_per_nät,'Leveranser per nät'!F$1,FALSE)/VLOOKUP($B308,Korrigeringsfaktor_GD,'Korrigeringsfaktor GD'!F$1,FALSE),
"")</f>
        <v>0</v>
      </c>
      <c r="G308" s="18">
        <f>IFERROR(
                  Andel_oberoende_av_klimat*VLOOKUP($A308,Leveranser_per_nät,'Leveranser per nät'!G$1,FALSE)
               +Andel_beroende_av_klimat*VLOOKUP($A308,Leveranser_per_nät,'Leveranser per nät'!G$1,FALSE)/VLOOKUP($B308,Korrigeringsfaktor_GD,'Korrigeringsfaktor GD'!G$1,FALSE),
"")</f>
        <v>0</v>
      </c>
      <c r="H308" s="18">
        <f>IFERROR(
                  Andel_oberoende_av_klimat*VLOOKUP($A308,Leveranser_per_nät,'Leveranser per nät'!H$1,FALSE)
               +Andel_beroende_av_klimat*VLOOKUP($A308,Leveranser_per_nät,'Leveranser per nät'!H$1,FALSE)/VLOOKUP($B308,Korrigeringsfaktor_GD,'Korrigeringsfaktor GD'!H$1,FALSE),
"")</f>
        <v>0</v>
      </c>
      <c r="I308" s="18">
        <f>IFERROR(
                  Andel_oberoende_av_klimat*VLOOKUP($A308,Leveranser_per_nät,'Leveranser per nät'!I$1,FALSE)
               +Andel_beroende_av_klimat*VLOOKUP($A308,Leveranser_per_nät,'Leveranser per nät'!I$1,FALSE)/VLOOKUP($B308,Korrigeringsfaktor_GD,'Korrigeringsfaktor GD'!I$1,FALSE),
"")</f>
        <v>0</v>
      </c>
      <c r="J308" s="18">
        <f>IFERROR(
                  Andel_oberoende_av_klimat*VLOOKUP($A308,Leveranser_per_nät,'Leveranser per nät'!J$1,FALSE)
               +Andel_beroende_av_klimat*VLOOKUP($A308,Leveranser_per_nät,'Leveranser per nät'!J$1,FALSE)/VLOOKUP($B308,Korrigeringsfaktor_GD,'Korrigeringsfaktor GD'!J$1,FALSE),
"")</f>
        <v>0</v>
      </c>
      <c r="K308" s="18">
        <f>IFERROR(
                  Andel_oberoende_av_klimat*VLOOKUP($A308,Leveranser_per_nät,'Leveranser per nät'!K$1,FALSE)
               +Andel_beroende_av_klimat*VLOOKUP($A308,Leveranser_per_nät,'Leveranser per nät'!K$1,FALSE)/VLOOKUP($B308,Korrigeringsfaktor_GD,'Korrigeringsfaktor GD'!K$1,FALSE),
"")</f>
        <v>0</v>
      </c>
      <c r="L308" s="18">
        <f>IFERROR(
                  Andel_oberoende_av_klimat*VLOOKUP($A308,Leveranser_per_nät,'Leveranser per nät'!L$1,FALSE)
               +Andel_beroende_av_klimat*VLOOKUP($A308,Leveranser_per_nät,'Leveranser per nät'!L$1,FALSE)/VLOOKUP($B308,Korrigeringsfaktor_GD,'Korrigeringsfaktor GD'!L$1,FALSE),
"")</f>
        <v>0</v>
      </c>
      <c r="M308" s="18">
        <f>IFERROR(
                  Andel_oberoende_av_klimat*VLOOKUP($A308,Leveranser_per_nät,'Leveranser per nät'!M$1,FALSE)
               +Andel_beroende_av_klimat*VLOOKUP($A308,Leveranser_per_nät,'Leveranser per nät'!M$1,FALSE)/VLOOKUP($B308,Korrigeringsfaktor_GD,'Korrigeringsfaktor GD'!M$1,FALSE),
"")</f>
        <v>0</v>
      </c>
      <c r="N308" s="18">
        <f>IFERROR(
                  Andel_oberoende_av_klimat*VLOOKUP($A308,Leveranser_per_nät,'Leveranser per nät'!N$1,FALSE)
               +Andel_beroende_av_klimat*VLOOKUP($A308,Leveranser_per_nät,'Leveranser per nät'!N$1,FALSE)/VLOOKUP($B308,Korrigeringsfaktor_GD,'Korrigeringsfaktor GD'!N$1,FALSE),
"")</f>
        <v>0</v>
      </c>
      <c r="O308" s="18">
        <f>IFERROR(
                  Andel_oberoende_av_klimat*VLOOKUP($A308,Leveranser_per_nät,'Leveranser per nät'!O$1,FALSE)
               +Andel_beroende_av_klimat*VLOOKUP($A308,Leveranser_per_nät,'Leveranser per nät'!O$1,FALSE)/VLOOKUP($B308,Korrigeringsfaktor_GD,'Korrigeringsfaktor GD'!O$1,FALSE),
"")</f>
        <v>0</v>
      </c>
      <c r="P308" s="18">
        <f>IFERROR(
                  Andel_oberoende_av_klimat*VLOOKUP($A308,Leveranser_per_nät,'Leveranser per nät'!P$1,FALSE)
               +Andel_beroende_av_klimat*VLOOKUP($A308,Leveranser_per_nät,'Leveranser per nät'!P$1,FALSE)/VLOOKUP($B308,Korrigeringsfaktor_GD,'Korrigeringsfaktor GD'!P$1,FALSE),
"")</f>
        <v>0</v>
      </c>
      <c r="Q308" s="18">
        <f>IFERROR(
                  Andel_oberoende_av_klimat*VLOOKUP($A308,Leveranser_per_nät,'Leveranser per nät'!Q$1,FALSE)
               +Andel_beroende_av_klimat*VLOOKUP($A308,Leveranser_per_nät,'Leveranser per nät'!Q$1,FALSE)/VLOOKUP($B308,Korrigeringsfaktor_GD,'Korrigeringsfaktor GD'!Q$1,FALSE),
"")</f>
        <v>2.2681043478260872</v>
      </c>
      <c r="R308" s="18">
        <f>IFERROR(
                  Andel_oberoende_av_klimat*VLOOKUP($A308,Leveranser_per_nät,'Leveranser per nät'!R$1,FALSE)
               +Andel_beroende_av_klimat*VLOOKUP($A308,Leveranser_per_nät,'Leveranser per nät'!R$1,FALSE)/VLOOKUP($B308,Korrigeringsfaktor_GD,'Korrigeringsfaktor GD'!R$1,FALSE),
"")</f>
        <v>2.3765000000000001</v>
      </c>
      <c r="S308" s="18">
        <f>IFERROR(
                  Andel_oberoende_av_klimat*VLOOKUP($A308,Leveranser_per_nät,'Leveranser per nät'!S$1,FALSE)
               +Andel_beroende_av_klimat*VLOOKUP($A308,Leveranser_per_nät,'Leveranser per nät'!S$1,FALSE)/VLOOKUP($B308,Korrigeringsfaktor_GD,'Korrigeringsfaktor GD'!S$1,FALSE),
"")</f>
        <v>2.1599411764705883</v>
      </c>
      <c r="T308" s="18">
        <f>IFERROR(
                  Andel_oberoende_av_klimat*VLOOKUP($A308,Leveranser_per_nät,'Leveranser per nät'!T$1,FALSE)
               +Andel_beroende_av_klimat*VLOOKUP($A308,Leveranser_per_nät,'Leveranser per nät'!T$1,FALSE)/VLOOKUP($B308,Korrigeringsfaktor_GD,'Korrigeringsfaktor GD'!T$1,FALSE),
"")</f>
        <v>2.1979571428571427</v>
      </c>
      <c r="U308" s="18">
        <f>IFERROR(
                  Andel_oberoende_av_klimat*VLOOKUP($A308,Leveranser_per_nät,'Leveranser per nät'!U$1,FALSE)
               +Andel_beroende_av_klimat*VLOOKUP($A308,Leveranser_per_nät,'Leveranser per nät'!U$1,FALSE)/VLOOKUP($B308,Korrigeringsfaktor_GD,'Korrigeringsfaktor GD'!U$1,FALSE),
"")</f>
        <v>2.2099823529411768</v>
      </c>
      <c r="V308" s="18">
        <f>IFERROR(
                  Andel_oberoende_av_klimat*VLOOKUP($A308,Leveranser_per_nät,'Leveranser per nät'!V$1,FALSE)
               +Andel_beroende_av_klimat*VLOOKUP($A308,Leveranser_per_nät,'Leveranser per nät'!V$1,FALSE)/VLOOKUP($B308,Korrigeringsfaktor_GD,'Korrigeringsfaktor GD'!V$1,FALSE),
"")</f>
        <v>2.1803444444444442</v>
      </c>
      <c r="W308" s="18">
        <f>IFERROR(
                  Andel_oberoende_av_klimat*VLOOKUP($A308,Leveranser_per_nät,'Leveranser per nät'!W$1,FALSE)
               +Andel_beroende_av_klimat*VLOOKUP($A308,Leveranser_per_nät,'Leveranser per nät'!W$1,FALSE)/VLOOKUP($B308,Korrigeringsfaktor_GD,'Korrigeringsfaktor GD'!W$1,FALSE),
"")</f>
        <v>2.1970684210526317</v>
      </c>
      <c r="X308" s="18">
        <f>IFERROR(
                  Andel_oberoende_av_klimat*VLOOKUP($A308,Leveranser_per_nät,'Leveranser per nät'!X$1,FALSE)
               +Andel_beroende_av_klimat*VLOOKUP($A308,Leveranser_per_nät,'Leveranser per nät'!X$1,FALSE)/VLOOKUP($B308,Korrigeringsfaktor_GD,'Korrigeringsfaktor GD'!X$1,FALSE),
"")</f>
        <v>2.1833829787234045</v>
      </c>
      <c r="Y308" s="18">
        <f>IFERROR(
                  Andel_oberoende_av_klimat*VLOOKUP($A308,Leveranser_per_nät,'Leveranser per nät'!Y$1,FALSE)
               +Andel_beroende_av_klimat*VLOOKUP($A308,Leveranser_per_nät,'Leveranser per nät'!Y$1,FALSE)/VLOOKUP($B308,Korrigeringsfaktor_GD,'Korrigeringsfaktor GD'!Y$1,FALSE),
"")</f>
        <v>2.3041923076923077</v>
      </c>
      <c r="Z308" s="18">
        <f>IFERROR(
                  Andel_oberoende_av_klimat*VLOOKUP($A308,Leveranser_per_nät,'Leveranser per nät'!Z$1,FALSE)
               +Andel_beroende_av_klimat*VLOOKUP($A308,Leveranser_per_nät,'Leveranser per nät'!Z$1,FALSE)/VLOOKUP($B308,Korrigeringsfaktor_GD,'Korrigeringsfaktor GD'!Z$1,FALSE),
"")</f>
        <v>2.2393112359550562</v>
      </c>
      <c r="AA308" s="18">
        <f>IFERROR(
                  Andel_oberoende_av_klimat*VLOOKUP($A308,Leveranser_per_nät,'Leveranser per nät'!AA$1,FALSE)
               +Andel_beroende_av_klimat*VLOOKUP($A308,Leveranser_per_nät,'Leveranser per nät'!AA$1,FALSE)/VLOOKUP($B308,Korrigeringsfaktor_GD,'Korrigeringsfaktor GD'!AA$1,FALSE),
"")</f>
        <v>2.3111025733961581</v>
      </c>
      <c r="AB308" s="18">
        <f>IFERROR(
                  Andel_oberoende_av_klimat*VLOOKUP($A308,Leveranser_per_nät,'Leveranser per nät'!AB$1,FALSE)
               +Andel_beroende_av_klimat*VLOOKUP($A308,Leveranser_per_nät,'Leveranser per nät'!AB$1,FALSE)/VLOOKUP($B308,Korrigeringsfaktor_GD,'Korrigeringsfaktor GD'!AB$1,FALSE),
"")</f>
        <v>2.2420094488188975</v>
      </c>
      <c r="AC308" s="18">
        <f>IFERROR(
                  Andel_oberoende_av_klimat*VLOOKUP($A308,Leveranser_per_nät,'Leveranser per nät'!AC$1,FALSE)
               +Andel_beroende_av_klimat*VLOOKUP($A308,Leveranser_per_nät,'Leveranser per nät'!AC$1,FALSE)/VLOOKUP($B308,Korrigeringsfaktor_GD,'Korrigeringsfaktor GD'!AC$1,FALSE),
"")</f>
        <v>2.1109647058823531</v>
      </c>
      <c r="AD308">
        <v>44.570999999999998</v>
      </c>
    </row>
    <row r="309" spans="1:30" x14ac:dyDescent="0.25">
      <c r="A309" t="s">
        <v>222</v>
      </c>
      <c r="B309" t="s">
        <v>221</v>
      </c>
      <c r="C309" s="18">
        <f>IFERROR(
                  Andel_oberoende_av_klimat*VLOOKUP($A309,Leveranser_per_nät,'Leveranser per nät'!C$1,FALSE)
               +Andel_beroende_av_klimat*VLOOKUP($A309,Leveranser_per_nät,'Leveranser per nät'!C$1,FALSE)/VLOOKUP($B309,Korrigeringsfaktor_GD,'Korrigeringsfaktor GD'!C$1,FALSE),
"")</f>
        <v>0</v>
      </c>
      <c r="D309" s="18">
        <f>IFERROR(
                  Andel_oberoende_av_klimat*VLOOKUP($A309,Leveranser_per_nät,'Leveranser per nät'!D$1,FALSE)
               +Andel_beroende_av_klimat*VLOOKUP($A309,Leveranser_per_nät,'Leveranser per nät'!D$1,FALSE)/VLOOKUP($B309,Korrigeringsfaktor_GD,'Korrigeringsfaktor GD'!D$1,FALSE),
"")</f>
        <v>0</v>
      </c>
      <c r="E309" s="18">
        <f>IFERROR(
                  Andel_oberoende_av_klimat*VLOOKUP($A309,Leveranser_per_nät,'Leveranser per nät'!E$1,FALSE)
               +Andel_beroende_av_klimat*VLOOKUP($A309,Leveranser_per_nät,'Leveranser per nät'!E$1,FALSE)/VLOOKUP($B309,Korrigeringsfaktor_GD,'Korrigeringsfaktor GD'!E$1,FALSE),
"")</f>
        <v>0</v>
      </c>
      <c r="F309" s="18">
        <f>IFERROR(
                  Andel_oberoende_av_klimat*VLOOKUP($A309,Leveranser_per_nät,'Leveranser per nät'!F$1,FALSE)
               +Andel_beroende_av_klimat*VLOOKUP($A309,Leveranser_per_nät,'Leveranser per nät'!F$1,FALSE)/VLOOKUP($B309,Korrigeringsfaktor_GD,'Korrigeringsfaktor GD'!F$1,FALSE),
"")</f>
        <v>15.79032258064516</v>
      </c>
      <c r="G309" s="18">
        <f>IFERROR(
                  Andel_oberoende_av_klimat*VLOOKUP($A309,Leveranser_per_nät,'Leveranser per nät'!G$1,FALSE)
               +Andel_beroende_av_klimat*VLOOKUP($A309,Leveranser_per_nät,'Leveranser per nät'!G$1,FALSE)/VLOOKUP($B309,Korrigeringsfaktor_GD,'Korrigeringsfaktor GD'!G$1,FALSE),
"")</f>
        <v>16.166666666666668</v>
      </c>
      <c r="H309" s="18">
        <f>IFERROR(
                  Andel_oberoende_av_klimat*VLOOKUP($A309,Leveranser_per_nät,'Leveranser per nät'!H$1,FALSE)
               +Andel_beroende_av_klimat*VLOOKUP($A309,Leveranser_per_nät,'Leveranser per nät'!H$1,FALSE)/VLOOKUP($B309,Korrigeringsfaktor_GD,'Korrigeringsfaktor GD'!H$1,FALSE),
"")</f>
        <v>18.25714285714286</v>
      </c>
      <c r="I309" s="18">
        <f>IFERROR(
                  Andel_oberoende_av_klimat*VLOOKUP($A309,Leveranser_per_nät,'Leveranser per nät'!I$1,FALSE)
               +Andel_beroende_av_klimat*VLOOKUP($A309,Leveranser_per_nät,'Leveranser per nät'!I$1,FALSE)/VLOOKUP($B309,Korrigeringsfaktor_GD,'Korrigeringsfaktor GD'!I$1,FALSE),
"")</f>
        <v>17.495833333333334</v>
      </c>
      <c r="J309" s="18">
        <f>IFERROR(
                  Andel_oberoende_av_klimat*VLOOKUP($A309,Leveranser_per_nät,'Leveranser per nät'!J$1,FALSE)
               +Andel_beroende_av_klimat*VLOOKUP($A309,Leveranser_per_nät,'Leveranser per nät'!J$1,FALSE)/VLOOKUP($B309,Korrigeringsfaktor_GD,'Korrigeringsfaktor GD'!J$1,FALSE),
"")</f>
        <v>17</v>
      </c>
      <c r="K309" s="18">
        <f>IFERROR(
                  Andel_oberoende_av_klimat*VLOOKUP($A309,Leveranser_per_nät,'Leveranser per nät'!K$1,FALSE)
               +Andel_beroende_av_klimat*VLOOKUP($A309,Leveranser_per_nät,'Leveranser per nät'!K$1,FALSE)/VLOOKUP($B309,Korrigeringsfaktor_GD,'Korrigeringsfaktor GD'!K$1,FALSE),
"")</f>
        <v>18.892646464646464</v>
      </c>
      <c r="L309" s="18">
        <f>IFERROR(
                  Andel_oberoende_av_klimat*VLOOKUP($A309,Leveranser_per_nät,'Leveranser per nät'!L$1,FALSE)
               +Andel_beroende_av_klimat*VLOOKUP($A309,Leveranser_per_nät,'Leveranser per nät'!L$1,FALSE)/VLOOKUP($B309,Korrigeringsfaktor_GD,'Korrigeringsfaktor GD'!L$1,FALSE),
"")</f>
        <v>19.462570833333338</v>
      </c>
      <c r="M309" s="18">
        <f>IFERROR(
                  Andel_oberoende_av_klimat*VLOOKUP($A309,Leveranser_per_nät,'Leveranser per nät'!M$1,FALSE)
               +Andel_beroende_av_klimat*VLOOKUP($A309,Leveranser_per_nät,'Leveranser per nät'!M$1,FALSE)/VLOOKUP($B309,Korrigeringsfaktor_GD,'Korrigeringsfaktor GD'!M$1,FALSE),
"")</f>
        <v>20.258983870967743</v>
      </c>
      <c r="N309" s="18">
        <f>IFERROR(
                  Andel_oberoende_av_klimat*VLOOKUP($A309,Leveranser_per_nät,'Leveranser per nät'!N$1,FALSE)
               +Andel_beroende_av_klimat*VLOOKUP($A309,Leveranser_per_nät,'Leveranser per nät'!N$1,FALSE)/VLOOKUP($B309,Korrigeringsfaktor_GD,'Korrigeringsfaktor GD'!N$1,FALSE),
"")</f>
        <v>19.562104301075266</v>
      </c>
      <c r="O309" s="18">
        <f>IFERROR(
                  Andel_oberoende_av_klimat*VLOOKUP($A309,Leveranser_per_nät,'Leveranser per nät'!O$1,FALSE)
               +Andel_beroende_av_klimat*VLOOKUP($A309,Leveranser_per_nät,'Leveranser per nät'!O$1,FALSE)/VLOOKUP($B309,Korrigeringsfaktor_GD,'Korrigeringsfaktor GD'!O$1,FALSE),
"")</f>
        <v>19.011871910112362</v>
      </c>
      <c r="P309" s="18">
        <f>IFERROR(
                  Andel_oberoende_av_klimat*VLOOKUP($A309,Leveranser_per_nät,'Leveranser per nät'!P$1,FALSE)
               +Andel_beroende_av_klimat*VLOOKUP($A309,Leveranser_per_nät,'Leveranser per nät'!P$1,FALSE)/VLOOKUP($B309,Korrigeringsfaktor_GD,'Korrigeringsfaktor GD'!P$1,FALSE),
"")</f>
        <v>18.134945833333333</v>
      </c>
      <c r="Q309" s="18">
        <f>IFERROR(
                  Andel_oberoende_av_klimat*VLOOKUP($A309,Leveranser_per_nät,'Leveranser per nät'!Q$1,FALSE)
               +Andel_beroende_av_klimat*VLOOKUP($A309,Leveranser_per_nät,'Leveranser per nät'!Q$1,FALSE)/VLOOKUP($B309,Korrigeringsfaktor_GD,'Korrigeringsfaktor GD'!Q$1,FALSE),
"")</f>
        <v>18.963569565217391</v>
      </c>
      <c r="R309" s="18">
        <f>IFERROR(
                  Andel_oberoende_av_klimat*VLOOKUP($A309,Leveranser_per_nät,'Leveranser per nät'!R$1,FALSE)
               +Andel_beroende_av_klimat*VLOOKUP($A309,Leveranser_per_nät,'Leveranser per nät'!R$1,FALSE)/VLOOKUP($B309,Korrigeringsfaktor_GD,'Korrigeringsfaktor GD'!R$1,FALSE),
"")</f>
        <v>18.635234782608691</v>
      </c>
      <c r="S309" s="18">
        <f>IFERROR(
                  Andel_oberoende_av_klimat*VLOOKUP($A309,Leveranser_per_nät,'Leveranser per nät'!S$1,FALSE)
               +Andel_beroende_av_klimat*VLOOKUP($A309,Leveranser_per_nät,'Leveranser per nät'!S$1,FALSE)/VLOOKUP($B309,Korrigeringsfaktor_GD,'Korrigeringsfaktor GD'!S$1,FALSE),
"")</f>
        <v>19.649999999999999</v>
      </c>
      <c r="T309" s="18">
        <f>IFERROR(
                  Andel_oberoende_av_klimat*VLOOKUP($A309,Leveranser_per_nät,'Leveranser per nät'!T$1,FALSE)
               +Andel_beroende_av_klimat*VLOOKUP($A309,Leveranser_per_nät,'Leveranser per nät'!T$1,FALSE)/VLOOKUP($B309,Korrigeringsfaktor_GD,'Korrigeringsfaktor GD'!T$1,FALSE),
"")</f>
        <v>19.551079166666668</v>
      </c>
      <c r="U309" s="18">
        <f>IFERROR(
                  Andel_oberoende_av_klimat*VLOOKUP($A309,Leveranser_per_nät,'Leveranser per nät'!U$1,FALSE)
               +Andel_beroende_av_klimat*VLOOKUP($A309,Leveranser_per_nät,'Leveranser per nät'!U$1,FALSE)/VLOOKUP($B309,Korrigeringsfaktor_GD,'Korrigeringsfaktor GD'!U$1,FALSE),
"")</f>
        <v>19.612715730337076</v>
      </c>
      <c r="V309" s="18">
        <f>IFERROR(
                  Andel_oberoende_av_klimat*VLOOKUP($A309,Leveranser_per_nät,'Leveranser per nät'!V$1,FALSE)
               +Andel_beroende_av_klimat*VLOOKUP($A309,Leveranser_per_nät,'Leveranser per nät'!V$1,FALSE)/VLOOKUP($B309,Korrigeringsfaktor_GD,'Korrigeringsfaktor GD'!V$1,FALSE),
"")</f>
        <v>21.620723255813953</v>
      </c>
      <c r="W309" s="18">
        <f>IFERROR(
                  Andel_oberoende_av_klimat*VLOOKUP($A309,Leveranser_per_nät,'Leveranser per nät'!W$1,FALSE)
               +Andel_beroende_av_klimat*VLOOKUP($A309,Leveranser_per_nät,'Leveranser per nät'!W$1,FALSE)/VLOOKUP($B309,Korrigeringsfaktor_GD,'Korrigeringsfaktor GD'!W$1,FALSE),
"")</f>
        <v>18.142972340425533</v>
      </c>
      <c r="X309" s="18">
        <f>IFERROR(
                  Andel_oberoende_av_klimat*VLOOKUP($A309,Leveranser_per_nät,'Leveranser per nät'!X$1,FALSE)
               +Andel_beroende_av_klimat*VLOOKUP($A309,Leveranser_per_nät,'Leveranser per nät'!X$1,FALSE)/VLOOKUP($B309,Korrigeringsfaktor_GD,'Korrigeringsfaktor GD'!X$1,FALSE),
"")</f>
        <v>18.185804255319152</v>
      </c>
      <c r="Y309" s="18">
        <f>IFERROR(
                  Andel_oberoende_av_klimat*VLOOKUP($A309,Leveranser_per_nät,'Leveranser per nät'!Y$1,FALSE)
               +Andel_beroende_av_klimat*VLOOKUP($A309,Leveranser_per_nät,'Leveranser per nät'!Y$1,FALSE)/VLOOKUP($B309,Korrigeringsfaktor_GD,'Korrigeringsfaktor GD'!Y$1,FALSE),
"")</f>
        <v>18.332886956521737</v>
      </c>
      <c r="Z309" s="18">
        <f>IFERROR(
                  Andel_oberoende_av_klimat*VLOOKUP($A309,Leveranser_per_nät,'Leveranser per nät'!Z$1,FALSE)
               +Andel_beroende_av_klimat*VLOOKUP($A309,Leveranser_per_nät,'Leveranser per nät'!Z$1,FALSE)/VLOOKUP($B309,Korrigeringsfaktor_GD,'Korrigeringsfaktor GD'!Z$1,FALSE),
"")</f>
        <v>16.978205050505053</v>
      </c>
      <c r="AA309" s="18">
        <f>IFERROR(
                  Andel_oberoende_av_klimat*VLOOKUP($A309,Leveranser_per_nät,'Leveranser per nät'!AA$1,FALSE)
               +Andel_beroende_av_klimat*VLOOKUP($A309,Leveranser_per_nät,'Leveranser per nät'!AA$1,FALSE)/VLOOKUP($B309,Korrigeringsfaktor_GD,'Korrigeringsfaktor GD'!AA$1,FALSE),
"")</f>
        <v>16.575282186394023</v>
      </c>
      <c r="AB309" s="18">
        <f>IFERROR(
                  Andel_oberoende_av_klimat*VLOOKUP($A309,Leveranser_per_nät,'Leveranser per nät'!AB$1,FALSE)
               +Andel_beroende_av_klimat*VLOOKUP($A309,Leveranser_per_nät,'Leveranser per nät'!AB$1,FALSE)/VLOOKUP($B309,Korrigeringsfaktor_GD,'Korrigeringsfaktor GD'!AB$1,FALSE),
"")</f>
        <v>17.312233593750001</v>
      </c>
      <c r="AC309" s="18">
        <f>IFERROR(
                  Andel_oberoende_av_klimat*VLOOKUP($A309,Leveranser_per_nät,'Leveranser per nät'!AC$1,FALSE)
               +Andel_beroende_av_klimat*VLOOKUP($A309,Leveranser_per_nät,'Leveranser per nät'!AC$1,FALSE)/VLOOKUP($B309,Korrigeringsfaktor_GD,'Korrigeringsfaktor GD'!AC$1,FALSE),
"")</f>
        <v>17.561342857142858</v>
      </c>
      <c r="AD309">
        <v>128.52099999999999</v>
      </c>
    </row>
    <row r="310" spans="1:30" x14ac:dyDescent="0.25">
      <c r="A310" t="s">
        <v>262</v>
      </c>
      <c r="B310" t="s">
        <v>262</v>
      </c>
      <c r="C310" s="18">
        <f>IFERROR(
                  Andel_oberoende_av_klimat*VLOOKUP($A310,Leveranser_per_nät,'Leveranser per nät'!C$1,FALSE)
               +Andel_beroende_av_klimat*VLOOKUP($A310,Leveranser_per_nät,'Leveranser per nät'!C$1,FALSE)/VLOOKUP($B310,Korrigeringsfaktor_GD,'Korrigeringsfaktor GD'!C$1,FALSE),
"")</f>
        <v>0</v>
      </c>
      <c r="D310" s="18">
        <f>IFERROR(
                  Andel_oberoende_av_klimat*VLOOKUP($A310,Leveranser_per_nät,'Leveranser per nät'!D$1,FALSE)
               +Andel_beroende_av_klimat*VLOOKUP($A310,Leveranser_per_nät,'Leveranser per nät'!D$1,FALSE)/VLOOKUP($B310,Korrigeringsfaktor_GD,'Korrigeringsfaktor GD'!D$1,FALSE),
"")</f>
        <v>0</v>
      </c>
      <c r="E310" s="18">
        <f>IFERROR(
                  Andel_oberoende_av_klimat*VLOOKUP($A310,Leveranser_per_nät,'Leveranser per nät'!E$1,FALSE)
               +Andel_beroende_av_klimat*VLOOKUP($A310,Leveranser_per_nät,'Leveranser per nät'!E$1,FALSE)/VLOOKUP($B310,Korrigeringsfaktor_GD,'Korrigeringsfaktor GD'!E$1,FALSE),
"")</f>
        <v>0</v>
      </c>
      <c r="F310" s="18">
        <f>IFERROR(
                  Andel_oberoende_av_klimat*VLOOKUP($A310,Leveranser_per_nät,'Leveranser per nät'!F$1,FALSE)
               +Andel_beroende_av_klimat*VLOOKUP($A310,Leveranser_per_nät,'Leveranser per nät'!F$1,FALSE)/VLOOKUP($B310,Korrigeringsfaktor_GD,'Korrigeringsfaktor GD'!F$1,FALSE),
"")</f>
        <v>0</v>
      </c>
      <c r="G310" s="18">
        <f>IFERROR(
                  Andel_oberoende_av_klimat*VLOOKUP($A310,Leveranser_per_nät,'Leveranser per nät'!G$1,FALSE)
               +Andel_beroende_av_klimat*VLOOKUP($A310,Leveranser_per_nät,'Leveranser per nät'!G$1,FALSE)/VLOOKUP($B310,Korrigeringsfaktor_GD,'Korrigeringsfaktor GD'!G$1,FALSE),
"")</f>
        <v>0</v>
      </c>
      <c r="H310" s="18">
        <f>IFERROR(
                  Andel_oberoende_av_klimat*VLOOKUP($A310,Leveranser_per_nät,'Leveranser per nät'!H$1,FALSE)
               +Andel_beroende_av_klimat*VLOOKUP($A310,Leveranser_per_nät,'Leveranser per nät'!H$1,FALSE)/VLOOKUP($B310,Korrigeringsfaktor_GD,'Korrigeringsfaktor GD'!H$1,FALSE),
"")</f>
        <v>0</v>
      </c>
      <c r="I310" s="18">
        <f>IFERROR(
                  Andel_oberoende_av_klimat*VLOOKUP($A310,Leveranser_per_nät,'Leveranser per nät'!I$1,FALSE)
               +Andel_beroende_av_klimat*VLOOKUP($A310,Leveranser_per_nät,'Leveranser per nät'!I$1,FALSE)/VLOOKUP($B310,Korrigeringsfaktor_GD,'Korrigeringsfaktor GD'!I$1,FALSE),
"")</f>
        <v>0</v>
      </c>
      <c r="J310" s="18">
        <f>IFERROR(
                  Andel_oberoende_av_klimat*VLOOKUP($A310,Leveranser_per_nät,'Leveranser per nät'!J$1,FALSE)
               +Andel_beroende_av_klimat*VLOOKUP($A310,Leveranser_per_nät,'Leveranser per nät'!J$1,FALSE)/VLOOKUP($B310,Korrigeringsfaktor_GD,'Korrigeringsfaktor GD'!J$1,FALSE),
"")</f>
        <v>0</v>
      </c>
      <c r="K310" s="18">
        <f>IFERROR(
                  Andel_oberoende_av_klimat*VLOOKUP($A310,Leveranser_per_nät,'Leveranser per nät'!K$1,FALSE)
               +Andel_beroende_av_klimat*VLOOKUP($A310,Leveranser_per_nät,'Leveranser per nät'!K$1,FALSE)/VLOOKUP($B310,Korrigeringsfaktor_GD,'Korrigeringsfaktor GD'!K$1,FALSE),
"")</f>
        <v>0</v>
      </c>
      <c r="L310" s="18">
        <f>IFERROR(
                  Andel_oberoende_av_klimat*VLOOKUP($A310,Leveranser_per_nät,'Leveranser per nät'!L$1,FALSE)
               +Andel_beroende_av_klimat*VLOOKUP($A310,Leveranser_per_nät,'Leveranser per nät'!L$1,FALSE)/VLOOKUP($B310,Korrigeringsfaktor_GD,'Korrigeringsfaktor GD'!L$1,FALSE),
"")</f>
        <v>0</v>
      </c>
      <c r="M310" s="18">
        <f>IFERROR(
                  Andel_oberoende_av_klimat*VLOOKUP($A310,Leveranser_per_nät,'Leveranser per nät'!M$1,FALSE)
               +Andel_beroende_av_klimat*VLOOKUP($A310,Leveranser_per_nät,'Leveranser per nät'!M$1,FALSE)/VLOOKUP($B310,Korrigeringsfaktor_GD,'Korrigeringsfaktor GD'!M$1,FALSE),
"")</f>
        <v>6.7949615384615392</v>
      </c>
      <c r="N310" s="18">
        <f>IFERROR(
                  Andel_oberoende_av_klimat*VLOOKUP($A310,Leveranser_per_nät,'Leveranser per nät'!N$1,FALSE)
               +Andel_beroende_av_klimat*VLOOKUP($A310,Leveranser_per_nät,'Leveranser per nät'!N$1,FALSE)/VLOOKUP($B310,Korrigeringsfaktor_GD,'Korrigeringsfaktor GD'!N$1,FALSE),
"")</f>
        <v>7.1990608695652165</v>
      </c>
      <c r="O310" s="18">
        <f>IFERROR(
                  Andel_oberoende_av_klimat*VLOOKUP($A310,Leveranser_per_nät,'Leveranser per nät'!O$1,FALSE)
               +Andel_beroende_av_klimat*VLOOKUP($A310,Leveranser_per_nät,'Leveranser per nät'!O$1,FALSE)/VLOOKUP($B310,Korrigeringsfaktor_GD,'Korrigeringsfaktor GD'!O$1,FALSE),
"")</f>
        <v>8.3978434782608709</v>
      </c>
      <c r="P310" s="18">
        <f>IFERROR(
                  Andel_oberoende_av_klimat*VLOOKUP($A310,Leveranser_per_nät,'Leveranser per nät'!P$1,FALSE)
               +Andel_beroende_av_klimat*VLOOKUP($A310,Leveranser_per_nät,'Leveranser per nät'!P$1,FALSE)/VLOOKUP($B310,Korrigeringsfaktor_GD,'Korrigeringsfaktor GD'!P$1,FALSE),
"")</f>
        <v>10.967471428571429</v>
      </c>
      <c r="Q310" s="18">
        <f>IFERROR(
                  Andel_oberoende_av_klimat*VLOOKUP($A310,Leveranser_per_nät,'Leveranser per nät'!Q$1,FALSE)
               +Andel_beroende_av_klimat*VLOOKUP($A310,Leveranser_per_nät,'Leveranser per nät'!Q$1,FALSE)/VLOOKUP($B310,Korrigeringsfaktor_GD,'Korrigeringsfaktor GD'!Q$1,FALSE),
"")</f>
        <v>11.087481818181816</v>
      </c>
      <c r="R310" s="18">
        <f>IFERROR(
                  Andel_oberoende_av_klimat*VLOOKUP($A310,Leveranser_per_nät,'Leveranser per nät'!R$1,FALSE)
               +Andel_beroende_av_klimat*VLOOKUP($A310,Leveranser_per_nät,'Leveranser per nät'!R$1,FALSE)/VLOOKUP($B310,Korrigeringsfaktor_GD,'Korrigeringsfaktor GD'!R$1,FALSE),
"")</f>
        <v>9.5932999999999993</v>
      </c>
      <c r="S310" s="18">
        <f>IFERROR(
                  Andel_oberoende_av_klimat*VLOOKUP($A310,Leveranser_per_nät,'Leveranser per nät'!S$1,FALSE)
               +Andel_beroende_av_klimat*VLOOKUP($A310,Leveranser_per_nät,'Leveranser per nät'!S$1,FALSE)/VLOOKUP($B310,Korrigeringsfaktor_GD,'Korrigeringsfaktor GD'!S$1,FALSE),
"")</f>
        <v>9.7987979797979801</v>
      </c>
      <c r="T310" s="18">
        <f>IFERROR(
                  Andel_oberoende_av_klimat*VLOOKUP($A310,Leveranser_per_nät,'Leveranser per nät'!T$1,FALSE)
               +Andel_beroende_av_klimat*VLOOKUP($A310,Leveranser_per_nät,'Leveranser per nät'!T$1,FALSE)/VLOOKUP($B310,Korrigeringsfaktor_GD,'Korrigeringsfaktor GD'!T$1,FALSE),
"")</f>
        <v>9.7759130434782602</v>
      </c>
      <c r="U310" s="18">
        <f>IFERROR(
                  Andel_oberoende_av_klimat*VLOOKUP($A310,Leveranser_per_nät,'Leveranser per nät'!U$1,FALSE)
               +Andel_beroende_av_klimat*VLOOKUP($A310,Leveranser_per_nät,'Leveranser per nät'!U$1,FALSE)/VLOOKUP($B310,Korrigeringsfaktor_GD,'Korrigeringsfaktor GD'!U$1,FALSE),
"")</f>
        <v>9.7605000000000004</v>
      </c>
      <c r="V310" s="18">
        <f>IFERROR(
                  Andel_oberoende_av_klimat*VLOOKUP($A310,Leveranser_per_nät,'Leveranser per nät'!V$1,FALSE)
               +Andel_beroende_av_klimat*VLOOKUP($A310,Leveranser_per_nät,'Leveranser per nät'!V$1,FALSE)/VLOOKUP($B310,Korrigeringsfaktor_GD,'Korrigeringsfaktor GD'!V$1,FALSE),
"")</f>
        <v>10.408376470588234</v>
      </c>
      <c r="W310" s="18">
        <f>IFERROR(
                  Andel_oberoende_av_klimat*VLOOKUP($A310,Leveranser_per_nät,'Leveranser per nät'!W$1,FALSE)
               +Andel_beroende_av_klimat*VLOOKUP($A310,Leveranser_per_nät,'Leveranser per nät'!W$1,FALSE)/VLOOKUP($B310,Korrigeringsfaktor_GD,'Korrigeringsfaktor GD'!W$1,FALSE),
"")</f>
        <v>11.629387234042554</v>
      </c>
      <c r="X310" s="18">
        <f>IFERROR(
                  Andel_oberoende_av_klimat*VLOOKUP($A310,Leveranser_per_nät,'Leveranser per nät'!X$1,FALSE)
               +Andel_beroende_av_klimat*VLOOKUP($A310,Leveranser_per_nät,'Leveranser per nät'!X$1,FALSE)/VLOOKUP($B310,Korrigeringsfaktor_GD,'Korrigeringsfaktor GD'!X$1,FALSE),
"")</f>
        <v>11.377268421052632</v>
      </c>
      <c r="Y310" s="18">
        <f>IFERROR(
                  Andel_oberoende_av_klimat*VLOOKUP($A310,Leveranser_per_nät,'Leveranser per nät'!Y$1,FALSE)
               +Andel_beroende_av_klimat*VLOOKUP($A310,Leveranser_per_nät,'Leveranser per nät'!Y$1,FALSE)/VLOOKUP($B310,Korrigeringsfaktor_GD,'Korrigeringsfaktor GD'!Y$1,FALSE),
"")</f>
        <v>10.273391489361702</v>
      </c>
      <c r="Z310" s="18">
        <f>IFERROR(
                  Andel_oberoende_av_klimat*VLOOKUP($A310,Leveranser_per_nät,'Leveranser per nät'!Z$1,FALSE)
               +Andel_beroende_av_klimat*VLOOKUP($A310,Leveranser_per_nät,'Leveranser per nät'!Z$1,FALSE)/VLOOKUP($B310,Korrigeringsfaktor_GD,'Korrigeringsfaktor GD'!Z$1,FALSE),
"")</f>
        <v>9.8194752688172038</v>
      </c>
      <c r="AA310" s="18">
        <f>IFERROR(
                  Andel_oberoende_av_klimat*VLOOKUP($A310,Leveranser_per_nät,'Leveranser per nät'!AA$1,FALSE)
               +Andel_beroende_av_klimat*VLOOKUP($A310,Leveranser_per_nät,'Leveranser per nät'!AA$1,FALSE)/VLOOKUP($B310,Korrigeringsfaktor_GD,'Korrigeringsfaktor GD'!AA$1,FALSE),
"")</f>
        <v>9.03922568503463</v>
      </c>
      <c r="AB310" s="18">
        <f>IFERROR(
                  Andel_oberoende_av_klimat*VLOOKUP($A310,Leveranser_per_nät,'Leveranser per nät'!AB$1,FALSE)
               +Andel_beroende_av_klimat*VLOOKUP($A310,Leveranser_per_nät,'Leveranser per nät'!AB$1,FALSE)/VLOOKUP($B310,Korrigeringsfaktor_GD,'Korrigeringsfaktor GD'!AB$1,FALSE),
"")</f>
        <v>9.7450371511068319</v>
      </c>
      <c r="AC310" s="18">
        <f>IFERROR(
                  Andel_oberoende_av_klimat*VLOOKUP($A310,Leveranser_per_nät,'Leveranser per nät'!AC$1,FALSE)
               +Andel_beroende_av_klimat*VLOOKUP($A310,Leveranser_per_nät,'Leveranser per nät'!AC$1,FALSE)/VLOOKUP($B310,Korrigeringsfaktor_GD,'Korrigeringsfaktor GD'!AC$1,FALSE),
"")</f>
        <v>9.3052763286004048</v>
      </c>
      <c r="AD310">
        <v>9.2136999999999993</v>
      </c>
    </row>
    <row r="311" spans="1:30" x14ac:dyDescent="0.25">
      <c r="A311" t="s">
        <v>414</v>
      </c>
      <c r="B311" t="s">
        <v>507</v>
      </c>
      <c r="C311" s="18">
        <f>IFERROR(
                  Andel_oberoende_av_klimat*VLOOKUP($A311,Leveranser_per_nät,'Leveranser per nät'!C$1,FALSE)
               +Andel_beroende_av_klimat*VLOOKUP($A311,Leveranser_per_nät,'Leveranser per nät'!C$1,FALSE)/VLOOKUP($B311,Korrigeringsfaktor_GD,'Korrigeringsfaktor GD'!C$1,FALSE),
"")</f>
        <v>0</v>
      </c>
      <c r="D311" s="18">
        <f>IFERROR(
                  Andel_oberoende_av_klimat*VLOOKUP($A311,Leveranser_per_nät,'Leveranser per nät'!D$1,FALSE)
               +Andel_beroende_av_klimat*VLOOKUP($A311,Leveranser_per_nät,'Leveranser per nät'!D$1,FALSE)/VLOOKUP($B311,Korrigeringsfaktor_GD,'Korrigeringsfaktor GD'!D$1,FALSE),
"")</f>
        <v>0</v>
      </c>
      <c r="E311" s="18">
        <f>IFERROR(
                  Andel_oberoende_av_klimat*VLOOKUP($A311,Leveranser_per_nät,'Leveranser per nät'!E$1,FALSE)
               +Andel_beroende_av_klimat*VLOOKUP($A311,Leveranser_per_nät,'Leveranser per nät'!E$1,FALSE)/VLOOKUP($B311,Korrigeringsfaktor_GD,'Korrigeringsfaktor GD'!E$1,FALSE),
"")</f>
        <v>41.708910891089104</v>
      </c>
      <c r="F311" s="18">
        <f>IFERROR(
                  Andel_oberoende_av_klimat*VLOOKUP($A311,Leveranser_per_nät,'Leveranser per nät'!F$1,FALSE)
               +Andel_beroende_av_klimat*VLOOKUP($A311,Leveranser_per_nät,'Leveranser per nät'!F$1,FALSE)/VLOOKUP($B311,Korrigeringsfaktor_GD,'Korrigeringsfaktor GD'!F$1,FALSE),
"")</f>
        <v>89.402747368421046</v>
      </c>
      <c r="G311" s="18">
        <f>IFERROR(
                  Andel_oberoende_av_klimat*VLOOKUP($A311,Leveranser_per_nät,'Leveranser per nät'!G$1,FALSE)
               +Andel_beroende_av_klimat*VLOOKUP($A311,Leveranser_per_nät,'Leveranser per nät'!G$1,FALSE)/VLOOKUP($B311,Korrigeringsfaktor_GD,'Korrigeringsfaktor GD'!G$1,FALSE),
"")</f>
        <v>97.094137931034496</v>
      </c>
      <c r="H311" s="18">
        <f>IFERROR(
                  Andel_oberoende_av_klimat*VLOOKUP($A311,Leveranser_per_nät,'Leveranser per nät'!H$1,FALSE)
               +Andel_beroende_av_klimat*VLOOKUP($A311,Leveranser_per_nät,'Leveranser per nät'!H$1,FALSE)/VLOOKUP($B311,Korrigeringsfaktor_GD,'Korrigeringsfaktor GD'!H$1,FALSE),
"")</f>
        <v>109.1</v>
      </c>
      <c r="I311" s="18">
        <f>IFERROR(
                  Andel_oberoende_av_klimat*VLOOKUP($A311,Leveranser_per_nät,'Leveranser per nät'!I$1,FALSE)
               +Andel_beroende_av_klimat*VLOOKUP($A311,Leveranser_per_nät,'Leveranser per nät'!I$1,FALSE)/VLOOKUP($B311,Korrigeringsfaktor_GD,'Korrigeringsfaktor GD'!I$1,FALSE),
"")</f>
        <v>115.71157894736842</v>
      </c>
      <c r="J311" s="18">
        <f>IFERROR(
                  Andel_oberoende_av_klimat*VLOOKUP($A311,Leveranser_per_nät,'Leveranser per nät'!J$1,FALSE)
               +Andel_beroende_av_klimat*VLOOKUP($A311,Leveranser_per_nät,'Leveranser per nät'!J$1,FALSE)/VLOOKUP($B311,Korrigeringsfaktor_GD,'Korrigeringsfaktor GD'!J$1,FALSE),
"")</f>
        <v>119.94212121212121</v>
      </c>
      <c r="K311" s="18">
        <f>IFERROR(
                  Andel_oberoende_av_klimat*VLOOKUP($A311,Leveranser_per_nät,'Leveranser per nät'!K$1,FALSE)
               +Andel_beroende_av_klimat*VLOOKUP($A311,Leveranser_per_nät,'Leveranser per nät'!K$1,FALSE)/VLOOKUP($B311,Korrigeringsfaktor_GD,'Korrigeringsfaktor GD'!K$1,FALSE),
"")</f>
        <v>116.6</v>
      </c>
      <c r="L311" s="18">
        <f>IFERROR(
                  Andel_oberoende_av_klimat*VLOOKUP($A311,Leveranser_per_nät,'Leveranser per nät'!L$1,FALSE)
               +Andel_beroende_av_klimat*VLOOKUP($A311,Leveranser_per_nät,'Leveranser per nät'!L$1,FALSE)/VLOOKUP($B311,Korrigeringsfaktor_GD,'Korrigeringsfaktor GD'!L$1,FALSE),
"")</f>
        <v>176.11848574925688</v>
      </c>
      <c r="M311" s="18">
        <f>IFERROR(
                  Andel_oberoende_av_klimat*VLOOKUP($A311,Leveranser_per_nät,'Leveranser per nät'!M$1,FALSE)
               +Andel_beroende_av_klimat*VLOOKUP($A311,Leveranser_per_nät,'Leveranser per nät'!M$1,FALSE)/VLOOKUP($B311,Korrigeringsfaktor_GD,'Korrigeringsfaktor GD'!M$1,FALSE),
"")</f>
        <v>89.225849462365602</v>
      </c>
      <c r="N311" s="18">
        <f>IFERROR(
                  Andel_oberoende_av_klimat*VLOOKUP($A311,Leveranser_per_nät,'Leveranser per nät'!N$1,FALSE)
               +Andel_beroende_av_klimat*VLOOKUP($A311,Leveranser_per_nät,'Leveranser per nät'!N$1,FALSE)/VLOOKUP($B311,Korrigeringsfaktor_GD,'Korrigeringsfaktor GD'!N$1,FALSE),
"")</f>
        <v>91.352444444444444</v>
      </c>
      <c r="O311" s="18">
        <f>IFERROR(
                  Andel_oberoende_av_klimat*VLOOKUP($A311,Leveranser_per_nät,'Leveranser per nät'!O$1,FALSE)
               +Andel_beroende_av_klimat*VLOOKUP($A311,Leveranser_per_nät,'Leveranser per nät'!O$1,FALSE)/VLOOKUP($B311,Korrigeringsfaktor_GD,'Korrigeringsfaktor GD'!O$1,FALSE),
"")</f>
        <v>92.136629213483161</v>
      </c>
      <c r="P311" s="18">
        <f>IFERROR(
                  Andel_oberoende_av_klimat*VLOOKUP($A311,Leveranser_per_nät,'Leveranser per nät'!P$1,FALSE)
               +Andel_beroende_av_klimat*VLOOKUP($A311,Leveranser_per_nät,'Leveranser per nät'!P$1,FALSE)/VLOOKUP($B311,Korrigeringsfaktor_GD,'Korrigeringsfaktor GD'!P$1,FALSE),
"")</f>
        <v>98.28268041237115</v>
      </c>
      <c r="Q311" s="18">
        <f>IFERROR(
                  Andel_oberoende_av_klimat*VLOOKUP($A311,Leveranser_per_nät,'Leveranser per nät'!Q$1,FALSE)
               +Andel_beroende_av_klimat*VLOOKUP($A311,Leveranser_per_nät,'Leveranser per nät'!Q$1,FALSE)/VLOOKUP($B311,Korrigeringsfaktor_GD,'Korrigeringsfaktor GD'!Q$1,FALSE),
"")</f>
        <v>114.29</v>
      </c>
      <c r="R311" s="18">
        <f>IFERROR(
                  Andel_oberoende_av_klimat*VLOOKUP($A311,Leveranser_per_nät,'Leveranser per nät'!R$1,FALSE)
               +Andel_beroende_av_klimat*VLOOKUP($A311,Leveranser_per_nät,'Leveranser per nät'!R$1,FALSE)/VLOOKUP($B311,Korrigeringsfaktor_GD,'Korrigeringsfaktor GD'!R$1,FALSE),
"")</f>
        <v>96.952580645161277</v>
      </c>
      <c r="S311" s="18">
        <f>IFERROR(
                  Andel_oberoende_av_klimat*VLOOKUP($A311,Leveranser_per_nät,'Leveranser per nät'!S$1,FALSE)
               +Andel_beroende_av_klimat*VLOOKUP($A311,Leveranser_per_nät,'Leveranser per nät'!S$1,FALSE)/VLOOKUP($B311,Korrigeringsfaktor_GD,'Korrigeringsfaktor GD'!S$1,FALSE),
"")</f>
        <v>96.678787878787858</v>
      </c>
      <c r="T311" s="18">
        <f>IFERROR(
                  Andel_oberoende_av_klimat*VLOOKUP($A311,Leveranser_per_nät,'Leveranser per nät'!T$1,FALSE)
               +Andel_beroende_av_klimat*VLOOKUP($A311,Leveranser_per_nät,'Leveranser per nät'!T$1,FALSE)/VLOOKUP($B311,Korrigeringsfaktor_GD,'Korrigeringsfaktor GD'!T$1,FALSE),
"")</f>
        <v>96.741666666666674</v>
      </c>
      <c r="U311" s="18">
        <f>IFERROR(
                  Andel_oberoende_av_klimat*VLOOKUP($A311,Leveranser_per_nät,'Leveranser per nät'!U$1,FALSE)
               +Andel_beroende_av_klimat*VLOOKUP($A311,Leveranser_per_nät,'Leveranser per nät'!U$1,FALSE)/VLOOKUP($B311,Korrigeringsfaktor_GD,'Korrigeringsfaktor GD'!U$1,FALSE),
"")</f>
        <v>93.953333333333347</v>
      </c>
      <c r="V311" s="18">
        <f>IFERROR(
                  Andel_oberoende_av_klimat*VLOOKUP($A311,Leveranser_per_nät,'Leveranser per nät'!V$1,FALSE)
               +Andel_beroende_av_klimat*VLOOKUP($A311,Leveranser_per_nät,'Leveranser per nät'!V$1,FALSE)/VLOOKUP($B311,Korrigeringsfaktor_GD,'Korrigeringsfaktor GD'!V$1,FALSE),
"")</f>
        <v>100.015</v>
      </c>
      <c r="W311" s="18">
        <f>IFERROR(
                  Andel_oberoende_av_klimat*VLOOKUP($A311,Leveranser_per_nät,'Leveranser per nät'!W$1,FALSE)
               +Andel_beroende_av_klimat*VLOOKUP($A311,Leveranser_per_nät,'Leveranser per nät'!W$1,FALSE)/VLOOKUP($B311,Korrigeringsfaktor_GD,'Korrigeringsfaktor GD'!W$1,FALSE),
"")</f>
        <v>111.49739130434781</v>
      </c>
      <c r="X311" s="18">
        <f>IFERROR(
                  Andel_oberoende_av_klimat*VLOOKUP($A311,Leveranser_per_nät,'Leveranser per nät'!X$1,FALSE)
               +Andel_beroende_av_klimat*VLOOKUP($A311,Leveranser_per_nät,'Leveranser per nät'!X$1,FALSE)/VLOOKUP($B311,Korrigeringsfaktor_GD,'Korrigeringsfaktor GD'!X$1,FALSE),
"")</f>
        <v>114.46000000000001</v>
      </c>
      <c r="Y311" s="18">
        <f>IFERROR(
                  Andel_oberoende_av_klimat*VLOOKUP($A311,Leveranser_per_nät,'Leveranser per nät'!Y$1,FALSE)
               +Andel_beroende_av_klimat*VLOOKUP($A311,Leveranser_per_nät,'Leveranser per nät'!Y$1,FALSE)/VLOOKUP($B311,Korrigeringsfaktor_GD,'Korrigeringsfaktor GD'!Y$1,FALSE),
"")</f>
        <v>116.14865168539326</v>
      </c>
      <c r="Z311" s="18">
        <f>IFERROR(
                  Andel_oberoende_av_klimat*VLOOKUP($A311,Leveranser_per_nät,'Leveranser per nät'!Z$1,FALSE)
               +Andel_beroende_av_klimat*VLOOKUP($A311,Leveranser_per_nät,'Leveranser per nät'!Z$1,FALSE)/VLOOKUP($B311,Korrigeringsfaktor_GD,'Korrigeringsfaktor GD'!Z$1,FALSE),
"")</f>
        <v>107.23888888888888</v>
      </c>
      <c r="AA311" s="18">
        <f>IFERROR(
                  Andel_oberoende_av_klimat*VLOOKUP($A311,Leveranser_per_nät,'Leveranser per nät'!AA$1,FALSE)
               +Andel_beroende_av_klimat*VLOOKUP($A311,Leveranser_per_nät,'Leveranser per nät'!AA$1,FALSE)/VLOOKUP($B311,Korrigeringsfaktor_GD,'Korrigeringsfaktor GD'!AA$1,FALSE),
"")</f>
        <v>116.4040243902439</v>
      </c>
      <c r="AB311" s="18">
        <f>IFERROR(
                  Andel_oberoende_av_klimat*VLOOKUP($A311,Leveranser_per_nät,'Leveranser per nät'!AB$1,FALSE)
               +Andel_beroende_av_klimat*VLOOKUP($A311,Leveranser_per_nät,'Leveranser per nät'!AB$1,FALSE)/VLOOKUP($B311,Korrigeringsfaktor_GD,'Korrigeringsfaktor GD'!AB$1,FALSE),
"")</f>
        <v>111.2290382728165</v>
      </c>
      <c r="AC311" s="18">
        <f>IFERROR(
                  Andel_oberoende_av_klimat*VLOOKUP($A311,Leveranser_per_nät,'Leveranser per nät'!AC$1,FALSE)
               +Andel_beroende_av_klimat*VLOOKUP($A311,Leveranser_per_nät,'Leveranser per nät'!AC$1,FALSE)/VLOOKUP($B311,Korrigeringsfaktor_GD,'Korrigeringsfaktor GD'!AC$1,FALSE),
"")</f>
        <v>106.92865671641792</v>
      </c>
      <c r="AD311" t="e">
        <v>#N/A</v>
      </c>
    </row>
    <row r="312" spans="1:30" x14ac:dyDescent="0.25">
      <c r="A312" t="s">
        <v>233</v>
      </c>
      <c r="B312" t="s">
        <v>230</v>
      </c>
      <c r="C312" s="18">
        <f>IFERROR(
                  Andel_oberoende_av_klimat*VLOOKUP($A312,Leveranser_per_nät,'Leveranser per nät'!C$1,FALSE)
               +Andel_beroende_av_klimat*VLOOKUP($A312,Leveranser_per_nät,'Leveranser per nät'!C$1,FALSE)/VLOOKUP($B312,Korrigeringsfaktor_GD,'Korrigeringsfaktor GD'!C$1,FALSE),
"")</f>
        <v>0.98627450980392151</v>
      </c>
      <c r="D312" s="18">
        <f>IFERROR(
                  Andel_oberoende_av_klimat*VLOOKUP($A312,Leveranser_per_nät,'Leveranser per nät'!D$1,FALSE)
               +Andel_beroende_av_klimat*VLOOKUP($A312,Leveranser_per_nät,'Leveranser per nät'!D$1,FALSE)/VLOOKUP($B312,Korrigeringsfaktor_GD,'Korrigeringsfaktor GD'!D$1,FALSE),
"")</f>
        <v>0.83775257731958763</v>
      </c>
      <c r="E312" s="18">
        <f>IFERROR(
                  Andel_oberoende_av_klimat*VLOOKUP($A312,Leveranser_per_nät,'Leveranser per nät'!E$1,FALSE)
               +Andel_beroende_av_klimat*VLOOKUP($A312,Leveranser_per_nät,'Leveranser per nät'!E$1,FALSE)/VLOOKUP($B312,Korrigeringsfaktor_GD,'Korrigeringsfaktor GD'!E$1,FALSE),
"")</f>
        <v>0.97307692307692306</v>
      </c>
      <c r="F312" s="18">
        <f>IFERROR(
                  Andel_oberoende_av_klimat*VLOOKUP($A312,Leveranser_per_nät,'Leveranser per nät'!F$1,FALSE)
               +Andel_beroende_av_klimat*VLOOKUP($A312,Leveranser_per_nät,'Leveranser per nät'!F$1,FALSE)/VLOOKUP($B312,Korrigeringsfaktor_GD,'Korrigeringsfaktor GD'!F$1,FALSE),
"")</f>
        <v>0.99306930693069306</v>
      </c>
      <c r="G312" s="18">
        <f>IFERROR(
                  Andel_oberoende_av_klimat*VLOOKUP($A312,Leveranser_per_nät,'Leveranser per nät'!G$1,FALSE)
               +Andel_beroende_av_klimat*VLOOKUP($A312,Leveranser_per_nät,'Leveranser per nät'!G$1,FALSE)/VLOOKUP($B312,Korrigeringsfaktor_GD,'Korrigeringsfaktor GD'!G$1,FALSE),
"")</f>
        <v>1.0777777777777777</v>
      </c>
      <c r="H312" s="18">
        <f>IFERROR(
                  Andel_oberoende_av_klimat*VLOOKUP($A312,Leveranser_per_nät,'Leveranser per nät'!H$1,FALSE)
               +Andel_beroende_av_klimat*VLOOKUP($A312,Leveranser_per_nät,'Leveranser per nät'!H$1,FALSE)/VLOOKUP($B312,Korrigeringsfaktor_GD,'Korrigeringsfaktor GD'!H$1,FALSE),
"")</f>
        <v>0.99306930693069306</v>
      </c>
      <c r="I312" s="18">
        <f>IFERROR(
                  Andel_oberoende_av_klimat*VLOOKUP($A312,Leveranser_per_nät,'Leveranser per nät'!I$1,FALSE)
               +Andel_beroende_av_klimat*VLOOKUP($A312,Leveranser_per_nät,'Leveranser per nät'!I$1,FALSE)/VLOOKUP($B312,Korrigeringsfaktor_GD,'Korrigeringsfaktor GD'!I$1,FALSE),
"")</f>
        <v>1.007070707070707</v>
      </c>
      <c r="J312" s="18">
        <f>IFERROR(
                  Andel_oberoende_av_klimat*VLOOKUP($A312,Leveranser_per_nät,'Leveranser per nät'!J$1,FALSE)
               +Andel_beroende_av_klimat*VLOOKUP($A312,Leveranser_per_nät,'Leveranser per nät'!J$1,FALSE)/VLOOKUP($B312,Korrigeringsfaktor_GD,'Korrigeringsfaktor GD'!J$1,FALSE),
"")</f>
        <v>1.0291666666666668</v>
      </c>
      <c r="K312" s="18">
        <f>IFERROR(
                  Andel_oberoende_av_klimat*VLOOKUP($A312,Leveranser_per_nät,'Leveranser per nät'!K$1,FALSE)
               +Andel_beroende_av_klimat*VLOOKUP($A312,Leveranser_per_nät,'Leveranser per nät'!K$1,FALSE)/VLOOKUP($B312,Korrigeringsfaktor_GD,'Korrigeringsfaktor GD'!K$1,FALSE),
"")</f>
        <v>1.0889455555555554</v>
      </c>
      <c r="L312" s="18">
        <f>IFERROR(
                  Andel_oberoende_av_klimat*VLOOKUP($A312,Leveranser_per_nät,'Leveranser per nät'!L$1,FALSE)
               +Andel_beroende_av_klimat*VLOOKUP($A312,Leveranser_per_nät,'Leveranser per nät'!L$1,FALSE)/VLOOKUP($B312,Korrigeringsfaktor_GD,'Korrigeringsfaktor GD'!L$1,FALSE),
"")</f>
        <v>0.97373655913978496</v>
      </c>
      <c r="M312" s="18">
        <f>IFERROR(
                  Andel_oberoende_av_klimat*VLOOKUP($A312,Leveranser_per_nät,'Leveranser per nät'!M$1,FALSE)
               +Andel_beroende_av_klimat*VLOOKUP($A312,Leveranser_per_nät,'Leveranser per nät'!M$1,FALSE)/VLOOKUP($B312,Korrigeringsfaktor_GD,'Korrigeringsfaktor GD'!M$1,FALSE),
"")</f>
        <v>0.91583870967741932</v>
      </c>
      <c r="N312" s="18">
        <f>IFERROR(
                  Andel_oberoende_av_klimat*VLOOKUP($A312,Leveranser_per_nät,'Leveranser per nät'!N$1,FALSE)
               +Andel_beroende_av_klimat*VLOOKUP($A312,Leveranser_per_nät,'Leveranser per nät'!N$1,FALSE)/VLOOKUP($B312,Korrigeringsfaktor_GD,'Korrigeringsfaktor GD'!N$1,FALSE),
"")</f>
        <v>0.85794086021505378</v>
      </c>
      <c r="O312" s="18">
        <f>IFERROR(
                  Andel_oberoende_av_klimat*VLOOKUP($A312,Leveranser_per_nät,'Leveranser per nät'!O$1,FALSE)
               +Andel_beroende_av_klimat*VLOOKUP($A312,Leveranser_per_nät,'Leveranser per nät'!O$1,FALSE)/VLOOKUP($B312,Korrigeringsfaktor_GD,'Korrigeringsfaktor GD'!O$1,FALSE),
"")</f>
        <v>0.80004301075268813</v>
      </c>
      <c r="P312" s="18">
        <f>IFERROR(
                  Andel_oberoende_av_klimat*VLOOKUP($A312,Leveranser_per_nät,'Leveranser per nät'!P$1,FALSE)
               +Andel_beroende_av_klimat*VLOOKUP($A312,Leveranser_per_nät,'Leveranser per nät'!P$1,FALSE)/VLOOKUP($B312,Korrigeringsfaktor_GD,'Korrigeringsfaktor GD'!P$1,FALSE),
"")</f>
        <v>0.71</v>
      </c>
      <c r="Q312" s="18">
        <f>IFERROR(
                  Andel_oberoende_av_klimat*VLOOKUP($A312,Leveranser_per_nät,'Leveranser per nät'!Q$1,FALSE)
               +Andel_beroende_av_klimat*VLOOKUP($A312,Leveranser_per_nät,'Leveranser per nät'!Q$1,FALSE)/VLOOKUP($B312,Korrigeringsfaktor_GD,'Korrigeringsfaktor GD'!Q$1,FALSE),
"")</f>
        <v>0.74450450450450445</v>
      </c>
      <c r="R312" s="18">
        <f>IFERROR(
                  Andel_oberoende_av_klimat*VLOOKUP($A312,Leveranser_per_nät,'Leveranser per nät'!R$1,FALSE)
               +Andel_beroende_av_klimat*VLOOKUP($A312,Leveranser_per_nät,'Leveranser per nät'!R$1,FALSE)/VLOOKUP($B312,Korrigeringsfaktor_GD,'Korrigeringsfaktor GD'!R$1,FALSE),
"")</f>
        <v>1.2082307692307692</v>
      </c>
      <c r="S312" s="18">
        <f>IFERROR(
                  Andel_oberoende_av_klimat*VLOOKUP($A312,Leveranser_per_nät,'Leveranser per nät'!S$1,FALSE)
               +Andel_beroende_av_klimat*VLOOKUP($A312,Leveranser_per_nät,'Leveranser per nät'!S$1,FALSE)/VLOOKUP($B312,Korrigeringsfaktor_GD,'Korrigeringsfaktor GD'!S$1,FALSE),
"")</f>
        <v>1.53</v>
      </c>
      <c r="T312" s="18">
        <f>IFERROR(
                  Andel_oberoende_av_klimat*VLOOKUP($A312,Leveranser_per_nät,'Leveranser per nät'!T$1,FALSE)
               +Andel_beroende_av_klimat*VLOOKUP($A312,Leveranser_per_nät,'Leveranser per nät'!T$1,FALSE)/VLOOKUP($B312,Korrigeringsfaktor_GD,'Korrigeringsfaktor GD'!T$1,FALSE),
"")</f>
        <v>1.4316559139784946</v>
      </c>
      <c r="U312" s="18">
        <f>IFERROR(
                  Andel_oberoende_av_klimat*VLOOKUP($A312,Leveranser_per_nät,'Leveranser per nät'!U$1,FALSE)
               +Andel_beroende_av_klimat*VLOOKUP($A312,Leveranser_per_nät,'Leveranser per nät'!U$1,FALSE)/VLOOKUP($B312,Korrigeringsfaktor_GD,'Korrigeringsfaktor GD'!U$1,FALSE),
"")</f>
        <v>1.4226666666666667</v>
      </c>
      <c r="V312" s="18">
        <f>IFERROR(
                  Andel_oberoende_av_klimat*VLOOKUP($A312,Leveranser_per_nät,'Leveranser per nät'!V$1,FALSE)
               +Andel_beroende_av_klimat*VLOOKUP($A312,Leveranser_per_nät,'Leveranser per nät'!V$1,FALSE)/VLOOKUP($B312,Korrigeringsfaktor_GD,'Korrigeringsfaktor GD'!V$1,FALSE),
"")</f>
        <v>1.4021818181818182</v>
      </c>
      <c r="W312" s="18">
        <f>IFERROR(
                  Andel_oberoende_av_klimat*VLOOKUP($A312,Leveranser_per_nät,'Leveranser per nät'!W$1,FALSE)
               +Andel_beroende_av_klimat*VLOOKUP($A312,Leveranser_per_nät,'Leveranser per nät'!W$1,FALSE)/VLOOKUP($B312,Korrigeringsfaktor_GD,'Korrigeringsfaktor GD'!W$1,FALSE),
"")</f>
        <v>1.4507422680412372</v>
      </c>
      <c r="X312" s="18">
        <f>IFERROR(
                  Andel_oberoende_av_klimat*VLOOKUP($A312,Leveranser_per_nät,'Leveranser per nät'!X$1,FALSE)
               +Andel_beroende_av_klimat*VLOOKUP($A312,Leveranser_per_nät,'Leveranser per nät'!X$1,FALSE)/VLOOKUP($B312,Korrigeringsfaktor_GD,'Korrigeringsfaktor GD'!X$1,FALSE),
"")</f>
        <v>1.4494142857142858</v>
      </c>
      <c r="Y312" s="18">
        <f>IFERROR(
                  Andel_oberoende_av_klimat*VLOOKUP($A312,Leveranser_per_nät,'Leveranser per nät'!Y$1,FALSE)
               +Andel_beroende_av_klimat*VLOOKUP($A312,Leveranser_per_nät,'Leveranser per nät'!Y$1,FALSE)/VLOOKUP($B312,Korrigeringsfaktor_GD,'Korrigeringsfaktor GD'!Y$1,FALSE),
"")</f>
        <v>1.4783797979797979</v>
      </c>
      <c r="Z312" s="18">
        <f>IFERROR(
                  Andel_oberoende_av_klimat*VLOOKUP($A312,Leveranser_per_nät,'Leveranser per nät'!Z$1,FALSE)
               +Andel_beroende_av_klimat*VLOOKUP($A312,Leveranser_per_nät,'Leveranser per nät'!Z$1,FALSE)/VLOOKUP($B312,Korrigeringsfaktor_GD,'Korrigeringsfaktor GD'!Z$1,FALSE),
"")</f>
        <v>1.6274444444444445</v>
      </c>
      <c r="AA312" s="18">
        <f>IFERROR(
                  Andel_oberoende_av_klimat*VLOOKUP($A312,Leveranser_per_nät,'Leveranser per nät'!AA$1,FALSE)
               +Andel_beroende_av_klimat*VLOOKUP($A312,Leveranser_per_nät,'Leveranser per nät'!AA$1,FALSE)/VLOOKUP($B312,Korrigeringsfaktor_GD,'Korrigeringsfaktor GD'!AA$1,FALSE),
"")</f>
        <v>1.3643299641343334</v>
      </c>
      <c r="AB312" s="18">
        <f>IFERROR(
                  Andel_oberoende_av_klimat*VLOOKUP($A312,Leveranser_per_nät,'Leveranser per nät'!AB$1,FALSE)
               +Andel_beroende_av_klimat*VLOOKUP($A312,Leveranser_per_nät,'Leveranser per nät'!AB$1,FALSE)/VLOOKUP($B312,Korrigeringsfaktor_GD,'Korrigeringsfaktor GD'!AB$1,FALSE),
"")</f>
        <v>1.6152715809893308</v>
      </c>
      <c r="AC312" s="18">
        <f>IFERROR(
                  Andel_oberoende_av_klimat*VLOOKUP($A312,Leveranser_per_nät,'Leveranser per nät'!AC$1,FALSE)
               +Andel_beroende_av_klimat*VLOOKUP($A312,Leveranser_per_nät,'Leveranser per nät'!AC$1,FALSE)/VLOOKUP($B312,Korrigeringsfaktor_GD,'Korrigeringsfaktor GD'!AC$1,FALSE),
"")</f>
        <v>1.7006367432150313</v>
      </c>
      <c r="AD312">
        <v>240.6</v>
      </c>
    </row>
    <row r="313" spans="1:30" x14ac:dyDescent="0.25">
      <c r="A313" t="s">
        <v>366</v>
      </c>
      <c r="B313" t="s">
        <v>363</v>
      </c>
      <c r="C313" s="18">
        <f>IFERROR(
                  Andel_oberoende_av_klimat*VLOOKUP($A313,Leveranser_per_nät,'Leveranser per nät'!C$1,FALSE)
               +Andel_beroende_av_klimat*VLOOKUP($A313,Leveranser_per_nät,'Leveranser per nät'!C$1,FALSE)/VLOOKUP($B313,Korrigeringsfaktor_GD,'Korrigeringsfaktor GD'!C$1,FALSE),
"")</f>
        <v>0</v>
      </c>
      <c r="D313" s="18">
        <f>IFERROR(
                  Andel_oberoende_av_klimat*VLOOKUP($A313,Leveranser_per_nät,'Leveranser per nät'!D$1,FALSE)
               +Andel_beroende_av_klimat*VLOOKUP($A313,Leveranser_per_nät,'Leveranser per nät'!D$1,FALSE)/VLOOKUP($B313,Korrigeringsfaktor_GD,'Korrigeringsfaktor GD'!D$1,FALSE),
"")</f>
        <v>0</v>
      </c>
      <c r="E313" s="18">
        <f>IFERROR(
                  Andel_oberoende_av_klimat*VLOOKUP($A313,Leveranser_per_nät,'Leveranser per nät'!E$1,FALSE)
               +Andel_beroende_av_klimat*VLOOKUP($A313,Leveranser_per_nät,'Leveranser per nät'!E$1,FALSE)/VLOOKUP($B313,Korrigeringsfaktor_GD,'Korrigeringsfaktor GD'!E$1,FALSE),
"")</f>
        <v>4.9653465346534658</v>
      </c>
      <c r="F313" s="18">
        <f>IFERROR(
                  Andel_oberoende_av_klimat*VLOOKUP($A313,Leveranser_per_nät,'Leveranser per nät'!F$1,FALSE)
               +Andel_beroende_av_klimat*VLOOKUP($A313,Leveranser_per_nät,'Leveranser per nät'!F$1,FALSE)/VLOOKUP($B313,Korrigeringsfaktor_GD,'Korrigeringsfaktor GD'!F$1,FALSE),
"")</f>
        <v>5.2234042553191493</v>
      </c>
      <c r="G313" s="18">
        <f>IFERROR(
                  Andel_oberoende_av_klimat*VLOOKUP($A313,Leveranser_per_nät,'Leveranser per nät'!G$1,FALSE)
               +Andel_beroende_av_klimat*VLOOKUP($A313,Leveranser_per_nät,'Leveranser per nät'!G$1,FALSE)/VLOOKUP($B313,Korrigeringsfaktor_GD,'Korrigeringsfaktor GD'!G$1,FALSE),
"")</f>
        <v>5.5229885057471266</v>
      </c>
      <c r="H313" s="18">
        <f>IFERROR(
                  Andel_oberoende_av_klimat*VLOOKUP($A313,Leveranser_per_nät,'Leveranser per nät'!H$1,FALSE)
               +Andel_beroende_av_klimat*VLOOKUP($A313,Leveranser_per_nät,'Leveranser per nät'!H$1,FALSE)/VLOOKUP($B313,Korrigeringsfaktor_GD,'Korrigeringsfaktor GD'!H$1,FALSE),
"")</f>
        <v>6.5519999999999996</v>
      </c>
      <c r="I313" s="18">
        <f>IFERROR(
                  Andel_oberoende_av_klimat*VLOOKUP($A313,Leveranser_per_nät,'Leveranser per nät'!I$1,FALSE)
               +Andel_beroende_av_klimat*VLOOKUP($A313,Leveranser_per_nät,'Leveranser per nät'!I$1,FALSE)/VLOOKUP($B313,Korrigeringsfaktor_GD,'Korrigeringsfaktor GD'!I$1,FALSE),
"")</f>
        <v>7.3127659574468087</v>
      </c>
      <c r="J313" s="18">
        <f>IFERROR(
                  Andel_oberoende_av_klimat*VLOOKUP($A313,Leveranser_per_nät,'Leveranser per nät'!J$1,FALSE)
               +Andel_beroende_av_klimat*VLOOKUP($A313,Leveranser_per_nät,'Leveranser per nät'!J$1,FALSE)/VLOOKUP($B313,Korrigeringsfaktor_GD,'Korrigeringsfaktor GD'!J$1,FALSE),
"")</f>
        <v>7.1</v>
      </c>
      <c r="K313" s="18">
        <f>IFERROR(
                  Andel_oberoende_av_klimat*VLOOKUP($A313,Leveranser_per_nät,'Leveranser per nät'!K$1,FALSE)
               +Andel_beroende_av_klimat*VLOOKUP($A313,Leveranser_per_nät,'Leveranser per nät'!K$1,FALSE)/VLOOKUP($B313,Korrigeringsfaktor_GD,'Korrigeringsfaktor GD'!K$1,FALSE),
"")</f>
        <v>13.07</v>
      </c>
      <c r="L313" s="18">
        <f>IFERROR(
                  Andel_oberoende_av_klimat*VLOOKUP($A313,Leveranser_per_nät,'Leveranser per nät'!L$1,FALSE)
               +Andel_beroende_av_klimat*VLOOKUP($A313,Leveranser_per_nät,'Leveranser per nät'!L$1,FALSE)/VLOOKUP($B313,Korrigeringsfaktor_GD,'Korrigeringsfaktor GD'!L$1,FALSE),
"")</f>
        <v>7.1658494845360829</v>
      </c>
      <c r="M313" s="18">
        <f>IFERROR(
                  Andel_oberoende_av_klimat*VLOOKUP($A313,Leveranser_per_nät,'Leveranser per nät'!M$1,FALSE)
               +Andel_beroende_av_klimat*VLOOKUP($A313,Leveranser_per_nät,'Leveranser per nät'!M$1,FALSE)/VLOOKUP($B313,Korrigeringsfaktor_GD,'Korrigeringsfaktor GD'!M$1,FALSE),
"")</f>
        <v>8.2288634408602146</v>
      </c>
      <c r="N313" s="18">
        <f>IFERROR(
                  Andel_oberoende_av_klimat*VLOOKUP($A313,Leveranser_per_nät,'Leveranser per nät'!N$1,FALSE)
               +Andel_beroende_av_klimat*VLOOKUP($A313,Leveranser_per_nät,'Leveranser per nät'!N$1,FALSE)/VLOOKUP($B313,Korrigeringsfaktor_GD,'Korrigeringsfaktor GD'!N$1,FALSE),
"")</f>
        <v>8.4249888888888886</v>
      </c>
      <c r="O313" s="18">
        <f>IFERROR(
                  Andel_oberoende_av_klimat*VLOOKUP($A313,Leveranser_per_nät,'Leveranser per nät'!O$1,FALSE)
               +Andel_beroende_av_klimat*VLOOKUP($A313,Leveranser_per_nät,'Leveranser per nät'!O$1,FALSE)/VLOOKUP($B313,Korrigeringsfaktor_GD,'Korrigeringsfaktor GD'!O$1,FALSE),
"")</f>
        <v>10.014711111111112</v>
      </c>
      <c r="P313" s="18">
        <f>IFERROR(
                  Andel_oberoende_av_klimat*VLOOKUP($A313,Leveranser_per_nät,'Leveranser per nät'!P$1,FALSE)
               +Andel_beroende_av_klimat*VLOOKUP($A313,Leveranser_per_nät,'Leveranser per nät'!P$1,FALSE)/VLOOKUP($B313,Korrigeringsfaktor_GD,'Korrigeringsfaktor GD'!P$1,FALSE),
"")</f>
        <v>9.9471000000000007</v>
      </c>
      <c r="Q313" s="18">
        <f>IFERROR(
                  Andel_oberoende_av_klimat*VLOOKUP($A313,Leveranser_per_nät,'Leveranser per nät'!Q$1,FALSE)
               +Andel_beroende_av_klimat*VLOOKUP($A313,Leveranser_per_nät,'Leveranser per nät'!Q$1,FALSE)/VLOOKUP($B313,Korrigeringsfaktor_GD,'Korrigeringsfaktor GD'!Q$1,FALSE),
"")</f>
        <v>10.392752173913044</v>
      </c>
      <c r="R313" s="18">
        <f>IFERROR(
                  Andel_oberoende_av_klimat*VLOOKUP($A313,Leveranser_per_nät,'Leveranser per nät'!R$1,FALSE)
               +Andel_beroende_av_klimat*VLOOKUP($A313,Leveranser_per_nät,'Leveranser per nät'!R$1,FALSE)/VLOOKUP($B313,Korrigeringsfaktor_GD,'Korrigeringsfaktor GD'!R$1,FALSE),
"")</f>
        <v>12.754834782608693</v>
      </c>
      <c r="S313" s="18">
        <f>IFERROR(
                  Andel_oberoende_av_klimat*VLOOKUP($A313,Leveranser_per_nät,'Leveranser per nät'!S$1,FALSE)
               +Andel_beroende_av_klimat*VLOOKUP($A313,Leveranser_per_nät,'Leveranser per nät'!S$1,FALSE)/VLOOKUP($B313,Korrigeringsfaktor_GD,'Korrigeringsfaktor GD'!S$1,FALSE),
"")</f>
        <v>10.327920792079208</v>
      </c>
      <c r="T313" s="18">
        <f>IFERROR(
                  Andel_oberoende_av_klimat*VLOOKUP($A313,Leveranser_per_nät,'Leveranser per nät'!T$1,FALSE)
               +Andel_beroende_av_klimat*VLOOKUP($A313,Leveranser_per_nät,'Leveranser per nät'!T$1,FALSE)/VLOOKUP($B313,Korrigeringsfaktor_GD,'Korrigeringsfaktor GD'!T$1,FALSE),
"")</f>
        <v>11.1541</v>
      </c>
      <c r="U313" s="18">
        <f>IFERROR(
                  Andel_oberoende_av_klimat*VLOOKUP($A313,Leveranser_per_nät,'Leveranser per nät'!U$1,FALSE)
               +Andel_beroende_av_klimat*VLOOKUP($A313,Leveranser_per_nät,'Leveranser per nät'!U$1,FALSE)/VLOOKUP($B313,Korrigeringsfaktor_GD,'Korrigeringsfaktor GD'!U$1,FALSE),
"")</f>
        <v>11.558381395348837</v>
      </c>
      <c r="V313" s="18">
        <f>IFERROR(
                  Andel_oberoende_av_klimat*VLOOKUP($A313,Leveranser_per_nät,'Leveranser per nät'!V$1,FALSE)
               +Andel_beroende_av_klimat*VLOOKUP($A313,Leveranser_per_nät,'Leveranser per nät'!V$1,FALSE)/VLOOKUP($B313,Korrigeringsfaktor_GD,'Korrigeringsfaktor GD'!V$1,FALSE),
"")</f>
        <v>10.741133333333332</v>
      </c>
      <c r="W313" s="18">
        <f>IFERROR(
                  Andel_oberoende_av_klimat*VLOOKUP($A313,Leveranser_per_nät,'Leveranser per nät'!W$1,FALSE)
               +Andel_beroende_av_klimat*VLOOKUP($A313,Leveranser_per_nät,'Leveranser per nät'!W$1,FALSE)/VLOOKUP($B313,Korrigeringsfaktor_GD,'Korrigeringsfaktor GD'!W$1,FALSE),
"")</f>
        <v>11.241810638297872</v>
      </c>
      <c r="X313" s="18">
        <f>IFERROR(
                  Andel_oberoende_av_klimat*VLOOKUP($A313,Leveranser_per_nät,'Leveranser per nät'!X$1,FALSE)
               +Andel_beroende_av_klimat*VLOOKUP($A313,Leveranser_per_nät,'Leveranser per nät'!X$1,FALSE)/VLOOKUP($B313,Korrigeringsfaktor_GD,'Korrigeringsfaktor GD'!X$1,FALSE),
"")</f>
        <v>10.965852688172042</v>
      </c>
      <c r="Y313" s="18">
        <f>IFERROR(
                  Andel_oberoende_av_klimat*VLOOKUP($A313,Leveranser_per_nät,'Leveranser per nät'!Y$1,FALSE)
               +Andel_beroende_av_klimat*VLOOKUP($A313,Leveranser_per_nät,'Leveranser per nät'!Y$1,FALSE)/VLOOKUP($B313,Korrigeringsfaktor_GD,'Korrigeringsfaktor GD'!Y$1,FALSE),
"")</f>
        <v>10.953455555555555</v>
      </c>
      <c r="Z313" s="18">
        <f>IFERROR(
                  Andel_oberoende_av_klimat*VLOOKUP($A313,Leveranser_per_nät,'Leveranser per nät'!Z$1,FALSE)
               +Andel_beroende_av_klimat*VLOOKUP($A313,Leveranser_per_nät,'Leveranser per nät'!Z$1,FALSE)/VLOOKUP($B313,Korrigeringsfaktor_GD,'Korrigeringsfaktor GD'!Z$1,FALSE),
"")</f>
        <v>10.464561538461538</v>
      </c>
      <c r="AA313" s="18">
        <f>IFERROR(
                  Andel_oberoende_av_klimat*VLOOKUP($A313,Leveranser_per_nät,'Leveranser per nät'!AA$1,FALSE)
               +Andel_beroende_av_klimat*VLOOKUP($A313,Leveranser_per_nät,'Leveranser per nät'!AA$1,FALSE)/VLOOKUP($B313,Korrigeringsfaktor_GD,'Korrigeringsfaktor GD'!AA$1,FALSE),
"")</f>
        <v>11.090138152105595</v>
      </c>
      <c r="AB313" s="18">
        <f>IFERROR(
                  Andel_oberoende_av_klimat*VLOOKUP($A313,Leveranser_per_nät,'Leveranser per nät'!AB$1,FALSE)
               +Andel_beroende_av_klimat*VLOOKUP($A313,Leveranser_per_nät,'Leveranser per nät'!AB$1,FALSE)/VLOOKUP($B313,Korrigeringsfaktor_GD,'Korrigeringsfaktor GD'!AB$1,FALSE),
"")</f>
        <v>9.6602469087340523</v>
      </c>
      <c r="AC313" s="18">
        <f>IFERROR(
                  Andel_oberoende_av_klimat*VLOOKUP($A313,Leveranser_per_nät,'Leveranser per nät'!AC$1,FALSE)
               +Andel_beroende_av_klimat*VLOOKUP($A313,Leveranser_per_nät,'Leveranser per nät'!AC$1,FALSE)/VLOOKUP($B313,Korrigeringsfaktor_GD,'Korrigeringsfaktor GD'!AC$1,FALSE),
"")</f>
        <v>10.0966373812038</v>
      </c>
      <c r="AD313" t="e">
        <v>#N/A</v>
      </c>
    </row>
    <row r="314" spans="1:30" x14ac:dyDescent="0.25">
      <c r="A314" t="s">
        <v>73</v>
      </c>
      <c r="B314" t="s">
        <v>376</v>
      </c>
      <c r="C314" s="18">
        <f>IFERROR(
                  Andel_oberoende_av_klimat*VLOOKUP($A314,Leveranser_per_nät,'Leveranser per nät'!C$1,FALSE)
               +Andel_beroende_av_klimat*VLOOKUP($A314,Leveranser_per_nät,'Leveranser per nät'!C$1,FALSE)/VLOOKUP($B314,Korrigeringsfaktor_GD,'Korrigeringsfaktor GD'!C$1,FALSE),
"")</f>
        <v>0</v>
      </c>
      <c r="D314" s="18">
        <f>IFERROR(
                  Andel_oberoende_av_klimat*VLOOKUP($A314,Leveranser_per_nät,'Leveranser per nät'!D$1,FALSE)
               +Andel_beroende_av_klimat*VLOOKUP($A314,Leveranser_per_nät,'Leveranser per nät'!D$1,FALSE)/VLOOKUP($B314,Korrigeringsfaktor_GD,'Korrigeringsfaktor GD'!D$1,FALSE),
"")</f>
        <v>0</v>
      </c>
      <c r="E314" s="18">
        <f>IFERROR(
                  Andel_oberoende_av_klimat*VLOOKUP($A314,Leveranser_per_nät,'Leveranser per nät'!E$1,FALSE)
               +Andel_beroende_av_klimat*VLOOKUP($A314,Leveranser_per_nät,'Leveranser per nät'!E$1,FALSE)/VLOOKUP($B314,Korrigeringsfaktor_GD,'Korrigeringsfaktor GD'!E$1,FALSE),
"")</f>
        <v>0</v>
      </c>
      <c r="F314" s="18">
        <f>IFERROR(
                  Andel_oberoende_av_klimat*VLOOKUP($A314,Leveranser_per_nät,'Leveranser per nät'!F$1,FALSE)
               +Andel_beroende_av_klimat*VLOOKUP($A314,Leveranser_per_nät,'Leveranser per nät'!F$1,FALSE)/VLOOKUP($B314,Korrigeringsfaktor_GD,'Korrigeringsfaktor GD'!F$1,FALSE),
"")</f>
        <v>1.0826010101010102</v>
      </c>
      <c r="G314" s="18">
        <f>IFERROR(
                  Andel_oberoende_av_klimat*VLOOKUP($A314,Leveranser_per_nät,'Leveranser per nät'!G$1,FALSE)
               +Andel_beroende_av_klimat*VLOOKUP($A314,Leveranser_per_nät,'Leveranser per nät'!G$1,FALSE)/VLOOKUP($B314,Korrigeringsfaktor_GD,'Korrigeringsfaktor GD'!G$1,FALSE),
"")</f>
        <v>1.0777777777777777</v>
      </c>
      <c r="H314" s="18">
        <f>IFERROR(
                  Andel_oberoende_av_klimat*VLOOKUP($A314,Leveranser_per_nät,'Leveranser per nät'!H$1,FALSE)
               +Andel_beroende_av_klimat*VLOOKUP($A314,Leveranser_per_nät,'Leveranser per nät'!H$1,FALSE)/VLOOKUP($B314,Korrigeringsfaktor_GD,'Korrigeringsfaktor GD'!H$1,FALSE),
"")</f>
        <v>1.007070707070707</v>
      </c>
      <c r="I314" s="18">
        <f>IFERROR(
                  Andel_oberoende_av_klimat*VLOOKUP($A314,Leveranser_per_nät,'Leveranser per nät'!I$1,FALSE)
               +Andel_beroende_av_klimat*VLOOKUP($A314,Leveranser_per_nät,'Leveranser per nät'!I$1,FALSE)/VLOOKUP($B314,Korrigeringsfaktor_GD,'Korrigeringsfaktor GD'!I$1,FALSE),
"")</f>
        <v>1.0368421052631578</v>
      </c>
      <c r="J314" s="18">
        <f>IFERROR(
                  Andel_oberoende_av_klimat*VLOOKUP($A314,Leveranser_per_nät,'Leveranser per nät'!J$1,FALSE)
               +Andel_beroende_av_klimat*VLOOKUP($A314,Leveranser_per_nät,'Leveranser per nät'!J$1,FALSE)/VLOOKUP($B314,Korrigeringsfaktor_GD,'Korrigeringsfaktor GD'!J$1,FALSE),
"")</f>
        <v>1.5107816445334576</v>
      </c>
      <c r="K314" s="18">
        <f>IFERROR(
                  Andel_oberoende_av_klimat*VLOOKUP($A314,Leveranser_per_nät,'Leveranser per nät'!K$1,FALSE)
               +Andel_beroende_av_klimat*VLOOKUP($A314,Leveranser_per_nät,'Leveranser per nät'!K$1,FALSE)/VLOOKUP($B314,Korrigeringsfaktor_GD,'Korrigeringsfaktor GD'!K$1,FALSE),
"")</f>
        <v>2.0218505207285022</v>
      </c>
      <c r="L314" s="18">
        <f>IFERROR(
                  Andel_oberoende_av_klimat*VLOOKUP($A314,Leveranser_per_nät,'Leveranser per nät'!L$1,FALSE)
               +Andel_beroende_av_klimat*VLOOKUP($A314,Leveranser_per_nät,'Leveranser per nät'!L$1,FALSE)/VLOOKUP($B314,Korrigeringsfaktor_GD,'Korrigeringsfaktor GD'!L$1,FALSE),
"")</f>
        <v>2.0674297346487829</v>
      </c>
      <c r="M314" s="18">
        <f>IFERROR(
                  Andel_oberoende_av_klimat*VLOOKUP($A314,Leveranser_per_nät,'Leveranser per nät'!M$1,FALSE)
               +Andel_beroende_av_klimat*VLOOKUP($A314,Leveranser_per_nät,'Leveranser per nät'!M$1,FALSE)/VLOOKUP($B314,Korrigeringsfaktor_GD,'Korrigeringsfaktor GD'!M$1,FALSE),
"")</f>
        <v>1.8952147780401454</v>
      </c>
      <c r="N314" s="18">
        <f>IFERROR(
                  Andel_oberoende_av_klimat*VLOOKUP($A314,Leveranser_per_nät,'Leveranser per nät'!N$1,FALSE)
               +Andel_beroende_av_klimat*VLOOKUP($A314,Leveranser_per_nät,'Leveranser per nät'!N$1,FALSE)/VLOOKUP($B314,Korrigeringsfaktor_GD,'Korrigeringsfaktor GD'!N$1,FALSE),
"")</f>
        <v>1.6359702127659577</v>
      </c>
      <c r="O314" s="18">
        <f>IFERROR(
                  Andel_oberoende_av_klimat*VLOOKUP($A314,Leveranser_per_nät,'Leveranser per nät'!O$1,FALSE)
               +Andel_beroende_av_klimat*VLOOKUP($A314,Leveranser_per_nät,'Leveranser per nät'!O$1,FALSE)/VLOOKUP($B314,Korrigeringsfaktor_GD,'Korrigeringsfaktor GD'!O$1,FALSE),
"")</f>
        <v>1.6038461538461535</v>
      </c>
      <c r="P314" s="18">
        <f>IFERROR(
                  Andel_oberoende_av_klimat*VLOOKUP($A314,Leveranser_per_nät,'Leveranser per nät'!P$1,FALSE)
               +Andel_beroende_av_klimat*VLOOKUP($A314,Leveranser_per_nät,'Leveranser per nät'!P$1,FALSE)/VLOOKUP($B314,Korrigeringsfaktor_GD,'Korrigeringsfaktor GD'!P$1,FALSE),
"")</f>
        <v>1.7242857142857142</v>
      </c>
      <c r="Q314" s="18">
        <f>IFERROR(
                  Andel_oberoende_av_klimat*VLOOKUP($A314,Leveranser_per_nät,'Leveranser per nät'!Q$1,FALSE)
               +Andel_beroende_av_klimat*VLOOKUP($A314,Leveranser_per_nät,'Leveranser per nät'!Q$1,FALSE)/VLOOKUP($B314,Korrigeringsfaktor_GD,'Korrigeringsfaktor GD'!Q$1,FALSE),
"")</f>
        <v>1.768198198198198</v>
      </c>
      <c r="R314" s="18">
        <f>IFERROR(
                  Andel_oberoende_av_klimat*VLOOKUP($A314,Leveranser_per_nät,'Leveranser per nät'!R$1,FALSE)
               +Andel_beroende_av_klimat*VLOOKUP($A314,Leveranser_per_nät,'Leveranser per nät'!R$1,FALSE)/VLOOKUP($B314,Korrigeringsfaktor_GD,'Korrigeringsfaktor GD'!R$1,FALSE),
"")</f>
        <v>2.0477777777777777</v>
      </c>
      <c r="S314" s="18">
        <f>IFERROR(
                  Andel_oberoende_av_klimat*VLOOKUP($A314,Leveranser_per_nät,'Leveranser per nät'!S$1,FALSE)
               +Andel_beroende_av_klimat*VLOOKUP($A314,Leveranser_per_nät,'Leveranser per nät'!S$1,FALSE)/VLOOKUP($B314,Korrigeringsfaktor_GD,'Korrigeringsfaktor GD'!S$1,FALSE),
"")</f>
        <v>1.8257142857142861</v>
      </c>
      <c r="T314" s="18">
        <f>IFERROR(
                  Andel_oberoende_av_klimat*VLOOKUP($A314,Leveranser_per_nät,'Leveranser per nät'!T$1,FALSE)
               +Andel_beroende_av_klimat*VLOOKUP($A314,Leveranser_per_nät,'Leveranser per nät'!T$1,FALSE)/VLOOKUP($B314,Korrigeringsfaktor_GD,'Korrigeringsfaktor GD'!T$1,FALSE),
"")</f>
        <v>1.9474731182795699</v>
      </c>
      <c r="U314" s="18">
        <f>IFERROR(
                  Andel_oberoende_av_klimat*VLOOKUP($A314,Leveranser_per_nät,'Leveranser per nät'!U$1,FALSE)
               +Andel_beroende_av_klimat*VLOOKUP($A314,Leveranser_per_nät,'Leveranser per nät'!U$1,FALSE)/VLOOKUP($B314,Korrigeringsfaktor_GD,'Korrigeringsfaktor GD'!U$1,FALSE),
"")</f>
        <v>2.0813636363636361</v>
      </c>
      <c r="V314" s="18">
        <f>IFERROR(
                  Andel_oberoende_av_klimat*VLOOKUP($A314,Leveranser_per_nät,'Leveranser per nät'!V$1,FALSE)
               +Andel_beroende_av_klimat*VLOOKUP($A314,Leveranser_per_nät,'Leveranser per nät'!V$1,FALSE)/VLOOKUP($B314,Korrigeringsfaktor_GD,'Korrigeringsfaktor GD'!V$1,FALSE),
"")</f>
        <v>6.185747126436782</v>
      </c>
      <c r="W314" s="18">
        <f>IFERROR(
                  Andel_oberoende_av_klimat*VLOOKUP($A314,Leveranser_per_nät,'Leveranser per nät'!W$1,FALSE)
               +Andel_beroende_av_klimat*VLOOKUP($A314,Leveranser_per_nät,'Leveranser per nät'!W$1,FALSE)/VLOOKUP($B314,Korrigeringsfaktor_GD,'Korrigeringsfaktor GD'!W$1,FALSE),
"")</f>
        <v>7.3127659574468087</v>
      </c>
      <c r="X314" s="18">
        <f>IFERROR(
                  Andel_oberoende_av_klimat*VLOOKUP($A314,Leveranser_per_nät,'Leveranser per nät'!X$1,FALSE)
               +Andel_beroende_av_klimat*VLOOKUP($A314,Leveranser_per_nät,'Leveranser per nät'!X$1,FALSE)/VLOOKUP($B314,Korrigeringsfaktor_GD,'Korrigeringsfaktor GD'!X$1,FALSE),
"")</f>
        <v>7.5689473684210524</v>
      </c>
      <c r="Y314" s="18">
        <f>IFERROR(
                  Andel_oberoende_av_klimat*VLOOKUP($A314,Leveranser_per_nät,'Leveranser per nät'!Y$1,FALSE)
               +Andel_beroende_av_klimat*VLOOKUP($A314,Leveranser_per_nät,'Leveranser per nät'!Y$1,FALSE)/VLOOKUP($B314,Korrigeringsfaktor_GD,'Korrigeringsfaktor GD'!Y$1,FALSE),
"")</f>
        <v>7.41</v>
      </c>
      <c r="Z314" s="18">
        <f>IFERROR(
                  Andel_oberoende_av_klimat*VLOOKUP($A314,Leveranser_per_nät,'Leveranser per nät'!Z$1,FALSE)
               +Andel_beroende_av_klimat*VLOOKUP($A314,Leveranser_per_nät,'Leveranser per nät'!Z$1,FALSE)/VLOOKUP($B314,Korrigeringsfaktor_GD,'Korrigeringsfaktor GD'!Z$1,FALSE),
"")</f>
        <v>8.0004301075268813</v>
      </c>
      <c r="AA314" s="18">
        <f>IFERROR(
                  Andel_oberoende_av_klimat*VLOOKUP($A314,Leveranser_per_nät,'Leveranser per nät'!AA$1,FALSE)
               +Andel_beroende_av_klimat*VLOOKUP($A314,Leveranser_per_nät,'Leveranser per nät'!AA$1,FALSE)/VLOOKUP($B314,Korrigeringsfaktor_GD,'Korrigeringsfaktor GD'!AA$1,FALSE),
"")</f>
        <v>7.7671217933903396</v>
      </c>
      <c r="AB314" s="18">
        <f>IFERROR(
                  Andel_oberoende_av_klimat*VLOOKUP($A314,Leveranser_per_nät,'Leveranser per nät'!AB$1,FALSE)
               +Andel_beroende_av_klimat*VLOOKUP($A314,Leveranser_per_nät,'Leveranser per nät'!AB$1,FALSE)/VLOOKUP($B314,Korrigeringsfaktor_GD,'Korrigeringsfaktor GD'!AB$1,FALSE),
"")</f>
        <v>7.4997551059730245</v>
      </c>
      <c r="AC314" s="18">
        <f>IFERROR(
                  Andel_oberoende_av_klimat*VLOOKUP($A314,Leveranser_per_nät,'Leveranser per nät'!AC$1,FALSE)
               +Andel_beroende_av_klimat*VLOOKUP($A314,Leveranser_per_nät,'Leveranser per nät'!AC$1,FALSE)/VLOOKUP($B314,Korrigeringsfaktor_GD,'Korrigeringsfaktor GD'!AC$1,FALSE),
"")</f>
        <v>7.496863917525773</v>
      </c>
      <c r="AD314">
        <v>223.7</v>
      </c>
    </row>
    <row r="315" spans="1:30" x14ac:dyDescent="0.25">
      <c r="A315" t="s">
        <v>87</v>
      </c>
      <c r="B315" t="s">
        <v>464</v>
      </c>
      <c r="C315" s="18">
        <f>IFERROR(
                  Andel_oberoende_av_klimat*VLOOKUP($A315,Leveranser_per_nät,'Leveranser per nät'!C$1,FALSE)
               +Andel_beroende_av_klimat*VLOOKUP($A315,Leveranser_per_nät,'Leveranser per nät'!C$1,FALSE)/VLOOKUP($B315,Korrigeringsfaktor_GD,'Korrigeringsfaktor GD'!C$1,FALSE),
"")</f>
        <v>0</v>
      </c>
      <c r="D315" s="18">
        <f>IFERROR(
                  Andel_oberoende_av_klimat*VLOOKUP($A315,Leveranser_per_nät,'Leveranser per nät'!D$1,FALSE)
               +Andel_beroende_av_klimat*VLOOKUP($A315,Leveranser_per_nät,'Leveranser per nät'!D$1,FALSE)/VLOOKUP($B315,Korrigeringsfaktor_GD,'Korrigeringsfaktor GD'!D$1,FALSE),
"")</f>
        <v>0</v>
      </c>
      <c r="E315" s="18">
        <f>IFERROR(
                  Andel_oberoende_av_klimat*VLOOKUP($A315,Leveranser_per_nät,'Leveranser per nät'!E$1,FALSE)
               +Andel_beroende_av_klimat*VLOOKUP($A315,Leveranser_per_nät,'Leveranser per nät'!E$1,FALSE)/VLOOKUP($B315,Korrigeringsfaktor_GD,'Korrigeringsfaktor GD'!E$1,FALSE),
"")</f>
        <v>0</v>
      </c>
      <c r="F315" s="18">
        <f>IFERROR(
                  Andel_oberoende_av_klimat*VLOOKUP($A315,Leveranser_per_nät,'Leveranser per nät'!F$1,FALSE)
               +Andel_beroende_av_klimat*VLOOKUP($A315,Leveranser_per_nät,'Leveranser per nät'!F$1,FALSE)/VLOOKUP($B315,Korrigeringsfaktor_GD,'Korrigeringsfaktor GD'!F$1,FALSE),
"")</f>
        <v>0</v>
      </c>
      <c r="G315" s="18">
        <f>IFERROR(
                  Andel_oberoende_av_klimat*VLOOKUP($A315,Leveranser_per_nät,'Leveranser per nät'!G$1,FALSE)
               +Andel_beroende_av_klimat*VLOOKUP($A315,Leveranser_per_nät,'Leveranser per nät'!G$1,FALSE)/VLOOKUP($B315,Korrigeringsfaktor_GD,'Korrigeringsfaktor GD'!G$1,FALSE),
"")</f>
        <v>0</v>
      </c>
      <c r="H315" s="18">
        <f>IFERROR(
                  Andel_oberoende_av_klimat*VLOOKUP($A315,Leveranser_per_nät,'Leveranser per nät'!H$1,FALSE)
               +Andel_beroende_av_klimat*VLOOKUP($A315,Leveranser_per_nät,'Leveranser per nät'!H$1,FALSE)/VLOOKUP($B315,Korrigeringsfaktor_GD,'Korrigeringsfaktor GD'!H$1,FALSE),
"")</f>
        <v>0</v>
      </c>
      <c r="I315" s="18">
        <f>IFERROR(
                  Andel_oberoende_av_klimat*VLOOKUP($A315,Leveranser_per_nät,'Leveranser per nät'!I$1,FALSE)
               +Andel_beroende_av_klimat*VLOOKUP($A315,Leveranser_per_nät,'Leveranser per nät'!I$1,FALSE)/VLOOKUP($B315,Korrigeringsfaktor_GD,'Korrigeringsfaktor GD'!I$1,FALSE),
"")</f>
        <v>0</v>
      </c>
      <c r="J315" s="18">
        <f>IFERROR(
                  Andel_oberoende_av_klimat*VLOOKUP($A315,Leveranser_per_nät,'Leveranser per nät'!J$1,FALSE)
               +Andel_beroende_av_klimat*VLOOKUP($A315,Leveranser_per_nät,'Leveranser per nät'!J$1,FALSE)/VLOOKUP($B315,Korrigeringsfaktor_GD,'Korrigeringsfaktor GD'!J$1,FALSE),
"")</f>
        <v>0</v>
      </c>
      <c r="K315" s="18">
        <f>IFERROR(
                  Andel_oberoende_av_klimat*VLOOKUP($A315,Leveranser_per_nät,'Leveranser per nät'!K$1,FALSE)
               +Andel_beroende_av_klimat*VLOOKUP($A315,Leveranser_per_nät,'Leveranser per nät'!K$1,FALSE)/VLOOKUP($B315,Korrigeringsfaktor_GD,'Korrigeringsfaktor GD'!K$1,FALSE),
"")</f>
        <v>0</v>
      </c>
      <c r="L315" s="18">
        <f>IFERROR(
                  Andel_oberoende_av_klimat*VLOOKUP($A315,Leveranser_per_nät,'Leveranser per nät'!L$1,FALSE)
               +Andel_beroende_av_klimat*VLOOKUP($A315,Leveranser_per_nät,'Leveranser per nät'!L$1,FALSE)/VLOOKUP($B315,Korrigeringsfaktor_GD,'Korrigeringsfaktor GD'!L$1,FALSE),
"")</f>
        <v>15.029780193378187</v>
      </c>
      <c r="M315" s="18">
        <f>IFERROR(
                  Andel_oberoende_av_klimat*VLOOKUP($A315,Leveranser_per_nät,'Leveranser per nät'!M$1,FALSE)
               +Andel_beroende_av_klimat*VLOOKUP($A315,Leveranser_per_nät,'Leveranser per nät'!M$1,FALSE)/VLOOKUP($B315,Korrigeringsfaktor_GD,'Korrigeringsfaktor GD'!M$1,FALSE),
"")</f>
        <v>12.744895698924729</v>
      </c>
      <c r="N315" s="18">
        <f>IFERROR(
                  Andel_oberoende_av_klimat*VLOOKUP($A315,Leveranser_per_nät,'Leveranser per nät'!N$1,FALSE)
               +Andel_beroende_av_klimat*VLOOKUP($A315,Leveranser_per_nät,'Leveranser per nät'!N$1,FALSE)/VLOOKUP($B315,Korrigeringsfaktor_GD,'Korrigeringsfaktor GD'!N$1,FALSE),
"")</f>
        <v>13.048655555555552</v>
      </c>
      <c r="O315" s="18">
        <f>IFERROR(
                  Andel_oberoende_av_klimat*VLOOKUP($A315,Leveranser_per_nät,'Leveranser per nät'!O$1,FALSE)
               +Andel_beroende_av_klimat*VLOOKUP($A315,Leveranser_per_nät,'Leveranser per nät'!O$1,FALSE)/VLOOKUP($B315,Korrigeringsfaktor_GD,'Korrigeringsfaktor GD'!O$1,FALSE),
"")</f>
        <v>11.15068888888889</v>
      </c>
      <c r="P315" s="18">
        <f>IFERROR(
                  Andel_oberoende_av_klimat*VLOOKUP($A315,Leveranser_per_nät,'Leveranser per nät'!P$1,FALSE)
               +Andel_beroende_av_klimat*VLOOKUP($A315,Leveranser_per_nät,'Leveranser per nät'!P$1,FALSE)/VLOOKUP($B315,Korrigeringsfaktor_GD,'Korrigeringsfaktor GD'!P$1,FALSE),
"")</f>
        <v>13.372370103092784</v>
      </c>
      <c r="Q315" s="18">
        <f>IFERROR(
                  Andel_oberoende_av_klimat*VLOOKUP($A315,Leveranser_per_nät,'Leveranser per nät'!Q$1,FALSE)
               +Andel_beroende_av_klimat*VLOOKUP($A315,Leveranser_per_nät,'Leveranser per nät'!Q$1,FALSE)/VLOOKUP($B315,Korrigeringsfaktor_GD,'Korrigeringsfaktor GD'!Q$1,FALSE),
"")</f>
        <v>12.796491228070176</v>
      </c>
      <c r="R315" s="18">
        <f>IFERROR(
                  Andel_oberoende_av_klimat*VLOOKUP($A315,Leveranser_per_nät,'Leveranser per nät'!R$1,FALSE)
               +Andel_beroende_av_klimat*VLOOKUP($A315,Leveranser_per_nät,'Leveranser per nät'!R$1,FALSE)/VLOOKUP($B315,Korrigeringsfaktor_GD,'Korrigeringsfaktor GD'!R$1,FALSE),
"")</f>
        <v>13.494808280382607</v>
      </c>
      <c r="S315" s="18">
        <f>IFERROR(
                  Andel_oberoende_av_klimat*VLOOKUP($A315,Leveranser_per_nät,'Leveranser per nät'!S$1,FALSE)
               +Andel_beroende_av_klimat*VLOOKUP($A315,Leveranser_per_nät,'Leveranser per nät'!S$1,FALSE)/VLOOKUP($B315,Korrigeringsfaktor_GD,'Korrigeringsfaktor GD'!S$1,FALSE),
"")</f>
        <v>12.77</v>
      </c>
      <c r="T315" s="18">
        <f>IFERROR(
                  Andel_oberoende_av_klimat*VLOOKUP($A315,Leveranser_per_nät,'Leveranser per nät'!T$1,FALSE)
               +Andel_beroende_av_klimat*VLOOKUP($A315,Leveranser_per_nät,'Leveranser per nät'!T$1,FALSE)/VLOOKUP($B315,Korrigeringsfaktor_GD,'Korrigeringsfaktor GD'!T$1,FALSE),
"")</f>
        <v>12.464123711340205</v>
      </c>
      <c r="U315" s="18">
        <f>IFERROR(
                  Andel_oberoende_av_klimat*VLOOKUP($A315,Leveranser_per_nät,'Leveranser per nät'!U$1,FALSE)
               +Andel_beroende_av_klimat*VLOOKUP($A315,Leveranser_per_nät,'Leveranser per nät'!U$1,FALSE)/VLOOKUP($B315,Korrigeringsfaktor_GD,'Korrigeringsfaktor GD'!U$1,FALSE),
"")</f>
        <v>13.367441860465114</v>
      </c>
      <c r="V315" s="18">
        <f>IFERROR(
                  Andel_oberoende_av_klimat*VLOOKUP($A315,Leveranser_per_nät,'Leveranser per nät'!V$1,FALSE)
               +Andel_beroende_av_klimat*VLOOKUP($A315,Leveranser_per_nät,'Leveranser per nät'!V$1,FALSE)/VLOOKUP($B315,Korrigeringsfaktor_GD,'Korrigeringsfaktor GD'!V$1,FALSE),
"")</f>
        <v>12.616923076923078</v>
      </c>
      <c r="W315" s="18">
        <f>IFERROR(
                  Andel_oberoende_av_klimat*VLOOKUP($A315,Leveranser_per_nät,'Leveranser per nät'!W$1,FALSE)
               +Andel_beroende_av_klimat*VLOOKUP($A315,Leveranser_per_nät,'Leveranser per nät'!W$1,FALSE)/VLOOKUP($B315,Korrigeringsfaktor_GD,'Korrigeringsfaktor GD'!W$1,FALSE),
"")</f>
        <v>12.442105263157895</v>
      </c>
      <c r="X315" s="18">
        <f>IFERROR(
                  Andel_oberoende_av_klimat*VLOOKUP($A315,Leveranser_per_nät,'Leveranser per nät'!X$1,FALSE)
               +Andel_beroende_av_klimat*VLOOKUP($A315,Leveranser_per_nät,'Leveranser per nät'!X$1,FALSE)/VLOOKUP($B315,Korrigeringsfaktor_GD,'Korrigeringsfaktor GD'!X$1,FALSE),
"")</f>
        <v>12.942608695652172</v>
      </c>
      <c r="Y315" s="18">
        <f>IFERROR(
                  Andel_oberoende_av_klimat*VLOOKUP($A315,Leveranser_per_nät,'Leveranser per nät'!Y$1,FALSE)
               +Andel_beroende_av_klimat*VLOOKUP($A315,Leveranser_per_nät,'Leveranser per nät'!Y$1,FALSE)/VLOOKUP($B315,Korrigeringsfaktor_GD,'Korrigeringsfaktor GD'!Y$1,FALSE),
"")</f>
        <v>12.61</v>
      </c>
      <c r="Z315" s="18">
        <f>IFERROR(
                  Andel_oberoende_av_klimat*VLOOKUP($A315,Leveranser_per_nät,'Leveranser per nät'!Z$1,FALSE)
               +Andel_beroende_av_klimat*VLOOKUP($A315,Leveranser_per_nät,'Leveranser per nät'!Z$1,FALSE)/VLOOKUP($B315,Korrigeringsfaktor_GD,'Korrigeringsfaktor GD'!Z$1,FALSE),
"")</f>
        <v>11.747777777777777</v>
      </c>
      <c r="AA315" s="18">
        <f>IFERROR(
                  Andel_oberoende_av_klimat*VLOOKUP($A315,Leveranser_per_nät,'Leveranser per nät'!AA$1,FALSE)
               +Andel_beroende_av_klimat*VLOOKUP($A315,Leveranser_per_nät,'Leveranser per nät'!AA$1,FALSE)/VLOOKUP($B315,Korrigeringsfaktor_GD,'Korrigeringsfaktor GD'!AA$1,FALSE),
"")</f>
        <v>12.834018752020693</v>
      </c>
      <c r="AB315" s="18">
        <f>IFERROR(
                  Andel_oberoende_av_klimat*VLOOKUP($A315,Leveranser_per_nät,'Leveranser per nät'!AB$1,FALSE)
               +Andel_beroende_av_klimat*VLOOKUP($A315,Leveranser_per_nät,'Leveranser per nät'!AB$1,FALSE)/VLOOKUP($B315,Korrigeringsfaktor_GD,'Korrigeringsfaktor GD'!AB$1,FALSE),
"")</f>
        <v>12.280157790927023</v>
      </c>
      <c r="AC315" s="18">
        <f>IFERROR(
                  Andel_oberoende_av_klimat*VLOOKUP($A315,Leveranser_per_nät,'Leveranser per nät'!AC$1,FALSE)
               +Andel_beroende_av_klimat*VLOOKUP($A315,Leveranser_per_nät,'Leveranser per nät'!AC$1,FALSE)/VLOOKUP($B315,Korrigeringsfaktor_GD,'Korrigeringsfaktor GD'!AC$1,FALSE),
"")</f>
        <v>12.050145985401459</v>
      </c>
      <c r="AD315" t="e">
        <v>#N/A</v>
      </c>
    </row>
    <row r="316" spans="1:30" x14ac:dyDescent="0.25">
      <c r="A316" t="s">
        <v>354</v>
      </c>
      <c r="B316" t="s">
        <v>2</v>
      </c>
      <c r="C316" s="18">
        <f>IFERROR(
                  Andel_oberoende_av_klimat*VLOOKUP($A316,Leveranser_per_nät,'Leveranser per nät'!C$1,FALSE)
               +Andel_beroende_av_klimat*VLOOKUP($A316,Leveranser_per_nät,'Leveranser per nät'!C$1,FALSE)/VLOOKUP($B316,Korrigeringsfaktor_GD,'Korrigeringsfaktor GD'!C$1,FALSE),
"")</f>
        <v>0</v>
      </c>
      <c r="D316" s="18">
        <f>IFERROR(
                  Andel_oberoende_av_klimat*VLOOKUP($A316,Leveranser_per_nät,'Leveranser per nät'!D$1,FALSE)
               +Andel_beroende_av_klimat*VLOOKUP($A316,Leveranser_per_nät,'Leveranser per nät'!D$1,FALSE)/VLOOKUP($B316,Korrigeringsfaktor_GD,'Korrigeringsfaktor GD'!D$1,FALSE),
"")</f>
        <v>0</v>
      </c>
      <c r="E316" s="18">
        <f>IFERROR(
                  Andel_oberoende_av_klimat*VLOOKUP($A316,Leveranser_per_nät,'Leveranser per nät'!E$1,FALSE)
               +Andel_beroende_av_klimat*VLOOKUP($A316,Leveranser_per_nät,'Leveranser per nät'!E$1,FALSE)/VLOOKUP($B316,Korrigeringsfaktor_GD,'Korrigeringsfaktor GD'!E$1,FALSE),
"")</f>
        <v>0</v>
      </c>
      <c r="F316" s="18">
        <f>IFERROR(
                  Andel_oberoende_av_klimat*VLOOKUP($A316,Leveranser_per_nät,'Leveranser per nät'!F$1,FALSE)
               +Andel_beroende_av_klimat*VLOOKUP($A316,Leveranser_per_nät,'Leveranser per nät'!F$1,FALSE)/VLOOKUP($B316,Korrigeringsfaktor_GD,'Korrigeringsfaktor GD'!F$1,FALSE),
"")</f>
        <v>0</v>
      </c>
      <c r="G316" s="18">
        <f>IFERROR(
                  Andel_oberoende_av_klimat*VLOOKUP($A316,Leveranser_per_nät,'Leveranser per nät'!G$1,FALSE)
               +Andel_beroende_av_klimat*VLOOKUP($A316,Leveranser_per_nät,'Leveranser per nät'!G$1,FALSE)/VLOOKUP($B316,Korrigeringsfaktor_GD,'Korrigeringsfaktor GD'!G$1,FALSE),
"")</f>
        <v>0</v>
      </c>
      <c r="H316" s="18">
        <f>IFERROR(
                  Andel_oberoende_av_klimat*VLOOKUP($A316,Leveranser_per_nät,'Leveranser per nät'!H$1,FALSE)
               +Andel_beroende_av_klimat*VLOOKUP($A316,Leveranser_per_nät,'Leveranser per nät'!H$1,FALSE)/VLOOKUP($B316,Korrigeringsfaktor_GD,'Korrigeringsfaktor GD'!H$1,FALSE),
"")</f>
        <v>3</v>
      </c>
      <c r="I316" s="18">
        <f>IFERROR(
                  Andel_oberoende_av_klimat*VLOOKUP($A316,Leveranser_per_nät,'Leveranser per nät'!I$1,FALSE)
               +Andel_beroende_av_klimat*VLOOKUP($A316,Leveranser_per_nät,'Leveranser per nät'!I$1,FALSE)/VLOOKUP($B316,Korrigeringsfaktor_GD,'Korrigeringsfaktor GD'!I$1,FALSE),
"")</f>
        <v>8.3574468085106375</v>
      </c>
      <c r="J316" s="18">
        <f>IFERROR(
                  Andel_oberoende_av_klimat*VLOOKUP($A316,Leveranser_per_nät,'Leveranser per nät'!J$1,FALSE)
               +Andel_beroende_av_klimat*VLOOKUP($A316,Leveranser_per_nät,'Leveranser per nät'!J$1,FALSE)/VLOOKUP($B316,Korrigeringsfaktor_GD,'Korrigeringsfaktor GD'!J$1,FALSE),
"")</f>
        <v>9.1285714285714299</v>
      </c>
      <c r="K316" s="18">
        <f>IFERROR(
                  Andel_oberoende_av_klimat*VLOOKUP($A316,Leveranser_per_nät,'Leveranser per nät'!K$1,FALSE)
               +Andel_beroende_av_klimat*VLOOKUP($A316,Leveranser_per_nät,'Leveranser per nät'!K$1,FALSE)/VLOOKUP($B316,Korrigeringsfaktor_GD,'Korrigeringsfaktor GD'!K$1,FALSE),
"")</f>
        <v>9.49</v>
      </c>
      <c r="L316" s="18">
        <f>IFERROR(
                  Andel_oberoende_av_klimat*VLOOKUP($A316,Leveranser_per_nät,'Leveranser per nät'!L$1,FALSE)
               +Andel_beroende_av_klimat*VLOOKUP($A316,Leveranser_per_nät,'Leveranser per nät'!L$1,FALSE)/VLOOKUP($B316,Korrigeringsfaktor_GD,'Korrigeringsfaktor GD'!L$1,FALSE),
"")</f>
        <v>9.5258597938144334</v>
      </c>
      <c r="M316" s="18">
        <f>IFERROR(
                  Andel_oberoende_av_klimat*VLOOKUP($A316,Leveranser_per_nät,'Leveranser per nät'!M$1,FALSE)
               +Andel_beroende_av_klimat*VLOOKUP($A316,Leveranser_per_nät,'Leveranser per nät'!M$1,FALSE)/VLOOKUP($B316,Korrigeringsfaktor_GD,'Korrigeringsfaktor GD'!M$1,FALSE),
"")</f>
        <v>9.8278967741935475</v>
      </c>
      <c r="N316" s="18">
        <f>IFERROR(
                  Andel_oberoende_av_klimat*VLOOKUP($A316,Leveranser_per_nät,'Leveranser per nät'!N$1,FALSE)
               +Andel_beroende_av_klimat*VLOOKUP($A316,Leveranser_per_nät,'Leveranser per nät'!N$1,FALSE)/VLOOKUP($B316,Korrigeringsfaktor_GD,'Korrigeringsfaktor GD'!N$1,FALSE),
"")</f>
        <v>9.9521568888888883</v>
      </c>
      <c r="O316" s="18">
        <f>IFERROR(
                  Andel_oberoende_av_klimat*VLOOKUP($A316,Leveranser_per_nät,'Leveranser per nät'!O$1,FALSE)
               +Andel_beroende_av_klimat*VLOOKUP($A316,Leveranser_per_nät,'Leveranser per nät'!O$1,FALSE)/VLOOKUP($B316,Korrigeringsfaktor_GD,'Korrigeringsfaktor GD'!O$1,FALSE),
"")</f>
        <v>10.315800188888888</v>
      </c>
      <c r="P316" s="18">
        <f>IFERROR(
                  Andel_oberoende_av_klimat*VLOOKUP($A316,Leveranser_per_nät,'Leveranser per nät'!P$1,FALSE)
               +Andel_beroende_av_klimat*VLOOKUP($A316,Leveranser_per_nät,'Leveranser per nät'!P$1,FALSE)/VLOOKUP($B316,Korrigeringsfaktor_GD,'Korrigeringsfaktor GD'!P$1,FALSE),
"")</f>
        <v>10.148058632989692</v>
      </c>
      <c r="Q316" s="18">
        <f>IFERROR(
                  Andel_oberoende_av_klimat*VLOOKUP($A316,Leveranser_per_nät,'Leveranser per nät'!Q$1,FALSE)
               +Andel_beroende_av_klimat*VLOOKUP($A316,Leveranser_per_nät,'Leveranser per nät'!Q$1,FALSE)/VLOOKUP($B316,Korrigeringsfaktor_GD,'Korrigeringsfaktor GD'!Q$1,FALSE),
"")</f>
        <v>10.201854300000001</v>
      </c>
      <c r="R316" s="18">
        <f>IFERROR(
                  Andel_oberoende_av_klimat*VLOOKUP($A316,Leveranser_per_nät,'Leveranser per nät'!R$1,FALSE)
               +Andel_beroende_av_klimat*VLOOKUP($A316,Leveranser_per_nät,'Leveranser per nät'!R$1,FALSE)/VLOOKUP($B316,Korrigeringsfaktor_GD,'Korrigeringsfaktor GD'!R$1,FALSE),
"")</f>
        <v>9.7858438434782595</v>
      </c>
      <c r="S316" s="18">
        <f>IFERROR(
                  Andel_oberoende_av_klimat*VLOOKUP($A316,Leveranser_per_nät,'Leveranser per nät'!S$1,FALSE)
               +Andel_beroende_av_klimat*VLOOKUP($A316,Leveranser_per_nät,'Leveranser per nät'!S$1,FALSE)/VLOOKUP($B316,Korrigeringsfaktor_GD,'Korrigeringsfaktor GD'!S$1,FALSE),
"")</f>
        <v>9.6625643564356452</v>
      </c>
      <c r="T316" s="18">
        <f>IFERROR(
                  Andel_oberoende_av_klimat*VLOOKUP($A316,Leveranser_per_nät,'Leveranser per nät'!T$1,FALSE)
               +Andel_beroende_av_klimat*VLOOKUP($A316,Leveranser_per_nät,'Leveranser per nät'!T$1,FALSE)/VLOOKUP($B316,Korrigeringsfaktor_GD,'Korrigeringsfaktor GD'!T$1,FALSE),
"")</f>
        <v>9.5626857142857151</v>
      </c>
      <c r="U316" s="18">
        <f>IFERROR(
                  Andel_oberoende_av_klimat*VLOOKUP($A316,Leveranser_per_nät,'Leveranser per nät'!U$1,FALSE)
               +Andel_beroende_av_klimat*VLOOKUP($A316,Leveranser_per_nät,'Leveranser per nät'!U$1,FALSE)/VLOOKUP($B316,Korrigeringsfaktor_GD,'Korrigeringsfaktor GD'!U$1,FALSE),
"")</f>
        <v>9.2057116279069753</v>
      </c>
      <c r="V316" s="18">
        <f>IFERROR(
                  Andel_oberoende_av_klimat*VLOOKUP($A316,Leveranser_per_nät,'Leveranser per nät'!V$1,FALSE)
               +Andel_beroende_av_klimat*VLOOKUP($A316,Leveranser_per_nät,'Leveranser per nät'!V$1,FALSE)/VLOOKUP($B316,Korrigeringsfaktor_GD,'Korrigeringsfaktor GD'!V$1,FALSE),
"")</f>
        <v>9.1662510333333316</v>
      </c>
      <c r="W316" s="18">
        <f>IFERROR(
                  Andel_oberoende_av_klimat*VLOOKUP($A316,Leveranser_per_nät,'Leveranser per nät'!W$1,FALSE)
               +Andel_beroende_av_klimat*VLOOKUP($A316,Leveranser_per_nät,'Leveranser per nät'!W$1,FALSE)/VLOOKUP($B316,Korrigeringsfaktor_GD,'Korrigeringsfaktor GD'!W$1,FALSE),
"")</f>
        <v>9.4186736842105265</v>
      </c>
      <c r="X316" s="18">
        <f>IFERROR(
                  Andel_oberoende_av_klimat*VLOOKUP($A316,Leveranser_per_nät,'Leveranser per nät'!X$1,FALSE)
               +Andel_beroende_av_klimat*VLOOKUP($A316,Leveranser_per_nät,'Leveranser per nät'!X$1,FALSE)/VLOOKUP($B316,Korrigeringsfaktor_GD,'Korrigeringsfaktor GD'!X$1,FALSE),
"")</f>
        <v>9.7005215053763436</v>
      </c>
      <c r="Y316" s="18">
        <f>IFERROR(
                  Andel_oberoende_av_klimat*VLOOKUP($A316,Leveranser_per_nät,'Leveranser per nät'!Y$1,FALSE)
               +Andel_beroende_av_klimat*VLOOKUP($A316,Leveranser_per_nät,'Leveranser per nät'!Y$1,FALSE)/VLOOKUP($B316,Korrigeringsfaktor_GD,'Korrigeringsfaktor GD'!Y$1,FALSE),
"")</f>
        <v>10.345588888888889</v>
      </c>
      <c r="Z316" s="18">
        <f>IFERROR(
                  Andel_oberoende_av_klimat*VLOOKUP($A316,Leveranser_per_nät,'Leveranser per nät'!Z$1,FALSE)
               +Andel_beroende_av_klimat*VLOOKUP($A316,Leveranser_per_nät,'Leveranser per nät'!Z$1,FALSE)/VLOOKUP($B316,Korrigeringsfaktor_GD,'Korrigeringsfaktor GD'!Z$1,FALSE),
"")</f>
        <v>9.9198988764044955</v>
      </c>
      <c r="AA316" s="18">
        <f>IFERROR(
                  Andel_oberoende_av_klimat*VLOOKUP($A316,Leveranser_per_nät,'Leveranser per nät'!AA$1,FALSE)
               +Andel_beroende_av_klimat*VLOOKUP($A316,Leveranser_per_nät,'Leveranser per nät'!AA$1,FALSE)/VLOOKUP($B316,Korrigeringsfaktor_GD,'Korrigeringsfaktor GD'!AA$1,FALSE),
"")</f>
        <v>10.724958372248164</v>
      </c>
      <c r="AB316" s="18">
        <f>IFERROR(
                  Andel_oberoende_av_klimat*VLOOKUP($A316,Leveranser_per_nät,'Leveranser per nät'!AB$1,FALSE)
               +Andel_beroende_av_klimat*VLOOKUP($A316,Leveranser_per_nät,'Leveranser per nät'!AB$1,FALSE)/VLOOKUP($B316,Korrigeringsfaktor_GD,'Korrigeringsfaktor GD'!AB$1,FALSE),
"")</f>
        <v>10.013798630136986</v>
      </c>
      <c r="AC316" s="18">
        <f>IFERROR(
                  Andel_oberoende_av_klimat*VLOOKUP($A316,Leveranser_per_nät,'Leveranser per nät'!AC$1,FALSE)
               +Andel_beroende_av_klimat*VLOOKUP($A316,Leveranser_per_nät,'Leveranser per nät'!AC$1,FALSE)/VLOOKUP($B316,Korrigeringsfaktor_GD,'Korrigeringsfaktor GD'!AC$1,FALSE),
"")</f>
        <v>9.6543309623430957</v>
      </c>
      <c r="AD316">
        <v>53.42</v>
      </c>
    </row>
    <row r="317" spans="1:30" x14ac:dyDescent="0.25">
      <c r="A317" t="s">
        <v>197</v>
      </c>
      <c r="B317" t="s">
        <v>196</v>
      </c>
      <c r="C317" s="18">
        <f>IFERROR(
                  Andel_oberoende_av_klimat*VLOOKUP($A317,Leveranser_per_nät,'Leveranser per nät'!C$1,FALSE)
               +Andel_beroende_av_klimat*VLOOKUP($A317,Leveranser_per_nät,'Leveranser per nät'!C$1,FALSE)/VLOOKUP($B317,Korrigeringsfaktor_GD,'Korrigeringsfaktor GD'!C$1,FALSE),
"")</f>
        <v>0</v>
      </c>
      <c r="D317" s="18">
        <f>IFERROR(
                  Andel_oberoende_av_klimat*VLOOKUP($A317,Leveranser_per_nät,'Leveranser per nät'!D$1,FALSE)
               +Andel_beroende_av_klimat*VLOOKUP($A317,Leveranser_per_nät,'Leveranser per nät'!D$1,FALSE)/VLOOKUP($B317,Korrigeringsfaktor_GD,'Korrigeringsfaktor GD'!D$1,FALSE),
"")</f>
        <v>0</v>
      </c>
      <c r="E317" s="18">
        <f>IFERROR(
                  Andel_oberoende_av_klimat*VLOOKUP($A317,Leveranser_per_nät,'Leveranser per nät'!E$1,FALSE)
               +Andel_beroende_av_klimat*VLOOKUP($A317,Leveranser_per_nät,'Leveranser per nät'!E$1,FALSE)/VLOOKUP($B317,Korrigeringsfaktor_GD,'Korrigeringsfaktor GD'!E$1,FALSE),
"")</f>
        <v>0</v>
      </c>
      <c r="F317" s="18">
        <f>IFERROR(
                  Andel_oberoende_av_klimat*VLOOKUP($A317,Leveranser_per_nät,'Leveranser per nät'!F$1,FALSE)
               +Andel_beroende_av_klimat*VLOOKUP($A317,Leveranser_per_nät,'Leveranser per nät'!F$1,FALSE)/VLOOKUP($B317,Korrigeringsfaktor_GD,'Korrigeringsfaktor GD'!F$1,FALSE),
"")</f>
        <v>0</v>
      </c>
      <c r="G317" s="18">
        <f>IFERROR(
                  Andel_oberoende_av_klimat*VLOOKUP($A317,Leveranser_per_nät,'Leveranser per nät'!G$1,FALSE)
               +Andel_beroende_av_klimat*VLOOKUP($A317,Leveranser_per_nät,'Leveranser per nät'!G$1,FALSE)/VLOOKUP($B317,Korrigeringsfaktor_GD,'Korrigeringsfaktor GD'!G$1,FALSE),
"")</f>
        <v>0</v>
      </c>
      <c r="H317" s="18">
        <f>IFERROR(
                  Andel_oberoende_av_klimat*VLOOKUP($A317,Leveranser_per_nät,'Leveranser per nät'!H$1,FALSE)
               +Andel_beroende_av_klimat*VLOOKUP($A317,Leveranser_per_nät,'Leveranser per nät'!H$1,FALSE)/VLOOKUP($B317,Korrigeringsfaktor_GD,'Korrigeringsfaktor GD'!H$1,FALSE),
"")</f>
        <v>0</v>
      </c>
      <c r="I317" s="18">
        <f>IFERROR(
                  Andel_oberoende_av_klimat*VLOOKUP($A317,Leveranser_per_nät,'Leveranser per nät'!I$1,FALSE)
               +Andel_beroende_av_klimat*VLOOKUP($A317,Leveranser_per_nät,'Leveranser per nät'!I$1,FALSE)/VLOOKUP($B317,Korrigeringsfaktor_GD,'Korrigeringsfaktor GD'!I$1,FALSE),
"")</f>
        <v>0</v>
      </c>
      <c r="J317" s="18">
        <f>IFERROR(
                  Andel_oberoende_av_klimat*VLOOKUP($A317,Leveranser_per_nät,'Leveranser per nät'!J$1,FALSE)
               +Andel_beroende_av_klimat*VLOOKUP($A317,Leveranser_per_nät,'Leveranser per nät'!J$1,FALSE)/VLOOKUP($B317,Korrigeringsfaktor_GD,'Korrigeringsfaktor GD'!J$1,FALSE),
"")</f>
        <v>0</v>
      </c>
      <c r="K317" s="18">
        <f>IFERROR(
                  Andel_oberoende_av_klimat*VLOOKUP($A317,Leveranser_per_nät,'Leveranser per nät'!K$1,FALSE)
               +Andel_beroende_av_klimat*VLOOKUP($A317,Leveranser_per_nät,'Leveranser per nät'!K$1,FALSE)/VLOOKUP($B317,Korrigeringsfaktor_GD,'Korrigeringsfaktor GD'!K$1,FALSE),
"")</f>
        <v>0</v>
      </c>
      <c r="L317" s="18">
        <f>IFERROR(
                  Andel_oberoende_av_klimat*VLOOKUP($A317,Leveranser_per_nät,'Leveranser per nät'!L$1,FALSE)
               +Andel_beroende_av_klimat*VLOOKUP($A317,Leveranser_per_nät,'Leveranser per nät'!L$1,FALSE)/VLOOKUP($B317,Korrigeringsfaktor_GD,'Korrigeringsfaktor GD'!L$1,FALSE),
"")</f>
        <v>0</v>
      </c>
      <c r="M317" s="18">
        <f>IFERROR(
                  Andel_oberoende_av_klimat*VLOOKUP($A317,Leveranser_per_nät,'Leveranser per nät'!M$1,FALSE)
               +Andel_beroende_av_klimat*VLOOKUP($A317,Leveranser_per_nät,'Leveranser per nät'!M$1,FALSE)/VLOOKUP($B317,Korrigeringsfaktor_GD,'Korrigeringsfaktor GD'!M$1,FALSE),
"")</f>
        <v>18.527311827956989</v>
      </c>
      <c r="N317" s="18">
        <f>IFERROR(
                  Andel_oberoende_av_klimat*VLOOKUP($A317,Leveranser_per_nät,'Leveranser per nät'!N$1,FALSE)
               +Andel_beroende_av_klimat*VLOOKUP($A317,Leveranser_per_nät,'Leveranser per nät'!N$1,FALSE)/VLOOKUP($B317,Korrigeringsfaktor_GD,'Korrigeringsfaktor GD'!N$1,FALSE),
"")</f>
        <v>20.211612903225806</v>
      </c>
      <c r="O317" s="18">
        <f>IFERROR(
                  Andel_oberoende_av_klimat*VLOOKUP($A317,Leveranser_per_nät,'Leveranser per nät'!O$1,FALSE)
               +Andel_beroende_av_klimat*VLOOKUP($A317,Leveranser_per_nät,'Leveranser per nät'!O$1,FALSE)/VLOOKUP($B317,Korrigeringsfaktor_GD,'Korrigeringsfaktor GD'!O$1,FALSE),
"")</f>
        <v>20.948494623655911</v>
      </c>
      <c r="P317" s="18">
        <f>IFERROR(
                  Andel_oberoende_av_klimat*VLOOKUP($A317,Leveranser_per_nät,'Leveranser per nät'!P$1,FALSE)
               +Andel_beroende_av_klimat*VLOOKUP($A317,Leveranser_per_nät,'Leveranser per nät'!P$1,FALSE)/VLOOKUP($B317,Korrigeringsfaktor_GD,'Korrigeringsfaktor GD'!P$1,FALSE),
"")</f>
        <v>21.454639175257732</v>
      </c>
      <c r="Q317" s="18">
        <f>IFERROR(
                  Andel_oberoende_av_klimat*VLOOKUP($A317,Leveranser_per_nät,'Leveranser per nät'!Q$1,FALSE)
               +Andel_beroende_av_klimat*VLOOKUP($A317,Leveranser_per_nät,'Leveranser per nät'!Q$1,FALSE)/VLOOKUP($B317,Korrigeringsfaktor_GD,'Korrigeringsfaktor GD'!Q$1,FALSE),
"")</f>
        <v>21.859082568807338</v>
      </c>
      <c r="R317" s="18">
        <f>IFERROR(
                  Andel_oberoende_av_klimat*VLOOKUP($A317,Leveranser_per_nät,'Leveranser per nät'!R$1,FALSE)
               +Andel_beroende_av_klimat*VLOOKUP($A317,Leveranser_per_nät,'Leveranser per nät'!R$1,FALSE)/VLOOKUP($B317,Korrigeringsfaktor_GD,'Korrigeringsfaktor GD'!R$1,FALSE),
"")</f>
        <v>21.771111111111111</v>
      </c>
      <c r="S317" s="18">
        <f>IFERROR(
                  Andel_oberoende_av_klimat*VLOOKUP($A317,Leveranser_per_nät,'Leveranser per nät'!S$1,FALSE)
               +Andel_beroende_av_klimat*VLOOKUP($A317,Leveranser_per_nät,'Leveranser per nät'!S$1,FALSE)/VLOOKUP($B317,Korrigeringsfaktor_GD,'Korrigeringsfaktor GD'!S$1,FALSE),
"")</f>
        <v>22.155555555555555</v>
      </c>
      <c r="T317" s="18">
        <f>IFERROR(
                  Andel_oberoende_av_klimat*VLOOKUP($A317,Leveranser_per_nät,'Leveranser per nät'!T$1,FALSE)
               +Andel_beroende_av_klimat*VLOOKUP($A317,Leveranser_per_nät,'Leveranser per nät'!T$1,FALSE)/VLOOKUP($B317,Korrigeringsfaktor_GD,'Korrigeringsfaktor GD'!T$1,FALSE),
"")</f>
        <v>23.896021505376339</v>
      </c>
      <c r="U317" s="18">
        <f>IFERROR(
                  Andel_oberoende_av_klimat*VLOOKUP($A317,Leveranser_per_nät,'Leveranser per nät'!U$1,FALSE)
               +Andel_beroende_av_klimat*VLOOKUP($A317,Leveranser_per_nät,'Leveranser per nät'!U$1,FALSE)/VLOOKUP($B317,Korrigeringsfaktor_GD,'Korrigeringsfaktor GD'!U$1,FALSE),
"")</f>
        <v>22.741111111111113</v>
      </c>
      <c r="V317" s="18">
        <f>IFERROR(
                  Andel_oberoende_av_klimat*VLOOKUP($A317,Leveranser_per_nät,'Leveranser per nät'!V$1,FALSE)
               +Andel_beroende_av_klimat*VLOOKUP($A317,Leveranser_per_nät,'Leveranser per nät'!V$1,FALSE)/VLOOKUP($B317,Korrigeringsfaktor_GD,'Korrigeringsfaktor GD'!V$1,FALSE),
"")</f>
        <v>22.836046511627909</v>
      </c>
      <c r="W317" s="18">
        <f>IFERROR(
                  Andel_oberoende_av_klimat*VLOOKUP($A317,Leveranser_per_nät,'Leveranser per nät'!W$1,FALSE)
               +Andel_beroende_av_klimat*VLOOKUP($A317,Leveranser_per_nät,'Leveranser per nät'!W$1,FALSE)/VLOOKUP($B317,Korrigeringsfaktor_GD,'Korrigeringsfaktor GD'!W$1,FALSE),
"")</f>
        <v>23.191914893617021</v>
      </c>
      <c r="X317" s="18">
        <f>IFERROR(
                  Andel_oberoende_av_klimat*VLOOKUP($A317,Leveranser_per_nät,'Leveranser per nät'!X$1,FALSE)
               +Andel_beroende_av_klimat*VLOOKUP($A317,Leveranser_per_nät,'Leveranser per nät'!X$1,FALSE)/VLOOKUP($B317,Korrigeringsfaktor_GD,'Korrigeringsfaktor GD'!X$1,FALSE),
"")</f>
        <v>23.362083333333331</v>
      </c>
      <c r="Y317" s="18">
        <f>IFERROR(
                  Andel_oberoende_av_klimat*VLOOKUP($A317,Leveranser_per_nät,'Leveranser per nät'!Y$1,FALSE)
               +Andel_beroende_av_klimat*VLOOKUP($A317,Leveranser_per_nät,'Leveranser per nät'!Y$1,FALSE)/VLOOKUP($B317,Korrigeringsfaktor_GD,'Korrigeringsfaktor GD'!Y$1,FALSE),
"")</f>
        <v>22.884948453608246</v>
      </c>
      <c r="Z317" s="18">
        <f>IFERROR(
                  Andel_oberoende_av_klimat*VLOOKUP($A317,Leveranser_per_nät,'Leveranser per nät'!Z$1,FALSE)
               +Andel_beroende_av_klimat*VLOOKUP($A317,Leveranser_per_nät,'Leveranser per nät'!Z$1,FALSE)/VLOOKUP($B317,Korrigeringsfaktor_GD,'Korrigeringsfaktor GD'!Z$1,FALSE),
"")</f>
        <v>24.319090909090907</v>
      </c>
      <c r="AA317" s="18">
        <f>IFERROR(
                  Andel_oberoende_av_klimat*VLOOKUP($A317,Leveranser_per_nät,'Leveranser per nät'!AA$1,FALSE)
               +Andel_beroende_av_klimat*VLOOKUP($A317,Leveranser_per_nät,'Leveranser per nät'!AA$1,FALSE)/VLOOKUP($B317,Korrigeringsfaktor_GD,'Korrigeringsfaktor GD'!AA$1,FALSE),
"")</f>
        <v>22.04811439346323</v>
      </c>
      <c r="AB317" s="18">
        <f>IFERROR(
                  Andel_oberoende_av_klimat*VLOOKUP($A317,Leveranser_per_nät,'Leveranser per nät'!AB$1,FALSE)
               +Andel_beroende_av_klimat*VLOOKUP($A317,Leveranser_per_nät,'Leveranser per nät'!AB$1,FALSE)/VLOOKUP($B317,Korrigeringsfaktor_GD,'Korrigeringsfaktor GD'!AB$1,FALSE),
"")</f>
        <v>21.928535402521824</v>
      </c>
      <c r="AC317" s="18">
        <f>IFERROR(
                  Andel_oberoende_av_klimat*VLOOKUP($A317,Leveranser_per_nät,'Leveranser per nät'!AC$1,FALSE)
               +Andel_beroende_av_klimat*VLOOKUP($A317,Leveranser_per_nät,'Leveranser per nät'!AC$1,FALSE)/VLOOKUP($B317,Korrigeringsfaktor_GD,'Korrigeringsfaktor GD'!AC$1,FALSE),
"")</f>
        <v>21.628467153284671</v>
      </c>
      <c r="AD317">
        <v>765</v>
      </c>
    </row>
    <row r="318" spans="1:30" x14ac:dyDescent="0.25">
      <c r="A318" t="s">
        <v>252</v>
      </c>
      <c r="B318" t="s">
        <v>252</v>
      </c>
      <c r="C318" s="18">
        <f>IFERROR(
                  Andel_oberoende_av_klimat*VLOOKUP($A318,Leveranser_per_nät,'Leveranser per nät'!C$1,FALSE)
               +Andel_beroende_av_klimat*VLOOKUP($A318,Leveranser_per_nät,'Leveranser per nät'!C$1,FALSE)/VLOOKUP($B318,Korrigeringsfaktor_GD,'Korrigeringsfaktor GD'!C$1,FALSE),
"")</f>
        <v>32.034862385321098</v>
      </c>
      <c r="D318" s="18">
        <f>IFERROR(
                  Andel_oberoende_av_klimat*VLOOKUP($A318,Leveranser_per_nät,'Leveranser per nät'!D$1,FALSE)
               +Andel_beroende_av_klimat*VLOOKUP($A318,Leveranser_per_nät,'Leveranser per nät'!D$1,FALSE)/VLOOKUP($B318,Korrigeringsfaktor_GD,'Korrigeringsfaktor GD'!D$1,FALSE),
"")</f>
        <v>30.410578947368421</v>
      </c>
      <c r="E318" s="18">
        <f>IFERROR(
                  Andel_oberoende_av_klimat*VLOOKUP($A318,Leveranser_per_nät,'Leveranser per nät'!E$1,FALSE)
               +Andel_beroende_av_klimat*VLOOKUP($A318,Leveranser_per_nät,'Leveranser per nät'!E$1,FALSE)/VLOOKUP($B318,Korrigeringsfaktor_GD,'Korrigeringsfaktor GD'!E$1,FALSE),
"")</f>
        <v>28.197979797979798</v>
      </c>
      <c r="F318" s="18">
        <f>IFERROR(
                  Andel_oberoende_av_klimat*VLOOKUP($A318,Leveranser_per_nät,'Leveranser per nät'!F$1,FALSE)
               +Andel_beroende_av_klimat*VLOOKUP($A318,Leveranser_per_nät,'Leveranser per nät'!F$1,FALSE)/VLOOKUP($B318,Korrigeringsfaktor_GD,'Korrigeringsfaktor GD'!F$1,FALSE),
"")</f>
        <v>28.606185567010311</v>
      </c>
      <c r="G318" s="18">
        <f>IFERROR(
                  Andel_oberoende_av_klimat*VLOOKUP($A318,Leveranser_per_nät,'Leveranser per nät'!G$1,FALSE)
               +Andel_beroende_av_klimat*VLOOKUP($A318,Leveranser_per_nät,'Leveranser per nät'!G$1,FALSE)/VLOOKUP($B318,Korrigeringsfaktor_GD,'Korrigeringsfaktor GD'!G$1,FALSE),
"")</f>
        <v>31.508988764044943</v>
      </c>
      <c r="H318" s="18">
        <f>IFERROR(
                  Andel_oberoende_av_klimat*VLOOKUP($A318,Leveranser_per_nät,'Leveranser per nät'!H$1,FALSE)
               +Andel_beroende_av_klimat*VLOOKUP($A318,Leveranser_per_nät,'Leveranser per nät'!H$1,FALSE)/VLOOKUP($B318,Korrigeringsfaktor_GD,'Korrigeringsfaktor GD'!H$1,FALSE),
"")</f>
        <v>32.547058823529412</v>
      </c>
      <c r="I318" s="18">
        <f>IFERROR(
                  Andel_oberoende_av_klimat*VLOOKUP($A318,Leveranser_per_nät,'Leveranser per nät'!I$1,FALSE)
               +Andel_beroende_av_klimat*VLOOKUP($A318,Leveranser_per_nät,'Leveranser per nät'!I$1,FALSE)/VLOOKUP($B318,Korrigeringsfaktor_GD,'Korrigeringsfaktor GD'!I$1,FALSE),
"")</f>
        <v>32.457142857142856</v>
      </c>
      <c r="J318" s="18">
        <f>IFERROR(
                  Andel_oberoende_av_klimat*VLOOKUP($A318,Leveranser_per_nät,'Leveranser per nät'!J$1,FALSE)
               +Andel_beroende_av_klimat*VLOOKUP($A318,Leveranser_per_nät,'Leveranser per nät'!J$1,FALSE)/VLOOKUP($B318,Korrigeringsfaktor_GD,'Korrigeringsfaktor GD'!J$1,FALSE),
"")</f>
        <v>34.408129166666669</v>
      </c>
      <c r="K318" s="18">
        <f>IFERROR(
                  Andel_oberoende_av_klimat*VLOOKUP($A318,Leveranser_per_nät,'Leveranser per nät'!K$1,FALSE)
               +Andel_beroende_av_klimat*VLOOKUP($A318,Leveranser_per_nät,'Leveranser per nät'!K$1,FALSE)/VLOOKUP($B318,Korrigeringsfaktor_GD,'Korrigeringsfaktor GD'!K$1,FALSE),
"")</f>
        <v>34.992695833333329</v>
      </c>
      <c r="L318" s="18">
        <f>IFERROR(
                  Andel_oberoende_av_klimat*VLOOKUP($A318,Leveranser_per_nät,'Leveranser per nät'!L$1,FALSE)
               +Andel_beroende_av_klimat*VLOOKUP($A318,Leveranser_per_nät,'Leveranser per nät'!L$1,FALSE)/VLOOKUP($B318,Korrigeringsfaktor_GD,'Korrigeringsfaktor GD'!L$1,FALSE),
"")</f>
        <v>37.423064516129031</v>
      </c>
      <c r="M318" s="18">
        <f>IFERROR(
                  Andel_oberoende_av_klimat*VLOOKUP($A318,Leveranser_per_nät,'Leveranser per nät'!M$1,FALSE)
               +Andel_beroende_av_klimat*VLOOKUP($A318,Leveranser_per_nät,'Leveranser per nät'!M$1,FALSE)/VLOOKUP($B318,Korrigeringsfaktor_GD,'Korrigeringsfaktor GD'!M$1,FALSE),
"")</f>
        <v>38.492307692307691</v>
      </c>
      <c r="N318" s="18">
        <f>IFERROR(
                  Andel_oberoende_av_klimat*VLOOKUP($A318,Leveranser_per_nät,'Leveranser per nät'!N$1,FALSE)
               +Andel_beroende_av_klimat*VLOOKUP($A318,Leveranser_per_nät,'Leveranser per nät'!N$1,FALSE)/VLOOKUP($B318,Korrigeringsfaktor_GD,'Korrigeringsfaktor GD'!N$1,FALSE),
"")</f>
        <v>40.633763440860214</v>
      </c>
      <c r="O318" s="18">
        <f>IFERROR(
                  Andel_oberoende_av_klimat*VLOOKUP($A318,Leveranser_per_nät,'Leveranser per nät'!O$1,FALSE)
               +Andel_beroende_av_klimat*VLOOKUP($A318,Leveranser_per_nät,'Leveranser per nät'!O$1,FALSE)/VLOOKUP($B318,Korrigeringsfaktor_GD,'Korrigeringsfaktor GD'!O$1,FALSE),
"")</f>
        <v>44.238260869565224</v>
      </c>
      <c r="P318" s="18">
        <f>IFERROR(
                  Andel_oberoende_av_klimat*VLOOKUP($A318,Leveranser_per_nät,'Leveranser per nät'!P$1,FALSE)
               +Andel_beroende_av_klimat*VLOOKUP($A318,Leveranser_per_nät,'Leveranser per nät'!P$1,FALSE)/VLOOKUP($B318,Korrigeringsfaktor_GD,'Korrigeringsfaktor GD'!P$1,FALSE),
"")</f>
        <v>46.023131313131316</v>
      </c>
      <c r="Q318" s="18">
        <f>IFERROR(
                  Andel_oberoende_av_klimat*VLOOKUP($A318,Leveranser_per_nät,'Leveranser per nät'!Q$1,FALSE)
               +Andel_beroende_av_klimat*VLOOKUP($A318,Leveranser_per_nät,'Leveranser per nät'!Q$1,FALSE)/VLOOKUP($B318,Korrigeringsfaktor_GD,'Korrigeringsfaktor GD'!Q$1,FALSE),
"")</f>
        <v>48.433478260869563</v>
      </c>
      <c r="R318" s="18">
        <f>IFERROR(
                  Andel_oberoende_av_klimat*VLOOKUP($A318,Leveranser_per_nät,'Leveranser per nät'!R$1,FALSE)
               +Andel_beroende_av_klimat*VLOOKUP($A318,Leveranser_per_nät,'Leveranser per nät'!R$1,FALSE)/VLOOKUP($B318,Korrigeringsfaktor_GD,'Korrigeringsfaktor GD'!R$1,FALSE),
"")</f>
        <v>53.46153846153846</v>
      </c>
      <c r="S318" s="18">
        <f>IFERROR(
                  Andel_oberoende_av_klimat*VLOOKUP($A318,Leveranser_per_nät,'Leveranser per nät'!S$1,FALSE)
               +Andel_beroende_av_klimat*VLOOKUP($A318,Leveranser_per_nät,'Leveranser per nät'!S$1,FALSE)/VLOOKUP($B318,Korrigeringsfaktor_GD,'Korrigeringsfaktor GD'!S$1,FALSE),
"")</f>
        <v>48</v>
      </c>
      <c r="T318" s="18">
        <f>IFERROR(
                  Andel_oberoende_av_klimat*VLOOKUP($A318,Leveranser_per_nät,'Leveranser per nät'!T$1,FALSE)
               +Andel_beroende_av_klimat*VLOOKUP($A318,Leveranser_per_nät,'Leveranser per nät'!T$1,FALSE)/VLOOKUP($B318,Korrigeringsfaktor_GD,'Korrigeringsfaktor GD'!T$1,FALSE),
"")</f>
        <v>47.650416666666665</v>
      </c>
      <c r="U318" s="18">
        <f>IFERROR(
                  Andel_oberoende_av_klimat*VLOOKUP($A318,Leveranser_per_nät,'Leveranser per nät'!U$1,FALSE)
               +Andel_beroende_av_klimat*VLOOKUP($A318,Leveranser_per_nät,'Leveranser per nät'!U$1,FALSE)/VLOOKUP($B318,Korrigeringsfaktor_GD,'Korrigeringsfaktor GD'!U$1,FALSE),
"")</f>
        <v>47.608160919540225</v>
      </c>
      <c r="V318" s="18">
        <f>IFERROR(
                  Andel_oberoende_av_klimat*VLOOKUP($A318,Leveranser_per_nät,'Leveranser per nät'!V$1,FALSE)
               +Andel_beroende_av_klimat*VLOOKUP($A318,Leveranser_per_nät,'Leveranser per nät'!V$1,FALSE)/VLOOKUP($B318,Korrigeringsfaktor_GD,'Korrigeringsfaktor GD'!V$1,FALSE),
"")</f>
        <v>46.995000000000005</v>
      </c>
      <c r="W318" s="18">
        <f>IFERROR(
                  Andel_oberoende_av_klimat*VLOOKUP($A318,Leveranser_per_nät,'Leveranser per nät'!W$1,FALSE)
               +Andel_beroende_av_klimat*VLOOKUP($A318,Leveranser_per_nät,'Leveranser per nät'!W$1,FALSE)/VLOOKUP($B318,Korrigeringsfaktor_GD,'Korrigeringsfaktor GD'!W$1,FALSE),
"")</f>
        <v>47.208695652173908</v>
      </c>
      <c r="X318" s="18">
        <f>IFERROR(
                  Andel_oberoende_av_klimat*VLOOKUP($A318,Leveranser_per_nät,'Leveranser per nät'!X$1,FALSE)
               +Andel_beroende_av_klimat*VLOOKUP($A318,Leveranser_per_nät,'Leveranser per nät'!X$1,FALSE)/VLOOKUP($B318,Korrigeringsfaktor_GD,'Korrigeringsfaktor GD'!X$1,FALSE),
"")</f>
        <v>46.761578947368427</v>
      </c>
      <c r="Y318" s="18">
        <f>IFERROR(
                  Andel_oberoende_av_klimat*VLOOKUP($A318,Leveranser_per_nät,'Leveranser per nät'!Y$1,FALSE)
               +Andel_beroende_av_klimat*VLOOKUP($A318,Leveranser_per_nät,'Leveranser per nät'!Y$1,FALSE)/VLOOKUP($B318,Korrigeringsfaktor_GD,'Korrigeringsfaktor GD'!Y$1,FALSE),
"")</f>
        <v>47.265698924731183</v>
      </c>
      <c r="Z318" s="18">
        <f>IFERROR(
                  Andel_oberoende_av_klimat*VLOOKUP($A318,Leveranser_per_nät,'Leveranser per nät'!Z$1,FALSE)
               +Andel_beroende_av_klimat*VLOOKUP($A318,Leveranser_per_nät,'Leveranser per nät'!Z$1,FALSE)/VLOOKUP($B318,Korrigeringsfaktor_GD,'Korrigeringsfaktor GD'!Z$1,FALSE),
"")</f>
        <v>46.697234042553198</v>
      </c>
      <c r="AA318" s="18">
        <f>IFERROR(
                  Andel_oberoende_av_klimat*VLOOKUP($A318,Leveranser_per_nät,'Leveranser per nät'!AA$1,FALSE)
               +Andel_beroende_av_klimat*VLOOKUP($A318,Leveranser_per_nät,'Leveranser per nät'!AA$1,FALSE)/VLOOKUP($B318,Korrigeringsfaktor_GD,'Korrigeringsfaktor GD'!AA$1,FALSE),
"")</f>
        <v>42.963361636828644</v>
      </c>
      <c r="AB318" s="18">
        <f>IFERROR(
                  Andel_oberoende_av_klimat*VLOOKUP($A318,Leveranser_per_nät,'Leveranser per nät'!AB$1,FALSE)
               +Andel_beroende_av_klimat*VLOOKUP($A318,Leveranser_per_nät,'Leveranser per nät'!AB$1,FALSE)/VLOOKUP($B318,Korrigeringsfaktor_GD,'Korrigeringsfaktor GD'!AB$1,FALSE),
"")</f>
        <v>44.218225224327021</v>
      </c>
      <c r="AC318" s="18">
        <f>IFERROR(
                  Andel_oberoende_av_klimat*VLOOKUP($A318,Leveranser_per_nät,'Leveranser per nät'!AC$1,FALSE)
               +Andel_beroende_av_klimat*VLOOKUP($A318,Leveranser_per_nät,'Leveranser per nät'!AC$1,FALSE)/VLOOKUP($B318,Korrigeringsfaktor_GD,'Korrigeringsfaktor GD'!AC$1,FALSE),
"")</f>
        <v>43.246715767634853</v>
      </c>
      <c r="AD318">
        <v>42.145000000000003</v>
      </c>
    </row>
    <row r="319" spans="1:30" x14ac:dyDescent="0.25">
      <c r="A319" s="3" t="s">
        <v>11</v>
      </c>
      <c r="B319" t="s">
        <v>138</v>
      </c>
      <c r="C319" s="18">
        <f>IFERROR(
                  Andel_oberoende_av_klimat*VLOOKUP($A319,Leveranser_per_nät,'Leveranser per nät'!C$1,FALSE)
               +Andel_beroende_av_klimat*VLOOKUP($A319,Leveranser_per_nät,'Leveranser per nät'!C$1,FALSE)/VLOOKUP($B319,Korrigeringsfaktor_GD,'Korrigeringsfaktor GD'!C$1,FALSE),
"")</f>
        <v>0</v>
      </c>
      <c r="D319" s="18">
        <f>IFERROR(
                  Andel_oberoende_av_klimat*VLOOKUP($A319,Leveranser_per_nät,'Leveranser per nät'!D$1,FALSE)
               +Andel_beroende_av_klimat*VLOOKUP($A319,Leveranser_per_nät,'Leveranser per nät'!D$1,FALSE)/VLOOKUP($B319,Korrigeringsfaktor_GD,'Korrigeringsfaktor GD'!D$1,FALSE),
"")</f>
        <v>0</v>
      </c>
      <c r="E319" s="18">
        <f>IFERROR(
                  Andel_oberoende_av_klimat*VLOOKUP($A319,Leveranser_per_nät,'Leveranser per nät'!E$1,FALSE)
               +Andel_beroende_av_klimat*VLOOKUP($A319,Leveranser_per_nät,'Leveranser per nät'!E$1,FALSE)/VLOOKUP($B319,Korrigeringsfaktor_GD,'Korrigeringsfaktor GD'!E$1,FALSE),
"")</f>
        <v>0</v>
      </c>
      <c r="F319" s="18">
        <f>IFERROR(
                  Andel_oberoende_av_klimat*VLOOKUP($A319,Leveranser_per_nät,'Leveranser per nät'!F$1,FALSE)
               +Andel_beroende_av_klimat*VLOOKUP($A319,Leveranser_per_nät,'Leveranser per nät'!F$1,FALSE)/VLOOKUP($B319,Korrigeringsfaktor_GD,'Korrigeringsfaktor GD'!F$1,FALSE),
"")</f>
        <v>0</v>
      </c>
      <c r="G319" s="18">
        <f>IFERROR(
                  Andel_oberoende_av_klimat*VLOOKUP($A319,Leveranser_per_nät,'Leveranser per nät'!G$1,FALSE)
               +Andel_beroende_av_klimat*VLOOKUP($A319,Leveranser_per_nät,'Leveranser per nät'!G$1,FALSE)/VLOOKUP($B319,Korrigeringsfaktor_GD,'Korrigeringsfaktor GD'!G$1,FALSE),
"")</f>
        <v>0</v>
      </c>
      <c r="H319" s="18">
        <f>IFERROR(
                  Andel_oberoende_av_klimat*VLOOKUP($A319,Leveranser_per_nät,'Leveranser per nät'!H$1,FALSE)
               +Andel_beroende_av_klimat*VLOOKUP($A319,Leveranser_per_nät,'Leveranser per nät'!H$1,FALSE)/VLOOKUP($B319,Korrigeringsfaktor_GD,'Korrigeringsfaktor GD'!H$1,FALSE),
"")</f>
        <v>0</v>
      </c>
      <c r="I319" s="18">
        <f>IFERROR(
                  Andel_oberoende_av_klimat*VLOOKUP($A319,Leveranser_per_nät,'Leveranser per nät'!I$1,FALSE)
               +Andel_beroende_av_klimat*VLOOKUP($A319,Leveranser_per_nät,'Leveranser per nät'!I$1,FALSE)/VLOOKUP($B319,Korrigeringsfaktor_GD,'Korrigeringsfaktor GD'!I$1,FALSE),
"")</f>
        <v>0</v>
      </c>
      <c r="J319" s="18">
        <f>IFERROR(
                  Andel_oberoende_av_klimat*VLOOKUP($A319,Leveranser_per_nät,'Leveranser per nät'!J$1,FALSE)
               +Andel_beroende_av_klimat*VLOOKUP($A319,Leveranser_per_nät,'Leveranser per nät'!J$1,FALSE)/VLOOKUP($B319,Korrigeringsfaktor_GD,'Korrigeringsfaktor GD'!J$1,FALSE),
"")</f>
        <v>0</v>
      </c>
      <c r="K319" s="18">
        <f>IFERROR(
                  Andel_oberoende_av_klimat*VLOOKUP($A319,Leveranser_per_nät,'Leveranser per nät'!K$1,FALSE)
               +Andel_beroende_av_klimat*VLOOKUP($A319,Leveranser_per_nät,'Leveranser per nät'!K$1,FALSE)/VLOOKUP($B319,Korrigeringsfaktor_GD,'Korrigeringsfaktor GD'!K$1,FALSE),
"")</f>
        <v>0</v>
      </c>
      <c r="L319" s="18">
        <f>IFERROR(
                  Andel_oberoende_av_klimat*VLOOKUP($A319,Leveranser_per_nät,'Leveranser per nät'!L$1,FALSE)
               +Andel_beroende_av_klimat*VLOOKUP($A319,Leveranser_per_nät,'Leveranser per nät'!L$1,FALSE)/VLOOKUP($B319,Korrigeringsfaktor_GD,'Korrigeringsfaktor GD'!L$1,FALSE),
"")</f>
        <v>0</v>
      </c>
      <c r="M319" s="18">
        <f>IFERROR(
                  Andel_oberoende_av_klimat*VLOOKUP($A319,Leveranser_per_nät,'Leveranser per nät'!M$1,FALSE)
               +Andel_beroende_av_klimat*VLOOKUP($A319,Leveranser_per_nät,'Leveranser per nät'!M$1,FALSE)/VLOOKUP($B319,Korrigeringsfaktor_GD,'Korrigeringsfaktor GD'!M$1,FALSE),
"")</f>
        <v>0</v>
      </c>
      <c r="N319" s="18">
        <f>IFERROR(
                  Andel_oberoende_av_klimat*VLOOKUP($A319,Leveranser_per_nät,'Leveranser per nät'!N$1,FALSE)
               +Andel_beroende_av_klimat*VLOOKUP($A319,Leveranser_per_nät,'Leveranser per nät'!N$1,FALSE)/VLOOKUP($B319,Korrigeringsfaktor_GD,'Korrigeringsfaktor GD'!N$1,FALSE),
"")</f>
        <v>0</v>
      </c>
      <c r="O319" s="18">
        <f>IFERROR(
                  Andel_oberoende_av_klimat*VLOOKUP($A319,Leveranser_per_nät,'Leveranser per nät'!O$1,FALSE)
               +Andel_beroende_av_klimat*VLOOKUP($A319,Leveranser_per_nät,'Leveranser per nät'!O$1,FALSE)/VLOOKUP($B319,Korrigeringsfaktor_GD,'Korrigeringsfaktor GD'!O$1,FALSE),
"")</f>
        <v>0</v>
      </c>
      <c r="P319" s="18">
        <f>IFERROR(
                  Andel_oberoende_av_klimat*VLOOKUP($A319,Leveranser_per_nät,'Leveranser per nät'!P$1,FALSE)
               +Andel_beroende_av_klimat*VLOOKUP($A319,Leveranser_per_nät,'Leveranser per nät'!P$1,FALSE)/VLOOKUP($B319,Korrigeringsfaktor_GD,'Korrigeringsfaktor GD'!P$1,FALSE),
"")</f>
        <v>0</v>
      </c>
      <c r="Q319" s="18">
        <f>IFERROR(
                  Andel_oberoende_av_klimat*VLOOKUP($A319,Leveranser_per_nät,'Leveranser per nät'!Q$1,FALSE)
               +Andel_beroende_av_klimat*VLOOKUP($A319,Leveranser_per_nät,'Leveranser per nät'!Q$1,FALSE)/VLOOKUP($B319,Korrigeringsfaktor_GD,'Korrigeringsfaktor GD'!Q$1,FALSE),
"")</f>
        <v>0.36347826086956525</v>
      </c>
      <c r="R319" s="18">
        <f>IFERROR(
                  Andel_oberoende_av_klimat*VLOOKUP($A319,Leveranser_per_nät,'Leveranser per nät'!R$1,FALSE)
               +Andel_beroende_av_klimat*VLOOKUP($A319,Leveranser_per_nät,'Leveranser per nät'!R$1,FALSE)/VLOOKUP($B319,Korrigeringsfaktor_GD,'Korrigeringsfaktor GD'!R$1,FALSE),
"")</f>
        <v>0.32076923076923075</v>
      </c>
      <c r="S319" s="18">
        <f>IFERROR(
                  Andel_oberoende_av_klimat*VLOOKUP($A319,Leveranser_per_nät,'Leveranser per nät'!S$1,FALSE)
               +Andel_beroende_av_klimat*VLOOKUP($A319,Leveranser_per_nät,'Leveranser per nät'!S$1,FALSE)/VLOOKUP($B319,Korrigeringsfaktor_GD,'Korrigeringsfaktor GD'!S$1,FALSE),
"")</f>
        <v>0.4</v>
      </c>
      <c r="T319" s="18" t="str">
        <f>IFERROR(
                  Andel_oberoende_av_klimat*VLOOKUP($A319,Leveranser_per_nät,'Leveranser per nät'!T$1,FALSE)
               +Andel_beroende_av_klimat*VLOOKUP($A319,Leveranser_per_nät,'Leveranser per nät'!T$1,FALSE)/VLOOKUP($B319,Korrigeringsfaktor_GD,'Korrigeringsfaktor GD'!T$1,FALSE),
"")</f>
        <v/>
      </c>
      <c r="U319" s="18" t="str">
        <f>IFERROR(
                  Andel_oberoende_av_klimat*VLOOKUP($A319,Leveranser_per_nät,'Leveranser per nät'!U$1,FALSE)
               +Andel_beroende_av_klimat*VLOOKUP($A319,Leveranser_per_nät,'Leveranser per nät'!U$1,FALSE)/VLOOKUP($B319,Korrigeringsfaktor_GD,'Korrigeringsfaktor GD'!U$1,FALSE),
"")</f>
        <v/>
      </c>
      <c r="V319" s="18" t="str">
        <f>IFERROR(
                  Andel_oberoende_av_klimat*VLOOKUP($A319,Leveranser_per_nät,'Leveranser per nät'!V$1,FALSE)
               +Andel_beroende_av_klimat*VLOOKUP($A319,Leveranser_per_nät,'Leveranser per nät'!V$1,FALSE)/VLOOKUP($B319,Korrigeringsfaktor_GD,'Korrigeringsfaktor GD'!V$1,FALSE),
"")</f>
        <v/>
      </c>
      <c r="W319" s="18" t="str">
        <f>IFERROR(
                  Andel_oberoende_av_klimat*VLOOKUP($A319,Leveranser_per_nät,'Leveranser per nät'!W$1,FALSE)
               +Andel_beroende_av_klimat*VLOOKUP($A319,Leveranser_per_nät,'Leveranser per nät'!W$1,FALSE)/VLOOKUP($B319,Korrigeringsfaktor_GD,'Korrigeringsfaktor GD'!W$1,FALSE),
"")</f>
        <v/>
      </c>
      <c r="X319" s="18" t="str">
        <f>IFERROR(
                  Andel_oberoende_av_klimat*VLOOKUP($A319,Leveranser_per_nät,'Leveranser per nät'!X$1,FALSE)
               +Andel_beroende_av_klimat*VLOOKUP($A319,Leveranser_per_nät,'Leveranser per nät'!X$1,FALSE)/VLOOKUP($B319,Korrigeringsfaktor_GD,'Korrigeringsfaktor GD'!X$1,FALSE),
"")</f>
        <v/>
      </c>
      <c r="Y319" s="18" t="str">
        <f>IFERROR(
                  Andel_oberoende_av_klimat*VLOOKUP($A319,Leveranser_per_nät,'Leveranser per nät'!Y$1,FALSE)
               +Andel_beroende_av_klimat*VLOOKUP($A319,Leveranser_per_nät,'Leveranser per nät'!Y$1,FALSE)/VLOOKUP($B319,Korrigeringsfaktor_GD,'Korrigeringsfaktor GD'!Y$1,FALSE),
"")</f>
        <v/>
      </c>
      <c r="Z319" s="18">
        <f>IFERROR(
                  Andel_oberoende_av_klimat*VLOOKUP($A319,Leveranser_per_nät,'Leveranser per nät'!Z$1,FALSE)
               +Andel_beroende_av_klimat*VLOOKUP($A319,Leveranser_per_nät,'Leveranser per nät'!Z$1,FALSE)/VLOOKUP($B319,Korrigeringsfaktor_GD,'Korrigeringsfaktor GD'!Z$1,FALSE),
"")</f>
        <v>0</v>
      </c>
      <c r="AA319" s="18" t="str">
        <f>IFERROR(
                  Andel_oberoende_av_klimat*VLOOKUP($A319,Leveranser_per_nät,'Leveranser per nät'!AA$1,FALSE)
               +Andel_beroende_av_klimat*VLOOKUP($A319,Leveranser_per_nät,'Leveranser per nät'!AA$1,FALSE)/VLOOKUP($B319,Korrigeringsfaktor_GD,'Korrigeringsfaktor GD'!AA$1,FALSE),
"")</f>
        <v/>
      </c>
      <c r="AB319" s="18">
        <f>IFERROR(
                  Andel_oberoende_av_klimat*VLOOKUP($A319,Leveranser_per_nät,'Leveranser per nät'!AB$1,FALSE)
               +Andel_beroende_av_klimat*VLOOKUP($A319,Leveranser_per_nät,'Leveranser per nät'!AB$1,FALSE)/VLOOKUP($B319,Korrigeringsfaktor_GD,'Korrigeringsfaktor GD'!AB$1,FALSE),
"")</f>
        <v>0</v>
      </c>
      <c r="AC319" s="18">
        <f>IFERROR(
                  Andel_oberoende_av_klimat*VLOOKUP($A319,Leveranser_per_nät,'Leveranser per nät'!AC$1,FALSE)
               +Andel_beroende_av_klimat*VLOOKUP($A319,Leveranser_per_nät,'Leveranser per nät'!AC$1,FALSE)/VLOOKUP($B319,Korrigeringsfaktor_GD,'Korrigeringsfaktor GD'!AC$1,FALSE),
"")</f>
        <v>0</v>
      </c>
      <c r="AD319">
        <v>662.10699999999997</v>
      </c>
    </row>
    <row r="320" spans="1:30" x14ac:dyDescent="0.25">
      <c r="A320" t="s">
        <v>300</v>
      </c>
      <c r="B320" t="s">
        <v>299</v>
      </c>
      <c r="C320" s="18">
        <f>IFERROR(
                  Andel_oberoende_av_klimat*VLOOKUP($A320,Leveranser_per_nät,'Leveranser per nät'!C$1,FALSE)
               +Andel_beroende_av_klimat*VLOOKUP($A320,Leveranser_per_nät,'Leveranser per nät'!C$1,FALSE)/VLOOKUP($B320,Korrigeringsfaktor_GD,'Korrigeringsfaktor GD'!C$1,FALSE),
"")</f>
        <v>0</v>
      </c>
      <c r="D320" s="18">
        <f>IFERROR(
                  Andel_oberoende_av_klimat*VLOOKUP($A320,Leveranser_per_nät,'Leveranser per nät'!D$1,FALSE)
               +Andel_beroende_av_klimat*VLOOKUP($A320,Leveranser_per_nät,'Leveranser per nät'!D$1,FALSE)/VLOOKUP($B320,Korrigeringsfaktor_GD,'Korrigeringsfaktor GD'!D$1,FALSE),
"")</f>
        <v>0</v>
      </c>
      <c r="E320" s="18">
        <f>IFERROR(
                  Andel_oberoende_av_klimat*VLOOKUP($A320,Leveranser_per_nät,'Leveranser per nät'!E$1,FALSE)
               +Andel_beroende_av_klimat*VLOOKUP($A320,Leveranser_per_nät,'Leveranser per nät'!E$1,FALSE)/VLOOKUP($B320,Korrigeringsfaktor_GD,'Korrigeringsfaktor GD'!E$1,FALSE),
"")</f>
        <v>0</v>
      </c>
      <c r="F320" s="18">
        <f>IFERROR(
                  Andel_oberoende_av_klimat*VLOOKUP($A320,Leveranser_per_nät,'Leveranser per nät'!F$1,FALSE)
               +Andel_beroende_av_klimat*VLOOKUP($A320,Leveranser_per_nät,'Leveranser per nät'!F$1,FALSE)/VLOOKUP($B320,Korrigeringsfaktor_GD,'Korrigeringsfaktor GD'!F$1,FALSE),
"")</f>
        <v>0</v>
      </c>
      <c r="G320" s="18">
        <f>IFERROR(
                  Andel_oberoende_av_klimat*VLOOKUP($A320,Leveranser_per_nät,'Leveranser per nät'!G$1,FALSE)
               +Andel_beroende_av_klimat*VLOOKUP($A320,Leveranser_per_nät,'Leveranser per nät'!G$1,FALSE)/VLOOKUP($B320,Korrigeringsfaktor_GD,'Korrigeringsfaktor GD'!G$1,FALSE),
"")</f>
        <v>2.1909090909090909</v>
      </c>
      <c r="H320" s="18">
        <f>IFERROR(
                  Andel_oberoende_av_klimat*VLOOKUP($A320,Leveranser_per_nät,'Leveranser per nät'!H$1,FALSE)
               +Andel_beroende_av_klimat*VLOOKUP($A320,Leveranser_per_nät,'Leveranser per nät'!H$1,FALSE)/VLOOKUP($B320,Korrigeringsfaktor_GD,'Korrigeringsfaktor GD'!H$1,FALSE),
"")</f>
        <v>2</v>
      </c>
      <c r="I320" s="18">
        <f>IFERROR(
                  Andel_oberoende_av_klimat*VLOOKUP($A320,Leveranser_per_nät,'Leveranser per nät'!I$1,FALSE)
               +Andel_beroende_av_klimat*VLOOKUP($A320,Leveranser_per_nät,'Leveranser per nät'!I$1,FALSE)/VLOOKUP($B320,Korrigeringsfaktor_GD,'Korrigeringsfaktor GD'!I$1,FALSE),
"")</f>
        <v>2.0893617021276594</v>
      </c>
      <c r="J320" s="18">
        <f>IFERROR(
                  Andel_oberoende_av_klimat*VLOOKUP($A320,Leveranser_per_nät,'Leveranser per nät'!J$1,FALSE)
               +Andel_beroende_av_klimat*VLOOKUP($A320,Leveranser_per_nät,'Leveranser per nät'!J$1,FALSE)/VLOOKUP($B320,Korrigeringsfaktor_GD,'Korrigeringsfaktor GD'!J$1,FALSE),
"")</f>
        <v>2.2425857142857142</v>
      </c>
      <c r="K320" s="18">
        <f>IFERROR(
                  Andel_oberoende_av_klimat*VLOOKUP($A320,Leveranser_per_nät,'Leveranser per nät'!K$1,FALSE)
               +Andel_beroende_av_klimat*VLOOKUP($A320,Leveranser_per_nät,'Leveranser per nät'!K$1,FALSE)/VLOOKUP($B320,Korrigeringsfaktor_GD,'Korrigeringsfaktor GD'!K$1,FALSE),
"")</f>
        <v>0</v>
      </c>
      <c r="L320" s="18">
        <f>IFERROR(
                  Andel_oberoende_av_klimat*VLOOKUP($A320,Leveranser_per_nät,'Leveranser per nät'!L$1,FALSE)
               +Andel_beroende_av_klimat*VLOOKUP($A320,Leveranser_per_nät,'Leveranser per nät'!L$1,FALSE)/VLOOKUP($B320,Korrigeringsfaktor_GD,'Korrigeringsfaktor GD'!L$1,FALSE),
"")</f>
        <v>0</v>
      </c>
      <c r="M320" s="18">
        <f>IFERROR(
                  Andel_oberoende_av_klimat*VLOOKUP($A320,Leveranser_per_nät,'Leveranser per nät'!M$1,FALSE)
               +Andel_beroende_av_klimat*VLOOKUP($A320,Leveranser_per_nät,'Leveranser per nät'!M$1,FALSE)/VLOOKUP($B320,Korrigeringsfaktor_GD,'Korrigeringsfaktor GD'!M$1,FALSE),
"")</f>
        <v>0</v>
      </c>
      <c r="N320" s="18">
        <f>IFERROR(
                  Andel_oberoende_av_klimat*VLOOKUP($A320,Leveranser_per_nät,'Leveranser per nät'!N$1,FALSE)
               +Andel_beroende_av_klimat*VLOOKUP($A320,Leveranser_per_nät,'Leveranser per nät'!N$1,FALSE)/VLOOKUP($B320,Korrigeringsfaktor_GD,'Korrigeringsfaktor GD'!N$1,FALSE),
"")</f>
        <v>2.566153846153846</v>
      </c>
      <c r="O320" s="18">
        <f>IFERROR(
                  Andel_oberoende_av_klimat*VLOOKUP($A320,Leveranser_per_nät,'Leveranser per nät'!O$1,FALSE)
               +Andel_beroende_av_klimat*VLOOKUP($A320,Leveranser_per_nät,'Leveranser per nät'!O$1,FALSE)/VLOOKUP($B320,Korrigeringsfaktor_GD,'Korrigeringsfaktor GD'!O$1,FALSE),
"")</f>
        <v>2.6730769230769229</v>
      </c>
      <c r="P320" s="18">
        <f>IFERROR(
                  Andel_oberoende_av_klimat*VLOOKUP($A320,Leveranser_per_nät,'Leveranser per nät'!P$1,FALSE)
               +Andel_beroende_av_klimat*VLOOKUP($A320,Leveranser_per_nät,'Leveranser per nät'!P$1,FALSE)/VLOOKUP($B320,Korrigeringsfaktor_GD,'Korrigeringsfaktor GD'!P$1,FALSE),
"")</f>
        <v>2.962783505154639</v>
      </c>
      <c r="Q320" s="18">
        <f>IFERROR(
                  Andel_oberoende_av_klimat*VLOOKUP($A320,Leveranser_per_nät,'Leveranser per nät'!Q$1,FALSE)
               +Andel_beroende_av_klimat*VLOOKUP($A320,Leveranser_per_nät,'Leveranser per nät'!Q$1,FALSE)/VLOOKUP($B320,Korrigeringsfaktor_GD,'Korrigeringsfaktor GD'!Q$1,FALSE),
"")</f>
        <v>3.4733333333333336</v>
      </c>
      <c r="R320" s="18">
        <f>IFERROR(
                  Andel_oberoende_av_klimat*VLOOKUP($A320,Leveranser_per_nät,'Leveranser per nät'!R$1,FALSE)
               +Andel_beroende_av_klimat*VLOOKUP($A320,Leveranser_per_nät,'Leveranser per nät'!R$1,FALSE)/VLOOKUP($B320,Korrigeringsfaktor_GD,'Korrigeringsfaktor GD'!R$1,FALSE),
"")</f>
        <v>3.1007692307692305</v>
      </c>
      <c r="S320" s="18">
        <f>IFERROR(
                  Andel_oberoende_av_klimat*VLOOKUP($A320,Leveranser_per_nät,'Leveranser per nät'!S$1,FALSE)
               +Andel_beroende_av_klimat*VLOOKUP($A320,Leveranser_per_nät,'Leveranser per nät'!S$1,FALSE)/VLOOKUP($B320,Korrigeringsfaktor_GD,'Korrigeringsfaktor GD'!S$1,FALSE),
"")</f>
        <v>3.2771287128712872</v>
      </c>
      <c r="T320" s="18">
        <f>IFERROR(
                  Andel_oberoende_av_klimat*VLOOKUP($A320,Leveranser_per_nät,'Leveranser per nät'!T$1,FALSE)
               +Andel_beroende_av_klimat*VLOOKUP($A320,Leveranser_per_nät,'Leveranser per nät'!T$1,FALSE)/VLOOKUP($B320,Korrigeringsfaktor_GD,'Korrigeringsfaktor GD'!T$1,FALSE),
"")</f>
        <v>3.4485714285714284</v>
      </c>
      <c r="U320" s="18">
        <f>IFERROR(
                  Andel_oberoende_av_klimat*VLOOKUP($A320,Leveranser_per_nät,'Leveranser per nät'!U$1,FALSE)
               +Andel_beroende_av_klimat*VLOOKUP($A320,Leveranser_per_nät,'Leveranser per nät'!U$1,FALSE)/VLOOKUP($B320,Korrigeringsfaktor_GD,'Korrigeringsfaktor GD'!U$1,FALSE),
"")</f>
        <v>3.4532558139534886</v>
      </c>
      <c r="V320" s="18">
        <f>IFERROR(
                  Andel_oberoende_av_klimat*VLOOKUP($A320,Leveranser_per_nät,'Leveranser per nät'!V$1,FALSE)
               +Andel_beroende_av_klimat*VLOOKUP($A320,Leveranser_per_nät,'Leveranser per nät'!V$1,FALSE)/VLOOKUP($B320,Korrigeringsfaktor_GD,'Korrigeringsfaktor GD'!V$1,FALSE),
"")</f>
        <v>3.6289662921348311</v>
      </c>
      <c r="W320" s="18">
        <f>IFERROR(
                  Andel_oberoende_av_klimat*VLOOKUP($A320,Leveranser_per_nät,'Leveranser per nät'!W$1,FALSE)
               +Andel_beroende_av_klimat*VLOOKUP($A320,Leveranser_per_nät,'Leveranser per nät'!W$1,FALSE)/VLOOKUP($B320,Korrigeringsfaktor_GD,'Korrigeringsfaktor GD'!W$1,FALSE),
"")</f>
        <v>3.8653191489361705</v>
      </c>
      <c r="X320" s="18">
        <f>IFERROR(
                  Andel_oberoende_av_klimat*VLOOKUP($A320,Leveranser_per_nät,'Leveranser per nät'!X$1,FALSE)
               +Andel_beroende_av_klimat*VLOOKUP($A320,Leveranser_per_nät,'Leveranser per nät'!X$1,FALSE)/VLOOKUP($B320,Korrigeringsfaktor_GD,'Korrigeringsfaktor GD'!X$1,FALSE),
"")</f>
        <v>3.9114260869565216</v>
      </c>
      <c r="Y320" s="18">
        <f>IFERROR(
                  Andel_oberoende_av_klimat*VLOOKUP($A320,Leveranser_per_nät,'Leveranser per nät'!Y$1,FALSE)
               +Andel_beroende_av_klimat*VLOOKUP($A320,Leveranser_per_nät,'Leveranser per nät'!Y$1,FALSE)/VLOOKUP($B320,Korrigeringsfaktor_GD,'Korrigeringsfaktor GD'!Y$1,FALSE),
"")</f>
        <v>4.0537943820224722</v>
      </c>
      <c r="Z320" s="18">
        <f>IFERROR(
                  Andel_oberoende_av_klimat*VLOOKUP($A320,Leveranser_per_nät,'Leveranser per nät'!Z$1,FALSE)
               +Andel_beroende_av_klimat*VLOOKUP($A320,Leveranser_per_nät,'Leveranser per nät'!Z$1,FALSE)/VLOOKUP($B320,Korrigeringsfaktor_GD,'Korrigeringsfaktor GD'!Z$1,FALSE),
"")</f>
        <v>4.2175000000000002</v>
      </c>
      <c r="AA320" s="18">
        <f>IFERROR(
                  Andel_oberoende_av_klimat*VLOOKUP($A320,Leveranser_per_nät,'Leveranser per nät'!AA$1,FALSE)
               +Andel_beroende_av_klimat*VLOOKUP($A320,Leveranser_per_nät,'Leveranser per nät'!AA$1,FALSE)/VLOOKUP($B320,Korrigeringsfaktor_GD,'Korrigeringsfaktor GD'!AA$1,FALSE),
"")</f>
        <v>4.4526314285714292</v>
      </c>
      <c r="AB320" s="18">
        <f>IFERROR(
                  Andel_oberoende_av_klimat*VLOOKUP($A320,Leveranser_per_nät,'Leveranser per nät'!AB$1,FALSE)
               +Andel_beroende_av_klimat*VLOOKUP($A320,Leveranser_per_nät,'Leveranser per nät'!AB$1,FALSE)/VLOOKUP($B320,Korrigeringsfaktor_GD,'Korrigeringsfaktor GD'!AB$1,FALSE),
"")</f>
        <v>4.3039684470820969</v>
      </c>
      <c r="AC320" s="18">
        <f>IFERROR(
                  Andel_oberoende_av_klimat*VLOOKUP($A320,Leveranser_per_nät,'Leveranser per nät'!AC$1,FALSE)
               +Andel_beroende_av_klimat*VLOOKUP($A320,Leveranser_per_nät,'Leveranser per nät'!AC$1,FALSE)/VLOOKUP($B320,Korrigeringsfaktor_GD,'Korrigeringsfaktor GD'!AC$1,FALSE),
"")</f>
        <v>3.9277311251314408</v>
      </c>
      <c r="AD320">
        <v>47.075000000000003</v>
      </c>
    </row>
    <row r="321" spans="1:30" x14ac:dyDescent="0.25">
      <c r="A321" t="s">
        <v>693</v>
      </c>
      <c r="B321" t="s">
        <v>253</v>
      </c>
      <c r="C321" s="18">
        <f>IFERROR(
                  Andel_oberoende_av_klimat*VLOOKUP($A321,Leveranser_per_nät,'Leveranser per nät'!C$1,FALSE)
               +Andel_beroende_av_klimat*VLOOKUP($A321,Leveranser_per_nät,'Leveranser per nät'!C$1,FALSE)/VLOOKUP($B321,Korrigeringsfaktor_GD,'Korrigeringsfaktor GD'!C$1,FALSE),
"")</f>
        <v>105.52660550458715</v>
      </c>
      <c r="D321" s="18">
        <f>IFERROR(
                  Andel_oberoende_av_klimat*VLOOKUP($A321,Leveranser_per_nät,'Leveranser per nät'!D$1,FALSE)
               +Andel_beroende_av_klimat*VLOOKUP($A321,Leveranser_per_nät,'Leveranser per nät'!D$1,FALSE)/VLOOKUP($B321,Korrigeringsfaktor_GD,'Korrigeringsfaktor GD'!D$1,FALSE),
"")</f>
        <v>105.86008333333334</v>
      </c>
      <c r="E321" s="18">
        <f>IFERROR(
                  Andel_oberoende_av_klimat*VLOOKUP($A321,Leveranser_per_nät,'Leveranser per nät'!E$1,FALSE)
               +Andel_beroende_av_klimat*VLOOKUP($A321,Leveranser_per_nät,'Leveranser per nät'!E$1,FALSE)/VLOOKUP($B321,Korrigeringsfaktor_GD,'Korrigeringsfaktor GD'!E$1,FALSE),
"")</f>
        <v>107.25148514851485</v>
      </c>
      <c r="F321" s="18">
        <f>IFERROR(
                  Andel_oberoende_av_klimat*VLOOKUP($A321,Leveranser_per_nät,'Leveranser per nät'!F$1,FALSE)
               +Andel_beroende_av_klimat*VLOOKUP($A321,Leveranser_per_nät,'Leveranser per nät'!F$1,FALSE)/VLOOKUP($B321,Korrigeringsfaktor_GD,'Korrigeringsfaktor GD'!F$1,FALSE),
"")</f>
        <v>111.97894736842106</v>
      </c>
      <c r="G321" s="18">
        <f>IFERROR(
                  Andel_oberoende_av_klimat*VLOOKUP($A321,Leveranser_per_nät,'Leveranser per nät'!G$1,FALSE)
               +Andel_beroende_av_klimat*VLOOKUP($A321,Leveranser_per_nät,'Leveranser per nät'!G$1,FALSE)/VLOOKUP($B321,Korrigeringsfaktor_GD,'Korrigeringsfaktor GD'!G$1,FALSE),
"")</f>
        <v>106.04137931034481</v>
      </c>
      <c r="H321" s="18">
        <f>IFERROR(
                  Andel_oberoende_av_klimat*VLOOKUP($A321,Leveranser_per_nät,'Leveranser per nät'!H$1,FALSE)
               +Andel_beroende_av_klimat*VLOOKUP($A321,Leveranser_per_nät,'Leveranser per nät'!H$1,FALSE)/VLOOKUP($B321,Korrigeringsfaktor_GD,'Korrigeringsfaktor GD'!H$1,FALSE),
"")</f>
        <v>113.93595151515152</v>
      </c>
      <c r="I321" s="18">
        <f>IFERROR(
                  Andel_oberoende_av_klimat*VLOOKUP($A321,Leveranser_per_nät,'Leveranser per nät'!I$1,FALSE)
               +Andel_beroende_av_klimat*VLOOKUP($A321,Leveranser_per_nät,'Leveranser per nät'!I$1,FALSE)/VLOOKUP($B321,Korrigeringsfaktor_GD,'Korrigeringsfaktor GD'!I$1,FALSE),
"")</f>
        <v>121.71428571428572</v>
      </c>
      <c r="J321" s="18">
        <f>IFERROR(
                  Andel_oberoende_av_klimat*VLOOKUP($A321,Leveranser_per_nät,'Leveranser per nät'!J$1,FALSE)
               +Andel_beroende_av_klimat*VLOOKUP($A321,Leveranser_per_nät,'Leveranser per nät'!J$1,FALSE)/VLOOKUP($B321,Korrigeringsfaktor_GD,'Korrigeringsfaktor GD'!J$1,FALSE),
"")</f>
        <v>135.91428571428571</v>
      </c>
      <c r="K321" s="18">
        <f>IFERROR(
                  Andel_oberoende_av_klimat*VLOOKUP($A321,Leveranser_per_nät,'Leveranser per nät'!K$1,FALSE)
               +Andel_beroende_av_klimat*VLOOKUP($A321,Leveranser_per_nät,'Leveranser per nät'!K$1,FALSE)/VLOOKUP($B321,Korrigeringsfaktor_GD,'Korrigeringsfaktor GD'!K$1,FALSE),
"")</f>
        <v>133.94040404040405</v>
      </c>
      <c r="L321" s="18">
        <f>IFERROR(
                  Andel_oberoende_av_klimat*VLOOKUP($A321,Leveranser_per_nät,'Leveranser per nät'!L$1,FALSE)
               +Andel_beroende_av_klimat*VLOOKUP($A321,Leveranser_per_nät,'Leveranser per nät'!L$1,FALSE)/VLOOKUP($B321,Korrigeringsfaktor_GD,'Korrigeringsfaktor GD'!L$1,FALSE),
"")</f>
        <v>152.35834468085108</v>
      </c>
      <c r="M321" s="18">
        <f>IFERROR(
                  Andel_oberoende_av_klimat*VLOOKUP($A321,Leveranser_per_nät,'Leveranser per nät'!M$1,FALSE)
               +Andel_beroende_av_klimat*VLOOKUP($A321,Leveranser_per_nät,'Leveranser per nät'!M$1,FALSE)/VLOOKUP($B321,Korrigeringsfaktor_GD,'Korrigeringsfaktor GD'!M$1,FALSE),
"")</f>
        <v>150.11304347826086</v>
      </c>
      <c r="N321" s="18">
        <f>IFERROR(
                  Andel_oberoende_av_klimat*VLOOKUP($A321,Leveranser_per_nät,'Leveranser per nät'!N$1,FALSE)
               +Andel_beroende_av_klimat*VLOOKUP($A321,Leveranser_per_nät,'Leveranser per nät'!N$1,FALSE)/VLOOKUP($B321,Korrigeringsfaktor_GD,'Korrigeringsfaktor GD'!N$1,FALSE),
"")</f>
        <v>118.04893617021277</v>
      </c>
      <c r="O321" s="18">
        <f>IFERROR(
                  Andel_oberoende_av_klimat*VLOOKUP($A321,Leveranser_per_nät,'Leveranser per nät'!O$1,FALSE)
               +Andel_beroende_av_klimat*VLOOKUP($A321,Leveranser_per_nät,'Leveranser per nät'!O$1,FALSE)/VLOOKUP($B321,Korrigeringsfaktor_GD,'Korrigeringsfaktor GD'!O$1,FALSE),
"")</f>
        <v>116.39999999999999</v>
      </c>
      <c r="P321" s="18">
        <f>IFERROR(
                  Andel_oberoende_av_klimat*VLOOKUP($A321,Leveranser_per_nät,'Leveranser per nät'!P$1,FALSE)
               +Andel_beroende_av_klimat*VLOOKUP($A321,Leveranser_per_nät,'Leveranser per nät'!P$1,FALSE)/VLOOKUP($B321,Korrigeringsfaktor_GD,'Korrigeringsfaktor GD'!P$1,FALSE),
"")</f>
        <v>114.20181818181818</v>
      </c>
      <c r="Q321" s="18">
        <f>IFERROR(
                  Andel_oberoende_av_klimat*VLOOKUP($A321,Leveranser_per_nät,'Leveranser per nät'!Q$1,FALSE)
               +Andel_beroende_av_klimat*VLOOKUP($A321,Leveranser_per_nät,'Leveranser per nät'!Q$1,FALSE)/VLOOKUP($B321,Korrigeringsfaktor_GD,'Korrigeringsfaktor GD'!Q$1,FALSE),
"")</f>
        <v>119.2551724137931</v>
      </c>
      <c r="R321" s="18">
        <f>IFERROR(
                  Andel_oberoende_av_klimat*VLOOKUP($A321,Leveranser_per_nät,'Leveranser per nät'!R$1,FALSE)
               +Andel_beroende_av_klimat*VLOOKUP($A321,Leveranser_per_nät,'Leveranser per nät'!R$1,FALSE)/VLOOKUP($B321,Korrigeringsfaktor_GD,'Korrigeringsfaktor GD'!R$1,FALSE),
"")</f>
        <v>110.34461538461538</v>
      </c>
      <c r="S321" s="18">
        <f>IFERROR(
                  Andel_oberoende_av_klimat*VLOOKUP($A321,Leveranser_per_nät,'Leveranser per nät'!S$1,FALSE)
               +Andel_beroende_av_klimat*VLOOKUP($A321,Leveranser_per_nät,'Leveranser per nät'!S$1,FALSE)/VLOOKUP($B321,Korrigeringsfaktor_GD,'Korrigeringsfaktor GD'!S$1,FALSE),
"")</f>
        <v>156.90495049504949</v>
      </c>
      <c r="T321" s="18">
        <f>IFERROR(
                  Andel_oberoende_av_klimat*VLOOKUP($A321,Leveranser_per_nät,'Leveranser per nät'!T$1,FALSE)
               +Andel_beroende_av_klimat*VLOOKUP($A321,Leveranser_per_nät,'Leveranser per nät'!T$1,FALSE)/VLOOKUP($B321,Korrigeringsfaktor_GD,'Korrigeringsfaktor GD'!T$1,FALSE),
"")</f>
        <v>154.06625</v>
      </c>
      <c r="U321" s="18">
        <f>IFERROR(
                  Andel_oberoende_av_klimat*VLOOKUP($A321,Leveranser_per_nät,'Leveranser per nät'!U$1,FALSE)
               +Andel_beroende_av_klimat*VLOOKUP($A321,Leveranser_per_nät,'Leveranser per nät'!U$1,FALSE)/VLOOKUP($B321,Korrigeringsfaktor_GD,'Korrigeringsfaktor GD'!U$1,FALSE),
"")</f>
        <v>148.119</v>
      </c>
      <c r="V321" s="18">
        <f>IFERROR(
                  Andel_oberoende_av_klimat*VLOOKUP($A321,Leveranser_per_nät,'Leveranser per nät'!V$1,FALSE)
               +Andel_beroende_av_klimat*VLOOKUP($A321,Leveranser_per_nät,'Leveranser per nät'!V$1,FALSE)/VLOOKUP($B321,Korrigeringsfaktor_GD,'Korrigeringsfaktor GD'!V$1,FALSE),
"")</f>
        <v>146.03888888888889</v>
      </c>
      <c r="W321" s="18">
        <f>IFERROR(
                  Andel_oberoende_av_klimat*VLOOKUP($A321,Leveranser_per_nät,'Leveranser per nät'!W$1,FALSE)
               +Andel_beroende_av_klimat*VLOOKUP($A321,Leveranser_per_nät,'Leveranser per nät'!W$1,FALSE)/VLOOKUP($B321,Korrigeringsfaktor_GD,'Korrigeringsfaktor GD'!W$1,FALSE),
"")</f>
        <v>154.07473684210527</v>
      </c>
      <c r="X321" s="18">
        <f>IFERROR(
                  Andel_oberoende_av_klimat*VLOOKUP($A321,Leveranser_per_nät,'Leveranser per nät'!X$1,FALSE)
               +Andel_beroende_av_klimat*VLOOKUP($A321,Leveranser_per_nät,'Leveranser per nät'!X$1,FALSE)/VLOOKUP($B321,Korrigeringsfaktor_GD,'Korrigeringsfaktor GD'!X$1,FALSE),
"")</f>
        <v>153.34894736842108</v>
      </c>
      <c r="Y321" s="18">
        <f>IFERROR(
                  Andel_oberoende_av_klimat*VLOOKUP($A321,Leveranser_per_nät,'Leveranser per nät'!Y$1,FALSE)
               +Andel_beroende_av_klimat*VLOOKUP($A321,Leveranser_per_nät,'Leveranser per nät'!Y$1,FALSE)/VLOOKUP($B321,Korrigeringsfaktor_GD,'Korrigeringsfaktor GD'!Y$1,FALSE),
"")</f>
        <v>152.56519148936169</v>
      </c>
      <c r="Z321" s="18">
        <f>IFERROR(
                  Andel_oberoende_av_klimat*VLOOKUP($A321,Leveranser_per_nät,'Leveranser per nät'!Z$1,FALSE)
               +Andel_beroende_av_klimat*VLOOKUP($A321,Leveranser_per_nät,'Leveranser per nät'!Z$1,FALSE)/VLOOKUP($B321,Korrigeringsfaktor_GD,'Korrigeringsfaktor GD'!Z$1,FALSE),
"")</f>
        <v>151.21865591397849</v>
      </c>
      <c r="AA321" s="18">
        <f>IFERROR(
                  Andel_oberoende_av_klimat*VLOOKUP($A321,Leveranser_per_nät,'Leveranser per nät'!AA$1,FALSE)
               +Andel_beroende_av_klimat*VLOOKUP($A321,Leveranser_per_nät,'Leveranser per nät'!AA$1,FALSE)/VLOOKUP($B321,Korrigeringsfaktor_GD,'Korrigeringsfaktor GD'!AA$1,FALSE),
"")</f>
        <v>147.38222452868854</v>
      </c>
      <c r="AB321" s="18">
        <f>IFERROR(
                  Andel_oberoende_av_klimat*VLOOKUP($A321,Leveranser_per_nät,'Leveranser per nät'!AB$1,FALSE)
               +Andel_beroende_av_klimat*VLOOKUP($A321,Leveranser_per_nät,'Leveranser per nät'!AB$1,FALSE)/VLOOKUP($B321,Korrigeringsfaktor_GD,'Korrigeringsfaktor GD'!AB$1,FALSE),
"")</f>
        <v>150.26749582411068</v>
      </c>
      <c r="AC321" s="18">
        <f>IFERROR(
                  Andel_oberoende_av_klimat*VLOOKUP($A321,Leveranser_per_nät,'Leveranser per nät'!AC$1,FALSE)
               +Andel_beroende_av_klimat*VLOOKUP($A321,Leveranser_per_nät,'Leveranser per nät'!AC$1,FALSE)/VLOOKUP($B321,Korrigeringsfaktor_GD,'Korrigeringsfaktor GD'!AC$1,FALSE),
"")</f>
        <v>145.14808159769152</v>
      </c>
      <c r="AD321" t="e">
        <v>#N/A</v>
      </c>
    </row>
    <row r="322" spans="1:30" x14ac:dyDescent="0.25">
      <c r="A322" t="s">
        <v>342</v>
      </c>
      <c r="B322" t="s">
        <v>529</v>
      </c>
      <c r="C322" s="18">
        <f>IFERROR(
                  Andel_oberoende_av_klimat*VLOOKUP($A322,Leveranser_per_nät,'Leveranser per nät'!C$1,FALSE)
               +Andel_beroende_av_klimat*VLOOKUP($A322,Leveranser_per_nät,'Leveranser per nät'!C$1,FALSE)/VLOOKUP($B322,Korrigeringsfaktor_GD,'Korrigeringsfaktor GD'!C$1,FALSE),
"")</f>
        <v>0</v>
      </c>
      <c r="D322" s="18">
        <f>IFERROR(
                  Andel_oberoende_av_klimat*VLOOKUP($A322,Leveranser_per_nät,'Leveranser per nät'!D$1,FALSE)
               +Andel_beroende_av_klimat*VLOOKUP($A322,Leveranser_per_nät,'Leveranser per nät'!D$1,FALSE)/VLOOKUP($B322,Korrigeringsfaktor_GD,'Korrigeringsfaktor GD'!D$1,FALSE),
"")</f>
        <v>0</v>
      </c>
      <c r="E322" s="18">
        <f>IFERROR(
                  Andel_oberoende_av_klimat*VLOOKUP($A322,Leveranser_per_nät,'Leveranser per nät'!E$1,FALSE)
               +Andel_beroende_av_klimat*VLOOKUP($A322,Leveranser_per_nät,'Leveranser per nät'!E$1,FALSE)/VLOOKUP($B322,Korrigeringsfaktor_GD,'Korrigeringsfaktor GD'!E$1,FALSE),
"")</f>
        <v>0</v>
      </c>
      <c r="F322" s="18">
        <f>IFERROR(
                  Andel_oberoende_av_klimat*VLOOKUP($A322,Leveranser_per_nät,'Leveranser per nät'!F$1,FALSE)
               +Andel_beroende_av_klimat*VLOOKUP($A322,Leveranser_per_nät,'Leveranser per nät'!F$1,FALSE)/VLOOKUP($B322,Korrigeringsfaktor_GD,'Korrigeringsfaktor GD'!F$1,FALSE),
"")</f>
        <v>0</v>
      </c>
      <c r="G322" s="18">
        <f>IFERROR(
                  Andel_oberoende_av_klimat*VLOOKUP($A322,Leveranser_per_nät,'Leveranser per nät'!G$1,FALSE)
               +Andel_beroende_av_klimat*VLOOKUP($A322,Leveranser_per_nät,'Leveranser per nät'!G$1,FALSE)/VLOOKUP($B322,Korrigeringsfaktor_GD,'Korrigeringsfaktor GD'!G$1,FALSE),
"")</f>
        <v>0</v>
      </c>
      <c r="H322" s="18">
        <f>IFERROR(
                  Andel_oberoende_av_klimat*VLOOKUP($A322,Leveranser_per_nät,'Leveranser per nät'!H$1,FALSE)
               +Andel_beroende_av_klimat*VLOOKUP($A322,Leveranser_per_nät,'Leveranser per nät'!H$1,FALSE)/VLOOKUP($B322,Korrigeringsfaktor_GD,'Korrigeringsfaktor GD'!H$1,FALSE),
"")</f>
        <v>0</v>
      </c>
      <c r="I322" s="18">
        <f>IFERROR(
                  Andel_oberoende_av_klimat*VLOOKUP($A322,Leveranser_per_nät,'Leveranser per nät'!I$1,FALSE)
               +Andel_beroende_av_klimat*VLOOKUP($A322,Leveranser_per_nät,'Leveranser per nät'!I$1,FALSE)/VLOOKUP($B322,Korrigeringsfaktor_GD,'Korrigeringsfaktor GD'!I$1,FALSE),
"")</f>
        <v>0</v>
      </c>
      <c r="J322" s="18">
        <f>IFERROR(
                  Andel_oberoende_av_klimat*VLOOKUP($A322,Leveranser_per_nät,'Leveranser per nät'!J$1,FALSE)
               +Andel_beroende_av_klimat*VLOOKUP($A322,Leveranser_per_nät,'Leveranser per nät'!J$1,FALSE)/VLOOKUP($B322,Korrigeringsfaktor_GD,'Korrigeringsfaktor GD'!J$1,FALSE),
"")</f>
        <v>0</v>
      </c>
      <c r="K322" s="18">
        <f>IFERROR(
                  Andel_oberoende_av_klimat*VLOOKUP($A322,Leveranser_per_nät,'Leveranser per nät'!K$1,FALSE)
               +Andel_beroende_av_klimat*VLOOKUP($A322,Leveranser_per_nät,'Leveranser per nät'!K$1,FALSE)/VLOOKUP($B322,Korrigeringsfaktor_GD,'Korrigeringsfaktor GD'!K$1,FALSE),
"")</f>
        <v>0</v>
      </c>
      <c r="L322" s="18">
        <f>IFERROR(
                  Andel_oberoende_av_klimat*VLOOKUP($A322,Leveranser_per_nät,'Leveranser per nät'!L$1,FALSE)
               +Andel_beroende_av_klimat*VLOOKUP($A322,Leveranser_per_nät,'Leveranser per nät'!L$1,FALSE)/VLOOKUP($B322,Korrigeringsfaktor_GD,'Korrigeringsfaktor GD'!L$1,FALSE),
"")</f>
        <v>0</v>
      </c>
      <c r="M322" s="18">
        <f>IFERROR(
                  Andel_oberoende_av_klimat*VLOOKUP($A322,Leveranser_per_nät,'Leveranser per nät'!M$1,FALSE)
               +Andel_beroende_av_klimat*VLOOKUP($A322,Leveranser_per_nät,'Leveranser per nät'!M$1,FALSE)/VLOOKUP($B322,Korrigeringsfaktor_GD,'Korrigeringsfaktor GD'!M$1,FALSE),
"")</f>
        <v>38.070467741935481</v>
      </c>
      <c r="N322" s="18">
        <f>IFERROR(
                  Andel_oberoende_av_klimat*VLOOKUP($A322,Leveranser_per_nät,'Leveranser per nät'!N$1,FALSE)
               +Andel_beroende_av_klimat*VLOOKUP($A322,Leveranser_per_nät,'Leveranser per nät'!N$1,FALSE)/VLOOKUP($B322,Korrigeringsfaktor_GD,'Korrigeringsfaktor GD'!N$1,FALSE),
"")</f>
        <v>39.888695652173915</v>
      </c>
      <c r="O322" s="18">
        <f>IFERROR(
                  Andel_oberoende_av_klimat*VLOOKUP($A322,Leveranser_per_nät,'Leveranser per nät'!O$1,FALSE)
               +Andel_beroende_av_klimat*VLOOKUP($A322,Leveranser_per_nät,'Leveranser per nät'!O$1,FALSE)/VLOOKUP($B322,Korrigeringsfaktor_GD,'Korrigeringsfaktor GD'!O$1,FALSE),
"")</f>
        <v>40.422272727272727</v>
      </c>
      <c r="P322" s="18">
        <f>IFERROR(
                  Andel_oberoende_av_klimat*VLOOKUP($A322,Leveranser_per_nät,'Leveranser per nät'!P$1,FALSE)
               +Andel_beroende_av_klimat*VLOOKUP($A322,Leveranser_per_nät,'Leveranser per nät'!P$1,FALSE)/VLOOKUP($B322,Korrigeringsfaktor_GD,'Korrigeringsfaktor GD'!P$1,FALSE),
"")</f>
        <v>39.129175257731951</v>
      </c>
      <c r="Q322" s="18">
        <f>IFERROR(
                  Andel_oberoende_av_klimat*VLOOKUP($A322,Leveranser_per_nät,'Leveranser per nät'!Q$1,FALSE)
               +Andel_beroende_av_klimat*VLOOKUP($A322,Leveranser_per_nät,'Leveranser per nät'!Q$1,FALSE)/VLOOKUP($B322,Korrigeringsfaktor_GD,'Korrigeringsfaktor GD'!Q$1,FALSE),
"")</f>
        <v>0</v>
      </c>
      <c r="R322" s="18">
        <f>IFERROR(
                  Andel_oberoende_av_klimat*VLOOKUP($A322,Leveranser_per_nät,'Leveranser per nät'!R$1,FALSE)
               +Andel_beroende_av_klimat*VLOOKUP($A322,Leveranser_per_nät,'Leveranser per nät'!R$1,FALSE)/VLOOKUP($B322,Korrigeringsfaktor_GD,'Korrigeringsfaktor GD'!R$1,FALSE),
"")</f>
        <v>0</v>
      </c>
      <c r="S322" s="18" t="str">
        <f>IFERROR(
                  Andel_oberoende_av_klimat*VLOOKUP($A322,Leveranser_per_nät,'Leveranser per nät'!S$1,FALSE)
               +Andel_beroende_av_klimat*VLOOKUP($A322,Leveranser_per_nät,'Leveranser per nät'!S$1,FALSE)/VLOOKUP($B322,Korrigeringsfaktor_GD,'Korrigeringsfaktor GD'!S$1,FALSE),
"")</f>
        <v/>
      </c>
      <c r="T322" s="18">
        <f>IFERROR(
                  Andel_oberoende_av_klimat*VLOOKUP($A322,Leveranser_per_nät,'Leveranser per nät'!T$1,FALSE)
               +Andel_beroende_av_klimat*VLOOKUP($A322,Leveranser_per_nät,'Leveranser per nät'!T$1,FALSE)/VLOOKUP($B322,Korrigeringsfaktor_GD,'Korrigeringsfaktor GD'!T$1,FALSE),
"")</f>
        <v>29.566536082474229</v>
      </c>
      <c r="U322" s="18">
        <f>IFERROR(
                  Andel_oberoende_av_klimat*VLOOKUP($A322,Leveranser_per_nät,'Leveranser per nät'!U$1,FALSE)
               +Andel_beroende_av_klimat*VLOOKUP($A322,Leveranser_per_nät,'Leveranser per nät'!U$1,FALSE)/VLOOKUP($B322,Korrigeringsfaktor_GD,'Korrigeringsfaktor GD'!U$1,FALSE),
"")</f>
        <v>29.553258426966291</v>
      </c>
      <c r="V322" s="18">
        <f>IFERROR(
                  Andel_oberoende_av_klimat*VLOOKUP($A322,Leveranser_per_nät,'Leveranser per nät'!V$1,FALSE)
               +Andel_beroende_av_klimat*VLOOKUP($A322,Leveranser_per_nät,'Leveranser per nät'!V$1,FALSE)/VLOOKUP($B322,Korrigeringsfaktor_GD,'Korrigeringsfaktor GD'!V$1,FALSE),
"")</f>
        <v>30.188139534883717</v>
      </c>
      <c r="W322" s="18">
        <f>IFERROR(
                  Andel_oberoende_av_klimat*VLOOKUP($A322,Leveranser_per_nät,'Leveranser per nät'!W$1,FALSE)
               +Andel_beroende_av_klimat*VLOOKUP($A322,Leveranser_per_nät,'Leveranser per nät'!W$1,FALSE)/VLOOKUP($B322,Korrigeringsfaktor_GD,'Korrigeringsfaktor GD'!W$1,FALSE),
"")</f>
        <v>29.517376344086017</v>
      </c>
      <c r="X322" s="18">
        <f>IFERROR(
                  Andel_oberoende_av_klimat*VLOOKUP($A322,Leveranser_per_nät,'Leveranser per nät'!X$1,FALSE)
               +Andel_beroende_av_klimat*VLOOKUP($A322,Leveranser_per_nät,'Leveranser per nät'!X$1,FALSE)/VLOOKUP($B322,Korrigeringsfaktor_GD,'Korrigeringsfaktor GD'!X$1,FALSE),
"")</f>
        <v>29.159462365591395</v>
      </c>
      <c r="Y322" s="18">
        <f>IFERROR(
                  Andel_oberoende_av_klimat*VLOOKUP($A322,Leveranser_per_nät,'Leveranser per nät'!Y$1,FALSE)
               +Andel_beroende_av_klimat*VLOOKUP($A322,Leveranser_per_nät,'Leveranser per nät'!Y$1,FALSE)/VLOOKUP($B322,Korrigeringsfaktor_GD,'Korrigeringsfaktor GD'!Y$1,FALSE),
"")</f>
        <v>28.750626086956515</v>
      </c>
      <c r="Z322" s="18">
        <f>IFERROR(
                  Andel_oberoende_av_klimat*VLOOKUP($A322,Leveranser_per_nät,'Leveranser per nät'!Z$1,FALSE)
               +Andel_beroende_av_klimat*VLOOKUP($A322,Leveranser_per_nät,'Leveranser per nät'!Z$1,FALSE)/VLOOKUP($B322,Korrigeringsfaktor_GD,'Korrigeringsfaktor GD'!Z$1,FALSE),
"")</f>
        <v>27.260104347826086</v>
      </c>
      <c r="AA322" s="18">
        <f>IFERROR(
                  Andel_oberoende_av_klimat*VLOOKUP($A322,Leveranser_per_nät,'Leveranser per nät'!AA$1,FALSE)
               +Andel_beroende_av_klimat*VLOOKUP($A322,Leveranser_per_nät,'Leveranser per nät'!AA$1,FALSE)/VLOOKUP($B322,Korrigeringsfaktor_GD,'Korrigeringsfaktor GD'!AA$1,FALSE),
"")</f>
        <v>28.083521344232516</v>
      </c>
      <c r="AB322" s="18">
        <f>IFERROR(
                  Andel_oberoende_av_klimat*VLOOKUP($A322,Leveranser_per_nät,'Leveranser per nät'!AB$1,FALSE)
               +Andel_beroende_av_klimat*VLOOKUP($A322,Leveranser_per_nät,'Leveranser per nät'!AB$1,FALSE)/VLOOKUP($B322,Korrigeringsfaktor_GD,'Korrigeringsfaktor GD'!AB$1,FALSE),
"")</f>
        <v>28.199461111111109</v>
      </c>
      <c r="AC322" s="18">
        <f>IFERROR(
                  Andel_oberoende_av_klimat*VLOOKUP($A322,Leveranser_per_nät,'Leveranser per nät'!AC$1,FALSE)
               +Andel_beroende_av_klimat*VLOOKUP($A322,Leveranser_per_nät,'Leveranser per nät'!AC$1,FALSE)/VLOOKUP($B322,Korrigeringsfaktor_GD,'Korrigeringsfaktor GD'!AC$1,FALSE),
"")</f>
        <v>26.717518580375785</v>
      </c>
      <c r="AD322" t="e">
        <v>#N/A</v>
      </c>
    </row>
    <row r="323" spans="1:30" x14ac:dyDescent="0.25">
      <c r="A323" t="s">
        <v>796</v>
      </c>
      <c r="B323" t="s">
        <v>301</v>
      </c>
      <c r="C323" s="18"/>
      <c r="D323" s="18"/>
      <c r="E323" s="18"/>
      <c r="F323" s="18"/>
      <c r="G323" s="18"/>
      <c r="H323" s="18"/>
      <c r="I323" s="18"/>
      <c r="J323" s="18"/>
      <c r="K323" s="18"/>
      <c r="L323" s="18"/>
      <c r="M323" s="18"/>
      <c r="N323" s="18"/>
      <c r="O323" s="18"/>
      <c r="P323" s="18"/>
      <c r="Q323" s="18"/>
      <c r="R323" s="18">
        <f>IFERROR(
                  Andel_oberoende_av_klimat*VLOOKUP($A323,Leveranser_per_nät,'Leveranser per nät'!R$1,FALSE)
               +Andel_beroende_av_klimat*VLOOKUP($A323,Leveranser_per_nät,'Leveranser per nät'!R$1,FALSE)/VLOOKUP($B323,Korrigeringsfaktor_GD,'Korrigeringsfaktor GD'!R$1,FALSE),
"")</f>
        <v>0</v>
      </c>
      <c r="S323" s="18">
        <f>IFERROR(
                  Andel_oberoende_av_klimat*VLOOKUP($A323,Leveranser_per_nät,'Leveranser per nät'!S$1,FALSE)
               +Andel_beroende_av_klimat*VLOOKUP($A323,Leveranser_per_nät,'Leveranser per nät'!S$1,FALSE)/VLOOKUP($B323,Korrigeringsfaktor_GD,'Korrigeringsfaktor GD'!S$1,FALSE),
"")</f>
        <v>0</v>
      </c>
      <c r="T323" s="18">
        <f>IFERROR(
                  Andel_oberoende_av_klimat*VLOOKUP($A323,Leveranser_per_nät,'Leveranser per nät'!T$1,FALSE)
               +Andel_beroende_av_klimat*VLOOKUP($A323,Leveranser_per_nät,'Leveranser per nät'!T$1,FALSE)/VLOOKUP($B323,Korrigeringsfaktor_GD,'Korrigeringsfaktor GD'!T$1,FALSE),
"")</f>
        <v>3.3178947368421055</v>
      </c>
      <c r="U323" s="18">
        <f>IFERROR(
                  Andel_oberoende_av_klimat*VLOOKUP($A323,Leveranser_per_nät,'Leveranser per nät'!U$1,FALSE)
               +Andel_beroende_av_klimat*VLOOKUP($A323,Leveranser_per_nät,'Leveranser per nät'!U$1,FALSE)/VLOOKUP($B323,Korrigeringsfaktor_GD,'Korrigeringsfaktor GD'!U$1,FALSE),
"")</f>
        <v>3.268894606741573</v>
      </c>
      <c r="V323" s="18">
        <f>IFERROR(
                  Andel_oberoende_av_klimat*VLOOKUP($A323,Leveranser_per_nät,'Leveranser per nät'!V$1,FALSE)
               +Andel_beroende_av_klimat*VLOOKUP($A323,Leveranser_per_nät,'Leveranser per nät'!V$1,FALSE)/VLOOKUP($B323,Korrigeringsfaktor_GD,'Korrigeringsfaktor GD'!V$1,FALSE),
"")</f>
        <v>3.2964921348314604</v>
      </c>
      <c r="W323" s="18">
        <f>IFERROR(
                  Andel_oberoende_av_klimat*VLOOKUP($A323,Leveranser_per_nät,'Leveranser per nät'!W$1,FALSE)
               +Andel_beroende_av_klimat*VLOOKUP($A323,Leveranser_per_nät,'Leveranser per nät'!W$1,FALSE)/VLOOKUP($B323,Korrigeringsfaktor_GD,'Korrigeringsfaktor GD'!W$1,FALSE),
"")</f>
        <v>3.2770260869565213</v>
      </c>
      <c r="X323" s="18">
        <f>IFERROR(
                  Andel_oberoende_av_klimat*VLOOKUP($A323,Leveranser_per_nät,'Leveranser per nät'!X$1,FALSE)
               +Andel_beroende_av_klimat*VLOOKUP($A323,Leveranser_per_nät,'Leveranser per nät'!X$1,FALSE)/VLOOKUP($B323,Korrigeringsfaktor_GD,'Korrigeringsfaktor GD'!X$1,FALSE),
"")</f>
        <v>3.257930434782609</v>
      </c>
      <c r="Y323" s="18">
        <f>IFERROR(
                  Andel_oberoende_av_klimat*VLOOKUP($A323,Leveranser_per_nät,'Leveranser per nät'!Y$1,FALSE)
               +Andel_beroende_av_klimat*VLOOKUP($A323,Leveranser_per_nät,'Leveranser per nät'!Y$1,FALSE)/VLOOKUP($B323,Korrigeringsfaktor_GD,'Korrigeringsfaktor GD'!Y$1,FALSE),
"")</f>
        <v>3.3149150537634409</v>
      </c>
      <c r="Z323" s="18">
        <f>IFERROR(
                  Andel_oberoende_av_klimat*VLOOKUP($A323,Leveranser_per_nät,'Leveranser per nät'!Z$1,FALSE)
               +Andel_beroende_av_klimat*VLOOKUP($A323,Leveranser_per_nät,'Leveranser per nät'!Z$1,FALSE)/VLOOKUP($B323,Korrigeringsfaktor_GD,'Korrigeringsfaktor GD'!Z$1,FALSE),
"")</f>
        <v>3.4469882352941177</v>
      </c>
      <c r="AA323" s="18">
        <f>IFERROR(
                  Andel_oberoende_av_klimat*VLOOKUP($A323,Leveranser_per_nät,'Leveranser per nät'!AA$1,FALSE)
               +Andel_beroende_av_klimat*VLOOKUP($A323,Leveranser_per_nät,'Leveranser per nät'!AA$1,FALSE)/VLOOKUP($B323,Korrigeringsfaktor_GD,'Korrigeringsfaktor GD'!AA$1,FALSE),
"")</f>
        <v>3.0839319378798109</v>
      </c>
      <c r="AB323" s="18">
        <f>IFERROR(
                  Andel_oberoende_av_klimat*VLOOKUP($A323,Leveranser_per_nät,'Leveranser per nät'!AB$1,FALSE)
               +Andel_beroende_av_klimat*VLOOKUP($A323,Leveranser_per_nät,'Leveranser per nät'!AB$1,FALSE)/VLOOKUP($B323,Korrigeringsfaktor_GD,'Korrigeringsfaktor GD'!AB$1,FALSE),
"")</f>
        <v>2.9387748987854252</v>
      </c>
      <c r="AC323" s="18">
        <f>IFERROR(
                  Andel_oberoende_av_klimat*VLOOKUP($A323,Leveranser_per_nät,'Leveranser per nät'!AC$1,FALSE)
               +Andel_beroende_av_klimat*VLOOKUP($A323,Leveranser_per_nät,'Leveranser per nät'!AC$1,FALSE)/VLOOKUP($B323,Korrigeringsfaktor_GD,'Korrigeringsfaktor GD'!AC$1,FALSE),
"")</f>
        <v>2.7716165775401067</v>
      </c>
      <c r="AD323">
        <v>115.232</v>
      </c>
    </row>
    <row r="324" spans="1:30" x14ac:dyDescent="0.25">
      <c r="A324" t="s">
        <v>255</v>
      </c>
      <c r="B324" t="s">
        <v>255</v>
      </c>
      <c r="C324" s="18">
        <f>IFERROR(
                  Andel_oberoende_av_klimat*VLOOKUP($A324,Leveranser_per_nät,'Leveranser per nät'!C$1,FALSE)
               +Andel_beroende_av_klimat*VLOOKUP($A324,Leveranser_per_nät,'Leveranser per nät'!C$1,FALSE)/VLOOKUP($B324,Korrigeringsfaktor_GD,'Korrigeringsfaktor GD'!C$1,FALSE),
"")</f>
        <v>213.49090909090907</v>
      </c>
      <c r="D324" s="18">
        <f>IFERROR(
                  Andel_oberoende_av_klimat*VLOOKUP($A324,Leveranser_per_nät,'Leveranser per nät'!D$1,FALSE)
               +Andel_beroende_av_klimat*VLOOKUP($A324,Leveranser_per_nät,'Leveranser per nät'!D$1,FALSE)/VLOOKUP($B324,Korrigeringsfaktor_GD,'Korrigeringsfaktor GD'!D$1,FALSE),
"")</f>
        <v>205.86420833333335</v>
      </c>
      <c r="E324" s="18">
        <f>IFERROR(
                  Andel_oberoende_av_klimat*VLOOKUP($A324,Leveranser_per_nät,'Leveranser per nät'!E$1,FALSE)
               +Andel_beroende_av_klimat*VLOOKUP($A324,Leveranser_per_nät,'Leveranser per nät'!E$1,FALSE)/VLOOKUP($B324,Korrigeringsfaktor_GD,'Korrigeringsfaktor GD'!E$1,FALSE),
"")</f>
        <v>213.50990099009903</v>
      </c>
      <c r="F324" s="18">
        <f>IFERROR(
                  Andel_oberoende_av_klimat*VLOOKUP($A324,Leveranser_per_nät,'Leveranser per nät'!F$1,FALSE)
               +Andel_beroende_av_klimat*VLOOKUP($A324,Leveranser_per_nät,'Leveranser per nät'!F$1,FALSE)/VLOOKUP($B324,Korrigeringsfaktor_GD,'Korrigeringsfaktor GD'!F$1,FALSE),
"")</f>
        <v>211.48144329896905</v>
      </c>
      <c r="G324" s="18">
        <f>IFERROR(
                  Andel_oberoende_av_klimat*VLOOKUP($A324,Leveranser_per_nät,'Leveranser per nät'!G$1,FALSE)
               +Andel_beroende_av_klimat*VLOOKUP($A324,Leveranser_per_nät,'Leveranser per nät'!G$1,FALSE)/VLOOKUP($B324,Korrigeringsfaktor_GD,'Korrigeringsfaktor GD'!G$1,FALSE),
"")</f>
        <v>216.21685393258426</v>
      </c>
      <c r="H324" s="18">
        <f>IFERROR(
                  Andel_oberoende_av_klimat*VLOOKUP($A324,Leveranser_per_nät,'Leveranser per nät'!H$1,FALSE)
               +Andel_beroende_av_klimat*VLOOKUP($A324,Leveranser_per_nät,'Leveranser per nät'!H$1,FALSE)/VLOOKUP($B324,Korrigeringsfaktor_GD,'Korrigeringsfaktor GD'!H$1,FALSE),
"")</f>
        <v>222.358</v>
      </c>
      <c r="I324" s="18">
        <f>IFERROR(
                  Andel_oberoende_av_klimat*VLOOKUP($A324,Leveranser_per_nät,'Leveranser per nät'!I$1,FALSE)
               +Andel_beroende_av_klimat*VLOOKUP($A324,Leveranser_per_nät,'Leveranser per nät'!I$1,FALSE)/VLOOKUP($B324,Korrigeringsfaktor_GD,'Korrigeringsfaktor GD'!I$1,FALSE),
"")</f>
        <v>224.15714285714287</v>
      </c>
      <c r="J324" s="18">
        <f>IFERROR(
                  Andel_oberoende_av_klimat*VLOOKUP($A324,Leveranser_per_nät,'Leveranser per nät'!J$1,FALSE)
               +Andel_beroende_av_klimat*VLOOKUP($A324,Leveranser_per_nät,'Leveranser per nät'!J$1,FALSE)/VLOOKUP($B324,Korrigeringsfaktor_GD,'Korrigeringsfaktor GD'!J$1,FALSE),
"")</f>
        <v>236.23728571428569</v>
      </c>
      <c r="K324" s="18">
        <f>IFERROR(
                  Andel_oberoende_av_klimat*VLOOKUP($A324,Leveranser_per_nät,'Leveranser per nät'!K$1,FALSE)
               +Andel_beroende_av_klimat*VLOOKUP($A324,Leveranser_per_nät,'Leveranser per nät'!K$1,FALSE)/VLOOKUP($B324,Korrigeringsfaktor_GD,'Korrigeringsfaktor GD'!K$1,FALSE),
"")</f>
        <v>226.17658571428575</v>
      </c>
      <c r="L324" s="18">
        <f>IFERROR(
                  Andel_oberoende_av_klimat*VLOOKUP($A324,Leveranser_per_nät,'Leveranser per nät'!L$1,FALSE)
               +Andel_beroende_av_klimat*VLOOKUP($A324,Leveranser_per_nät,'Leveranser per nät'!L$1,FALSE)/VLOOKUP($B324,Korrigeringsfaktor_GD,'Korrigeringsfaktor GD'!L$1,FALSE),
"")</f>
        <v>217.7616340425532</v>
      </c>
      <c r="M324" s="18">
        <f>IFERROR(
                  Andel_oberoende_av_klimat*VLOOKUP($A324,Leveranser_per_nät,'Leveranser per nät'!M$1,FALSE)
               +Andel_beroende_av_klimat*VLOOKUP($A324,Leveranser_per_nät,'Leveranser per nät'!M$1,FALSE)/VLOOKUP($B324,Korrigeringsfaktor_GD,'Korrigeringsfaktor GD'!M$1,FALSE),
"")</f>
        <v>242.93913043478261</v>
      </c>
      <c r="N324" s="18">
        <f>IFERROR(
                  Andel_oberoende_av_klimat*VLOOKUP($A324,Leveranser_per_nät,'Leveranser per nät'!N$1,FALSE)
               +Andel_beroende_av_klimat*VLOOKUP($A324,Leveranser_per_nät,'Leveranser per nät'!N$1,FALSE)/VLOOKUP($B324,Korrigeringsfaktor_GD,'Korrigeringsfaktor GD'!N$1,FALSE),
"")</f>
        <v>241.17086021505372</v>
      </c>
      <c r="O324" s="18">
        <f>IFERROR(
                  Andel_oberoende_av_klimat*VLOOKUP($A324,Leveranser_per_nät,'Leveranser per nät'!O$1,FALSE)
               +Andel_beroende_av_klimat*VLOOKUP($A324,Leveranser_per_nät,'Leveranser per nät'!O$1,FALSE)/VLOOKUP($B324,Korrigeringsfaktor_GD,'Korrigeringsfaktor GD'!O$1,FALSE),
"")</f>
        <v>245.28153846153845</v>
      </c>
      <c r="P324" s="18">
        <f>IFERROR(
                  Andel_oberoende_av_klimat*VLOOKUP($A324,Leveranser_per_nät,'Leveranser per nät'!P$1,FALSE)
               +Andel_beroende_av_klimat*VLOOKUP($A324,Leveranser_per_nät,'Leveranser per nät'!P$1,FALSE)/VLOOKUP($B324,Korrigeringsfaktor_GD,'Korrigeringsfaktor GD'!P$1,FALSE),
"")</f>
        <v>240.68989898989898</v>
      </c>
      <c r="Q324" s="18">
        <f>IFERROR(
                  Andel_oberoende_av_klimat*VLOOKUP($A324,Leveranser_per_nät,'Leveranser per nät'!Q$1,FALSE)
               +Andel_beroende_av_klimat*VLOOKUP($A324,Leveranser_per_nät,'Leveranser per nät'!Q$1,FALSE)/VLOOKUP($B324,Korrigeringsfaktor_GD,'Korrigeringsfaktor GD'!Q$1,FALSE),
"")</f>
        <v>240.16826086956524</v>
      </c>
      <c r="R324" s="18">
        <f>IFERROR(
                  Andel_oberoende_av_klimat*VLOOKUP($A324,Leveranser_per_nät,'Leveranser per nät'!R$1,FALSE)
               +Andel_beroende_av_klimat*VLOOKUP($A324,Leveranser_per_nät,'Leveranser per nät'!R$1,FALSE)/VLOOKUP($B324,Korrigeringsfaktor_GD,'Korrigeringsfaktor GD'!R$1,FALSE),
"")</f>
        <v>217.09768461538459</v>
      </c>
      <c r="S324" s="18">
        <f>IFERROR(
                  Andel_oberoende_av_klimat*VLOOKUP($A324,Leveranser_per_nät,'Leveranser per nät'!S$1,FALSE)
               +Andel_beroende_av_klimat*VLOOKUP($A324,Leveranser_per_nät,'Leveranser per nät'!S$1,FALSE)/VLOOKUP($B324,Korrigeringsfaktor_GD,'Korrigeringsfaktor GD'!S$1,FALSE),
"")</f>
        <v>232</v>
      </c>
      <c r="T324" s="18">
        <f>IFERROR(
                  Andel_oberoende_av_klimat*VLOOKUP($A324,Leveranser_per_nät,'Leveranser per nät'!T$1,FALSE)
               +Andel_beroende_av_klimat*VLOOKUP($A324,Leveranser_per_nät,'Leveranser per nät'!T$1,FALSE)/VLOOKUP($B324,Korrigeringsfaktor_GD,'Korrigeringsfaktor GD'!T$1,FALSE),
"")</f>
        <v>229.91583333333335</v>
      </c>
      <c r="U324" s="18">
        <f>IFERROR(
                  Andel_oberoende_av_klimat*VLOOKUP($A324,Leveranser_per_nät,'Leveranser per nät'!U$1,FALSE)
               +Andel_beroende_av_klimat*VLOOKUP($A324,Leveranser_per_nät,'Leveranser per nät'!U$1,FALSE)/VLOOKUP($B324,Korrigeringsfaktor_GD,'Korrigeringsfaktor GD'!U$1,FALSE),
"")</f>
        <v>232.07999999999998</v>
      </c>
      <c r="V324" s="18">
        <f>IFERROR(
                  Andel_oberoende_av_klimat*VLOOKUP($A324,Leveranser_per_nät,'Leveranser per nät'!V$1,FALSE)
               +Andel_beroende_av_klimat*VLOOKUP($A324,Leveranser_per_nät,'Leveranser per nät'!V$1,FALSE)/VLOOKUP($B324,Korrigeringsfaktor_GD,'Korrigeringsfaktor GD'!V$1,FALSE),
"")</f>
        <v>233.81842696629212</v>
      </c>
      <c r="W324" s="18">
        <f>IFERROR(
                  Andel_oberoende_av_klimat*VLOOKUP($A324,Leveranser_per_nät,'Leveranser per nät'!W$1,FALSE)
               +Andel_beroende_av_klimat*VLOOKUP($A324,Leveranser_per_nät,'Leveranser per nät'!W$1,FALSE)/VLOOKUP($B324,Korrigeringsfaktor_GD,'Korrigeringsfaktor GD'!W$1,FALSE),
"")</f>
        <v>240.32870967741937</v>
      </c>
      <c r="X324" s="18">
        <f>IFERROR(
                  Andel_oberoende_av_klimat*VLOOKUP($A324,Leveranser_per_nät,'Leveranser per nät'!X$1,FALSE)
               +Andel_beroende_av_klimat*VLOOKUP($A324,Leveranser_per_nät,'Leveranser per nät'!X$1,FALSE)/VLOOKUP($B324,Korrigeringsfaktor_GD,'Korrigeringsfaktor GD'!X$1,FALSE),
"")</f>
        <v>240.01290322580644</v>
      </c>
      <c r="Y324" s="18">
        <f>IFERROR(
                  Andel_oberoende_av_klimat*VLOOKUP($A324,Leveranser_per_nät,'Leveranser per nät'!Y$1,FALSE)
               +Andel_beroende_av_klimat*VLOOKUP($A324,Leveranser_per_nät,'Leveranser per nät'!Y$1,FALSE)/VLOOKUP($B324,Korrigeringsfaktor_GD,'Korrigeringsfaktor GD'!Y$1,FALSE),
"")</f>
        <v>228.08695652173913</v>
      </c>
      <c r="Z324" s="18">
        <f>IFERROR(
                  Andel_oberoende_av_klimat*VLOOKUP($A324,Leveranser_per_nät,'Leveranser per nät'!Z$1,FALSE)
               +Andel_beroende_av_klimat*VLOOKUP($A324,Leveranser_per_nät,'Leveranser per nät'!Z$1,FALSE)/VLOOKUP($B324,Korrigeringsfaktor_GD,'Korrigeringsfaktor GD'!Z$1,FALSE),
"")</f>
        <v>236.43376344086022</v>
      </c>
      <c r="AA324" s="18">
        <f>IFERROR(
                  Andel_oberoende_av_klimat*VLOOKUP($A324,Leveranser_per_nät,'Leveranser per nät'!AA$1,FALSE)
               +Andel_beroende_av_klimat*VLOOKUP($A324,Leveranser_per_nät,'Leveranser per nät'!AA$1,FALSE)/VLOOKUP($B324,Korrigeringsfaktor_GD,'Korrigeringsfaktor GD'!AA$1,FALSE),
"")</f>
        <v>231.51878266033253</v>
      </c>
      <c r="AB324" s="18">
        <f>IFERROR(
                  Andel_oberoende_av_klimat*VLOOKUP($A324,Leveranser_per_nät,'Leveranser per nät'!AB$1,FALSE)
               +Andel_beroende_av_klimat*VLOOKUP($A324,Leveranser_per_nät,'Leveranser per nät'!AB$1,FALSE)/VLOOKUP($B324,Korrigeringsfaktor_GD,'Korrigeringsfaktor GD'!AB$1,FALSE),
"")</f>
        <v>225.78140733399403</v>
      </c>
      <c r="AC324" s="18">
        <f>IFERROR(
                  Andel_oberoende_av_klimat*VLOOKUP($A324,Leveranser_per_nät,'Leveranser per nät'!AC$1,FALSE)
               +Andel_beroende_av_klimat*VLOOKUP($A324,Leveranser_per_nät,'Leveranser per nät'!AC$1,FALSE)/VLOOKUP($B324,Korrigeringsfaktor_GD,'Korrigeringsfaktor GD'!AC$1,FALSE),
"")</f>
        <v>221.97898655635987</v>
      </c>
      <c r="AD324">
        <v>216.8</v>
      </c>
    </row>
    <row r="325" spans="1:30" x14ac:dyDescent="0.25">
      <c r="A325" t="s">
        <v>375</v>
      </c>
      <c r="B325" t="s">
        <v>375</v>
      </c>
      <c r="C325" s="18">
        <f>IFERROR(
                  Andel_oberoende_av_klimat*VLOOKUP($A325,Leveranser_per_nät,'Leveranser per nät'!C$1,FALSE)
               +Andel_beroende_av_klimat*VLOOKUP($A325,Leveranser_per_nät,'Leveranser per nät'!C$1,FALSE)/VLOOKUP($B325,Korrigeringsfaktor_GD,'Korrigeringsfaktor GD'!C$1,FALSE),
"")</f>
        <v>0</v>
      </c>
      <c r="D325" s="18">
        <f>IFERROR(
                  Andel_oberoende_av_klimat*VLOOKUP($A325,Leveranser_per_nät,'Leveranser per nät'!D$1,FALSE)
               +Andel_beroende_av_klimat*VLOOKUP($A325,Leveranser_per_nät,'Leveranser per nät'!D$1,FALSE)/VLOOKUP($B325,Korrigeringsfaktor_GD,'Korrigeringsfaktor GD'!D$1,FALSE),
"")</f>
        <v>32.6</v>
      </c>
      <c r="E325" s="18">
        <f>IFERROR(
                  Andel_oberoende_av_klimat*VLOOKUP($A325,Leveranser_per_nät,'Leveranser per nät'!E$1,FALSE)
               +Andel_beroende_av_klimat*VLOOKUP($A325,Leveranser_per_nät,'Leveranser per nät'!E$1,FALSE)/VLOOKUP($B325,Korrigeringsfaktor_GD,'Korrigeringsfaktor GD'!E$1,FALSE),
"")</f>
        <v>33</v>
      </c>
      <c r="F325" s="18">
        <f>IFERROR(
                  Andel_oberoende_av_klimat*VLOOKUP($A325,Leveranser_per_nät,'Leveranser per nät'!F$1,FALSE)
               +Andel_beroende_av_klimat*VLOOKUP($A325,Leveranser_per_nät,'Leveranser per nät'!F$1,FALSE)/VLOOKUP($B325,Korrigeringsfaktor_GD,'Korrigeringsfaktor GD'!F$1,FALSE),
"")</f>
        <v>34.47446808510638</v>
      </c>
      <c r="G325" s="18">
        <f>IFERROR(
                  Andel_oberoende_av_klimat*VLOOKUP($A325,Leveranser_per_nät,'Leveranser per nät'!G$1,FALSE)
               +Andel_beroende_av_klimat*VLOOKUP($A325,Leveranser_per_nät,'Leveranser per nät'!G$1,FALSE)/VLOOKUP($B325,Korrigeringsfaktor_GD,'Korrigeringsfaktor GD'!G$1,FALSE),
"")</f>
        <v>41.97471264367816</v>
      </c>
      <c r="H325" s="18">
        <f>IFERROR(
                  Andel_oberoende_av_klimat*VLOOKUP($A325,Leveranser_per_nät,'Leveranser per nät'!H$1,FALSE)
               +Andel_beroende_av_klimat*VLOOKUP($A325,Leveranser_per_nät,'Leveranser per nät'!H$1,FALSE)/VLOOKUP($B325,Korrigeringsfaktor_GD,'Korrigeringsfaktor GD'!H$1,FALSE),
"")</f>
        <v>47.231616161616159</v>
      </c>
      <c r="I325" s="18">
        <f>IFERROR(
                  Andel_oberoende_av_klimat*VLOOKUP($A325,Leveranser_per_nät,'Leveranser per nät'!I$1,FALSE)
               +Andel_beroende_av_klimat*VLOOKUP($A325,Leveranser_per_nät,'Leveranser per nät'!I$1,FALSE)/VLOOKUP($B325,Korrigeringsfaktor_GD,'Korrigeringsfaktor GD'!I$1,FALSE),
"")</f>
        <v>48.810623404255317</v>
      </c>
      <c r="J325" s="18">
        <f>IFERROR(
                  Andel_oberoende_av_klimat*VLOOKUP($A325,Leveranser_per_nät,'Leveranser per nät'!J$1,FALSE)
               +Andel_beroende_av_klimat*VLOOKUP($A325,Leveranser_per_nät,'Leveranser per nät'!J$1,FALSE)/VLOOKUP($B325,Korrigeringsfaktor_GD,'Korrigeringsfaktor GD'!J$1,FALSE),
"")</f>
        <v>43.417514285714283</v>
      </c>
      <c r="K325" s="18">
        <f>IFERROR(
                  Andel_oberoende_av_klimat*VLOOKUP($A325,Leveranser_per_nät,'Leveranser per nät'!K$1,FALSE)
               +Andel_beroende_av_klimat*VLOOKUP($A325,Leveranser_per_nät,'Leveranser per nät'!K$1,FALSE)/VLOOKUP($B325,Korrigeringsfaktor_GD,'Korrigeringsfaktor GD'!K$1,FALSE),
"")</f>
        <v>44.355422222222217</v>
      </c>
      <c r="L325" s="18">
        <f>IFERROR(
                  Andel_oberoende_av_klimat*VLOOKUP($A325,Leveranser_per_nät,'Leveranser per nät'!L$1,FALSE)
               +Andel_beroende_av_klimat*VLOOKUP($A325,Leveranser_per_nät,'Leveranser per nät'!L$1,FALSE)/VLOOKUP($B325,Korrigeringsfaktor_GD,'Korrigeringsfaktor GD'!L$1,FALSE),
"")</f>
        <v>43.333262886597936</v>
      </c>
      <c r="M325" s="18">
        <f>IFERROR(
                  Andel_oberoende_av_klimat*VLOOKUP($A325,Leveranser_per_nät,'Leveranser per nät'!M$1,FALSE)
               +Andel_beroende_av_klimat*VLOOKUP($A325,Leveranser_per_nät,'Leveranser per nät'!M$1,FALSE)/VLOOKUP($B325,Korrigeringsfaktor_GD,'Korrigeringsfaktor GD'!M$1,FALSE),
"")</f>
        <v>44.310138297872342</v>
      </c>
      <c r="N325" s="18">
        <f>IFERROR(
                  Andel_oberoende_av_klimat*VLOOKUP($A325,Leveranser_per_nät,'Leveranser per nät'!N$1,FALSE)
               +Andel_beroende_av_klimat*VLOOKUP($A325,Leveranser_per_nät,'Leveranser per nät'!N$1,FALSE)/VLOOKUP($B325,Korrigeringsfaktor_GD,'Korrigeringsfaktor GD'!N$1,FALSE),
"")</f>
        <v>48.38694157303371</v>
      </c>
      <c r="O325" s="18">
        <f>IFERROR(
                  Andel_oberoende_av_klimat*VLOOKUP($A325,Leveranser_per_nät,'Leveranser per nät'!O$1,FALSE)
               +Andel_beroende_av_klimat*VLOOKUP($A325,Leveranser_per_nät,'Leveranser per nät'!O$1,FALSE)/VLOOKUP($B325,Korrigeringsfaktor_GD,'Korrigeringsfaktor GD'!O$1,FALSE),
"")</f>
        <v>47.69808988764045</v>
      </c>
      <c r="P325" s="18">
        <f>IFERROR(
                  Andel_oberoende_av_klimat*VLOOKUP($A325,Leveranser_per_nät,'Leveranser per nät'!P$1,FALSE)
               +Andel_beroende_av_klimat*VLOOKUP($A325,Leveranser_per_nät,'Leveranser per nät'!P$1,FALSE)/VLOOKUP($B325,Korrigeringsfaktor_GD,'Korrigeringsfaktor GD'!P$1,FALSE),
"")</f>
        <v>48.221855670103096</v>
      </c>
      <c r="Q325" s="18">
        <f>IFERROR(
                  Andel_oberoende_av_klimat*VLOOKUP($A325,Leveranser_per_nät,'Leveranser per nät'!Q$1,FALSE)
               +Andel_beroende_av_klimat*VLOOKUP($A325,Leveranser_per_nät,'Leveranser per nät'!Q$1,FALSE)/VLOOKUP($B325,Korrigeringsfaktor_GD,'Korrigeringsfaktor GD'!Q$1,FALSE),
"")</f>
        <v>48.261052631578949</v>
      </c>
      <c r="R325" s="18">
        <f>IFERROR(
                  Andel_oberoende_av_klimat*VLOOKUP($A325,Leveranser_per_nät,'Leveranser per nät'!R$1,FALSE)
               +Andel_beroende_av_klimat*VLOOKUP($A325,Leveranser_per_nät,'Leveranser per nät'!R$1,FALSE)/VLOOKUP($B325,Korrigeringsfaktor_GD,'Korrigeringsfaktor GD'!R$1,FALSE),
"")</f>
        <v>47.950851063829788</v>
      </c>
      <c r="S325" s="18">
        <f>IFERROR(
                  Andel_oberoende_av_klimat*VLOOKUP($A325,Leveranser_per_nät,'Leveranser per nät'!S$1,FALSE)
               +Andel_beroende_av_klimat*VLOOKUP($A325,Leveranser_per_nät,'Leveranser per nät'!S$1,FALSE)/VLOOKUP($B325,Korrigeringsfaktor_GD,'Korrigeringsfaktor GD'!S$1,FALSE),
"")</f>
        <v>47.66732673267326</v>
      </c>
      <c r="T325" s="18">
        <f>IFERROR(
                  Andel_oberoende_av_klimat*VLOOKUP($A325,Leveranser_per_nät,'Leveranser per nät'!T$1,FALSE)
               +Andel_beroende_av_klimat*VLOOKUP($A325,Leveranser_per_nät,'Leveranser per nät'!T$1,FALSE)/VLOOKUP($B325,Korrigeringsfaktor_GD,'Korrigeringsfaktor GD'!T$1,FALSE),
"")</f>
        <v>47.164285714285718</v>
      </c>
      <c r="U325" s="18">
        <f>IFERROR(
                  Andel_oberoende_av_klimat*VLOOKUP($A325,Leveranser_per_nät,'Leveranser per nät'!U$1,FALSE)
               +Andel_beroende_av_klimat*VLOOKUP($A325,Leveranser_per_nät,'Leveranser per nät'!U$1,FALSE)/VLOOKUP($B325,Korrigeringsfaktor_GD,'Korrigeringsfaktor GD'!U$1,FALSE),
"")</f>
        <v>49.851084337349405</v>
      </c>
      <c r="V325" s="18">
        <f>IFERROR(
                  Andel_oberoende_av_klimat*VLOOKUP($A325,Leveranser_per_nät,'Leveranser per nät'!V$1,FALSE)
               +Andel_beroende_av_klimat*VLOOKUP($A325,Leveranser_per_nät,'Leveranser per nät'!V$1,FALSE)/VLOOKUP($B325,Korrigeringsfaktor_GD,'Korrigeringsfaktor GD'!V$1,FALSE),
"")</f>
        <v>50.938636363636363</v>
      </c>
      <c r="W325" s="18">
        <f>IFERROR(
                  Andel_oberoende_av_klimat*VLOOKUP($A325,Leveranser_per_nät,'Leveranser per nät'!W$1,FALSE)
               +Andel_beroende_av_klimat*VLOOKUP($A325,Leveranser_per_nät,'Leveranser per nät'!W$1,FALSE)/VLOOKUP($B325,Korrigeringsfaktor_GD,'Korrigeringsfaktor GD'!W$1,FALSE),
"")</f>
        <v>51.948888888888888</v>
      </c>
      <c r="X325" s="18">
        <f>IFERROR(
                  Andel_oberoende_av_klimat*VLOOKUP($A325,Leveranser_per_nät,'Leveranser per nät'!X$1,FALSE)
               +Andel_beroende_av_klimat*VLOOKUP($A325,Leveranser_per_nät,'Leveranser per nät'!X$1,FALSE)/VLOOKUP($B325,Korrigeringsfaktor_GD,'Korrigeringsfaktor GD'!X$1,FALSE),
"")</f>
        <v>51.027826086956523</v>
      </c>
      <c r="Y325" s="18">
        <f>IFERROR(
                  Andel_oberoende_av_klimat*VLOOKUP($A325,Leveranser_per_nät,'Leveranser per nät'!Y$1,FALSE)
               +Andel_beroende_av_klimat*VLOOKUP($A325,Leveranser_per_nät,'Leveranser per nät'!Y$1,FALSE)/VLOOKUP($B325,Korrigeringsfaktor_GD,'Korrigeringsfaktor GD'!Y$1,FALSE),
"")</f>
        <v>51.392247191011236</v>
      </c>
      <c r="Z325" s="18">
        <f>IFERROR(
                  Andel_oberoende_av_klimat*VLOOKUP($A325,Leveranser_per_nät,'Leveranser per nät'!Z$1,FALSE)
               +Andel_beroende_av_klimat*VLOOKUP($A325,Leveranser_per_nät,'Leveranser per nät'!Z$1,FALSE)/VLOOKUP($B325,Korrigeringsfaktor_GD,'Korrigeringsfaktor GD'!Z$1,FALSE),
"")</f>
        <v>48.528924731182798</v>
      </c>
      <c r="AA325" s="18">
        <f>IFERROR(
                  Andel_oberoende_av_klimat*VLOOKUP($A325,Leveranser_per_nät,'Leveranser per nät'!AA$1,FALSE)
               +Andel_beroende_av_klimat*VLOOKUP($A325,Leveranser_per_nät,'Leveranser per nät'!AA$1,FALSE)/VLOOKUP($B325,Korrigeringsfaktor_GD,'Korrigeringsfaktor GD'!AA$1,FALSE),
"")</f>
        <v>47.437758985200844</v>
      </c>
      <c r="AB325" s="18">
        <f>IFERROR(
                  Andel_oberoende_av_klimat*VLOOKUP($A325,Leveranser_per_nät,'Leveranser per nät'!AB$1,FALSE)
               +Andel_beroende_av_klimat*VLOOKUP($A325,Leveranser_per_nät,'Leveranser per nät'!AB$1,FALSE)/VLOOKUP($B325,Korrigeringsfaktor_GD,'Korrigeringsfaktor GD'!AB$1,FALSE),
"")</f>
        <v>49.1</v>
      </c>
      <c r="AC325" s="18">
        <f>IFERROR(
                  Andel_oberoende_av_klimat*VLOOKUP($A325,Leveranser_per_nät,'Leveranser per nät'!AC$1,FALSE)
               +Andel_beroende_av_klimat*VLOOKUP($A325,Leveranser_per_nät,'Leveranser per nät'!AC$1,FALSE)/VLOOKUP($B325,Korrigeringsfaktor_GD,'Korrigeringsfaktor GD'!AC$1,FALSE),
"")</f>
        <v>47.35170837867247</v>
      </c>
      <c r="AD325">
        <v>44.6</v>
      </c>
    </row>
    <row r="326" spans="1:30" x14ac:dyDescent="0.25">
      <c r="A326" t="s">
        <v>234</v>
      </c>
      <c r="B326" t="s">
        <v>230</v>
      </c>
      <c r="C326" s="18">
        <f>IFERROR(
                  Andel_oberoende_av_klimat*VLOOKUP($A326,Leveranser_per_nät,'Leveranser per nät'!C$1,FALSE)
               +Andel_beroende_av_klimat*VLOOKUP($A326,Leveranser_per_nät,'Leveranser per nät'!C$1,FALSE)/VLOOKUP($B326,Korrigeringsfaktor_GD,'Korrigeringsfaktor GD'!C$1,FALSE),
"")</f>
        <v>1.972549019607843</v>
      </c>
      <c r="D326" s="18">
        <f>IFERROR(
                  Andel_oberoende_av_klimat*VLOOKUP($A326,Leveranser_per_nät,'Leveranser per nät'!D$1,FALSE)
               +Andel_beroende_av_klimat*VLOOKUP($A326,Leveranser_per_nät,'Leveranser per nät'!D$1,FALSE)/VLOOKUP($B326,Korrigeringsfaktor_GD,'Korrigeringsfaktor GD'!D$1,FALSE),
"")</f>
        <v>2.4928247422680414</v>
      </c>
      <c r="E326" s="18">
        <f>IFERROR(
                  Andel_oberoende_av_klimat*VLOOKUP($A326,Leveranser_per_nät,'Leveranser per nät'!E$1,FALSE)
               +Andel_beroende_av_klimat*VLOOKUP($A326,Leveranser_per_nät,'Leveranser per nät'!E$1,FALSE)/VLOOKUP($B326,Korrigeringsfaktor_GD,'Korrigeringsfaktor GD'!E$1,FALSE),
"")</f>
        <v>2.9192307692307686</v>
      </c>
      <c r="F326" s="18">
        <f>IFERROR(
                  Andel_oberoende_av_klimat*VLOOKUP($A326,Leveranser_per_nät,'Leveranser per nät'!F$1,FALSE)
               +Andel_beroende_av_klimat*VLOOKUP($A326,Leveranser_per_nät,'Leveranser per nät'!F$1,FALSE)/VLOOKUP($B326,Korrigeringsfaktor_GD,'Korrigeringsfaktor GD'!F$1,FALSE),
"")</f>
        <v>1.9861386138613861</v>
      </c>
      <c r="G326" s="18">
        <f>IFERROR(
                  Andel_oberoende_av_klimat*VLOOKUP($A326,Leveranser_per_nät,'Leveranser per nät'!G$1,FALSE)
               +Andel_beroende_av_klimat*VLOOKUP($A326,Leveranser_per_nät,'Leveranser per nät'!G$1,FALSE)/VLOOKUP($B326,Korrigeringsfaktor_GD,'Korrigeringsfaktor GD'!G$1,FALSE),
"")</f>
        <v>2.1555555555555554</v>
      </c>
      <c r="H326" s="18">
        <f>IFERROR(
                  Andel_oberoende_av_klimat*VLOOKUP($A326,Leveranser_per_nät,'Leveranser per nät'!H$1,FALSE)
               +Andel_beroende_av_klimat*VLOOKUP($A326,Leveranser_per_nät,'Leveranser per nät'!H$1,FALSE)/VLOOKUP($B326,Korrigeringsfaktor_GD,'Korrigeringsfaktor GD'!H$1,FALSE),
"")</f>
        <v>1.9861386138613861</v>
      </c>
      <c r="I326" s="18">
        <f>IFERROR(
                  Andel_oberoende_av_klimat*VLOOKUP($A326,Leveranser_per_nät,'Leveranser per nät'!I$1,FALSE)
               +Andel_beroende_av_klimat*VLOOKUP($A326,Leveranser_per_nät,'Leveranser per nät'!I$1,FALSE)/VLOOKUP($B326,Korrigeringsfaktor_GD,'Korrigeringsfaktor GD'!I$1,FALSE),
"")</f>
        <v>2.014141414141414</v>
      </c>
      <c r="J326" s="18">
        <f>IFERROR(
                  Andel_oberoende_av_klimat*VLOOKUP($A326,Leveranser_per_nät,'Leveranser per nät'!J$1,FALSE)
               +Andel_beroende_av_klimat*VLOOKUP($A326,Leveranser_per_nät,'Leveranser per nät'!J$1,FALSE)/VLOOKUP($B326,Korrigeringsfaktor_GD,'Korrigeringsfaktor GD'!J$1,FALSE),
"")</f>
        <v>2.0583333333333336</v>
      </c>
      <c r="K326" s="18">
        <f>IFERROR(
                  Andel_oberoende_av_klimat*VLOOKUP($A326,Leveranser_per_nät,'Leveranser per nät'!K$1,FALSE)
               +Andel_beroende_av_klimat*VLOOKUP($A326,Leveranser_per_nät,'Leveranser per nät'!K$1,FALSE)/VLOOKUP($B326,Korrigeringsfaktor_GD,'Korrigeringsfaktor GD'!K$1,FALSE),
"")</f>
        <v>2.3722557575757577</v>
      </c>
      <c r="L326" s="18">
        <f>IFERROR(
                  Andel_oberoende_av_klimat*VLOOKUP($A326,Leveranser_per_nät,'Leveranser per nät'!L$1,FALSE)
               +Andel_beroende_av_klimat*VLOOKUP($A326,Leveranser_per_nät,'Leveranser per nät'!L$1,FALSE)/VLOOKUP($B326,Korrigeringsfaktor_GD,'Korrigeringsfaktor GD'!L$1,FALSE),
"")</f>
        <v>2.2474892473118278</v>
      </c>
      <c r="M326" s="18">
        <f>IFERROR(
                  Andel_oberoende_av_klimat*VLOOKUP($A326,Leveranser_per_nät,'Leveranser per nät'!M$1,FALSE)
               +Andel_beroende_av_klimat*VLOOKUP($A326,Leveranser_per_nät,'Leveranser per nät'!M$1,FALSE)/VLOOKUP($B326,Korrigeringsfaktor_GD,'Korrigeringsfaktor GD'!M$1,FALSE),
"")</f>
        <v>2.2352078853046589</v>
      </c>
      <c r="N326" s="18">
        <f>IFERROR(
                  Andel_oberoende_av_klimat*VLOOKUP($A326,Leveranser_per_nät,'Leveranser per nät'!N$1,FALSE)
               +Andel_beroende_av_klimat*VLOOKUP($A326,Leveranser_per_nät,'Leveranser per nät'!N$1,FALSE)/VLOOKUP($B326,Korrigeringsfaktor_GD,'Korrigeringsfaktor GD'!N$1,FALSE),
"")</f>
        <v>2.2229265232974909</v>
      </c>
      <c r="O326" s="18">
        <f>IFERROR(
                  Andel_oberoende_av_klimat*VLOOKUP($A326,Leveranser_per_nät,'Leveranser per nät'!O$1,FALSE)
               +Andel_beroende_av_klimat*VLOOKUP($A326,Leveranser_per_nät,'Leveranser per nät'!O$1,FALSE)/VLOOKUP($B326,Korrigeringsfaktor_GD,'Korrigeringsfaktor GD'!O$1,FALSE),
"")</f>
        <v>2.2106451612903228</v>
      </c>
      <c r="P326" s="18">
        <f>IFERROR(
                  Andel_oberoende_av_klimat*VLOOKUP($A326,Leveranser_per_nät,'Leveranser per nät'!P$1,FALSE)
               +Andel_beroende_av_klimat*VLOOKUP($A326,Leveranser_per_nät,'Leveranser per nät'!P$1,FALSE)/VLOOKUP($B326,Korrigeringsfaktor_GD,'Korrigeringsfaktor GD'!P$1,FALSE),
"")</f>
        <v>2.13</v>
      </c>
      <c r="Q326" s="18">
        <f>IFERROR(
                  Andel_oberoende_av_klimat*VLOOKUP($A326,Leveranser_per_nät,'Leveranser per nät'!Q$1,FALSE)
               +Andel_beroende_av_klimat*VLOOKUP($A326,Leveranser_per_nät,'Leveranser per nät'!Q$1,FALSE)/VLOOKUP($B326,Korrigeringsfaktor_GD,'Korrigeringsfaktor GD'!Q$1,FALSE),
"")</f>
        <v>2.3265765765765765</v>
      </c>
      <c r="R326" s="18">
        <f>IFERROR(
                  Andel_oberoende_av_klimat*VLOOKUP($A326,Leveranser_per_nät,'Leveranser per nät'!R$1,FALSE)
               +Andel_beroende_av_klimat*VLOOKUP($A326,Leveranser_per_nät,'Leveranser per nät'!R$1,FALSE)/VLOOKUP($B326,Korrigeringsfaktor_GD,'Korrigeringsfaktor GD'!R$1,FALSE),
"")</f>
        <v>2.1598461538461535</v>
      </c>
      <c r="S326" s="18">
        <f>IFERROR(
                  Andel_oberoende_av_klimat*VLOOKUP($A326,Leveranser_per_nät,'Leveranser per nät'!S$1,FALSE)
               +Andel_beroende_av_klimat*VLOOKUP($A326,Leveranser_per_nät,'Leveranser per nät'!S$1,FALSE)/VLOOKUP($B326,Korrigeringsfaktor_GD,'Korrigeringsfaktor GD'!S$1,FALSE),
"")</f>
        <v>2.02</v>
      </c>
      <c r="T326" s="18">
        <f>IFERROR(
                  Andel_oberoende_av_klimat*VLOOKUP($A326,Leveranser_per_nät,'Leveranser per nät'!T$1,FALSE)
               +Andel_beroende_av_klimat*VLOOKUP($A326,Leveranser_per_nät,'Leveranser per nät'!T$1,FALSE)/VLOOKUP($B326,Korrigeringsfaktor_GD,'Korrigeringsfaktor GD'!T$1,FALSE),
"")</f>
        <v>2.0843225806451615</v>
      </c>
      <c r="U326" s="18">
        <f>IFERROR(
                  Andel_oberoende_av_klimat*VLOOKUP($A326,Leveranser_per_nät,'Leveranser per nät'!U$1,FALSE)
               +Andel_beroende_av_klimat*VLOOKUP($A326,Leveranser_per_nät,'Leveranser per nät'!U$1,FALSE)/VLOOKUP($B326,Korrigeringsfaktor_GD,'Korrigeringsfaktor GD'!U$1,FALSE),
"")</f>
        <v>2.0908888888888888</v>
      </c>
      <c r="V326" s="18">
        <f>IFERROR(
                  Andel_oberoende_av_klimat*VLOOKUP($A326,Leveranser_per_nät,'Leveranser per nät'!V$1,FALSE)
               +Andel_beroende_av_klimat*VLOOKUP($A326,Leveranser_per_nät,'Leveranser per nät'!V$1,FALSE)/VLOOKUP($B326,Korrigeringsfaktor_GD,'Korrigeringsfaktor GD'!V$1,FALSE),
"")</f>
        <v>2.0156363636363639</v>
      </c>
      <c r="W326" s="18">
        <f>IFERROR(
                  Andel_oberoende_av_klimat*VLOOKUP($A326,Leveranser_per_nät,'Leveranser per nät'!W$1,FALSE)
               +Andel_beroende_av_klimat*VLOOKUP($A326,Leveranser_per_nät,'Leveranser per nät'!W$1,FALSE)/VLOOKUP($B326,Korrigeringsfaktor_GD,'Korrigeringsfaktor GD'!W$1,FALSE),
"")</f>
        <v>1.8900515463917527</v>
      </c>
      <c r="X326" s="18">
        <f>IFERROR(
                  Andel_oberoende_av_klimat*VLOOKUP($A326,Leveranser_per_nät,'Leveranser per nät'!X$1,FALSE)
               +Andel_beroende_av_klimat*VLOOKUP($A326,Leveranser_per_nät,'Leveranser per nät'!X$1,FALSE)/VLOOKUP($B326,Korrigeringsfaktor_GD,'Korrigeringsfaktor GD'!X$1,FALSE),
"")</f>
        <v>1.9667000000000001</v>
      </c>
      <c r="Y326" s="18">
        <f>IFERROR(
                  Andel_oberoende_av_klimat*VLOOKUP($A326,Leveranser_per_nät,'Leveranser per nät'!Y$1,FALSE)
               +Andel_beroende_av_klimat*VLOOKUP($A326,Leveranser_per_nät,'Leveranser per nät'!Y$1,FALSE)/VLOOKUP($B326,Korrigeringsfaktor_GD,'Korrigeringsfaktor GD'!Y$1,FALSE),
"")</f>
        <v>2.1047777777777776</v>
      </c>
      <c r="Z326" s="18">
        <f>IFERROR(
                  Andel_oberoende_av_klimat*VLOOKUP($A326,Leveranser_per_nät,'Leveranser per nät'!Z$1,FALSE)
               +Andel_beroende_av_klimat*VLOOKUP($A326,Leveranser_per_nät,'Leveranser per nät'!Z$1,FALSE)/VLOOKUP($B326,Korrigeringsfaktor_GD,'Korrigeringsfaktor GD'!Z$1,FALSE),
"")</f>
        <v>2.2309999999999999</v>
      </c>
      <c r="AA326" s="18">
        <f>IFERROR(
                  Andel_oberoende_av_klimat*VLOOKUP($A326,Leveranser_per_nät,'Leveranser per nät'!AA$1,FALSE)
               +Andel_beroende_av_klimat*VLOOKUP($A326,Leveranser_per_nät,'Leveranser per nät'!AA$1,FALSE)/VLOOKUP($B326,Korrigeringsfaktor_GD,'Korrigeringsfaktor GD'!AA$1,FALSE),
"")</f>
        <v>2.0123866970981412</v>
      </c>
      <c r="AB326" s="18">
        <f>IFERROR(
                  Andel_oberoende_av_klimat*VLOOKUP($A326,Leveranser_per_nät,'Leveranser per nät'!AB$1,FALSE)
               +Andel_beroende_av_klimat*VLOOKUP($A326,Leveranser_per_nät,'Leveranser per nät'!AB$1,FALSE)/VLOOKUP($B326,Korrigeringsfaktor_GD,'Korrigeringsfaktor GD'!AB$1,FALSE),
"")</f>
        <v>2.0264316197866146</v>
      </c>
      <c r="AC326" s="18">
        <f>IFERROR(
                  Andel_oberoende_av_klimat*VLOOKUP($A326,Leveranser_per_nät,'Leveranser per nät'!AC$1,FALSE)
               +Andel_beroende_av_klimat*VLOOKUP($A326,Leveranser_per_nät,'Leveranser per nät'!AC$1,FALSE)/VLOOKUP($B326,Korrigeringsfaktor_GD,'Korrigeringsfaktor GD'!AC$1,FALSE),
"")</f>
        <v>2.1304340292275574</v>
      </c>
      <c r="AD326">
        <v>240.6</v>
      </c>
    </row>
    <row r="327" spans="1:30" x14ac:dyDescent="0.25">
      <c r="A327" t="s">
        <v>244</v>
      </c>
      <c r="B327" t="s">
        <v>244</v>
      </c>
      <c r="C327" s="18">
        <f>IFERROR(
                  Andel_oberoende_av_klimat*VLOOKUP($A327,Leveranser_per_nät,'Leveranser per nät'!C$1,FALSE)
               +Andel_beroende_av_klimat*VLOOKUP($A327,Leveranser_per_nät,'Leveranser per nät'!C$1,FALSE)/VLOOKUP($B327,Korrigeringsfaktor_GD,'Korrigeringsfaktor GD'!C$1,FALSE),
"")</f>
        <v>0</v>
      </c>
      <c r="D327" s="18">
        <f>IFERROR(
                  Andel_oberoende_av_klimat*VLOOKUP($A327,Leveranser_per_nät,'Leveranser per nät'!D$1,FALSE)
               +Andel_beroende_av_klimat*VLOOKUP($A327,Leveranser_per_nät,'Leveranser per nät'!D$1,FALSE)/VLOOKUP($B327,Korrigeringsfaktor_GD,'Korrigeringsfaktor GD'!D$1,FALSE),
"")</f>
        <v>0</v>
      </c>
      <c r="E327" s="18">
        <f>IFERROR(
                  Andel_oberoende_av_klimat*VLOOKUP($A327,Leveranser_per_nät,'Leveranser per nät'!E$1,FALSE)
               +Andel_beroende_av_klimat*VLOOKUP($A327,Leveranser_per_nät,'Leveranser per nät'!E$1,FALSE)/VLOOKUP($B327,Korrigeringsfaktor_GD,'Korrigeringsfaktor GD'!E$1,FALSE),
"")</f>
        <v>0</v>
      </c>
      <c r="F327" s="18">
        <f>IFERROR(
                  Andel_oberoende_av_klimat*VLOOKUP($A327,Leveranser_per_nät,'Leveranser per nät'!F$1,FALSE)
               +Andel_beroende_av_klimat*VLOOKUP($A327,Leveranser_per_nät,'Leveranser per nät'!F$1,FALSE)/VLOOKUP($B327,Korrigeringsfaktor_GD,'Korrigeringsfaktor GD'!F$1,FALSE),
"")</f>
        <v>0</v>
      </c>
      <c r="G327" s="18">
        <f>IFERROR(
                  Andel_oberoende_av_klimat*VLOOKUP($A327,Leveranser_per_nät,'Leveranser per nät'!G$1,FALSE)
               +Andel_beroende_av_klimat*VLOOKUP($A327,Leveranser_per_nät,'Leveranser per nät'!G$1,FALSE)/VLOOKUP($B327,Korrigeringsfaktor_GD,'Korrigeringsfaktor GD'!G$1,FALSE),
"")</f>
        <v>0</v>
      </c>
      <c r="H327" s="18">
        <f>IFERROR(
                  Andel_oberoende_av_klimat*VLOOKUP($A327,Leveranser_per_nät,'Leveranser per nät'!H$1,FALSE)
               +Andel_beroende_av_klimat*VLOOKUP($A327,Leveranser_per_nät,'Leveranser per nät'!H$1,FALSE)/VLOOKUP($B327,Korrigeringsfaktor_GD,'Korrigeringsfaktor GD'!H$1,FALSE),
"")</f>
        <v>0</v>
      </c>
      <c r="I327" s="18">
        <f>IFERROR(
                  Andel_oberoende_av_klimat*VLOOKUP($A327,Leveranser_per_nät,'Leveranser per nät'!I$1,FALSE)
               +Andel_beroende_av_klimat*VLOOKUP($A327,Leveranser_per_nät,'Leveranser per nät'!I$1,FALSE)/VLOOKUP($B327,Korrigeringsfaktor_GD,'Korrigeringsfaktor GD'!I$1,FALSE),
"")</f>
        <v>0</v>
      </c>
      <c r="J327" s="18">
        <f>IFERROR(
                  Andel_oberoende_av_klimat*VLOOKUP($A327,Leveranser_per_nät,'Leveranser per nät'!J$1,FALSE)
               +Andel_beroende_av_klimat*VLOOKUP($A327,Leveranser_per_nät,'Leveranser per nät'!J$1,FALSE)/VLOOKUP($B327,Korrigeringsfaktor_GD,'Korrigeringsfaktor GD'!J$1,FALSE),
"")</f>
        <v>0</v>
      </c>
      <c r="K327" s="18">
        <f>IFERROR(
                  Andel_oberoende_av_klimat*VLOOKUP($A327,Leveranser_per_nät,'Leveranser per nät'!K$1,FALSE)
               +Andel_beroende_av_klimat*VLOOKUP($A327,Leveranser_per_nät,'Leveranser per nät'!K$1,FALSE)/VLOOKUP($B327,Korrigeringsfaktor_GD,'Korrigeringsfaktor GD'!K$1,FALSE),
"")</f>
        <v>19.289432323232326</v>
      </c>
      <c r="L327" s="18">
        <f>IFERROR(
                  Andel_oberoende_av_klimat*VLOOKUP($A327,Leveranser_per_nät,'Leveranser per nät'!L$1,FALSE)
               +Andel_beroende_av_klimat*VLOOKUP($A327,Leveranser_per_nät,'Leveranser per nät'!L$1,FALSE)/VLOOKUP($B327,Korrigeringsfaktor_GD,'Korrigeringsfaktor GD'!L$1,FALSE),
"")</f>
        <v>22.523284536082475</v>
      </c>
      <c r="M327" s="18">
        <f>IFERROR(
                  Andel_oberoende_av_klimat*VLOOKUP($A327,Leveranser_per_nät,'Leveranser per nät'!M$1,FALSE)
               +Andel_beroende_av_klimat*VLOOKUP($A327,Leveranser_per_nät,'Leveranser per nät'!M$1,FALSE)/VLOOKUP($B327,Korrigeringsfaktor_GD,'Korrigeringsfaktor GD'!M$1,FALSE),
"")</f>
        <v>23.794695744680855</v>
      </c>
      <c r="N327" s="18">
        <f>IFERROR(
                  Andel_oberoende_av_klimat*VLOOKUP($A327,Leveranser_per_nät,'Leveranser per nät'!N$1,FALSE)
               +Andel_beroende_av_klimat*VLOOKUP($A327,Leveranser_per_nät,'Leveranser per nät'!N$1,FALSE)/VLOOKUP($B327,Korrigeringsfaktor_GD,'Korrigeringsfaktor GD'!N$1,FALSE),
"")</f>
        <v>20.209213483146069</v>
      </c>
      <c r="O327" s="18">
        <f>IFERROR(
                  Andel_oberoende_av_klimat*VLOOKUP($A327,Leveranser_per_nät,'Leveranser per nät'!O$1,FALSE)
               +Andel_beroende_av_klimat*VLOOKUP($A327,Leveranser_per_nät,'Leveranser per nät'!O$1,FALSE)/VLOOKUP($B327,Korrigeringsfaktor_GD,'Korrigeringsfaktor GD'!O$1,FALSE),
"")</f>
        <v>20.046666666666667</v>
      </c>
      <c r="P327" s="18">
        <f>IFERROR(
                  Andel_oberoende_av_klimat*VLOOKUP($A327,Leveranser_per_nät,'Leveranser per nät'!P$1,FALSE)
               +Andel_beroende_av_klimat*VLOOKUP($A327,Leveranser_per_nät,'Leveranser per nät'!P$1,FALSE)/VLOOKUP($B327,Korrigeringsfaktor_GD,'Korrigeringsfaktor GD'!P$1,FALSE),
"")</f>
        <v>27.441505154639174</v>
      </c>
      <c r="Q327" s="18">
        <f>IFERROR(
                  Andel_oberoende_av_klimat*VLOOKUP($A327,Leveranser_per_nät,'Leveranser per nät'!Q$1,FALSE)
               +Andel_beroende_av_klimat*VLOOKUP($A327,Leveranser_per_nät,'Leveranser per nät'!Q$1,FALSE)/VLOOKUP($B327,Korrigeringsfaktor_GD,'Korrigeringsfaktor GD'!Q$1,FALSE),
"")</f>
        <v>29.40720869565218</v>
      </c>
      <c r="R327" s="18">
        <f>IFERROR(
                  Andel_oberoende_av_klimat*VLOOKUP($A327,Leveranser_per_nät,'Leveranser per nät'!R$1,FALSE)
               +Andel_beroende_av_klimat*VLOOKUP($A327,Leveranser_per_nät,'Leveranser per nät'!R$1,FALSE)/VLOOKUP($B327,Korrigeringsfaktor_GD,'Korrigeringsfaktor GD'!R$1,FALSE),
"")</f>
        <v>26.587745161290322</v>
      </c>
      <c r="S327" s="18">
        <f>IFERROR(
                  Andel_oberoende_av_klimat*VLOOKUP($A327,Leveranser_per_nät,'Leveranser per nät'!S$1,FALSE)
               +Andel_beroende_av_klimat*VLOOKUP($A327,Leveranser_per_nät,'Leveranser per nät'!S$1,FALSE)/VLOOKUP($B327,Korrigeringsfaktor_GD,'Korrigeringsfaktor GD'!S$1,FALSE),
"")</f>
        <v>26</v>
      </c>
      <c r="T327" s="18">
        <f>IFERROR(
                  Andel_oberoende_av_klimat*VLOOKUP($A327,Leveranser_per_nät,'Leveranser per nät'!T$1,FALSE)
               +Andel_beroende_av_klimat*VLOOKUP($A327,Leveranser_per_nät,'Leveranser per nät'!T$1,FALSE)/VLOOKUP($B327,Korrigeringsfaktor_GD,'Korrigeringsfaktor GD'!T$1,FALSE),
"")</f>
        <v>25.88171717171717</v>
      </c>
      <c r="U327" s="18">
        <f>IFERROR(
                  Andel_oberoende_av_klimat*VLOOKUP($A327,Leveranser_per_nät,'Leveranser per nät'!U$1,FALSE)
               +Andel_beroende_av_klimat*VLOOKUP($A327,Leveranser_per_nät,'Leveranser per nät'!U$1,FALSE)/VLOOKUP($B327,Korrigeringsfaktor_GD,'Korrigeringsfaktor GD'!U$1,FALSE),
"")</f>
        <v>25.725903614457831</v>
      </c>
      <c r="V327" s="18">
        <f>IFERROR(
                  Andel_oberoende_av_klimat*VLOOKUP($A327,Leveranser_per_nät,'Leveranser per nät'!V$1,FALSE)
               +Andel_beroende_av_klimat*VLOOKUP($A327,Leveranser_per_nät,'Leveranser per nät'!V$1,FALSE)/VLOOKUP($B327,Korrigeringsfaktor_GD,'Korrigeringsfaktor GD'!V$1,FALSE),
"")</f>
        <v>26.185056179775284</v>
      </c>
      <c r="W327" s="18">
        <f>IFERROR(
                  Andel_oberoende_av_klimat*VLOOKUP($A327,Leveranser_per_nät,'Leveranser per nät'!W$1,FALSE)
               +Andel_beroende_av_klimat*VLOOKUP($A327,Leveranser_per_nät,'Leveranser per nät'!W$1,FALSE)/VLOOKUP($B327,Korrigeringsfaktor_GD,'Korrigeringsfaktor GD'!W$1,FALSE),
"")</f>
        <v>27.685698924731181</v>
      </c>
      <c r="X327" s="18">
        <f>IFERROR(
                  Andel_oberoende_av_klimat*VLOOKUP($A327,Leveranser_per_nät,'Leveranser per nät'!X$1,FALSE)
               +Andel_beroende_av_klimat*VLOOKUP($A327,Leveranser_per_nät,'Leveranser per nät'!X$1,FALSE)/VLOOKUP($B327,Korrigeringsfaktor_GD,'Korrigeringsfaktor GD'!X$1,FALSE),
"")</f>
        <v>27.684042553191489</v>
      </c>
      <c r="Y327" s="18">
        <f>IFERROR(
                  Andel_oberoende_av_klimat*VLOOKUP($A327,Leveranser_per_nät,'Leveranser per nät'!Y$1,FALSE)
               +Andel_beroende_av_klimat*VLOOKUP($A327,Leveranser_per_nät,'Leveranser per nät'!Y$1,FALSE)/VLOOKUP($B327,Korrigeringsfaktor_GD,'Korrigeringsfaktor GD'!Y$1,FALSE),
"")</f>
        <v>28.022222222222222</v>
      </c>
      <c r="Z327" s="18">
        <f>IFERROR(
                  Andel_oberoende_av_klimat*VLOOKUP($A327,Leveranser_per_nät,'Leveranser per nät'!Z$1,FALSE)
               +Andel_beroende_av_klimat*VLOOKUP($A327,Leveranser_per_nät,'Leveranser per nät'!Z$1,FALSE)/VLOOKUP($B327,Korrigeringsfaktor_GD,'Korrigeringsfaktor GD'!Z$1,FALSE),
"")</f>
        <v>26.621111111111109</v>
      </c>
      <c r="AA327" s="18">
        <f>IFERROR(
                  Andel_oberoende_av_klimat*VLOOKUP($A327,Leveranser_per_nät,'Leveranser per nät'!AA$1,FALSE)
               +Andel_beroende_av_klimat*VLOOKUP($A327,Leveranser_per_nät,'Leveranser per nät'!AA$1,FALSE)/VLOOKUP($B327,Korrigeringsfaktor_GD,'Korrigeringsfaktor GD'!AA$1,FALSE),
"")</f>
        <v>28.335766546644848</v>
      </c>
      <c r="AB327" s="18">
        <f>IFERROR(
                  Andel_oberoende_av_klimat*VLOOKUP($A327,Leveranser_per_nät,'Leveranser per nät'!AB$1,FALSE)
               +Andel_beroende_av_klimat*VLOOKUP($A327,Leveranser_per_nät,'Leveranser per nät'!AB$1,FALSE)/VLOOKUP($B327,Korrigeringsfaktor_GD,'Korrigeringsfaktor GD'!AB$1,FALSE),
"")</f>
        <v>27.086441351888666</v>
      </c>
      <c r="AC327" s="18">
        <f>IFERROR(
                  Andel_oberoende_av_klimat*VLOOKUP($A327,Leveranser_per_nät,'Leveranser per nät'!AC$1,FALSE)
               +Andel_beroende_av_klimat*VLOOKUP($A327,Leveranser_per_nät,'Leveranser per nät'!AC$1,FALSE)/VLOOKUP($B327,Korrigeringsfaktor_GD,'Korrigeringsfaktor GD'!AC$1,FALSE),
"")</f>
        <v>27.141126461211478</v>
      </c>
      <c r="AD327">
        <v>26</v>
      </c>
    </row>
    <row r="328" spans="1:30" x14ac:dyDescent="0.25">
      <c r="A328" t="s">
        <v>256</v>
      </c>
      <c r="B328" t="s">
        <v>256</v>
      </c>
      <c r="C328" s="18">
        <f>IFERROR(
                  Andel_oberoende_av_klimat*VLOOKUP($A328,Leveranser_per_nät,'Leveranser per nät'!C$1,FALSE)
               +Andel_beroende_av_klimat*VLOOKUP($A328,Leveranser_per_nät,'Leveranser per nät'!C$1,FALSE)/VLOOKUP($B328,Korrigeringsfaktor_GD,'Korrigeringsfaktor GD'!C$1,FALSE),
"")</f>
        <v>12.95</v>
      </c>
      <c r="D328" s="18">
        <f>IFERROR(
                  Andel_oberoende_av_klimat*VLOOKUP($A328,Leveranser_per_nät,'Leveranser per nät'!D$1,FALSE)
               +Andel_beroende_av_klimat*VLOOKUP($A328,Leveranser_per_nät,'Leveranser per nät'!D$1,FALSE)/VLOOKUP($B328,Korrigeringsfaktor_GD,'Korrigeringsfaktor GD'!D$1,FALSE),
"")</f>
        <v>13.454464646464643</v>
      </c>
      <c r="E328" s="18">
        <f>IFERROR(
                  Andel_oberoende_av_klimat*VLOOKUP($A328,Leveranser_per_nät,'Leveranser per nät'!E$1,FALSE)
               +Andel_beroende_av_klimat*VLOOKUP($A328,Leveranser_per_nät,'Leveranser per nät'!E$1,FALSE)/VLOOKUP($B328,Korrigeringsfaktor_GD,'Korrigeringsfaktor GD'!E$1,FALSE),
"")</f>
        <v>13.902970297029704</v>
      </c>
      <c r="F328" s="18">
        <f>IFERROR(
                  Andel_oberoende_av_klimat*VLOOKUP($A328,Leveranser_per_nät,'Leveranser per nät'!F$1,FALSE)
               +Andel_beroende_av_klimat*VLOOKUP($A328,Leveranser_per_nät,'Leveranser per nät'!F$1,FALSE)/VLOOKUP($B328,Korrigeringsfaktor_GD,'Korrigeringsfaktor GD'!F$1,FALSE),
"")</f>
        <v>14.515789473684212</v>
      </c>
      <c r="G328" s="18">
        <f>IFERROR(
                  Andel_oberoende_av_klimat*VLOOKUP($A328,Leveranser_per_nät,'Leveranser per nät'!G$1,FALSE)
               +Andel_beroende_av_klimat*VLOOKUP($A328,Leveranser_per_nät,'Leveranser per nät'!G$1,FALSE)/VLOOKUP($B328,Korrigeringsfaktor_GD,'Korrigeringsfaktor GD'!G$1,FALSE),
"")</f>
        <v>23.19655172413793</v>
      </c>
      <c r="H328" s="18">
        <f>IFERROR(
                  Andel_oberoende_av_klimat*VLOOKUP($A328,Leveranser_per_nät,'Leveranser per nät'!H$1,FALSE)
               +Andel_beroende_av_klimat*VLOOKUP($A328,Leveranser_per_nät,'Leveranser per nät'!H$1,FALSE)/VLOOKUP($B328,Korrigeringsfaktor_GD,'Korrigeringsfaktor GD'!H$1,FALSE),
"")</f>
        <v>41.680999999999997</v>
      </c>
      <c r="I328" s="18">
        <f>IFERROR(
                  Andel_oberoende_av_klimat*VLOOKUP($A328,Leveranser_per_nät,'Leveranser per nät'!I$1,FALSE)
               +Andel_beroende_av_klimat*VLOOKUP($A328,Leveranser_per_nät,'Leveranser per nät'!I$1,FALSE)/VLOOKUP($B328,Korrigeringsfaktor_GD,'Korrigeringsfaktor GD'!I$1,FALSE),
"")</f>
        <v>43.543342553191493</v>
      </c>
      <c r="J328" s="18">
        <f>IFERROR(
                  Andel_oberoende_av_klimat*VLOOKUP($A328,Leveranser_per_nät,'Leveranser per nät'!J$1,FALSE)
               +Andel_beroende_av_klimat*VLOOKUP($A328,Leveranser_per_nät,'Leveranser per nät'!J$1,FALSE)/VLOOKUP($B328,Korrigeringsfaktor_GD,'Korrigeringsfaktor GD'!J$1,FALSE),
"")</f>
        <v>61.556999999999995</v>
      </c>
      <c r="K328" s="18">
        <f>IFERROR(
                  Andel_oberoende_av_klimat*VLOOKUP($A328,Leveranser_per_nät,'Leveranser per nät'!K$1,FALSE)
               +Andel_beroende_av_klimat*VLOOKUP($A328,Leveranser_per_nät,'Leveranser per nät'!K$1,FALSE)/VLOOKUP($B328,Korrigeringsfaktor_GD,'Korrigeringsfaktor GD'!K$1,FALSE),
"")</f>
        <v>61.181714285714285</v>
      </c>
      <c r="L328" s="18">
        <f>IFERROR(
                  Andel_oberoende_av_klimat*VLOOKUP($A328,Leveranser_per_nät,'Leveranser per nät'!L$1,FALSE)
               +Andel_beroende_av_klimat*VLOOKUP($A328,Leveranser_per_nät,'Leveranser per nät'!L$1,FALSE)/VLOOKUP($B328,Korrigeringsfaktor_GD,'Korrigeringsfaktor GD'!L$1,FALSE),
"")</f>
        <v>61.612268421052633</v>
      </c>
      <c r="M328" s="18">
        <f>IFERROR(
                  Andel_oberoende_av_klimat*VLOOKUP($A328,Leveranser_per_nät,'Leveranser per nät'!M$1,FALSE)
               +Andel_beroende_av_klimat*VLOOKUP($A328,Leveranser_per_nät,'Leveranser per nät'!M$1,FALSE)/VLOOKUP($B328,Korrigeringsfaktor_GD,'Korrigeringsfaktor GD'!M$1,FALSE),
"")</f>
        <v>62.745478494623647</v>
      </c>
      <c r="N328" s="18">
        <f>IFERROR(
                  Andel_oberoende_av_klimat*VLOOKUP($A328,Leveranser_per_nät,'Leveranser per nät'!N$1,FALSE)
               +Andel_beroende_av_klimat*VLOOKUP($A328,Leveranser_per_nät,'Leveranser per nät'!N$1,FALSE)/VLOOKUP($B328,Korrigeringsfaktor_GD,'Korrigeringsfaktor GD'!N$1,FALSE),
"")</f>
        <v>70.803392307692292</v>
      </c>
      <c r="O328" s="18">
        <f>IFERROR(
                  Andel_oberoende_av_klimat*VLOOKUP($A328,Leveranser_per_nät,'Leveranser per nät'!O$1,FALSE)
               +Andel_beroende_av_klimat*VLOOKUP($A328,Leveranser_per_nät,'Leveranser per nät'!O$1,FALSE)/VLOOKUP($B328,Korrigeringsfaktor_GD,'Korrigeringsfaktor GD'!O$1,FALSE),
"")</f>
        <v>75.146977777777778</v>
      </c>
      <c r="P328" s="18">
        <f>IFERROR(
                  Andel_oberoende_av_klimat*VLOOKUP($A328,Leveranser_per_nät,'Leveranser per nät'!P$1,FALSE)
               +Andel_beroende_av_klimat*VLOOKUP($A328,Leveranser_per_nät,'Leveranser per nät'!P$1,FALSE)/VLOOKUP($B328,Korrigeringsfaktor_GD,'Korrigeringsfaktor GD'!P$1,FALSE),
"")</f>
        <v>81.4512</v>
      </c>
      <c r="Q328" s="18">
        <f>IFERROR(
                  Andel_oberoende_av_klimat*VLOOKUP($A328,Leveranser_per_nät,'Leveranser per nät'!Q$1,FALSE)
               +Andel_beroende_av_klimat*VLOOKUP($A328,Leveranser_per_nät,'Leveranser per nät'!Q$1,FALSE)/VLOOKUP($B328,Korrigeringsfaktor_GD,'Korrigeringsfaktor GD'!Q$1,FALSE),
"")</f>
        <v>83.941274576271184</v>
      </c>
      <c r="R328" s="18">
        <f>IFERROR(
                  Andel_oberoende_av_klimat*VLOOKUP($A328,Leveranser_per_nät,'Leveranser per nät'!R$1,FALSE)
               +Andel_beroende_av_klimat*VLOOKUP($A328,Leveranser_per_nät,'Leveranser per nät'!R$1,FALSE)/VLOOKUP($B328,Korrigeringsfaktor_GD,'Korrigeringsfaktor GD'!R$1,FALSE),
"")</f>
        <v>94.960523076923067</v>
      </c>
      <c r="S328" s="18">
        <f>IFERROR(
                  Andel_oberoende_av_klimat*VLOOKUP($A328,Leveranser_per_nät,'Leveranser per nät'!S$1,FALSE)
               +Andel_beroende_av_klimat*VLOOKUP($A328,Leveranser_per_nät,'Leveranser per nät'!S$1,FALSE)/VLOOKUP($B328,Korrigeringsfaktor_GD,'Korrigeringsfaktor GD'!S$1,FALSE),
"")</f>
        <v>85.403960396039594</v>
      </c>
      <c r="T328" s="18">
        <f>IFERROR(
                  Andel_oberoende_av_klimat*VLOOKUP($A328,Leveranser_per_nät,'Leveranser per nät'!T$1,FALSE)
               +Andel_beroende_av_klimat*VLOOKUP($A328,Leveranser_per_nät,'Leveranser per nät'!T$1,FALSE)/VLOOKUP($B328,Korrigeringsfaktor_GD,'Korrigeringsfaktor GD'!T$1,FALSE),
"")</f>
        <v>87.431428571428569</v>
      </c>
      <c r="U328" s="18">
        <f>IFERROR(
                  Andel_oberoende_av_klimat*VLOOKUP($A328,Leveranser_per_nät,'Leveranser per nät'!U$1,FALSE)
               +Andel_beroende_av_klimat*VLOOKUP($A328,Leveranser_per_nät,'Leveranser per nät'!U$1,FALSE)/VLOOKUP($B328,Korrigeringsfaktor_GD,'Korrigeringsfaktor GD'!U$1,FALSE),
"")</f>
        <v>95.432588235294105</v>
      </c>
      <c r="V328" s="18">
        <f>IFERROR(
                  Andel_oberoende_av_klimat*VLOOKUP($A328,Leveranser_per_nät,'Leveranser per nät'!V$1,FALSE)
               +Andel_beroende_av_klimat*VLOOKUP($A328,Leveranser_per_nät,'Leveranser per nät'!V$1,FALSE)/VLOOKUP($B328,Korrigeringsfaktor_GD,'Korrigeringsfaktor GD'!V$1,FALSE),
"")</f>
        <v>90.941460674157298</v>
      </c>
      <c r="W328" s="18">
        <f>IFERROR(
                  Andel_oberoende_av_klimat*VLOOKUP($A328,Leveranser_per_nät,'Leveranser per nät'!W$1,FALSE)
               +Andel_beroende_av_klimat*VLOOKUP($A328,Leveranser_per_nät,'Leveranser per nät'!W$1,FALSE)/VLOOKUP($B328,Korrigeringsfaktor_GD,'Korrigeringsfaktor GD'!W$1,FALSE),
"")</f>
        <v>94.230212765957447</v>
      </c>
      <c r="X328" s="18">
        <f>IFERROR(
                  Andel_oberoende_av_klimat*VLOOKUP($A328,Leveranser_per_nät,'Leveranser per nät'!X$1,FALSE)
               +Andel_beroende_av_klimat*VLOOKUP($A328,Leveranser_per_nät,'Leveranser per nät'!X$1,FALSE)/VLOOKUP($B328,Korrigeringsfaktor_GD,'Korrigeringsfaktor GD'!X$1,FALSE),
"")</f>
        <v>94.205217391304345</v>
      </c>
      <c r="Y328" s="18">
        <f>IFERROR(
                  Andel_oberoende_av_klimat*VLOOKUP($A328,Leveranser_per_nät,'Leveranser per nät'!Y$1,FALSE)
               +Andel_beroende_av_klimat*VLOOKUP($A328,Leveranser_per_nät,'Leveranser per nät'!Y$1,FALSE)/VLOOKUP($B328,Korrigeringsfaktor_GD,'Korrigeringsfaktor GD'!Y$1,FALSE),
"")</f>
        <v>94.52000000000001</v>
      </c>
      <c r="Z328" s="18">
        <f>IFERROR(
                  Andel_oberoende_av_klimat*VLOOKUP($A328,Leveranser_per_nät,'Leveranser per nät'!Z$1,FALSE)
               +Andel_beroende_av_klimat*VLOOKUP($A328,Leveranser_per_nät,'Leveranser per nät'!Z$1,FALSE)/VLOOKUP($B328,Korrigeringsfaktor_GD,'Korrigeringsfaktor GD'!Z$1,FALSE),
"")</f>
        <v>89.054285714285712</v>
      </c>
      <c r="AA328" s="18">
        <f>IFERROR(
                  Andel_oberoende_av_klimat*VLOOKUP($A328,Leveranser_per_nät,'Leveranser per nät'!AA$1,FALSE)
               +Andel_beroende_av_klimat*VLOOKUP($A328,Leveranser_per_nät,'Leveranser per nät'!AA$1,FALSE)/VLOOKUP($B328,Korrigeringsfaktor_GD,'Korrigeringsfaktor GD'!AA$1,FALSE),
"")</f>
        <v>93.833478558394177</v>
      </c>
      <c r="AB328" s="18">
        <f>IFERROR(
                  Andel_oberoende_av_klimat*VLOOKUP($A328,Leveranser_per_nät,'Leveranser per nät'!AB$1,FALSE)
               +Andel_beroende_av_klimat*VLOOKUP($A328,Leveranser_per_nät,'Leveranser per nät'!AB$1,FALSE)/VLOOKUP($B328,Korrigeringsfaktor_GD,'Korrigeringsfaktor GD'!AB$1,FALSE),
"")</f>
        <v>91.427647058823538</v>
      </c>
      <c r="AC328" s="18">
        <f>IFERROR(
                  Andel_oberoende_av_klimat*VLOOKUP($A328,Leveranser_per_nät,'Leveranser per nät'!AC$1,FALSE)
               +Andel_beroende_av_klimat*VLOOKUP($A328,Leveranser_per_nät,'Leveranser per nät'!AC$1,FALSE)/VLOOKUP($B328,Korrigeringsfaktor_GD,'Korrigeringsfaktor GD'!AC$1,FALSE),
"")</f>
        <v>91.653155080213907</v>
      </c>
      <c r="AD328">
        <v>87.4</v>
      </c>
    </row>
    <row r="329" spans="1:30" x14ac:dyDescent="0.25">
      <c r="A329" t="s">
        <v>261</v>
      </c>
      <c r="B329" t="s">
        <v>261</v>
      </c>
      <c r="C329" s="18">
        <f>IFERROR(
                  Andel_oberoende_av_klimat*VLOOKUP($A329,Leveranser_per_nät,'Leveranser per nät'!C$1,FALSE)
               +Andel_beroende_av_klimat*VLOOKUP($A329,Leveranser_per_nät,'Leveranser per nät'!C$1,FALSE)/VLOOKUP($B329,Korrigeringsfaktor_GD,'Korrigeringsfaktor GD'!C$1,FALSE),
"")</f>
        <v>259.59708737864077</v>
      </c>
      <c r="D329" s="18">
        <f>IFERROR(
                  Andel_oberoende_av_klimat*VLOOKUP($A329,Leveranser_per_nät,'Leveranser per nät'!D$1,FALSE)
               +Andel_beroende_av_klimat*VLOOKUP($A329,Leveranser_per_nät,'Leveranser per nät'!D$1,FALSE)/VLOOKUP($B329,Korrigeringsfaktor_GD,'Korrigeringsfaktor GD'!D$1,FALSE),
"")</f>
        <v>269.35788659793809</v>
      </c>
      <c r="E329" s="18">
        <f>IFERROR(
                  Andel_oberoende_av_klimat*VLOOKUP($A329,Leveranser_per_nät,'Leveranser per nät'!E$1,FALSE)
               +Andel_beroende_av_klimat*VLOOKUP($A329,Leveranser_per_nät,'Leveranser per nät'!E$1,FALSE)/VLOOKUP($B329,Korrigeringsfaktor_GD,'Korrigeringsfaktor GD'!E$1,FALSE),
"")</f>
        <v>278.20970873786405</v>
      </c>
      <c r="F329" s="18">
        <f>IFERROR(
                  Andel_oberoende_av_klimat*VLOOKUP($A329,Leveranser_per_nät,'Leveranser per nät'!F$1,FALSE)
               +Andel_beroende_av_klimat*VLOOKUP($A329,Leveranser_per_nät,'Leveranser per nät'!F$1,FALSE)/VLOOKUP($B329,Korrigeringsfaktor_GD,'Korrigeringsfaktor GD'!F$1,FALSE),
"")</f>
        <v>262</v>
      </c>
      <c r="G329" s="18">
        <f>IFERROR(
                  Andel_oberoende_av_klimat*VLOOKUP($A329,Leveranser_per_nät,'Leveranser per nät'!G$1,FALSE)
               +Andel_beroende_av_klimat*VLOOKUP($A329,Leveranser_per_nät,'Leveranser per nät'!G$1,FALSE)/VLOOKUP($B329,Korrigeringsfaktor_GD,'Korrigeringsfaktor GD'!G$1,FALSE),
"")</f>
        <v>282.37777777777774</v>
      </c>
      <c r="H329" s="18">
        <f>IFERROR(
                  Andel_oberoende_av_klimat*VLOOKUP($A329,Leveranser_per_nät,'Leveranser per nät'!H$1,FALSE)
               +Andel_beroende_av_klimat*VLOOKUP($A329,Leveranser_per_nät,'Leveranser per nät'!H$1,FALSE)/VLOOKUP($B329,Korrigeringsfaktor_GD,'Korrigeringsfaktor GD'!H$1,FALSE),
"")</f>
        <v>293.10000000000002</v>
      </c>
      <c r="I329" s="18">
        <f>IFERROR(
                  Andel_oberoende_av_klimat*VLOOKUP($A329,Leveranser_per_nät,'Leveranser per nät'!I$1,FALSE)
               +Andel_beroende_av_klimat*VLOOKUP($A329,Leveranser_per_nät,'Leveranser per nät'!I$1,FALSE)/VLOOKUP($B329,Korrigeringsfaktor_GD,'Korrigeringsfaktor GD'!I$1,FALSE),
"")</f>
        <v>289.12680412371134</v>
      </c>
      <c r="J329" s="18">
        <f>IFERROR(
                  Andel_oberoende_av_klimat*VLOOKUP($A329,Leveranser_per_nät,'Leveranser per nät'!J$1,FALSE)
               +Andel_beroende_av_klimat*VLOOKUP($A329,Leveranser_per_nät,'Leveranser per nät'!J$1,FALSE)/VLOOKUP($B329,Korrigeringsfaktor_GD,'Korrigeringsfaktor GD'!J$1,FALSE),
"")</f>
        <v>278.2424125</v>
      </c>
      <c r="K329" s="18">
        <f>IFERROR(
                  Andel_oberoende_av_klimat*VLOOKUP($A329,Leveranser_per_nät,'Leveranser per nät'!K$1,FALSE)
               +Andel_beroende_av_klimat*VLOOKUP($A329,Leveranser_per_nät,'Leveranser per nät'!K$1,FALSE)/VLOOKUP($B329,Korrigeringsfaktor_GD,'Korrigeringsfaktor GD'!K$1,FALSE),
"")</f>
        <v>277.45826285714293</v>
      </c>
      <c r="L329" s="18">
        <f>IFERROR(
                  Andel_oberoende_av_klimat*VLOOKUP($A329,Leveranser_per_nät,'Leveranser per nät'!L$1,FALSE)
               +Andel_beroende_av_klimat*VLOOKUP($A329,Leveranser_per_nät,'Leveranser per nät'!L$1,FALSE)/VLOOKUP($B329,Korrigeringsfaktor_GD,'Korrigeringsfaktor GD'!L$1,FALSE),
"")</f>
        <v>276.33562260869564</v>
      </c>
      <c r="M329" s="18">
        <f>IFERROR(
                  Andel_oberoende_av_klimat*VLOOKUP($A329,Leveranser_per_nät,'Leveranser per nät'!M$1,FALSE)
               +Andel_beroende_av_klimat*VLOOKUP($A329,Leveranser_per_nät,'Leveranser per nät'!M$1,FALSE)/VLOOKUP($B329,Korrigeringsfaktor_GD,'Korrigeringsfaktor GD'!M$1,FALSE),
"")</f>
        <v>299.75081739130439</v>
      </c>
      <c r="N329" s="18">
        <f>IFERROR(
                  Andel_oberoende_av_klimat*VLOOKUP($A329,Leveranser_per_nät,'Leveranser per nät'!N$1,FALSE)
               +Andel_beroende_av_klimat*VLOOKUP($A329,Leveranser_per_nät,'Leveranser per nät'!N$1,FALSE)/VLOOKUP($B329,Korrigeringsfaktor_GD,'Korrigeringsfaktor GD'!N$1,FALSE),
"")</f>
        <v>298.9360709677419</v>
      </c>
      <c r="O329" s="18">
        <f>IFERROR(
                  Andel_oberoende_av_klimat*VLOOKUP($A329,Leveranser_per_nät,'Leveranser per nät'!O$1,FALSE)
               +Andel_beroende_av_klimat*VLOOKUP($A329,Leveranser_per_nät,'Leveranser per nät'!O$1,FALSE)/VLOOKUP($B329,Korrigeringsfaktor_GD,'Korrigeringsfaktor GD'!O$1,FALSE),
"")</f>
        <v>307.11651075268816</v>
      </c>
      <c r="P329" s="18">
        <f>IFERROR(
                  Andel_oberoende_av_klimat*VLOOKUP($A329,Leveranser_per_nät,'Leveranser per nät'!P$1,FALSE)
               +Andel_beroende_av_klimat*VLOOKUP($A329,Leveranser_per_nät,'Leveranser per nät'!P$1,FALSE)/VLOOKUP($B329,Korrigeringsfaktor_GD,'Korrigeringsfaktor GD'!P$1,FALSE),
"")</f>
        <v>307.01008571428571</v>
      </c>
      <c r="Q329" s="18">
        <f>IFERROR(
                  Andel_oberoende_av_klimat*VLOOKUP($A329,Leveranser_per_nät,'Leveranser per nät'!Q$1,FALSE)
               +Andel_beroende_av_klimat*VLOOKUP($A329,Leveranser_per_nät,'Leveranser per nät'!Q$1,FALSE)/VLOOKUP($B329,Korrigeringsfaktor_GD,'Korrigeringsfaktor GD'!Q$1,FALSE),
"")</f>
        <v>323.46394144144142</v>
      </c>
      <c r="R329" s="18">
        <f>IFERROR(
                  Andel_oberoende_av_klimat*VLOOKUP($A329,Leveranser_per_nät,'Leveranser per nät'!R$1,FALSE)
               +Andel_beroende_av_klimat*VLOOKUP($A329,Leveranser_per_nät,'Leveranser per nät'!R$1,FALSE)/VLOOKUP($B329,Korrigeringsfaktor_GD,'Korrigeringsfaktor GD'!R$1,FALSE),
"")</f>
        <v>319.24963333333335</v>
      </c>
      <c r="S329" s="18">
        <f>IFERROR(
                  Andel_oberoende_av_klimat*VLOOKUP($A329,Leveranser_per_nät,'Leveranser per nät'!S$1,FALSE)
               +Andel_beroende_av_klimat*VLOOKUP($A329,Leveranser_per_nät,'Leveranser per nät'!S$1,FALSE)/VLOOKUP($B329,Korrigeringsfaktor_GD,'Korrigeringsfaktor GD'!S$1,FALSE),
"")</f>
        <v>341</v>
      </c>
      <c r="T329" s="18">
        <f>IFERROR(
                  Andel_oberoende_av_klimat*VLOOKUP($A329,Leveranser_per_nät,'Leveranser per nät'!T$1,FALSE)
               +Andel_beroende_av_klimat*VLOOKUP($A329,Leveranser_per_nät,'Leveranser per nät'!T$1,FALSE)/VLOOKUP($B329,Korrigeringsfaktor_GD,'Korrigeringsfaktor GD'!T$1,FALSE),
"")</f>
        <v>335.38436521739129</v>
      </c>
      <c r="U329" s="18">
        <f>IFERROR(
                  Andel_oberoende_av_klimat*VLOOKUP($A329,Leveranser_per_nät,'Leveranser per nät'!U$1,FALSE)
               +Andel_beroende_av_klimat*VLOOKUP($A329,Leveranser_per_nät,'Leveranser per nät'!U$1,FALSE)/VLOOKUP($B329,Korrigeringsfaktor_GD,'Korrigeringsfaktor GD'!U$1,FALSE),
"")</f>
        <v>328.10573333333332</v>
      </c>
      <c r="V329" s="18">
        <f>IFERROR(
                  Andel_oberoende_av_klimat*VLOOKUP($A329,Leveranser_per_nät,'Leveranser per nät'!V$1,FALSE)
               +Andel_beroende_av_klimat*VLOOKUP($A329,Leveranser_per_nät,'Leveranser per nät'!V$1,FALSE)/VLOOKUP($B329,Korrigeringsfaktor_GD,'Korrigeringsfaktor GD'!V$1,FALSE),
"")</f>
        <v>323.97961034482756</v>
      </c>
      <c r="W329" s="18">
        <f>IFERROR(
                  Andel_oberoende_av_klimat*VLOOKUP($A329,Leveranser_per_nät,'Leveranser per nät'!W$1,FALSE)
               +Andel_beroende_av_klimat*VLOOKUP($A329,Leveranser_per_nät,'Leveranser per nät'!W$1,FALSE)/VLOOKUP($B329,Korrigeringsfaktor_GD,'Korrigeringsfaktor GD'!W$1,FALSE),
"")</f>
        <v>332.00916666666666</v>
      </c>
      <c r="X329" s="18">
        <f>IFERROR(
                  Andel_oberoende_av_klimat*VLOOKUP($A329,Leveranser_per_nät,'Leveranser per nät'!X$1,FALSE)
               +Andel_beroende_av_klimat*VLOOKUP($A329,Leveranser_per_nät,'Leveranser per nät'!X$1,FALSE)/VLOOKUP($B329,Korrigeringsfaktor_GD,'Korrigeringsfaktor GD'!X$1,FALSE),
"")</f>
        <v>329.37914285714288</v>
      </c>
      <c r="Y329" s="18">
        <f>IFERROR(
                  Andel_oberoende_av_klimat*VLOOKUP($A329,Leveranser_per_nät,'Leveranser per nät'!Y$1,FALSE)
               +Andel_beroende_av_klimat*VLOOKUP($A329,Leveranser_per_nät,'Leveranser per nät'!Y$1,FALSE)/VLOOKUP($B329,Korrigeringsfaktor_GD,'Korrigeringsfaktor GD'!Y$1,FALSE),
"")</f>
        <v>330.1511391752577</v>
      </c>
      <c r="Z329" s="18">
        <f>IFERROR(
                  Andel_oberoende_av_klimat*VLOOKUP($A329,Leveranser_per_nät,'Leveranser per nät'!Z$1,FALSE)
               +Andel_beroende_av_klimat*VLOOKUP($A329,Leveranser_per_nät,'Leveranser per nät'!Z$1,FALSE)/VLOOKUP($B329,Korrigeringsfaktor_GD,'Korrigeringsfaktor GD'!Z$1,FALSE),
"")</f>
        <v>354.71145151515151</v>
      </c>
      <c r="AA329" s="18">
        <f>IFERROR(
                  Andel_oberoende_av_klimat*VLOOKUP($A329,Leveranser_per_nät,'Leveranser per nät'!AA$1,FALSE)
               +Andel_beroende_av_klimat*VLOOKUP($A329,Leveranser_per_nät,'Leveranser per nät'!AA$1,FALSE)/VLOOKUP($B329,Korrigeringsfaktor_GD,'Korrigeringsfaktor GD'!AA$1,FALSE),
"")</f>
        <v>339.07819732584272</v>
      </c>
      <c r="AB329" s="18">
        <f>IFERROR(
                  Andel_oberoende_av_klimat*VLOOKUP($A329,Leveranser_per_nät,'Leveranser per nät'!AB$1,FALSE)
               +Andel_beroende_av_klimat*VLOOKUP($A329,Leveranser_per_nät,'Leveranser per nät'!AB$1,FALSE)/VLOOKUP($B329,Korrigeringsfaktor_GD,'Korrigeringsfaktor GD'!AB$1,FALSE),
"")</f>
        <v>344.23126615819211</v>
      </c>
      <c r="AC329" s="18">
        <f>IFERROR(
                  Andel_oberoende_av_klimat*VLOOKUP($A329,Leveranser_per_nät,'Leveranser per nät'!AC$1,FALSE)
               +Andel_beroende_av_klimat*VLOOKUP($A329,Leveranser_per_nät,'Leveranser per nät'!AC$1,FALSE)/VLOOKUP($B329,Korrigeringsfaktor_GD,'Korrigeringsfaktor GD'!AC$1,FALSE),
"")</f>
        <v>354.69348241658241</v>
      </c>
      <c r="AD329">
        <v>351.95330000000001</v>
      </c>
    </row>
    <row r="330" spans="1:30" x14ac:dyDescent="0.25">
      <c r="A330" t="s">
        <v>329</v>
      </c>
      <c r="B330" t="s">
        <v>328</v>
      </c>
      <c r="C330" s="18">
        <f>IFERROR(
                  Andel_oberoende_av_klimat*VLOOKUP($A330,Leveranser_per_nät,'Leveranser per nät'!C$1,FALSE)
               +Andel_beroende_av_klimat*VLOOKUP($A330,Leveranser_per_nät,'Leveranser per nät'!C$1,FALSE)/VLOOKUP($B330,Korrigeringsfaktor_GD,'Korrigeringsfaktor GD'!C$1,FALSE),
"")</f>
        <v>11.167567567567566</v>
      </c>
      <c r="D330" s="18">
        <f>IFERROR(
                  Andel_oberoende_av_klimat*VLOOKUP($A330,Leveranser_per_nät,'Leveranser per nät'!D$1,FALSE)
               +Andel_beroende_av_klimat*VLOOKUP($A330,Leveranser_per_nät,'Leveranser per nät'!D$1,FALSE)/VLOOKUP($B330,Korrigeringsfaktor_GD,'Korrigeringsfaktor GD'!D$1,FALSE),
"")</f>
        <v>11.984141414141414</v>
      </c>
      <c r="E330" s="18">
        <f>IFERROR(
                  Andel_oberoende_av_klimat*VLOOKUP($A330,Leveranser_per_nät,'Leveranser per nät'!E$1,FALSE)
               +Andel_beroende_av_klimat*VLOOKUP($A330,Leveranser_per_nät,'Leveranser per nät'!E$1,FALSE)/VLOOKUP($B330,Korrigeringsfaktor_GD,'Korrigeringsfaktor GD'!E$1,FALSE),
"")</f>
        <v>11.916831683168315</v>
      </c>
      <c r="F330" s="18">
        <f>IFERROR(
                  Andel_oberoende_av_klimat*VLOOKUP($A330,Leveranser_per_nät,'Leveranser per nät'!F$1,FALSE)
               +Andel_beroende_av_klimat*VLOOKUP($A330,Leveranser_per_nät,'Leveranser per nät'!F$1,FALSE)/VLOOKUP($B330,Korrigeringsfaktor_GD,'Korrigeringsfaktor GD'!F$1,FALSE),
"")</f>
        <v>12.536170212765956</v>
      </c>
      <c r="G330" s="18">
        <f>IFERROR(
                  Andel_oberoende_av_klimat*VLOOKUP($A330,Leveranser_per_nät,'Leveranser per nät'!G$1,FALSE)
               +Andel_beroende_av_klimat*VLOOKUP($A330,Leveranser_per_nät,'Leveranser per nät'!G$1,FALSE)/VLOOKUP($B330,Korrigeringsfaktor_GD,'Korrigeringsfaktor GD'!G$1,FALSE),
"")</f>
        <v>12.05</v>
      </c>
      <c r="H330" s="18">
        <f>IFERROR(
                  Andel_oberoende_av_klimat*VLOOKUP($A330,Leveranser_per_nät,'Leveranser per nät'!H$1,FALSE)
               +Andel_beroende_av_klimat*VLOOKUP($A330,Leveranser_per_nät,'Leveranser per nät'!H$1,FALSE)/VLOOKUP($B330,Korrigeringsfaktor_GD,'Korrigeringsfaktor GD'!H$1,FALSE),
"")</f>
        <v>14</v>
      </c>
      <c r="I330" s="18">
        <f>IFERROR(
                  Andel_oberoende_av_klimat*VLOOKUP($A330,Leveranser_per_nät,'Leveranser per nät'!I$1,FALSE)
               +Andel_beroende_av_klimat*VLOOKUP($A330,Leveranser_per_nät,'Leveranser per nät'!I$1,FALSE)/VLOOKUP($B330,Korrigeringsfaktor_GD,'Korrigeringsfaktor GD'!I$1,FALSE),
"")</f>
        <v>15.670212765957448</v>
      </c>
      <c r="J330" s="18">
        <f>IFERROR(
                  Andel_oberoende_av_klimat*VLOOKUP($A330,Leveranser_per_nät,'Leveranser per nät'!J$1,FALSE)
               +Andel_beroende_av_klimat*VLOOKUP($A330,Leveranser_per_nät,'Leveranser per nät'!J$1,FALSE)/VLOOKUP($B330,Korrigeringsfaktor_GD,'Korrigeringsfaktor GD'!J$1,FALSE),
"")</f>
        <v>15.214285714285715</v>
      </c>
      <c r="K330" s="18">
        <f>IFERROR(
                  Andel_oberoende_av_klimat*VLOOKUP($A330,Leveranser_per_nät,'Leveranser per nät'!K$1,FALSE)
               +Andel_beroende_av_klimat*VLOOKUP($A330,Leveranser_per_nät,'Leveranser per nät'!K$1,FALSE)/VLOOKUP($B330,Korrigeringsfaktor_GD,'Korrigeringsfaktor GD'!K$1,FALSE),
"")</f>
        <v>14.204732323232324</v>
      </c>
      <c r="L330" s="18">
        <f>IFERROR(
                  Andel_oberoende_av_klimat*VLOOKUP($A330,Leveranser_per_nät,'Leveranser per nät'!L$1,FALSE)
               +Andel_beroende_av_klimat*VLOOKUP($A330,Leveranser_per_nät,'Leveranser per nät'!L$1,FALSE)/VLOOKUP($B330,Korrigeringsfaktor_GD,'Korrigeringsfaktor GD'!L$1,FALSE),
"")</f>
        <v>15.485870833333335</v>
      </c>
      <c r="M330" s="18">
        <f>IFERROR(
                  Andel_oberoende_av_klimat*VLOOKUP($A330,Leveranser_per_nät,'Leveranser per nät'!M$1,FALSE)
               +Andel_beroende_av_klimat*VLOOKUP($A330,Leveranser_per_nät,'Leveranser per nät'!M$1,FALSE)/VLOOKUP($B330,Korrigeringsfaktor_GD,'Korrigeringsfaktor GD'!M$1,FALSE),
"")</f>
        <v>14.842903225806451</v>
      </c>
      <c r="N330" s="18">
        <f>IFERROR(
                  Andel_oberoende_av_klimat*VLOOKUP($A330,Leveranser_per_nät,'Leveranser per nät'!N$1,FALSE)
               +Andel_beroende_av_klimat*VLOOKUP($A330,Leveranser_per_nät,'Leveranser per nät'!N$1,FALSE)/VLOOKUP($B330,Korrigeringsfaktor_GD,'Korrigeringsfaktor GD'!N$1,FALSE),
"")</f>
        <v>15.824615384615385</v>
      </c>
      <c r="O330" s="18">
        <f>IFERROR(
                  Andel_oberoende_av_klimat*VLOOKUP($A330,Leveranser_per_nät,'Leveranser per nät'!O$1,FALSE)
               +Andel_beroende_av_klimat*VLOOKUP($A330,Leveranser_per_nät,'Leveranser per nät'!O$1,FALSE)/VLOOKUP($B330,Korrigeringsfaktor_GD,'Korrigeringsfaktor GD'!O$1,FALSE),
"")</f>
        <v>17.02888888888889</v>
      </c>
      <c r="P330" s="18">
        <f>IFERROR(
                  Andel_oberoende_av_klimat*VLOOKUP($A330,Leveranser_per_nät,'Leveranser per nät'!P$1,FALSE)
               +Andel_beroende_av_klimat*VLOOKUP($A330,Leveranser_per_nät,'Leveranser per nät'!P$1,FALSE)/VLOOKUP($B330,Korrigeringsfaktor_GD,'Korrigeringsfaktor GD'!P$1,FALSE),
"")</f>
        <v>18.185360824742268</v>
      </c>
      <c r="Q330" s="18">
        <f>IFERROR(
                  Andel_oberoende_av_klimat*VLOOKUP($A330,Leveranser_per_nät,'Leveranser per nät'!Q$1,FALSE)
               +Andel_beroende_av_klimat*VLOOKUP($A330,Leveranser_per_nät,'Leveranser per nät'!Q$1,FALSE)/VLOOKUP($B330,Korrigeringsfaktor_GD,'Korrigeringsfaktor GD'!Q$1,FALSE),
"")</f>
        <v>19.925964912280705</v>
      </c>
      <c r="R330" s="18">
        <f>IFERROR(
                  Andel_oberoende_av_klimat*VLOOKUP($A330,Leveranser_per_nät,'Leveranser per nät'!R$1,FALSE)
               +Andel_beroende_av_klimat*VLOOKUP($A330,Leveranser_per_nät,'Leveranser per nät'!R$1,FALSE)/VLOOKUP($B330,Korrigeringsfaktor_GD,'Korrigeringsfaktor GD'!R$1,FALSE),
"")</f>
        <v>20.849999999999998</v>
      </c>
      <c r="S330" s="18">
        <f>IFERROR(
                  Andel_oberoende_av_klimat*VLOOKUP($A330,Leveranser_per_nät,'Leveranser per nät'!S$1,FALSE)
               +Andel_beroende_av_klimat*VLOOKUP($A330,Leveranser_per_nät,'Leveranser per nät'!S$1,FALSE)/VLOOKUP($B330,Korrigeringsfaktor_GD,'Korrigeringsfaktor GD'!S$1,FALSE),
"")</f>
        <v>21.847524752475248</v>
      </c>
      <c r="T330" s="18">
        <f>IFERROR(
                  Andel_oberoende_av_klimat*VLOOKUP($A330,Leveranser_per_nät,'Leveranser per nät'!T$1,FALSE)
               +Andel_beroende_av_klimat*VLOOKUP($A330,Leveranser_per_nät,'Leveranser per nät'!T$1,FALSE)/VLOOKUP($B330,Korrigeringsfaktor_GD,'Korrigeringsfaktor GD'!T$1,FALSE),
"")</f>
        <v>22.314285714285717</v>
      </c>
      <c r="U330" s="18">
        <f>IFERROR(
                  Andel_oberoende_av_klimat*VLOOKUP($A330,Leveranser_per_nät,'Leveranser per nät'!U$1,FALSE)
               +Andel_beroende_av_klimat*VLOOKUP($A330,Leveranser_per_nät,'Leveranser per nät'!U$1,FALSE)/VLOOKUP($B330,Korrigeringsfaktor_GD,'Korrigeringsfaktor GD'!U$1,FALSE),
"")</f>
        <v>21.165116279069768</v>
      </c>
      <c r="V330" s="18">
        <f>IFERROR(
                  Andel_oberoende_av_klimat*VLOOKUP($A330,Leveranser_per_nät,'Leveranser per nät'!V$1,FALSE)
               +Andel_beroende_av_klimat*VLOOKUP($A330,Leveranser_per_nät,'Leveranser per nät'!V$1,FALSE)/VLOOKUP($B330,Korrigeringsfaktor_GD,'Korrigeringsfaktor GD'!V$1,FALSE),
"")</f>
        <v>21.219288888888887</v>
      </c>
      <c r="W330" s="18">
        <f>IFERROR(
                  Andel_oberoende_av_klimat*VLOOKUP($A330,Leveranser_per_nät,'Leveranser per nät'!W$1,FALSE)
               +Andel_beroende_av_klimat*VLOOKUP($A330,Leveranser_per_nät,'Leveranser per nät'!W$1,FALSE)/VLOOKUP($B330,Korrigeringsfaktor_GD,'Korrigeringsfaktor GD'!W$1,FALSE),
"")</f>
        <v>22.550480851063828</v>
      </c>
      <c r="X330" s="18">
        <f>IFERROR(
                  Andel_oberoende_av_klimat*VLOOKUP($A330,Leveranser_per_nät,'Leveranser per nät'!X$1,FALSE)
               +Andel_beroende_av_klimat*VLOOKUP($A330,Leveranser_per_nät,'Leveranser per nät'!X$1,FALSE)/VLOOKUP($B330,Korrigeringsfaktor_GD,'Korrigeringsfaktor GD'!X$1,FALSE),
"")</f>
        <v>23.061182608695649</v>
      </c>
      <c r="Y330" s="18">
        <f>IFERROR(
                  Andel_oberoende_av_klimat*VLOOKUP($A330,Leveranser_per_nät,'Leveranser per nät'!Y$1,FALSE)
               +Andel_beroende_av_klimat*VLOOKUP($A330,Leveranser_per_nät,'Leveranser per nät'!Y$1,FALSE)/VLOOKUP($B330,Korrigeringsfaktor_GD,'Korrigeringsfaktor GD'!Y$1,FALSE),
"")</f>
        <v>24.682403370786513</v>
      </c>
      <c r="Z330" s="18">
        <f>IFERROR(
                  Andel_oberoende_av_klimat*VLOOKUP($A330,Leveranser_per_nät,'Leveranser per nät'!Z$1,FALSE)
               +Andel_beroende_av_klimat*VLOOKUP($A330,Leveranser_per_nät,'Leveranser per nät'!Z$1,FALSE)/VLOOKUP($B330,Korrigeringsfaktor_GD,'Korrigeringsfaktor GD'!Z$1,FALSE),
"")</f>
        <v>23.304700000000004</v>
      </c>
      <c r="AA330" s="18">
        <f>IFERROR(
                  Andel_oberoende_av_klimat*VLOOKUP($A330,Leveranser_per_nät,'Leveranser per nät'!AA$1,FALSE)
               +Andel_beroende_av_klimat*VLOOKUP($A330,Leveranser_per_nät,'Leveranser per nät'!AA$1,FALSE)/VLOOKUP($B330,Korrigeringsfaktor_GD,'Korrigeringsfaktor GD'!AA$1,FALSE),
"")</f>
        <v>25.059495501239816</v>
      </c>
      <c r="AB330" s="18">
        <f>IFERROR(
                  Andel_oberoende_av_klimat*VLOOKUP($A330,Leveranser_per_nät,'Leveranser per nät'!AB$1,FALSE)
               +Andel_beroende_av_klimat*VLOOKUP($A330,Leveranser_per_nät,'Leveranser per nät'!AB$1,FALSE)/VLOOKUP($B330,Korrigeringsfaktor_GD,'Korrigeringsfaktor GD'!AB$1,FALSE),
"")</f>
        <v>29.019397205588824</v>
      </c>
      <c r="AC330" s="18">
        <f>IFERROR(
                  Andel_oberoende_av_klimat*VLOOKUP($A330,Leveranser_per_nät,'Leveranser per nät'!AC$1,FALSE)
               +Andel_beroende_av_klimat*VLOOKUP($A330,Leveranser_per_nät,'Leveranser per nät'!AC$1,FALSE)/VLOOKUP($B330,Korrigeringsfaktor_GD,'Korrigeringsfaktor GD'!AC$1,FALSE),
"")</f>
        <v>29.792500000000004</v>
      </c>
      <c r="AD330">
        <v>29.428000000000001</v>
      </c>
    </row>
    <row r="331" spans="1:30" x14ac:dyDescent="0.25">
      <c r="A331" t="s">
        <v>55</v>
      </c>
      <c r="B331" t="s">
        <v>55</v>
      </c>
      <c r="C331" s="18">
        <f>IFERROR(
                  Andel_oberoende_av_klimat*VLOOKUP($A331,Leveranser_per_nät,'Leveranser per nät'!C$1,FALSE)
               +Andel_beroende_av_klimat*VLOOKUP($A331,Leveranser_per_nät,'Leveranser per nät'!C$1,FALSE)/VLOOKUP("Fagersta",Korrigeringsfaktor_GD,'Korrigeringsfaktor GD'!C$1,FALSE),
"")</f>
        <v>13.190825688073394</v>
      </c>
      <c r="D331" s="18">
        <f>IFERROR(
                  Andel_oberoende_av_klimat*VLOOKUP($A331,Leveranser_per_nät,'Leveranser per nät'!D$1,FALSE)
               +Andel_beroende_av_klimat*VLOOKUP($A331,Leveranser_per_nät,'Leveranser per nät'!D$1,FALSE)/VLOOKUP("Fagersta",Korrigeringsfaktor_GD,'Korrigeringsfaktor GD'!D$1,FALSE),
"")</f>
        <v>12.370583333333332</v>
      </c>
      <c r="E331" s="18">
        <f>IFERROR(
                  Andel_oberoende_av_klimat*VLOOKUP($A331,Leveranser_per_nät,'Leveranser per nät'!E$1,FALSE)
               +Andel_beroende_av_klimat*VLOOKUP($A331,Leveranser_per_nät,'Leveranser per nät'!E$1,FALSE)/VLOOKUP("Fagersta",Korrigeringsfaktor_GD,'Korrigeringsfaktor GD'!E$1,FALSE),
"")</f>
        <v>10.923762376237624</v>
      </c>
      <c r="F331" s="18">
        <f>IFERROR(
                  Andel_oberoende_av_klimat*VLOOKUP($A331,Leveranser_per_nät,'Leveranser per nät'!F$1,FALSE)
               +Andel_beroende_av_klimat*VLOOKUP($A331,Leveranser_per_nät,'Leveranser per nät'!F$1,FALSE)/VLOOKUP("Fagersta",Korrigeringsfaktor_GD,'Korrigeringsfaktor GD'!F$1,FALSE),
"")</f>
        <v>11.320833333333333</v>
      </c>
      <c r="G331" s="18">
        <f>IFERROR(
                  Andel_oberoende_av_klimat*VLOOKUP($A331,Leveranser_per_nät,'Leveranser per nät'!G$1,FALSE)
               +Andel_beroende_av_klimat*VLOOKUP($A331,Leveranser_per_nät,'Leveranser per nät'!G$1,FALSE)/VLOOKUP("Fagersta",Korrigeringsfaktor_GD,'Korrigeringsfaktor GD'!G$1,FALSE),
"")</f>
        <v>11.045977011494253</v>
      </c>
      <c r="H331" s="18">
        <f>IFERROR(
                  Andel_oberoende_av_klimat*VLOOKUP($A331,Leveranser_per_nät,'Leveranser per nät'!H$1,FALSE)
               +Andel_beroende_av_klimat*VLOOKUP($A331,Leveranser_per_nät,'Leveranser per nät'!H$1,FALSE)/VLOOKUP("Fagersta",Korrigeringsfaktor_GD,'Korrigeringsfaktor GD'!H$1,FALSE),
"")</f>
        <v>11</v>
      </c>
      <c r="I331" s="18">
        <f>IFERROR(
                  Andel_oberoende_av_klimat*VLOOKUP($A331,Leveranser_per_nät,'Leveranser per nät'!I$1,FALSE)
               +Andel_beroende_av_klimat*VLOOKUP($A331,Leveranser_per_nät,'Leveranser per nät'!I$1,FALSE)/VLOOKUP("Fagersta",Korrigeringsfaktor_GD,'Korrigeringsfaktor GD'!I$1,FALSE),
"")</f>
        <v>12.482814285714287</v>
      </c>
      <c r="J331" s="18">
        <f>IFERROR(
                  Andel_oberoende_av_klimat*VLOOKUP($A331,Leveranser_per_nät,'Leveranser per nät'!J$1,FALSE)
               +Andel_beroende_av_klimat*VLOOKUP($A331,Leveranser_per_nät,'Leveranser per nät'!J$1,FALSE)/VLOOKUP("Fagersta",Korrigeringsfaktor_GD,'Korrigeringsfaktor GD'!J$1,FALSE),
"")</f>
        <v>6.1298969072164944</v>
      </c>
      <c r="K331" s="18">
        <f>IFERROR(
                  Andel_oberoende_av_klimat*VLOOKUP($A331,Leveranser_per_nät,'Leveranser per nät'!K$1,FALSE)
               +Andel_beroende_av_klimat*VLOOKUP($A331,Leveranser_per_nät,'Leveranser per nät'!K$1,FALSE)/VLOOKUP("Fagersta",Korrigeringsfaktor_GD,'Korrigeringsfaktor GD'!K$1,FALSE),
"")</f>
        <v>11.209288145414833</v>
      </c>
      <c r="L331" s="18">
        <f>IFERROR(
                  Andel_oberoende_av_klimat*VLOOKUP($A331,Leveranser_per_nät,'Leveranser per nät'!L$1,FALSE)
               +Andel_beroende_av_klimat*VLOOKUP($A331,Leveranser_per_nät,'Leveranser per nät'!L$1,FALSE)/VLOOKUP("Fagersta",Korrigeringsfaktor_GD,'Korrigeringsfaktor GD'!L$1,FALSE),
"")</f>
        <v>16.764596639715045</v>
      </c>
      <c r="M331" s="18">
        <f>IFERROR(
                  Andel_oberoende_av_klimat*VLOOKUP($A331,Leveranser_per_nät,'Leveranser per nät'!M$1,FALSE)
               +Andel_beroende_av_klimat*VLOOKUP($A331,Leveranser_per_nät,'Leveranser per nät'!M$1,FALSE)/VLOOKUP("Fagersta",Korrigeringsfaktor_GD,'Korrigeringsfaktor GD'!M$1,FALSE),
"")</f>
        <v>14.08198260869565</v>
      </c>
      <c r="N331" s="18">
        <f>IFERROR(
                  Andel_oberoende_av_klimat*VLOOKUP($A331,Leveranser_per_nät,'Leveranser per nät'!N$1,FALSE)
               +Andel_beroende_av_klimat*VLOOKUP($A331,Leveranser_per_nät,'Leveranser per nät'!N$1,FALSE)/VLOOKUP("Fagersta",Korrigeringsfaktor_GD,'Korrigeringsfaktor GD'!N$1,FALSE),
"")</f>
        <v>15.474516129032256</v>
      </c>
      <c r="O331" s="18">
        <f>IFERROR(
                  Andel_oberoende_av_klimat*VLOOKUP($A331,Leveranser_per_nät,'Leveranser per nät'!O$1,FALSE)
               +Andel_beroende_av_klimat*VLOOKUP($A331,Leveranser_per_nät,'Leveranser per nät'!O$1,FALSE)/VLOOKUP("Fagersta",Korrigeringsfaktor_GD,'Korrigeringsfaktor GD'!O$1,FALSE),
"")</f>
        <v>14.226666666666665</v>
      </c>
      <c r="P331" s="18">
        <f>IFERROR(
                  Andel_oberoende_av_klimat*VLOOKUP($A331,Leveranser_per_nät,'Leveranser per nät'!P$1,FALSE)
               +Andel_beroende_av_klimat*VLOOKUP($A331,Leveranser_per_nät,'Leveranser per nät'!P$1,FALSE)/VLOOKUP("Fagersta",Korrigeringsfaktor_GD,'Korrigeringsfaktor GD'!P$1,FALSE),
"")</f>
        <v>14.098989898989899</v>
      </c>
      <c r="Q331" s="18">
        <f>IFERROR(
                  Andel_oberoende_av_klimat*VLOOKUP($A331,Leveranser_per_nät,'Leveranser per nät'!Q$1,FALSE)
               +Andel_beroende_av_klimat*VLOOKUP($A331,Leveranser_per_nät,'Leveranser per nät'!Q$1,FALSE)/VLOOKUP("Fagersta",Korrigeringsfaktor_GD,'Korrigeringsfaktor GD'!Q$1,FALSE),
"")</f>
        <v>14.811739130434784</v>
      </c>
      <c r="R331" s="18">
        <f>IFERROR(
                  Andel_oberoende_av_klimat*VLOOKUP($A331,Leveranser_per_nät,'Leveranser per nät'!R$1,FALSE)
               +Andel_beroende_av_klimat*VLOOKUP($A331,Leveranser_per_nät,'Leveranser per nät'!R$1,FALSE)/VLOOKUP("Fagersta",Korrigeringsfaktor_GD,'Korrigeringsfaktor GD'!R$1,FALSE),
"")</f>
        <v>13.892555555555555</v>
      </c>
      <c r="S331" s="18">
        <f>IFERROR(
                  Andel_oberoende_av_klimat*VLOOKUP($A331,Leveranser_per_nät,'Leveranser per nät'!S$1,FALSE)
               +Andel_beroende_av_klimat*VLOOKUP($A331,Leveranser_per_nät,'Leveranser per nät'!S$1,FALSE)/VLOOKUP("Fagersta",Korrigeringsfaktor_GD,'Korrigeringsfaktor GD'!S$1,FALSE),
"")</f>
        <v>15.259999999999998</v>
      </c>
      <c r="T331" s="18">
        <f>IFERROR(
                  Andel_oberoende_av_klimat*VLOOKUP($A331,Leveranser_per_nät,'Leveranser per nät'!T$1,FALSE)
               +Andel_beroende_av_klimat*VLOOKUP($A331,Leveranser_per_nät,'Leveranser per nät'!T$1,FALSE)/VLOOKUP("Fagersta",Korrigeringsfaktor_GD,'Korrigeringsfaktor GD'!T$1,FALSE),
"")</f>
        <v>14.826842105263159</v>
      </c>
      <c r="U331" s="18">
        <f>IFERROR(
                  Andel_oberoende_av_klimat*VLOOKUP($A331,Leveranser_per_nät,'Leveranser per nät'!U$1,FALSE)
               +Andel_beroende_av_klimat*VLOOKUP($A331,Leveranser_per_nät,'Leveranser per nät'!U$1,FALSE)/VLOOKUP("Fagersta",Korrigeringsfaktor_GD,'Korrigeringsfaktor GD'!U$1,FALSE),
"")</f>
        <v>15.196666666666669</v>
      </c>
      <c r="V331" s="18">
        <f>IFERROR(
                  Andel_oberoende_av_klimat*VLOOKUP($A331,Leveranser_per_nät,'Leveranser per nät'!V$1,FALSE)
               +Andel_beroende_av_klimat*VLOOKUP($A331,Leveranser_per_nät,'Leveranser per nät'!V$1,FALSE)/VLOOKUP("Fagersta",Korrigeringsfaktor_GD,'Korrigeringsfaktor GD'!V$1,FALSE),
"")</f>
        <v>14.74608695652174</v>
      </c>
      <c r="W331" s="18">
        <f>IFERROR(
                  Andel_oberoende_av_klimat*VLOOKUP($A331,Leveranser_per_nät,'Leveranser per nät'!W$1,FALSE)
               +Andel_beroende_av_klimat*VLOOKUP($A331,Leveranser_per_nät,'Leveranser per nät'!W$1,FALSE)/VLOOKUP("Fagersta",Korrigeringsfaktor_GD,'Korrigeringsfaktor GD'!W$1,FALSE),
"")</f>
        <v>14.303092783505155</v>
      </c>
      <c r="X331" s="18">
        <f>IFERROR(
                  Andel_oberoende_av_klimat*VLOOKUP($A331,Leveranser_per_nät,'Leveranser per nät'!X$1,FALSE)
               +Andel_beroende_av_klimat*VLOOKUP($A331,Leveranser_per_nät,'Leveranser per nät'!X$1,FALSE)/VLOOKUP("Fagersta",Korrigeringsfaktor_GD,'Korrigeringsfaktor GD'!X$1,FALSE),
"")</f>
        <v>14.507422680412372</v>
      </c>
      <c r="Y331" s="18">
        <f>IFERROR(
                  Andel_oberoende_av_klimat*VLOOKUP($A331,Leveranser_per_nät,'Leveranser per nät'!Y$1,FALSE)
               +Andel_beroende_av_klimat*VLOOKUP($A331,Leveranser_per_nät,'Leveranser per nät'!Y$1,FALSE)/VLOOKUP($B331,Korrigeringsfaktor_GD,'Korrigeringsfaktor GD'!Y$1,FALSE),
"")</f>
        <v>15.700869565217392</v>
      </c>
      <c r="Z331" s="18">
        <f>IFERROR(
                  Andel_oberoende_av_klimat*VLOOKUP($A331,Leveranser_per_nät,'Leveranser per nät'!Z$1,FALSE)
               +Andel_beroende_av_klimat*VLOOKUP($A331,Leveranser_per_nät,'Leveranser per nät'!Z$1,FALSE)/VLOOKUP($B331,Korrigeringsfaktor_GD,'Korrigeringsfaktor GD'!Z$1,FALSE),
"")</f>
        <v>15.158709677419356</v>
      </c>
      <c r="AA331" s="18">
        <f>IFERROR(
                  Andel_oberoende_av_klimat*VLOOKUP($A331,Leveranser_per_nät,'Leveranser per nät'!AA$1,FALSE)
               +Andel_beroende_av_klimat*VLOOKUP($A331,Leveranser_per_nät,'Leveranser per nät'!AA$1,FALSE)/VLOOKUP($B331,Korrigeringsfaktor_GD,'Korrigeringsfaktor GD'!AA$1,FALSE),
"")</f>
        <v>15.46717902452777</v>
      </c>
      <c r="AB331" s="18">
        <f>IFERROR(
                  Andel_oberoende_av_klimat*VLOOKUP($A331,Leveranser_per_nät,'Leveranser per nät'!AB$1,FALSE)
               +Andel_beroende_av_klimat*VLOOKUP($A331,Leveranser_per_nät,'Leveranser per nät'!AB$1,FALSE)/VLOOKUP($B331,Korrigeringsfaktor_GD,'Korrigeringsfaktor GD'!AB$1,FALSE),
"")</f>
        <v>14.40768125</v>
      </c>
      <c r="AC331" s="18">
        <f>IFERROR(
                  Andel_oberoende_av_klimat*VLOOKUP($A331,Leveranser_per_nät,'Leveranser per nät'!AC$1,FALSE)
               +Andel_beroende_av_klimat*VLOOKUP($A331,Leveranser_per_nät,'Leveranser per nät'!AC$1,FALSE)/VLOOKUP($B331,Korrigeringsfaktor_GD,'Korrigeringsfaktor GD'!AC$1,FALSE),
"")</f>
        <v>13.734252214212152</v>
      </c>
      <c r="AD331">
        <v>13.452999999999999</v>
      </c>
    </row>
    <row r="332" spans="1:30" x14ac:dyDescent="0.25">
      <c r="A332" t="s">
        <v>143</v>
      </c>
      <c r="B332" t="s">
        <v>166</v>
      </c>
      <c r="C332" s="18">
        <f>IFERROR(
                  Andel_oberoende_av_klimat*VLOOKUP($A332,Leveranser_per_nät,'Leveranser per nät'!C$1,FALSE)
               +Andel_beroende_av_klimat*VLOOKUP($A332,Leveranser_per_nät,'Leveranser per nät'!C$1,FALSE)/VLOOKUP($B332,Korrigeringsfaktor_GD,'Korrigeringsfaktor GD'!C$1,FALSE),
"")</f>
        <v>25.281818181818181</v>
      </c>
      <c r="D332" s="18">
        <f>IFERROR(
                  Andel_oberoende_av_klimat*VLOOKUP($A332,Leveranser_per_nät,'Leveranser per nät'!D$1,FALSE)
               +Andel_beroende_av_klimat*VLOOKUP($A332,Leveranser_per_nät,'Leveranser per nät'!D$1,FALSE)/VLOOKUP($B332,Korrigeringsfaktor_GD,'Korrigeringsfaktor GD'!D$1,FALSE),
"")</f>
        <v>23.835714285714285</v>
      </c>
      <c r="E332" s="18">
        <f>IFERROR(
                  Andel_oberoende_av_klimat*VLOOKUP($A332,Leveranser_per_nät,'Leveranser per nät'!E$1,FALSE)
               +Andel_beroende_av_klimat*VLOOKUP($A332,Leveranser_per_nät,'Leveranser per nät'!E$1,FALSE)/VLOOKUP($B332,Korrigeringsfaktor_GD,'Korrigeringsfaktor GD'!E$1,FALSE),
"")</f>
        <v>23.83366336633663</v>
      </c>
      <c r="F332" s="18">
        <f>IFERROR(
                  Andel_oberoende_av_klimat*VLOOKUP($A332,Leveranser_per_nät,'Leveranser per nät'!F$1,FALSE)
               +Andel_beroende_av_klimat*VLOOKUP($A332,Leveranser_per_nät,'Leveranser per nät'!F$1,FALSE)/VLOOKUP($B332,Korrigeringsfaktor_GD,'Korrigeringsfaktor GD'!F$1,FALSE),
"")</f>
        <v>23.847368421052632</v>
      </c>
      <c r="G332" s="18">
        <f>IFERROR(
                  Andel_oberoende_av_klimat*VLOOKUP($A332,Leveranser_per_nät,'Leveranser per nät'!G$1,FALSE)
               +Andel_beroende_av_klimat*VLOOKUP($A332,Leveranser_per_nät,'Leveranser per nät'!G$1,FALSE)/VLOOKUP($B332,Korrigeringsfaktor_GD,'Korrigeringsfaktor GD'!G$1,FALSE),
"")</f>
        <v>24.71764705882353</v>
      </c>
      <c r="H332" s="18">
        <f>IFERROR(
                  Andel_oberoende_av_klimat*VLOOKUP($A332,Leveranser_per_nät,'Leveranser per nät'!H$1,FALSE)
               +Andel_beroende_av_klimat*VLOOKUP($A332,Leveranser_per_nät,'Leveranser per nät'!H$1,FALSE)/VLOOKUP($B332,Korrigeringsfaktor_GD,'Korrigeringsfaktor GD'!H$1,FALSE),
"")</f>
        <v>24.826732673267326</v>
      </c>
      <c r="I332" s="18">
        <f>IFERROR(
                  Andel_oberoende_av_klimat*VLOOKUP($A332,Leveranser_per_nät,'Leveranser per nät'!I$1,FALSE)
               +Andel_beroende_av_klimat*VLOOKUP($A332,Leveranser_per_nät,'Leveranser per nät'!I$1,FALSE)/VLOOKUP($B332,Korrigeringsfaktor_GD,'Korrigeringsfaktor GD'!I$1,FALSE),
"")</f>
        <v>24.699999999999996</v>
      </c>
      <c r="J332" s="18">
        <f>IFERROR(
                  Andel_oberoende_av_klimat*VLOOKUP($A332,Leveranser_per_nät,'Leveranser per nät'!J$1,FALSE)
               +Andel_beroende_av_klimat*VLOOKUP($A332,Leveranser_per_nät,'Leveranser per nät'!J$1,FALSE)/VLOOKUP($B332,Korrigeringsfaktor_GD,'Korrigeringsfaktor GD'!J$1,FALSE),
"")</f>
        <v>27.584536082474227</v>
      </c>
      <c r="K332" s="18">
        <f>IFERROR(
                  Andel_oberoende_av_klimat*VLOOKUP($A332,Leveranser_per_nät,'Leveranser per nät'!K$1,FALSE)
               +Andel_beroende_av_klimat*VLOOKUP($A332,Leveranser_per_nät,'Leveranser per nät'!K$1,FALSE)/VLOOKUP($B332,Korrigeringsfaktor_GD,'Korrigeringsfaktor GD'!K$1,FALSE),
"")</f>
        <v>27.070170833333336</v>
      </c>
      <c r="L332" s="18">
        <f>IFERROR(
                  Andel_oberoende_av_klimat*VLOOKUP($A332,Leveranser_per_nät,'Leveranser per nät'!L$1,FALSE)
               +Andel_beroende_av_klimat*VLOOKUP($A332,Leveranser_per_nät,'Leveranser per nät'!L$1,FALSE)/VLOOKUP($B332,Korrigeringsfaktor_GD,'Korrigeringsfaktor GD'!L$1,FALSE),
"")</f>
        <v>31.202730107526875</v>
      </c>
      <c r="M332" s="18">
        <f>IFERROR(
                  Andel_oberoende_av_klimat*VLOOKUP($A332,Leveranser_per_nät,'Leveranser per nät'!M$1,FALSE)
               +Andel_beroende_av_klimat*VLOOKUP($A332,Leveranser_per_nät,'Leveranser per nät'!M$1,FALSE)/VLOOKUP($B332,Korrigeringsfaktor_GD,'Korrigeringsfaktor GD'!M$1,FALSE),
"")</f>
        <v>31.826086956521742</v>
      </c>
      <c r="N332" s="18">
        <f>IFERROR(
                  Andel_oberoende_av_klimat*VLOOKUP($A332,Leveranser_per_nät,'Leveranser per nät'!N$1,FALSE)
               +Andel_beroende_av_klimat*VLOOKUP($A332,Leveranser_per_nät,'Leveranser per nät'!N$1,FALSE)/VLOOKUP($B332,Korrigeringsfaktor_GD,'Korrigeringsfaktor GD'!N$1,FALSE),
"")</f>
        <v>47.994799999999998</v>
      </c>
      <c r="O332" s="18">
        <f>IFERROR(
                  Andel_oberoende_av_klimat*VLOOKUP($A332,Leveranser_per_nät,'Leveranser per nät'!O$1,FALSE)
               +Andel_beroende_av_klimat*VLOOKUP($A332,Leveranser_per_nät,'Leveranser per nät'!O$1,FALSE)/VLOOKUP($B332,Korrigeringsfaktor_GD,'Korrigeringsfaktor GD'!O$1,FALSE),
"")</f>
        <v>46.678937078651686</v>
      </c>
      <c r="P332" s="18">
        <f>IFERROR(
                  Andel_oberoende_av_klimat*VLOOKUP($A332,Leveranser_per_nät,'Leveranser per nät'!P$1,FALSE)
               +Andel_beroende_av_klimat*VLOOKUP($A332,Leveranser_per_nät,'Leveranser per nät'!P$1,FALSE)/VLOOKUP($B332,Korrigeringsfaktor_GD,'Korrigeringsfaktor GD'!P$1,FALSE),
"")</f>
        <v>51.270976767676771</v>
      </c>
      <c r="Q332" s="18">
        <f>IFERROR(
                  Andel_oberoende_av_klimat*VLOOKUP($A332,Leveranser_per_nät,'Leveranser per nät'!Q$1,FALSE)
               +Andel_beroende_av_klimat*VLOOKUP($A332,Leveranser_per_nät,'Leveranser per nät'!Q$1,FALSE)/VLOOKUP($B332,Korrigeringsfaktor_GD,'Korrigeringsfaktor GD'!Q$1,FALSE),
"")</f>
        <v>52.821566666666669</v>
      </c>
      <c r="R332" s="18">
        <f>IFERROR(
                  Andel_oberoende_av_klimat*VLOOKUP($A332,Leveranser_per_nät,'Leveranser per nät'!R$1,FALSE)
               +Andel_beroende_av_klimat*VLOOKUP($A332,Leveranser_per_nät,'Leveranser per nät'!R$1,FALSE)/VLOOKUP($B332,Korrigeringsfaktor_GD,'Korrigeringsfaktor GD'!R$1,FALSE),
"")</f>
        <v>51.002307692307696</v>
      </c>
      <c r="S332" s="18">
        <f>IFERROR(
                  Andel_oberoende_av_klimat*VLOOKUP($A332,Leveranser_per_nät,'Leveranser per nät'!S$1,FALSE)
               +Andel_beroende_av_klimat*VLOOKUP($A332,Leveranser_per_nät,'Leveranser per nät'!S$1,FALSE)/VLOOKUP($B332,Korrigeringsfaktor_GD,'Korrigeringsfaktor GD'!S$1,FALSE),
"")</f>
        <v>53</v>
      </c>
      <c r="T332" s="18">
        <f>IFERROR(
                  Andel_oberoende_av_klimat*VLOOKUP($A332,Leveranser_per_nät,'Leveranser per nät'!T$1,FALSE)
               +Andel_beroende_av_klimat*VLOOKUP($A332,Leveranser_per_nät,'Leveranser per nät'!T$1,FALSE)/VLOOKUP($B332,Korrigeringsfaktor_GD,'Korrigeringsfaktor GD'!T$1,FALSE),
"")</f>
        <v>52.717113402061855</v>
      </c>
      <c r="U332" s="18">
        <f>IFERROR(
                  Andel_oberoende_av_klimat*VLOOKUP($A332,Leveranser_per_nät,'Leveranser per nät'!U$1,FALSE)
               +Andel_beroende_av_klimat*VLOOKUP($A332,Leveranser_per_nät,'Leveranser per nät'!U$1,FALSE)/VLOOKUP($B332,Korrigeringsfaktor_GD,'Korrigeringsfaktor GD'!U$1,FALSE),
"")</f>
        <v>48.122790697674418</v>
      </c>
      <c r="V332" s="18">
        <f>IFERROR(
                  Andel_oberoende_av_klimat*VLOOKUP($A332,Leveranser_per_nät,'Leveranser per nät'!V$1,FALSE)
               +Andel_beroende_av_klimat*VLOOKUP($A332,Leveranser_per_nät,'Leveranser per nät'!V$1,FALSE)/VLOOKUP($B332,Korrigeringsfaktor_GD,'Korrigeringsfaktor GD'!V$1,FALSE),
"")</f>
        <v>47.761818181818185</v>
      </c>
      <c r="W332" s="18">
        <f>IFERROR(
                  Andel_oberoende_av_klimat*VLOOKUP($A332,Leveranser_per_nät,'Leveranser per nät'!W$1,FALSE)
               +Andel_beroende_av_klimat*VLOOKUP($A332,Leveranser_per_nät,'Leveranser per nät'!W$1,FALSE)/VLOOKUP($B332,Korrigeringsfaktor_GD,'Korrigeringsfaktor GD'!W$1,FALSE),
"")</f>
        <v>51.476451612903219</v>
      </c>
      <c r="X332" s="18">
        <f>IFERROR(
                  Andel_oberoende_av_klimat*VLOOKUP($A332,Leveranser_per_nät,'Leveranser per nät'!X$1,FALSE)
               +Andel_beroende_av_klimat*VLOOKUP($A332,Leveranser_per_nät,'Leveranser per nät'!X$1,FALSE)/VLOOKUP($B332,Korrigeringsfaktor_GD,'Korrigeringsfaktor GD'!X$1,FALSE),
"")</f>
        <v>49.436521739130434</v>
      </c>
      <c r="Y332" s="18">
        <f>IFERROR(
                  Andel_oberoende_av_klimat*VLOOKUP($A332,Leveranser_per_nät,'Leveranser per nät'!Y$1,FALSE)
               +Andel_beroende_av_klimat*VLOOKUP($A332,Leveranser_per_nät,'Leveranser per nät'!Y$1,FALSE)/VLOOKUP($B332,Korrigeringsfaktor_GD,'Korrigeringsfaktor GD'!Y$1,FALSE),
"")</f>
        <v>50.179130434782607</v>
      </c>
      <c r="Z332" s="18">
        <f>IFERROR(
                  Andel_oberoende_av_klimat*VLOOKUP($A332,Leveranser_per_nät,'Leveranser per nät'!Z$1,FALSE)
               +Andel_beroende_av_klimat*VLOOKUP($A332,Leveranser_per_nät,'Leveranser per nät'!Z$1,FALSE)/VLOOKUP($B332,Korrigeringsfaktor_GD,'Korrigeringsfaktor GD'!Z$1,FALSE),
"")</f>
        <v>49.685555555555553</v>
      </c>
      <c r="AA332" s="18">
        <f>IFERROR(
                  Andel_oberoende_av_klimat*VLOOKUP($A332,Leveranser_per_nät,'Leveranser per nät'!AA$1,FALSE)
               +Andel_beroende_av_klimat*VLOOKUP($A332,Leveranser_per_nät,'Leveranser per nät'!AA$1,FALSE)/VLOOKUP($B332,Korrigeringsfaktor_GD,'Korrigeringsfaktor GD'!AA$1,FALSE),
"")</f>
        <v>47.493501326259945</v>
      </c>
      <c r="AB332" s="18">
        <f>IFERROR(
                  Andel_oberoende_av_klimat*VLOOKUP($A332,Leveranser_per_nät,'Leveranser per nät'!AB$1,FALSE)
               +Andel_beroende_av_klimat*VLOOKUP($A332,Leveranser_per_nät,'Leveranser per nät'!AB$1,FALSE)/VLOOKUP($B332,Korrigeringsfaktor_GD,'Korrigeringsfaktor GD'!AB$1,FALSE),
"")</f>
        <v>50.893220338983056</v>
      </c>
      <c r="AC332" s="18">
        <f>IFERROR(
                  Andel_oberoende_av_klimat*VLOOKUP($A332,Leveranser_per_nät,'Leveranser per nät'!AC$1,FALSE)
               +Andel_beroende_av_klimat*VLOOKUP($A332,Leveranser_per_nät,'Leveranser per nät'!AC$1,FALSE)/VLOOKUP($B332,Korrigeringsfaktor_GD,'Korrigeringsfaktor GD'!AC$1,FALSE),
"")</f>
        <v>50.287294994675193</v>
      </c>
      <c r="AD332">
        <v>564.79999999999995</v>
      </c>
    </row>
    <row r="333" spans="1:30" x14ac:dyDescent="0.25">
      <c r="A333" s="3" t="s">
        <v>12</v>
      </c>
      <c r="B333" t="s">
        <v>138</v>
      </c>
      <c r="C333" s="18">
        <f>IFERROR(
                  Andel_oberoende_av_klimat*VLOOKUP($A333,Leveranser_per_nät,'Leveranser per nät'!C$1,FALSE)
               +Andel_beroende_av_klimat*VLOOKUP($A333,Leveranser_per_nät,'Leveranser per nät'!C$1,FALSE)/VLOOKUP($B333,Korrigeringsfaktor_GD,'Korrigeringsfaktor GD'!C$1,FALSE),
"")</f>
        <v>0</v>
      </c>
      <c r="D333" s="18">
        <f>IFERROR(
                  Andel_oberoende_av_klimat*VLOOKUP($A333,Leveranser_per_nät,'Leveranser per nät'!D$1,FALSE)
               +Andel_beroende_av_klimat*VLOOKUP($A333,Leveranser_per_nät,'Leveranser per nät'!D$1,FALSE)/VLOOKUP($B333,Korrigeringsfaktor_GD,'Korrigeringsfaktor GD'!D$1,FALSE),
"")</f>
        <v>0</v>
      </c>
      <c r="E333" s="18">
        <f>IFERROR(
                  Andel_oberoende_av_klimat*VLOOKUP($A333,Leveranser_per_nät,'Leveranser per nät'!E$1,FALSE)
               +Andel_beroende_av_klimat*VLOOKUP($A333,Leveranser_per_nät,'Leveranser per nät'!E$1,FALSE)/VLOOKUP($B333,Korrigeringsfaktor_GD,'Korrigeringsfaktor GD'!E$1,FALSE),
"")</f>
        <v>0</v>
      </c>
      <c r="F333" s="18">
        <f>IFERROR(
                  Andel_oberoende_av_klimat*VLOOKUP($A333,Leveranser_per_nät,'Leveranser per nät'!F$1,FALSE)
               +Andel_beroende_av_klimat*VLOOKUP($A333,Leveranser_per_nät,'Leveranser per nät'!F$1,FALSE)/VLOOKUP($B333,Korrigeringsfaktor_GD,'Korrigeringsfaktor GD'!F$1,FALSE),
"")</f>
        <v>0</v>
      </c>
      <c r="G333" s="18">
        <f>IFERROR(
                  Andel_oberoende_av_klimat*VLOOKUP($A333,Leveranser_per_nät,'Leveranser per nät'!G$1,FALSE)
               +Andel_beroende_av_klimat*VLOOKUP($A333,Leveranser_per_nät,'Leveranser per nät'!G$1,FALSE)/VLOOKUP($B333,Korrigeringsfaktor_GD,'Korrigeringsfaktor GD'!G$1,FALSE),
"")</f>
        <v>0</v>
      </c>
      <c r="H333" s="18">
        <f>IFERROR(
                  Andel_oberoende_av_klimat*VLOOKUP($A333,Leveranser_per_nät,'Leveranser per nät'!H$1,FALSE)
               +Andel_beroende_av_klimat*VLOOKUP($A333,Leveranser_per_nät,'Leveranser per nät'!H$1,FALSE)/VLOOKUP($B333,Korrigeringsfaktor_GD,'Korrigeringsfaktor GD'!H$1,FALSE),
"")</f>
        <v>0</v>
      </c>
      <c r="I333" s="18">
        <f>IFERROR(
                  Andel_oberoende_av_klimat*VLOOKUP($A333,Leveranser_per_nät,'Leveranser per nät'!I$1,FALSE)
               +Andel_beroende_av_klimat*VLOOKUP($A333,Leveranser_per_nät,'Leveranser per nät'!I$1,FALSE)/VLOOKUP($B333,Korrigeringsfaktor_GD,'Korrigeringsfaktor GD'!I$1,FALSE),
"")</f>
        <v>0</v>
      </c>
      <c r="J333" s="18">
        <f>IFERROR(
                  Andel_oberoende_av_klimat*VLOOKUP($A333,Leveranser_per_nät,'Leveranser per nät'!J$1,FALSE)
               +Andel_beroende_av_klimat*VLOOKUP($A333,Leveranser_per_nät,'Leveranser per nät'!J$1,FALSE)/VLOOKUP($B333,Korrigeringsfaktor_GD,'Korrigeringsfaktor GD'!J$1,FALSE),
"")</f>
        <v>0</v>
      </c>
      <c r="K333" s="18">
        <f>IFERROR(
                  Andel_oberoende_av_klimat*VLOOKUP($A333,Leveranser_per_nät,'Leveranser per nät'!K$1,FALSE)
               +Andel_beroende_av_klimat*VLOOKUP($A333,Leveranser_per_nät,'Leveranser per nät'!K$1,FALSE)/VLOOKUP($B333,Korrigeringsfaktor_GD,'Korrigeringsfaktor GD'!K$1,FALSE),
"")</f>
        <v>0</v>
      </c>
      <c r="L333" s="18">
        <f>IFERROR(
                  Andel_oberoende_av_klimat*VLOOKUP($A333,Leveranser_per_nät,'Leveranser per nät'!L$1,FALSE)
               +Andel_beroende_av_klimat*VLOOKUP($A333,Leveranser_per_nät,'Leveranser per nät'!L$1,FALSE)/VLOOKUP($B333,Korrigeringsfaktor_GD,'Korrigeringsfaktor GD'!L$1,FALSE),
"")</f>
        <v>0</v>
      </c>
      <c r="M333" s="18">
        <f>IFERROR(
                  Andel_oberoende_av_klimat*VLOOKUP($A333,Leveranser_per_nät,'Leveranser per nät'!M$1,FALSE)
               +Andel_beroende_av_klimat*VLOOKUP($A333,Leveranser_per_nät,'Leveranser per nät'!M$1,FALSE)/VLOOKUP($B333,Korrigeringsfaktor_GD,'Korrigeringsfaktor GD'!M$1,FALSE),
"")</f>
        <v>0</v>
      </c>
      <c r="N333" s="18">
        <f>IFERROR(
                  Andel_oberoende_av_klimat*VLOOKUP($A333,Leveranser_per_nät,'Leveranser per nät'!N$1,FALSE)
               +Andel_beroende_av_klimat*VLOOKUP($A333,Leveranser_per_nät,'Leveranser per nät'!N$1,FALSE)/VLOOKUP($B333,Korrigeringsfaktor_GD,'Korrigeringsfaktor GD'!N$1,FALSE),
"")</f>
        <v>0</v>
      </c>
      <c r="O333" s="18">
        <f>IFERROR(
                  Andel_oberoende_av_klimat*VLOOKUP($A333,Leveranser_per_nät,'Leveranser per nät'!O$1,FALSE)
               +Andel_beroende_av_klimat*VLOOKUP($A333,Leveranser_per_nät,'Leveranser per nät'!O$1,FALSE)/VLOOKUP($B333,Korrigeringsfaktor_GD,'Korrigeringsfaktor GD'!O$1,FALSE),
"")</f>
        <v>0</v>
      </c>
      <c r="P333" s="18">
        <f>IFERROR(
                  Andel_oberoende_av_klimat*VLOOKUP($A333,Leveranser_per_nät,'Leveranser per nät'!P$1,FALSE)
               +Andel_beroende_av_klimat*VLOOKUP($A333,Leveranser_per_nät,'Leveranser per nät'!P$1,FALSE)/VLOOKUP($B333,Korrigeringsfaktor_GD,'Korrigeringsfaktor GD'!P$1,FALSE),
"")</f>
        <v>0</v>
      </c>
      <c r="Q333" s="18">
        <f>IFERROR(
                  Andel_oberoende_av_klimat*VLOOKUP($A333,Leveranser_per_nät,'Leveranser per nät'!Q$1,FALSE)
               +Andel_beroende_av_klimat*VLOOKUP($A333,Leveranser_per_nät,'Leveranser per nät'!Q$1,FALSE)/VLOOKUP($B333,Korrigeringsfaktor_GD,'Korrigeringsfaktor GD'!Q$1,FALSE),
"")</f>
        <v>0.18173913043478263</v>
      </c>
      <c r="R333" s="18">
        <f>IFERROR(
                  Andel_oberoende_av_klimat*VLOOKUP($A333,Leveranser_per_nät,'Leveranser per nät'!R$1,FALSE)
               +Andel_beroende_av_klimat*VLOOKUP($A333,Leveranser_per_nät,'Leveranser per nät'!R$1,FALSE)/VLOOKUP($B333,Korrigeringsfaktor_GD,'Korrigeringsfaktor GD'!R$1,FALSE),
"")</f>
        <v>0.21384615384615385</v>
      </c>
      <c r="S333" s="18">
        <f>IFERROR(
                  Andel_oberoende_av_klimat*VLOOKUP($A333,Leveranser_per_nät,'Leveranser per nät'!S$1,FALSE)
               +Andel_beroende_av_klimat*VLOOKUP($A333,Leveranser_per_nät,'Leveranser per nät'!S$1,FALSE)/VLOOKUP($B333,Korrigeringsfaktor_GD,'Korrigeringsfaktor GD'!S$1,FALSE),
"")</f>
        <v>0.2</v>
      </c>
      <c r="T333" s="18" t="str">
        <f>IFERROR(
                  Andel_oberoende_av_klimat*VLOOKUP($A333,Leveranser_per_nät,'Leveranser per nät'!T$1,FALSE)
               +Andel_beroende_av_klimat*VLOOKUP($A333,Leveranser_per_nät,'Leveranser per nät'!T$1,FALSE)/VLOOKUP($B333,Korrigeringsfaktor_GD,'Korrigeringsfaktor GD'!T$1,FALSE),
"")</f>
        <v/>
      </c>
      <c r="U333" s="18" t="str">
        <f>IFERROR(
                  Andel_oberoende_av_klimat*VLOOKUP($A333,Leveranser_per_nät,'Leveranser per nät'!U$1,FALSE)
               +Andel_beroende_av_klimat*VLOOKUP($A333,Leveranser_per_nät,'Leveranser per nät'!U$1,FALSE)/VLOOKUP($B333,Korrigeringsfaktor_GD,'Korrigeringsfaktor GD'!U$1,FALSE),
"")</f>
        <v/>
      </c>
      <c r="V333" s="18" t="str">
        <f>IFERROR(
                  Andel_oberoende_av_klimat*VLOOKUP($A333,Leveranser_per_nät,'Leveranser per nät'!V$1,FALSE)
               +Andel_beroende_av_klimat*VLOOKUP($A333,Leveranser_per_nät,'Leveranser per nät'!V$1,FALSE)/VLOOKUP($B333,Korrigeringsfaktor_GD,'Korrigeringsfaktor GD'!V$1,FALSE),
"")</f>
        <v/>
      </c>
      <c r="W333" s="18" t="str">
        <f>IFERROR(
                  Andel_oberoende_av_klimat*VLOOKUP($A333,Leveranser_per_nät,'Leveranser per nät'!W$1,FALSE)
               +Andel_beroende_av_klimat*VLOOKUP($A333,Leveranser_per_nät,'Leveranser per nät'!W$1,FALSE)/VLOOKUP($B333,Korrigeringsfaktor_GD,'Korrigeringsfaktor GD'!W$1,FALSE),
"")</f>
        <v/>
      </c>
      <c r="X333" s="18" t="str">
        <f>IFERROR(
                  Andel_oberoende_av_klimat*VLOOKUP($A333,Leveranser_per_nät,'Leveranser per nät'!X$1,FALSE)
               +Andel_beroende_av_klimat*VLOOKUP($A333,Leveranser_per_nät,'Leveranser per nät'!X$1,FALSE)/VLOOKUP($B333,Korrigeringsfaktor_GD,'Korrigeringsfaktor GD'!X$1,FALSE),
"")</f>
        <v/>
      </c>
      <c r="Y333" s="18" t="str">
        <f>IFERROR(
                  Andel_oberoende_av_klimat*VLOOKUP($A333,Leveranser_per_nät,'Leveranser per nät'!Y$1,FALSE)
               +Andel_beroende_av_klimat*VLOOKUP($A333,Leveranser_per_nät,'Leveranser per nät'!Y$1,FALSE)/VLOOKUP($B333,Korrigeringsfaktor_GD,'Korrigeringsfaktor GD'!Y$1,FALSE),
"")</f>
        <v/>
      </c>
      <c r="Z333" s="18">
        <f>IFERROR(
                  Andel_oberoende_av_klimat*VLOOKUP($A333,Leveranser_per_nät,'Leveranser per nät'!Z$1,FALSE)
               +Andel_beroende_av_klimat*VLOOKUP($A333,Leveranser_per_nät,'Leveranser per nät'!Z$1,FALSE)/VLOOKUP($B333,Korrigeringsfaktor_GD,'Korrigeringsfaktor GD'!Z$1,FALSE),
"")</f>
        <v>0</v>
      </c>
      <c r="AA333" s="18" t="str">
        <f>IFERROR(
                  Andel_oberoende_av_klimat*VLOOKUP($A333,Leveranser_per_nät,'Leveranser per nät'!AA$1,FALSE)
               +Andel_beroende_av_klimat*VLOOKUP($A333,Leveranser_per_nät,'Leveranser per nät'!AA$1,FALSE)/VLOOKUP($B333,Korrigeringsfaktor_GD,'Korrigeringsfaktor GD'!AA$1,FALSE),
"")</f>
        <v/>
      </c>
      <c r="AB333" s="18">
        <f>IFERROR(
                  Andel_oberoende_av_klimat*VLOOKUP($A333,Leveranser_per_nät,'Leveranser per nät'!AB$1,FALSE)
               +Andel_beroende_av_klimat*VLOOKUP($A333,Leveranser_per_nät,'Leveranser per nät'!AB$1,FALSE)/VLOOKUP($B333,Korrigeringsfaktor_GD,'Korrigeringsfaktor GD'!AB$1,FALSE),
"")</f>
        <v>0</v>
      </c>
      <c r="AC333" s="18">
        <f>IFERROR(
                  Andel_oberoende_av_klimat*VLOOKUP($A333,Leveranser_per_nät,'Leveranser per nät'!AC$1,FALSE)
               +Andel_beroende_av_klimat*VLOOKUP($A333,Leveranser_per_nät,'Leveranser per nät'!AC$1,FALSE)/VLOOKUP($B333,Korrigeringsfaktor_GD,'Korrigeringsfaktor GD'!AC$1,FALSE),
"")</f>
        <v>0</v>
      </c>
      <c r="AD333">
        <v>662.10699999999997</v>
      </c>
    </row>
    <row r="334" spans="1:30" x14ac:dyDescent="0.25">
      <c r="A334" t="s">
        <v>276</v>
      </c>
      <c r="B334" t="s">
        <v>275</v>
      </c>
      <c r="C334" s="18">
        <f>IFERROR(
                  Andel_oberoende_av_klimat*VLOOKUP($A334,Leveranser_per_nät,'Leveranser per nät'!C$1,FALSE)
               +Andel_beroende_av_klimat*VLOOKUP($A334,Leveranser_per_nät,'Leveranser per nät'!C$1,FALSE)/VLOOKUP($B334,Korrigeringsfaktor_GD,'Korrigeringsfaktor GD'!C$1,FALSE),
"")</f>
        <v>0</v>
      </c>
      <c r="D334" s="18">
        <f>IFERROR(
                  Andel_oberoende_av_klimat*VLOOKUP($A334,Leveranser_per_nät,'Leveranser per nät'!D$1,FALSE)
               +Andel_beroende_av_klimat*VLOOKUP($A334,Leveranser_per_nät,'Leveranser per nät'!D$1,FALSE)/VLOOKUP($B334,Korrigeringsfaktor_GD,'Korrigeringsfaktor GD'!D$1,FALSE),
"")</f>
        <v>0</v>
      </c>
      <c r="E334" s="18">
        <f>IFERROR(
                  Andel_oberoende_av_klimat*VLOOKUP($A334,Leveranser_per_nät,'Leveranser per nät'!E$1,FALSE)
               +Andel_beroende_av_klimat*VLOOKUP($A334,Leveranser_per_nät,'Leveranser per nät'!E$1,FALSE)/VLOOKUP($B334,Korrigeringsfaktor_GD,'Korrigeringsfaktor GD'!E$1,FALSE),
"")</f>
        <v>0</v>
      </c>
      <c r="F334" s="18">
        <f>IFERROR(
                  Andel_oberoende_av_klimat*VLOOKUP($A334,Leveranser_per_nät,'Leveranser per nät'!F$1,FALSE)
               +Andel_beroende_av_klimat*VLOOKUP($A334,Leveranser_per_nät,'Leveranser per nät'!F$1,FALSE)/VLOOKUP($B334,Korrigeringsfaktor_GD,'Korrigeringsfaktor GD'!F$1,FALSE),
"")</f>
        <v>0</v>
      </c>
      <c r="G334" s="18">
        <f>IFERROR(
                  Andel_oberoende_av_klimat*VLOOKUP($A334,Leveranser_per_nät,'Leveranser per nät'!G$1,FALSE)
               +Andel_beroende_av_klimat*VLOOKUP($A334,Leveranser_per_nät,'Leveranser per nät'!G$1,FALSE)/VLOOKUP($B334,Korrigeringsfaktor_GD,'Korrigeringsfaktor GD'!G$1,FALSE),
"")</f>
        <v>0</v>
      </c>
      <c r="H334" s="18">
        <f>IFERROR(
                  Andel_oberoende_av_klimat*VLOOKUP($A334,Leveranser_per_nät,'Leveranser per nät'!H$1,FALSE)
               +Andel_beroende_av_klimat*VLOOKUP($A334,Leveranser_per_nät,'Leveranser per nät'!H$1,FALSE)/VLOOKUP($B334,Korrigeringsfaktor_GD,'Korrigeringsfaktor GD'!H$1,FALSE),
"")</f>
        <v>0</v>
      </c>
      <c r="I334" s="18">
        <f>IFERROR(
                  Andel_oberoende_av_klimat*VLOOKUP($A334,Leveranser_per_nät,'Leveranser per nät'!I$1,FALSE)
               +Andel_beroende_av_klimat*VLOOKUP($A334,Leveranser_per_nät,'Leveranser per nät'!I$1,FALSE)/VLOOKUP($B334,Korrigeringsfaktor_GD,'Korrigeringsfaktor GD'!I$1,FALSE),
"")</f>
        <v>0</v>
      </c>
      <c r="J334" s="18">
        <f>IFERROR(
                  Andel_oberoende_av_klimat*VLOOKUP($A334,Leveranser_per_nät,'Leveranser per nät'!J$1,FALSE)
               +Andel_beroende_av_klimat*VLOOKUP($A334,Leveranser_per_nät,'Leveranser per nät'!J$1,FALSE)/VLOOKUP($B334,Korrigeringsfaktor_GD,'Korrigeringsfaktor GD'!J$1,FALSE),
"")</f>
        <v>0</v>
      </c>
      <c r="K334" s="18">
        <f>IFERROR(
                  Andel_oberoende_av_klimat*VLOOKUP($A334,Leveranser_per_nät,'Leveranser per nät'!K$1,FALSE)
               +Andel_beroende_av_klimat*VLOOKUP($A334,Leveranser_per_nät,'Leveranser per nät'!K$1,FALSE)/VLOOKUP($B334,Korrigeringsfaktor_GD,'Korrigeringsfaktor GD'!K$1,FALSE),
"")</f>
        <v>0</v>
      </c>
      <c r="L334" s="18">
        <f>IFERROR(
                  Andel_oberoende_av_klimat*VLOOKUP($A334,Leveranser_per_nät,'Leveranser per nät'!L$1,FALSE)
               +Andel_beroende_av_klimat*VLOOKUP($A334,Leveranser_per_nät,'Leveranser per nät'!L$1,FALSE)/VLOOKUP($B334,Korrigeringsfaktor_GD,'Korrigeringsfaktor GD'!L$1,FALSE),
"")</f>
        <v>0</v>
      </c>
      <c r="M334" s="18">
        <f>IFERROR(
                  Andel_oberoende_av_klimat*VLOOKUP($A334,Leveranser_per_nät,'Leveranser per nät'!M$1,FALSE)
               +Andel_beroende_av_klimat*VLOOKUP($A334,Leveranser_per_nät,'Leveranser per nät'!M$1,FALSE)/VLOOKUP($B334,Korrigeringsfaktor_GD,'Korrigeringsfaktor GD'!M$1,FALSE),
"")</f>
        <v>8.2747826086956522</v>
      </c>
      <c r="N334" s="18">
        <f>IFERROR(
                  Andel_oberoende_av_klimat*VLOOKUP($A334,Leveranser_per_nät,'Leveranser per nät'!N$1,FALSE)
               +Andel_beroende_av_klimat*VLOOKUP($A334,Leveranser_per_nät,'Leveranser per nät'!N$1,FALSE)/VLOOKUP($B334,Korrigeringsfaktor_GD,'Korrigeringsfaktor GD'!N$1,FALSE),
"")</f>
        <v>7.9755555555555562</v>
      </c>
      <c r="O334" s="18">
        <f>IFERROR(
                  Andel_oberoende_av_klimat*VLOOKUP($A334,Leveranser_per_nät,'Leveranser per nät'!O$1,FALSE)
               +Andel_beroende_av_klimat*VLOOKUP($A334,Leveranser_per_nät,'Leveranser per nät'!O$1,FALSE)/VLOOKUP($B334,Korrigeringsfaktor_GD,'Korrigeringsfaktor GD'!O$1,FALSE),
"")</f>
        <v>8.0402247191011238</v>
      </c>
      <c r="P334" s="18">
        <f>IFERROR(
                  Andel_oberoende_av_klimat*VLOOKUP($A334,Leveranser_per_nät,'Leveranser per nät'!P$1,FALSE)
               +Andel_beroende_av_klimat*VLOOKUP($A334,Leveranser_per_nät,'Leveranser per nät'!P$1,FALSE)/VLOOKUP($B334,Korrigeringsfaktor_GD,'Korrigeringsfaktor GD'!P$1,FALSE),
"")</f>
        <v>8.0128571428571433</v>
      </c>
      <c r="Q334" s="18">
        <f>IFERROR(
                  Andel_oberoende_av_klimat*VLOOKUP($A334,Leveranser_per_nät,'Leveranser per nät'!Q$1,FALSE)
               +Andel_beroende_av_klimat*VLOOKUP($A334,Leveranser_per_nät,'Leveranser per nät'!Q$1,FALSE)/VLOOKUP($B334,Korrigeringsfaktor_GD,'Korrigeringsfaktor GD'!Q$1,FALSE),
"")</f>
        <v>7.0564406779661031</v>
      </c>
      <c r="R334" s="18">
        <f>IFERROR(
                  Andel_oberoende_av_klimat*VLOOKUP($A334,Leveranser_per_nät,'Leveranser per nät'!R$1,FALSE)
               +Andel_beroende_av_klimat*VLOOKUP($A334,Leveranser_per_nät,'Leveranser per nät'!R$1,FALSE)/VLOOKUP($B334,Korrigeringsfaktor_GD,'Korrigeringsfaktor GD'!R$1,FALSE),
"")</f>
        <v>9.6230769230769226</v>
      </c>
      <c r="S334" s="18">
        <f>IFERROR(
                  Andel_oberoende_av_klimat*VLOOKUP($A334,Leveranser_per_nät,'Leveranser per nät'!S$1,FALSE)
               +Andel_beroende_av_klimat*VLOOKUP($A334,Leveranser_per_nät,'Leveranser per nät'!S$1,FALSE)/VLOOKUP($B334,Korrigeringsfaktor_GD,'Korrigeringsfaktor GD'!S$1,FALSE),
"")</f>
        <v>8.48</v>
      </c>
      <c r="T334" s="18">
        <f>IFERROR(
                  Andel_oberoende_av_klimat*VLOOKUP($A334,Leveranser_per_nät,'Leveranser per nät'!T$1,FALSE)
               +Andel_beroende_av_klimat*VLOOKUP($A334,Leveranser_per_nät,'Leveranser per nät'!T$1,FALSE)/VLOOKUP($B334,Korrigeringsfaktor_GD,'Korrigeringsfaktor GD'!T$1,FALSE),
"")</f>
        <v>8.6973020618556696</v>
      </c>
      <c r="U334" s="18">
        <f>IFERROR(
                  Andel_oberoende_av_klimat*VLOOKUP($A334,Leveranser_per_nät,'Leveranser per nät'!U$1,FALSE)
               +Andel_beroende_av_klimat*VLOOKUP($A334,Leveranser_per_nät,'Leveranser per nät'!U$1,FALSE)/VLOOKUP($B334,Korrigeringsfaktor_GD,'Korrigeringsfaktor GD'!U$1,FALSE),
"")</f>
        <v>8.8414488372093025</v>
      </c>
      <c r="V334" s="18">
        <f>IFERROR(
                  Andel_oberoende_av_klimat*VLOOKUP($A334,Leveranser_per_nät,'Leveranser per nät'!V$1,FALSE)
               +Andel_beroende_av_klimat*VLOOKUP($A334,Leveranser_per_nät,'Leveranser per nät'!V$1,FALSE)/VLOOKUP($B334,Korrigeringsfaktor_GD,'Korrigeringsfaktor GD'!V$1,FALSE),
"")</f>
        <v>9.3889153846153839</v>
      </c>
      <c r="W334" s="18">
        <f>IFERROR(
                  Andel_oberoende_av_klimat*VLOOKUP($A334,Leveranser_per_nät,'Leveranser per nät'!W$1,FALSE)
               +Andel_beroende_av_klimat*VLOOKUP($A334,Leveranser_per_nät,'Leveranser per nät'!W$1,FALSE)/VLOOKUP($B334,Korrigeringsfaktor_GD,'Korrigeringsfaktor GD'!W$1,FALSE),
"")</f>
        <v>9.7898560639175258</v>
      </c>
      <c r="X334" s="18">
        <f>IFERROR(
                  Andel_oberoende_av_klimat*VLOOKUP($A334,Leveranser_per_nät,'Leveranser per nät'!X$1,FALSE)
               +Andel_beroende_av_klimat*VLOOKUP($A334,Leveranser_per_nät,'Leveranser per nät'!X$1,FALSE)/VLOOKUP($B334,Korrigeringsfaktor_GD,'Korrigeringsfaktor GD'!X$1,FALSE),
"")</f>
        <v>10.155001566666666</v>
      </c>
      <c r="Y334" s="18">
        <f>IFERROR(
                  Andel_oberoende_av_klimat*VLOOKUP($A334,Leveranser_per_nät,'Leveranser per nät'!Y$1,FALSE)
               +Andel_beroende_av_klimat*VLOOKUP($A334,Leveranser_per_nät,'Leveranser per nät'!Y$1,FALSE)/VLOOKUP($B334,Korrigeringsfaktor_GD,'Korrigeringsfaktor GD'!Y$1,FALSE),
"")</f>
        <v>10.047754166666667</v>
      </c>
      <c r="Z334" s="18">
        <f>IFERROR(
                  Andel_oberoende_av_klimat*VLOOKUP($A334,Leveranser_per_nät,'Leveranser per nät'!Z$1,FALSE)
               +Andel_beroende_av_klimat*VLOOKUP($A334,Leveranser_per_nät,'Leveranser per nät'!Z$1,FALSE)/VLOOKUP($B334,Korrigeringsfaktor_GD,'Korrigeringsfaktor GD'!Z$1,FALSE),
"")</f>
        <v>10.195115384615384</v>
      </c>
      <c r="AA334" s="18">
        <f>IFERROR(
                  Andel_oberoende_av_klimat*VLOOKUP($A334,Leveranser_per_nät,'Leveranser per nät'!AA$1,FALSE)
               +Andel_beroende_av_klimat*VLOOKUP($A334,Leveranser_per_nät,'Leveranser per nät'!AA$1,FALSE)/VLOOKUP($B334,Korrigeringsfaktor_GD,'Korrigeringsfaktor GD'!AA$1,FALSE),
"")</f>
        <v>10.839541991621012</v>
      </c>
      <c r="AB334" s="18">
        <f>IFERROR(
                  Andel_oberoende_av_klimat*VLOOKUP($A334,Leveranser_per_nät,'Leveranser per nät'!AB$1,FALSE)
               +Andel_beroende_av_klimat*VLOOKUP($A334,Leveranser_per_nät,'Leveranser per nät'!AB$1,FALSE)/VLOOKUP($B334,Korrigeringsfaktor_GD,'Korrigeringsfaktor GD'!AB$1,FALSE),
"")</f>
        <v>10.184869461311171</v>
      </c>
      <c r="AC334" s="18">
        <f>IFERROR(
                  Andel_oberoende_av_klimat*VLOOKUP($A334,Leveranser_per_nät,'Leveranser per nät'!AC$1,FALSE)
               +Andel_beroende_av_klimat*VLOOKUP($A334,Leveranser_per_nät,'Leveranser per nät'!AC$1,FALSE)/VLOOKUP($B334,Korrigeringsfaktor_GD,'Korrigeringsfaktor GD'!AC$1,FALSE),
"")</f>
        <v>9.7713272930693087</v>
      </c>
      <c r="AD334">
        <v>366.39353699999998</v>
      </c>
    </row>
    <row r="335" spans="1:30" x14ac:dyDescent="0.25">
      <c r="A335" t="s">
        <v>183</v>
      </c>
      <c r="B335" t="s">
        <v>183</v>
      </c>
      <c r="C335" s="18">
        <f>IFERROR(
                  Andel_oberoende_av_klimat*VLOOKUP($A335,Leveranser_per_nät,'Leveranser per nät'!C$1,FALSE)
               +Andel_beroende_av_klimat*VLOOKUP($A335,Leveranser_per_nät,'Leveranser per nät'!C$1,FALSE)/VLOOKUP("Ystad",Korrigeringsfaktor_GD,'Korrigeringsfaktor GD'!C$1,FALSE),
"")</f>
        <v>0</v>
      </c>
      <c r="D335" s="18">
        <f>IFERROR(
                  Andel_oberoende_av_klimat*VLOOKUP($A335,Leveranser_per_nät,'Leveranser per nät'!D$1,FALSE)
               +Andel_beroende_av_klimat*VLOOKUP($A335,Leveranser_per_nät,'Leveranser per nät'!D$1,FALSE)/VLOOKUP("Ystad",Korrigeringsfaktor_GD,'Korrigeringsfaktor GD'!D$1,FALSE),
"")</f>
        <v>0</v>
      </c>
      <c r="E335" s="18">
        <f>IFERROR(
                  Andel_oberoende_av_klimat*VLOOKUP($A335,Leveranser_per_nät,'Leveranser per nät'!E$1,FALSE)
               +Andel_beroende_av_klimat*VLOOKUP($A335,Leveranser_per_nät,'Leveranser per nät'!E$1,FALSE)/VLOOKUP("Ystad",Korrigeringsfaktor_GD,'Korrigeringsfaktor GD'!E$1,FALSE),
"")</f>
        <v>0</v>
      </c>
      <c r="F335" s="18">
        <f>IFERROR(
                  Andel_oberoende_av_klimat*VLOOKUP($A335,Leveranser_per_nät,'Leveranser per nät'!F$1,FALSE)
               +Andel_beroende_av_klimat*VLOOKUP($A335,Leveranser_per_nät,'Leveranser per nät'!F$1,FALSE)/VLOOKUP("Ystad",Korrigeringsfaktor_GD,'Korrigeringsfaktor GD'!F$1,FALSE),
"")</f>
        <v>0</v>
      </c>
      <c r="G335" s="18">
        <f>IFERROR(
                  Andel_oberoende_av_klimat*VLOOKUP($A335,Leveranser_per_nät,'Leveranser per nät'!G$1,FALSE)
               +Andel_beroende_av_klimat*VLOOKUP($A335,Leveranser_per_nät,'Leveranser per nät'!G$1,FALSE)/VLOOKUP("Ystad",Korrigeringsfaktor_GD,'Korrigeringsfaktor GD'!G$1,FALSE),
"")</f>
        <v>0</v>
      </c>
      <c r="H335" s="18">
        <f>IFERROR(
                  Andel_oberoende_av_klimat*VLOOKUP($A335,Leveranser_per_nät,'Leveranser per nät'!H$1,FALSE)
               +Andel_beroende_av_klimat*VLOOKUP($A335,Leveranser_per_nät,'Leveranser per nät'!H$1,FALSE)/VLOOKUP("Ystad",Korrigeringsfaktor_GD,'Korrigeringsfaktor GD'!H$1,FALSE),
"")</f>
        <v>0</v>
      </c>
      <c r="I335" s="18">
        <f>IFERROR(
                  Andel_oberoende_av_klimat*VLOOKUP($A335,Leveranser_per_nät,'Leveranser per nät'!I$1,FALSE)
               +Andel_beroende_av_klimat*VLOOKUP($A335,Leveranser_per_nät,'Leveranser per nät'!I$1,FALSE)/VLOOKUP("Ystad",Korrigeringsfaktor_GD,'Korrigeringsfaktor GD'!I$1,FALSE),
"")</f>
        <v>0</v>
      </c>
      <c r="J335" s="18">
        <f>IFERROR(
                  Andel_oberoende_av_klimat*VLOOKUP($A335,Leveranser_per_nät,'Leveranser per nät'!J$1,FALSE)
               +Andel_beroende_av_klimat*VLOOKUP($A335,Leveranser_per_nät,'Leveranser per nät'!J$1,FALSE)/VLOOKUP("Ystad",Korrigeringsfaktor_GD,'Korrigeringsfaktor GD'!J$1,FALSE),
"")</f>
        <v>0</v>
      </c>
      <c r="K335" s="18">
        <f>IFERROR(
                  Andel_oberoende_av_klimat*VLOOKUP($A335,Leveranser_per_nät,'Leveranser per nät'!K$1,FALSE)
               +Andel_beroende_av_klimat*VLOOKUP($A335,Leveranser_per_nät,'Leveranser per nät'!K$1,FALSE)/VLOOKUP("Ystad",Korrigeringsfaktor_GD,'Korrigeringsfaktor GD'!K$1,FALSE),
"")</f>
        <v>0</v>
      </c>
      <c r="L335" s="18">
        <f>IFERROR(
                  Andel_oberoende_av_klimat*VLOOKUP($A335,Leveranser_per_nät,'Leveranser per nät'!L$1,FALSE)
               +Andel_beroende_av_klimat*VLOOKUP($A335,Leveranser_per_nät,'Leveranser per nät'!L$1,FALSE)/VLOOKUP("Ystad",Korrigeringsfaktor_GD,'Korrigeringsfaktor GD'!L$1,FALSE),
"")</f>
        <v>0</v>
      </c>
      <c r="M335" s="18">
        <f>IFERROR(
                  Andel_oberoende_av_klimat*VLOOKUP($A335,Leveranser_per_nät,'Leveranser per nät'!M$1,FALSE)
               +Andel_beroende_av_klimat*VLOOKUP($A335,Leveranser_per_nät,'Leveranser per nät'!M$1,FALSE)/VLOOKUP("Ystad",Korrigeringsfaktor_GD,'Korrigeringsfaktor GD'!M$1,FALSE),
"")</f>
        <v>18.262065957446811</v>
      </c>
      <c r="N335" s="18">
        <f>IFERROR(
                  Andel_oberoende_av_klimat*VLOOKUP($A335,Leveranser_per_nät,'Leveranser per nät'!N$1,FALSE)
               +Andel_beroende_av_klimat*VLOOKUP($A335,Leveranser_per_nät,'Leveranser per nät'!N$1,FALSE)/VLOOKUP("Ystad",Korrigeringsfaktor_GD,'Korrigeringsfaktor GD'!N$1,FALSE),
"")</f>
        <v>18.993401123595508</v>
      </c>
      <c r="O335" s="18">
        <f>IFERROR(
                  Andel_oberoende_av_klimat*VLOOKUP($A335,Leveranser_per_nät,'Leveranser per nät'!O$1,FALSE)
               +Andel_beroende_av_klimat*VLOOKUP($A335,Leveranser_per_nät,'Leveranser per nät'!O$1,FALSE)/VLOOKUP("Ystad",Korrigeringsfaktor_GD,'Korrigeringsfaktor GD'!O$1,FALSE),
"")</f>
        <v>22.876069101123594</v>
      </c>
      <c r="P335" s="18">
        <f>IFERROR(
                  Andel_oberoende_av_klimat*VLOOKUP($A335,Leveranser_per_nät,'Leveranser per nät'!P$1,FALSE)
               +Andel_beroende_av_klimat*VLOOKUP($A335,Leveranser_per_nät,'Leveranser per nät'!P$1,FALSE)/VLOOKUP("Ystad",Korrigeringsfaktor_GD,'Korrigeringsfaktor GD'!P$1,FALSE),
"")</f>
        <v>25.161183505154639</v>
      </c>
      <c r="Q335" s="18">
        <f>IFERROR(
                  Andel_oberoende_av_klimat*VLOOKUP($A335,Leveranser_per_nät,'Leveranser per nät'!Q$1,FALSE)
               +Andel_beroende_av_klimat*VLOOKUP($A335,Leveranser_per_nät,'Leveranser per nät'!Q$1,FALSE)/VLOOKUP("Ystad",Korrigeringsfaktor_GD,'Korrigeringsfaktor GD'!Q$1,FALSE),
"")</f>
        <v>25.806956521739131</v>
      </c>
      <c r="R335" s="18">
        <f>IFERROR(
                  Andel_oberoende_av_klimat*VLOOKUP($A335,Leveranser_per_nät,'Leveranser per nät'!R$1,FALSE)
               +Andel_beroende_av_klimat*VLOOKUP($A335,Leveranser_per_nät,'Leveranser per nät'!R$1,FALSE)/VLOOKUP("Ystad",Korrigeringsfaktor_GD,'Korrigeringsfaktor GD'!R$1,FALSE),
"")</f>
        <v>26.784572340425534</v>
      </c>
      <c r="S335" s="18">
        <f>IFERROR(
                  Andel_oberoende_av_klimat*VLOOKUP($A335,Leveranser_per_nät,'Leveranser per nät'!S$1,FALSE)
               +Andel_beroende_av_klimat*VLOOKUP($A335,Leveranser_per_nät,'Leveranser per nät'!S$1,FALSE)/VLOOKUP("Ystad",Korrigeringsfaktor_GD,'Korrigeringsfaktor GD'!S$1,FALSE),
"")</f>
        <v>26.812871287128711</v>
      </c>
      <c r="T335" s="18">
        <f>IFERROR(
                  Andel_oberoende_av_klimat*VLOOKUP($A335,Leveranser_per_nät,'Leveranser per nät'!T$1,FALSE)
               +Andel_beroende_av_klimat*VLOOKUP($A335,Leveranser_per_nät,'Leveranser per nät'!T$1,FALSE)/VLOOKUP("Ystad",Korrigeringsfaktor_GD,'Korrigeringsfaktor GD'!T$1,FALSE),
"")</f>
        <v>26.773981818181817</v>
      </c>
      <c r="U335" s="18">
        <f>IFERROR(
                  Andel_oberoende_av_klimat*VLOOKUP($A335,Leveranser_per_nät,'Leveranser per nät'!U$1,FALSE)
               +Andel_beroende_av_klimat*VLOOKUP($A335,Leveranser_per_nät,'Leveranser per nät'!U$1,FALSE)/VLOOKUP("Ystad",Korrigeringsfaktor_GD,'Korrigeringsfaktor GD'!U$1,FALSE),
"")</f>
        <v>28.226461445783134</v>
      </c>
      <c r="V335" s="18">
        <f>IFERROR(
                  Andel_oberoende_av_klimat*VLOOKUP($A335,Leveranser_per_nät,'Leveranser per nät'!V$1,FALSE)
               +Andel_beroende_av_klimat*VLOOKUP($A335,Leveranser_per_nät,'Leveranser per nät'!V$1,FALSE)/VLOOKUP("Ystad",Korrigeringsfaktor_GD,'Korrigeringsfaktor GD'!V$1,FALSE),
"")</f>
        <v>29.775535632183907</v>
      </c>
      <c r="W335" s="18">
        <f>IFERROR(
                  Andel_oberoende_av_klimat*VLOOKUP($A335,Leveranser_per_nät,'Leveranser per nät'!W$1,FALSE)
               +Andel_beroende_av_klimat*VLOOKUP($A335,Leveranser_per_nät,'Leveranser per nät'!W$1,FALSE)/VLOOKUP("Ystad",Korrigeringsfaktor_GD,'Korrigeringsfaktor GD'!W$1,FALSE),
"")</f>
        <v>30.19071111111111</v>
      </c>
      <c r="X335" s="18">
        <f>IFERROR(
                  Andel_oberoende_av_klimat*VLOOKUP($A335,Leveranser_per_nät,'Leveranser per nät'!X$1,FALSE)
               +Andel_beroende_av_klimat*VLOOKUP($A335,Leveranser_per_nät,'Leveranser per nät'!X$1,FALSE)/VLOOKUP("Ystad",Korrigeringsfaktor_GD,'Korrigeringsfaktor GD'!X$1,FALSE),
"")</f>
        <v>31.854344086021506</v>
      </c>
      <c r="Y335" s="18">
        <f>IFERROR(
                  Andel_oberoende_av_klimat*VLOOKUP($A335,Leveranser_per_nät,'Leveranser per nät'!Y$1,FALSE)
               +Andel_beroende_av_klimat*VLOOKUP($A335,Leveranser_per_nät,'Leveranser per nät'!Y$1,FALSE)/VLOOKUP($B335,Korrigeringsfaktor_GD,'Korrigeringsfaktor GD'!Y$1,FALSE),
"")</f>
        <v>30.672727272727272</v>
      </c>
      <c r="Z335" s="18">
        <f>IFERROR(
                  Andel_oberoende_av_klimat*VLOOKUP($A335,Leveranser_per_nät,'Leveranser per nät'!Z$1,FALSE)
               +Andel_beroende_av_klimat*VLOOKUP($A335,Leveranser_per_nät,'Leveranser per nät'!Z$1,FALSE)/VLOOKUP($B335,Korrigeringsfaktor_GD,'Korrigeringsfaktor GD'!Z$1,FALSE),
"")</f>
        <v>27.271474747474741</v>
      </c>
      <c r="AA335" s="18">
        <f>IFERROR(
                  Andel_oberoende_av_klimat*VLOOKUP($A335,Leveranser_per_nät,'Leveranser per nät'!AA$1,FALSE)
               +Andel_beroende_av_klimat*VLOOKUP($A335,Leveranser_per_nät,'Leveranser per nät'!AA$1,FALSE)/VLOOKUP($B335,Korrigeringsfaktor_GD,'Korrigeringsfaktor GD'!AA$1,FALSE),
"")</f>
        <v>28.058042392444911</v>
      </c>
      <c r="AB335" s="18">
        <f>IFERROR(
                  Andel_oberoende_av_klimat*VLOOKUP($A335,Leveranser_per_nät,'Leveranser per nät'!AB$1,FALSE)
               +Andel_beroende_av_klimat*VLOOKUP($A335,Leveranser_per_nät,'Leveranser per nät'!AB$1,FALSE)/VLOOKUP($B335,Korrigeringsfaktor_GD,'Korrigeringsfaktor GD'!AB$1,FALSE),
"")</f>
        <v>28.741127895266871</v>
      </c>
      <c r="AC335" s="18">
        <f>IFERROR(
                  Andel_oberoende_av_klimat*VLOOKUP($A335,Leveranser_per_nät,'Leveranser per nät'!AC$1,FALSE)
               +Andel_beroende_av_klimat*VLOOKUP($A335,Leveranser_per_nät,'Leveranser per nät'!AC$1,FALSE)/VLOOKUP($B335,Korrigeringsfaktor_GD,'Korrigeringsfaktor GD'!AC$1,FALSE),
"")</f>
        <v>32.182918566775243</v>
      </c>
      <c r="AD335">
        <v>30.36</v>
      </c>
    </row>
    <row r="336" spans="1:30" x14ac:dyDescent="0.25">
      <c r="A336" t="s">
        <v>15</v>
      </c>
      <c r="B336" t="s">
        <v>15</v>
      </c>
      <c r="C336" s="18">
        <f>IFERROR(
                  Andel_oberoende_av_klimat*VLOOKUP($A336,Leveranser_per_nät,'Leveranser per nät'!C$1,FALSE)
               +Andel_beroende_av_klimat*VLOOKUP($A336,Leveranser_per_nät,'Leveranser per nät'!C$1,FALSE)/VLOOKUP($B336,Korrigeringsfaktor_GD,'Korrigeringsfaktor GD'!C$1,FALSE),
"")</f>
        <v>21.536363636363635</v>
      </c>
      <c r="D336" s="18">
        <f>IFERROR(
                  Andel_oberoende_av_klimat*VLOOKUP($A336,Leveranser_per_nät,'Leveranser per nät'!D$1,FALSE)
               +Andel_beroende_av_klimat*VLOOKUP($A336,Leveranser_per_nät,'Leveranser per nät'!D$1,FALSE)/VLOOKUP($B336,Korrigeringsfaktor_GD,'Korrigeringsfaktor GD'!D$1,FALSE),
"")</f>
        <v>22.024166666666666</v>
      </c>
      <c r="E336" s="18">
        <f>IFERROR(
                  Andel_oberoende_av_klimat*VLOOKUP($A336,Leveranser_per_nät,'Leveranser per nät'!E$1,FALSE)
               +Andel_beroende_av_klimat*VLOOKUP($A336,Leveranser_per_nät,'Leveranser per nät'!E$1,FALSE)/VLOOKUP($B336,Korrigeringsfaktor_GD,'Korrigeringsfaktor GD'!E$1,FALSE),
"")</f>
        <v>22.684313725490195</v>
      </c>
      <c r="F336" s="18">
        <f>IFERROR(
                  Andel_oberoende_av_klimat*VLOOKUP($A336,Leveranser_per_nät,'Leveranser per nät'!F$1,FALSE)
               +Andel_beroende_av_klimat*VLOOKUP($A336,Leveranser_per_nät,'Leveranser per nät'!F$1,FALSE)/VLOOKUP($B336,Korrigeringsfaktor_GD,'Korrigeringsfaktor GD'!F$1,FALSE),
"")</f>
        <v>21.612500000000001</v>
      </c>
      <c r="G336" s="18">
        <f>IFERROR(
                  Andel_oberoende_av_klimat*VLOOKUP($A336,Leveranser_per_nät,'Leveranser per nät'!G$1,FALSE)
               +Andel_beroende_av_klimat*VLOOKUP($A336,Leveranser_per_nät,'Leveranser per nät'!G$1,FALSE)/VLOOKUP($B336,Korrigeringsfaktor_GD,'Korrigeringsfaktor GD'!G$1,FALSE),
"")</f>
        <v>22.633333333333333</v>
      </c>
      <c r="H336" s="18">
        <f>IFERROR(
                  Andel_oberoende_av_klimat*VLOOKUP($A336,Leveranser_per_nät,'Leveranser per nät'!H$1,FALSE)
               +Andel_beroende_av_klimat*VLOOKUP($A336,Leveranser_per_nät,'Leveranser per nät'!H$1,FALSE)/VLOOKUP($B336,Korrigeringsfaktor_GD,'Korrigeringsfaktor GD'!H$1,FALSE),
"")</f>
        <v>21.148484848484848</v>
      </c>
      <c r="I336" s="18">
        <f>IFERROR(
                  Andel_oberoende_av_klimat*VLOOKUP($A336,Leveranser_per_nät,'Leveranser per nät'!I$1,FALSE)
               +Andel_beroende_av_klimat*VLOOKUP($A336,Leveranser_per_nät,'Leveranser per nät'!I$1,FALSE)/VLOOKUP($B336,Korrigeringsfaktor_GD,'Korrigeringsfaktor GD'!I$1,FALSE),
"")</f>
        <v>24.605406185567009</v>
      </c>
      <c r="J336" s="18">
        <f>IFERROR(
                  Andel_oberoende_av_klimat*VLOOKUP($A336,Leveranser_per_nät,'Leveranser per nät'!J$1,FALSE)
               +Andel_beroende_av_klimat*VLOOKUP($A336,Leveranser_per_nät,'Leveranser per nät'!J$1,FALSE)/VLOOKUP($B336,Korrigeringsfaktor_GD,'Korrigeringsfaktor GD'!J$1,FALSE),
"")</f>
        <v>26.327814285714286</v>
      </c>
      <c r="K336" s="18">
        <f>IFERROR(
                  Andel_oberoende_av_klimat*VLOOKUP($A336,Leveranser_per_nät,'Leveranser per nät'!K$1,FALSE)
               +Andel_beroende_av_klimat*VLOOKUP($A336,Leveranser_per_nät,'Leveranser per nät'!K$1,FALSE)/VLOOKUP($B336,Korrigeringsfaktor_GD,'Korrigeringsfaktor GD'!K$1,FALSE),
"")</f>
        <v>26.671150000000001</v>
      </c>
      <c r="L336" s="18">
        <f>IFERROR(
                  Andel_oberoende_av_klimat*VLOOKUP($A336,Leveranser_per_nät,'Leveranser per nät'!L$1,FALSE)
               +Andel_beroende_av_klimat*VLOOKUP($A336,Leveranser_per_nät,'Leveranser per nät'!L$1,FALSE)/VLOOKUP($B336,Korrigeringsfaktor_GD,'Korrigeringsfaktor GD'!L$1,FALSE),
"")</f>
        <v>26.360673684210525</v>
      </c>
      <c r="M336" s="18">
        <f>IFERROR(
                  Andel_oberoende_av_klimat*VLOOKUP($A336,Leveranser_per_nät,'Leveranser per nät'!M$1,FALSE)
               +Andel_beroende_av_klimat*VLOOKUP($A336,Leveranser_per_nät,'Leveranser per nät'!M$1,FALSE)/VLOOKUP($B336,Korrigeringsfaktor_GD,'Korrigeringsfaktor GD'!M$1,FALSE),
"")</f>
        <v>26.971547826086955</v>
      </c>
      <c r="N336" s="18">
        <f>IFERROR(
                  Andel_oberoende_av_klimat*VLOOKUP($A336,Leveranser_per_nät,'Leveranser per nät'!N$1,FALSE)
               +Andel_beroende_av_klimat*VLOOKUP($A336,Leveranser_per_nät,'Leveranser per nät'!N$1,FALSE)/VLOOKUP($B336,Korrigeringsfaktor_GD,'Korrigeringsfaktor GD'!N$1,FALSE),
"")</f>
        <v>26.763544086021504</v>
      </c>
      <c r="O336" s="18">
        <f>IFERROR(
                  Andel_oberoende_av_klimat*VLOOKUP($A336,Leveranser_per_nät,'Leveranser per nät'!O$1,FALSE)
               +Andel_beroende_av_klimat*VLOOKUP($A336,Leveranser_per_nät,'Leveranser per nät'!O$1,FALSE)/VLOOKUP($B336,Korrigeringsfaktor_GD,'Korrigeringsfaktor GD'!O$1,FALSE),
"")</f>
        <v>20.97571111111111</v>
      </c>
      <c r="P336" s="18">
        <f>IFERROR(
                  Andel_oberoende_av_klimat*VLOOKUP($A336,Leveranser_per_nät,'Leveranser per nät'!P$1,FALSE)
               +Andel_beroende_av_klimat*VLOOKUP($A336,Leveranser_per_nät,'Leveranser per nät'!P$1,FALSE)/VLOOKUP($B336,Korrigeringsfaktor_GD,'Korrigeringsfaktor GD'!P$1,FALSE),
"")</f>
        <v>13.692857142857143</v>
      </c>
      <c r="Q336" s="18">
        <f>IFERROR(
                  Andel_oberoende_av_klimat*VLOOKUP($A336,Leveranser_per_nät,'Leveranser per nät'!Q$1,FALSE)
               +Andel_beroende_av_klimat*VLOOKUP($A336,Leveranser_per_nät,'Leveranser per nät'!Q$1,FALSE)/VLOOKUP($B336,Korrigeringsfaktor_GD,'Korrigeringsfaktor GD'!Q$1,FALSE),
"")</f>
        <v>27.23824561403509</v>
      </c>
      <c r="R336" s="18">
        <f>IFERROR(
                  Andel_oberoende_av_klimat*VLOOKUP($A336,Leveranser_per_nät,'Leveranser per nät'!R$1,FALSE)
               +Andel_beroende_av_klimat*VLOOKUP($A336,Leveranser_per_nät,'Leveranser per nät'!R$1,FALSE)/VLOOKUP($B336,Korrigeringsfaktor_GD,'Korrigeringsfaktor GD'!R$1,FALSE),
"")</f>
        <v>25.768461538461541</v>
      </c>
      <c r="S336" s="18">
        <f>IFERROR(
                  Andel_oberoende_av_klimat*VLOOKUP($A336,Leveranser_per_nät,'Leveranser per nät'!S$1,FALSE)
               +Andel_beroende_av_klimat*VLOOKUP($A336,Leveranser_per_nät,'Leveranser per nät'!S$1,FALSE)/VLOOKUP($B336,Korrigeringsfaktor_GD,'Korrigeringsfaktor GD'!S$1,FALSE),
"")</f>
        <v>25</v>
      </c>
      <c r="T336" s="18">
        <f>IFERROR(
                  Andel_oberoende_av_klimat*VLOOKUP($A336,Leveranser_per_nät,'Leveranser per nät'!T$1,FALSE)
               +Andel_beroende_av_klimat*VLOOKUP($A336,Leveranser_per_nät,'Leveranser per nät'!T$1,FALSE)/VLOOKUP($B336,Korrigeringsfaktor_GD,'Korrigeringsfaktor GD'!T$1,FALSE),
"")</f>
        <v>26.140833333333333</v>
      </c>
      <c r="U336" s="18">
        <f>IFERROR(
                  Andel_oberoende_av_klimat*VLOOKUP($A336,Leveranser_per_nät,'Leveranser per nät'!U$1,FALSE)
               +Andel_beroende_av_klimat*VLOOKUP($A336,Leveranser_per_nät,'Leveranser per nät'!U$1,FALSE)/VLOOKUP($B336,Korrigeringsfaktor_GD,'Korrigeringsfaktor GD'!U$1,FALSE),
"")</f>
        <v>25.803077777777776</v>
      </c>
      <c r="V336" s="18">
        <f>IFERROR(
                  Andel_oberoende_av_klimat*VLOOKUP($A336,Leveranser_per_nät,'Leveranser per nät'!V$1,FALSE)
               +Andel_beroende_av_klimat*VLOOKUP($A336,Leveranser_per_nät,'Leveranser per nät'!V$1,FALSE)/VLOOKUP($B336,Korrigeringsfaktor_GD,'Korrigeringsfaktor GD'!V$1,FALSE),
"")</f>
        <v>26.996684269662921</v>
      </c>
      <c r="W336" s="18">
        <f>IFERROR(
                  Andel_oberoende_av_klimat*VLOOKUP($A336,Leveranser_per_nät,'Leveranser per nät'!W$1,FALSE)
               +Andel_beroende_av_klimat*VLOOKUP($A336,Leveranser_per_nät,'Leveranser per nät'!W$1,FALSE)/VLOOKUP($B336,Korrigeringsfaktor_GD,'Korrigeringsfaktor GD'!W$1,FALSE),
"")</f>
        <v>27.948870967741939</v>
      </c>
      <c r="X336" s="18">
        <f>IFERROR(
                  Andel_oberoende_av_klimat*VLOOKUP($A336,Leveranser_per_nät,'Leveranser per nät'!X$1,FALSE)
               +Andel_beroende_av_klimat*VLOOKUP($A336,Leveranser_per_nät,'Leveranser per nät'!X$1,FALSE)/VLOOKUP($B336,Korrigeringsfaktor_GD,'Korrigeringsfaktor GD'!X$1,FALSE),
"")</f>
        <v>27.159354838709678</v>
      </c>
      <c r="Y336" s="18">
        <f>IFERROR(
                  Andel_oberoende_av_klimat*VLOOKUP($A336,Leveranser_per_nät,'Leveranser per nät'!Y$1,FALSE)
               +Andel_beroende_av_klimat*VLOOKUP($A336,Leveranser_per_nät,'Leveranser per nät'!Y$1,FALSE)/VLOOKUP($B336,Korrigeringsfaktor_GD,'Korrigeringsfaktor GD'!Y$1,FALSE),
"")</f>
        <v>26.089230769230767</v>
      </c>
      <c r="Z336" s="18">
        <f>IFERROR(
                  Andel_oberoende_av_klimat*VLOOKUP($A336,Leveranser_per_nät,'Leveranser per nät'!Z$1,FALSE)
               +Andel_beroende_av_klimat*VLOOKUP($A336,Leveranser_per_nät,'Leveranser per nät'!Z$1,FALSE)/VLOOKUP($B336,Korrigeringsfaktor_GD,'Korrigeringsfaktor GD'!Z$1,FALSE),
"")</f>
        <v>25.506315789473685</v>
      </c>
      <c r="AA336" s="18">
        <f>IFERROR(
                  Andel_oberoende_av_klimat*VLOOKUP($A336,Leveranser_per_nät,'Leveranser per nät'!AA$1,FALSE)
               +Andel_beroende_av_klimat*VLOOKUP($A336,Leveranser_per_nät,'Leveranser per nät'!AA$1,FALSE)/VLOOKUP($B336,Korrigeringsfaktor_GD,'Korrigeringsfaktor GD'!AA$1,FALSE),
"")</f>
        <v>24.976394167034911</v>
      </c>
      <c r="AB336" s="18">
        <f>IFERROR(
                  Andel_oberoende_av_klimat*VLOOKUP($A336,Leveranser_per_nät,'Leveranser per nät'!AB$1,FALSE)
               +Andel_beroende_av_klimat*VLOOKUP($A336,Leveranser_per_nät,'Leveranser per nät'!AB$1,FALSE)/VLOOKUP($B336,Korrigeringsfaktor_GD,'Korrigeringsfaktor GD'!AB$1,FALSE),
"")</f>
        <v>25.360201816347121</v>
      </c>
      <c r="AC336" s="18">
        <f>IFERROR(
                  Andel_oberoende_av_klimat*VLOOKUP($A336,Leveranser_per_nät,'Leveranser per nät'!AC$1,FALSE)
               +Andel_beroende_av_klimat*VLOOKUP($A336,Leveranser_per_nät,'Leveranser per nät'!AC$1,FALSE)/VLOOKUP($B336,Korrigeringsfaktor_GD,'Korrigeringsfaktor GD'!AC$1,FALSE),
"")</f>
        <v>24.576468449197858</v>
      </c>
      <c r="AD336" t="e">
        <v>#N/A</v>
      </c>
    </row>
    <row r="337" spans="1:30" x14ac:dyDescent="0.25">
      <c r="A337" t="s">
        <v>167</v>
      </c>
      <c r="B337" t="s">
        <v>166</v>
      </c>
      <c r="C337" s="18">
        <f>IFERROR(
                  Andel_oberoende_av_klimat*VLOOKUP($A337,Leveranser_per_nät,'Leveranser per nät'!C$1,FALSE)
               +Andel_beroende_av_klimat*VLOOKUP($A337,Leveranser_per_nät,'Leveranser per nät'!C$1,FALSE)/VLOOKUP($B337,Korrigeringsfaktor_GD,'Korrigeringsfaktor GD'!C$1,FALSE),
"")</f>
        <v>0</v>
      </c>
      <c r="D337" s="18">
        <f>IFERROR(
                  Andel_oberoende_av_klimat*VLOOKUP($A337,Leveranser_per_nät,'Leveranser per nät'!D$1,FALSE)
               +Andel_beroende_av_klimat*VLOOKUP($A337,Leveranser_per_nät,'Leveranser per nät'!D$1,FALSE)/VLOOKUP($B337,Korrigeringsfaktor_GD,'Korrigeringsfaktor GD'!D$1,FALSE),
"")</f>
        <v>0</v>
      </c>
      <c r="E337" s="18">
        <f>IFERROR(
                  Andel_oberoende_av_klimat*VLOOKUP($A337,Leveranser_per_nät,'Leveranser per nät'!E$1,FALSE)
               +Andel_beroende_av_klimat*VLOOKUP($A337,Leveranser_per_nät,'Leveranser per nät'!E$1,FALSE)/VLOOKUP($B337,Korrigeringsfaktor_GD,'Korrigeringsfaktor GD'!E$1,FALSE),
"")</f>
        <v>0.99306930693069306</v>
      </c>
      <c r="F337" s="18">
        <f>IFERROR(
                  Andel_oberoende_av_klimat*VLOOKUP($A337,Leveranser_per_nät,'Leveranser per nät'!F$1,FALSE)
               +Andel_beroende_av_klimat*VLOOKUP($A337,Leveranser_per_nät,'Leveranser per nät'!F$1,FALSE)/VLOOKUP($B337,Korrigeringsfaktor_GD,'Korrigeringsfaktor GD'!F$1,FALSE),
"")</f>
        <v>5.1842105263157903</v>
      </c>
      <c r="G337" s="18">
        <f>IFERROR(
                  Andel_oberoende_av_klimat*VLOOKUP($A337,Leveranser_per_nät,'Leveranser per nät'!G$1,FALSE)
               +Andel_beroende_av_klimat*VLOOKUP($A337,Leveranser_per_nät,'Leveranser per nät'!G$1,FALSE)/VLOOKUP($B337,Korrigeringsfaktor_GD,'Korrigeringsfaktor GD'!G$1,FALSE),
"")</f>
        <v>6.7411764705882344</v>
      </c>
      <c r="H337" s="18">
        <f>IFERROR(
                  Andel_oberoende_av_klimat*VLOOKUP($A337,Leveranser_per_nät,'Leveranser per nät'!H$1,FALSE)
               +Andel_beroende_av_klimat*VLOOKUP($A337,Leveranser_per_nät,'Leveranser per nät'!H$1,FALSE)/VLOOKUP($B337,Korrigeringsfaktor_GD,'Korrigeringsfaktor GD'!H$1,FALSE),
"")</f>
        <v>6.9514851485148519</v>
      </c>
      <c r="I337" s="18">
        <f>IFERROR(
                  Andel_oberoende_av_klimat*VLOOKUP($A337,Leveranser_per_nät,'Leveranser per nät'!I$1,FALSE)
               +Andel_beroende_av_klimat*VLOOKUP($A337,Leveranser_per_nät,'Leveranser per nät'!I$1,FALSE)/VLOOKUP($B337,Korrigeringsfaktor_GD,'Korrigeringsfaktor GD'!I$1,FALSE),
"")</f>
        <v>7.2041666666666666</v>
      </c>
      <c r="J337" s="18">
        <f>IFERROR(
                  Andel_oberoende_av_klimat*VLOOKUP($A337,Leveranser_per_nät,'Leveranser per nät'!J$1,FALSE)
               +Andel_beroende_av_klimat*VLOOKUP($A337,Leveranser_per_nät,'Leveranser per nät'!J$1,FALSE)/VLOOKUP($B337,Korrigeringsfaktor_GD,'Korrigeringsfaktor GD'!J$1,FALSE),
"")</f>
        <v>7.1515463917525777</v>
      </c>
      <c r="K337" s="18">
        <f>IFERROR(
                  Andel_oberoende_av_klimat*VLOOKUP($A337,Leveranser_per_nät,'Leveranser per nät'!K$1,FALSE)
               +Andel_beroende_av_klimat*VLOOKUP($A337,Leveranser_per_nät,'Leveranser per nät'!K$1,FALSE)/VLOOKUP($B337,Korrigeringsfaktor_GD,'Korrigeringsfaktor GD'!K$1,FALSE),
"")</f>
        <v>6.7348666666666661</v>
      </c>
      <c r="L337" s="18">
        <f>IFERROR(
                  Andel_oberoende_av_klimat*VLOOKUP($A337,Leveranser_per_nät,'Leveranser per nät'!L$1,FALSE)
               +Andel_beroende_av_klimat*VLOOKUP($A337,Leveranser_per_nät,'Leveranser per nät'!L$1,FALSE)/VLOOKUP($B337,Korrigeringsfaktor_GD,'Korrigeringsfaktor GD'!L$1,FALSE),
"")</f>
        <v>6.8887913978494613</v>
      </c>
      <c r="M337" s="18">
        <f>IFERROR(
                  Andel_oberoende_av_klimat*VLOOKUP($A337,Leveranser_per_nät,'Leveranser per nät'!M$1,FALSE)
               +Andel_beroende_av_klimat*VLOOKUP($A337,Leveranser_per_nät,'Leveranser per nät'!M$1,FALSE)/VLOOKUP($B337,Korrigeringsfaktor_GD,'Korrigeringsfaktor GD'!M$1,FALSE),
"")</f>
        <v>6.9879478260869554</v>
      </c>
      <c r="N337" s="18">
        <f>IFERROR(
                  Andel_oberoende_av_klimat*VLOOKUP($A337,Leveranser_per_nät,'Leveranser per nät'!N$1,FALSE)
               +Andel_beroende_av_klimat*VLOOKUP($A337,Leveranser_per_nät,'Leveranser per nät'!N$1,FALSE)/VLOOKUP($B337,Korrigeringsfaktor_GD,'Korrigeringsfaktor GD'!N$1,FALSE),
"")</f>
        <v>7.3253043478260871</v>
      </c>
      <c r="O337" s="18">
        <f>IFERROR(
                  Andel_oberoende_av_klimat*VLOOKUP($A337,Leveranser_per_nät,'Leveranser per nät'!O$1,FALSE)
               +Andel_beroende_av_klimat*VLOOKUP($A337,Leveranser_per_nät,'Leveranser per nät'!O$1,FALSE)/VLOOKUP($B337,Korrigeringsfaktor_GD,'Korrigeringsfaktor GD'!O$1,FALSE),
"")</f>
        <v>7.6262617977528091</v>
      </c>
      <c r="P337" s="18">
        <f>IFERROR(
                  Andel_oberoende_av_klimat*VLOOKUP($A337,Leveranser_per_nät,'Leveranser per nät'!P$1,FALSE)
               +Andel_beroende_av_klimat*VLOOKUP($A337,Leveranser_per_nät,'Leveranser per nät'!P$1,FALSE)/VLOOKUP($B337,Korrigeringsfaktor_GD,'Korrigeringsfaktor GD'!P$1,FALSE),
"")</f>
        <v>0</v>
      </c>
      <c r="Q337" s="18">
        <f>IFERROR(
                  Andel_oberoende_av_klimat*VLOOKUP($A337,Leveranser_per_nät,'Leveranser per nät'!Q$1,FALSE)
               +Andel_beroende_av_klimat*VLOOKUP($A337,Leveranser_per_nät,'Leveranser per nät'!Q$1,FALSE)/VLOOKUP($B337,Korrigeringsfaktor_GD,'Korrigeringsfaktor GD'!Q$1,FALSE),
"")</f>
        <v>0</v>
      </c>
      <c r="R337" s="18">
        <f>IFERROR(
                  Andel_oberoende_av_klimat*VLOOKUP($A337,Leveranser_per_nät,'Leveranser per nät'!R$1,FALSE)
               +Andel_beroende_av_klimat*VLOOKUP($A337,Leveranser_per_nät,'Leveranser per nät'!R$1,FALSE)/VLOOKUP($B337,Korrigeringsfaktor_GD,'Korrigeringsfaktor GD'!R$1,FALSE),
"")</f>
        <v>0</v>
      </c>
      <c r="S337" s="18" t="str">
        <f>IFERROR(
                  Andel_oberoende_av_klimat*VLOOKUP($A337,Leveranser_per_nät,'Leveranser per nät'!S$1,FALSE)
               +Andel_beroende_av_klimat*VLOOKUP($A337,Leveranser_per_nät,'Leveranser per nät'!S$1,FALSE)/VLOOKUP($B337,Korrigeringsfaktor_GD,'Korrigeringsfaktor GD'!S$1,FALSE),
"")</f>
        <v/>
      </c>
      <c r="T337" s="18" t="str">
        <f>IFERROR(
                  Andel_oberoende_av_klimat*VLOOKUP($A337,Leveranser_per_nät,'Leveranser per nät'!T$1,FALSE)
               +Andel_beroende_av_klimat*VLOOKUP($A337,Leveranser_per_nät,'Leveranser per nät'!T$1,FALSE)/VLOOKUP($B337,Korrigeringsfaktor_GD,'Korrigeringsfaktor GD'!T$1,FALSE),
"")</f>
        <v/>
      </c>
      <c r="U337" s="18" t="str">
        <f>IFERROR(
                  Andel_oberoende_av_klimat*VLOOKUP($A337,Leveranser_per_nät,'Leveranser per nät'!U$1,FALSE)
               +Andel_beroende_av_klimat*VLOOKUP($A337,Leveranser_per_nät,'Leveranser per nät'!U$1,FALSE)/VLOOKUP($B337,Korrigeringsfaktor_GD,'Korrigeringsfaktor GD'!U$1,FALSE),
"")</f>
        <v/>
      </c>
      <c r="V337" s="18" t="str">
        <f>IFERROR(
                  Andel_oberoende_av_klimat*VLOOKUP($A337,Leveranser_per_nät,'Leveranser per nät'!V$1,FALSE)
               +Andel_beroende_av_klimat*VLOOKUP($A337,Leveranser_per_nät,'Leveranser per nät'!V$1,FALSE)/VLOOKUP($B337,Korrigeringsfaktor_GD,'Korrigeringsfaktor GD'!V$1,FALSE),
"")</f>
        <v/>
      </c>
      <c r="W337" s="18" t="str">
        <f>IFERROR(
                  Andel_oberoende_av_klimat*VLOOKUP($A337,Leveranser_per_nät,'Leveranser per nät'!W$1,FALSE)
               +Andel_beroende_av_klimat*VLOOKUP($A337,Leveranser_per_nät,'Leveranser per nät'!W$1,FALSE)/VLOOKUP($B337,Korrigeringsfaktor_GD,'Korrigeringsfaktor GD'!W$1,FALSE),
"")</f>
        <v/>
      </c>
      <c r="X337" s="18" t="str">
        <f>IFERROR(
                  Andel_oberoende_av_klimat*VLOOKUP($A337,Leveranser_per_nät,'Leveranser per nät'!X$1,FALSE)
               +Andel_beroende_av_klimat*VLOOKUP($A337,Leveranser_per_nät,'Leveranser per nät'!X$1,FALSE)/VLOOKUP($B337,Korrigeringsfaktor_GD,'Korrigeringsfaktor GD'!X$1,FALSE),
"")</f>
        <v/>
      </c>
      <c r="Y337" s="18" t="str">
        <f>IFERROR(
                  Andel_oberoende_av_klimat*VLOOKUP($A337,Leveranser_per_nät,'Leveranser per nät'!Y$1,FALSE)
               +Andel_beroende_av_klimat*VLOOKUP($A337,Leveranser_per_nät,'Leveranser per nät'!Y$1,FALSE)/VLOOKUP($B337,Korrigeringsfaktor_GD,'Korrigeringsfaktor GD'!Y$1,FALSE),
"")</f>
        <v/>
      </c>
      <c r="Z337" s="18">
        <f>IFERROR(
                  Andel_oberoende_av_klimat*VLOOKUP($A337,Leveranser_per_nät,'Leveranser per nät'!Z$1,FALSE)
               +Andel_beroende_av_klimat*VLOOKUP($A337,Leveranser_per_nät,'Leveranser per nät'!Z$1,FALSE)/VLOOKUP($B337,Korrigeringsfaktor_GD,'Korrigeringsfaktor GD'!Z$1,FALSE),
"")</f>
        <v>0</v>
      </c>
      <c r="AA337" s="18" t="str">
        <f>IFERROR(
                  Andel_oberoende_av_klimat*VLOOKUP($A337,Leveranser_per_nät,'Leveranser per nät'!AA$1,FALSE)
               +Andel_beroende_av_klimat*VLOOKUP($A337,Leveranser_per_nät,'Leveranser per nät'!AA$1,FALSE)/VLOOKUP($B337,Korrigeringsfaktor_GD,'Korrigeringsfaktor GD'!AA$1,FALSE),
"")</f>
        <v/>
      </c>
      <c r="AB337" s="18">
        <f>IFERROR(
                  Andel_oberoende_av_klimat*VLOOKUP($A337,Leveranser_per_nät,'Leveranser per nät'!AB$1,FALSE)
               +Andel_beroende_av_klimat*VLOOKUP($A337,Leveranser_per_nät,'Leveranser per nät'!AB$1,FALSE)/VLOOKUP($B337,Korrigeringsfaktor_GD,'Korrigeringsfaktor GD'!AB$1,FALSE),
"")</f>
        <v>0</v>
      </c>
      <c r="AC337" s="18">
        <f>IFERROR(
                  Andel_oberoende_av_klimat*VLOOKUP($A337,Leveranser_per_nät,'Leveranser per nät'!AC$1,FALSE)
               +Andel_beroende_av_klimat*VLOOKUP($A337,Leveranser_per_nät,'Leveranser per nät'!AC$1,FALSE)/VLOOKUP($B337,Korrigeringsfaktor_GD,'Korrigeringsfaktor GD'!AC$1,FALSE),
"")</f>
        <v>0</v>
      </c>
      <c r="AD337">
        <v>564.79999999999995</v>
      </c>
    </row>
    <row r="338" spans="1:30" x14ac:dyDescent="0.25">
      <c r="A338" t="s">
        <v>481</v>
      </c>
      <c r="B338" t="s">
        <v>441</v>
      </c>
      <c r="C338" s="18">
        <f>IFERROR(
                  Andel_oberoende_av_klimat*VLOOKUP($A338,Leveranser_per_nät,'Leveranser per nät'!C$1,FALSE)
               +Andel_beroende_av_klimat*VLOOKUP($A338,Leveranser_per_nät,'Leveranser per nät'!C$1,FALSE)/VLOOKUP($B338,Korrigeringsfaktor_GD,'Korrigeringsfaktor GD'!C$1,FALSE),
"")</f>
        <v>0</v>
      </c>
      <c r="D338" s="18">
        <f>IFERROR(
                  Andel_oberoende_av_klimat*VLOOKUP($A338,Leveranser_per_nät,'Leveranser per nät'!D$1,FALSE)
               +Andel_beroende_av_klimat*VLOOKUP($A338,Leveranser_per_nät,'Leveranser per nät'!D$1,FALSE)/VLOOKUP($B338,Korrigeringsfaktor_GD,'Korrigeringsfaktor GD'!D$1,FALSE),
"")</f>
        <v>0</v>
      </c>
      <c r="E338" s="18">
        <f>IFERROR(
                  Andel_oberoende_av_klimat*VLOOKUP($A338,Leveranser_per_nät,'Leveranser per nät'!E$1,FALSE)
               +Andel_beroende_av_klimat*VLOOKUP($A338,Leveranser_per_nät,'Leveranser per nät'!E$1,FALSE)/VLOOKUP($B338,Korrigeringsfaktor_GD,'Korrigeringsfaktor GD'!E$1,FALSE),
"")</f>
        <v>0</v>
      </c>
      <c r="F338" s="18">
        <f>IFERROR(
                  Andel_oberoende_av_klimat*VLOOKUP($A338,Leveranser_per_nät,'Leveranser per nät'!F$1,FALSE)
               +Andel_beroende_av_klimat*VLOOKUP($A338,Leveranser_per_nät,'Leveranser per nät'!F$1,FALSE)/VLOOKUP($B338,Korrigeringsfaktor_GD,'Korrigeringsfaktor GD'!F$1,FALSE),
"")</f>
        <v>0</v>
      </c>
      <c r="G338" s="18">
        <f>IFERROR(
                  Andel_oberoende_av_klimat*VLOOKUP($A338,Leveranser_per_nät,'Leveranser per nät'!G$1,FALSE)
               +Andel_beroende_av_klimat*VLOOKUP($A338,Leveranser_per_nät,'Leveranser per nät'!G$1,FALSE)/VLOOKUP($B338,Korrigeringsfaktor_GD,'Korrigeringsfaktor GD'!G$1,FALSE),
"")</f>
        <v>0</v>
      </c>
      <c r="H338" s="18">
        <f>IFERROR(
                  Andel_oberoende_av_klimat*VLOOKUP($A338,Leveranser_per_nät,'Leveranser per nät'!H$1,FALSE)
               +Andel_beroende_av_klimat*VLOOKUP($A338,Leveranser_per_nät,'Leveranser per nät'!H$1,FALSE)/VLOOKUP($B338,Korrigeringsfaktor_GD,'Korrigeringsfaktor GD'!H$1,FALSE),
"")</f>
        <v>0</v>
      </c>
      <c r="I338" s="18">
        <f>IFERROR(
                  Andel_oberoende_av_klimat*VLOOKUP($A338,Leveranser_per_nät,'Leveranser per nät'!I$1,FALSE)
               +Andel_beroende_av_klimat*VLOOKUP($A338,Leveranser_per_nät,'Leveranser per nät'!I$1,FALSE)/VLOOKUP($B338,Korrigeringsfaktor_GD,'Korrigeringsfaktor GD'!I$1,FALSE),
"")</f>
        <v>0</v>
      </c>
      <c r="J338" s="18">
        <f>IFERROR(
                  Andel_oberoende_av_klimat*VLOOKUP($A338,Leveranser_per_nät,'Leveranser per nät'!J$1,FALSE)
               +Andel_beroende_av_klimat*VLOOKUP($A338,Leveranser_per_nät,'Leveranser per nät'!J$1,FALSE)/VLOOKUP($B338,Korrigeringsfaktor_GD,'Korrigeringsfaktor GD'!J$1,FALSE),
"")</f>
        <v>0</v>
      </c>
      <c r="K338" s="18">
        <f>IFERROR(
                  Andel_oberoende_av_klimat*VLOOKUP($A338,Leveranser_per_nät,'Leveranser per nät'!K$1,FALSE)
               +Andel_beroende_av_klimat*VLOOKUP($A338,Leveranser_per_nät,'Leveranser per nät'!K$1,FALSE)/VLOOKUP($B338,Korrigeringsfaktor_GD,'Korrigeringsfaktor GD'!K$1,FALSE),
"")</f>
        <v>0</v>
      </c>
      <c r="L338" s="18">
        <f>IFERROR(
                  Andel_oberoende_av_klimat*VLOOKUP($A338,Leveranser_per_nät,'Leveranser per nät'!L$1,FALSE)
               +Andel_beroende_av_klimat*VLOOKUP($A338,Leveranser_per_nät,'Leveranser per nät'!L$1,FALSE)/VLOOKUP($B338,Korrigeringsfaktor_GD,'Korrigeringsfaktor GD'!L$1,FALSE),
"")</f>
        <v>0</v>
      </c>
      <c r="M338" s="18">
        <f>IFERROR(
                  Andel_oberoende_av_klimat*VLOOKUP($A338,Leveranser_per_nät,'Leveranser per nät'!M$1,FALSE)
               +Andel_beroende_av_klimat*VLOOKUP($A338,Leveranser_per_nät,'Leveranser per nät'!M$1,FALSE)/VLOOKUP($B338,Korrigeringsfaktor_GD,'Korrigeringsfaktor GD'!M$1,FALSE),
"")</f>
        <v>0.35370322580645158</v>
      </c>
      <c r="N338" s="18">
        <f>IFERROR(
                  Andel_oberoende_av_klimat*VLOOKUP($A338,Leveranser_per_nät,'Leveranser per nät'!N$1,FALSE)
               +Andel_beroende_av_klimat*VLOOKUP($A338,Leveranser_per_nät,'Leveranser per nät'!N$1,FALSE)/VLOOKUP($B338,Korrigeringsfaktor_GD,'Korrigeringsfaktor GD'!N$1,FALSE),
"")</f>
        <v>0.31826086956521737</v>
      </c>
      <c r="O338" s="18">
        <f>IFERROR(
                  Andel_oberoende_av_klimat*VLOOKUP($A338,Leveranser_per_nät,'Leveranser per nät'!O$1,FALSE)
               +Andel_beroende_av_klimat*VLOOKUP($A338,Leveranser_per_nät,'Leveranser per nät'!O$1,FALSE)/VLOOKUP($B338,Korrigeringsfaktor_GD,'Korrigeringsfaktor GD'!O$1,FALSE),
"")</f>
        <v>0.32863636363636362</v>
      </c>
      <c r="P338" s="18">
        <f>IFERROR(
                  Andel_oberoende_av_klimat*VLOOKUP($A338,Leveranser_per_nät,'Leveranser per nät'!P$1,FALSE)
               +Andel_beroende_av_klimat*VLOOKUP($A338,Leveranser_per_nät,'Leveranser per nät'!P$1,FALSE)/VLOOKUP($B338,Korrigeringsfaktor_GD,'Korrigeringsfaktor GD'!P$1,FALSE),
"")</f>
        <v>0</v>
      </c>
      <c r="Q338" s="18">
        <f>IFERROR(
                  Andel_oberoende_av_klimat*VLOOKUP($A338,Leveranser_per_nät,'Leveranser per nät'!Q$1,FALSE)
               +Andel_beroende_av_klimat*VLOOKUP($A338,Leveranser_per_nät,'Leveranser per nät'!Q$1,FALSE)/VLOOKUP($B338,Korrigeringsfaktor_GD,'Korrigeringsfaktor GD'!Q$1,FALSE),
"")</f>
        <v>0</v>
      </c>
      <c r="R338" s="18">
        <f>IFERROR(
                  Andel_oberoende_av_klimat*VLOOKUP($A338,Leveranser_per_nät,'Leveranser per nät'!R$1,FALSE)
               +Andel_beroende_av_klimat*VLOOKUP($A338,Leveranser_per_nät,'Leveranser per nät'!R$1,FALSE)/VLOOKUP($B338,Korrigeringsfaktor_GD,'Korrigeringsfaktor GD'!R$1,FALSE),
"")</f>
        <v>0</v>
      </c>
      <c r="S338" s="18" t="str">
        <f>IFERROR(
                  Andel_oberoende_av_klimat*VLOOKUP($A338,Leveranser_per_nät,'Leveranser per nät'!S$1,FALSE)
               +Andel_beroende_av_klimat*VLOOKUP($A338,Leveranser_per_nät,'Leveranser per nät'!S$1,FALSE)/VLOOKUP($B338,Korrigeringsfaktor_GD,'Korrigeringsfaktor GD'!S$1,FALSE),
"")</f>
        <v/>
      </c>
      <c r="T338" s="18" t="str">
        <f>IFERROR(
                  Andel_oberoende_av_klimat*VLOOKUP($A338,Leveranser_per_nät,'Leveranser per nät'!T$1,FALSE)
               +Andel_beroende_av_klimat*VLOOKUP($A338,Leveranser_per_nät,'Leveranser per nät'!T$1,FALSE)/VLOOKUP($B338,Korrigeringsfaktor_GD,'Korrigeringsfaktor GD'!T$1,FALSE),
"")</f>
        <v/>
      </c>
      <c r="U338" s="18" t="str">
        <f>IFERROR(
                  Andel_oberoende_av_klimat*VLOOKUP($A338,Leveranser_per_nät,'Leveranser per nät'!U$1,FALSE)
               +Andel_beroende_av_klimat*VLOOKUP($A338,Leveranser_per_nät,'Leveranser per nät'!U$1,FALSE)/VLOOKUP($B338,Korrigeringsfaktor_GD,'Korrigeringsfaktor GD'!U$1,FALSE),
"")</f>
        <v/>
      </c>
      <c r="V338" s="18" t="str">
        <f>IFERROR(
                  Andel_oberoende_av_klimat*VLOOKUP($A338,Leveranser_per_nät,'Leveranser per nät'!V$1,FALSE)
               +Andel_beroende_av_klimat*VLOOKUP($A338,Leveranser_per_nät,'Leveranser per nät'!V$1,FALSE)/VLOOKUP($B338,Korrigeringsfaktor_GD,'Korrigeringsfaktor GD'!V$1,FALSE),
"")</f>
        <v/>
      </c>
      <c r="W338" s="18" t="str">
        <f>IFERROR(
                  Andel_oberoende_av_klimat*VLOOKUP($A338,Leveranser_per_nät,'Leveranser per nät'!W$1,FALSE)
               +Andel_beroende_av_klimat*VLOOKUP($A338,Leveranser_per_nät,'Leveranser per nät'!W$1,FALSE)/VLOOKUP($B338,Korrigeringsfaktor_GD,'Korrigeringsfaktor GD'!W$1,FALSE),
"")</f>
        <v/>
      </c>
      <c r="X338" s="18" t="str">
        <f>IFERROR(
                  Andel_oberoende_av_klimat*VLOOKUP($A338,Leveranser_per_nät,'Leveranser per nät'!X$1,FALSE)
               +Andel_beroende_av_klimat*VLOOKUP($A338,Leveranser_per_nät,'Leveranser per nät'!X$1,FALSE)/VLOOKUP($B338,Korrigeringsfaktor_GD,'Korrigeringsfaktor GD'!X$1,FALSE),
"")</f>
        <v/>
      </c>
      <c r="Y338" s="18" t="str">
        <f>IFERROR(
                  Andel_oberoende_av_klimat*VLOOKUP($A338,Leveranser_per_nät,'Leveranser per nät'!Y$1,FALSE)
               +Andel_beroende_av_klimat*VLOOKUP($A338,Leveranser_per_nät,'Leveranser per nät'!Y$1,FALSE)/VLOOKUP($B338,Korrigeringsfaktor_GD,'Korrigeringsfaktor GD'!Y$1,FALSE),
"")</f>
        <v/>
      </c>
      <c r="Z338" s="18">
        <f>IFERROR(
                  Andel_oberoende_av_klimat*VLOOKUP($A338,Leveranser_per_nät,'Leveranser per nät'!Z$1,FALSE)
               +Andel_beroende_av_klimat*VLOOKUP($A338,Leveranser_per_nät,'Leveranser per nät'!Z$1,FALSE)/VLOOKUP($B338,Korrigeringsfaktor_GD,'Korrigeringsfaktor GD'!Z$1,FALSE),
"")</f>
        <v>0</v>
      </c>
      <c r="AA338" s="18" t="str">
        <f>IFERROR(
                  Andel_oberoende_av_klimat*VLOOKUP($A338,Leveranser_per_nät,'Leveranser per nät'!AA$1,FALSE)
               +Andel_beroende_av_klimat*VLOOKUP($A338,Leveranser_per_nät,'Leveranser per nät'!AA$1,FALSE)/VLOOKUP($B338,Korrigeringsfaktor_GD,'Korrigeringsfaktor GD'!AA$1,FALSE),
"")</f>
        <v/>
      </c>
      <c r="AB338" s="18">
        <f>IFERROR(
                  Andel_oberoende_av_klimat*VLOOKUP($A338,Leveranser_per_nät,'Leveranser per nät'!AB$1,FALSE)
               +Andel_beroende_av_klimat*VLOOKUP($A338,Leveranser_per_nät,'Leveranser per nät'!AB$1,FALSE)/VLOOKUP($B338,Korrigeringsfaktor_GD,'Korrigeringsfaktor GD'!AB$1,FALSE),
"")</f>
        <v>0</v>
      </c>
      <c r="AC338" s="18">
        <f>IFERROR(
                  Andel_oberoende_av_klimat*VLOOKUP($A338,Leveranser_per_nät,'Leveranser per nät'!AC$1,FALSE)
               +Andel_beroende_av_klimat*VLOOKUP($A338,Leveranser_per_nät,'Leveranser per nät'!AC$1,FALSE)/VLOOKUP($B338,Korrigeringsfaktor_GD,'Korrigeringsfaktor GD'!AC$1,FALSE),
"")</f>
        <v>0</v>
      </c>
      <c r="AD338" t="e">
        <v>#N/A</v>
      </c>
    </row>
    <row r="339" spans="1:30" x14ac:dyDescent="0.25">
      <c r="A339" t="s">
        <v>309</v>
      </c>
      <c r="B339" t="s">
        <v>88</v>
      </c>
      <c r="C339" s="18">
        <f>IFERROR(
                  Andel_oberoende_av_klimat*VLOOKUP($A339,Leveranser_per_nät,'Leveranser per nät'!C$1,FALSE)
               +Andel_beroende_av_klimat*VLOOKUP($A339,Leveranser_per_nät,'Leveranser per nät'!C$1,FALSE)/VLOOKUP($B339,Korrigeringsfaktor_GD,'Korrigeringsfaktor GD'!C$1,FALSE),
"")</f>
        <v>0</v>
      </c>
      <c r="D339" s="18">
        <f>IFERROR(
                  Andel_oberoende_av_klimat*VLOOKUP($A339,Leveranser_per_nät,'Leveranser per nät'!D$1,FALSE)
               +Andel_beroende_av_klimat*VLOOKUP($A339,Leveranser_per_nät,'Leveranser per nät'!D$1,FALSE)/VLOOKUP($B339,Korrigeringsfaktor_GD,'Korrigeringsfaktor GD'!D$1,FALSE),
"")</f>
        <v>0</v>
      </c>
      <c r="E339" s="18">
        <f>IFERROR(
                  Andel_oberoende_av_klimat*VLOOKUP($A339,Leveranser_per_nät,'Leveranser per nät'!E$1,FALSE)
               +Andel_beroende_av_klimat*VLOOKUP($A339,Leveranser_per_nät,'Leveranser per nät'!E$1,FALSE)/VLOOKUP($B339,Korrigeringsfaktor_GD,'Korrigeringsfaktor GD'!E$1,FALSE),
"")</f>
        <v>0</v>
      </c>
      <c r="F339" s="18">
        <f>IFERROR(
                  Andel_oberoende_av_klimat*VLOOKUP($A339,Leveranser_per_nät,'Leveranser per nät'!F$1,FALSE)
               +Andel_beroende_av_klimat*VLOOKUP($A339,Leveranser_per_nät,'Leveranser per nät'!F$1,FALSE)/VLOOKUP($B339,Korrigeringsfaktor_GD,'Korrigeringsfaktor GD'!F$1,FALSE),
"")</f>
        <v>0</v>
      </c>
      <c r="G339" s="18">
        <f>IFERROR(
                  Andel_oberoende_av_klimat*VLOOKUP($A339,Leveranser_per_nät,'Leveranser per nät'!G$1,FALSE)
               +Andel_beroende_av_klimat*VLOOKUP($A339,Leveranser_per_nät,'Leveranser per nät'!G$1,FALSE)/VLOOKUP($B339,Korrigeringsfaktor_GD,'Korrigeringsfaktor GD'!G$1,FALSE),
"")</f>
        <v>0</v>
      </c>
      <c r="H339" s="18">
        <f>IFERROR(
                  Andel_oberoende_av_klimat*VLOOKUP($A339,Leveranser_per_nät,'Leveranser per nät'!H$1,FALSE)
               +Andel_beroende_av_klimat*VLOOKUP($A339,Leveranser_per_nät,'Leveranser per nät'!H$1,FALSE)/VLOOKUP($B339,Korrigeringsfaktor_GD,'Korrigeringsfaktor GD'!H$1,FALSE),
"")</f>
        <v>0</v>
      </c>
      <c r="I339" s="18">
        <f>IFERROR(
                  Andel_oberoende_av_klimat*VLOOKUP($A339,Leveranser_per_nät,'Leveranser per nät'!I$1,FALSE)
               +Andel_beroende_av_klimat*VLOOKUP($A339,Leveranser_per_nät,'Leveranser per nät'!I$1,FALSE)/VLOOKUP($B339,Korrigeringsfaktor_GD,'Korrigeringsfaktor GD'!I$1,FALSE),
"")</f>
        <v>0</v>
      </c>
      <c r="J339" s="18">
        <f>IFERROR(
                  Andel_oberoende_av_klimat*VLOOKUP($A339,Leveranser_per_nät,'Leveranser per nät'!J$1,FALSE)
               +Andel_beroende_av_klimat*VLOOKUP($A339,Leveranser_per_nät,'Leveranser per nät'!J$1,FALSE)/VLOOKUP($B339,Korrigeringsfaktor_GD,'Korrigeringsfaktor GD'!J$1,FALSE),
"")</f>
        <v>0</v>
      </c>
      <c r="K339" s="18">
        <f>IFERROR(
                  Andel_oberoende_av_klimat*VLOOKUP($A339,Leveranser_per_nät,'Leveranser per nät'!K$1,FALSE)
               +Andel_beroende_av_klimat*VLOOKUP($A339,Leveranser_per_nät,'Leveranser per nät'!K$1,FALSE)/VLOOKUP($B339,Korrigeringsfaktor_GD,'Korrigeringsfaktor GD'!K$1,FALSE),
"")</f>
        <v>1.5843142857142858</v>
      </c>
      <c r="L339" s="18">
        <f>IFERROR(
                  Andel_oberoende_av_klimat*VLOOKUP($A339,Leveranser_per_nät,'Leveranser per nät'!L$1,FALSE)
               +Andel_beroende_av_klimat*VLOOKUP($A339,Leveranser_per_nät,'Leveranser per nät'!L$1,FALSE)/VLOOKUP($B339,Korrigeringsfaktor_GD,'Korrigeringsfaktor GD'!L$1,FALSE),
"")</f>
        <v>5.5989473684210527</v>
      </c>
      <c r="M339" s="18">
        <f>IFERROR(
                  Andel_oberoende_av_klimat*VLOOKUP($A339,Leveranser_per_nät,'Leveranser per nät'!M$1,FALSE)
               +Andel_beroende_av_klimat*VLOOKUP($A339,Leveranser_per_nät,'Leveranser per nät'!M$1,FALSE)/VLOOKUP($B339,Korrigeringsfaktor_GD,'Korrigeringsfaktor GD'!M$1,FALSE),
"")</f>
        <v>9.2636559139784946</v>
      </c>
      <c r="N339" s="18">
        <f>IFERROR(
                  Andel_oberoende_av_klimat*VLOOKUP($A339,Leveranser_per_nät,'Leveranser per nät'!N$1,FALSE)
               +Andel_beroende_av_klimat*VLOOKUP($A339,Leveranser_per_nät,'Leveranser per nät'!N$1,FALSE)/VLOOKUP($B339,Korrigeringsfaktor_GD,'Korrigeringsfaktor GD'!N$1,FALSE),
"")</f>
        <v>14.393984615384614</v>
      </c>
      <c r="O339" s="18">
        <f>IFERROR(
                  Andel_oberoende_av_klimat*VLOOKUP($A339,Leveranser_per_nät,'Leveranser per nät'!O$1,FALSE)
               +Andel_beroende_av_klimat*VLOOKUP($A339,Leveranser_per_nät,'Leveranser per nät'!O$1,FALSE)/VLOOKUP($B339,Korrigeringsfaktor_GD,'Korrigeringsfaktor GD'!O$1,FALSE),
"")</f>
        <v>15.059123595505618</v>
      </c>
      <c r="P339" s="18">
        <f>IFERROR(
                  Andel_oberoende_av_klimat*VLOOKUP($A339,Leveranser_per_nät,'Leveranser per nät'!P$1,FALSE)
               +Andel_beroende_av_klimat*VLOOKUP($A339,Leveranser_per_nät,'Leveranser per nät'!P$1,FALSE)/VLOOKUP($B339,Korrigeringsfaktor_GD,'Korrigeringsfaktor GD'!P$1,FALSE),
"")</f>
        <v>15.112857142857143</v>
      </c>
      <c r="Q339" s="18">
        <f>IFERROR(
                  Andel_oberoende_av_klimat*VLOOKUP($A339,Leveranser_per_nät,'Leveranser per nät'!Q$1,FALSE)
               +Andel_beroende_av_klimat*VLOOKUP($A339,Leveranser_per_nät,'Leveranser per nät'!Q$1,FALSE)/VLOOKUP($B339,Korrigeringsfaktor_GD,'Korrigeringsfaktor GD'!Q$1,FALSE),
"")</f>
        <v>16.079401709401708</v>
      </c>
      <c r="R339" s="18">
        <f>IFERROR(
                  Andel_oberoende_av_klimat*VLOOKUP($A339,Leveranser_per_nät,'Leveranser per nät'!R$1,FALSE)
               +Andel_beroende_av_klimat*VLOOKUP($A339,Leveranser_per_nät,'Leveranser per nät'!R$1,FALSE)/VLOOKUP($B339,Korrigeringsfaktor_GD,'Korrigeringsfaktor GD'!R$1,FALSE),
"")</f>
        <v>17.244444444444444</v>
      </c>
      <c r="S339" s="18">
        <f>IFERROR(
                  Andel_oberoende_av_klimat*VLOOKUP($A339,Leveranser_per_nät,'Leveranser per nät'!S$1,FALSE)
               +Andel_beroende_av_klimat*VLOOKUP($A339,Leveranser_per_nät,'Leveranser per nät'!S$1,FALSE)/VLOOKUP($B339,Korrigeringsfaktor_GD,'Korrigeringsfaktor GD'!S$1,FALSE),
"")</f>
        <v>18.100000000000001</v>
      </c>
      <c r="T339" s="18">
        <f>IFERROR(
                  Andel_oberoende_av_klimat*VLOOKUP($A339,Leveranser_per_nät,'Leveranser per nät'!T$1,FALSE)
               +Andel_beroende_av_klimat*VLOOKUP($A339,Leveranser_per_nät,'Leveranser per nät'!T$1,FALSE)/VLOOKUP($B339,Korrigeringsfaktor_GD,'Korrigeringsfaktor GD'!T$1,FALSE),
"")</f>
        <v>17.981030927835054</v>
      </c>
      <c r="U339" s="18">
        <f>IFERROR(
                  Andel_oberoende_av_klimat*VLOOKUP($A339,Leveranser_per_nät,'Leveranser per nät'!U$1,FALSE)
               +Andel_beroende_av_klimat*VLOOKUP($A339,Leveranser_per_nät,'Leveranser per nät'!U$1,FALSE)/VLOOKUP($B339,Korrigeringsfaktor_GD,'Korrigeringsfaktor GD'!U$1,FALSE),
"")</f>
        <v>17.527272727272727</v>
      </c>
      <c r="V339" s="18">
        <f>IFERROR(
                  Andel_oberoende_av_klimat*VLOOKUP($A339,Leveranser_per_nät,'Leveranser per nät'!V$1,FALSE)
               +Andel_beroende_av_klimat*VLOOKUP($A339,Leveranser_per_nät,'Leveranser per nät'!V$1,FALSE)/VLOOKUP($B339,Korrigeringsfaktor_GD,'Korrigeringsfaktor GD'!V$1,FALSE),
"")</f>
        <v>17.855909090909094</v>
      </c>
      <c r="W339" s="18">
        <f>IFERROR(
                  Andel_oberoende_av_klimat*VLOOKUP($A339,Leveranser_per_nät,'Leveranser per nät'!W$1,FALSE)
               +Andel_beroende_av_klimat*VLOOKUP($A339,Leveranser_per_nät,'Leveranser per nät'!W$1,FALSE)/VLOOKUP($B339,Korrigeringsfaktor_GD,'Korrigeringsfaktor GD'!W$1,FALSE),
"")</f>
        <v>17.759574468085106</v>
      </c>
      <c r="X339" s="18">
        <f>IFERROR(
                  Andel_oberoende_av_klimat*VLOOKUP($A339,Leveranser_per_nät,'Leveranser per nät'!X$1,FALSE)
               +Andel_beroende_av_klimat*VLOOKUP($A339,Leveranser_per_nät,'Leveranser per nät'!X$1,FALSE)/VLOOKUP($B339,Korrigeringsfaktor_GD,'Korrigeringsfaktor GD'!X$1,FALSE),
"")</f>
        <v>17.655106382978722</v>
      </c>
      <c r="Y339" s="18">
        <f>IFERROR(
                  Andel_oberoende_av_klimat*VLOOKUP($A339,Leveranser_per_nät,'Leveranser per nät'!Y$1,FALSE)
               +Andel_beroende_av_klimat*VLOOKUP($A339,Leveranser_per_nät,'Leveranser per nät'!Y$1,FALSE)/VLOOKUP($B339,Korrigeringsfaktor_GD,'Korrigeringsfaktor GD'!Y$1,FALSE),
"")</f>
        <v>18.106236559139784</v>
      </c>
      <c r="Z339" s="18">
        <f>IFERROR(
                  Andel_oberoende_av_klimat*VLOOKUP($A339,Leveranser_per_nät,'Leveranser per nät'!Z$1,FALSE)
               +Andel_beroende_av_klimat*VLOOKUP($A339,Leveranser_per_nät,'Leveranser per nät'!Z$1,FALSE)/VLOOKUP($B339,Korrigeringsfaktor_GD,'Korrigeringsfaktor GD'!Z$1,FALSE),
"")</f>
        <v>19.200102325581394</v>
      </c>
      <c r="AA339" s="18">
        <f>IFERROR(
                  Andel_oberoende_av_klimat*VLOOKUP($A339,Leveranser_per_nät,'Leveranser per nät'!AA$1,FALSE)
               +Andel_beroende_av_klimat*VLOOKUP($A339,Leveranser_per_nät,'Leveranser per nät'!AA$1,FALSE)/VLOOKUP($B339,Korrigeringsfaktor_GD,'Korrigeringsfaktor GD'!AA$1,FALSE),
"")</f>
        <v>19.263540696517413</v>
      </c>
      <c r="AB339" s="18">
        <f>IFERROR(
                  Andel_oberoende_av_klimat*VLOOKUP($A339,Leveranser_per_nät,'Leveranser per nät'!AB$1,FALSE)
               +Andel_beroende_av_klimat*VLOOKUP($A339,Leveranser_per_nät,'Leveranser per nät'!AB$1,FALSE)/VLOOKUP($B339,Korrigeringsfaktor_GD,'Korrigeringsfaktor GD'!AB$1,FALSE),
"")</f>
        <v>18.038942953020136</v>
      </c>
      <c r="AC339" s="18">
        <f>IFERROR(
                  Andel_oberoende_av_klimat*VLOOKUP($A339,Leveranser_per_nät,'Leveranser per nät'!AC$1,FALSE)
               +Andel_beroende_av_klimat*VLOOKUP($A339,Leveranser_per_nät,'Leveranser per nät'!AC$1,FALSE)/VLOOKUP($B339,Korrigeringsfaktor_GD,'Korrigeringsfaktor GD'!AC$1,FALSE),
"")</f>
        <v>18.020302898550725</v>
      </c>
      <c r="AD339" t="e">
        <v>#N/A</v>
      </c>
    </row>
    <row r="340" spans="1:30" x14ac:dyDescent="0.25">
      <c r="A340" t="s">
        <v>275</v>
      </c>
      <c r="B340" t="s">
        <v>275</v>
      </c>
      <c r="C340" s="18">
        <f>IFERROR(
                  Andel_oberoende_av_klimat*VLOOKUP($A340,Leveranser_per_nät,'Leveranser per nät'!C$1,FALSE)
               +Andel_beroende_av_klimat*VLOOKUP($A340,Leveranser_per_nät,'Leveranser per nät'!C$1,FALSE)/VLOOKUP($B340,Korrigeringsfaktor_GD,'Korrigeringsfaktor GD'!C$1,FALSE),
"")</f>
        <v>176.67499999999998</v>
      </c>
      <c r="D340" s="18">
        <f>IFERROR(
                  Andel_oberoende_av_klimat*VLOOKUP($A340,Leveranser_per_nät,'Leveranser per nät'!D$1,FALSE)
               +Andel_beroende_av_klimat*VLOOKUP($A340,Leveranser_per_nät,'Leveranser per nät'!D$1,FALSE)/VLOOKUP($B340,Korrigeringsfaktor_GD,'Korrigeringsfaktor GD'!D$1,FALSE),
"")</f>
        <v>181.52671428571429</v>
      </c>
      <c r="E340" s="18">
        <f>IFERROR(
                  Andel_oberoende_av_klimat*VLOOKUP($A340,Leveranser_per_nät,'Leveranser per nät'!E$1,FALSE)
               +Andel_beroende_av_klimat*VLOOKUP($A340,Leveranser_per_nät,'Leveranser per nät'!E$1,FALSE)/VLOOKUP($B340,Korrigeringsfaktor_GD,'Korrigeringsfaktor GD'!E$1,FALSE),
"")</f>
        <v>201.59306930693069</v>
      </c>
      <c r="F340" s="18">
        <f>IFERROR(
                  Andel_oberoende_av_klimat*VLOOKUP($A340,Leveranser_per_nät,'Leveranser per nät'!F$1,FALSE)
               +Andel_beroende_av_klimat*VLOOKUP($A340,Leveranser_per_nät,'Leveranser per nät'!F$1,FALSE)/VLOOKUP($B340,Korrigeringsfaktor_GD,'Korrigeringsfaktor GD'!F$1,FALSE),
"")</f>
        <v>205.29473684210527</v>
      </c>
      <c r="G340" s="18">
        <f>IFERROR(
                  Andel_oberoende_av_klimat*VLOOKUP($A340,Leveranser_per_nät,'Leveranser per nät'!G$1,FALSE)
               +Andel_beroende_av_klimat*VLOOKUP($A340,Leveranser_per_nät,'Leveranser per nät'!G$1,FALSE)/VLOOKUP($B340,Korrigeringsfaktor_GD,'Korrigeringsfaktor GD'!G$1,FALSE),
"")</f>
        <v>211.65116279069767</v>
      </c>
      <c r="H340" s="18">
        <f>IFERROR(
                  Andel_oberoende_av_klimat*VLOOKUP($A340,Leveranser_per_nät,'Leveranser per nät'!H$1,FALSE)
               +Andel_beroende_av_klimat*VLOOKUP($A340,Leveranser_per_nät,'Leveranser per nät'!H$1,FALSE)/VLOOKUP($B340,Korrigeringsfaktor_GD,'Korrigeringsfaktor GD'!H$1,FALSE),
"")</f>
        <v>220.92</v>
      </c>
      <c r="I340" s="18">
        <f>IFERROR(
                  Andel_oberoende_av_klimat*VLOOKUP($A340,Leveranser_per_nät,'Leveranser per nät'!I$1,FALSE)
               +Andel_beroende_av_klimat*VLOOKUP($A340,Leveranser_per_nät,'Leveranser per nät'!I$1,FALSE)/VLOOKUP($B340,Korrigeringsfaktor_GD,'Korrigeringsfaktor GD'!I$1,FALSE),
"")</f>
        <v>234.77112765957446</v>
      </c>
      <c r="J340" s="18">
        <f>IFERROR(
                  Andel_oberoende_av_klimat*VLOOKUP($A340,Leveranser_per_nät,'Leveranser per nät'!J$1,FALSE)
               +Andel_beroende_av_klimat*VLOOKUP($A340,Leveranser_per_nät,'Leveranser per nät'!J$1,FALSE)/VLOOKUP($B340,Korrigeringsfaktor_GD,'Korrigeringsfaktor GD'!J$1,FALSE),
"")</f>
        <v>245.47785154639178</v>
      </c>
      <c r="K340" s="18">
        <f>IFERROR(
                  Andel_oberoende_av_klimat*VLOOKUP($A340,Leveranser_per_nät,'Leveranser per nät'!K$1,FALSE)
               +Andel_beroende_av_klimat*VLOOKUP($A340,Leveranser_per_nät,'Leveranser per nät'!K$1,FALSE)/VLOOKUP($B340,Korrigeringsfaktor_GD,'Korrigeringsfaktor GD'!K$1,FALSE),
"")</f>
        <v>249.37837142857146</v>
      </c>
      <c r="L340" s="18">
        <f>IFERROR(
                  Andel_oberoende_av_klimat*VLOOKUP($A340,Leveranser_per_nät,'Leveranser per nät'!L$1,FALSE)
               +Andel_beroende_av_klimat*VLOOKUP($A340,Leveranser_per_nät,'Leveranser per nät'!L$1,FALSE)/VLOOKUP($B340,Korrigeringsfaktor_GD,'Korrigeringsfaktor GD'!L$1,FALSE),
"")</f>
        <v>261.79329999999999</v>
      </c>
      <c r="M340" s="18">
        <f>IFERROR(
                  Andel_oberoende_av_klimat*VLOOKUP($A340,Leveranser_per_nät,'Leveranser per nät'!M$1,FALSE)
               +Andel_beroende_av_klimat*VLOOKUP($A340,Leveranser_per_nät,'Leveranser per nät'!M$1,FALSE)/VLOOKUP($B340,Korrigeringsfaktor_GD,'Korrigeringsfaktor GD'!M$1,FALSE),
"")</f>
        <v>254.50260869565221</v>
      </c>
      <c r="N340" s="18">
        <f>IFERROR(
                  Andel_oberoende_av_klimat*VLOOKUP($A340,Leveranser_per_nät,'Leveranser per nät'!N$1,FALSE)
               +Andel_beroende_av_klimat*VLOOKUP($A340,Leveranser_per_nät,'Leveranser per nät'!N$1,FALSE)/VLOOKUP($B340,Korrigeringsfaktor_GD,'Korrigeringsfaktor GD'!N$1,FALSE),
"")</f>
        <v>250.79888888888888</v>
      </c>
      <c r="O340" s="18">
        <f>IFERROR(
                  Andel_oberoende_av_klimat*VLOOKUP($A340,Leveranser_per_nät,'Leveranser per nät'!O$1,FALSE)
               +Andel_beroende_av_klimat*VLOOKUP($A340,Leveranser_per_nät,'Leveranser per nät'!O$1,FALSE)/VLOOKUP($B340,Korrigeringsfaktor_GD,'Korrigeringsfaktor GD'!O$1,FALSE),
"")</f>
        <v>320.41382022471907</v>
      </c>
      <c r="P340" s="18">
        <f>IFERROR(
                  Andel_oberoende_av_klimat*VLOOKUP($A340,Leveranser_per_nät,'Leveranser per nät'!P$1,FALSE)
               +Andel_beroende_av_klimat*VLOOKUP($A340,Leveranser_per_nät,'Leveranser per nät'!P$1,FALSE)/VLOOKUP($B340,Korrigeringsfaktor_GD,'Korrigeringsfaktor GD'!P$1,FALSE),
"")</f>
        <v>277.40714285714284</v>
      </c>
      <c r="Q340" s="18">
        <f>IFERROR(
                  Andel_oberoende_av_klimat*VLOOKUP($A340,Leveranser_per_nät,'Leveranser per nät'!Q$1,FALSE)
               +Andel_beroende_av_klimat*VLOOKUP($A340,Leveranser_per_nät,'Leveranser per nät'!Q$1,FALSE)/VLOOKUP($B340,Korrigeringsfaktor_GD,'Korrigeringsfaktor GD'!Q$1,FALSE),
"")</f>
        <v>364.88050847457629</v>
      </c>
      <c r="R340" s="18">
        <f>IFERROR(
                  Andel_oberoende_av_klimat*VLOOKUP($A340,Leveranser_per_nät,'Leveranser per nät'!R$1,FALSE)
               +Andel_beroende_av_klimat*VLOOKUP($A340,Leveranser_per_nät,'Leveranser per nät'!R$1,FALSE)/VLOOKUP($B340,Korrigeringsfaktor_GD,'Korrigeringsfaktor GD'!R$1,FALSE),
"")</f>
        <v>334.24153846153848</v>
      </c>
      <c r="S340" s="18">
        <f>IFERROR(
                  Andel_oberoende_av_klimat*VLOOKUP($A340,Leveranser_per_nät,'Leveranser per nät'!S$1,FALSE)
               +Andel_beroende_av_klimat*VLOOKUP($A340,Leveranser_per_nät,'Leveranser per nät'!S$1,FALSE)/VLOOKUP($B340,Korrigeringsfaktor_GD,'Korrigeringsfaktor GD'!S$1,FALSE),
"")</f>
        <v>366</v>
      </c>
      <c r="T340" s="18">
        <f>IFERROR(
                  Andel_oberoende_av_klimat*VLOOKUP($A340,Leveranser_per_nät,'Leveranser per nät'!T$1,FALSE)
               +Andel_beroende_av_klimat*VLOOKUP($A340,Leveranser_per_nät,'Leveranser per nät'!T$1,FALSE)/VLOOKUP($B340,Korrigeringsfaktor_GD,'Korrigeringsfaktor GD'!T$1,FALSE),
"")</f>
        <v>369.95460309278349</v>
      </c>
      <c r="U340" s="18">
        <f>IFERROR(
                  Andel_oberoende_av_klimat*VLOOKUP($A340,Leveranser_per_nät,'Leveranser per nät'!U$1,FALSE)
               +Andel_beroende_av_klimat*VLOOKUP($A340,Leveranser_per_nät,'Leveranser per nät'!U$1,FALSE)/VLOOKUP($B340,Korrigeringsfaktor_GD,'Korrigeringsfaktor GD'!U$1,FALSE),
"")</f>
        <v>351.55592325581398</v>
      </c>
      <c r="V340" s="18">
        <f>IFERROR(
                  Andel_oberoende_av_klimat*VLOOKUP($A340,Leveranser_per_nät,'Leveranser per nät'!V$1,FALSE)
               +Andel_beroende_av_klimat*VLOOKUP($A340,Leveranser_per_nät,'Leveranser per nät'!V$1,FALSE)/VLOOKUP($B340,Korrigeringsfaktor_GD,'Korrigeringsfaktor GD'!V$1,FALSE),
"")</f>
        <v>362.06720000000007</v>
      </c>
      <c r="W340" s="18">
        <f>IFERROR(
                  Andel_oberoende_av_klimat*VLOOKUP($A340,Leveranser_per_nät,'Leveranser per nät'!W$1,FALSE)
               +Andel_beroende_av_klimat*VLOOKUP($A340,Leveranser_per_nät,'Leveranser per nät'!W$1,FALSE)/VLOOKUP($B340,Korrigeringsfaktor_GD,'Korrigeringsfaktor GD'!W$1,FALSE),
"")</f>
        <v>382.50148041237117</v>
      </c>
      <c r="X340" s="18">
        <f>IFERROR(
                  Andel_oberoende_av_klimat*VLOOKUP($A340,Leveranser_per_nät,'Leveranser per nät'!X$1,FALSE)
               +Andel_beroende_av_klimat*VLOOKUP($A340,Leveranser_per_nät,'Leveranser per nät'!X$1,FALSE)/VLOOKUP($B340,Korrigeringsfaktor_GD,'Korrigeringsfaktor GD'!X$1,FALSE),
"")</f>
        <v>352.62440416666664</v>
      </c>
      <c r="Y340" s="18">
        <f>IFERROR(
                  Andel_oberoende_av_klimat*VLOOKUP($A340,Leveranser_per_nät,'Leveranser per nät'!Y$1,FALSE)
               +Andel_beroende_av_klimat*VLOOKUP($A340,Leveranser_per_nät,'Leveranser per nät'!Y$1,FALSE)/VLOOKUP($B340,Korrigeringsfaktor_GD,'Korrigeringsfaktor GD'!Y$1,FALSE),
"")</f>
        <v>369.76929166666667</v>
      </c>
      <c r="Z340" s="18">
        <f>IFERROR(
                  Andel_oberoende_av_klimat*VLOOKUP($A340,Leveranser_per_nät,'Leveranser per nät'!Z$1,FALSE)
               +Andel_beroende_av_klimat*VLOOKUP($A340,Leveranser_per_nät,'Leveranser per nät'!Z$1,FALSE)/VLOOKUP($B340,Korrigeringsfaktor_GD,'Korrigeringsfaktor GD'!Z$1,FALSE),
"")</f>
        <v>359.97471538461537</v>
      </c>
      <c r="AA340" s="18">
        <f>IFERROR(
                  Andel_oberoende_av_klimat*VLOOKUP($A340,Leveranser_per_nät,'Leveranser per nät'!AA$1,FALSE)
               +Andel_beroende_av_klimat*VLOOKUP($A340,Leveranser_per_nät,'Leveranser per nät'!AA$1,FALSE)/VLOOKUP($B340,Korrigeringsfaktor_GD,'Korrigeringsfaktor GD'!AA$1,FALSE),
"")</f>
        <v>368.85041089268452</v>
      </c>
      <c r="AB340" s="18">
        <f>IFERROR(
                  Andel_oberoende_av_klimat*VLOOKUP($A340,Leveranser_per_nät,'Leveranser per nät'!AB$1,FALSE)
               +Andel_beroende_av_klimat*VLOOKUP($A340,Leveranser_per_nät,'Leveranser per nät'!AB$1,FALSE)/VLOOKUP($B340,Korrigeringsfaktor_GD,'Korrigeringsfaktor GD'!AB$1,FALSE),
"")</f>
        <v>362.59381307045248</v>
      </c>
      <c r="AC340" s="18">
        <f>IFERROR(
                  Andel_oberoende_av_klimat*VLOOKUP($A340,Leveranser_per_nät,'Leveranser per nät'!AC$1,FALSE)
               +Andel_beroende_av_klimat*VLOOKUP($A340,Leveranser_per_nät,'Leveranser per nät'!AC$1,FALSE)/VLOOKUP($B340,Korrigeringsfaktor_GD,'Korrigeringsfaktor GD'!AC$1,FALSE),
"")</f>
        <v>363.85417585247524</v>
      </c>
      <c r="AD340">
        <v>366.39353699999998</v>
      </c>
    </row>
    <row r="341" spans="1:30" x14ac:dyDescent="0.25">
      <c r="A341" t="s">
        <v>700</v>
      </c>
      <c r="B341" t="s">
        <v>239</v>
      </c>
      <c r="C341" s="18"/>
      <c r="D341" s="18"/>
      <c r="E341" s="18"/>
      <c r="F341" s="18"/>
      <c r="G341" s="18"/>
      <c r="H341" s="18"/>
      <c r="I341" s="18"/>
      <c r="J341" s="18"/>
      <c r="K341" s="18"/>
      <c r="L341" s="18"/>
      <c r="M341" s="18"/>
      <c r="N341" s="18"/>
      <c r="O341" s="18"/>
      <c r="P341" s="18"/>
      <c r="Q341" s="18"/>
      <c r="R341" s="18">
        <f>IFERROR(
                  Andel_oberoende_av_klimat*VLOOKUP($A341,Leveranser_per_nät,'Leveranser per nät'!R$1,FALSE)
               +Andel_beroende_av_klimat*VLOOKUP($A341,Leveranser_per_nät,'Leveranser per nät'!R$1,FALSE)/VLOOKUP($B341,Korrigeringsfaktor_GD,'Korrigeringsfaktor GD'!R$1,FALSE),
"")</f>
        <v>0</v>
      </c>
      <c r="S341" s="18">
        <f>IFERROR(
                  Andel_oberoende_av_klimat*VLOOKUP($A341,Leveranser_per_nät,'Leveranser per nät'!S$1,FALSE)
               +Andel_beroende_av_klimat*VLOOKUP($A341,Leveranser_per_nät,'Leveranser per nät'!S$1,FALSE)/VLOOKUP($B341,Korrigeringsfaktor_GD,'Korrigeringsfaktor GD'!S$1,FALSE),
"")</f>
        <v>0</v>
      </c>
      <c r="T341" s="18">
        <f>IFERROR(
                  Andel_oberoende_av_klimat*VLOOKUP($A341,Leveranser_per_nät,'Leveranser per nät'!T$1,FALSE)
               +Andel_beroende_av_klimat*VLOOKUP($A341,Leveranser_per_nät,'Leveranser per nät'!T$1,FALSE)/VLOOKUP($B341,Korrigeringsfaktor_GD,'Korrigeringsfaktor GD'!T$1,FALSE),
"")</f>
        <v>0</v>
      </c>
      <c r="U341" s="18">
        <f>IFERROR(
                  Andel_oberoende_av_klimat*VLOOKUP($A341,Leveranser_per_nät,'Leveranser per nät'!U$1,FALSE)
               +Andel_beroende_av_klimat*VLOOKUP($A341,Leveranser_per_nät,'Leveranser per nät'!U$1,FALSE)/VLOOKUP($B341,Korrigeringsfaktor_GD,'Korrigeringsfaktor GD'!U$1,FALSE),
"")</f>
        <v>0</v>
      </c>
      <c r="V341" s="18">
        <f>IFERROR(
                  Andel_oberoende_av_klimat*VLOOKUP($A341,Leveranser_per_nät,'Leveranser per nät'!V$1,FALSE)
               +Andel_beroende_av_klimat*VLOOKUP($A341,Leveranser_per_nät,'Leveranser per nät'!V$1,FALSE)/VLOOKUP($B341,Korrigeringsfaktor_GD,'Korrigeringsfaktor GD'!V$1,FALSE),
"")</f>
        <v>0.54772727272727273</v>
      </c>
      <c r="W341" s="18">
        <f>IFERROR(
                  Andel_oberoende_av_klimat*VLOOKUP($A341,Leveranser_per_nät,'Leveranser per nät'!W$1,FALSE)
               +Andel_beroende_av_klimat*VLOOKUP($A341,Leveranser_per_nät,'Leveranser per nät'!W$1,FALSE)/VLOOKUP($B341,Korrigeringsfaktor_GD,'Korrigeringsfaktor GD'!W$1,FALSE),
"")</f>
        <v>0.52234042553191484</v>
      </c>
      <c r="X341" s="18" t="str">
        <f>IFERROR(
                  Andel_oberoende_av_klimat*VLOOKUP($A341,Leveranser_per_nät,'Leveranser per nät'!X$1,FALSE)
               +Andel_beroende_av_klimat*VLOOKUP($A341,Leveranser_per_nät,'Leveranser per nät'!X$1,FALSE)/VLOOKUP($B341,Korrigeringsfaktor_GD,'Korrigeringsfaktor GD'!X$1,FALSE),
"")</f>
        <v/>
      </c>
      <c r="Y341" s="18" t="str">
        <f>IFERROR(
                  Andel_oberoende_av_klimat*VLOOKUP($A341,Leveranser_per_nät,'Leveranser per nät'!Y$1,FALSE)
               +Andel_beroende_av_klimat*VLOOKUP($A341,Leveranser_per_nät,'Leveranser per nät'!Y$1,FALSE)/VLOOKUP($B341,Korrigeringsfaktor_GD,'Korrigeringsfaktor GD'!Y$1,FALSE),
"")</f>
        <v/>
      </c>
      <c r="Z341" s="18">
        <f>IFERROR(
                  Andel_oberoende_av_klimat*VLOOKUP($A341,Leveranser_per_nät,'Leveranser per nät'!Z$1,FALSE)
               +Andel_beroende_av_klimat*VLOOKUP($A341,Leveranser_per_nät,'Leveranser per nät'!Z$1,FALSE)/VLOOKUP($B341,Korrigeringsfaktor_GD,'Korrigeringsfaktor GD'!Z$1,FALSE),
"")</f>
        <v>0</v>
      </c>
      <c r="AA341" s="18" t="str">
        <f>IFERROR(
                  Andel_oberoende_av_klimat*VLOOKUP($A341,Leveranser_per_nät,'Leveranser per nät'!AA$1,FALSE)
               +Andel_beroende_av_klimat*VLOOKUP($A341,Leveranser_per_nät,'Leveranser per nät'!AA$1,FALSE)/VLOOKUP($B341,Korrigeringsfaktor_GD,'Korrigeringsfaktor GD'!AA$1,FALSE),
"")</f>
        <v/>
      </c>
      <c r="AB341" s="18">
        <f>IFERROR(
                  Andel_oberoende_av_klimat*VLOOKUP($A341,Leveranser_per_nät,'Leveranser per nät'!AB$1,FALSE)
               +Andel_beroende_av_klimat*VLOOKUP($A341,Leveranser_per_nät,'Leveranser per nät'!AB$1,FALSE)/VLOOKUP($B341,Korrigeringsfaktor_GD,'Korrigeringsfaktor GD'!AB$1,FALSE),
"")</f>
        <v>0</v>
      </c>
      <c r="AC341" s="18">
        <f>IFERROR(
                  Andel_oberoende_av_klimat*VLOOKUP($A341,Leveranser_per_nät,'Leveranser per nät'!AC$1,FALSE)
               +Andel_beroende_av_klimat*VLOOKUP($A341,Leveranser_per_nät,'Leveranser per nät'!AC$1,FALSE)/VLOOKUP($B341,Korrigeringsfaktor_GD,'Korrigeringsfaktor GD'!AC$1,FALSE),
"")</f>
        <v>0</v>
      </c>
      <c r="AD341">
        <v>43.4</v>
      </c>
    </row>
    <row r="342" spans="1:30" x14ac:dyDescent="0.25">
      <c r="A342" t="s">
        <v>136</v>
      </c>
      <c r="B342" t="s">
        <v>133</v>
      </c>
      <c r="C342" s="18">
        <f>IFERROR(
                  Andel_oberoende_av_klimat*VLOOKUP($A342,Leveranser_per_nät,'Leveranser per nät'!C$1,FALSE)
               +Andel_beroende_av_klimat*VLOOKUP($A342,Leveranser_per_nät,'Leveranser per nät'!C$1,FALSE)/VLOOKUP($B342,Korrigeringsfaktor_GD,'Korrigeringsfaktor GD'!C$1,FALSE),
"")</f>
        <v>24.974999999999998</v>
      </c>
      <c r="D342" s="18">
        <f>IFERROR(
                  Andel_oberoende_av_klimat*VLOOKUP($A342,Leveranser_per_nät,'Leveranser per nät'!D$1,FALSE)
               +Andel_beroende_av_klimat*VLOOKUP($A342,Leveranser_per_nät,'Leveranser per nät'!D$1,FALSE)/VLOOKUP($B342,Korrigeringsfaktor_GD,'Korrigeringsfaktor GD'!D$1,FALSE),
"")</f>
        <v>25.07</v>
      </c>
      <c r="E342" s="18">
        <f>IFERROR(
                  Andel_oberoende_av_klimat*VLOOKUP($A342,Leveranser_per_nät,'Leveranser per nät'!E$1,FALSE)
               +Andel_beroende_av_klimat*VLOOKUP($A342,Leveranser_per_nät,'Leveranser per nät'!E$1,FALSE)/VLOOKUP($B342,Korrigeringsfaktor_GD,'Korrigeringsfaktor GD'!E$1,FALSE),
"")</f>
        <v>25.469902912621357</v>
      </c>
      <c r="F342" s="18">
        <f>IFERROR(
                  Andel_oberoende_av_klimat*VLOOKUP($A342,Leveranser_per_nät,'Leveranser per nät'!F$1,FALSE)
               +Andel_beroende_av_klimat*VLOOKUP($A342,Leveranser_per_nät,'Leveranser per nät'!F$1,FALSE)/VLOOKUP($B342,Korrigeringsfaktor_GD,'Korrigeringsfaktor GD'!F$1,FALSE),
"")</f>
        <v>24.211827956989247</v>
      </c>
      <c r="G342" s="18">
        <f>IFERROR(
                  Andel_oberoende_av_klimat*VLOOKUP($A342,Leveranser_per_nät,'Leveranser per nät'!G$1,FALSE)
               +Andel_beroende_av_klimat*VLOOKUP($A342,Leveranser_per_nät,'Leveranser per nät'!G$1,FALSE)/VLOOKUP($B342,Korrigeringsfaktor_GD,'Korrigeringsfaktor GD'!G$1,FALSE),
"")</f>
        <v>25.195454545454545</v>
      </c>
      <c r="H342" s="18">
        <f>IFERROR(
                  Andel_oberoende_av_klimat*VLOOKUP($A342,Leveranser_per_nät,'Leveranser per nät'!H$1,FALSE)
               +Andel_beroende_av_klimat*VLOOKUP($A342,Leveranser_per_nät,'Leveranser per nät'!H$1,FALSE)/VLOOKUP($B342,Korrigeringsfaktor_GD,'Korrigeringsfaktor GD'!H$1,FALSE),
"")</f>
        <v>23.328571428571429</v>
      </c>
      <c r="I342" s="18">
        <f>IFERROR(
                  Andel_oberoende_av_klimat*VLOOKUP($A342,Leveranser_per_nät,'Leveranser per nät'!I$1,FALSE)
               +Andel_beroende_av_klimat*VLOOKUP($A342,Leveranser_per_nät,'Leveranser per nät'!I$1,FALSE)/VLOOKUP($B342,Korrigeringsfaktor_GD,'Korrigeringsfaktor GD'!I$1,FALSE),
"")</f>
        <v>23.206269499447586</v>
      </c>
      <c r="J342" s="18">
        <f>IFERROR(
                  Andel_oberoende_av_klimat*VLOOKUP($A342,Leveranser_per_nät,'Leveranser per nät'!J$1,FALSE)
               +Andel_beroende_av_klimat*VLOOKUP($A342,Leveranser_per_nät,'Leveranser per nät'!J$1,FALSE)/VLOOKUP($B342,Korrigeringsfaktor_GD,'Korrigeringsfaktor GD'!J$1,FALSE),
"")</f>
        <v>21.917244847257919</v>
      </c>
      <c r="K342" s="18">
        <f>IFERROR(
                  Andel_oberoende_av_klimat*VLOOKUP($A342,Leveranser_per_nät,'Leveranser per nät'!K$1,FALSE)
               +Andel_beroende_av_klimat*VLOOKUP($A342,Leveranser_per_nät,'Leveranser per nät'!K$1,FALSE)/VLOOKUP($B342,Korrigeringsfaktor_GD,'Korrigeringsfaktor GD'!K$1,FALSE),
"")</f>
        <v>20.970357142857139</v>
      </c>
      <c r="L342" s="18">
        <f>IFERROR(
                  Andel_oberoende_av_klimat*VLOOKUP($A342,Leveranser_per_nät,'Leveranser per nät'!L$1,FALSE)
               +Andel_beroende_av_klimat*VLOOKUP($A342,Leveranser_per_nät,'Leveranser per nät'!L$1,FALSE)/VLOOKUP($B342,Korrigeringsfaktor_GD,'Korrigeringsfaktor GD'!L$1,FALSE),
"")</f>
        <v>21.12542111751905</v>
      </c>
      <c r="M342" s="18">
        <f>IFERROR(
                  Andel_oberoende_av_klimat*VLOOKUP($A342,Leveranser_per_nät,'Leveranser per nät'!M$1,FALSE)
               +Andel_beroende_av_klimat*VLOOKUP($A342,Leveranser_per_nät,'Leveranser per nät'!M$1,FALSE)/VLOOKUP($B342,Korrigeringsfaktor_GD,'Korrigeringsfaktor GD'!M$1,FALSE),
"")</f>
        <v>21.277692307692305</v>
      </c>
      <c r="N342" s="18">
        <f>IFERROR(
                  Andel_oberoende_av_klimat*VLOOKUP($A342,Leveranser_per_nät,'Leveranser per nät'!N$1,FALSE)
               +Andel_beroende_av_klimat*VLOOKUP($A342,Leveranser_per_nät,'Leveranser per nät'!N$1,FALSE)/VLOOKUP($B342,Korrigeringsfaktor_GD,'Korrigeringsfaktor GD'!N$1,FALSE),
"")</f>
        <v>20.477777777777778</v>
      </c>
      <c r="O342" s="18">
        <f>IFERROR(
                  Andel_oberoende_av_klimat*VLOOKUP($A342,Leveranser_per_nät,'Leveranser per nät'!O$1,FALSE)
               +Andel_beroende_av_klimat*VLOOKUP($A342,Leveranser_per_nät,'Leveranser per nät'!O$1,FALSE)/VLOOKUP($B342,Korrigeringsfaktor_GD,'Korrigeringsfaktor GD'!O$1,FALSE),
"")</f>
        <v>18.796741573033707</v>
      </c>
      <c r="P342" s="18">
        <f>IFERROR(
                  Andel_oberoende_av_klimat*VLOOKUP($A342,Leveranser_per_nät,'Leveranser per nät'!P$1,FALSE)
               +Andel_beroende_av_klimat*VLOOKUP($A342,Leveranser_per_nät,'Leveranser per nät'!P$1,FALSE)/VLOOKUP($B342,Korrigeringsfaktor_GD,'Korrigeringsfaktor GD'!P$1,FALSE),
"")</f>
        <v>19.717835051546395</v>
      </c>
      <c r="Q342" s="18">
        <f>IFERROR(
                  Andel_oberoende_av_klimat*VLOOKUP($A342,Leveranser_per_nät,'Leveranser per nät'!Q$1,FALSE)
               +Andel_beroende_av_klimat*VLOOKUP($A342,Leveranser_per_nät,'Leveranser per nät'!Q$1,FALSE)/VLOOKUP($B342,Korrigeringsfaktor_GD,'Korrigeringsfaktor GD'!Q$1,FALSE),
"")</f>
        <v>19.702500000000001</v>
      </c>
      <c r="R342" s="18">
        <f>IFERROR(
                  Andel_oberoende_av_klimat*VLOOKUP($A342,Leveranser_per_nät,'Leveranser per nät'!R$1,FALSE)
               +Andel_beroende_av_klimat*VLOOKUP($A342,Leveranser_per_nät,'Leveranser per nät'!R$1,FALSE)/VLOOKUP($B342,Korrigeringsfaktor_GD,'Korrigeringsfaktor GD'!R$1,FALSE),
"")</f>
        <v>22.460638297872343</v>
      </c>
      <c r="S342" s="18">
        <f>IFERROR(
                  Andel_oberoende_av_klimat*VLOOKUP($A342,Leveranser_per_nät,'Leveranser per nät'!S$1,FALSE)
               +Andel_beroende_av_klimat*VLOOKUP($A342,Leveranser_per_nät,'Leveranser per nät'!S$1,FALSE)/VLOOKUP($B342,Korrigeringsfaktor_GD,'Korrigeringsfaktor GD'!S$1,FALSE),
"")</f>
        <v>17.676633663366335</v>
      </c>
      <c r="T342" s="18">
        <f>IFERROR(
                  Andel_oberoende_av_klimat*VLOOKUP($A342,Leveranser_per_nät,'Leveranser per nät'!T$1,FALSE)
               +Andel_beroende_av_klimat*VLOOKUP($A342,Leveranser_per_nät,'Leveranser per nät'!T$1,FALSE)/VLOOKUP($B342,Korrigeringsfaktor_GD,'Korrigeringsfaktor GD'!T$1,FALSE),
"")</f>
        <v>17.878865979381445</v>
      </c>
      <c r="U342" s="18">
        <f>IFERROR(
                  Andel_oberoende_av_klimat*VLOOKUP($A342,Leveranser_per_nät,'Leveranser per nät'!U$1,FALSE)
               +Andel_beroende_av_klimat*VLOOKUP($A342,Leveranser_per_nät,'Leveranser per nät'!U$1,FALSE)/VLOOKUP($B342,Korrigeringsfaktor_GD,'Korrigeringsfaktor GD'!U$1,FALSE),
"")</f>
        <v>17.214615384615385</v>
      </c>
      <c r="V342" s="18">
        <f>IFERROR(
                  Andel_oberoende_av_klimat*VLOOKUP($A342,Leveranser_per_nät,'Leveranser per nät'!V$1,FALSE)
               +Andel_beroende_av_klimat*VLOOKUP($A342,Leveranser_per_nät,'Leveranser per nät'!V$1,FALSE)/VLOOKUP($B342,Korrigeringsfaktor_GD,'Korrigeringsfaktor GD'!V$1,FALSE),
"")</f>
        <v>17.121264367816092</v>
      </c>
      <c r="W342" s="18">
        <f>IFERROR(
                  Andel_oberoende_av_klimat*VLOOKUP($A342,Leveranser_per_nät,'Leveranser per nät'!W$1,FALSE)
               +Andel_beroende_av_klimat*VLOOKUP($A342,Leveranser_per_nät,'Leveranser per nät'!W$1,FALSE)/VLOOKUP($B342,Korrigeringsfaktor_GD,'Korrigeringsfaktor GD'!W$1,FALSE),
"")</f>
        <v>17.074602150537633</v>
      </c>
      <c r="X342" s="18">
        <f>IFERROR(
                  Andel_oberoende_av_klimat*VLOOKUP($A342,Leveranser_per_nät,'Leveranser per nät'!X$1,FALSE)
               +Andel_beroende_av_klimat*VLOOKUP($A342,Leveranser_per_nät,'Leveranser per nät'!X$1,FALSE)/VLOOKUP($B342,Korrigeringsfaktor_GD,'Korrigeringsfaktor GD'!X$1,FALSE),
"")</f>
        <v>17.222984210526317</v>
      </c>
      <c r="Y342" s="18">
        <f>IFERROR(
                  Andel_oberoende_av_klimat*VLOOKUP($A342,Leveranser_per_nät,'Leveranser per nät'!Y$1,FALSE)
               +Andel_beroende_av_klimat*VLOOKUP($A342,Leveranser_per_nät,'Leveranser per nät'!Y$1,FALSE)/VLOOKUP($B342,Korrigeringsfaktor_GD,'Korrigeringsfaktor GD'!Y$1,FALSE),
"")</f>
        <v>16.815792307692305</v>
      </c>
      <c r="Z342" s="18">
        <f>IFERROR(
                  Andel_oberoende_av_klimat*VLOOKUP($A342,Leveranser_per_nät,'Leveranser per nät'!Z$1,FALSE)
               +Andel_beroende_av_klimat*VLOOKUP($A342,Leveranser_per_nät,'Leveranser per nät'!Z$1,FALSE)/VLOOKUP($B342,Korrigeringsfaktor_GD,'Korrigeringsfaktor GD'!Z$1,FALSE),
"")</f>
        <v>17.214773033707864</v>
      </c>
      <c r="AA342" s="18">
        <f>IFERROR(
                  Andel_oberoende_av_klimat*VLOOKUP($A342,Leveranser_per_nät,'Leveranser per nät'!AA$1,FALSE)
               +Andel_beroende_av_klimat*VLOOKUP($A342,Leveranser_per_nät,'Leveranser per nät'!AA$1,FALSE)/VLOOKUP($B342,Korrigeringsfaktor_GD,'Korrigeringsfaktor GD'!AA$1,FALSE),
"")</f>
        <v>16.866021951219516</v>
      </c>
      <c r="AB342" s="18">
        <f>IFERROR(
                  Andel_oberoende_av_klimat*VLOOKUP($A342,Leveranser_per_nät,'Leveranser per nät'!AB$1,FALSE)
               +Andel_beroende_av_klimat*VLOOKUP($A342,Leveranser_per_nät,'Leveranser per nät'!AB$1,FALSE)/VLOOKUP($B342,Korrigeringsfaktor_GD,'Korrigeringsfaktor GD'!AB$1,FALSE),
"")</f>
        <v>15.211311764705883</v>
      </c>
      <c r="AC342" s="18">
        <f>IFERROR(
                  Andel_oberoende_av_klimat*VLOOKUP($A342,Leveranser_per_nät,'Leveranser per nät'!AC$1,FALSE)
               +Andel_beroende_av_klimat*VLOOKUP($A342,Leveranser_per_nät,'Leveranser per nät'!AC$1,FALSE)/VLOOKUP($B342,Korrigeringsfaktor_GD,'Korrigeringsfaktor GD'!AC$1,FALSE),
"")</f>
        <v>14.954220735444331</v>
      </c>
      <c r="AD342">
        <v>174.447</v>
      </c>
    </row>
    <row r="343" spans="1:30" x14ac:dyDescent="0.25">
      <c r="A343" t="s">
        <v>278</v>
      </c>
      <c r="B343" t="s">
        <v>278</v>
      </c>
      <c r="C343" s="18">
        <f>IFERROR(
                  Andel_oberoende_av_klimat*VLOOKUP($A343,Leveranser_per_nät,'Leveranser per nät'!C$1,FALSE)
               +Andel_beroende_av_klimat*VLOOKUP($A343,Leveranser_per_nät,'Leveranser per nät'!C$1,FALSE)/VLOOKUP("Fagersta",Korrigeringsfaktor_GD,'Korrigeringsfaktor GD'!C$1,FALSE),
"")</f>
        <v>43.341284403669718</v>
      </c>
      <c r="D343" s="18">
        <f>IFERROR(
                  Andel_oberoende_av_klimat*VLOOKUP($A343,Leveranser_per_nät,'Leveranser per nät'!D$1,FALSE)
               +Andel_beroende_av_klimat*VLOOKUP($A343,Leveranser_per_nät,'Leveranser per nät'!D$1,FALSE)/VLOOKUP("Fagersta",Korrigeringsfaktor_GD,'Korrigeringsfaktor GD'!D$1,FALSE),
"")</f>
        <v>40.096333333333334</v>
      </c>
      <c r="E343" s="18">
        <f>IFERROR(
                  Andel_oberoende_av_klimat*VLOOKUP($A343,Leveranser_per_nät,'Leveranser per nät'!E$1,FALSE)
               +Andel_beroende_av_klimat*VLOOKUP($A343,Leveranser_per_nät,'Leveranser per nät'!E$1,FALSE)/VLOOKUP("Fagersta",Korrigeringsfaktor_GD,'Korrigeringsfaktor GD'!E$1,FALSE),
"")</f>
        <v>39.722772277227726</v>
      </c>
      <c r="F343" s="18">
        <f>IFERROR(
                  Andel_oberoende_av_klimat*VLOOKUP($A343,Leveranser_per_nät,'Leveranser per nät'!F$1,FALSE)
               +Andel_beroende_av_klimat*VLOOKUP($A343,Leveranser_per_nät,'Leveranser per nät'!F$1,FALSE)/VLOOKUP("Fagersta",Korrigeringsfaktor_GD,'Korrigeringsfaktor GD'!F$1,FALSE),
"")</f>
        <v>42.394462500000003</v>
      </c>
      <c r="G343" s="18">
        <f>IFERROR(
                  Andel_oberoende_av_klimat*VLOOKUP($A343,Leveranser_per_nät,'Leveranser per nät'!G$1,FALSE)
               +Andel_beroende_av_klimat*VLOOKUP($A343,Leveranser_per_nät,'Leveranser per nät'!G$1,FALSE)/VLOOKUP("Fagersta",Korrigeringsfaktor_GD,'Korrigeringsfaktor GD'!G$1,FALSE),
"")</f>
        <v>50.811494252873565</v>
      </c>
      <c r="H343" s="18">
        <f>IFERROR(
                  Andel_oberoende_av_klimat*VLOOKUP($A343,Leveranser_per_nät,'Leveranser per nät'!H$1,FALSE)
               +Andel_beroende_av_klimat*VLOOKUP($A343,Leveranser_per_nät,'Leveranser per nät'!H$1,FALSE)/VLOOKUP("Fagersta",Korrigeringsfaktor_GD,'Korrigeringsfaktor GD'!H$1,FALSE),
"")</f>
        <v>41.055</v>
      </c>
      <c r="I343" s="18">
        <f>IFERROR(
                  Andel_oberoende_av_klimat*VLOOKUP($A343,Leveranser_per_nät,'Leveranser per nät'!I$1,FALSE)
               +Andel_beroende_av_klimat*VLOOKUP($A343,Leveranser_per_nät,'Leveranser per nät'!I$1,FALSE)/VLOOKUP("Fagersta",Korrigeringsfaktor_GD,'Korrigeringsfaktor GD'!I$1,FALSE),
"")</f>
        <v>36.51428571428572</v>
      </c>
      <c r="J343" s="18">
        <f>IFERROR(
                  Andel_oberoende_av_klimat*VLOOKUP($A343,Leveranser_per_nät,'Leveranser per nät'!J$1,FALSE)
               +Andel_beroende_av_klimat*VLOOKUP($A343,Leveranser_per_nät,'Leveranser per nät'!J$1,FALSE)/VLOOKUP("Fagersta",Korrigeringsfaktor_GD,'Korrigeringsfaktor GD'!J$1,FALSE),
"")</f>
        <v>34.736082474226805</v>
      </c>
      <c r="K343" s="18">
        <f>IFERROR(
                  Andel_oberoende_av_klimat*VLOOKUP($A343,Leveranser_per_nät,'Leveranser per nät'!K$1,FALSE)
               +Andel_beroende_av_klimat*VLOOKUP($A343,Leveranser_per_nät,'Leveranser per nät'!K$1,FALSE)/VLOOKUP("Fagersta",Korrigeringsfaktor_GD,'Korrigeringsfaktor GD'!K$1,FALSE),
"")</f>
        <v>33.658242268041235</v>
      </c>
      <c r="L343" s="18">
        <f>IFERROR(
                  Andel_oberoende_av_klimat*VLOOKUP($A343,Leveranser_per_nät,'Leveranser per nät'!L$1,FALSE)
               +Andel_beroende_av_klimat*VLOOKUP($A343,Leveranser_per_nät,'Leveranser per nät'!L$1,FALSE)/VLOOKUP("Fagersta",Korrigeringsfaktor_GD,'Korrigeringsfaktor GD'!L$1,FALSE),
"")</f>
        <v>44.621977849462361</v>
      </c>
      <c r="M343" s="18">
        <f>IFERROR(
                  Andel_oberoende_av_klimat*VLOOKUP($A343,Leveranser_per_nät,'Leveranser per nät'!M$1,FALSE)
               +Andel_beroende_av_klimat*VLOOKUP($A343,Leveranser_per_nät,'Leveranser per nät'!M$1,FALSE)/VLOOKUP("Fagersta",Korrigeringsfaktor_GD,'Korrigeringsfaktor GD'!M$1,FALSE),
"")</f>
        <v>44.768695652173918</v>
      </c>
      <c r="N343" s="18">
        <f>IFERROR(
                  Andel_oberoende_av_klimat*VLOOKUP($A343,Leveranser_per_nät,'Leveranser per nät'!N$1,FALSE)
               +Andel_beroende_av_klimat*VLOOKUP($A343,Leveranser_per_nät,'Leveranser per nät'!N$1,FALSE)/VLOOKUP("Fagersta",Korrigeringsfaktor_GD,'Korrigeringsfaktor GD'!N$1,FALSE),
"")</f>
        <v>44.423440860215052</v>
      </c>
      <c r="O343" s="18">
        <f>IFERROR(
                  Andel_oberoende_av_klimat*VLOOKUP($A343,Leveranser_per_nät,'Leveranser per nät'!O$1,FALSE)
               +Andel_beroende_av_klimat*VLOOKUP($A343,Leveranser_per_nät,'Leveranser per nät'!O$1,FALSE)/VLOOKUP("Fagersta",Korrigeringsfaktor_GD,'Korrigeringsfaktor GD'!O$1,FALSE),
"")</f>
        <v>45.482222222222227</v>
      </c>
      <c r="P343" s="18">
        <f>IFERROR(
                  Andel_oberoende_av_klimat*VLOOKUP($A343,Leveranser_per_nät,'Leveranser per nät'!P$1,FALSE)
               +Andel_beroende_av_klimat*VLOOKUP($A343,Leveranser_per_nät,'Leveranser per nät'!P$1,FALSE)/VLOOKUP("Fagersta",Korrigeringsfaktor_GD,'Korrigeringsfaktor GD'!P$1,FALSE),
"")</f>
        <v>44.713939393939391</v>
      </c>
      <c r="Q343" s="18">
        <f>IFERROR(
                  Andel_oberoende_av_klimat*VLOOKUP($A343,Leveranser_per_nät,'Leveranser per nät'!Q$1,FALSE)
               +Andel_beroende_av_klimat*VLOOKUP($A343,Leveranser_per_nät,'Leveranser per nät'!Q$1,FALSE)/VLOOKUP("Fagersta",Korrigeringsfaktor_GD,'Korrigeringsfaktor GD'!Q$1,FALSE),
"")</f>
        <v>45.525652173913052</v>
      </c>
      <c r="R343" s="18">
        <f>IFERROR(
                  Andel_oberoende_av_klimat*VLOOKUP($A343,Leveranser_per_nät,'Leveranser per nät'!R$1,FALSE)
               +Andel_beroende_av_klimat*VLOOKUP($A343,Leveranser_per_nät,'Leveranser per nät'!R$1,FALSE)/VLOOKUP("Fagersta",Korrigeringsfaktor_GD,'Korrigeringsfaktor GD'!R$1,FALSE),
"")</f>
        <v>43.434444444444445</v>
      </c>
      <c r="S343" s="18">
        <f>IFERROR(
                  Andel_oberoende_av_klimat*VLOOKUP($A343,Leveranser_per_nät,'Leveranser per nät'!S$1,FALSE)
               +Andel_beroende_av_klimat*VLOOKUP($A343,Leveranser_per_nät,'Leveranser per nät'!S$1,FALSE)/VLOOKUP("Fagersta",Korrigeringsfaktor_GD,'Korrigeringsfaktor GD'!S$1,FALSE),
"")</f>
        <v>45</v>
      </c>
      <c r="T343" s="18">
        <f>IFERROR(
                  Andel_oberoende_av_klimat*VLOOKUP($A343,Leveranser_per_nät,'Leveranser per nät'!T$1,FALSE)
               +Andel_beroende_av_klimat*VLOOKUP($A343,Leveranser_per_nät,'Leveranser per nät'!T$1,FALSE)/VLOOKUP("Fagersta",Korrigeringsfaktor_GD,'Korrigeringsfaktor GD'!T$1,FALSE),
"")</f>
        <v>43.696155263157898</v>
      </c>
      <c r="U343" s="18">
        <f>IFERROR(
                  Andel_oberoende_av_klimat*VLOOKUP($A343,Leveranser_per_nät,'Leveranser per nät'!U$1,FALSE)
               +Andel_beroende_av_klimat*VLOOKUP($A343,Leveranser_per_nät,'Leveranser per nät'!U$1,FALSE)/VLOOKUP("Fagersta",Korrigeringsfaktor_GD,'Korrigeringsfaktor GD'!U$1,FALSE),
"")</f>
        <v>42.342655555555552</v>
      </c>
      <c r="V343" s="18">
        <f>IFERROR(
                  Andel_oberoende_av_klimat*VLOOKUP($A343,Leveranser_per_nät,'Leveranser per nät'!V$1,FALSE)
               +Andel_beroende_av_klimat*VLOOKUP($A343,Leveranser_per_nät,'Leveranser per nät'!V$1,FALSE)/VLOOKUP("Fagersta",Korrigeringsfaktor_GD,'Korrigeringsfaktor GD'!V$1,FALSE),
"")</f>
        <v>41.846000000000004</v>
      </c>
      <c r="W343" s="18">
        <f>IFERROR(
                  Andel_oberoende_av_klimat*VLOOKUP($A343,Leveranser_per_nät,'Leveranser per nät'!W$1,FALSE)
               +Andel_beroende_av_klimat*VLOOKUP($A343,Leveranser_per_nät,'Leveranser per nät'!W$1,FALSE)/VLOOKUP("Fagersta",Korrigeringsfaktor_GD,'Korrigeringsfaktor GD'!W$1,FALSE),
"")</f>
        <v>43.916624742268041</v>
      </c>
      <c r="X343" s="18">
        <f>IFERROR(
                  Andel_oberoende_av_klimat*VLOOKUP($A343,Leveranser_per_nät,'Leveranser per nät'!X$1,FALSE)
               +Andel_beroende_av_klimat*VLOOKUP($A343,Leveranser_per_nät,'Leveranser per nät'!X$1,FALSE)/VLOOKUP("Fagersta",Korrigeringsfaktor_GD,'Korrigeringsfaktor GD'!X$1,FALSE),
"")</f>
        <v>43.653039175257732</v>
      </c>
      <c r="Y343" s="18">
        <f>IFERROR(
                  Andel_oberoende_av_klimat*VLOOKUP($A343,Leveranser_per_nät,'Leveranser per nät'!Y$1,FALSE)
               +Andel_beroende_av_klimat*VLOOKUP($A343,Leveranser_per_nät,'Leveranser per nät'!Y$1,FALSE)/VLOOKUP($B343,Korrigeringsfaktor_GD,'Korrigeringsfaktor GD'!Y$1,FALSE),
"")</f>
        <v>44.79572631578948</v>
      </c>
      <c r="Z343" s="18">
        <f>IFERROR(
                  Andel_oberoende_av_klimat*VLOOKUP($A343,Leveranser_per_nät,'Leveranser per nät'!Z$1,FALSE)
               +Andel_beroende_av_klimat*VLOOKUP($A343,Leveranser_per_nät,'Leveranser per nät'!Z$1,FALSE)/VLOOKUP($B343,Korrigeringsfaktor_GD,'Korrigeringsfaktor GD'!Z$1,FALSE),
"")</f>
        <v>45.913333333333334</v>
      </c>
      <c r="AA343" s="18">
        <f>IFERROR(
                  Andel_oberoende_av_klimat*VLOOKUP($A343,Leveranser_per_nät,'Leveranser per nät'!AA$1,FALSE)
               +Andel_beroende_av_klimat*VLOOKUP($A343,Leveranser_per_nät,'Leveranser per nät'!AA$1,FALSE)/VLOOKUP($B343,Korrigeringsfaktor_GD,'Korrigeringsfaktor GD'!AA$1,FALSE),
"")</f>
        <v>45.107289245156977</v>
      </c>
      <c r="AB343" s="18">
        <f>IFERROR(
                  Andel_oberoende_av_klimat*VLOOKUP($A343,Leveranser_per_nät,'Leveranser per nät'!AB$1,FALSE)
               +Andel_beroende_av_klimat*VLOOKUP($A343,Leveranser_per_nät,'Leveranser per nät'!AB$1,FALSE)/VLOOKUP($B343,Korrigeringsfaktor_GD,'Korrigeringsfaktor GD'!AB$1,FALSE),
"")</f>
        <v>44.145200000000003</v>
      </c>
      <c r="AC343" s="18">
        <f>IFERROR(
                  Andel_oberoende_av_klimat*VLOOKUP($A343,Leveranser_per_nät,'Leveranser per nät'!AC$1,FALSE)
               +Andel_beroende_av_klimat*VLOOKUP($A343,Leveranser_per_nät,'Leveranser per nät'!AC$1,FALSE)/VLOOKUP($B343,Korrigeringsfaktor_GD,'Korrigeringsfaktor GD'!AC$1,FALSE),
"")</f>
        <v>42.55140561914672</v>
      </c>
      <c r="AD343">
        <v>41.375999999999998</v>
      </c>
    </row>
    <row r="344" spans="1:30" x14ac:dyDescent="0.25">
      <c r="A344" t="s">
        <v>931</v>
      </c>
      <c r="B344" t="s">
        <v>443</v>
      </c>
      <c r="C344" s="18"/>
      <c r="D344" s="18"/>
      <c r="E344" s="18"/>
      <c r="F344" s="18"/>
      <c r="G344" s="18"/>
      <c r="H344" s="18"/>
      <c r="I344" s="18"/>
      <c r="J344" s="18"/>
      <c r="K344" s="18"/>
      <c r="L344" s="18"/>
      <c r="M344" s="18"/>
      <c r="N344" s="18"/>
      <c r="O344" s="18"/>
      <c r="P344" s="18"/>
      <c r="Q344" s="18"/>
      <c r="R344" s="18"/>
      <c r="S344" s="18"/>
      <c r="T344" s="18"/>
      <c r="U344" s="18"/>
      <c r="V344" s="18"/>
      <c r="W344" s="18" t="str">
        <f>IFERROR(
                  Andel_oberoende_av_klimat*VLOOKUP($A344,Leveranser_per_nät,'Leveranser per nät'!W$1,FALSE)
               +Andel_beroende_av_klimat*VLOOKUP($A344,Leveranser_per_nät,'Leveranser per nät'!W$1,FALSE)/VLOOKUP($B344,Korrigeringsfaktor_GD,'Korrigeringsfaktor GD'!W$1,FALSE),
"")</f>
        <v/>
      </c>
      <c r="X344" s="18">
        <f>IFERROR(
                  Andel_oberoende_av_klimat*VLOOKUP($A344,Leveranser_per_nät,'Leveranser per nät'!X$1,FALSE)
               +Andel_beroende_av_klimat*VLOOKUP($A344,Leveranser_per_nät,'Leveranser per nät'!X$1,FALSE)/VLOOKUP($B344,Korrigeringsfaktor_GD,'Korrigeringsfaktor GD'!X$1,FALSE),
"")</f>
        <v>0</v>
      </c>
      <c r="Y344" s="18">
        <f>IFERROR(
                  Andel_oberoende_av_klimat*VLOOKUP($A344,Leveranser_per_nät,'Leveranser per nät'!Y$1,FALSE)
               +Andel_beroende_av_klimat*VLOOKUP($A344,Leveranser_per_nät,'Leveranser per nät'!Y$1,FALSE)/VLOOKUP($B344,Korrigeringsfaktor_GD,'Korrigeringsfaktor GD'!Y$1,FALSE),
"")</f>
        <v>3.2665000000000002</v>
      </c>
      <c r="Z344" s="18">
        <f>IFERROR(
                  Andel_oberoende_av_klimat*VLOOKUP($A344,Leveranser_per_nät,'Leveranser per nät'!Z$1,FALSE)
               +Andel_beroende_av_klimat*VLOOKUP($A344,Leveranser_per_nät,'Leveranser per nät'!Z$1,FALSE)/VLOOKUP($B344,Korrigeringsfaktor_GD,'Korrigeringsfaktor GD'!Z$1,FALSE),
"")</f>
        <v>6.8896033707865172</v>
      </c>
      <c r="AA344" s="18">
        <f>IFERROR(
                  Andel_oberoende_av_klimat*VLOOKUP($A344,Leveranser_per_nät,'Leveranser per nät'!AA$1,FALSE)
               +Andel_beroende_av_klimat*VLOOKUP($A344,Leveranser_per_nät,'Leveranser per nät'!AA$1,FALSE)/VLOOKUP($B344,Korrigeringsfaktor_GD,'Korrigeringsfaktor GD'!AA$1,FALSE),
"")</f>
        <v>7.5042187024284157</v>
      </c>
      <c r="AB344" s="18">
        <f>IFERROR(
                  Andel_oberoende_av_klimat*VLOOKUP($A344,Leveranser_per_nät,'Leveranser per nät'!AB$1,FALSE)
               +Andel_beroende_av_klimat*VLOOKUP($A344,Leveranser_per_nät,'Leveranser per nät'!AB$1,FALSE)/VLOOKUP($B344,Korrigeringsfaktor_GD,'Korrigeringsfaktor GD'!AB$1,FALSE),
"")</f>
        <v>7.2224944881889765</v>
      </c>
      <c r="AC344" s="18">
        <f>IFERROR(
                  Andel_oberoende_av_klimat*VLOOKUP($A344,Leveranser_per_nät,'Leveranser per nät'!AC$1,FALSE)
               +Andel_beroende_av_klimat*VLOOKUP($A344,Leveranser_per_nät,'Leveranser per nät'!AC$1,FALSE)/VLOOKUP($B344,Korrigeringsfaktor_GD,'Korrigeringsfaktor GD'!AC$1,FALSE),
"")</f>
        <v>7.2449882352941177</v>
      </c>
      <c r="AD344">
        <v>44.570999999999998</v>
      </c>
    </row>
    <row r="345" spans="1:30" x14ac:dyDescent="0.25">
      <c r="A345" t="s">
        <v>49</v>
      </c>
      <c r="B345" t="s">
        <v>49</v>
      </c>
      <c r="C345" s="18">
        <f>IFERROR(
                  Andel_oberoende_av_klimat*VLOOKUP($A345,Leveranser_per_nät,'Leveranser per nät'!C$1,FALSE)
               +Andel_beroende_av_klimat*VLOOKUP($A345,Leveranser_per_nät,'Leveranser per nät'!C$1,FALSE)/VLOOKUP($B345,Korrigeringsfaktor_GD,'Korrigeringsfaktor GD'!C$1,FALSE),
"")</f>
        <v>58.58301886792453</v>
      </c>
      <c r="D345" s="18">
        <f>IFERROR(
                  Andel_oberoende_av_klimat*VLOOKUP($A345,Leveranser_per_nät,'Leveranser per nät'!D$1,FALSE)
               +Andel_beroende_av_klimat*VLOOKUP($A345,Leveranser_per_nät,'Leveranser per nät'!D$1,FALSE)/VLOOKUP($B345,Korrigeringsfaktor_GD,'Korrigeringsfaktor GD'!D$1,FALSE),
"")</f>
        <v>66.796893617021283</v>
      </c>
      <c r="E345" s="18">
        <f>IFERROR(
                  Andel_oberoende_av_klimat*VLOOKUP($A345,Leveranser_per_nät,'Leveranser per nät'!E$1,FALSE)
               +Andel_beroende_av_klimat*VLOOKUP($A345,Leveranser_per_nät,'Leveranser per nät'!E$1,FALSE)/VLOOKUP($B345,Korrigeringsfaktor_GD,'Korrigeringsfaktor GD'!E$1,FALSE),
"")</f>
        <v>58.942841414141427</v>
      </c>
      <c r="F345" s="18">
        <f>IFERROR(
                  Andel_oberoende_av_klimat*VLOOKUP($A345,Leveranser_per_nät,'Leveranser per nät'!F$1,FALSE)
               +Andel_beroende_av_klimat*VLOOKUP($A345,Leveranser_per_nät,'Leveranser per nät'!F$1,FALSE)/VLOOKUP($B345,Korrigeringsfaktor_GD,'Korrigeringsfaktor GD'!F$1,FALSE),
"")</f>
        <v>61.878452525252527</v>
      </c>
      <c r="G345" s="18">
        <f>IFERROR(
                  Andel_oberoende_av_klimat*VLOOKUP($A345,Leveranser_per_nät,'Leveranser per nät'!G$1,FALSE)
               +Andel_beroende_av_klimat*VLOOKUP($A345,Leveranser_per_nät,'Leveranser per nät'!G$1,FALSE)/VLOOKUP($B345,Korrigeringsfaktor_GD,'Korrigeringsfaktor GD'!G$1,FALSE),
"")</f>
        <v>65.245337078651687</v>
      </c>
      <c r="H345" s="18">
        <f>IFERROR(
                  Andel_oberoende_av_klimat*VLOOKUP($A345,Leveranser_per_nät,'Leveranser per nät'!H$1,FALSE)
               +Andel_beroende_av_klimat*VLOOKUP($A345,Leveranser_per_nät,'Leveranser per nät'!H$1,FALSE)/VLOOKUP($B345,Korrigeringsfaktor_GD,'Korrigeringsfaktor GD'!H$1,FALSE),
"")</f>
        <v>66.468000000000004</v>
      </c>
      <c r="I345" s="18">
        <f>IFERROR(
                  Andel_oberoende_av_klimat*VLOOKUP($A345,Leveranser_per_nät,'Leveranser per nät'!I$1,FALSE)
               +Andel_beroende_av_klimat*VLOOKUP($A345,Leveranser_per_nät,'Leveranser per nät'!I$1,FALSE)/VLOOKUP($B345,Korrigeringsfaktor_GD,'Korrigeringsfaktor GD'!I$1,FALSE),
"")</f>
        <v>68.638947368421057</v>
      </c>
      <c r="J345" s="18">
        <f>IFERROR(
                  Andel_oberoende_av_klimat*VLOOKUP($A345,Leveranser_per_nät,'Leveranser per nät'!J$1,FALSE)
               +Andel_beroende_av_klimat*VLOOKUP($A345,Leveranser_per_nät,'Leveranser per nät'!J$1,FALSE)/VLOOKUP($B345,Korrigeringsfaktor_GD,'Korrigeringsfaktor GD'!J$1,FALSE),
"")</f>
        <v>70.939142857142855</v>
      </c>
      <c r="K345" s="18">
        <f>IFERROR(
                  Andel_oberoende_av_klimat*VLOOKUP($A345,Leveranser_per_nät,'Leveranser per nät'!K$1,FALSE)
               +Andel_beroende_av_klimat*VLOOKUP($A345,Leveranser_per_nät,'Leveranser per nät'!K$1,FALSE)/VLOOKUP($B345,Korrigeringsfaktor_GD,'Korrigeringsfaktor GD'!K$1,FALSE),
"")</f>
        <v>71.454164948453609</v>
      </c>
      <c r="L345" s="18">
        <f>IFERROR(
                  Andel_oberoende_av_klimat*VLOOKUP($A345,Leveranser_per_nät,'Leveranser per nät'!L$1,FALSE)
               +Andel_beroende_av_klimat*VLOOKUP($A345,Leveranser_per_nät,'Leveranser per nät'!L$1,FALSE)/VLOOKUP($B345,Korrigeringsfaktor_GD,'Korrigeringsfaktor GD'!L$1,FALSE),
"")</f>
        <v>92.795919473650883</v>
      </c>
      <c r="M345" s="18">
        <f>IFERROR(
                  Andel_oberoende_av_klimat*VLOOKUP($A345,Leveranser_per_nät,'Leveranser per nät'!M$1,FALSE)
               +Andel_beroende_av_klimat*VLOOKUP($A345,Leveranser_per_nät,'Leveranser per nät'!M$1,FALSE)/VLOOKUP($B345,Korrigeringsfaktor_GD,'Korrigeringsfaktor GD'!M$1,FALSE),
"")</f>
        <v>64.046923076923079</v>
      </c>
      <c r="N345" s="18">
        <f>IFERROR(
                  Andel_oberoende_av_klimat*VLOOKUP($A345,Leveranser_per_nät,'Leveranser per nät'!N$1,FALSE)
               +Andel_beroende_av_klimat*VLOOKUP($A345,Leveranser_per_nät,'Leveranser per nät'!N$1,FALSE)/VLOOKUP($B345,Korrigeringsfaktor_GD,'Korrigeringsfaktor GD'!N$1,FALSE),
"")</f>
        <v>67.904255319148945</v>
      </c>
      <c r="O345" s="18">
        <f>IFERROR(
                  Andel_oberoende_av_klimat*VLOOKUP($A345,Leveranser_per_nät,'Leveranser per nät'!O$1,FALSE)
               +Andel_beroende_av_klimat*VLOOKUP($A345,Leveranser_per_nät,'Leveranser per nät'!O$1,FALSE)/VLOOKUP($B345,Korrigeringsfaktor_GD,'Korrigeringsfaktor GD'!O$1,FALSE),
"")</f>
        <v>62.909565217391304</v>
      </c>
      <c r="P345" s="18">
        <f>IFERROR(
                  Andel_oberoende_av_klimat*VLOOKUP($A345,Leveranser_per_nät,'Leveranser per nät'!P$1,FALSE)
               +Andel_beroende_av_klimat*VLOOKUP($A345,Leveranser_per_nät,'Leveranser per nät'!P$1,FALSE)/VLOOKUP($B345,Korrigeringsfaktor_GD,'Korrigeringsfaktor GD'!P$1,FALSE),
"")</f>
        <v>63.445454545454538</v>
      </c>
      <c r="Q345" s="18">
        <f>IFERROR(
                  Andel_oberoende_av_klimat*VLOOKUP($A345,Leveranser_per_nät,'Leveranser per nät'!Q$1,FALSE)
               +Andel_beroende_av_klimat*VLOOKUP($A345,Leveranser_per_nät,'Leveranser per nät'!Q$1,FALSE)/VLOOKUP($B345,Korrigeringsfaktor_GD,'Korrigeringsfaktor GD'!Q$1,FALSE),
"")</f>
        <v>64.896491228070175</v>
      </c>
      <c r="R345" s="18">
        <f>IFERROR(
                  Andel_oberoende_av_klimat*VLOOKUP($A345,Leveranser_per_nät,'Leveranser per nät'!R$1,FALSE)
               +Andel_beroende_av_klimat*VLOOKUP($A345,Leveranser_per_nät,'Leveranser per nät'!R$1,FALSE)/VLOOKUP($B345,Korrigeringsfaktor_GD,'Korrigeringsfaktor GD'!R$1,FALSE),
"")</f>
        <v>60.486384615384615</v>
      </c>
      <c r="S345" s="18">
        <f>IFERROR(
                  Andel_oberoende_av_klimat*VLOOKUP($A345,Leveranser_per_nät,'Leveranser per nät'!S$1,FALSE)
               +Andel_beroende_av_klimat*VLOOKUP($A345,Leveranser_per_nät,'Leveranser per nät'!S$1,FALSE)/VLOOKUP($B345,Korrigeringsfaktor_GD,'Korrigeringsfaktor GD'!S$1,FALSE),
"")</f>
        <v>61.431313131313132</v>
      </c>
      <c r="T345" s="18">
        <f>IFERROR(
                  Andel_oberoende_av_klimat*VLOOKUP($A345,Leveranser_per_nät,'Leveranser per nät'!T$1,FALSE)
               +Andel_beroende_av_klimat*VLOOKUP($A345,Leveranser_per_nät,'Leveranser per nät'!T$1,FALSE)/VLOOKUP($B345,Korrigeringsfaktor_GD,'Korrigeringsfaktor GD'!T$1,FALSE),
"")</f>
        <v>60.15965263157895</v>
      </c>
      <c r="U345" s="18">
        <f>IFERROR(
                  Andel_oberoende_av_klimat*VLOOKUP($A345,Leveranser_per_nät,'Leveranser per nät'!U$1,FALSE)
               +Andel_beroende_av_klimat*VLOOKUP($A345,Leveranser_per_nät,'Leveranser per nät'!U$1,FALSE)/VLOOKUP($B345,Korrigeringsfaktor_GD,'Korrigeringsfaktor GD'!U$1,FALSE),
"")</f>
        <v>59.806233707865161</v>
      </c>
      <c r="V345" s="18">
        <f>IFERROR(
                  Andel_oberoende_av_klimat*VLOOKUP($A345,Leveranser_per_nät,'Leveranser per nät'!V$1,FALSE)
               +Andel_beroende_av_klimat*VLOOKUP($A345,Leveranser_per_nät,'Leveranser per nät'!V$1,FALSE)/VLOOKUP($B345,Korrigeringsfaktor_GD,'Korrigeringsfaktor GD'!V$1,FALSE),
"")</f>
        <v>58.34782608695653</v>
      </c>
      <c r="W345" s="18">
        <f>IFERROR(
                  Andel_oberoende_av_klimat*VLOOKUP($A345,Leveranser_per_nät,'Leveranser per nät'!W$1,FALSE)
               +Andel_beroende_av_klimat*VLOOKUP($A345,Leveranser_per_nät,'Leveranser per nät'!W$1,FALSE)/VLOOKUP($B345,Korrigeringsfaktor_GD,'Korrigeringsfaktor GD'!W$1,FALSE),
"")</f>
        <v>61.129191919191925</v>
      </c>
      <c r="X345" s="18">
        <f>IFERROR(
                  Andel_oberoende_av_klimat*VLOOKUP($A345,Leveranser_per_nät,'Leveranser per nät'!X$1,FALSE)
               +Andel_beroende_av_klimat*VLOOKUP($A345,Leveranser_per_nät,'Leveranser per nät'!X$1,FALSE)/VLOOKUP($B345,Korrigeringsfaktor_GD,'Korrigeringsfaktor GD'!X$1,FALSE),
"")</f>
        <v>61.26917474747475</v>
      </c>
      <c r="Y345" s="18">
        <f>IFERROR(
                  Andel_oberoende_av_klimat*VLOOKUP($A345,Leveranser_per_nät,'Leveranser per nät'!Y$1,FALSE)
               +Andel_beroende_av_klimat*VLOOKUP($A345,Leveranser_per_nät,'Leveranser per nät'!Y$1,FALSE)/VLOOKUP($B345,Korrigeringsfaktor_GD,'Korrigeringsfaktor GD'!Y$1,FALSE),
"")</f>
        <v>61.669603960396039</v>
      </c>
      <c r="Z345" s="18">
        <f>IFERROR(
                  Andel_oberoende_av_klimat*VLOOKUP($A345,Leveranser_per_nät,'Leveranser per nät'!Z$1,FALSE)
               +Andel_beroende_av_klimat*VLOOKUP($A345,Leveranser_per_nät,'Leveranser per nät'!Z$1,FALSE)/VLOOKUP($B345,Korrigeringsfaktor_GD,'Korrigeringsfaktor GD'!Z$1,FALSE),
"")</f>
        <v>65.421640909090911</v>
      </c>
      <c r="AA345" s="18">
        <f>IFERROR(
                  Andel_oberoende_av_klimat*VLOOKUP($A345,Leveranser_per_nät,'Leveranser per nät'!AA$1,FALSE)
               +Andel_beroende_av_klimat*VLOOKUP($A345,Leveranser_per_nät,'Leveranser per nät'!AA$1,FALSE)/VLOOKUP($B345,Korrigeringsfaktor_GD,'Korrigeringsfaktor GD'!AA$1,FALSE),
"")</f>
        <v>61.20044326710817</v>
      </c>
      <c r="AB345" s="18">
        <f>IFERROR(
                  Andel_oberoende_av_klimat*VLOOKUP($A345,Leveranser_per_nät,'Leveranser per nät'!AB$1,FALSE)
               +Andel_beroende_av_klimat*VLOOKUP($A345,Leveranser_per_nät,'Leveranser per nät'!AB$1,FALSE)/VLOOKUP($B345,Korrigeringsfaktor_GD,'Korrigeringsfaktor GD'!AB$1,FALSE),
"")</f>
        <v>61.251496832579186</v>
      </c>
      <c r="AC345" s="18">
        <f>IFERROR(
                  Andel_oberoende_av_klimat*VLOOKUP($A345,Leveranser_per_nät,'Leveranser per nät'!AC$1,FALSE)
               +Andel_beroende_av_klimat*VLOOKUP($A345,Leveranser_per_nät,'Leveranser per nät'!AC$1,FALSE)/VLOOKUP($B345,Korrigeringsfaktor_GD,'Korrigeringsfaktor GD'!AC$1,FALSE),
"")</f>
        <v>61.131935135135123</v>
      </c>
      <c r="AD345">
        <v>62.655999999999999</v>
      </c>
    </row>
    <row r="346" spans="1:30" x14ac:dyDescent="0.25">
      <c r="A346" t="s">
        <v>280</v>
      </c>
      <c r="B346" t="s">
        <v>280</v>
      </c>
      <c r="C346" s="18">
        <f>IFERROR(
                  Andel_oberoende_av_klimat*VLOOKUP($A346,Leveranser_per_nät,'Leveranser per nät'!C$1,FALSE)
               +Andel_beroende_av_klimat*VLOOKUP($A346,Leveranser_per_nät,'Leveranser per nät'!C$1,FALSE)/VLOOKUP($B346,Korrigeringsfaktor_GD,'Korrigeringsfaktor GD'!C$1,FALSE),
"")</f>
        <v>280.11981981981978</v>
      </c>
      <c r="D346" s="18">
        <f>IFERROR(
                  Andel_oberoende_av_klimat*VLOOKUP($A346,Leveranser_per_nät,'Leveranser per nät'!D$1,FALSE)
               +Andel_beroende_av_klimat*VLOOKUP($A346,Leveranser_per_nät,'Leveranser per nät'!D$1,FALSE)/VLOOKUP($B346,Korrigeringsfaktor_GD,'Korrigeringsfaktor GD'!D$1,FALSE),
"")</f>
        <v>285.51461616161617</v>
      </c>
      <c r="E346" s="18">
        <f>IFERROR(
                  Andel_oberoende_av_klimat*VLOOKUP($A346,Leveranser_per_nät,'Leveranser per nät'!E$1,FALSE)
               +Andel_beroende_av_klimat*VLOOKUP($A346,Leveranser_per_nät,'Leveranser per nät'!E$1,FALSE)/VLOOKUP($B346,Korrigeringsfaktor_GD,'Korrigeringsfaktor GD'!E$1,FALSE),
"")</f>
        <v>285.0333333333333</v>
      </c>
      <c r="F346" s="18">
        <f>IFERROR(
                  Andel_oberoende_av_klimat*VLOOKUP($A346,Leveranser_per_nät,'Leveranser per nät'!F$1,FALSE)
               +Andel_beroende_av_klimat*VLOOKUP($A346,Leveranser_per_nät,'Leveranser per nät'!F$1,FALSE)/VLOOKUP($B346,Korrigeringsfaktor_GD,'Korrigeringsfaktor GD'!F$1,FALSE),
"")</f>
        <v>295.80537634408597</v>
      </c>
      <c r="G346" s="18">
        <f>IFERROR(
                  Andel_oberoende_av_klimat*VLOOKUP($A346,Leveranser_per_nät,'Leveranser per nät'!G$1,FALSE)
               +Andel_beroende_av_klimat*VLOOKUP($A346,Leveranser_per_nät,'Leveranser per nät'!G$1,FALSE)/VLOOKUP($B346,Korrigeringsfaktor_GD,'Korrigeringsfaktor GD'!G$1,FALSE),
"")</f>
        <v>304.5363636363636</v>
      </c>
      <c r="H346" s="18">
        <f>IFERROR(
                  Andel_oberoende_av_klimat*VLOOKUP($A346,Leveranser_per_nät,'Leveranser per nät'!H$1,FALSE)
               +Andel_beroende_av_klimat*VLOOKUP($A346,Leveranser_per_nät,'Leveranser per nät'!H$1,FALSE)/VLOOKUP($B346,Korrigeringsfaktor_GD,'Korrigeringsfaktor GD'!H$1,FALSE),
"")</f>
        <v>302.25714285714287</v>
      </c>
      <c r="I346" s="18">
        <f>IFERROR(
                  Andel_oberoende_av_klimat*VLOOKUP($A346,Leveranser_per_nät,'Leveranser per nät'!I$1,FALSE)
               +Andel_beroende_av_klimat*VLOOKUP($A346,Leveranser_per_nät,'Leveranser per nät'!I$1,FALSE)/VLOOKUP($B346,Korrigeringsfaktor_GD,'Korrigeringsfaktor GD'!I$1,FALSE),
"")</f>
        <v>304.45154639175257</v>
      </c>
      <c r="J346" s="18">
        <f>IFERROR(
                  Andel_oberoende_av_klimat*VLOOKUP($A346,Leveranser_per_nät,'Leveranser per nät'!J$1,FALSE)
               +Andel_beroende_av_klimat*VLOOKUP($A346,Leveranser_per_nät,'Leveranser per nät'!J$1,FALSE)/VLOOKUP($B346,Korrigeringsfaktor_GD,'Korrigeringsfaktor GD'!J$1,FALSE),
"")</f>
        <v>310.17777777777781</v>
      </c>
      <c r="K346" s="18">
        <f>IFERROR(
                  Andel_oberoende_av_klimat*VLOOKUP($A346,Leveranser_per_nät,'Leveranser per nät'!K$1,FALSE)
               +Andel_beroende_av_klimat*VLOOKUP($A346,Leveranser_per_nät,'Leveranser per nät'!K$1,FALSE)/VLOOKUP($B346,Korrigeringsfaktor_GD,'Korrigeringsfaktor GD'!K$1,FALSE),
"")</f>
        <v>305.79294285714286</v>
      </c>
      <c r="L346" s="18">
        <f>IFERROR(
                  Andel_oberoende_av_klimat*VLOOKUP($A346,Leveranser_per_nät,'Leveranser per nät'!L$1,FALSE)
               +Andel_beroende_av_klimat*VLOOKUP($A346,Leveranser_per_nät,'Leveranser per nät'!L$1,FALSE)/VLOOKUP($B346,Korrigeringsfaktor_GD,'Korrigeringsfaktor GD'!L$1,FALSE),
"")</f>
        <v>308.95924736842107</v>
      </c>
      <c r="M346" s="18">
        <f>IFERROR(
                  Andel_oberoende_av_klimat*VLOOKUP($A346,Leveranser_per_nät,'Leveranser per nät'!M$1,FALSE)
               +Andel_beroende_av_klimat*VLOOKUP($A346,Leveranser_per_nät,'Leveranser per nät'!M$1,FALSE)/VLOOKUP($B346,Korrigeringsfaktor_GD,'Korrigeringsfaktor GD'!M$1,FALSE),
"")</f>
        <v>311.68347826086961</v>
      </c>
      <c r="N346" s="18">
        <f>IFERROR(
                  Andel_oberoende_av_klimat*VLOOKUP($A346,Leveranser_per_nät,'Leveranser per nät'!N$1,FALSE)
               +Andel_beroende_av_klimat*VLOOKUP($A346,Leveranser_per_nät,'Leveranser per nät'!N$1,FALSE)/VLOOKUP($B346,Korrigeringsfaktor_GD,'Korrigeringsfaktor GD'!N$1,FALSE),
"")</f>
        <v>312.95652173913044</v>
      </c>
      <c r="O346" s="18">
        <f>IFERROR(
                  Andel_oberoende_av_klimat*VLOOKUP($A346,Leveranser_per_nät,'Leveranser per nät'!O$1,FALSE)
               +Andel_beroende_av_klimat*VLOOKUP($A346,Leveranser_per_nät,'Leveranser per nät'!O$1,FALSE)/VLOOKUP($B346,Korrigeringsfaktor_GD,'Korrigeringsfaktor GD'!O$1,FALSE),
"")</f>
        <v>331.70363636363641</v>
      </c>
      <c r="P346" s="18">
        <f>IFERROR(
                  Andel_oberoende_av_klimat*VLOOKUP($A346,Leveranser_per_nät,'Leveranser per nät'!P$1,FALSE)
               +Andel_beroende_av_klimat*VLOOKUP($A346,Leveranser_per_nät,'Leveranser per nät'!P$1,FALSE)/VLOOKUP($B346,Korrigeringsfaktor_GD,'Korrigeringsfaktor GD'!P$1,FALSE),
"")</f>
        <v>329.89061855670104</v>
      </c>
      <c r="Q346" s="18">
        <f>IFERROR(
                  Andel_oberoende_av_klimat*VLOOKUP($A346,Leveranser_per_nät,'Leveranser per nät'!Q$1,FALSE)
               +Andel_beroende_av_klimat*VLOOKUP($A346,Leveranser_per_nät,'Leveranser per nät'!Q$1,FALSE)/VLOOKUP($B346,Korrigeringsfaktor_GD,'Korrigeringsfaktor GD'!Q$1,FALSE),
"")</f>
        <v>336.98620689655172</v>
      </c>
      <c r="R346" s="18">
        <f>IFERROR(
                  Andel_oberoende_av_klimat*VLOOKUP($A346,Leveranser_per_nät,'Leveranser per nät'!R$1,FALSE)
               +Andel_beroende_av_klimat*VLOOKUP($A346,Leveranser_per_nät,'Leveranser per nät'!R$1,FALSE)/VLOOKUP($B346,Korrigeringsfaktor_GD,'Korrigeringsfaktor GD'!R$1,FALSE),
"")</f>
        <v>327.64444444444445</v>
      </c>
      <c r="S346" s="18">
        <f>IFERROR(
                  Andel_oberoende_av_klimat*VLOOKUP($A346,Leveranser_per_nät,'Leveranser per nät'!S$1,FALSE)
               +Andel_beroende_av_klimat*VLOOKUP($A346,Leveranser_per_nät,'Leveranser per nät'!S$1,FALSE)/VLOOKUP($B346,Korrigeringsfaktor_GD,'Korrigeringsfaktor GD'!S$1,FALSE),
"")</f>
        <v>331</v>
      </c>
      <c r="T346" s="18">
        <f>IFERROR(
                  Andel_oberoende_av_klimat*VLOOKUP($A346,Leveranser_per_nät,'Leveranser per nät'!T$1,FALSE)
               +Andel_beroende_av_klimat*VLOOKUP($A346,Leveranser_per_nät,'Leveranser per nät'!T$1,FALSE)/VLOOKUP($B346,Korrigeringsfaktor_GD,'Korrigeringsfaktor GD'!T$1,FALSE),
"")</f>
        <v>328.51</v>
      </c>
      <c r="U346" s="18">
        <f>IFERROR(
                  Andel_oberoende_av_klimat*VLOOKUP($A346,Leveranser_per_nät,'Leveranser per nät'!U$1,FALSE)
               +Andel_beroende_av_klimat*VLOOKUP($A346,Leveranser_per_nät,'Leveranser per nät'!U$1,FALSE)/VLOOKUP($B346,Korrigeringsfaktor_GD,'Korrigeringsfaktor GD'!U$1,FALSE),
"")</f>
        <v>322.06363636363636</v>
      </c>
      <c r="V346" s="18">
        <f>IFERROR(
                  Andel_oberoende_av_klimat*VLOOKUP($A346,Leveranser_per_nät,'Leveranser per nät'!V$1,FALSE)
               +Andel_beroende_av_klimat*VLOOKUP($A346,Leveranser_per_nät,'Leveranser per nät'!V$1,FALSE)/VLOOKUP($B346,Korrigeringsfaktor_GD,'Korrigeringsfaktor GD'!V$1,FALSE),
"")</f>
        <v>372.06046511627903</v>
      </c>
      <c r="W346" s="18">
        <f>IFERROR(
                  Andel_oberoende_av_klimat*VLOOKUP($A346,Leveranser_per_nät,'Leveranser per nät'!W$1,FALSE)
               +Andel_beroende_av_klimat*VLOOKUP($A346,Leveranser_per_nät,'Leveranser per nät'!W$1,FALSE)/VLOOKUP($B346,Korrigeringsfaktor_GD,'Korrigeringsfaktor GD'!W$1,FALSE),
"")</f>
        <v>335.73846153846154</v>
      </c>
      <c r="X346" s="18">
        <f>IFERROR(
                  Andel_oberoende_av_klimat*VLOOKUP($A346,Leveranser_per_nät,'Leveranser per nät'!X$1,FALSE)
               +Andel_beroende_av_klimat*VLOOKUP($A346,Leveranser_per_nät,'Leveranser per nät'!X$1,FALSE)/VLOOKUP($B346,Korrigeringsfaktor_GD,'Korrigeringsfaktor GD'!X$1,FALSE),
"")</f>
        <v>328.25384615384615</v>
      </c>
      <c r="Y346" s="18">
        <f>IFERROR(
                  Andel_oberoende_av_klimat*VLOOKUP($A346,Leveranser_per_nät,'Leveranser per nät'!Y$1,FALSE)
               +Andel_beroende_av_klimat*VLOOKUP($A346,Leveranser_per_nät,'Leveranser per nät'!Y$1,FALSE)/VLOOKUP($B346,Korrigeringsfaktor_GD,'Korrigeringsfaktor GD'!Y$1,FALSE),
"")</f>
        <v>328.12808988764044</v>
      </c>
      <c r="Z346" s="18">
        <f>IFERROR(
                  Andel_oberoende_av_klimat*VLOOKUP($A346,Leveranser_per_nät,'Leveranser per nät'!Z$1,FALSE)
               +Andel_beroende_av_klimat*VLOOKUP($A346,Leveranser_per_nät,'Leveranser per nät'!Z$1,FALSE)/VLOOKUP($B346,Korrigeringsfaktor_GD,'Korrigeringsfaktor GD'!Z$1,FALSE),
"")</f>
        <v>301.38659793814435</v>
      </c>
      <c r="AA346" s="18">
        <f>IFERROR(
                  Andel_oberoende_av_klimat*VLOOKUP($A346,Leveranser_per_nät,'Leveranser per nät'!AA$1,FALSE)
               +Andel_beroende_av_klimat*VLOOKUP($A346,Leveranser_per_nät,'Leveranser per nät'!AA$1,FALSE)/VLOOKUP($B346,Korrigeringsfaktor_GD,'Korrigeringsfaktor GD'!AA$1,FALSE),
"")</f>
        <v>295.15756984478941</v>
      </c>
      <c r="AB346" s="18">
        <f>IFERROR(
                  Andel_oberoende_av_klimat*VLOOKUP($A346,Leveranser_per_nät,'Leveranser per nät'!AB$1,FALSE)
               +Andel_beroende_av_klimat*VLOOKUP($A346,Leveranser_per_nät,'Leveranser per nät'!AB$1,FALSE)/VLOOKUP($B346,Korrigeringsfaktor_GD,'Korrigeringsfaktor GD'!AB$1,FALSE),
"")</f>
        <v>313.8756756335282</v>
      </c>
      <c r="AC346" s="18">
        <f>IFERROR(
                  Andel_oberoende_av_klimat*VLOOKUP($A346,Leveranser_per_nät,'Leveranser per nät'!AC$1,FALSE)
               +Andel_beroende_av_klimat*VLOOKUP($A346,Leveranser_per_nät,'Leveranser per nät'!AC$1,FALSE)/VLOOKUP($B346,Korrigeringsfaktor_GD,'Korrigeringsfaktor GD'!AC$1,FALSE),
"")</f>
        <v>311.55997923156804</v>
      </c>
      <c r="AD346">
        <v>303.39999999999998</v>
      </c>
    </row>
    <row r="347" spans="1:30" x14ac:dyDescent="0.25">
      <c r="A347" s="4" t="s">
        <v>416</v>
      </c>
      <c r="B347" t="s">
        <v>144</v>
      </c>
      <c r="C347" s="18">
        <f>IFERROR(
                  Andel_oberoende_av_klimat*VLOOKUP($A347,Leveranser_per_nät,'Leveranser per nät'!C$1,FALSE)
               +Andel_beroende_av_klimat*VLOOKUP($A347,Leveranser_per_nät,'Leveranser per nät'!C$1,FALSE)/VLOOKUP($B347,Korrigeringsfaktor_GD,'Korrigeringsfaktor GD'!C$1,FALSE),
"")</f>
        <v>1.8844036697247706</v>
      </c>
      <c r="D347" s="18">
        <f>IFERROR(
                  Andel_oberoende_av_klimat*VLOOKUP($A347,Leveranser_per_nät,'Leveranser per nät'!D$1,FALSE)
               +Andel_beroende_av_klimat*VLOOKUP($A347,Leveranser_per_nät,'Leveranser per nät'!D$1,FALSE)/VLOOKUP($B347,Korrigeringsfaktor_GD,'Korrigeringsfaktor GD'!D$1,FALSE),
"")</f>
        <v>2.2810526315789477</v>
      </c>
      <c r="E347" s="18">
        <f>IFERROR(
                  Andel_oberoende_av_klimat*VLOOKUP($A347,Leveranser_per_nät,'Leveranser per nät'!E$1,FALSE)
               +Andel_beroende_av_klimat*VLOOKUP($A347,Leveranser_per_nät,'Leveranser per nät'!E$1,FALSE)/VLOOKUP($B347,Korrigeringsfaktor_GD,'Korrigeringsfaktor GD'!E$1,FALSE),
"")</f>
        <v>2.8</v>
      </c>
      <c r="F347" s="18">
        <f>IFERROR(
                  Andel_oberoende_av_klimat*VLOOKUP($A347,Leveranser_per_nät,'Leveranser per nät'!F$1,FALSE)
               +Andel_beroende_av_klimat*VLOOKUP($A347,Leveranser_per_nät,'Leveranser per nät'!F$1,FALSE)/VLOOKUP($B347,Korrigeringsfaktor_GD,'Korrigeringsfaktor GD'!F$1,FALSE),
"")</f>
        <v>3.4991666666666665</v>
      </c>
      <c r="G347" s="18">
        <f>IFERROR(
                  Andel_oberoende_av_klimat*VLOOKUP($A347,Leveranser_per_nät,'Leveranser per nät'!G$1,FALSE)
               +Andel_beroende_av_klimat*VLOOKUP($A347,Leveranser_per_nät,'Leveranser per nät'!G$1,FALSE)/VLOOKUP($B347,Korrigeringsfaktor_GD,'Korrigeringsfaktor GD'!G$1,FALSE),
"")</f>
        <v>4.3818181818181818</v>
      </c>
      <c r="H347" s="18">
        <f>IFERROR(
                  Andel_oberoende_av_klimat*VLOOKUP($A347,Leveranser_per_nät,'Leveranser per nät'!H$1,FALSE)
               +Andel_beroende_av_klimat*VLOOKUP($A347,Leveranser_per_nät,'Leveranser per nät'!H$1,FALSE)/VLOOKUP($B347,Korrigeringsfaktor_GD,'Korrigeringsfaktor GD'!H$1,FALSE),
"")</f>
        <v>2.4660000000000002</v>
      </c>
      <c r="I347" s="18">
        <f>IFERROR(
                  Andel_oberoende_av_klimat*VLOOKUP($A347,Leveranser_per_nät,'Leveranser per nät'!I$1,FALSE)
               +Andel_beroende_av_klimat*VLOOKUP($A347,Leveranser_per_nät,'Leveranser per nät'!I$1,FALSE)/VLOOKUP($B347,Korrigeringsfaktor_GD,'Korrigeringsfaktor GD'!I$1,FALSE),
"")</f>
        <v>2.5735350515463917</v>
      </c>
      <c r="J347" s="18">
        <f>IFERROR(
                  Andel_oberoende_av_klimat*VLOOKUP($A347,Leveranser_per_nät,'Leveranser per nät'!J$1,FALSE)
               +Andel_beroende_av_klimat*VLOOKUP($A347,Leveranser_per_nät,'Leveranser per nät'!J$1,FALSE)/VLOOKUP($B347,Korrigeringsfaktor_GD,'Korrigeringsfaktor GD'!J$1,FALSE),
"")</f>
        <v>2.5735350515463917</v>
      </c>
      <c r="K347" s="18">
        <f>IFERROR(
                  Andel_oberoende_av_klimat*VLOOKUP($A347,Leveranser_per_nät,'Leveranser per nät'!K$1,FALSE)
               +Andel_beroende_av_klimat*VLOOKUP($A347,Leveranser_per_nät,'Leveranser per nät'!K$1,FALSE)/VLOOKUP($B347,Korrigeringsfaktor_GD,'Korrigeringsfaktor GD'!K$1,FALSE),
"")</f>
        <v>2.4110927835051545</v>
      </c>
      <c r="L347" s="18">
        <f>IFERROR(
                  Andel_oberoende_av_klimat*VLOOKUP($A347,Leveranser_per_nät,'Leveranser per nät'!L$1,FALSE)
               +Andel_beroende_av_klimat*VLOOKUP($A347,Leveranser_per_nät,'Leveranser per nät'!L$1,FALSE)/VLOOKUP($B347,Korrigeringsfaktor_GD,'Korrigeringsfaktor GD'!L$1,FALSE),
"")</f>
        <v>2.4843440860215051</v>
      </c>
      <c r="M347" s="18">
        <f>IFERROR(
                  Andel_oberoende_av_klimat*VLOOKUP($A347,Leveranser_per_nät,'Leveranser per nät'!M$1,FALSE)
               +Andel_beroende_av_klimat*VLOOKUP($A347,Leveranser_per_nät,'Leveranser per nät'!M$1,FALSE)/VLOOKUP($B347,Korrigeringsfaktor_GD,'Korrigeringsfaktor GD'!M$1,FALSE),
"")</f>
        <v>2.5073461538461537</v>
      </c>
      <c r="N347" s="18">
        <f>IFERROR(
                  Andel_oberoende_av_klimat*VLOOKUP($A347,Leveranser_per_nät,'Leveranser per nät'!N$1,FALSE)
               +Andel_beroende_av_klimat*VLOOKUP($A347,Leveranser_per_nät,'Leveranser per nät'!N$1,FALSE)/VLOOKUP($B347,Korrigeringsfaktor_GD,'Korrigeringsfaktor GD'!N$1,FALSE),
"")</f>
        <v>2.452763440860215</v>
      </c>
      <c r="O347" s="18">
        <f>IFERROR(
                  Andel_oberoende_av_klimat*VLOOKUP($A347,Leveranser_per_nät,'Leveranser per nät'!O$1,FALSE)
               +Andel_beroende_av_klimat*VLOOKUP($A347,Leveranser_per_nät,'Leveranser per nät'!O$1,FALSE)/VLOOKUP($B347,Korrigeringsfaktor_GD,'Korrigeringsfaktor GD'!O$1,FALSE),
"")</f>
        <v>2.5896769230769232</v>
      </c>
      <c r="P347" s="18">
        <f>IFERROR(
                  Andel_oberoende_av_klimat*VLOOKUP($A347,Leveranser_per_nät,'Leveranser per nät'!P$1,FALSE)
               +Andel_beroende_av_klimat*VLOOKUP($A347,Leveranser_per_nät,'Leveranser per nät'!P$1,FALSE)/VLOOKUP($B347,Korrigeringsfaktor_GD,'Korrigeringsfaktor GD'!P$1,FALSE),
"")</f>
        <v>2.5509101010101012</v>
      </c>
      <c r="Q347" s="18">
        <f>IFERROR(
                  Andel_oberoende_av_klimat*VLOOKUP($A347,Leveranser_per_nät,'Leveranser per nät'!Q$1,FALSE)
               +Andel_beroende_av_klimat*VLOOKUP($A347,Leveranser_per_nät,'Leveranser per nät'!Q$1,FALSE)/VLOOKUP($B347,Korrigeringsfaktor_GD,'Korrigeringsfaktor GD'!Q$1,FALSE),
"")</f>
        <v>2.2740108695652177</v>
      </c>
      <c r="R347" s="18">
        <f>IFERROR(
                  Andel_oberoende_av_klimat*VLOOKUP($A347,Leveranser_per_nät,'Leveranser per nät'!R$1,FALSE)
               +Andel_beroende_av_klimat*VLOOKUP($A347,Leveranser_per_nät,'Leveranser per nät'!R$1,FALSE)/VLOOKUP($B347,Korrigeringsfaktor_GD,'Korrigeringsfaktor GD'!R$1,FALSE),
"")</f>
        <v>2.6642666666666668</v>
      </c>
      <c r="S347" s="18">
        <f>IFERROR(
                  Andel_oberoende_av_klimat*VLOOKUP($A347,Leveranser_per_nät,'Leveranser per nät'!S$1,FALSE)
               +Andel_beroende_av_klimat*VLOOKUP($A347,Leveranser_per_nät,'Leveranser per nät'!S$1,FALSE)/VLOOKUP($B347,Korrigeringsfaktor_GD,'Korrigeringsfaktor GD'!S$1,FALSE),
"")</f>
        <v>2.4500000000000002</v>
      </c>
      <c r="T347" s="18">
        <f>IFERROR(
                  Andel_oberoende_av_klimat*VLOOKUP($A347,Leveranser_per_nät,'Leveranser per nät'!T$1,FALSE)
               +Andel_beroende_av_klimat*VLOOKUP($A347,Leveranser_per_nät,'Leveranser per nät'!T$1,FALSE)/VLOOKUP($B347,Korrigeringsfaktor_GD,'Korrigeringsfaktor GD'!T$1,FALSE),
"")</f>
        <v>2.575515789473684</v>
      </c>
      <c r="U347" s="18">
        <f>IFERROR(
                  Andel_oberoende_av_klimat*VLOOKUP($A347,Leveranser_per_nät,'Leveranser per nät'!U$1,FALSE)
               +Andel_beroende_av_klimat*VLOOKUP($A347,Leveranser_per_nät,'Leveranser per nät'!U$1,FALSE)/VLOOKUP($B347,Korrigeringsfaktor_GD,'Korrigeringsfaktor GD'!U$1,FALSE),
"")</f>
        <v>2.1286111111111112</v>
      </c>
      <c r="V347" s="18">
        <f>IFERROR(
                  Andel_oberoende_av_klimat*VLOOKUP($A347,Leveranser_per_nät,'Leveranser per nät'!V$1,FALSE)
               +Andel_beroende_av_klimat*VLOOKUP($A347,Leveranser_per_nät,'Leveranser per nät'!V$1,FALSE)/VLOOKUP($B347,Korrigeringsfaktor_GD,'Korrigeringsfaktor GD'!V$1,FALSE),
"")</f>
        <v>2.3523076923076927</v>
      </c>
      <c r="W347" s="18">
        <f>IFERROR(
                  Andel_oberoende_av_klimat*VLOOKUP($A347,Leveranser_per_nät,'Leveranser per nät'!W$1,FALSE)
               +Andel_beroende_av_klimat*VLOOKUP($A347,Leveranser_per_nät,'Leveranser per nät'!W$1,FALSE)/VLOOKUP($B347,Korrigeringsfaktor_GD,'Korrigeringsfaktor GD'!W$1,FALSE),
"")</f>
        <v>2.3191914893617023</v>
      </c>
      <c r="X347" s="18">
        <f>IFERROR(
                  Andel_oberoende_av_klimat*VLOOKUP($A347,Leveranser_per_nät,'Leveranser per nät'!X$1,FALSE)
               +Andel_beroende_av_klimat*VLOOKUP($A347,Leveranser_per_nät,'Leveranser per nät'!X$1,FALSE)/VLOOKUP($B347,Korrigeringsfaktor_GD,'Korrigeringsfaktor GD'!X$1,FALSE),
"")</f>
        <v>2.3277105263157893</v>
      </c>
      <c r="Y347" s="18">
        <f>IFERROR(
                  Andel_oberoende_av_klimat*VLOOKUP($A347,Leveranser_per_nät,'Leveranser per nät'!Y$1,FALSE)
               +Andel_beroende_av_klimat*VLOOKUP($A347,Leveranser_per_nät,'Leveranser per nät'!Y$1,FALSE)/VLOOKUP($B347,Korrigeringsfaktor_GD,'Korrigeringsfaktor GD'!Y$1,FALSE),
"")</f>
        <v>2.3714255319148938</v>
      </c>
      <c r="Z347" s="18">
        <f>IFERROR(
                  Andel_oberoende_av_klimat*VLOOKUP($A347,Leveranser_per_nät,'Leveranser per nät'!Z$1,FALSE)
               +Andel_beroende_av_klimat*VLOOKUP($A347,Leveranser_per_nät,'Leveranser per nät'!Z$1,FALSE)/VLOOKUP($B347,Korrigeringsfaktor_GD,'Korrigeringsfaktor GD'!Z$1,FALSE),
"")</f>
        <v>2.4142222222222225</v>
      </c>
      <c r="AA347" s="18">
        <f>IFERROR(
                  Andel_oberoende_av_klimat*VLOOKUP($A347,Leveranser_per_nät,'Leveranser per nät'!AA$1,FALSE)
               +Andel_beroende_av_klimat*VLOOKUP($A347,Leveranser_per_nät,'Leveranser per nät'!AA$1,FALSE)/VLOOKUP($B347,Korrigeringsfaktor_GD,'Korrigeringsfaktor GD'!AA$1,FALSE),
"")</f>
        <v>2.260273730684327</v>
      </c>
      <c r="AB347" s="18">
        <f>IFERROR(
                  Andel_oberoende_av_klimat*VLOOKUP($A347,Leveranser_per_nät,'Leveranser per nät'!AB$1,FALSE)
               +Andel_beroende_av_klimat*VLOOKUP($A347,Leveranser_per_nät,'Leveranser per nät'!AB$1,FALSE)/VLOOKUP($B347,Korrigeringsfaktor_GD,'Korrigeringsfaktor GD'!AB$1,FALSE),
"")</f>
        <v>0</v>
      </c>
      <c r="AC347" s="18">
        <f>IFERROR(
                  Andel_oberoende_av_klimat*VLOOKUP($A347,Leveranser_per_nät,'Leveranser per nät'!AC$1,FALSE)
               +Andel_beroende_av_klimat*VLOOKUP($A347,Leveranser_per_nät,'Leveranser per nät'!AC$1,FALSE)/VLOOKUP($B347,Korrigeringsfaktor_GD,'Korrigeringsfaktor GD'!AC$1,FALSE),
"")</f>
        <v>2.1931878279118573</v>
      </c>
      <c r="AD347">
        <v>48.8</v>
      </c>
    </row>
    <row r="348" spans="1:30" x14ac:dyDescent="0.25">
      <c r="A348" t="s">
        <v>44</v>
      </c>
      <c r="B348" t="s">
        <v>44</v>
      </c>
      <c r="C348" s="18">
        <f>IFERROR(
                  Andel_oberoende_av_klimat*VLOOKUP($A348,Leveranser_per_nät,'Leveranser per nät'!C$1,FALSE)
               +Andel_beroende_av_klimat*VLOOKUP($A348,Leveranser_per_nät,'Leveranser per nät'!C$1,FALSE)/VLOOKUP("Lund",Korrigeringsfaktor_GD,'Korrigeringsfaktor GD'!C$1,FALSE),
"")</f>
        <v>24.534782608695654</v>
      </c>
      <c r="D348" s="18">
        <f>IFERROR(
                  Andel_oberoende_av_klimat*VLOOKUP($A348,Leveranser_per_nät,'Leveranser per nät'!D$1,FALSE)
               +Andel_beroende_av_klimat*VLOOKUP($A348,Leveranser_per_nät,'Leveranser per nät'!D$1,FALSE)/VLOOKUP("Lund",Korrigeringsfaktor_GD,'Korrigeringsfaktor GD'!D$1,FALSE),
"")</f>
        <v>24.065098039215684</v>
      </c>
      <c r="E348" s="18">
        <f>IFERROR(
                  Andel_oberoende_av_klimat*VLOOKUP($A348,Leveranser_per_nät,'Leveranser per nät'!E$1,FALSE)
               +Andel_beroende_av_klimat*VLOOKUP($A348,Leveranser_per_nät,'Leveranser per nät'!E$1,FALSE)/VLOOKUP("Lund",Korrigeringsfaktor_GD,'Korrigeringsfaktor GD'!E$1,FALSE),
"")</f>
        <v>25.176767676767678</v>
      </c>
      <c r="F348" s="18">
        <f>IFERROR(
                  Andel_oberoende_av_klimat*VLOOKUP($A348,Leveranser_per_nät,'Leveranser per nät'!F$1,FALSE)
               +Andel_beroende_av_klimat*VLOOKUP($A348,Leveranser_per_nät,'Leveranser per nät'!F$1,FALSE)/VLOOKUP("Lund",Korrigeringsfaktor_GD,'Korrigeringsfaktor GD'!F$1,FALSE),
"")</f>
        <v>26.117021276595747</v>
      </c>
      <c r="G348" s="18">
        <f>IFERROR(
                  Andel_oberoende_av_klimat*VLOOKUP($A348,Leveranser_per_nät,'Leveranser per nät'!G$1,FALSE)
               +Andel_beroende_av_klimat*VLOOKUP($A348,Leveranser_per_nät,'Leveranser per nät'!G$1,FALSE)/VLOOKUP("Lund",Korrigeringsfaktor_GD,'Korrigeringsfaktor GD'!G$1,FALSE),
"")</f>
        <v>27.386363636363637</v>
      </c>
      <c r="H348" s="18">
        <f>IFERROR(
                  Andel_oberoende_av_klimat*VLOOKUP($A348,Leveranser_per_nät,'Leveranser per nät'!H$1,FALSE)
               +Andel_beroende_av_klimat*VLOOKUP($A348,Leveranser_per_nät,'Leveranser per nät'!H$1,FALSE)/VLOOKUP("Lund",Korrigeringsfaktor_GD,'Korrigeringsfaktor GD'!H$1,FALSE),
"")</f>
        <v>24.154499999999999</v>
      </c>
      <c r="I348" s="18">
        <f>IFERROR(
                  Andel_oberoende_av_klimat*VLOOKUP($A348,Leveranser_per_nät,'Leveranser per nät'!I$1,FALSE)
               +Andel_beroende_av_klimat*VLOOKUP($A348,Leveranser_per_nät,'Leveranser per nät'!I$1,FALSE)/VLOOKUP("Lund",Korrigeringsfaktor_GD,'Korrigeringsfaktor GD'!I$1,FALSE),
"")</f>
        <v>24.167752631578949</v>
      </c>
      <c r="J348" s="18">
        <f>IFERROR(
                  Andel_oberoende_av_klimat*VLOOKUP($A348,Leveranser_per_nät,'Leveranser per nät'!J$1,FALSE)
               +Andel_beroende_av_klimat*VLOOKUP($A348,Leveranser_per_nät,'Leveranser per nät'!J$1,FALSE)/VLOOKUP("Lund",Korrigeringsfaktor_GD,'Korrigeringsfaktor GD'!J$1,FALSE),
"")</f>
        <v>24.548355555555553</v>
      </c>
      <c r="K348" s="18">
        <f>IFERROR(
                  Andel_oberoende_av_klimat*VLOOKUP($A348,Leveranser_per_nät,'Leveranser per nät'!K$1,FALSE)
               +Andel_beroende_av_klimat*VLOOKUP($A348,Leveranser_per_nät,'Leveranser per nät'!K$1,FALSE)/VLOOKUP("Lund",Korrigeringsfaktor_GD,'Korrigeringsfaktor GD'!K$1,FALSE),
"")</f>
        <v>29.627825580051603</v>
      </c>
      <c r="L348" s="18">
        <f>IFERROR(
                  Andel_oberoende_av_klimat*VLOOKUP($A348,Leveranser_per_nät,'Leveranser per nät'!L$1,FALSE)
               +Andel_beroende_av_klimat*VLOOKUP($A348,Leveranser_per_nät,'Leveranser per nät'!L$1,FALSE)/VLOOKUP("Lund",Korrigeringsfaktor_GD,'Korrigeringsfaktor GD'!L$1,FALSE),
"")</f>
        <v>35.20973295625604</v>
      </c>
      <c r="M348" s="18">
        <f>IFERROR(
                  Andel_oberoende_av_klimat*VLOOKUP($A348,Leveranser_per_nät,'Leveranser per nät'!M$1,FALSE)
               +Andel_beroende_av_klimat*VLOOKUP($A348,Leveranser_per_nät,'Leveranser per nät'!M$1,FALSE)/VLOOKUP("Lund",Korrigeringsfaktor_GD,'Korrigeringsfaktor GD'!M$1,FALSE),
"")</f>
        <v>26.117021276595747</v>
      </c>
      <c r="N348" s="18">
        <f>IFERROR(
                  Andel_oberoende_av_klimat*VLOOKUP($A348,Leveranser_per_nät,'Leveranser per nät'!N$1,FALSE)
               +Andel_beroende_av_klimat*VLOOKUP($A348,Leveranser_per_nät,'Leveranser per nät'!N$1,FALSE)/VLOOKUP("Lund",Korrigeringsfaktor_GD,'Korrigeringsfaktor GD'!N$1,FALSE),
"")</f>
        <v>25.195454545454545</v>
      </c>
      <c r="O348" s="18">
        <f>IFERROR(
                  Andel_oberoende_av_klimat*VLOOKUP($A348,Leveranser_per_nät,'Leveranser per nät'!O$1,FALSE)
               +Andel_beroende_av_klimat*VLOOKUP($A348,Leveranser_per_nät,'Leveranser per nät'!O$1,FALSE)/VLOOKUP("Lund",Korrigeringsfaktor_GD,'Korrigeringsfaktor GD'!O$1,FALSE),
"")</f>
        <v>27.380224719101122</v>
      </c>
      <c r="P348" s="18">
        <f>IFERROR(
                  Andel_oberoende_av_klimat*VLOOKUP($A348,Leveranser_per_nät,'Leveranser per nät'!P$1,FALSE)
               +Andel_beroende_av_klimat*VLOOKUP($A348,Leveranser_per_nät,'Leveranser per nät'!P$1,FALSE)/VLOOKUP("Lund",Korrigeringsfaktor_GD,'Korrigeringsfaktor GD'!P$1,FALSE),
"")</f>
        <v>26.412704123711343</v>
      </c>
      <c r="Q348" s="18">
        <f>IFERROR(
                  Andel_oberoende_av_klimat*VLOOKUP($A348,Leveranser_per_nät,'Leveranser per nät'!Q$1,FALSE)
               +Andel_beroende_av_klimat*VLOOKUP($A348,Leveranser_per_nät,'Leveranser per nät'!Q$1,FALSE)/VLOOKUP("Lund",Korrigeringsfaktor_GD,'Korrigeringsfaktor GD'!Q$1,FALSE),
"")</f>
        <v>27.103448275862071</v>
      </c>
      <c r="R348" s="18">
        <f>IFERROR(
                  Andel_oberoende_av_klimat*VLOOKUP($A348,Leveranser_per_nät,'Leveranser per nät'!R$1,FALSE)
               +Andel_beroende_av_klimat*VLOOKUP($A348,Leveranser_per_nät,'Leveranser per nät'!R$1,FALSE)/VLOOKUP("Lund",Korrigeringsfaktor_GD,'Korrigeringsfaktor GD'!R$1,FALSE),
"")</f>
        <v>26.672267599999998</v>
      </c>
      <c r="S348" s="18">
        <f>IFERROR(
                  Andel_oberoende_av_klimat*VLOOKUP($A348,Leveranser_per_nät,'Leveranser per nät'!S$1,FALSE)
               +Andel_beroende_av_klimat*VLOOKUP($A348,Leveranser_per_nät,'Leveranser per nät'!S$1,FALSE)/VLOOKUP("Lund",Korrigeringsfaktor_GD,'Korrigeringsfaktor GD'!S$1,FALSE),
"")</f>
        <v>25.819801980198019</v>
      </c>
      <c r="T348" s="18">
        <f>IFERROR(
                  Andel_oberoende_av_klimat*VLOOKUP($A348,Leveranser_per_nät,'Leveranser per nät'!T$1,FALSE)
               +Andel_beroende_av_klimat*VLOOKUP($A348,Leveranser_per_nät,'Leveranser per nät'!T$1,FALSE)/VLOOKUP("Lund",Korrigeringsfaktor_GD,'Korrigeringsfaktor GD'!T$1,FALSE),
"")</f>
        <v>25.502051515151514</v>
      </c>
      <c r="U348" s="18">
        <f>IFERROR(
                  Andel_oberoende_av_klimat*VLOOKUP($A348,Leveranser_per_nät,'Leveranser per nät'!U$1,FALSE)
               +Andel_beroende_av_klimat*VLOOKUP($A348,Leveranser_per_nät,'Leveranser per nät'!U$1,FALSE)/VLOOKUP("Lund",Korrigeringsfaktor_GD,'Korrigeringsfaktor GD'!U$1,FALSE),
"")</f>
        <v>31.748682926829268</v>
      </c>
      <c r="V348" s="18">
        <f>IFERROR(
                  Andel_oberoende_av_klimat*VLOOKUP($A348,Leveranser_per_nät,'Leveranser per nät'!V$1,FALSE)
               +Andel_beroende_av_klimat*VLOOKUP($A348,Leveranser_per_nät,'Leveranser per nät'!V$1,FALSE)/VLOOKUP("Lund",Korrigeringsfaktor_GD,'Korrigeringsfaktor GD'!V$1,FALSE),
"")</f>
        <v>25.11855172413793</v>
      </c>
      <c r="W348" s="18">
        <f>IFERROR(
                  Andel_oberoende_av_klimat*VLOOKUP($A348,Leveranser_per_nät,'Leveranser per nät'!W$1,FALSE)
               +Andel_beroende_av_klimat*VLOOKUP($A348,Leveranser_per_nät,'Leveranser per nät'!W$1,FALSE)/VLOOKUP("Lund",Korrigeringsfaktor_GD,'Korrigeringsfaktor GD'!W$1,FALSE),
"")</f>
        <v>25.661538461538456</v>
      </c>
      <c r="X348" s="18">
        <f>IFERROR(
                  Andel_oberoende_av_klimat*VLOOKUP($A348,Leveranser_per_nät,'Leveranser per nät'!X$1,FALSE)
               +Andel_beroende_av_klimat*VLOOKUP($A348,Leveranser_per_nät,'Leveranser per nät'!X$1,FALSE)/VLOOKUP("Lund",Korrigeringsfaktor_GD,'Korrigeringsfaktor GD'!X$1,FALSE),
"")</f>
        <v>25.082044444444442</v>
      </c>
      <c r="Y348" s="18">
        <f>IFERROR(
                  Andel_oberoende_av_klimat*VLOOKUP($A348,Leveranser_per_nät,'Leveranser per nät'!Y$1,FALSE)
               +Andel_beroende_av_klimat*VLOOKUP($A348,Leveranser_per_nät,'Leveranser per nät'!Y$1,FALSE)/VLOOKUP($B348,Korrigeringsfaktor_GD,'Korrigeringsfaktor GD'!Y$1,FALSE),
"")</f>
        <v>25.758888888888887</v>
      </c>
      <c r="Z348" s="18">
        <f>IFERROR(
                  Andel_oberoende_av_klimat*VLOOKUP($A348,Leveranser_per_nät,'Leveranser per nät'!Z$1,FALSE)
               +Andel_beroende_av_klimat*VLOOKUP($A348,Leveranser_per_nät,'Leveranser per nät'!Z$1,FALSE)/VLOOKUP($B348,Korrigeringsfaktor_GD,'Korrigeringsfaktor GD'!Z$1,FALSE),
"")</f>
        <v>27.315638461538462</v>
      </c>
      <c r="AA348" s="18">
        <f>IFERROR(
                  Andel_oberoende_av_klimat*VLOOKUP($A348,Leveranser_per_nät,'Leveranser per nät'!AA$1,FALSE)
               +Andel_beroende_av_klimat*VLOOKUP($A348,Leveranser_per_nät,'Leveranser per nät'!AA$1,FALSE)/VLOOKUP($B348,Korrigeringsfaktor_GD,'Korrigeringsfaktor GD'!AA$1,FALSE),
"")</f>
        <v>29.945163334397954</v>
      </c>
      <c r="AB348" s="18">
        <f>IFERROR(
                  Andel_oberoende_av_klimat*VLOOKUP($A348,Leveranser_per_nät,'Leveranser per nät'!AB$1,FALSE)
               +Andel_beroende_av_klimat*VLOOKUP($A348,Leveranser_per_nät,'Leveranser per nät'!AB$1,FALSE)/VLOOKUP($B348,Korrigeringsfaktor_GD,'Korrigeringsfaktor GD'!AB$1,FALSE),
"")</f>
        <v>29.650535671342688</v>
      </c>
      <c r="AC348" s="18">
        <f>IFERROR(
                  Andel_oberoende_av_klimat*VLOOKUP($A348,Leveranser_per_nät,'Leveranser per nät'!AC$1,FALSE)
               +Andel_beroende_av_klimat*VLOOKUP($A348,Leveranser_per_nät,'Leveranser per nät'!AC$1,FALSE)/VLOOKUP($B348,Korrigeringsfaktor_GD,'Korrigeringsfaktor GD'!AC$1,FALSE),
"")</f>
        <v>29.199373913043477</v>
      </c>
      <c r="AD348">
        <v>27.524000000000001</v>
      </c>
    </row>
    <row r="349" spans="1:30" x14ac:dyDescent="0.25">
      <c r="A349" s="4" t="s">
        <v>417</v>
      </c>
      <c r="B349" t="s">
        <v>510</v>
      </c>
      <c r="C349" s="18">
        <f>IFERROR(
                  Andel_oberoende_av_klimat*VLOOKUP($A349,Leveranser_per_nät,'Leveranser per nät'!C$1,FALSE)
               +Andel_beroende_av_klimat*VLOOKUP($A349,Leveranser_per_nät,'Leveranser per nät'!C$1,FALSE)/VLOOKUP($B349,Korrigeringsfaktor_GD,'Korrigeringsfaktor GD'!C$1,FALSE),
"")</f>
        <v>0</v>
      </c>
      <c r="D349" s="18">
        <f>IFERROR(
                  Andel_oberoende_av_klimat*VLOOKUP($A349,Leveranser_per_nät,'Leveranser per nät'!D$1,FALSE)
               +Andel_beroende_av_klimat*VLOOKUP($A349,Leveranser_per_nät,'Leveranser per nät'!D$1,FALSE)/VLOOKUP($B349,Korrigeringsfaktor_GD,'Korrigeringsfaktor GD'!D$1,FALSE),
"")</f>
        <v>0</v>
      </c>
      <c r="E349" s="18">
        <f>IFERROR(
                  Andel_oberoende_av_klimat*VLOOKUP($A349,Leveranser_per_nät,'Leveranser per nät'!E$1,FALSE)
               +Andel_beroende_av_klimat*VLOOKUP($A349,Leveranser_per_nät,'Leveranser per nät'!E$1,FALSE)/VLOOKUP($B349,Korrigeringsfaktor_GD,'Korrigeringsfaktor GD'!E$1,FALSE),
"")</f>
        <v>0</v>
      </c>
      <c r="F349" s="18">
        <f>IFERROR(
                  Andel_oberoende_av_klimat*VLOOKUP($A349,Leveranser_per_nät,'Leveranser per nät'!F$1,FALSE)
               +Andel_beroende_av_klimat*VLOOKUP($A349,Leveranser_per_nät,'Leveranser per nät'!F$1,FALSE)/VLOOKUP($B349,Korrigeringsfaktor_GD,'Korrigeringsfaktor GD'!F$1,FALSE),
"")</f>
        <v>0</v>
      </c>
      <c r="G349" s="18">
        <f>IFERROR(
                  Andel_oberoende_av_klimat*VLOOKUP($A349,Leveranser_per_nät,'Leveranser per nät'!G$1,FALSE)
               +Andel_beroende_av_klimat*VLOOKUP($A349,Leveranser_per_nät,'Leveranser per nät'!G$1,FALSE)/VLOOKUP($B349,Korrigeringsfaktor_GD,'Korrigeringsfaktor GD'!G$1,FALSE),
"")</f>
        <v>0</v>
      </c>
      <c r="H349" s="18">
        <f>IFERROR(
                  Andel_oberoende_av_klimat*VLOOKUP($A349,Leveranser_per_nät,'Leveranser per nät'!H$1,FALSE)
               +Andel_beroende_av_klimat*VLOOKUP($A349,Leveranser_per_nät,'Leveranser per nät'!H$1,FALSE)/VLOOKUP($B349,Korrigeringsfaktor_GD,'Korrigeringsfaktor GD'!H$1,FALSE),
"")</f>
        <v>0</v>
      </c>
      <c r="I349" s="18">
        <f>IFERROR(
                  Andel_oberoende_av_klimat*VLOOKUP($A349,Leveranser_per_nät,'Leveranser per nät'!I$1,FALSE)
               +Andel_beroende_av_klimat*VLOOKUP($A349,Leveranser_per_nät,'Leveranser per nät'!I$1,FALSE)/VLOOKUP($B349,Korrigeringsfaktor_GD,'Korrigeringsfaktor GD'!I$1,FALSE),
"")</f>
        <v>0</v>
      </c>
      <c r="J349" s="18">
        <f>IFERROR(
                  Andel_oberoende_av_klimat*VLOOKUP($A349,Leveranser_per_nät,'Leveranser per nät'!J$1,FALSE)
               +Andel_beroende_av_klimat*VLOOKUP($A349,Leveranser_per_nät,'Leveranser per nät'!J$1,FALSE)/VLOOKUP($B349,Korrigeringsfaktor_GD,'Korrigeringsfaktor GD'!J$1,FALSE),
"")</f>
        <v>0</v>
      </c>
      <c r="K349" s="18">
        <f>IFERROR(
                  Andel_oberoende_av_klimat*VLOOKUP($A349,Leveranser_per_nät,'Leveranser per nät'!K$1,FALSE)
               +Andel_beroende_av_klimat*VLOOKUP($A349,Leveranser_per_nät,'Leveranser per nät'!K$1,FALSE)/VLOOKUP($B349,Korrigeringsfaktor_GD,'Korrigeringsfaktor GD'!K$1,FALSE),
"")</f>
        <v>0</v>
      </c>
      <c r="L349" s="18">
        <f>IFERROR(
                  Andel_oberoende_av_klimat*VLOOKUP($A349,Leveranser_per_nät,'Leveranser per nät'!L$1,FALSE)
               +Andel_beroende_av_klimat*VLOOKUP($A349,Leveranser_per_nät,'Leveranser per nät'!L$1,FALSE)/VLOOKUP($B349,Korrigeringsfaktor_GD,'Korrigeringsfaktor GD'!L$1,FALSE),
"")</f>
        <v>0</v>
      </c>
      <c r="M349" s="18">
        <f>IFERROR(
                  Andel_oberoende_av_klimat*VLOOKUP($A349,Leveranser_per_nät,'Leveranser per nät'!M$1,FALSE)
               +Andel_beroende_av_klimat*VLOOKUP($A349,Leveranser_per_nät,'Leveranser per nät'!M$1,FALSE)/VLOOKUP($B349,Korrigeringsfaktor_GD,'Korrigeringsfaktor GD'!M$1,FALSE),
"")</f>
        <v>0</v>
      </c>
      <c r="N349" s="18">
        <f>IFERROR(
                  Andel_oberoende_av_klimat*VLOOKUP($A349,Leveranser_per_nät,'Leveranser per nät'!N$1,FALSE)
               +Andel_beroende_av_klimat*VLOOKUP($A349,Leveranser_per_nät,'Leveranser per nät'!N$1,FALSE)/VLOOKUP($B349,Korrigeringsfaktor_GD,'Korrigeringsfaktor GD'!N$1,FALSE),
"")</f>
        <v>0</v>
      </c>
      <c r="O349" s="18">
        <f>IFERROR(
                  Andel_oberoende_av_klimat*VLOOKUP($A349,Leveranser_per_nät,'Leveranser per nät'!O$1,FALSE)
               +Andel_beroende_av_klimat*VLOOKUP($A349,Leveranser_per_nät,'Leveranser per nät'!O$1,FALSE)/VLOOKUP($B349,Korrigeringsfaktor_GD,'Korrigeringsfaktor GD'!O$1,FALSE),
"")</f>
        <v>0</v>
      </c>
      <c r="P349" s="18">
        <f>IFERROR(
                  Andel_oberoende_av_klimat*VLOOKUP($A349,Leveranser_per_nät,'Leveranser per nät'!P$1,FALSE)
               +Andel_beroende_av_klimat*VLOOKUP($A349,Leveranser_per_nät,'Leveranser per nät'!P$1,FALSE)/VLOOKUP($B349,Korrigeringsfaktor_GD,'Korrigeringsfaktor GD'!P$1,FALSE),
"")</f>
        <v>0</v>
      </c>
      <c r="Q349" s="18">
        <f>IFERROR(
                  Andel_oberoende_av_klimat*VLOOKUP($A349,Leveranser_per_nät,'Leveranser per nät'!Q$1,FALSE)
               +Andel_beroende_av_klimat*VLOOKUP($A349,Leveranser_per_nät,'Leveranser per nät'!Q$1,FALSE)/VLOOKUP($B349,Korrigeringsfaktor_GD,'Korrigeringsfaktor GD'!Q$1,FALSE),
"")</f>
        <v>1.7864406779661017</v>
      </c>
      <c r="R349" s="18">
        <f>IFERROR(
                  Andel_oberoende_av_klimat*VLOOKUP($A349,Leveranser_per_nät,'Leveranser per nät'!R$1,FALSE)
               +Andel_beroende_av_klimat*VLOOKUP($A349,Leveranser_per_nät,'Leveranser per nät'!R$1,FALSE)/VLOOKUP($B349,Korrigeringsfaktor_GD,'Korrigeringsfaktor GD'!R$1,FALSE),
"")</f>
        <v>1.4969230769230766</v>
      </c>
      <c r="S349" s="18">
        <f>IFERROR(
                  Andel_oberoende_av_klimat*VLOOKUP($A349,Leveranser_per_nät,'Leveranser per nät'!S$1,FALSE)
               +Andel_beroende_av_klimat*VLOOKUP($A349,Leveranser_per_nät,'Leveranser per nät'!S$1,FALSE)/VLOOKUP($B349,Korrigeringsfaktor_GD,'Korrigeringsfaktor GD'!S$1,FALSE),
"")</f>
        <v>1.4794117647058824</v>
      </c>
      <c r="T349" s="18">
        <f>IFERROR(
                  Andel_oberoende_av_klimat*VLOOKUP($A349,Leveranser_per_nät,'Leveranser per nät'!T$1,FALSE)
               +Andel_beroende_av_klimat*VLOOKUP($A349,Leveranser_per_nät,'Leveranser per nät'!T$1,FALSE)/VLOOKUP($B349,Korrigeringsfaktor_GD,'Korrigeringsfaktor GD'!T$1,FALSE),
"")</f>
        <v>2.014141414141414</v>
      </c>
      <c r="U349" s="18">
        <f>IFERROR(
                  Andel_oberoende_av_klimat*VLOOKUP($A349,Leveranser_per_nät,'Leveranser per nät'!U$1,FALSE)
               +Andel_beroende_av_klimat*VLOOKUP($A349,Leveranser_per_nät,'Leveranser per nät'!U$1,FALSE)/VLOOKUP($B349,Korrigeringsfaktor_GD,'Korrigeringsfaktor GD'!U$1,FALSE),
"")</f>
        <v>1.5866666666666664</v>
      </c>
      <c r="V349" s="18">
        <f>IFERROR(
                  Andel_oberoende_av_klimat*VLOOKUP($A349,Leveranser_per_nät,'Leveranser per nät'!V$1,FALSE)
               +Andel_beroende_av_klimat*VLOOKUP($A349,Leveranser_per_nät,'Leveranser per nät'!V$1,FALSE)/VLOOKUP($B349,Korrigeringsfaktor_GD,'Korrigeringsfaktor GD'!V$1,FALSE),
"")</f>
        <v>1.6297752808988761</v>
      </c>
      <c r="W349" s="18">
        <f>IFERROR(
                  Andel_oberoende_av_klimat*VLOOKUP($A349,Leveranser_per_nät,'Leveranser per nät'!W$1,FALSE)
               +Andel_beroende_av_klimat*VLOOKUP($A349,Leveranser_per_nät,'Leveranser per nät'!W$1,FALSE)/VLOOKUP($B349,Korrigeringsfaktor_GD,'Korrigeringsfaktor GD'!W$1,FALSE),
"")</f>
        <v>2.5264516129032257</v>
      </c>
      <c r="X349" s="18">
        <f>IFERROR(
                  Andel_oberoende_av_klimat*VLOOKUP($A349,Leveranser_per_nät,'Leveranser per nät'!X$1,FALSE)
               +Andel_beroende_av_klimat*VLOOKUP($A349,Leveranser_per_nät,'Leveranser per nät'!X$1,FALSE)/VLOOKUP($B349,Korrigeringsfaktor_GD,'Korrigeringsfaktor GD'!X$1,FALSE),
"")</f>
        <v>3.635384615384615</v>
      </c>
      <c r="Y349" s="18">
        <f>IFERROR(
                  Andel_oberoende_av_klimat*VLOOKUP($A349,Leveranser_per_nät,'Leveranser per nät'!Y$1,FALSE)
               +Andel_beroende_av_klimat*VLOOKUP($A349,Leveranser_per_nät,'Leveranser per nät'!Y$1,FALSE)/VLOOKUP($B349,Korrigeringsfaktor_GD,'Korrigeringsfaktor GD'!Y$1,FALSE),
"")</f>
        <v>3.3411111111111111</v>
      </c>
      <c r="Z349" s="18">
        <f>IFERROR(
                  Andel_oberoende_av_klimat*VLOOKUP($A349,Leveranser_per_nät,'Leveranser per nät'!Z$1,FALSE)
               +Andel_beroende_av_klimat*VLOOKUP($A349,Leveranser_per_nät,'Leveranser per nät'!Z$1,FALSE)/VLOOKUP($B349,Korrigeringsfaktor_GD,'Korrigeringsfaktor GD'!Z$1,FALSE),
"")</f>
        <v>3.4506818181818177</v>
      </c>
      <c r="AA349" s="18">
        <f>IFERROR(
                  Andel_oberoende_av_klimat*VLOOKUP($A349,Leveranser_per_nät,'Leveranser per nät'!AA$1,FALSE)
               +Andel_beroende_av_klimat*VLOOKUP($A349,Leveranser_per_nät,'Leveranser per nät'!AA$1,FALSE)/VLOOKUP($B349,Korrigeringsfaktor_GD,'Korrigeringsfaktor GD'!AA$1,FALSE),
"")</f>
        <v>3.4828761467889908</v>
      </c>
      <c r="AB349" s="18">
        <f>IFERROR(
                  Andel_oberoende_av_klimat*VLOOKUP($A349,Leveranser_per_nät,'Leveranser per nät'!AB$1,FALSE)
               +Andel_beroende_av_klimat*VLOOKUP($A349,Leveranser_per_nät,'Leveranser per nät'!AB$1,FALSE)/VLOOKUP($B349,Korrigeringsfaktor_GD,'Korrigeringsfaktor GD'!AB$1,FALSE),
"")</f>
        <v>4.2924785847299809</v>
      </c>
      <c r="AC349" s="18">
        <f>IFERROR(
                  Andel_oberoende_av_klimat*VLOOKUP($A349,Leveranser_per_nät,'Leveranser per nät'!AC$1,FALSE)
               +Andel_beroende_av_klimat*VLOOKUP($A349,Leveranser_per_nät,'Leveranser per nät'!AC$1,FALSE)/VLOOKUP($B349,Korrigeringsfaktor_GD,'Korrigeringsfaktor GD'!AC$1,FALSE),
"")</f>
        <v>4.2971900826446285</v>
      </c>
      <c r="AD349">
        <v>3143.35</v>
      </c>
    </row>
    <row r="350" spans="1:30" x14ac:dyDescent="0.25">
      <c r="A350" s="4" t="s">
        <v>704</v>
      </c>
      <c r="B350" t="s">
        <v>160</v>
      </c>
      <c r="C350" s="18">
        <f>IFERROR(
                  Andel_oberoende_av_klimat*VLOOKUP($A350,Leveranser_per_nät,'Leveranser per nät'!C$1,FALSE)
               +Andel_beroende_av_klimat*VLOOKUP($A350,Leveranser_per_nät,'Leveranser per nät'!C$1,FALSE)/VLOOKUP($B350,Korrigeringsfaktor_GD,'Korrigeringsfaktor GD'!C$1,FALSE),
"")</f>
        <v>0</v>
      </c>
      <c r="D350" s="18">
        <f>IFERROR(
                  Andel_oberoende_av_klimat*VLOOKUP($A350,Leveranser_per_nät,'Leveranser per nät'!D$1,FALSE)
               +Andel_beroende_av_klimat*VLOOKUP($A350,Leveranser_per_nät,'Leveranser per nät'!D$1,FALSE)/VLOOKUP($B350,Korrigeringsfaktor_GD,'Korrigeringsfaktor GD'!D$1,FALSE),
"")</f>
        <v>0</v>
      </c>
      <c r="E350" s="18">
        <f>IFERROR(
                  Andel_oberoende_av_klimat*VLOOKUP($A350,Leveranser_per_nät,'Leveranser per nät'!E$1,FALSE)
               +Andel_beroende_av_klimat*VLOOKUP($A350,Leveranser_per_nät,'Leveranser per nät'!E$1,FALSE)/VLOOKUP($B350,Korrigeringsfaktor_GD,'Korrigeringsfaktor GD'!E$1,FALSE),
"")</f>
        <v>0</v>
      </c>
      <c r="F350" s="18">
        <f>IFERROR(
                  Andel_oberoende_av_klimat*VLOOKUP($A350,Leveranser_per_nät,'Leveranser per nät'!F$1,FALSE)
               +Andel_beroende_av_klimat*VLOOKUP($A350,Leveranser_per_nät,'Leveranser per nät'!F$1,FALSE)/VLOOKUP($B350,Korrigeringsfaktor_GD,'Korrigeringsfaktor GD'!F$1,FALSE),
"")</f>
        <v>0</v>
      </c>
      <c r="G350" s="18">
        <f>IFERROR(
                  Andel_oberoende_av_klimat*VLOOKUP($A350,Leveranser_per_nät,'Leveranser per nät'!G$1,FALSE)
               +Andel_beroende_av_klimat*VLOOKUP($A350,Leveranser_per_nät,'Leveranser per nät'!G$1,FALSE)/VLOOKUP($B350,Korrigeringsfaktor_GD,'Korrigeringsfaktor GD'!G$1,FALSE),
"")</f>
        <v>0</v>
      </c>
      <c r="H350" s="18">
        <f>IFERROR(
                  Andel_oberoende_av_klimat*VLOOKUP($A350,Leveranser_per_nät,'Leveranser per nät'!H$1,FALSE)
               +Andel_beroende_av_klimat*VLOOKUP($A350,Leveranser_per_nät,'Leveranser per nät'!H$1,FALSE)/VLOOKUP($B350,Korrigeringsfaktor_GD,'Korrigeringsfaktor GD'!H$1,FALSE),
"")</f>
        <v>0</v>
      </c>
      <c r="I350" s="18">
        <f>IFERROR(
                  Andel_oberoende_av_klimat*VLOOKUP($A350,Leveranser_per_nät,'Leveranser per nät'!I$1,FALSE)
               +Andel_beroende_av_klimat*VLOOKUP($A350,Leveranser_per_nät,'Leveranser per nät'!I$1,FALSE)/VLOOKUP($B350,Korrigeringsfaktor_GD,'Korrigeringsfaktor GD'!I$1,FALSE),
"")</f>
        <v>0</v>
      </c>
      <c r="J350" s="18">
        <f>IFERROR(
                  Andel_oberoende_av_klimat*VLOOKUP($A350,Leveranser_per_nät,'Leveranser per nät'!J$1,FALSE)
               +Andel_beroende_av_klimat*VLOOKUP($A350,Leveranser_per_nät,'Leveranser per nät'!J$1,FALSE)/VLOOKUP($B350,Korrigeringsfaktor_GD,'Korrigeringsfaktor GD'!J$1,FALSE),
"")</f>
        <v>0</v>
      </c>
      <c r="K350" s="18">
        <f>IFERROR(
                  Andel_oberoende_av_klimat*VLOOKUP($A350,Leveranser_per_nät,'Leveranser per nät'!K$1,FALSE)
               +Andel_beroende_av_klimat*VLOOKUP($A350,Leveranser_per_nät,'Leveranser per nät'!K$1,FALSE)/VLOOKUP($B350,Korrigeringsfaktor_GD,'Korrigeringsfaktor GD'!K$1,FALSE),
"")</f>
        <v>0</v>
      </c>
      <c r="L350" s="18">
        <f>IFERROR(
                  Andel_oberoende_av_klimat*VLOOKUP($A350,Leveranser_per_nät,'Leveranser per nät'!L$1,FALSE)
               +Andel_beroende_av_klimat*VLOOKUP($A350,Leveranser_per_nät,'Leveranser per nät'!L$1,FALSE)/VLOOKUP($B350,Korrigeringsfaktor_GD,'Korrigeringsfaktor GD'!L$1,FALSE),
"")</f>
        <v>0</v>
      </c>
      <c r="M350" s="18">
        <f>IFERROR(
                  Andel_oberoende_av_klimat*VLOOKUP($A350,Leveranser_per_nät,'Leveranser per nät'!M$1,FALSE)
               +Andel_beroende_av_klimat*VLOOKUP($A350,Leveranser_per_nät,'Leveranser per nät'!M$1,FALSE)/VLOOKUP($B350,Korrigeringsfaktor_GD,'Korrigeringsfaktor GD'!M$1,FALSE),
"")</f>
        <v>0</v>
      </c>
      <c r="N350" s="18">
        <f>IFERROR(
                  Andel_oberoende_av_klimat*VLOOKUP($A350,Leveranser_per_nät,'Leveranser per nät'!N$1,FALSE)
               +Andel_beroende_av_klimat*VLOOKUP($A350,Leveranser_per_nät,'Leveranser per nät'!N$1,FALSE)/VLOOKUP($B350,Korrigeringsfaktor_GD,'Korrigeringsfaktor GD'!N$1,FALSE),
"")</f>
        <v>0</v>
      </c>
      <c r="O350" s="18">
        <f>IFERROR(
                  Andel_oberoende_av_klimat*VLOOKUP($A350,Leveranser_per_nät,'Leveranser per nät'!O$1,FALSE)
               +Andel_beroende_av_klimat*VLOOKUP($A350,Leveranser_per_nät,'Leveranser per nät'!O$1,FALSE)/VLOOKUP($B350,Korrigeringsfaktor_GD,'Korrigeringsfaktor GD'!O$1,FALSE),
"")</f>
        <v>0</v>
      </c>
      <c r="P350" s="18">
        <f>IFERROR(
                  Andel_oberoende_av_klimat*VLOOKUP($A350,Leveranser_per_nät,'Leveranser per nät'!P$1,FALSE)
               +Andel_beroende_av_klimat*VLOOKUP($A350,Leveranser_per_nät,'Leveranser per nät'!P$1,FALSE)/VLOOKUP($B350,Korrigeringsfaktor_GD,'Korrigeringsfaktor GD'!P$1,FALSE),
"")</f>
        <v>0</v>
      </c>
      <c r="Q350" s="18">
        <f>IFERROR(
                  Andel_oberoende_av_klimat*VLOOKUP($A350,Leveranser_per_nät,'Leveranser per nät'!Q$1,FALSE)
               +Andel_beroende_av_klimat*VLOOKUP($A350,Leveranser_per_nät,'Leveranser per nät'!Q$1,FALSE)/VLOOKUP($B350,Korrigeringsfaktor_GD,'Korrigeringsfaktor GD'!Q$1,FALSE),
"")</f>
        <v>0</v>
      </c>
      <c r="R350" s="18">
        <f>IFERROR(
                  Andel_oberoende_av_klimat*VLOOKUP($A350,Leveranser_per_nät,'Leveranser per nät'!R$1,FALSE)
               +Andel_beroende_av_klimat*VLOOKUP($A350,Leveranser_per_nät,'Leveranser per nät'!R$1,FALSE)/VLOOKUP($B350,Korrigeringsfaktor_GD,'Korrigeringsfaktor GD'!R$1,FALSE),
"")</f>
        <v>0</v>
      </c>
      <c r="S350" s="18">
        <f>IFERROR(
                  Andel_oberoende_av_klimat*VLOOKUP($A350,Leveranser_per_nät,'Leveranser per nät'!S$1,FALSE)
               +Andel_beroende_av_klimat*VLOOKUP($A350,Leveranser_per_nät,'Leveranser per nät'!S$1,FALSE)/VLOOKUP($B350,Korrigeringsfaktor_GD,'Korrigeringsfaktor GD'!S$1,FALSE),
"")</f>
        <v>2.5819801980198021</v>
      </c>
      <c r="T350" s="18">
        <f>IFERROR(
                  Andel_oberoende_av_klimat*VLOOKUP($A350,Leveranser_per_nät,'Leveranser per nät'!T$1,FALSE)
               +Andel_beroende_av_klimat*VLOOKUP($A350,Leveranser_per_nät,'Leveranser per nät'!T$1,FALSE)/VLOOKUP($B350,Korrigeringsfaktor_GD,'Korrigeringsfaktor GD'!T$1,FALSE),
"")</f>
        <v>2.5762857142857141</v>
      </c>
      <c r="U350" s="18">
        <f>IFERROR(
                  Andel_oberoende_av_klimat*VLOOKUP($A350,Leveranser_per_nät,'Leveranser per nät'!U$1,FALSE)
               +Andel_beroende_av_klimat*VLOOKUP($A350,Leveranser_per_nät,'Leveranser per nät'!U$1,FALSE)/VLOOKUP($B350,Korrigeringsfaktor_GD,'Korrigeringsfaktor GD'!U$1,FALSE),
"")</f>
        <v>3.2694705882352944</v>
      </c>
      <c r="V350" s="18">
        <f>IFERROR(
                  Andel_oberoende_av_klimat*VLOOKUP($A350,Leveranser_per_nät,'Leveranser per nät'!V$1,FALSE)
               +Andel_beroende_av_klimat*VLOOKUP($A350,Leveranser_per_nät,'Leveranser per nät'!V$1,FALSE)/VLOOKUP($B350,Korrigeringsfaktor_GD,'Korrigeringsfaktor GD'!V$1,FALSE),
"")</f>
        <v>3.1812413793103449</v>
      </c>
      <c r="W350" s="18" t="str">
        <f>IFERROR(
                  Andel_oberoende_av_klimat*VLOOKUP($A350,Leveranser_per_nät,'Leveranser per nät'!W$1,FALSE)
               +Andel_beroende_av_klimat*VLOOKUP($A350,Leveranser_per_nät,'Leveranser per nät'!W$1,FALSE)/VLOOKUP($B350,Korrigeringsfaktor_GD,'Korrigeringsfaktor GD'!W$1,FALSE),
"")</f>
        <v/>
      </c>
      <c r="X350" s="18" t="str">
        <f>IFERROR(
                  Andel_oberoende_av_klimat*VLOOKUP($A350,Leveranser_per_nät,'Leveranser per nät'!X$1,FALSE)
               +Andel_beroende_av_klimat*VLOOKUP($A350,Leveranser_per_nät,'Leveranser per nät'!X$1,FALSE)/VLOOKUP($B350,Korrigeringsfaktor_GD,'Korrigeringsfaktor GD'!X$1,FALSE),
"")</f>
        <v/>
      </c>
      <c r="Y350" s="18" t="str">
        <f>IFERROR(
                  Andel_oberoende_av_klimat*VLOOKUP($A350,Leveranser_per_nät,'Leveranser per nät'!Y$1,FALSE)
               +Andel_beroende_av_klimat*VLOOKUP($A350,Leveranser_per_nät,'Leveranser per nät'!Y$1,FALSE)/VLOOKUP($B350,Korrigeringsfaktor_GD,'Korrigeringsfaktor GD'!Y$1,FALSE),
"")</f>
        <v/>
      </c>
      <c r="Z350" s="18">
        <f>IFERROR(
                  Andel_oberoende_av_klimat*VLOOKUP($A350,Leveranser_per_nät,'Leveranser per nät'!Z$1,FALSE)
               +Andel_beroende_av_klimat*VLOOKUP($A350,Leveranser_per_nät,'Leveranser per nät'!Z$1,FALSE)/VLOOKUP($B350,Korrigeringsfaktor_GD,'Korrigeringsfaktor GD'!Z$1,FALSE),
"")</f>
        <v>0</v>
      </c>
      <c r="AA350" s="18" t="str">
        <f>IFERROR(
                  Andel_oberoende_av_klimat*VLOOKUP($A350,Leveranser_per_nät,'Leveranser per nät'!AA$1,FALSE)
               +Andel_beroende_av_klimat*VLOOKUP($A350,Leveranser_per_nät,'Leveranser per nät'!AA$1,FALSE)/VLOOKUP($B350,Korrigeringsfaktor_GD,'Korrigeringsfaktor GD'!AA$1,FALSE),
"")</f>
        <v/>
      </c>
      <c r="AB350" s="18">
        <f>IFERROR(
                  Andel_oberoende_av_klimat*VLOOKUP($A350,Leveranser_per_nät,'Leveranser per nät'!AB$1,FALSE)
               +Andel_beroende_av_klimat*VLOOKUP($A350,Leveranser_per_nät,'Leveranser per nät'!AB$1,FALSE)/VLOOKUP($B350,Korrigeringsfaktor_GD,'Korrigeringsfaktor GD'!AB$1,FALSE),
"")</f>
        <v>0</v>
      </c>
      <c r="AC350" s="18">
        <f>IFERROR(
                  Andel_oberoende_av_klimat*VLOOKUP($A350,Leveranser_per_nät,'Leveranser per nät'!AC$1,FALSE)
               +Andel_beroende_av_klimat*VLOOKUP($A350,Leveranser_per_nät,'Leveranser per nät'!AC$1,FALSE)/VLOOKUP($B350,Korrigeringsfaktor_GD,'Korrigeringsfaktor GD'!AC$1,FALSE),
"")</f>
        <v>0</v>
      </c>
      <c r="AD350">
        <v>711.67200000000003</v>
      </c>
    </row>
    <row r="351" spans="1:30" x14ac:dyDescent="0.25">
      <c r="A351" s="4" t="s">
        <v>705</v>
      </c>
      <c r="B351" t="s">
        <v>106</v>
      </c>
      <c r="C351" s="18">
        <f>IFERROR(
                  Andel_oberoende_av_klimat*VLOOKUP($A351,Leveranser_per_nät,'Leveranser per nät'!C$1,FALSE)
               +Andel_beroende_av_klimat*VLOOKUP($A351,Leveranser_per_nät,'Leveranser per nät'!C$1,FALSE)/VLOOKUP($B351,Korrigeringsfaktor_GD,'Korrigeringsfaktor GD'!C$1,FALSE),
"")</f>
        <v>0</v>
      </c>
      <c r="D351" s="18">
        <f>IFERROR(
                  Andel_oberoende_av_klimat*VLOOKUP($A351,Leveranser_per_nät,'Leveranser per nät'!D$1,FALSE)
               +Andel_beroende_av_klimat*VLOOKUP($A351,Leveranser_per_nät,'Leveranser per nät'!D$1,FALSE)/VLOOKUP($B351,Korrigeringsfaktor_GD,'Korrigeringsfaktor GD'!D$1,FALSE),
"")</f>
        <v>0</v>
      </c>
      <c r="E351" s="18">
        <f>IFERROR(
                  Andel_oberoende_av_klimat*VLOOKUP($A351,Leveranser_per_nät,'Leveranser per nät'!E$1,FALSE)
               +Andel_beroende_av_klimat*VLOOKUP($A351,Leveranser_per_nät,'Leveranser per nät'!E$1,FALSE)/VLOOKUP($B351,Korrigeringsfaktor_GD,'Korrigeringsfaktor GD'!E$1,FALSE),
"")</f>
        <v>0</v>
      </c>
      <c r="F351" s="18">
        <f>IFERROR(
                  Andel_oberoende_av_klimat*VLOOKUP($A351,Leveranser_per_nät,'Leveranser per nät'!F$1,FALSE)
               +Andel_beroende_av_klimat*VLOOKUP($A351,Leveranser_per_nät,'Leveranser per nät'!F$1,FALSE)/VLOOKUP($B351,Korrigeringsfaktor_GD,'Korrigeringsfaktor GD'!F$1,FALSE),
"")</f>
        <v>0</v>
      </c>
      <c r="G351" s="18">
        <f>IFERROR(
                  Andel_oberoende_av_klimat*VLOOKUP($A351,Leveranser_per_nät,'Leveranser per nät'!G$1,FALSE)
               +Andel_beroende_av_klimat*VLOOKUP($A351,Leveranser_per_nät,'Leveranser per nät'!G$1,FALSE)/VLOOKUP($B351,Korrigeringsfaktor_GD,'Korrigeringsfaktor GD'!G$1,FALSE),
"")</f>
        <v>0</v>
      </c>
      <c r="H351" s="18">
        <f>IFERROR(
                  Andel_oberoende_av_klimat*VLOOKUP($A351,Leveranser_per_nät,'Leveranser per nät'!H$1,FALSE)
               +Andel_beroende_av_klimat*VLOOKUP($A351,Leveranser_per_nät,'Leveranser per nät'!H$1,FALSE)/VLOOKUP($B351,Korrigeringsfaktor_GD,'Korrigeringsfaktor GD'!H$1,FALSE),
"")</f>
        <v>0</v>
      </c>
      <c r="I351" s="18">
        <f>IFERROR(
                  Andel_oberoende_av_klimat*VLOOKUP($A351,Leveranser_per_nät,'Leveranser per nät'!I$1,FALSE)
               +Andel_beroende_av_klimat*VLOOKUP($A351,Leveranser_per_nät,'Leveranser per nät'!I$1,FALSE)/VLOOKUP($B351,Korrigeringsfaktor_GD,'Korrigeringsfaktor GD'!I$1,FALSE),
"")</f>
        <v>0</v>
      </c>
      <c r="J351" s="18">
        <f>IFERROR(
                  Andel_oberoende_av_klimat*VLOOKUP($A351,Leveranser_per_nät,'Leveranser per nät'!J$1,FALSE)
               +Andel_beroende_av_klimat*VLOOKUP($A351,Leveranser_per_nät,'Leveranser per nät'!J$1,FALSE)/VLOOKUP($B351,Korrigeringsfaktor_GD,'Korrigeringsfaktor GD'!J$1,FALSE),
"")</f>
        <v>0</v>
      </c>
      <c r="K351" s="18">
        <f>IFERROR(
                  Andel_oberoende_av_klimat*VLOOKUP($A351,Leveranser_per_nät,'Leveranser per nät'!K$1,FALSE)
               +Andel_beroende_av_klimat*VLOOKUP($A351,Leveranser_per_nät,'Leveranser per nät'!K$1,FALSE)/VLOOKUP($B351,Korrigeringsfaktor_GD,'Korrigeringsfaktor GD'!K$1,FALSE),
"")</f>
        <v>0</v>
      </c>
      <c r="L351" s="18">
        <f>IFERROR(
                  Andel_oberoende_av_klimat*VLOOKUP($A351,Leveranser_per_nät,'Leveranser per nät'!L$1,FALSE)
               +Andel_beroende_av_klimat*VLOOKUP($A351,Leveranser_per_nät,'Leveranser per nät'!L$1,FALSE)/VLOOKUP($B351,Korrigeringsfaktor_GD,'Korrigeringsfaktor GD'!L$1,FALSE),
"")</f>
        <v>0</v>
      </c>
      <c r="M351" s="18">
        <f>IFERROR(
                  Andel_oberoende_av_klimat*VLOOKUP($A351,Leveranser_per_nät,'Leveranser per nät'!M$1,FALSE)
               +Andel_beroende_av_klimat*VLOOKUP($A351,Leveranser_per_nät,'Leveranser per nät'!M$1,FALSE)/VLOOKUP($B351,Korrigeringsfaktor_GD,'Korrigeringsfaktor GD'!M$1,FALSE),
"")</f>
        <v>0</v>
      </c>
      <c r="N351" s="18">
        <f>IFERROR(
                  Andel_oberoende_av_klimat*VLOOKUP($A351,Leveranser_per_nät,'Leveranser per nät'!N$1,FALSE)
               +Andel_beroende_av_klimat*VLOOKUP($A351,Leveranser_per_nät,'Leveranser per nät'!N$1,FALSE)/VLOOKUP($B351,Korrigeringsfaktor_GD,'Korrigeringsfaktor GD'!N$1,FALSE),
"")</f>
        <v>0</v>
      </c>
      <c r="O351" s="18">
        <f>IFERROR(
                  Andel_oberoende_av_klimat*VLOOKUP($A351,Leveranser_per_nät,'Leveranser per nät'!O$1,FALSE)
               +Andel_beroende_av_klimat*VLOOKUP($A351,Leveranser_per_nät,'Leveranser per nät'!O$1,FALSE)/VLOOKUP($B351,Korrigeringsfaktor_GD,'Korrigeringsfaktor GD'!O$1,FALSE),
"")</f>
        <v>0</v>
      </c>
      <c r="P351" s="18">
        <f>IFERROR(
                  Andel_oberoende_av_klimat*VLOOKUP($A351,Leveranser_per_nät,'Leveranser per nät'!P$1,FALSE)
               +Andel_beroende_av_klimat*VLOOKUP($A351,Leveranser_per_nät,'Leveranser per nät'!P$1,FALSE)/VLOOKUP($B351,Korrigeringsfaktor_GD,'Korrigeringsfaktor GD'!P$1,FALSE),
"")</f>
        <v>0</v>
      </c>
      <c r="Q351" s="18">
        <f>IFERROR(
                  Andel_oberoende_av_klimat*VLOOKUP($A351,Leveranser_per_nät,'Leveranser per nät'!Q$1,FALSE)
               +Andel_beroende_av_klimat*VLOOKUP($A351,Leveranser_per_nät,'Leveranser per nät'!Q$1,FALSE)/VLOOKUP($B351,Korrigeringsfaktor_GD,'Korrigeringsfaktor GD'!Q$1,FALSE),
"")</f>
        <v>0</v>
      </c>
      <c r="R351" s="18">
        <f>IFERROR(
                  Andel_oberoende_av_klimat*VLOOKUP($A351,Leveranser_per_nät,'Leveranser per nät'!R$1,FALSE)
               +Andel_beroende_av_klimat*VLOOKUP($A351,Leveranser_per_nät,'Leveranser per nät'!R$1,FALSE)/VLOOKUP($B351,Korrigeringsfaktor_GD,'Korrigeringsfaktor GD'!R$1,FALSE),
"")</f>
        <v>0</v>
      </c>
      <c r="S351" s="18" t="str">
        <f>IFERROR(
                  Andel_oberoende_av_klimat*VLOOKUP($A351,Leveranser_per_nät,'Leveranser per nät'!S$1,FALSE)
               +Andel_beroende_av_klimat*VLOOKUP($A351,Leveranser_per_nät,'Leveranser per nät'!S$1,FALSE)/VLOOKUP($B351,Korrigeringsfaktor_GD,'Korrigeringsfaktor GD'!S$1,FALSE),
"")</f>
        <v/>
      </c>
      <c r="T351" s="18">
        <f>IFERROR(
                  Andel_oberoende_av_klimat*VLOOKUP($A351,Leveranser_per_nät,'Leveranser per nät'!T$1,FALSE)
               +Andel_beroende_av_klimat*VLOOKUP($A351,Leveranser_per_nät,'Leveranser per nät'!T$1,FALSE)/VLOOKUP($B351,Korrigeringsfaktor_GD,'Korrigeringsfaktor GD'!T$1,FALSE),
"")</f>
        <v>5.0531714285714289</v>
      </c>
      <c r="U351" s="18">
        <f>IFERROR(
                  Andel_oberoende_av_klimat*VLOOKUP($A351,Leveranser_per_nät,'Leveranser per nät'!U$1,FALSE)
               +Andel_beroende_av_klimat*VLOOKUP($A351,Leveranser_per_nät,'Leveranser per nät'!U$1,FALSE)/VLOOKUP($B351,Korrigeringsfaktor_GD,'Korrigeringsfaktor GD'!U$1,FALSE),
"")</f>
        <v>4.9013953488372097</v>
      </c>
      <c r="V351" s="18">
        <f>IFERROR(
                  Andel_oberoende_av_klimat*VLOOKUP($A351,Leveranser_per_nät,'Leveranser per nät'!V$1,FALSE)
               +Andel_beroende_av_klimat*VLOOKUP($A351,Leveranser_per_nät,'Leveranser per nät'!V$1,FALSE)/VLOOKUP($B351,Korrigeringsfaktor_GD,'Korrigeringsfaktor GD'!V$1,FALSE),
"")</f>
        <v>5.132307692307692</v>
      </c>
      <c r="W351" s="18">
        <f>IFERROR(
                  Andel_oberoende_av_klimat*VLOOKUP($A351,Leveranser_per_nät,'Leveranser per nät'!W$1,FALSE)
               +Andel_beroende_av_klimat*VLOOKUP($A351,Leveranser_per_nät,'Leveranser per nät'!W$1,FALSE)/VLOOKUP($B351,Korrigeringsfaktor_GD,'Korrigeringsfaktor GD'!W$1,FALSE),
"")</f>
        <v>4.701063829787234</v>
      </c>
      <c r="X351" s="18">
        <f>IFERROR(
                  Andel_oberoende_av_klimat*VLOOKUP($A351,Leveranser_per_nät,'Leveranser per nät'!X$1,FALSE)
               +Andel_beroende_av_klimat*VLOOKUP($A351,Leveranser_per_nät,'Leveranser per nät'!X$1,FALSE)/VLOOKUP($B351,Korrigeringsfaktor_GD,'Korrigeringsfaktor GD'!X$1,FALSE),
"")</f>
        <v>4.5617391304347823</v>
      </c>
      <c r="Y351" s="18">
        <f>IFERROR(
                  Andel_oberoende_av_klimat*VLOOKUP($A351,Leveranser_per_nät,'Leveranser per nät'!Y$1,FALSE)
               +Andel_beroende_av_klimat*VLOOKUP($A351,Leveranser_per_nät,'Leveranser per nät'!Y$1,FALSE)/VLOOKUP($B351,Korrigeringsfaktor_GD,'Korrigeringsfaktor GD'!Y$1,FALSE),
"")</f>
        <v>4.3838461538461537</v>
      </c>
      <c r="Z351" s="18">
        <f>IFERROR(
                  Andel_oberoende_av_klimat*VLOOKUP($A351,Leveranser_per_nät,'Leveranser per nät'!Z$1,FALSE)
               +Andel_beroende_av_klimat*VLOOKUP($A351,Leveranser_per_nät,'Leveranser per nät'!Z$1,FALSE)/VLOOKUP($B351,Korrigeringsfaktor_GD,'Korrigeringsfaktor GD'!Z$1,FALSE),
"")</f>
        <v>4.3460674157303369</v>
      </c>
      <c r="AA351" s="18">
        <f>IFERROR(
                  Andel_oberoende_av_klimat*VLOOKUP($A351,Leveranser_per_nät,'Leveranser per nät'!AA$1,FALSE)
               +Andel_beroende_av_klimat*VLOOKUP($A351,Leveranser_per_nät,'Leveranser per nät'!AA$1,FALSE)/VLOOKUP($B351,Korrigeringsfaktor_GD,'Korrigeringsfaktor GD'!AA$1,FALSE),
"")</f>
        <v>4.1784859268845036</v>
      </c>
      <c r="AB351" s="18">
        <f>IFERROR(
                  Andel_oberoende_av_klimat*VLOOKUP($A351,Leveranser_per_nät,'Leveranser per nät'!AB$1,FALSE)
               +Andel_beroende_av_klimat*VLOOKUP($A351,Leveranser_per_nät,'Leveranser per nät'!AB$1,FALSE)/VLOOKUP($B351,Korrigeringsfaktor_GD,'Korrigeringsfaktor GD'!AB$1,FALSE),
"")</f>
        <v>3.7200193986420951</v>
      </c>
      <c r="AC351" s="18">
        <f>IFERROR(
                  Andel_oberoende_av_klimat*VLOOKUP($A351,Leveranser_per_nät,'Leveranser per nät'!AC$1,FALSE)
               +Andel_beroende_av_klimat*VLOOKUP($A351,Leveranser_per_nät,'Leveranser per nät'!AC$1,FALSE)/VLOOKUP($B351,Korrigeringsfaktor_GD,'Korrigeringsfaktor GD'!AC$1,FALSE),
"")</f>
        <v>3.7159832635983268</v>
      </c>
      <c r="AD351">
        <v>98.03</v>
      </c>
    </row>
    <row r="352" spans="1:30" x14ac:dyDescent="0.25">
      <c r="A352" s="4" t="s">
        <v>418</v>
      </c>
      <c r="B352" t="s">
        <v>418</v>
      </c>
      <c r="C352" s="18">
        <f>IFERROR(
                  Andel_oberoende_av_klimat*VLOOKUP($A352,Leveranser_per_nät,'Leveranser per nät'!C$1,FALSE)
               +Andel_beroende_av_klimat*VLOOKUP($A352,Leveranser_per_nät,'Leveranser per nät'!C$1,FALSE)/VLOOKUP($B352,Korrigeringsfaktor_GD,'Korrigeringsfaktor GD'!C$1,FALSE),
"")</f>
        <v>50.570796460176993</v>
      </c>
      <c r="D352" s="18">
        <f>IFERROR(
                  Andel_oberoende_av_klimat*VLOOKUP($A352,Leveranser_per_nät,'Leveranser per nät'!D$1,FALSE)
               +Andel_beroende_av_klimat*VLOOKUP($A352,Leveranser_per_nät,'Leveranser per nät'!D$1,FALSE)/VLOOKUP($B352,Korrigeringsfaktor_GD,'Korrigeringsfaktor GD'!D$1,FALSE),
"")</f>
        <v>55.388888888888886</v>
      </c>
      <c r="E352" s="18">
        <f>IFERROR(
                  Andel_oberoende_av_klimat*VLOOKUP($A352,Leveranser_per_nät,'Leveranser per nät'!E$1,FALSE)
               +Andel_beroende_av_klimat*VLOOKUP($A352,Leveranser_per_nät,'Leveranser per nät'!E$1,FALSE)/VLOOKUP($B352,Korrigeringsfaktor_GD,'Korrigeringsfaktor GD'!E$1,FALSE),
"")</f>
        <v>56.831370297029707</v>
      </c>
      <c r="F352" s="18">
        <f>IFERROR(
                  Andel_oberoende_av_klimat*VLOOKUP($A352,Leveranser_per_nät,'Leveranser per nät'!F$1,FALSE)
               +Andel_beroende_av_klimat*VLOOKUP($A352,Leveranser_per_nät,'Leveranser per nät'!F$1,FALSE)/VLOOKUP($B352,Korrigeringsfaktor_GD,'Korrigeringsfaktor GD'!F$1,FALSE),
"")</f>
        <v>55.98947368421053</v>
      </c>
      <c r="G352" s="18">
        <f>IFERROR(
                  Andel_oberoende_av_klimat*VLOOKUP($A352,Leveranser_per_nät,'Leveranser per nät'!G$1,FALSE)
               +Andel_beroende_av_klimat*VLOOKUP($A352,Leveranser_per_nät,'Leveranser per nät'!G$1,FALSE)/VLOOKUP($B352,Korrigeringsfaktor_GD,'Korrigeringsfaktor GD'!G$1,FALSE),
"")</f>
        <v>51.916091954022988</v>
      </c>
      <c r="H352" s="18">
        <f>IFERROR(
                  Andel_oberoende_av_klimat*VLOOKUP($A352,Leveranser_per_nät,'Leveranser per nät'!H$1,FALSE)
               +Andel_beroende_av_klimat*VLOOKUP($A352,Leveranser_per_nät,'Leveranser per nät'!H$1,FALSE)/VLOOKUP($B352,Korrigeringsfaktor_GD,'Korrigeringsfaktor GD'!H$1,FALSE),
"")</f>
        <v>56.21764705882353</v>
      </c>
      <c r="I352" s="18">
        <f>IFERROR(
                  Andel_oberoende_av_klimat*VLOOKUP($A352,Leveranser_per_nät,'Leveranser per nät'!I$1,FALSE)
               +Andel_beroende_av_klimat*VLOOKUP($A352,Leveranser_per_nät,'Leveranser per nät'!I$1,FALSE)/VLOOKUP($B352,Korrigeringsfaktor_GD,'Korrigeringsfaktor GD'!I$1,FALSE),
"")</f>
        <v>57.140368421052635</v>
      </c>
      <c r="J352" s="18">
        <f>IFERROR(
                  Andel_oberoende_av_klimat*VLOOKUP($A352,Leveranser_per_nät,'Leveranser per nät'!J$1,FALSE)
               +Andel_beroende_av_klimat*VLOOKUP($A352,Leveranser_per_nät,'Leveranser per nät'!J$1,FALSE)/VLOOKUP($B352,Korrigeringsfaktor_GD,'Korrigeringsfaktor GD'!J$1,FALSE),
"")</f>
        <v>60.122121212121215</v>
      </c>
      <c r="K352" s="18">
        <f>IFERROR(
                  Andel_oberoende_av_klimat*VLOOKUP($A352,Leveranser_per_nät,'Leveranser per nät'!K$1,FALSE)
               +Andel_beroende_av_klimat*VLOOKUP($A352,Leveranser_per_nät,'Leveranser per nät'!K$1,FALSE)/VLOOKUP($B352,Korrigeringsfaktor_GD,'Korrigeringsfaktor GD'!K$1,FALSE),
"")</f>
        <v>56.303103092783509</v>
      </c>
      <c r="L352" s="18">
        <f>IFERROR(
                  Andel_oberoende_av_klimat*VLOOKUP($A352,Leveranser_per_nät,'Leveranser per nät'!L$1,FALSE)
               +Andel_beroende_av_klimat*VLOOKUP($A352,Leveranser_per_nät,'Leveranser per nät'!L$1,FALSE)/VLOOKUP($B352,Korrigeringsfaktor_GD,'Korrigeringsfaktor GD'!L$1,FALSE),
"")</f>
        <v>57.140368421052635</v>
      </c>
      <c r="M352" s="18">
        <f>IFERROR(
                  Andel_oberoende_av_klimat*VLOOKUP($A352,Leveranser_per_nät,'Leveranser per nät'!M$1,FALSE)
               +Andel_beroende_av_klimat*VLOOKUP($A352,Leveranser_per_nät,'Leveranser per nät'!M$1,FALSE)/VLOOKUP($B352,Korrigeringsfaktor_GD,'Korrigeringsfaktor GD'!M$1,FALSE),
"")</f>
        <v>65.77391304347826</v>
      </c>
      <c r="N352" s="18">
        <f>IFERROR(
                  Andel_oberoende_av_klimat*VLOOKUP($A352,Leveranser_per_nät,'Leveranser per nät'!N$1,FALSE)
               +Andel_beroende_av_klimat*VLOOKUP($A352,Leveranser_per_nät,'Leveranser per nät'!N$1,FALSE)/VLOOKUP($B352,Korrigeringsfaktor_GD,'Korrigeringsfaktor GD'!N$1,FALSE),
"")</f>
        <v>66.930000000000007</v>
      </c>
      <c r="O352" s="18">
        <f>IFERROR(
                  Andel_oberoende_av_klimat*VLOOKUP($A352,Leveranser_per_nät,'Leveranser per nät'!O$1,FALSE)
               +Andel_beroende_av_klimat*VLOOKUP($A352,Leveranser_per_nät,'Leveranser per nät'!O$1,FALSE)/VLOOKUP($B352,Korrigeringsfaktor_GD,'Korrigeringsfaktor GD'!O$1,FALSE),
"")</f>
        <v>68.904090909090897</v>
      </c>
      <c r="P352" s="18">
        <f>IFERROR(
                  Andel_oberoende_av_klimat*VLOOKUP($A352,Leveranser_per_nät,'Leveranser per nät'!P$1,FALSE)
               +Andel_beroende_av_klimat*VLOOKUP($A352,Leveranser_per_nät,'Leveranser per nät'!P$1,FALSE)/VLOOKUP($B352,Korrigeringsfaktor_GD,'Korrigeringsfaktor GD'!P$1,FALSE),
"")</f>
        <v>71.413298969072173</v>
      </c>
      <c r="Q352" s="18">
        <f>IFERROR(
                  Andel_oberoende_av_klimat*VLOOKUP($A352,Leveranser_per_nät,'Leveranser per nät'!Q$1,FALSE)
               +Andel_beroende_av_klimat*VLOOKUP($A352,Leveranser_per_nät,'Leveranser per nät'!Q$1,FALSE)/VLOOKUP($B352,Korrigeringsfaktor_GD,'Korrigeringsfaktor GD'!Q$1,FALSE),
"")</f>
        <v>73.368235294117653</v>
      </c>
      <c r="R352" s="18">
        <f>IFERROR(
                  Andel_oberoende_av_klimat*VLOOKUP($A352,Leveranser_per_nät,'Leveranser per nät'!R$1,FALSE)
               +Andel_beroende_av_klimat*VLOOKUP($A352,Leveranser_per_nät,'Leveranser per nät'!R$1,FALSE)/VLOOKUP($B352,Korrigeringsfaktor_GD,'Korrigeringsfaktor GD'!R$1,FALSE),
"")</f>
        <v>73.776923076923083</v>
      </c>
      <c r="S352" s="18">
        <f>IFERROR(
                  Andel_oberoende_av_klimat*VLOOKUP($A352,Leveranser_per_nät,'Leveranser per nät'!S$1,FALSE)
               +Andel_beroende_av_klimat*VLOOKUP($A352,Leveranser_per_nät,'Leveranser per nät'!S$1,FALSE)/VLOOKUP($B352,Korrigeringsfaktor_GD,'Korrigeringsfaktor GD'!S$1,FALSE),
"")</f>
        <v>75.473267326732667</v>
      </c>
      <c r="T352" s="18">
        <f>IFERROR(
                  Andel_oberoende_av_klimat*VLOOKUP($A352,Leveranser_per_nät,'Leveranser per nät'!T$1,FALSE)
               +Andel_beroende_av_klimat*VLOOKUP($A352,Leveranser_per_nät,'Leveranser per nät'!T$1,FALSE)/VLOOKUP($B352,Korrigeringsfaktor_GD,'Korrigeringsfaktor GD'!T$1,FALSE),
"")</f>
        <v>77.25611428571429</v>
      </c>
      <c r="U352" s="18">
        <f>IFERROR(
                  Andel_oberoende_av_klimat*VLOOKUP($A352,Leveranser_per_nät,'Leveranser per nät'!U$1,FALSE)
               +Andel_beroende_av_klimat*VLOOKUP($A352,Leveranser_per_nät,'Leveranser per nät'!U$1,FALSE)/VLOOKUP($B352,Korrigeringsfaktor_GD,'Korrigeringsfaktor GD'!U$1,FALSE),
"")</f>
        <v>78.2</v>
      </c>
      <c r="V352" s="18">
        <f>IFERROR(
                  Andel_oberoende_av_klimat*VLOOKUP($A352,Leveranser_per_nät,'Leveranser per nät'!V$1,FALSE)
               +Andel_beroende_av_klimat*VLOOKUP($A352,Leveranser_per_nät,'Leveranser per nät'!V$1,FALSE)/VLOOKUP($B352,Korrigeringsfaktor_GD,'Korrigeringsfaktor GD'!V$1,FALSE),
"")</f>
        <v>76.522222222222211</v>
      </c>
      <c r="W352" s="18">
        <f>IFERROR(
                  Andel_oberoende_av_klimat*VLOOKUP($A352,Leveranser_per_nät,'Leveranser per nät'!W$1,FALSE)
               +Andel_beroende_av_klimat*VLOOKUP($A352,Leveranser_per_nät,'Leveranser per nät'!W$1,FALSE)/VLOOKUP($B352,Korrigeringsfaktor_GD,'Korrigeringsfaktor GD'!W$1,FALSE),
"")</f>
        <v>79.836842105263159</v>
      </c>
      <c r="X352" s="18">
        <f>IFERROR(
                  Andel_oberoende_av_klimat*VLOOKUP($A352,Leveranser_per_nät,'Leveranser per nät'!X$1,FALSE)
               +Andel_beroende_av_klimat*VLOOKUP($A352,Leveranser_per_nät,'Leveranser per nät'!X$1,FALSE)/VLOOKUP($B352,Korrigeringsfaktor_GD,'Korrigeringsfaktor GD'!X$1,FALSE),
"")</f>
        <v>79.291276595744691</v>
      </c>
      <c r="Y352" s="18">
        <f>IFERROR(
                  Andel_oberoende_av_klimat*VLOOKUP($A352,Leveranser_per_nät,'Leveranser per nät'!Y$1,FALSE)
               +Andel_beroende_av_klimat*VLOOKUP($A352,Leveranser_per_nät,'Leveranser per nät'!Y$1,FALSE)/VLOOKUP($B352,Korrigeringsfaktor_GD,'Korrigeringsfaktor GD'!Y$1,FALSE),
"")</f>
        <v>80.753829787234039</v>
      </c>
      <c r="Z352" s="18">
        <f>IFERROR(
                  Andel_oberoende_av_klimat*VLOOKUP($A352,Leveranser_per_nät,'Leveranser per nät'!Z$1,FALSE)
               +Andel_beroende_av_klimat*VLOOKUP($A352,Leveranser_per_nät,'Leveranser per nät'!Z$1,FALSE)/VLOOKUP($B352,Korrigeringsfaktor_GD,'Korrigeringsfaktor GD'!Z$1,FALSE),
"")</f>
        <v>81.26444444444445</v>
      </c>
      <c r="AA352" s="18">
        <f>IFERROR(
                  Andel_oberoende_av_klimat*VLOOKUP($A352,Leveranser_per_nät,'Leveranser per nät'!AA$1,FALSE)
               +Andel_beroende_av_klimat*VLOOKUP($A352,Leveranser_per_nät,'Leveranser per nät'!AA$1,FALSE)/VLOOKUP($B352,Korrigeringsfaktor_GD,'Korrigeringsfaktor GD'!AA$1,FALSE),
"")</f>
        <v>84.24569920844327</v>
      </c>
      <c r="AB352" s="18">
        <f>IFERROR(
                  Andel_oberoende_av_klimat*VLOOKUP($A352,Leveranser_per_nät,'Leveranser per nät'!AB$1,FALSE)
               +Andel_beroende_av_klimat*VLOOKUP($A352,Leveranser_per_nät,'Leveranser per nät'!AB$1,FALSE)/VLOOKUP($B352,Korrigeringsfaktor_GD,'Korrigeringsfaktor GD'!AB$1,FALSE),
"")</f>
        <v>83.275335570469807</v>
      </c>
      <c r="AC352" s="18">
        <f>IFERROR(
                  Andel_oberoende_av_klimat*VLOOKUP($A352,Leveranser_per_nät,'Leveranser per nät'!AC$1,FALSE)
               +Andel_beroende_av_klimat*VLOOKUP($A352,Leveranser_per_nät,'Leveranser per nät'!AC$1,FALSE)/VLOOKUP($B352,Korrigeringsfaktor_GD,'Korrigeringsfaktor GD'!AC$1,FALSE),
"")</f>
        <v>82.905429175475689</v>
      </c>
      <c r="AD352">
        <v>79.72</v>
      </c>
    </row>
    <row r="353" spans="1:30" x14ac:dyDescent="0.25">
      <c r="A353" s="4" t="s">
        <v>816</v>
      </c>
      <c r="B353" t="s">
        <v>160</v>
      </c>
      <c r="C353" s="18">
        <f>IFERROR(
                  Andel_oberoende_av_klimat*VLOOKUP($A353,Leveranser_per_nät,'Leveranser per nät'!C$1,FALSE)
               +Andel_beroende_av_klimat*VLOOKUP($A353,Leveranser_per_nät,'Leveranser per nät'!C$1,FALSE)/VLOOKUP($B353,Korrigeringsfaktor_GD,'Korrigeringsfaktor GD'!C$1,FALSE),
"")</f>
        <v>0</v>
      </c>
      <c r="D353" s="18">
        <f>IFERROR(
                  Andel_oberoende_av_klimat*VLOOKUP($A353,Leveranser_per_nät,'Leveranser per nät'!D$1,FALSE)
               +Andel_beroende_av_klimat*VLOOKUP($A353,Leveranser_per_nät,'Leveranser per nät'!D$1,FALSE)/VLOOKUP($B353,Korrigeringsfaktor_GD,'Korrigeringsfaktor GD'!D$1,FALSE),
"")</f>
        <v>0</v>
      </c>
      <c r="E353" s="18">
        <f>IFERROR(
                  Andel_oberoende_av_klimat*VLOOKUP($A353,Leveranser_per_nät,'Leveranser per nät'!E$1,FALSE)
               +Andel_beroende_av_klimat*VLOOKUP($A353,Leveranser_per_nät,'Leveranser per nät'!E$1,FALSE)/VLOOKUP($B353,Korrigeringsfaktor_GD,'Korrigeringsfaktor GD'!E$1,FALSE),
"")</f>
        <v>0</v>
      </c>
      <c r="F353" s="18">
        <f>IFERROR(
                  Andel_oberoende_av_klimat*VLOOKUP($A353,Leveranser_per_nät,'Leveranser per nät'!F$1,FALSE)
               +Andel_beroende_av_klimat*VLOOKUP($A353,Leveranser_per_nät,'Leveranser per nät'!F$1,FALSE)/VLOOKUP($B353,Korrigeringsfaktor_GD,'Korrigeringsfaktor GD'!F$1,FALSE),
"")</f>
        <v>0</v>
      </c>
      <c r="G353" s="18">
        <f>IFERROR(
                  Andel_oberoende_av_klimat*VLOOKUP($A353,Leveranser_per_nät,'Leveranser per nät'!G$1,FALSE)
               +Andel_beroende_av_klimat*VLOOKUP($A353,Leveranser_per_nät,'Leveranser per nät'!G$1,FALSE)/VLOOKUP($B353,Korrigeringsfaktor_GD,'Korrigeringsfaktor GD'!G$1,FALSE),
"")</f>
        <v>0</v>
      </c>
      <c r="H353" s="18">
        <f>IFERROR(
                  Andel_oberoende_av_klimat*VLOOKUP($A353,Leveranser_per_nät,'Leveranser per nät'!H$1,FALSE)
               +Andel_beroende_av_klimat*VLOOKUP($A353,Leveranser_per_nät,'Leveranser per nät'!H$1,FALSE)/VLOOKUP($B353,Korrigeringsfaktor_GD,'Korrigeringsfaktor GD'!H$1,FALSE),
"")</f>
        <v>0</v>
      </c>
      <c r="I353" s="18">
        <f>IFERROR(
                  Andel_oberoende_av_klimat*VLOOKUP($A353,Leveranser_per_nät,'Leveranser per nät'!I$1,FALSE)
               +Andel_beroende_av_klimat*VLOOKUP($A353,Leveranser_per_nät,'Leveranser per nät'!I$1,FALSE)/VLOOKUP($B353,Korrigeringsfaktor_GD,'Korrigeringsfaktor GD'!I$1,FALSE),
"")</f>
        <v>0</v>
      </c>
      <c r="J353" s="18">
        <f>IFERROR(
                  Andel_oberoende_av_klimat*VLOOKUP($A353,Leveranser_per_nät,'Leveranser per nät'!J$1,FALSE)
               +Andel_beroende_av_klimat*VLOOKUP($A353,Leveranser_per_nät,'Leveranser per nät'!J$1,FALSE)/VLOOKUP($B353,Korrigeringsfaktor_GD,'Korrigeringsfaktor GD'!J$1,FALSE),
"")</f>
        <v>0</v>
      </c>
      <c r="K353" s="18">
        <f>IFERROR(
                  Andel_oberoende_av_klimat*VLOOKUP($A353,Leveranser_per_nät,'Leveranser per nät'!K$1,FALSE)
               +Andel_beroende_av_klimat*VLOOKUP($A353,Leveranser_per_nät,'Leveranser per nät'!K$1,FALSE)/VLOOKUP($B353,Korrigeringsfaktor_GD,'Korrigeringsfaktor GD'!K$1,FALSE),
"")</f>
        <v>0</v>
      </c>
      <c r="L353" s="18">
        <f>IFERROR(
                  Andel_oberoende_av_klimat*VLOOKUP($A353,Leveranser_per_nät,'Leveranser per nät'!L$1,FALSE)
               +Andel_beroende_av_klimat*VLOOKUP($A353,Leveranser_per_nät,'Leveranser per nät'!L$1,FALSE)/VLOOKUP($B353,Korrigeringsfaktor_GD,'Korrigeringsfaktor GD'!L$1,FALSE),
"")</f>
        <v>0</v>
      </c>
      <c r="M353" s="18">
        <f>IFERROR(
                  Andel_oberoende_av_klimat*VLOOKUP($A353,Leveranser_per_nät,'Leveranser per nät'!M$1,FALSE)
               +Andel_beroende_av_klimat*VLOOKUP($A353,Leveranser_per_nät,'Leveranser per nät'!M$1,FALSE)/VLOOKUP($B353,Korrigeringsfaktor_GD,'Korrigeringsfaktor GD'!M$1,FALSE),
"")</f>
        <v>0</v>
      </c>
      <c r="N353" s="18">
        <f>IFERROR(
                  Andel_oberoende_av_klimat*VLOOKUP($A353,Leveranser_per_nät,'Leveranser per nät'!N$1,FALSE)
               +Andel_beroende_av_klimat*VLOOKUP($A353,Leveranser_per_nät,'Leveranser per nät'!N$1,FALSE)/VLOOKUP($B353,Korrigeringsfaktor_GD,'Korrigeringsfaktor GD'!N$1,FALSE),
"")</f>
        <v>0</v>
      </c>
      <c r="O353" s="18">
        <f>IFERROR(
                  Andel_oberoende_av_klimat*VLOOKUP($A353,Leveranser_per_nät,'Leveranser per nät'!O$1,FALSE)
               +Andel_beroende_av_klimat*VLOOKUP($A353,Leveranser_per_nät,'Leveranser per nät'!O$1,FALSE)/VLOOKUP($B353,Korrigeringsfaktor_GD,'Korrigeringsfaktor GD'!O$1,FALSE),
"")</f>
        <v>0</v>
      </c>
      <c r="P353" s="18">
        <f>IFERROR(
                  Andel_oberoende_av_klimat*VLOOKUP($A353,Leveranser_per_nät,'Leveranser per nät'!P$1,FALSE)
               +Andel_beroende_av_klimat*VLOOKUP($A353,Leveranser_per_nät,'Leveranser per nät'!P$1,FALSE)/VLOOKUP($B353,Korrigeringsfaktor_GD,'Korrigeringsfaktor GD'!P$1,FALSE),
"")</f>
        <v>0</v>
      </c>
      <c r="Q353" s="18">
        <f>IFERROR(
                  Andel_oberoende_av_klimat*VLOOKUP($A353,Leveranser_per_nät,'Leveranser per nät'!Q$1,FALSE)
               +Andel_beroende_av_klimat*VLOOKUP($A353,Leveranser_per_nät,'Leveranser per nät'!Q$1,FALSE)/VLOOKUP($B353,Korrigeringsfaktor_GD,'Korrigeringsfaktor GD'!Q$1,FALSE),
"")</f>
        <v>0</v>
      </c>
      <c r="R353" s="18">
        <f>IFERROR(
                  Andel_oberoende_av_klimat*VLOOKUP($A353,Leveranser_per_nät,'Leveranser per nät'!R$1,FALSE)
               +Andel_beroende_av_klimat*VLOOKUP($A353,Leveranser_per_nät,'Leveranser per nät'!R$1,FALSE)/VLOOKUP($B353,Korrigeringsfaktor_GD,'Korrigeringsfaktor GD'!R$1,FALSE),
"")</f>
        <v>0</v>
      </c>
      <c r="S353" s="18" t="str">
        <f>IFERROR(
                  Andel_oberoende_av_klimat*VLOOKUP($A353,Leveranser_per_nät,'Leveranser per nät'!S$1,FALSE)
               +Andel_beroende_av_klimat*VLOOKUP($A353,Leveranser_per_nät,'Leveranser per nät'!S$1,FALSE)/VLOOKUP($B353,Korrigeringsfaktor_GD,'Korrigeringsfaktor GD'!S$1,FALSE),
"")</f>
        <v/>
      </c>
      <c r="T353" s="18" t="str">
        <f>IFERROR(
                  Andel_oberoende_av_klimat*VLOOKUP($A353,Leveranser_per_nät,'Leveranser per nät'!T$1,FALSE)
               +Andel_beroende_av_klimat*VLOOKUP($A353,Leveranser_per_nät,'Leveranser per nät'!T$1,FALSE)/VLOOKUP($B353,Korrigeringsfaktor_GD,'Korrigeringsfaktor GD'!T$1,FALSE),
"")</f>
        <v/>
      </c>
      <c r="U353" s="18" t="str">
        <f>IFERROR(
                  Andel_oberoende_av_klimat*VLOOKUP($A353,Leveranser_per_nät,'Leveranser per nät'!U$1,FALSE)
               +Andel_beroende_av_klimat*VLOOKUP($A353,Leveranser_per_nät,'Leveranser per nät'!U$1,FALSE)/VLOOKUP($B353,Korrigeringsfaktor_GD,'Korrigeringsfaktor GD'!U$1,FALSE),
"")</f>
        <v/>
      </c>
      <c r="V353" s="18">
        <f>IFERROR(
                  Andel_oberoende_av_klimat*VLOOKUP($A353,Leveranser_per_nät,'Leveranser per nät'!V$1,FALSE)
               +Andel_beroende_av_klimat*VLOOKUP($A353,Leveranser_per_nät,'Leveranser per nät'!V$1,FALSE)/VLOOKUP($B353,Korrigeringsfaktor_GD,'Korrigeringsfaktor GD'!V$1,FALSE),
"")</f>
        <v>9.9413793103448278E-2</v>
      </c>
      <c r="W353" s="18">
        <f>IFERROR(
                  Andel_oberoende_av_klimat*VLOOKUP($A353,Leveranser_per_nät,'Leveranser per nät'!W$1,FALSE)
               +Andel_beroende_av_klimat*VLOOKUP($A353,Leveranser_per_nät,'Leveranser per nät'!W$1,FALSE)/VLOOKUP($B353,Korrigeringsfaktor_GD,'Korrigeringsfaktor GD'!W$1,FALSE),
"")</f>
        <v>0.70017391304347831</v>
      </c>
      <c r="X353" s="18">
        <f>IFERROR(
                  Andel_oberoende_av_klimat*VLOOKUP($A353,Leveranser_per_nät,'Leveranser per nät'!X$1,FALSE)
               +Andel_beroende_av_klimat*VLOOKUP($A353,Leveranser_per_nät,'Leveranser per nät'!X$1,FALSE)/VLOOKUP($B353,Korrigeringsfaktor_GD,'Korrigeringsfaktor GD'!X$1,FALSE),
"")</f>
        <v>1.1515615384615385</v>
      </c>
      <c r="Y353" s="18">
        <f>IFERROR(
                  Andel_oberoende_av_klimat*VLOOKUP($A353,Leveranser_per_nät,'Leveranser per nät'!Y$1,FALSE)
               +Andel_beroende_av_klimat*VLOOKUP($A353,Leveranser_per_nät,'Leveranser per nät'!Y$1,FALSE)/VLOOKUP($B353,Korrigeringsfaktor_GD,'Korrigeringsfaktor GD'!Y$1,FALSE),
"")</f>
        <v>3.4116629213483147</v>
      </c>
      <c r="Z353" s="18">
        <f>IFERROR(
                  Andel_oberoende_av_klimat*VLOOKUP($A353,Leveranser_per_nät,'Leveranser per nät'!Z$1,FALSE)
               +Andel_beroende_av_klimat*VLOOKUP($A353,Leveranser_per_nät,'Leveranser per nät'!Z$1,FALSE)/VLOOKUP($B353,Korrigeringsfaktor_GD,'Korrigeringsfaktor GD'!Z$1,FALSE),
"")</f>
        <v>5.2277804123711338</v>
      </c>
      <c r="AA353" s="18">
        <f>IFERROR(
                  Andel_oberoende_av_klimat*VLOOKUP($A353,Leveranser_per_nät,'Leveranser per nät'!AA$1,FALSE)
               +Andel_beroende_av_klimat*VLOOKUP($A353,Leveranser_per_nät,'Leveranser per nät'!AA$1,FALSE)/VLOOKUP($B353,Korrigeringsfaktor_GD,'Korrigeringsfaktor GD'!AA$1,FALSE),
"")</f>
        <v>5.8162080548716135</v>
      </c>
      <c r="AB353" s="18">
        <f>IFERROR(
                  Andel_oberoende_av_klimat*VLOOKUP($A353,Leveranser_per_nät,'Leveranser per nät'!AB$1,FALSE)
               +Andel_beroende_av_klimat*VLOOKUP($A353,Leveranser_per_nät,'Leveranser per nät'!AB$1,FALSE)/VLOOKUP($B353,Korrigeringsfaktor_GD,'Korrigeringsfaktor GD'!AB$1,FALSE),
"")</f>
        <v>0</v>
      </c>
      <c r="AC353" s="18">
        <f>IFERROR(
                  Andel_oberoende_av_klimat*VLOOKUP($A353,Leveranser_per_nät,'Leveranser per nät'!AC$1,FALSE)
               +Andel_beroende_av_klimat*VLOOKUP($A353,Leveranser_per_nät,'Leveranser per nät'!AC$1,FALSE)/VLOOKUP($B353,Korrigeringsfaktor_GD,'Korrigeringsfaktor GD'!AC$1,FALSE),
"")</f>
        <v>2.0170599793174766</v>
      </c>
      <c r="AD353">
        <v>711.67200000000003</v>
      </c>
    </row>
    <row r="354" spans="1:30" x14ac:dyDescent="0.25">
      <c r="A354" t="s">
        <v>419</v>
      </c>
      <c r="B354" t="s">
        <v>166</v>
      </c>
      <c r="C354" s="18">
        <f>IFERROR(
                  Andel_oberoende_av_klimat*VLOOKUP($A354,Leveranser_per_nät,'Leveranser per nät'!C$1,FALSE)
               +Andel_beroende_av_klimat*VLOOKUP($A354,Leveranser_per_nät,'Leveranser per nät'!C$1,FALSE)/VLOOKUP($B354,Korrigeringsfaktor_GD,'Korrigeringsfaktor GD'!C$1,FALSE),
"")</f>
        <v>0</v>
      </c>
      <c r="D354" s="18">
        <f>IFERROR(
                  Andel_oberoende_av_klimat*VLOOKUP($A354,Leveranser_per_nät,'Leveranser per nät'!D$1,FALSE)
               +Andel_beroende_av_klimat*VLOOKUP($A354,Leveranser_per_nät,'Leveranser per nät'!D$1,FALSE)/VLOOKUP($B354,Korrigeringsfaktor_GD,'Korrigeringsfaktor GD'!D$1,FALSE),
"")</f>
        <v>0</v>
      </c>
      <c r="E354" s="18">
        <f>IFERROR(
                  Andel_oberoende_av_klimat*VLOOKUP($A354,Leveranser_per_nät,'Leveranser per nät'!E$1,FALSE)
               +Andel_beroende_av_klimat*VLOOKUP($A354,Leveranser_per_nät,'Leveranser per nät'!E$1,FALSE)/VLOOKUP($B354,Korrigeringsfaktor_GD,'Korrigeringsfaktor GD'!E$1,FALSE),
"")</f>
        <v>1.9861386138613861</v>
      </c>
      <c r="F354" s="18">
        <f>IFERROR(
                  Andel_oberoende_av_klimat*VLOOKUP($A354,Leveranser_per_nät,'Leveranser per nät'!F$1,FALSE)
               +Andel_beroende_av_klimat*VLOOKUP($A354,Leveranser_per_nät,'Leveranser per nät'!F$1,FALSE)/VLOOKUP($B354,Korrigeringsfaktor_GD,'Korrigeringsfaktor GD'!F$1,FALSE),
"")</f>
        <v>4.1473684210526311</v>
      </c>
      <c r="G354" s="18">
        <f>IFERROR(
                  Andel_oberoende_av_klimat*VLOOKUP($A354,Leveranser_per_nät,'Leveranser per nät'!G$1,FALSE)
               +Andel_beroende_av_klimat*VLOOKUP($A354,Leveranser_per_nät,'Leveranser per nät'!G$1,FALSE)/VLOOKUP($B354,Korrigeringsfaktor_GD,'Korrigeringsfaktor GD'!G$1,FALSE),
"")</f>
        <v>4.4941176470588236</v>
      </c>
      <c r="H354" s="18">
        <f>IFERROR(
                  Andel_oberoende_av_klimat*VLOOKUP($A354,Leveranser_per_nät,'Leveranser per nät'!H$1,FALSE)
               +Andel_beroende_av_klimat*VLOOKUP($A354,Leveranser_per_nät,'Leveranser per nät'!H$1,FALSE)/VLOOKUP($B354,Korrigeringsfaktor_GD,'Korrigeringsfaktor GD'!H$1,FALSE),
"")</f>
        <v>0</v>
      </c>
      <c r="I354" s="18">
        <f>IFERROR(
                  Andel_oberoende_av_klimat*VLOOKUP($A354,Leveranser_per_nät,'Leveranser per nät'!I$1,FALSE)
               +Andel_beroende_av_klimat*VLOOKUP($A354,Leveranser_per_nät,'Leveranser per nät'!I$1,FALSE)/VLOOKUP($B354,Korrigeringsfaktor_GD,'Korrigeringsfaktor GD'!I$1,FALSE),
"")</f>
        <v>0</v>
      </c>
      <c r="J354" s="18">
        <f>IFERROR(
                  Andel_oberoende_av_klimat*VLOOKUP($A354,Leveranser_per_nät,'Leveranser per nät'!J$1,FALSE)
               +Andel_beroende_av_klimat*VLOOKUP($A354,Leveranser_per_nät,'Leveranser per nät'!J$1,FALSE)/VLOOKUP($B354,Korrigeringsfaktor_GD,'Korrigeringsfaktor GD'!J$1,FALSE),
"")</f>
        <v>0</v>
      </c>
      <c r="K354" s="18">
        <f>IFERROR(
                  Andel_oberoende_av_klimat*VLOOKUP($A354,Leveranser_per_nät,'Leveranser per nät'!K$1,FALSE)
               +Andel_beroende_av_klimat*VLOOKUP($A354,Leveranser_per_nät,'Leveranser per nät'!K$1,FALSE)/VLOOKUP($B354,Korrigeringsfaktor_GD,'Korrigeringsfaktor GD'!K$1,FALSE),
"")</f>
        <v>0</v>
      </c>
      <c r="L354" s="18">
        <f>IFERROR(
                  Andel_oberoende_av_klimat*VLOOKUP($A354,Leveranser_per_nät,'Leveranser per nät'!L$1,FALSE)
               +Andel_beroende_av_klimat*VLOOKUP($A354,Leveranser_per_nät,'Leveranser per nät'!L$1,FALSE)/VLOOKUP($B354,Korrigeringsfaktor_GD,'Korrigeringsfaktor GD'!L$1,FALSE),
"")</f>
        <v>0</v>
      </c>
      <c r="M354" s="18">
        <f>IFERROR(
                  Andel_oberoende_av_klimat*VLOOKUP($A354,Leveranser_per_nät,'Leveranser per nät'!M$1,FALSE)
               +Andel_beroende_av_klimat*VLOOKUP($A354,Leveranser_per_nät,'Leveranser per nät'!M$1,FALSE)/VLOOKUP($B354,Korrigeringsfaktor_GD,'Korrigeringsfaktor GD'!M$1,FALSE),
"")</f>
        <v>0</v>
      </c>
      <c r="N354" s="18">
        <f>IFERROR(
                  Andel_oberoende_av_klimat*VLOOKUP($A354,Leveranser_per_nät,'Leveranser per nät'!N$1,FALSE)
               +Andel_beroende_av_klimat*VLOOKUP($A354,Leveranser_per_nät,'Leveranser per nät'!N$1,FALSE)/VLOOKUP($B354,Korrigeringsfaktor_GD,'Korrigeringsfaktor GD'!N$1,FALSE),
"")</f>
        <v>0</v>
      </c>
      <c r="O354" s="18">
        <f>IFERROR(
                  Andel_oberoende_av_klimat*VLOOKUP($A354,Leveranser_per_nät,'Leveranser per nät'!O$1,FALSE)
               +Andel_beroende_av_klimat*VLOOKUP($A354,Leveranser_per_nät,'Leveranser per nät'!O$1,FALSE)/VLOOKUP($B354,Korrigeringsfaktor_GD,'Korrigeringsfaktor GD'!O$1,FALSE),
"")</f>
        <v>0</v>
      </c>
      <c r="P354" s="18">
        <f>IFERROR(
                  Andel_oberoende_av_klimat*VLOOKUP($A354,Leveranser_per_nät,'Leveranser per nät'!P$1,FALSE)
               +Andel_beroende_av_klimat*VLOOKUP($A354,Leveranser_per_nät,'Leveranser per nät'!P$1,FALSE)/VLOOKUP($B354,Korrigeringsfaktor_GD,'Korrigeringsfaktor GD'!P$1,FALSE),
"")</f>
        <v>0</v>
      </c>
      <c r="Q354" s="18">
        <f>IFERROR(
                  Andel_oberoende_av_klimat*VLOOKUP($A354,Leveranser_per_nät,'Leveranser per nät'!Q$1,FALSE)
               +Andel_beroende_av_klimat*VLOOKUP($A354,Leveranser_per_nät,'Leveranser per nät'!Q$1,FALSE)/VLOOKUP($B354,Korrigeringsfaktor_GD,'Korrigeringsfaktor GD'!Q$1,FALSE),
"")</f>
        <v>0</v>
      </c>
      <c r="R354" s="18">
        <f>IFERROR(
                  Andel_oberoende_av_klimat*VLOOKUP($A354,Leveranser_per_nät,'Leveranser per nät'!R$1,FALSE)
               +Andel_beroende_av_klimat*VLOOKUP($A354,Leveranser_per_nät,'Leveranser per nät'!R$1,FALSE)/VLOOKUP($B354,Korrigeringsfaktor_GD,'Korrigeringsfaktor GD'!R$1,FALSE),
"")</f>
        <v>0</v>
      </c>
      <c r="S354" s="18">
        <f>IFERROR(
                  Andel_oberoende_av_klimat*VLOOKUP($A354,Leveranser_per_nät,'Leveranser per nät'!S$1,FALSE)
               +Andel_beroende_av_klimat*VLOOKUP($A354,Leveranser_per_nät,'Leveranser per nät'!S$1,FALSE)/VLOOKUP($B354,Korrigeringsfaktor_GD,'Korrigeringsfaktor GD'!S$1,FALSE),
"")</f>
        <v>0</v>
      </c>
      <c r="T354" s="18" t="str">
        <f>IFERROR(
                  Andel_oberoende_av_klimat*VLOOKUP($A354,Leveranser_per_nät,'Leveranser per nät'!T$1,FALSE)
               +Andel_beroende_av_klimat*VLOOKUP($A354,Leveranser_per_nät,'Leveranser per nät'!T$1,FALSE)/VLOOKUP($B354,Korrigeringsfaktor_GD,'Korrigeringsfaktor GD'!T$1,FALSE),
"")</f>
        <v/>
      </c>
      <c r="U354" s="18" t="str">
        <f>IFERROR(
                  Andel_oberoende_av_klimat*VLOOKUP($A354,Leveranser_per_nät,'Leveranser per nät'!U$1,FALSE)
               +Andel_beroende_av_klimat*VLOOKUP($A354,Leveranser_per_nät,'Leveranser per nät'!U$1,FALSE)/VLOOKUP($B354,Korrigeringsfaktor_GD,'Korrigeringsfaktor GD'!U$1,FALSE),
"")</f>
        <v/>
      </c>
      <c r="V354" s="18" t="str">
        <f>IFERROR(
                  Andel_oberoende_av_klimat*VLOOKUP($A354,Leveranser_per_nät,'Leveranser per nät'!V$1,FALSE)
               +Andel_beroende_av_klimat*VLOOKUP($A354,Leveranser_per_nät,'Leveranser per nät'!V$1,FALSE)/VLOOKUP($B354,Korrigeringsfaktor_GD,'Korrigeringsfaktor GD'!V$1,FALSE),
"")</f>
        <v/>
      </c>
      <c r="W354" s="18" t="str">
        <f>IFERROR(
                  Andel_oberoende_av_klimat*VLOOKUP($A354,Leveranser_per_nät,'Leveranser per nät'!W$1,FALSE)
               +Andel_beroende_av_klimat*VLOOKUP($A354,Leveranser_per_nät,'Leveranser per nät'!W$1,FALSE)/VLOOKUP($B354,Korrigeringsfaktor_GD,'Korrigeringsfaktor GD'!W$1,FALSE),
"")</f>
        <v/>
      </c>
      <c r="X354" s="18" t="str">
        <f>IFERROR(
                  Andel_oberoende_av_klimat*VLOOKUP($A354,Leveranser_per_nät,'Leveranser per nät'!X$1,FALSE)
               +Andel_beroende_av_klimat*VLOOKUP($A354,Leveranser_per_nät,'Leveranser per nät'!X$1,FALSE)/VLOOKUP($B354,Korrigeringsfaktor_GD,'Korrigeringsfaktor GD'!X$1,FALSE),
"")</f>
        <v/>
      </c>
      <c r="Y354" s="18" t="str">
        <f>IFERROR(
                  Andel_oberoende_av_klimat*VLOOKUP($A354,Leveranser_per_nät,'Leveranser per nät'!Y$1,FALSE)
               +Andel_beroende_av_klimat*VLOOKUP($A354,Leveranser_per_nät,'Leveranser per nät'!Y$1,FALSE)/VLOOKUP($B354,Korrigeringsfaktor_GD,'Korrigeringsfaktor GD'!Y$1,FALSE),
"")</f>
        <v/>
      </c>
      <c r="Z354" s="18">
        <f>IFERROR(
                  Andel_oberoende_av_klimat*VLOOKUP($A354,Leveranser_per_nät,'Leveranser per nät'!Z$1,FALSE)
               +Andel_beroende_av_klimat*VLOOKUP($A354,Leveranser_per_nät,'Leveranser per nät'!Z$1,FALSE)/VLOOKUP($B354,Korrigeringsfaktor_GD,'Korrigeringsfaktor GD'!Z$1,FALSE),
"")</f>
        <v>0</v>
      </c>
      <c r="AA354" s="18" t="str">
        <f>IFERROR(
                  Andel_oberoende_av_klimat*VLOOKUP($A354,Leveranser_per_nät,'Leveranser per nät'!AA$1,FALSE)
               +Andel_beroende_av_klimat*VLOOKUP($A354,Leveranser_per_nät,'Leveranser per nät'!AA$1,FALSE)/VLOOKUP($B354,Korrigeringsfaktor_GD,'Korrigeringsfaktor GD'!AA$1,FALSE),
"")</f>
        <v/>
      </c>
      <c r="AB354" s="18">
        <f>IFERROR(
                  Andel_oberoende_av_klimat*VLOOKUP($A354,Leveranser_per_nät,'Leveranser per nät'!AB$1,FALSE)
               +Andel_beroende_av_klimat*VLOOKUP($A354,Leveranser_per_nät,'Leveranser per nät'!AB$1,FALSE)/VLOOKUP($B354,Korrigeringsfaktor_GD,'Korrigeringsfaktor GD'!AB$1,FALSE),
"")</f>
        <v>0</v>
      </c>
      <c r="AC354" s="18">
        <f>IFERROR(
                  Andel_oberoende_av_klimat*VLOOKUP($A354,Leveranser_per_nät,'Leveranser per nät'!AC$1,FALSE)
               +Andel_beroende_av_klimat*VLOOKUP($A354,Leveranser_per_nät,'Leveranser per nät'!AC$1,FALSE)/VLOOKUP($B354,Korrigeringsfaktor_GD,'Korrigeringsfaktor GD'!AC$1,FALSE),
"")</f>
        <v>0</v>
      </c>
      <c r="AD354">
        <v>564.79999999999995</v>
      </c>
    </row>
    <row r="355" spans="1:30" x14ac:dyDescent="0.25">
      <c r="A355" t="s">
        <v>420</v>
      </c>
      <c r="B355" t="s">
        <v>420</v>
      </c>
      <c r="C355" s="18">
        <f>IFERROR(
                  Andel_oberoende_av_klimat*VLOOKUP($A355,Leveranser_per_nät,'Leveranser per nät'!C$1,FALSE)
               +Andel_beroende_av_klimat*VLOOKUP($A355,Leveranser_per_nät,'Leveranser per nät'!C$1,FALSE)/VLOOKUP($B355,Korrigeringsfaktor_GD,'Korrigeringsfaktor GD'!C$1,FALSE),
"")</f>
        <v>2717.4414414414414</v>
      </c>
      <c r="D355" s="18">
        <f>IFERROR(
                  Andel_oberoende_av_klimat*VLOOKUP($A355,Leveranser_per_nät,'Leveranser per nät'!D$1,FALSE)
               +Andel_beroende_av_klimat*VLOOKUP($A355,Leveranser_per_nät,'Leveranser per nät'!D$1,FALSE)/VLOOKUP($B355,Korrigeringsfaktor_GD,'Korrigeringsfaktor GD'!D$1,FALSE),
"")</f>
        <v>2736.2816060606065</v>
      </c>
      <c r="E355" s="18">
        <f>IFERROR(
                  Andel_oberoende_av_klimat*VLOOKUP($A355,Leveranser_per_nät,'Leveranser per nät'!E$1,FALSE)
               +Andel_beroende_av_klimat*VLOOKUP($A355,Leveranser_per_nät,'Leveranser per nät'!E$1,FALSE)/VLOOKUP($B355,Korrigeringsfaktor_GD,'Korrigeringsfaktor GD'!E$1,FALSE),
"")</f>
        <v>2701.0606862745099</v>
      </c>
      <c r="F355" s="18">
        <f>IFERROR(
                  Andel_oberoende_av_klimat*VLOOKUP($A355,Leveranser_per_nät,'Leveranser per nät'!F$1,FALSE)
               +Andel_beroende_av_klimat*VLOOKUP($A355,Leveranser_per_nät,'Leveranser per nät'!F$1,FALSE)/VLOOKUP($B355,Korrigeringsfaktor_GD,'Korrigeringsfaktor GD'!F$1,FALSE),
"")</f>
        <v>2873.4702688172042</v>
      </c>
      <c r="G355" s="18">
        <f>IFERROR(
                  Andel_oberoende_av_klimat*VLOOKUP($A355,Leveranser_per_nät,'Leveranser per nät'!G$1,FALSE)
               +Andel_beroende_av_klimat*VLOOKUP($A355,Leveranser_per_nät,'Leveranser per nät'!G$1,FALSE)/VLOOKUP($B355,Korrigeringsfaktor_GD,'Korrigeringsfaktor GD'!G$1,FALSE),
"")</f>
        <v>2726.5863636363638</v>
      </c>
      <c r="H355" s="18">
        <f>IFERROR(
                  Andel_oberoende_av_klimat*VLOOKUP($A355,Leveranser_per_nät,'Leveranser per nät'!H$1,FALSE)
               +Andel_beroende_av_klimat*VLOOKUP($A355,Leveranser_per_nät,'Leveranser per nät'!H$1,FALSE)/VLOOKUP($B355,Korrigeringsfaktor_GD,'Korrigeringsfaktor GD'!H$1,FALSE),
"")</f>
        <v>2860.2857142857142</v>
      </c>
      <c r="I355" s="18">
        <f>IFERROR(
                  Andel_oberoende_av_klimat*VLOOKUP($A355,Leveranser_per_nät,'Leveranser per nät'!I$1,FALSE)
               +Andel_beroende_av_klimat*VLOOKUP($A355,Leveranser_per_nät,'Leveranser per nät'!I$1,FALSE)/VLOOKUP($B355,Korrigeringsfaktor_GD,'Korrigeringsfaktor GD'!I$1,FALSE),
"")</f>
        <v>2929.0690721649489</v>
      </c>
      <c r="J355" s="18">
        <f>IFERROR(
                  Andel_oberoende_av_klimat*VLOOKUP($A355,Leveranser_per_nät,'Leveranser per nät'!J$1,FALSE)
               +Andel_beroende_av_klimat*VLOOKUP($A355,Leveranser_per_nät,'Leveranser per nät'!J$1,FALSE)/VLOOKUP($B355,Korrigeringsfaktor_GD,'Korrigeringsfaktor GD'!J$1,FALSE),
"")</f>
        <v>2936.6181818181817</v>
      </c>
      <c r="K355" s="18">
        <f>IFERROR(
                  Andel_oberoende_av_klimat*VLOOKUP($A355,Leveranser_per_nät,'Leveranser per nät'!K$1,FALSE)
               +Andel_beroende_av_klimat*VLOOKUP($A355,Leveranser_per_nät,'Leveranser per nät'!K$1,FALSE)/VLOOKUP($B355,Korrigeringsfaktor_GD,'Korrigeringsfaktor GD'!K$1,FALSE),
"")</f>
        <v>0</v>
      </c>
      <c r="L355" s="18">
        <f>IFERROR(
                  Andel_oberoende_av_klimat*VLOOKUP($A355,Leveranser_per_nät,'Leveranser per nät'!L$1,FALSE)
               +Andel_beroende_av_klimat*VLOOKUP($A355,Leveranser_per_nät,'Leveranser per nät'!L$1,FALSE)/VLOOKUP($B355,Korrigeringsfaktor_GD,'Korrigeringsfaktor GD'!L$1,FALSE),
"")</f>
        <v>0</v>
      </c>
      <c r="M355" s="18">
        <f>IFERROR(
                  Andel_oberoende_av_klimat*VLOOKUP($A355,Leveranser_per_nät,'Leveranser per nät'!M$1,FALSE)
               +Andel_beroende_av_klimat*VLOOKUP($A355,Leveranser_per_nät,'Leveranser per nät'!M$1,FALSE)/VLOOKUP($B355,Korrigeringsfaktor_GD,'Korrigeringsfaktor GD'!M$1,FALSE),
"")</f>
        <v>0</v>
      </c>
      <c r="N355" s="18">
        <f>IFERROR(
                  Andel_oberoende_av_klimat*VLOOKUP($A355,Leveranser_per_nät,'Leveranser per nät'!N$1,FALSE)
               +Andel_beroende_av_klimat*VLOOKUP($A355,Leveranser_per_nät,'Leveranser per nät'!N$1,FALSE)/VLOOKUP($B355,Korrigeringsfaktor_GD,'Korrigeringsfaktor GD'!N$1,FALSE),
"")</f>
        <v>0</v>
      </c>
      <c r="O355" s="18">
        <f>IFERROR(
                  Andel_oberoende_av_klimat*VLOOKUP($A355,Leveranser_per_nät,'Leveranser per nät'!O$1,FALSE)
               +Andel_beroende_av_klimat*VLOOKUP($A355,Leveranser_per_nät,'Leveranser per nät'!O$1,FALSE)/VLOOKUP($B355,Korrigeringsfaktor_GD,'Korrigeringsfaktor GD'!O$1,FALSE),
"")</f>
        <v>0</v>
      </c>
      <c r="P355" s="18">
        <f>IFERROR(
                  Andel_oberoende_av_klimat*VLOOKUP($A355,Leveranser_per_nät,'Leveranser per nät'!P$1,FALSE)
               +Andel_beroende_av_klimat*VLOOKUP($A355,Leveranser_per_nät,'Leveranser per nät'!P$1,FALSE)/VLOOKUP($B355,Korrigeringsfaktor_GD,'Korrigeringsfaktor GD'!P$1,FALSE),
"")</f>
        <v>7922.4830927835064</v>
      </c>
      <c r="Q355" s="18">
        <f>IFERROR(
                  Andel_oberoende_av_klimat*VLOOKUP($A355,Leveranser_per_nät,'Leveranser per nät'!Q$1,FALSE)
               +Andel_beroende_av_klimat*VLOOKUP($A355,Leveranser_per_nät,'Leveranser per nät'!Q$1,FALSE)/VLOOKUP($B355,Korrigeringsfaktor_GD,'Korrigeringsfaktor GD'!Q$1,FALSE),
"")</f>
        <v>8047.9172413793112</v>
      </c>
      <c r="R355" s="18">
        <f>IFERROR(
                  Andel_oberoende_av_klimat*VLOOKUP($A355,Leveranser_per_nät,'Leveranser per nät'!R$1,FALSE)
               +Andel_beroende_av_klimat*VLOOKUP($A355,Leveranser_per_nät,'Leveranser per nät'!R$1,FALSE)/VLOOKUP($B355,Korrigeringsfaktor_GD,'Korrigeringsfaktor GD'!R$1,FALSE),
"")</f>
        <v>8530.5615153846156</v>
      </c>
      <c r="S355" s="18">
        <f>IFERROR(
                  Andel_oberoende_av_klimat*VLOOKUP($A355,Leveranser_per_nät,'Leveranser per nät'!S$1,FALSE)
               +Andel_beroende_av_klimat*VLOOKUP($A355,Leveranser_per_nät,'Leveranser per nät'!S$1,FALSE)/VLOOKUP($B355,Korrigeringsfaktor_GD,'Korrigeringsfaktor GD'!S$1,FALSE),
"")</f>
        <v>7784.8280000000013</v>
      </c>
      <c r="T355" s="18">
        <f>IFERROR(
                  Andel_oberoende_av_klimat*VLOOKUP($A355,Leveranser_per_nät,'Leveranser per nät'!T$1,FALSE)
               +Andel_beroende_av_klimat*VLOOKUP($A355,Leveranser_per_nät,'Leveranser per nät'!T$1,FALSE)/VLOOKUP($B355,Korrigeringsfaktor_GD,'Korrigeringsfaktor GD'!T$1,FALSE),
"")</f>
        <v>7704.2516113402071</v>
      </c>
      <c r="U355" s="18">
        <f>IFERROR(
                  Andel_oberoende_av_klimat*VLOOKUP($A355,Leveranser_per_nät,'Leveranser per nät'!U$1,FALSE)
               +Andel_beroende_av_klimat*VLOOKUP($A355,Leveranser_per_nät,'Leveranser per nät'!U$1,FALSE)/VLOOKUP($B355,Korrigeringsfaktor_GD,'Korrigeringsfaktor GD'!U$1,FALSE),
"")</f>
        <v>7520.520891011236</v>
      </c>
      <c r="V355" s="18">
        <f>IFERROR(
                  Andel_oberoende_av_klimat*VLOOKUP($A355,Leveranser_per_nät,'Leveranser per nät'!V$1,FALSE)
               +Andel_beroende_av_klimat*VLOOKUP($A355,Leveranser_per_nät,'Leveranser per nät'!V$1,FALSE)/VLOOKUP($B355,Korrigeringsfaktor_GD,'Korrigeringsfaktor GD'!V$1,FALSE),
"")</f>
        <v>7440.5933114942527</v>
      </c>
      <c r="W355" s="18">
        <f>IFERROR(
                  Andel_oberoende_av_klimat*VLOOKUP($A355,Leveranser_per_nät,'Leveranser per nät'!W$1,FALSE)
               +Andel_beroende_av_klimat*VLOOKUP($A355,Leveranser_per_nät,'Leveranser per nät'!W$1,FALSE)/VLOOKUP($B355,Korrigeringsfaktor_GD,'Korrigeringsfaktor GD'!W$1,FALSE),
"")</f>
        <v>7730.8766688172045</v>
      </c>
      <c r="X355" s="18">
        <f>IFERROR(
                  Andel_oberoende_av_klimat*VLOOKUP($A355,Leveranser_per_nät,'Leveranser per nät'!X$1,FALSE)
               +Andel_beroende_av_klimat*VLOOKUP($A355,Leveranser_per_nät,'Leveranser per nät'!X$1,FALSE)/VLOOKUP($B355,Korrigeringsfaktor_GD,'Korrigeringsfaktor GD'!X$1,FALSE),
"")</f>
        <v>7636.0648695652162</v>
      </c>
      <c r="Y355" s="18">
        <f>IFERROR(
                  Andel_oberoende_av_klimat*VLOOKUP($A355,Leveranser_per_nät,'Leveranser per nät'!Y$1,FALSE)
               +Andel_beroende_av_klimat*VLOOKUP($A355,Leveranser_per_nät,'Leveranser per nät'!Y$1,FALSE)/VLOOKUP($B355,Korrigeringsfaktor_GD,'Korrigeringsfaktor GD'!Y$1,FALSE),
"")</f>
        <v>7661.8799461538474</v>
      </c>
      <c r="Z355" s="18">
        <f>IFERROR(
                  Andel_oberoende_av_klimat*VLOOKUP($A355,Leveranser_per_nät,'Leveranser per nät'!Z$1,FALSE)
               +Andel_beroende_av_klimat*VLOOKUP($A355,Leveranser_per_nät,'Leveranser per nät'!Z$1,FALSE)/VLOOKUP($B355,Korrigeringsfaktor_GD,'Korrigeringsfaktor GD'!Z$1,FALSE),
"")</f>
        <v>8727.1271932584259</v>
      </c>
      <c r="AA355" s="18">
        <f>IFERROR(
                  Andel_oberoende_av_klimat*VLOOKUP($A355,Leveranser_per_nät,'Leveranser per nät'!AA$1,FALSE)
               +Andel_beroende_av_klimat*VLOOKUP($A355,Leveranser_per_nät,'Leveranser per nät'!AA$1,FALSE)/VLOOKUP($B355,Korrigeringsfaktor_GD,'Korrigeringsfaktor GD'!AA$1,FALSE),
"")</f>
        <v>8539.230267777024</v>
      </c>
      <c r="AB355" s="18">
        <f>IFERROR(
                  Andel_oberoende_av_klimat*VLOOKUP($A355,Leveranser_per_nät,'Leveranser per nät'!AB$1,FALSE)
               +Andel_beroende_av_klimat*VLOOKUP($A355,Leveranser_per_nät,'Leveranser per nät'!AB$1,FALSE)/VLOOKUP($B355,Korrigeringsfaktor_GD,'Korrigeringsfaktor GD'!AB$1,FALSE),
"")</f>
        <v>7943.4801990521328</v>
      </c>
      <c r="AC355" s="18">
        <f>IFERROR(
                  Andel_oberoende_av_klimat*VLOOKUP($A355,Leveranser_per_nät,'Leveranser per nät'!AC$1,FALSE)
               +Andel_beroende_av_klimat*VLOOKUP($A355,Leveranser_per_nät,'Leveranser per nät'!AC$1,FALSE)/VLOOKUP($B355,Korrigeringsfaktor_GD,'Korrigeringsfaktor GD'!AC$1,FALSE),
"")</f>
        <v>7776.4130370332996</v>
      </c>
      <c r="AD355">
        <v>7723.8890000000001</v>
      </c>
    </row>
    <row r="356" spans="1:30" x14ac:dyDescent="0.25">
      <c r="A356" s="4" t="s">
        <v>421</v>
      </c>
      <c r="B356" t="s">
        <v>418</v>
      </c>
      <c r="C356" s="18">
        <f>IFERROR(
                  Andel_oberoende_av_klimat*VLOOKUP($A356,Leveranser_per_nät,'Leveranser per nät'!C$1,FALSE)
               +Andel_beroende_av_klimat*VLOOKUP($A356,Leveranser_per_nät,'Leveranser per nät'!C$1,FALSE)/VLOOKUP($B356,Korrigeringsfaktor_GD,'Korrigeringsfaktor GD'!C$1,FALSE),
"")</f>
        <v>0</v>
      </c>
      <c r="D356" s="18">
        <f>IFERROR(
                  Andel_oberoende_av_klimat*VLOOKUP($A356,Leveranser_per_nät,'Leveranser per nät'!D$1,FALSE)
               +Andel_beroende_av_klimat*VLOOKUP($A356,Leveranser_per_nät,'Leveranser per nät'!D$1,FALSE)/VLOOKUP($B356,Korrigeringsfaktor_GD,'Korrigeringsfaktor GD'!D$1,FALSE),
"")</f>
        <v>0</v>
      </c>
      <c r="E356" s="18">
        <f>IFERROR(
                  Andel_oberoende_av_klimat*VLOOKUP($A356,Leveranser_per_nät,'Leveranser per nät'!E$1,FALSE)
               +Andel_beroende_av_klimat*VLOOKUP($A356,Leveranser_per_nät,'Leveranser per nät'!E$1,FALSE)/VLOOKUP($B356,Korrigeringsfaktor_GD,'Korrigeringsfaktor GD'!E$1,FALSE),
"")</f>
        <v>0</v>
      </c>
      <c r="F356" s="18">
        <f>IFERROR(
                  Andel_oberoende_av_klimat*VLOOKUP($A356,Leveranser_per_nät,'Leveranser per nät'!F$1,FALSE)
               +Andel_beroende_av_klimat*VLOOKUP($A356,Leveranser_per_nät,'Leveranser per nät'!F$1,FALSE)/VLOOKUP($B356,Korrigeringsfaktor_GD,'Korrigeringsfaktor GD'!F$1,FALSE),
"")</f>
        <v>0</v>
      </c>
      <c r="G356" s="18">
        <f>IFERROR(
                  Andel_oberoende_av_klimat*VLOOKUP($A356,Leveranser_per_nät,'Leveranser per nät'!G$1,FALSE)
               +Andel_beroende_av_klimat*VLOOKUP($A356,Leveranser_per_nät,'Leveranser per nät'!G$1,FALSE)/VLOOKUP($B356,Korrigeringsfaktor_GD,'Korrigeringsfaktor GD'!G$1,FALSE),
"")</f>
        <v>0</v>
      </c>
      <c r="H356" s="18">
        <f>IFERROR(
                  Andel_oberoende_av_klimat*VLOOKUP($A356,Leveranser_per_nät,'Leveranser per nät'!H$1,FALSE)
               +Andel_beroende_av_klimat*VLOOKUP($A356,Leveranser_per_nät,'Leveranser per nät'!H$1,FALSE)/VLOOKUP($B356,Korrigeringsfaktor_GD,'Korrigeringsfaktor GD'!H$1,FALSE),
"")</f>
        <v>0</v>
      </c>
      <c r="I356" s="18">
        <f>IFERROR(
                  Andel_oberoende_av_klimat*VLOOKUP($A356,Leveranser_per_nät,'Leveranser per nät'!I$1,FALSE)
               +Andel_beroende_av_klimat*VLOOKUP($A356,Leveranser_per_nät,'Leveranser per nät'!I$1,FALSE)/VLOOKUP($B356,Korrigeringsfaktor_GD,'Korrigeringsfaktor GD'!I$1,FALSE),
"")</f>
        <v>0</v>
      </c>
      <c r="J356" s="18">
        <f>IFERROR(
                  Andel_oberoende_av_klimat*VLOOKUP($A356,Leveranser_per_nät,'Leveranser per nät'!J$1,FALSE)
               +Andel_beroende_av_klimat*VLOOKUP($A356,Leveranser_per_nät,'Leveranser per nät'!J$1,FALSE)/VLOOKUP($B356,Korrigeringsfaktor_GD,'Korrigeringsfaktor GD'!J$1,FALSE),
"")</f>
        <v>0</v>
      </c>
      <c r="K356" s="18">
        <f>IFERROR(
                  Andel_oberoende_av_klimat*VLOOKUP($A356,Leveranser_per_nät,'Leveranser per nät'!K$1,FALSE)
               +Andel_beroende_av_klimat*VLOOKUP($A356,Leveranser_per_nät,'Leveranser per nät'!K$1,FALSE)/VLOOKUP($B356,Korrigeringsfaktor_GD,'Korrigeringsfaktor GD'!K$1,FALSE),
"")</f>
        <v>0</v>
      </c>
      <c r="L356" s="18">
        <f>IFERROR(
                  Andel_oberoende_av_klimat*VLOOKUP($A356,Leveranser_per_nät,'Leveranser per nät'!L$1,FALSE)
               +Andel_beroende_av_klimat*VLOOKUP($A356,Leveranser_per_nät,'Leveranser per nät'!L$1,FALSE)/VLOOKUP($B356,Korrigeringsfaktor_GD,'Korrigeringsfaktor GD'!L$1,FALSE),
"")</f>
        <v>0</v>
      </c>
      <c r="M356" s="18">
        <f>IFERROR(
                  Andel_oberoende_av_klimat*VLOOKUP($A356,Leveranser_per_nät,'Leveranser per nät'!M$1,FALSE)
               +Andel_beroende_av_klimat*VLOOKUP($A356,Leveranser_per_nät,'Leveranser per nät'!M$1,FALSE)/VLOOKUP($B356,Korrigeringsfaktor_GD,'Korrigeringsfaktor GD'!M$1,FALSE),
"")</f>
        <v>0</v>
      </c>
      <c r="N356" s="18">
        <f>IFERROR(
                  Andel_oberoende_av_klimat*VLOOKUP($A356,Leveranser_per_nät,'Leveranser per nät'!N$1,FALSE)
               +Andel_beroende_av_klimat*VLOOKUP($A356,Leveranser_per_nät,'Leveranser per nät'!N$1,FALSE)/VLOOKUP($B356,Korrigeringsfaktor_GD,'Korrigeringsfaktor GD'!N$1,FALSE),
"")</f>
        <v>0</v>
      </c>
      <c r="O356" s="18">
        <f>IFERROR(
                  Andel_oberoende_av_klimat*VLOOKUP($A356,Leveranser_per_nät,'Leveranser per nät'!O$1,FALSE)
               +Andel_beroende_av_klimat*VLOOKUP($A356,Leveranser_per_nät,'Leveranser per nät'!O$1,FALSE)/VLOOKUP($B356,Korrigeringsfaktor_GD,'Korrigeringsfaktor GD'!O$1,FALSE),
"")</f>
        <v>0</v>
      </c>
      <c r="P356" s="18">
        <f>IFERROR(
                  Andel_oberoende_av_klimat*VLOOKUP($A356,Leveranser_per_nät,'Leveranser per nät'!P$1,FALSE)
               +Andel_beroende_av_klimat*VLOOKUP($A356,Leveranser_per_nät,'Leveranser per nät'!P$1,FALSE)/VLOOKUP($B356,Korrigeringsfaktor_GD,'Korrigeringsfaktor GD'!P$1,FALSE),
"")</f>
        <v>0</v>
      </c>
      <c r="Q356" s="18">
        <f>IFERROR(
                  Andel_oberoende_av_klimat*VLOOKUP($A356,Leveranser_per_nät,'Leveranser per nät'!Q$1,FALSE)
               +Andel_beroende_av_klimat*VLOOKUP($A356,Leveranser_per_nät,'Leveranser per nät'!Q$1,FALSE)/VLOOKUP($B356,Korrigeringsfaktor_GD,'Korrigeringsfaktor GD'!Q$1,FALSE),
"")</f>
        <v>0.97705882352941187</v>
      </c>
      <c r="R356" s="18">
        <f>IFERROR(
                  Andel_oberoende_av_klimat*VLOOKUP($A356,Leveranser_per_nät,'Leveranser per nät'!R$1,FALSE)
               +Andel_beroende_av_klimat*VLOOKUP($A356,Leveranser_per_nät,'Leveranser per nät'!R$1,FALSE)/VLOOKUP($B356,Korrigeringsfaktor_GD,'Korrigeringsfaktor GD'!R$1,FALSE),
"")</f>
        <v>0.96230769230769231</v>
      </c>
      <c r="S356" s="18">
        <f>IFERROR(
                  Andel_oberoende_av_klimat*VLOOKUP($A356,Leveranser_per_nät,'Leveranser per nät'!S$1,FALSE)
               +Andel_beroende_av_klimat*VLOOKUP($A356,Leveranser_per_nät,'Leveranser per nät'!S$1,FALSE)/VLOOKUP($B356,Korrigeringsfaktor_GD,'Korrigeringsfaktor GD'!S$1,FALSE),
"")</f>
        <v>0.99306930693069306</v>
      </c>
      <c r="T356" s="18">
        <f>IFERROR(
                  Andel_oberoende_av_klimat*VLOOKUP($A356,Leveranser_per_nät,'Leveranser per nät'!T$1,FALSE)
               +Andel_beroende_av_klimat*VLOOKUP($A356,Leveranser_per_nät,'Leveranser per nät'!T$1,FALSE)/VLOOKUP($B356,Korrigeringsfaktor_GD,'Korrigeringsfaktor GD'!T$1,FALSE),
"")</f>
        <v>0.91285714285714303</v>
      </c>
      <c r="U356" s="18">
        <f>IFERROR(
                  Andel_oberoende_av_klimat*VLOOKUP($A356,Leveranser_per_nät,'Leveranser per nät'!U$1,FALSE)
               +Andel_beroende_av_klimat*VLOOKUP($A356,Leveranser_per_nät,'Leveranser per nät'!U$1,FALSE)/VLOOKUP($B356,Korrigeringsfaktor_GD,'Korrigeringsfaktor GD'!U$1,FALSE),
"")</f>
        <v>0.95199999999999996</v>
      </c>
      <c r="V356" s="18">
        <f>IFERROR(
                  Andel_oberoende_av_klimat*VLOOKUP($A356,Leveranser_per_nät,'Leveranser per nät'!V$1,FALSE)
               +Andel_beroende_av_klimat*VLOOKUP($A356,Leveranser_per_nät,'Leveranser per nät'!V$1,FALSE)/VLOOKUP($B356,Korrigeringsfaktor_GD,'Korrigeringsfaktor GD'!V$1,FALSE),
"")</f>
        <v>0.90856666666666663</v>
      </c>
      <c r="W356" s="18">
        <f>IFERROR(
                  Andel_oberoende_av_klimat*VLOOKUP($A356,Leveranser_per_nät,'Leveranser per nät'!W$1,FALSE)
               +Andel_beroende_av_klimat*VLOOKUP($A356,Leveranser_per_nät,'Leveranser per nät'!W$1,FALSE)/VLOOKUP($B356,Korrigeringsfaktor_GD,'Korrigeringsfaktor GD'!W$1,FALSE),
"")</f>
        <v>0.91967894736842104</v>
      </c>
      <c r="X356" s="18">
        <f>IFERROR(
                  Andel_oberoende_av_klimat*VLOOKUP($A356,Leveranser_per_nät,'Leveranser per nät'!X$1,FALSE)
               +Andel_beroende_av_klimat*VLOOKUP($A356,Leveranser_per_nät,'Leveranser per nät'!X$1,FALSE)/VLOOKUP($B356,Korrigeringsfaktor_GD,'Korrigeringsfaktor GD'!X$1,FALSE),
"")</f>
        <v>0.94439148936170225</v>
      </c>
      <c r="Y356" s="18">
        <f>IFERROR(
                  Andel_oberoende_av_klimat*VLOOKUP($A356,Leveranser_per_nät,'Leveranser per nät'!Y$1,FALSE)
               +Andel_beroende_av_klimat*VLOOKUP($A356,Leveranser_per_nät,'Leveranser per nät'!Y$1,FALSE)/VLOOKUP($B356,Korrigeringsfaktor_GD,'Korrigeringsfaktor GD'!Y$1,FALSE),
"")</f>
        <v>0.91096170212765959</v>
      </c>
      <c r="Z356" s="18">
        <f>IFERROR(
                  Andel_oberoende_av_klimat*VLOOKUP($A356,Leveranser_per_nät,'Leveranser per nät'!Z$1,FALSE)
               +Andel_beroende_av_klimat*VLOOKUP($A356,Leveranser_per_nät,'Leveranser per nät'!Z$1,FALSE)/VLOOKUP($B356,Korrigeringsfaktor_GD,'Korrigeringsfaktor GD'!Z$1,FALSE),
"")</f>
        <v>1.0131111111111111</v>
      </c>
      <c r="AA356" s="18">
        <f>IFERROR(
                  Andel_oberoende_av_klimat*VLOOKUP($A356,Leveranser_per_nät,'Leveranser per nät'!AA$1,FALSE)
               +Andel_beroende_av_klimat*VLOOKUP($A356,Leveranser_per_nät,'Leveranser per nät'!AA$1,FALSE)/VLOOKUP($B356,Korrigeringsfaktor_GD,'Korrigeringsfaktor GD'!AA$1,FALSE),
"")</f>
        <v>0.91681860158311346</v>
      </c>
      <c r="AB356" s="18">
        <f>IFERROR(
                  Andel_oberoende_av_klimat*VLOOKUP($A356,Leveranser_per_nät,'Leveranser per nät'!AB$1,FALSE)
               +Andel_beroende_av_klimat*VLOOKUP($A356,Leveranser_per_nät,'Leveranser per nät'!AB$1,FALSE)/VLOOKUP($B356,Korrigeringsfaktor_GD,'Korrigeringsfaktor GD'!AB$1,FALSE),
"")</f>
        <v>1.1206966442953019</v>
      </c>
      <c r="AC356" s="18">
        <f>IFERROR(
                  Andel_oberoende_av_klimat*VLOOKUP($A356,Leveranser_per_nät,'Leveranser per nät'!AC$1,FALSE)
               +Andel_beroende_av_klimat*VLOOKUP($A356,Leveranser_per_nät,'Leveranser per nät'!AC$1,FALSE)/VLOOKUP($B356,Korrigeringsfaktor_GD,'Korrigeringsfaktor GD'!AC$1,FALSE),
"")</f>
        <v>1.3904234672304441</v>
      </c>
      <c r="AD356">
        <v>79.72</v>
      </c>
    </row>
    <row r="357" spans="1:30" x14ac:dyDescent="0.25">
      <c r="A357" t="s">
        <v>422</v>
      </c>
      <c r="B357" t="s">
        <v>121</v>
      </c>
      <c r="C357" s="18">
        <f>IFERROR(
                  Andel_oberoende_av_klimat*VLOOKUP($A357,Leveranser_per_nät,'Leveranser per nät'!C$1,FALSE)
               +Andel_beroende_av_klimat*VLOOKUP($A357,Leveranser_per_nät,'Leveranser per nät'!C$1,FALSE)/VLOOKUP($B357,Korrigeringsfaktor_GD,'Korrigeringsfaktor GD'!C$1,FALSE),
"")</f>
        <v>0</v>
      </c>
      <c r="D357" s="18">
        <f>IFERROR(
                  Andel_oberoende_av_klimat*VLOOKUP($A357,Leveranser_per_nät,'Leveranser per nät'!D$1,FALSE)
               +Andel_beroende_av_klimat*VLOOKUP($A357,Leveranser_per_nät,'Leveranser per nät'!D$1,FALSE)/VLOOKUP($B357,Korrigeringsfaktor_GD,'Korrigeringsfaktor GD'!D$1,FALSE),
"")</f>
        <v>3.0816363636363637</v>
      </c>
      <c r="E357" s="18">
        <f>IFERROR(
                  Andel_oberoende_av_klimat*VLOOKUP($A357,Leveranser_per_nät,'Leveranser per nät'!E$1,FALSE)
               +Andel_beroende_av_klimat*VLOOKUP($A357,Leveranser_per_nät,'Leveranser per nät'!E$1,FALSE)/VLOOKUP($B357,Korrigeringsfaktor_GD,'Korrigeringsfaktor GD'!E$1,FALSE),
"")</f>
        <v>2.9588235294117649</v>
      </c>
      <c r="F357" s="18">
        <f>IFERROR(
                  Andel_oberoende_av_klimat*VLOOKUP($A357,Leveranser_per_nät,'Leveranser per nät'!F$1,FALSE)
               +Andel_beroende_av_klimat*VLOOKUP($A357,Leveranser_per_nät,'Leveranser per nät'!F$1,FALSE)/VLOOKUP($B357,Korrigeringsfaktor_GD,'Korrigeringsfaktor GD'!F$1,FALSE),
"")</f>
        <v>0</v>
      </c>
      <c r="G357" s="18">
        <f>IFERROR(
                  Andel_oberoende_av_klimat*VLOOKUP($A357,Leveranser_per_nät,'Leveranser per nät'!G$1,FALSE)
               +Andel_beroende_av_klimat*VLOOKUP($A357,Leveranser_per_nät,'Leveranser per nät'!G$1,FALSE)/VLOOKUP($B357,Korrigeringsfaktor_GD,'Korrigeringsfaktor GD'!G$1,FALSE),
"")</f>
        <v>0</v>
      </c>
      <c r="H357" s="18">
        <f>IFERROR(
                  Andel_oberoende_av_klimat*VLOOKUP($A357,Leveranser_per_nät,'Leveranser per nät'!H$1,FALSE)
               +Andel_beroende_av_klimat*VLOOKUP($A357,Leveranser_per_nät,'Leveranser per nät'!H$1,FALSE)/VLOOKUP($B357,Korrigeringsfaktor_GD,'Korrigeringsfaktor GD'!H$1,FALSE),
"")</f>
        <v>3.0428571428571427</v>
      </c>
      <c r="I357" s="18">
        <f>IFERROR(
                  Andel_oberoende_av_klimat*VLOOKUP($A357,Leveranser_per_nät,'Leveranser per nät'!I$1,FALSE)
               +Andel_beroende_av_klimat*VLOOKUP($A357,Leveranser_per_nät,'Leveranser per nät'!I$1,FALSE)/VLOOKUP($B357,Korrigeringsfaktor_GD,'Korrigeringsfaktor GD'!I$1,FALSE),
"")</f>
        <v>0</v>
      </c>
      <c r="J357" s="18">
        <f>IFERROR(
                  Andel_oberoende_av_klimat*VLOOKUP($A357,Leveranser_per_nät,'Leveranser per nät'!J$1,FALSE)
               +Andel_beroende_av_klimat*VLOOKUP($A357,Leveranser_per_nät,'Leveranser per nät'!J$1,FALSE)/VLOOKUP($B357,Korrigeringsfaktor_GD,'Korrigeringsfaktor GD'!J$1,FALSE),
"")</f>
        <v>3.0212121212121206</v>
      </c>
      <c r="K357" s="18">
        <f>IFERROR(
                  Andel_oberoende_av_klimat*VLOOKUP($A357,Leveranser_per_nät,'Leveranser per nät'!K$1,FALSE)
               +Andel_beroende_av_klimat*VLOOKUP($A357,Leveranser_per_nät,'Leveranser per nät'!K$1,FALSE)/VLOOKUP($B357,Korrigeringsfaktor_GD,'Korrigeringsfaktor GD'!K$1,FALSE),
"")</f>
        <v>0</v>
      </c>
      <c r="L357" s="18">
        <f>IFERROR(
                  Andel_oberoende_av_klimat*VLOOKUP($A357,Leveranser_per_nät,'Leveranser per nät'!L$1,FALSE)
               +Andel_beroende_av_klimat*VLOOKUP($A357,Leveranser_per_nät,'Leveranser per nät'!L$1,FALSE)/VLOOKUP($B357,Korrigeringsfaktor_GD,'Korrigeringsfaktor GD'!L$1,FALSE),
"")</f>
        <v>0</v>
      </c>
      <c r="M357" s="18">
        <f>IFERROR(
                  Andel_oberoende_av_klimat*VLOOKUP($A357,Leveranser_per_nät,'Leveranser per nät'!M$1,FALSE)
               +Andel_beroende_av_klimat*VLOOKUP($A357,Leveranser_per_nät,'Leveranser per nät'!M$1,FALSE)/VLOOKUP($B357,Korrigeringsfaktor_GD,'Korrigeringsfaktor GD'!M$1,FALSE),
"")</f>
        <v>0</v>
      </c>
      <c r="N357" s="18">
        <f>IFERROR(
                  Andel_oberoende_av_klimat*VLOOKUP($A357,Leveranser_per_nät,'Leveranser per nät'!N$1,FALSE)
               +Andel_beroende_av_klimat*VLOOKUP($A357,Leveranser_per_nät,'Leveranser per nät'!N$1,FALSE)/VLOOKUP($B357,Korrigeringsfaktor_GD,'Korrigeringsfaktor GD'!N$1,FALSE),
"")</f>
        <v>0</v>
      </c>
      <c r="O357" s="18">
        <f>IFERROR(
                  Andel_oberoende_av_klimat*VLOOKUP($A357,Leveranser_per_nät,'Leveranser per nät'!O$1,FALSE)
               +Andel_beroende_av_klimat*VLOOKUP($A357,Leveranser_per_nät,'Leveranser per nät'!O$1,FALSE)/VLOOKUP($B357,Korrigeringsfaktor_GD,'Korrigeringsfaktor GD'!O$1,FALSE),
"")</f>
        <v>0</v>
      </c>
      <c r="P357" s="18">
        <f>IFERROR(
                  Andel_oberoende_av_klimat*VLOOKUP($A357,Leveranser_per_nät,'Leveranser per nät'!P$1,FALSE)
               +Andel_beroende_av_klimat*VLOOKUP($A357,Leveranser_per_nät,'Leveranser per nät'!P$1,FALSE)/VLOOKUP($B357,Korrigeringsfaktor_GD,'Korrigeringsfaktor GD'!P$1,FALSE),
"")</f>
        <v>0</v>
      </c>
      <c r="Q357" s="18">
        <f>IFERROR(
                  Andel_oberoende_av_klimat*VLOOKUP($A357,Leveranser_per_nät,'Leveranser per nät'!Q$1,FALSE)
               +Andel_beroende_av_klimat*VLOOKUP($A357,Leveranser_per_nät,'Leveranser per nät'!Q$1,FALSE)/VLOOKUP($B357,Korrigeringsfaktor_GD,'Korrigeringsfaktor GD'!Q$1,FALSE),
"")</f>
        <v>0</v>
      </c>
      <c r="R357" s="18">
        <f>IFERROR(
                  Andel_oberoende_av_klimat*VLOOKUP($A357,Leveranser_per_nät,'Leveranser per nät'!R$1,FALSE)
               +Andel_beroende_av_klimat*VLOOKUP($A357,Leveranser_per_nät,'Leveranser per nät'!R$1,FALSE)/VLOOKUP($B357,Korrigeringsfaktor_GD,'Korrigeringsfaktor GD'!R$1,FALSE),
"")</f>
        <v>0</v>
      </c>
      <c r="S357" s="18">
        <f>IFERROR(
                  Andel_oberoende_av_klimat*VLOOKUP($A357,Leveranser_per_nät,'Leveranser per nät'!S$1,FALSE)
               +Andel_beroende_av_klimat*VLOOKUP($A357,Leveranser_per_nät,'Leveranser per nät'!S$1,FALSE)/VLOOKUP($B357,Korrigeringsfaktor_GD,'Korrigeringsfaktor GD'!S$1,FALSE),
"")</f>
        <v>0</v>
      </c>
      <c r="T357" s="18" t="str">
        <f>IFERROR(
                  Andel_oberoende_av_klimat*VLOOKUP($A357,Leveranser_per_nät,'Leveranser per nät'!T$1,FALSE)
               +Andel_beroende_av_klimat*VLOOKUP($A357,Leveranser_per_nät,'Leveranser per nät'!T$1,FALSE)/VLOOKUP($B357,Korrigeringsfaktor_GD,'Korrigeringsfaktor GD'!T$1,FALSE),
"")</f>
        <v/>
      </c>
      <c r="U357" s="18" t="str">
        <f>IFERROR(
                  Andel_oberoende_av_klimat*VLOOKUP($A357,Leveranser_per_nät,'Leveranser per nät'!U$1,FALSE)
               +Andel_beroende_av_klimat*VLOOKUP($A357,Leveranser_per_nät,'Leveranser per nät'!U$1,FALSE)/VLOOKUP($B357,Korrigeringsfaktor_GD,'Korrigeringsfaktor GD'!U$1,FALSE),
"")</f>
        <v/>
      </c>
      <c r="V357" s="18" t="str">
        <f>IFERROR(
                  Andel_oberoende_av_klimat*VLOOKUP($A357,Leveranser_per_nät,'Leveranser per nät'!V$1,FALSE)
               +Andel_beroende_av_klimat*VLOOKUP($A357,Leveranser_per_nät,'Leveranser per nät'!V$1,FALSE)/VLOOKUP($B357,Korrigeringsfaktor_GD,'Korrigeringsfaktor GD'!V$1,FALSE),
"")</f>
        <v/>
      </c>
      <c r="W357" s="18" t="str">
        <f>IFERROR(
                  Andel_oberoende_av_klimat*VLOOKUP($A357,Leveranser_per_nät,'Leveranser per nät'!W$1,FALSE)
               +Andel_beroende_av_klimat*VLOOKUP($A357,Leveranser_per_nät,'Leveranser per nät'!W$1,FALSE)/VLOOKUP($B357,Korrigeringsfaktor_GD,'Korrigeringsfaktor GD'!W$1,FALSE),
"")</f>
        <v/>
      </c>
      <c r="X357" s="18" t="str">
        <f>IFERROR(
                  Andel_oberoende_av_klimat*VLOOKUP($A357,Leveranser_per_nät,'Leveranser per nät'!X$1,FALSE)
               +Andel_beroende_av_klimat*VLOOKUP($A357,Leveranser_per_nät,'Leveranser per nät'!X$1,FALSE)/VLOOKUP($B357,Korrigeringsfaktor_GD,'Korrigeringsfaktor GD'!X$1,FALSE),
"")</f>
        <v/>
      </c>
      <c r="Y357" s="18" t="str">
        <f>IFERROR(
                  Andel_oberoende_av_klimat*VLOOKUP($A357,Leveranser_per_nät,'Leveranser per nät'!Y$1,FALSE)
               +Andel_beroende_av_klimat*VLOOKUP($A357,Leveranser_per_nät,'Leveranser per nät'!Y$1,FALSE)/VLOOKUP($B357,Korrigeringsfaktor_GD,'Korrigeringsfaktor GD'!Y$1,FALSE),
"")</f>
        <v/>
      </c>
      <c r="Z357" s="18">
        <f>IFERROR(
                  Andel_oberoende_av_klimat*VLOOKUP($A357,Leveranser_per_nät,'Leveranser per nät'!Z$1,FALSE)
               +Andel_beroende_av_klimat*VLOOKUP($A357,Leveranser_per_nät,'Leveranser per nät'!Z$1,FALSE)/VLOOKUP($B357,Korrigeringsfaktor_GD,'Korrigeringsfaktor GD'!Z$1,FALSE),
"")</f>
        <v>0</v>
      </c>
      <c r="AA357" s="18" t="str">
        <f>IFERROR(
                  Andel_oberoende_av_klimat*VLOOKUP($A357,Leveranser_per_nät,'Leveranser per nät'!AA$1,FALSE)
               +Andel_beroende_av_klimat*VLOOKUP($A357,Leveranser_per_nät,'Leveranser per nät'!AA$1,FALSE)/VLOOKUP($B357,Korrigeringsfaktor_GD,'Korrigeringsfaktor GD'!AA$1,FALSE),
"")</f>
        <v/>
      </c>
      <c r="AB357" s="18">
        <f>IFERROR(
                  Andel_oberoende_av_klimat*VLOOKUP($A357,Leveranser_per_nät,'Leveranser per nät'!AB$1,FALSE)
               +Andel_beroende_av_klimat*VLOOKUP($A357,Leveranser_per_nät,'Leveranser per nät'!AB$1,FALSE)/VLOOKUP($B357,Korrigeringsfaktor_GD,'Korrigeringsfaktor GD'!AB$1,FALSE),
"")</f>
        <v>0</v>
      </c>
      <c r="AC357" s="18">
        <f>IFERROR(
                  Andel_oberoende_av_klimat*VLOOKUP($A357,Leveranser_per_nät,'Leveranser per nät'!AC$1,FALSE)
               +Andel_beroende_av_klimat*VLOOKUP($A357,Leveranser_per_nät,'Leveranser per nät'!AC$1,FALSE)/VLOOKUP($B357,Korrigeringsfaktor_GD,'Korrigeringsfaktor GD'!AC$1,FALSE),
"")</f>
        <v>0</v>
      </c>
      <c r="AD357">
        <v>57.290999999999997</v>
      </c>
    </row>
    <row r="358" spans="1:30" x14ac:dyDescent="0.25">
      <c r="A358" t="s">
        <v>353</v>
      </c>
      <c r="B358" t="s">
        <v>350</v>
      </c>
      <c r="C358" s="18">
        <f>IFERROR(
                  Andel_oberoende_av_klimat*VLOOKUP($A358,Leveranser_per_nät,'Leveranser per nät'!C$1,FALSE)
               +Andel_beroende_av_klimat*VLOOKUP($A358,Leveranser_per_nät,'Leveranser per nät'!C$1,FALSE)/VLOOKUP($B358,Korrigeringsfaktor_GD,'Korrigeringsfaktor GD'!C$1,FALSE),
"")</f>
        <v>0</v>
      </c>
      <c r="D358" s="18">
        <f>IFERROR(
                  Andel_oberoende_av_klimat*VLOOKUP($A358,Leveranser_per_nät,'Leveranser per nät'!D$1,FALSE)
               +Andel_beroende_av_klimat*VLOOKUP($A358,Leveranser_per_nät,'Leveranser per nät'!D$1,FALSE)/VLOOKUP($B358,Korrigeringsfaktor_GD,'Korrigeringsfaktor GD'!D$1,FALSE),
"")</f>
        <v>0</v>
      </c>
      <c r="E358" s="18">
        <f>IFERROR(
                  Andel_oberoende_av_klimat*VLOOKUP($A358,Leveranser_per_nät,'Leveranser per nät'!E$1,FALSE)
               +Andel_beroende_av_klimat*VLOOKUP($A358,Leveranser_per_nät,'Leveranser per nät'!E$1,FALSE)/VLOOKUP($B358,Korrigeringsfaktor_GD,'Korrigeringsfaktor GD'!E$1,FALSE),
"")</f>
        <v>0</v>
      </c>
      <c r="F358" s="18">
        <f>IFERROR(
                  Andel_oberoende_av_klimat*VLOOKUP($A358,Leveranser_per_nät,'Leveranser per nät'!F$1,FALSE)
               +Andel_beroende_av_klimat*VLOOKUP($A358,Leveranser_per_nät,'Leveranser per nät'!F$1,FALSE)/VLOOKUP($B358,Korrigeringsfaktor_GD,'Korrigeringsfaktor GD'!F$1,FALSE),
"")</f>
        <v>0</v>
      </c>
      <c r="G358" s="18">
        <f>IFERROR(
                  Andel_oberoende_av_klimat*VLOOKUP($A358,Leveranser_per_nät,'Leveranser per nät'!G$1,FALSE)
               +Andel_beroende_av_klimat*VLOOKUP($A358,Leveranser_per_nät,'Leveranser per nät'!G$1,FALSE)/VLOOKUP($B358,Korrigeringsfaktor_GD,'Korrigeringsfaktor GD'!G$1,FALSE),
"")</f>
        <v>0</v>
      </c>
      <c r="H358" s="18">
        <f>IFERROR(
                  Andel_oberoende_av_klimat*VLOOKUP($A358,Leveranser_per_nät,'Leveranser per nät'!H$1,FALSE)
               +Andel_beroende_av_klimat*VLOOKUP($A358,Leveranser_per_nät,'Leveranser per nät'!H$1,FALSE)/VLOOKUP($B358,Korrigeringsfaktor_GD,'Korrigeringsfaktor GD'!H$1,FALSE),
"")</f>
        <v>0</v>
      </c>
      <c r="I358" s="18">
        <f>IFERROR(
                  Andel_oberoende_av_klimat*VLOOKUP($A358,Leveranser_per_nät,'Leveranser per nät'!I$1,FALSE)
               +Andel_beroende_av_klimat*VLOOKUP($A358,Leveranser_per_nät,'Leveranser per nät'!I$1,FALSE)/VLOOKUP($B358,Korrigeringsfaktor_GD,'Korrigeringsfaktor GD'!I$1,FALSE),
"")</f>
        <v>0</v>
      </c>
      <c r="J358" s="18">
        <f>IFERROR(
                  Andel_oberoende_av_klimat*VLOOKUP($A358,Leveranser_per_nät,'Leveranser per nät'!J$1,FALSE)
               +Andel_beroende_av_klimat*VLOOKUP($A358,Leveranser_per_nät,'Leveranser per nät'!J$1,FALSE)/VLOOKUP($B358,Korrigeringsfaktor_GD,'Korrigeringsfaktor GD'!J$1,FALSE),
"")</f>
        <v>0</v>
      </c>
      <c r="K358" s="18">
        <f>IFERROR(
                  Andel_oberoende_av_klimat*VLOOKUP($A358,Leveranser_per_nät,'Leveranser per nät'!K$1,FALSE)
               +Andel_beroende_av_klimat*VLOOKUP($A358,Leveranser_per_nät,'Leveranser per nät'!K$1,FALSE)/VLOOKUP($B358,Korrigeringsfaktor_GD,'Korrigeringsfaktor GD'!K$1,FALSE),
"")</f>
        <v>0</v>
      </c>
      <c r="L358" s="18">
        <f>IFERROR(
                  Andel_oberoende_av_klimat*VLOOKUP($A358,Leveranser_per_nät,'Leveranser per nät'!L$1,FALSE)
               +Andel_beroende_av_klimat*VLOOKUP($A358,Leveranser_per_nät,'Leveranser per nät'!L$1,FALSE)/VLOOKUP($B358,Korrigeringsfaktor_GD,'Korrigeringsfaktor GD'!L$1,FALSE),
"")</f>
        <v>0</v>
      </c>
      <c r="M358" s="18">
        <f>IFERROR(
                  Andel_oberoende_av_klimat*VLOOKUP($A358,Leveranser_per_nät,'Leveranser per nät'!M$1,FALSE)
               +Andel_beroende_av_klimat*VLOOKUP($A358,Leveranser_per_nät,'Leveranser per nät'!M$1,FALSE)/VLOOKUP($B358,Korrigeringsfaktor_GD,'Korrigeringsfaktor GD'!M$1,FALSE),
"")</f>
        <v>0</v>
      </c>
      <c r="N358" s="18">
        <f>IFERROR(
                  Andel_oberoende_av_klimat*VLOOKUP($A358,Leveranser_per_nät,'Leveranser per nät'!N$1,FALSE)
               +Andel_beroende_av_klimat*VLOOKUP($A358,Leveranser_per_nät,'Leveranser per nät'!N$1,FALSE)/VLOOKUP($B358,Korrigeringsfaktor_GD,'Korrigeringsfaktor GD'!N$1,FALSE),
"")</f>
        <v>0</v>
      </c>
      <c r="O358" s="18">
        <f>IFERROR(
                  Andel_oberoende_av_klimat*VLOOKUP($A358,Leveranser_per_nät,'Leveranser per nät'!O$1,FALSE)
               +Andel_beroende_av_klimat*VLOOKUP($A358,Leveranser_per_nät,'Leveranser per nät'!O$1,FALSE)/VLOOKUP($B358,Korrigeringsfaktor_GD,'Korrigeringsfaktor GD'!O$1,FALSE),
"")</f>
        <v>4.6344444444444441</v>
      </c>
      <c r="P358" s="18">
        <f>IFERROR(
                  Andel_oberoende_av_klimat*VLOOKUP($A358,Leveranser_per_nät,'Leveranser per nät'!P$1,FALSE)
               +Andel_beroende_av_klimat*VLOOKUP($A358,Leveranser_per_nät,'Leveranser per nät'!P$1,FALSE)/VLOOKUP($B358,Korrigeringsfaktor_GD,'Korrigeringsfaktor GD'!P$1,FALSE),
"")</f>
        <v>5.7403030303030302</v>
      </c>
      <c r="Q358" s="18">
        <f>IFERROR(
                  Andel_oberoende_av_klimat*VLOOKUP($A358,Leveranser_per_nät,'Leveranser per nät'!Q$1,FALSE)
               +Andel_beroende_av_klimat*VLOOKUP($A358,Leveranser_per_nät,'Leveranser per nät'!Q$1,FALSE)/VLOOKUP($B358,Korrigeringsfaktor_GD,'Korrigeringsfaktor GD'!Q$1,FALSE),
"")</f>
        <v>8.0601304347826073</v>
      </c>
      <c r="R358" s="18">
        <f>IFERROR(
                  Andel_oberoende_av_klimat*VLOOKUP($A358,Leveranser_per_nät,'Leveranser per nät'!R$1,FALSE)
               +Andel_beroende_av_klimat*VLOOKUP($A358,Leveranser_per_nät,'Leveranser per nät'!R$1,FALSE)/VLOOKUP($B358,Korrigeringsfaktor_GD,'Korrigeringsfaktor GD'!R$1,FALSE),
"")</f>
        <v>8.0619999999999994</v>
      </c>
      <c r="S358" s="18">
        <f>IFERROR(
                  Andel_oberoende_av_klimat*VLOOKUP($A358,Leveranser_per_nät,'Leveranser per nät'!S$1,FALSE)
               +Andel_beroende_av_klimat*VLOOKUP($A358,Leveranser_per_nät,'Leveranser per nät'!S$1,FALSE)/VLOOKUP($B358,Korrigeringsfaktor_GD,'Korrigeringsfaktor GD'!S$1,FALSE),
"")</f>
        <v>7.0309306930693074</v>
      </c>
      <c r="T358" s="18">
        <f>IFERROR(
                  Andel_oberoende_av_klimat*VLOOKUP($A358,Leveranser_per_nät,'Leveranser per nät'!T$1,FALSE)
               +Andel_beroende_av_klimat*VLOOKUP($A358,Leveranser_per_nät,'Leveranser per nät'!T$1,FALSE)/VLOOKUP($B358,Korrigeringsfaktor_GD,'Korrigeringsfaktor GD'!T$1,FALSE),
"")</f>
        <v>7.3908919191919198</v>
      </c>
      <c r="U358" s="18">
        <f>IFERROR(
                  Andel_oberoende_av_klimat*VLOOKUP($A358,Leveranser_per_nät,'Leveranser per nät'!U$1,FALSE)
               +Andel_beroende_av_klimat*VLOOKUP($A358,Leveranser_per_nät,'Leveranser per nät'!U$1,FALSE)/VLOOKUP($B358,Korrigeringsfaktor_GD,'Korrigeringsfaktor GD'!U$1,FALSE),
"")</f>
        <v>6.6669363636363643</v>
      </c>
      <c r="V358" s="18">
        <f>IFERROR(
                  Andel_oberoende_av_klimat*VLOOKUP($A358,Leveranser_per_nät,'Leveranser per nät'!V$1,FALSE)
               +Andel_beroende_av_klimat*VLOOKUP($A358,Leveranser_per_nät,'Leveranser per nät'!V$1,FALSE)/VLOOKUP($B358,Korrigeringsfaktor_GD,'Korrigeringsfaktor GD'!V$1,FALSE),
"")</f>
        <v>6.8896033707865172</v>
      </c>
      <c r="W358" s="18">
        <f>IFERROR(
                  Andel_oberoende_av_klimat*VLOOKUP($A358,Leveranser_per_nät,'Leveranser per nät'!W$1,FALSE)
               +Andel_beroende_av_klimat*VLOOKUP($A358,Leveranser_per_nät,'Leveranser per nät'!W$1,FALSE)/VLOOKUP($B358,Korrigeringsfaktor_GD,'Korrigeringsfaktor GD'!W$1,FALSE),
"")</f>
        <v>6.7747553191489374</v>
      </c>
      <c r="X358" s="18">
        <f>IFERROR(
                  Andel_oberoende_av_klimat*VLOOKUP($A358,Leveranser_per_nät,'Leveranser per nät'!X$1,FALSE)
               +Andel_beroende_av_klimat*VLOOKUP($A358,Leveranser_per_nät,'Leveranser per nät'!X$1,FALSE)/VLOOKUP($B358,Korrigeringsfaktor_GD,'Korrigeringsfaktor GD'!X$1,FALSE),
"")</f>
        <v>7.2319478260869552</v>
      </c>
      <c r="Y358" s="18">
        <f>IFERROR(
                  Andel_oberoende_av_klimat*VLOOKUP($A358,Leveranser_per_nät,'Leveranser per nät'!Y$1,FALSE)
               +Andel_beroende_av_klimat*VLOOKUP($A358,Leveranser_per_nät,'Leveranser per nät'!Y$1,FALSE)/VLOOKUP($B358,Korrigeringsfaktor_GD,'Korrigeringsfaktor GD'!Y$1,FALSE),
"")</f>
        <v>7.2034076923076924</v>
      </c>
      <c r="Z358" s="18">
        <f>IFERROR(
                  Andel_oberoende_av_klimat*VLOOKUP($A358,Leveranser_per_nät,'Leveranser per nät'!Z$1,FALSE)
               +Andel_beroende_av_klimat*VLOOKUP($A358,Leveranser_per_nät,'Leveranser per nät'!Z$1,FALSE)/VLOOKUP($B358,Korrigeringsfaktor_GD,'Korrigeringsfaktor GD'!Z$1,FALSE),
"")</f>
        <v>6.8918894736842109</v>
      </c>
      <c r="AA358" s="18">
        <f>IFERROR(
                  Andel_oberoende_av_klimat*VLOOKUP($A358,Leveranser_per_nät,'Leveranser per nät'!AA$1,FALSE)
               +Andel_beroende_av_klimat*VLOOKUP($A358,Leveranser_per_nät,'Leveranser per nät'!AA$1,FALSE)/VLOOKUP($B358,Korrigeringsfaktor_GD,'Korrigeringsfaktor GD'!AA$1,FALSE),
"")</f>
        <v>7.1828692206076612</v>
      </c>
      <c r="AB358" s="18">
        <f>IFERROR(
                  Andel_oberoende_av_klimat*VLOOKUP($A358,Leveranser_per_nät,'Leveranser per nät'!AB$1,FALSE)
               +Andel_beroende_av_klimat*VLOOKUP($A358,Leveranser_per_nät,'Leveranser per nät'!AB$1,FALSE)/VLOOKUP($B358,Korrigeringsfaktor_GD,'Korrigeringsfaktor GD'!AB$1,FALSE),
"")</f>
        <v>5.3099000000000007</v>
      </c>
      <c r="AC358" s="18">
        <f>IFERROR(
                  Andel_oberoende_av_klimat*VLOOKUP($A358,Leveranser_per_nät,'Leveranser per nät'!AC$1,FALSE)
               +Andel_beroende_av_klimat*VLOOKUP($A358,Leveranser_per_nät,'Leveranser per nät'!AC$1,FALSE)/VLOOKUP($B358,Korrigeringsfaktor_GD,'Korrigeringsfaktor GD'!AC$1,FALSE),
"")</f>
        <v>4.1623503080082136</v>
      </c>
      <c r="AD358">
        <v>99.975999999999999</v>
      </c>
    </row>
    <row r="359" spans="1:30" x14ac:dyDescent="0.25">
      <c r="A359" t="s">
        <v>247</v>
      </c>
      <c r="B359" t="s">
        <v>247</v>
      </c>
      <c r="C359" s="18">
        <f>IFERROR(
                  Andel_oberoende_av_klimat*VLOOKUP($A359,Leveranser_per_nät,'Leveranser per nät'!C$1,FALSE)
               +Andel_beroende_av_klimat*VLOOKUP($A359,Leveranser_per_nät,'Leveranser per nät'!C$1,FALSE)/VLOOKUP("Karlskoga",Korrigeringsfaktor_GD,'Korrigeringsfaktor GD'!C$1,FALSE),
"")</f>
        <v>0</v>
      </c>
      <c r="D359" s="18">
        <f>IFERROR(
                  Andel_oberoende_av_klimat*VLOOKUP($A359,Leveranser_per_nät,'Leveranser per nät'!D$1,FALSE)
               +Andel_beroende_av_klimat*VLOOKUP($A359,Leveranser_per_nät,'Leveranser per nät'!D$1,FALSE)/VLOOKUP("Karlskoga",Korrigeringsfaktor_GD,'Korrigeringsfaktor GD'!D$1,FALSE),
"")</f>
        <v>0</v>
      </c>
      <c r="E359" s="18">
        <f>IFERROR(
                  Andel_oberoende_av_klimat*VLOOKUP($A359,Leveranser_per_nät,'Leveranser per nät'!E$1,FALSE)
               +Andel_beroende_av_klimat*VLOOKUP($A359,Leveranser_per_nät,'Leveranser per nät'!E$1,FALSE)/VLOOKUP("Karlskoga",Korrigeringsfaktor_GD,'Korrigeringsfaktor GD'!E$1,FALSE),
"")</f>
        <v>0</v>
      </c>
      <c r="F359" s="18">
        <f>IFERROR(
                  Andel_oberoende_av_klimat*VLOOKUP($A359,Leveranser_per_nät,'Leveranser per nät'!F$1,FALSE)
               +Andel_beroende_av_klimat*VLOOKUP($A359,Leveranser_per_nät,'Leveranser per nät'!F$1,FALSE)/VLOOKUP("Karlskoga",Korrigeringsfaktor_GD,'Korrigeringsfaktor GD'!F$1,FALSE),
"")</f>
        <v>0</v>
      </c>
      <c r="G359" s="18">
        <f>IFERROR(
                  Andel_oberoende_av_klimat*VLOOKUP($A359,Leveranser_per_nät,'Leveranser per nät'!G$1,FALSE)
               +Andel_beroende_av_klimat*VLOOKUP($A359,Leveranser_per_nät,'Leveranser per nät'!G$1,FALSE)/VLOOKUP("Karlskoga",Korrigeringsfaktor_GD,'Korrigeringsfaktor GD'!G$1,FALSE),
"")</f>
        <v>27.614942528735632</v>
      </c>
      <c r="H359" s="18">
        <f>IFERROR(
                  Andel_oberoende_av_klimat*VLOOKUP($A359,Leveranser_per_nät,'Leveranser per nät'!H$1,FALSE)
               +Andel_beroende_av_klimat*VLOOKUP($A359,Leveranser_per_nät,'Leveranser per nät'!H$1,FALSE)/VLOOKUP("Karlskoga",Korrigeringsfaktor_GD,'Korrigeringsfaktor GD'!H$1,FALSE),
"")</f>
        <v>29.325336633663369</v>
      </c>
      <c r="I359" s="18">
        <f>IFERROR(
                  Andel_oberoende_av_klimat*VLOOKUP($A359,Leveranser_per_nät,'Leveranser per nät'!I$1,FALSE)
               +Andel_beroende_av_klimat*VLOOKUP($A359,Leveranser_per_nät,'Leveranser per nät'!I$1,FALSE)/VLOOKUP("Karlskoga",Korrigeringsfaktor_GD,'Korrigeringsfaktor GD'!I$1,FALSE),
"")</f>
        <v>29.778017525773194</v>
      </c>
      <c r="J359" s="18">
        <f>IFERROR(
                  Andel_oberoende_av_klimat*VLOOKUP($A359,Leveranser_per_nät,'Leveranser per nät'!J$1,FALSE)
               +Andel_beroende_av_klimat*VLOOKUP($A359,Leveranser_per_nät,'Leveranser per nät'!J$1,FALSE)/VLOOKUP("Karlskoga",Korrigeringsfaktor_GD,'Korrigeringsfaktor GD'!J$1,FALSE),
"")</f>
        <v>12.916928571428571</v>
      </c>
      <c r="K359" s="18">
        <f>IFERROR(
                  Andel_oberoende_av_klimat*VLOOKUP($A359,Leveranser_per_nät,'Leveranser per nät'!K$1,FALSE)
               +Andel_beroende_av_klimat*VLOOKUP($A359,Leveranser_per_nät,'Leveranser per nät'!K$1,FALSE)/VLOOKUP("Karlskoga",Korrigeringsfaktor_GD,'Korrigeringsfaktor GD'!K$1,FALSE),
"")</f>
        <v>24.406143892183341</v>
      </c>
      <c r="L359" s="18">
        <f>IFERROR(
                  Andel_oberoende_av_klimat*VLOOKUP($A359,Leveranser_per_nät,'Leveranser per nät'!L$1,FALSE)
               +Andel_beroende_av_klimat*VLOOKUP($A359,Leveranser_per_nät,'Leveranser per nät'!L$1,FALSE)/VLOOKUP("Karlskoga",Korrigeringsfaktor_GD,'Korrigeringsfaktor GD'!L$1,FALSE),
"")</f>
        <v>24.956339290916461</v>
      </c>
      <c r="M359" s="18">
        <f>IFERROR(
                  Andel_oberoende_av_klimat*VLOOKUP($A359,Leveranser_per_nät,'Leveranser per nät'!M$1,FALSE)
               +Andel_beroende_av_klimat*VLOOKUP($A359,Leveranser_per_nät,'Leveranser per nät'!M$1,FALSE)/VLOOKUP("Karlskoga",Korrigeringsfaktor_GD,'Korrigeringsfaktor GD'!M$1,FALSE),
"")</f>
        <v>6.8956521739130432</v>
      </c>
      <c r="N359" s="18">
        <f>IFERROR(
                  Andel_oberoende_av_klimat*VLOOKUP($A359,Leveranser_per_nät,'Leveranser per nät'!N$1,FALSE)
               +Andel_beroende_av_klimat*VLOOKUP($A359,Leveranser_per_nät,'Leveranser per nät'!N$1,FALSE)/VLOOKUP("Karlskoga",Korrigeringsfaktor_GD,'Korrigeringsfaktor GD'!N$1,FALSE),
"")</f>
        <v>24.035060869565214</v>
      </c>
      <c r="O359" s="18">
        <f>IFERROR(
                  Andel_oberoende_av_klimat*VLOOKUP($A359,Leveranser_per_nät,'Leveranser per nät'!O$1,FALSE)
               +Andel_beroende_av_klimat*VLOOKUP($A359,Leveranser_per_nät,'Leveranser per nät'!O$1,FALSE)/VLOOKUP("Karlskoga",Korrigeringsfaktor_GD,'Korrigeringsfaktor GD'!O$1,FALSE),
"")</f>
        <v>23.609799999999996</v>
      </c>
      <c r="P359" s="18">
        <f>IFERROR(
                  Andel_oberoende_av_klimat*VLOOKUP($A359,Leveranser_per_nät,'Leveranser per nät'!P$1,FALSE)
               +Andel_beroende_av_klimat*VLOOKUP($A359,Leveranser_per_nät,'Leveranser per nät'!P$1,FALSE)/VLOOKUP("Karlskoga",Korrigeringsfaktor_GD,'Korrigeringsfaktor GD'!P$1,FALSE),
"")</f>
        <v>21.696331313131314</v>
      </c>
      <c r="Q359" s="18">
        <f>IFERROR(
                  Andel_oberoende_av_klimat*VLOOKUP($A359,Leveranser_per_nät,'Leveranser per nät'!Q$1,FALSE)
               +Andel_beroende_av_klimat*VLOOKUP($A359,Leveranser_per_nät,'Leveranser per nät'!Q$1,FALSE)/VLOOKUP("Karlskoga",Korrigeringsfaktor_GD,'Korrigeringsfaktor GD'!Q$1,FALSE),
"")</f>
        <v>24.037144827586211</v>
      </c>
      <c r="R359" s="18">
        <f>IFERROR(
                  Andel_oberoende_av_klimat*VLOOKUP($A359,Leveranser_per_nät,'Leveranser per nät'!R$1,FALSE)
               +Andel_beroende_av_klimat*VLOOKUP($A359,Leveranser_per_nät,'Leveranser per nät'!R$1,FALSE)/VLOOKUP("Karlskoga",Korrigeringsfaktor_GD,'Korrigeringsfaktor GD'!R$1,FALSE),
"")</f>
        <v>21.447777777777773</v>
      </c>
      <c r="S359" s="18">
        <f>IFERROR(
                  Andel_oberoende_av_klimat*VLOOKUP($A359,Leveranser_per_nät,'Leveranser per nät'!S$1,FALSE)
               +Andel_beroende_av_klimat*VLOOKUP($A359,Leveranser_per_nät,'Leveranser per nät'!S$1,FALSE)/VLOOKUP("Karlskoga",Korrigeringsfaktor_GD,'Korrigeringsfaktor GD'!S$1,FALSE),
"")</f>
        <v>19.184696969696969</v>
      </c>
      <c r="T359" s="18">
        <f>IFERROR(
                  Andel_oberoende_av_klimat*VLOOKUP($A359,Leveranser_per_nät,'Leveranser per nät'!T$1,FALSE)
               +Andel_beroende_av_klimat*VLOOKUP($A359,Leveranser_per_nät,'Leveranser per nät'!T$1,FALSE)/VLOOKUP("Karlskoga",Korrigeringsfaktor_GD,'Korrigeringsfaktor GD'!T$1,FALSE),
"")</f>
        <v>17.857070833333331</v>
      </c>
      <c r="U359" s="18">
        <f>IFERROR(
                  Andel_oberoende_av_klimat*VLOOKUP($A359,Leveranser_per_nät,'Leveranser per nät'!U$1,FALSE)
               +Andel_beroende_av_klimat*VLOOKUP($A359,Leveranser_per_nät,'Leveranser per nät'!U$1,FALSE)/VLOOKUP("Karlskoga",Korrigeringsfaktor_GD,'Korrigeringsfaktor GD'!U$1,FALSE),
"")</f>
        <v>15.557154022988506</v>
      </c>
      <c r="V359" s="18">
        <f>IFERROR(
                  Andel_oberoende_av_klimat*VLOOKUP($A359,Leveranser_per_nät,'Leveranser per nät'!V$1,FALSE)
               +Andel_beroende_av_klimat*VLOOKUP($A359,Leveranser_per_nät,'Leveranser per nät'!V$1,FALSE)/VLOOKUP("Karlskoga",Korrigeringsfaktor_GD,'Korrigeringsfaktor GD'!V$1,FALSE),
"")</f>
        <v>15.181900000000001</v>
      </c>
      <c r="W359" s="18" t="str">
        <f>IFERROR(
                  Andel_oberoende_av_klimat*VLOOKUP($A359,Leveranser_per_nät,'Leveranser per nät'!W$1,FALSE)
               +Andel_beroende_av_klimat*VLOOKUP($A359,Leveranser_per_nät,'Leveranser per nät'!W$1,FALSE)/VLOOKUP("Karlskoga",Korrigeringsfaktor_GD,'Korrigeringsfaktor GD'!W$1,FALSE),
"")</f>
        <v/>
      </c>
      <c r="X359" s="18">
        <f>IFERROR(
                  Andel_oberoende_av_klimat*VLOOKUP($A359,Leveranser_per_nät,'Leveranser per nät'!X$1,FALSE)
               +Andel_beroende_av_klimat*VLOOKUP($A359,Leveranser_per_nät,'Leveranser per nät'!X$1,FALSE)/VLOOKUP("Karlskoga",Korrigeringsfaktor_GD,'Korrigeringsfaktor GD'!X$1,FALSE),
"")</f>
        <v>0</v>
      </c>
      <c r="Y359" s="18" t="str">
        <f>IFERROR(
                  Andel_oberoende_av_klimat*VLOOKUP($A359,Leveranser_per_nät,'Leveranser per nät'!Y$1,FALSE)
               +Andel_beroende_av_klimat*VLOOKUP($A359,Leveranser_per_nät,'Leveranser per nät'!Y$1,FALSE)/VLOOKUP($B359,Korrigeringsfaktor_GD,'Korrigeringsfaktor GD'!Y$1,FALSE),
"")</f>
        <v/>
      </c>
      <c r="Z359" s="18">
        <f>IFERROR(
                  Andel_oberoende_av_klimat*VLOOKUP($A359,Leveranser_per_nät,'Leveranser per nät'!Z$1,FALSE)
               +Andel_beroende_av_klimat*VLOOKUP($A359,Leveranser_per_nät,'Leveranser per nät'!Z$1,FALSE)/VLOOKUP($B359,Korrigeringsfaktor_GD,'Korrigeringsfaktor GD'!Z$1,FALSE),
"")</f>
        <v>0</v>
      </c>
      <c r="AA359" s="18" t="str">
        <f>IFERROR(
                  Andel_oberoende_av_klimat*VLOOKUP($A359,Leveranser_per_nät,'Leveranser per nät'!AA$1,FALSE)
               +Andel_beroende_av_klimat*VLOOKUP($A359,Leveranser_per_nät,'Leveranser per nät'!AA$1,FALSE)/VLOOKUP($B359,Korrigeringsfaktor_GD,'Korrigeringsfaktor GD'!AA$1,FALSE),
"")</f>
        <v/>
      </c>
      <c r="AB359" s="18">
        <f>IFERROR(
                  Andel_oberoende_av_klimat*VLOOKUP($A359,Leveranser_per_nät,'Leveranser per nät'!AB$1,FALSE)
               +Andel_beroende_av_klimat*VLOOKUP($A359,Leveranser_per_nät,'Leveranser per nät'!AB$1,FALSE)/VLOOKUP($B359,Korrigeringsfaktor_GD,'Korrigeringsfaktor GD'!AB$1,FALSE),
"")</f>
        <v>0</v>
      </c>
      <c r="AC359" s="18">
        <f>IFERROR(
                  Andel_oberoende_av_klimat*VLOOKUP($A359,Leveranser_per_nät,'Leveranser per nät'!AC$1,FALSE)
               +Andel_beroende_av_klimat*VLOOKUP($A359,Leveranser_per_nät,'Leveranser per nät'!AC$1,FALSE)/VLOOKUP($B359,Korrigeringsfaktor_GD,'Korrigeringsfaktor GD'!AC$1,FALSE),
"")</f>
        <v>0</v>
      </c>
      <c r="AD359" t="e">
        <v>#N/A</v>
      </c>
    </row>
    <row r="360" spans="1:30" x14ac:dyDescent="0.25">
      <c r="A360" t="s">
        <v>272</v>
      </c>
      <c r="B360" t="s">
        <v>272</v>
      </c>
      <c r="C360" s="18">
        <f>IFERROR(
                  Andel_oberoende_av_klimat*VLOOKUP($A360,Leveranser_per_nät,'Leveranser per nät'!C$1,FALSE)
               +Andel_beroende_av_klimat*VLOOKUP($A360,Leveranser_per_nät,'Leveranser per nät'!C$1,FALSE)/VLOOKUP($B360,Korrigeringsfaktor_GD,'Korrigeringsfaktor GD'!C$1,FALSE),
"")</f>
        <v>0</v>
      </c>
      <c r="D360" s="18">
        <f>IFERROR(
                  Andel_oberoende_av_klimat*VLOOKUP($A360,Leveranser_per_nät,'Leveranser per nät'!D$1,FALSE)
               +Andel_beroende_av_klimat*VLOOKUP($A360,Leveranser_per_nät,'Leveranser per nät'!D$1,FALSE)/VLOOKUP($B360,Korrigeringsfaktor_GD,'Korrigeringsfaktor GD'!D$1,FALSE),
"")</f>
        <v>0</v>
      </c>
      <c r="E360" s="18">
        <f>IFERROR(
                  Andel_oberoende_av_klimat*VLOOKUP($A360,Leveranser_per_nät,'Leveranser per nät'!E$1,FALSE)
               +Andel_beroende_av_klimat*VLOOKUP($A360,Leveranser_per_nät,'Leveranser per nät'!E$1,FALSE)/VLOOKUP($B360,Korrigeringsfaktor_GD,'Korrigeringsfaktor GD'!E$1,FALSE),
"")</f>
        <v>0</v>
      </c>
      <c r="F360" s="18">
        <f>IFERROR(
                  Andel_oberoende_av_klimat*VLOOKUP($A360,Leveranser_per_nät,'Leveranser per nät'!F$1,FALSE)
               +Andel_beroende_av_klimat*VLOOKUP($A360,Leveranser_per_nät,'Leveranser per nät'!F$1,FALSE)/VLOOKUP($B360,Korrigeringsfaktor_GD,'Korrigeringsfaktor GD'!F$1,FALSE),
"")</f>
        <v>0</v>
      </c>
      <c r="G360" s="18">
        <f>IFERROR(
                  Andel_oberoende_av_klimat*VLOOKUP($A360,Leveranser_per_nät,'Leveranser per nät'!G$1,FALSE)
               +Andel_beroende_av_klimat*VLOOKUP($A360,Leveranser_per_nät,'Leveranser per nät'!G$1,FALSE)/VLOOKUP($B360,Korrigeringsfaktor_GD,'Korrigeringsfaktor GD'!G$1,FALSE),
"")</f>
        <v>0</v>
      </c>
      <c r="H360" s="18">
        <f>IFERROR(
                  Andel_oberoende_av_klimat*VLOOKUP($A360,Leveranser_per_nät,'Leveranser per nät'!H$1,FALSE)
               +Andel_beroende_av_klimat*VLOOKUP($A360,Leveranser_per_nät,'Leveranser per nät'!H$1,FALSE)/VLOOKUP($B360,Korrigeringsfaktor_GD,'Korrigeringsfaktor GD'!H$1,FALSE),
"")</f>
        <v>0</v>
      </c>
      <c r="I360" s="18">
        <f>IFERROR(
                  Andel_oberoende_av_klimat*VLOOKUP($A360,Leveranser_per_nät,'Leveranser per nät'!I$1,FALSE)
               +Andel_beroende_av_klimat*VLOOKUP($A360,Leveranser_per_nät,'Leveranser per nät'!I$1,FALSE)/VLOOKUP($B360,Korrigeringsfaktor_GD,'Korrigeringsfaktor GD'!I$1,FALSE),
"")</f>
        <v>0</v>
      </c>
      <c r="J360" s="18">
        <f>IFERROR(
                  Andel_oberoende_av_klimat*VLOOKUP($A360,Leveranser_per_nät,'Leveranser per nät'!J$1,FALSE)
               +Andel_beroende_av_klimat*VLOOKUP($A360,Leveranser_per_nät,'Leveranser per nät'!J$1,FALSE)/VLOOKUP($B360,Korrigeringsfaktor_GD,'Korrigeringsfaktor GD'!J$1,FALSE),
"")</f>
        <v>0</v>
      </c>
      <c r="K360" s="18">
        <f>IFERROR(
                  Andel_oberoende_av_klimat*VLOOKUP($A360,Leveranser_per_nät,'Leveranser per nät'!K$1,FALSE)
               +Andel_beroende_av_klimat*VLOOKUP($A360,Leveranser_per_nät,'Leveranser per nät'!K$1,FALSE)/VLOOKUP($B360,Korrigeringsfaktor_GD,'Korrigeringsfaktor GD'!K$1,FALSE),
"")</f>
        <v>0</v>
      </c>
      <c r="L360" s="18">
        <f>IFERROR(
                  Andel_oberoende_av_klimat*VLOOKUP($A360,Leveranser_per_nät,'Leveranser per nät'!L$1,FALSE)
               +Andel_beroende_av_klimat*VLOOKUP($A360,Leveranser_per_nät,'Leveranser per nät'!L$1,FALSE)/VLOOKUP($B360,Korrigeringsfaktor_GD,'Korrigeringsfaktor GD'!L$1,FALSE),
"")</f>
        <v>0</v>
      </c>
      <c r="M360" s="18">
        <f>IFERROR(
                  Andel_oberoende_av_klimat*VLOOKUP($A360,Leveranser_per_nät,'Leveranser per nät'!M$1,FALSE)
               +Andel_beroende_av_klimat*VLOOKUP($A360,Leveranser_per_nät,'Leveranser per nät'!M$1,FALSE)/VLOOKUP($B360,Korrigeringsfaktor_GD,'Korrigeringsfaktor GD'!M$1,FALSE),
"")</f>
        <v>0</v>
      </c>
      <c r="N360" s="18">
        <f>IFERROR(
                  Andel_oberoende_av_klimat*VLOOKUP($A360,Leveranser_per_nät,'Leveranser per nät'!N$1,FALSE)
               +Andel_beroende_av_klimat*VLOOKUP($A360,Leveranser_per_nät,'Leveranser per nät'!N$1,FALSE)/VLOOKUP($B360,Korrigeringsfaktor_GD,'Korrigeringsfaktor GD'!N$1,FALSE),
"")</f>
        <v>32.460945833333334</v>
      </c>
      <c r="O360" s="18">
        <f>IFERROR(
                  Andel_oberoende_av_klimat*VLOOKUP($A360,Leveranser_per_nät,'Leveranser per nät'!O$1,FALSE)
               +Andel_beroende_av_klimat*VLOOKUP($A360,Leveranser_per_nät,'Leveranser per nät'!O$1,FALSE)/VLOOKUP($B360,Korrigeringsfaktor_GD,'Korrigeringsfaktor GD'!O$1,FALSE),
"")</f>
        <v>30.550552631578949</v>
      </c>
      <c r="P360" s="18">
        <f>IFERROR(
                  Andel_oberoende_av_klimat*VLOOKUP($A360,Leveranser_per_nät,'Leveranser per nät'!P$1,FALSE)
               +Andel_beroende_av_klimat*VLOOKUP($A360,Leveranser_per_nät,'Leveranser per nät'!P$1,FALSE)/VLOOKUP($B360,Korrigeringsfaktor_GD,'Korrigeringsfaktor GD'!P$1,FALSE),
"")</f>
        <v>31.538</v>
      </c>
      <c r="Q360" s="18">
        <f>IFERROR(
                  Andel_oberoende_av_klimat*VLOOKUP($A360,Leveranser_per_nät,'Leveranser per nät'!Q$1,FALSE)
               +Andel_beroende_av_klimat*VLOOKUP($A360,Leveranser_per_nät,'Leveranser per nät'!Q$1,FALSE)/VLOOKUP($B360,Korrigeringsfaktor_GD,'Korrigeringsfaktor GD'!Q$1,FALSE),
"")</f>
        <v>31.819145132743365</v>
      </c>
      <c r="R360" s="18">
        <f>IFERROR(
                  Andel_oberoende_av_klimat*VLOOKUP($A360,Leveranser_per_nät,'Leveranser per nät'!R$1,FALSE)
               +Andel_beroende_av_klimat*VLOOKUP($A360,Leveranser_per_nät,'Leveranser per nät'!R$1,FALSE)/VLOOKUP($B360,Korrigeringsfaktor_GD,'Korrigeringsfaktor GD'!R$1,FALSE),
"")</f>
        <v>31.578888888888891</v>
      </c>
      <c r="S360" s="18">
        <f>IFERROR(
                  Andel_oberoende_av_klimat*VLOOKUP($A360,Leveranser_per_nät,'Leveranser per nät'!S$1,FALSE)
               +Andel_beroende_av_klimat*VLOOKUP($A360,Leveranser_per_nät,'Leveranser per nät'!S$1,FALSE)/VLOOKUP($B360,Korrigeringsfaktor_GD,'Korrigeringsfaktor GD'!S$1,FALSE),
"")</f>
        <v>31.560784313725488</v>
      </c>
      <c r="T360" s="18">
        <f>IFERROR(
                  Andel_oberoende_av_klimat*VLOOKUP($A360,Leveranser_per_nät,'Leveranser per nät'!T$1,FALSE)
               +Andel_beroende_av_klimat*VLOOKUP($A360,Leveranser_per_nät,'Leveranser per nät'!T$1,FALSE)/VLOOKUP($B360,Korrigeringsfaktor_GD,'Korrigeringsfaktor GD'!T$1,FALSE),
"")</f>
        <v>30.921508510638304</v>
      </c>
      <c r="U360" s="18">
        <f>IFERROR(
                  Andel_oberoende_av_klimat*VLOOKUP($A360,Leveranser_per_nät,'Leveranser per nät'!U$1,FALSE)
               +Andel_beroende_av_klimat*VLOOKUP($A360,Leveranser_per_nät,'Leveranser per nät'!U$1,FALSE)/VLOOKUP($B360,Korrigeringsfaktor_GD,'Korrigeringsfaktor GD'!U$1,FALSE),
"")</f>
        <v>30.210111111111111</v>
      </c>
      <c r="V360" s="18">
        <f>IFERROR(
                  Andel_oberoende_av_klimat*VLOOKUP($A360,Leveranser_per_nät,'Leveranser per nät'!V$1,FALSE)
               +Andel_beroende_av_klimat*VLOOKUP($A360,Leveranser_per_nät,'Leveranser per nät'!V$1,FALSE)/VLOOKUP($B360,Korrigeringsfaktor_GD,'Korrigeringsfaktor GD'!V$1,FALSE),
"")</f>
        <v>30.5976</v>
      </c>
      <c r="W360" s="18">
        <f>IFERROR(
                  Andel_oberoende_av_klimat*VLOOKUP($A360,Leveranser_per_nät,'Leveranser per nät'!W$1,FALSE)
               +Andel_beroende_av_klimat*VLOOKUP($A360,Leveranser_per_nät,'Leveranser per nät'!W$1,FALSE)/VLOOKUP($B360,Korrigeringsfaktor_GD,'Korrigeringsfaktor GD'!W$1,FALSE),
"")</f>
        <v>30.998500000000003</v>
      </c>
      <c r="X360" s="18">
        <f>IFERROR(
                  Andel_oberoende_av_klimat*VLOOKUP($A360,Leveranser_per_nät,'Leveranser per nät'!X$1,FALSE)
               +Andel_beroende_av_klimat*VLOOKUP($A360,Leveranser_per_nät,'Leveranser per nät'!X$1,FALSE)/VLOOKUP($B360,Korrigeringsfaktor_GD,'Korrigeringsfaktor GD'!X$1,FALSE),
"")</f>
        <v>30.406257142857143</v>
      </c>
      <c r="Y360" s="18">
        <f>IFERROR(
                  Andel_oberoende_av_klimat*VLOOKUP($A360,Leveranser_per_nät,'Leveranser per nät'!Y$1,FALSE)
               +Andel_beroende_av_klimat*VLOOKUP($A360,Leveranser_per_nät,'Leveranser per nät'!Y$1,FALSE)/VLOOKUP($B360,Korrigeringsfaktor_GD,'Korrigeringsfaktor GD'!Y$1,FALSE),
"")</f>
        <v>31.104385858585857</v>
      </c>
      <c r="Z360" s="18">
        <f>IFERROR(
                  Andel_oberoende_av_klimat*VLOOKUP($A360,Leveranser_per_nät,'Leveranser per nät'!Z$1,FALSE)
               +Andel_beroende_av_klimat*VLOOKUP($A360,Leveranser_per_nät,'Leveranser per nät'!Z$1,FALSE)/VLOOKUP($B360,Korrigeringsfaktor_GD,'Korrigeringsfaktor GD'!Z$1,FALSE),
"")</f>
        <v>34.881225581395348</v>
      </c>
      <c r="AA360" s="18">
        <f>IFERROR(
                  Andel_oberoende_av_klimat*VLOOKUP($A360,Leveranser_per_nät,'Leveranser per nät'!AA$1,FALSE)
               +Andel_beroende_av_klimat*VLOOKUP($A360,Leveranser_per_nät,'Leveranser per nät'!AA$1,FALSE)/VLOOKUP($B360,Korrigeringsfaktor_GD,'Korrigeringsfaktor GD'!AA$1,FALSE),
"")</f>
        <v>30.963141767068279</v>
      </c>
      <c r="AB360" s="18">
        <f>IFERROR(
                  Andel_oberoende_av_klimat*VLOOKUP($A360,Leveranser_per_nät,'Leveranser per nät'!AB$1,FALSE)
               +Andel_beroende_av_klimat*VLOOKUP($A360,Leveranser_per_nät,'Leveranser per nät'!AB$1,FALSE)/VLOOKUP($B360,Korrigeringsfaktor_GD,'Korrigeringsfaktor GD'!AB$1,FALSE),
"")</f>
        <v>30.997883849167486</v>
      </c>
      <c r="AC360" s="18">
        <f>IFERROR(
                  Andel_oberoende_av_klimat*VLOOKUP($A360,Leveranser_per_nät,'Leveranser per nät'!AC$1,FALSE)
               +Andel_beroende_av_klimat*VLOOKUP($A360,Leveranser_per_nät,'Leveranser per nät'!AC$1,FALSE)/VLOOKUP($B360,Korrigeringsfaktor_GD,'Korrigeringsfaktor GD'!AC$1,FALSE),
"")</f>
        <v>30.536048691099477</v>
      </c>
      <c r="AD360">
        <v>29.561</v>
      </c>
    </row>
    <row r="361" spans="1:30" x14ac:dyDescent="0.25">
      <c r="A361" t="s">
        <v>343</v>
      </c>
      <c r="B361" t="s">
        <v>335</v>
      </c>
      <c r="C361" s="18">
        <f>IFERROR(
                  Andel_oberoende_av_klimat*VLOOKUP($A361,Leveranser_per_nät,'Leveranser per nät'!C$1,FALSE)
               +Andel_beroende_av_klimat*VLOOKUP($A361,Leveranser_per_nät,'Leveranser per nät'!C$1,FALSE)/VLOOKUP($B361,Korrigeringsfaktor_GD,'Korrigeringsfaktor GD'!C$1,FALSE),
"")</f>
        <v>0</v>
      </c>
      <c r="D361" s="18">
        <f>IFERROR(
                  Andel_oberoende_av_klimat*VLOOKUP($A361,Leveranser_per_nät,'Leveranser per nät'!D$1,FALSE)
               +Andel_beroende_av_klimat*VLOOKUP($A361,Leveranser_per_nät,'Leveranser per nät'!D$1,FALSE)/VLOOKUP($B361,Korrigeringsfaktor_GD,'Korrigeringsfaktor GD'!D$1,FALSE),
"")</f>
        <v>0</v>
      </c>
      <c r="E361" s="18">
        <f>IFERROR(
                  Andel_oberoende_av_klimat*VLOOKUP($A361,Leveranser_per_nät,'Leveranser per nät'!E$1,FALSE)
               +Andel_beroende_av_klimat*VLOOKUP($A361,Leveranser_per_nät,'Leveranser per nät'!E$1,FALSE)/VLOOKUP($B361,Korrigeringsfaktor_GD,'Korrigeringsfaktor GD'!E$1,FALSE),
"")</f>
        <v>13.807843137254903</v>
      </c>
      <c r="F361" s="18">
        <f>IFERROR(
                  Andel_oberoende_av_klimat*VLOOKUP($A361,Leveranser_per_nät,'Leveranser per nät'!F$1,FALSE)
               +Andel_beroende_av_klimat*VLOOKUP($A361,Leveranser_per_nät,'Leveranser per nät'!F$1,FALSE)/VLOOKUP($B361,Korrigeringsfaktor_GD,'Korrigeringsfaktor GD'!F$1,FALSE),
"")</f>
        <v>14.625531914893617</v>
      </c>
      <c r="G361" s="18">
        <f>IFERROR(
                  Andel_oberoende_av_klimat*VLOOKUP($A361,Leveranser_per_nät,'Leveranser per nät'!G$1,FALSE)
               +Andel_beroende_av_klimat*VLOOKUP($A361,Leveranser_per_nät,'Leveranser per nät'!G$1,FALSE)/VLOOKUP($B361,Korrigeringsfaktor_GD,'Korrigeringsfaktor GD'!G$1,FALSE),
"")</f>
        <v>0</v>
      </c>
      <c r="H361" s="18">
        <f>IFERROR(
                  Andel_oberoende_av_klimat*VLOOKUP($A361,Leveranser_per_nät,'Leveranser per nät'!H$1,FALSE)
               +Andel_beroende_av_klimat*VLOOKUP($A361,Leveranser_per_nät,'Leveranser per nät'!H$1,FALSE)/VLOOKUP($B361,Korrigeringsfaktor_GD,'Korrigeringsfaktor GD'!H$1,FALSE),
"")</f>
        <v>0</v>
      </c>
      <c r="I361" s="18">
        <f>IFERROR(
                  Andel_oberoende_av_klimat*VLOOKUP($A361,Leveranser_per_nät,'Leveranser per nät'!I$1,FALSE)
               +Andel_beroende_av_klimat*VLOOKUP($A361,Leveranser_per_nät,'Leveranser per nät'!I$1,FALSE)/VLOOKUP($B361,Korrigeringsfaktor_GD,'Korrigeringsfaktor GD'!I$1,FALSE),
"")</f>
        <v>14.303092783505155</v>
      </c>
      <c r="J361" s="18">
        <f>IFERROR(
                  Andel_oberoende_av_klimat*VLOOKUP($A361,Leveranser_per_nät,'Leveranser per nät'!J$1,FALSE)
               +Andel_beroende_av_klimat*VLOOKUP($A361,Leveranser_per_nät,'Leveranser per nät'!J$1,FALSE)/VLOOKUP($B361,Korrigeringsfaktor_GD,'Korrigeringsfaktor GD'!J$1,FALSE),
"")</f>
        <v>16.209300000000002</v>
      </c>
      <c r="K361" s="18">
        <f>IFERROR(
                  Andel_oberoende_av_klimat*VLOOKUP($A361,Leveranser_per_nät,'Leveranser per nät'!K$1,FALSE)
               +Andel_beroende_av_klimat*VLOOKUP($A361,Leveranser_per_nät,'Leveranser per nät'!K$1,FALSE)/VLOOKUP($B361,Korrigeringsfaktor_GD,'Korrigeringsfaktor GD'!K$1,FALSE),
"")</f>
        <v>17.485570411114892</v>
      </c>
      <c r="L361" s="18">
        <f>IFERROR(
                  Andel_oberoende_av_klimat*VLOOKUP($A361,Leveranser_per_nät,'Leveranser per nät'!L$1,FALSE)
               +Andel_beroende_av_klimat*VLOOKUP($A361,Leveranser_per_nät,'Leveranser per nät'!L$1,FALSE)/VLOOKUP($B361,Korrigeringsfaktor_GD,'Korrigeringsfaktor GD'!L$1,FALSE),
"")</f>
        <v>17.874426684156735</v>
      </c>
      <c r="M361" s="18">
        <f>IFERROR(
                  Andel_oberoende_av_klimat*VLOOKUP($A361,Leveranser_per_nät,'Leveranser per nät'!M$1,FALSE)
               +Andel_beroende_av_klimat*VLOOKUP($A361,Leveranser_per_nät,'Leveranser per nät'!M$1,FALSE)/VLOOKUP($B361,Korrigeringsfaktor_GD,'Korrigeringsfaktor GD'!M$1,FALSE),
"")</f>
        <v>17.126678260869564</v>
      </c>
      <c r="N361" s="18">
        <f>IFERROR(
                  Andel_oberoende_av_klimat*VLOOKUP($A361,Leveranser_per_nät,'Leveranser per nät'!N$1,FALSE)
               +Andel_beroende_av_klimat*VLOOKUP($A361,Leveranser_per_nät,'Leveranser per nät'!N$1,FALSE)/VLOOKUP($B361,Korrigeringsfaktor_GD,'Korrigeringsfaktor GD'!N$1,FALSE),
"")</f>
        <v>15.064347826086955</v>
      </c>
      <c r="O361" s="18">
        <f>IFERROR(
                  Andel_oberoende_av_klimat*VLOOKUP($A361,Leveranser_per_nät,'Leveranser per nät'!O$1,FALSE)
               +Andel_beroende_av_klimat*VLOOKUP($A361,Leveranser_per_nät,'Leveranser per nät'!O$1,FALSE)/VLOOKUP($B361,Korrigeringsfaktor_GD,'Korrigeringsfaktor GD'!O$1,FALSE),
"")</f>
        <v>15.537191011235956</v>
      </c>
      <c r="P361" s="18">
        <f>IFERROR(
                  Andel_oberoende_av_klimat*VLOOKUP($A361,Leveranser_per_nät,'Leveranser per nät'!P$1,FALSE)
               +Andel_beroende_av_klimat*VLOOKUP($A361,Leveranser_per_nät,'Leveranser per nät'!P$1,FALSE)/VLOOKUP($B361,Korrigeringsfaktor_GD,'Korrigeringsfaktor GD'!P$1,FALSE),
"")</f>
        <v>14.916082474226805</v>
      </c>
      <c r="Q361" s="18">
        <f>IFERROR(
                  Andel_oberoende_av_klimat*VLOOKUP($A361,Leveranser_per_nät,'Leveranser per nät'!Q$1,FALSE)
               +Andel_beroende_av_klimat*VLOOKUP($A361,Leveranser_per_nät,'Leveranser per nät'!Q$1,FALSE)/VLOOKUP($B361,Korrigeringsfaktor_GD,'Korrigeringsfaktor GD'!Q$1,FALSE),
"")</f>
        <v>14.157034482758622</v>
      </c>
      <c r="R361" s="18">
        <f>IFERROR(
                  Andel_oberoende_av_klimat*VLOOKUP($A361,Leveranser_per_nät,'Leveranser per nät'!R$1,FALSE)
               +Andel_beroende_av_klimat*VLOOKUP($A361,Leveranser_per_nät,'Leveranser per nät'!R$1,FALSE)/VLOOKUP($B361,Korrigeringsfaktor_GD,'Korrigeringsfaktor GD'!R$1,FALSE),
"")</f>
        <v>14.657777777777778</v>
      </c>
      <c r="S361" s="18">
        <f>IFERROR(
                  Andel_oberoende_av_klimat*VLOOKUP($A361,Leveranser_per_nät,'Leveranser per nät'!S$1,FALSE)
               +Andel_beroende_av_klimat*VLOOKUP($A361,Leveranser_per_nät,'Leveranser per nät'!S$1,FALSE)/VLOOKUP($B361,Korrigeringsfaktor_GD,'Korrigeringsfaktor GD'!S$1,FALSE),
"")</f>
        <v>14.7</v>
      </c>
      <c r="T361" s="18">
        <f>IFERROR(
                  Andel_oberoende_av_klimat*VLOOKUP($A361,Leveranser_per_nät,'Leveranser per nät'!T$1,FALSE)
               +Andel_beroende_av_klimat*VLOOKUP($A361,Leveranser_per_nät,'Leveranser per nät'!T$1,FALSE)/VLOOKUP($B361,Korrigeringsfaktor_GD,'Korrigeringsfaktor GD'!T$1,FALSE),
"")</f>
        <v>15.241578947368421</v>
      </c>
      <c r="U361" s="18">
        <f>IFERROR(
                  Andel_oberoende_av_klimat*VLOOKUP($A361,Leveranser_per_nät,'Leveranser per nät'!U$1,FALSE)
               +Andel_beroende_av_klimat*VLOOKUP($A361,Leveranser_per_nät,'Leveranser per nät'!U$1,FALSE)/VLOOKUP($B361,Korrigeringsfaktor_GD,'Korrigeringsfaktor GD'!U$1,FALSE),
"")</f>
        <v>14.830955056179775</v>
      </c>
      <c r="V361" s="18">
        <f>IFERROR(
                  Andel_oberoende_av_klimat*VLOOKUP($A361,Leveranser_per_nät,'Leveranser per nät'!V$1,FALSE)
               +Andel_beroende_av_klimat*VLOOKUP($A361,Leveranser_per_nät,'Leveranser per nät'!V$1,FALSE)/VLOOKUP($B361,Korrigeringsfaktor_GD,'Korrigeringsfaktor GD'!V$1,FALSE),
"")</f>
        <v>14.667977528089887</v>
      </c>
      <c r="W361" s="18">
        <f>IFERROR(
                  Andel_oberoende_av_klimat*VLOOKUP($A361,Leveranser_per_nät,'Leveranser per nät'!W$1,FALSE)
               +Andel_beroende_av_klimat*VLOOKUP($A361,Leveranser_per_nät,'Leveranser per nät'!W$1,FALSE)/VLOOKUP($B361,Korrigeringsfaktor_GD,'Korrigeringsfaktor GD'!W$1,FALSE),
"")</f>
        <v>14.621838709677419</v>
      </c>
      <c r="X361" s="18">
        <f>IFERROR(
                  Andel_oberoende_av_klimat*VLOOKUP($A361,Leveranser_per_nät,'Leveranser per nät'!X$1,FALSE)
               +Andel_beroende_av_klimat*VLOOKUP($A361,Leveranser_per_nät,'Leveranser per nät'!X$1,FALSE)/VLOOKUP($B361,Korrigeringsfaktor_GD,'Korrigeringsfaktor GD'!X$1,FALSE),
"")</f>
        <v>14.625531914893617</v>
      </c>
      <c r="Y361" s="18">
        <f>IFERROR(
                  Andel_oberoende_av_klimat*VLOOKUP($A361,Leveranser_per_nät,'Leveranser per nät'!Y$1,FALSE)
               +Andel_beroende_av_klimat*VLOOKUP($A361,Leveranser_per_nät,'Leveranser per nät'!Y$1,FALSE)/VLOOKUP($B361,Korrigeringsfaktor_GD,'Korrigeringsfaktor GD'!Y$1,FALSE),
"")</f>
        <v>14.905217391304348</v>
      </c>
      <c r="Z361" s="18">
        <f>IFERROR(
                  Andel_oberoende_av_klimat*VLOOKUP($A361,Leveranser_per_nät,'Leveranser per nät'!Z$1,FALSE)
               +Andel_beroende_av_klimat*VLOOKUP($A361,Leveranser_per_nät,'Leveranser per nät'!Z$1,FALSE)/VLOOKUP($B361,Korrigeringsfaktor_GD,'Korrigeringsfaktor GD'!Z$1,FALSE),
"")</f>
        <v>15.751540909090908</v>
      </c>
      <c r="AA361" s="18">
        <f>IFERROR(
                  Andel_oberoende_av_klimat*VLOOKUP($A361,Leveranser_per_nät,'Leveranser per nät'!AA$1,FALSE)
               +Andel_beroende_av_klimat*VLOOKUP($A361,Leveranser_per_nät,'Leveranser per nät'!AA$1,FALSE)/VLOOKUP($B361,Korrigeringsfaktor_GD,'Korrigeringsfaktor GD'!AA$1,FALSE),
"")</f>
        <v>15.933079986940909</v>
      </c>
      <c r="AB361" s="18">
        <f>IFERROR(
                  Andel_oberoende_av_klimat*VLOOKUP($A361,Leveranser_per_nät,'Leveranser per nät'!AB$1,FALSE)
               +Andel_beroende_av_klimat*VLOOKUP($A361,Leveranser_per_nät,'Leveranser per nät'!AB$1,FALSE)/VLOOKUP($B361,Korrigeringsfaktor_GD,'Korrigeringsfaktor GD'!AB$1,FALSE),
"")</f>
        <v>14.239000000000001</v>
      </c>
      <c r="AC361" s="18">
        <f>IFERROR(
                  Andel_oberoende_av_klimat*VLOOKUP($A361,Leveranser_per_nät,'Leveranser per nät'!AC$1,FALSE)
               +Andel_beroende_av_klimat*VLOOKUP($A361,Leveranser_per_nät,'Leveranser per nät'!AC$1,FALSE)/VLOOKUP($B361,Korrigeringsfaktor_GD,'Korrigeringsfaktor GD'!AC$1,FALSE),
"")</f>
        <v>13.770490040485829</v>
      </c>
      <c r="AD361">
        <v>1157.2149999999999</v>
      </c>
    </row>
    <row r="362" spans="1:30" x14ac:dyDescent="0.25">
      <c r="A362" t="s">
        <v>285</v>
      </c>
      <c r="B362" t="s">
        <v>285</v>
      </c>
      <c r="C362" s="18">
        <f>IFERROR(
                  Andel_oberoende_av_klimat*VLOOKUP($A362,Leveranser_per_nät,'Leveranser per nät'!C$1,FALSE)
               +Andel_beroende_av_klimat*VLOOKUP($A362,Leveranser_per_nät,'Leveranser per nät'!C$1,FALSE)/VLOOKUP($B362,Korrigeringsfaktor_GD,'Korrigeringsfaktor GD'!C$1,FALSE),
"")</f>
        <v>0</v>
      </c>
      <c r="D362" s="18">
        <f>IFERROR(
                  Andel_oberoende_av_klimat*VLOOKUP($A362,Leveranser_per_nät,'Leveranser per nät'!D$1,FALSE)
               +Andel_beroende_av_klimat*VLOOKUP($A362,Leveranser_per_nät,'Leveranser per nät'!D$1,FALSE)/VLOOKUP($B362,Korrigeringsfaktor_GD,'Korrigeringsfaktor GD'!D$1,FALSE),
"")</f>
        <v>0</v>
      </c>
      <c r="E362" s="18">
        <f>IFERROR(
                  Andel_oberoende_av_klimat*VLOOKUP($A362,Leveranser_per_nät,'Leveranser per nät'!E$1,FALSE)
               +Andel_beroende_av_klimat*VLOOKUP($A362,Leveranser_per_nät,'Leveranser per nät'!E$1,FALSE)/VLOOKUP($B362,Korrigeringsfaktor_GD,'Korrigeringsfaktor GD'!E$1,FALSE),
"")</f>
        <v>0</v>
      </c>
      <c r="F362" s="18">
        <f>IFERROR(
                  Andel_oberoende_av_klimat*VLOOKUP($A362,Leveranser_per_nät,'Leveranser per nät'!F$1,FALSE)
               +Andel_beroende_av_klimat*VLOOKUP($A362,Leveranser_per_nät,'Leveranser per nät'!F$1,FALSE)/VLOOKUP($B362,Korrigeringsfaktor_GD,'Korrigeringsfaktor GD'!F$1,FALSE),
"")</f>
        <v>0</v>
      </c>
      <c r="G362" s="18">
        <f>IFERROR(
                  Andel_oberoende_av_klimat*VLOOKUP($A362,Leveranser_per_nät,'Leveranser per nät'!G$1,FALSE)
               +Andel_beroende_av_klimat*VLOOKUP($A362,Leveranser_per_nät,'Leveranser per nät'!G$1,FALSE)/VLOOKUP($B362,Korrigeringsfaktor_GD,'Korrigeringsfaktor GD'!G$1,FALSE),
"")</f>
        <v>0</v>
      </c>
      <c r="H362" s="18">
        <f>IFERROR(
                  Andel_oberoende_av_klimat*VLOOKUP($A362,Leveranser_per_nät,'Leveranser per nät'!H$1,FALSE)
               +Andel_beroende_av_klimat*VLOOKUP($A362,Leveranser_per_nät,'Leveranser per nät'!H$1,FALSE)/VLOOKUP($B362,Korrigeringsfaktor_GD,'Korrigeringsfaktor GD'!H$1,FALSE),
"")</f>
        <v>67.473737373737379</v>
      </c>
      <c r="I362" s="18">
        <f>IFERROR(
                  Andel_oberoende_av_klimat*VLOOKUP($A362,Leveranser_per_nät,'Leveranser per nät'!I$1,FALSE)
               +Andel_beroende_av_klimat*VLOOKUP($A362,Leveranser_per_nät,'Leveranser per nät'!I$1,FALSE)/VLOOKUP($B362,Korrigeringsfaktor_GD,'Korrigeringsfaktor GD'!I$1,FALSE),
"")</f>
        <v>83.775257731958774</v>
      </c>
      <c r="J362" s="18">
        <f>IFERROR(
                  Andel_oberoende_av_klimat*VLOOKUP($A362,Leveranser_per_nät,'Leveranser per nät'!J$1,FALSE)
               +Andel_beroende_av_klimat*VLOOKUP($A362,Leveranser_per_nät,'Leveranser per nät'!J$1,FALSE)/VLOOKUP($B362,Korrigeringsfaktor_GD,'Korrigeringsfaktor GD'!J$1,FALSE),
"")</f>
        <v>96.678787878787858</v>
      </c>
      <c r="K362" s="18">
        <f>IFERROR(
                  Andel_oberoende_av_klimat*VLOOKUP($A362,Leveranser_per_nät,'Leveranser per nät'!K$1,FALSE)
               +Andel_beroende_av_klimat*VLOOKUP($A362,Leveranser_per_nät,'Leveranser per nät'!K$1,FALSE)/VLOOKUP($B362,Korrigeringsfaktor_GD,'Korrigeringsfaktor GD'!K$1,FALSE),
"")</f>
        <v>86.608080808080814</v>
      </c>
      <c r="L362" s="18">
        <f>IFERROR(
                  Andel_oberoende_av_klimat*VLOOKUP($A362,Leveranser_per_nät,'Leveranser per nät'!L$1,FALSE)
               +Andel_beroende_av_klimat*VLOOKUP($A362,Leveranser_per_nät,'Leveranser per nät'!L$1,FALSE)/VLOOKUP($B362,Korrigeringsfaktor_GD,'Korrigeringsfaktor GD'!L$1,FALSE),
"")</f>
        <v>88.199583333333337</v>
      </c>
      <c r="M362" s="18">
        <f>IFERROR(
                  Andel_oberoende_av_klimat*VLOOKUP($A362,Leveranser_per_nät,'Leveranser per nät'!M$1,FALSE)
               +Andel_beroende_av_klimat*VLOOKUP($A362,Leveranser_per_nät,'Leveranser per nät'!M$1,FALSE)/VLOOKUP($B362,Korrigeringsfaktor_GD,'Korrigeringsfaktor GD'!M$1,FALSE),
"")</f>
        <v>90.215376344086025</v>
      </c>
      <c r="N362" s="18">
        <f>IFERROR(
                  Andel_oberoende_av_klimat*VLOOKUP($A362,Leveranser_per_nät,'Leveranser per nät'!N$1,FALSE)
               +Andel_beroende_av_klimat*VLOOKUP($A362,Leveranser_per_nät,'Leveranser per nät'!N$1,FALSE)/VLOOKUP($B362,Korrigeringsfaktor_GD,'Korrigeringsfaktor GD'!N$1,FALSE),
"")</f>
        <v>90.215376344086025</v>
      </c>
      <c r="O362" s="18">
        <f>IFERROR(
                  Andel_oberoende_av_klimat*VLOOKUP($A362,Leveranser_per_nät,'Leveranser per nät'!O$1,FALSE)
               +Andel_beroende_av_klimat*VLOOKUP($A362,Leveranser_per_nät,'Leveranser per nät'!O$1,FALSE)/VLOOKUP($B362,Korrigeringsfaktor_GD,'Korrigeringsfaktor GD'!O$1,FALSE),
"")</f>
        <v>111.58528089887641</v>
      </c>
      <c r="P362" s="18">
        <f>IFERROR(
                  Andel_oberoende_av_klimat*VLOOKUP($A362,Leveranser_per_nät,'Leveranser per nät'!P$1,FALSE)
               +Andel_beroende_av_klimat*VLOOKUP($A362,Leveranser_per_nät,'Leveranser per nät'!P$1,FALSE)/VLOOKUP($B362,Korrigeringsfaktor_GD,'Korrigeringsfaktor GD'!P$1,FALSE),
"")</f>
        <v>127.59714285714284</v>
      </c>
      <c r="Q362" s="18">
        <f>IFERROR(
                  Andel_oberoende_av_klimat*VLOOKUP($A362,Leveranser_per_nät,'Leveranser per nät'!Q$1,FALSE)
               +Andel_beroende_av_klimat*VLOOKUP($A362,Leveranser_per_nät,'Leveranser per nät'!Q$1,FALSE)/VLOOKUP($B362,Korrigeringsfaktor_GD,'Korrigeringsfaktor GD'!Q$1,FALSE),
"")</f>
        <v>129.85060085470084</v>
      </c>
      <c r="R362" s="18">
        <f>IFERROR(
                  Andel_oberoende_av_klimat*VLOOKUP($A362,Leveranser_per_nät,'Leveranser per nät'!R$1,FALSE)
               +Andel_beroende_av_klimat*VLOOKUP($A362,Leveranser_per_nät,'Leveranser per nät'!R$1,FALSE)/VLOOKUP($B362,Korrigeringsfaktor_GD,'Korrigeringsfaktor GD'!R$1,FALSE),
"")</f>
        <v>160.81230769230771</v>
      </c>
      <c r="S362" s="18">
        <f>IFERROR(
                  Andel_oberoende_av_klimat*VLOOKUP($A362,Leveranser_per_nät,'Leveranser per nät'!S$1,FALSE)
               +Andel_beroende_av_klimat*VLOOKUP($A362,Leveranser_per_nät,'Leveranser per nät'!S$1,FALSE)/VLOOKUP($B362,Korrigeringsfaktor_GD,'Korrigeringsfaktor GD'!S$1,FALSE),
"")</f>
        <v>148.96039603960398</v>
      </c>
      <c r="T362" s="18">
        <f>IFERROR(
                  Andel_oberoende_av_klimat*VLOOKUP($A362,Leveranser_per_nät,'Leveranser per nät'!T$1,FALSE)
               +Andel_beroende_av_klimat*VLOOKUP($A362,Leveranser_per_nät,'Leveranser per nät'!T$1,FALSE)/VLOOKUP($B362,Korrigeringsfaktor_GD,'Korrigeringsfaktor GD'!T$1,FALSE),
"")</f>
        <v>153.15240927835055</v>
      </c>
      <c r="U362" s="18">
        <f>IFERROR(
                  Andel_oberoende_av_klimat*VLOOKUP($A362,Leveranser_per_nät,'Leveranser per nät'!U$1,FALSE)
               +Andel_beroende_av_klimat*VLOOKUP($A362,Leveranser_per_nät,'Leveranser per nät'!U$1,FALSE)/VLOOKUP($B362,Korrigeringsfaktor_GD,'Korrigeringsfaktor GD'!U$1,FALSE),
"")</f>
        <v>149.20090909090908</v>
      </c>
      <c r="V362" s="18">
        <f>IFERROR(
                  Andel_oberoende_av_klimat*VLOOKUP($A362,Leveranser_per_nät,'Leveranser per nät'!V$1,FALSE)
               +Andel_beroende_av_klimat*VLOOKUP($A362,Leveranser_per_nät,'Leveranser per nät'!V$1,FALSE)/VLOOKUP($B362,Korrigeringsfaktor_GD,'Korrigeringsfaktor GD'!V$1,FALSE),
"")</f>
        <v>134.67697674418605</v>
      </c>
      <c r="W362" s="18">
        <f>IFERROR(
                  Andel_oberoende_av_klimat*VLOOKUP($A362,Leveranser_per_nät,'Leveranser per nät'!W$1,FALSE)
               +Andel_beroende_av_klimat*VLOOKUP($A362,Leveranser_per_nät,'Leveranser per nät'!W$1,FALSE)/VLOOKUP($B362,Korrigeringsfaktor_GD,'Korrigeringsfaktor GD'!W$1,FALSE),
"")</f>
        <v>157.16782608695652</v>
      </c>
      <c r="X362" s="18">
        <f>IFERROR(
                  Andel_oberoende_av_klimat*VLOOKUP($A362,Leveranser_per_nät,'Leveranser per nät'!X$1,FALSE)
               +Andel_beroende_av_klimat*VLOOKUP($A362,Leveranser_per_nät,'Leveranser per nät'!X$1,FALSE)/VLOOKUP($B362,Korrigeringsfaktor_GD,'Korrigeringsfaktor GD'!X$1,FALSE),
"")</f>
        <v>137.9232846153846</v>
      </c>
      <c r="Y362" s="18">
        <f>IFERROR(
                  Andel_oberoende_av_klimat*VLOOKUP($A362,Leveranser_per_nät,'Leveranser per nät'!Y$1,FALSE)
               +Andel_beroende_av_klimat*VLOOKUP($A362,Leveranser_per_nät,'Leveranser per nät'!Y$1,FALSE)/VLOOKUP($B362,Korrigeringsfaktor_GD,'Korrigeringsfaktor GD'!Y$1,FALSE),
"")</f>
        <v>159.71313846153848</v>
      </c>
      <c r="Z362" s="18">
        <f>IFERROR(
                  Andel_oberoende_av_klimat*VLOOKUP($A362,Leveranser_per_nät,'Leveranser per nät'!Z$1,FALSE)
               +Andel_beroende_av_klimat*VLOOKUP($A362,Leveranser_per_nät,'Leveranser per nät'!Z$1,FALSE)/VLOOKUP($B362,Korrigeringsfaktor_GD,'Korrigeringsfaktor GD'!Z$1,FALSE),
"")</f>
        <v>167.74631176470587</v>
      </c>
      <c r="AA362" s="18">
        <f>IFERROR(
                  Andel_oberoende_av_klimat*VLOOKUP($A362,Leveranser_per_nät,'Leveranser per nät'!AA$1,FALSE)
               +Andel_beroende_av_klimat*VLOOKUP($A362,Leveranser_per_nät,'Leveranser per nät'!AA$1,FALSE)/VLOOKUP($B362,Korrigeringsfaktor_GD,'Korrigeringsfaktor GD'!AA$1,FALSE),
"")</f>
        <v>164.20891150125402</v>
      </c>
      <c r="AB362" s="18">
        <f>IFERROR(
                  Andel_oberoende_av_klimat*VLOOKUP($A362,Leveranser_per_nät,'Leveranser per nät'!AB$1,FALSE)
               +Andel_beroende_av_klimat*VLOOKUP($A362,Leveranser_per_nät,'Leveranser per nät'!AB$1,FALSE)/VLOOKUP($B362,Korrigeringsfaktor_GD,'Korrigeringsfaktor GD'!AB$1,FALSE),
"")</f>
        <v>160.41406023391815</v>
      </c>
      <c r="AC362" s="18">
        <f>IFERROR(
                  Andel_oberoende_av_klimat*VLOOKUP($A362,Leveranser_per_nät,'Leveranser per nät'!AC$1,FALSE)
               +Andel_beroende_av_klimat*VLOOKUP($A362,Leveranser_per_nät,'Leveranser per nät'!AC$1,FALSE)/VLOOKUP($B362,Korrigeringsfaktor_GD,'Korrigeringsfaktor GD'!AC$1,FALSE),
"")</f>
        <v>143.56386438356165</v>
      </c>
      <c r="AD362">
        <v>138.35900000000001</v>
      </c>
    </row>
    <row r="363" spans="1:30" x14ac:dyDescent="0.25">
      <c r="A363" s="3" t="s">
        <v>495</v>
      </c>
      <c r="B363" t="s">
        <v>82</v>
      </c>
      <c r="C363" s="18">
        <f>IFERROR(
                  Andel_oberoende_av_klimat*VLOOKUP($A363,Leveranser_per_nät,'Leveranser per nät'!C$1,FALSE)
               +Andel_beroende_av_klimat*VLOOKUP($A363,Leveranser_per_nät,'Leveranser per nät'!C$1,FALSE)/VLOOKUP($B363,Korrigeringsfaktor_GD,'Korrigeringsfaktor GD'!C$1,FALSE),
"")</f>
        <v>0</v>
      </c>
      <c r="D363" s="18">
        <f>IFERROR(
                  Andel_oberoende_av_klimat*VLOOKUP($A363,Leveranser_per_nät,'Leveranser per nät'!D$1,FALSE)
               +Andel_beroende_av_klimat*VLOOKUP($A363,Leveranser_per_nät,'Leveranser per nät'!D$1,FALSE)/VLOOKUP($B363,Korrigeringsfaktor_GD,'Korrigeringsfaktor GD'!D$1,FALSE),
"")</f>
        <v>0</v>
      </c>
      <c r="E363" s="18">
        <f>IFERROR(
                  Andel_oberoende_av_klimat*VLOOKUP($A363,Leveranser_per_nät,'Leveranser per nät'!E$1,FALSE)
               +Andel_beroende_av_klimat*VLOOKUP($A363,Leveranser_per_nät,'Leveranser per nät'!E$1,FALSE)/VLOOKUP($B363,Korrigeringsfaktor_GD,'Korrigeringsfaktor GD'!E$1,FALSE),
"")</f>
        <v>0</v>
      </c>
      <c r="F363" s="18">
        <f>IFERROR(
                  Andel_oberoende_av_klimat*VLOOKUP($A363,Leveranser_per_nät,'Leveranser per nät'!F$1,FALSE)
               +Andel_beroende_av_klimat*VLOOKUP($A363,Leveranser_per_nät,'Leveranser per nät'!F$1,FALSE)/VLOOKUP($B363,Korrigeringsfaktor_GD,'Korrigeringsfaktor GD'!F$1,FALSE),
"")</f>
        <v>0</v>
      </c>
      <c r="G363" s="18">
        <f>IFERROR(
                  Andel_oberoende_av_klimat*VLOOKUP($A363,Leveranser_per_nät,'Leveranser per nät'!G$1,FALSE)
               +Andel_beroende_av_klimat*VLOOKUP($A363,Leveranser_per_nät,'Leveranser per nät'!G$1,FALSE)/VLOOKUP($B363,Korrigeringsfaktor_GD,'Korrigeringsfaktor GD'!G$1,FALSE),
"")</f>
        <v>0</v>
      </c>
      <c r="H363" s="18">
        <f>IFERROR(
                  Andel_oberoende_av_klimat*VLOOKUP($A363,Leveranser_per_nät,'Leveranser per nät'!H$1,FALSE)
               +Andel_beroende_av_klimat*VLOOKUP($A363,Leveranser_per_nät,'Leveranser per nät'!H$1,FALSE)/VLOOKUP($B363,Korrigeringsfaktor_GD,'Korrigeringsfaktor GD'!H$1,FALSE),
"")</f>
        <v>0</v>
      </c>
      <c r="I363" s="18">
        <f>IFERROR(
                  Andel_oberoende_av_klimat*VLOOKUP($A363,Leveranser_per_nät,'Leveranser per nät'!I$1,FALSE)
               +Andel_beroende_av_klimat*VLOOKUP($A363,Leveranser_per_nät,'Leveranser per nät'!I$1,FALSE)/VLOOKUP($B363,Korrigeringsfaktor_GD,'Korrigeringsfaktor GD'!I$1,FALSE),
"")</f>
        <v>0</v>
      </c>
      <c r="J363" s="18">
        <f>IFERROR(
                  Andel_oberoende_av_klimat*VLOOKUP($A363,Leveranser_per_nät,'Leveranser per nät'!J$1,FALSE)
               +Andel_beroende_av_klimat*VLOOKUP($A363,Leveranser_per_nät,'Leveranser per nät'!J$1,FALSE)/VLOOKUP($B363,Korrigeringsfaktor_GD,'Korrigeringsfaktor GD'!J$1,FALSE),
"")</f>
        <v>0</v>
      </c>
      <c r="K363" s="18">
        <f>IFERROR(
                  Andel_oberoende_av_klimat*VLOOKUP($A363,Leveranser_per_nät,'Leveranser per nät'!K$1,FALSE)
               +Andel_beroende_av_klimat*VLOOKUP($A363,Leveranser_per_nät,'Leveranser per nät'!K$1,FALSE)/VLOOKUP($B363,Korrigeringsfaktor_GD,'Korrigeringsfaktor GD'!K$1,FALSE),
"")</f>
        <v>0</v>
      </c>
      <c r="L363" s="18">
        <f>IFERROR(
                  Andel_oberoende_av_klimat*VLOOKUP($A363,Leveranser_per_nät,'Leveranser per nät'!L$1,FALSE)
               +Andel_beroende_av_klimat*VLOOKUP($A363,Leveranser_per_nät,'Leveranser per nät'!L$1,FALSE)/VLOOKUP($B363,Korrigeringsfaktor_GD,'Korrigeringsfaktor GD'!L$1,FALSE),
"")</f>
        <v>0</v>
      </c>
      <c r="M363" s="18">
        <f>IFERROR(
                  Andel_oberoende_av_klimat*VLOOKUP($A363,Leveranser_per_nät,'Leveranser per nät'!M$1,FALSE)
               +Andel_beroende_av_klimat*VLOOKUP($A363,Leveranser_per_nät,'Leveranser per nät'!M$1,FALSE)/VLOOKUP($B363,Korrigeringsfaktor_GD,'Korrigeringsfaktor GD'!M$1,FALSE),
"")</f>
        <v>0</v>
      </c>
      <c r="N363" s="18">
        <f>IFERROR(
                  Andel_oberoende_av_klimat*VLOOKUP($A363,Leveranser_per_nät,'Leveranser per nät'!N$1,FALSE)
               +Andel_beroende_av_klimat*VLOOKUP($A363,Leveranser_per_nät,'Leveranser per nät'!N$1,FALSE)/VLOOKUP($B363,Korrigeringsfaktor_GD,'Korrigeringsfaktor GD'!N$1,FALSE),
"")</f>
        <v>0</v>
      </c>
      <c r="O363" s="18">
        <f>IFERROR(
                  Andel_oberoende_av_klimat*VLOOKUP($A363,Leveranser_per_nät,'Leveranser per nät'!O$1,FALSE)
               +Andel_beroende_av_klimat*VLOOKUP($A363,Leveranser_per_nät,'Leveranser per nät'!O$1,FALSE)/VLOOKUP($B363,Korrigeringsfaktor_GD,'Korrigeringsfaktor GD'!O$1,FALSE),
"")</f>
        <v>0</v>
      </c>
      <c r="P363" s="18">
        <f>IFERROR(
                  Andel_oberoende_av_klimat*VLOOKUP($A363,Leveranser_per_nät,'Leveranser per nät'!P$1,FALSE)
               +Andel_beroende_av_klimat*VLOOKUP($A363,Leveranser_per_nät,'Leveranser per nät'!P$1,FALSE)/VLOOKUP($B363,Korrigeringsfaktor_GD,'Korrigeringsfaktor GD'!P$1,FALSE),
"")</f>
        <v>0</v>
      </c>
      <c r="Q363" s="18">
        <f>IFERROR(
                  Andel_oberoende_av_klimat*VLOOKUP($A363,Leveranser_per_nät,'Leveranser per nät'!Q$1,FALSE)
               +Andel_beroende_av_klimat*VLOOKUP($A363,Leveranser_per_nät,'Leveranser per nät'!Q$1,FALSE)/VLOOKUP($B363,Korrigeringsfaktor_GD,'Korrigeringsfaktor GD'!Q$1,FALSE),
"")</f>
        <v>7.6330434782608707</v>
      </c>
      <c r="R363" s="18">
        <f>IFERROR(
                  Andel_oberoende_av_klimat*VLOOKUP($A363,Leveranser_per_nät,'Leveranser per nät'!R$1,FALSE)
               +Andel_beroende_av_klimat*VLOOKUP($A363,Leveranser_per_nät,'Leveranser per nät'!R$1,FALSE)/VLOOKUP($B363,Korrigeringsfaktor_GD,'Korrigeringsfaktor GD'!R$1,FALSE),
"")</f>
        <v>3.8463470445391303</v>
      </c>
      <c r="S363" s="18">
        <f>IFERROR(
                  Andel_oberoende_av_klimat*VLOOKUP($A363,Leveranser_per_nät,'Leveranser per nät'!S$1,FALSE)
               +Andel_beroende_av_klimat*VLOOKUP($A363,Leveranser_per_nät,'Leveranser per nät'!S$1,FALSE)/VLOOKUP($B363,Korrigeringsfaktor_GD,'Korrigeringsfaktor GD'!S$1,FALSE),
"")</f>
        <v>4.556588235294118</v>
      </c>
      <c r="T363" s="18">
        <f>IFERROR(
                  Andel_oberoende_av_klimat*VLOOKUP($A363,Leveranser_per_nät,'Leveranser per nät'!T$1,FALSE)
               +Andel_beroende_av_klimat*VLOOKUP($A363,Leveranser_per_nät,'Leveranser per nät'!T$1,FALSE)/VLOOKUP($B363,Korrigeringsfaktor_GD,'Korrigeringsfaktor GD'!T$1,FALSE),
"")</f>
        <v>10.272121212121212</v>
      </c>
      <c r="U363" s="18">
        <f>IFERROR(
                  Andel_oberoende_av_klimat*VLOOKUP($A363,Leveranser_per_nät,'Leveranser per nät'!U$1,FALSE)
               +Andel_beroende_av_klimat*VLOOKUP($A363,Leveranser_per_nät,'Leveranser per nät'!U$1,FALSE)/VLOOKUP($B363,Korrigeringsfaktor_GD,'Korrigeringsfaktor GD'!U$1,FALSE),
"")</f>
        <v>10.336470588235294</v>
      </c>
      <c r="V363" s="18">
        <f>IFERROR(
                  Andel_oberoende_av_klimat*VLOOKUP($A363,Leveranser_per_nät,'Leveranser per nät'!V$1,FALSE)
               +Andel_beroende_av_klimat*VLOOKUP($A363,Leveranser_per_nät,'Leveranser per nät'!V$1,FALSE)/VLOOKUP($B363,Korrigeringsfaktor_GD,'Korrigeringsfaktor GD'!V$1,FALSE),
"")</f>
        <v>8.7676923076923075</v>
      </c>
      <c r="W363" s="18">
        <f>IFERROR(
                  Andel_oberoende_av_klimat*VLOOKUP($A363,Leveranser_per_nät,'Leveranser per nät'!W$1,FALSE)
               +Andel_beroende_av_klimat*VLOOKUP($A363,Leveranser_per_nät,'Leveranser per nät'!W$1,FALSE)/VLOOKUP($B363,Korrigeringsfaktor_GD,'Korrigeringsfaktor GD'!W$1,FALSE),
"")</f>
        <v>8.7753191489361697</v>
      </c>
      <c r="X363" s="18">
        <f>IFERROR(
                  Andel_oberoende_av_klimat*VLOOKUP($A363,Leveranser_per_nät,'Leveranser per nät'!X$1,FALSE)
               +Andel_beroende_av_klimat*VLOOKUP($A363,Leveranser_per_nät,'Leveranser per nät'!X$1,FALSE)/VLOOKUP($B363,Korrigeringsfaktor_GD,'Korrigeringsfaktor GD'!X$1,FALSE),
"")</f>
        <v>10.290434782608695</v>
      </c>
      <c r="Y363" s="18">
        <f>IFERROR(
                  Andel_oberoende_av_klimat*VLOOKUP($A363,Leveranser_per_nät,'Leveranser per nät'!Y$1,FALSE)
               +Andel_beroende_av_klimat*VLOOKUP($A363,Leveranser_per_nät,'Leveranser per nät'!Y$1,FALSE)/VLOOKUP($B363,Korrigeringsfaktor_GD,'Korrigeringsfaktor GD'!Y$1,FALSE),
"")</f>
        <v>10.756516853932585</v>
      </c>
      <c r="Z363" s="18">
        <f>IFERROR(
                  Andel_oberoende_av_klimat*VLOOKUP($A363,Leveranser_per_nät,'Leveranser per nät'!Z$1,FALSE)
               +Andel_beroende_av_klimat*VLOOKUP($A363,Leveranser_per_nät,'Leveranser per nät'!Z$1,FALSE)/VLOOKUP($B363,Korrigeringsfaktor_GD,'Korrigeringsfaktor GD'!Z$1,FALSE),
"")</f>
        <v>10.540000000000001</v>
      </c>
      <c r="AA363" s="18">
        <f>IFERROR(
                  Andel_oberoende_av_klimat*VLOOKUP($A363,Leveranser_per_nät,'Leveranser per nät'!AA$1,FALSE)
               +Andel_beroende_av_klimat*VLOOKUP($A363,Leveranser_per_nät,'Leveranser per nät'!AA$1,FALSE)/VLOOKUP($B363,Korrigeringsfaktor_GD,'Korrigeringsfaktor GD'!AA$1,FALSE),
"")</f>
        <v>11.283521918321469</v>
      </c>
      <c r="AB363" s="18">
        <f>IFERROR(
                  Andel_oberoende_av_klimat*VLOOKUP($A363,Leveranser_per_nät,'Leveranser per nät'!AB$1,FALSE)
               +Andel_beroende_av_klimat*VLOOKUP($A363,Leveranser_per_nät,'Leveranser per nät'!AB$1,FALSE)/VLOOKUP($B363,Korrigeringsfaktor_GD,'Korrigeringsfaktor GD'!AB$1,FALSE),
"")</f>
        <v>10.567563850687623</v>
      </c>
      <c r="AC363" s="18">
        <f>IFERROR(
                  Andel_oberoende_av_klimat*VLOOKUP($A363,Leveranser_per_nät,'Leveranser per nät'!AC$1,FALSE)
               +Andel_beroende_av_klimat*VLOOKUP($A363,Leveranser_per_nät,'Leveranser per nät'!AC$1,FALSE)/VLOOKUP($B363,Korrigeringsfaktor_GD,'Korrigeringsfaktor GD'!AC$1,FALSE),
"")</f>
        <v>10.350191693290736</v>
      </c>
      <c r="AD363">
        <v>18.5</v>
      </c>
    </row>
    <row r="364" spans="1:30" x14ac:dyDescent="0.25">
      <c r="A364" t="s">
        <v>466</v>
      </c>
      <c r="B364" t="s">
        <v>46</v>
      </c>
      <c r="C364" s="18">
        <f>IFERROR(
                  Andel_oberoende_av_klimat*VLOOKUP($A364,Leveranser_per_nät,'Leveranser per nät'!C$1,FALSE)
               +Andel_beroende_av_klimat*VLOOKUP($A364,Leveranser_per_nät,'Leveranser per nät'!C$1,FALSE)/VLOOKUP($B364,Korrigeringsfaktor_GD,'Korrigeringsfaktor GD'!C$1,FALSE),
"")</f>
        <v>35.766666666666666</v>
      </c>
      <c r="D364" s="18">
        <f>IFERROR(
                  Andel_oberoende_av_klimat*VLOOKUP($A364,Leveranser_per_nät,'Leveranser per nät'!D$1,FALSE)
               +Andel_beroende_av_klimat*VLOOKUP($A364,Leveranser_per_nät,'Leveranser per nät'!D$1,FALSE)/VLOOKUP($B364,Korrigeringsfaktor_GD,'Korrigeringsfaktor GD'!D$1,FALSE),
"")</f>
        <v>31.423573684210524</v>
      </c>
      <c r="E364" s="18">
        <f>IFERROR(
                  Andel_oberoende_av_klimat*VLOOKUP($A364,Leveranser_per_nät,'Leveranser per nät'!E$1,FALSE)
               +Andel_beroende_av_klimat*VLOOKUP($A364,Leveranser_per_nät,'Leveranser per nät'!E$1,FALSE)/VLOOKUP($B364,Korrigeringsfaktor_GD,'Korrigeringsfaktor GD'!E$1,FALSE),
"")</f>
        <v>38.491999999999997</v>
      </c>
      <c r="F364" s="18">
        <f>IFERROR(
                  Andel_oberoende_av_klimat*VLOOKUP($A364,Leveranser_per_nät,'Leveranser per nät'!F$1,FALSE)
               +Andel_beroende_av_klimat*VLOOKUP($A364,Leveranser_per_nät,'Leveranser per nät'!F$1,FALSE)/VLOOKUP($B364,Korrigeringsfaktor_GD,'Korrigeringsfaktor GD'!F$1,FALSE),
"")</f>
        <v>30.212121212121211</v>
      </c>
      <c r="G364" s="18">
        <f>IFERROR(
                  Andel_oberoende_av_klimat*VLOOKUP($A364,Leveranser_per_nät,'Leveranser per nät'!G$1,FALSE)
               +Andel_beroende_av_klimat*VLOOKUP($A364,Leveranser_per_nät,'Leveranser per nät'!G$1,FALSE)/VLOOKUP($B364,Korrigeringsfaktor_GD,'Korrigeringsfaktor GD'!G$1,FALSE),
"")</f>
        <v>32.88695652173913</v>
      </c>
      <c r="H364" s="18">
        <f>IFERROR(
                  Andel_oberoende_av_klimat*VLOOKUP($A364,Leveranser_per_nät,'Leveranser per nät'!H$1,FALSE)
               +Andel_beroende_av_klimat*VLOOKUP($A364,Leveranser_per_nät,'Leveranser per nät'!H$1,FALSE)/VLOOKUP($B364,Korrigeringsfaktor_GD,'Korrigeringsfaktor GD'!H$1,FALSE),
"")</f>
        <v>32.771287128712871</v>
      </c>
      <c r="I364" s="18">
        <f>IFERROR(
                  Andel_oberoende_av_klimat*VLOOKUP($A364,Leveranser_per_nät,'Leveranser per nät'!I$1,FALSE)
               +Andel_beroende_av_klimat*VLOOKUP($A364,Leveranser_per_nät,'Leveranser per nät'!I$1,FALSE)/VLOOKUP($B364,Korrigeringsfaktor_GD,'Korrigeringsfaktor GD'!I$1,FALSE),
"")</f>
        <v>30.295744680851065</v>
      </c>
      <c r="J364" s="18">
        <f>IFERROR(
                  Andel_oberoende_av_klimat*VLOOKUP($A364,Leveranser_per_nät,'Leveranser per nät'!J$1,FALSE)
               +Andel_beroende_av_klimat*VLOOKUP($A364,Leveranser_per_nät,'Leveranser per nät'!J$1,FALSE)/VLOOKUP($B364,Korrigeringsfaktor_GD,'Korrigeringsfaktor GD'!J$1,FALSE),
"")</f>
        <v>29.496945833333335</v>
      </c>
      <c r="K364" s="18">
        <f>IFERROR(
                  Andel_oberoende_av_klimat*VLOOKUP($A364,Leveranser_per_nät,'Leveranser per nät'!K$1,FALSE)
               +Andel_beroende_av_klimat*VLOOKUP($A364,Leveranser_per_nät,'Leveranser per nät'!K$1,FALSE)/VLOOKUP($B364,Korrigeringsfaktor_GD,'Korrigeringsfaktor GD'!K$1,FALSE),
"")</f>
        <v>29.148058333333335</v>
      </c>
      <c r="L364" s="18">
        <f>IFERROR(
                  Andel_oberoende_av_klimat*VLOOKUP($A364,Leveranser_per_nät,'Leveranser per nät'!L$1,FALSE)
               +Andel_beroende_av_klimat*VLOOKUP($A364,Leveranser_per_nät,'Leveranser per nät'!L$1,FALSE)/VLOOKUP($B364,Korrigeringsfaktor_GD,'Korrigeringsfaktor GD'!L$1,FALSE),
"")</f>
        <v>36.265737514489871</v>
      </c>
      <c r="M364" s="18">
        <f>IFERROR(
                  Andel_oberoende_av_klimat*VLOOKUP($A364,Leveranser_per_nät,'Leveranser per nät'!M$1,FALSE)
               +Andel_beroende_av_klimat*VLOOKUP($A364,Leveranser_per_nät,'Leveranser per nät'!M$1,FALSE)/VLOOKUP($B364,Korrigeringsfaktor_GD,'Korrigeringsfaktor GD'!M$1,FALSE),
"")</f>
        <v>0</v>
      </c>
      <c r="N364" s="18">
        <f>IFERROR(
                  Andel_oberoende_av_klimat*VLOOKUP($A364,Leveranser_per_nät,'Leveranser per nät'!N$1,FALSE)
               +Andel_beroende_av_klimat*VLOOKUP($A364,Leveranser_per_nät,'Leveranser per nät'!N$1,FALSE)/VLOOKUP($B364,Korrigeringsfaktor_GD,'Korrigeringsfaktor GD'!N$1,FALSE),
"")</f>
        <v>0</v>
      </c>
      <c r="O364" s="18">
        <f>IFERROR(
                  Andel_oberoende_av_klimat*VLOOKUP($A364,Leveranser_per_nät,'Leveranser per nät'!O$1,FALSE)
               +Andel_beroende_av_klimat*VLOOKUP($A364,Leveranser_per_nät,'Leveranser per nät'!O$1,FALSE)/VLOOKUP($B364,Korrigeringsfaktor_GD,'Korrigeringsfaktor GD'!O$1,FALSE),
"")</f>
        <v>0</v>
      </c>
      <c r="P364" s="18">
        <f>IFERROR(
                  Andel_oberoende_av_klimat*VLOOKUP($A364,Leveranser_per_nät,'Leveranser per nät'!P$1,FALSE)
               +Andel_beroende_av_klimat*VLOOKUP($A364,Leveranser_per_nät,'Leveranser per nät'!P$1,FALSE)/VLOOKUP($B364,Korrigeringsfaktor_GD,'Korrigeringsfaktor GD'!P$1,FALSE),
"")</f>
        <v>0</v>
      </c>
      <c r="Q364" s="18">
        <f>IFERROR(
                  Andel_oberoende_av_klimat*VLOOKUP($A364,Leveranser_per_nät,'Leveranser per nät'!Q$1,FALSE)
               +Andel_beroende_av_klimat*VLOOKUP($A364,Leveranser_per_nät,'Leveranser per nät'!Q$1,FALSE)/VLOOKUP($B364,Korrigeringsfaktor_GD,'Korrigeringsfaktor GD'!Q$1,FALSE),
"")</f>
        <v>0</v>
      </c>
      <c r="R364" s="18">
        <f>IFERROR(
                  Andel_oberoende_av_klimat*VLOOKUP($A364,Leveranser_per_nät,'Leveranser per nät'!R$1,FALSE)
               +Andel_beroende_av_klimat*VLOOKUP($A364,Leveranser_per_nät,'Leveranser per nät'!R$1,FALSE)/VLOOKUP($B364,Korrigeringsfaktor_GD,'Korrigeringsfaktor GD'!R$1,FALSE),
"")</f>
        <v>0</v>
      </c>
      <c r="S364" s="18">
        <f>IFERROR(
                  Andel_oberoende_av_klimat*VLOOKUP($A364,Leveranser_per_nät,'Leveranser per nät'!S$1,FALSE)
               +Andel_beroende_av_klimat*VLOOKUP($A364,Leveranser_per_nät,'Leveranser per nät'!S$1,FALSE)/VLOOKUP($B364,Korrigeringsfaktor_GD,'Korrigeringsfaktor GD'!S$1,FALSE),
"")</f>
        <v>51.5</v>
      </c>
      <c r="T364" s="18">
        <f>IFERROR(
                  Andel_oberoende_av_klimat*VLOOKUP($A364,Leveranser_per_nät,'Leveranser per nät'!T$1,FALSE)
               +Andel_beroende_av_klimat*VLOOKUP($A364,Leveranser_per_nät,'Leveranser per nät'!T$1,FALSE)/VLOOKUP($B364,Korrigeringsfaktor_GD,'Korrigeringsfaktor GD'!T$1,FALSE),
"")</f>
        <v>51.816170212765961</v>
      </c>
      <c r="U364" s="18">
        <f>IFERROR(
                  Andel_oberoende_av_klimat*VLOOKUP($A364,Leveranser_per_nät,'Leveranser per nät'!U$1,FALSE)
               +Andel_beroende_av_klimat*VLOOKUP($A364,Leveranser_per_nät,'Leveranser per nät'!U$1,FALSE)/VLOOKUP($B364,Korrigeringsfaktor_GD,'Korrigeringsfaktor GD'!U$1,FALSE),
"")</f>
        <v>52.370112359550568</v>
      </c>
      <c r="V364" s="18">
        <f>IFERROR(
                  Andel_oberoende_av_klimat*VLOOKUP($A364,Leveranser_per_nät,'Leveranser per nät'!V$1,FALSE)
               +Andel_beroende_av_klimat*VLOOKUP($A364,Leveranser_per_nät,'Leveranser per nät'!V$1,FALSE)/VLOOKUP($B364,Korrigeringsfaktor_GD,'Korrigeringsfaktor GD'!V$1,FALSE),
"")</f>
        <v>51.75076923076923</v>
      </c>
      <c r="W364" s="18">
        <f>IFERROR(
                  Andel_oberoende_av_klimat*VLOOKUP($A364,Leveranser_per_nät,'Leveranser per nät'!W$1,FALSE)
               +Andel_beroende_av_klimat*VLOOKUP($A364,Leveranser_per_nät,'Leveranser per nät'!W$1,FALSE)/VLOOKUP($B364,Korrigeringsfaktor_GD,'Korrigeringsfaktor GD'!W$1,FALSE),
"")</f>
        <v>53.812105263157896</v>
      </c>
      <c r="X364" s="18">
        <f>IFERROR(
                  Andel_oberoende_av_klimat*VLOOKUP($A364,Leveranser_per_nät,'Leveranser per nät'!X$1,FALSE)
               +Andel_beroende_av_klimat*VLOOKUP($A364,Leveranser_per_nät,'Leveranser per nät'!X$1,FALSE)/VLOOKUP($B364,Korrigeringsfaktor_GD,'Korrigeringsfaktor GD'!X$1,FALSE),
"")</f>
        <v>53.105000000000004</v>
      </c>
      <c r="Y364" s="18">
        <f>IFERROR(
                  Andel_oberoende_av_klimat*VLOOKUP($A364,Leveranser_per_nät,'Leveranser per nät'!Y$1,FALSE)
               +Andel_beroende_av_klimat*VLOOKUP($A364,Leveranser_per_nät,'Leveranser per nät'!Y$1,FALSE)/VLOOKUP($B364,Korrigeringsfaktor_GD,'Korrigeringsfaktor GD'!Y$1,FALSE),
"")</f>
        <v>56.905876288659798</v>
      </c>
      <c r="Z364" s="18">
        <f>IFERROR(
                  Andel_oberoende_av_klimat*VLOOKUP($A364,Leveranser_per_nät,'Leveranser per nät'!Z$1,FALSE)
               +Andel_beroende_av_klimat*VLOOKUP($A364,Leveranser_per_nät,'Leveranser per nät'!Z$1,FALSE)/VLOOKUP($B364,Korrigeringsfaktor_GD,'Korrigeringsfaktor GD'!Z$1,FALSE),
"")</f>
        <v>59.106516853932582</v>
      </c>
      <c r="AA364" s="18">
        <f>IFERROR(
                  Andel_oberoende_av_klimat*VLOOKUP($A364,Leveranser_per_nät,'Leveranser per nät'!AA$1,FALSE)
               +Andel_beroende_av_klimat*VLOOKUP($A364,Leveranser_per_nät,'Leveranser per nät'!AA$1,FALSE)/VLOOKUP($B364,Korrigeringsfaktor_GD,'Korrigeringsfaktor GD'!AA$1,FALSE),
"")</f>
        <v>59.36632420091324</v>
      </c>
      <c r="AB364" s="18">
        <f>IFERROR(
                  Andel_oberoende_av_klimat*VLOOKUP($A364,Leveranser_per_nät,'Leveranser per nät'!AB$1,FALSE)
               +Andel_beroende_av_klimat*VLOOKUP($A364,Leveranser_per_nät,'Leveranser per nät'!AB$1,FALSE)/VLOOKUP($B364,Korrigeringsfaktor_GD,'Korrigeringsfaktor GD'!AB$1,FALSE),
"")</f>
        <v>54.813064833005896</v>
      </c>
      <c r="AC364" s="18">
        <f>IFERROR(
                  Andel_oberoende_av_klimat*VLOOKUP($A364,Leveranser_per_nät,'Leveranser per nät'!AC$1,FALSE)
               +Andel_beroende_av_klimat*VLOOKUP($A364,Leveranser_per_nät,'Leveranser per nät'!AC$1,FALSE)/VLOOKUP($B364,Korrigeringsfaktor_GD,'Korrigeringsfaktor GD'!AC$1,FALSE),
"")</f>
        <v>55.5373017507724</v>
      </c>
      <c r="AD364">
        <v>16.463999999999999</v>
      </c>
    </row>
    <row r="365" spans="1:30" x14ac:dyDescent="0.25">
      <c r="A365" t="s">
        <v>710</v>
      </c>
      <c r="B365" t="s">
        <v>0</v>
      </c>
      <c r="C365" s="18">
        <f>IFERROR(
                  Andel_oberoende_av_klimat*VLOOKUP($A365,Leveranser_per_nät,'Leveranser per nät'!C$1,FALSE)
               +Andel_beroende_av_klimat*VLOOKUP($A365,Leveranser_per_nät,'Leveranser per nät'!C$1,FALSE)/VLOOKUP($B365,Korrigeringsfaktor_GD,'Korrigeringsfaktor GD'!C$1,FALSE),
"")</f>
        <v>0</v>
      </c>
      <c r="D365" s="18">
        <f>IFERROR(
                  Andel_oberoende_av_klimat*VLOOKUP($A365,Leveranser_per_nät,'Leveranser per nät'!D$1,FALSE)
               +Andel_beroende_av_klimat*VLOOKUP($A365,Leveranser_per_nät,'Leveranser per nät'!D$1,FALSE)/VLOOKUP($B365,Korrigeringsfaktor_GD,'Korrigeringsfaktor GD'!D$1,FALSE),
"")</f>
        <v>0</v>
      </c>
      <c r="E365" s="18">
        <f>IFERROR(
                  Andel_oberoende_av_klimat*VLOOKUP($A365,Leveranser_per_nät,'Leveranser per nät'!E$1,FALSE)
               +Andel_beroende_av_klimat*VLOOKUP($A365,Leveranser_per_nät,'Leveranser per nät'!E$1,FALSE)/VLOOKUP($B365,Korrigeringsfaktor_GD,'Korrigeringsfaktor GD'!E$1,FALSE),
"")</f>
        <v>0</v>
      </c>
      <c r="F365" s="18">
        <f>IFERROR(
                  Andel_oberoende_av_klimat*VLOOKUP($A365,Leveranser_per_nät,'Leveranser per nät'!F$1,FALSE)
               +Andel_beroende_av_klimat*VLOOKUP($A365,Leveranser_per_nät,'Leveranser per nät'!F$1,FALSE)/VLOOKUP($B365,Korrigeringsfaktor_GD,'Korrigeringsfaktor GD'!F$1,FALSE),
"")</f>
        <v>0</v>
      </c>
      <c r="G365" s="18">
        <f>IFERROR(
                  Andel_oberoende_av_klimat*VLOOKUP($A365,Leveranser_per_nät,'Leveranser per nät'!G$1,FALSE)
               +Andel_beroende_av_klimat*VLOOKUP($A365,Leveranser_per_nät,'Leveranser per nät'!G$1,FALSE)/VLOOKUP($B365,Korrigeringsfaktor_GD,'Korrigeringsfaktor GD'!G$1,FALSE),
"")</f>
        <v>0</v>
      </c>
      <c r="H365" s="18">
        <f>IFERROR(
                  Andel_oberoende_av_klimat*VLOOKUP($A365,Leveranser_per_nät,'Leveranser per nät'!H$1,FALSE)
               +Andel_beroende_av_klimat*VLOOKUP($A365,Leveranser_per_nät,'Leveranser per nät'!H$1,FALSE)/VLOOKUP($B365,Korrigeringsfaktor_GD,'Korrigeringsfaktor GD'!H$1,FALSE),
"")</f>
        <v>0</v>
      </c>
      <c r="I365" s="18">
        <f>IFERROR(
                  Andel_oberoende_av_klimat*VLOOKUP($A365,Leveranser_per_nät,'Leveranser per nät'!I$1,FALSE)
               +Andel_beroende_av_klimat*VLOOKUP($A365,Leveranser_per_nät,'Leveranser per nät'!I$1,FALSE)/VLOOKUP($B365,Korrigeringsfaktor_GD,'Korrigeringsfaktor GD'!I$1,FALSE),
"")</f>
        <v>0</v>
      </c>
      <c r="J365" s="18">
        <f>IFERROR(
                  Andel_oberoende_av_klimat*VLOOKUP($A365,Leveranser_per_nät,'Leveranser per nät'!J$1,FALSE)
               +Andel_beroende_av_klimat*VLOOKUP($A365,Leveranser_per_nät,'Leveranser per nät'!J$1,FALSE)/VLOOKUP($B365,Korrigeringsfaktor_GD,'Korrigeringsfaktor GD'!J$1,FALSE),
"")</f>
        <v>0</v>
      </c>
      <c r="K365" s="18">
        <f>IFERROR(
                  Andel_oberoende_av_klimat*VLOOKUP($A365,Leveranser_per_nät,'Leveranser per nät'!K$1,FALSE)
               +Andel_beroende_av_klimat*VLOOKUP($A365,Leveranser_per_nät,'Leveranser per nät'!K$1,FALSE)/VLOOKUP($B365,Korrigeringsfaktor_GD,'Korrigeringsfaktor GD'!K$1,FALSE),
"")</f>
        <v>0</v>
      </c>
      <c r="L365" s="18">
        <f>IFERROR(
                  Andel_oberoende_av_klimat*VLOOKUP($A365,Leveranser_per_nät,'Leveranser per nät'!L$1,FALSE)
               +Andel_beroende_av_klimat*VLOOKUP($A365,Leveranser_per_nät,'Leveranser per nät'!L$1,FALSE)/VLOOKUP($B365,Korrigeringsfaktor_GD,'Korrigeringsfaktor GD'!L$1,FALSE),
"")</f>
        <v>0</v>
      </c>
      <c r="M365" s="18">
        <f>IFERROR(
                  Andel_oberoende_av_klimat*VLOOKUP($A365,Leveranser_per_nät,'Leveranser per nät'!M$1,FALSE)
               +Andel_beroende_av_klimat*VLOOKUP($A365,Leveranser_per_nät,'Leveranser per nät'!M$1,FALSE)/VLOOKUP($B365,Korrigeringsfaktor_GD,'Korrigeringsfaktor GD'!M$1,FALSE),
"")</f>
        <v>0</v>
      </c>
      <c r="N365" s="18">
        <f>IFERROR(
                  Andel_oberoende_av_klimat*VLOOKUP($A365,Leveranser_per_nät,'Leveranser per nät'!N$1,FALSE)
               +Andel_beroende_av_klimat*VLOOKUP($A365,Leveranser_per_nät,'Leveranser per nät'!N$1,FALSE)/VLOOKUP($B365,Korrigeringsfaktor_GD,'Korrigeringsfaktor GD'!N$1,FALSE),
"")</f>
        <v>0</v>
      </c>
      <c r="O365" s="18">
        <f>IFERROR(
                  Andel_oberoende_av_klimat*VLOOKUP($A365,Leveranser_per_nät,'Leveranser per nät'!O$1,FALSE)
               +Andel_beroende_av_klimat*VLOOKUP($A365,Leveranser_per_nät,'Leveranser per nät'!O$1,FALSE)/VLOOKUP($B365,Korrigeringsfaktor_GD,'Korrigeringsfaktor GD'!O$1,FALSE),
"")</f>
        <v>0</v>
      </c>
      <c r="P365" s="18">
        <f>IFERROR(
                  Andel_oberoende_av_klimat*VLOOKUP($A365,Leveranser_per_nät,'Leveranser per nät'!P$1,FALSE)
               +Andel_beroende_av_klimat*VLOOKUP($A365,Leveranser_per_nät,'Leveranser per nät'!P$1,FALSE)/VLOOKUP($B365,Korrigeringsfaktor_GD,'Korrigeringsfaktor GD'!P$1,FALSE),
"")</f>
        <v>0</v>
      </c>
      <c r="Q365" s="18">
        <f>IFERROR(
                  Andel_oberoende_av_klimat*VLOOKUP($A365,Leveranser_per_nät,'Leveranser per nät'!Q$1,FALSE)
               +Andel_beroende_av_klimat*VLOOKUP($A365,Leveranser_per_nät,'Leveranser per nät'!Q$1,FALSE)/VLOOKUP($B365,Korrigeringsfaktor_GD,'Korrigeringsfaktor GD'!Q$1,FALSE),
"")</f>
        <v>0</v>
      </c>
      <c r="R365" s="18">
        <f>IFERROR(
                  Andel_oberoende_av_klimat*VLOOKUP($A365,Leveranser_per_nät,'Leveranser per nät'!R$1,FALSE)
               +Andel_beroende_av_klimat*VLOOKUP($A365,Leveranser_per_nät,'Leveranser per nät'!R$1,FALSE)/VLOOKUP($B365,Korrigeringsfaktor_GD,'Korrigeringsfaktor GD'!R$1,FALSE),
"")</f>
        <v>0</v>
      </c>
      <c r="S365" s="18">
        <f>IFERROR(
                  Andel_oberoende_av_klimat*VLOOKUP($A365,Leveranser_per_nät,'Leveranser per nät'!S$1,FALSE)
               +Andel_beroende_av_klimat*VLOOKUP($A365,Leveranser_per_nät,'Leveranser per nät'!S$1,FALSE)/VLOOKUP($B365,Korrigeringsfaktor_GD,'Korrigeringsfaktor GD'!S$1,FALSE),
"")</f>
        <v>0.81142857142857139</v>
      </c>
      <c r="T365" s="18">
        <f>IFERROR(
                  Andel_oberoende_av_klimat*VLOOKUP($A365,Leveranser_per_nät,'Leveranser per nät'!T$1,FALSE)
               +Andel_beroende_av_klimat*VLOOKUP($A365,Leveranser_per_nät,'Leveranser per nät'!T$1,FALSE)/VLOOKUP($B365,Korrigeringsfaktor_GD,'Korrigeringsfaktor GD'!T$1,FALSE),
"")</f>
        <v>0.82947368421052636</v>
      </c>
      <c r="U365" s="18">
        <f>IFERROR(
                  Andel_oberoende_av_klimat*VLOOKUP($A365,Leveranser_per_nät,'Leveranser per nät'!U$1,FALSE)
               +Andel_beroende_av_klimat*VLOOKUP($A365,Leveranser_per_nät,'Leveranser per nät'!U$1,FALSE)/VLOOKUP($B365,Korrigeringsfaktor_GD,'Korrigeringsfaktor GD'!U$1,FALSE),
"")</f>
        <v>0.7660602409638555</v>
      </c>
      <c r="V365" s="18">
        <f>IFERROR(
                  Andel_oberoende_av_klimat*VLOOKUP($A365,Leveranser_per_nät,'Leveranser per nät'!V$1,FALSE)
               +Andel_beroende_av_klimat*VLOOKUP($A365,Leveranser_per_nät,'Leveranser per nät'!V$1,FALSE)/VLOOKUP($B365,Korrigeringsfaktor_GD,'Korrigeringsfaktor GD'!V$1,FALSE),
"")</f>
        <v>0.84437674418604647</v>
      </c>
      <c r="W365" s="18">
        <f>IFERROR(
                  Andel_oberoende_av_klimat*VLOOKUP($A365,Leveranser_per_nät,'Leveranser per nät'!W$1,FALSE)
               +Andel_beroende_av_klimat*VLOOKUP($A365,Leveranser_per_nät,'Leveranser per nät'!W$1,FALSE)/VLOOKUP($B365,Korrigeringsfaktor_GD,'Korrigeringsfaktor GD'!W$1,FALSE),
"")</f>
        <v>0.80833333333333335</v>
      </c>
      <c r="X365" s="18">
        <f>IFERROR(
                  Andel_oberoende_av_klimat*VLOOKUP($A365,Leveranser_per_nät,'Leveranser per nät'!X$1,FALSE)
               +Andel_beroende_av_klimat*VLOOKUP($A365,Leveranser_per_nät,'Leveranser per nät'!X$1,FALSE)/VLOOKUP($B365,Korrigeringsfaktor_GD,'Korrigeringsfaktor GD'!X$1,FALSE),
"")</f>
        <v>0.77685955056179767</v>
      </c>
      <c r="Y365" s="18">
        <f>IFERROR(
                  Andel_oberoende_av_klimat*VLOOKUP($A365,Leveranser_per_nät,'Leveranser per nät'!Y$1,FALSE)
               +Andel_beroende_av_klimat*VLOOKUP($A365,Leveranser_per_nät,'Leveranser per nät'!Y$1,FALSE)/VLOOKUP($B365,Korrigeringsfaktor_GD,'Korrigeringsfaktor GD'!Y$1,FALSE),
"")</f>
        <v>0.76056179775280897</v>
      </c>
      <c r="Z365" s="18">
        <f>IFERROR(
                  Andel_oberoende_av_klimat*VLOOKUP($A365,Leveranser_per_nät,'Leveranser per nät'!Z$1,FALSE)
               +Andel_beroende_av_klimat*VLOOKUP($A365,Leveranser_per_nät,'Leveranser per nät'!Z$1,FALSE)/VLOOKUP($B365,Korrigeringsfaktor_GD,'Korrigeringsfaktor GD'!Z$1,FALSE),
"")</f>
        <v>0.67361538461538462</v>
      </c>
      <c r="AA365" s="18">
        <f>IFERROR(
                  Andel_oberoende_av_klimat*VLOOKUP($A365,Leveranser_per_nät,'Leveranser per nät'!AA$1,FALSE)
               +Andel_beroende_av_klimat*VLOOKUP($A365,Leveranser_per_nät,'Leveranser per nät'!AA$1,FALSE)/VLOOKUP($B365,Korrigeringsfaktor_GD,'Korrigeringsfaktor GD'!AA$1,FALSE),
"")</f>
        <v>0.68688656036446472</v>
      </c>
      <c r="AB365" s="18">
        <f>IFERROR(
                  Andel_oberoende_av_klimat*VLOOKUP($A365,Leveranser_per_nät,'Leveranser per nät'!AB$1,FALSE)
               +Andel_beroende_av_klimat*VLOOKUP($A365,Leveranser_per_nät,'Leveranser per nät'!AB$1,FALSE)/VLOOKUP($B365,Korrigeringsfaktor_GD,'Korrigeringsfaktor GD'!AB$1,FALSE),
"")</f>
        <v>0.68907290836653379</v>
      </c>
      <c r="AC365" s="18">
        <f>IFERROR(
                  Andel_oberoende_av_klimat*VLOOKUP($A365,Leveranser_per_nät,'Leveranser per nät'!AC$1,FALSE)
               +Andel_beroende_av_klimat*VLOOKUP($A365,Leveranser_per_nät,'Leveranser per nät'!AC$1,FALSE)/VLOOKUP($B365,Korrigeringsfaktor_GD,'Korrigeringsfaktor GD'!AC$1,FALSE),
"")</f>
        <v>0.65096216216216218</v>
      </c>
      <c r="AD365">
        <v>240.09800000000001</v>
      </c>
    </row>
    <row r="366" spans="1:30" x14ac:dyDescent="0.25">
      <c r="A366" t="s">
        <v>128</v>
      </c>
      <c r="B366" t="s">
        <v>522</v>
      </c>
      <c r="C366" s="18">
        <f>IFERROR(
                  Andel_oberoende_av_klimat*VLOOKUP($A366,Leveranser_per_nät,'Leveranser per nät'!C$1,FALSE)
               +Andel_beroende_av_klimat*VLOOKUP($A366,Leveranser_per_nät,'Leveranser per nät'!C$1,FALSE)/VLOOKUP($B366,Korrigeringsfaktor_GD,'Korrigeringsfaktor GD'!C$1,FALSE),
"")</f>
        <v>0</v>
      </c>
      <c r="D366" s="18">
        <f>IFERROR(
                  Andel_oberoende_av_klimat*VLOOKUP($A366,Leveranser_per_nät,'Leveranser per nät'!D$1,FALSE)
               +Andel_beroende_av_klimat*VLOOKUP($A366,Leveranser_per_nät,'Leveranser per nät'!D$1,FALSE)/VLOOKUP($B366,Korrigeringsfaktor_GD,'Korrigeringsfaktor GD'!D$1,FALSE),
"")</f>
        <v>0</v>
      </c>
      <c r="E366" s="18">
        <f>IFERROR(
                  Andel_oberoende_av_klimat*VLOOKUP($A366,Leveranser_per_nät,'Leveranser per nät'!E$1,FALSE)
               +Andel_beroende_av_klimat*VLOOKUP($A366,Leveranser_per_nät,'Leveranser per nät'!E$1,FALSE)/VLOOKUP($B366,Korrigeringsfaktor_GD,'Korrigeringsfaktor GD'!E$1,FALSE),
"")</f>
        <v>0</v>
      </c>
      <c r="F366" s="18">
        <f>IFERROR(
                  Andel_oberoende_av_klimat*VLOOKUP($A366,Leveranser_per_nät,'Leveranser per nät'!F$1,FALSE)
               +Andel_beroende_av_klimat*VLOOKUP($A366,Leveranser_per_nät,'Leveranser per nät'!F$1,FALSE)/VLOOKUP($B366,Korrigeringsfaktor_GD,'Korrigeringsfaktor GD'!F$1,FALSE),
"")</f>
        <v>0</v>
      </c>
      <c r="G366" s="18">
        <f>IFERROR(
                  Andel_oberoende_av_klimat*VLOOKUP($A366,Leveranser_per_nät,'Leveranser per nät'!G$1,FALSE)
               +Andel_beroende_av_klimat*VLOOKUP($A366,Leveranser_per_nät,'Leveranser per nät'!G$1,FALSE)/VLOOKUP($B366,Korrigeringsfaktor_GD,'Korrigeringsfaktor GD'!G$1,FALSE),
"")</f>
        <v>0</v>
      </c>
      <c r="H366" s="18">
        <f>IFERROR(
                  Andel_oberoende_av_klimat*VLOOKUP($A366,Leveranser_per_nät,'Leveranser per nät'!H$1,FALSE)
               +Andel_beroende_av_klimat*VLOOKUP($A366,Leveranser_per_nät,'Leveranser per nät'!H$1,FALSE)/VLOOKUP($B366,Korrigeringsfaktor_GD,'Korrigeringsfaktor GD'!H$1,FALSE),
"")</f>
        <v>0</v>
      </c>
      <c r="I366" s="18">
        <f>IFERROR(
                  Andel_oberoende_av_klimat*VLOOKUP($A366,Leveranser_per_nät,'Leveranser per nät'!I$1,FALSE)
               +Andel_beroende_av_klimat*VLOOKUP($A366,Leveranser_per_nät,'Leveranser per nät'!I$1,FALSE)/VLOOKUP($B366,Korrigeringsfaktor_GD,'Korrigeringsfaktor GD'!I$1,FALSE),
"")</f>
        <v>0</v>
      </c>
      <c r="J366" s="18">
        <f>IFERROR(
                  Andel_oberoende_av_klimat*VLOOKUP($A366,Leveranser_per_nät,'Leveranser per nät'!J$1,FALSE)
               +Andel_beroende_av_klimat*VLOOKUP($A366,Leveranser_per_nät,'Leveranser per nät'!J$1,FALSE)/VLOOKUP($B366,Korrigeringsfaktor_GD,'Korrigeringsfaktor GD'!J$1,FALSE),
"")</f>
        <v>0</v>
      </c>
      <c r="K366" s="18">
        <f>IFERROR(
                  Andel_oberoende_av_klimat*VLOOKUP($A366,Leveranser_per_nät,'Leveranser per nät'!K$1,FALSE)
               +Andel_beroende_av_klimat*VLOOKUP($A366,Leveranser_per_nät,'Leveranser per nät'!K$1,FALSE)/VLOOKUP($B366,Korrigeringsfaktor_GD,'Korrigeringsfaktor GD'!K$1,FALSE),
"")</f>
        <v>0</v>
      </c>
      <c r="L366" s="18">
        <f>IFERROR(
                  Andel_oberoende_av_klimat*VLOOKUP($A366,Leveranser_per_nät,'Leveranser per nät'!L$1,FALSE)
               +Andel_beroende_av_klimat*VLOOKUP($A366,Leveranser_per_nät,'Leveranser per nät'!L$1,FALSE)/VLOOKUP($B366,Korrigeringsfaktor_GD,'Korrigeringsfaktor GD'!L$1,FALSE),
"")</f>
        <v>0</v>
      </c>
      <c r="M366" s="18">
        <f>IFERROR(
                  Andel_oberoende_av_klimat*VLOOKUP($A366,Leveranser_per_nät,'Leveranser per nät'!M$1,FALSE)
               +Andel_beroende_av_klimat*VLOOKUP($A366,Leveranser_per_nät,'Leveranser per nät'!M$1,FALSE)/VLOOKUP($B366,Korrigeringsfaktor_GD,'Korrigeringsfaktor GD'!M$1,FALSE),
"")</f>
        <v>0</v>
      </c>
      <c r="N366" s="18">
        <f>IFERROR(
                  Andel_oberoende_av_klimat*VLOOKUP($A366,Leveranser_per_nät,'Leveranser per nät'!N$1,FALSE)
               +Andel_beroende_av_klimat*VLOOKUP($A366,Leveranser_per_nät,'Leveranser per nät'!N$1,FALSE)/VLOOKUP($B366,Korrigeringsfaktor_GD,'Korrigeringsfaktor GD'!N$1,FALSE),
"")</f>
        <v>0</v>
      </c>
      <c r="O366" s="18">
        <f>IFERROR(
                  Andel_oberoende_av_klimat*VLOOKUP($A366,Leveranser_per_nät,'Leveranser per nät'!O$1,FALSE)
               +Andel_beroende_av_klimat*VLOOKUP($A366,Leveranser_per_nät,'Leveranser per nät'!O$1,FALSE)/VLOOKUP($B366,Korrigeringsfaktor_GD,'Korrigeringsfaktor GD'!O$1,FALSE),
"")</f>
        <v>0</v>
      </c>
      <c r="P366" s="18">
        <f>IFERROR(
                  Andel_oberoende_av_klimat*VLOOKUP($A366,Leveranser_per_nät,'Leveranser per nät'!P$1,FALSE)
               +Andel_beroende_av_klimat*VLOOKUP($A366,Leveranser_per_nät,'Leveranser per nät'!P$1,FALSE)/VLOOKUP($B366,Korrigeringsfaktor_GD,'Korrigeringsfaktor GD'!P$1,FALSE),
"")</f>
        <v>2.4</v>
      </c>
      <c r="Q366" s="18">
        <f>IFERROR(
                  Andel_oberoende_av_klimat*VLOOKUP($A366,Leveranser_per_nät,'Leveranser per nät'!Q$1,FALSE)
               +Andel_beroende_av_klimat*VLOOKUP($A366,Leveranser_per_nät,'Leveranser per nät'!Q$1,FALSE)/VLOOKUP($B366,Korrigeringsfaktor_GD,'Korrigeringsfaktor GD'!Q$1,FALSE),
"")</f>
        <v>2.6948717948717951</v>
      </c>
      <c r="R366" s="18">
        <f>IFERROR(
                  Andel_oberoende_av_klimat*VLOOKUP($A366,Leveranser_per_nät,'Leveranser per nät'!R$1,FALSE)
               +Andel_beroende_av_klimat*VLOOKUP($A366,Leveranser_per_nät,'Leveranser per nät'!R$1,FALSE)/VLOOKUP($B366,Korrigeringsfaktor_GD,'Korrigeringsfaktor GD'!R$1,FALSE),
"")</f>
        <v>2.0874806451612904</v>
      </c>
      <c r="S366" s="18">
        <f>IFERROR(
                  Andel_oberoende_av_klimat*VLOOKUP($A366,Leveranser_per_nät,'Leveranser per nät'!S$1,FALSE)
               +Andel_beroende_av_klimat*VLOOKUP($A366,Leveranser_per_nät,'Leveranser per nät'!S$1,FALSE)/VLOOKUP($B366,Korrigeringsfaktor_GD,'Korrigeringsfaktor GD'!S$1,FALSE),
"")</f>
        <v>2.1148484848484852</v>
      </c>
      <c r="T366" s="18">
        <f>IFERROR(
                  Andel_oberoende_av_klimat*VLOOKUP($A366,Leveranser_per_nät,'Leveranser per nät'!T$1,FALSE)
               +Andel_beroende_av_klimat*VLOOKUP($A366,Leveranser_per_nät,'Leveranser per nät'!T$1,FALSE)/VLOOKUP($B366,Korrigeringsfaktor_GD,'Korrigeringsfaktor GD'!T$1,FALSE),
"")</f>
        <v>1.9358625000000003</v>
      </c>
      <c r="U366" s="18">
        <f>IFERROR(
                  Andel_oberoende_av_klimat*VLOOKUP($A366,Leveranser_per_nät,'Leveranser per nät'!U$1,FALSE)
               +Andel_beroende_av_klimat*VLOOKUP($A366,Leveranser_per_nät,'Leveranser per nät'!U$1,FALSE)/VLOOKUP($B366,Korrigeringsfaktor_GD,'Korrigeringsfaktor GD'!U$1,FALSE),
"")</f>
        <v>1.7838666666666665</v>
      </c>
      <c r="V366" s="18">
        <f>IFERROR(
                  Andel_oberoende_av_klimat*VLOOKUP($A366,Leveranser_per_nät,'Leveranser per nät'!V$1,FALSE)
               +Andel_beroende_av_klimat*VLOOKUP($A366,Leveranser_per_nät,'Leveranser per nät'!V$1,FALSE)/VLOOKUP($B366,Korrigeringsfaktor_GD,'Korrigeringsfaktor GD'!V$1,FALSE),
"")</f>
        <v>1.6902863636363636</v>
      </c>
      <c r="W366" s="18">
        <f>IFERROR(
                  Andel_oberoende_av_klimat*VLOOKUP($A366,Leveranser_per_nät,'Leveranser per nät'!W$1,FALSE)
               +Andel_beroende_av_klimat*VLOOKUP($A366,Leveranser_per_nät,'Leveranser per nät'!W$1,FALSE)/VLOOKUP($B366,Korrigeringsfaktor_GD,'Korrigeringsfaktor GD'!W$1,FALSE),
"")</f>
        <v>1.7866846153846154</v>
      </c>
      <c r="X366" s="18">
        <f>IFERROR(
                  Andel_oberoende_av_klimat*VLOOKUP($A366,Leveranser_per_nät,'Leveranser per nät'!X$1,FALSE)
               +Andel_beroende_av_klimat*VLOOKUP($A366,Leveranser_per_nät,'Leveranser per nät'!X$1,FALSE)/VLOOKUP($B366,Korrigeringsfaktor_GD,'Korrigeringsfaktor GD'!X$1,FALSE),
"")</f>
        <v>1.8116763440860213</v>
      </c>
      <c r="Y366" s="18">
        <f>IFERROR(
                  Andel_oberoende_av_klimat*VLOOKUP($A366,Leveranser_per_nät,'Leveranser per nät'!Y$1,FALSE)
               +Andel_beroende_av_klimat*VLOOKUP($A366,Leveranser_per_nät,'Leveranser per nät'!Y$1,FALSE)/VLOOKUP($B366,Korrigeringsfaktor_GD,'Korrigeringsfaktor GD'!Y$1,FALSE),
"")</f>
        <v>1.8176923076923075</v>
      </c>
      <c r="Z366" s="18">
        <f>IFERROR(
                  Andel_oberoende_av_klimat*VLOOKUP($A366,Leveranser_per_nät,'Leveranser per nät'!Z$1,FALSE)
               +Andel_beroende_av_klimat*VLOOKUP($A366,Leveranser_per_nät,'Leveranser per nät'!Z$1,FALSE)/VLOOKUP($B366,Korrigeringsfaktor_GD,'Korrigeringsfaktor GD'!Z$1,FALSE),
"")</f>
        <v>1.712020202020202</v>
      </c>
      <c r="AA366" s="18">
        <f>IFERROR(
                  Andel_oberoende_av_klimat*VLOOKUP($A366,Leveranser_per_nät,'Leveranser per nät'!AA$1,FALSE)
               +Andel_beroende_av_klimat*VLOOKUP($A366,Leveranser_per_nät,'Leveranser per nät'!AA$1,FALSE)/VLOOKUP($B366,Korrigeringsfaktor_GD,'Korrigeringsfaktor GD'!AA$1,FALSE),
"")</f>
        <v>1.5772493233865372</v>
      </c>
      <c r="AB366" s="18">
        <f>IFERROR(
                  Andel_oberoende_av_klimat*VLOOKUP($A366,Leveranser_per_nät,'Leveranser per nät'!AB$1,FALSE)
               +Andel_beroende_av_klimat*VLOOKUP($A366,Leveranser_per_nät,'Leveranser per nät'!AB$1,FALSE)/VLOOKUP($B366,Korrigeringsfaktor_GD,'Korrigeringsfaktor GD'!AB$1,FALSE),
"")</f>
        <v>1.6951323943661971</v>
      </c>
      <c r="AC366" s="18">
        <f>IFERROR(
                  Andel_oberoende_av_klimat*VLOOKUP($A366,Leveranser_per_nät,'Leveranser per nät'!AC$1,FALSE)
               +Andel_beroende_av_klimat*VLOOKUP($A366,Leveranser_per_nät,'Leveranser per nät'!AC$1,FALSE)/VLOOKUP($B366,Korrigeringsfaktor_GD,'Korrigeringsfaktor GD'!AC$1,FALSE),
"")</f>
        <v>1.5039627118644066</v>
      </c>
      <c r="AD366" t="e">
        <v>#N/A</v>
      </c>
    </row>
    <row r="367" spans="1:30" x14ac:dyDescent="0.25">
      <c r="A367" t="s">
        <v>277</v>
      </c>
      <c r="B367" t="s">
        <v>275</v>
      </c>
      <c r="C367" s="18">
        <f>IFERROR(
                  Andel_oberoende_av_klimat*VLOOKUP($A367,Leveranser_per_nät,'Leveranser per nät'!C$1,FALSE)
               +Andel_beroende_av_klimat*VLOOKUP($A367,Leveranser_per_nät,'Leveranser per nät'!C$1,FALSE)/VLOOKUP($B367,Korrigeringsfaktor_GD,'Korrigeringsfaktor GD'!C$1,FALSE),
"")</f>
        <v>0</v>
      </c>
      <c r="D367" s="18">
        <f>IFERROR(
                  Andel_oberoende_av_klimat*VLOOKUP($A367,Leveranser_per_nät,'Leveranser per nät'!D$1,FALSE)
               +Andel_beroende_av_klimat*VLOOKUP($A367,Leveranser_per_nät,'Leveranser per nät'!D$1,FALSE)/VLOOKUP($B367,Korrigeringsfaktor_GD,'Korrigeringsfaktor GD'!D$1,FALSE),
"")</f>
        <v>0</v>
      </c>
      <c r="E367" s="18">
        <f>IFERROR(
                  Andel_oberoende_av_klimat*VLOOKUP($A367,Leveranser_per_nät,'Leveranser per nät'!E$1,FALSE)
               +Andel_beroende_av_klimat*VLOOKUP($A367,Leveranser_per_nät,'Leveranser per nät'!E$1,FALSE)/VLOOKUP($B367,Korrigeringsfaktor_GD,'Korrigeringsfaktor GD'!E$1,FALSE),
"")</f>
        <v>0</v>
      </c>
      <c r="F367" s="18">
        <f>IFERROR(
                  Andel_oberoende_av_klimat*VLOOKUP($A367,Leveranser_per_nät,'Leveranser per nät'!F$1,FALSE)
               +Andel_beroende_av_klimat*VLOOKUP($A367,Leveranser_per_nät,'Leveranser per nät'!F$1,FALSE)/VLOOKUP($B367,Korrigeringsfaktor_GD,'Korrigeringsfaktor GD'!F$1,FALSE),
"")</f>
        <v>0</v>
      </c>
      <c r="G367" s="18">
        <f>IFERROR(
                  Andel_oberoende_av_klimat*VLOOKUP($A367,Leveranser_per_nät,'Leveranser per nät'!G$1,FALSE)
               +Andel_beroende_av_klimat*VLOOKUP($A367,Leveranser_per_nät,'Leveranser per nät'!G$1,FALSE)/VLOOKUP($B367,Korrigeringsfaktor_GD,'Korrigeringsfaktor GD'!G$1,FALSE),
"")</f>
        <v>0</v>
      </c>
      <c r="H367" s="18">
        <f>IFERROR(
                  Andel_oberoende_av_klimat*VLOOKUP($A367,Leveranser_per_nät,'Leveranser per nät'!H$1,FALSE)
               +Andel_beroende_av_klimat*VLOOKUP($A367,Leveranser_per_nät,'Leveranser per nät'!H$1,FALSE)/VLOOKUP($B367,Korrigeringsfaktor_GD,'Korrigeringsfaktor GD'!H$1,FALSE),
"")</f>
        <v>0</v>
      </c>
      <c r="I367" s="18">
        <f>IFERROR(
                  Andel_oberoende_av_klimat*VLOOKUP($A367,Leveranser_per_nät,'Leveranser per nät'!I$1,FALSE)
               +Andel_beroende_av_klimat*VLOOKUP($A367,Leveranser_per_nät,'Leveranser per nät'!I$1,FALSE)/VLOOKUP($B367,Korrigeringsfaktor_GD,'Korrigeringsfaktor GD'!I$1,FALSE),
"")</f>
        <v>0</v>
      </c>
      <c r="J367" s="18">
        <f>IFERROR(
                  Andel_oberoende_av_klimat*VLOOKUP($A367,Leveranser_per_nät,'Leveranser per nät'!J$1,FALSE)
               +Andel_beroende_av_klimat*VLOOKUP($A367,Leveranser_per_nät,'Leveranser per nät'!J$1,FALSE)/VLOOKUP($B367,Korrigeringsfaktor_GD,'Korrigeringsfaktor GD'!J$1,FALSE),
"")</f>
        <v>0</v>
      </c>
      <c r="K367" s="18">
        <f>IFERROR(
                  Andel_oberoende_av_klimat*VLOOKUP($A367,Leveranser_per_nät,'Leveranser per nät'!K$1,FALSE)
               +Andel_beroende_av_klimat*VLOOKUP($A367,Leveranser_per_nät,'Leveranser per nät'!K$1,FALSE)/VLOOKUP($B367,Korrigeringsfaktor_GD,'Korrigeringsfaktor GD'!K$1,FALSE),
"")</f>
        <v>0</v>
      </c>
      <c r="L367" s="18">
        <f>IFERROR(
                  Andel_oberoende_av_klimat*VLOOKUP($A367,Leveranser_per_nät,'Leveranser per nät'!L$1,FALSE)
               +Andel_beroende_av_klimat*VLOOKUP($A367,Leveranser_per_nät,'Leveranser per nät'!L$1,FALSE)/VLOOKUP($B367,Korrigeringsfaktor_GD,'Korrigeringsfaktor GD'!L$1,FALSE),
"")</f>
        <v>0</v>
      </c>
      <c r="M367" s="18">
        <f>IFERROR(
                  Andel_oberoende_av_klimat*VLOOKUP($A367,Leveranser_per_nät,'Leveranser per nät'!M$1,FALSE)
               +Andel_beroende_av_klimat*VLOOKUP($A367,Leveranser_per_nät,'Leveranser per nät'!M$1,FALSE)/VLOOKUP($B367,Korrigeringsfaktor_GD,'Korrigeringsfaktor GD'!M$1,FALSE),
"")</f>
        <v>3.5008695652173909</v>
      </c>
      <c r="N367" s="18">
        <f>IFERROR(
                  Andel_oberoende_av_klimat*VLOOKUP($A367,Leveranser_per_nät,'Leveranser per nät'!N$1,FALSE)
               +Andel_beroende_av_klimat*VLOOKUP($A367,Leveranser_per_nät,'Leveranser per nät'!N$1,FALSE)/VLOOKUP($B367,Korrigeringsfaktor_GD,'Korrigeringsfaktor GD'!N$1,FALSE),
"")</f>
        <v>3.7722222222222221</v>
      </c>
      <c r="O367" s="18">
        <f>IFERROR(
                  Andel_oberoende_av_klimat*VLOOKUP($A367,Leveranser_per_nät,'Leveranser per nät'!O$1,FALSE)
               +Andel_beroende_av_klimat*VLOOKUP($A367,Leveranser_per_nät,'Leveranser per nät'!O$1,FALSE)/VLOOKUP($B367,Korrigeringsfaktor_GD,'Korrigeringsfaktor GD'!O$1,FALSE),
"")</f>
        <v>3.4768539325842696</v>
      </c>
      <c r="P367" s="18">
        <f>IFERROR(
                  Andel_oberoende_av_klimat*VLOOKUP($A367,Leveranser_per_nät,'Leveranser per nät'!P$1,FALSE)
               +Andel_beroende_av_klimat*VLOOKUP($A367,Leveranser_per_nät,'Leveranser per nät'!P$1,FALSE)/VLOOKUP($B367,Korrigeringsfaktor_GD,'Korrigeringsfaktor GD'!P$1,FALSE),
"")</f>
        <v>3.4485714285714284</v>
      </c>
      <c r="Q367" s="18">
        <f>IFERROR(
                  Andel_oberoende_av_klimat*VLOOKUP($A367,Leveranser_per_nät,'Leveranser per nät'!Q$1,FALSE)
               +Andel_beroende_av_klimat*VLOOKUP($A367,Leveranser_per_nät,'Leveranser per nät'!Q$1,FALSE)/VLOOKUP($B367,Korrigeringsfaktor_GD,'Korrigeringsfaktor GD'!Q$1,FALSE),
"")</f>
        <v>3.0369491525423729</v>
      </c>
      <c r="R367" s="18">
        <f>IFERROR(
                  Andel_oberoende_av_klimat*VLOOKUP($A367,Leveranser_per_nät,'Leveranser per nät'!R$1,FALSE)
               +Andel_beroende_av_klimat*VLOOKUP($A367,Leveranser_per_nät,'Leveranser per nät'!R$1,FALSE)/VLOOKUP($B367,Korrigeringsfaktor_GD,'Korrigeringsfaktor GD'!R$1,FALSE),
"")</f>
        <v>4.3838461538461537</v>
      </c>
      <c r="S367" s="18">
        <f>IFERROR(
                  Andel_oberoende_av_klimat*VLOOKUP($A367,Leveranser_per_nät,'Leveranser per nät'!S$1,FALSE)
               +Andel_beroende_av_klimat*VLOOKUP($A367,Leveranser_per_nät,'Leveranser per nät'!S$1,FALSE)/VLOOKUP($B367,Korrigeringsfaktor_GD,'Korrigeringsfaktor GD'!S$1,FALSE),
"")</f>
        <v>4.26</v>
      </c>
      <c r="T367" s="18">
        <f>IFERROR(
                  Andel_oberoende_av_klimat*VLOOKUP($A367,Leveranser_per_nät,'Leveranser per nät'!T$1,FALSE)
               +Andel_beroende_av_klimat*VLOOKUP($A367,Leveranser_per_nät,'Leveranser per nät'!T$1,FALSE)/VLOOKUP($B367,Korrigeringsfaktor_GD,'Korrigeringsfaktor GD'!T$1,FALSE),
"")</f>
        <v>4.4370237113402062</v>
      </c>
      <c r="U367" s="18">
        <f>IFERROR(
                  Andel_oberoende_av_klimat*VLOOKUP($A367,Leveranser_per_nät,'Leveranser per nät'!U$1,FALSE)
               +Andel_beroende_av_klimat*VLOOKUP($A367,Leveranser_per_nät,'Leveranser per nät'!U$1,FALSE)/VLOOKUP($B367,Korrigeringsfaktor_GD,'Korrigeringsfaktor GD'!U$1,FALSE),
"")</f>
        <v>4.416825581395349</v>
      </c>
      <c r="V367" s="18">
        <f>IFERROR(
                  Andel_oberoende_av_klimat*VLOOKUP($A367,Leveranser_per_nät,'Leveranser per nät'!V$1,FALSE)
               +Andel_beroende_av_klimat*VLOOKUP($A367,Leveranser_per_nät,'Leveranser per nät'!V$1,FALSE)/VLOOKUP($B367,Korrigeringsfaktor_GD,'Korrigeringsfaktor GD'!V$1,FALSE),
"")</f>
        <v>4.5592000000000006</v>
      </c>
      <c r="W367" s="18">
        <f>IFERROR(
                  Andel_oberoende_av_klimat*VLOOKUP($A367,Leveranser_per_nät,'Leveranser per nät'!W$1,FALSE)
               +Andel_beroende_av_klimat*VLOOKUP($A367,Leveranser_per_nät,'Leveranser per nät'!W$1,FALSE)/VLOOKUP($B367,Korrigeringsfaktor_GD,'Korrigeringsfaktor GD'!W$1,FALSE),
"")</f>
        <v>4.6430383082474229</v>
      </c>
      <c r="X367" s="18">
        <f>IFERROR(
                  Andel_oberoende_av_klimat*VLOOKUP($A367,Leveranser_per_nät,'Leveranser per nät'!X$1,FALSE)
               +Andel_beroende_av_klimat*VLOOKUP($A367,Leveranser_per_nät,'Leveranser per nät'!X$1,FALSE)/VLOOKUP($B367,Korrigeringsfaktor_GD,'Korrigeringsfaktor GD'!X$1,FALSE),
"")</f>
        <v>4.5666636166666663</v>
      </c>
      <c r="Y367" s="18">
        <f>IFERROR(
                  Andel_oberoende_av_klimat*VLOOKUP($A367,Leveranser_per_nät,'Leveranser per nät'!Y$1,FALSE)
               +Andel_beroende_av_klimat*VLOOKUP($A367,Leveranser_per_nät,'Leveranser per nät'!Y$1,FALSE)/VLOOKUP($B367,Korrigeringsfaktor_GD,'Korrigeringsfaktor GD'!Y$1,FALSE),
"")</f>
        <v>4.6160286250000002</v>
      </c>
      <c r="Z367" s="18">
        <f>IFERROR(
                  Andel_oberoende_av_klimat*VLOOKUP($A367,Leveranser_per_nät,'Leveranser per nät'!Z$1,FALSE)
               +Andel_beroende_av_klimat*VLOOKUP($A367,Leveranser_per_nät,'Leveranser per nät'!Z$1,FALSE)/VLOOKUP($B367,Korrigeringsfaktor_GD,'Korrigeringsfaktor GD'!Z$1,FALSE),
"")</f>
        <v>4.6917846153846146</v>
      </c>
      <c r="AA367" s="18">
        <f>IFERROR(
                  Andel_oberoende_av_klimat*VLOOKUP($A367,Leveranser_per_nät,'Leveranser per nät'!AA$1,FALSE)
               +Andel_beroende_av_klimat*VLOOKUP($A367,Leveranser_per_nät,'Leveranser per nät'!AA$1,FALSE)/VLOOKUP($B367,Korrigeringsfaktor_GD,'Korrigeringsfaktor GD'!AA$1,FALSE),
"")</f>
        <v>4.861732710280374</v>
      </c>
      <c r="AB367" s="18">
        <f>IFERROR(
                  Andel_oberoende_av_klimat*VLOOKUP($A367,Leveranser_per_nät,'Leveranser per nät'!AB$1,FALSE)
               +Andel_beroende_av_klimat*VLOOKUP($A367,Leveranser_per_nät,'Leveranser per nät'!AB$1,FALSE)/VLOOKUP($B367,Korrigeringsfaktor_GD,'Korrigeringsfaktor GD'!AB$1,FALSE),
"")</f>
        <v>4.4566125114496771</v>
      </c>
      <c r="AC367" s="18">
        <f>IFERROR(
                  Andel_oberoende_av_klimat*VLOOKUP($A367,Leveranser_per_nät,'Leveranser per nät'!AC$1,FALSE)
               +Andel_beroende_av_klimat*VLOOKUP($A367,Leveranser_per_nät,'Leveranser per nät'!AC$1,FALSE)/VLOOKUP($B367,Korrigeringsfaktor_GD,'Korrigeringsfaktor GD'!AC$1,FALSE),
"")</f>
        <v>4.2832102069306925</v>
      </c>
      <c r="AD367">
        <v>366.39353699999998</v>
      </c>
    </row>
    <row r="368" spans="1:30" x14ac:dyDescent="0.25">
      <c r="A368" t="s">
        <v>286</v>
      </c>
      <c r="B368" t="s">
        <v>285</v>
      </c>
      <c r="C368" s="18">
        <f>IFERROR(
                  Andel_oberoende_av_klimat*VLOOKUP($A368,Leveranser_per_nät,'Leveranser per nät'!C$1,FALSE)
               +Andel_beroende_av_klimat*VLOOKUP($A368,Leveranser_per_nät,'Leveranser per nät'!C$1,FALSE)/VLOOKUP($B368,Korrigeringsfaktor_GD,'Korrigeringsfaktor GD'!C$1,FALSE),
"")</f>
        <v>0</v>
      </c>
      <c r="D368" s="18">
        <f>IFERROR(
                  Andel_oberoende_av_klimat*VLOOKUP($A368,Leveranser_per_nät,'Leveranser per nät'!D$1,FALSE)
               +Andel_beroende_av_klimat*VLOOKUP($A368,Leveranser_per_nät,'Leveranser per nät'!D$1,FALSE)/VLOOKUP($B368,Korrigeringsfaktor_GD,'Korrigeringsfaktor GD'!D$1,FALSE),
"")</f>
        <v>0</v>
      </c>
      <c r="E368" s="18">
        <f>IFERROR(
                  Andel_oberoende_av_klimat*VLOOKUP($A368,Leveranser_per_nät,'Leveranser per nät'!E$1,FALSE)
               +Andel_beroende_av_klimat*VLOOKUP($A368,Leveranser_per_nät,'Leveranser per nät'!E$1,FALSE)/VLOOKUP($B368,Korrigeringsfaktor_GD,'Korrigeringsfaktor GD'!E$1,FALSE),
"")</f>
        <v>0</v>
      </c>
      <c r="F368" s="18">
        <f>IFERROR(
                  Andel_oberoende_av_klimat*VLOOKUP($A368,Leveranser_per_nät,'Leveranser per nät'!F$1,FALSE)
               +Andel_beroende_av_klimat*VLOOKUP($A368,Leveranser_per_nät,'Leveranser per nät'!F$1,FALSE)/VLOOKUP($B368,Korrigeringsfaktor_GD,'Korrigeringsfaktor GD'!F$1,FALSE),
"")</f>
        <v>0</v>
      </c>
      <c r="G368" s="18">
        <f>IFERROR(
                  Andel_oberoende_av_klimat*VLOOKUP($A368,Leveranser_per_nät,'Leveranser per nät'!G$1,FALSE)
               +Andel_beroende_av_klimat*VLOOKUP($A368,Leveranser_per_nät,'Leveranser per nät'!G$1,FALSE)/VLOOKUP($B368,Korrigeringsfaktor_GD,'Korrigeringsfaktor GD'!G$1,FALSE),
"")</f>
        <v>0</v>
      </c>
      <c r="H368" s="18">
        <f>IFERROR(
                  Andel_oberoende_av_klimat*VLOOKUP($A368,Leveranser_per_nät,'Leveranser per nät'!H$1,FALSE)
               +Andel_beroende_av_klimat*VLOOKUP($A368,Leveranser_per_nät,'Leveranser per nät'!H$1,FALSE)/VLOOKUP($B368,Korrigeringsfaktor_GD,'Korrigeringsfaktor GD'!H$1,FALSE),
"")</f>
        <v>0</v>
      </c>
      <c r="I368" s="18">
        <f>IFERROR(
                  Andel_oberoende_av_klimat*VLOOKUP($A368,Leveranser_per_nät,'Leveranser per nät'!I$1,FALSE)
               +Andel_beroende_av_klimat*VLOOKUP($A368,Leveranser_per_nät,'Leveranser per nät'!I$1,FALSE)/VLOOKUP($B368,Korrigeringsfaktor_GD,'Korrigeringsfaktor GD'!I$1,FALSE),
"")</f>
        <v>0</v>
      </c>
      <c r="J368" s="18">
        <f>IFERROR(
                  Andel_oberoende_av_klimat*VLOOKUP($A368,Leveranser_per_nät,'Leveranser per nät'!J$1,FALSE)
               +Andel_beroende_av_klimat*VLOOKUP($A368,Leveranser_per_nät,'Leveranser per nät'!J$1,FALSE)/VLOOKUP($B368,Korrigeringsfaktor_GD,'Korrigeringsfaktor GD'!J$1,FALSE),
"")</f>
        <v>0</v>
      </c>
      <c r="K368" s="18">
        <f>IFERROR(
                  Andel_oberoende_av_klimat*VLOOKUP($A368,Leveranser_per_nät,'Leveranser per nät'!K$1,FALSE)
               +Andel_beroende_av_klimat*VLOOKUP($A368,Leveranser_per_nät,'Leveranser per nät'!K$1,FALSE)/VLOOKUP($B368,Korrigeringsfaktor_GD,'Korrigeringsfaktor GD'!K$1,FALSE),
"")</f>
        <v>0</v>
      </c>
      <c r="L368" s="18">
        <f>IFERROR(
                  Andel_oberoende_av_klimat*VLOOKUP($A368,Leveranser_per_nät,'Leveranser per nät'!L$1,FALSE)
               +Andel_beroende_av_klimat*VLOOKUP($A368,Leveranser_per_nät,'Leveranser per nät'!L$1,FALSE)/VLOOKUP($B368,Korrigeringsfaktor_GD,'Korrigeringsfaktor GD'!L$1,FALSE),
"")</f>
        <v>11.418604166666668</v>
      </c>
      <c r="M368" s="18">
        <f>IFERROR(
                  Andel_oberoende_av_klimat*VLOOKUP($A368,Leveranser_per_nät,'Leveranser per nät'!M$1,FALSE)
               +Andel_beroende_av_klimat*VLOOKUP($A368,Leveranser_per_nät,'Leveranser per nät'!M$1,FALSE)/VLOOKUP($B368,Korrigeringsfaktor_GD,'Korrigeringsfaktor GD'!M$1,FALSE),
"")</f>
        <v>11.679575268817203</v>
      </c>
      <c r="N368" s="18">
        <f>IFERROR(
                  Andel_oberoende_av_klimat*VLOOKUP($A368,Leveranser_per_nät,'Leveranser per nät'!N$1,FALSE)
               +Andel_beroende_av_klimat*VLOOKUP($A368,Leveranser_per_nät,'Leveranser per nät'!N$1,FALSE)/VLOOKUP($B368,Korrigeringsfaktor_GD,'Korrigeringsfaktor GD'!N$1,FALSE),
"")</f>
        <v>11.679575268817203</v>
      </c>
      <c r="O368" s="18">
        <f>IFERROR(
                  Andel_oberoende_av_klimat*VLOOKUP($A368,Leveranser_per_nät,'Leveranser per nät'!O$1,FALSE)
               +Andel_beroende_av_klimat*VLOOKUP($A368,Leveranser_per_nät,'Leveranser per nät'!O$1,FALSE)/VLOOKUP($B368,Korrigeringsfaktor_GD,'Korrigeringsfaktor GD'!O$1,FALSE),
"")</f>
        <v>19.014044943820224</v>
      </c>
      <c r="P368" s="18">
        <f>IFERROR(
                  Andel_oberoende_av_klimat*VLOOKUP($A368,Leveranser_per_nät,'Leveranser per nät'!P$1,FALSE)
               +Andel_beroende_av_klimat*VLOOKUP($A368,Leveranser_per_nät,'Leveranser per nät'!P$1,FALSE)/VLOOKUP($B368,Korrigeringsfaktor_GD,'Korrigeringsfaktor GD'!P$1,FALSE),
"")</f>
        <v>0</v>
      </c>
      <c r="Q368" s="18">
        <f>IFERROR(
                  Andel_oberoende_av_klimat*VLOOKUP($A368,Leveranser_per_nät,'Leveranser per nät'!Q$1,FALSE)
               +Andel_beroende_av_klimat*VLOOKUP($A368,Leveranser_per_nät,'Leveranser per nät'!Q$1,FALSE)/VLOOKUP($B368,Korrigeringsfaktor_GD,'Korrigeringsfaktor GD'!Q$1,FALSE),
"")</f>
        <v>0</v>
      </c>
      <c r="R368" s="18">
        <f>IFERROR(
                  Andel_oberoende_av_klimat*VLOOKUP($A368,Leveranser_per_nät,'Leveranser per nät'!R$1,FALSE)
               +Andel_beroende_av_klimat*VLOOKUP($A368,Leveranser_per_nät,'Leveranser per nät'!R$1,FALSE)/VLOOKUP($B368,Korrigeringsfaktor_GD,'Korrigeringsfaktor GD'!R$1,FALSE),
"")</f>
        <v>0</v>
      </c>
      <c r="S368" s="18" t="str">
        <f>IFERROR(
                  Andel_oberoende_av_klimat*VLOOKUP($A368,Leveranser_per_nät,'Leveranser per nät'!S$1,FALSE)
               +Andel_beroende_av_klimat*VLOOKUP($A368,Leveranser_per_nät,'Leveranser per nät'!S$1,FALSE)/VLOOKUP($B368,Korrigeringsfaktor_GD,'Korrigeringsfaktor GD'!S$1,FALSE),
"")</f>
        <v/>
      </c>
      <c r="T368" s="18" t="str">
        <f>IFERROR(
                  Andel_oberoende_av_klimat*VLOOKUP($A368,Leveranser_per_nät,'Leveranser per nät'!T$1,FALSE)
               +Andel_beroende_av_klimat*VLOOKUP($A368,Leveranser_per_nät,'Leveranser per nät'!T$1,FALSE)/VLOOKUP($B368,Korrigeringsfaktor_GD,'Korrigeringsfaktor GD'!T$1,FALSE),
"")</f>
        <v/>
      </c>
      <c r="U368" s="18" t="str">
        <f>IFERROR(
                  Andel_oberoende_av_klimat*VLOOKUP($A368,Leveranser_per_nät,'Leveranser per nät'!U$1,FALSE)
               +Andel_beroende_av_klimat*VLOOKUP($A368,Leveranser_per_nät,'Leveranser per nät'!U$1,FALSE)/VLOOKUP($B368,Korrigeringsfaktor_GD,'Korrigeringsfaktor GD'!U$1,FALSE),
"")</f>
        <v/>
      </c>
      <c r="V368" s="18" t="str">
        <f>IFERROR(
                  Andel_oberoende_av_klimat*VLOOKUP($A368,Leveranser_per_nät,'Leveranser per nät'!V$1,FALSE)
               +Andel_beroende_av_klimat*VLOOKUP($A368,Leveranser_per_nät,'Leveranser per nät'!V$1,FALSE)/VLOOKUP($B368,Korrigeringsfaktor_GD,'Korrigeringsfaktor GD'!V$1,FALSE),
"")</f>
        <v/>
      </c>
      <c r="W368" s="18" t="str">
        <f>IFERROR(
                  Andel_oberoende_av_klimat*VLOOKUP($A368,Leveranser_per_nät,'Leveranser per nät'!W$1,FALSE)
               +Andel_beroende_av_klimat*VLOOKUP($A368,Leveranser_per_nät,'Leveranser per nät'!W$1,FALSE)/VLOOKUP($B368,Korrigeringsfaktor_GD,'Korrigeringsfaktor GD'!W$1,FALSE),
"")</f>
        <v/>
      </c>
      <c r="X368" s="18" t="str">
        <f>IFERROR(
                  Andel_oberoende_av_klimat*VLOOKUP($A368,Leveranser_per_nät,'Leveranser per nät'!X$1,FALSE)
               +Andel_beroende_av_klimat*VLOOKUP($A368,Leveranser_per_nät,'Leveranser per nät'!X$1,FALSE)/VLOOKUP($B368,Korrigeringsfaktor_GD,'Korrigeringsfaktor GD'!X$1,FALSE),
"")</f>
        <v/>
      </c>
      <c r="Y368" s="18" t="str">
        <f>IFERROR(
                  Andel_oberoende_av_klimat*VLOOKUP($A368,Leveranser_per_nät,'Leveranser per nät'!Y$1,FALSE)
               +Andel_beroende_av_klimat*VLOOKUP($A368,Leveranser_per_nät,'Leveranser per nät'!Y$1,FALSE)/VLOOKUP($B368,Korrigeringsfaktor_GD,'Korrigeringsfaktor GD'!Y$1,FALSE),
"")</f>
        <v/>
      </c>
      <c r="Z368" s="18">
        <f>IFERROR(
                  Andel_oberoende_av_klimat*VLOOKUP($A368,Leveranser_per_nät,'Leveranser per nät'!Z$1,FALSE)
               +Andel_beroende_av_klimat*VLOOKUP($A368,Leveranser_per_nät,'Leveranser per nät'!Z$1,FALSE)/VLOOKUP($B368,Korrigeringsfaktor_GD,'Korrigeringsfaktor GD'!Z$1,FALSE),
"")</f>
        <v>0</v>
      </c>
      <c r="AA368" s="18" t="str">
        <f>IFERROR(
                  Andel_oberoende_av_klimat*VLOOKUP($A368,Leveranser_per_nät,'Leveranser per nät'!AA$1,FALSE)
               +Andel_beroende_av_klimat*VLOOKUP($A368,Leveranser_per_nät,'Leveranser per nät'!AA$1,FALSE)/VLOOKUP($B368,Korrigeringsfaktor_GD,'Korrigeringsfaktor GD'!AA$1,FALSE),
"")</f>
        <v/>
      </c>
      <c r="AB368" s="18">
        <f>IFERROR(
                  Andel_oberoende_av_klimat*VLOOKUP($A368,Leveranser_per_nät,'Leveranser per nät'!AB$1,FALSE)
               +Andel_beroende_av_klimat*VLOOKUP($A368,Leveranser_per_nät,'Leveranser per nät'!AB$1,FALSE)/VLOOKUP($B368,Korrigeringsfaktor_GD,'Korrigeringsfaktor GD'!AB$1,FALSE),
"")</f>
        <v>0</v>
      </c>
      <c r="AC368" s="18">
        <f>IFERROR(
                  Andel_oberoende_av_klimat*VLOOKUP($A368,Leveranser_per_nät,'Leveranser per nät'!AC$1,FALSE)
               +Andel_beroende_av_klimat*VLOOKUP($A368,Leveranser_per_nät,'Leveranser per nät'!AC$1,FALSE)/VLOOKUP($B368,Korrigeringsfaktor_GD,'Korrigeringsfaktor GD'!AC$1,FALSE),
"")</f>
        <v>0</v>
      </c>
      <c r="AD368">
        <v>138.35900000000001</v>
      </c>
    </row>
    <row r="369" spans="1:30" x14ac:dyDescent="0.25">
      <c r="A369" t="s">
        <v>219</v>
      </c>
      <c r="B369" t="s">
        <v>219</v>
      </c>
      <c r="C369" s="18">
        <f>IFERROR(
                  Andel_oberoende_av_klimat*VLOOKUP($A369,Leveranser_per_nät,'Leveranser per nät'!C$1,FALSE)
               +Andel_beroende_av_klimat*VLOOKUP($A369,Leveranser_per_nät,'Leveranser per nät'!C$1,FALSE)/VLOOKUP("Stockholm-Bromma",Korrigeringsfaktor_GD,'Korrigeringsfaktor GD'!C$1,FALSE),
"")</f>
        <v>858.97207207207202</v>
      </c>
      <c r="D369" s="18">
        <f>IFERROR(
                  Andel_oberoende_av_klimat*VLOOKUP($A369,Leveranser_per_nät,'Leveranser per nät'!D$1,FALSE)
               +Andel_beroende_av_klimat*VLOOKUP($A369,Leveranser_per_nät,'Leveranser per nät'!D$1,FALSE)/VLOOKUP("Stockholm-Bromma",Korrigeringsfaktor_GD,'Korrigeringsfaktor GD'!D$1,FALSE),
"")</f>
        <v>870.14937373737371</v>
      </c>
      <c r="E369" s="18">
        <f>IFERROR(
                  Andel_oberoende_av_klimat*VLOOKUP($A369,Leveranser_per_nät,'Leveranser per nät'!E$1,FALSE)
               +Andel_beroende_av_klimat*VLOOKUP($A369,Leveranser_per_nät,'Leveranser per nät'!E$1,FALSE)/VLOOKUP("Stockholm-Bromma",Korrigeringsfaktor_GD,'Korrigeringsfaktor GD'!E$1,FALSE),
"")</f>
        <v>920.57524752475251</v>
      </c>
      <c r="F369" s="18">
        <f>IFERROR(
                  Andel_oberoende_av_klimat*VLOOKUP($A369,Leveranser_per_nät,'Leveranser per nät'!F$1,FALSE)
               +Andel_beroende_av_klimat*VLOOKUP($A369,Leveranser_per_nät,'Leveranser per nät'!F$1,FALSE)/VLOOKUP("Stockholm-Bromma",Korrigeringsfaktor_GD,'Korrigeringsfaktor GD'!F$1,FALSE),
"")</f>
        <v>945.3139784946236</v>
      </c>
      <c r="G369" s="18">
        <f>IFERROR(
                  Andel_oberoende_av_klimat*VLOOKUP($A369,Leveranser_per_nät,'Leveranser per nät'!G$1,FALSE)
               +Andel_beroende_av_klimat*VLOOKUP($A369,Leveranser_per_nät,'Leveranser per nät'!G$1,FALSE)/VLOOKUP("Stockholm-Bromma",Korrigeringsfaktor_GD,'Korrigeringsfaktor GD'!G$1,FALSE),
"")</f>
        <v>991.92873563218382</v>
      </c>
      <c r="H369" s="18">
        <f>IFERROR(
                  Andel_oberoende_av_klimat*VLOOKUP($A369,Leveranser_per_nät,'Leveranser per nät'!H$1,FALSE)
               +Andel_beroende_av_klimat*VLOOKUP($A369,Leveranser_per_nät,'Leveranser per nät'!H$1,FALSE)/VLOOKUP("Stockholm-Bromma",Korrigeringsfaktor_GD,'Korrigeringsfaktor GD'!H$1,FALSE),
"")</f>
        <v>980.81428571428569</v>
      </c>
      <c r="I369" s="18">
        <f>IFERROR(
                  Andel_oberoende_av_klimat*VLOOKUP($A369,Leveranser_per_nät,'Leveranser per nät'!I$1,FALSE)
               +Andel_beroende_av_klimat*VLOOKUP($A369,Leveranser_per_nät,'Leveranser per nät'!I$1,FALSE)/VLOOKUP("Stockholm-Bromma",Korrigeringsfaktor_GD,'Korrigeringsfaktor GD'!I$1,FALSE),
"")</f>
        <v>914.376288659794</v>
      </c>
      <c r="J369" s="18">
        <f>IFERROR(
                  Andel_oberoende_av_klimat*VLOOKUP($A369,Leveranser_per_nät,'Leveranser per nät'!J$1,FALSE)
               +Andel_beroende_av_klimat*VLOOKUP($A369,Leveranser_per_nät,'Leveranser per nät'!J$1,FALSE)/VLOOKUP("Stockholm-Bromma",Korrigeringsfaktor_GD,'Korrigeringsfaktor GD'!J$1,FALSE),
"")</f>
        <v>1015.1272727272726</v>
      </c>
      <c r="K369" s="18">
        <f>IFERROR(
                  Andel_oberoende_av_klimat*VLOOKUP($A369,Leveranser_per_nät,'Leveranser per nät'!K$1,FALSE)
               +Andel_beroende_av_klimat*VLOOKUP($A369,Leveranser_per_nät,'Leveranser per nät'!K$1,FALSE)/VLOOKUP("Stockholm-Bromma",Korrigeringsfaktor_GD,'Korrigeringsfaktor GD'!K$1,FALSE),
"")</f>
        <v>1011.0004428571428</v>
      </c>
      <c r="L369" s="18">
        <f>IFERROR(
                  Andel_oberoende_av_klimat*VLOOKUP($A369,Leveranser_per_nät,'Leveranser per nät'!L$1,FALSE)
               +Andel_beroende_av_klimat*VLOOKUP($A369,Leveranser_per_nät,'Leveranser per nät'!L$1,FALSE)/VLOOKUP("Stockholm-Bromma",Korrigeringsfaktor_GD,'Korrigeringsfaktor GD'!L$1,FALSE),
"")</f>
        <v>1014.8672736842104</v>
      </c>
      <c r="M369" s="18">
        <f>IFERROR(
                  Andel_oberoende_av_klimat*VLOOKUP($A369,Leveranser_per_nät,'Leveranser per nät'!M$1,FALSE)
               +Andel_beroende_av_klimat*VLOOKUP($A369,Leveranser_per_nät,'Leveranser per nät'!M$1,FALSE)/VLOOKUP("Stockholm-Bromma",Korrigeringsfaktor_GD,'Korrigeringsfaktor GD'!M$1,FALSE),
"")</f>
        <v>1030.476451612903</v>
      </c>
      <c r="N369" s="18">
        <f>IFERROR(
                  Andel_oberoende_av_klimat*VLOOKUP($A369,Leveranser_per_nät,'Leveranser per nät'!N$1,FALSE)
               +Andel_beroende_av_klimat*VLOOKUP($A369,Leveranser_per_nät,'Leveranser per nät'!N$1,FALSE)/VLOOKUP("Stockholm-Bromma",Korrigeringsfaktor_GD,'Korrigeringsfaktor GD'!N$1,FALSE),
"")</f>
        <v>1024.7787826086956</v>
      </c>
      <c r="O369" s="18">
        <f>IFERROR(
                  Andel_oberoende_av_klimat*VLOOKUP($A369,Leveranser_per_nät,'Leveranser per nät'!O$1,FALSE)
               +Andel_beroende_av_klimat*VLOOKUP($A369,Leveranser_per_nät,'Leveranser per nät'!O$1,FALSE)/VLOOKUP("Stockholm-Bromma",Korrigeringsfaktor_GD,'Korrigeringsfaktor GD'!O$1,FALSE),
"")</f>
        <v>1026.0695499999999</v>
      </c>
      <c r="P369" s="18">
        <f>IFERROR(
                  Andel_oberoende_av_klimat*VLOOKUP($A369,Leveranser_per_nät,'Leveranser per nät'!P$1,FALSE)
               +Andel_beroende_av_klimat*VLOOKUP($A369,Leveranser_per_nät,'Leveranser per nät'!P$1,FALSE)/VLOOKUP("Stockholm-Bromma",Korrigeringsfaktor_GD,'Korrigeringsfaktor GD'!P$1,FALSE),
"")</f>
        <v>1012.8663639175259</v>
      </c>
      <c r="Q369" s="18">
        <f>IFERROR(
                  Andel_oberoende_av_klimat*VLOOKUP($A369,Leveranser_per_nät,'Leveranser per nät'!Q$1,FALSE)
               +Andel_beroende_av_klimat*VLOOKUP($A369,Leveranser_per_nät,'Leveranser per nät'!Q$1,FALSE)/VLOOKUP("Stockholm-Bromma",Korrigeringsfaktor_GD,'Korrigeringsfaktor GD'!Q$1,FALSE),
"")</f>
        <v>1053.6619103448277</v>
      </c>
      <c r="R369" s="18">
        <f>IFERROR(
                  Andel_oberoende_av_klimat*VLOOKUP($A369,Leveranser_per_nät,'Leveranser per nät'!R$1,FALSE)
               +Andel_beroende_av_klimat*VLOOKUP($A369,Leveranser_per_nät,'Leveranser per nät'!R$1,FALSE)/VLOOKUP("Stockholm-Bromma",Korrigeringsfaktor_GD,'Korrigeringsfaktor GD'!R$1,FALSE),
"")</f>
        <v>1032.7934888888888</v>
      </c>
      <c r="S369" s="18">
        <f>IFERROR(
                  Andel_oberoende_av_klimat*VLOOKUP($A369,Leveranser_per_nät,'Leveranser per nät'!S$1,FALSE)
               +Andel_beroende_av_klimat*VLOOKUP($A369,Leveranser_per_nät,'Leveranser per nät'!S$1,FALSE)/VLOOKUP("Stockholm-Bromma",Korrigeringsfaktor_GD,'Korrigeringsfaktor GD'!S$1,FALSE),
"")</f>
        <v>1046.2</v>
      </c>
      <c r="T369" s="18">
        <f>IFERROR(
                  Andel_oberoende_av_klimat*VLOOKUP($A369,Leveranser_per_nät,'Leveranser per nät'!T$1,FALSE)
               +Andel_beroende_av_klimat*VLOOKUP($A369,Leveranser_per_nät,'Leveranser per nät'!T$1,FALSE)/VLOOKUP("Stockholm-Bromma",Korrigeringsfaktor_GD,'Korrigeringsfaktor GD'!T$1,FALSE),
"")</f>
        <v>1055.9250000000002</v>
      </c>
      <c r="U369" s="18">
        <f>IFERROR(
                  Andel_oberoende_av_klimat*VLOOKUP($A369,Leveranser_per_nät,'Leveranser per nät'!U$1,FALSE)
               +Andel_beroende_av_klimat*VLOOKUP($A369,Leveranser_per_nät,'Leveranser per nät'!U$1,FALSE)/VLOOKUP("Stockholm-Bromma",Korrigeringsfaktor_GD,'Korrigeringsfaktor GD'!U$1,FALSE),
"")</f>
        <v>1042.6634954545455</v>
      </c>
      <c r="V369" s="18">
        <f>IFERROR(
                  Andel_oberoende_av_klimat*VLOOKUP($A369,Leveranser_per_nät,'Leveranser per nät'!V$1,FALSE)
               +Andel_beroende_av_klimat*VLOOKUP($A369,Leveranser_per_nät,'Leveranser per nät'!V$1,FALSE)/VLOOKUP("Stockholm-Bromma",Korrigeringsfaktor_GD,'Korrigeringsfaktor GD'!V$1,FALSE),
"")</f>
        <v>1042.0154860465118</v>
      </c>
      <c r="W369" s="18">
        <f>IFERROR(
                  Andel_oberoende_av_klimat*VLOOKUP($A369,Leveranser_per_nät,'Leveranser per nät'!W$1,FALSE)
               +Andel_beroende_av_klimat*VLOOKUP($A369,Leveranser_per_nät,'Leveranser per nät'!W$1,FALSE)/VLOOKUP("Stockholm-Bromma",Korrigeringsfaktor_GD,'Korrigeringsfaktor GD'!W$1,FALSE),
"")</f>
        <v>1091.2569230769232</v>
      </c>
      <c r="X369" s="18">
        <f>IFERROR(
                  Andel_oberoende_av_klimat*VLOOKUP($A369,Leveranser_per_nät,'Leveranser per nät'!X$1,FALSE)
               +Andel_beroende_av_klimat*VLOOKUP($A369,Leveranser_per_nät,'Leveranser per nät'!X$1,FALSE)/VLOOKUP("Stockholm-Bromma",Korrigeringsfaktor_GD,'Korrigeringsfaktor GD'!X$1,FALSE),
"")</f>
        <v>1065.1324076923077</v>
      </c>
      <c r="Y369" s="18">
        <f>IFERROR(
                  Andel_oberoende_av_klimat*VLOOKUP($A369,Leveranser_per_nät,'Leveranser per nät'!Y$1,FALSE)
               +Andel_beroende_av_klimat*VLOOKUP($A369,Leveranser_per_nät,'Leveranser per nät'!Y$1,FALSE)/VLOOKUP($B369,Korrigeringsfaktor_GD,'Korrigeringsfaktor GD'!Y$1,FALSE),
"")</f>
        <v>1032.1974561357702</v>
      </c>
      <c r="Z369" s="18">
        <f>IFERROR(
                  Andel_oberoende_av_klimat*VLOOKUP($A369,Leveranser_per_nät,'Leveranser per nät'!Z$1,FALSE)
               +Andel_beroende_av_klimat*VLOOKUP($A369,Leveranser_per_nät,'Leveranser per nät'!Z$1,FALSE)/VLOOKUP($B369,Korrigeringsfaktor_GD,'Korrigeringsfaktor GD'!Z$1,FALSE),
"")</f>
        <v>1038.2180157181574</v>
      </c>
      <c r="AA369" s="18">
        <f>IFERROR(
                  Andel_oberoende_av_klimat*VLOOKUP($A369,Leveranser_per_nät,'Leveranser per nät'!AA$1,FALSE)
               +Andel_beroende_av_klimat*VLOOKUP($A369,Leveranser_per_nät,'Leveranser per nät'!AA$1,FALSE)/VLOOKUP($B369,Korrigeringsfaktor_GD,'Korrigeringsfaktor GD'!AA$1,FALSE),
"")</f>
        <v>946.1619379957674</v>
      </c>
      <c r="AB369" s="18">
        <f>IFERROR(
                  Andel_oberoende_av_klimat*VLOOKUP($A369,Leveranser_per_nät,'Leveranser per nät'!AB$1,FALSE)
               +Andel_beroende_av_klimat*VLOOKUP($A369,Leveranser_per_nät,'Leveranser per nät'!AB$1,FALSE)/VLOOKUP($B369,Korrigeringsfaktor_GD,'Korrigeringsfaktor GD'!AB$1,FALSE),
"")</f>
        <v>1024.4321700787402</v>
      </c>
      <c r="AC369" s="18">
        <f>IFERROR(
                  Andel_oberoende_av_klimat*VLOOKUP($A369,Leveranser_per_nät,'Leveranser per nät'!AC$1,FALSE)
               +Andel_beroende_av_klimat*VLOOKUP($A369,Leveranser_per_nät,'Leveranser per nät'!AC$1,FALSE)/VLOOKUP($B369,Korrigeringsfaktor_GD,'Korrigeringsfaktor GD'!AC$1,FALSE),
"")</f>
        <v>975.59610610376399</v>
      </c>
      <c r="AD369">
        <v>964</v>
      </c>
    </row>
    <row r="370" spans="1:30" x14ac:dyDescent="0.25">
      <c r="A370" t="s">
        <v>288</v>
      </c>
      <c r="B370" t="s">
        <v>288</v>
      </c>
      <c r="C370" s="18">
        <f>IFERROR(
                  Andel_oberoende_av_klimat*VLOOKUP($A370,Leveranser_per_nät,'Leveranser per nät'!C$1,FALSE)
               +Andel_beroende_av_klimat*VLOOKUP($A370,Leveranser_per_nät,'Leveranser per nät'!C$1,FALSE)/VLOOKUP($B370,Korrigeringsfaktor_GD,'Korrigeringsfaktor GD'!C$1,FALSE),
"")</f>
        <v>550.87407407407409</v>
      </c>
      <c r="D370" s="18">
        <f>IFERROR(
                  Andel_oberoende_av_klimat*VLOOKUP($A370,Leveranser_per_nät,'Leveranser per nät'!D$1,FALSE)
               +Andel_beroende_av_klimat*VLOOKUP($A370,Leveranser_per_nät,'Leveranser per nät'!D$1,FALSE)/VLOOKUP($B370,Korrigeringsfaktor_GD,'Korrigeringsfaktor GD'!D$1,FALSE),
"")</f>
        <v>547.28740425531919</v>
      </c>
      <c r="E370" s="18">
        <f>IFERROR(
                  Andel_oberoende_av_klimat*VLOOKUP($A370,Leveranser_per_nät,'Leveranser per nät'!E$1,FALSE)
               +Andel_beroende_av_klimat*VLOOKUP($A370,Leveranser_per_nät,'Leveranser per nät'!E$1,FALSE)/VLOOKUP($B370,Korrigeringsfaktor_GD,'Korrigeringsfaktor GD'!E$1,FALSE),
"")</f>
        <v>543.20891089108909</v>
      </c>
      <c r="F370" s="18">
        <f>IFERROR(
                  Andel_oberoende_av_klimat*VLOOKUP($A370,Leveranser_per_nät,'Leveranser per nät'!F$1,FALSE)
               +Andel_beroende_av_klimat*VLOOKUP($A370,Leveranser_per_nät,'Leveranser per nät'!F$1,FALSE)/VLOOKUP($B370,Korrigeringsfaktor_GD,'Korrigeringsfaktor GD'!F$1,FALSE),
"")</f>
        <v>549.86060606060607</v>
      </c>
      <c r="G370" s="18">
        <f>IFERROR(
                  Andel_oberoende_av_klimat*VLOOKUP($A370,Leveranser_per_nät,'Leveranser per nät'!G$1,FALSE)
               +Andel_beroende_av_klimat*VLOOKUP($A370,Leveranser_per_nät,'Leveranser per nät'!G$1,FALSE)/VLOOKUP($B370,Korrigeringsfaktor_GD,'Korrigeringsfaktor GD'!G$1,FALSE),
"")</f>
        <v>546.43333333333339</v>
      </c>
      <c r="H370" s="18">
        <f>IFERROR(
                  Andel_oberoende_av_klimat*VLOOKUP($A370,Leveranser_per_nät,'Leveranser per nät'!H$1,FALSE)
               +Andel_beroende_av_klimat*VLOOKUP($A370,Leveranser_per_nät,'Leveranser per nät'!H$1,FALSE)/VLOOKUP($B370,Korrigeringsfaktor_GD,'Korrigeringsfaktor GD'!H$1,FALSE),
"")</f>
        <v>572.38777070707079</v>
      </c>
      <c r="I370" s="18">
        <f>IFERROR(
                  Andel_oberoende_av_klimat*VLOOKUP($A370,Leveranser_per_nät,'Leveranser per nät'!I$1,FALSE)
               +Andel_beroende_av_klimat*VLOOKUP($A370,Leveranser_per_nät,'Leveranser per nät'!I$1,FALSE)/VLOOKUP($B370,Korrigeringsfaktor_GD,'Korrigeringsfaktor GD'!I$1,FALSE),
"")</f>
        <v>571.29999999999995</v>
      </c>
      <c r="J370" s="18">
        <f>IFERROR(
                  Andel_oberoende_av_klimat*VLOOKUP($A370,Leveranser_per_nät,'Leveranser per nät'!J$1,FALSE)
               +Andel_beroende_av_klimat*VLOOKUP($A370,Leveranser_per_nät,'Leveranser per nät'!J$1,FALSE)/VLOOKUP($B370,Korrigeringsfaktor_GD,'Korrigeringsfaktor GD'!J$1,FALSE),
"")</f>
        <v>574.16701030927834</v>
      </c>
      <c r="K370" s="18">
        <f>IFERROR(
                  Andel_oberoende_av_klimat*VLOOKUP($A370,Leveranser_per_nät,'Leveranser per nät'!K$1,FALSE)
               +Andel_beroende_av_klimat*VLOOKUP($A370,Leveranser_per_nät,'Leveranser per nät'!K$1,FALSE)/VLOOKUP($B370,Korrigeringsfaktor_GD,'Korrigeringsfaktor GD'!K$1,FALSE),
"")</f>
        <v>567.50308333333328</v>
      </c>
      <c r="L370" s="18">
        <f>IFERROR(
                  Andel_oberoende_av_klimat*VLOOKUP($A370,Leveranser_per_nät,'Leveranser per nät'!L$1,FALSE)
               +Andel_beroende_av_klimat*VLOOKUP($A370,Leveranser_per_nät,'Leveranser per nät'!L$1,FALSE)/VLOOKUP($B370,Korrigeringsfaktor_GD,'Korrigeringsfaktor GD'!L$1,FALSE),
"")</f>
        <v>562.50004680851066</v>
      </c>
      <c r="M370" s="18">
        <f>IFERROR(
                  Andel_oberoende_av_klimat*VLOOKUP($A370,Leveranser_per_nät,'Leveranser per nät'!M$1,FALSE)
               +Andel_beroende_av_klimat*VLOOKUP($A370,Leveranser_per_nät,'Leveranser per nät'!M$1,FALSE)/VLOOKUP($B370,Korrigeringsfaktor_GD,'Korrigeringsfaktor GD'!M$1,FALSE),
"")</f>
        <v>545.78882222222217</v>
      </c>
      <c r="N370" s="18">
        <f>IFERROR(
                  Andel_oberoende_av_klimat*VLOOKUP($A370,Leveranser_per_nät,'Leveranser per nät'!N$1,FALSE)
               +Andel_beroende_av_klimat*VLOOKUP($A370,Leveranser_per_nät,'Leveranser per nät'!N$1,FALSE)/VLOOKUP($B370,Korrigeringsfaktor_GD,'Korrigeringsfaktor GD'!N$1,FALSE),
"")</f>
        <v>537.71659130434773</v>
      </c>
      <c r="O370" s="18">
        <f>IFERROR(
                  Andel_oberoende_av_klimat*VLOOKUP($A370,Leveranser_per_nät,'Leveranser per nät'!O$1,FALSE)
               +Andel_beroende_av_klimat*VLOOKUP($A370,Leveranser_per_nät,'Leveranser per nät'!O$1,FALSE)/VLOOKUP($B370,Korrigeringsfaktor_GD,'Korrigeringsfaktor GD'!O$1,FALSE),
"")</f>
        <v>535.40340769230772</v>
      </c>
      <c r="P370" s="18">
        <f>IFERROR(
                  Andel_oberoende_av_klimat*VLOOKUP($A370,Leveranser_per_nät,'Leveranser per nät'!P$1,FALSE)
               +Andel_beroende_av_klimat*VLOOKUP($A370,Leveranser_per_nät,'Leveranser per nät'!P$1,FALSE)/VLOOKUP($B370,Korrigeringsfaktor_GD,'Korrigeringsfaktor GD'!P$1,FALSE),
"")</f>
        <v>570.76088571428568</v>
      </c>
      <c r="Q370" s="18">
        <f>IFERROR(
                  Andel_oberoende_av_klimat*VLOOKUP($A370,Leveranser_per_nät,'Leveranser per nät'!Q$1,FALSE)
               +Andel_beroende_av_klimat*VLOOKUP($A370,Leveranser_per_nät,'Leveranser per nät'!Q$1,FALSE)/VLOOKUP($B370,Korrigeringsfaktor_GD,'Korrigeringsfaktor GD'!Q$1,FALSE),
"")</f>
        <v>593.26532212389384</v>
      </c>
      <c r="R370" s="18">
        <f>IFERROR(
                  Andel_oberoende_av_klimat*VLOOKUP($A370,Leveranser_per_nät,'Leveranser per nät'!R$1,FALSE)
               +Andel_beroende_av_klimat*VLOOKUP($A370,Leveranser_per_nät,'Leveranser per nät'!R$1,FALSE)/VLOOKUP($B370,Korrigeringsfaktor_GD,'Korrigeringsfaktor GD'!R$1,FALSE),
"")</f>
        <v>779.57615384615383</v>
      </c>
      <c r="S370" s="18">
        <f>IFERROR(
                  Andel_oberoende_av_klimat*VLOOKUP($A370,Leveranser_per_nät,'Leveranser per nät'!S$1,FALSE)
               +Andel_beroende_av_klimat*VLOOKUP($A370,Leveranser_per_nät,'Leveranser per nät'!S$1,FALSE)/VLOOKUP($B370,Korrigeringsfaktor_GD,'Korrigeringsfaktor GD'!S$1,FALSE),
"")</f>
        <v>675.23625000000004</v>
      </c>
      <c r="T370" s="18">
        <f>IFERROR(
                  Andel_oberoende_av_klimat*VLOOKUP($A370,Leveranser_per_nät,'Leveranser per nät'!T$1,FALSE)
               +Andel_beroende_av_klimat*VLOOKUP($A370,Leveranser_per_nät,'Leveranser per nät'!T$1,FALSE)/VLOOKUP($B370,Korrigeringsfaktor_GD,'Korrigeringsfaktor GD'!T$1,FALSE),
"")</f>
        <v>683.09040752688168</v>
      </c>
      <c r="U370" s="18">
        <f>IFERROR(
                  Andel_oberoende_av_klimat*VLOOKUP($A370,Leveranser_per_nät,'Leveranser per nät'!U$1,FALSE)
               +Andel_beroende_av_klimat*VLOOKUP($A370,Leveranser_per_nät,'Leveranser per nät'!U$1,FALSE)/VLOOKUP($B370,Korrigeringsfaktor_GD,'Korrigeringsfaktor GD'!U$1,FALSE),
"")</f>
        <v>566.10632183908046</v>
      </c>
      <c r="V370" s="18">
        <f>IFERROR(
                  Andel_oberoende_av_klimat*VLOOKUP($A370,Leveranser_per_nät,'Leveranser per nät'!V$1,FALSE)
               +Andel_beroende_av_klimat*VLOOKUP($A370,Leveranser_per_nät,'Leveranser per nät'!V$1,FALSE)/VLOOKUP($B370,Korrigeringsfaktor_GD,'Korrigeringsfaktor GD'!V$1,FALSE),
"")</f>
        <v>567.57909999999993</v>
      </c>
      <c r="W370" s="18">
        <f>IFERROR(
                  Andel_oberoende_av_klimat*VLOOKUP($A370,Leveranser_per_nät,'Leveranser per nät'!W$1,FALSE)
               +Andel_beroende_av_klimat*VLOOKUP($A370,Leveranser_per_nät,'Leveranser per nät'!W$1,FALSE)/VLOOKUP($B370,Korrigeringsfaktor_GD,'Korrigeringsfaktor GD'!W$1,FALSE),
"")</f>
        <v>578.4217692307692</v>
      </c>
      <c r="X370" s="18">
        <f>IFERROR(
                  Andel_oberoende_av_klimat*VLOOKUP($A370,Leveranser_per_nät,'Leveranser per nät'!X$1,FALSE)
               +Andel_beroende_av_klimat*VLOOKUP($A370,Leveranser_per_nät,'Leveranser per nät'!X$1,FALSE)/VLOOKUP($B370,Korrigeringsfaktor_GD,'Korrigeringsfaktor GD'!X$1,FALSE),
"")</f>
        <v>566.40413440860209</v>
      </c>
      <c r="Y370" s="18">
        <f>IFERROR(
                  Andel_oberoende_av_klimat*VLOOKUP($A370,Leveranser_per_nät,'Leveranser per nät'!Y$1,FALSE)
               +Andel_beroende_av_klimat*VLOOKUP($A370,Leveranser_per_nät,'Leveranser per nät'!Y$1,FALSE)/VLOOKUP($B370,Korrigeringsfaktor_GD,'Korrigeringsfaktor GD'!Y$1,FALSE),
"")</f>
        <v>580.4873617021276</v>
      </c>
      <c r="Z370" s="18">
        <f>IFERROR(
                  Andel_oberoende_av_klimat*VLOOKUP($A370,Leveranser_per_nät,'Leveranser per nät'!Z$1,FALSE)
               +Andel_beroende_av_klimat*VLOOKUP($A370,Leveranser_per_nät,'Leveranser per nät'!Z$1,FALSE)/VLOOKUP($B370,Korrigeringsfaktor_GD,'Korrigeringsfaktor GD'!Z$1,FALSE),
"")</f>
        <v>585.05313846153842</v>
      </c>
      <c r="AA370" s="18">
        <f>IFERROR(
                  Andel_oberoende_av_klimat*VLOOKUP($A370,Leveranser_per_nät,'Leveranser per nät'!AA$1,FALSE)
               +Andel_beroende_av_klimat*VLOOKUP($A370,Leveranser_per_nät,'Leveranser per nät'!AA$1,FALSE)/VLOOKUP($B370,Korrigeringsfaktor_GD,'Korrigeringsfaktor GD'!AA$1,FALSE),
"")</f>
        <v>539.94455987381707</v>
      </c>
      <c r="AB370" s="18">
        <f>IFERROR(
                  Andel_oberoende_av_klimat*VLOOKUP($A370,Leveranser_per_nät,'Leveranser per nät'!AB$1,FALSE)
               +Andel_beroende_av_klimat*VLOOKUP($A370,Leveranser_per_nät,'Leveranser per nät'!AB$1,FALSE)/VLOOKUP($B370,Korrigeringsfaktor_GD,'Korrigeringsfaktor GD'!AB$1,FALSE),
"")</f>
        <v>569.39677887323933</v>
      </c>
      <c r="AC370" s="18">
        <f>IFERROR(
                  Andel_oberoende_av_klimat*VLOOKUP($A370,Leveranser_per_nät,'Leveranser per nät'!AC$1,FALSE)
               +Andel_beroende_av_klimat*VLOOKUP($A370,Leveranser_per_nät,'Leveranser per nät'!AC$1,FALSE)/VLOOKUP($B370,Korrigeringsfaktor_GD,'Korrigeringsfaktor GD'!AC$1,FALSE),
"")</f>
        <v>541.63032621868365</v>
      </c>
      <c r="AD370">
        <v>513.26678000000004</v>
      </c>
    </row>
    <row r="371" spans="1:30" x14ac:dyDescent="0.25">
      <c r="A371" t="s">
        <v>236</v>
      </c>
      <c r="B371" t="s">
        <v>236</v>
      </c>
      <c r="C371" s="18">
        <f>IFERROR(
                  Andel_oberoende_av_klimat*VLOOKUP($A371,Leveranser_per_nät,'Leveranser per nät'!C$1,FALSE)
               +Andel_beroende_av_klimat*VLOOKUP($A371,Leveranser_per_nät,'Leveranser per nät'!C$1,FALSE)/VLOOKUP($B371,Korrigeringsfaktor_GD,'Korrigeringsfaktor GD'!C$1,FALSE),
"")</f>
        <v>0</v>
      </c>
      <c r="D371" s="18">
        <f>IFERROR(
                  Andel_oberoende_av_klimat*VLOOKUP($A371,Leveranser_per_nät,'Leveranser per nät'!D$1,FALSE)
               +Andel_beroende_av_klimat*VLOOKUP($A371,Leveranser_per_nät,'Leveranser per nät'!D$1,FALSE)/VLOOKUP($B371,Korrigeringsfaktor_GD,'Korrigeringsfaktor GD'!D$1,FALSE),
"")</f>
        <v>0</v>
      </c>
      <c r="E371" s="18">
        <f>IFERROR(
                  Andel_oberoende_av_klimat*VLOOKUP($A371,Leveranser_per_nät,'Leveranser per nät'!E$1,FALSE)
               +Andel_beroende_av_klimat*VLOOKUP($A371,Leveranser_per_nät,'Leveranser per nät'!E$1,FALSE)/VLOOKUP($B371,Korrigeringsfaktor_GD,'Korrigeringsfaktor GD'!E$1,FALSE),
"")</f>
        <v>0</v>
      </c>
      <c r="F371" s="18">
        <f>IFERROR(
                  Andel_oberoende_av_klimat*VLOOKUP($A371,Leveranser_per_nät,'Leveranser per nät'!F$1,FALSE)
               +Andel_beroende_av_klimat*VLOOKUP($A371,Leveranser_per_nät,'Leveranser per nät'!F$1,FALSE)/VLOOKUP($B371,Korrigeringsfaktor_GD,'Korrigeringsfaktor GD'!F$1,FALSE),
"")</f>
        <v>0</v>
      </c>
      <c r="G371" s="18">
        <f>IFERROR(
                  Andel_oberoende_av_klimat*VLOOKUP($A371,Leveranser_per_nät,'Leveranser per nät'!G$1,FALSE)
               +Andel_beroende_av_klimat*VLOOKUP($A371,Leveranser_per_nät,'Leveranser per nät'!G$1,FALSE)/VLOOKUP($B371,Korrigeringsfaktor_GD,'Korrigeringsfaktor GD'!G$1,FALSE),
"")</f>
        <v>32.304651162790698</v>
      </c>
      <c r="H371" s="18">
        <f>IFERROR(
                  Andel_oberoende_av_klimat*VLOOKUP($A371,Leveranser_per_nät,'Leveranser per nät'!H$1,FALSE)
               +Andel_beroende_av_klimat*VLOOKUP($A371,Leveranser_per_nät,'Leveranser per nät'!H$1,FALSE)/VLOOKUP($B371,Korrigeringsfaktor_GD,'Korrigeringsfaktor GD'!H$1,FALSE),
"")</f>
        <v>30.081372549019608</v>
      </c>
      <c r="I371" s="18">
        <f>IFERROR(
                  Andel_oberoende_av_klimat*VLOOKUP($A371,Leveranser_per_nät,'Leveranser per nät'!I$1,FALSE)
               +Andel_beroende_av_klimat*VLOOKUP($A371,Leveranser_per_nät,'Leveranser per nät'!I$1,FALSE)/VLOOKUP($B371,Korrigeringsfaktor_GD,'Korrigeringsfaktor GD'!I$1,FALSE),
"")</f>
        <v>32.457142857142856</v>
      </c>
      <c r="J371" s="18">
        <f>IFERROR(
                  Andel_oberoende_av_klimat*VLOOKUP($A371,Leveranser_per_nät,'Leveranser per nät'!J$1,FALSE)
               +Andel_beroende_av_klimat*VLOOKUP($A371,Leveranser_per_nät,'Leveranser per nät'!J$1,FALSE)/VLOOKUP($B371,Korrigeringsfaktor_GD,'Korrigeringsfaktor GD'!J$1,FALSE),
"")</f>
        <v>34.415728571428573</v>
      </c>
      <c r="K371" s="18">
        <f>IFERROR(
                  Andel_oberoende_av_klimat*VLOOKUP($A371,Leveranser_per_nät,'Leveranser per nät'!K$1,FALSE)
               +Andel_beroende_av_klimat*VLOOKUP($A371,Leveranser_per_nät,'Leveranser per nät'!K$1,FALSE)/VLOOKUP($B371,Korrigeringsfaktor_GD,'Korrigeringsfaktor GD'!K$1,FALSE),
"")</f>
        <v>33.880961855670101</v>
      </c>
      <c r="L371" s="18">
        <f>IFERROR(
                  Andel_oberoende_av_klimat*VLOOKUP($A371,Leveranser_per_nät,'Leveranser per nät'!L$1,FALSE)
               +Andel_beroende_av_klimat*VLOOKUP($A371,Leveranser_per_nät,'Leveranser per nät'!L$1,FALSE)/VLOOKUP($B371,Korrigeringsfaktor_GD,'Korrigeringsfaktor GD'!L$1,FALSE),
"")</f>
        <v>32.374372043010752</v>
      </c>
      <c r="M371" s="18">
        <f>IFERROR(
                  Andel_oberoende_av_klimat*VLOOKUP($A371,Leveranser_per_nät,'Leveranser per nät'!M$1,FALSE)
               +Andel_beroende_av_klimat*VLOOKUP($A371,Leveranser_per_nät,'Leveranser per nät'!M$1,FALSE)/VLOOKUP($B371,Korrigeringsfaktor_GD,'Korrigeringsfaktor GD'!M$1,FALSE),
"")</f>
        <v>33.847659574468082</v>
      </c>
      <c r="N371" s="18">
        <f>IFERROR(
                  Andel_oberoende_av_klimat*VLOOKUP($A371,Leveranser_per_nät,'Leveranser per nät'!N$1,FALSE)
               +Andel_beroende_av_klimat*VLOOKUP($A371,Leveranser_per_nät,'Leveranser per nät'!N$1,FALSE)/VLOOKUP($B371,Korrigeringsfaktor_GD,'Korrigeringsfaktor GD'!N$1,FALSE),
"")</f>
        <v>32.113489361702122</v>
      </c>
      <c r="O371" s="18">
        <f>IFERROR(
                  Andel_oberoende_av_klimat*VLOOKUP($A371,Leveranser_per_nät,'Leveranser per nät'!O$1,FALSE)
               +Andel_beroende_av_klimat*VLOOKUP($A371,Leveranser_per_nät,'Leveranser per nät'!O$1,FALSE)/VLOOKUP($B371,Korrigeringsfaktor_GD,'Korrigeringsfaktor GD'!O$1,FALSE),
"")</f>
        <v>35.137703076923074</v>
      </c>
      <c r="P371" s="18">
        <f>IFERROR(
                  Andel_oberoende_av_klimat*VLOOKUP($A371,Leveranser_per_nät,'Leveranser per nät'!P$1,FALSE)
               +Andel_beroende_av_klimat*VLOOKUP($A371,Leveranser_per_nät,'Leveranser per nät'!P$1,FALSE)/VLOOKUP($B371,Korrigeringsfaktor_GD,'Korrigeringsfaktor GD'!P$1,FALSE),
"")</f>
        <v>35.110999999999997</v>
      </c>
      <c r="Q371" s="18">
        <f>IFERROR(
                  Andel_oberoende_av_klimat*VLOOKUP($A371,Leveranser_per_nät,'Leveranser per nät'!Q$1,FALSE)
               +Andel_beroende_av_klimat*VLOOKUP($A371,Leveranser_per_nät,'Leveranser per nät'!Q$1,FALSE)/VLOOKUP($B371,Korrigeringsfaktor_GD,'Korrigeringsfaktor GD'!Q$1,FALSE),
"")</f>
        <v>37.271241176470589</v>
      </c>
      <c r="R371" s="18">
        <f>IFERROR(
                  Andel_oberoende_av_klimat*VLOOKUP($A371,Leveranser_per_nät,'Leveranser per nät'!R$1,FALSE)
               +Andel_beroende_av_klimat*VLOOKUP($A371,Leveranser_per_nät,'Leveranser per nät'!R$1,FALSE)/VLOOKUP($B371,Korrigeringsfaktor_GD,'Korrigeringsfaktor GD'!R$1,FALSE),
"")</f>
        <v>34.913455913978488</v>
      </c>
      <c r="S371" s="18">
        <f>IFERROR(
                  Andel_oberoende_av_klimat*VLOOKUP($A371,Leveranser_per_nät,'Leveranser per nät'!S$1,FALSE)
               +Andel_beroende_av_klimat*VLOOKUP($A371,Leveranser_per_nät,'Leveranser per nät'!S$1,FALSE)/VLOOKUP($B371,Korrigeringsfaktor_GD,'Korrigeringsfaktor GD'!S$1,FALSE),
"")</f>
        <v>35</v>
      </c>
      <c r="T371" s="18">
        <f>IFERROR(
                  Andel_oberoende_av_klimat*VLOOKUP($A371,Leveranser_per_nät,'Leveranser per nät'!T$1,FALSE)
               +Andel_beroende_av_klimat*VLOOKUP($A371,Leveranser_per_nät,'Leveranser per nät'!T$1,FALSE)/VLOOKUP($B371,Korrigeringsfaktor_GD,'Korrigeringsfaktor GD'!T$1,FALSE),
"")</f>
        <v>35.614701030927833</v>
      </c>
      <c r="U371" s="18">
        <f>IFERROR(
                  Andel_oberoende_av_klimat*VLOOKUP($A371,Leveranser_per_nät,'Leveranser per nät'!U$1,FALSE)
               +Andel_beroende_av_klimat*VLOOKUP($A371,Leveranser_per_nät,'Leveranser per nät'!U$1,FALSE)/VLOOKUP($B371,Korrigeringsfaktor_GD,'Korrigeringsfaktor GD'!U$1,FALSE),
"")</f>
        <v>35.831427906976742</v>
      </c>
      <c r="V371" s="18">
        <f>IFERROR(
                  Andel_oberoende_av_klimat*VLOOKUP($A371,Leveranser_per_nät,'Leveranser per nät'!V$1,FALSE)
               +Andel_beroende_av_klimat*VLOOKUP($A371,Leveranser_per_nät,'Leveranser per nät'!V$1,FALSE)/VLOOKUP($B371,Korrigeringsfaktor_GD,'Korrigeringsfaktor GD'!V$1,FALSE),
"")</f>
        <v>35.773567415730334</v>
      </c>
      <c r="W371" s="18">
        <f>IFERROR(
                  Andel_oberoende_av_klimat*VLOOKUP($A371,Leveranser_per_nät,'Leveranser per nät'!W$1,FALSE)
               +Andel_beroende_av_klimat*VLOOKUP($A371,Leveranser_per_nät,'Leveranser per nät'!W$1,FALSE)/VLOOKUP($B371,Korrigeringsfaktor_GD,'Korrigeringsfaktor GD'!W$1,FALSE),
"")</f>
        <v>38.026382978723404</v>
      </c>
      <c r="X371" s="18">
        <f>IFERROR(
                  Andel_oberoende_av_klimat*VLOOKUP($A371,Leveranser_per_nät,'Leveranser per nät'!X$1,FALSE)
               +Andel_beroende_av_klimat*VLOOKUP($A371,Leveranser_per_nät,'Leveranser per nät'!X$1,FALSE)/VLOOKUP($B371,Korrigeringsfaktor_GD,'Korrigeringsfaktor GD'!X$1,FALSE),
"")</f>
        <v>37.015263157894744</v>
      </c>
      <c r="Y371" s="18">
        <f>IFERROR(
                  Andel_oberoende_av_klimat*VLOOKUP($A371,Leveranser_per_nät,'Leveranser per nät'!Y$1,FALSE)
               +Andel_beroende_av_klimat*VLOOKUP($A371,Leveranser_per_nät,'Leveranser per nät'!Y$1,FALSE)/VLOOKUP($B371,Korrigeringsfaktor_GD,'Korrigeringsfaktor GD'!Y$1,FALSE),
"")</f>
        <v>36.877234042553191</v>
      </c>
      <c r="Z371" s="18">
        <f>IFERROR(
                  Andel_oberoende_av_klimat*VLOOKUP($A371,Leveranser_per_nät,'Leveranser per nät'!Z$1,FALSE)
               +Andel_beroende_av_klimat*VLOOKUP($A371,Leveranser_per_nät,'Leveranser per nät'!Z$1,FALSE)/VLOOKUP($B371,Korrigeringsfaktor_GD,'Korrigeringsfaktor GD'!Z$1,FALSE),
"")</f>
        <v>34.181428571428576</v>
      </c>
      <c r="AA371" s="18">
        <f>IFERROR(
                  Andel_oberoende_av_klimat*VLOOKUP($A371,Leveranser_per_nät,'Leveranser per nät'!AA$1,FALSE)
               +Andel_beroende_av_klimat*VLOOKUP($A371,Leveranser_per_nät,'Leveranser per nät'!AA$1,FALSE)/VLOOKUP($B371,Korrigeringsfaktor_GD,'Korrigeringsfaktor GD'!AA$1,FALSE),
"")</f>
        <v>32.462512039660055</v>
      </c>
      <c r="AB371" s="18">
        <f>IFERROR(
                  Andel_oberoende_av_klimat*VLOOKUP($A371,Leveranser_per_nät,'Leveranser per nät'!AB$1,FALSE)
               +Andel_beroende_av_klimat*VLOOKUP($A371,Leveranser_per_nät,'Leveranser per nät'!AB$1,FALSE)/VLOOKUP($B371,Korrigeringsfaktor_GD,'Korrigeringsfaktor GD'!AB$1,FALSE),
"")</f>
        <v>35.80106065411298</v>
      </c>
      <c r="AC371" s="18">
        <f>IFERROR(
                  Andel_oberoende_av_klimat*VLOOKUP($A371,Leveranser_per_nät,'Leveranser per nät'!AC$1,FALSE)
               +Andel_beroende_av_klimat*VLOOKUP($A371,Leveranser_per_nät,'Leveranser per nät'!AC$1,FALSE)/VLOOKUP($B371,Korrigeringsfaktor_GD,'Korrigeringsfaktor GD'!AC$1,FALSE),
"")</f>
        <v>34.580692592592591</v>
      </c>
      <c r="AD371">
        <v>33.226999999999997</v>
      </c>
    </row>
    <row r="372" spans="1:30" x14ac:dyDescent="0.25">
      <c r="A372" t="s">
        <v>712</v>
      </c>
      <c r="B372" t="s">
        <v>520</v>
      </c>
      <c r="C372" s="18">
        <f>IFERROR(
                  Andel_oberoende_av_klimat*VLOOKUP($A372,Leveranser_per_nät,'Leveranser per nät'!C$1,FALSE)
               +Andel_beroende_av_klimat*VLOOKUP($A372,Leveranser_per_nät,'Leveranser per nät'!C$1,FALSE)/VLOOKUP($B372,Korrigeringsfaktor_GD,'Korrigeringsfaktor GD'!C$1,FALSE),
"")</f>
        <v>0</v>
      </c>
      <c r="D372" s="18">
        <f>IFERROR(
                  Andel_oberoende_av_klimat*VLOOKUP($A372,Leveranser_per_nät,'Leveranser per nät'!D$1,FALSE)
               +Andel_beroende_av_klimat*VLOOKUP($A372,Leveranser_per_nät,'Leveranser per nät'!D$1,FALSE)/VLOOKUP($B372,Korrigeringsfaktor_GD,'Korrigeringsfaktor GD'!D$1,FALSE),
"")</f>
        <v>0</v>
      </c>
      <c r="E372" s="18">
        <f>IFERROR(
                  Andel_oberoende_av_klimat*VLOOKUP($A372,Leveranser_per_nät,'Leveranser per nät'!E$1,FALSE)
               +Andel_beroende_av_klimat*VLOOKUP($A372,Leveranser_per_nät,'Leveranser per nät'!E$1,FALSE)/VLOOKUP($B372,Korrigeringsfaktor_GD,'Korrigeringsfaktor GD'!E$1,FALSE),
"")</f>
        <v>0</v>
      </c>
      <c r="F372" s="18">
        <f>IFERROR(
                  Andel_oberoende_av_klimat*VLOOKUP($A372,Leveranser_per_nät,'Leveranser per nät'!F$1,FALSE)
               +Andel_beroende_av_klimat*VLOOKUP($A372,Leveranser_per_nät,'Leveranser per nät'!F$1,FALSE)/VLOOKUP($B372,Korrigeringsfaktor_GD,'Korrigeringsfaktor GD'!F$1,FALSE),
"")</f>
        <v>0</v>
      </c>
      <c r="G372" s="18">
        <f>IFERROR(
                  Andel_oberoende_av_klimat*VLOOKUP($A372,Leveranser_per_nät,'Leveranser per nät'!G$1,FALSE)
               +Andel_beroende_av_klimat*VLOOKUP($A372,Leveranser_per_nät,'Leveranser per nät'!G$1,FALSE)/VLOOKUP($B372,Korrigeringsfaktor_GD,'Korrigeringsfaktor GD'!G$1,FALSE),
"")</f>
        <v>0</v>
      </c>
      <c r="H372" s="18">
        <f>IFERROR(
                  Andel_oberoende_av_klimat*VLOOKUP($A372,Leveranser_per_nät,'Leveranser per nät'!H$1,FALSE)
               +Andel_beroende_av_klimat*VLOOKUP($A372,Leveranser_per_nät,'Leveranser per nät'!H$1,FALSE)/VLOOKUP($B372,Korrigeringsfaktor_GD,'Korrigeringsfaktor GD'!H$1,FALSE),
"")</f>
        <v>0</v>
      </c>
      <c r="I372" s="18">
        <f>IFERROR(
                  Andel_oberoende_av_klimat*VLOOKUP($A372,Leveranser_per_nät,'Leveranser per nät'!I$1,FALSE)
               +Andel_beroende_av_klimat*VLOOKUP($A372,Leveranser_per_nät,'Leveranser per nät'!I$1,FALSE)/VLOOKUP($B372,Korrigeringsfaktor_GD,'Korrigeringsfaktor GD'!I$1,FALSE),
"")</f>
        <v>0</v>
      </c>
      <c r="J372" s="18">
        <f>IFERROR(
                  Andel_oberoende_av_klimat*VLOOKUP($A372,Leveranser_per_nät,'Leveranser per nät'!J$1,FALSE)
               +Andel_beroende_av_klimat*VLOOKUP($A372,Leveranser_per_nät,'Leveranser per nät'!J$1,FALSE)/VLOOKUP($B372,Korrigeringsfaktor_GD,'Korrigeringsfaktor GD'!J$1,FALSE),
"")</f>
        <v>0</v>
      </c>
      <c r="K372" s="18">
        <f>IFERROR(
                  Andel_oberoende_av_klimat*VLOOKUP($A372,Leveranser_per_nät,'Leveranser per nät'!K$1,FALSE)
               +Andel_beroende_av_klimat*VLOOKUP($A372,Leveranser_per_nät,'Leveranser per nät'!K$1,FALSE)/VLOOKUP($B372,Korrigeringsfaktor_GD,'Korrigeringsfaktor GD'!K$1,FALSE),
"")</f>
        <v>0</v>
      </c>
      <c r="L372" s="18">
        <f>IFERROR(
                  Andel_oberoende_av_klimat*VLOOKUP($A372,Leveranser_per_nät,'Leveranser per nät'!L$1,FALSE)
               +Andel_beroende_av_klimat*VLOOKUP($A372,Leveranser_per_nät,'Leveranser per nät'!L$1,FALSE)/VLOOKUP($B372,Korrigeringsfaktor_GD,'Korrigeringsfaktor GD'!L$1,FALSE),
"")</f>
        <v>0</v>
      </c>
      <c r="M372" s="18">
        <f>IFERROR(
                  Andel_oberoende_av_klimat*VLOOKUP($A372,Leveranser_per_nät,'Leveranser per nät'!M$1,FALSE)
               +Andel_beroende_av_klimat*VLOOKUP($A372,Leveranser_per_nät,'Leveranser per nät'!M$1,FALSE)/VLOOKUP($B372,Korrigeringsfaktor_GD,'Korrigeringsfaktor GD'!M$1,FALSE),
"")</f>
        <v>0</v>
      </c>
      <c r="N372" s="18">
        <f>IFERROR(
                  Andel_oberoende_av_klimat*VLOOKUP($A372,Leveranser_per_nät,'Leveranser per nät'!N$1,FALSE)
               +Andel_beroende_av_klimat*VLOOKUP($A372,Leveranser_per_nät,'Leveranser per nät'!N$1,FALSE)/VLOOKUP($B372,Korrigeringsfaktor_GD,'Korrigeringsfaktor GD'!N$1,FALSE),
"")</f>
        <v>0</v>
      </c>
      <c r="O372" s="18">
        <f>IFERROR(
                  Andel_oberoende_av_klimat*VLOOKUP($A372,Leveranser_per_nät,'Leveranser per nät'!O$1,FALSE)
               +Andel_beroende_av_klimat*VLOOKUP($A372,Leveranser_per_nät,'Leveranser per nät'!O$1,FALSE)/VLOOKUP($B372,Korrigeringsfaktor_GD,'Korrigeringsfaktor GD'!O$1,FALSE),
"")</f>
        <v>0</v>
      </c>
      <c r="P372" s="18">
        <f>IFERROR(
                  Andel_oberoende_av_klimat*VLOOKUP($A372,Leveranser_per_nät,'Leveranser per nät'!P$1,FALSE)
               +Andel_beroende_av_klimat*VLOOKUP($A372,Leveranser_per_nät,'Leveranser per nät'!P$1,FALSE)/VLOOKUP($B372,Korrigeringsfaktor_GD,'Korrigeringsfaktor GD'!P$1,FALSE),
"")</f>
        <v>0</v>
      </c>
      <c r="Q372" s="18">
        <f>IFERROR(
                  Andel_oberoende_av_klimat*VLOOKUP($A372,Leveranser_per_nät,'Leveranser per nät'!Q$1,FALSE)
               +Andel_beroende_av_klimat*VLOOKUP($A372,Leveranser_per_nät,'Leveranser per nät'!Q$1,FALSE)/VLOOKUP($B372,Korrigeringsfaktor_GD,'Korrigeringsfaktor GD'!Q$1,FALSE),
"")</f>
        <v>0</v>
      </c>
      <c r="R372" s="18">
        <f>IFERROR(
                  Andel_oberoende_av_klimat*VLOOKUP($A372,Leveranser_per_nät,'Leveranser per nät'!R$1,FALSE)
               +Andel_beroende_av_klimat*VLOOKUP($A372,Leveranser_per_nät,'Leveranser per nät'!R$1,FALSE)/VLOOKUP($B372,Korrigeringsfaktor_GD,'Korrigeringsfaktor GD'!R$1,FALSE),
"")</f>
        <v>0</v>
      </c>
      <c r="S372" s="18" t="str">
        <f>IFERROR(
                  Andel_oberoende_av_klimat*VLOOKUP($A372,Leveranser_per_nät,'Leveranser per nät'!S$1,FALSE)
               +Andel_beroende_av_klimat*VLOOKUP($A372,Leveranser_per_nät,'Leveranser per nät'!S$1,FALSE)/VLOOKUP($B372,Korrigeringsfaktor_GD,'Korrigeringsfaktor GD'!S$1,FALSE),
"")</f>
        <v/>
      </c>
      <c r="T372" s="18">
        <f>IFERROR(
                  Andel_oberoende_av_klimat*VLOOKUP($A372,Leveranser_per_nät,'Leveranser per nät'!T$1,FALSE)
               +Andel_beroende_av_klimat*VLOOKUP($A372,Leveranser_per_nät,'Leveranser per nät'!T$1,FALSE)/VLOOKUP($B372,Korrigeringsfaktor_GD,'Korrigeringsfaktor GD'!T$1,FALSE),
"")</f>
        <v>0.23804432989690724</v>
      </c>
      <c r="U372" s="18">
        <f>IFERROR(
                  Andel_oberoende_av_klimat*VLOOKUP($A372,Leveranser_per_nät,'Leveranser per nät'!U$1,FALSE)
               +Andel_beroende_av_klimat*VLOOKUP($A372,Leveranser_per_nät,'Leveranser per nät'!U$1,FALSE)/VLOOKUP($B372,Korrigeringsfaktor_GD,'Korrigeringsfaktor GD'!U$1,FALSE),
"")</f>
        <v>0.25847586206896556</v>
      </c>
      <c r="V372" s="18">
        <f>IFERROR(
                  Andel_oberoende_av_klimat*VLOOKUP($A372,Leveranser_per_nät,'Leveranser per nät'!V$1,FALSE)
               +Andel_beroende_av_klimat*VLOOKUP($A372,Leveranser_per_nät,'Leveranser per nät'!V$1,FALSE)/VLOOKUP($B372,Korrigeringsfaktor_GD,'Korrigeringsfaktor GD'!V$1,FALSE),
"")</f>
        <v>0.25315842696629215</v>
      </c>
      <c r="W372" s="18">
        <f>IFERROR(
                  Andel_oberoende_av_klimat*VLOOKUP($A372,Leveranser_per_nät,'Leveranser per nät'!W$1,FALSE)
               +Andel_beroende_av_klimat*VLOOKUP($A372,Leveranser_per_nät,'Leveranser per nät'!W$1,FALSE)/VLOOKUP($B372,Korrigeringsfaktor_GD,'Korrigeringsfaktor GD'!W$1,FALSE),
"")</f>
        <v>0.26516923076923077</v>
      </c>
      <c r="X372" s="18">
        <f>IFERROR(
                  Andel_oberoende_av_klimat*VLOOKUP($A372,Leveranser_per_nät,'Leveranser per nät'!X$1,FALSE)
               +Andel_beroende_av_klimat*VLOOKUP($A372,Leveranser_per_nät,'Leveranser per nät'!X$1,FALSE)/VLOOKUP($B372,Korrigeringsfaktor_GD,'Korrigeringsfaktor GD'!X$1,FALSE),
"")</f>
        <v>0.2726434782608696</v>
      </c>
      <c r="Y372" s="18">
        <f>IFERROR(
                  Andel_oberoende_av_klimat*VLOOKUP($A372,Leveranser_per_nät,'Leveranser per nät'!Y$1,FALSE)
               +Andel_beroende_av_klimat*VLOOKUP($A372,Leveranser_per_nät,'Leveranser per nät'!Y$1,FALSE)/VLOOKUP($B372,Korrigeringsfaktor_GD,'Korrigeringsfaktor GD'!Y$1,FALSE),
"")</f>
        <v>0.27375555555555553</v>
      </c>
      <c r="Z372" s="18">
        <f>IFERROR(
                  Andel_oberoende_av_klimat*VLOOKUP($A372,Leveranser_per_nät,'Leveranser per nät'!Z$1,FALSE)
               +Andel_beroende_av_klimat*VLOOKUP($A372,Leveranser_per_nät,'Leveranser per nät'!Z$1,FALSE)/VLOOKUP($B372,Korrigeringsfaktor_GD,'Korrigeringsfaktor GD'!Z$1,FALSE),
"")</f>
        <v>0.29553258426966295</v>
      </c>
      <c r="AA372" s="18">
        <f>IFERROR(
                  Andel_oberoende_av_klimat*VLOOKUP($A372,Leveranser_per_nät,'Leveranser per nät'!AA$1,FALSE)
               +Andel_beroende_av_klimat*VLOOKUP($A372,Leveranser_per_nät,'Leveranser per nät'!AA$1,FALSE)/VLOOKUP($B372,Korrigeringsfaktor_GD,'Korrigeringsfaktor GD'!AA$1,FALSE),
"")</f>
        <v>0.29662840352595493</v>
      </c>
      <c r="AB372" s="18">
        <f>IFERROR(
                  Andel_oberoende_av_klimat*VLOOKUP($A372,Leveranser_per_nät,'Leveranser per nät'!AB$1,FALSE)
               +Andel_beroende_av_klimat*VLOOKUP($A372,Leveranser_per_nät,'Leveranser per nät'!AB$1,FALSE)/VLOOKUP($B372,Korrigeringsfaktor_GD,'Korrigeringsfaktor GD'!AB$1,FALSE),
"")</f>
        <v>0.30267705242334325</v>
      </c>
      <c r="AC372" s="18">
        <f>IFERROR(
                  Andel_oberoende_av_klimat*VLOOKUP($A372,Leveranser_per_nät,'Leveranser per nät'!AC$1,FALSE)
               +Andel_beroende_av_klimat*VLOOKUP($A372,Leveranser_per_nät,'Leveranser per nät'!AC$1,FALSE)/VLOOKUP($B372,Korrigeringsfaktor_GD,'Korrigeringsfaktor GD'!AC$1,FALSE),
"")</f>
        <v>0.27454883720930234</v>
      </c>
      <c r="AD372">
        <v>48.96</v>
      </c>
    </row>
    <row r="373" spans="1:30" x14ac:dyDescent="0.25">
      <c r="A373" t="s">
        <v>296</v>
      </c>
      <c r="B373" t="s">
        <v>296</v>
      </c>
      <c r="C373" s="18">
        <f>IFERROR(
                  Andel_oberoende_av_klimat*VLOOKUP($A373,Leveranser_per_nät,'Leveranser per nät'!C$1,FALSE)
               +Andel_beroende_av_klimat*VLOOKUP($A373,Leveranser_per_nät,'Leveranser per nät'!C$1,FALSE)/VLOOKUP("Västerås",Korrigeringsfaktor_GD,'Korrigeringsfaktor GD'!C$1,FALSE),
"")</f>
        <v>41.878378378378372</v>
      </c>
      <c r="D373" s="18">
        <f>IFERROR(
                  Andel_oberoende_av_klimat*VLOOKUP($A373,Leveranser_per_nät,'Leveranser per nät'!D$1,FALSE)
               +Andel_beroende_av_klimat*VLOOKUP($A373,Leveranser_per_nät,'Leveranser per nät'!D$1,FALSE)/VLOOKUP("Västerås",Korrigeringsfaktor_GD,'Korrigeringsfaktor GD'!D$1,FALSE),
"")</f>
        <v>40.165714285714287</v>
      </c>
      <c r="E373" s="18">
        <f>IFERROR(
                  Andel_oberoende_av_klimat*VLOOKUP($A373,Leveranser_per_nät,'Leveranser per nät'!E$1,FALSE)
               +Andel_beroende_av_klimat*VLOOKUP($A373,Leveranser_per_nät,'Leveranser per nät'!E$1,FALSE)/VLOOKUP("Västerås",Korrigeringsfaktor_GD,'Korrigeringsfaktor GD'!E$1,FALSE),
"")</f>
        <v>42.409803921568624</v>
      </c>
      <c r="F373" s="18">
        <f>IFERROR(
                  Andel_oberoende_av_klimat*VLOOKUP($A373,Leveranser_per_nät,'Leveranser per nät'!F$1,FALSE)
               +Andel_beroende_av_klimat*VLOOKUP($A373,Leveranser_per_nät,'Leveranser per nät'!F$1,FALSE)/VLOOKUP("Västerås",Korrigeringsfaktor_GD,'Korrigeringsfaktor GD'!F$1,FALSE),
"")</f>
        <v>44.584210526315786</v>
      </c>
      <c r="G373" s="18">
        <f>IFERROR(
                  Andel_oberoende_av_klimat*VLOOKUP($A373,Leveranser_per_nät,'Leveranser per nät'!G$1,FALSE)
               +Andel_beroende_av_klimat*VLOOKUP($A373,Leveranser_per_nät,'Leveranser per nät'!G$1,FALSE)/VLOOKUP("Västerås",Korrigeringsfaktor_GD,'Korrigeringsfaktor GD'!G$1,FALSE),
"")</f>
        <v>41.97471264367816</v>
      </c>
      <c r="H373" s="18">
        <f>IFERROR(
                  Andel_oberoende_av_klimat*VLOOKUP($A373,Leveranser_per_nät,'Leveranser per nät'!H$1,FALSE)
               +Andel_beroende_av_klimat*VLOOKUP($A373,Leveranser_per_nät,'Leveranser per nät'!H$1,FALSE)/VLOOKUP("Västerås",Korrigeringsfaktor_GD,'Korrigeringsfaktor GD'!H$1,FALSE),
"")</f>
        <v>44.31111111111111</v>
      </c>
      <c r="I373" s="18">
        <f>IFERROR(
                  Andel_oberoende_av_klimat*VLOOKUP($A373,Leveranser_per_nät,'Leveranser per nät'!I$1,FALSE)
               +Andel_beroende_av_klimat*VLOOKUP($A373,Leveranser_per_nät,'Leveranser per nät'!I$1,FALSE)/VLOOKUP("Västerås",Korrigeringsfaktor_GD,'Korrigeringsfaktor GD'!I$1,FALSE),
"")</f>
        <v>44.628571428571433</v>
      </c>
      <c r="J373" s="18">
        <f>IFERROR(
                  Andel_oberoende_av_klimat*VLOOKUP($A373,Leveranser_per_nät,'Leveranser per nät'!J$1,FALSE)
               +Andel_beroende_av_klimat*VLOOKUP($A373,Leveranser_per_nät,'Leveranser per nät'!J$1,FALSE)/VLOOKUP("Västerås",Korrigeringsfaktor_GD,'Korrigeringsfaktor GD'!J$1,FALSE),
"")</f>
        <v>47.671428571428571</v>
      </c>
      <c r="K373" s="18">
        <f>IFERROR(
                  Andel_oberoende_av_klimat*VLOOKUP($A373,Leveranser_per_nät,'Leveranser per nät'!K$1,FALSE)
               +Andel_beroende_av_klimat*VLOOKUP($A373,Leveranser_per_nät,'Leveranser per nät'!K$1,FALSE)/VLOOKUP("Västerås",Korrigeringsfaktor_GD,'Korrigeringsfaktor GD'!K$1,FALSE),
"")</f>
        <v>45.135714285714286</v>
      </c>
      <c r="L373" s="18">
        <f>IFERROR(
                  Andel_oberoende_av_klimat*VLOOKUP($A373,Leveranser_per_nät,'Leveranser per nät'!L$1,FALSE)
               +Andel_beroende_av_klimat*VLOOKUP($A373,Leveranser_per_nät,'Leveranser per nät'!L$1,FALSE)/VLOOKUP("Västerås",Korrigeringsfaktor_GD,'Korrigeringsfaktor GD'!L$1,FALSE),
"")</f>
        <v>45.548085106382985</v>
      </c>
      <c r="M373" s="18">
        <f>IFERROR(
                  Andel_oberoende_av_klimat*VLOOKUP($A373,Leveranser_per_nät,'Leveranser per nät'!M$1,FALSE)
               +Andel_beroende_av_klimat*VLOOKUP($A373,Leveranser_per_nät,'Leveranser per nät'!M$1,FALSE)/VLOOKUP("Västerås",Korrigeringsfaktor_GD,'Korrigeringsfaktor GD'!M$1,FALSE),
"")</f>
        <v>37.159892473118276</v>
      </c>
      <c r="N373" s="18">
        <f>IFERROR(
                  Andel_oberoende_av_klimat*VLOOKUP($A373,Leveranser_per_nät,'Leveranser per nät'!N$1,FALSE)
               +Andel_beroende_av_klimat*VLOOKUP($A373,Leveranser_per_nät,'Leveranser per nät'!N$1,FALSE)/VLOOKUP("Västerås",Korrigeringsfaktor_GD,'Korrigeringsfaktor GD'!N$1,FALSE),
"")</f>
        <v>38.791559139784944</v>
      </c>
      <c r="O373" s="18">
        <f>IFERROR(
                  Andel_oberoende_av_klimat*VLOOKUP($A373,Leveranser_per_nät,'Leveranser per nät'!O$1,FALSE)
               +Andel_beroende_av_klimat*VLOOKUP($A373,Leveranser_per_nät,'Leveranser per nät'!O$1,FALSE)/VLOOKUP("Västerås",Korrigeringsfaktor_GD,'Korrigeringsfaktor GD'!O$1,FALSE),
"")</f>
        <v>44.351617977528086</v>
      </c>
      <c r="P373" s="18">
        <f>IFERROR(
                  Andel_oberoende_av_klimat*VLOOKUP($A373,Leveranser_per_nät,'Leveranser per nät'!P$1,FALSE)
               +Andel_beroende_av_klimat*VLOOKUP($A373,Leveranser_per_nät,'Leveranser per nät'!P$1,FALSE)/VLOOKUP("Västerås",Korrigeringsfaktor_GD,'Korrigeringsfaktor GD'!P$1,FALSE),
"")</f>
        <v>45.31818181818182</v>
      </c>
      <c r="Q373" s="18">
        <f>IFERROR(
                  Andel_oberoende_av_klimat*VLOOKUP($A373,Leveranser_per_nät,'Leveranser per nät'!Q$1,FALSE)
               +Andel_beroende_av_klimat*VLOOKUP($A373,Leveranser_per_nät,'Leveranser per nät'!Q$1,FALSE)/VLOOKUP("Västerås",Korrigeringsfaktor_GD,'Korrigeringsfaktor GD'!Q$1,FALSE),
"")</f>
        <v>40.423076923076927</v>
      </c>
      <c r="R373" s="18">
        <f>IFERROR(
                  Andel_oberoende_av_klimat*VLOOKUP($A373,Leveranser_per_nät,'Leveranser per nät'!R$1,FALSE)
               +Andel_beroende_av_klimat*VLOOKUP($A373,Leveranser_per_nät,'Leveranser per nät'!R$1,FALSE)/VLOOKUP("Västerås",Korrigeringsfaktor_GD,'Korrigeringsfaktor GD'!R$1,FALSE),
"")</f>
        <v>49.184615384615384</v>
      </c>
      <c r="S373" s="18">
        <f>IFERROR(
                  Andel_oberoende_av_klimat*VLOOKUP($A373,Leveranser_per_nät,'Leveranser per nät'!S$1,FALSE)
               +Andel_beroende_av_klimat*VLOOKUP($A373,Leveranser_per_nät,'Leveranser per nät'!S$1,FALSE)/VLOOKUP("Västerås",Korrigeringsfaktor_GD,'Korrigeringsfaktor GD'!S$1,FALSE),
"")</f>
        <v>39</v>
      </c>
      <c r="T373" s="18">
        <f>IFERROR(
                  Andel_oberoende_av_klimat*VLOOKUP($A373,Leveranser_per_nät,'Leveranser per nät'!T$1,FALSE)
               +Andel_beroende_av_klimat*VLOOKUP($A373,Leveranser_per_nät,'Leveranser per nät'!T$1,FALSE)/VLOOKUP("Västerås",Korrigeringsfaktor_GD,'Korrigeringsfaktor GD'!T$1,FALSE),
"")</f>
        <v>36.020833333333336</v>
      </c>
      <c r="U373" s="18">
        <f>IFERROR(
                  Andel_oberoende_av_klimat*VLOOKUP($A373,Leveranser_per_nät,'Leveranser per nät'!U$1,FALSE)
               +Andel_beroende_av_klimat*VLOOKUP($A373,Leveranser_per_nät,'Leveranser per nät'!U$1,FALSE)/VLOOKUP("Västerås",Korrigeringsfaktor_GD,'Korrigeringsfaktor GD'!U$1,FALSE),
"")</f>
        <v>44.365909090909085</v>
      </c>
      <c r="V373" s="18">
        <f>IFERROR(
                  Andel_oberoende_av_klimat*VLOOKUP($A373,Leveranser_per_nät,'Leveranser per nät'!V$1,FALSE)
               +Andel_beroende_av_klimat*VLOOKUP($A373,Leveranser_per_nät,'Leveranser per nät'!V$1,FALSE)/VLOOKUP("Västerås",Korrigeringsfaktor_GD,'Korrigeringsfaktor GD'!V$1,FALSE),
"")</f>
        <v>44.256363636363631</v>
      </c>
      <c r="W373" s="18">
        <f>IFERROR(
                  Andel_oberoende_av_klimat*VLOOKUP($A373,Leveranser_per_nät,'Leveranser per nät'!W$1,FALSE)
               +Andel_beroende_av_klimat*VLOOKUP($A373,Leveranser_per_nät,'Leveranser per nät'!W$1,FALSE)/VLOOKUP("Västerås",Korrigeringsfaktor_GD,'Korrigeringsfaktor GD'!W$1,FALSE),
"")</f>
        <v>29.2647311827957</v>
      </c>
      <c r="X373" s="18">
        <f>IFERROR(
                  Andel_oberoende_av_klimat*VLOOKUP($A373,Leveranser_per_nät,'Leveranser per nät'!X$1,FALSE)
               +Andel_beroende_av_klimat*VLOOKUP($A373,Leveranser_per_nät,'Leveranser per nät'!X$1,FALSE)/VLOOKUP("Västerås",Korrigeringsfaktor_GD,'Korrigeringsfaktor GD'!X$1,FALSE),
"")</f>
        <v>0</v>
      </c>
      <c r="Y373" s="18">
        <f>IFERROR(
                  Andel_oberoende_av_klimat*VLOOKUP($A373,Leveranser_per_nät,'Leveranser per nät'!Y$1,FALSE)
               +Andel_beroende_av_klimat*VLOOKUP($A373,Leveranser_per_nät,'Leveranser per nät'!Y$1,FALSE)/VLOOKUP($B373,Korrigeringsfaktor_GD,'Korrigeringsfaktor GD'!Y$1,FALSE),
"")</f>
        <v>0</v>
      </c>
      <c r="Z373" s="18">
        <f>IFERROR(
                  Andel_oberoende_av_klimat*VLOOKUP($A373,Leveranser_per_nät,'Leveranser per nät'!Z$1,FALSE)
               +Andel_beroende_av_klimat*VLOOKUP($A373,Leveranser_per_nät,'Leveranser per nät'!Z$1,FALSE)/VLOOKUP($B373,Korrigeringsfaktor_GD,'Korrigeringsfaktor GD'!Z$1,FALSE),
"")</f>
        <v>0</v>
      </c>
      <c r="AA373" s="18">
        <f>IFERROR(
                  Andel_oberoende_av_klimat*VLOOKUP($A373,Leveranser_per_nät,'Leveranser per nät'!AA$1,FALSE)
               +Andel_beroende_av_klimat*VLOOKUP($A373,Leveranser_per_nät,'Leveranser per nät'!AA$1,FALSE)/VLOOKUP($B373,Korrigeringsfaktor_GD,'Korrigeringsfaktor GD'!AA$1,FALSE),
"")</f>
        <v>0</v>
      </c>
      <c r="AB373" s="18">
        <f>IFERROR(
                  Andel_oberoende_av_klimat*VLOOKUP($A373,Leveranser_per_nät,'Leveranser per nät'!AB$1,FALSE)
               +Andel_beroende_av_klimat*VLOOKUP($A373,Leveranser_per_nät,'Leveranser per nät'!AB$1,FALSE)/VLOOKUP($B373,Korrigeringsfaktor_GD,'Korrigeringsfaktor GD'!AB$1,FALSE),
"")</f>
        <v>0</v>
      </c>
      <c r="AC373" s="18">
        <f>IFERROR(
                  Andel_oberoende_av_klimat*VLOOKUP($A373,Leveranser_per_nät,'Leveranser per nät'!AC$1,FALSE)
               +Andel_beroende_av_klimat*VLOOKUP($A373,Leveranser_per_nät,'Leveranser per nät'!AC$1,FALSE)/VLOOKUP($B373,Korrigeringsfaktor_GD,'Korrigeringsfaktor GD'!AC$1,FALSE),
"")</f>
        <v>0</v>
      </c>
      <c r="AD373" t="e">
        <v>#N/A</v>
      </c>
    </row>
    <row r="374" spans="1:30" x14ac:dyDescent="0.25">
      <c r="A374" t="s">
        <v>42</v>
      </c>
      <c r="B374" t="s">
        <v>42</v>
      </c>
      <c r="C374" s="18">
        <f>IFERROR(
                  Andel_oberoende_av_klimat*VLOOKUP($A374,Leveranser_per_nät,'Leveranser per nät'!C$1,FALSE)
               +Andel_beroende_av_klimat*VLOOKUP($A374,Leveranser_per_nät,'Leveranser per nät'!C$1,FALSE)/VLOOKUP($B374,Korrigeringsfaktor_GD,'Korrigeringsfaktor GD'!C$1,FALSE),
"")</f>
        <v>20.223930434782609</v>
      </c>
      <c r="D374" s="18">
        <f>IFERROR(
                  Andel_oberoende_av_klimat*VLOOKUP($A374,Leveranser_per_nät,'Leveranser per nät'!D$1,FALSE)
               +Andel_beroende_av_klimat*VLOOKUP($A374,Leveranser_per_nät,'Leveranser per nät'!D$1,FALSE)/VLOOKUP($B374,Korrigeringsfaktor_GD,'Korrigeringsfaktor GD'!D$1,FALSE),
"")</f>
        <v>19.073038834951454</v>
      </c>
      <c r="E374" s="18">
        <f>IFERROR(
                  Andel_oberoende_av_klimat*VLOOKUP($A374,Leveranser_per_nät,'Leveranser per nät'!E$1,FALSE)
               +Andel_beroende_av_klimat*VLOOKUP($A374,Leveranser_per_nät,'Leveranser per nät'!E$1,FALSE)/VLOOKUP($B374,Korrigeringsfaktor_GD,'Korrigeringsfaktor GD'!E$1,FALSE),
"")</f>
        <v>18</v>
      </c>
      <c r="F374" s="18">
        <f>IFERROR(
                  Andel_oberoende_av_klimat*VLOOKUP($A374,Leveranser_per_nät,'Leveranser per nät'!F$1,FALSE)
               +Andel_beroende_av_klimat*VLOOKUP($A374,Leveranser_per_nät,'Leveranser per nät'!F$1,FALSE)/VLOOKUP($B374,Korrigeringsfaktor_GD,'Korrigeringsfaktor GD'!F$1,FALSE),
"")</f>
        <v>17.626315789473683</v>
      </c>
      <c r="G374" s="18">
        <f>IFERROR(
                  Andel_oberoende_av_klimat*VLOOKUP($A374,Leveranser_per_nät,'Leveranser per nät'!G$1,FALSE)
               +Andel_beroende_av_klimat*VLOOKUP($A374,Leveranser_per_nät,'Leveranser per nät'!G$1,FALSE)/VLOOKUP($B374,Korrigeringsfaktor_GD,'Korrigeringsfaktor GD'!G$1,FALSE),
"")</f>
        <v>17.527272727272727</v>
      </c>
      <c r="H374" s="18">
        <f>IFERROR(
                  Andel_oberoende_av_klimat*VLOOKUP($A374,Leveranser_per_nät,'Leveranser per nät'!H$1,FALSE)
               +Andel_beroende_av_klimat*VLOOKUP($A374,Leveranser_per_nät,'Leveranser per nät'!H$1,FALSE)/VLOOKUP($B374,Korrigeringsfaktor_GD,'Korrigeringsfaktor GD'!H$1,FALSE),
"")</f>
        <v>18.868316831683167</v>
      </c>
      <c r="I374" s="18">
        <f>IFERROR(
                  Andel_oberoende_av_klimat*VLOOKUP($A374,Leveranser_per_nät,'Leveranser per nät'!I$1,FALSE)
               +Andel_beroende_av_klimat*VLOOKUP($A374,Leveranser_per_nät,'Leveranser per nät'!I$1,FALSE)/VLOOKUP($B374,Korrigeringsfaktor_GD,'Korrigeringsfaktor GD'!I$1,FALSE),
"")</f>
        <v>20.736842105263161</v>
      </c>
      <c r="J374" s="18">
        <f>IFERROR(
                  Andel_oberoende_av_klimat*VLOOKUP($A374,Leveranser_per_nät,'Leveranser per nät'!J$1,FALSE)
               +Andel_beroende_av_klimat*VLOOKUP($A374,Leveranser_per_nät,'Leveranser per nät'!J$1,FALSE)/VLOOKUP($B374,Korrigeringsfaktor_GD,'Korrigeringsfaktor GD'!J$1,FALSE),
"")</f>
        <v>19.134343434343435</v>
      </c>
      <c r="K374" s="18">
        <f>IFERROR(
                  Andel_oberoende_av_klimat*VLOOKUP($A374,Leveranser_per_nät,'Leveranser per nät'!K$1,FALSE)
               +Andel_beroende_av_klimat*VLOOKUP($A374,Leveranser_per_nät,'Leveranser per nät'!K$1,FALSE)/VLOOKUP($B374,Korrigeringsfaktor_GD,'Korrigeringsfaktor GD'!K$1,FALSE),
"")</f>
        <v>18.541178787878792</v>
      </c>
      <c r="L374" s="18">
        <f>IFERROR(
                  Andel_oberoende_av_klimat*VLOOKUP($A374,Leveranser_per_nät,'Leveranser per nät'!L$1,FALSE)
               +Andel_beroende_av_klimat*VLOOKUP($A374,Leveranser_per_nät,'Leveranser per nät'!L$1,FALSE)/VLOOKUP($B374,Korrigeringsfaktor_GD,'Korrigeringsfaktor GD'!L$1,FALSE),
"")</f>
        <v>18.975095876288663</v>
      </c>
      <c r="M374" s="18">
        <f>IFERROR(
                  Andel_oberoende_av_klimat*VLOOKUP($A374,Leveranser_per_nät,'Leveranser per nät'!M$1,FALSE)
               +Andel_beroende_av_klimat*VLOOKUP($A374,Leveranser_per_nät,'Leveranser per nät'!M$1,FALSE)/VLOOKUP($B374,Korrigeringsfaktor_GD,'Korrigeringsfaktor GD'!M$1,FALSE),
"")</f>
        <v>19.158924731182793</v>
      </c>
      <c r="N374" s="18">
        <f>IFERROR(
                  Andel_oberoende_av_klimat*VLOOKUP($A374,Leveranser_per_nät,'Leveranser per nät'!N$1,FALSE)
               +Andel_beroende_av_klimat*VLOOKUP($A374,Leveranser_per_nät,'Leveranser per nät'!N$1,FALSE)/VLOOKUP($B374,Korrigeringsfaktor_GD,'Korrigeringsfaktor GD'!N$1,FALSE),
"")</f>
        <v>18.959031818181817</v>
      </c>
      <c r="O374" s="18">
        <f>IFERROR(
                  Andel_oberoende_av_klimat*VLOOKUP($A374,Leveranser_per_nät,'Leveranser per nät'!O$1,FALSE)
               +Andel_beroende_av_klimat*VLOOKUP($A374,Leveranser_per_nät,'Leveranser per nät'!O$1,FALSE)/VLOOKUP($B374,Korrigeringsfaktor_GD,'Korrigeringsfaktor GD'!O$1,FALSE),
"")</f>
        <v>17.017026966292136</v>
      </c>
      <c r="P374" s="18">
        <f>IFERROR(
                  Andel_oberoende_av_klimat*VLOOKUP($A374,Leveranser_per_nät,'Leveranser per nät'!P$1,FALSE)
               +Andel_beroende_av_klimat*VLOOKUP($A374,Leveranser_per_nät,'Leveranser per nät'!P$1,FALSE)/VLOOKUP($B374,Korrigeringsfaktor_GD,'Korrigeringsfaktor GD'!P$1,FALSE),
"")</f>
        <v>20.073369072164951</v>
      </c>
      <c r="Q374" s="18">
        <f>IFERROR(
                  Andel_oberoende_av_klimat*VLOOKUP($A374,Leveranser_per_nät,'Leveranser per nät'!Q$1,FALSE)
               +Andel_beroende_av_klimat*VLOOKUP($A374,Leveranser_per_nät,'Leveranser per nät'!Q$1,FALSE)/VLOOKUP($B374,Korrigeringsfaktor_GD,'Korrigeringsfaktor GD'!Q$1,FALSE),
"")</f>
        <v>20.779310344827586</v>
      </c>
      <c r="R374" s="18">
        <f>IFERROR(
                  Andel_oberoende_av_klimat*VLOOKUP($A374,Leveranser_per_nät,'Leveranser per nät'!R$1,FALSE)
               +Andel_beroende_av_klimat*VLOOKUP($A374,Leveranser_per_nät,'Leveranser per nät'!R$1,FALSE)/VLOOKUP($B374,Korrigeringsfaktor_GD,'Korrigeringsfaktor GD'!R$1,FALSE),
"")</f>
        <v>20.580860122580646</v>
      </c>
      <c r="S374" s="18">
        <f>IFERROR(
                  Andel_oberoende_av_klimat*VLOOKUP($A374,Leveranser_per_nät,'Leveranser per nät'!S$1,FALSE)
               +Andel_beroende_av_klimat*VLOOKUP($A374,Leveranser_per_nät,'Leveranser per nät'!S$1,FALSE)/VLOOKUP($B374,Korrigeringsfaktor_GD,'Korrigeringsfaktor GD'!S$1,FALSE),
"")</f>
        <v>19.732287128712873</v>
      </c>
      <c r="T374" s="18">
        <f>IFERROR(
                  Andel_oberoende_av_klimat*VLOOKUP($A374,Leveranser_per_nät,'Leveranser per nät'!T$1,FALSE)
               +Andel_beroende_av_klimat*VLOOKUP($A374,Leveranser_per_nät,'Leveranser per nät'!T$1,FALSE)/VLOOKUP($B374,Korrigeringsfaktor_GD,'Korrigeringsfaktor GD'!T$1,FALSE),
"")</f>
        <v>19.600000000000001</v>
      </c>
      <c r="U374" s="18">
        <f>IFERROR(
                  Andel_oberoende_av_klimat*VLOOKUP($A374,Leveranser_per_nät,'Leveranser per nät'!U$1,FALSE)
               +Andel_beroende_av_klimat*VLOOKUP($A374,Leveranser_per_nät,'Leveranser per nät'!U$1,FALSE)/VLOOKUP($B374,Korrigeringsfaktor_GD,'Korrigeringsfaktor GD'!U$1,FALSE),
"")</f>
        <v>21.306666666666668</v>
      </c>
      <c r="V374" s="18">
        <f>IFERROR(
                  Andel_oberoende_av_klimat*VLOOKUP($A374,Leveranser_per_nät,'Leveranser per nät'!V$1,FALSE)
               +Andel_beroende_av_klimat*VLOOKUP($A374,Leveranser_per_nät,'Leveranser per nät'!V$1,FALSE)/VLOOKUP($B374,Korrigeringsfaktor_GD,'Korrigeringsfaktor GD'!V$1,FALSE),
"")</f>
        <v>19.399999999999999</v>
      </c>
      <c r="W374" s="18">
        <f>IFERROR(
                  Andel_oberoende_av_klimat*VLOOKUP($A374,Leveranser_per_nät,'Leveranser per nät'!W$1,FALSE)
               +Andel_beroende_av_klimat*VLOOKUP($A374,Leveranser_per_nät,'Leveranser per nät'!W$1,FALSE)/VLOOKUP($B374,Korrigeringsfaktor_GD,'Korrigeringsfaktor GD'!W$1,FALSE),
"")</f>
        <v>19.895806451612902</v>
      </c>
      <c r="X374" s="18">
        <f>IFERROR(
                  Andel_oberoende_av_klimat*VLOOKUP($A374,Leveranser_per_nät,'Leveranser per nät'!X$1,FALSE)
               +Andel_beroende_av_klimat*VLOOKUP($A374,Leveranser_per_nät,'Leveranser per nät'!X$1,FALSE)/VLOOKUP($B374,Korrigeringsfaktor_GD,'Korrigeringsfaktor GD'!X$1,FALSE),
"")</f>
        <v>18.843118279569889</v>
      </c>
      <c r="Y374" s="18">
        <f>IFERROR(
                  Andel_oberoende_av_klimat*VLOOKUP($A374,Leveranser_per_nät,'Leveranser per nät'!Y$1,FALSE)
               +Andel_beroende_av_klimat*VLOOKUP($A374,Leveranser_per_nät,'Leveranser per nät'!Y$1,FALSE)/VLOOKUP($B374,Korrigeringsfaktor_GD,'Korrigeringsfaktor GD'!Y$1,FALSE),
"")</f>
        <v>17.601573033707862</v>
      </c>
      <c r="Z374" s="18">
        <f>IFERROR(
                  Andel_oberoende_av_klimat*VLOOKUP($A374,Leveranser_per_nät,'Leveranser per nät'!Z$1,FALSE)
               +Andel_beroende_av_klimat*VLOOKUP($A374,Leveranser_per_nät,'Leveranser per nät'!Z$1,FALSE)/VLOOKUP($B374,Korrigeringsfaktor_GD,'Korrigeringsfaktor GD'!Z$1,FALSE),
"")</f>
        <v>18.133333333333333</v>
      </c>
      <c r="AA374" s="18">
        <f>IFERROR(
                  Andel_oberoende_av_klimat*VLOOKUP($A374,Leveranser_per_nät,'Leveranser per nät'!AA$1,FALSE)
               +Andel_beroende_av_klimat*VLOOKUP($A374,Leveranser_per_nät,'Leveranser per nät'!AA$1,FALSE)/VLOOKUP($B374,Korrigeringsfaktor_GD,'Korrigeringsfaktor GD'!AA$1,FALSE),
"")</f>
        <v>18.437896142679385</v>
      </c>
      <c r="AB374" s="18">
        <f>IFERROR(
                  Andel_oberoende_av_klimat*VLOOKUP($A374,Leveranser_per_nät,'Leveranser per nät'!AB$1,FALSE)
               +Andel_beroende_av_klimat*VLOOKUP($A374,Leveranser_per_nät,'Leveranser per nät'!AB$1,FALSE)/VLOOKUP($B374,Korrigeringsfaktor_GD,'Korrigeringsfaktor GD'!AB$1,FALSE),
"")</f>
        <v>16.796666666666667</v>
      </c>
      <c r="AC374" s="18">
        <f>IFERROR(
                  Andel_oberoende_av_klimat*VLOOKUP($A374,Leveranser_per_nät,'Leveranser per nät'!AC$1,FALSE)
               +Andel_beroende_av_klimat*VLOOKUP($A374,Leveranser_per_nät,'Leveranser per nät'!AC$1,FALSE)/VLOOKUP($B374,Korrigeringsfaktor_GD,'Korrigeringsfaktor GD'!AC$1,FALSE),
"")</f>
        <v>16.40666666666667</v>
      </c>
      <c r="AD374">
        <v>15.8</v>
      </c>
    </row>
    <row r="375" spans="1:30" x14ac:dyDescent="0.25">
      <c r="A375" t="s">
        <v>39</v>
      </c>
      <c r="B375" t="s">
        <v>165</v>
      </c>
      <c r="C375" s="18">
        <f>IFERROR(
                  Andel_oberoende_av_klimat*VLOOKUP($A375,Leveranser_per_nät,'Leveranser per nät'!C$1,FALSE)
               +Andel_beroende_av_klimat*VLOOKUP($A375,Leveranser_per_nät,'Leveranser per nät'!C$1,FALSE)/VLOOKUP($B375,Korrigeringsfaktor_GD,'Korrigeringsfaktor GD'!C$1,FALSE),
"")</f>
        <v>0</v>
      </c>
      <c r="D375" s="18">
        <f>IFERROR(
                  Andel_oberoende_av_klimat*VLOOKUP($A375,Leveranser_per_nät,'Leveranser per nät'!D$1,FALSE)
               +Andel_beroende_av_klimat*VLOOKUP($A375,Leveranser_per_nät,'Leveranser per nät'!D$1,FALSE)/VLOOKUP($B375,Korrigeringsfaktor_GD,'Korrigeringsfaktor GD'!D$1,FALSE),
"")</f>
        <v>0</v>
      </c>
      <c r="E375" s="18">
        <f>IFERROR(
                  Andel_oberoende_av_klimat*VLOOKUP($A375,Leveranser_per_nät,'Leveranser per nät'!E$1,FALSE)
               +Andel_beroende_av_klimat*VLOOKUP($A375,Leveranser_per_nät,'Leveranser per nät'!E$1,FALSE)/VLOOKUP($B375,Korrigeringsfaktor_GD,'Korrigeringsfaktor GD'!E$1,FALSE),
"")</f>
        <v>0</v>
      </c>
      <c r="F375" s="18">
        <f>IFERROR(
                  Andel_oberoende_av_klimat*VLOOKUP($A375,Leveranser_per_nät,'Leveranser per nät'!F$1,FALSE)
               +Andel_beroende_av_klimat*VLOOKUP($A375,Leveranser_per_nät,'Leveranser per nät'!F$1,FALSE)/VLOOKUP($B375,Korrigeringsfaktor_GD,'Korrigeringsfaktor GD'!F$1,FALSE),
"")</f>
        <v>0</v>
      </c>
      <c r="G375" s="18">
        <f>IFERROR(
                  Andel_oberoende_av_klimat*VLOOKUP($A375,Leveranser_per_nät,'Leveranser per nät'!G$1,FALSE)
               +Andel_beroende_av_klimat*VLOOKUP($A375,Leveranser_per_nät,'Leveranser per nät'!G$1,FALSE)/VLOOKUP($B375,Korrigeringsfaktor_GD,'Korrigeringsfaktor GD'!G$1,FALSE),
"")</f>
        <v>0</v>
      </c>
      <c r="H375" s="18">
        <f>IFERROR(
                  Andel_oberoende_av_klimat*VLOOKUP($A375,Leveranser_per_nät,'Leveranser per nät'!H$1,FALSE)
               +Andel_beroende_av_klimat*VLOOKUP($A375,Leveranser_per_nät,'Leveranser per nät'!H$1,FALSE)/VLOOKUP($B375,Korrigeringsfaktor_GD,'Korrigeringsfaktor GD'!H$1,FALSE),
"")</f>
        <v>0</v>
      </c>
      <c r="I375" s="18">
        <f>IFERROR(
                  Andel_oberoende_av_klimat*VLOOKUP($A375,Leveranser_per_nät,'Leveranser per nät'!I$1,FALSE)
               +Andel_beroende_av_klimat*VLOOKUP($A375,Leveranser_per_nät,'Leveranser per nät'!I$1,FALSE)/VLOOKUP($B375,Korrigeringsfaktor_GD,'Korrigeringsfaktor GD'!I$1,FALSE),
"")</f>
        <v>0</v>
      </c>
      <c r="J375" s="18">
        <f>IFERROR(
                  Andel_oberoende_av_klimat*VLOOKUP($A375,Leveranser_per_nät,'Leveranser per nät'!J$1,FALSE)
               +Andel_beroende_av_klimat*VLOOKUP($A375,Leveranser_per_nät,'Leveranser per nät'!J$1,FALSE)/VLOOKUP($B375,Korrigeringsfaktor_GD,'Korrigeringsfaktor GD'!J$1,FALSE),
"")</f>
        <v>0</v>
      </c>
      <c r="K375" s="18">
        <f>IFERROR(
                  Andel_oberoende_av_klimat*VLOOKUP($A375,Leveranser_per_nät,'Leveranser per nät'!K$1,FALSE)
               +Andel_beroende_av_klimat*VLOOKUP($A375,Leveranser_per_nät,'Leveranser per nät'!K$1,FALSE)/VLOOKUP($B375,Korrigeringsfaktor_GD,'Korrigeringsfaktor GD'!K$1,FALSE),
"")</f>
        <v>1.9860865979381441</v>
      </c>
      <c r="L375" s="18">
        <f>IFERROR(
                  Andel_oberoende_av_klimat*VLOOKUP($A375,Leveranser_per_nät,'Leveranser per nät'!L$1,FALSE)
               +Andel_beroende_av_klimat*VLOOKUP($A375,Leveranser_per_nät,'Leveranser per nät'!L$1,FALSE)/VLOOKUP($B375,Korrigeringsfaktor_GD,'Korrigeringsfaktor GD'!L$1,FALSE),
"")</f>
        <v>2.6106574468085109</v>
      </c>
      <c r="M375" s="18">
        <f>IFERROR(
                  Andel_oberoende_av_klimat*VLOOKUP($A375,Leveranser_per_nät,'Leveranser per nät'!M$1,FALSE)
               +Andel_beroende_av_klimat*VLOOKUP($A375,Leveranser_per_nät,'Leveranser per nät'!M$1,FALSE)/VLOOKUP($B375,Korrigeringsfaktor_GD,'Korrigeringsfaktor GD'!M$1,FALSE),
"")</f>
        <v>3.3311304347826085</v>
      </c>
      <c r="N375" s="18">
        <f>IFERROR(
                  Andel_oberoende_av_klimat*VLOOKUP($A375,Leveranser_per_nät,'Leveranser per nät'!N$1,FALSE)
               +Andel_beroende_av_klimat*VLOOKUP($A375,Leveranser_per_nät,'Leveranser per nät'!N$1,FALSE)/VLOOKUP($B375,Korrigeringsfaktor_GD,'Korrigeringsfaktor GD'!N$1,FALSE),
"")</f>
        <v>3.3947826086956523</v>
      </c>
      <c r="O375" s="18">
        <f>IFERROR(
                  Andel_oberoende_av_klimat*VLOOKUP($A375,Leveranser_per_nät,'Leveranser per nät'!O$1,FALSE)
               +Andel_beroende_av_klimat*VLOOKUP($A375,Leveranser_per_nät,'Leveranser per nät'!O$1,FALSE)/VLOOKUP($B375,Korrigeringsfaktor_GD,'Korrigeringsfaktor GD'!O$1,FALSE),
"")</f>
        <v>3.1255555555555552</v>
      </c>
      <c r="P375" s="18">
        <f>IFERROR(
                  Andel_oberoende_av_klimat*VLOOKUP($A375,Leveranser_per_nät,'Leveranser per nät'!P$1,FALSE)
               +Andel_beroende_av_klimat*VLOOKUP($A375,Leveranser_per_nät,'Leveranser per nät'!P$1,FALSE)/VLOOKUP($B375,Korrigeringsfaktor_GD,'Korrigeringsfaktor GD'!P$1,FALSE),
"")</f>
        <v>3.1219191919191922</v>
      </c>
      <c r="Q375" s="18">
        <f>IFERROR(
                  Andel_oberoende_av_klimat*VLOOKUP($A375,Leveranser_per_nät,'Leveranser per nät'!Q$1,FALSE)
               +Andel_beroende_av_klimat*VLOOKUP($A375,Leveranser_per_nät,'Leveranser per nät'!Q$1,FALSE)/VLOOKUP($B375,Korrigeringsfaktor_GD,'Korrigeringsfaktor GD'!Q$1,FALSE),
"")</f>
        <v>3.2524137931034485</v>
      </c>
      <c r="R375" s="18">
        <f>IFERROR(
                  Andel_oberoende_av_klimat*VLOOKUP($A375,Leveranser_per_nät,'Leveranser per nät'!R$1,FALSE)
               +Andel_beroende_av_klimat*VLOOKUP($A375,Leveranser_per_nät,'Leveranser per nät'!R$1,FALSE)/VLOOKUP($B375,Korrigeringsfaktor_GD,'Korrigeringsfaktor GD'!R$1,FALSE),
"")</f>
        <v>2.9854444444444441</v>
      </c>
      <c r="S375" s="18">
        <f>IFERROR(
                  Andel_oberoende_av_klimat*VLOOKUP($A375,Leveranser_per_nät,'Leveranser per nät'!S$1,FALSE)
               +Andel_beroende_av_klimat*VLOOKUP($A375,Leveranser_per_nät,'Leveranser per nät'!S$1,FALSE)/VLOOKUP($B375,Korrigeringsfaktor_GD,'Korrigeringsfaktor GD'!S$1,FALSE),
"")</f>
        <v>2.8298686868686866</v>
      </c>
      <c r="T375" s="18">
        <f>IFERROR(
                  Andel_oberoende_av_klimat*VLOOKUP($A375,Leveranser_per_nät,'Leveranser per nät'!T$1,FALSE)
               +Andel_beroende_av_klimat*VLOOKUP($A375,Leveranser_per_nät,'Leveranser per nät'!T$1,FALSE)/VLOOKUP($B375,Korrigeringsfaktor_GD,'Korrigeringsfaktor GD'!T$1,FALSE),
"")</f>
        <v>2.6850958333333335</v>
      </c>
      <c r="U375" s="18">
        <f>IFERROR(
                  Andel_oberoende_av_klimat*VLOOKUP($A375,Leveranser_per_nät,'Leveranser per nät'!U$1,FALSE)
               +Andel_beroende_av_klimat*VLOOKUP($A375,Leveranser_per_nät,'Leveranser per nät'!U$1,FALSE)/VLOOKUP($B375,Korrigeringsfaktor_GD,'Korrigeringsfaktor GD'!U$1,FALSE),
"")</f>
        <v>2.4146505747126437</v>
      </c>
      <c r="V375" s="18">
        <f>IFERROR(
                  Andel_oberoende_av_klimat*VLOOKUP($A375,Leveranser_per_nät,'Leveranser per nät'!V$1,FALSE)
               +Andel_beroende_av_klimat*VLOOKUP($A375,Leveranser_per_nät,'Leveranser per nät'!V$1,FALSE)/VLOOKUP($B375,Korrigeringsfaktor_GD,'Korrigeringsfaktor GD'!V$1,FALSE),
"")</f>
        <v>2.336011235955056</v>
      </c>
      <c r="W375" s="18">
        <f>IFERROR(
                  Andel_oberoende_av_klimat*VLOOKUP($A375,Leveranser_per_nät,'Leveranser per nät'!W$1,FALSE)
               +Andel_beroende_av_klimat*VLOOKUP($A375,Leveranser_per_nät,'Leveranser per nät'!W$1,FALSE)/VLOOKUP($B375,Korrigeringsfaktor_GD,'Korrigeringsfaktor GD'!W$1,FALSE),
"")</f>
        <v>1.9285263157894739</v>
      </c>
      <c r="X375" s="18">
        <f>IFERROR(
                  Andel_oberoende_av_klimat*VLOOKUP($A375,Leveranser_per_nät,'Leveranser per nät'!X$1,FALSE)
               +Andel_beroende_av_klimat*VLOOKUP($A375,Leveranser_per_nät,'Leveranser per nät'!X$1,FALSE)/VLOOKUP($B375,Korrigeringsfaktor_GD,'Korrigeringsfaktor GD'!X$1,FALSE),
"")</f>
        <v>1.4922916666666666</v>
      </c>
      <c r="Y375" s="18">
        <f>IFERROR(
                  Andel_oberoende_av_klimat*VLOOKUP($A375,Leveranser_per_nät,'Leveranser per nät'!Y$1,FALSE)
               +Andel_beroende_av_klimat*VLOOKUP($A375,Leveranser_per_nät,'Leveranser per nät'!Y$1,FALSE)/VLOOKUP($B375,Korrigeringsfaktor_GD,'Korrigeringsfaktor GD'!Y$1,FALSE),
"")</f>
        <v>1.8595319148936174</v>
      </c>
      <c r="Z375" s="18">
        <f>IFERROR(
                  Andel_oberoende_av_klimat*VLOOKUP($A375,Leveranser_per_nät,'Leveranser per nät'!Z$1,FALSE)
               +Andel_beroende_av_klimat*VLOOKUP($A375,Leveranser_per_nät,'Leveranser per nät'!Z$1,FALSE)/VLOOKUP($B375,Korrigeringsfaktor_GD,'Korrigeringsfaktor GD'!Z$1,FALSE),
"")</f>
        <v>1.4416595744680851</v>
      </c>
      <c r="AA375" s="18">
        <f>IFERROR(
                  Andel_oberoende_av_klimat*VLOOKUP($A375,Leveranser_per_nät,'Leveranser per nät'!AA$1,FALSE)
               +Andel_beroende_av_klimat*VLOOKUP($A375,Leveranser_per_nät,'Leveranser per nät'!AA$1,FALSE)/VLOOKUP($B375,Korrigeringsfaktor_GD,'Korrigeringsfaktor GD'!AA$1,FALSE),
"")</f>
        <v>1.4675006942515967</v>
      </c>
      <c r="AB375" s="18">
        <f>IFERROR(
                  Andel_oberoende_av_klimat*VLOOKUP($A375,Leveranser_per_nät,'Leveranser per nät'!AB$1,FALSE)
               +Andel_beroende_av_klimat*VLOOKUP($A375,Leveranser_per_nät,'Leveranser per nät'!AB$1,FALSE)/VLOOKUP($B375,Korrigeringsfaktor_GD,'Korrigeringsfaktor GD'!AB$1,FALSE),
"")</f>
        <v>1.4753906249999997</v>
      </c>
      <c r="AC375" s="18">
        <f>IFERROR(
                  Andel_oberoende_av_klimat*VLOOKUP($A375,Leveranser_per_nät,'Leveranser per nät'!AC$1,FALSE)
               +Andel_beroende_av_klimat*VLOOKUP($A375,Leveranser_per_nät,'Leveranser per nät'!AC$1,FALSE)/VLOOKUP($B375,Korrigeringsfaktor_GD,'Korrigeringsfaktor GD'!AC$1,FALSE),
"")</f>
        <v>1.4194121976866456</v>
      </c>
      <c r="AD375">
        <v>301.7</v>
      </c>
    </row>
    <row r="376" spans="1:30" x14ac:dyDescent="0.25">
      <c r="A376" t="s">
        <v>48</v>
      </c>
      <c r="B376" t="s">
        <v>48</v>
      </c>
      <c r="C376" s="18">
        <f>IFERROR(
                  Andel_oberoende_av_klimat*VLOOKUP($A376,Leveranser_per_nät,'Leveranser per nät'!C$1,FALSE)
               +Andel_beroende_av_klimat*VLOOKUP($A376,Leveranser_per_nät,'Leveranser per nät'!C$1,FALSE)/VLOOKUP($B376,Korrigeringsfaktor_GD,'Korrigeringsfaktor GD'!C$1,FALSE),
"")</f>
        <v>21.670642201834859</v>
      </c>
      <c r="D376" s="18">
        <f>IFERROR(
                  Andel_oberoende_av_klimat*VLOOKUP($A376,Leveranser_per_nät,'Leveranser per nät'!D$1,FALSE)
               +Andel_beroende_av_klimat*VLOOKUP($A376,Leveranser_per_nät,'Leveranser per nät'!D$1,FALSE)/VLOOKUP($B376,Korrigeringsfaktor_GD,'Korrigeringsfaktor GD'!D$1,FALSE),
"")</f>
        <v>22.188421052631579</v>
      </c>
      <c r="E376" s="18">
        <f>IFERROR(
                  Andel_oberoende_av_klimat*VLOOKUP($A376,Leveranser_per_nät,'Leveranser per nät'!E$1,FALSE)
               +Andel_beroende_av_klimat*VLOOKUP($A376,Leveranser_per_nät,'Leveranser per nät'!E$1,FALSE)/VLOOKUP($B376,Korrigeringsfaktor_GD,'Korrigeringsfaktor GD'!E$1,FALSE),
"")</f>
        <v>26.183838383838385</v>
      </c>
      <c r="F376" s="18">
        <f>IFERROR(
                  Andel_oberoende_av_klimat*VLOOKUP($A376,Leveranser_per_nät,'Leveranser per nät'!F$1,FALSE)
               +Andel_beroende_av_klimat*VLOOKUP($A376,Leveranser_per_nät,'Leveranser per nät'!F$1,FALSE)/VLOOKUP($B376,Korrigeringsfaktor_GD,'Korrigeringsfaktor GD'!F$1,FALSE),
"")</f>
        <v>23.497938144329897</v>
      </c>
      <c r="G376" s="18">
        <f>IFERROR(
                  Andel_oberoende_av_klimat*VLOOKUP($A376,Leveranser_per_nät,'Leveranser per nät'!G$1,FALSE)
               +Andel_beroende_av_klimat*VLOOKUP($A376,Leveranser_per_nät,'Leveranser per nät'!G$1,FALSE)/VLOOKUP($B376,Korrigeringsfaktor_GD,'Korrigeringsfaktor GD'!G$1,FALSE),
"")</f>
        <v>22.278260869565216</v>
      </c>
      <c r="H376" s="18">
        <f>IFERROR(
                  Andel_oberoende_av_klimat*VLOOKUP($A376,Leveranser_per_nät,'Leveranser per nät'!H$1,FALSE)
               +Andel_beroende_av_klimat*VLOOKUP($A376,Leveranser_per_nät,'Leveranser per nät'!H$1,FALSE)/VLOOKUP($B376,Korrigeringsfaktor_GD,'Korrigeringsfaktor GD'!H$1,FALSE),
"")</f>
        <v>20.571844660194174</v>
      </c>
      <c r="I376" s="18">
        <f>IFERROR(
                  Andel_oberoende_av_klimat*VLOOKUP($A376,Leveranser_per_nät,'Leveranser per nät'!I$1,FALSE)
               +Andel_beroende_av_klimat*VLOOKUP($A376,Leveranser_per_nät,'Leveranser per nät'!I$1,FALSE)/VLOOKUP($B376,Korrigeringsfaktor_GD,'Korrigeringsfaktor GD'!I$1,FALSE),
"")</f>
        <v>22.347560824742267</v>
      </c>
      <c r="J376" s="18">
        <f>IFERROR(
                  Andel_oberoende_av_klimat*VLOOKUP($A376,Leveranser_per_nät,'Leveranser per nät'!J$1,FALSE)
               +Andel_beroende_av_klimat*VLOOKUP($A376,Leveranser_per_nät,'Leveranser per nät'!J$1,FALSE)/VLOOKUP($B376,Korrigeringsfaktor_GD,'Korrigeringsfaktor GD'!J$1,FALSE),
"")</f>
        <v>22.553389473684209</v>
      </c>
      <c r="K376" s="18">
        <f>IFERROR(
                  Andel_oberoende_av_klimat*VLOOKUP($A376,Leveranser_per_nät,'Leveranser per nät'!K$1,FALSE)
               +Andel_beroende_av_klimat*VLOOKUP($A376,Leveranser_per_nät,'Leveranser per nät'!K$1,FALSE)/VLOOKUP($B376,Korrigeringsfaktor_GD,'Korrigeringsfaktor GD'!K$1,FALSE),
"")</f>
        <v>24.204970833333331</v>
      </c>
      <c r="L376" s="18">
        <f>IFERROR(
                  Andel_oberoende_av_klimat*VLOOKUP($A376,Leveranser_per_nät,'Leveranser per nät'!L$1,FALSE)
               +Andel_beroende_av_klimat*VLOOKUP($A376,Leveranser_per_nät,'Leveranser per nät'!L$1,FALSE)/VLOOKUP($B376,Korrigeringsfaktor_GD,'Korrigeringsfaktor GD'!L$1,FALSE),
"")</f>
        <v>31.961301939541361</v>
      </c>
      <c r="M376" s="18">
        <f>IFERROR(
                  Andel_oberoende_av_klimat*VLOOKUP($A376,Leveranser_per_nät,'Leveranser per nät'!M$1,FALSE)
               +Andel_beroende_av_klimat*VLOOKUP($A376,Leveranser_per_nät,'Leveranser per nät'!M$1,FALSE)/VLOOKUP($B376,Korrigeringsfaktor_GD,'Korrigeringsfaktor GD'!M$1,FALSE),
"")</f>
        <v>24.869722222222222</v>
      </c>
      <c r="N376" s="18">
        <f>IFERROR(
                  Andel_oberoende_av_klimat*VLOOKUP($A376,Leveranser_per_nät,'Leveranser per nät'!N$1,FALSE)
               +Andel_beroende_av_klimat*VLOOKUP($A376,Leveranser_per_nät,'Leveranser per nät'!N$1,FALSE)/VLOOKUP($B376,Korrigeringsfaktor_GD,'Korrigeringsfaktor GD'!N$1,FALSE),
"")</f>
        <v>26.117021276595747</v>
      </c>
      <c r="O376" s="18">
        <f>IFERROR(
                  Andel_oberoende_av_klimat*VLOOKUP($A376,Leveranser_per_nät,'Leveranser per nät'!O$1,FALSE)
               +Andel_beroende_av_klimat*VLOOKUP($A376,Leveranser_per_nät,'Leveranser per nät'!O$1,FALSE)/VLOOKUP($B376,Korrigeringsfaktor_GD,'Korrigeringsfaktor GD'!O$1,FALSE),
"")</f>
        <v>26.552500000000002</v>
      </c>
      <c r="P376" s="18">
        <f>IFERROR(
                  Andel_oberoende_av_klimat*VLOOKUP($A376,Leveranser_per_nät,'Leveranser per nät'!P$1,FALSE)
               +Andel_beroende_av_klimat*VLOOKUP($A376,Leveranser_per_nät,'Leveranser per nät'!P$1,FALSE)/VLOOKUP($B376,Korrigeringsfaktor_GD,'Korrigeringsfaktor GD'!P$1,FALSE),
"")</f>
        <v>27.805940594059408</v>
      </c>
      <c r="Q376" s="18">
        <f>IFERROR(
                  Andel_oberoende_av_klimat*VLOOKUP($A376,Leveranser_per_nät,'Leveranser per nät'!Q$1,FALSE)
               +Andel_beroende_av_klimat*VLOOKUP($A376,Leveranser_per_nät,'Leveranser per nät'!Q$1,FALSE)/VLOOKUP($B376,Korrigeringsfaktor_GD,'Korrigeringsfaktor GD'!Q$1,FALSE),
"")</f>
        <v>29.813793103448276</v>
      </c>
      <c r="R376" s="18">
        <f>IFERROR(
                  Andel_oberoende_av_klimat*VLOOKUP($A376,Leveranser_per_nät,'Leveranser per nät'!R$1,FALSE)
               +Andel_beroende_av_klimat*VLOOKUP($A376,Leveranser_per_nät,'Leveranser per nät'!R$1,FALSE)/VLOOKUP($B376,Korrigeringsfaktor_GD,'Korrigeringsfaktor GD'!R$1,FALSE),
"")</f>
        <v>28.537391304347825</v>
      </c>
      <c r="S376" s="18">
        <f>IFERROR(
                  Andel_oberoende_av_klimat*VLOOKUP($A376,Leveranser_per_nät,'Leveranser per nät'!S$1,FALSE)
               +Andel_beroende_av_klimat*VLOOKUP($A376,Leveranser_per_nät,'Leveranser per nät'!S$1,FALSE)/VLOOKUP($B376,Korrigeringsfaktor_GD,'Korrigeringsfaktor GD'!S$1,FALSE),
"")</f>
        <v>27.429126213592234</v>
      </c>
      <c r="T376" s="18">
        <f>IFERROR(
                  Andel_oberoende_av_klimat*VLOOKUP($A376,Leveranser_per_nät,'Leveranser per nät'!T$1,FALSE)
               +Andel_beroende_av_klimat*VLOOKUP($A376,Leveranser_per_nät,'Leveranser per nät'!T$1,FALSE)/VLOOKUP($B376,Korrigeringsfaktor_GD,'Korrigeringsfaktor GD'!T$1,FALSE),
"")</f>
        <v>27.487142857142857</v>
      </c>
      <c r="U376" s="18">
        <f>IFERROR(
                  Andel_oberoende_av_klimat*VLOOKUP($A376,Leveranser_per_nät,'Leveranser per nät'!U$1,FALSE)
               +Andel_beroende_av_klimat*VLOOKUP($A376,Leveranser_per_nät,'Leveranser per nät'!U$1,FALSE)/VLOOKUP($B376,Korrigeringsfaktor_GD,'Korrigeringsfaktor GD'!U$1,FALSE),
"")</f>
        <v>28.237777777777779</v>
      </c>
      <c r="V376" s="18">
        <f>IFERROR(
                  Andel_oberoende_av_klimat*VLOOKUP($A376,Leveranser_per_nät,'Leveranser per nät'!V$1,FALSE)
               +Andel_beroende_av_klimat*VLOOKUP($A376,Leveranser_per_nät,'Leveranser per nät'!V$1,FALSE)/VLOOKUP($B376,Korrigeringsfaktor_GD,'Korrigeringsfaktor GD'!V$1,FALSE),
"")</f>
        <v>26.840000000000003</v>
      </c>
      <c r="W376" s="18">
        <f>IFERROR(
                  Andel_oberoende_av_klimat*VLOOKUP($A376,Leveranser_per_nät,'Leveranser per nät'!W$1,FALSE)
               +Andel_beroende_av_klimat*VLOOKUP($A376,Leveranser_per_nät,'Leveranser per nät'!W$1,FALSE)/VLOOKUP($B376,Korrigeringsfaktor_GD,'Korrigeringsfaktor GD'!W$1,FALSE),
"")</f>
        <v>27.584536082474227</v>
      </c>
      <c r="X376" s="18">
        <f>IFERROR(
                  Andel_oberoende_av_klimat*VLOOKUP($A376,Leveranser_per_nät,'Leveranser per nät'!X$1,FALSE)
               +Andel_beroende_av_klimat*VLOOKUP($A376,Leveranser_per_nät,'Leveranser per nät'!X$1,FALSE)/VLOOKUP($B376,Korrigeringsfaktor_GD,'Korrigeringsfaktor GD'!X$1,FALSE),
"")</f>
        <v>28.197979797979798</v>
      </c>
      <c r="Y376" s="18">
        <f>IFERROR(
                  Andel_oberoende_av_klimat*VLOOKUP($A376,Leveranser_per_nät,'Leveranser per nät'!Y$1,FALSE)
               +Andel_beroende_av_klimat*VLOOKUP($A376,Leveranser_per_nät,'Leveranser per nät'!Y$1,FALSE)/VLOOKUP($B376,Korrigeringsfaktor_GD,'Korrigeringsfaktor GD'!Y$1,FALSE),
"")</f>
        <v>27.795151515151517</v>
      </c>
      <c r="Z376" s="18">
        <f>IFERROR(
                  Andel_oberoende_av_klimat*VLOOKUP($A376,Leveranser_per_nät,'Leveranser per nät'!Z$1,FALSE)
               +Andel_beroende_av_klimat*VLOOKUP($A376,Leveranser_per_nät,'Leveranser per nät'!Z$1,FALSE)/VLOOKUP($B376,Korrigeringsfaktor_GD,'Korrigeringsfaktor GD'!Z$1,FALSE),
"")</f>
        <v>27.892857142857146</v>
      </c>
      <c r="AA376" s="18">
        <f>IFERROR(
                  Andel_oberoende_av_klimat*VLOOKUP($A376,Leveranser_per_nät,'Leveranser per nät'!AA$1,FALSE)
               +Andel_beroende_av_klimat*VLOOKUP($A376,Leveranser_per_nät,'Leveranser per nät'!AA$1,FALSE)/VLOOKUP($B376,Korrigeringsfaktor_GD,'Korrigeringsfaktor GD'!AA$1,FALSE),
"")</f>
        <v>27.746508108108106</v>
      </c>
      <c r="AB376" s="18">
        <f>IFERROR(
                  Andel_oberoende_av_klimat*VLOOKUP($A376,Leveranser_per_nät,'Leveranser per nät'!AB$1,FALSE)
               +Andel_beroende_av_klimat*VLOOKUP($A376,Leveranser_per_nät,'Leveranser per nät'!AB$1,FALSE)/VLOOKUP($B376,Korrigeringsfaktor_GD,'Korrigeringsfaktor GD'!AB$1,FALSE),
"")</f>
        <v>27.564865517241383</v>
      </c>
      <c r="AC376" s="18">
        <f>IFERROR(
                  Andel_oberoende_av_klimat*VLOOKUP($A376,Leveranser_per_nät,'Leveranser per nät'!AC$1,FALSE)
               +Andel_beroende_av_klimat*VLOOKUP($A376,Leveranser_per_nät,'Leveranser per nät'!AC$1,FALSE)/VLOOKUP($B376,Korrigeringsfaktor_GD,'Korrigeringsfaktor GD'!AC$1,FALSE),
"")</f>
        <v>26.643900415800413</v>
      </c>
      <c r="AD376">
        <v>25.927</v>
      </c>
    </row>
    <row r="377" spans="1:30" x14ac:dyDescent="0.25">
      <c r="A377" t="s">
        <v>298</v>
      </c>
      <c r="B377" t="s">
        <v>298</v>
      </c>
      <c r="C377" s="18">
        <f>IFERROR(
                  Andel_oberoende_av_klimat*VLOOKUP($A377,Leveranser_per_nät,'Leveranser per nät'!C$1,FALSE)
               +Andel_beroende_av_klimat*VLOOKUP($A377,Leveranser_per_nät,'Leveranser per nät'!C$1,FALSE)/VLOOKUP("Borås",Korrigeringsfaktor_GD,'Korrigeringsfaktor GD'!C$1,FALSE),
"")</f>
        <v>37.924999999999997</v>
      </c>
      <c r="D377" s="18">
        <f>IFERROR(
                  Andel_oberoende_av_klimat*VLOOKUP($A377,Leveranser_per_nät,'Leveranser per nät'!D$1,FALSE)
               +Andel_beroende_av_klimat*VLOOKUP($A377,Leveranser_per_nät,'Leveranser per nät'!D$1,FALSE)/VLOOKUP("Borås",Korrigeringsfaktor_GD,'Korrigeringsfaktor GD'!D$1,FALSE),
"")</f>
        <v>41.26</v>
      </c>
      <c r="E377" s="18">
        <f>IFERROR(
                  Andel_oberoende_av_klimat*VLOOKUP($A377,Leveranser_per_nät,'Leveranser per nät'!E$1,FALSE)
               +Andel_beroende_av_klimat*VLOOKUP($A377,Leveranser_per_nät,'Leveranser per nät'!E$1,FALSE)/VLOOKUP("Borås",Korrigeringsfaktor_GD,'Korrigeringsfaktor GD'!E$1,FALSE),
"")</f>
        <v>42.701980198019797</v>
      </c>
      <c r="F377" s="18">
        <f>IFERROR(
                  Andel_oberoende_av_klimat*VLOOKUP($A377,Leveranser_per_nät,'Leveranser per nät'!F$1,FALSE)
               +Andel_beroende_av_klimat*VLOOKUP($A377,Leveranser_per_nät,'Leveranser per nät'!F$1,FALSE)/VLOOKUP("Borås",Korrigeringsfaktor_GD,'Korrigeringsfaktor GD'!F$1,FALSE),
"")</f>
        <v>42.831914893617025</v>
      </c>
      <c r="G377" s="18">
        <f>IFERROR(
                  Andel_oberoende_av_klimat*VLOOKUP($A377,Leveranser_per_nät,'Leveranser per nät'!G$1,FALSE)
               +Andel_beroende_av_klimat*VLOOKUP($A377,Leveranser_per_nät,'Leveranser per nät'!G$1,FALSE)/VLOOKUP("Borås",Korrigeringsfaktor_GD,'Korrigeringsfaktor GD'!G$1,FALSE),
"")</f>
        <v>42.330232558139535</v>
      </c>
      <c r="H377" s="18">
        <f>IFERROR(
                  Andel_oberoende_av_klimat*VLOOKUP($A377,Leveranser_per_nät,'Leveranser per nät'!H$1,FALSE)
               +Andel_beroende_av_klimat*VLOOKUP($A377,Leveranser_per_nät,'Leveranser per nät'!H$1,FALSE)/VLOOKUP("Borås",Korrigeringsfaktor_GD,'Korrigeringsfaktor GD'!H$1,FALSE),
"")</f>
        <v>38.226216831683175</v>
      </c>
      <c r="I377" s="18">
        <f>IFERROR(
                  Andel_oberoende_av_klimat*VLOOKUP($A377,Leveranser_per_nät,'Leveranser per nät'!I$1,FALSE)
               +Andel_beroende_av_klimat*VLOOKUP($A377,Leveranser_per_nät,'Leveranser per nät'!I$1,FALSE)/VLOOKUP("Borås",Korrigeringsfaktor_GD,'Korrigeringsfaktor GD'!I$1,FALSE),
"")</f>
        <v>39.046436842105258</v>
      </c>
      <c r="J377" s="18">
        <f>IFERROR(
                  Andel_oberoende_av_klimat*VLOOKUP($A377,Leveranser_per_nät,'Leveranser per nät'!J$1,FALSE)
               +Andel_beroende_av_klimat*VLOOKUP($A377,Leveranser_per_nät,'Leveranser per nät'!J$1,FALSE)/VLOOKUP("Borås",Korrigeringsfaktor_GD,'Korrigeringsfaktor GD'!J$1,FALSE),
"")</f>
        <v>39.433867676767676</v>
      </c>
      <c r="K377" s="18">
        <f>IFERROR(
                  Andel_oberoende_av_klimat*VLOOKUP($A377,Leveranser_per_nät,'Leveranser per nät'!K$1,FALSE)
               +Andel_beroende_av_klimat*VLOOKUP($A377,Leveranser_per_nät,'Leveranser per nät'!K$1,FALSE)/VLOOKUP("Borås",Korrigeringsfaktor_GD,'Korrigeringsfaktor GD'!K$1,FALSE),
"")</f>
        <v>39.958551515151512</v>
      </c>
      <c r="L377" s="18">
        <f>IFERROR(
                  Andel_oberoende_av_klimat*VLOOKUP($A377,Leveranser_per_nät,'Leveranser per nät'!L$1,FALSE)
               +Andel_beroende_av_klimat*VLOOKUP($A377,Leveranser_per_nät,'Leveranser per nät'!L$1,FALSE)/VLOOKUP("Borås",Korrigeringsfaktor_GD,'Korrigeringsfaktor GD'!L$1,FALSE),
"")</f>
        <v>37.837312500000003</v>
      </c>
      <c r="M377" s="18">
        <f>IFERROR(
                  Andel_oberoende_av_klimat*VLOOKUP($A377,Leveranser_per_nät,'Leveranser per nät'!M$1,FALSE)
               +Andel_beroende_av_klimat*VLOOKUP($A377,Leveranser_per_nät,'Leveranser per nät'!M$1,FALSE)/VLOOKUP("Borås",Korrigeringsfaktor_GD,'Korrigeringsfaktor GD'!M$1,FALSE),
"")</f>
        <v>41.475913978494624</v>
      </c>
      <c r="N377" s="18">
        <f>IFERROR(
                  Andel_oberoende_av_klimat*VLOOKUP($A377,Leveranser_per_nät,'Leveranser per nät'!N$1,FALSE)
               +Andel_beroende_av_klimat*VLOOKUP($A377,Leveranser_per_nät,'Leveranser per nät'!N$1,FALSE)/VLOOKUP("Borås",Korrigeringsfaktor_GD,'Korrigeringsfaktor GD'!N$1,FALSE),
"")</f>
        <v>40.847777777777779</v>
      </c>
      <c r="O377" s="18">
        <f>IFERROR(
                  Andel_oberoende_av_klimat*VLOOKUP($A377,Leveranser_per_nät,'Leveranser per nät'!O$1,FALSE)
               +Andel_beroende_av_klimat*VLOOKUP($A377,Leveranser_per_nät,'Leveranser per nät'!O$1,FALSE)/VLOOKUP("Borås",Korrigeringsfaktor_GD,'Korrigeringsfaktor GD'!O$1,FALSE),
"")</f>
        <v>40.416666666666664</v>
      </c>
      <c r="P377" s="18">
        <f>IFERROR(
                  Andel_oberoende_av_klimat*VLOOKUP($A377,Leveranser_per_nät,'Leveranser per nät'!P$1,FALSE)
               +Andel_beroende_av_klimat*VLOOKUP($A377,Leveranser_per_nät,'Leveranser per nät'!P$1,FALSE)/VLOOKUP("Borås",Korrigeringsfaktor_GD,'Korrigeringsfaktor GD'!P$1,FALSE),
"")</f>
        <v>34.327422680412369</v>
      </c>
      <c r="Q377" s="18">
        <f>IFERROR(
                  Andel_oberoende_av_klimat*VLOOKUP($A377,Leveranser_per_nät,'Leveranser per nät'!Q$1,FALSE)
               +Andel_beroende_av_klimat*VLOOKUP($A377,Leveranser_per_nät,'Leveranser per nät'!Q$1,FALSE)/VLOOKUP("Borås",Korrigeringsfaktor_GD,'Korrigeringsfaktor GD'!Q$1,FALSE),
"")</f>
        <v>38.71632478632479</v>
      </c>
      <c r="R377" s="18">
        <f>IFERROR(
                  Andel_oberoende_av_klimat*VLOOKUP($A377,Leveranser_per_nät,'Leveranser per nät'!R$1,FALSE)
               +Andel_beroende_av_klimat*VLOOKUP($A377,Leveranser_per_nät,'Leveranser per nät'!R$1,FALSE)/VLOOKUP("Borås",Korrigeringsfaktor_GD,'Korrigeringsfaktor GD'!R$1,FALSE),
"")</f>
        <v>38.171538461538468</v>
      </c>
      <c r="S377" s="18">
        <f>IFERROR(
                  Andel_oberoende_av_klimat*VLOOKUP($A377,Leveranser_per_nät,'Leveranser per nät'!S$1,FALSE)
               +Andel_beroende_av_klimat*VLOOKUP($A377,Leveranser_per_nät,'Leveranser per nät'!S$1,FALSE)/VLOOKUP("Borås",Korrigeringsfaktor_GD,'Korrigeringsfaktor GD'!S$1,FALSE),
"")</f>
        <v>39.450980392156865</v>
      </c>
      <c r="T377" s="18">
        <f>IFERROR(
                  Andel_oberoende_av_klimat*VLOOKUP($A377,Leveranser_per_nät,'Leveranser per nät'!T$1,FALSE)
               +Andel_beroende_av_klimat*VLOOKUP($A377,Leveranser_per_nät,'Leveranser per nät'!T$1,FALSE)/VLOOKUP("Borås",Korrigeringsfaktor_GD,'Korrigeringsfaktor GD'!T$1,FALSE),
"")</f>
        <v>38.588500000000003</v>
      </c>
      <c r="U377" s="18">
        <f>IFERROR(
                  Andel_oberoende_av_klimat*VLOOKUP($A377,Leveranser_per_nät,'Leveranser per nät'!U$1,FALSE)
               +Andel_beroende_av_klimat*VLOOKUP($A377,Leveranser_per_nät,'Leveranser per nät'!U$1,FALSE)/VLOOKUP("Borås",Korrigeringsfaktor_GD,'Korrigeringsfaktor GD'!U$1,FALSE),
"")</f>
        <v>36.430736781609198</v>
      </c>
      <c r="V377" s="18">
        <f>IFERROR(
                  Andel_oberoende_av_klimat*VLOOKUP($A377,Leveranser_per_nät,'Leveranser per nät'!V$1,FALSE)
               +Andel_beroende_av_klimat*VLOOKUP($A377,Leveranser_per_nät,'Leveranser per nät'!V$1,FALSE)/VLOOKUP("Borås",Korrigeringsfaktor_GD,'Korrigeringsfaktor GD'!V$1,FALSE),
"")</f>
        <v>35.795936842105263</v>
      </c>
      <c r="W377" s="18">
        <f>IFERROR(
                  Andel_oberoende_av_klimat*VLOOKUP($A377,Leveranser_per_nät,'Leveranser per nät'!W$1,FALSE)
               +Andel_beroende_av_klimat*VLOOKUP($A377,Leveranser_per_nät,'Leveranser per nät'!W$1,FALSE)/VLOOKUP("Borås",Korrigeringsfaktor_GD,'Korrigeringsfaktor GD'!W$1,FALSE),
"")</f>
        <v>39.265686868686871</v>
      </c>
      <c r="X377" s="18">
        <f>IFERROR(
                  Andel_oberoende_av_klimat*VLOOKUP($A377,Leveranser_per_nät,'Leveranser per nät'!X$1,FALSE)
               +Andel_beroende_av_klimat*VLOOKUP($A377,Leveranser_per_nät,'Leveranser per nät'!X$1,FALSE)/VLOOKUP("Borås",Korrigeringsfaktor_GD,'Korrigeringsfaktor GD'!X$1,FALSE),
"")</f>
        <v>37.279989690721649</v>
      </c>
      <c r="Y377" s="18">
        <f>IFERROR(
                  Andel_oberoende_av_klimat*VLOOKUP($A377,Leveranser_per_nät,'Leveranser per nät'!Y$1,FALSE)
               +Andel_beroende_av_klimat*VLOOKUP($A377,Leveranser_per_nät,'Leveranser per nät'!Y$1,FALSE)/VLOOKUP($B377,Korrigeringsfaktor_GD,'Korrigeringsfaktor GD'!Y$1,FALSE),
"")</f>
        <v>0</v>
      </c>
      <c r="Z377" s="18">
        <f>IFERROR(
                  Andel_oberoende_av_klimat*VLOOKUP($A377,Leveranser_per_nät,'Leveranser per nät'!Z$1,FALSE)
               +Andel_beroende_av_klimat*VLOOKUP($A377,Leveranser_per_nät,'Leveranser per nät'!Z$1,FALSE)/VLOOKUP($B377,Korrigeringsfaktor_GD,'Korrigeringsfaktor GD'!Z$1,FALSE),
"")</f>
        <v>0</v>
      </c>
      <c r="AA377" s="18">
        <f>IFERROR(
                  Andel_oberoende_av_klimat*VLOOKUP($A377,Leveranser_per_nät,'Leveranser per nät'!AA$1,FALSE)
               +Andel_beroende_av_klimat*VLOOKUP($A377,Leveranser_per_nät,'Leveranser per nät'!AA$1,FALSE)/VLOOKUP($B377,Korrigeringsfaktor_GD,'Korrigeringsfaktor GD'!AA$1,FALSE),
"")</f>
        <v>37.376290223463684</v>
      </c>
      <c r="AB377" s="18">
        <f>IFERROR(
                  Andel_oberoende_av_klimat*VLOOKUP($A377,Leveranser_per_nät,'Leveranser per nät'!AB$1,FALSE)
               +Andel_beroende_av_klimat*VLOOKUP($A377,Leveranser_per_nät,'Leveranser per nät'!AB$1,FALSE)/VLOOKUP($B377,Korrigeringsfaktor_GD,'Korrigeringsfaktor GD'!AB$1,FALSE),
"")</f>
        <v>36.987045808966862</v>
      </c>
      <c r="AC377" s="18">
        <f>IFERROR(
                  Andel_oberoende_av_klimat*VLOOKUP($A377,Leveranser_per_nät,'Leveranser per nät'!AC$1,FALSE)
               +Andel_beroende_av_klimat*VLOOKUP($A377,Leveranser_per_nät,'Leveranser per nät'!AC$1,FALSE)/VLOOKUP($B377,Korrigeringsfaktor_GD,'Korrigeringsfaktor GD'!AC$1,FALSE),
"")</f>
        <v>35.553035294117649</v>
      </c>
      <c r="AD377">
        <v>34.341000000000001</v>
      </c>
    </row>
    <row r="378" spans="1:30" x14ac:dyDescent="0.25">
      <c r="A378" t="s">
        <v>112</v>
      </c>
      <c r="B378" t="s">
        <v>110</v>
      </c>
      <c r="C378" s="18">
        <f>IFERROR(
                  Andel_oberoende_av_klimat*VLOOKUP($A378,Leveranser_per_nät,'Leveranser per nät'!C$1,FALSE)
               +Andel_beroende_av_klimat*VLOOKUP($A378,Leveranser_per_nät,'Leveranser per nät'!C$1,FALSE)/VLOOKUP($B378,Korrigeringsfaktor_GD,'Korrigeringsfaktor GD'!C$1,FALSE),
"")</f>
        <v>0</v>
      </c>
      <c r="D378" s="18">
        <f>IFERROR(
                  Andel_oberoende_av_klimat*VLOOKUP($A378,Leveranser_per_nät,'Leveranser per nät'!D$1,FALSE)
               +Andel_beroende_av_klimat*VLOOKUP($A378,Leveranser_per_nät,'Leveranser per nät'!D$1,FALSE)/VLOOKUP($B378,Korrigeringsfaktor_GD,'Korrigeringsfaktor GD'!D$1,FALSE),
"")</f>
        <v>0</v>
      </c>
      <c r="E378" s="18">
        <f>IFERROR(
                  Andel_oberoende_av_klimat*VLOOKUP($A378,Leveranser_per_nät,'Leveranser per nät'!E$1,FALSE)
               +Andel_beroende_av_klimat*VLOOKUP($A378,Leveranser_per_nät,'Leveranser per nät'!E$1,FALSE)/VLOOKUP($B378,Korrigeringsfaktor_GD,'Korrigeringsfaktor GD'!E$1,FALSE),
"")</f>
        <v>0</v>
      </c>
      <c r="F378" s="18">
        <f>IFERROR(
                  Andel_oberoende_av_klimat*VLOOKUP($A378,Leveranser_per_nät,'Leveranser per nät'!F$1,FALSE)
               +Andel_beroende_av_klimat*VLOOKUP($A378,Leveranser_per_nät,'Leveranser per nät'!F$1,FALSE)/VLOOKUP($B378,Korrigeringsfaktor_GD,'Korrigeringsfaktor GD'!F$1,FALSE),
"")</f>
        <v>0</v>
      </c>
      <c r="G378" s="18">
        <f>IFERROR(
                  Andel_oberoende_av_klimat*VLOOKUP($A378,Leveranser_per_nät,'Leveranser per nät'!G$1,FALSE)
               +Andel_beroende_av_klimat*VLOOKUP($A378,Leveranser_per_nät,'Leveranser per nät'!G$1,FALSE)/VLOOKUP($B378,Korrigeringsfaktor_GD,'Korrigeringsfaktor GD'!G$1,FALSE),
"")</f>
        <v>0</v>
      </c>
      <c r="H378" s="18">
        <f>IFERROR(
                  Andel_oberoende_av_klimat*VLOOKUP($A378,Leveranser_per_nät,'Leveranser per nät'!H$1,FALSE)
               +Andel_beroende_av_klimat*VLOOKUP($A378,Leveranser_per_nät,'Leveranser per nät'!H$1,FALSE)/VLOOKUP($B378,Korrigeringsfaktor_GD,'Korrigeringsfaktor GD'!H$1,FALSE),
"")</f>
        <v>0</v>
      </c>
      <c r="I378" s="18">
        <f>IFERROR(
                  Andel_oberoende_av_klimat*VLOOKUP($A378,Leveranser_per_nät,'Leveranser per nät'!I$1,FALSE)
               +Andel_beroende_av_klimat*VLOOKUP($A378,Leveranser_per_nät,'Leveranser per nät'!I$1,FALSE)/VLOOKUP($B378,Korrigeringsfaktor_GD,'Korrigeringsfaktor GD'!I$1,FALSE),
"")</f>
        <v>0</v>
      </c>
      <c r="J378" s="18">
        <f>IFERROR(
                  Andel_oberoende_av_klimat*VLOOKUP($A378,Leveranser_per_nät,'Leveranser per nät'!J$1,FALSE)
               +Andel_beroende_av_klimat*VLOOKUP($A378,Leveranser_per_nät,'Leveranser per nät'!J$1,FALSE)/VLOOKUP($B378,Korrigeringsfaktor_GD,'Korrigeringsfaktor GD'!J$1,FALSE),
"")</f>
        <v>0</v>
      </c>
      <c r="K378" s="18">
        <f>IFERROR(
                  Andel_oberoende_av_klimat*VLOOKUP($A378,Leveranser_per_nät,'Leveranser per nät'!K$1,FALSE)
               +Andel_beroende_av_klimat*VLOOKUP($A378,Leveranser_per_nät,'Leveranser per nät'!K$1,FALSE)/VLOOKUP($B378,Korrigeringsfaktor_GD,'Korrigeringsfaktor GD'!K$1,FALSE),
"")</f>
        <v>3.3458208333333332</v>
      </c>
      <c r="L378" s="18">
        <f>IFERROR(
                  Andel_oberoende_av_klimat*VLOOKUP($A378,Leveranser_per_nät,'Leveranser per nät'!L$1,FALSE)
               +Andel_beroende_av_klimat*VLOOKUP($A378,Leveranser_per_nät,'Leveranser per nät'!L$1,FALSE)/VLOOKUP($B378,Korrigeringsfaktor_GD,'Korrigeringsfaktor GD'!L$1,FALSE),
"")</f>
        <v>4.7370967741935477</v>
      </c>
      <c r="M378" s="18">
        <f>IFERROR(
                  Andel_oberoende_av_klimat*VLOOKUP($A378,Leveranser_per_nät,'Leveranser per nät'!M$1,FALSE)
               +Andel_beroende_av_klimat*VLOOKUP($A378,Leveranser_per_nät,'Leveranser per nät'!M$1,FALSE)/VLOOKUP($B378,Korrigeringsfaktor_GD,'Korrigeringsfaktor GD'!M$1,FALSE),
"")</f>
        <v>5.2296076923076917</v>
      </c>
      <c r="N378" s="18">
        <f>IFERROR(
                  Andel_oberoende_av_klimat*VLOOKUP($A378,Leveranser_per_nät,'Leveranser per nät'!N$1,FALSE)
               +Andel_beroende_av_klimat*VLOOKUP($A378,Leveranser_per_nät,'Leveranser per nät'!N$1,FALSE)/VLOOKUP($B378,Korrigeringsfaktor_GD,'Korrigeringsfaktor GD'!N$1,FALSE),
"")</f>
        <v>5.2162956521739128</v>
      </c>
      <c r="O378" s="18">
        <f>IFERROR(
                  Andel_oberoende_av_klimat*VLOOKUP($A378,Leveranser_per_nät,'Leveranser per nät'!O$1,FALSE)
               +Andel_beroende_av_klimat*VLOOKUP($A378,Leveranser_per_nät,'Leveranser per nät'!O$1,FALSE)/VLOOKUP($B378,Korrigeringsfaktor_GD,'Korrigeringsfaktor GD'!O$1,FALSE),
"")</f>
        <v>5.2916230769230772</v>
      </c>
      <c r="P378" s="18">
        <f>IFERROR(
                  Andel_oberoende_av_klimat*VLOOKUP($A378,Leveranser_per_nät,'Leveranser per nät'!P$1,FALSE)
               +Andel_beroende_av_klimat*VLOOKUP($A378,Leveranser_per_nät,'Leveranser per nät'!P$1,FALSE)/VLOOKUP($B378,Korrigeringsfaktor_GD,'Korrigeringsfaktor GD'!P$1,FALSE),
"")</f>
        <v>5.0714285714285721</v>
      </c>
      <c r="Q378" s="18">
        <f>IFERROR(
                  Andel_oberoende_av_klimat*VLOOKUP($A378,Leveranser_per_nät,'Leveranser per nät'!Q$1,FALSE)
               +Andel_beroende_av_klimat*VLOOKUP($A378,Leveranser_per_nät,'Leveranser per nät'!Q$1,FALSE)/VLOOKUP($B378,Korrigeringsfaktor_GD,'Korrigeringsfaktor GD'!Q$1,FALSE),
"")</f>
        <v>4.9623869565217396</v>
      </c>
      <c r="R378" s="18">
        <f>IFERROR(
                  Andel_oberoende_av_klimat*VLOOKUP($A378,Leveranser_per_nät,'Leveranser per nät'!R$1,FALSE)
               +Andel_beroende_av_klimat*VLOOKUP($A378,Leveranser_per_nät,'Leveranser per nät'!R$1,FALSE)/VLOOKUP($B378,Korrigeringsfaktor_GD,'Korrigeringsfaktor GD'!R$1,FALSE),
"")</f>
        <v>5.2045888888888889</v>
      </c>
      <c r="S378" s="18">
        <f>IFERROR(
                  Andel_oberoende_av_klimat*VLOOKUP($A378,Leveranser_per_nät,'Leveranser per nät'!S$1,FALSE)
               +Andel_beroende_av_klimat*VLOOKUP($A378,Leveranser_per_nät,'Leveranser per nät'!S$1,FALSE)/VLOOKUP($B378,Korrigeringsfaktor_GD,'Korrigeringsfaktor GD'!S$1,FALSE),
"")</f>
        <v>5.2266969696969703</v>
      </c>
      <c r="T378" s="18">
        <f>IFERROR(
                  Andel_oberoende_av_klimat*VLOOKUP($A378,Leveranser_per_nät,'Leveranser per nät'!T$1,FALSE)
               +Andel_beroende_av_klimat*VLOOKUP($A378,Leveranser_per_nät,'Leveranser per nät'!T$1,FALSE)/VLOOKUP($B378,Korrigeringsfaktor_GD,'Korrigeringsfaktor GD'!T$1,FALSE),
"")</f>
        <v>4.9893957446808512</v>
      </c>
      <c r="U378" s="18">
        <f>IFERROR(
                  Andel_oberoende_av_klimat*VLOOKUP($A378,Leveranser_per_nät,'Leveranser per nät'!U$1,FALSE)
               +Andel_beroende_av_klimat*VLOOKUP($A378,Leveranser_per_nät,'Leveranser per nät'!U$1,FALSE)/VLOOKUP($B378,Korrigeringsfaktor_GD,'Korrigeringsfaktor GD'!U$1,FALSE),
"")</f>
        <v>4.863818181818182</v>
      </c>
      <c r="V378" s="18">
        <f>IFERROR(
                  Andel_oberoende_av_klimat*VLOOKUP($A378,Leveranser_per_nät,'Leveranser per nät'!V$1,FALSE)
               +Andel_beroende_av_klimat*VLOOKUP($A378,Leveranser_per_nät,'Leveranser per nät'!V$1,FALSE)/VLOOKUP($B378,Korrigeringsfaktor_GD,'Korrigeringsfaktor GD'!V$1,FALSE),
"")</f>
        <v>4.8392222222222223</v>
      </c>
      <c r="W378" s="18">
        <f>IFERROR(
                  Andel_oberoende_av_klimat*VLOOKUP($A378,Leveranser_per_nät,'Leveranser per nät'!W$1,FALSE)
               +Andel_beroende_av_klimat*VLOOKUP($A378,Leveranser_per_nät,'Leveranser per nät'!W$1,FALSE)/VLOOKUP($B378,Korrigeringsfaktor_GD,'Korrigeringsfaktor GD'!W$1,FALSE),
"")</f>
        <v>4.8264255319148939</v>
      </c>
      <c r="X378" s="18">
        <f>IFERROR(
                  Andel_oberoende_av_klimat*VLOOKUP($A378,Leveranser_per_nät,'Leveranser per nät'!X$1,FALSE)
               +Andel_beroende_av_klimat*VLOOKUP($A378,Leveranser_per_nät,'Leveranser per nät'!X$1,FALSE)/VLOOKUP($B378,Korrigeringsfaktor_GD,'Korrigeringsfaktor GD'!X$1,FALSE),
"")</f>
        <v>4.9091249999999995</v>
      </c>
      <c r="Y378" s="18">
        <f>IFERROR(
                  Andel_oberoende_av_klimat*VLOOKUP($A378,Leveranser_per_nät,'Leveranser per nät'!Y$1,FALSE)
               +Andel_beroende_av_klimat*VLOOKUP($A378,Leveranser_per_nät,'Leveranser per nät'!Y$1,FALSE)/VLOOKUP($B378,Korrigeringsfaktor_GD,'Korrigeringsfaktor GD'!Y$1,FALSE),
"")</f>
        <v>5.0597894736842104</v>
      </c>
      <c r="Z378" s="18">
        <f>IFERROR(
                  Andel_oberoende_av_klimat*VLOOKUP($A378,Leveranser_per_nät,'Leveranser per nät'!Z$1,FALSE)
               +Andel_beroende_av_klimat*VLOOKUP($A378,Leveranser_per_nät,'Leveranser per nät'!Z$1,FALSE)/VLOOKUP($B378,Korrigeringsfaktor_GD,'Korrigeringsfaktor GD'!Z$1,FALSE),
"")</f>
        <v>5.2696067415730337</v>
      </c>
      <c r="AA378" s="18">
        <f>IFERROR(
                  Andel_oberoende_av_klimat*VLOOKUP($A378,Leveranser_per_nät,'Leveranser per nät'!AA$1,FALSE)
               +Andel_beroende_av_klimat*VLOOKUP($A378,Leveranser_per_nät,'Leveranser per nät'!AA$1,FALSE)/VLOOKUP($B378,Korrigeringsfaktor_GD,'Korrigeringsfaktor GD'!AA$1,FALSE),
"")</f>
        <v>4.7828313253012045</v>
      </c>
      <c r="AB378" s="18">
        <f>IFERROR(
                  Andel_oberoende_av_klimat*VLOOKUP($A378,Leveranser_per_nät,'Leveranser per nät'!AB$1,FALSE)
               +Andel_beroende_av_klimat*VLOOKUP($A378,Leveranser_per_nät,'Leveranser per nät'!AB$1,FALSE)/VLOOKUP($B378,Korrigeringsfaktor_GD,'Korrigeringsfaktor GD'!AB$1,FALSE),
"")</f>
        <v>4.6682639842983313</v>
      </c>
      <c r="AC378" s="18">
        <f>IFERROR(
                  Andel_oberoende_av_klimat*VLOOKUP($A378,Leveranser_per_nät,'Leveranser per nät'!AC$1,FALSE)
               +Andel_beroende_av_klimat*VLOOKUP($A378,Leveranser_per_nät,'Leveranser per nät'!AC$1,FALSE)/VLOOKUP($B378,Korrigeringsfaktor_GD,'Korrigeringsfaktor GD'!AC$1,FALSE),
"")</f>
        <v>4.3740163934426235</v>
      </c>
      <c r="AD378">
        <v>374.2</v>
      </c>
    </row>
    <row r="379" spans="1:30" x14ac:dyDescent="0.25">
      <c r="A379" t="s">
        <v>120</v>
      </c>
      <c r="B379" t="s">
        <v>120</v>
      </c>
      <c r="C379" s="18">
        <f>IFERROR(
                  Andel_oberoende_av_klimat*VLOOKUP($A379,Leveranser_per_nät,'Leveranser per nät'!C$1,FALSE)
               +Andel_beroende_av_klimat*VLOOKUP($A379,Leveranser_per_nät,'Leveranser per nät'!C$1,FALSE)/VLOOKUP($B379,Korrigeringsfaktor_GD,'Korrigeringsfaktor GD'!C$1,FALSE),
"")</f>
        <v>0</v>
      </c>
      <c r="D379" s="18">
        <f>IFERROR(
                  Andel_oberoende_av_klimat*VLOOKUP($A379,Leveranser_per_nät,'Leveranser per nät'!D$1,FALSE)
               +Andel_beroende_av_klimat*VLOOKUP($A379,Leveranser_per_nät,'Leveranser per nät'!D$1,FALSE)/VLOOKUP($B379,Korrigeringsfaktor_GD,'Korrigeringsfaktor GD'!D$1,FALSE),
"")</f>
        <v>0</v>
      </c>
      <c r="E379" s="18">
        <f>IFERROR(
                  Andel_oberoende_av_klimat*VLOOKUP($A379,Leveranser_per_nät,'Leveranser per nät'!E$1,FALSE)
               +Andel_beroende_av_klimat*VLOOKUP($A379,Leveranser_per_nät,'Leveranser per nät'!E$1,FALSE)/VLOOKUP($B379,Korrigeringsfaktor_GD,'Korrigeringsfaktor GD'!E$1,FALSE),
"")</f>
        <v>0</v>
      </c>
      <c r="F379" s="18">
        <f>IFERROR(
                  Andel_oberoende_av_klimat*VLOOKUP($A379,Leveranser_per_nät,'Leveranser per nät'!F$1,FALSE)
               +Andel_beroende_av_klimat*VLOOKUP($A379,Leveranser_per_nät,'Leveranser per nät'!F$1,FALSE)/VLOOKUP($B379,Korrigeringsfaktor_GD,'Korrigeringsfaktor GD'!F$1,FALSE),
"")</f>
        <v>0</v>
      </c>
      <c r="G379" s="18">
        <f>IFERROR(
                  Andel_oberoende_av_klimat*VLOOKUP($A379,Leveranser_per_nät,'Leveranser per nät'!G$1,FALSE)
               +Andel_beroende_av_klimat*VLOOKUP($A379,Leveranser_per_nät,'Leveranser per nät'!G$1,FALSE)/VLOOKUP($B379,Korrigeringsfaktor_GD,'Korrigeringsfaktor GD'!G$1,FALSE),
"")</f>
        <v>33.418604651162795</v>
      </c>
      <c r="H379" s="18">
        <f>IFERROR(
                  Andel_oberoende_av_klimat*VLOOKUP($A379,Leveranser_per_nät,'Leveranser per nät'!H$1,FALSE)
               +Andel_beroende_av_klimat*VLOOKUP($A379,Leveranser_per_nät,'Leveranser per nät'!H$1,FALSE)/VLOOKUP($B379,Korrigeringsfaktor_GD,'Korrigeringsfaktor GD'!H$1,FALSE),
"")</f>
        <v>27.805940594059408</v>
      </c>
      <c r="I379" s="18">
        <f>IFERROR(
                  Andel_oberoende_av_klimat*VLOOKUP($A379,Leveranser_per_nät,'Leveranser per nät'!I$1,FALSE)
               +Andel_beroende_av_klimat*VLOOKUP($A379,Leveranser_per_nät,'Leveranser per nät'!I$1,FALSE)/VLOOKUP($B379,Korrigeringsfaktor_GD,'Korrigeringsfaktor GD'!I$1,FALSE),
"")</f>
        <v>42.503554166666667</v>
      </c>
      <c r="J379" s="18">
        <f>IFERROR(
                  Andel_oberoende_av_klimat*VLOOKUP($A379,Leveranser_per_nät,'Leveranser per nät'!J$1,FALSE)
               +Andel_beroende_av_klimat*VLOOKUP($A379,Leveranser_per_nät,'Leveranser per nät'!J$1,FALSE)/VLOOKUP($B379,Korrigeringsfaktor_GD,'Korrigeringsfaktor GD'!J$1,FALSE),
"")</f>
        <v>43.614285714285714</v>
      </c>
      <c r="K379" s="18">
        <f>IFERROR(
                  Andel_oberoende_av_klimat*VLOOKUP($A379,Leveranser_per_nät,'Leveranser per nät'!K$1,FALSE)
               +Andel_beroende_av_klimat*VLOOKUP($A379,Leveranser_per_nät,'Leveranser per nät'!K$1,FALSE)/VLOOKUP($B379,Korrigeringsfaktor_GD,'Korrigeringsfaktor GD'!K$1,FALSE),
"")</f>
        <v>0</v>
      </c>
      <c r="L379" s="18">
        <f>IFERROR(
                  Andel_oberoende_av_klimat*VLOOKUP($A379,Leveranser_per_nät,'Leveranser per nät'!L$1,FALSE)
               +Andel_beroende_av_klimat*VLOOKUP($A379,Leveranser_per_nät,'Leveranser per nät'!L$1,FALSE)/VLOOKUP($B379,Korrigeringsfaktor_GD,'Korrigeringsfaktor GD'!L$1,FALSE),
"")</f>
        <v>0</v>
      </c>
      <c r="M379" s="18">
        <f>IFERROR(
                  Andel_oberoende_av_klimat*VLOOKUP($A379,Leveranser_per_nät,'Leveranser per nät'!M$1,FALSE)
               +Andel_beroende_av_klimat*VLOOKUP($A379,Leveranser_per_nät,'Leveranser per nät'!M$1,FALSE)/VLOOKUP($B379,Korrigeringsfaktor_GD,'Korrigeringsfaktor GD'!M$1,FALSE),
"")</f>
        <v>0</v>
      </c>
      <c r="N379" s="18">
        <f>IFERROR(
                  Andel_oberoende_av_klimat*VLOOKUP($A379,Leveranser_per_nät,'Leveranser per nät'!N$1,FALSE)
               +Andel_beroende_av_klimat*VLOOKUP($A379,Leveranser_per_nät,'Leveranser per nät'!N$1,FALSE)/VLOOKUP($B379,Korrigeringsfaktor_GD,'Korrigeringsfaktor GD'!N$1,FALSE),
"")</f>
        <v>0</v>
      </c>
      <c r="O379" s="18">
        <f>IFERROR(
                  Andel_oberoende_av_klimat*VLOOKUP($A379,Leveranser_per_nät,'Leveranser per nät'!O$1,FALSE)
               +Andel_beroende_av_klimat*VLOOKUP($A379,Leveranser_per_nät,'Leveranser per nät'!O$1,FALSE)/VLOOKUP($B379,Korrigeringsfaktor_GD,'Korrigeringsfaktor GD'!O$1,FALSE),
"")</f>
        <v>65.842921348314604</v>
      </c>
      <c r="P379" s="18">
        <f>IFERROR(
                  Andel_oberoende_av_klimat*VLOOKUP($A379,Leveranser_per_nät,'Leveranser per nät'!P$1,FALSE)
               +Andel_beroende_av_klimat*VLOOKUP($A379,Leveranser_per_nät,'Leveranser per nät'!P$1,FALSE)/VLOOKUP($B379,Korrigeringsfaktor_GD,'Korrigeringsfaktor GD'!P$1,FALSE),
"")</f>
        <v>61.465714285714284</v>
      </c>
      <c r="Q379" s="18">
        <f>IFERROR(
                  Andel_oberoende_av_klimat*VLOOKUP($A379,Leveranser_per_nät,'Leveranser per nät'!Q$1,FALSE)
               +Andel_beroende_av_klimat*VLOOKUP($A379,Leveranser_per_nät,'Leveranser per nät'!Q$1,FALSE)/VLOOKUP($B379,Korrigeringsfaktor_GD,'Korrigeringsfaktor GD'!Q$1,FALSE),
"")</f>
        <v>60.724029199999976</v>
      </c>
      <c r="R379" s="18">
        <f>IFERROR(
                  Andel_oberoende_av_klimat*VLOOKUP($A379,Leveranser_per_nät,'Leveranser per nät'!R$1,FALSE)
               +Andel_beroende_av_klimat*VLOOKUP($A379,Leveranser_per_nät,'Leveranser per nät'!R$1,FALSE)/VLOOKUP($B379,Korrigeringsfaktor_GD,'Korrigeringsfaktor GD'!R$1,FALSE),
"")</f>
        <v>55.757176923076919</v>
      </c>
      <c r="S379" s="18">
        <f>IFERROR(
                  Andel_oberoende_av_klimat*VLOOKUP($A379,Leveranser_per_nät,'Leveranser per nät'!S$1,FALSE)
               +Andel_beroende_av_klimat*VLOOKUP($A379,Leveranser_per_nät,'Leveranser per nät'!S$1,FALSE)/VLOOKUP($B379,Korrigeringsfaktor_GD,'Korrigeringsfaktor GD'!S$1,FALSE),
"")</f>
        <v>57.403030303030306</v>
      </c>
      <c r="T379" s="18">
        <f>IFERROR(
                  Andel_oberoende_av_klimat*VLOOKUP($A379,Leveranser_per_nät,'Leveranser per nät'!T$1,FALSE)
               +Andel_beroende_av_klimat*VLOOKUP($A379,Leveranser_per_nät,'Leveranser per nät'!T$1,FALSE)/VLOOKUP($B379,Korrigeringsfaktor_GD,'Korrigeringsfaktor GD'!T$1,FALSE),
"")</f>
        <v>54.955547422680411</v>
      </c>
      <c r="U379" s="18">
        <f>IFERROR(
                  Andel_oberoende_av_klimat*VLOOKUP($A379,Leveranser_per_nät,'Leveranser per nät'!U$1,FALSE)
               +Andel_beroende_av_klimat*VLOOKUP($A379,Leveranser_per_nät,'Leveranser per nät'!U$1,FALSE)/VLOOKUP($B379,Korrigeringsfaktor_GD,'Korrigeringsfaktor GD'!U$1,FALSE),
"")</f>
        <v>53.578870588235297</v>
      </c>
      <c r="V379" s="18">
        <f>IFERROR(
                  Andel_oberoende_av_klimat*VLOOKUP($A379,Leveranser_per_nät,'Leveranser per nät'!V$1,FALSE)
               +Andel_beroende_av_klimat*VLOOKUP($A379,Leveranser_per_nät,'Leveranser per nät'!V$1,FALSE)/VLOOKUP($B379,Korrigeringsfaktor_GD,'Korrigeringsfaktor GD'!V$1,FALSE),
"")</f>
        <v>53.300152873563221</v>
      </c>
      <c r="W379" s="18">
        <f>IFERROR(
                  Andel_oberoende_av_klimat*VLOOKUP($A379,Leveranser_per_nät,'Leveranser per nät'!W$1,FALSE)
               +Andel_beroende_av_klimat*VLOOKUP($A379,Leveranser_per_nät,'Leveranser per nät'!W$1,FALSE)/VLOOKUP($B379,Korrigeringsfaktor_GD,'Korrigeringsfaktor GD'!W$1,FALSE),
"")</f>
        <v>53.489043478260868</v>
      </c>
      <c r="X379" s="18">
        <f>IFERROR(
                  Andel_oberoende_av_klimat*VLOOKUP($A379,Leveranser_per_nät,'Leveranser per nät'!X$1,FALSE)
               +Andel_beroende_av_klimat*VLOOKUP($A379,Leveranser_per_nät,'Leveranser per nät'!X$1,FALSE)/VLOOKUP($B379,Korrigeringsfaktor_GD,'Korrigeringsfaktor GD'!X$1,FALSE),
"")</f>
        <v>51.74007692307692</v>
      </c>
      <c r="Y379" s="18">
        <f>IFERROR(
                  Andel_oberoende_av_klimat*VLOOKUP($A379,Leveranser_per_nät,'Leveranser per nät'!Y$1,FALSE)
               +Andel_beroende_av_klimat*VLOOKUP($A379,Leveranser_per_nät,'Leveranser per nät'!Y$1,FALSE)/VLOOKUP($B379,Korrigeringsfaktor_GD,'Korrigeringsfaktor GD'!Y$1,FALSE),
"")</f>
        <v>52.898139130434778</v>
      </c>
      <c r="Z379" s="18">
        <f>IFERROR(
                  Andel_oberoende_av_klimat*VLOOKUP($A379,Leveranser_per_nät,'Leveranser per nät'!Z$1,FALSE)
               +Andel_beroende_av_klimat*VLOOKUP($A379,Leveranser_per_nät,'Leveranser per nät'!Z$1,FALSE)/VLOOKUP($B379,Korrigeringsfaktor_GD,'Korrigeringsfaktor GD'!Z$1,FALSE),
"")</f>
        <v>50.437753846153839</v>
      </c>
      <c r="AA379" s="18">
        <f>IFERROR(
                  Andel_oberoende_av_klimat*VLOOKUP($A379,Leveranser_per_nät,'Leveranser per nät'!AA$1,FALSE)
               +Andel_beroende_av_klimat*VLOOKUP($A379,Leveranser_per_nät,'Leveranser per nät'!AA$1,FALSE)/VLOOKUP($B379,Korrigeringsfaktor_GD,'Korrigeringsfaktor GD'!AA$1,FALSE),
"")</f>
        <v>51.359924941097276</v>
      </c>
      <c r="AB379" s="18">
        <f>IFERROR(
                  Andel_oberoende_av_klimat*VLOOKUP($A379,Leveranser_per_nät,'Leveranser per nät'!AB$1,FALSE)
               +Andel_beroende_av_klimat*VLOOKUP($A379,Leveranser_per_nät,'Leveranser per nät'!AB$1,FALSE)/VLOOKUP($B379,Korrigeringsfaktor_GD,'Korrigeringsfaktor GD'!AB$1,FALSE),
"")</f>
        <v>51.076543392504931</v>
      </c>
      <c r="AC379" s="18">
        <f>IFERROR(
                  Andel_oberoende_av_klimat*VLOOKUP($A379,Leveranser_per_nät,'Leveranser per nät'!AC$1,FALSE)
               +Andel_beroende_av_klimat*VLOOKUP($A379,Leveranser_per_nät,'Leveranser per nät'!AC$1,FALSE)/VLOOKUP($B379,Korrigeringsfaktor_GD,'Korrigeringsfaktor GD'!AC$1,FALSE),
"")</f>
        <v>49.984290605427987</v>
      </c>
      <c r="AD379" t="e">
        <v>#N/A</v>
      </c>
    </row>
    <row r="380" spans="1:30" x14ac:dyDescent="0.25">
      <c r="A380" t="s">
        <v>144</v>
      </c>
      <c r="B380" t="s">
        <v>144</v>
      </c>
      <c r="C380" s="18">
        <f>IFERROR(
                  Andel_oberoende_av_klimat*VLOOKUP($A380,Leveranser_per_nät,'Leveranser per nät'!C$1,FALSE)
               +Andel_beroende_av_klimat*VLOOKUP($A380,Leveranser_per_nät,'Leveranser per nät'!C$1,FALSE)/VLOOKUP($B380,Korrigeringsfaktor_GD,'Korrigeringsfaktor GD'!C$1,FALSE),
"")</f>
        <v>44.283486238532106</v>
      </c>
      <c r="D380" s="18">
        <f>IFERROR(
                  Andel_oberoende_av_klimat*VLOOKUP($A380,Leveranser_per_nät,'Leveranser per nät'!D$1,FALSE)
               +Andel_beroende_av_klimat*VLOOKUP($A380,Leveranser_per_nät,'Leveranser per nät'!D$1,FALSE)/VLOOKUP($B380,Korrigeringsfaktor_GD,'Korrigeringsfaktor GD'!D$1,FALSE),
"")</f>
        <v>49.084105263157902</v>
      </c>
      <c r="E380" s="18">
        <f>IFERROR(
                  Andel_oberoende_av_klimat*VLOOKUP($A380,Leveranser_per_nät,'Leveranser per nät'!E$1,FALSE)
               +Andel_beroende_av_klimat*VLOOKUP($A380,Leveranser_per_nät,'Leveranser per nät'!E$1,FALSE)/VLOOKUP($B380,Korrigeringsfaktor_GD,'Korrigeringsfaktor GD'!E$1,FALSE),
"")</f>
        <v>52.360999999999997</v>
      </c>
      <c r="F380" s="18">
        <f>IFERROR(
                  Andel_oberoende_av_klimat*VLOOKUP($A380,Leveranser_per_nät,'Leveranser per nät'!F$1,FALSE)
               +Andel_beroende_av_klimat*VLOOKUP($A380,Leveranser_per_nät,'Leveranser per nät'!F$1,FALSE)/VLOOKUP($B380,Korrigeringsfaktor_GD,'Korrigeringsfaktor GD'!F$1,FALSE),
"")</f>
        <v>53.888195833333334</v>
      </c>
      <c r="G380" s="18">
        <f>IFERROR(
                  Andel_oberoende_av_klimat*VLOOKUP($A380,Leveranser_per_nät,'Leveranser per nät'!G$1,FALSE)
               +Andel_beroende_av_klimat*VLOOKUP($A380,Leveranser_per_nät,'Leveranser per nät'!G$1,FALSE)/VLOOKUP($B380,Korrigeringsfaktor_GD,'Korrigeringsfaktor GD'!G$1,FALSE),
"")</f>
        <v>49.29545454545454</v>
      </c>
      <c r="H380" s="18">
        <f>IFERROR(
                  Andel_oberoende_av_klimat*VLOOKUP($A380,Leveranser_per_nät,'Leveranser per nät'!H$1,FALSE)
               +Andel_beroende_av_klimat*VLOOKUP($A380,Leveranser_per_nät,'Leveranser per nät'!H$1,FALSE)/VLOOKUP($B380,Korrigeringsfaktor_GD,'Korrigeringsfaktor GD'!H$1,FALSE),
"")</f>
        <v>48.605000000000004</v>
      </c>
      <c r="I380" s="18">
        <f>IFERROR(
                  Andel_oberoende_av_klimat*VLOOKUP($A380,Leveranser_per_nät,'Leveranser per nät'!I$1,FALSE)
               +Andel_beroende_av_klimat*VLOOKUP($A380,Leveranser_per_nät,'Leveranser per nät'!I$1,FALSE)/VLOOKUP($B380,Korrigeringsfaktor_GD,'Korrigeringsfaktor GD'!I$1,FALSE),
"")</f>
        <v>50.883252577319581</v>
      </c>
      <c r="J380" s="18">
        <f>IFERROR(
                  Andel_oberoende_av_klimat*VLOOKUP($A380,Leveranser_per_nät,'Leveranser per nät'!J$1,FALSE)
               +Andel_beroende_av_klimat*VLOOKUP($A380,Leveranser_per_nät,'Leveranser per nät'!J$1,FALSE)/VLOOKUP($B380,Korrigeringsfaktor_GD,'Korrigeringsfaktor GD'!J$1,FALSE),
"")</f>
        <v>50.883252577319581</v>
      </c>
      <c r="K380" s="18">
        <f>IFERROR(
                  Andel_oberoende_av_klimat*VLOOKUP($A380,Leveranser_per_nät,'Leveranser per nät'!K$1,FALSE)
               +Andel_beroende_av_klimat*VLOOKUP($A380,Leveranser_per_nät,'Leveranser per nät'!K$1,FALSE)/VLOOKUP($B380,Korrigeringsfaktor_GD,'Korrigeringsfaktor GD'!K$1,FALSE),
"")</f>
        <v>51.172379381443299</v>
      </c>
      <c r="L380" s="18">
        <f>IFERROR(
                  Andel_oberoende_av_klimat*VLOOKUP($A380,Leveranser_per_nät,'Leveranser per nät'!L$1,FALSE)
               +Andel_beroende_av_klimat*VLOOKUP($A380,Leveranser_per_nät,'Leveranser per nät'!L$1,FALSE)/VLOOKUP($B380,Korrigeringsfaktor_GD,'Korrigeringsfaktor GD'!L$1,FALSE),
"")</f>
        <v>50.844838709677411</v>
      </c>
      <c r="M380" s="18">
        <f>IFERROR(
                  Andel_oberoende_av_klimat*VLOOKUP($A380,Leveranser_per_nät,'Leveranser per nät'!M$1,FALSE)
               +Andel_beroende_av_klimat*VLOOKUP($A380,Leveranser_per_nät,'Leveranser per nät'!M$1,FALSE)/VLOOKUP($B380,Korrigeringsfaktor_GD,'Korrigeringsfaktor GD'!M$1,FALSE),
"")</f>
        <v>55.279230769230772</v>
      </c>
      <c r="N380" s="18">
        <f>IFERROR(
                  Andel_oberoende_av_klimat*VLOOKUP($A380,Leveranser_per_nät,'Leveranser per nät'!N$1,FALSE)
               +Andel_beroende_av_klimat*VLOOKUP($A380,Leveranser_per_nät,'Leveranser per nät'!N$1,FALSE)/VLOOKUP($B380,Korrigeringsfaktor_GD,'Korrigeringsfaktor GD'!N$1,FALSE),
"")</f>
        <v>53.897634408602144</v>
      </c>
      <c r="O380" s="18">
        <f>IFERROR(
                  Andel_oberoende_av_klimat*VLOOKUP($A380,Leveranser_per_nät,'Leveranser per nät'!O$1,FALSE)
               +Andel_beroende_av_klimat*VLOOKUP($A380,Leveranser_per_nät,'Leveranser per nät'!O$1,FALSE)/VLOOKUP($B380,Korrigeringsfaktor_GD,'Korrigeringsfaktor GD'!O$1,FALSE),
"")</f>
        <v>55.401123076923078</v>
      </c>
      <c r="P380" s="18">
        <f>IFERROR(
                  Andel_oberoende_av_klimat*VLOOKUP($A380,Leveranser_per_nät,'Leveranser per nät'!P$1,FALSE)
               +Andel_beroende_av_klimat*VLOOKUP($A380,Leveranser_per_nät,'Leveranser per nät'!P$1,FALSE)/VLOOKUP($B380,Korrigeringsfaktor_GD,'Korrigeringsfaktor GD'!P$1,FALSE),
"")</f>
        <v>54.24183535353535</v>
      </c>
      <c r="Q380" s="18">
        <f>IFERROR(
                  Andel_oberoende_av_klimat*VLOOKUP($A380,Leveranser_per_nät,'Leveranser per nät'!Q$1,FALSE)
               +Andel_beroende_av_klimat*VLOOKUP($A380,Leveranser_per_nät,'Leveranser per nät'!Q$1,FALSE)/VLOOKUP($B380,Korrigeringsfaktor_GD,'Korrigeringsfaktor GD'!Q$1,FALSE),
"")</f>
        <v>47.612471739130442</v>
      </c>
      <c r="R380" s="18">
        <f>IFERROR(
                  Andel_oberoende_av_klimat*VLOOKUP($A380,Leveranser_per_nät,'Leveranser per nät'!R$1,FALSE)
               +Andel_beroende_av_klimat*VLOOKUP($A380,Leveranser_per_nät,'Leveranser per nät'!R$1,FALSE)/VLOOKUP($B380,Korrigeringsfaktor_GD,'Korrigeringsfaktor GD'!R$1,FALSE),
"")</f>
        <v>54.893377777777779</v>
      </c>
      <c r="S380" s="18">
        <f>IFERROR(
                  Andel_oberoende_av_klimat*VLOOKUP($A380,Leveranser_per_nät,'Leveranser per nät'!S$1,FALSE)
               +Andel_beroende_av_klimat*VLOOKUP($A380,Leveranser_per_nät,'Leveranser per nät'!S$1,FALSE)/VLOOKUP($B380,Korrigeringsfaktor_GD,'Korrigeringsfaktor GD'!S$1,FALSE),
"")</f>
        <v>53</v>
      </c>
      <c r="T380" s="18">
        <f>IFERROR(
                  Andel_oberoende_av_klimat*VLOOKUP($A380,Leveranser_per_nät,'Leveranser per nät'!T$1,FALSE)
               +Andel_beroende_av_klimat*VLOOKUP($A380,Leveranser_per_nät,'Leveranser per nät'!T$1,FALSE)/VLOOKUP($B380,Korrigeringsfaktor_GD,'Korrigeringsfaktor GD'!T$1,FALSE),
"")</f>
        <v>52.464210526315796</v>
      </c>
      <c r="U380" s="18">
        <f>IFERROR(
                  Andel_oberoende_av_klimat*VLOOKUP($A380,Leveranser_per_nät,'Leveranser per nät'!U$1,FALSE)
               +Andel_beroende_av_klimat*VLOOKUP($A380,Leveranser_per_nät,'Leveranser per nät'!U$1,FALSE)/VLOOKUP($B380,Korrigeringsfaktor_GD,'Korrigeringsfaktor GD'!U$1,FALSE),
"")</f>
        <v>52.81111111111111</v>
      </c>
      <c r="V380" s="18">
        <f>IFERROR(
                  Andel_oberoende_av_klimat*VLOOKUP($A380,Leveranser_per_nät,'Leveranser per nät'!V$1,FALSE)
               +Andel_beroende_av_klimat*VLOOKUP($A380,Leveranser_per_nät,'Leveranser per nät'!V$1,FALSE)/VLOOKUP($B380,Korrigeringsfaktor_GD,'Korrigeringsfaktor GD'!V$1,FALSE),
"")</f>
        <v>52.392307692307689</v>
      </c>
      <c r="W380" s="18">
        <f>IFERROR(
                  Andel_oberoende_av_klimat*VLOOKUP($A380,Leveranser_per_nät,'Leveranser per nät'!W$1,FALSE)
               +Andel_beroende_av_klimat*VLOOKUP($A380,Leveranser_per_nät,'Leveranser per nät'!W$1,FALSE)/VLOOKUP($B380,Korrigeringsfaktor_GD,'Korrigeringsfaktor GD'!W$1,FALSE),
"")</f>
        <v>53.456319148936174</v>
      </c>
      <c r="X380" s="18">
        <f>IFERROR(
                  Andel_oberoende_av_klimat*VLOOKUP($A380,Leveranser_per_nät,'Leveranser per nät'!X$1,FALSE)
               +Andel_beroende_av_klimat*VLOOKUP($A380,Leveranser_per_nät,'Leveranser per nät'!X$1,FALSE)/VLOOKUP($B380,Korrigeringsfaktor_GD,'Korrigeringsfaktor GD'!X$1,FALSE),
"")</f>
        <v>53.086315789473687</v>
      </c>
      <c r="Y380" s="18">
        <f>IFERROR(
                  Andel_oberoende_av_klimat*VLOOKUP($A380,Leveranser_per_nät,'Leveranser per nät'!Y$1,FALSE)
               +Andel_beroende_av_klimat*VLOOKUP($A380,Leveranser_per_nät,'Leveranser per nät'!Y$1,FALSE)/VLOOKUP($B380,Korrigeringsfaktor_GD,'Korrigeringsfaktor GD'!Y$1,FALSE),
"")</f>
        <v>52.380297872340428</v>
      </c>
      <c r="Z380" s="18">
        <f>IFERROR(
                  Andel_oberoende_av_klimat*VLOOKUP($A380,Leveranser_per_nät,'Leveranser per nät'!Z$1,FALSE)
               +Andel_beroende_av_klimat*VLOOKUP($A380,Leveranser_per_nät,'Leveranser per nät'!Z$1,FALSE)/VLOOKUP($B380,Korrigeringsfaktor_GD,'Korrigeringsfaktor GD'!Z$1,FALSE),
"")</f>
        <v>53.673333333333332</v>
      </c>
      <c r="AA380" s="18">
        <f>IFERROR(
                  Andel_oberoende_av_klimat*VLOOKUP($A380,Leveranser_per_nät,'Leveranser per nät'!AA$1,FALSE)
               +Andel_beroende_av_klimat*VLOOKUP($A380,Leveranser_per_nät,'Leveranser per nät'!AA$1,FALSE)/VLOOKUP($B380,Korrigeringsfaktor_GD,'Korrigeringsfaktor GD'!AA$1,FALSE),
"")</f>
        <v>52.47064017660044</v>
      </c>
      <c r="AB380" s="18">
        <f>IFERROR(
                  Andel_oberoende_av_klimat*VLOOKUP($A380,Leveranser_per_nät,'Leveranser per nät'!AB$1,FALSE)
               +Andel_beroende_av_klimat*VLOOKUP($A380,Leveranser_per_nät,'Leveranser per nät'!AB$1,FALSE)/VLOOKUP($B380,Korrigeringsfaktor_GD,'Korrigeringsfaktor GD'!AB$1,FALSE),
"")</f>
        <v>50.520771543086177</v>
      </c>
      <c r="AC380" s="18">
        <f>IFERROR(
                  Andel_oberoende_av_klimat*VLOOKUP($A380,Leveranser_per_nät,'Leveranser per nät'!AC$1,FALSE)
               +Andel_beroende_av_klimat*VLOOKUP($A380,Leveranser_per_nät,'Leveranser per nät'!AC$1,FALSE)/VLOOKUP($B380,Korrigeringsfaktor_GD,'Korrigeringsfaktor GD'!AC$1,FALSE),
"")</f>
        <v>50.484700944386148</v>
      </c>
      <c r="AD380">
        <v>48.8</v>
      </c>
    </row>
    <row r="381" spans="1:30" x14ac:dyDescent="0.25">
      <c r="A381" t="s">
        <v>327</v>
      </c>
      <c r="B381" t="s">
        <v>324</v>
      </c>
      <c r="C381" s="18">
        <f>IFERROR(
                  Andel_oberoende_av_klimat*VLOOKUP($A381,Leveranser_per_nät,'Leveranser per nät'!C$1,FALSE)
               +Andel_beroende_av_klimat*VLOOKUP($A381,Leveranser_per_nät,'Leveranser per nät'!C$1,FALSE)/VLOOKUP($B381,Korrigeringsfaktor_GD,'Korrigeringsfaktor GD'!C$1,FALSE),
"")</f>
        <v>0</v>
      </c>
      <c r="D381" s="18">
        <f>IFERROR(
                  Andel_oberoende_av_klimat*VLOOKUP($A381,Leveranser_per_nät,'Leveranser per nät'!D$1,FALSE)
               +Andel_beroende_av_klimat*VLOOKUP($A381,Leveranser_per_nät,'Leveranser per nät'!D$1,FALSE)/VLOOKUP($B381,Korrigeringsfaktor_GD,'Korrigeringsfaktor GD'!D$1,FALSE),
"")</f>
        <v>0</v>
      </c>
      <c r="E381" s="18">
        <f>IFERROR(
                  Andel_oberoende_av_klimat*VLOOKUP($A381,Leveranser_per_nät,'Leveranser per nät'!E$1,FALSE)
               +Andel_beroende_av_klimat*VLOOKUP($A381,Leveranser_per_nät,'Leveranser per nät'!E$1,FALSE)/VLOOKUP($B381,Korrigeringsfaktor_GD,'Korrigeringsfaktor GD'!E$1,FALSE),
"")</f>
        <v>0</v>
      </c>
      <c r="F381" s="18">
        <f>IFERROR(
                  Andel_oberoende_av_klimat*VLOOKUP($A381,Leveranser_per_nät,'Leveranser per nät'!F$1,FALSE)
               +Andel_beroende_av_klimat*VLOOKUP($A381,Leveranser_per_nät,'Leveranser per nät'!F$1,FALSE)/VLOOKUP($B381,Korrigeringsfaktor_GD,'Korrigeringsfaktor GD'!F$1,FALSE),
"")</f>
        <v>0</v>
      </c>
      <c r="G381" s="18">
        <f>IFERROR(
                  Andel_oberoende_av_klimat*VLOOKUP($A381,Leveranser_per_nät,'Leveranser per nät'!G$1,FALSE)
               +Andel_beroende_av_klimat*VLOOKUP($A381,Leveranser_per_nät,'Leveranser per nät'!G$1,FALSE)/VLOOKUP($B381,Korrigeringsfaktor_GD,'Korrigeringsfaktor GD'!G$1,FALSE),
"")</f>
        <v>0</v>
      </c>
      <c r="H381" s="18">
        <f>IFERROR(
                  Andel_oberoende_av_klimat*VLOOKUP($A381,Leveranser_per_nät,'Leveranser per nät'!H$1,FALSE)
               +Andel_beroende_av_klimat*VLOOKUP($A381,Leveranser_per_nät,'Leveranser per nät'!H$1,FALSE)/VLOOKUP($B381,Korrigeringsfaktor_GD,'Korrigeringsfaktor GD'!H$1,FALSE),
"")</f>
        <v>0</v>
      </c>
      <c r="I381" s="18">
        <f>IFERROR(
                  Andel_oberoende_av_klimat*VLOOKUP($A381,Leveranser_per_nät,'Leveranser per nät'!I$1,FALSE)
               +Andel_beroende_av_klimat*VLOOKUP($A381,Leveranser_per_nät,'Leveranser per nät'!I$1,FALSE)/VLOOKUP($B381,Korrigeringsfaktor_GD,'Korrigeringsfaktor GD'!I$1,FALSE),
"")</f>
        <v>0</v>
      </c>
      <c r="J381" s="18">
        <f>IFERROR(
                  Andel_oberoende_av_klimat*VLOOKUP($A381,Leveranser_per_nät,'Leveranser per nät'!J$1,FALSE)
               +Andel_beroende_av_klimat*VLOOKUP($A381,Leveranser_per_nät,'Leveranser per nät'!J$1,FALSE)/VLOOKUP($B381,Korrigeringsfaktor_GD,'Korrigeringsfaktor GD'!J$1,FALSE),
"")</f>
        <v>42.062330927835049</v>
      </c>
      <c r="K381" s="18">
        <f>IFERROR(
                  Andel_oberoende_av_klimat*VLOOKUP($A381,Leveranser_per_nät,'Leveranser per nät'!K$1,FALSE)
               +Andel_beroende_av_klimat*VLOOKUP($A381,Leveranser_per_nät,'Leveranser per nät'!K$1,FALSE)/VLOOKUP($B381,Korrigeringsfaktor_GD,'Korrigeringsfaktor GD'!K$1,FALSE),
"")</f>
        <v>42.936862886597936</v>
      </c>
      <c r="L381" s="18">
        <f>IFERROR(
                  Andel_oberoende_av_klimat*VLOOKUP($A381,Leveranser_per_nät,'Leveranser per nät'!L$1,FALSE)
               +Andel_beroende_av_klimat*VLOOKUP($A381,Leveranser_per_nät,'Leveranser per nät'!L$1,FALSE)/VLOOKUP($B381,Korrigeringsfaktor_GD,'Korrigeringsfaktor GD'!L$1,FALSE),
"")</f>
        <v>46.038064002507895</v>
      </c>
      <c r="M381" s="18">
        <f>IFERROR(
                  Andel_oberoende_av_klimat*VLOOKUP($A381,Leveranser_per_nät,'Leveranser per nät'!M$1,FALSE)
               +Andel_beroende_av_klimat*VLOOKUP($A381,Leveranser_per_nät,'Leveranser per nät'!M$1,FALSE)/VLOOKUP($B381,Korrigeringsfaktor_GD,'Korrigeringsfaktor GD'!M$1,FALSE),
"")</f>
        <v>31.186382608695645</v>
      </c>
      <c r="N381" s="18">
        <f>IFERROR(
                  Andel_oberoende_av_klimat*VLOOKUP($A381,Leveranser_per_nät,'Leveranser per nät'!N$1,FALSE)
               +Andel_beroende_av_klimat*VLOOKUP($A381,Leveranser_per_nät,'Leveranser per nät'!N$1,FALSE)/VLOOKUP($B381,Korrigeringsfaktor_GD,'Korrigeringsfaktor GD'!N$1,FALSE),
"")</f>
        <v>6.8532173913043479</v>
      </c>
      <c r="O381" s="18">
        <f>IFERROR(
                  Andel_oberoende_av_klimat*VLOOKUP($A381,Leveranser_per_nät,'Leveranser per nät'!O$1,FALSE)
               +Andel_beroende_av_klimat*VLOOKUP($A381,Leveranser_per_nät,'Leveranser per nät'!O$1,FALSE)/VLOOKUP($B381,Korrigeringsfaktor_GD,'Korrigeringsfaktor GD'!O$1,FALSE),
"")</f>
        <v>6.2614153846153844</v>
      </c>
      <c r="P381" s="18">
        <f>IFERROR(
                  Andel_oberoende_av_klimat*VLOOKUP($A381,Leveranser_per_nät,'Leveranser per nät'!P$1,FALSE)
               +Andel_beroende_av_klimat*VLOOKUP($A381,Leveranser_per_nät,'Leveranser per nät'!P$1,FALSE)/VLOOKUP($B381,Korrigeringsfaktor_GD,'Korrigeringsfaktor GD'!P$1,FALSE),
"")</f>
        <v>7.7035</v>
      </c>
      <c r="Q381" s="18">
        <f>IFERROR(
                  Andel_oberoende_av_klimat*VLOOKUP($A381,Leveranser_per_nät,'Leveranser per nät'!Q$1,FALSE)
               +Andel_beroende_av_klimat*VLOOKUP($A381,Leveranser_per_nät,'Leveranser per nät'!Q$1,FALSE)/VLOOKUP($B381,Korrigeringsfaktor_GD,'Korrigeringsfaktor GD'!Q$1,FALSE),
"")</f>
        <v>8.7287818181818171</v>
      </c>
      <c r="R381" s="18">
        <f>IFERROR(
                  Andel_oberoende_av_klimat*VLOOKUP($A381,Leveranser_per_nät,'Leveranser per nät'!R$1,FALSE)
               +Andel_beroende_av_klimat*VLOOKUP($A381,Leveranser_per_nät,'Leveranser per nät'!R$1,FALSE)/VLOOKUP($B381,Korrigeringsfaktor_GD,'Korrigeringsfaktor GD'!R$1,FALSE),
"")</f>
        <v>7.9755555555555562</v>
      </c>
      <c r="S381" s="18">
        <f>IFERROR(
                  Andel_oberoende_av_klimat*VLOOKUP($A381,Leveranser_per_nät,'Leveranser per nät'!S$1,FALSE)
               +Andel_beroende_av_klimat*VLOOKUP($A381,Leveranser_per_nät,'Leveranser per nät'!S$1,FALSE)/VLOOKUP($B381,Korrigeringsfaktor_GD,'Korrigeringsfaktor GD'!S$1,FALSE),
"")</f>
        <v>7.8911428571428575</v>
      </c>
      <c r="T381" s="18">
        <f>IFERROR(
                  Andel_oberoende_av_klimat*VLOOKUP($A381,Leveranser_per_nät,'Leveranser per nät'!T$1,FALSE)
               +Andel_beroende_av_klimat*VLOOKUP($A381,Leveranser_per_nät,'Leveranser per nät'!T$1,FALSE)/VLOOKUP($B381,Korrigeringsfaktor_GD,'Korrigeringsfaktor GD'!T$1,FALSE),
"")</f>
        <v>7.7708695652173905</v>
      </c>
      <c r="U381" s="18">
        <f>IFERROR(
                  Andel_oberoende_av_klimat*VLOOKUP($A381,Leveranser_per_nät,'Leveranser per nät'!U$1,FALSE)
               +Andel_beroende_av_klimat*VLOOKUP($A381,Leveranser_per_nät,'Leveranser per nät'!U$1,FALSE)/VLOOKUP($B381,Korrigeringsfaktor_GD,'Korrigeringsfaktor GD'!U$1,FALSE),
"")</f>
        <v>8.3009887640449431</v>
      </c>
      <c r="V381" s="18">
        <f>IFERROR(
                  Andel_oberoende_av_klimat*VLOOKUP($A381,Leveranser_per_nät,'Leveranser per nät'!V$1,FALSE)
               +Andel_beroende_av_klimat*VLOOKUP($A381,Leveranser_per_nät,'Leveranser per nät'!V$1,FALSE)/VLOOKUP($B381,Korrigeringsfaktor_GD,'Korrigeringsfaktor GD'!V$1,FALSE),
"")</f>
        <v>7.7531162790697676</v>
      </c>
      <c r="W381" s="18">
        <f>IFERROR(
                  Andel_oberoende_av_klimat*VLOOKUP($A381,Leveranser_per_nät,'Leveranser per nät'!W$1,FALSE)
               +Andel_beroende_av_klimat*VLOOKUP($A381,Leveranser_per_nät,'Leveranser per nät'!W$1,FALSE)/VLOOKUP($B381,Korrigeringsfaktor_GD,'Korrigeringsfaktor GD'!W$1,FALSE),
"")</f>
        <v>7.9588000000000001</v>
      </c>
      <c r="X381" s="18">
        <f>IFERROR(
                  Andel_oberoende_av_klimat*VLOOKUP($A381,Leveranser_per_nät,'Leveranser per nät'!X$1,FALSE)
               +Andel_beroende_av_klimat*VLOOKUP($A381,Leveranser_per_nät,'Leveranser per nät'!X$1,FALSE)/VLOOKUP($B381,Korrigeringsfaktor_GD,'Korrigeringsfaktor GD'!X$1,FALSE),
"")</f>
        <v>7.8731249999999999</v>
      </c>
      <c r="Y381" s="18">
        <f>IFERROR(
                  Andel_oberoende_av_klimat*VLOOKUP($A381,Leveranser_per_nät,'Leveranser per nät'!Y$1,FALSE)
               +Andel_beroende_av_klimat*VLOOKUP($A381,Leveranser_per_nät,'Leveranser per nät'!Y$1,FALSE)/VLOOKUP($B381,Korrigeringsfaktor_GD,'Korrigeringsfaktor GD'!Y$1,FALSE),
"")</f>
        <v>7.8177894736842104</v>
      </c>
      <c r="Z381" s="18">
        <f>IFERROR(
                  Andel_oberoende_av_klimat*VLOOKUP($A381,Leveranser_per_nät,'Leveranser per nät'!Z$1,FALSE)
               +Andel_beroende_av_klimat*VLOOKUP($A381,Leveranser_per_nät,'Leveranser per nät'!Z$1,FALSE)/VLOOKUP($B381,Korrigeringsfaktor_GD,'Korrigeringsfaktor GD'!Z$1,FALSE),
"")</f>
        <v>8.7484137931034489</v>
      </c>
      <c r="AA381" s="18">
        <f>IFERROR(
                  Andel_oberoende_av_klimat*VLOOKUP($A381,Leveranser_per_nät,'Leveranser per nät'!AA$1,FALSE)
               +Andel_beroende_av_klimat*VLOOKUP($A381,Leveranser_per_nät,'Leveranser per nät'!AA$1,FALSE)/VLOOKUP($B381,Korrigeringsfaktor_GD,'Korrigeringsfaktor GD'!AA$1,FALSE),
"")</f>
        <v>8.8557590007347535</v>
      </c>
      <c r="AB381" s="18">
        <f>IFERROR(
                  Andel_oberoende_av_klimat*VLOOKUP($A381,Leveranser_per_nät,'Leveranser per nät'!AB$1,FALSE)
               +Andel_beroende_av_klimat*VLOOKUP($A381,Leveranser_per_nät,'Leveranser per nät'!AB$1,FALSE)/VLOOKUP($B381,Korrigeringsfaktor_GD,'Korrigeringsfaktor GD'!AB$1,FALSE),
"")</f>
        <v>10.591575729068675</v>
      </c>
      <c r="AC381" s="18">
        <f>IFERROR(
                  Andel_oberoende_av_klimat*VLOOKUP($A381,Leveranser_per_nät,'Leveranser per nät'!AC$1,FALSE)
               +Andel_beroende_av_klimat*VLOOKUP($A381,Leveranser_per_nät,'Leveranser per nät'!AC$1,FALSE)/VLOOKUP($B381,Korrigeringsfaktor_GD,'Korrigeringsfaktor GD'!AC$1,FALSE),
"")</f>
        <v>10.184266533066133</v>
      </c>
      <c r="AD381">
        <v>823.99</v>
      </c>
    </row>
    <row r="382" spans="1:30" x14ac:dyDescent="0.25">
      <c r="A382" t="s">
        <v>299</v>
      </c>
      <c r="B382" t="s">
        <v>299</v>
      </c>
      <c r="C382" s="18">
        <f>IFERROR(
                  Andel_oberoende_av_klimat*VLOOKUP($A382,Leveranser_per_nät,'Leveranser per nät'!C$1,FALSE)
               +Andel_beroende_av_klimat*VLOOKUP($A382,Leveranser_per_nät,'Leveranser per nät'!C$1,FALSE)/VLOOKUP($B382,Korrigeringsfaktor_GD,'Korrigeringsfaktor GD'!C$1,FALSE),
"")</f>
        <v>0</v>
      </c>
      <c r="D382" s="18">
        <f>IFERROR(
                  Andel_oberoende_av_klimat*VLOOKUP($A382,Leveranser_per_nät,'Leveranser per nät'!D$1,FALSE)
               +Andel_beroende_av_klimat*VLOOKUP($A382,Leveranser_per_nät,'Leveranser per nät'!D$1,FALSE)/VLOOKUP($B382,Korrigeringsfaktor_GD,'Korrigeringsfaktor GD'!D$1,FALSE),
"")</f>
        <v>0</v>
      </c>
      <c r="E382" s="18">
        <f>IFERROR(
                  Andel_oberoende_av_klimat*VLOOKUP($A382,Leveranser_per_nät,'Leveranser per nät'!E$1,FALSE)
               +Andel_beroende_av_klimat*VLOOKUP($A382,Leveranser_per_nät,'Leveranser per nät'!E$1,FALSE)/VLOOKUP($B382,Korrigeringsfaktor_GD,'Korrigeringsfaktor GD'!E$1,FALSE),
"")</f>
        <v>0</v>
      </c>
      <c r="F382" s="18">
        <f>IFERROR(
                  Andel_oberoende_av_klimat*VLOOKUP($A382,Leveranser_per_nät,'Leveranser per nät'!F$1,FALSE)
               +Andel_beroende_av_klimat*VLOOKUP($A382,Leveranser_per_nät,'Leveranser per nät'!F$1,FALSE)/VLOOKUP($B382,Korrigeringsfaktor_GD,'Korrigeringsfaktor GD'!F$1,FALSE),
"")</f>
        <v>0</v>
      </c>
      <c r="G382" s="18">
        <f>IFERROR(
                  Andel_oberoende_av_klimat*VLOOKUP($A382,Leveranser_per_nät,'Leveranser per nät'!G$1,FALSE)
               +Andel_beroende_av_klimat*VLOOKUP($A382,Leveranser_per_nät,'Leveranser per nät'!G$1,FALSE)/VLOOKUP($B382,Korrigeringsfaktor_GD,'Korrigeringsfaktor GD'!G$1,FALSE),
"")</f>
        <v>0</v>
      </c>
      <c r="H382" s="18">
        <f>IFERROR(
                  Andel_oberoende_av_klimat*VLOOKUP($A382,Leveranser_per_nät,'Leveranser per nät'!H$1,FALSE)
               +Andel_beroende_av_klimat*VLOOKUP($A382,Leveranser_per_nät,'Leveranser per nät'!H$1,FALSE)/VLOOKUP($B382,Korrigeringsfaktor_GD,'Korrigeringsfaktor GD'!H$1,FALSE),
"")</f>
        <v>0</v>
      </c>
      <c r="I382" s="18">
        <f>IFERROR(
                  Andel_oberoende_av_klimat*VLOOKUP($A382,Leveranser_per_nät,'Leveranser per nät'!I$1,FALSE)
               +Andel_beroende_av_klimat*VLOOKUP($A382,Leveranser_per_nät,'Leveranser per nät'!I$1,FALSE)/VLOOKUP($B382,Korrigeringsfaktor_GD,'Korrigeringsfaktor GD'!I$1,FALSE),
"")</f>
        <v>0</v>
      </c>
      <c r="J382" s="18">
        <f>IFERROR(
                  Andel_oberoende_av_klimat*VLOOKUP($A382,Leveranser_per_nät,'Leveranser per nät'!J$1,FALSE)
               +Andel_beroende_av_klimat*VLOOKUP($A382,Leveranser_per_nät,'Leveranser per nät'!J$1,FALSE)/VLOOKUP($B382,Korrigeringsfaktor_GD,'Korrigeringsfaktor GD'!J$1,FALSE),
"")</f>
        <v>0</v>
      </c>
      <c r="K382" s="18">
        <f>IFERROR(
                  Andel_oberoende_av_klimat*VLOOKUP($A382,Leveranser_per_nät,'Leveranser per nät'!K$1,FALSE)
               +Andel_beroende_av_klimat*VLOOKUP($A382,Leveranser_per_nät,'Leveranser per nät'!K$1,FALSE)/VLOOKUP($B382,Korrigeringsfaktor_GD,'Korrigeringsfaktor GD'!K$1,FALSE),
"")</f>
        <v>21.766999999999999</v>
      </c>
      <c r="L382" s="18">
        <f>IFERROR(
                  Andel_oberoende_av_klimat*VLOOKUP($A382,Leveranser_per_nät,'Leveranser per nät'!L$1,FALSE)
               +Andel_beroende_av_klimat*VLOOKUP($A382,Leveranser_per_nät,'Leveranser per nät'!L$1,FALSE)/VLOOKUP($B382,Korrigeringsfaktor_GD,'Korrigeringsfaktor GD'!L$1,FALSE),
"")</f>
        <v>22.732233333333333</v>
      </c>
      <c r="M382" s="18">
        <f>IFERROR(
                  Andel_oberoende_av_klimat*VLOOKUP($A382,Leveranser_per_nät,'Leveranser per nät'!M$1,FALSE)
               +Andel_beroende_av_klimat*VLOOKUP($A382,Leveranser_per_nät,'Leveranser per nät'!M$1,FALSE)/VLOOKUP($B382,Korrigeringsfaktor_GD,'Korrigeringsfaktor GD'!M$1,FALSE),
"")</f>
        <v>26.096139784946235</v>
      </c>
      <c r="N382" s="18">
        <f>IFERROR(
                  Andel_oberoende_av_klimat*VLOOKUP($A382,Leveranser_per_nät,'Leveranser per nät'!N$1,FALSE)
               +Andel_beroende_av_klimat*VLOOKUP($A382,Leveranser_per_nät,'Leveranser per nät'!N$1,FALSE)/VLOOKUP($B382,Korrigeringsfaktor_GD,'Korrigeringsfaktor GD'!N$1,FALSE),
"")</f>
        <v>29.403846153846153</v>
      </c>
      <c r="O382" s="18">
        <f>IFERROR(
                  Andel_oberoende_av_klimat*VLOOKUP($A382,Leveranser_per_nät,'Leveranser per nät'!O$1,FALSE)
               +Andel_beroende_av_klimat*VLOOKUP($A382,Leveranser_per_nät,'Leveranser per nät'!O$1,FALSE)/VLOOKUP($B382,Korrigeringsfaktor_GD,'Korrigeringsfaktor GD'!O$1,FALSE),
"")</f>
        <v>33.03923076923077</v>
      </c>
      <c r="P382" s="18">
        <f>IFERROR(
                  Andel_oberoende_av_klimat*VLOOKUP($A382,Leveranser_per_nät,'Leveranser per nät'!P$1,FALSE)
               +Andel_beroende_av_klimat*VLOOKUP($A382,Leveranser_per_nät,'Leveranser per nät'!P$1,FALSE)/VLOOKUP($B382,Korrigeringsfaktor_GD,'Korrigeringsfaktor GD'!P$1,FALSE),
"")</f>
        <v>36.064226804123706</v>
      </c>
      <c r="Q382" s="18">
        <f>IFERROR(
                  Andel_oberoende_av_klimat*VLOOKUP($A382,Leveranser_per_nät,'Leveranser per nät'!Q$1,FALSE)
               +Andel_beroende_av_klimat*VLOOKUP($A382,Leveranser_per_nät,'Leveranser per nät'!Q$1,FALSE)/VLOOKUP($B382,Korrigeringsfaktor_GD,'Korrigeringsfaktor GD'!Q$1,FALSE),
"")</f>
        <v>38.389473684210529</v>
      </c>
      <c r="R382" s="18">
        <f>IFERROR(
                  Andel_oberoende_av_klimat*VLOOKUP($A382,Leveranser_per_nät,'Leveranser per nät'!R$1,FALSE)
               +Andel_beroende_av_klimat*VLOOKUP($A382,Leveranser_per_nät,'Leveranser per nät'!R$1,FALSE)/VLOOKUP($B382,Korrigeringsfaktor_GD,'Korrigeringsfaktor GD'!R$1,FALSE),
"")</f>
        <v>37.316153846153838</v>
      </c>
      <c r="S382" s="18">
        <f>IFERROR(
                  Andel_oberoende_av_klimat*VLOOKUP($A382,Leveranser_per_nät,'Leveranser per nät'!S$1,FALSE)
               +Andel_beroende_av_klimat*VLOOKUP($A382,Leveranser_per_nät,'Leveranser per nät'!S$1,FALSE)/VLOOKUP($B382,Korrigeringsfaktor_GD,'Korrigeringsfaktor GD'!S$1,FALSE),
"")</f>
        <v>40.715841584158419</v>
      </c>
      <c r="T382" s="18">
        <f>IFERROR(
                  Andel_oberoende_av_klimat*VLOOKUP($A382,Leveranser_per_nät,'Leveranser per nät'!T$1,FALSE)
               +Andel_beroende_av_klimat*VLOOKUP($A382,Leveranser_per_nät,'Leveranser per nät'!T$1,FALSE)/VLOOKUP($B382,Korrigeringsfaktor_GD,'Korrigeringsfaktor GD'!T$1,FALSE),
"")</f>
        <v>42.498571428571431</v>
      </c>
      <c r="U382" s="18">
        <f>IFERROR(
                  Andel_oberoende_av_klimat*VLOOKUP($A382,Leveranser_per_nät,'Leveranser per nät'!U$1,FALSE)
               +Andel_beroende_av_klimat*VLOOKUP($A382,Leveranser_per_nät,'Leveranser per nät'!U$1,FALSE)/VLOOKUP($B382,Korrigeringsfaktor_GD,'Korrigeringsfaktor GD'!U$1,FALSE),
"")</f>
        <v>44.112558139534883</v>
      </c>
      <c r="V382" s="18">
        <f>IFERROR(
                  Andel_oberoende_av_klimat*VLOOKUP($A382,Leveranser_per_nät,'Leveranser per nät'!V$1,FALSE)
               +Andel_beroende_av_klimat*VLOOKUP($A382,Leveranser_per_nät,'Leveranser per nät'!V$1,FALSE)/VLOOKUP($B382,Korrigeringsfaktor_GD,'Korrigeringsfaktor GD'!V$1,FALSE),
"")</f>
        <v>45.307752808988774</v>
      </c>
      <c r="W382" s="18">
        <f>IFERROR(
                  Andel_oberoende_av_klimat*VLOOKUP($A382,Leveranser_per_nät,'Leveranser per nät'!W$1,FALSE)
               +Andel_beroende_av_klimat*VLOOKUP($A382,Leveranser_per_nät,'Leveranser per nät'!W$1,FALSE)/VLOOKUP($B382,Korrigeringsfaktor_GD,'Korrigeringsfaktor GD'!W$1,FALSE),
"")</f>
        <v>45.548085106382985</v>
      </c>
      <c r="X382" s="18">
        <f>IFERROR(
                  Andel_oberoende_av_klimat*VLOOKUP($A382,Leveranser_per_nät,'Leveranser per nät'!X$1,FALSE)
               +Andel_beroende_av_klimat*VLOOKUP($A382,Leveranser_per_nät,'Leveranser per nät'!X$1,FALSE)/VLOOKUP($B382,Korrigeringsfaktor_GD,'Korrigeringsfaktor GD'!X$1,FALSE),
"")</f>
        <v>46.648556521739131</v>
      </c>
      <c r="Y382" s="18">
        <f>IFERROR(
                  Andel_oberoende_av_klimat*VLOOKUP($A382,Leveranser_per_nät,'Leveranser per nät'!Y$1,FALSE)
               +Andel_beroende_av_klimat*VLOOKUP($A382,Leveranser_per_nät,'Leveranser per nät'!Y$1,FALSE)/VLOOKUP($B382,Korrigeringsfaktor_GD,'Korrigeringsfaktor GD'!Y$1,FALSE),
"")</f>
        <v>48.112052808988764</v>
      </c>
      <c r="Z382" s="18">
        <f>IFERROR(
                  Andel_oberoende_av_klimat*VLOOKUP($A382,Leveranser_per_nät,'Leveranser per nät'!Z$1,FALSE)
               +Andel_beroende_av_klimat*VLOOKUP($A382,Leveranser_per_nät,'Leveranser per nät'!Z$1,FALSE)/VLOOKUP($B382,Korrigeringsfaktor_GD,'Korrigeringsfaktor GD'!Z$1,FALSE),
"")</f>
        <v>48.259154545454543</v>
      </c>
      <c r="AA382" s="18">
        <f>IFERROR(
                  Andel_oberoende_av_klimat*VLOOKUP($A382,Leveranser_per_nät,'Leveranser per nät'!AA$1,FALSE)
               +Andel_beroende_av_klimat*VLOOKUP($A382,Leveranser_per_nät,'Leveranser per nät'!AA$1,FALSE)/VLOOKUP($B382,Korrigeringsfaktor_GD,'Korrigeringsfaktor GD'!AA$1,FALSE),
"")</f>
        <v>51.559610714285711</v>
      </c>
      <c r="AB382" s="18">
        <f>IFERROR(
                  Andel_oberoende_av_klimat*VLOOKUP($A382,Leveranser_per_nät,'Leveranser per nät'!AB$1,FALSE)
               +Andel_beroende_av_klimat*VLOOKUP($A382,Leveranser_per_nät,'Leveranser per nät'!AB$1,FALSE)/VLOOKUP($B382,Korrigeringsfaktor_GD,'Korrigeringsfaktor GD'!AB$1,FALSE),
"")</f>
        <v>49.963546092977253</v>
      </c>
      <c r="AC382" s="18">
        <f>IFERROR(
                  Andel_oberoende_av_klimat*VLOOKUP($A382,Leveranser_per_nät,'Leveranser per nät'!AC$1,FALSE)
               +Andel_beroende_av_klimat*VLOOKUP($A382,Leveranser_per_nät,'Leveranser per nät'!AC$1,FALSE)/VLOOKUP($B382,Korrigeringsfaktor_GD,'Korrigeringsfaktor GD'!AC$1,FALSE),
"")</f>
        <v>48.772868033648798</v>
      </c>
      <c r="AD382">
        <v>47.075000000000003</v>
      </c>
    </row>
    <row r="383" spans="1:30" x14ac:dyDescent="0.25">
      <c r="A383" t="s">
        <v>303</v>
      </c>
      <c r="B383" t="s">
        <v>301</v>
      </c>
      <c r="C383" s="18">
        <f>IFERROR(
                  Andel_oberoende_av_klimat*VLOOKUP($A383,Leveranser_per_nät,'Leveranser per nät'!C$1,FALSE)
               +Andel_beroende_av_klimat*VLOOKUP($A383,Leveranser_per_nät,'Leveranser per nät'!C$1,FALSE)/VLOOKUP($B383,Korrigeringsfaktor_GD,'Korrigeringsfaktor GD'!C$1,FALSE),
"")</f>
        <v>0</v>
      </c>
      <c r="D383" s="18">
        <f>IFERROR(
                  Andel_oberoende_av_klimat*VLOOKUP($A383,Leveranser_per_nät,'Leveranser per nät'!D$1,FALSE)
               +Andel_beroende_av_klimat*VLOOKUP($A383,Leveranser_per_nät,'Leveranser per nät'!D$1,FALSE)/VLOOKUP($B383,Korrigeringsfaktor_GD,'Korrigeringsfaktor GD'!D$1,FALSE),
"")</f>
        <v>5.516</v>
      </c>
      <c r="E383" s="18">
        <f>IFERROR(
                  Andel_oberoende_av_klimat*VLOOKUP($A383,Leveranser_per_nät,'Leveranser per nät'!E$1,FALSE)
               +Andel_beroende_av_klimat*VLOOKUP($A383,Leveranser_per_nät,'Leveranser per nät'!E$1,FALSE)/VLOOKUP($B383,Korrigeringsfaktor_GD,'Korrigeringsfaktor GD'!E$1,FALSE),
"")</f>
        <v>5.9176470588235297</v>
      </c>
      <c r="F383" s="18">
        <f>IFERROR(
                  Andel_oberoende_av_klimat*VLOOKUP($A383,Leveranser_per_nät,'Leveranser per nät'!F$1,FALSE)
               +Andel_beroende_av_klimat*VLOOKUP($A383,Leveranser_per_nät,'Leveranser per nät'!F$1,FALSE)/VLOOKUP($B383,Korrigeringsfaktor_GD,'Korrigeringsfaktor GD'!F$1,FALSE),
"")</f>
        <v>0</v>
      </c>
      <c r="G383" s="18">
        <f>IFERROR(
                  Andel_oberoende_av_klimat*VLOOKUP($A383,Leveranser_per_nät,'Leveranser per nät'!G$1,FALSE)
               +Andel_beroende_av_klimat*VLOOKUP($A383,Leveranser_per_nät,'Leveranser per nät'!G$1,FALSE)/VLOOKUP($B383,Korrigeringsfaktor_GD,'Korrigeringsfaktor GD'!G$1,FALSE),
"")</f>
        <v>0</v>
      </c>
      <c r="H383" s="18">
        <f>IFERROR(
                  Andel_oberoende_av_klimat*VLOOKUP($A383,Leveranser_per_nät,'Leveranser per nät'!H$1,FALSE)
               +Andel_beroende_av_klimat*VLOOKUP($A383,Leveranser_per_nät,'Leveranser per nät'!H$1,FALSE)/VLOOKUP($B383,Korrigeringsfaktor_GD,'Korrigeringsfaktor GD'!H$1,FALSE),
"")</f>
        <v>0</v>
      </c>
      <c r="I383" s="18">
        <f>IFERROR(
                  Andel_oberoende_av_klimat*VLOOKUP($A383,Leveranser_per_nät,'Leveranser per nät'!I$1,FALSE)
               +Andel_beroende_av_klimat*VLOOKUP($A383,Leveranser_per_nät,'Leveranser per nät'!I$1,FALSE)/VLOOKUP($B383,Korrigeringsfaktor_GD,'Korrigeringsfaktor GD'!I$1,FALSE),
"")</f>
        <v>0</v>
      </c>
      <c r="J383" s="18">
        <f>IFERROR(
                  Andel_oberoende_av_klimat*VLOOKUP($A383,Leveranser_per_nät,'Leveranser per nät'!J$1,FALSE)
               +Andel_beroende_av_klimat*VLOOKUP($A383,Leveranser_per_nät,'Leveranser per nät'!J$1,FALSE)/VLOOKUP($B383,Korrigeringsfaktor_GD,'Korrigeringsfaktor GD'!J$1,FALSE),
"")</f>
        <v>0</v>
      </c>
      <c r="K383" s="18">
        <f>IFERROR(
                  Andel_oberoende_av_klimat*VLOOKUP($A383,Leveranser_per_nät,'Leveranser per nät'!K$1,FALSE)
               +Andel_beroende_av_klimat*VLOOKUP($A383,Leveranser_per_nät,'Leveranser per nät'!K$1,FALSE)/VLOOKUP($B383,Korrigeringsfaktor_GD,'Korrigeringsfaktor GD'!K$1,FALSE),
"")</f>
        <v>0</v>
      </c>
      <c r="L383" s="18">
        <f>IFERROR(
                  Andel_oberoende_av_klimat*VLOOKUP($A383,Leveranser_per_nät,'Leveranser per nät'!L$1,FALSE)
               +Andel_beroende_av_klimat*VLOOKUP($A383,Leveranser_per_nät,'Leveranser per nät'!L$1,FALSE)/VLOOKUP($B383,Korrigeringsfaktor_GD,'Korrigeringsfaktor GD'!L$1,FALSE),
"")</f>
        <v>0</v>
      </c>
      <c r="M383" s="18">
        <f>IFERROR(
                  Andel_oberoende_av_klimat*VLOOKUP($A383,Leveranser_per_nät,'Leveranser per nät'!M$1,FALSE)
               +Andel_beroende_av_klimat*VLOOKUP($A383,Leveranser_per_nät,'Leveranser per nät'!M$1,FALSE)/VLOOKUP($B383,Korrigeringsfaktor_GD,'Korrigeringsfaktor GD'!M$1,FALSE),
"")</f>
        <v>4.8564461538461536</v>
      </c>
      <c r="N383" s="18">
        <f>IFERROR(
                  Andel_oberoende_av_klimat*VLOOKUP($A383,Leveranser_per_nät,'Leveranser per nät'!N$1,FALSE)
               +Andel_beroende_av_klimat*VLOOKUP($A383,Leveranser_per_nät,'Leveranser per nät'!N$1,FALSE)/VLOOKUP($B383,Korrigeringsfaktor_GD,'Korrigeringsfaktor GD'!N$1,FALSE),
"")</f>
        <v>4.5960365591397849</v>
      </c>
      <c r="O383" s="18">
        <f>IFERROR(
                  Andel_oberoende_av_klimat*VLOOKUP($A383,Leveranser_per_nät,'Leveranser per nät'!O$1,FALSE)
               +Andel_beroende_av_klimat*VLOOKUP($A383,Leveranser_per_nät,'Leveranser per nät'!O$1,FALSE)/VLOOKUP($B383,Korrigeringsfaktor_GD,'Korrigeringsfaktor GD'!O$1,FALSE),
"")</f>
        <v>4.7431478260869566</v>
      </c>
      <c r="P383" s="18">
        <f>IFERROR(
                  Andel_oberoende_av_klimat*VLOOKUP($A383,Leveranser_per_nät,'Leveranser per nät'!P$1,FALSE)
               +Andel_beroende_av_klimat*VLOOKUP($A383,Leveranser_per_nät,'Leveranser per nät'!P$1,FALSE)/VLOOKUP($B383,Korrigeringsfaktor_GD,'Korrigeringsfaktor GD'!P$1,FALSE),
"")</f>
        <v>4.7027905898989903</v>
      </c>
      <c r="Q383" s="18">
        <f>IFERROR(
                  Andel_oberoende_av_klimat*VLOOKUP($A383,Leveranser_per_nät,'Leveranser per nät'!Q$1,FALSE)
               +Andel_beroende_av_klimat*VLOOKUP($A383,Leveranser_per_nät,'Leveranser per nät'!Q$1,FALSE)/VLOOKUP($B383,Korrigeringsfaktor_GD,'Korrigeringsfaktor GD'!Q$1,FALSE),
"")</f>
        <v>0</v>
      </c>
      <c r="R383" s="18">
        <f>IFERROR(
                  Andel_oberoende_av_klimat*VLOOKUP($A383,Leveranser_per_nät,'Leveranser per nät'!R$1,FALSE)
               +Andel_beroende_av_klimat*VLOOKUP($A383,Leveranser_per_nät,'Leveranser per nät'!R$1,FALSE)/VLOOKUP($B383,Korrigeringsfaktor_GD,'Korrigeringsfaktor GD'!R$1,FALSE),
"")</f>
        <v>0</v>
      </c>
      <c r="S383" s="18" t="str">
        <f>IFERROR(
                  Andel_oberoende_av_klimat*VLOOKUP($A383,Leveranser_per_nät,'Leveranser per nät'!S$1,FALSE)
               +Andel_beroende_av_klimat*VLOOKUP($A383,Leveranser_per_nät,'Leveranser per nät'!S$1,FALSE)/VLOOKUP($B383,Korrigeringsfaktor_GD,'Korrigeringsfaktor GD'!S$1,FALSE),
"")</f>
        <v/>
      </c>
      <c r="T383" s="18" t="str">
        <f>IFERROR(
                  Andel_oberoende_av_klimat*VLOOKUP($A383,Leveranser_per_nät,'Leveranser per nät'!T$1,FALSE)
               +Andel_beroende_av_klimat*VLOOKUP($A383,Leveranser_per_nät,'Leveranser per nät'!T$1,FALSE)/VLOOKUP($B383,Korrigeringsfaktor_GD,'Korrigeringsfaktor GD'!T$1,FALSE),
"")</f>
        <v/>
      </c>
      <c r="U383" s="18" t="str">
        <f>IFERROR(
                  Andel_oberoende_av_klimat*VLOOKUP($A383,Leveranser_per_nät,'Leveranser per nät'!U$1,FALSE)
               +Andel_beroende_av_klimat*VLOOKUP($A383,Leveranser_per_nät,'Leveranser per nät'!U$1,FALSE)/VLOOKUP($B383,Korrigeringsfaktor_GD,'Korrigeringsfaktor GD'!U$1,FALSE),
"")</f>
        <v/>
      </c>
      <c r="V383" s="18" t="str">
        <f>IFERROR(
                  Andel_oberoende_av_klimat*VLOOKUP($A383,Leveranser_per_nät,'Leveranser per nät'!V$1,FALSE)
               +Andel_beroende_av_klimat*VLOOKUP($A383,Leveranser_per_nät,'Leveranser per nät'!V$1,FALSE)/VLOOKUP($B383,Korrigeringsfaktor_GD,'Korrigeringsfaktor GD'!V$1,FALSE),
"")</f>
        <v/>
      </c>
      <c r="W383" s="18" t="str">
        <f>IFERROR(
                  Andel_oberoende_av_klimat*VLOOKUP($A383,Leveranser_per_nät,'Leveranser per nät'!W$1,FALSE)
               +Andel_beroende_av_klimat*VLOOKUP($A383,Leveranser_per_nät,'Leveranser per nät'!W$1,FALSE)/VLOOKUP($B383,Korrigeringsfaktor_GD,'Korrigeringsfaktor GD'!W$1,FALSE),
"")</f>
        <v/>
      </c>
      <c r="X383" s="18" t="str">
        <f>IFERROR(
                  Andel_oberoende_av_klimat*VLOOKUP($A383,Leveranser_per_nät,'Leveranser per nät'!X$1,FALSE)
               +Andel_beroende_av_klimat*VLOOKUP($A383,Leveranser_per_nät,'Leveranser per nät'!X$1,FALSE)/VLOOKUP($B383,Korrigeringsfaktor_GD,'Korrigeringsfaktor GD'!X$1,FALSE),
"")</f>
        <v/>
      </c>
      <c r="Y383" s="18" t="str">
        <f>IFERROR(
                  Andel_oberoende_av_klimat*VLOOKUP($A383,Leveranser_per_nät,'Leveranser per nät'!Y$1,FALSE)
               +Andel_beroende_av_klimat*VLOOKUP($A383,Leveranser_per_nät,'Leveranser per nät'!Y$1,FALSE)/VLOOKUP($B383,Korrigeringsfaktor_GD,'Korrigeringsfaktor GD'!Y$1,FALSE),
"")</f>
        <v/>
      </c>
      <c r="Z383" s="18">
        <f>IFERROR(
                  Andel_oberoende_av_klimat*VLOOKUP($A383,Leveranser_per_nät,'Leveranser per nät'!Z$1,FALSE)
               +Andel_beroende_av_klimat*VLOOKUP($A383,Leveranser_per_nät,'Leveranser per nät'!Z$1,FALSE)/VLOOKUP($B383,Korrigeringsfaktor_GD,'Korrigeringsfaktor GD'!Z$1,FALSE),
"")</f>
        <v>0</v>
      </c>
      <c r="AA383" s="18" t="str">
        <f>IFERROR(
                  Andel_oberoende_av_klimat*VLOOKUP($A383,Leveranser_per_nät,'Leveranser per nät'!AA$1,FALSE)
               +Andel_beroende_av_klimat*VLOOKUP($A383,Leveranser_per_nät,'Leveranser per nät'!AA$1,FALSE)/VLOOKUP($B383,Korrigeringsfaktor_GD,'Korrigeringsfaktor GD'!AA$1,FALSE),
"")</f>
        <v/>
      </c>
      <c r="AB383" s="18">
        <f>IFERROR(
                  Andel_oberoende_av_klimat*VLOOKUP($A383,Leveranser_per_nät,'Leveranser per nät'!AB$1,FALSE)
               +Andel_beroende_av_klimat*VLOOKUP($A383,Leveranser_per_nät,'Leveranser per nät'!AB$1,FALSE)/VLOOKUP($B383,Korrigeringsfaktor_GD,'Korrigeringsfaktor GD'!AB$1,FALSE),
"")</f>
        <v>0</v>
      </c>
      <c r="AC383" s="18">
        <f>IFERROR(
                  Andel_oberoende_av_klimat*VLOOKUP($A383,Leveranser_per_nät,'Leveranser per nät'!AC$1,FALSE)
               +Andel_beroende_av_klimat*VLOOKUP($A383,Leveranser_per_nät,'Leveranser per nät'!AC$1,FALSE)/VLOOKUP($B383,Korrigeringsfaktor_GD,'Korrigeringsfaktor GD'!AC$1,FALSE),
"")</f>
        <v>0</v>
      </c>
      <c r="AD383">
        <v>115.232</v>
      </c>
    </row>
    <row r="384" spans="1:30" x14ac:dyDescent="0.25">
      <c r="A384" t="s">
        <v>279</v>
      </c>
      <c r="B384" t="s">
        <v>357</v>
      </c>
      <c r="C384" s="18">
        <f>IFERROR(
                  Andel_oberoende_av_klimat*VLOOKUP($A384,Leveranser_per_nät,'Leveranser per nät'!C$1,FALSE)
               +Andel_beroende_av_klimat*VLOOKUP($A384,Leveranser_per_nät,'Leveranser per nät'!C$1,FALSE)/VLOOKUP($B384,Korrigeringsfaktor_GD,'Korrigeringsfaktor GD'!C$1,FALSE),
"")</f>
        <v>3.7688073394495412</v>
      </c>
      <c r="D384" s="18">
        <f>IFERROR(
                  Andel_oberoende_av_klimat*VLOOKUP($A384,Leveranser_per_nät,'Leveranser per nät'!D$1,FALSE)
               +Andel_beroende_av_klimat*VLOOKUP($A384,Leveranser_per_nät,'Leveranser per nät'!D$1,FALSE)/VLOOKUP($B384,Korrigeringsfaktor_GD,'Korrigeringsfaktor GD'!D$1,FALSE),
"")</f>
        <v>3.8490833333333336</v>
      </c>
      <c r="E384" s="18">
        <f>IFERROR(
                  Andel_oberoende_av_klimat*VLOOKUP($A384,Leveranser_per_nät,'Leveranser per nät'!E$1,FALSE)
               +Andel_beroende_av_klimat*VLOOKUP($A384,Leveranser_per_nät,'Leveranser per nät'!E$1,FALSE)/VLOOKUP($B384,Korrigeringsfaktor_GD,'Korrigeringsfaktor GD'!E$1,FALSE),
"")</f>
        <v>3.9722772277227723</v>
      </c>
      <c r="F384" s="18">
        <f>IFERROR(
                  Andel_oberoende_av_klimat*VLOOKUP($A384,Leveranser_per_nät,'Leveranser per nät'!F$1,FALSE)
               +Andel_beroende_av_klimat*VLOOKUP($A384,Leveranser_per_nät,'Leveranser per nät'!F$1,FALSE)/VLOOKUP($B384,Korrigeringsfaktor_GD,'Korrigeringsfaktor GD'!F$1,FALSE),
"")</f>
        <v>3.7492541666666663</v>
      </c>
      <c r="G384" s="18">
        <f>IFERROR(
                  Andel_oberoende_av_klimat*VLOOKUP($A384,Leveranser_per_nät,'Leveranser per nät'!G$1,FALSE)
               +Andel_beroende_av_klimat*VLOOKUP($A384,Leveranser_per_nät,'Leveranser per nät'!G$1,FALSE)/VLOOKUP($B384,Korrigeringsfaktor_GD,'Korrigeringsfaktor GD'!G$1,FALSE),
"")</f>
        <v>3.677205747126437</v>
      </c>
      <c r="H384" s="18">
        <f>IFERROR(
                  Andel_oberoende_av_klimat*VLOOKUP($A384,Leveranser_per_nät,'Leveranser per nät'!H$1,FALSE)
               +Andel_beroende_av_klimat*VLOOKUP($A384,Leveranser_per_nät,'Leveranser per nät'!H$1,FALSE)/VLOOKUP($B384,Korrigeringsfaktor_GD,'Korrigeringsfaktor GD'!H$1,FALSE),
"")</f>
        <v>3.1645000000000003</v>
      </c>
      <c r="I384" s="18">
        <f>IFERROR(
                  Andel_oberoende_av_klimat*VLOOKUP($A384,Leveranser_per_nät,'Leveranser per nät'!I$1,FALSE)
               +Andel_beroende_av_klimat*VLOOKUP($A384,Leveranser_per_nät,'Leveranser per nät'!I$1,FALSE)/VLOOKUP($B384,Korrigeringsfaktor_GD,'Korrigeringsfaktor GD'!I$1,FALSE),
"")</f>
        <v>3.0428571428571427</v>
      </c>
      <c r="J384" s="18">
        <f>IFERROR(
                  Andel_oberoende_av_klimat*VLOOKUP($A384,Leveranser_per_nät,'Leveranser per nät'!J$1,FALSE)
               +Andel_beroende_av_klimat*VLOOKUP($A384,Leveranser_per_nät,'Leveranser per nät'!J$1,FALSE)/VLOOKUP($B384,Korrigeringsfaktor_GD,'Korrigeringsfaktor GD'!J$1,FALSE),
"")</f>
        <v>4.0865979381443296</v>
      </c>
      <c r="K384" s="18">
        <f>IFERROR(
                  Andel_oberoende_av_klimat*VLOOKUP($A384,Leveranser_per_nät,'Leveranser per nät'!K$1,FALSE)
               +Andel_beroende_av_klimat*VLOOKUP($A384,Leveranser_per_nät,'Leveranser per nät'!K$1,FALSE)/VLOOKUP($B384,Korrigeringsfaktor_GD,'Korrigeringsfaktor GD'!K$1,FALSE),
"")</f>
        <v>4.0184879725085914</v>
      </c>
      <c r="L384" s="18">
        <f>IFERROR(
                  Andel_oberoende_av_klimat*VLOOKUP($A384,Leveranser_per_nät,'Leveranser per nät'!L$1,FALSE)
               +Andel_beroende_av_klimat*VLOOKUP($A384,Leveranser_per_nät,'Leveranser per nät'!L$1,FALSE)/VLOOKUP($B384,Korrigeringsfaktor_GD,'Korrigeringsfaktor GD'!L$1,FALSE),
"")</f>
        <v>4.0703942652329754</v>
      </c>
      <c r="M384" s="18">
        <f>IFERROR(
                  Andel_oberoende_av_klimat*VLOOKUP($A384,Leveranser_per_nät,'Leveranser per nät'!M$1,FALSE)
               +Andel_beroende_av_klimat*VLOOKUP($A384,Leveranser_per_nät,'Leveranser per nät'!M$1,FALSE)/VLOOKUP($B384,Korrigeringsfaktor_GD,'Korrigeringsfaktor GD'!M$1,FALSE),
"")</f>
        <v>4.0313043478260866</v>
      </c>
      <c r="N384" s="18">
        <f>IFERROR(
                  Andel_oberoende_av_klimat*VLOOKUP($A384,Leveranser_per_nät,'Leveranser per nät'!N$1,FALSE)
               +Andel_beroende_av_klimat*VLOOKUP($A384,Leveranser_per_nät,'Leveranser per nät'!N$1,FALSE)/VLOOKUP($B384,Korrigeringsfaktor_GD,'Korrigeringsfaktor GD'!N$1,FALSE),
"")</f>
        <v>4.0002150537634407</v>
      </c>
      <c r="O384" s="18">
        <f>IFERROR(
                  Andel_oberoende_av_klimat*VLOOKUP($A384,Leveranser_per_nät,'Leveranser per nät'!O$1,FALSE)
               +Andel_beroende_av_klimat*VLOOKUP($A384,Leveranser_per_nät,'Leveranser per nät'!O$1,FALSE)/VLOOKUP($B384,Korrigeringsfaktor_GD,'Korrigeringsfaktor GD'!O$1,FALSE),
"")</f>
        <v>4.5266666666666673</v>
      </c>
      <c r="P384" s="18">
        <f>IFERROR(
                  Andel_oberoende_av_klimat*VLOOKUP($A384,Leveranser_per_nät,'Leveranser per nät'!P$1,FALSE)
               +Andel_beroende_av_klimat*VLOOKUP($A384,Leveranser_per_nät,'Leveranser per nät'!P$1,FALSE)/VLOOKUP($B384,Korrigeringsfaktor_GD,'Korrigeringsfaktor GD'!P$1,FALSE),
"")</f>
        <v>4.7332323232323237</v>
      </c>
      <c r="Q384" s="18">
        <f>IFERROR(
                  Andel_oberoende_av_klimat*VLOOKUP($A384,Leveranser_per_nät,'Leveranser per nät'!Q$1,FALSE)
               +Andel_beroende_av_klimat*VLOOKUP($A384,Leveranser_per_nät,'Leveranser per nät'!Q$1,FALSE)/VLOOKUP($B384,Korrigeringsfaktor_GD,'Korrigeringsfaktor GD'!Q$1,FALSE),
"")</f>
        <v>4.7252173913043478</v>
      </c>
      <c r="R384" s="18">
        <f>IFERROR(
                  Andel_oberoende_av_klimat*VLOOKUP($A384,Leveranser_per_nät,'Leveranser per nät'!R$1,FALSE)
               +Andel_beroende_av_klimat*VLOOKUP($A384,Leveranser_per_nät,'Leveranser per nät'!R$1,FALSE)/VLOOKUP($B384,Korrigeringsfaktor_GD,'Korrigeringsfaktor GD'!R$1,FALSE),
"")</f>
        <v>4.7422222222222228</v>
      </c>
      <c r="S384" s="18">
        <f>IFERROR(
                  Andel_oberoende_av_klimat*VLOOKUP($A384,Leveranser_per_nät,'Leveranser per nät'!S$1,FALSE)
               +Andel_beroende_av_klimat*VLOOKUP($A384,Leveranser_per_nät,'Leveranser per nät'!S$1,FALSE)/VLOOKUP($B384,Korrigeringsfaktor_GD,'Korrigeringsfaktor GD'!S$1,FALSE),
"")</f>
        <v>4.68</v>
      </c>
      <c r="T384" s="18">
        <f>IFERROR(
                  Andel_oberoende_av_klimat*VLOOKUP($A384,Leveranser_per_nät,'Leveranser per nät'!T$1,FALSE)
               +Andel_beroende_av_klimat*VLOOKUP($A384,Leveranser_per_nät,'Leveranser per nät'!T$1,FALSE)/VLOOKUP($B384,Korrigeringsfaktor_GD,'Korrigeringsfaktor GD'!T$1,FALSE),
"")</f>
        <v>4.6227605263157896</v>
      </c>
      <c r="U384" s="18">
        <f>IFERROR(
                  Andel_oberoende_av_klimat*VLOOKUP($A384,Leveranser_per_nät,'Leveranser per nät'!U$1,FALSE)
               +Andel_beroende_av_klimat*VLOOKUP($A384,Leveranser_per_nät,'Leveranser per nät'!U$1,FALSE)/VLOOKUP($B384,Korrigeringsfaktor_GD,'Korrigeringsfaktor GD'!U$1,FALSE),
"")</f>
        <v>4.5665444444444443</v>
      </c>
      <c r="V384" s="18">
        <f>IFERROR(
                  Andel_oberoende_av_klimat*VLOOKUP($A384,Leveranser_per_nät,'Leveranser per nät'!V$1,FALSE)
               +Andel_beroende_av_klimat*VLOOKUP($A384,Leveranser_per_nät,'Leveranser per nät'!V$1,FALSE)/VLOOKUP($B384,Korrigeringsfaktor_GD,'Korrigeringsfaktor GD'!V$1,FALSE),
"")</f>
        <v>4.4938434782608692</v>
      </c>
      <c r="W384" s="18">
        <f>IFERROR(
                  Andel_oberoende_av_klimat*VLOOKUP($A384,Leveranser_per_nät,'Leveranser per nät'!W$1,FALSE)
               +Andel_beroende_av_klimat*VLOOKUP($A384,Leveranser_per_nät,'Leveranser per nät'!W$1,FALSE)/VLOOKUP($B384,Korrigeringsfaktor_GD,'Korrigeringsfaktor GD'!W$1,FALSE),
"")</f>
        <v>4.710825773195876</v>
      </c>
      <c r="X384" s="18">
        <f>IFERROR(
                  Andel_oberoende_av_klimat*VLOOKUP($A384,Leveranser_per_nät,'Leveranser per nät'!X$1,FALSE)
               +Andel_beroende_av_klimat*VLOOKUP($A384,Leveranser_per_nät,'Leveranser per nät'!X$1,FALSE)/VLOOKUP($B384,Korrigeringsfaktor_GD,'Korrigeringsfaktor GD'!X$1,FALSE),
"")</f>
        <v>4.5269288659793814</v>
      </c>
      <c r="Y384" s="18">
        <f>IFERROR(
                  Andel_oberoende_av_klimat*VLOOKUP($A384,Leveranser_per_nät,'Leveranser per nät'!Y$1,FALSE)
               +Andel_beroende_av_klimat*VLOOKUP($A384,Leveranser_per_nät,'Leveranser per nät'!Y$1,FALSE)/VLOOKUP($B384,Korrigeringsfaktor_GD,'Korrigeringsfaktor GD'!Y$1,FALSE),
"")</f>
        <v>4.8586958333333339</v>
      </c>
      <c r="Z384" s="18">
        <f>IFERROR(
                  Andel_oberoende_av_klimat*VLOOKUP($A384,Leveranser_per_nät,'Leveranser per nät'!Z$1,FALSE)
               +Andel_beroende_av_klimat*VLOOKUP($A384,Leveranser_per_nät,'Leveranser per nät'!Z$1,FALSE)/VLOOKUP($B384,Korrigeringsfaktor_GD,'Korrigeringsfaktor GD'!Z$1,FALSE),
"")</f>
        <v>4.2465440860215056</v>
      </c>
      <c r="AA384" s="18">
        <f>IFERROR(
                  Andel_oberoende_av_klimat*VLOOKUP($A384,Leveranser_per_nät,'Leveranser per nät'!AA$1,FALSE)
               +Andel_beroende_av_klimat*VLOOKUP($A384,Leveranser_per_nät,'Leveranser per nät'!AA$1,FALSE)/VLOOKUP($B384,Korrigeringsfaktor_GD,'Korrigeringsfaktor GD'!AA$1,FALSE),
"")</f>
        <v>4.0052863250550139</v>
      </c>
      <c r="AB384" s="18">
        <f>IFERROR(
                  Andel_oberoende_av_klimat*VLOOKUP($A384,Leveranser_per_nät,'Leveranser per nät'!AB$1,FALSE)
               +Andel_beroende_av_klimat*VLOOKUP($A384,Leveranser_per_nät,'Leveranser per nät'!AB$1,FALSE)/VLOOKUP($B384,Korrigeringsfaktor_GD,'Korrigeringsfaktor GD'!AB$1,FALSE),
"")</f>
        <v>4.0251090452261309</v>
      </c>
      <c r="AC384" s="18">
        <f>IFERROR(
                  Andel_oberoende_av_klimat*VLOOKUP($A384,Leveranser_per_nät,'Leveranser per nät'!AC$1,FALSE)
               +Andel_beroende_av_klimat*VLOOKUP($A384,Leveranser_per_nät,'Leveranser per nät'!AC$1,FALSE)/VLOOKUP($B384,Korrigeringsfaktor_GD,'Korrigeringsfaktor GD'!AC$1,FALSE),
"")</f>
        <v>3.9059000000000004</v>
      </c>
      <c r="AD384">
        <v>88</v>
      </c>
    </row>
    <row r="385" spans="1:30" x14ac:dyDescent="0.25">
      <c r="A385" s="3" t="s">
        <v>17</v>
      </c>
      <c r="B385" t="s">
        <v>527</v>
      </c>
      <c r="C385" s="18">
        <f>IFERROR(
                  Andel_oberoende_av_klimat*VLOOKUP($A385,Leveranser_per_nät,'Leveranser per nät'!C$1,FALSE)
               +Andel_beroende_av_klimat*VLOOKUP($A385,Leveranser_per_nät,'Leveranser per nät'!C$1,FALSE)/VLOOKUP($B385,Korrigeringsfaktor_GD,'Korrigeringsfaktor GD'!C$1,FALSE),
"")</f>
        <v>0</v>
      </c>
      <c r="D385" s="18">
        <f>IFERROR(
                  Andel_oberoende_av_klimat*VLOOKUP($A385,Leveranser_per_nät,'Leveranser per nät'!D$1,FALSE)
               +Andel_beroende_av_klimat*VLOOKUP($A385,Leveranser_per_nät,'Leveranser per nät'!D$1,FALSE)/VLOOKUP($B385,Korrigeringsfaktor_GD,'Korrigeringsfaktor GD'!D$1,FALSE),
"")</f>
        <v>0</v>
      </c>
      <c r="E385" s="18">
        <f>IFERROR(
                  Andel_oberoende_av_klimat*VLOOKUP($A385,Leveranser_per_nät,'Leveranser per nät'!E$1,FALSE)
               +Andel_beroende_av_klimat*VLOOKUP($A385,Leveranser_per_nät,'Leveranser per nät'!E$1,FALSE)/VLOOKUP($B385,Korrigeringsfaktor_GD,'Korrigeringsfaktor GD'!E$1,FALSE),
"")</f>
        <v>0</v>
      </c>
      <c r="F385" s="18">
        <f>IFERROR(
                  Andel_oberoende_av_klimat*VLOOKUP($A385,Leveranser_per_nät,'Leveranser per nät'!F$1,FALSE)
               +Andel_beroende_av_klimat*VLOOKUP($A385,Leveranser_per_nät,'Leveranser per nät'!F$1,FALSE)/VLOOKUP($B385,Korrigeringsfaktor_GD,'Korrigeringsfaktor GD'!F$1,FALSE),
"")</f>
        <v>0</v>
      </c>
      <c r="G385" s="18">
        <f>IFERROR(
                  Andel_oberoende_av_klimat*VLOOKUP($A385,Leveranser_per_nät,'Leveranser per nät'!G$1,FALSE)
               +Andel_beroende_av_klimat*VLOOKUP($A385,Leveranser_per_nät,'Leveranser per nät'!G$1,FALSE)/VLOOKUP($B385,Korrigeringsfaktor_GD,'Korrigeringsfaktor GD'!G$1,FALSE),
"")</f>
        <v>0</v>
      </c>
      <c r="H385" s="18">
        <f>IFERROR(
                  Andel_oberoende_av_klimat*VLOOKUP($A385,Leveranser_per_nät,'Leveranser per nät'!H$1,FALSE)
               +Andel_beroende_av_klimat*VLOOKUP($A385,Leveranser_per_nät,'Leveranser per nät'!H$1,FALSE)/VLOOKUP($B385,Korrigeringsfaktor_GD,'Korrigeringsfaktor GD'!H$1,FALSE),
"")</f>
        <v>0</v>
      </c>
      <c r="I385" s="18">
        <f>IFERROR(
                  Andel_oberoende_av_klimat*VLOOKUP($A385,Leveranser_per_nät,'Leveranser per nät'!I$1,FALSE)
               +Andel_beroende_av_klimat*VLOOKUP($A385,Leveranser_per_nät,'Leveranser per nät'!I$1,FALSE)/VLOOKUP($B385,Korrigeringsfaktor_GD,'Korrigeringsfaktor GD'!I$1,FALSE),
"")</f>
        <v>0</v>
      </c>
      <c r="J385" s="18">
        <f>IFERROR(
                  Andel_oberoende_av_klimat*VLOOKUP($A385,Leveranser_per_nät,'Leveranser per nät'!J$1,FALSE)
               +Andel_beroende_av_klimat*VLOOKUP($A385,Leveranser_per_nät,'Leveranser per nät'!J$1,FALSE)/VLOOKUP($B385,Korrigeringsfaktor_GD,'Korrigeringsfaktor GD'!J$1,FALSE),
"")</f>
        <v>0</v>
      </c>
      <c r="K385" s="18">
        <f>IFERROR(
                  Andel_oberoende_av_klimat*VLOOKUP($A385,Leveranser_per_nät,'Leveranser per nät'!K$1,FALSE)
               +Andel_beroende_av_klimat*VLOOKUP($A385,Leveranser_per_nät,'Leveranser per nät'!K$1,FALSE)/VLOOKUP($B385,Korrigeringsfaktor_GD,'Korrigeringsfaktor GD'!K$1,FALSE),
"")</f>
        <v>0</v>
      </c>
      <c r="L385" s="18">
        <f>IFERROR(
                  Andel_oberoende_av_klimat*VLOOKUP($A385,Leveranser_per_nät,'Leveranser per nät'!L$1,FALSE)
               +Andel_beroende_av_klimat*VLOOKUP($A385,Leveranser_per_nät,'Leveranser per nät'!L$1,FALSE)/VLOOKUP($B385,Korrigeringsfaktor_GD,'Korrigeringsfaktor GD'!L$1,FALSE),
"")</f>
        <v>0</v>
      </c>
      <c r="M385" s="18">
        <f>IFERROR(
                  Andel_oberoende_av_klimat*VLOOKUP($A385,Leveranser_per_nät,'Leveranser per nät'!M$1,FALSE)
               +Andel_beroende_av_klimat*VLOOKUP($A385,Leveranser_per_nät,'Leveranser per nät'!M$1,FALSE)/VLOOKUP($B385,Korrigeringsfaktor_GD,'Korrigeringsfaktor GD'!M$1,FALSE),
"")</f>
        <v>0</v>
      </c>
      <c r="N385" s="18">
        <f>IFERROR(
                  Andel_oberoende_av_klimat*VLOOKUP($A385,Leveranser_per_nät,'Leveranser per nät'!N$1,FALSE)
               +Andel_beroende_av_klimat*VLOOKUP($A385,Leveranser_per_nät,'Leveranser per nät'!N$1,FALSE)/VLOOKUP($B385,Korrigeringsfaktor_GD,'Korrigeringsfaktor GD'!N$1,FALSE),
"")</f>
        <v>0</v>
      </c>
      <c r="O385" s="18">
        <f>IFERROR(
                  Andel_oberoende_av_klimat*VLOOKUP($A385,Leveranser_per_nät,'Leveranser per nät'!O$1,FALSE)
               +Andel_beroende_av_klimat*VLOOKUP($A385,Leveranser_per_nät,'Leveranser per nät'!O$1,FALSE)/VLOOKUP($B385,Korrigeringsfaktor_GD,'Korrigeringsfaktor GD'!O$1,FALSE),
"")</f>
        <v>0</v>
      </c>
      <c r="P385" s="18">
        <f>IFERROR(
                  Andel_oberoende_av_klimat*VLOOKUP($A385,Leveranser_per_nät,'Leveranser per nät'!P$1,FALSE)
               +Andel_beroende_av_klimat*VLOOKUP($A385,Leveranser_per_nät,'Leveranser per nät'!P$1,FALSE)/VLOOKUP($B385,Korrigeringsfaktor_GD,'Korrigeringsfaktor GD'!P$1,FALSE),
"")</f>
        <v>0</v>
      </c>
      <c r="Q385" s="18">
        <f>IFERROR(
                  Andel_oberoende_av_klimat*VLOOKUP($A385,Leveranser_per_nät,'Leveranser per nät'!Q$1,FALSE)
               +Andel_beroende_av_klimat*VLOOKUP($A385,Leveranser_per_nät,'Leveranser per nät'!Q$1,FALSE)/VLOOKUP($B385,Korrigeringsfaktor_GD,'Korrigeringsfaktor GD'!Q$1,FALSE),
"")</f>
        <v>6.4144827586206894</v>
      </c>
      <c r="R385" s="18">
        <f>IFERROR(
                  Andel_oberoende_av_klimat*VLOOKUP($A385,Leveranser_per_nät,'Leveranser per nät'!R$1,FALSE)
               +Andel_beroende_av_klimat*VLOOKUP($A385,Leveranser_per_nät,'Leveranser per nät'!R$1,FALSE)/VLOOKUP($B385,Korrigeringsfaktor_GD,'Korrigeringsfaktor GD'!R$1,FALSE),
"")</f>
        <v>6.201538461538461</v>
      </c>
      <c r="S385" s="18">
        <f>IFERROR(
                  Andel_oberoende_av_klimat*VLOOKUP($A385,Leveranser_per_nät,'Leveranser per nät'!S$1,FALSE)
               +Andel_beroende_av_klimat*VLOOKUP($A385,Leveranser_per_nät,'Leveranser per nät'!S$1,FALSE)/VLOOKUP($B385,Korrigeringsfaktor_GD,'Korrigeringsfaktor GD'!S$1,FALSE),
"")</f>
        <v>6.1570297029702976</v>
      </c>
      <c r="T385" s="18">
        <f>IFERROR(
                  Andel_oberoende_av_klimat*VLOOKUP($A385,Leveranser_per_nät,'Leveranser per nät'!T$1,FALSE)
               +Andel_beroende_av_klimat*VLOOKUP($A385,Leveranser_per_nät,'Leveranser per nät'!T$1,FALSE)/VLOOKUP($B385,Korrigeringsfaktor_GD,'Korrigeringsfaktor GD'!T$1,FALSE),
"")</f>
        <v>6.2779166666666661</v>
      </c>
      <c r="U385" s="18">
        <f>IFERROR(
                  Andel_oberoende_av_klimat*VLOOKUP($A385,Leveranser_per_nät,'Leveranser per nät'!U$1,FALSE)
               +Andel_beroende_av_klimat*VLOOKUP($A385,Leveranser_per_nät,'Leveranser per nät'!U$1,FALSE)/VLOOKUP($B385,Korrigeringsfaktor_GD,'Korrigeringsfaktor GD'!U$1,FALSE),
"")</f>
        <v>5.9762777777777769</v>
      </c>
      <c r="V385" s="18">
        <f>IFERROR(
                  Andel_oberoende_av_klimat*VLOOKUP($A385,Leveranser_per_nät,'Leveranser per nät'!V$1,FALSE)
               +Andel_beroende_av_klimat*VLOOKUP($A385,Leveranser_per_nät,'Leveranser per nät'!V$1,FALSE)/VLOOKUP($B385,Korrigeringsfaktor_GD,'Korrigeringsfaktor GD'!V$1,FALSE),
"")</f>
        <v>6.268355555555555</v>
      </c>
      <c r="W385" s="18">
        <f>IFERROR(
                  Andel_oberoende_av_klimat*VLOOKUP($A385,Leveranser_per_nät,'Leveranser per nät'!W$1,FALSE)
               +Andel_beroende_av_klimat*VLOOKUP($A385,Leveranser_per_nät,'Leveranser per nät'!W$1,FALSE)/VLOOKUP($B385,Korrigeringsfaktor_GD,'Korrigeringsfaktor GD'!W$1,FALSE),
"")</f>
        <v>6.9962276595744681</v>
      </c>
      <c r="X385" s="18">
        <f>IFERROR(
                  Andel_oberoende_av_klimat*VLOOKUP($A385,Leveranser_per_nät,'Leveranser per nät'!X$1,FALSE)
               +Andel_beroende_av_klimat*VLOOKUP($A385,Leveranser_per_nät,'Leveranser per nät'!X$1,FALSE)/VLOOKUP($B385,Korrigeringsfaktor_GD,'Korrigeringsfaktor GD'!X$1,FALSE),
"")</f>
        <v>6.8948936170212765</v>
      </c>
      <c r="Y385" s="18">
        <f>IFERROR(
                  Andel_oberoende_av_klimat*VLOOKUP($A385,Leveranser_per_nät,'Leveranser per nät'!Y$1,FALSE)
               +Andel_beroende_av_klimat*VLOOKUP($A385,Leveranser_per_nät,'Leveranser per nät'!Y$1,FALSE)/VLOOKUP($B385,Korrigeringsfaktor_GD,'Korrigeringsfaktor GD'!Y$1,FALSE),
"")</f>
        <v>6.9477419354838705</v>
      </c>
      <c r="Z385" s="18">
        <f>IFERROR(
                  Andel_oberoende_av_klimat*VLOOKUP($A385,Leveranser_per_nät,'Leveranser per nät'!Z$1,FALSE)
               +Andel_beroende_av_klimat*VLOOKUP($A385,Leveranser_per_nät,'Leveranser per nät'!Z$1,FALSE)/VLOOKUP($B385,Korrigeringsfaktor_GD,'Korrigeringsfaktor GD'!Z$1,FALSE),
"")</f>
        <v>7.0055555555555555</v>
      </c>
      <c r="AA385" s="18">
        <f>IFERROR(
                  Andel_oberoende_av_klimat*VLOOKUP($A385,Leveranser_per_nät,'Leveranser per nät'!AA$1,FALSE)
               +Andel_beroende_av_klimat*VLOOKUP($A385,Leveranser_per_nät,'Leveranser per nät'!AA$1,FALSE)/VLOOKUP($B385,Korrigeringsfaktor_GD,'Korrigeringsfaktor GD'!AA$1,FALSE),
"")</f>
        <v>6.6151724137931023</v>
      </c>
      <c r="AB385" s="18">
        <f>IFERROR(
                  Andel_oberoende_av_klimat*VLOOKUP($A385,Leveranser_per_nät,'Leveranser per nät'!AB$1,FALSE)
               +Andel_beroende_av_klimat*VLOOKUP($A385,Leveranser_per_nät,'Leveranser per nät'!AB$1,FALSE)/VLOOKUP($B385,Korrigeringsfaktor_GD,'Korrigeringsfaktor GD'!AB$1,FALSE),
"")</f>
        <v>6.2563366336633663</v>
      </c>
      <c r="AC385" s="18">
        <f>IFERROR(
                  Andel_oberoende_av_klimat*VLOOKUP($A385,Leveranser_per_nät,'Leveranser per nät'!AC$1,FALSE)
               +Andel_beroende_av_klimat*VLOOKUP($A385,Leveranser_per_nät,'Leveranser per nät'!AC$1,FALSE)/VLOOKUP($B385,Korrigeringsfaktor_GD,'Korrigeringsfaktor GD'!AC$1,FALSE),
"")</f>
        <v>6.0432799373040735</v>
      </c>
      <c r="AD385" t="e">
        <v>#N/A</v>
      </c>
    </row>
    <row r="386" spans="1:30" x14ac:dyDescent="0.25">
      <c r="A386" t="s">
        <v>301</v>
      </c>
      <c r="B386" t="s">
        <v>301</v>
      </c>
      <c r="C386" s="18">
        <f>IFERROR(
                  Andel_oberoende_av_klimat*VLOOKUP($A386,Leveranser_per_nät,'Leveranser per nät'!C$1,FALSE)
               +Andel_beroende_av_klimat*VLOOKUP($A386,Leveranser_per_nät,'Leveranser per nät'!C$1,FALSE)/VLOOKUP($B386,Korrigeringsfaktor_GD,'Korrigeringsfaktor GD'!C$1,FALSE),
"")</f>
        <v>186.33636363636361</v>
      </c>
      <c r="D386" s="18">
        <f>IFERROR(
                  Andel_oberoende_av_klimat*VLOOKUP($A386,Leveranser_per_nät,'Leveranser per nät'!D$1,FALSE)
               +Andel_beroende_av_klimat*VLOOKUP($A386,Leveranser_per_nät,'Leveranser per nät'!D$1,FALSE)/VLOOKUP($B386,Korrigeringsfaktor_GD,'Korrigeringsfaktor GD'!D$1,FALSE),
"")</f>
        <v>119.68268421052633</v>
      </c>
      <c r="E386" s="18">
        <f>IFERROR(
                  Andel_oberoende_av_klimat*VLOOKUP($A386,Leveranser_per_nät,'Leveranser per nät'!E$1,FALSE)
               +Andel_beroende_av_klimat*VLOOKUP($A386,Leveranser_per_nät,'Leveranser per nät'!E$1,FALSE)/VLOOKUP($B386,Korrigeringsfaktor_GD,'Korrigeringsfaktor GD'!E$1,FALSE),
"")</f>
        <v>123.28431372549019</v>
      </c>
      <c r="F386" s="18">
        <f>IFERROR(
                  Andel_oberoende_av_klimat*VLOOKUP($A386,Leveranser_per_nät,'Leveranser per nät'!F$1,FALSE)
               +Andel_beroende_av_klimat*VLOOKUP($A386,Leveranser_per_nät,'Leveranser per nät'!F$1,FALSE)/VLOOKUP($B386,Korrigeringsfaktor_GD,'Korrigeringsfaktor GD'!F$1,FALSE),
"")</f>
        <v>133.8857142857143</v>
      </c>
      <c r="G386" s="18">
        <f>IFERROR(
                  Andel_oberoende_av_klimat*VLOOKUP($A386,Leveranser_per_nät,'Leveranser per nät'!G$1,FALSE)
               +Andel_beroende_av_klimat*VLOOKUP($A386,Leveranser_per_nät,'Leveranser per nät'!G$1,FALSE)/VLOOKUP($B386,Korrigeringsfaktor_GD,'Korrigeringsfaktor GD'!G$1,FALSE),
"")</f>
        <v>160.38461538461539</v>
      </c>
      <c r="H386" s="18">
        <f>IFERROR(
                  Andel_oberoende_av_klimat*VLOOKUP($A386,Leveranser_per_nät,'Leveranser per nät'!H$1,FALSE)
               +Andel_beroende_av_klimat*VLOOKUP($A386,Leveranser_per_nät,'Leveranser per nät'!H$1,FALSE)/VLOOKUP($B386,Korrigeringsfaktor_GD,'Korrigeringsfaktor GD'!H$1,FALSE),
"")</f>
        <v>160</v>
      </c>
      <c r="I386" s="18">
        <f>IFERROR(
                  Andel_oberoende_av_klimat*VLOOKUP($A386,Leveranser_per_nät,'Leveranser per nät'!I$1,FALSE)
               +Andel_beroende_av_klimat*VLOOKUP($A386,Leveranser_per_nät,'Leveranser per nät'!I$1,FALSE)/VLOOKUP($B386,Korrigeringsfaktor_GD,'Korrigeringsfaktor GD'!I$1,FALSE),
"")</f>
        <v>159.37731958762888</v>
      </c>
      <c r="J386" s="18">
        <f>IFERROR(
                  Andel_oberoende_av_klimat*VLOOKUP($A386,Leveranser_per_nät,'Leveranser per nät'!J$1,FALSE)
               +Andel_beroende_av_klimat*VLOOKUP($A386,Leveranser_per_nät,'Leveranser per nät'!J$1,FALSE)/VLOOKUP($B386,Korrigeringsfaktor_GD,'Korrigeringsfaktor GD'!J$1,FALSE),
"")</f>
        <v>158.35567010309279</v>
      </c>
      <c r="K386" s="18">
        <f>IFERROR(
                  Andel_oberoende_av_klimat*VLOOKUP($A386,Leveranser_per_nät,'Leveranser per nät'!K$1,FALSE)
               +Andel_beroende_av_klimat*VLOOKUP($A386,Leveranser_per_nät,'Leveranser per nät'!K$1,FALSE)/VLOOKUP($B386,Korrigeringsfaktor_GD,'Korrigeringsfaktor GD'!K$1,FALSE),
"")</f>
        <v>150.64528144329898</v>
      </c>
      <c r="L386" s="18">
        <f>IFERROR(
                  Andel_oberoende_av_klimat*VLOOKUP($A386,Leveranser_per_nät,'Leveranser per nät'!L$1,FALSE)
               +Andel_beroende_av_klimat*VLOOKUP($A386,Leveranser_per_nät,'Leveranser per nät'!L$1,FALSE)/VLOOKUP($B386,Korrigeringsfaktor_GD,'Korrigeringsfaktor GD'!L$1,FALSE),
"")</f>
        <v>146.91764680851063</v>
      </c>
      <c r="M386" s="18">
        <f>IFERROR(
                  Andel_oberoende_av_klimat*VLOOKUP($A386,Leveranser_per_nät,'Leveranser per nät'!M$1,FALSE)
               +Andel_beroende_av_klimat*VLOOKUP($A386,Leveranser_per_nät,'Leveranser per nät'!M$1,FALSE)/VLOOKUP($B386,Korrigeringsfaktor_GD,'Korrigeringsfaktor GD'!M$1,FALSE),
"")</f>
        <v>131.12404615384617</v>
      </c>
      <c r="N386" s="18">
        <f>IFERROR(
                  Andel_oberoende_av_klimat*VLOOKUP($A386,Leveranser_per_nät,'Leveranser per nät'!N$1,FALSE)
               +Andel_beroende_av_klimat*VLOOKUP($A386,Leveranser_per_nät,'Leveranser per nät'!N$1,FALSE)/VLOOKUP($B386,Korrigeringsfaktor_GD,'Korrigeringsfaktor GD'!N$1,FALSE),
"")</f>
        <v>125.35726559139785</v>
      </c>
      <c r="O386" s="18">
        <f>IFERROR(
                  Andel_oberoende_av_klimat*VLOOKUP($A386,Leveranser_per_nät,'Leveranser per nät'!O$1,FALSE)
               +Andel_beroende_av_klimat*VLOOKUP($A386,Leveranser_per_nät,'Leveranser per nät'!O$1,FALSE)/VLOOKUP($B386,Korrigeringsfaktor_GD,'Korrigeringsfaktor GD'!O$1,FALSE),
"")</f>
        <v>128.1986608695652</v>
      </c>
      <c r="P386" s="18">
        <f>IFERROR(
                  Andel_oberoende_av_klimat*VLOOKUP($A386,Leveranser_per_nät,'Leveranser per nät'!P$1,FALSE)
               +Andel_beroende_av_klimat*VLOOKUP($A386,Leveranser_per_nät,'Leveranser per nät'!P$1,FALSE)/VLOOKUP($B386,Korrigeringsfaktor_GD,'Korrigeringsfaktor GD'!P$1,FALSE),
"")</f>
        <v>128.6715098010101</v>
      </c>
      <c r="Q386" s="18">
        <f>IFERROR(
                  Andel_oberoende_av_klimat*VLOOKUP($A386,Leveranser_per_nät,'Leveranser per nät'!Q$1,FALSE)
               +Andel_beroende_av_klimat*VLOOKUP($A386,Leveranser_per_nät,'Leveranser per nät'!Q$1,FALSE)/VLOOKUP($B386,Korrigeringsfaktor_GD,'Korrigeringsfaktor GD'!Q$1,FALSE),
"")</f>
        <v>136.02522378260869</v>
      </c>
      <c r="R386" s="18">
        <f>IFERROR(
                  Andel_oberoende_av_klimat*VLOOKUP($A386,Leveranser_per_nät,'Leveranser per nät'!R$1,FALSE)
               +Andel_beroende_av_klimat*VLOOKUP($A386,Leveranser_per_nät,'Leveranser per nät'!R$1,FALSE)/VLOOKUP($B386,Korrigeringsfaktor_GD,'Korrigeringsfaktor GD'!R$1,FALSE),
"")</f>
        <v>128.48518461538461</v>
      </c>
      <c r="S386" s="18">
        <f>IFERROR(
                  Andel_oberoende_av_klimat*VLOOKUP($A386,Leveranser_per_nät,'Leveranser per nät'!S$1,FALSE)
               +Andel_beroende_av_klimat*VLOOKUP($A386,Leveranser_per_nät,'Leveranser per nät'!S$1,FALSE)/VLOOKUP($B386,Korrigeringsfaktor_GD,'Korrigeringsfaktor GD'!S$1,FALSE),
"")</f>
        <v>130.91919191919192</v>
      </c>
      <c r="T386" s="18">
        <f>IFERROR(
                  Andel_oberoende_av_klimat*VLOOKUP($A386,Leveranser_per_nät,'Leveranser per nät'!T$1,FALSE)
               +Andel_beroende_av_klimat*VLOOKUP($A386,Leveranser_per_nät,'Leveranser per nät'!T$1,FALSE)/VLOOKUP($B386,Korrigeringsfaktor_GD,'Korrigeringsfaktor GD'!T$1,FALSE),
"")</f>
        <v>130.58880328421054</v>
      </c>
      <c r="U386" s="18">
        <f>IFERROR(
                  Andel_oberoende_av_klimat*VLOOKUP($A386,Leveranser_per_nät,'Leveranser per nät'!U$1,FALSE)
               +Andel_beroende_av_klimat*VLOOKUP($A386,Leveranser_per_nät,'Leveranser per nät'!U$1,FALSE)/VLOOKUP($B386,Korrigeringsfaktor_GD,'Korrigeringsfaktor GD'!U$1,FALSE),
"")</f>
        <v>129.1914922730337</v>
      </c>
      <c r="V386" s="18">
        <f>IFERROR(
                  Andel_oberoende_av_klimat*VLOOKUP($A386,Leveranser_per_nät,'Leveranser per nät'!V$1,FALSE)
               +Andel_beroende_av_klimat*VLOOKUP($A386,Leveranser_per_nät,'Leveranser per nät'!V$1,FALSE)/VLOOKUP($B386,Korrigeringsfaktor_GD,'Korrigeringsfaktor GD'!V$1,FALSE),
"")</f>
        <v>131.71517865168539</v>
      </c>
      <c r="W386" s="18">
        <f>IFERROR(
                  Andel_oberoende_av_klimat*VLOOKUP($A386,Leveranser_per_nät,'Leveranser per nät'!W$1,FALSE)
               +Andel_beroende_av_klimat*VLOOKUP($A386,Leveranser_per_nät,'Leveranser per nät'!W$1,FALSE)/VLOOKUP($B386,Korrigeringsfaktor_GD,'Korrigeringsfaktor GD'!W$1,FALSE),
"")</f>
        <v>135.75099130434782</v>
      </c>
      <c r="X386" s="18">
        <f>IFERROR(
                  Andel_oberoende_av_klimat*VLOOKUP($A386,Leveranser_per_nät,'Leveranser per nät'!X$1,FALSE)
               +Andel_beroende_av_klimat*VLOOKUP($A386,Leveranser_per_nät,'Leveranser per nät'!X$1,FALSE)/VLOOKUP($B386,Korrigeringsfaktor_GD,'Korrigeringsfaktor GD'!X$1,FALSE),
"")</f>
        <v>135.54518260869565</v>
      </c>
      <c r="Y386" s="18">
        <f>IFERROR(
                  Andel_oberoende_av_klimat*VLOOKUP($A386,Leveranser_per_nät,'Leveranser per nät'!Y$1,FALSE)
               +Andel_beroende_av_klimat*VLOOKUP($A386,Leveranser_per_nät,'Leveranser per nät'!Y$1,FALSE)/VLOOKUP($B386,Korrigeringsfaktor_GD,'Korrigeringsfaktor GD'!Y$1,FALSE),
"")</f>
        <v>132.36185268817204</v>
      </c>
      <c r="Z386" s="18">
        <f>IFERROR(
                  Andel_oberoende_av_klimat*VLOOKUP($A386,Leveranser_per_nät,'Leveranser per nät'!Z$1,FALSE)
               +Andel_beroende_av_klimat*VLOOKUP($A386,Leveranser_per_nät,'Leveranser per nät'!Z$1,FALSE)/VLOOKUP($B386,Korrigeringsfaktor_GD,'Korrigeringsfaktor GD'!Z$1,FALSE),
"")</f>
        <v>138.94238823529412</v>
      </c>
      <c r="AA386" s="18">
        <f>IFERROR(
                  Andel_oberoende_av_klimat*VLOOKUP($A386,Leveranser_per_nät,'Leveranser per nät'!AA$1,FALSE)
               +Andel_beroende_av_klimat*VLOOKUP($A386,Leveranser_per_nät,'Leveranser per nät'!AA$1,FALSE)/VLOOKUP($B386,Korrigeringsfaktor_GD,'Korrigeringsfaktor GD'!AA$1,FALSE),
"")</f>
        <v>128.21395813639433</v>
      </c>
      <c r="AB386" s="18">
        <f>IFERROR(
                  Andel_oberoende_av_klimat*VLOOKUP($A386,Leveranser_per_nät,'Leveranser per nät'!AB$1,FALSE)
               +Andel_beroende_av_klimat*VLOOKUP($A386,Leveranser_per_nät,'Leveranser per nät'!AB$1,FALSE)/VLOOKUP($B386,Korrigeringsfaktor_GD,'Korrigeringsfaktor GD'!AB$1,FALSE),
"")</f>
        <v>124.75371740890688</v>
      </c>
      <c r="AC386" s="18">
        <f>IFERROR(
                  Andel_oberoende_av_klimat*VLOOKUP($A386,Leveranser_per_nät,'Leveranser per nät'!AC$1,FALSE)
               +Andel_beroende_av_klimat*VLOOKUP($A386,Leveranser_per_nät,'Leveranser per nät'!AC$1,FALSE)/VLOOKUP($B386,Korrigeringsfaktor_GD,'Korrigeringsfaktor GD'!AC$1,FALSE),
"")</f>
        <v>120.83954652406416</v>
      </c>
      <c r="AD386">
        <v>115.232</v>
      </c>
    </row>
    <row r="387" spans="1:30" x14ac:dyDescent="0.25">
      <c r="A387" t="s">
        <v>75</v>
      </c>
      <c r="B387" t="s">
        <v>88</v>
      </c>
      <c r="C387" s="18">
        <f>IFERROR(
                  Andel_oberoende_av_klimat*VLOOKUP($A387,Leveranser_per_nät,'Leveranser per nät'!C$1,FALSE)
               +Andel_beroende_av_klimat*VLOOKUP($A387,Leveranser_per_nät,'Leveranser per nät'!C$1,FALSE)/VLOOKUP($B387,Korrigeringsfaktor_GD,'Korrigeringsfaktor GD'!C$1,FALSE),
"")</f>
        <v>0</v>
      </c>
      <c r="D387" s="18">
        <f>IFERROR(
                  Andel_oberoende_av_klimat*VLOOKUP($A387,Leveranser_per_nät,'Leveranser per nät'!D$1,FALSE)
               +Andel_beroende_av_klimat*VLOOKUP($A387,Leveranser_per_nät,'Leveranser per nät'!D$1,FALSE)/VLOOKUP($B387,Korrigeringsfaktor_GD,'Korrigeringsfaktor GD'!D$1,FALSE),
"")</f>
        <v>0</v>
      </c>
      <c r="E387" s="18">
        <f>IFERROR(
                  Andel_oberoende_av_klimat*VLOOKUP($A387,Leveranser_per_nät,'Leveranser per nät'!E$1,FALSE)
               +Andel_beroende_av_klimat*VLOOKUP($A387,Leveranser_per_nät,'Leveranser per nät'!E$1,FALSE)/VLOOKUP($B387,Korrigeringsfaktor_GD,'Korrigeringsfaktor GD'!E$1,FALSE),
"")</f>
        <v>0</v>
      </c>
      <c r="F387" s="18">
        <f>IFERROR(
                  Andel_oberoende_av_klimat*VLOOKUP($A387,Leveranser_per_nät,'Leveranser per nät'!F$1,FALSE)
               +Andel_beroende_av_klimat*VLOOKUP($A387,Leveranser_per_nät,'Leveranser per nät'!F$1,FALSE)/VLOOKUP($B387,Korrigeringsfaktor_GD,'Korrigeringsfaktor GD'!F$1,FALSE),
"")</f>
        <v>0</v>
      </c>
      <c r="G387" s="18">
        <f>IFERROR(
                  Andel_oberoende_av_klimat*VLOOKUP($A387,Leveranser_per_nät,'Leveranser per nät'!G$1,FALSE)
               +Andel_beroende_av_klimat*VLOOKUP($A387,Leveranser_per_nät,'Leveranser per nät'!G$1,FALSE)/VLOOKUP($B387,Korrigeringsfaktor_GD,'Korrigeringsfaktor GD'!G$1,FALSE),
"")</f>
        <v>0</v>
      </c>
      <c r="H387" s="18">
        <f>IFERROR(
                  Andel_oberoende_av_klimat*VLOOKUP($A387,Leveranser_per_nät,'Leveranser per nät'!H$1,FALSE)
               +Andel_beroende_av_klimat*VLOOKUP($A387,Leveranser_per_nät,'Leveranser per nät'!H$1,FALSE)/VLOOKUP($B387,Korrigeringsfaktor_GD,'Korrigeringsfaktor GD'!H$1,FALSE),
"")</f>
        <v>0</v>
      </c>
      <c r="I387" s="18">
        <f>IFERROR(
                  Andel_oberoende_av_klimat*VLOOKUP($A387,Leveranser_per_nät,'Leveranser per nät'!I$1,FALSE)
               +Andel_beroende_av_klimat*VLOOKUP($A387,Leveranser_per_nät,'Leveranser per nät'!I$1,FALSE)/VLOOKUP($B387,Korrigeringsfaktor_GD,'Korrigeringsfaktor GD'!I$1,FALSE),
"")</f>
        <v>0</v>
      </c>
      <c r="J387" s="18">
        <f>IFERROR(
                  Andel_oberoende_av_klimat*VLOOKUP($A387,Leveranser_per_nät,'Leveranser per nät'!J$1,FALSE)
               +Andel_beroende_av_klimat*VLOOKUP($A387,Leveranser_per_nät,'Leveranser per nät'!J$1,FALSE)/VLOOKUP($B387,Korrigeringsfaktor_GD,'Korrigeringsfaktor GD'!J$1,FALSE),
"")</f>
        <v>0</v>
      </c>
      <c r="K387" s="18">
        <f>IFERROR(
                  Andel_oberoende_av_klimat*VLOOKUP($A387,Leveranser_per_nät,'Leveranser per nät'!K$1,FALSE)
               +Andel_beroende_av_klimat*VLOOKUP($A387,Leveranser_per_nät,'Leveranser per nät'!K$1,FALSE)/VLOOKUP($B387,Korrigeringsfaktor_GD,'Korrigeringsfaktor GD'!K$1,FALSE),
"")</f>
        <v>0</v>
      </c>
      <c r="L387" s="18">
        <f>IFERROR(
                  Andel_oberoende_av_klimat*VLOOKUP($A387,Leveranser_per_nät,'Leveranser per nät'!L$1,FALSE)
               +Andel_beroende_av_klimat*VLOOKUP($A387,Leveranser_per_nät,'Leveranser per nät'!L$1,FALSE)/VLOOKUP($B387,Korrigeringsfaktor_GD,'Korrigeringsfaktor GD'!L$1,FALSE),
"")</f>
        <v>0</v>
      </c>
      <c r="M387" s="18">
        <f>IFERROR(
                  Andel_oberoende_av_klimat*VLOOKUP($A387,Leveranser_per_nät,'Leveranser per nät'!M$1,FALSE)
               +Andel_beroende_av_klimat*VLOOKUP($A387,Leveranser_per_nät,'Leveranser per nät'!M$1,FALSE)/VLOOKUP($B387,Korrigeringsfaktor_GD,'Korrigeringsfaktor GD'!M$1,FALSE),
"")</f>
        <v>33.686021505376345</v>
      </c>
      <c r="N387" s="18">
        <f>IFERROR(
                  Andel_oberoende_av_klimat*VLOOKUP($A387,Leveranser_per_nät,'Leveranser per nät'!N$1,FALSE)
               +Andel_beroende_av_klimat*VLOOKUP($A387,Leveranser_per_nät,'Leveranser per nät'!N$1,FALSE)/VLOOKUP($B387,Korrigeringsfaktor_GD,'Korrigeringsfaktor GD'!N$1,FALSE),
"")</f>
        <v>34.215384615384615</v>
      </c>
      <c r="O387" s="18">
        <f>IFERROR(
                  Andel_oberoende_av_klimat*VLOOKUP($A387,Leveranser_per_nät,'Leveranser per nät'!O$1,FALSE)
               +Andel_beroende_av_klimat*VLOOKUP($A387,Leveranser_per_nät,'Leveranser per nät'!O$1,FALSE)/VLOOKUP($B387,Korrigeringsfaktor_GD,'Korrigeringsfaktor GD'!O$1,FALSE),
"")</f>
        <v>30.313820224719098</v>
      </c>
      <c r="P387" s="18">
        <f>IFERROR(
                  Andel_oberoende_av_klimat*VLOOKUP($A387,Leveranser_per_nät,'Leveranser per nät'!P$1,FALSE)
               +Andel_beroende_av_klimat*VLOOKUP($A387,Leveranser_per_nät,'Leveranser per nät'!P$1,FALSE)/VLOOKUP($B387,Korrigeringsfaktor_GD,'Korrigeringsfaktor GD'!P$1,FALSE),
"")</f>
        <v>40.571428571428577</v>
      </c>
      <c r="Q387" s="18">
        <f>IFERROR(
                  Andel_oberoende_av_klimat*VLOOKUP($A387,Leveranser_per_nät,'Leveranser per nät'!Q$1,FALSE)
               +Andel_beroende_av_klimat*VLOOKUP($A387,Leveranser_per_nät,'Leveranser per nät'!Q$1,FALSE)/VLOOKUP($B387,Korrigeringsfaktor_GD,'Korrigeringsfaktor GD'!Q$1,FALSE),
"")</f>
        <v>34.40452991452991</v>
      </c>
      <c r="R387" s="18">
        <f>IFERROR(
                  Andel_oberoende_av_klimat*VLOOKUP($A387,Leveranser_per_nät,'Leveranser per nät'!R$1,FALSE)
               +Andel_beroende_av_klimat*VLOOKUP($A387,Leveranser_per_nät,'Leveranser per nät'!R$1,FALSE)/VLOOKUP($B387,Korrigeringsfaktor_GD,'Korrigeringsfaktor GD'!R$1,FALSE),
"")</f>
        <v>0</v>
      </c>
      <c r="S387" s="18" t="str">
        <f>IFERROR(
                  Andel_oberoende_av_klimat*VLOOKUP($A387,Leveranser_per_nät,'Leveranser per nät'!S$1,FALSE)
               +Andel_beroende_av_klimat*VLOOKUP($A387,Leveranser_per_nät,'Leveranser per nät'!S$1,FALSE)/VLOOKUP($B387,Korrigeringsfaktor_GD,'Korrigeringsfaktor GD'!S$1,FALSE),
"")</f>
        <v/>
      </c>
      <c r="T387" s="18" t="str">
        <f>IFERROR(
                  Andel_oberoende_av_klimat*VLOOKUP($A387,Leveranser_per_nät,'Leveranser per nät'!T$1,FALSE)
               +Andel_beroende_av_klimat*VLOOKUP($A387,Leveranser_per_nät,'Leveranser per nät'!T$1,FALSE)/VLOOKUP($B387,Korrigeringsfaktor_GD,'Korrigeringsfaktor GD'!T$1,FALSE),
"")</f>
        <v/>
      </c>
      <c r="U387" s="18" t="str">
        <f>IFERROR(
                  Andel_oberoende_av_klimat*VLOOKUP($A387,Leveranser_per_nät,'Leveranser per nät'!U$1,FALSE)
               +Andel_beroende_av_klimat*VLOOKUP($A387,Leveranser_per_nät,'Leveranser per nät'!U$1,FALSE)/VLOOKUP($B387,Korrigeringsfaktor_GD,'Korrigeringsfaktor GD'!U$1,FALSE),
"")</f>
        <v/>
      </c>
      <c r="V387" s="18" t="str">
        <f>IFERROR(
                  Andel_oberoende_av_klimat*VLOOKUP($A387,Leveranser_per_nät,'Leveranser per nät'!V$1,FALSE)
               +Andel_beroende_av_klimat*VLOOKUP($A387,Leveranser_per_nät,'Leveranser per nät'!V$1,FALSE)/VLOOKUP($B387,Korrigeringsfaktor_GD,'Korrigeringsfaktor GD'!V$1,FALSE),
"")</f>
        <v/>
      </c>
      <c r="W387" s="18" t="str">
        <f>IFERROR(
                  Andel_oberoende_av_klimat*VLOOKUP($A387,Leveranser_per_nät,'Leveranser per nät'!W$1,FALSE)
               +Andel_beroende_av_klimat*VLOOKUP($A387,Leveranser_per_nät,'Leveranser per nät'!W$1,FALSE)/VLOOKUP($B387,Korrigeringsfaktor_GD,'Korrigeringsfaktor GD'!W$1,FALSE),
"")</f>
        <v/>
      </c>
      <c r="X387" s="18" t="str">
        <f>IFERROR(
                  Andel_oberoende_av_klimat*VLOOKUP($A387,Leveranser_per_nät,'Leveranser per nät'!X$1,FALSE)
               +Andel_beroende_av_klimat*VLOOKUP($A387,Leveranser_per_nät,'Leveranser per nät'!X$1,FALSE)/VLOOKUP($B387,Korrigeringsfaktor_GD,'Korrigeringsfaktor GD'!X$1,FALSE),
"")</f>
        <v/>
      </c>
      <c r="Y387" s="18" t="str">
        <f>IFERROR(
                  Andel_oberoende_av_klimat*VLOOKUP($A387,Leveranser_per_nät,'Leveranser per nät'!Y$1,FALSE)
               +Andel_beroende_av_klimat*VLOOKUP($A387,Leveranser_per_nät,'Leveranser per nät'!Y$1,FALSE)/VLOOKUP($B387,Korrigeringsfaktor_GD,'Korrigeringsfaktor GD'!Y$1,FALSE),
"")</f>
        <v/>
      </c>
      <c r="Z387" s="18">
        <f>IFERROR(
                  Andel_oberoende_av_klimat*VLOOKUP($A387,Leveranser_per_nät,'Leveranser per nät'!Z$1,FALSE)
               +Andel_beroende_av_klimat*VLOOKUP($A387,Leveranser_per_nät,'Leveranser per nät'!Z$1,FALSE)/VLOOKUP($B387,Korrigeringsfaktor_GD,'Korrigeringsfaktor GD'!Z$1,FALSE),
"")</f>
        <v>0</v>
      </c>
      <c r="AA387" s="18" t="str">
        <f>IFERROR(
                  Andel_oberoende_av_klimat*VLOOKUP($A387,Leveranser_per_nät,'Leveranser per nät'!AA$1,FALSE)
               +Andel_beroende_av_klimat*VLOOKUP($A387,Leveranser_per_nät,'Leveranser per nät'!AA$1,FALSE)/VLOOKUP($B387,Korrigeringsfaktor_GD,'Korrigeringsfaktor GD'!AA$1,FALSE),
"")</f>
        <v/>
      </c>
      <c r="AB387" s="18">
        <f>IFERROR(
                  Andel_oberoende_av_klimat*VLOOKUP($A387,Leveranser_per_nät,'Leveranser per nät'!AB$1,FALSE)
               +Andel_beroende_av_klimat*VLOOKUP($A387,Leveranser_per_nät,'Leveranser per nät'!AB$1,FALSE)/VLOOKUP($B387,Korrigeringsfaktor_GD,'Korrigeringsfaktor GD'!AB$1,FALSE),
"")</f>
        <v>0</v>
      </c>
      <c r="AC387" s="18">
        <f>IFERROR(
                  Andel_oberoende_av_klimat*VLOOKUP($A387,Leveranser_per_nät,'Leveranser per nät'!AC$1,FALSE)
               +Andel_beroende_av_klimat*VLOOKUP($A387,Leveranser_per_nät,'Leveranser per nät'!AC$1,FALSE)/VLOOKUP($B387,Korrigeringsfaktor_GD,'Korrigeringsfaktor GD'!AC$1,FALSE),
"")</f>
        <v>0</v>
      </c>
      <c r="AD387" t="e">
        <v>#N/A</v>
      </c>
    </row>
    <row r="388" spans="1:30" x14ac:dyDescent="0.25">
      <c r="A388" t="s">
        <v>311</v>
      </c>
      <c r="B388" t="s">
        <v>311</v>
      </c>
      <c r="C388" s="18">
        <f>IFERROR(
                  Andel_oberoende_av_klimat*VLOOKUP($A388,Leveranser_per_nät,'Leveranser per nät'!C$1,FALSE)
               +Andel_beroende_av_klimat*VLOOKUP($A388,Leveranser_per_nät,'Leveranser per nät'!C$1,FALSE)/VLOOKUP($B388,Korrigeringsfaktor_GD,'Korrigeringsfaktor GD'!C$1,FALSE),
"")</f>
        <v>716.48002500000007</v>
      </c>
      <c r="D388" s="18">
        <f>IFERROR(
                  Andel_oberoende_av_klimat*VLOOKUP($A388,Leveranser_per_nät,'Leveranser per nät'!D$1,FALSE)
               +Andel_beroende_av_klimat*VLOOKUP($A388,Leveranser_per_nät,'Leveranser per nät'!D$1,FALSE)/VLOOKUP($B388,Korrigeringsfaktor_GD,'Korrigeringsfaktor GD'!D$1,FALSE),
"")</f>
        <v>689.57756767676767</v>
      </c>
      <c r="E388" s="18">
        <f>IFERROR(
                  Andel_oberoende_av_klimat*VLOOKUP($A388,Leveranser_per_nät,'Leveranser per nät'!E$1,FALSE)
               +Andel_beroende_av_klimat*VLOOKUP($A388,Leveranser_per_nät,'Leveranser per nät'!E$1,FALSE)/VLOOKUP($B388,Korrigeringsfaktor_GD,'Korrigeringsfaktor GD'!E$1,FALSE),
"")</f>
        <v>676.58431372549023</v>
      </c>
      <c r="F388" s="18">
        <f>IFERROR(
                  Andel_oberoende_av_klimat*VLOOKUP($A388,Leveranser_per_nät,'Leveranser per nät'!F$1,FALSE)
               +Andel_beroende_av_klimat*VLOOKUP($A388,Leveranser_per_nät,'Leveranser per nät'!F$1,FALSE)/VLOOKUP($B388,Korrigeringsfaktor_GD,'Korrigeringsfaktor GD'!F$1,FALSE),
"")</f>
        <v>685.3106382978724</v>
      </c>
      <c r="G388" s="18">
        <f>IFERROR(
                  Andel_oberoende_av_klimat*VLOOKUP($A388,Leveranser_per_nät,'Leveranser per nät'!G$1,FALSE)
               +Andel_beroende_av_klimat*VLOOKUP($A388,Leveranser_per_nät,'Leveranser per nät'!G$1,FALSE)/VLOOKUP($B388,Korrigeringsfaktor_GD,'Korrigeringsfaktor GD'!G$1,FALSE),
"")</f>
        <v>728.47727272727263</v>
      </c>
      <c r="H388" s="18">
        <f>IFERROR(
                  Andel_oberoende_av_klimat*VLOOKUP($A388,Leveranser_per_nät,'Leveranser per nät'!H$1,FALSE)
               +Andel_beroende_av_klimat*VLOOKUP($A388,Leveranser_per_nät,'Leveranser per nät'!H$1,FALSE)/VLOOKUP($B388,Korrigeringsfaktor_GD,'Korrigeringsfaktor GD'!H$1,FALSE),
"")</f>
        <v>733.14747474747469</v>
      </c>
      <c r="I388" s="18">
        <f>IFERROR(
                  Andel_oberoende_av_klimat*VLOOKUP($A388,Leveranser_per_nät,'Leveranser per nät'!I$1,FALSE)
               +Andel_beroende_av_klimat*VLOOKUP($A388,Leveranser_per_nät,'Leveranser per nät'!I$1,FALSE)/VLOOKUP($B388,Korrigeringsfaktor_GD,'Korrigeringsfaktor GD'!I$1,FALSE),
"")</f>
        <v>693.69999999999993</v>
      </c>
      <c r="J388" s="18">
        <f>IFERROR(
                  Andel_oberoende_av_klimat*VLOOKUP($A388,Leveranser_per_nät,'Leveranser per nät'!J$1,FALSE)
               +Andel_beroende_av_klimat*VLOOKUP($A388,Leveranser_per_nät,'Leveranser per nät'!J$1,FALSE)/VLOOKUP($B388,Korrigeringsfaktor_GD,'Korrigeringsfaktor GD'!J$1,FALSE),
"")</f>
        <v>733.620797979798</v>
      </c>
      <c r="K388" s="18">
        <f>IFERROR(
                  Andel_oberoende_av_klimat*VLOOKUP($A388,Leveranser_per_nät,'Leveranser per nät'!K$1,FALSE)
               +Andel_beroende_av_klimat*VLOOKUP($A388,Leveranser_per_nät,'Leveranser per nät'!K$1,FALSE)/VLOOKUP($B388,Korrigeringsfaktor_GD,'Korrigeringsfaktor GD'!K$1,FALSE),
"")</f>
        <v>761.51262828282836</v>
      </c>
      <c r="L388" s="18">
        <f>IFERROR(
                  Andel_oberoende_av_klimat*VLOOKUP($A388,Leveranser_per_nät,'Leveranser per nät'!L$1,FALSE)
               +Andel_beroende_av_klimat*VLOOKUP($A388,Leveranser_per_nät,'Leveranser per nät'!L$1,FALSE)/VLOOKUP($B388,Korrigeringsfaktor_GD,'Korrigeringsfaktor GD'!L$1,FALSE),
"")</f>
        <v>757.62665154639171</v>
      </c>
      <c r="M388" s="18">
        <f>IFERROR(
                  Andel_oberoende_av_klimat*VLOOKUP($A388,Leveranser_per_nät,'Leveranser per nät'!M$1,FALSE)
               +Andel_beroende_av_klimat*VLOOKUP($A388,Leveranser_per_nät,'Leveranser per nät'!M$1,FALSE)/VLOOKUP($B388,Korrigeringsfaktor_GD,'Korrigeringsfaktor GD'!M$1,FALSE),
"")</f>
        <v>725.37310425531928</v>
      </c>
      <c r="N388" s="18">
        <f>IFERROR(
                  Andel_oberoende_av_klimat*VLOOKUP($A388,Leveranser_per_nät,'Leveranser per nät'!N$1,FALSE)
               +Andel_beroende_av_klimat*VLOOKUP($A388,Leveranser_per_nät,'Leveranser per nät'!N$1,FALSE)/VLOOKUP($B388,Korrigeringsfaktor_GD,'Korrigeringsfaktor GD'!N$1,FALSE),
"")</f>
        <v>765.53168172043013</v>
      </c>
      <c r="O388" s="18">
        <f>IFERROR(
                  Andel_oberoende_av_klimat*VLOOKUP($A388,Leveranser_per_nät,'Leveranser per nät'!O$1,FALSE)
               +Andel_beroende_av_klimat*VLOOKUP($A388,Leveranser_per_nät,'Leveranser per nät'!O$1,FALSE)/VLOOKUP($B388,Korrigeringsfaktor_GD,'Korrigeringsfaktor GD'!O$1,FALSE),
"")</f>
        <v>740.32868089887643</v>
      </c>
      <c r="P388" s="18">
        <f>IFERROR(
                  Andel_oberoende_av_klimat*VLOOKUP($A388,Leveranser_per_nät,'Leveranser per nät'!P$1,FALSE)
               +Andel_beroende_av_klimat*VLOOKUP($A388,Leveranser_per_nät,'Leveranser per nät'!P$1,FALSE)/VLOOKUP($B388,Korrigeringsfaktor_GD,'Korrigeringsfaktor GD'!P$1,FALSE),
"")</f>
        <v>740.42857142857133</v>
      </c>
      <c r="Q388" s="18">
        <f>IFERROR(
                  Andel_oberoende_av_klimat*VLOOKUP($A388,Leveranser_per_nät,'Leveranser per nät'!Q$1,FALSE)
               +Andel_beroende_av_klimat*VLOOKUP($A388,Leveranser_per_nät,'Leveranser per nät'!Q$1,FALSE)/VLOOKUP($B388,Korrigeringsfaktor_GD,'Korrigeringsfaktor GD'!Q$1,FALSE),
"")</f>
        <v>715.23244871794884</v>
      </c>
      <c r="R388" s="18">
        <f>IFERROR(
                  Andel_oberoende_av_klimat*VLOOKUP($A388,Leveranser_per_nät,'Leveranser per nät'!R$1,FALSE)
               +Andel_beroende_av_klimat*VLOOKUP($A388,Leveranser_per_nät,'Leveranser per nät'!R$1,FALSE)/VLOOKUP($B388,Korrigeringsfaktor_GD,'Korrigeringsfaktor GD'!R$1,FALSE),
"")</f>
        <v>793.87097391304349</v>
      </c>
      <c r="S388" s="18">
        <f>IFERROR(
                  Andel_oberoende_av_klimat*VLOOKUP($A388,Leveranser_per_nät,'Leveranser per nät'!S$1,FALSE)
               +Andel_beroende_av_klimat*VLOOKUP($A388,Leveranser_per_nät,'Leveranser per nät'!S$1,FALSE)/VLOOKUP($B388,Korrigeringsfaktor_GD,'Korrigeringsfaktor GD'!S$1,FALSE),
"")</f>
        <v>718.18126782178217</v>
      </c>
      <c r="T388" s="18">
        <f>IFERROR(
                  Andel_oberoende_av_klimat*VLOOKUP($A388,Leveranser_per_nät,'Leveranser per nät'!T$1,FALSE)
               +Andel_beroende_av_klimat*VLOOKUP($A388,Leveranser_per_nät,'Leveranser per nät'!T$1,FALSE)/VLOOKUP($B388,Korrigeringsfaktor_GD,'Korrigeringsfaktor GD'!T$1,FALSE),
"")</f>
        <v>734.87941428571423</v>
      </c>
      <c r="U388" s="18">
        <f>IFERROR(
                  Andel_oberoende_av_klimat*VLOOKUP($A388,Leveranser_per_nät,'Leveranser per nät'!U$1,FALSE)
               +Andel_beroende_av_klimat*VLOOKUP($A388,Leveranser_per_nät,'Leveranser per nät'!U$1,FALSE)/VLOOKUP($B388,Korrigeringsfaktor_GD,'Korrigeringsfaktor GD'!U$1,FALSE),
"")</f>
        <v>657.34269662921349</v>
      </c>
      <c r="V388" s="18">
        <f>IFERROR(
                  Andel_oberoende_av_klimat*VLOOKUP($A388,Leveranser_per_nät,'Leveranser per nät'!V$1,FALSE)
               +Andel_beroende_av_klimat*VLOOKUP($A388,Leveranser_per_nät,'Leveranser per nät'!V$1,FALSE)/VLOOKUP($B388,Korrigeringsfaktor_GD,'Korrigeringsfaktor GD'!V$1,FALSE),
"")</f>
        <v>693.42272727272734</v>
      </c>
      <c r="W388" s="18">
        <f>IFERROR(
                  Andel_oberoende_av_klimat*VLOOKUP($A388,Leveranser_per_nät,'Leveranser per nät'!W$1,FALSE)
               +Andel_beroende_av_klimat*VLOOKUP($A388,Leveranser_per_nät,'Leveranser per nät'!W$1,FALSE)/VLOOKUP($B388,Korrigeringsfaktor_GD,'Korrigeringsfaktor GD'!W$1,FALSE),
"")</f>
        <v>712.47234042553191</v>
      </c>
      <c r="X388" s="18">
        <f>IFERROR(
                  Andel_oberoende_av_klimat*VLOOKUP($A388,Leveranser_per_nät,'Leveranser per nät'!X$1,FALSE)
               +Andel_beroende_av_klimat*VLOOKUP($A388,Leveranser_per_nät,'Leveranser per nät'!X$1,FALSE)/VLOOKUP($B388,Korrigeringsfaktor_GD,'Korrigeringsfaktor GD'!X$1,FALSE),
"")</f>
        <v>704.11489361702127</v>
      </c>
      <c r="Y388" s="18">
        <f>IFERROR(
                  Andel_oberoende_av_klimat*VLOOKUP($A388,Leveranser_per_nät,'Leveranser per nät'!Y$1,FALSE)
               +Andel_beroende_av_klimat*VLOOKUP($A388,Leveranser_per_nät,'Leveranser per nät'!Y$1,FALSE)/VLOOKUP($B388,Korrigeringsfaktor_GD,'Korrigeringsfaktor GD'!Y$1,FALSE),
"")</f>
        <v>724.2494623655914</v>
      </c>
      <c r="Z388" s="18">
        <f>IFERROR(
                  Andel_oberoende_av_klimat*VLOOKUP($A388,Leveranser_per_nät,'Leveranser per nät'!Z$1,FALSE)
               +Andel_beroende_av_klimat*VLOOKUP($A388,Leveranser_per_nät,'Leveranser per nät'!Z$1,FALSE)/VLOOKUP($B388,Korrigeringsfaktor_GD,'Korrigeringsfaktor GD'!Z$1,FALSE),
"")</f>
        <v>677.5428571428572</v>
      </c>
      <c r="AA388" s="18">
        <f>IFERROR(
                  Andel_oberoende_av_klimat*VLOOKUP($A388,Leveranser_per_nät,'Leveranser per nät'!AA$1,FALSE)
               +Andel_beroende_av_klimat*VLOOKUP($A388,Leveranser_per_nät,'Leveranser per nät'!AA$1,FALSE)/VLOOKUP($B388,Korrigeringsfaktor_GD,'Korrigeringsfaktor GD'!AA$1,FALSE),
"")</f>
        <v>686.11674980813507</v>
      </c>
      <c r="AB388" s="18">
        <f>IFERROR(
                  Andel_oberoende_av_klimat*VLOOKUP($A388,Leveranser_per_nät,'Leveranser per nät'!AB$1,FALSE)
               +Andel_beroende_av_klimat*VLOOKUP($A388,Leveranser_per_nät,'Leveranser per nät'!AB$1,FALSE)/VLOOKUP($B388,Korrigeringsfaktor_GD,'Korrigeringsfaktor GD'!AB$1,FALSE),
"")</f>
        <v>713.68796078431376</v>
      </c>
      <c r="AC388" s="18">
        <f>IFERROR(
                  Andel_oberoende_av_klimat*VLOOKUP($A388,Leveranser_per_nät,'Leveranser per nät'!AC$1,FALSE)
               +Andel_beroende_av_klimat*VLOOKUP($A388,Leveranser_per_nät,'Leveranser per nät'!AC$1,FALSE)/VLOOKUP($B388,Korrigeringsfaktor_GD,'Korrigeringsfaktor GD'!AC$1,FALSE),
"")</f>
        <v>688.31284166666671</v>
      </c>
      <c r="AD388">
        <v>668.80600000000004</v>
      </c>
    </row>
    <row r="389" spans="1:30" x14ac:dyDescent="0.25">
      <c r="A389" t="s">
        <v>304</v>
      </c>
      <c r="B389" t="s">
        <v>808</v>
      </c>
      <c r="C389" s="18">
        <f>IFERROR(
                  Andel_oberoende_av_klimat*VLOOKUP($A389,Leveranser_per_nät,'Leveranser per nät'!C$1,FALSE)
               +Andel_beroende_av_klimat*VLOOKUP($A389,Leveranser_per_nät,'Leveranser per nät'!C$1,FALSE)/VLOOKUP($B389,Korrigeringsfaktor_GD,'Korrigeringsfaktor GD'!C$1,FALSE),
"")</f>
        <v>1026.4855855855856</v>
      </c>
      <c r="D389" s="18">
        <f>IFERROR(
                  Andel_oberoende_av_klimat*VLOOKUP($A389,Leveranser_per_nät,'Leveranser per nät'!D$1,FALSE)
               +Andel_beroende_av_klimat*VLOOKUP($A389,Leveranser_per_nät,'Leveranser per nät'!D$1,FALSE)/VLOOKUP($B389,Korrigeringsfaktor_GD,'Korrigeringsfaktor GD'!D$1,FALSE),
"")</f>
        <v>1041.351393939394</v>
      </c>
      <c r="E389" s="18">
        <f>IFERROR(
                  Andel_oberoende_av_klimat*VLOOKUP($A389,Leveranser_per_nät,'Leveranser per nät'!E$1,FALSE)
               +Andel_beroende_av_klimat*VLOOKUP($A389,Leveranser_per_nät,'Leveranser per nät'!E$1,FALSE)/VLOOKUP($B389,Korrigeringsfaktor_GD,'Korrigeringsfaktor GD'!E$1,FALSE),
"")</f>
        <v>1043.478431372549</v>
      </c>
      <c r="F389" s="18">
        <f>IFERROR(
                  Andel_oberoende_av_klimat*VLOOKUP($A389,Leveranser_per_nät,'Leveranser per nät'!F$1,FALSE)
               +Andel_beroende_av_klimat*VLOOKUP($A389,Leveranser_per_nät,'Leveranser per nät'!F$1,FALSE)/VLOOKUP($B389,Korrigeringsfaktor_GD,'Korrigeringsfaktor GD'!F$1,FALSE),
"")</f>
        <v>1068.7085106382979</v>
      </c>
      <c r="G389" s="18">
        <f>IFERROR(
                  Andel_oberoende_av_klimat*VLOOKUP($A389,Leveranser_per_nät,'Leveranser per nät'!G$1,FALSE)
               +Andel_beroende_av_klimat*VLOOKUP($A389,Leveranser_per_nät,'Leveranser per nät'!G$1,FALSE)/VLOOKUP($B389,Korrigeringsfaktor_GD,'Korrigeringsfaktor GD'!G$1,FALSE),
"")</f>
        <v>1065.873033707865</v>
      </c>
      <c r="H389" s="18">
        <f>IFERROR(
                  Andel_oberoende_av_klimat*VLOOKUP($A389,Leveranser_per_nät,'Leveranser per nät'!H$1,FALSE)
               +Andel_beroende_av_klimat*VLOOKUP($A389,Leveranser_per_nät,'Leveranser per nät'!H$1,FALSE)/VLOOKUP($B389,Korrigeringsfaktor_GD,'Korrigeringsfaktor GD'!H$1,FALSE),
"")</f>
        <v>1078.5727272727272</v>
      </c>
      <c r="I389" s="18">
        <f>IFERROR(
                  Andel_oberoende_av_klimat*VLOOKUP($A389,Leveranser_per_nät,'Leveranser per nät'!I$1,FALSE)
               +Andel_beroende_av_klimat*VLOOKUP($A389,Leveranser_per_nät,'Leveranser per nät'!I$1,FALSE)/VLOOKUP($B389,Korrigeringsfaktor_GD,'Korrigeringsfaktor GD'!I$1,FALSE),
"")</f>
        <v>1098.2731958762888</v>
      </c>
      <c r="J389" s="18">
        <f>IFERROR(
                  Andel_oberoende_av_klimat*VLOOKUP($A389,Leveranser_per_nät,'Leveranser per nät'!J$1,FALSE)
               +Andel_beroende_av_klimat*VLOOKUP($A389,Leveranser_per_nät,'Leveranser per nät'!J$1,FALSE)/VLOOKUP($B389,Korrigeringsfaktor_GD,'Korrigeringsfaktor GD'!J$1,FALSE),
"")</f>
        <v>1082</v>
      </c>
      <c r="K389" s="18">
        <f>IFERROR(
                  Andel_oberoende_av_klimat*VLOOKUP($A389,Leveranser_per_nät,'Leveranser per nät'!K$1,FALSE)
               +Andel_beroende_av_klimat*VLOOKUP($A389,Leveranser_per_nät,'Leveranser per nät'!K$1,FALSE)/VLOOKUP($B389,Korrigeringsfaktor_GD,'Korrigeringsfaktor GD'!K$1,FALSE),
"")</f>
        <v>1073.5877272727271</v>
      </c>
      <c r="L389" s="18">
        <f>IFERROR(
                  Andel_oberoende_av_klimat*VLOOKUP($A389,Leveranser_per_nät,'Leveranser per nät'!L$1,FALSE)
               +Andel_beroende_av_klimat*VLOOKUP($A389,Leveranser_per_nät,'Leveranser per nät'!L$1,FALSE)/VLOOKUP($B389,Korrigeringsfaktor_GD,'Korrigeringsfaktor GD'!L$1,FALSE),
"")</f>
        <v>1105.7414536082474</v>
      </c>
      <c r="M389" s="18">
        <f>IFERROR(
                  Andel_oberoende_av_klimat*VLOOKUP($A389,Leveranser_per_nät,'Leveranser per nät'!M$1,FALSE)
               +Andel_beroende_av_klimat*VLOOKUP($A389,Leveranser_per_nät,'Leveranser per nät'!M$1,FALSE)/VLOOKUP($B389,Korrigeringsfaktor_GD,'Korrigeringsfaktor GD'!M$1,FALSE),
"")</f>
        <v>1073.931914893617</v>
      </c>
      <c r="N389" s="18">
        <f>IFERROR(
                  Andel_oberoende_av_klimat*VLOOKUP($A389,Leveranser_per_nät,'Leveranser per nät'!N$1,FALSE)
               +Andel_beroende_av_klimat*VLOOKUP($A389,Leveranser_per_nät,'Leveranser per nät'!N$1,FALSE)/VLOOKUP($B389,Korrigeringsfaktor_GD,'Korrigeringsfaktor GD'!N$1,FALSE),
"")</f>
        <v>1062.0570967741935</v>
      </c>
      <c r="O389" s="18">
        <f>IFERROR(
                  Andel_oberoende_av_klimat*VLOOKUP($A389,Leveranser_per_nät,'Leveranser per nät'!O$1,FALSE)
               +Andel_beroende_av_klimat*VLOOKUP($A389,Leveranser_per_nät,'Leveranser per nät'!O$1,FALSE)/VLOOKUP($B389,Korrigeringsfaktor_GD,'Korrigeringsfaktor GD'!O$1,FALSE),
"")</f>
        <v>1073.2244067415731</v>
      </c>
      <c r="P389" s="18">
        <f>IFERROR(
                  Andel_oberoende_av_klimat*VLOOKUP($A389,Leveranser_per_nät,'Leveranser per nät'!P$1,FALSE)
               +Andel_beroende_av_klimat*VLOOKUP($A389,Leveranser_per_nät,'Leveranser per nät'!P$1,FALSE)/VLOOKUP($B389,Korrigeringsfaktor_GD,'Korrigeringsfaktor GD'!P$1,FALSE),
"")</f>
        <v>1055.4616571428571</v>
      </c>
      <c r="Q389" s="18">
        <f>IFERROR(
                  Andel_oberoende_av_klimat*VLOOKUP($A389,Leveranser_per_nät,'Leveranser per nät'!Q$1,FALSE)
               +Andel_beroende_av_klimat*VLOOKUP($A389,Leveranser_per_nät,'Leveranser per nät'!Q$1,FALSE)/VLOOKUP($B389,Korrigeringsfaktor_GD,'Korrigeringsfaktor GD'!Q$1,FALSE),
"")</f>
        <v>1072.2584896551725</v>
      </c>
      <c r="R389" s="18">
        <f>IFERROR(
                  Andel_oberoende_av_klimat*VLOOKUP($A389,Leveranser_per_nät,'Leveranser per nät'!R$1,FALSE)
               +Andel_beroende_av_klimat*VLOOKUP($A389,Leveranser_per_nät,'Leveranser per nät'!R$1,FALSE)/VLOOKUP($B389,Korrigeringsfaktor_GD,'Korrigeringsfaktor GD'!R$1,FALSE),
"")</f>
        <v>1121.8801739130436</v>
      </c>
      <c r="S389" s="18">
        <f>IFERROR(
                  Andel_oberoende_av_klimat*VLOOKUP($A389,Leveranser_per_nät,'Leveranser per nät'!S$1,FALSE)
               +Andel_beroende_av_klimat*VLOOKUP($A389,Leveranser_per_nät,'Leveranser per nät'!S$1,FALSE)/VLOOKUP($B389,Korrigeringsfaktor_GD,'Korrigeringsfaktor GD'!S$1,FALSE),
"")</f>
        <v>1040.7366336633663</v>
      </c>
      <c r="T389" s="18">
        <f>IFERROR(
                  Andel_oberoende_av_klimat*VLOOKUP($A389,Leveranser_per_nät,'Leveranser per nät'!T$1,FALSE)
               +Andel_beroende_av_klimat*VLOOKUP($A389,Leveranser_per_nät,'Leveranser per nät'!T$1,FALSE)/VLOOKUP($B389,Korrigeringsfaktor_GD,'Korrigeringsfaktor GD'!T$1,FALSE),
"")</f>
        <v>1026.5585714285714</v>
      </c>
      <c r="U389" s="18">
        <f>IFERROR(
                  Andel_oberoende_av_klimat*VLOOKUP($A389,Leveranser_per_nät,'Leveranser per nät'!U$1,FALSE)
               +Andel_beroende_av_klimat*VLOOKUP($A389,Leveranser_per_nät,'Leveranser per nät'!U$1,FALSE)/VLOOKUP($B389,Korrigeringsfaktor_GD,'Korrigeringsfaktor GD'!U$1,FALSE),
"")</f>
        <v>1017.6316853932585</v>
      </c>
      <c r="V389" s="18">
        <f>IFERROR(
                  Andel_oberoende_av_klimat*VLOOKUP($A389,Leveranser_per_nät,'Leveranser per nät'!V$1,FALSE)
               +Andel_beroende_av_klimat*VLOOKUP($A389,Leveranser_per_nät,'Leveranser per nät'!V$1,FALSE)/VLOOKUP($B389,Korrigeringsfaktor_GD,'Korrigeringsfaktor GD'!V$1,FALSE),
"")</f>
        <v>1014.7939080459771</v>
      </c>
      <c r="W389" s="18">
        <f>IFERROR(
                  Andel_oberoende_av_klimat*VLOOKUP($A389,Leveranser_per_nät,'Leveranser per nät'!W$1,FALSE)
               +Andel_beroende_av_klimat*VLOOKUP($A389,Leveranser_per_nät,'Leveranser per nät'!W$1,FALSE)/VLOOKUP($B389,Korrigeringsfaktor_GD,'Korrigeringsfaktor GD'!W$1,FALSE),
"")</f>
        <v>1032.6870967741934</v>
      </c>
      <c r="X389" s="18">
        <f>IFERROR(
                  Andel_oberoende_av_klimat*VLOOKUP($A389,Leveranser_per_nät,'Leveranser per nät'!X$1,FALSE)
               +Andel_beroende_av_klimat*VLOOKUP($A389,Leveranser_per_nät,'Leveranser per nät'!X$1,FALSE)/VLOOKUP($B389,Korrigeringsfaktor_GD,'Korrigeringsfaktor GD'!X$1,FALSE),
"")</f>
        <v>1027.2825956989245</v>
      </c>
      <c r="Y389" s="18">
        <f>IFERROR(
                  Andel_oberoende_av_klimat*VLOOKUP($A389,Leveranser_per_nät,'Leveranser per nät'!Y$1,FALSE)
               +Andel_beroende_av_klimat*VLOOKUP($A389,Leveranser_per_nät,'Leveranser per nät'!Y$1,FALSE)/VLOOKUP($B389,Korrigeringsfaktor_GD,'Korrigeringsfaktor GD'!Y$1,FALSE),
"")</f>
        <v>1045.7921615384614</v>
      </c>
      <c r="Z389" s="18">
        <f>IFERROR(
                  Andel_oberoende_av_klimat*VLOOKUP($A389,Leveranser_per_nät,'Leveranser per nät'!Z$1,FALSE)
               +Andel_beroende_av_klimat*VLOOKUP($A389,Leveranser_per_nät,'Leveranser per nät'!Z$1,FALSE)/VLOOKUP($B389,Korrigeringsfaktor_GD,'Korrigeringsfaktor GD'!Z$1,FALSE),
"")</f>
        <v>1014.5286608695653</v>
      </c>
      <c r="AA389" s="18">
        <f>IFERROR(
                  Andel_oberoende_av_klimat*VLOOKUP($A389,Leveranser_per_nät,'Leveranser per nät'!AA$1,FALSE)
               +Andel_beroende_av_klimat*VLOOKUP($A389,Leveranser_per_nät,'Leveranser per nät'!AA$1,FALSE)/VLOOKUP($B389,Korrigeringsfaktor_GD,'Korrigeringsfaktor GD'!AA$1,FALSE),
"")</f>
        <v>1011.754625427744</v>
      </c>
      <c r="AB389" s="18">
        <f>IFERROR(
                  Andel_oberoende_av_klimat*VLOOKUP($A389,Leveranser_per_nät,'Leveranser per nät'!AB$1,FALSE)
               +Andel_beroende_av_klimat*VLOOKUP($A389,Leveranser_per_nät,'Leveranser per nät'!AB$1,FALSE)/VLOOKUP($B389,Korrigeringsfaktor_GD,'Korrigeringsfaktor GD'!AB$1,FALSE),
"")</f>
        <v>1004.4131300000001</v>
      </c>
      <c r="AC389" s="18">
        <f>IFERROR(
                  Andel_oberoende_av_klimat*VLOOKUP($A389,Leveranser_per_nät,'Leveranser per nät'!AC$1,FALSE)
               +Andel_beroende_av_klimat*VLOOKUP($A389,Leveranser_per_nät,'Leveranser per nät'!AC$1,FALSE)/VLOOKUP($B389,Korrigeringsfaktor_GD,'Korrigeringsfaktor GD'!AC$1,FALSE),
"")</f>
        <v>982.43835702217518</v>
      </c>
      <c r="AD389" t="e">
        <v>#N/A</v>
      </c>
    </row>
    <row r="390" spans="1:30" x14ac:dyDescent="0.25">
      <c r="A390" t="s">
        <v>391</v>
      </c>
      <c r="B390" t="s">
        <v>350</v>
      </c>
      <c r="C390" s="18">
        <f>IFERROR(
                  Andel_oberoende_av_klimat*VLOOKUP($A390,Leveranser_per_nät,'Leveranser per nät'!C$1,FALSE)
               +Andel_beroende_av_klimat*VLOOKUP($A390,Leveranser_per_nät,'Leveranser per nät'!C$1,FALSE)/VLOOKUP($B390,Korrigeringsfaktor_GD,'Korrigeringsfaktor GD'!C$1,FALSE),
"")</f>
        <v>0</v>
      </c>
      <c r="D390" s="18">
        <f>IFERROR(
                  Andel_oberoende_av_klimat*VLOOKUP($A390,Leveranser_per_nät,'Leveranser per nät'!D$1,FALSE)
               +Andel_beroende_av_klimat*VLOOKUP($A390,Leveranser_per_nät,'Leveranser per nät'!D$1,FALSE)/VLOOKUP($B390,Korrigeringsfaktor_GD,'Korrigeringsfaktor GD'!D$1,FALSE),
"")</f>
        <v>0</v>
      </c>
      <c r="E390" s="18">
        <f>IFERROR(
                  Andel_oberoende_av_klimat*VLOOKUP($A390,Leveranser_per_nät,'Leveranser per nät'!E$1,FALSE)
               +Andel_beroende_av_klimat*VLOOKUP($A390,Leveranser_per_nät,'Leveranser per nät'!E$1,FALSE)/VLOOKUP($B390,Korrigeringsfaktor_GD,'Korrigeringsfaktor GD'!E$1,FALSE),
"")</f>
        <v>0</v>
      </c>
      <c r="F390" s="18">
        <f>IFERROR(
                  Andel_oberoende_av_klimat*VLOOKUP($A390,Leveranser_per_nät,'Leveranser per nät'!F$1,FALSE)
               +Andel_beroende_av_klimat*VLOOKUP($A390,Leveranser_per_nät,'Leveranser per nät'!F$1,FALSE)/VLOOKUP($B390,Korrigeringsfaktor_GD,'Korrigeringsfaktor GD'!F$1,FALSE),
"")</f>
        <v>0</v>
      </c>
      <c r="G390" s="18">
        <f>IFERROR(
                  Andel_oberoende_av_klimat*VLOOKUP($A390,Leveranser_per_nät,'Leveranser per nät'!G$1,FALSE)
               +Andel_beroende_av_klimat*VLOOKUP($A390,Leveranser_per_nät,'Leveranser per nät'!G$1,FALSE)/VLOOKUP($B390,Korrigeringsfaktor_GD,'Korrigeringsfaktor GD'!G$1,FALSE),
"")</f>
        <v>0</v>
      </c>
      <c r="H390" s="18">
        <f>IFERROR(
                  Andel_oberoende_av_klimat*VLOOKUP($A390,Leveranser_per_nät,'Leveranser per nät'!H$1,FALSE)
               +Andel_beroende_av_klimat*VLOOKUP($A390,Leveranser_per_nät,'Leveranser per nät'!H$1,FALSE)/VLOOKUP($B390,Korrigeringsfaktor_GD,'Korrigeringsfaktor GD'!H$1,FALSE),
"")</f>
        <v>0</v>
      </c>
      <c r="I390" s="18">
        <f>IFERROR(
                  Andel_oberoende_av_klimat*VLOOKUP($A390,Leveranser_per_nät,'Leveranser per nät'!I$1,FALSE)
               +Andel_beroende_av_klimat*VLOOKUP($A390,Leveranser_per_nät,'Leveranser per nät'!I$1,FALSE)/VLOOKUP($B390,Korrigeringsfaktor_GD,'Korrigeringsfaktor GD'!I$1,FALSE),
"")</f>
        <v>0</v>
      </c>
      <c r="J390" s="18">
        <f>IFERROR(
                  Andel_oberoende_av_klimat*VLOOKUP($A390,Leveranser_per_nät,'Leveranser per nät'!J$1,FALSE)
               +Andel_beroende_av_klimat*VLOOKUP($A390,Leveranser_per_nät,'Leveranser per nät'!J$1,FALSE)/VLOOKUP($B390,Korrigeringsfaktor_GD,'Korrigeringsfaktor GD'!J$1,FALSE),
"")</f>
        <v>0</v>
      </c>
      <c r="K390" s="18">
        <f>IFERROR(
                  Andel_oberoende_av_klimat*VLOOKUP($A390,Leveranser_per_nät,'Leveranser per nät'!K$1,FALSE)
               +Andel_beroende_av_klimat*VLOOKUP($A390,Leveranser_per_nät,'Leveranser per nät'!K$1,FALSE)/VLOOKUP($B390,Korrigeringsfaktor_GD,'Korrigeringsfaktor GD'!K$1,FALSE),
"")</f>
        <v>0</v>
      </c>
      <c r="L390" s="18">
        <f>IFERROR(
                  Andel_oberoende_av_klimat*VLOOKUP($A390,Leveranser_per_nät,'Leveranser per nät'!L$1,FALSE)
               +Andel_beroende_av_klimat*VLOOKUP($A390,Leveranser_per_nät,'Leveranser per nät'!L$1,FALSE)/VLOOKUP($B390,Korrigeringsfaktor_GD,'Korrigeringsfaktor GD'!L$1,FALSE),
"")</f>
        <v>0</v>
      </c>
      <c r="M390" s="18">
        <f>IFERROR(
                  Andel_oberoende_av_klimat*VLOOKUP($A390,Leveranser_per_nät,'Leveranser per nät'!M$1,FALSE)
               +Andel_beroende_av_klimat*VLOOKUP($A390,Leveranser_per_nät,'Leveranser per nät'!M$1,FALSE)/VLOOKUP($B390,Korrigeringsfaktor_GD,'Korrigeringsfaktor GD'!M$1,FALSE),
"")</f>
        <v>0</v>
      </c>
      <c r="N390" s="18">
        <f>IFERROR(
                  Andel_oberoende_av_klimat*VLOOKUP($A390,Leveranser_per_nät,'Leveranser per nät'!N$1,FALSE)
               +Andel_beroende_av_klimat*VLOOKUP($A390,Leveranser_per_nät,'Leveranser per nät'!N$1,FALSE)/VLOOKUP($B390,Korrigeringsfaktor_GD,'Korrigeringsfaktor GD'!N$1,FALSE),
"")</f>
        <v>0</v>
      </c>
      <c r="O390" s="18">
        <f>IFERROR(
                  Andel_oberoende_av_klimat*VLOOKUP($A390,Leveranser_per_nät,'Leveranser per nät'!O$1,FALSE)
               +Andel_beroende_av_klimat*VLOOKUP($A390,Leveranser_per_nät,'Leveranser per nät'!O$1,FALSE)/VLOOKUP($B390,Korrigeringsfaktor_GD,'Korrigeringsfaktor GD'!O$1,FALSE),
"")</f>
        <v>2.5866666666666664</v>
      </c>
      <c r="P390" s="18">
        <f>IFERROR(
                  Andel_oberoende_av_klimat*VLOOKUP($A390,Leveranser_per_nät,'Leveranser per nät'!P$1,FALSE)
               +Andel_beroende_av_klimat*VLOOKUP($A390,Leveranser_per_nät,'Leveranser per nät'!P$1,FALSE)/VLOOKUP($B390,Korrigeringsfaktor_GD,'Korrigeringsfaktor GD'!P$1,FALSE),
"")</f>
        <v>5.0353535353535355</v>
      </c>
      <c r="Q390" s="18">
        <f>IFERROR(
                  Andel_oberoende_av_klimat*VLOOKUP($A390,Leveranser_per_nät,'Leveranser per nät'!Q$1,FALSE)
               +Andel_beroende_av_klimat*VLOOKUP($A390,Leveranser_per_nät,'Leveranser per nät'!Q$1,FALSE)/VLOOKUP($B390,Korrigeringsfaktor_GD,'Korrigeringsfaktor GD'!Q$1,FALSE),
"")</f>
        <v>7.6557608695652188</v>
      </c>
      <c r="R390" s="18">
        <f>IFERROR(
                  Andel_oberoende_av_klimat*VLOOKUP($A390,Leveranser_per_nät,'Leveranser per nät'!R$1,FALSE)
               +Andel_beroende_av_klimat*VLOOKUP($A390,Leveranser_per_nät,'Leveranser per nät'!R$1,FALSE)/VLOOKUP($B390,Korrigeringsfaktor_GD,'Korrigeringsfaktor GD'!R$1,FALSE),
"")</f>
        <v>7.4846153846153847</v>
      </c>
      <c r="S390" s="18">
        <f>IFERROR(
                  Andel_oberoende_av_klimat*VLOOKUP($A390,Leveranser_per_nät,'Leveranser per nät'!S$1,FALSE)
               +Andel_beroende_av_klimat*VLOOKUP($A390,Leveranser_per_nät,'Leveranser per nät'!S$1,FALSE)/VLOOKUP($B390,Korrigeringsfaktor_GD,'Korrigeringsfaktor GD'!S$1,FALSE),
"")</f>
        <v>9.4838118811881191</v>
      </c>
      <c r="T390" s="18">
        <f>IFERROR(
                  Andel_oberoende_av_klimat*VLOOKUP($A390,Leveranser_per_nät,'Leveranser per nät'!T$1,FALSE)
               +Andel_beroende_av_klimat*VLOOKUP($A390,Leveranser_per_nät,'Leveranser per nät'!T$1,FALSE)/VLOOKUP($B390,Korrigeringsfaktor_GD,'Korrigeringsfaktor GD'!T$1,FALSE),
"")</f>
        <v>10.002226262626262</v>
      </c>
      <c r="U390" s="18">
        <f>IFERROR(
                  Andel_oberoende_av_klimat*VLOOKUP($A390,Leveranser_per_nät,'Leveranser per nät'!U$1,FALSE)
               +Andel_beroende_av_klimat*VLOOKUP($A390,Leveranser_per_nät,'Leveranser per nät'!U$1,FALSE)/VLOOKUP($B390,Korrigeringsfaktor_GD,'Korrigeringsfaktor GD'!U$1,FALSE),
"")</f>
        <v>9.3080772727272727</v>
      </c>
      <c r="V390" s="18">
        <f>IFERROR(
                  Andel_oberoende_av_klimat*VLOOKUP($A390,Leveranser_per_nät,'Leveranser per nät'!V$1,FALSE)
               +Andel_beroende_av_klimat*VLOOKUP($A390,Leveranser_per_nät,'Leveranser per nät'!V$1,FALSE)/VLOOKUP($B390,Korrigeringsfaktor_GD,'Korrigeringsfaktor GD'!V$1,FALSE),
"")</f>
        <v>9.1604235955056161</v>
      </c>
      <c r="W390" s="18">
        <f>IFERROR(
                  Andel_oberoende_av_klimat*VLOOKUP($A390,Leveranser_per_nät,'Leveranser per nät'!W$1,FALSE)
               +Andel_beroende_av_klimat*VLOOKUP($A390,Leveranser_per_nät,'Leveranser per nät'!W$1,FALSE)/VLOOKUP($B390,Korrigeringsfaktor_GD,'Korrigeringsfaktor GD'!W$1,FALSE),
"")</f>
        <v>11.570885106382979</v>
      </c>
      <c r="X390" s="18">
        <f>IFERROR(
                  Andel_oberoende_av_klimat*VLOOKUP($A390,Leveranser_per_nät,'Leveranser per nät'!X$1,FALSE)
               +Andel_beroende_av_klimat*VLOOKUP($A390,Leveranser_per_nät,'Leveranser per nät'!X$1,FALSE)/VLOOKUP($B390,Korrigeringsfaktor_GD,'Korrigeringsfaktor GD'!X$1,FALSE),
"")</f>
        <v>12.771808695652172</v>
      </c>
      <c r="Y390" s="18">
        <f>IFERROR(
                  Andel_oberoende_av_klimat*VLOOKUP($A390,Leveranser_per_nät,'Leveranser per nät'!Y$1,FALSE)
               +Andel_beroende_av_klimat*VLOOKUP($A390,Leveranser_per_nät,'Leveranser per nät'!Y$1,FALSE)/VLOOKUP($B390,Korrigeringsfaktor_GD,'Korrigeringsfaktor GD'!Y$1,FALSE),
"")</f>
        <v>12.930207692307691</v>
      </c>
      <c r="Z390" s="18">
        <f>IFERROR(
                  Andel_oberoende_av_klimat*VLOOKUP($A390,Leveranser_per_nät,'Leveranser per nät'!Z$1,FALSE)
               +Andel_beroende_av_klimat*VLOOKUP($A390,Leveranser_per_nät,'Leveranser per nät'!Z$1,FALSE)/VLOOKUP($B390,Korrigeringsfaktor_GD,'Korrigeringsfaktor GD'!Z$1,FALSE),
"")</f>
        <v>11.79096842105263</v>
      </c>
      <c r="AA390" s="18">
        <f>IFERROR(
                  Andel_oberoende_av_klimat*VLOOKUP($A390,Leveranser_per_nät,'Leveranser per nät'!AA$1,FALSE)
               +Andel_beroende_av_klimat*VLOOKUP($A390,Leveranser_per_nät,'Leveranser per nät'!AA$1,FALSE)/VLOOKUP($B390,Korrigeringsfaktor_GD,'Korrigeringsfaktor GD'!AA$1,FALSE),
"")</f>
        <v>14.548411096433288</v>
      </c>
      <c r="AB390" s="18">
        <f>IFERROR(
                  Andel_oberoende_av_klimat*VLOOKUP($A390,Leveranser_per_nät,'Leveranser per nät'!AB$1,FALSE)
               +Andel_beroende_av_klimat*VLOOKUP($A390,Leveranser_per_nät,'Leveranser per nät'!AB$1,FALSE)/VLOOKUP($B390,Korrigeringsfaktor_GD,'Korrigeringsfaktor GD'!AB$1,FALSE),
"")</f>
        <v>15.696733333333331</v>
      </c>
      <c r="AC390" s="18">
        <f>IFERROR(
                  Andel_oberoende_av_klimat*VLOOKUP($A390,Leveranser_per_nät,'Leveranser per nät'!AC$1,FALSE)
               +Andel_beroende_av_klimat*VLOOKUP($A390,Leveranser_per_nät,'Leveranser per nät'!AC$1,FALSE)/VLOOKUP($B390,Korrigeringsfaktor_GD,'Korrigeringsfaktor GD'!AC$1,FALSE),
"")</f>
        <v>14.514235728952773</v>
      </c>
      <c r="AD390">
        <v>99.975999999999999</v>
      </c>
    </row>
    <row r="391" spans="1:30" x14ac:dyDescent="0.25">
      <c r="A391" t="s">
        <v>463</v>
      </c>
      <c r="B391" t="s">
        <v>463</v>
      </c>
      <c r="C391" s="18"/>
      <c r="D391" s="18"/>
      <c r="E391" s="18"/>
      <c r="F391" s="18"/>
      <c r="G391" s="18"/>
      <c r="H391" s="18"/>
      <c r="I391" s="18"/>
      <c r="J391" s="18"/>
      <c r="K391" s="18"/>
      <c r="L391" s="18"/>
      <c r="M391" s="18"/>
      <c r="N391" s="18"/>
      <c r="O391" s="18"/>
      <c r="P391" s="18"/>
      <c r="Q391" s="18"/>
      <c r="R391" s="18"/>
      <c r="S391" s="18"/>
      <c r="T391" s="18"/>
      <c r="U391" s="18">
        <f>IFERROR(
                  Andel_oberoende_av_klimat*VLOOKUP($A391,Leveranser_per_nät,'Leveranser per nät'!U$1,FALSE)
               +Andel_beroende_av_klimat*VLOOKUP($A391,Leveranser_per_nät,'Leveranser per nät'!U$1,FALSE)/VLOOKUP($B391,Korrigeringsfaktor_GD,'Korrigeringsfaktor GD'!U$1,FALSE),
"")</f>
        <v>48.364698795180715</v>
      </c>
      <c r="V391" s="18">
        <f>IFERROR(
                  Andel_oberoende_av_klimat*VLOOKUP($A391,Leveranser_per_nät,'Leveranser per nät'!V$1,FALSE)
               +Andel_beroende_av_klimat*VLOOKUP($A391,Leveranser_per_nät,'Leveranser per nät'!V$1,FALSE)/VLOOKUP($B391,Korrigeringsfaktor_GD,'Korrigeringsfaktor GD'!V$1,FALSE),
"")</f>
        <v>48.381379310344826</v>
      </c>
      <c r="W391" s="18">
        <f>IFERROR(
                  Andel_oberoende_av_klimat*VLOOKUP($A391,Leveranser_per_nät,'Leveranser per nät'!W$1,FALSE)
               +Andel_beroende_av_klimat*VLOOKUP($A391,Leveranser_per_nät,'Leveranser per nät'!W$1,FALSE)/VLOOKUP($B391,Korrigeringsfaktor_GD,'Korrigeringsfaktor GD'!W$1,FALSE),
"")</f>
        <v>50.04</v>
      </c>
      <c r="X391" s="18">
        <f>IFERROR(
                  Andel_oberoende_av_klimat*VLOOKUP($A391,Leveranser_per_nät,'Leveranser per nät'!X$1,FALSE)
               +Andel_beroende_av_klimat*VLOOKUP($A391,Leveranser_per_nät,'Leveranser per nät'!X$1,FALSE)/VLOOKUP($B391,Korrigeringsfaktor_GD,'Korrigeringsfaktor GD'!X$1,FALSE),
"")</f>
        <v>50.414382022471905</v>
      </c>
      <c r="Y391" s="18">
        <f>IFERROR(
                  Andel_oberoende_av_klimat*VLOOKUP($A391,Leveranser_per_nät,'Leveranser per nät'!Y$1,FALSE)
               +Andel_beroende_av_klimat*VLOOKUP($A391,Leveranser_per_nät,'Leveranser per nät'!Y$1,FALSE)/VLOOKUP($B391,Korrigeringsfaktor_GD,'Korrigeringsfaktor GD'!Y$1,FALSE),
"")</f>
        <v>51.37681818181818</v>
      </c>
      <c r="Z391" s="18">
        <f>IFERROR(
                  Andel_oberoende_av_klimat*VLOOKUP($A391,Leveranser_per_nät,'Leveranser per nät'!Z$1,FALSE)
               +Andel_beroende_av_klimat*VLOOKUP($A391,Leveranser_per_nät,'Leveranser per nät'!Z$1,FALSE)/VLOOKUP($B391,Korrigeringsfaktor_GD,'Korrigeringsfaktor GD'!Z$1,FALSE),
"")</f>
        <v>49.577777777777776</v>
      </c>
      <c r="AA391" s="18">
        <f>IFERROR(
                  Andel_oberoende_av_klimat*VLOOKUP($A391,Leveranser_per_nät,'Leveranser per nät'!AA$1,FALSE)
               +Andel_beroende_av_klimat*VLOOKUP($A391,Leveranser_per_nät,'Leveranser per nät'!AA$1,FALSE)/VLOOKUP($B391,Korrigeringsfaktor_GD,'Korrigeringsfaktor GD'!AA$1,FALSE),
"")</f>
        <v>51.003007057379563</v>
      </c>
      <c r="AB391" s="18">
        <f>IFERROR(
                  Andel_oberoende_av_klimat*VLOOKUP($A391,Leveranser_per_nät,'Leveranser per nät'!AB$1,FALSE)
               +Andel_beroende_av_klimat*VLOOKUP($A391,Leveranser_per_nät,'Leveranser per nät'!AB$1,FALSE)/VLOOKUP($B391,Korrigeringsfaktor_GD,'Korrigeringsfaktor GD'!AB$1,FALSE),
"")</f>
        <v>52.518387963891676</v>
      </c>
      <c r="AC391" s="18">
        <f>IFERROR(
                  Andel_oberoende_av_klimat*VLOOKUP($A391,Leveranser_per_nät,'Leveranser per nät'!AC$1,FALSE)
               +Andel_beroende_av_klimat*VLOOKUP($A391,Leveranser_per_nät,'Leveranser per nät'!AC$1,FALSE)/VLOOKUP($B391,Korrigeringsfaktor_GD,'Korrigeringsfaktor GD'!AC$1,FALSE),
"")</f>
        <v>51.568937569060772</v>
      </c>
      <c r="AD391">
        <v>48.039000000000001</v>
      </c>
    </row>
    <row r="392" spans="1:30" x14ac:dyDescent="0.25">
      <c r="A392" t="s">
        <v>129</v>
      </c>
      <c r="B392" t="s">
        <v>117</v>
      </c>
      <c r="C392" s="18">
        <f>IFERROR(
                  Andel_oberoende_av_klimat*VLOOKUP($A392,Leveranser_per_nät,'Leveranser per nät'!C$1,FALSE)
               +Andel_beroende_av_klimat*VLOOKUP($A392,Leveranser_per_nät,'Leveranser per nät'!C$1,FALSE)/VLOOKUP($B392,Korrigeringsfaktor_GD,'Korrigeringsfaktor GD'!C$1,FALSE),
"")</f>
        <v>0</v>
      </c>
      <c r="D392" s="18">
        <f>IFERROR(
                  Andel_oberoende_av_klimat*VLOOKUP($A392,Leveranser_per_nät,'Leveranser per nät'!D$1,FALSE)
               +Andel_beroende_av_klimat*VLOOKUP($A392,Leveranser_per_nät,'Leveranser per nät'!D$1,FALSE)/VLOOKUP($B392,Korrigeringsfaktor_GD,'Korrigeringsfaktor GD'!D$1,FALSE),
"")</f>
        <v>0</v>
      </c>
      <c r="E392" s="18">
        <f>IFERROR(
                  Andel_oberoende_av_klimat*VLOOKUP($A392,Leveranser_per_nät,'Leveranser per nät'!E$1,FALSE)
               +Andel_beroende_av_klimat*VLOOKUP($A392,Leveranser_per_nät,'Leveranser per nät'!E$1,FALSE)/VLOOKUP($B392,Korrigeringsfaktor_GD,'Korrigeringsfaktor GD'!E$1,FALSE),
"")</f>
        <v>0</v>
      </c>
      <c r="F392" s="18">
        <f>IFERROR(
                  Andel_oberoende_av_klimat*VLOOKUP($A392,Leveranser_per_nät,'Leveranser per nät'!F$1,FALSE)
               +Andel_beroende_av_klimat*VLOOKUP($A392,Leveranser_per_nät,'Leveranser per nät'!F$1,FALSE)/VLOOKUP($B392,Korrigeringsfaktor_GD,'Korrigeringsfaktor GD'!F$1,FALSE),
"")</f>
        <v>0</v>
      </c>
      <c r="G392" s="18">
        <f>IFERROR(
                  Andel_oberoende_av_klimat*VLOOKUP($A392,Leveranser_per_nät,'Leveranser per nät'!G$1,FALSE)
               +Andel_beroende_av_klimat*VLOOKUP($A392,Leveranser_per_nät,'Leveranser per nät'!G$1,FALSE)/VLOOKUP($B392,Korrigeringsfaktor_GD,'Korrigeringsfaktor GD'!G$1,FALSE),
"")</f>
        <v>0</v>
      </c>
      <c r="H392" s="18">
        <f>IFERROR(
                  Andel_oberoende_av_klimat*VLOOKUP($A392,Leveranser_per_nät,'Leveranser per nät'!H$1,FALSE)
               +Andel_beroende_av_klimat*VLOOKUP($A392,Leveranser_per_nät,'Leveranser per nät'!H$1,FALSE)/VLOOKUP($B392,Korrigeringsfaktor_GD,'Korrigeringsfaktor GD'!H$1,FALSE),
"")</f>
        <v>0</v>
      </c>
      <c r="I392" s="18">
        <f>IFERROR(
                  Andel_oberoende_av_klimat*VLOOKUP($A392,Leveranser_per_nät,'Leveranser per nät'!I$1,FALSE)
               +Andel_beroende_av_klimat*VLOOKUP($A392,Leveranser_per_nät,'Leveranser per nät'!I$1,FALSE)/VLOOKUP($B392,Korrigeringsfaktor_GD,'Korrigeringsfaktor GD'!I$1,FALSE),
"")</f>
        <v>0</v>
      </c>
      <c r="J392" s="18">
        <f>IFERROR(
                  Andel_oberoende_av_klimat*VLOOKUP($A392,Leveranser_per_nät,'Leveranser per nät'!J$1,FALSE)
               +Andel_beroende_av_klimat*VLOOKUP($A392,Leveranser_per_nät,'Leveranser per nät'!J$1,FALSE)/VLOOKUP($B392,Korrigeringsfaktor_GD,'Korrigeringsfaktor GD'!J$1,FALSE),
"")</f>
        <v>0</v>
      </c>
      <c r="K392" s="18">
        <f>IFERROR(
                  Andel_oberoende_av_klimat*VLOOKUP($A392,Leveranser_per_nät,'Leveranser per nät'!K$1,FALSE)
               +Andel_beroende_av_klimat*VLOOKUP($A392,Leveranser_per_nät,'Leveranser per nät'!K$1,FALSE)/VLOOKUP($B392,Korrigeringsfaktor_GD,'Korrigeringsfaktor GD'!K$1,FALSE),
"")</f>
        <v>0</v>
      </c>
      <c r="L392" s="18">
        <f>IFERROR(
                  Andel_oberoende_av_klimat*VLOOKUP($A392,Leveranser_per_nät,'Leveranser per nät'!L$1,FALSE)
               +Andel_beroende_av_klimat*VLOOKUP($A392,Leveranser_per_nät,'Leveranser per nät'!L$1,FALSE)/VLOOKUP($B392,Korrigeringsfaktor_GD,'Korrigeringsfaktor GD'!L$1,FALSE),
"")</f>
        <v>0</v>
      </c>
      <c r="M392" s="18">
        <f>IFERROR(
                  Andel_oberoende_av_klimat*VLOOKUP($A392,Leveranser_per_nät,'Leveranser per nät'!M$1,FALSE)
               +Andel_beroende_av_klimat*VLOOKUP($A392,Leveranser_per_nät,'Leveranser per nät'!M$1,FALSE)/VLOOKUP($B392,Korrigeringsfaktor_GD,'Korrigeringsfaktor GD'!M$1,FALSE),
"")</f>
        <v>0</v>
      </c>
      <c r="N392" s="18">
        <f>IFERROR(
                  Andel_oberoende_av_klimat*VLOOKUP($A392,Leveranser_per_nät,'Leveranser per nät'!N$1,FALSE)
               +Andel_beroende_av_klimat*VLOOKUP($A392,Leveranser_per_nät,'Leveranser per nät'!N$1,FALSE)/VLOOKUP($B392,Korrigeringsfaktor_GD,'Korrigeringsfaktor GD'!N$1,FALSE),
"")</f>
        <v>0</v>
      </c>
      <c r="O392" s="18">
        <f>IFERROR(
                  Andel_oberoende_av_klimat*VLOOKUP($A392,Leveranser_per_nät,'Leveranser per nät'!O$1,FALSE)
               +Andel_beroende_av_klimat*VLOOKUP($A392,Leveranser_per_nät,'Leveranser per nät'!O$1,FALSE)/VLOOKUP($B392,Korrigeringsfaktor_GD,'Korrigeringsfaktor GD'!O$1,FALSE),
"")</f>
        <v>0</v>
      </c>
      <c r="P392" s="18">
        <f>IFERROR(
                  Andel_oberoende_av_klimat*VLOOKUP($A392,Leveranser_per_nät,'Leveranser per nät'!P$1,FALSE)
               +Andel_beroende_av_klimat*VLOOKUP($A392,Leveranser_per_nät,'Leveranser per nät'!P$1,FALSE)/VLOOKUP($B392,Korrigeringsfaktor_GD,'Korrigeringsfaktor GD'!P$1,FALSE),
"")</f>
        <v>7.2509090909090919</v>
      </c>
      <c r="Q392" s="18">
        <f>IFERROR(
                  Andel_oberoende_av_klimat*VLOOKUP($A392,Leveranser_per_nät,'Leveranser per nät'!Q$1,FALSE)
               +Andel_beroende_av_klimat*VLOOKUP($A392,Leveranser_per_nät,'Leveranser per nät'!Q$1,FALSE)/VLOOKUP($B392,Korrigeringsfaktor_GD,'Korrigeringsfaktor GD'!Q$1,FALSE),
"")</f>
        <v>7.5912434782608695</v>
      </c>
      <c r="R392" s="18">
        <f>IFERROR(
                  Andel_oberoende_av_klimat*VLOOKUP($A392,Leveranser_per_nät,'Leveranser per nät'!R$1,FALSE)
               +Andel_beroende_av_klimat*VLOOKUP($A392,Leveranser_per_nät,'Leveranser per nät'!R$1,FALSE)/VLOOKUP($B392,Korrigeringsfaktor_GD,'Korrigeringsfaktor GD'!R$1,FALSE),
"")</f>
        <v>7.4129769230769229</v>
      </c>
      <c r="S392" s="18">
        <f>IFERROR(
                  Andel_oberoende_av_klimat*VLOOKUP($A392,Leveranser_per_nät,'Leveranser per nät'!S$1,FALSE)
               +Andel_beroende_av_klimat*VLOOKUP($A392,Leveranser_per_nät,'Leveranser per nät'!S$1,FALSE)/VLOOKUP($B392,Korrigeringsfaktor_GD,'Korrigeringsfaktor GD'!S$1,FALSE),
"")</f>
        <v>7.3113333333333337</v>
      </c>
      <c r="T392" s="18">
        <f>IFERROR(
                  Andel_oberoende_av_klimat*VLOOKUP($A392,Leveranser_per_nät,'Leveranser per nät'!T$1,FALSE)
               +Andel_beroende_av_klimat*VLOOKUP($A392,Leveranser_per_nät,'Leveranser per nät'!T$1,FALSE)/VLOOKUP($B392,Korrigeringsfaktor_GD,'Korrigeringsfaktor GD'!T$1,FALSE),
"")</f>
        <v>7.3781684210526315</v>
      </c>
      <c r="U392" s="18">
        <f>IFERROR(
                  Andel_oberoende_av_klimat*VLOOKUP($A392,Leveranser_per_nät,'Leveranser per nät'!U$1,FALSE)
               +Andel_beroende_av_klimat*VLOOKUP($A392,Leveranser_per_nät,'Leveranser per nät'!U$1,FALSE)/VLOOKUP($B392,Korrigeringsfaktor_GD,'Korrigeringsfaktor GD'!U$1,FALSE),
"")</f>
        <v>7.0449752808988766</v>
      </c>
      <c r="V392" s="18">
        <f>IFERROR(
                  Andel_oberoende_av_klimat*VLOOKUP($A392,Leveranser_per_nät,'Leveranser per nät'!V$1,FALSE)
               +Andel_beroende_av_klimat*VLOOKUP($A392,Leveranser_per_nät,'Leveranser per nät'!V$1,FALSE)/VLOOKUP($B392,Korrigeringsfaktor_GD,'Korrigeringsfaktor GD'!V$1,FALSE),
"")</f>
        <v>7.5632438202247192</v>
      </c>
      <c r="W392" s="18">
        <f>IFERROR(
                  Andel_oberoende_av_klimat*VLOOKUP($A392,Leveranser_per_nät,'Leveranser per nät'!W$1,FALSE)
               +Andel_beroende_av_klimat*VLOOKUP($A392,Leveranser_per_nät,'Leveranser per nät'!W$1,FALSE)/VLOOKUP($B392,Korrigeringsfaktor_GD,'Korrigeringsfaktor GD'!W$1,FALSE),
"")</f>
        <v>7.4475297872340427</v>
      </c>
      <c r="X392" s="18">
        <f>IFERROR(
                  Andel_oberoende_av_klimat*VLOOKUP($A392,Leveranser_per_nät,'Leveranser per nät'!X$1,FALSE)
               +Andel_beroende_av_klimat*VLOOKUP($A392,Leveranser_per_nät,'Leveranser per nät'!X$1,FALSE)/VLOOKUP($B392,Korrigeringsfaktor_GD,'Korrigeringsfaktor GD'!X$1,FALSE),
"")</f>
        <v>7.2134291666666668</v>
      </c>
      <c r="Y392" s="18">
        <f>IFERROR(
                  Andel_oberoende_av_klimat*VLOOKUP($A392,Leveranser_per_nät,'Leveranser per nät'!Y$1,FALSE)
               +Andel_beroende_av_klimat*VLOOKUP($A392,Leveranser_per_nät,'Leveranser per nät'!Y$1,FALSE)/VLOOKUP($B392,Korrigeringsfaktor_GD,'Korrigeringsfaktor GD'!Y$1,FALSE),
"")</f>
        <v>6.8971428571428568</v>
      </c>
      <c r="Z392" s="18">
        <f>IFERROR(
                  Andel_oberoende_av_klimat*VLOOKUP($A392,Leveranser_per_nät,'Leveranser per nät'!Z$1,FALSE)
               +Andel_beroende_av_klimat*VLOOKUP($A392,Leveranser_per_nät,'Leveranser per nät'!Z$1,FALSE)/VLOOKUP($B392,Korrigeringsfaktor_GD,'Korrigeringsfaktor GD'!Z$1,FALSE),
"")</f>
        <v>7.3494045454545454</v>
      </c>
      <c r="AA392" s="18">
        <f>IFERROR(
                  Andel_oberoende_av_klimat*VLOOKUP($A392,Leveranser_per_nät,'Leveranser per nät'!AA$1,FALSE)
               +Andel_beroende_av_klimat*VLOOKUP($A392,Leveranser_per_nät,'Leveranser per nät'!AA$1,FALSE)/VLOOKUP($B392,Korrigeringsfaktor_GD,'Korrigeringsfaktor GD'!AA$1,FALSE),
"")</f>
        <v>6.8404649122807024</v>
      </c>
      <c r="AB392" s="18">
        <f>IFERROR(
                  Andel_oberoende_av_klimat*VLOOKUP($A392,Leveranser_per_nät,'Leveranser per nät'!AB$1,FALSE)
               +Andel_beroende_av_klimat*VLOOKUP($A392,Leveranser_per_nät,'Leveranser per nät'!AB$1,FALSE)/VLOOKUP($B392,Korrigeringsfaktor_GD,'Korrigeringsfaktor GD'!AB$1,FALSE),
"")</f>
        <v>6.6959342130987292</v>
      </c>
      <c r="AC392" s="18">
        <f>IFERROR(
                  Andel_oberoende_av_klimat*VLOOKUP($A392,Leveranser_per_nät,'Leveranser per nät'!AC$1,FALSE)
               +Andel_beroende_av_klimat*VLOOKUP($A392,Leveranser_per_nät,'Leveranser per nät'!AC$1,FALSE)/VLOOKUP($B392,Korrigeringsfaktor_GD,'Korrigeringsfaktor GD'!AC$1,FALSE),
"")</f>
        <v>6.3362423868312758</v>
      </c>
      <c r="AD392">
        <v>110.333</v>
      </c>
    </row>
    <row r="393" spans="1:30" x14ac:dyDescent="0.25">
      <c r="A393" t="s">
        <v>426</v>
      </c>
      <c r="B393" t="s">
        <v>865</v>
      </c>
      <c r="C393" s="18">
        <f>IFERROR(
                  Andel_oberoende_av_klimat*VLOOKUP($A393,Leveranser_per_nät,'Leveranser per nät'!C$1,FALSE)
               +Andel_beroende_av_klimat*VLOOKUP($A393,Leveranser_per_nät,'Leveranser per nät'!C$1,FALSE)/VLOOKUP("Munkedal",Korrigeringsfaktor_GD,'Korrigeringsfaktor GD'!C$1,FALSE),
"")</f>
        <v>0</v>
      </c>
      <c r="D393" s="18">
        <f>IFERROR(
                  Andel_oberoende_av_klimat*VLOOKUP($A393,Leveranser_per_nät,'Leveranser per nät'!D$1,FALSE)
               +Andel_beroende_av_klimat*VLOOKUP($A393,Leveranser_per_nät,'Leveranser per nät'!D$1,FALSE)/VLOOKUP("Munkedal",Korrigeringsfaktor_GD,'Korrigeringsfaktor GD'!D$1,FALSE),
"")</f>
        <v>0</v>
      </c>
      <c r="E393" s="18">
        <f>IFERROR(
                  Andel_oberoende_av_klimat*VLOOKUP($A393,Leveranser_per_nät,'Leveranser per nät'!E$1,FALSE)
               +Andel_beroende_av_klimat*VLOOKUP($A393,Leveranser_per_nät,'Leveranser per nät'!E$1,FALSE)/VLOOKUP("Munkedal",Korrigeringsfaktor_GD,'Korrigeringsfaktor GD'!E$1,FALSE),
"")</f>
        <v>0</v>
      </c>
      <c r="F393" s="18">
        <f>IFERROR(
                  Andel_oberoende_av_klimat*VLOOKUP($A393,Leveranser_per_nät,'Leveranser per nät'!F$1,FALSE)
               +Andel_beroende_av_klimat*VLOOKUP($A393,Leveranser_per_nät,'Leveranser per nät'!F$1,FALSE)/VLOOKUP("Munkedal",Korrigeringsfaktor_GD,'Korrigeringsfaktor GD'!F$1,FALSE),
"")</f>
        <v>0</v>
      </c>
      <c r="G393" s="18">
        <f>IFERROR(
                  Andel_oberoende_av_klimat*VLOOKUP($A393,Leveranser_per_nät,'Leveranser per nät'!G$1,FALSE)
               +Andel_beroende_av_klimat*VLOOKUP($A393,Leveranser_per_nät,'Leveranser per nät'!G$1,FALSE)/VLOOKUP("Munkedal",Korrigeringsfaktor_GD,'Korrigeringsfaktor GD'!G$1,FALSE),
"")</f>
        <v>0</v>
      </c>
      <c r="H393" s="18">
        <f>IFERROR(
                  Andel_oberoende_av_klimat*VLOOKUP($A393,Leveranser_per_nät,'Leveranser per nät'!H$1,FALSE)
               +Andel_beroende_av_klimat*VLOOKUP($A393,Leveranser_per_nät,'Leveranser per nät'!H$1,FALSE)/VLOOKUP("Munkedal",Korrigeringsfaktor_GD,'Korrigeringsfaktor GD'!H$1,FALSE),
"")</f>
        <v>0</v>
      </c>
      <c r="I393" s="18">
        <f>IFERROR(
                  Andel_oberoende_av_klimat*VLOOKUP($A393,Leveranser_per_nät,'Leveranser per nät'!I$1,FALSE)
               +Andel_beroende_av_klimat*VLOOKUP($A393,Leveranser_per_nät,'Leveranser per nät'!I$1,FALSE)/VLOOKUP("Munkedal",Korrigeringsfaktor_GD,'Korrigeringsfaktor GD'!I$1,FALSE),
"")</f>
        <v>0</v>
      </c>
      <c r="J393" s="18">
        <f>IFERROR(
                  Andel_oberoende_av_klimat*VLOOKUP($A393,Leveranser_per_nät,'Leveranser per nät'!J$1,FALSE)
               +Andel_beroende_av_klimat*VLOOKUP($A393,Leveranser_per_nät,'Leveranser per nät'!J$1,FALSE)/VLOOKUP("Munkedal",Korrigeringsfaktor_GD,'Korrigeringsfaktor GD'!J$1,FALSE),
"")</f>
        <v>0</v>
      </c>
      <c r="K393" s="18">
        <f>IFERROR(
                  Andel_oberoende_av_klimat*VLOOKUP($A393,Leveranser_per_nät,'Leveranser per nät'!K$1,FALSE)
               +Andel_beroende_av_klimat*VLOOKUP($A393,Leveranser_per_nät,'Leveranser per nät'!K$1,FALSE)/VLOOKUP("Munkedal",Korrigeringsfaktor_GD,'Korrigeringsfaktor GD'!K$1,FALSE),
"")</f>
        <v>0</v>
      </c>
      <c r="L393" s="18">
        <f>IFERROR(
                  Andel_oberoende_av_klimat*VLOOKUP($A393,Leveranser_per_nät,'Leveranser per nät'!L$1,FALSE)
               +Andel_beroende_av_klimat*VLOOKUP($A393,Leveranser_per_nät,'Leveranser per nät'!L$1,FALSE)/VLOOKUP("Munkedal",Korrigeringsfaktor_GD,'Korrigeringsfaktor GD'!L$1,FALSE),
"")</f>
        <v>7.7358694855929144</v>
      </c>
      <c r="M393" s="18">
        <f>IFERROR(
                  Andel_oberoende_av_klimat*VLOOKUP($A393,Leveranser_per_nät,'Leveranser per nät'!M$1,FALSE)
               +Andel_beroende_av_klimat*VLOOKUP($A393,Leveranser_per_nät,'Leveranser per nät'!M$1,FALSE)/VLOOKUP("Munkedal",Korrigeringsfaktor_GD,'Korrigeringsfaktor GD'!M$1,FALSE),
"")</f>
        <v>8.9943692307692302</v>
      </c>
      <c r="N393" s="18">
        <f>IFERROR(
                  Andel_oberoende_av_klimat*VLOOKUP($A393,Leveranser_per_nät,'Leveranser per nät'!N$1,FALSE)
               +Andel_beroende_av_klimat*VLOOKUP($A393,Leveranser_per_nät,'Leveranser per nät'!N$1,FALSE)/VLOOKUP("Munkedal",Korrigeringsfaktor_GD,'Korrigeringsfaktor GD'!N$1,FALSE),
"")</f>
        <v>2.3711111111111114</v>
      </c>
      <c r="O393" s="18">
        <f>IFERROR(
                  Andel_oberoende_av_klimat*VLOOKUP($A393,Leveranser_per_nät,'Leveranser per nät'!O$1,FALSE)
               +Andel_beroende_av_klimat*VLOOKUP($A393,Leveranser_per_nät,'Leveranser per nät'!O$1,FALSE)/VLOOKUP("Munkedal",Korrigeringsfaktor_GD,'Korrigeringsfaktor GD'!O$1,FALSE),
"")</f>
        <v>9.2353932584269653</v>
      </c>
      <c r="P393" s="18">
        <f>IFERROR(
                  Andel_oberoende_av_klimat*VLOOKUP($A393,Leveranser_per_nät,'Leveranser per nät'!P$1,FALSE)
               +Andel_beroende_av_klimat*VLOOKUP($A393,Leveranser_per_nät,'Leveranser per nät'!P$1,FALSE)/VLOOKUP("Munkedal",Korrigeringsfaktor_GD,'Korrigeringsfaktor GD'!P$1,FALSE),
"")</f>
        <v>9.3922857142857143</v>
      </c>
      <c r="Q393" s="18">
        <f>IFERROR(
                  Andel_oberoende_av_klimat*VLOOKUP($A393,Leveranser_per_nät,'Leveranser per nät'!Q$1,FALSE)
               +Andel_beroende_av_klimat*VLOOKUP($A393,Leveranser_per_nät,'Leveranser per nät'!Q$1,FALSE)/VLOOKUP("Munkedal",Korrigeringsfaktor_GD,'Korrigeringsfaktor GD'!Q$1,FALSE),
"")</f>
        <v>9.6817647058823546</v>
      </c>
      <c r="R393" s="18">
        <f>IFERROR(
                  Andel_oberoende_av_klimat*VLOOKUP($A393,Leveranser_per_nät,'Leveranser per nät'!R$1,FALSE)
               +Andel_beroende_av_klimat*VLOOKUP($A393,Leveranser_per_nät,'Leveranser per nät'!R$1,FALSE)/VLOOKUP("Munkedal",Korrigeringsfaktor_GD,'Korrigeringsfaktor GD'!R$1,FALSE),
"")</f>
        <v>9.0173913043478251</v>
      </c>
      <c r="S393" s="18">
        <f>IFERROR(
                  Andel_oberoende_av_klimat*VLOOKUP($A393,Leveranser_per_nät,'Leveranser per nät'!S$1,FALSE)
               +Andel_beroende_av_klimat*VLOOKUP($A393,Leveranser_per_nät,'Leveranser per nät'!S$1,FALSE)/VLOOKUP("Munkedal",Korrigeringsfaktor_GD,'Korrigeringsfaktor GD'!S$1,FALSE),
"")</f>
        <v>9.0369306930693067</v>
      </c>
      <c r="T393" s="18">
        <f>IFERROR(
                  Andel_oberoende_av_klimat*VLOOKUP($A393,Leveranser_per_nät,'Leveranser per nät'!T$1,FALSE)
               +Andel_beroende_av_klimat*VLOOKUP($A393,Leveranser_per_nät,'Leveranser per nät'!T$1,FALSE)/VLOOKUP("Munkedal",Korrigeringsfaktor_GD,'Korrigeringsfaktor GD'!T$1,FALSE),
"")</f>
        <v>12.779999999999998</v>
      </c>
      <c r="U393" s="18">
        <f>IFERROR(
                  Andel_oberoende_av_klimat*VLOOKUP($A393,Leveranser_per_nät,'Leveranser per nät'!U$1,FALSE)
               +Andel_beroende_av_klimat*VLOOKUP($A393,Leveranser_per_nät,'Leveranser per nät'!U$1,FALSE)/VLOOKUP("Munkedal",Korrigeringsfaktor_GD,'Korrigeringsfaktor GD'!U$1,FALSE),
"")</f>
        <v>8.5388235294117649</v>
      </c>
      <c r="V393" s="18">
        <f>IFERROR(
                  Andel_oberoende_av_klimat*VLOOKUP($A393,Leveranser_per_nät,'Leveranser per nät'!V$1,FALSE)
               +Andel_beroende_av_klimat*VLOOKUP($A393,Leveranser_per_nät,'Leveranser per nät'!V$1,FALSE)/VLOOKUP("Munkedal",Korrigeringsfaktor_GD,'Korrigeringsfaktor GD'!V$1,FALSE),
"")</f>
        <v>8.7263218390804607</v>
      </c>
      <c r="W393" s="18">
        <f>IFERROR(
                  Andel_oberoende_av_klimat*VLOOKUP($A393,Leveranser_per_nät,'Leveranser per nät'!W$1,FALSE)
               +Andel_beroende_av_klimat*VLOOKUP($A393,Leveranser_per_nät,'Leveranser per nät'!W$1,FALSE)/VLOOKUP("Munkedal",Korrigeringsfaktor_GD,'Korrigeringsfaktor GD'!W$1,FALSE),
"")</f>
        <v>8.4619148936170205</v>
      </c>
      <c r="X393" s="18">
        <f>IFERROR(
                  Andel_oberoende_av_klimat*VLOOKUP($A393,Leveranser_per_nät,'Leveranser per nät'!X$1,FALSE)
               +Andel_beroende_av_klimat*VLOOKUP($A393,Leveranser_per_nät,'Leveranser per nät'!X$1,FALSE)/VLOOKUP("Munkedal",Korrigeringsfaktor_GD,'Korrigeringsfaktor GD'!X$1,FALSE),
"")</f>
        <v>9.3689247311827959</v>
      </c>
      <c r="Y393" s="18">
        <f>IFERROR(
                  Andel_oberoende_av_klimat*VLOOKUP($A393,Leveranser_per_nät,'Leveranser per nät'!Y$1,FALSE)
               +Andel_beroende_av_klimat*VLOOKUP($A393,Leveranser_per_nät,'Leveranser per nät'!Y$1,FALSE)/VLOOKUP($B393,Korrigeringsfaktor_GD,'Korrigeringsfaktor GD'!Y$1,FALSE),
"")</f>
        <v>8.8608526315789469</v>
      </c>
      <c r="Z393" s="18">
        <f>IFERROR(
                  Andel_oberoende_av_klimat*VLOOKUP($A393,Leveranser_per_nät,'Leveranser per nät'!Z$1,FALSE)
               +Andel_beroende_av_klimat*VLOOKUP($A393,Leveranser_per_nät,'Leveranser per nät'!Z$1,FALSE)/VLOOKUP($B393,Korrigeringsfaktor_GD,'Korrigeringsfaktor GD'!Z$1,FALSE),
"")</f>
        <v>8.3229138613861391</v>
      </c>
      <c r="AA393" s="18">
        <f>IFERROR(
                  Andel_oberoende_av_klimat*VLOOKUP($A393,Leveranser_per_nät,'Leveranser per nät'!AA$1,FALSE)
               +Andel_beroende_av_klimat*VLOOKUP($A393,Leveranser_per_nät,'Leveranser per nät'!AA$1,FALSE)/VLOOKUP($B393,Korrigeringsfaktor_GD,'Korrigeringsfaktor GD'!AA$1,FALSE),
"")</f>
        <v>9.4963255033557044</v>
      </c>
      <c r="AB393" s="18">
        <f>IFERROR(
                  Andel_oberoende_av_klimat*VLOOKUP($A393,Leveranser_per_nät,'Leveranser per nät'!AB$1,FALSE)
               +Andel_beroende_av_klimat*VLOOKUP($A393,Leveranser_per_nät,'Leveranser per nät'!AB$1,FALSE)/VLOOKUP($B393,Korrigeringsfaktor_GD,'Korrigeringsfaktor GD'!AB$1,FALSE),
"")</f>
        <v>9.9520015624999996</v>
      </c>
      <c r="AC393" s="18">
        <f>IFERROR(
                  Andel_oberoende_av_klimat*VLOOKUP($A393,Leveranser_per_nät,'Leveranser per nät'!AC$1,FALSE)
               +Andel_beroende_av_klimat*VLOOKUP($A393,Leveranser_per_nät,'Leveranser per nät'!AC$1,FALSE)/VLOOKUP($B393,Korrigeringsfaktor_GD,'Korrigeringsfaktor GD'!AC$1,FALSE),
"")</f>
        <v>9.3426075268817197</v>
      </c>
      <c r="AD393">
        <v>8.875</v>
      </c>
    </row>
    <row r="394" spans="1:30" x14ac:dyDescent="0.25">
      <c r="A394" t="s">
        <v>427</v>
      </c>
      <c r="B394" t="s">
        <v>458</v>
      </c>
      <c r="C394" s="18">
        <f>IFERROR(
                  Andel_oberoende_av_klimat*VLOOKUP($A394,Leveranser_per_nät,'Leveranser per nät'!C$1,FALSE)
               +Andel_beroende_av_klimat*VLOOKUP($A394,Leveranser_per_nät,'Leveranser per nät'!C$1,FALSE)/VLOOKUP($B394,Korrigeringsfaktor_GD,'Korrigeringsfaktor GD'!C$1,FALSE),
"")</f>
        <v>0</v>
      </c>
      <c r="D394" s="18">
        <f>IFERROR(
                  Andel_oberoende_av_klimat*VLOOKUP($A394,Leveranser_per_nät,'Leveranser per nät'!D$1,FALSE)
               +Andel_beroende_av_klimat*VLOOKUP($A394,Leveranser_per_nät,'Leveranser per nät'!D$1,FALSE)/VLOOKUP($B394,Korrigeringsfaktor_GD,'Korrigeringsfaktor GD'!D$1,FALSE),
"")</f>
        <v>0</v>
      </c>
      <c r="E394" s="18">
        <f>IFERROR(
                  Andel_oberoende_av_klimat*VLOOKUP($A394,Leveranser_per_nät,'Leveranser per nät'!E$1,FALSE)
               +Andel_beroende_av_klimat*VLOOKUP($A394,Leveranser_per_nät,'Leveranser per nät'!E$1,FALSE)/VLOOKUP($B394,Korrigeringsfaktor_GD,'Korrigeringsfaktor GD'!E$1,FALSE),
"")</f>
        <v>1.7220909090909089</v>
      </c>
      <c r="F394" s="18">
        <f>IFERROR(
                  Andel_oberoende_av_klimat*VLOOKUP($A394,Leveranser_per_nät,'Leveranser per nät'!F$1,FALSE)
               +Andel_beroende_av_klimat*VLOOKUP($A394,Leveranser_per_nät,'Leveranser per nät'!F$1,FALSE)/VLOOKUP($B394,Korrigeringsfaktor_GD,'Korrigeringsfaktor GD'!F$1,FALSE),
"")</f>
        <v>2.0736842105263156</v>
      </c>
      <c r="G394" s="18">
        <f>IFERROR(
                  Andel_oberoende_av_klimat*VLOOKUP($A394,Leveranser_per_nät,'Leveranser per nät'!G$1,FALSE)
               +Andel_beroende_av_klimat*VLOOKUP($A394,Leveranser_per_nät,'Leveranser per nät'!G$1,FALSE)/VLOOKUP($B394,Korrigeringsfaktor_GD,'Korrigeringsfaktor GD'!G$1,FALSE),
"")</f>
        <v>2.2091954022988505</v>
      </c>
      <c r="H394" s="18">
        <f>IFERROR(
                  Andel_oberoende_av_klimat*VLOOKUP($A394,Leveranser_per_nät,'Leveranser per nät'!H$1,FALSE)
               +Andel_beroende_av_klimat*VLOOKUP($A394,Leveranser_per_nät,'Leveranser per nät'!H$1,FALSE)/VLOOKUP($B394,Korrigeringsfaktor_GD,'Korrigeringsfaktor GD'!H$1,FALSE),
"")</f>
        <v>2</v>
      </c>
      <c r="I394" s="18">
        <f>IFERROR(
                  Andel_oberoende_av_klimat*VLOOKUP($A394,Leveranser_per_nät,'Leveranser per nät'!I$1,FALSE)
               +Andel_beroende_av_klimat*VLOOKUP($A394,Leveranser_per_nät,'Leveranser per nät'!I$1,FALSE)/VLOOKUP($B394,Korrigeringsfaktor_GD,'Korrigeringsfaktor GD'!I$1,FALSE),
"")</f>
        <v>2.0736842105263156</v>
      </c>
      <c r="J394" s="18">
        <f>IFERROR(
                  Andel_oberoende_av_klimat*VLOOKUP($A394,Leveranser_per_nät,'Leveranser per nät'!J$1,FALSE)
               +Andel_beroende_av_klimat*VLOOKUP($A394,Leveranser_per_nät,'Leveranser per nät'!J$1,FALSE)/VLOOKUP($B394,Korrigeringsfaktor_GD,'Korrigeringsfaktor GD'!J$1,FALSE),
"")</f>
        <v>0</v>
      </c>
      <c r="K394" s="18">
        <f>IFERROR(
                  Andel_oberoende_av_klimat*VLOOKUP($A394,Leveranser_per_nät,'Leveranser per nät'!K$1,FALSE)
               +Andel_beroende_av_klimat*VLOOKUP($A394,Leveranser_per_nät,'Leveranser per nät'!K$1,FALSE)/VLOOKUP($B394,Korrigeringsfaktor_GD,'Korrigeringsfaktor GD'!K$1,FALSE),
"")</f>
        <v>0</v>
      </c>
      <c r="L394" s="18">
        <f>IFERROR(
                  Andel_oberoende_av_klimat*VLOOKUP($A394,Leveranser_per_nät,'Leveranser per nät'!L$1,FALSE)
               +Andel_beroende_av_klimat*VLOOKUP($A394,Leveranser_per_nät,'Leveranser per nät'!L$1,FALSE)/VLOOKUP($B394,Korrigeringsfaktor_GD,'Korrigeringsfaktor GD'!L$1,FALSE),
"")</f>
        <v>0</v>
      </c>
      <c r="M394" s="18">
        <f>IFERROR(
                  Andel_oberoende_av_klimat*VLOOKUP($A394,Leveranser_per_nät,'Leveranser per nät'!M$1,FALSE)
               +Andel_beroende_av_klimat*VLOOKUP($A394,Leveranser_per_nät,'Leveranser per nät'!M$1,FALSE)/VLOOKUP($B394,Korrigeringsfaktor_GD,'Korrigeringsfaktor GD'!M$1,FALSE),
"")</f>
        <v>0</v>
      </c>
      <c r="N394" s="18">
        <f>IFERROR(
                  Andel_oberoende_av_klimat*VLOOKUP($A394,Leveranser_per_nät,'Leveranser per nät'!N$1,FALSE)
               +Andel_beroende_av_klimat*VLOOKUP($A394,Leveranser_per_nät,'Leveranser per nät'!N$1,FALSE)/VLOOKUP($B394,Korrigeringsfaktor_GD,'Korrigeringsfaktor GD'!N$1,FALSE),
"")</f>
        <v>0</v>
      </c>
      <c r="O394" s="18">
        <f>IFERROR(
                  Andel_oberoende_av_klimat*VLOOKUP($A394,Leveranser_per_nät,'Leveranser per nät'!O$1,FALSE)
               +Andel_beroende_av_klimat*VLOOKUP($A394,Leveranser_per_nät,'Leveranser per nät'!O$1,FALSE)/VLOOKUP($B394,Korrigeringsfaktor_GD,'Korrigeringsfaktor GD'!O$1,FALSE),
"")</f>
        <v>0</v>
      </c>
      <c r="P394" s="18">
        <f>IFERROR(
                  Andel_oberoende_av_klimat*VLOOKUP($A394,Leveranser_per_nät,'Leveranser per nät'!P$1,FALSE)
               +Andel_beroende_av_klimat*VLOOKUP($A394,Leveranser_per_nät,'Leveranser per nät'!P$1,FALSE)/VLOOKUP($B394,Korrigeringsfaktor_GD,'Korrigeringsfaktor GD'!P$1,FALSE),
"")</f>
        <v>0</v>
      </c>
      <c r="Q394" s="18">
        <f>IFERROR(
                  Andel_oberoende_av_klimat*VLOOKUP($A394,Leveranser_per_nät,'Leveranser per nät'!Q$1,FALSE)
               +Andel_beroende_av_klimat*VLOOKUP($A394,Leveranser_per_nät,'Leveranser per nät'!Q$1,FALSE)/VLOOKUP($B394,Korrigeringsfaktor_GD,'Korrigeringsfaktor GD'!Q$1,FALSE),
"")</f>
        <v>0</v>
      </c>
      <c r="R394" s="18">
        <f>IFERROR(
                  Andel_oberoende_av_klimat*VLOOKUP($A394,Leveranser_per_nät,'Leveranser per nät'!R$1,FALSE)
               +Andel_beroende_av_klimat*VLOOKUP($A394,Leveranser_per_nät,'Leveranser per nät'!R$1,FALSE)/VLOOKUP($B394,Korrigeringsfaktor_GD,'Korrigeringsfaktor GD'!R$1,FALSE),
"")</f>
        <v>0</v>
      </c>
      <c r="S394" s="18" t="str">
        <f>IFERROR(
                  Andel_oberoende_av_klimat*VLOOKUP($A394,Leveranser_per_nät,'Leveranser per nät'!S$1,FALSE)
               +Andel_beroende_av_klimat*VLOOKUP($A394,Leveranser_per_nät,'Leveranser per nät'!S$1,FALSE)/VLOOKUP($B394,Korrigeringsfaktor_GD,'Korrigeringsfaktor GD'!S$1,FALSE),
"")</f>
        <v/>
      </c>
      <c r="T394" s="18" t="str">
        <f>IFERROR(
                  Andel_oberoende_av_klimat*VLOOKUP($A394,Leveranser_per_nät,'Leveranser per nät'!T$1,FALSE)
               +Andel_beroende_av_klimat*VLOOKUP($A394,Leveranser_per_nät,'Leveranser per nät'!T$1,FALSE)/VLOOKUP($B394,Korrigeringsfaktor_GD,'Korrigeringsfaktor GD'!T$1,FALSE),
"")</f>
        <v/>
      </c>
      <c r="U394" s="18" t="str">
        <f>IFERROR(
                  Andel_oberoende_av_klimat*VLOOKUP($A394,Leveranser_per_nät,'Leveranser per nät'!U$1,FALSE)
               +Andel_beroende_av_klimat*VLOOKUP($A394,Leveranser_per_nät,'Leveranser per nät'!U$1,FALSE)/VLOOKUP($B394,Korrigeringsfaktor_GD,'Korrigeringsfaktor GD'!U$1,FALSE),
"")</f>
        <v/>
      </c>
      <c r="V394" s="18" t="str">
        <f>IFERROR(
                  Andel_oberoende_av_klimat*VLOOKUP($A394,Leveranser_per_nät,'Leveranser per nät'!V$1,FALSE)
               +Andel_beroende_av_klimat*VLOOKUP($A394,Leveranser_per_nät,'Leveranser per nät'!V$1,FALSE)/VLOOKUP($B394,Korrigeringsfaktor_GD,'Korrigeringsfaktor GD'!V$1,FALSE),
"")</f>
        <v/>
      </c>
      <c r="W394" s="18" t="str">
        <f>IFERROR(
                  Andel_oberoende_av_klimat*VLOOKUP($A394,Leveranser_per_nät,'Leveranser per nät'!W$1,FALSE)
               +Andel_beroende_av_klimat*VLOOKUP($A394,Leveranser_per_nät,'Leveranser per nät'!W$1,FALSE)/VLOOKUP($B394,Korrigeringsfaktor_GD,'Korrigeringsfaktor GD'!W$1,FALSE),
"")</f>
        <v/>
      </c>
      <c r="X394" s="18" t="str">
        <f>IFERROR(
                  Andel_oberoende_av_klimat*VLOOKUP($A394,Leveranser_per_nät,'Leveranser per nät'!X$1,FALSE)
               +Andel_beroende_av_klimat*VLOOKUP($A394,Leveranser_per_nät,'Leveranser per nät'!X$1,FALSE)/VLOOKUP($B394,Korrigeringsfaktor_GD,'Korrigeringsfaktor GD'!X$1,FALSE),
"")</f>
        <v/>
      </c>
      <c r="Y394" s="18" t="str">
        <f>IFERROR(
                  Andel_oberoende_av_klimat*VLOOKUP($A394,Leveranser_per_nät,'Leveranser per nät'!Y$1,FALSE)
               +Andel_beroende_av_klimat*VLOOKUP($A394,Leveranser_per_nät,'Leveranser per nät'!Y$1,FALSE)/VLOOKUP($B394,Korrigeringsfaktor_GD,'Korrigeringsfaktor GD'!Y$1,FALSE),
"")</f>
        <v/>
      </c>
      <c r="Z394" s="18">
        <f>IFERROR(
                  Andel_oberoende_av_klimat*VLOOKUP($A394,Leveranser_per_nät,'Leveranser per nät'!Z$1,FALSE)
               +Andel_beroende_av_klimat*VLOOKUP($A394,Leveranser_per_nät,'Leveranser per nät'!Z$1,FALSE)/VLOOKUP($B394,Korrigeringsfaktor_GD,'Korrigeringsfaktor GD'!Z$1,FALSE),
"")</f>
        <v>0</v>
      </c>
      <c r="AA394" s="18" t="str">
        <f>IFERROR(
                  Andel_oberoende_av_klimat*VLOOKUP($A394,Leveranser_per_nät,'Leveranser per nät'!AA$1,FALSE)
               +Andel_beroende_av_klimat*VLOOKUP($A394,Leveranser_per_nät,'Leveranser per nät'!AA$1,FALSE)/VLOOKUP($B394,Korrigeringsfaktor_GD,'Korrigeringsfaktor GD'!AA$1,FALSE),
"")</f>
        <v/>
      </c>
      <c r="AB394" s="18">
        <f>IFERROR(
                  Andel_oberoende_av_klimat*VLOOKUP($A394,Leveranser_per_nät,'Leveranser per nät'!AB$1,FALSE)
               +Andel_beroende_av_klimat*VLOOKUP($A394,Leveranser_per_nät,'Leveranser per nät'!AB$1,FALSE)/VLOOKUP($B394,Korrigeringsfaktor_GD,'Korrigeringsfaktor GD'!AB$1,FALSE),
"")</f>
        <v>0</v>
      </c>
      <c r="AC394" s="18">
        <f>IFERROR(
                  Andel_oberoende_av_klimat*VLOOKUP($A394,Leveranser_per_nät,'Leveranser per nät'!AC$1,FALSE)
               +Andel_beroende_av_klimat*VLOOKUP($A394,Leveranser_per_nät,'Leveranser per nät'!AC$1,FALSE)/VLOOKUP($B394,Korrigeringsfaktor_GD,'Korrigeringsfaktor GD'!AC$1,FALSE),
"")</f>
        <v>0</v>
      </c>
      <c r="AD394" t="e">
        <v>#N/A</v>
      </c>
    </row>
    <row r="395" spans="1:30" x14ac:dyDescent="0.25">
      <c r="A395" t="s">
        <v>216</v>
      </c>
      <c r="B395" t="s">
        <v>216</v>
      </c>
      <c r="C395" s="18">
        <f>IFERROR(
                  Andel_oberoende_av_klimat*VLOOKUP($A395,Leveranser_per_nät,'Leveranser per nät'!C$1,FALSE)
               +Andel_beroende_av_klimat*VLOOKUP($A395,Leveranser_per_nät,'Leveranser per nät'!C$1,FALSE)/VLOOKUP("Skövde",Korrigeringsfaktor_GD,'Korrigeringsfaktor GD'!C$1,FALSE),
"")</f>
        <v>0</v>
      </c>
      <c r="D395" s="18">
        <f>IFERROR(
                  Andel_oberoende_av_klimat*VLOOKUP($A395,Leveranser_per_nät,'Leveranser per nät'!D$1,FALSE)
               +Andel_beroende_av_klimat*VLOOKUP($A395,Leveranser_per_nät,'Leveranser per nät'!D$1,FALSE)/VLOOKUP("Skövde",Korrigeringsfaktor_GD,'Korrigeringsfaktor GD'!D$1,FALSE),
"")</f>
        <v>0</v>
      </c>
      <c r="E395" s="18">
        <f>IFERROR(
                  Andel_oberoende_av_klimat*VLOOKUP($A395,Leveranser_per_nät,'Leveranser per nät'!E$1,FALSE)
               +Andel_beroende_av_klimat*VLOOKUP($A395,Leveranser_per_nät,'Leveranser per nät'!E$1,FALSE)/VLOOKUP("Skövde",Korrigeringsfaktor_GD,'Korrigeringsfaktor GD'!E$1,FALSE),
"")</f>
        <v>0</v>
      </c>
      <c r="F395" s="18">
        <f>IFERROR(
                  Andel_oberoende_av_klimat*VLOOKUP($A395,Leveranser_per_nät,'Leveranser per nät'!F$1,FALSE)
               +Andel_beroende_av_klimat*VLOOKUP($A395,Leveranser_per_nät,'Leveranser per nät'!F$1,FALSE)/VLOOKUP("Skövde",Korrigeringsfaktor_GD,'Korrigeringsfaktor GD'!F$1,FALSE),
"")</f>
        <v>0</v>
      </c>
      <c r="G395" s="18">
        <f>IFERROR(
                  Andel_oberoende_av_klimat*VLOOKUP($A395,Leveranser_per_nät,'Leveranser per nät'!G$1,FALSE)
               +Andel_beroende_av_klimat*VLOOKUP($A395,Leveranser_per_nät,'Leveranser per nät'!G$1,FALSE)/VLOOKUP("Skövde",Korrigeringsfaktor_GD,'Korrigeringsfaktor GD'!G$1,FALSE),
"")</f>
        <v>0</v>
      </c>
      <c r="H395" s="18">
        <f>IFERROR(
                  Andel_oberoende_av_klimat*VLOOKUP($A395,Leveranser_per_nät,'Leveranser per nät'!H$1,FALSE)
               +Andel_beroende_av_klimat*VLOOKUP($A395,Leveranser_per_nät,'Leveranser per nät'!H$1,FALSE)/VLOOKUP("Skövde",Korrigeringsfaktor_GD,'Korrigeringsfaktor GD'!H$1,FALSE),
"")</f>
        <v>36.390999999999998</v>
      </c>
      <c r="I395" s="18">
        <f>IFERROR(
                  Andel_oberoende_av_klimat*VLOOKUP($A395,Leveranser_per_nät,'Leveranser per nät'!I$1,FALSE)
               +Andel_beroende_av_klimat*VLOOKUP($A395,Leveranser_per_nät,'Leveranser per nät'!I$1,FALSE)/VLOOKUP("Skövde",Korrigeringsfaktor_GD,'Korrigeringsfaktor GD'!I$1,FALSE),
"")</f>
        <v>40.278714893617021</v>
      </c>
      <c r="J395" s="18">
        <f>IFERROR(
                  Andel_oberoende_av_klimat*VLOOKUP($A395,Leveranser_per_nät,'Leveranser per nät'!J$1,FALSE)
               +Andel_beroende_av_klimat*VLOOKUP($A395,Leveranser_per_nät,'Leveranser per nät'!J$1,FALSE)/VLOOKUP("Skövde",Korrigeringsfaktor_GD,'Korrigeringsfaktor GD'!J$1,FALSE),
"")</f>
        <v>44.733944329896907</v>
      </c>
      <c r="K395" s="18">
        <f>IFERROR(
                  Andel_oberoende_av_klimat*VLOOKUP($A395,Leveranser_per_nät,'Leveranser per nät'!K$1,FALSE)
               +Andel_beroende_av_klimat*VLOOKUP($A395,Leveranser_per_nät,'Leveranser per nät'!K$1,FALSE)/VLOOKUP("Skövde",Korrigeringsfaktor_GD,'Korrigeringsfaktor GD'!K$1,FALSE),
"")</f>
        <v>46.907671428571433</v>
      </c>
      <c r="L395" s="18">
        <f>IFERROR(
                  Andel_oberoende_av_klimat*VLOOKUP($A395,Leveranser_per_nät,'Leveranser per nät'!L$1,FALSE)
               +Andel_beroende_av_klimat*VLOOKUP($A395,Leveranser_per_nät,'Leveranser per nät'!L$1,FALSE)/VLOOKUP("Skövde",Korrigeringsfaktor_GD,'Korrigeringsfaktor GD'!L$1,FALSE),
"")</f>
        <v>47.853978807133068</v>
      </c>
      <c r="M395" s="18">
        <f>IFERROR(
                  Andel_oberoende_av_klimat*VLOOKUP($A395,Leveranser_per_nät,'Leveranser per nät'!M$1,FALSE)
               +Andel_beroende_av_klimat*VLOOKUP($A395,Leveranser_per_nät,'Leveranser per nät'!M$1,FALSE)/VLOOKUP("Skövde",Korrigeringsfaktor_GD,'Korrigeringsfaktor GD'!M$1,FALSE),
"")</f>
        <v>65.451408695652162</v>
      </c>
      <c r="N395" s="18">
        <f>IFERROR(
                  Andel_oberoende_av_klimat*VLOOKUP($A395,Leveranser_per_nät,'Leveranser per nät'!N$1,FALSE)
               +Andel_beroende_av_klimat*VLOOKUP($A395,Leveranser_per_nät,'Leveranser per nät'!N$1,FALSE)/VLOOKUP("Skövde",Korrigeringsfaktor_GD,'Korrigeringsfaktor GD'!N$1,FALSE),
"")</f>
        <v>15.196666666666665</v>
      </c>
      <c r="O395" s="18">
        <f>IFERROR(
                  Andel_oberoende_av_klimat*VLOOKUP($A395,Leveranser_per_nät,'Leveranser per nät'!O$1,FALSE)
               +Andel_beroende_av_klimat*VLOOKUP($A395,Leveranser_per_nät,'Leveranser per nät'!O$1,FALSE)/VLOOKUP("Skövde",Korrigeringsfaktor_GD,'Korrigeringsfaktor GD'!O$1,FALSE),
"")</f>
        <v>66.386179775280894</v>
      </c>
      <c r="P395" s="18">
        <f>IFERROR(
                  Andel_oberoende_av_klimat*VLOOKUP($A395,Leveranser_per_nät,'Leveranser per nät'!P$1,FALSE)
               +Andel_beroende_av_klimat*VLOOKUP($A395,Leveranser_per_nät,'Leveranser per nät'!P$1,FALSE)/VLOOKUP("Skövde",Korrigeringsfaktor_GD,'Korrigeringsfaktor GD'!P$1,FALSE),
"")</f>
        <v>54.771428571428572</v>
      </c>
      <c r="Q395" s="18">
        <f>IFERROR(
                  Andel_oberoende_av_klimat*VLOOKUP($A395,Leveranser_per_nät,'Leveranser per nät'!Q$1,FALSE)
               +Andel_beroende_av_klimat*VLOOKUP($A395,Leveranser_per_nät,'Leveranser per nät'!Q$1,FALSE)/VLOOKUP("Skövde",Korrigeringsfaktor_GD,'Korrigeringsfaktor GD'!Q$1,FALSE),
"")</f>
        <v>55.468983050847463</v>
      </c>
      <c r="R395" s="18">
        <f>IFERROR(
                  Andel_oberoende_av_klimat*VLOOKUP($A395,Leveranser_per_nät,'Leveranser per nät'!R$1,FALSE)
               +Andel_beroende_av_klimat*VLOOKUP($A395,Leveranser_per_nät,'Leveranser per nät'!R$1,FALSE)/VLOOKUP("Skövde",Korrigeringsfaktor_GD,'Korrigeringsfaktor GD'!R$1,FALSE),
"")</f>
        <v>58.700769230769225</v>
      </c>
      <c r="S395" s="18">
        <f>IFERROR(
                  Andel_oberoende_av_klimat*VLOOKUP($A395,Leveranser_per_nät,'Leveranser per nät'!S$1,FALSE)
               +Andel_beroende_av_klimat*VLOOKUP($A395,Leveranser_per_nät,'Leveranser per nät'!S$1,FALSE)/VLOOKUP("Skövde",Korrigeringsfaktor_GD,'Korrigeringsfaktor GD'!S$1,FALSE),
"")</f>
        <v>56.5</v>
      </c>
      <c r="T395" s="18">
        <f>IFERROR(
                  Andel_oberoende_av_klimat*VLOOKUP($A395,Leveranser_per_nät,'Leveranser per nät'!T$1,FALSE)
               +Andel_beroende_av_klimat*VLOOKUP($A395,Leveranser_per_nät,'Leveranser per nät'!T$1,FALSE)/VLOOKUP("Skövde",Korrigeringsfaktor_GD,'Korrigeringsfaktor GD'!T$1,FALSE),
"")</f>
        <v>82.651443298969085</v>
      </c>
      <c r="U395" s="18">
        <f>IFERROR(
                  Andel_oberoende_av_klimat*VLOOKUP($A395,Leveranser_per_nät,'Leveranser per nät'!U$1,FALSE)
               +Andel_beroende_av_klimat*VLOOKUP($A395,Leveranser_per_nät,'Leveranser per nät'!U$1,FALSE)/VLOOKUP("Skövde",Korrigeringsfaktor_GD,'Korrigeringsfaktor GD'!U$1,FALSE),
"")</f>
        <v>54.36093023255814</v>
      </c>
      <c r="V395" s="18">
        <f>IFERROR(
                  Andel_oberoende_av_klimat*VLOOKUP($A395,Leveranser_per_nät,'Leveranser per nät'!V$1,FALSE)
               +Andel_beroende_av_klimat*VLOOKUP($A395,Leveranser_per_nät,'Leveranser per nät'!V$1,FALSE)/VLOOKUP("Skövde",Korrigeringsfaktor_GD,'Korrigeringsfaktor GD'!V$1,FALSE),
"")</f>
        <v>55.17230769230769</v>
      </c>
      <c r="W395" s="18">
        <f>IFERROR(
                  Andel_oberoende_av_klimat*VLOOKUP($A395,Leveranser_per_nät,'Leveranser per nät'!W$1,FALSE)
               +Andel_beroende_av_klimat*VLOOKUP($A395,Leveranser_per_nät,'Leveranser per nät'!W$1,FALSE)/VLOOKUP("Skövde",Korrigeringsfaktor_GD,'Korrigeringsfaktor GD'!W$1,FALSE),
"")</f>
        <v>56.803711340206192</v>
      </c>
      <c r="X395" s="18">
        <f>IFERROR(
                  Andel_oberoende_av_klimat*VLOOKUP($A395,Leveranser_per_nät,'Leveranser per nät'!X$1,FALSE)
               +Andel_beroende_av_klimat*VLOOKUP($A395,Leveranser_per_nät,'Leveranser per nät'!X$1,FALSE)/VLOOKUP("Skövde",Korrigeringsfaktor_GD,'Korrigeringsfaktor GD'!X$1,FALSE),
"")</f>
        <v>61.955833333333338</v>
      </c>
      <c r="Y395" s="18">
        <f>IFERROR(
                  Andel_oberoende_av_klimat*VLOOKUP($A395,Leveranser_per_nät,'Leveranser per nät'!Y$1,FALSE)
               +Andel_beroende_av_klimat*VLOOKUP($A395,Leveranser_per_nät,'Leveranser per nät'!Y$1,FALSE)/VLOOKUP($B395,Korrigeringsfaktor_GD,'Korrigeringsfaktor GD'!Y$1,FALSE),
"")</f>
        <v>61.390668817204293</v>
      </c>
      <c r="Z395" s="18">
        <f>IFERROR(
                  Andel_oberoende_av_klimat*VLOOKUP($A395,Leveranser_per_nät,'Leveranser per nät'!Z$1,FALSE)
               +Andel_beroende_av_klimat*VLOOKUP($A395,Leveranser_per_nät,'Leveranser per nät'!Z$1,FALSE)/VLOOKUP($B395,Korrigeringsfaktor_GD,'Korrigeringsfaktor GD'!Z$1,FALSE),
"")</f>
        <v>19.983217977528085</v>
      </c>
      <c r="AA395" s="18">
        <f>IFERROR(
                  Andel_oberoende_av_klimat*VLOOKUP($A395,Leveranser_per_nät,'Leveranser per nät'!AA$1,FALSE)
               +Andel_beroende_av_klimat*VLOOKUP($A395,Leveranser_per_nät,'Leveranser per nät'!AA$1,FALSE)/VLOOKUP($B395,Korrigeringsfaktor_GD,'Korrigeringsfaktor GD'!AA$1,FALSE),
"")</f>
        <v>62.557168693537179</v>
      </c>
      <c r="AB395" s="18">
        <f>IFERROR(
                  Andel_oberoende_av_klimat*VLOOKUP($A395,Leveranser_per_nät,'Leveranser per nät'!AB$1,FALSE)
               +Andel_beroende_av_klimat*VLOOKUP($A395,Leveranser_per_nät,'Leveranser per nät'!AB$1,FALSE)/VLOOKUP($B395,Korrigeringsfaktor_GD,'Korrigeringsfaktor GD'!AB$1,FALSE),
"")</f>
        <v>22.887639250493102</v>
      </c>
      <c r="AC395" s="18">
        <f>IFERROR(
                  Andel_oberoende_av_klimat*VLOOKUP($A395,Leveranser_per_nät,'Leveranser per nät'!AC$1,FALSE)
               +Andel_beroende_av_klimat*VLOOKUP($A395,Leveranser_per_nät,'Leveranser per nät'!AC$1,FALSE)/VLOOKUP($B395,Korrigeringsfaktor_GD,'Korrigeringsfaktor GD'!AC$1,FALSE),
"")</f>
        <v>22.695611404435063</v>
      </c>
      <c r="AD395">
        <v>59.584000000000003</v>
      </c>
    </row>
    <row r="396" spans="1:30" x14ac:dyDescent="0.25">
      <c r="A396" t="s">
        <v>314</v>
      </c>
      <c r="B396" t="s">
        <v>314</v>
      </c>
      <c r="C396" s="18">
        <f>IFERROR(
                  Andel_oberoende_av_klimat*VLOOKUP($A396,Leveranser_per_nät,'Leveranser per nät'!C$1,FALSE)
               +Andel_beroende_av_klimat*VLOOKUP($A396,Leveranser_per_nät,'Leveranser per nät'!C$1,FALSE)/VLOOKUP("Falköping",Korrigeringsfaktor_GD,'Korrigeringsfaktor GD'!C$1,FALSE),
"")</f>
        <v>0</v>
      </c>
      <c r="D396" s="18">
        <f>IFERROR(
                  Andel_oberoende_av_klimat*VLOOKUP($A396,Leveranser_per_nät,'Leveranser per nät'!D$1,FALSE)
               +Andel_beroende_av_klimat*VLOOKUP($A396,Leveranser_per_nät,'Leveranser per nät'!D$1,FALSE)/VLOOKUP("Falköping",Korrigeringsfaktor_GD,'Korrigeringsfaktor GD'!D$1,FALSE),
"")</f>
        <v>10.292262626262627</v>
      </c>
      <c r="E396" s="18">
        <f>IFERROR(
                  Andel_oberoende_av_klimat*VLOOKUP($A396,Leveranser_per_nät,'Leveranser per nät'!E$1,FALSE)
               +Andel_beroende_av_klimat*VLOOKUP($A396,Leveranser_per_nät,'Leveranser per nät'!E$1,FALSE)/VLOOKUP("Falköping",Korrigeringsfaktor_GD,'Korrigeringsfaktor GD'!E$1,FALSE),
"")</f>
        <v>12.909900990099009</v>
      </c>
      <c r="F396" s="18">
        <f>IFERROR(
                  Andel_oberoende_av_klimat*VLOOKUP($A396,Leveranser_per_nät,'Leveranser per nät'!F$1,FALSE)
               +Andel_beroende_av_klimat*VLOOKUP($A396,Leveranser_per_nät,'Leveranser per nät'!F$1,FALSE)/VLOOKUP("Falköping",Korrigeringsfaktor_GD,'Korrigeringsfaktor GD'!F$1,FALSE),
"")</f>
        <v>13.478947368421053</v>
      </c>
      <c r="G396" s="18">
        <f>IFERROR(
                  Andel_oberoende_av_klimat*VLOOKUP($A396,Leveranser_per_nät,'Leveranser per nät'!G$1,FALSE)
               +Andel_beroende_av_klimat*VLOOKUP($A396,Leveranser_per_nät,'Leveranser per nät'!G$1,FALSE)/VLOOKUP("Falköping",Korrigeringsfaktor_GD,'Korrigeringsfaktor GD'!G$1,FALSE),
"")</f>
        <v>15.464367816091954</v>
      </c>
      <c r="H396" s="18">
        <f>IFERROR(
                  Andel_oberoende_av_klimat*VLOOKUP($A396,Leveranser_per_nät,'Leveranser per nät'!H$1,FALSE)
               +Andel_beroende_av_klimat*VLOOKUP($A396,Leveranser_per_nät,'Leveranser per nät'!H$1,FALSE)/VLOOKUP("Falköping",Korrigeringsfaktor_GD,'Korrigeringsfaktor GD'!H$1,FALSE),
"")</f>
        <v>16</v>
      </c>
      <c r="I396" s="18">
        <f>IFERROR(
                  Andel_oberoende_av_klimat*VLOOKUP($A396,Leveranser_per_nät,'Leveranser per nät'!I$1,FALSE)
               +Andel_beroende_av_klimat*VLOOKUP($A396,Leveranser_per_nät,'Leveranser per nät'!I$1,FALSE)/VLOOKUP("Falköping",Korrigeringsfaktor_GD,'Korrigeringsfaktor GD'!I$1,FALSE),
"")</f>
        <v>21.938297872340428</v>
      </c>
      <c r="J396" s="18">
        <f>IFERROR(
                  Andel_oberoende_av_klimat*VLOOKUP($A396,Leveranser_per_nät,'Leveranser per nät'!J$1,FALSE)
               +Andel_beroende_av_klimat*VLOOKUP($A396,Leveranser_per_nät,'Leveranser per nät'!J$1,FALSE)/VLOOKUP("Falköping",Korrigeringsfaktor_GD,'Korrigeringsfaktor GD'!J$1,FALSE),
"")</f>
        <v>26.562886597938146</v>
      </c>
      <c r="K396" s="18">
        <f>IFERROR(
                  Andel_oberoende_av_klimat*VLOOKUP($A396,Leveranser_per_nät,'Leveranser per nät'!K$1,FALSE)
               +Andel_beroende_av_klimat*VLOOKUP($A396,Leveranser_per_nät,'Leveranser per nät'!K$1,FALSE)/VLOOKUP("Falköping",Korrigeringsfaktor_GD,'Korrigeringsfaktor GD'!K$1,FALSE),
"")</f>
        <v>28.631257142857145</v>
      </c>
      <c r="L396" s="18">
        <f>IFERROR(
                  Andel_oberoende_av_klimat*VLOOKUP($A396,Leveranser_per_nät,'Leveranser per nät'!L$1,FALSE)
               +Andel_beroende_av_klimat*VLOOKUP($A396,Leveranser_per_nät,'Leveranser per nät'!L$1,FALSE)/VLOOKUP("Falköping",Korrigeringsfaktor_GD,'Korrigeringsfaktor GD'!L$1,FALSE),
"")</f>
        <v>29.692487499999999</v>
      </c>
      <c r="M396" s="18">
        <f>IFERROR(
                  Andel_oberoende_av_klimat*VLOOKUP($A396,Leveranser_per_nät,'Leveranser per nät'!M$1,FALSE)
               +Andel_beroende_av_klimat*VLOOKUP($A396,Leveranser_per_nät,'Leveranser per nät'!M$1,FALSE)/VLOOKUP("Falköping",Korrigeringsfaktor_GD,'Korrigeringsfaktor GD'!M$1,FALSE),
"")</f>
        <v>49.476344086021506</v>
      </c>
      <c r="N396" s="18">
        <f>IFERROR(
                  Andel_oberoende_av_klimat*VLOOKUP($A396,Leveranser_per_nät,'Leveranser per nät'!N$1,FALSE)
               +Andel_beroende_av_klimat*VLOOKUP($A396,Leveranser_per_nät,'Leveranser per nät'!N$1,FALSE)/VLOOKUP("Falköping",Korrigeringsfaktor_GD,'Korrigeringsfaktor GD'!N$1,FALSE),
"")</f>
        <v>49.184615384615384</v>
      </c>
      <c r="O396" s="18">
        <f>IFERROR(
                  Andel_oberoende_av_klimat*VLOOKUP($A396,Leveranser_per_nät,'Leveranser per nät'!O$1,FALSE)
               +Andel_beroende_av_klimat*VLOOKUP($A396,Leveranser_per_nät,'Leveranser per nät'!O$1,FALSE)/VLOOKUP("Falköping",Korrigeringsfaktor_GD,'Korrigeringsfaktor GD'!O$1,FALSE),
"")</f>
        <v>52.81111111111111</v>
      </c>
      <c r="P396" s="18">
        <f>IFERROR(
                  Andel_oberoende_av_klimat*VLOOKUP($A396,Leveranser_per_nät,'Leveranser per nät'!P$1,FALSE)
               +Andel_beroende_av_klimat*VLOOKUP($A396,Leveranser_per_nät,'Leveranser per nät'!P$1,FALSE)/VLOOKUP("Falköping",Korrigeringsfaktor_GD,'Korrigeringsfaktor GD'!P$1,FALSE),
"")</f>
        <v>58.828571428571422</v>
      </c>
      <c r="Q396" s="18">
        <f>IFERROR(
                  Andel_oberoende_av_klimat*VLOOKUP($A396,Leveranser_per_nät,'Leveranser per nät'!Q$1,FALSE)
               +Andel_beroende_av_klimat*VLOOKUP($A396,Leveranser_per_nät,'Leveranser per nät'!Q$1,FALSE)/VLOOKUP("Falköping",Korrigeringsfaktor_GD,'Korrigeringsfaktor GD'!Q$1,FALSE),
"")</f>
        <v>59.626733333333334</v>
      </c>
      <c r="R396" s="18">
        <f>IFERROR(
                  Andel_oberoende_av_klimat*VLOOKUP($A396,Leveranser_per_nät,'Leveranser per nät'!R$1,FALSE)
               +Andel_beroende_av_klimat*VLOOKUP($A396,Leveranser_per_nät,'Leveranser per nät'!R$1,FALSE)/VLOOKUP("Falköping",Korrigeringsfaktor_GD,'Korrigeringsfaktor GD'!R$1,FALSE),
"")</f>
        <v>59.342307692307685</v>
      </c>
      <c r="S396" s="18">
        <f>IFERROR(
                  Andel_oberoende_av_klimat*VLOOKUP($A396,Leveranser_per_nät,'Leveranser per nät'!S$1,FALSE)
               +Andel_beroende_av_klimat*VLOOKUP($A396,Leveranser_per_nät,'Leveranser per nät'!S$1,FALSE)/VLOOKUP("Falköping",Korrigeringsfaktor_GD,'Korrigeringsfaktor GD'!S$1,FALSE),
"")</f>
        <v>58.591089108910893</v>
      </c>
      <c r="T396" s="18">
        <f>IFERROR(
                  Andel_oberoende_av_klimat*VLOOKUP($A396,Leveranser_per_nät,'Leveranser per nät'!T$1,FALSE)
               +Andel_beroende_av_klimat*VLOOKUP($A396,Leveranser_per_nät,'Leveranser per nät'!T$1,FALSE)/VLOOKUP("Falköping",Korrigeringsfaktor_GD,'Korrigeringsfaktor GD'!T$1,FALSE),
"")</f>
        <v>58.657157142857145</v>
      </c>
      <c r="U396" s="18">
        <f>IFERROR(
                  Andel_oberoende_av_klimat*VLOOKUP($A396,Leveranser_per_nät,'Leveranser per nät'!U$1,FALSE)
               +Andel_beroende_av_klimat*VLOOKUP($A396,Leveranser_per_nät,'Leveranser per nät'!U$1,FALSE)/VLOOKUP("Falköping",Korrigeringsfaktor_GD,'Korrigeringsfaktor GD'!U$1,FALSE),
"")</f>
        <v>55.42921162790698</v>
      </c>
      <c r="V396" s="18">
        <f>IFERROR(
                  Andel_oberoende_av_klimat*VLOOKUP($A396,Leveranser_per_nät,'Leveranser per nät'!V$1,FALSE)
               +Andel_beroende_av_klimat*VLOOKUP($A396,Leveranser_per_nät,'Leveranser per nät'!V$1,FALSE)/VLOOKUP("Falköping",Korrigeringsfaktor_GD,'Korrigeringsfaktor GD'!V$1,FALSE),
"")</f>
        <v>52.018076923076919</v>
      </c>
      <c r="W396" s="18">
        <f>IFERROR(
                  Andel_oberoende_av_klimat*VLOOKUP($A396,Leveranser_per_nät,'Leveranser per nät'!W$1,FALSE)
               +Andel_beroende_av_klimat*VLOOKUP($A396,Leveranser_per_nät,'Leveranser per nät'!W$1,FALSE)/VLOOKUP("Falköping",Korrigeringsfaktor_GD,'Korrigeringsfaktor GD'!W$1,FALSE),
"")</f>
        <v>55.199891489361704</v>
      </c>
      <c r="X396" s="18">
        <f>IFERROR(
                  Andel_oberoende_av_klimat*VLOOKUP($A396,Leveranser_per_nät,'Leveranser per nät'!X$1,FALSE)
               +Andel_beroende_av_klimat*VLOOKUP($A396,Leveranser_per_nät,'Leveranser per nät'!X$1,FALSE)/VLOOKUP("Falköping",Korrigeringsfaktor_GD,'Korrigeringsfaktor GD'!X$1,FALSE),
"")</f>
        <v>55.173704347826089</v>
      </c>
      <c r="Y396" s="18">
        <f>IFERROR(
                  Andel_oberoende_av_klimat*VLOOKUP($A396,Leveranser_per_nät,'Leveranser per nät'!Y$1,FALSE)
               +Andel_beroende_av_klimat*VLOOKUP($A396,Leveranser_per_nät,'Leveranser per nät'!Y$1,FALSE)/VLOOKUP($B396,Korrigeringsfaktor_GD,'Korrigeringsfaktor GD'!Y$1,FALSE),
"")</f>
        <v>55.916542553191491</v>
      </c>
      <c r="Z396" s="18">
        <f>IFERROR(
                  Andel_oberoende_av_klimat*VLOOKUP($A396,Leveranser_per_nät,'Leveranser per nät'!Z$1,FALSE)
               +Andel_beroende_av_klimat*VLOOKUP($A396,Leveranser_per_nät,'Leveranser per nät'!Z$1,FALSE)/VLOOKUP($B396,Korrigeringsfaktor_GD,'Korrigeringsfaktor GD'!Z$1,FALSE),
"")</f>
        <v>52.332999999999998</v>
      </c>
      <c r="AA396" s="18">
        <f>IFERROR(
                  Andel_oberoende_av_klimat*VLOOKUP($A396,Leveranser_per_nät,'Leveranser per nät'!AA$1,FALSE)
               +Andel_beroende_av_klimat*VLOOKUP($A396,Leveranser_per_nät,'Leveranser per nät'!AA$1,FALSE)/VLOOKUP($B396,Korrigeringsfaktor_GD,'Korrigeringsfaktor GD'!AA$1,FALSE),
"")</f>
        <v>55.225243190496393</v>
      </c>
      <c r="AB396" s="18">
        <f>IFERROR(
                  Andel_oberoende_av_klimat*VLOOKUP($A396,Leveranser_per_nät,'Leveranser per nät'!AB$1,FALSE)
               +Andel_beroende_av_klimat*VLOOKUP($A396,Leveranser_per_nät,'Leveranser per nät'!AB$1,FALSE)/VLOOKUP($B396,Korrigeringsfaktor_GD,'Korrigeringsfaktor GD'!AB$1,FALSE),
"")</f>
        <v>56.894590677134445</v>
      </c>
      <c r="AC396" s="18">
        <f>IFERROR(
                  Andel_oberoende_av_klimat*VLOOKUP($A396,Leveranser_per_nät,'Leveranser per nät'!AC$1,FALSE)
               +Andel_beroende_av_klimat*VLOOKUP($A396,Leveranser_per_nät,'Leveranser per nät'!AC$1,FALSE)/VLOOKUP($B396,Korrigeringsfaktor_GD,'Korrigeringsfaktor GD'!AC$1,FALSE),
"")</f>
        <v>55.642131578947371</v>
      </c>
      <c r="AD396">
        <v>53.664999999999999</v>
      </c>
    </row>
    <row r="397" spans="1:30" x14ac:dyDescent="0.25">
      <c r="A397" t="s">
        <v>719</v>
      </c>
      <c r="B397" t="s">
        <v>275</v>
      </c>
      <c r="C397" s="18"/>
      <c r="D397" s="18"/>
      <c r="E397" s="18"/>
      <c r="F397" s="18"/>
      <c r="G397" s="18"/>
      <c r="H397" s="18"/>
      <c r="I397" s="18"/>
      <c r="J397" s="18"/>
      <c r="K397" s="18"/>
      <c r="L397" s="18"/>
      <c r="M397" s="18"/>
      <c r="N397" s="18"/>
      <c r="O397" s="18"/>
      <c r="P397" s="18"/>
      <c r="Q397" s="18"/>
      <c r="R397" s="18">
        <f>IFERROR(
                  Andel_oberoende_av_klimat*VLOOKUP($A397,Leveranser_per_nät,'Leveranser per nät'!R$1,FALSE)
               +Andel_beroende_av_klimat*VLOOKUP($A397,Leveranser_per_nät,'Leveranser per nät'!R$1,FALSE)/VLOOKUP($B397,Korrigeringsfaktor_GD,'Korrigeringsfaktor GD'!R$1,FALSE),
"")</f>
        <v>0</v>
      </c>
      <c r="S397" s="18">
        <f>IFERROR(
                  Andel_oberoende_av_klimat*VLOOKUP($A397,Leveranser_per_nät,'Leveranser per nät'!S$1,FALSE)
               +Andel_beroende_av_klimat*VLOOKUP($A397,Leveranser_per_nät,'Leveranser per nät'!S$1,FALSE)/VLOOKUP($B397,Korrigeringsfaktor_GD,'Korrigeringsfaktor GD'!S$1,FALSE),
"")</f>
        <v>1.67</v>
      </c>
      <c r="T397" s="18">
        <f>IFERROR(
                  Andel_oberoende_av_klimat*VLOOKUP($A397,Leveranser_per_nät,'Leveranser per nät'!T$1,FALSE)
               +Andel_beroende_av_klimat*VLOOKUP($A397,Leveranser_per_nät,'Leveranser per nät'!T$1,FALSE)/VLOOKUP($B397,Korrigeringsfaktor_GD,'Korrigeringsfaktor GD'!T$1,FALSE),
"")</f>
        <v>1.8072979381443299</v>
      </c>
      <c r="U397" s="18">
        <f>IFERROR(
                  Andel_oberoende_av_klimat*VLOOKUP($A397,Leveranser_per_nät,'Leveranser per nät'!U$1,FALSE)
               +Andel_beroende_av_klimat*VLOOKUP($A397,Leveranser_per_nät,'Leveranser per nät'!U$1,FALSE)/VLOOKUP($B397,Korrigeringsfaktor_GD,'Korrigeringsfaktor GD'!U$1,FALSE),
"")</f>
        <v>1.8981767441860464</v>
      </c>
      <c r="V397" s="18">
        <f>IFERROR(
                  Andel_oberoende_av_klimat*VLOOKUP($A397,Leveranser_per_nät,'Leveranser per nät'!V$1,FALSE)
               +Andel_beroende_av_klimat*VLOOKUP($A397,Leveranser_per_nät,'Leveranser per nät'!V$1,FALSE)/VLOOKUP($B397,Korrigeringsfaktor_GD,'Korrigeringsfaktor GD'!V$1,FALSE),
"")</f>
        <v>1.9021615384615382</v>
      </c>
      <c r="W397" s="18">
        <f>IFERROR(
                  Andel_oberoende_av_klimat*VLOOKUP($A397,Leveranser_per_nät,'Leveranser per nät'!W$1,FALSE)
               +Andel_beroende_av_klimat*VLOOKUP($A397,Leveranser_per_nät,'Leveranser per nät'!W$1,FALSE)/VLOOKUP($B397,Korrigeringsfaktor_GD,'Korrigeringsfaktor GD'!W$1,FALSE),
"")</f>
        <v>2.0913164948453611</v>
      </c>
      <c r="X397" s="18">
        <f>IFERROR(
                  Andel_oberoende_av_klimat*VLOOKUP($A397,Leveranser_per_nät,'Leveranser per nät'!X$1,FALSE)
               +Andel_beroende_av_klimat*VLOOKUP($A397,Leveranser_per_nät,'Leveranser per nät'!X$1,FALSE)/VLOOKUP($B397,Korrigeringsfaktor_GD,'Korrigeringsfaktor GD'!X$1,FALSE),
"")</f>
        <v>2.1242000000000001</v>
      </c>
      <c r="Y397" s="18">
        <f>IFERROR(
                  Andel_oberoende_av_klimat*VLOOKUP($A397,Leveranser_per_nät,'Leveranser per nät'!Y$1,FALSE)
               +Andel_beroende_av_klimat*VLOOKUP($A397,Leveranser_per_nät,'Leveranser per nät'!Y$1,FALSE)/VLOOKUP($B397,Korrigeringsfaktor_GD,'Korrigeringsfaktor GD'!Y$1,FALSE),
"")</f>
        <v>2.1344916666666665</v>
      </c>
      <c r="Z397" s="18">
        <f>IFERROR(
                  Andel_oberoende_av_klimat*VLOOKUP($A397,Leveranser_per_nät,'Leveranser per nät'!Z$1,FALSE)
               +Andel_beroende_av_klimat*VLOOKUP($A397,Leveranser_per_nät,'Leveranser per nät'!Z$1,FALSE)/VLOOKUP($B397,Korrigeringsfaktor_GD,'Korrigeringsfaktor GD'!Z$1,FALSE),
"")</f>
        <v>2.125630769230769</v>
      </c>
      <c r="AA397" s="18">
        <f>IFERROR(
                  Andel_oberoende_av_klimat*VLOOKUP($A397,Leveranser_per_nät,'Leveranser per nät'!AA$1,FALSE)
               +Andel_beroende_av_klimat*VLOOKUP($A397,Leveranser_per_nät,'Leveranser per nät'!AA$1,FALSE)/VLOOKUP($B397,Korrigeringsfaktor_GD,'Korrigeringsfaktor GD'!AA$1,FALSE),
"")</f>
        <v>2.1196076055430231</v>
      </c>
      <c r="AB397" s="18">
        <f>IFERROR(
                  Andel_oberoende_av_klimat*VLOOKUP($A397,Leveranser_per_nät,'Leveranser per nät'!AB$1,FALSE)
               +Andel_beroende_av_klimat*VLOOKUP($A397,Leveranser_per_nät,'Leveranser per nät'!AB$1,FALSE)/VLOOKUP($B397,Korrigeringsfaktor_GD,'Korrigeringsfaktor GD'!AB$1,FALSE),
"")</f>
        <v>1.9924973962142198</v>
      </c>
      <c r="AC397" s="18">
        <f>IFERROR(
                  Andel_oberoende_av_klimat*VLOOKUP($A397,Leveranser_per_nät,'Leveranser per nät'!AC$1,FALSE)
               +Andel_beroende_av_klimat*VLOOKUP($A397,Leveranser_per_nät,'Leveranser per nät'!AC$1,FALSE)/VLOOKUP($B397,Korrigeringsfaktor_GD,'Korrigeringsfaktor GD'!AC$1,FALSE),
"")</f>
        <v>1.9862726782178219</v>
      </c>
      <c r="AD397">
        <v>366.39353699999998</v>
      </c>
    </row>
    <row r="398" spans="1:30" x14ac:dyDescent="0.25">
      <c r="A398" t="s">
        <v>315</v>
      </c>
      <c r="B398" t="s">
        <v>315</v>
      </c>
      <c r="C398" s="18">
        <f>IFERROR(
                  Andel_oberoende_av_klimat*VLOOKUP($A398,Leveranser_per_nät,'Leveranser per nät'!C$1,FALSE)
               +Andel_beroende_av_klimat*VLOOKUP($A398,Leveranser_per_nät,'Leveranser per nät'!C$1,FALSE)/VLOOKUP($B398,Korrigeringsfaktor_GD,'Korrigeringsfaktor GD'!C$1,FALSE),
"")</f>
        <v>32.034862385321098</v>
      </c>
      <c r="D398" s="18">
        <f>IFERROR(
                  Andel_oberoende_av_klimat*VLOOKUP($A398,Leveranser_per_nät,'Leveranser per nät'!D$1,FALSE)
               +Andel_beroende_av_klimat*VLOOKUP($A398,Leveranser_per_nät,'Leveranser per nät'!D$1,FALSE)/VLOOKUP($B398,Korrigeringsfaktor_GD,'Korrigeringsfaktor GD'!D$1,FALSE),
"")</f>
        <v>32.840708333333339</v>
      </c>
      <c r="E398" s="18">
        <f>IFERROR(
                  Andel_oberoende_av_klimat*VLOOKUP($A398,Leveranser_per_nät,'Leveranser per nät'!E$1,FALSE)
               +Andel_beroende_av_klimat*VLOOKUP($A398,Leveranser_per_nät,'Leveranser per nät'!E$1,FALSE)/VLOOKUP($B398,Korrigeringsfaktor_GD,'Korrigeringsfaktor GD'!E$1,FALSE),
"")</f>
        <v>33.533333333333331</v>
      </c>
      <c r="F398" s="18">
        <f>IFERROR(
                  Andel_oberoende_av_klimat*VLOOKUP($A398,Leveranser_per_nät,'Leveranser per nät'!F$1,FALSE)
               +Andel_beroende_av_klimat*VLOOKUP($A398,Leveranser_per_nät,'Leveranser per nät'!F$1,FALSE)/VLOOKUP($B398,Korrigeringsfaktor_GD,'Korrigeringsfaktor GD'!F$1,FALSE),
"")</f>
        <v>33.178947368421049</v>
      </c>
      <c r="G398" s="18">
        <f>IFERROR(
                  Andel_oberoende_av_klimat*VLOOKUP($A398,Leveranser_per_nät,'Leveranser per nät'!G$1,FALSE)
               +Andel_beroende_av_klimat*VLOOKUP($A398,Leveranser_per_nät,'Leveranser per nät'!G$1,FALSE)/VLOOKUP($B398,Korrigeringsfaktor_GD,'Korrigeringsfaktor GD'!G$1,FALSE),
"")</f>
        <v>31.508988764044943</v>
      </c>
      <c r="H398" s="18">
        <f>IFERROR(
                  Andel_oberoende_av_klimat*VLOOKUP($A398,Leveranser_per_nät,'Leveranser per nät'!H$1,FALSE)
               +Andel_beroende_av_klimat*VLOOKUP($A398,Leveranser_per_nät,'Leveranser per nät'!H$1,FALSE)/VLOOKUP($B398,Korrigeringsfaktor_GD,'Korrigeringsfaktor GD'!H$1,FALSE),
"")</f>
        <v>32.226262626262624</v>
      </c>
      <c r="I398" s="18">
        <f>IFERROR(
                  Andel_oberoende_av_klimat*VLOOKUP($A398,Leveranser_per_nät,'Leveranser per nät'!I$1,FALSE)
               +Andel_beroende_av_klimat*VLOOKUP($A398,Leveranser_per_nät,'Leveranser per nät'!I$1,FALSE)/VLOOKUP($B398,Korrigeringsfaktor_GD,'Korrigeringsfaktor GD'!I$1,FALSE),
"")</f>
        <v>34.736082474226805</v>
      </c>
      <c r="J398" s="18">
        <f>IFERROR(
                  Andel_oberoende_av_klimat*VLOOKUP($A398,Leveranser_per_nät,'Leveranser per nät'!J$1,FALSE)
               +Andel_beroende_av_klimat*VLOOKUP($A398,Leveranser_per_nät,'Leveranser per nät'!J$1,FALSE)/VLOOKUP($B398,Korrigeringsfaktor_GD,'Korrigeringsfaktor GD'!J$1,FALSE),
"")</f>
        <v>35.5</v>
      </c>
      <c r="K398" s="18">
        <f>IFERROR(
                  Andel_oberoende_av_klimat*VLOOKUP($A398,Leveranser_per_nät,'Leveranser per nät'!K$1,FALSE)
               +Andel_beroende_av_klimat*VLOOKUP($A398,Leveranser_per_nät,'Leveranser per nät'!K$1,FALSE)/VLOOKUP($B398,Korrigeringsfaktor_GD,'Korrigeringsfaktor GD'!K$1,FALSE),
"")</f>
        <v>36.329874343434348</v>
      </c>
      <c r="L398" s="18">
        <f>IFERROR(
                  Andel_oberoende_av_klimat*VLOOKUP($A398,Leveranser_per_nät,'Leveranser per nät'!L$1,FALSE)
               +Andel_beroende_av_klimat*VLOOKUP($A398,Leveranser_per_nät,'Leveranser per nät'!L$1,FALSE)/VLOOKUP($B398,Korrigeringsfaktor_GD,'Korrigeringsfaktor GD'!L$1,FALSE),
"")</f>
        <v>37.382305263157903</v>
      </c>
      <c r="M398" s="18">
        <f>IFERROR(
                  Andel_oberoende_av_klimat*VLOOKUP($A398,Leveranser_per_nät,'Leveranser per nät'!M$1,FALSE)
               +Andel_beroende_av_klimat*VLOOKUP($A398,Leveranser_per_nät,'Leveranser per nät'!M$1,FALSE)/VLOOKUP($B398,Korrigeringsfaktor_GD,'Korrigeringsfaktor GD'!M$1,FALSE),
"")</f>
        <v>39.400695652173908</v>
      </c>
      <c r="N398" s="18">
        <f>IFERROR(
                  Andel_oberoende_av_klimat*VLOOKUP($A398,Leveranser_per_nät,'Leveranser per nät'!N$1,FALSE)
               +Andel_beroende_av_klimat*VLOOKUP($A398,Leveranser_per_nät,'Leveranser per nät'!N$1,FALSE)/VLOOKUP($B398,Korrigeringsfaktor_GD,'Korrigeringsfaktor GD'!N$1,FALSE),
"")</f>
        <v>40.241110752688172</v>
      </c>
      <c r="O398" s="18">
        <f>IFERROR(
                  Andel_oberoende_av_klimat*VLOOKUP($A398,Leveranser_per_nät,'Leveranser per nät'!O$1,FALSE)
               +Andel_beroende_av_klimat*VLOOKUP($A398,Leveranser_per_nät,'Leveranser per nät'!O$1,FALSE)/VLOOKUP($B398,Korrigeringsfaktor_GD,'Korrigeringsfaktor GD'!O$1,FALSE),
"")</f>
        <v>42.95267777777778</v>
      </c>
      <c r="P398" s="18">
        <f>IFERROR(
                  Andel_oberoende_av_klimat*VLOOKUP($A398,Leveranser_per_nät,'Leveranser per nät'!P$1,FALSE)
               +Andel_beroende_av_klimat*VLOOKUP($A398,Leveranser_per_nät,'Leveranser per nät'!P$1,FALSE)/VLOOKUP($B398,Korrigeringsfaktor_GD,'Korrigeringsfaktor GD'!P$1,FALSE),
"")</f>
        <v>43.48648571428572</v>
      </c>
      <c r="Q398" s="18">
        <f>IFERROR(
                  Andel_oberoende_av_klimat*VLOOKUP($A398,Leveranser_per_nät,'Leveranser per nät'!Q$1,FALSE)
               +Andel_beroende_av_klimat*VLOOKUP($A398,Leveranser_per_nät,'Leveranser per nät'!Q$1,FALSE)/VLOOKUP($B398,Korrigeringsfaktor_GD,'Korrigeringsfaktor GD'!Q$1,FALSE),
"")</f>
        <v>44.9559</v>
      </c>
      <c r="R398" s="18">
        <f>IFERROR(
                  Andel_oberoende_av_klimat*VLOOKUP($A398,Leveranser_per_nät,'Leveranser per nät'!R$1,FALSE)
               +Andel_beroende_av_klimat*VLOOKUP($A398,Leveranser_per_nät,'Leveranser per nät'!R$1,FALSE)/VLOOKUP($B398,Korrigeringsfaktor_GD,'Korrigeringsfaktor GD'!R$1,FALSE),
"")</f>
        <v>44.311061538461537</v>
      </c>
      <c r="S398" s="18">
        <f>IFERROR(
                  Andel_oberoende_av_klimat*VLOOKUP($A398,Leveranser_per_nät,'Leveranser per nät'!S$1,FALSE)
               +Andel_beroende_av_klimat*VLOOKUP($A398,Leveranser_per_nät,'Leveranser per nät'!S$1,FALSE)/VLOOKUP($B398,Korrigeringsfaktor_GD,'Korrigeringsfaktor GD'!S$1,FALSE),
"")</f>
        <v>47</v>
      </c>
      <c r="T398" s="18">
        <f>IFERROR(
                  Andel_oberoende_av_klimat*VLOOKUP($A398,Leveranser_per_nät,'Leveranser per nät'!T$1,FALSE)
               +Andel_beroende_av_klimat*VLOOKUP($A398,Leveranser_per_nät,'Leveranser per nät'!T$1,FALSE)/VLOOKUP($B398,Korrigeringsfaktor_GD,'Korrigeringsfaktor GD'!T$1,FALSE),
"")</f>
        <v>46.523479166666668</v>
      </c>
      <c r="U398" s="18">
        <f>IFERROR(
                  Andel_oberoende_av_klimat*VLOOKUP($A398,Leveranser_per_nät,'Leveranser per nät'!U$1,FALSE)
               +Andel_beroende_av_klimat*VLOOKUP($A398,Leveranser_per_nät,'Leveranser per nät'!U$1,FALSE)/VLOOKUP($B398,Korrigeringsfaktor_GD,'Korrigeringsfaktor GD'!U$1,FALSE),
"")</f>
        <v>46.395099999999999</v>
      </c>
      <c r="V398" s="18">
        <f>IFERROR(
                  Andel_oberoende_av_klimat*VLOOKUP($A398,Leveranser_per_nät,'Leveranser per nät'!V$1,FALSE)
               +Andel_beroende_av_klimat*VLOOKUP($A398,Leveranser_per_nät,'Leveranser per nät'!V$1,FALSE)/VLOOKUP($B398,Korrigeringsfaktor_GD,'Korrigeringsfaktor GD'!V$1,FALSE),
"")</f>
        <v>47.485811111111104</v>
      </c>
      <c r="W398" s="18">
        <f>IFERROR(
                  Andel_oberoende_av_klimat*VLOOKUP($A398,Leveranser_per_nät,'Leveranser per nät'!W$1,FALSE)
               +Andel_beroende_av_klimat*VLOOKUP($A398,Leveranser_per_nät,'Leveranser per nät'!W$1,FALSE)/VLOOKUP($B398,Korrigeringsfaktor_GD,'Korrigeringsfaktor GD'!W$1,FALSE),
"")</f>
        <v>54.941855319148935</v>
      </c>
      <c r="X398" s="18">
        <f>IFERROR(
                  Andel_oberoende_av_klimat*VLOOKUP($A398,Leveranser_per_nät,'Leveranser per nät'!X$1,FALSE)
               +Andel_beroende_av_klimat*VLOOKUP($A398,Leveranser_per_nät,'Leveranser per nät'!X$1,FALSE)/VLOOKUP($B398,Korrigeringsfaktor_GD,'Korrigeringsfaktor GD'!X$1,FALSE),
"")</f>
        <v>61.372757894736843</v>
      </c>
      <c r="Y398" s="18">
        <f>IFERROR(
                  Andel_oberoende_av_klimat*VLOOKUP($A398,Leveranser_per_nät,'Leveranser per nät'!Y$1,FALSE)
               +Andel_beroende_av_klimat*VLOOKUP($A398,Leveranser_per_nät,'Leveranser per nät'!Y$1,FALSE)/VLOOKUP($B398,Korrigeringsfaktor_GD,'Korrigeringsfaktor GD'!Y$1,FALSE),
"")</f>
        <v>61.477391304347826</v>
      </c>
      <c r="Z398" s="18">
        <f>IFERROR(
                  Andel_oberoende_av_klimat*VLOOKUP($A398,Leveranser_per_nät,'Leveranser per nät'!Z$1,FALSE)
               +Andel_beroende_av_klimat*VLOOKUP($A398,Leveranser_per_nät,'Leveranser per nät'!Z$1,FALSE)/VLOOKUP($B398,Korrigeringsfaktor_GD,'Korrigeringsfaktor GD'!Z$1,FALSE),
"")</f>
        <v>47.630857142857145</v>
      </c>
      <c r="AA398" s="18">
        <f>IFERROR(
                  Andel_oberoende_av_klimat*VLOOKUP($A398,Leveranser_per_nät,'Leveranser per nät'!AA$1,FALSE)
               +Andel_beroende_av_klimat*VLOOKUP($A398,Leveranser_per_nät,'Leveranser per nät'!AA$1,FALSE)/VLOOKUP($B398,Korrigeringsfaktor_GD,'Korrigeringsfaktor GD'!AA$1,FALSE),
"")</f>
        <v>46.813526785714281</v>
      </c>
      <c r="AB398" s="18">
        <f>IFERROR(
                  Andel_oberoende_av_klimat*VLOOKUP($A398,Leveranser_per_nät,'Leveranser per nät'!AB$1,FALSE)
               +Andel_beroende_av_klimat*VLOOKUP($A398,Leveranser_per_nät,'Leveranser per nät'!AB$1,FALSE)/VLOOKUP($B398,Korrigeringsfaktor_GD,'Korrigeringsfaktor GD'!AB$1,FALSE),
"")</f>
        <v>49.488016881827193</v>
      </c>
      <c r="AC398" s="18">
        <f>IFERROR(
                  Andel_oberoende_av_klimat*VLOOKUP($A398,Leveranser_per_nät,'Leveranser per nät'!AC$1,FALSE)
               +Andel_beroende_av_klimat*VLOOKUP($A398,Leveranser_per_nät,'Leveranser per nät'!AC$1,FALSE)/VLOOKUP($B398,Korrigeringsfaktor_GD,'Korrigeringsfaktor GD'!AC$1,FALSE),
"")</f>
        <v>47.874251046025108</v>
      </c>
      <c r="AD398">
        <v>46.38</v>
      </c>
    </row>
    <row r="399" spans="1:30" x14ac:dyDescent="0.25">
      <c r="A399" t="s">
        <v>798</v>
      </c>
      <c r="B399" t="s">
        <v>321</v>
      </c>
      <c r="C399" s="18"/>
      <c r="D399" s="18"/>
      <c r="E399" s="18"/>
      <c r="F399" s="18"/>
      <c r="G399" s="18"/>
      <c r="H399" s="18"/>
      <c r="I399" s="18"/>
      <c r="J399" s="18"/>
      <c r="K399" s="18"/>
      <c r="L399" s="18"/>
      <c r="M399" s="18"/>
      <c r="N399" s="18"/>
      <c r="O399" s="18"/>
      <c r="P399" s="18"/>
      <c r="Q399" s="18"/>
      <c r="R399" s="18">
        <f>IFERROR(
                  Andel_oberoende_av_klimat*VLOOKUP($A399,Leveranser_per_nät,'Leveranser per nät'!R$1,FALSE)
               +Andel_beroende_av_klimat*VLOOKUP($A399,Leveranser_per_nät,'Leveranser per nät'!R$1,FALSE)/VLOOKUP($B399,Korrigeringsfaktor_GD,'Korrigeringsfaktor GD'!R$1,FALSE),
"")</f>
        <v>0</v>
      </c>
      <c r="S399" s="18">
        <f>IFERROR(
                  Andel_oberoende_av_klimat*VLOOKUP($A399,Leveranser_per_nät,'Leveranser per nät'!S$1,FALSE)
               +Andel_beroende_av_klimat*VLOOKUP($A399,Leveranser_per_nät,'Leveranser per nät'!S$1,FALSE)/VLOOKUP($B399,Korrigeringsfaktor_GD,'Korrigeringsfaktor GD'!S$1,FALSE),
"")</f>
        <v>0</v>
      </c>
      <c r="T399" s="18">
        <f>IFERROR(
                  Andel_oberoende_av_klimat*VLOOKUP($A399,Leveranser_per_nät,'Leveranser per nät'!T$1,FALSE)
               +Andel_beroende_av_klimat*VLOOKUP($A399,Leveranser_per_nät,'Leveranser per nät'!T$1,FALSE)/VLOOKUP($B399,Korrigeringsfaktor_GD,'Korrigeringsfaktor GD'!T$1,FALSE),
"")</f>
        <v>0</v>
      </c>
      <c r="U399" s="18">
        <f>IFERROR(
                  Andel_oberoende_av_klimat*VLOOKUP($A399,Leveranser_per_nät,'Leveranser per nät'!U$1,FALSE)
               +Andel_beroende_av_klimat*VLOOKUP($A399,Leveranser_per_nät,'Leveranser per nät'!U$1,FALSE)/VLOOKUP($B399,Korrigeringsfaktor_GD,'Korrigeringsfaktor GD'!U$1,FALSE),
"")</f>
        <v>0</v>
      </c>
      <c r="V399" s="18">
        <f>IFERROR(
                  Andel_oberoende_av_klimat*VLOOKUP($A399,Leveranser_per_nät,'Leveranser per nät'!V$1,FALSE)
               +Andel_beroende_av_klimat*VLOOKUP($A399,Leveranser_per_nät,'Leveranser per nät'!V$1,FALSE)/VLOOKUP($B399,Korrigeringsfaktor_GD,'Korrigeringsfaktor GD'!V$1,FALSE),
"")</f>
        <v>0</v>
      </c>
      <c r="W399" s="18">
        <f>IFERROR(
                  Andel_oberoende_av_klimat*VLOOKUP($A399,Leveranser_per_nät,'Leveranser per nät'!W$1,FALSE)
               +Andel_beroende_av_klimat*VLOOKUP($A399,Leveranser_per_nät,'Leveranser per nät'!W$1,FALSE)/VLOOKUP($B399,Korrigeringsfaktor_GD,'Korrigeringsfaktor GD'!W$1,FALSE),
"")</f>
        <v>0</v>
      </c>
      <c r="X399" s="18">
        <f>IFERROR(
                  Andel_oberoende_av_klimat*VLOOKUP($A399,Leveranser_per_nät,'Leveranser per nät'!X$1,FALSE)
               +Andel_beroende_av_klimat*VLOOKUP($A399,Leveranser_per_nät,'Leveranser per nät'!X$1,FALSE)/VLOOKUP($B399,Korrigeringsfaktor_GD,'Korrigeringsfaktor GD'!X$1,FALSE),
"")</f>
        <v>0.86425698924731176</v>
      </c>
      <c r="Y399" s="18">
        <f>IFERROR(
                  Andel_oberoende_av_klimat*VLOOKUP($A399,Leveranser_per_nät,'Leveranser per nät'!Y$1,FALSE)
               +Andel_beroende_av_klimat*VLOOKUP($A399,Leveranser_per_nät,'Leveranser per nät'!Y$1,FALSE)/VLOOKUP($B399,Korrigeringsfaktor_GD,'Korrigeringsfaktor GD'!Y$1,FALSE),
"")</f>
        <v>0.88104615384615381</v>
      </c>
      <c r="Z399" s="18">
        <f>IFERROR(
                  Andel_oberoende_av_klimat*VLOOKUP($A399,Leveranser_per_nät,'Leveranser per nät'!Z$1,FALSE)
               +Andel_beroende_av_klimat*VLOOKUP($A399,Leveranser_per_nät,'Leveranser per nät'!Z$1,FALSE)/VLOOKUP($B399,Korrigeringsfaktor_GD,'Korrigeringsfaktor GD'!Z$1,FALSE),
"")</f>
        <v>0.87042298850574717</v>
      </c>
      <c r="AA399" s="18">
        <f>IFERROR(
                  Andel_oberoende_av_klimat*VLOOKUP($A399,Leveranser_per_nät,'Leveranser per nät'!AA$1,FALSE)
               +Andel_beroende_av_klimat*VLOOKUP($A399,Leveranser_per_nät,'Leveranser per nät'!AA$1,FALSE)/VLOOKUP($B399,Korrigeringsfaktor_GD,'Korrigeringsfaktor GD'!AA$1,FALSE),
"")</f>
        <v>0.90590265878877396</v>
      </c>
      <c r="AB399" s="18">
        <f>IFERROR(
                  Andel_oberoende_av_klimat*VLOOKUP($A399,Leveranser_per_nät,'Leveranser per nät'!AB$1,FALSE)
               +Andel_beroende_av_klimat*VLOOKUP($A399,Leveranser_per_nät,'Leveranser per nät'!AB$1,FALSE)/VLOOKUP($B399,Korrigeringsfaktor_GD,'Korrigeringsfaktor GD'!AB$1,FALSE),
"")</f>
        <v>0.8773643263757116</v>
      </c>
      <c r="AC399" s="18">
        <f>IFERROR(
                  Andel_oberoende_av_klimat*VLOOKUP($A399,Leveranser_per_nät,'Leveranser per nät'!AC$1,FALSE)
               +Andel_beroende_av_klimat*VLOOKUP($A399,Leveranser_per_nät,'Leveranser per nät'!AC$1,FALSE)/VLOOKUP($B399,Korrigeringsfaktor_GD,'Korrigeringsfaktor GD'!AC$1,FALSE),
"")</f>
        <v>0.81751428571428575</v>
      </c>
      <c r="AD399">
        <v>48.066000000000003</v>
      </c>
    </row>
    <row r="400" spans="1:30" x14ac:dyDescent="0.25">
      <c r="A400" s="4" t="s">
        <v>428</v>
      </c>
      <c r="B400" t="s">
        <v>202</v>
      </c>
      <c r="C400" s="18">
        <f>IFERROR(
                  Andel_oberoende_av_klimat*VLOOKUP($A400,Leveranser_per_nät,'Leveranser per nät'!C$1,FALSE)
               +Andel_beroende_av_klimat*VLOOKUP($A400,Leveranser_per_nät,'Leveranser per nät'!C$1,FALSE)/VLOOKUP($B400,Korrigeringsfaktor_GD,'Korrigeringsfaktor GD'!C$1,FALSE),
"")</f>
        <v>0</v>
      </c>
      <c r="D400" s="18">
        <f>IFERROR(
                  Andel_oberoende_av_klimat*VLOOKUP($A400,Leveranser_per_nät,'Leveranser per nät'!D$1,FALSE)
               +Andel_beroende_av_klimat*VLOOKUP($A400,Leveranser_per_nät,'Leveranser per nät'!D$1,FALSE)/VLOOKUP($B400,Korrigeringsfaktor_GD,'Korrigeringsfaktor GD'!D$1,FALSE),
"")</f>
        <v>0</v>
      </c>
      <c r="E400" s="18">
        <f>IFERROR(
                  Andel_oberoende_av_klimat*VLOOKUP($A400,Leveranser_per_nät,'Leveranser per nät'!E$1,FALSE)
               +Andel_beroende_av_klimat*VLOOKUP($A400,Leveranser_per_nät,'Leveranser per nät'!E$1,FALSE)/VLOOKUP($B400,Korrigeringsfaktor_GD,'Korrigeringsfaktor GD'!E$1,FALSE),
"")</f>
        <v>0</v>
      </c>
      <c r="F400" s="18">
        <f>IFERROR(
                  Andel_oberoende_av_klimat*VLOOKUP($A400,Leveranser_per_nät,'Leveranser per nät'!F$1,FALSE)
               +Andel_beroende_av_klimat*VLOOKUP($A400,Leveranser_per_nät,'Leveranser per nät'!F$1,FALSE)/VLOOKUP($B400,Korrigeringsfaktor_GD,'Korrigeringsfaktor GD'!F$1,FALSE),
"")</f>
        <v>0</v>
      </c>
      <c r="G400" s="18">
        <f>IFERROR(
                  Andel_oberoende_av_klimat*VLOOKUP($A400,Leveranser_per_nät,'Leveranser per nät'!G$1,FALSE)
               +Andel_beroende_av_klimat*VLOOKUP($A400,Leveranser_per_nät,'Leveranser per nät'!G$1,FALSE)/VLOOKUP($B400,Korrigeringsfaktor_GD,'Korrigeringsfaktor GD'!G$1,FALSE),
"")</f>
        <v>0</v>
      </c>
      <c r="H400" s="18">
        <f>IFERROR(
                  Andel_oberoende_av_klimat*VLOOKUP($A400,Leveranser_per_nät,'Leveranser per nät'!H$1,FALSE)
               +Andel_beroende_av_klimat*VLOOKUP($A400,Leveranser_per_nät,'Leveranser per nät'!H$1,FALSE)/VLOOKUP($B400,Korrigeringsfaktor_GD,'Korrigeringsfaktor GD'!H$1,FALSE),
"")</f>
        <v>0</v>
      </c>
      <c r="I400" s="18">
        <f>IFERROR(
                  Andel_oberoende_av_klimat*VLOOKUP($A400,Leveranser_per_nät,'Leveranser per nät'!I$1,FALSE)
               +Andel_beroende_av_klimat*VLOOKUP($A400,Leveranser_per_nät,'Leveranser per nät'!I$1,FALSE)/VLOOKUP($B400,Korrigeringsfaktor_GD,'Korrigeringsfaktor GD'!I$1,FALSE),
"")</f>
        <v>0</v>
      </c>
      <c r="J400" s="18">
        <f>IFERROR(
                  Andel_oberoende_av_klimat*VLOOKUP($A400,Leveranser_per_nät,'Leveranser per nät'!J$1,FALSE)
               +Andel_beroende_av_klimat*VLOOKUP($A400,Leveranser_per_nät,'Leveranser per nät'!J$1,FALSE)/VLOOKUP($B400,Korrigeringsfaktor_GD,'Korrigeringsfaktor GD'!J$1,FALSE),
"")</f>
        <v>0</v>
      </c>
      <c r="K400" s="18">
        <f>IFERROR(
                  Andel_oberoende_av_klimat*VLOOKUP($A400,Leveranser_per_nät,'Leveranser per nät'!K$1,FALSE)
               +Andel_beroende_av_klimat*VLOOKUP($A400,Leveranser_per_nät,'Leveranser per nät'!K$1,FALSE)/VLOOKUP($B400,Korrigeringsfaktor_GD,'Korrigeringsfaktor GD'!K$1,FALSE),
"")</f>
        <v>0</v>
      </c>
      <c r="L400" s="18">
        <f>IFERROR(
                  Andel_oberoende_av_klimat*VLOOKUP($A400,Leveranser_per_nät,'Leveranser per nät'!L$1,FALSE)
               +Andel_beroende_av_klimat*VLOOKUP($A400,Leveranser_per_nät,'Leveranser per nät'!L$1,FALSE)/VLOOKUP($B400,Korrigeringsfaktor_GD,'Korrigeringsfaktor GD'!L$1,FALSE),
"")</f>
        <v>0</v>
      </c>
      <c r="M400" s="18">
        <f>IFERROR(
                  Andel_oberoende_av_klimat*VLOOKUP($A400,Leveranser_per_nät,'Leveranser per nät'!M$1,FALSE)
               +Andel_beroende_av_klimat*VLOOKUP($A400,Leveranser_per_nät,'Leveranser per nät'!M$1,FALSE)/VLOOKUP($B400,Korrigeringsfaktor_GD,'Korrigeringsfaktor GD'!M$1,FALSE),
"")</f>
        <v>0</v>
      </c>
      <c r="N400" s="18">
        <f>IFERROR(
                  Andel_oberoende_av_klimat*VLOOKUP($A400,Leveranser_per_nät,'Leveranser per nät'!N$1,FALSE)
               +Andel_beroende_av_klimat*VLOOKUP($A400,Leveranser_per_nät,'Leveranser per nät'!N$1,FALSE)/VLOOKUP($B400,Korrigeringsfaktor_GD,'Korrigeringsfaktor GD'!N$1,FALSE),
"")</f>
        <v>0</v>
      </c>
      <c r="O400" s="18">
        <f>IFERROR(
                  Andel_oberoende_av_klimat*VLOOKUP($A400,Leveranser_per_nät,'Leveranser per nät'!O$1,FALSE)
               +Andel_beroende_av_klimat*VLOOKUP($A400,Leveranser_per_nät,'Leveranser per nät'!O$1,FALSE)/VLOOKUP($B400,Korrigeringsfaktor_GD,'Korrigeringsfaktor GD'!O$1,FALSE),
"")</f>
        <v>0</v>
      </c>
      <c r="P400" s="18">
        <f>IFERROR(
                  Andel_oberoende_av_klimat*VLOOKUP($A400,Leveranser_per_nät,'Leveranser per nät'!P$1,FALSE)
               +Andel_beroende_av_klimat*VLOOKUP($A400,Leveranser_per_nät,'Leveranser per nät'!P$1,FALSE)/VLOOKUP($B400,Korrigeringsfaktor_GD,'Korrigeringsfaktor GD'!P$1,FALSE),
"")</f>
        <v>0</v>
      </c>
      <c r="Q400" s="18">
        <f>IFERROR(
                  Andel_oberoende_av_klimat*VLOOKUP($A400,Leveranser_per_nät,'Leveranser per nät'!Q$1,FALSE)
               +Andel_beroende_av_klimat*VLOOKUP($A400,Leveranser_per_nät,'Leveranser per nät'!Q$1,FALSE)/VLOOKUP($B400,Korrigeringsfaktor_GD,'Korrigeringsfaktor GD'!Q$1,FALSE),
"")</f>
        <v>2.2083333333333335</v>
      </c>
      <c r="R400" s="18">
        <f>IFERROR(
                  Andel_oberoende_av_klimat*VLOOKUP($A400,Leveranser_per_nät,'Leveranser per nät'!R$1,FALSE)
               +Andel_beroende_av_klimat*VLOOKUP($A400,Leveranser_per_nät,'Leveranser per nät'!R$1,FALSE)/VLOOKUP($B400,Korrigeringsfaktor_GD,'Korrigeringsfaktor GD'!R$1,FALSE),
"")</f>
        <v>2.8869230769230767</v>
      </c>
      <c r="S400" s="18">
        <f>IFERROR(
                  Andel_oberoende_av_klimat*VLOOKUP($A400,Leveranser_per_nät,'Leveranser per nät'!S$1,FALSE)
               +Andel_beroende_av_klimat*VLOOKUP($A400,Leveranser_per_nät,'Leveranser per nät'!S$1,FALSE)/VLOOKUP($B400,Korrigeringsfaktor_GD,'Korrigeringsfaktor GD'!S$1,FALSE),
"")</f>
        <v>2.9300000000000006</v>
      </c>
      <c r="T400" s="18">
        <f>IFERROR(
                  Andel_oberoende_av_klimat*VLOOKUP($A400,Leveranser_per_nät,'Leveranser per nät'!T$1,FALSE)
               +Andel_beroende_av_klimat*VLOOKUP($A400,Leveranser_per_nät,'Leveranser per nät'!T$1,FALSE)/VLOOKUP($B400,Korrigeringsfaktor_GD,'Korrigeringsfaktor GD'!T$1,FALSE),
"")</f>
        <v>3.1170525773195878</v>
      </c>
      <c r="U400" s="18">
        <f>IFERROR(
                  Andel_oberoende_av_klimat*VLOOKUP($A400,Leveranser_per_nät,'Leveranser per nät'!U$1,FALSE)
               +Andel_beroende_av_klimat*VLOOKUP($A400,Leveranser_per_nät,'Leveranser per nät'!U$1,FALSE)/VLOOKUP($B400,Korrigeringsfaktor_GD,'Korrigeringsfaktor GD'!U$1,FALSE),
"")</f>
        <v>3.1279813953488369</v>
      </c>
      <c r="V400" s="18">
        <f>IFERROR(
                  Andel_oberoende_av_klimat*VLOOKUP($A400,Leveranser_per_nät,'Leveranser per nät'!V$1,FALSE)
               +Andel_beroende_av_klimat*VLOOKUP($A400,Leveranser_per_nät,'Leveranser per nät'!V$1,FALSE)/VLOOKUP($B400,Korrigeringsfaktor_GD,'Korrigeringsfaktor GD'!V$1,FALSE),
"")</f>
        <v>3.1715426966292135</v>
      </c>
      <c r="W400" s="18">
        <f>IFERROR(
                  Andel_oberoende_av_klimat*VLOOKUP($A400,Leveranser_per_nät,'Leveranser per nät'!W$1,FALSE)
               +Andel_beroende_av_klimat*VLOOKUP($A400,Leveranser_per_nät,'Leveranser per nät'!W$1,FALSE)/VLOOKUP($B400,Korrigeringsfaktor_GD,'Korrigeringsfaktor GD'!W$1,FALSE),
"")</f>
        <v>3.1881695574468081</v>
      </c>
      <c r="X400" s="18">
        <f>IFERROR(
                  Andel_oberoende_av_klimat*VLOOKUP($A400,Leveranser_per_nät,'Leveranser per nät'!X$1,FALSE)
               +Andel_beroende_av_klimat*VLOOKUP($A400,Leveranser_per_nät,'Leveranser per nät'!X$1,FALSE)/VLOOKUP($B400,Korrigeringsfaktor_GD,'Korrigeringsfaktor GD'!X$1,FALSE),
"")</f>
        <v>3.1780655913978491</v>
      </c>
      <c r="Y400" s="18">
        <f>IFERROR(
                  Andel_oberoende_av_klimat*VLOOKUP($A400,Leveranser_per_nät,'Leveranser per nät'!Y$1,FALSE)
               +Andel_beroende_av_klimat*VLOOKUP($A400,Leveranser_per_nät,'Leveranser per nät'!Y$1,FALSE)/VLOOKUP($B400,Korrigeringsfaktor_GD,'Korrigeringsfaktor GD'!Y$1,FALSE),
"")</f>
        <v>3.3711851063829785</v>
      </c>
      <c r="Z400" s="18">
        <f>IFERROR(
                  Andel_oberoende_av_klimat*VLOOKUP($A400,Leveranser_per_nät,'Leveranser per nät'!Z$1,FALSE)
               +Andel_beroende_av_klimat*VLOOKUP($A400,Leveranser_per_nät,'Leveranser per nät'!Z$1,FALSE)/VLOOKUP($B400,Korrigeringsfaktor_GD,'Korrigeringsfaktor GD'!Z$1,FALSE),
"")</f>
        <v>3.1447421052631581</v>
      </c>
      <c r="AA400" s="18">
        <f>IFERROR(
                  Andel_oberoende_av_klimat*VLOOKUP($A400,Leveranser_per_nät,'Leveranser per nät'!AA$1,FALSE)
               +Andel_beroende_av_klimat*VLOOKUP($A400,Leveranser_per_nät,'Leveranser per nät'!AA$1,FALSE)/VLOOKUP($B400,Korrigeringsfaktor_GD,'Korrigeringsfaktor GD'!AA$1,FALSE),
"")</f>
        <v>3.2422665520206362</v>
      </c>
      <c r="AB400" s="18">
        <f>IFERROR(
                  Andel_oberoende_av_klimat*VLOOKUP($A400,Leveranser_per_nät,'Leveranser per nät'!AB$1,FALSE)
               +Andel_beroende_av_klimat*VLOOKUP($A400,Leveranser_per_nät,'Leveranser per nät'!AB$1,FALSE)/VLOOKUP($B400,Korrigeringsfaktor_GD,'Korrigeringsfaktor GD'!AB$1,FALSE),
"")</f>
        <v>3.1505625281101617</v>
      </c>
      <c r="AC400" s="18">
        <f>IFERROR(
                  Andel_oberoende_av_klimat*VLOOKUP($A400,Leveranser_per_nät,'Leveranser per nät'!AC$1,FALSE)
               +Andel_beroende_av_klimat*VLOOKUP($A400,Leveranser_per_nät,'Leveranser per nät'!AC$1,FALSE)/VLOOKUP($B400,Korrigeringsfaktor_GD,'Korrigeringsfaktor GD'!AC$1,FALSE),
"")</f>
        <v>3.076881487704918</v>
      </c>
      <c r="AD400">
        <v>132.63</v>
      </c>
    </row>
    <row r="401" spans="1:30" x14ac:dyDescent="0.25">
      <c r="A401" t="s">
        <v>54</v>
      </c>
      <c r="B401" t="s">
        <v>54</v>
      </c>
      <c r="C401" s="18">
        <f>IFERROR(
                  Andel_oberoende_av_klimat*VLOOKUP($A401,Leveranser_per_nät,'Leveranser per nät'!C$1,FALSE)
               +Andel_beroende_av_klimat*VLOOKUP($A401,Leveranser_per_nät,'Leveranser per nät'!C$1,FALSE)/VLOOKUP("Sundsvall",Korrigeringsfaktor_GD,'Korrigeringsfaktor GD'!C$1,FALSE),
"")</f>
        <v>70.162962962962951</v>
      </c>
      <c r="D401" s="18">
        <f>IFERROR(
                  Andel_oberoende_av_klimat*VLOOKUP($A401,Leveranser_per_nät,'Leveranser per nät'!D$1,FALSE)
               +Andel_beroende_av_klimat*VLOOKUP($A401,Leveranser_per_nät,'Leveranser per nät'!D$1,FALSE)/VLOOKUP("Sundsvall",Korrigeringsfaktor_GD,'Korrigeringsfaktor GD'!D$1,FALSE),
"")</f>
        <v>69.230999999999995</v>
      </c>
      <c r="E401" s="18">
        <f>IFERROR(
                  Andel_oberoende_av_klimat*VLOOKUP($A401,Leveranser_per_nät,'Leveranser per nät'!E$1,FALSE)
               +Andel_beroende_av_klimat*VLOOKUP($A401,Leveranser_per_nät,'Leveranser per nät'!E$1,FALSE)/VLOOKUP("Sundsvall",Korrigeringsfaktor_GD,'Korrigeringsfaktor GD'!E$1,FALSE),
"")</f>
        <v>66.535643564356434</v>
      </c>
      <c r="F401" s="18">
        <f>IFERROR(
                  Andel_oberoende_av_klimat*VLOOKUP($A401,Leveranser_per_nät,'Leveranser per nät'!F$1,FALSE)
               +Andel_beroende_av_klimat*VLOOKUP($A401,Leveranser_per_nät,'Leveranser per nät'!F$1,FALSE)/VLOOKUP("Sundsvall",Korrigeringsfaktor_GD,'Korrigeringsfaktor GD'!F$1,FALSE),
"")</f>
        <v>65.459595959595958</v>
      </c>
      <c r="G401" s="18">
        <f>IFERROR(
                  Andel_oberoende_av_klimat*VLOOKUP($A401,Leveranser_per_nät,'Leveranser per nät'!G$1,FALSE)
               +Andel_beroende_av_klimat*VLOOKUP($A401,Leveranser_per_nät,'Leveranser per nät'!G$1,FALSE)/VLOOKUP("Sundsvall",Korrigeringsfaktor_GD,'Korrigeringsfaktor GD'!G$1,FALSE),
"")</f>
        <v>65.74444444444444</v>
      </c>
      <c r="H401" s="18">
        <f>IFERROR(
                  Andel_oberoende_av_klimat*VLOOKUP($A401,Leveranser_per_nät,'Leveranser per nät'!H$1,FALSE)
               +Andel_beroende_av_klimat*VLOOKUP($A401,Leveranser_per_nät,'Leveranser per nät'!H$1,FALSE)/VLOOKUP("Sundsvall",Korrigeringsfaktor_GD,'Korrigeringsfaktor GD'!H$1,FALSE),
"")</f>
        <v>68.480808080808075</v>
      </c>
      <c r="I401" s="18">
        <f>IFERROR(
                  Andel_oberoende_av_klimat*VLOOKUP($A401,Leveranser_per_nät,'Leveranser per nät'!I$1,FALSE)
               +Andel_beroende_av_klimat*VLOOKUP($A401,Leveranser_per_nät,'Leveranser per nät'!I$1,FALSE)/VLOOKUP("Sundsvall",Korrigeringsfaktor_GD,'Korrigeringsfaktor GD'!I$1,FALSE),
"")</f>
        <v>70.505263157894731</v>
      </c>
      <c r="J401" s="18">
        <f>IFERROR(
                  Andel_oberoende_av_klimat*VLOOKUP($A401,Leveranser_per_nät,'Leveranser per nät'!J$1,FALSE)
               +Andel_beroende_av_klimat*VLOOKUP($A401,Leveranser_per_nät,'Leveranser per nät'!J$1,FALSE)/VLOOKUP("Sundsvall",Korrigeringsfaktor_GD,'Korrigeringsfaktor GD'!J$1,FALSE),
"")</f>
        <v>79.913422680412381</v>
      </c>
      <c r="K401" s="18">
        <f>IFERROR(
                  Andel_oberoende_av_klimat*VLOOKUP($A401,Leveranser_per_nät,'Leveranser per nät'!K$1,FALSE)
               +Andel_beroende_av_klimat*VLOOKUP($A401,Leveranser_per_nät,'Leveranser per nät'!K$1,FALSE)/VLOOKUP("Sundsvall",Korrigeringsfaktor_GD,'Korrigeringsfaktor GD'!K$1,FALSE),
"")</f>
        <v>74.288337500000011</v>
      </c>
      <c r="L401" s="18">
        <f>IFERROR(
                  Andel_oberoende_av_klimat*VLOOKUP($A401,Leveranser_per_nät,'Leveranser per nät'!L$1,FALSE)
               +Andel_beroende_av_klimat*VLOOKUP($A401,Leveranser_per_nät,'Leveranser per nät'!L$1,FALSE)/VLOOKUP("Sundsvall",Korrigeringsfaktor_GD,'Korrigeringsfaktor GD'!L$1,FALSE),
"")</f>
        <v>86.238273044583693</v>
      </c>
      <c r="M401" s="18">
        <f>IFERROR(
                  Andel_oberoende_av_klimat*VLOOKUP($A401,Leveranser_per_nät,'Leveranser per nät'!M$1,FALSE)
               +Andel_beroende_av_klimat*VLOOKUP($A401,Leveranser_per_nät,'Leveranser per nät'!M$1,FALSE)/VLOOKUP("Sundsvall",Korrigeringsfaktor_GD,'Korrigeringsfaktor GD'!M$1,FALSE),
"")</f>
        <v>76.953333333333347</v>
      </c>
      <c r="N401" s="18">
        <f>IFERROR(
                  Andel_oberoende_av_klimat*VLOOKUP($A401,Leveranser_per_nät,'Leveranser per nät'!N$1,FALSE)
               +Andel_beroende_av_klimat*VLOOKUP($A401,Leveranser_per_nät,'Leveranser per nät'!N$1,FALSE)/VLOOKUP("Sundsvall",Korrigeringsfaktor_GD,'Korrigeringsfaktor GD'!N$1,FALSE),
"")</f>
        <v>68.956521739130437</v>
      </c>
      <c r="O401" s="18">
        <f>IFERROR(
                  Andel_oberoende_av_klimat*VLOOKUP($A401,Leveranser_per_nät,'Leveranser per nät'!O$1,FALSE)
               +Andel_beroende_av_klimat*VLOOKUP($A401,Leveranser_per_nät,'Leveranser per nät'!O$1,FALSE)/VLOOKUP("Sundsvall",Korrigeringsfaktor_GD,'Korrigeringsfaktor GD'!O$1,FALSE),
"")</f>
        <v>70.783076923076919</v>
      </c>
      <c r="P401" s="18">
        <f>IFERROR(
                  Andel_oberoende_av_klimat*VLOOKUP($A401,Leveranser_per_nät,'Leveranser per nät'!P$1,FALSE)
               +Andel_beroende_av_klimat*VLOOKUP($A401,Leveranser_per_nät,'Leveranser per nät'!P$1,FALSE)/VLOOKUP("Sundsvall",Korrigeringsfaktor_GD,'Korrigeringsfaktor GD'!P$1,FALSE),
"")</f>
        <v>82.157142857142858</v>
      </c>
      <c r="Q401" s="18">
        <f>IFERROR(
                  Andel_oberoende_av_klimat*VLOOKUP($A401,Leveranser_per_nät,'Leveranser per nät'!Q$1,FALSE)
               +Andel_beroende_av_klimat*VLOOKUP($A401,Leveranser_per_nät,'Leveranser per nät'!Q$1,FALSE)/VLOOKUP("Sundsvall",Korrigeringsfaktor_GD,'Korrigeringsfaktor GD'!Q$1,FALSE),
"")</f>
        <v>73.281681415929214</v>
      </c>
      <c r="R401" s="18">
        <f>IFERROR(
                  Andel_oberoende_av_klimat*VLOOKUP($A401,Leveranser_per_nät,'Leveranser per nät'!R$1,FALSE)
               +Andel_beroende_av_klimat*VLOOKUP($A401,Leveranser_per_nät,'Leveranser per nät'!R$1,FALSE)/VLOOKUP("Sundsvall",Korrigeringsfaktor_GD,'Korrigeringsfaktor GD'!R$1,FALSE),
"")</f>
        <v>69.778000000000006</v>
      </c>
      <c r="S401" s="18">
        <f>IFERROR(
                  Andel_oberoende_av_klimat*VLOOKUP($A401,Leveranser_per_nät,'Leveranser per nät'!S$1,FALSE)
               +Andel_beroende_av_klimat*VLOOKUP($A401,Leveranser_per_nät,'Leveranser per nät'!S$1,FALSE)/VLOOKUP("Sundsvall",Korrigeringsfaktor_GD,'Korrigeringsfaktor GD'!S$1,FALSE),
"")</f>
        <v>73.070833333333326</v>
      </c>
      <c r="T401" s="18">
        <f>IFERROR(
                  Andel_oberoende_av_klimat*VLOOKUP($A401,Leveranser_per_nät,'Leveranser per nät'!T$1,FALSE)
               +Andel_beroende_av_klimat*VLOOKUP($A401,Leveranser_per_nät,'Leveranser per nät'!T$1,FALSE)/VLOOKUP("Sundsvall",Korrigeringsfaktor_GD,'Korrigeringsfaktor GD'!T$1,FALSE),
"")</f>
        <v>74.740860215053758</v>
      </c>
      <c r="U401" s="18">
        <f>IFERROR(
                  Andel_oberoende_av_klimat*VLOOKUP($A401,Leveranser_per_nät,'Leveranser per nät'!U$1,FALSE)
               +Andel_beroende_av_klimat*VLOOKUP($A401,Leveranser_per_nät,'Leveranser per nät'!U$1,FALSE)/VLOOKUP("Sundsvall",Korrigeringsfaktor_GD,'Korrigeringsfaktor GD'!U$1,FALSE),
"")</f>
        <v>69.779645977011498</v>
      </c>
      <c r="V401" s="18">
        <f>IFERROR(
                  Andel_oberoende_av_klimat*VLOOKUP($A401,Leveranser_per_nät,'Leveranser per nät'!V$1,FALSE)
               +Andel_beroende_av_klimat*VLOOKUP($A401,Leveranser_per_nät,'Leveranser per nät'!V$1,FALSE)/VLOOKUP("Sundsvall",Korrigeringsfaktor_GD,'Korrigeringsfaktor GD'!V$1,FALSE),
"")</f>
        <v>67.918181818181807</v>
      </c>
      <c r="W401" s="18">
        <f>IFERROR(
                  Andel_oberoende_av_klimat*VLOOKUP($A401,Leveranser_per_nät,'Leveranser per nät'!W$1,FALSE)
               +Andel_beroende_av_klimat*VLOOKUP($A401,Leveranser_per_nät,'Leveranser per nät'!W$1,FALSE)/VLOOKUP("Sundsvall",Korrigeringsfaktor_GD,'Korrigeringsfaktor GD'!W$1,FALSE),
"")</f>
        <v>68.430769230769229</v>
      </c>
      <c r="X401" s="18">
        <f>IFERROR(
                  Andel_oberoende_av_klimat*VLOOKUP($A401,Leveranser_per_nät,'Leveranser per nät'!X$1,FALSE)
               +Andel_beroende_av_klimat*VLOOKUP($A401,Leveranser_per_nät,'Leveranser per nät'!X$1,FALSE)/VLOOKUP("Sundsvall",Korrigeringsfaktor_GD,'Korrigeringsfaktor GD'!X$1,FALSE),
"")</f>
        <v>67.265721505376334</v>
      </c>
      <c r="Y401" s="18">
        <f>IFERROR(
                  Andel_oberoende_av_klimat*VLOOKUP($A401,Leveranser_per_nät,'Leveranser per nät'!Y$1,FALSE)
               +Andel_beroende_av_klimat*VLOOKUP($A401,Leveranser_per_nät,'Leveranser per nät'!Y$1,FALSE)/VLOOKUP($B401,Korrigeringsfaktor_GD,'Korrigeringsfaktor GD'!Y$1,FALSE),
"")</f>
        <v>73.456597938144327</v>
      </c>
      <c r="Z401" s="18">
        <f>IFERROR(
                  Andel_oberoende_av_klimat*VLOOKUP($A401,Leveranser_per_nät,'Leveranser per nät'!Z$1,FALSE)
               +Andel_beroende_av_klimat*VLOOKUP($A401,Leveranser_per_nät,'Leveranser per nät'!Z$1,FALSE)/VLOOKUP($B401,Korrigeringsfaktor_GD,'Korrigeringsfaktor GD'!Z$1,FALSE),
"")</f>
        <v>77.832163218390804</v>
      </c>
      <c r="AA401" s="18">
        <f>IFERROR(
                  Andel_oberoende_av_klimat*VLOOKUP($A401,Leveranser_per_nät,'Leveranser per nät'!AA$1,FALSE)
               +Andel_beroende_av_klimat*VLOOKUP($A401,Leveranser_per_nät,'Leveranser per nät'!AA$1,FALSE)/VLOOKUP($B401,Korrigeringsfaktor_GD,'Korrigeringsfaktor GD'!AA$1,FALSE),
"")</f>
        <v>63.935449283351701</v>
      </c>
      <c r="AB401" s="18">
        <f>IFERROR(
                  Andel_oberoende_av_klimat*VLOOKUP($A401,Leveranser_per_nät,'Leveranser per nät'!AB$1,FALSE)
               +Andel_beroende_av_klimat*VLOOKUP($A401,Leveranser_per_nät,'Leveranser per nät'!AB$1,FALSE)/VLOOKUP($B401,Korrigeringsfaktor_GD,'Korrigeringsfaktor GD'!AB$1,FALSE),
"")</f>
        <v>74.733977952755907</v>
      </c>
      <c r="AC401" s="18">
        <f>IFERROR(
                  Andel_oberoende_av_klimat*VLOOKUP($A401,Leveranser_per_nät,'Leveranser per nät'!AC$1,FALSE)
               +Andel_beroende_av_klimat*VLOOKUP($A401,Leveranser_per_nät,'Leveranser per nät'!AC$1,FALSE)/VLOOKUP($B401,Korrigeringsfaktor_GD,'Korrigeringsfaktor GD'!AC$1,FALSE),
"")</f>
        <v>64.722218852459022</v>
      </c>
      <c r="AD401">
        <v>63.627000000000002</v>
      </c>
    </row>
    <row r="402" spans="1:30" x14ac:dyDescent="0.25">
      <c r="A402" t="s">
        <v>35</v>
      </c>
      <c r="B402" t="s">
        <v>34</v>
      </c>
      <c r="C402" s="18">
        <f>IFERROR(
                  Andel_oberoende_av_klimat*VLOOKUP($A402,Leveranser_per_nät,'Leveranser per nät'!C$1,FALSE)
               +Andel_beroende_av_klimat*VLOOKUP($A402,Leveranser_per_nät,'Leveranser per nät'!C$1,FALSE)/VLOOKUP($B402,Korrigeringsfaktor_GD,'Korrigeringsfaktor GD'!C$1,FALSE),
"")</f>
        <v>0</v>
      </c>
      <c r="D402" s="18">
        <f>IFERROR(
                  Andel_oberoende_av_klimat*VLOOKUP($A402,Leveranser_per_nät,'Leveranser per nät'!D$1,FALSE)
               +Andel_beroende_av_klimat*VLOOKUP($A402,Leveranser_per_nät,'Leveranser per nät'!D$1,FALSE)/VLOOKUP($B402,Korrigeringsfaktor_GD,'Korrigeringsfaktor GD'!D$1,FALSE),
"")</f>
        <v>0</v>
      </c>
      <c r="E402" s="18">
        <f>IFERROR(
                  Andel_oberoende_av_klimat*VLOOKUP($A402,Leveranser_per_nät,'Leveranser per nät'!E$1,FALSE)
               +Andel_beroende_av_klimat*VLOOKUP($A402,Leveranser_per_nät,'Leveranser per nät'!E$1,FALSE)/VLOOKUP($B402,Korrigeringsfaktor_GD,'Korrigeringsfaktor GD'!E$1,FALSE),
"")</f>
        <v>0</v>
      </c>
      <c r="F402" s="18">
        <f>IFERROR(
                  Andel_oberoende_av_klimat*VLOOKUP($A402,Leveranser_per_nät,'Leveranser per nät'!F$1,FALSE)
               +Andel_beroende_av_klimat*VLOOKUP($A402,Leveranser_per_nät,'Leveranser per nät'!F$1,FALSE)/VLOOKUP($B402,Korrigeringsfaktor_GD,'Korrigeringsfaktor GD'!F$1,FALSE),
"")</f>
        <v>0</v>
      </c>
      <c r="G402" s="18">
        <f>IFERROR(
                  Andel_oberoende_av_klimat*VLOOKUP($A402,Leveranser_per_nät,'Leveranser per nät'!G$1,FALSE)
               +Andel_beroende_av_klimat*VLOOKUP($A402,Leveranser_per_nät,'Leveranser per nät'!G$1,FALSE)/VLOOKUP($B402,Korrigeringsfaktor_GD,'Korrigeringsfaktor GD'!G$1,FALSE),
"")</f>
        <v>0</v>
      </c>
      <c r="H402" s="18">
        <f>IFERROR(
                  Andel_oberoende_av_klimat*VLOOKUP($A402,Leveranser_per_nät,'Leveranser per nät'!H$1,FALSE)
               +Andel_beroende_av_klimat*VLOOKUP($A402,Leveranser_per_nät,'Leveranser per nät'!H$1,FALSE)/VLOOKUP($B402,Korrigeringsfaktor_GD,'Korrigeringsfaktor GD'!H$1,FALSE),
"")</f>
        <v>0</v>
      </c>
      <c r="I402" s="18">
        <f>IFERROR(
                  Andel_oberoende_av_klimat*VLOOKUP($A402,Leveranser_per_nät,'Leveranser per nät'!I$1,FALSE)
               +Andel_beroende_av_klimat*VLOOKUP($A402,Leveranser_per_nät,'Leveranser per nät'!I$1,FALSE)/VLOOKUP($B402,Korrigeringsfaktor_GD,'Korrigeringsfaktor GD'!I$1,FALSE),
"")</f>
        <v>0</v>
      </c>
      <c r="J402" s="18">
        <f>IFERROR(
                  Andel_oberoende_av_klimat*VLOOKUP($A402,Leveranser_per_nät,'Leveranser per nät'!J$1,FALSE)
               +Andel_beroende_av_klimat*VLOOKUP($A402,Leveranser_per_nät,'Leveranser per nät'!J$1,FALSE)/VLOOKUP($B402,Korrigeringsfaktor_GD,'Korrigeringsfaktor GD'!J$1,FALSE),
"")</f>
        <v>0</v>
      </c>
      <c r="K402" s="18">
        <f>IFERROR(
                  Andel_oberoende_av_klimat*VLOOKUP($A402,Leveranser_per_nät,'Leveranser per nät'!K$1,FALSE)
               +Andel_beroende_av_klimat*VLOOKUP($A402,Leveranser_per_nät,'Leveranser per nät'!K$1,FALSE)/VLOOKUP($B402,Korrigeringsfaktor_GD,'Korrigeringsfaktor GD'!K$1,FALSE),
"")</f>
        <v>0.46700000000000008</v>
      </c>
      <c r="L402" s="18">
        <f>IFERROR(
                  Andel_oberoende_av_klimat*VLOOKUP($A402,Leveranser_per_nät,'Leveranser per nät'!L$1,FALSE)
               +Andel_beroende_av_klimat*VLOOKUP($A402,Leveranser_per_nät,'Leveranser per nät'!L$1,FALSE)/VLOOKUP($B402,Korrigeringsfaktor_GD,'Korrigeringsfaktor GD'!L$1,FALSE),
"")</f>
        <v>0.52438571428571423</v>
      </c>
      <c r="M402" s="18">
        <f>IFERROR(
                  Andel_oberoende_av_klimat*VLOOKUP($A402,Leveranser_per_nät,'Leveranser per nät'!M$1,FALSE)
               +Andel_beroende_av_klimat*VLOOKUP($A402,Leveranser_per_nät,'Leveranser per nät'!M$1,FALSE)/VLOOKUP($B402,Korrigeringsfaktor_GD,'Korrigeringsfaktor GD'!M$1,FALSE),
"")</f>
        <v>0.4868212765957447</v>
      </c>
      <c r="N402" s="18">
        <f>IFERROR(
                  Andel_oberoende_av_klimat*VLOOKUP($A402,Leveranser_per_nät,'Leveranser per nät'!N$1,FALSE)
               +Andel_beroende_av_klimat*VLOOKUP($A402,Leveranser_per_nät,'Leveranser per nät'!N$1,FALSE)/VLOOKUP($B402,Korrigeringsfaktor_GD,'Korrigeringsfaktor GD'!N$1,FALSE),
"")</f>
        <v>0.51948888888888889</v>
      </c>
      <c r="O402" s="18">
        <f>IFERROR(
                  Andel_oberoende_av_klimat*VLOOKUP($A402,Leveranser_per_nät,'Leveranser per nät'!O$1,FALSE)
               +Andel_beroende_av_klimat*VLOOKUP($A402,Leveranser_per_nät,'Leveranser per nät'!O$1,FALSE)/VLOOKUP($B402,Korrigeringsfaktor_GD,'Korrigeringsfaktor GD'!O$1,FALSE),
"")</f>
        <v>0.45307752808988766</v>
      </c>
      <c r="P402" s="18">
        <f>IFERROR(
                  Andel_oberoende_av_klimat*VLOOKUP($A402,Leveranser_per_nät,'Leveranser per nät'!P$1,FALSE)
               +Andel_beroende_av_klimat*VLOOKUP($A402,Leveranser_per_nät,'Leveranser per nät'!P$1,FALSE)/VLOOKUP($B402,Korrigeringsfaktor_GD,'Korrigeringsfaktor GD'!P$1,FALSE),
"")</f>
        <v>0.43107142857142855</v>
      </c>
      <c r="Q402" s="18">
        <f>IFERROR(
                  Andel_oberoende_av_klimat*VLOOKUP($A402,Leveranser_per_nät,'Leveranser per nät'!Q$1,FALSE)
               +Andel_beroende_av_klimat*VLOOKUP($A402,Leveranser_per_nät,'Leveranser per nät'!Q$1,FALSE)/VLOOKUP($B402,Korrigeringsfaktor_GD,'Korrigeringsfaktor GD'!Q$1,FALSE),
"")</f>
        <v>0</v>
      </c>
      <c r="R402" s="18">
        <f>IFERROR(
                  Andel_oberoende_av_klimat*VLOOKUP($A402,Leveranser_per_nät,'Leveranser per nät'!R$1,FALSE)
               +Andel_beroende_av_klimat*VLOOKUP($A402,Leveranser_per_nät,'Leveranser per nät'!R$1,FALSE)/VLOOKUP($B402,Korrigeringsfaktor_GD,'Korrigeringsfaktor GD'!R$1,FALSE),
"")</f>
        <v>0</v>
      </c>
      <c r="S402" s="18" t="str">
        <f>IFERROR(
                  Andel_oberoende_av_klimat*VLOOKUP($A402,Leveranser_per_nät,'Leveranser per nät'!S$1,FALSE)
               +Andel_beroende_av_klimat*VLOOKUP($A402,Leveranser_per_nät,'Leveranser per nät'!S$1,FALSE)/VLOOKUP($B402,Korrigeringsfaktor_GD,'Korrigeringsfaktor GD'!S$1,FALSE),
"")</f>
        <v/>
      </c>
      <c r="T402" s="18" t="str">
        <f>IFERROR(
                  Andel_oberoende_av_klimat*VLOOKUP($A402,Leveranser_per_nät,'Leveranser per nät'!T$1,FALSE)
               +Andel_beroende_av_klimat*VLOOKUP($A402,Leveranser_per_nät,'Leveranser per nät'!T$1,FALSE)/VLOOKUP($B402,Korrigeringsfaktor_GD,'Korrigeringsfaktor GD'!T$1,FALSE),
"")</f>
        <v/>
      </c>
      <c r="U402" s="18" t="str">
        <f>IFERROR(
                  Andel_oberoende_av_klimat*VLOOKUP($A402,Leveranser_per_nät,'Leveranser per nät'!U$1,FALSE)
               +Andel_beroende_av_klimat*VLOOKUP($A402,Leveranser_per_nät,'Leveranser per nät'!U$1,FALSE)/VLOOKUP($B402,Korrigeringsfaktor_GD,'Korrigeringsfaktor GD'!U$1,FALSE),
"")</f>
        <v/>
      </c>
      <c r="V402" s="18" t="str">
        <f>IFERROR(
                  Andel_oberoende_av_klimat*VLOOKUP($A402,Leveranser_per_nät,'Leveranser per nät'!V$1,FALSE)
               +Andel_beroende_av_klimat*VLOOKUP($A402,Leveranser_per_nät,'Leveranser per nät'!V$1,FALSE)/VLOOKUP($B402,Korrigeringsfaktor_GD,'Korrigeringsfaktor GD'!V$1,FALSE),
"")</f>
        <v/>
      </c>
      <c r="W402" s="18" t="str">
        <f>IFERROR(
                  Andel_oberoende_av_klimat*VLOOKUP($A402,Leveranser_per_nät,'Leveranser per nät'!W$1,FALSE)
               +Andel_beroende_av_klimat*VLOOKUP($A402,Leveranser_per_nät,'Leveranser per nät'!W$1,FALSE)/VLOOKUP($B402,Korrigeringsfaktor_GD,'Korrigeringsfaktor GD'!W$1,FALSE),
"")</f>
        <v/>
      </c>
      <c r="X402" s="18" t="str">
        <f>IFERROR(
                  Andel_oberoende_av_klimat*VLOOKUP($A402,Leveranser_per_nät,'Leveranser per nät'!X$1,FALSE)
               +Andel_beroende_av_klimat*VLOOKUP($A402,Leveranser_per_nät,'Leveranser per nät'!X$1,FALSE)/VLOOKUP($B402,Korrigeringsfaktor_GD,'Korrigeringsfaktor GD'!X$1,FALSE),
"")</f>
        <v/>
      </c>
      <c r="Y402" s="18" t="str">
        <f>IFERROR(
                  Andel_oberoende_av_klimat*VLOOKUP($A402,Leveranser_per_nät,'Leveranser per nät'!Y$1,FALSE)
               +Andel_beroende_av_klimat*VLOOKUP($A402,Leveranser_per_nät,'Leveranser per nät'!Y$1,FALSE)/VLOOKUP($B402,Korrigeringsfaktor_GD,'Korrigeringsfaktor GD'!Y$1,FALSE),
"")</f>
        <v/>
      </c>
      <c r="Z402" s="18">
        <f>IFERROR(
                  Andel_oberoende_av_klimat*VLOOKUP($A402,Leveranser_per_nät,'Leveranser per nät'!Z$1,FALSE)
               +Andel_beroende_av_klimat*VLOOKUP($A402,Leveranser_per_nät,'Leveranser per nät'!Z$1,FALSE)/VLOOKUP($B402,Korrigeringsfaktor_GD,'Korrigeringsfaktor GD'!Z$1,FALSE),
"")</f>
        <v>0</v>
      </c>
      <c r="AA402" s="18" t="str">
        <f>IFERROR(
                  Andel_oberoende_av_klimat*VLOOKUP($A402,Leveranser_per_nät,'Leveranser per nät'!AA$1,FALSE)
               +Andel_beroende_av_klimat*VLOOKUP($A402,Leveranser_per_nät,'Leveranser per nät'!AA$1,FALSE)/VLOOKUP($B402,Korrigeringsfaktor_GD,'Korrigeringsfaktor GD'!AA$1,FALSE),
"")</f>
        <v/>
      </c>
      <c r="AB402" s="18">
        <f>IFERROR(
                  Andel_oberoende_av_klimat*VLOOKUP($A402,Leveranser_per_nät,'Leveranser per nät'!AB$1,FALSE)
               +Andel_beroende_av_klimat*VLOOKUP($A402,Leveranser_per_nät,'Leveranser per nät'!AB$1,FALSE)/VLOOKUP($B402,Korrigeringsfaktor_GD,'Korrigeringsfaktor GD'!AB$1,FALSE),
"")</f>
        <v>0</v>
      </c>
      <c r="AC402" s="18">
        <f>IFERROR(
                  Andel_oberoende_av_klimat*VLOOKUP($A402,Leveranser_per_nät,'Leveranser per nät'!AC$1,FALSE)
               +Andel_beroende_av_klimat*VLOOKUP($A402,Leveranser_per_nät,'Leveranser per nät'!AC$1,FALSE)/VLOOKUP($B402,Korrigeringsfaktor_GD,'Korrigeringsfaktor GD'!AC$1,FALSE),
"")</f>
        <v>0</v>
      </c>
      <c r="AD402">
        <v>333.59699999999998</v>
      </c>
    </row>
    <row r="403" spans="1:30" x14ac:dyDescent="0.25">
      <c r="A403" t="s">
        <v>245</v>
      </c>
      <c r="B403" t="s">
        <v>245</v>
      </c>
      <c r="C403" s="18">
        <f>IFERROR(
                  Andel_oberoende_av_klimat*VLOOKUP($A403,Leveranser_per_nät,'Leveranser per nät'!C$1,FALSE)
               +Andel_beroende_av_klimat*VLOOKUP($A403,Leveranser_per_nät,'Leveranser per nät'!C$1,FALSE)/VLOOKUP($B403,Korrigeringsfaktor_GD,'Korrigeringsfaktor GD'!C$1,FALSE),
"")</f>
        <v>0</v>
      </c>
      <c r="D403" s="18">
        <f>IFERROR(
                  Andel_oberoende_av_klimat*VLOOKUP($A403,Leveranser_per_nät,'Leveranser per nät'!D$1,FALSE)
               +Andel_beroende_av_klimat*VLOOKUP($A403,Leveranser_per_nät,'Leveranser per nät'!D$1,FALSE)/VLOOKUP($B403,Korrigeringsfaktor_GD,'Korrigeringsfaktor GD'!D$1,FALSE),
"")</f>
        <v>0</v>
      </c>
      <c r="E403" s="18">
        <f>IFERROR(
                  Andel_oberoende_av_klimat*VLOOKUP($A403,Leveranser_per_nät,'Leveranser per nät'!E$1,FALSE)
               +Andel_beroende_av_klimat*VLOOKUP($A403,Leveranser_per_nät,'Leveranser per nät'!E$1,FALSE)/VLOOKUP($B403,Korrigeringsfaktor_GD,'Korrigeringsfaktor GD'!E$1,FALSE),
"")</f>
        <v>0</v>
      </c>
      <c r="F403" s="18">
        <f>IFERROR(
                  Andel_oberoende_av_klimat*VLOOKUP($A403,Leveranser_per_nät,'Leveranser per nät'!F$1,FALSE)
               +Andel_beroende_av_klimat*VLOOKUP($A403,Leveranser_per_nät,'Leveranser per nät'!F$1,FALSE)/VLOOKUP($B403,Korrigeringsfaktor_GD,'Korrigeringsfaktor GD'!F$1,FALSE),
"")</f>
        <v>0</v>
      </c>
      <c r="G403" s="18">
        <f>IFERROR(
                  Andel_oberoende_av_klimat*VLOOKUP($A403,Leveranser_per_nät,'Leveranser per nät'!G$1,FALSE)
               +Andel_beroende_av_klimat*VLOOKUP($A403,Leveranser_per_nät,'Leveranser per nät'!G$1,FALSE)/VLOOKUP($B403,Korrigeringsfaktor_GD,'Korrigeringsfaktor GD'!G$1,FALSE),
"")</f>
        <v>9.8590909090909093</v>
      </c>
      <c r="H403" s="18">
        <f>IFERROR(
                  Andel_oberoende_av_klimat*VLOOKUP($A403,Leveranser_per_nät,'Leveranser per nät'!H$1,FALSE)
               +Andel_beroende_av_klimat*VLOOKUP($A403,Leveranser_per_nät,'Leveranser per nät'!H$1,FALSE)/VLOOKUP($B403,Korrigeringsfaktor_GD,'Korrigeringsfaktor GD'!H$1,FALSE),
"")</f>
        <v>0</v>
      </c>
      <c r="I403" s="18">
        <f>IFERROR(
                  Andel_oberoende_av_klimat*VLOOKUP($A403,Leveranser_per_nät,'Leveranser per nät'!I$1,FALSE)
               +Andel_beroende_av_klimat*VLOOKUP($A403,Leveranser_per_nät,'Leveranser per nät'!I$1,FALSE)/VLOOKUP($B403,Korrigeringsfaktor_GD,'Korrigeringsfaktor GD'!I$1,FALSE),
"")</f>
        <v>29.987927956989246</v>
      </c>
      <c r="J403" s="18">
        <f>IFERROR(
                  Andel_oberoende_av_klimat*VLOOKUP($A403,Leveranser_per_nät,'Leveranser per nät'!J$1,FALSE)
               +Andel_beroende_av_klimat*VLOOKUP($A403,Leveranser_per_nät,'Leveranser per nät'!J$1,FALSE)/VLOOKUP($B403,Korrigeringsfaktor_GD,'Korrigeringsfaktor GD'!J$1,FALSE),
"")</f>
        <v>28.89395714285714</v>
      </c>
      <c r="K403" s="18">
        <f>IFERROR(
                  Andel_oberoende_av_klimat*VLOOKUP($A403,Leveranser_per_nät,'Leveranser per nät'!K$1,FALSE)
               +Andel_beroende_av_klimat*VLOOKUP($A403,Leveranser_per_nät,'Leveranser per nät'!K$1,FALSE)/VLOOKUP($B403,Korrigeringsfaktor_GD,'Korrigeringsfaktor GD'!K$1,FALSE),
"")</f>
        <v>30.925127272727266</v>
      </c>
      <c r="L403" s="18">
        <f>IFERROR(
                  Andel_oberoende_av_klimat*VLOOKUP($A403,Leveranser_per_nät,'Leveranser per nät'!L$1,FALSE)
               +Andel_beroende_av_klimat*VLOOKUP($A403,Leveranser_per_nät,'Leveranser per nät'!L$1,FALSE)/VLOOKUP($B403,Korrigeringsfaktor_GD,'Korrigeringsfaktor GD'!L$1,FALSE),
"")</f>
        <v>32.219759793814433</v>
      </c>
      <c r="M403" s="18">
        <f>IFERROR(
                  Andel_oberoende_av_klimat*VLOOKUP($A403,Leveranser_per_nät,'Leveranser per nät'!M$1,FALSE)
               +Andel_beroende_av_klimat*VLOOKUP($A403,Leveranser_per_nät,'Leveranser per nät'!M$1,FALSE)/VLOOKUP($B403,Korrigeringsfaktor_GD,'Korrigeringsfaktor GD'!M$1,FALSE),
"")</f>
        <v>34.034657446808509</v>
      </c>
      <c r="N403" s="18">
        <f>IFERROR(
                  Andel_oberoende_av_klimat*VLOOKUP($A403,Leveranser_per_nät,'Leveranser per nät'!N$1,FALSE)
               +Andel_beroende_av_klimat*VLOOKUP($A403,Leveranser_per_nät,'Leveranser per nät'!N$1,FALSE)/VLOOKUP($B403,Korrigeringsfaktor_GD,'Korrigeringsfaktor GD'!N$1,FALSE),
"")</f>
        <v>26.082222222222221</v>
      </c>
      <c r="O403" s="18">
        <f>IFERROR(
                  Andel_oberoende_av_klimat*VLOOKUP($A403,Leveranser_per_nät,'Leveranser per nät'!O$1,FALSE)
               +Andel_beroende_av_klimat*VLOOKUP($A403,Leveranser_per_nät,'Leveranser per nät'!O$1,FALSE)/VLOOKUP($B403,Korrigeringsfaktor_GD,'Korrigeringsfaktor GD'!O$1,FALSE),
"")</f>
        <v>26.082222222222221</v>
      </c>
      <c r="P403" s="18">
        <f>IFERROR(
                  Andel_oberoende_av_klimat*VLOOKUP($A403,Leveranser_per_nät,'Leveranser per nät'!P$1,FALSE)
               +Andel_beroende_av_klimat*VLOOKUP($A403,Leveranser_per_nät,'Leveranser per nät'!P$1,FALSE)/VLOOKUP($B403,Korrigeringsfaktor_GD,'Korrigeringsfaktor GD'!P$1,FALSE),
"")</f>
        <v>33.428371134020615</v>
      </c>
      <c r="Q403" s="18">
        <f>IFERROR(
                  Andel_oberoende_av_klimat*VLOOKUP($A403,Leveranser_per_nät,'Leveranser per nät'!Q$1,FALSE)
               +Andel_beroende_av_klimat*VLOOKUP($A403,Leveranser_per_nät,'Leveranser per nät'!Q$1,FALSE)/VLOOKUP($B403,Korrigeringsfaktor_GD,'Korrigeringsfaktor GD'!Q$1,FALSE),
"")</f>
        <v>34.410678947368424</v>
      </c>
      <c r="R403" s="18">
        <f>IFERROR(
                  Andel_oberoende_av_klimat*VLOOKUP($A403,Leveranser_per_nät,'Leveranser per nät'!R$1,FALSE)
               +Andel_beroende_av_klimat*VLOOKUP($A403,Leveranser_per_nät,'Leveranser per nät'!R$1,FALSE)/VLOOKUP($B403,Korrigeringsfaktor_GD,'Korrigeringsfaktor GD'!R$1,FALSE),
"")</f>
        <v>33.033853191489364</v>
      </c>
      <c r="S403" s="18">
        <f>IFERROR(
                  Andel_oberoende_av_klimat*VLOOKUP($A403,Leveranser_per_nät,'Leveranser per nät'!S$1,FALSE)
               +Andel_beroende_av_klimat*VLOOKUP($A403,Leveranser_per_nät,'Leveranser per nät'!S$1,FALSE)/VLOOKUP($B403,Korrigeringsfaktor_GD,'Korrigeringsfaktor GD'!S$1,FALSE),
"")</f>
        <v>32.771287128712871</v>
      </c>
      <c r="T403" s="18">
        <f>IFERROR(
                  Andel_oberoende_av_klimat*VLOOKUP($A403,Leveranser_per_nät,'Leveranser per nät'!T$1,FALSE)
               +Andel_beroende_av_klimat*VLOOKUP($A403,Leveranser_per_nät,'Leveranser per nät'!T$1,FALSE)/VLOOKUP($B403,Korrigeringsfaktor_GD,'Korrigeringsfaktor GD'!T$1,FALSE),
"")</f>
        <v>32.226262626262624</v>
      </c>
      <c r="U403" s="18">
        <f>IFERROR(
                  Andel_oberoende_av_klimat*VLOOKUP($A403,Leveranser_per_nät,'Leveranser per nät'!U$1,FALSE)
               +Andel_beroende_av_klimat*VLOOKUP($A403,Leveranser_per_nät,'Leveranser per nät'!U$1,FALSE)/VLOOKUP($B403,Korrigeringsfaktor_GD,'Korrigeringsfaktor GD'!U$1,FALSE),
"")</f>
        <v>32.471807228915665</v>
      </c>
      <c r="V403" s="18">
        <f>IFERROR(
                  Andel_oberoende_av_klimat*VLOOKUP($A403,Leveranser_per_nät,'Leveranser per nät'!V$1,FALSE)
               +Andel_beroende_av_klimat*VLOOKUP($A403,Leveranser_per_nät,'Leveranser per nät'!V$1,FALSE)/VLOOKUP($B403,Korrigeringsfaktor_GD,'Korrigeringsfaktor GD'!V$1,FALSE),
"")</f>
        <v>32.36471264367816</v>
      </c>
      <c r="W403" s="18">
        <f>IFERROR(
                  Andel_oberoende_av_klimat*VLOOKUP($A403,Leveranser_per_nät,'Leveranser per nät'!W$1,FALSE)
               +Andel_beroende_av_klimat*VLOOKUP($A403,Leveranser_per_nät,'Leveranser per nät'!W$1,FALSE)/VLOOKUP($B403,Korrigeringsfaktor_GD,'Korrigeringsfaktor GD'!W$1,FALSE),
"")</f>
        <v>32.568695652173915</v>
      </c>
      <c r="X403" s="18">
        <f>IFERROR(
                  Andel_oberoende_av_klimat*VLOOKUP($A403,Leveranser_per_nät,'Leveranser per nät'!X$1,FALSE)
               +Andel_beroende_av_klimat*VLOOKUP($A403,Leveranser_per_nät,'Leveranser per nät'!X$1,FALSE)/VLOOKUP($B403,Korrigeringsfaktor_GD,'Korrigeringsfaktor GD'!X$1,FALSE),
"")</f>
        <v>32.780869565217394</v>
      </c>
      <c r="Y403" s="18">
        <f>IFERROR(
                  Andel_oberoende_av_klimat*VLOOKUP($A403,Leveranser_per_nät,'Leveranser per nät'!Y$1,FALSE)
               +Andel_beroende_av_klimat*VLOOKUP($A403,Leveranser_per_nät,'Leveranser per nät'!Y$1,FALSE)/VLOOKUP($B403,Korrigeringsfaktor_GD,'Korrigeringsfaktor GD'!Y$1,FALSE),
"")</f>
        <v>33.356067415730337</v>
      </c>
      <c r="Z403" s="18">
        <f>IFERROR(
                  Andel_oberoende_av_klimat*VLOOKUP($A403,Leveranser_per_nät,'Leveranser per nät'!Z$1,FALSE)
               +Andel_beroende_av_klimat*VLOOKUP($A403,Leveranser_per_nät,'Leveranser per nät'!Z$1,FALSE)/VLOOKUP($B403,Korrigeringsfaktor_GD,'Korrigeringsfaktor GD'!Z$1,FALSE),
"")</f>
        <v>31.027021276595747</v>
      </c>
      <c r="AA403" s="18">
        <f>IFERROR(
                  Andel_oberoende_av_klimat*VLOOKUP($A403,Leveranser_per_nät,'Leveranser per nät'!AA$1,FALSE)
               +Andel_beroende_av_klimat*VLOOKUP($A403,Leveranser_per_nät,'Leveranser per nät'!AA$1,FALSE)/VLOOKUP($B403,Korrigeringsfaktor_GD,'Korrigeringsfaktor GD'!AA$1,FALSE),
"")</f>
        <v>32.53732500729501</v>
      </c>
      <c r="AB403" s="18">
        <f>IFERROR(
                  Andel_oberoende_av_klimat*VLOOKUP($A403,Leveranser_per_nät,'Leveranser per nät'!AB$1,FALSE)
               +Andel_beroende_av_klimat*VLOOKUP($A403,Leveranser_per_nät,'Leveranser per nät'!AB$1,FALSE)/VLOOKUP($B403,Korrigeringsfaktor_GD,'Korrigeringsfaktor GD'!AB$1,FALSE),
"")</f>
        <v>31.689253731343285</v>
      </c>
      <c r="AC403" s="18">
        <f>IFERROR(
                  Andel_oberoende_av_klimat*VLOOKUP($A403,Leveranser_per_nät,'Leveranser per nät'!AC$1,FALSE)
               +Andel_beroende_av_klimat*VLOOKUP($A403,Leveranser_per_nät,'Leveranser per nät'!AC$1,FALSE)/VLOOKUP($B403,Korrigeringsfaktor_GD,'Korrigeringsfaktor GD'!AC$1,FALSE),
"")</f>
        <v>30.841480298189563</v>
      </c>
      <c r="AD403">
        <v>29.5</v>
      </c>
    </row>
    <row r="404" spans="1:30" x14ac:dyDescent="0.25">
      <c r="A404" t="s">
        <v>130</v>
      </c>
      <c r="B404" t="s">
        <v>236</v>
      </c>
      <c r="C404" s="18">
        <f>IFERROR(
                  Andel_oberoende_av_klimat*VLOOKUP($A404,Leveranser_per_nät,'Leveranser per nät'!C$1,FALSE)
               +Andel_beroende_av_klimat*VLOOKUP($A404,Leveranser_per_nät,'Leveranser per nät'!C$1,FALSE)/VLOOKUP($B404,Korrigeringsfaktor_GD,'Korrigeringsfaktor GD'!C$1,FALSE),
"")</f>
        <v>0</v>
      </c>
      <c r="D404" s="18">
        <f>IFERROR(
                  Andel_oberoende_av_klimat*VLOOKUP($A404,Leveranser_per_nät,'Leveranser per nät'!D$1,FALSE)
               +Andel_beroende_av_klimat*VLOOKUP($A404,Leveranser_per_nät,'Leveranser per nät'!D$1,FALSE)/VLOOKUP($B404,Korrigeringsfaktor_GD,'Korrigeringsfaktor GD'!D$1,FALSE),
"")</f>
        <v>0</v>
      </c>
      <c r="E404" s="18">
        <f>IFERROR(
                  Andel_oberoende_av_klimat*VLOOKUP($A404,Leveranser_per_nät,'Leveranser per nät'!E$1,FALSE)
               +Andel_beroende_av_klimat*VLOOKUP($A404,Leveranser_per_nät,'Leveranser per nät'!E$1,FALSE)/VLOOKUP($B404,Korrigeringsfaktor_GD,'Korrigeringsfaktor GD'!E$1,FALSE),
"")</f>
        <v>0</v>
      </c>
      <c r="F404" s="18">
        <f>IFERROR(
                  Andel_oberoende_av_klimat*VLOOKUP($A404,Leveranser_per_nät,'Leveranser per nät'!F$1,FALSE)
               +Andel_beroende_av_klimat*VLOOKUP($A404,Leveranser_per_nät,'Leveranser per nät'!F$1,FALSE)/VLOOKUP($B404,Korrigeringsfaktor_GD,'Korrigeringsfaktor GD'!F$1,FALSE),
"")</f>
        <v>0</v>
      </c>
      <c r="G404" s="18">
        <f>IFERROR(
                  Andel_oberoende_av_klimat*VLOOKUP($A404,Leveranser_per_nät,'Leveranser per nät'!G$1,FALSE)
               +Andel_beroende_av_klimat*VLOOKUP($A404,Leveranser_per_nät,'Leveranser per nät'!G$1,FALSE)/VLOOKUP($B404,Korrigeringsfaktor_GD,'Korrigeringsfaktor GD'!G$1,FALSE),
"")</f>
        <v>0</v>
      </c>
      <c r="H404" s="18">
        <f>IFERROR(
                  Andel_oberoende_av_klimat*VLOOKUP($A404,Leveranser_per_nät,'Leveranser per nät'!H$1,FALSE)
               +Andel_beroende_av_klimat*VLOOKUP($A404,Leveranser_per_nät,'Leveranser per nät'!H$1,FALSE)/VLOOKUP($B404,Korrigeringsfaktor_GD,'Korrigeringsfaktor GD'!H$1,FALSE),
"")</f>
        <v>0</v>
      </c>
      <c r="I404" s="18">
        <f>IFERROR(
                  Andel_oberoende_av_klimat*VLOOKUP($A404,Leveranser_per_nät,'Leveranser per nät'!I$1,FALSE)
               +Andel_beroende_av_klimat*VLOOKUP($A404,Leveranser_per_nät,'Leveranser per nät'!I$1,FALSE)/VLOOKUP($B404,Korrigeringsfaktor_GD,'Korrigeringsfaktor GD'!I$1,FALSE),
"")</f>
        <v>0</v>
      </c>
      <c r="J404" s="18">
        <f>IFERROR(
                  Andel_oberoende_av_klimat*VLOOKUP($A404,Leveranser_per_nät,'Leveranser per nät'!J$1,FALSE)
               +Andel_beroende_av_klimat*VLOOKUP($A404,Leveranser_per_nät,'Leveranser per nät'!J$1,FALSE)/VLOOKUP($B404,Korrigeringsfaktor_GD,'Korrigeringsfaktor GD'!J$1,FALSE),
"")</f>
        <v>31.442857142857143</v>
      </c>
      <c r="K404" s="18">
        <f>IFERROR(
                  Andel_oberoende_av_klimat*VLOOKUP($A404,Leveranser_per_nät,'Leveranser per nät'!K$1,FALSE)
               +Andel_beroende_av_klimat*VLOOKUP($A404,Leveranser_per_nät,'Leveranser per nät'!K$1,FALSE)/VLOOKUP($B404,Korrigeringsfaktor_GD,'Korrigeringsfaktor GD'!K$1,FALSE),
"")</f>
        <v>0</v>
      </c>
      <c r="L404" s="18">
        <f>IFERROR(
                  Andel_oberoende_av_klimat*VLOOKUP($A404,Leveranser_per_nät,'Leveranser per nät'!L$1,FALSE)
               +Andel_beroende_av_klimat*VLOOKUP($A404,Leveranser_per_nät,'Leveranser per nät'!L$1,FALSE)/VLOOKUP($B404,Korrigeringsfaktor_GD,'Korrigeringsfaktor GD'!L$1,FALSE),
"")</f>
        <v>0</v>
      </c>
      <c r="M404" s="18">
        <f>IFERROR(
                  Andel_oberoende_av_klimat*VLOOKUP($A404,Leveranser_per_nät,'Leveranser per nät'!M$1,FALSE)
               +Andel_beroende_av_klimat*VLOOKUP($A404,Leveranser_per_nät,'Leveranser per nät'!M$1,FALSE)/VLOOKUP($B404,Korrigeringsfaktor_GD,'Korrigeringsfaktor GD'!M$1,FALSE),
"")</f>
        <v>0</v>
      </c>
      <c r="N404" s="18">
        <f>IFERROR(
                  Andel_oberoende_av_klimat*VLOOKUP($A404,Leveranser_per_nät,'Leveranser per nät'!N$1,FALSE)
               +Andel_beroende_av_klimat*VLOOKUP($A404,Leveranser_per_nät,'Leveranser per nät'!N$1,FALSE)/VLOOKUP($B404,Korrigeringsfaktor_GD,'Korrigeringsfaktor GD'!N$1,FALSE),
"")</f>
        <v>0</v>
      </c>
      <c r="O404" s="18">
        <f>IFERROR(
                  Andel_oberoende_av_klimat*VLOOKUP($A404,Leveranser_per_nät,'Leveranser per nät'!O$1,FALSE)
               +Andel_beroende_av_klimat*VLOOKUP($A404,Leveranser_per_nät,'Leveranser per nät'!O$1,FALSE)/VLOOKUP($B404,Korrigeringsfaktor_GD,'Korrigeringsfaktor GD'!O$1,FALSE),
"")</f>
        <v>0</v>
      </c>
      <c r="P404" s="18">
        <f>IFERROR(
                  Andel_oberoende_av_klimat*VLOOKUP($A404,Leveranser_per_nät,'Leveranser per nät'!P$1,FALSE)
               +Andel_beroende_av_klimat*VLOOKUP($A404,Leveranser_per_nät,'Leveranser per nät'!P$1,FALSE)/VLOOKUP($B404,Korrigeringsfaktor_GD,'Korrigeringsfaktor GD'!P$1,FALSE),
"")</f>
        <v>33.299999999999997</v>
      </c>
      <c r="Q404" s="18">
        <f>IFERROR(
                  Andel_oberoende_av_klimat*VLOOKUP($A404,Leveranser_per_nät,'Leveranser per nät'!Q$1,FALSE)
               +Andel_beroende_av_klimat*VLOOKUP($A404,Leveranser_per_nät,'Leveranser per nät'!Q$1,FALSE)/VLOOKUP($B404,Korrigeringsfaktor_GD,'Korrigeringsfaktor GD'!Q$1,FALSE),
"")</f>
        <v>90.6</v>
      </c>
      <c r="R404" s="18">
        <f>IFERROR(
                  Andel_oberoende_av_klimat*VLOOKUP($A404,Leveranser_per_nät,'Leveranser per nät'!R$1,FALSE)
               +Andel_beroende_av_klimat*VLOOKUP($A404,Leveranser_per_nät,'Leveranser per nät'!R$1,FALSE)/VLOOKUP($B404,Korrigeringsfaktor_GD,'Korrigeringsfaktor GD'!R$1,FALSE),
"")</f>
        <v>87.486808602150532</v>
      </c>
      <c r="S404" s="18">
        <f>IFERROR(
                  Andel_oberoende_av_klimat*VLOOKUP($A404,Leveranser_per_nät,'Leveranser per nät'!S$1,FALSE)
               +Andel_beroende_av_klimat*VLOOKUP($A404,Leveranser_per_nät,'Leveranser per nät'!S$1,FALSE)/VLOOKUP($B404,Korrigeringsfaktor_GD,'Korrigeringsfaktor GD'!S$1,FALSE),
"")</f>
        <v>89</v>
      </c>
      <c r="T404" s="18">
        <f>IFERROR(
                  Andel_oberoende_av_klimat*VLOOKUP($A404,Leveranser_per_nät,'Leveranser per nät'!T$1,FALSE)
               +Andel_beroende_av_klimat*VLOOKUP($A404,Leveranser_per_nät,'Leveranser per nät'!T$1,FALSE)/VLOOKUP($B404,Korrigeringsfaktor_GD,'Korrigeringsfaktor GD'!T$1,FALSE),
"")</f>
        <v>89.545534020618561</v>
      </c>
      <c r="U404" s="18">
        <f>IFERROR(
                  Andel_oberoende_av_klimat*VLOOKUP($A404,Leveranser_per_nät,'Leveranser per nät'!U$1,FALSE)
               +Andel_beroende_av_klimat*VLOOKUP($A404,Leveranser_per_nät,'Leveranser per nät'!U$1,FALSE)/VLOOKUP($B404,Korrigeringsfaktor_GD,'Korrigeringsfaktor GD'!U$1,FALSE),
"")</f>
        <v>95.39563488372093</v>
      </c>
      <c r="V404" s="18">
        <f>IFERROR(
                  Andel_oberoende_av_klimat*VLOOKUP($A404,Leveranser_per_nät,'Leveranser per nät'!V$1,FALSE)
               +Andel_beroende_av_klimat*VLOOKUP($A404,Leveranser_per_nät,'Leveranser per nät'!V$1,FALSE)/VLOOKUP($B404,Korrigeringsfaktor_GD,'Korrigeringsfaktor GD'!V$1,FALSE),
"")</f>
        <v>95.057186516853932</v>
      </c>
      <c r="W404" s="18">
        <f>IFERROR(
                  Andel_oberoende_av_klimat*VLOOKUP($A404,Leveranser_per_nät,'Leveranser per nät'!W$1,FALSE)
               +Andel_beroende_av_klimat*VLOOKUP($A404,Leveranser_per_nät,'Leveranser per nät'!W$1,FALSE)/VLOOKUP($B404,Korrigeringsfaktor_GD,'Korrigeringsfaktor GD'!W$1,FALSE),
"")</f>
        <v>99.472421276595753</v>
      </c>
      <c r="X404" s="18">
        <f>IFERROR(
                  Andel_oberoende_av_klimat*VLOOKUP($A404,Leveranser_per_nät,'Leveranser per nät'!X$1,FALSE)
               +Andel_beroende_av_klimat*VLOOKUP($A404,Leveranser_per_nät,'Leveranser per nät'!X$1,FALSE)/VLOOKUP($B404,Korrigeringsfaktor_GD,'Korrigeringsfaktor GD'!X$1,FALSE),
"")</f>
        <v>94.352631578947381</v>
      </c>
      <c r="Y404" s="18">
        <f>IFERROR(
                  Andel_oberoende_av_klimat*VLOOKUP($A404,Leveranser_per_nät,'Leveranser per nät'!Y$1,FALSE)
               +Andel_beroende_av_klimat*VLOOKUP($A404,Leveranser_per_nät,'Leveranser per nät'!Y$1,FALSE)/VLOOKUP($B404,Korrigeringsfaktor_GD,'Korrigeringsfaktor GD'!Y$1,FALSE),
"")</f>
        <v>98.565638297872354</v>
      </c>
      <c r="Z404" s="18">
        <f>IFERROR(
                  Andel_oberoende_av_klimat*VLOOKUP($A404,Leveranser_per_nät,'Leveranser per nät'!Z$1,FALSE)
               +Andel_beroende_av_klimat*VLOOKUP($A404,Leveranser_per_nät,'Leveranser per nät'!Z$1,FALSE)/VLOOKUP($B404,Korrigeringsfaktor_GD,'Korrigeringsfaktor GD'!Z$1,FALSE),
"")</f>
        <v>80.320271428571431</v>
      </c>
      <c r="AA404" s="18">
        <f>IFERROR(
                  Andel_oberoende_av_klimat*VLOOKUP($A404,Leveranser_per_nät,'Leveranser per nät'!AA$1,FALSE)
               +Andel_beroende_av_klimat*VLOOKUP($A404,Leveranser_per_nät,'Leveranser per nät'!AA$1,FALSE)/VLOOKUP($B404,Korrigeringsfaktor_GD,'Korrigeringsfaktor GD'!AA$1,FALSE),
"")</f>
        <v>30.871485127478753</v>
      </c>
      <c r="AB404" s="18">
        <f>IFERROR(
                  Andel_oberoende_av_klimat*VLOOKUP($A404,Leveranser_per_nät,'Leveranser per nät'!AB$1,FALSE)
               +Andel_beroende_av_klimat*VLOOKUP($A404,Leveranser_per_nät,'Leveranser per nät'!AB$1,FALSE)/VLOOKUP($B404,Korrigeringsfaktor_GD,'Korrigeringsfaktor GD'!AB$1,FALSE),
"")</f>
        <v>32.33881407333994</v>
      </c>
      <c r="AC404" s="18">
        <f>IFERROR(
                  Andel_oberoende_av_klimat*VLOOKUP($A404,Leveranser_per_nät,'Leveranser per nät'!AC$1,FALSE)
               +Andel_beroende_av_klimat*VLOOKUP($A404,Leveranser_per_nät,'Leveranser per nät'!AC$1,FALSE)/VLOOKUP($B404,Korrigeringsfaktor_GD,'Korrigeringsfaktor GD'!AC$1,FALSE),
"")</f>
        <v>31.790466666666667</v>
      </c>
      <c r="AD404">
        <v>33.226999999999997</v>
      </c>
    </row>
    <row r="405" spans="1:30" x14ac:dyDescent="0.25">
      <c r="A405" t="s">
        <v>149</v>
      </c>
      <c r="B405" t="s">
        <v>116</v>
      </c>
      <c r="C405" s="18">
        <f>IFERROR(
                  Andel_oberoende_av_klimat*VLOOKUP($A405,Leveranser_per_nät,'Leveranser per nät'!C$1,FALSE)
               +Andel_beroende_av_klimat*VLOOKUP($A405,Leveranser_per_nät,'Leveranser per nät'!C$1,FALSE)/VLOOKUP($B405,Korrigeringsfaktor_GD,'Korrigeringsfaktor GD'!C$1,FALSE),
"")</f>
        <v>0</v>
      </c>
      <c r="D405" s="18">
        <f>IFERROR(
                  Andel_oberoende_av_klimat*VLOOKUP($A405,Leveranser_per_nät,'Leveranser per nät'!D$1,FALSE)
               +Andel_beroende_av_klimat*VLOOKUP($A405,Leveranser_per_nät,'Leveranser per nät'!D$1,FALSE)/VLOOKUP($B405,Korrigeringsfaktor_GD,'Korrigeringsfaktor GD'!D$1,FALSE),
"")</f>
        <v>0</v>
      </c>
      <c r="E405" s="18">
        <f>IFERROR(
                  Andel_oberoende_av_klimat*VLOOKUP($A405,Leveranser_per_nät,'Leveranser per nät'!E$1,FALSE)
               +Andel_beroende_av_klimat*VLOOKUP($A405,Leveranser_per_nät,'Leveranser per nät'!E$1,FALSE)/VLOOKUP($B405,Korrigeringsfaktor_GD,'Korrigeringsfaktor GD'!E$1,FALSE),
"")</f>
        <v>0</v>
      </c>
      <c r="F405" s="18">
        <f>IFERROR(
                  Andel_oberoende_av_klimat*VLOOKUP($A405,Leveranser_per_nät,'Leveranser per nät'!F$1,FALSE)
               +Andel_beroende_av_klimat*VLOOKUP($A405,Leveranser_per_nät,'Leveranser per nät'!F$1,FALSE)/VLOOKUP($B405,Korrigeringsfaktor_GD,'Korrigeringsfaktor GD'!F$1,FALSE),
"")</f>
        <v>0</v>
      </c>
      <c r="G405" s="18">
        <f>IFERROR(
                  Andel_oberoende_av_klimat*VLOOKUP($A405,Leveranser_per_nät,'Leveranser per nät'!G$1,FALSE)
               +Andel_beroende_av_klimat*VLOOKUP($A405,Leveranser_per_nät,'Leveranser per nät'!G$1,FALSE)/VLOOKUP($B405,Korrigeringsfaktor_GD,'Korrigeringsfaktor GD'!G$1,FALSE),
"")</f>
        <v>3.2595505617977523</v>
      </c>
      <c r="H405" s="18">
        <f>IFERROR(
                  Andel_oberoende_av_klimat*VLOOKUP($A405,Leveranser_per_nät,'Leveranser per nät'!H$1,FALSE)
               +Andel_beroende_av_klimat*VLOOKUP($A405,Leveranser_per_nät,'Leveranser per nät'!H$1,FALSE)/VLOOKUP($B405,Korrigeringsfaktor_GD,'Korrigeringsfaktor GD'!H$1,FALSE),
"")</f>
        <v>2.9792079207920787</v>
      </c>
      <c r="I405" s="18">
        <f>IFERROR(
                  Andel_oberoende_av_klimat*VLOOKUP($A405,Leveranser_per_nät,'Leveranser per nät'!I$1,FALSE)
               +Andel_beroende_av_klimat*VLOOKUP($A405,Leveranser_per_nät,'Leveranser per nät'!I$1,FALSE)/VLOOKUP($B405,Korrigeringsfaktor_GD,'Korrigeringsfaktor GD'!I$1,FALSE),
"")</f>
        <v>3.0428571428571427</v>
      </c>
      <c r="J405" s="18">
        <f>IFERROR(
                  Andel_oberoende_av_klimat*VLOOKUP($A405,Leveranser_per_nät,'Leveranser per nät'!J$1,FALSE)
               +Andel_beroende_av_klimat*VLOOKUP($A405,Leveranser_per_nät,'Leveranser per nät'!J$1,FALSE)/VLOOKUP($B405,Korrigeringsfaktor_GD,'Korrigeringsfaktor GD'!J$1,FALSE),
"")</f>
        <v>3.0649484536082472</v>
      </c>
      <c r="K405" s="18">
        <f>IFERROR(
                  Andel_oberoende_av_klimat*VLOOKUP($A405,Leveranser_per_nät,'Leveranser per nät'!K$1,FALSE)
               +Andel_beroende_av_klimat*VLOOKUP($A405,Leveranser_per_nät,'Leveranser per nät'!K$1,FALSE)/VLOOKUP($B405,Korrigeringsfaktor_GD,'Korrigeringsfaktor GD'!K$1,FALSE),
"")</f>
        <v>3.3654000000000002</v>
      </c>
      <c r="L405" s="18">
        <f>IFERROR(
                  Andel_oberoende_av_klimat*VLOOKUP($A405,Leveranser_per_nät,'Leveranser per nät'!L$1,FALSE)
               +Andel_beroende_av_klimat*VLOOKUP($A405,Leveranser_per_nät,'Leveranser per nät'!L$1,FALSE)/VLOOKUP($B405,Korrigeringsfaktor_GD,'Korrigeringsfaktor GD'!L$1,FALSE),
"")</f>
        <v>3.3377553191489362</v>
      </c>
      <c r="M405" s="18">
        <f>IFERROR(
                  Andel_oberoende_av_klimat*VLOOKUP($A405,Leveranser_per_nät,'Leveranser per nät'!M$1,FALSE)
               +Andel_beroende_av_klimat*VLOOKUP($A405,Leveranser_per_nät,'Leveranser per nät'!M$1,FALSE)/VLOOKUP($B405,Korrigeringsfaktor_GD,'Korrigeringsfaktor GD'!M$1,FALSE),
"")</f>
        <v>3.3947826086956523</v>
      </c>
      <c r="N405" s="18">
        <f>IFERROR(
                  Andel_oberoende_av_klimat*VLOOKUP($A405,Leveranser_per_nät,'Leveranser per nät'!N$1,FALSE)
               +Andel_beroende_av_klimat*VLOOKUP($A405,Leveranser_per_nät,'Leveranser per nät'!N$1,FALSE)/VLOOKUP($B405,Korrigeringsfaktor_GD,'Korrigeringsfaktor GD'!N$1,FALSE),
"")</f>
        <v>3.5791397849462365</v>
      </c>
      <c r="O405" s="18">
        <f>IFERROR(
                  Andel_oberoende_av_klimat*VLOOKUP($A405,Leveranser_per_nät,'Leveranser per nät'!O$1,FALSE)
               +Andel_beroende_av_klimat*VLOOKUP($A405,Leveranser_per_nät,'Leveranser per nät'!O$1,FALSE)/VLOOKUP($B405,Korrigeringsfaktor_GD,'Korrigeringsfaktor GD'!O$1,FALSE),
"")</f>
        <v>3.9561538461538461</v>
      </c>
      <c r="P405" s="18">
        <f>IFERROR(
                  Andel_oberoende_av_klimat*VLOOKUP($A405,Leveranser_per_nät,'Leveranser per nät'!P$1,FALSE)
               +Andel_beroende_av_klimat*VLOOKUP($A405,Leveranser_per_nät,'Leveranser per nät'!P$1,FALSE)/VLOOKUP($B405,Korrigeringsfaktor_GD,'Korrigeringsfaktor GD'!P$1,FALSE),
"")</f>
        <v>4.028282828282828</v>
      </c>
      <c r="Q405" s="18">
        <f>IFERROR(
                  Andel_oberoende_av_klimat*VLOOKUP($A405,Leveranser_per_nät,'Leveranser per nät'!Q$1,FALSE)
               +Andel_beroende_av_klimat*VLOOKUP($A405,Leveranser_per_nät,'Leveranser per nät'!Q$1,FALSE)/VLOOKUP($B405,Korrigeringsfaktor_GD,'Korrigeringsfaktor GD'!Q$1,FALSE),
"")</f>
        <v>3.9982608695652178</v>
      </c>
      <c r="R405" s="18">
        <f>IFERROR(
                  Andel_oberoende_av_klimat*VLOOKUP($A405,Leveranser_per_nät,'Leveranser per nät'!R$1,FALSE)
               +Andel_beroende_av_klimat*VLOOKUP($A405,Leveranser_per_nät,'Leveranser per nät'!R$1,FALSE)/VLOOKUP($B405,Korrigeringsfaktor_GD,'Korrigeringsfaktor GD'!R$1,FALSE),
"")</f>
        <v>3.2803999999999993</v>
      </c>
      <c r="S405" s="18">
        <f>IFERROR(
                  Andel_oberoende_av_klimat*VLOOKUP($A405,Leveranser_per_nät,'Leveranser per nät'!S$1,FALSE)
               +Andel_beroende_av_klimat*VLOOKUP($A405,Leveranser_per_nät,'Leveranser per nät'!S$1,FALSE)/VLOOKUP($B405,Korrigeringsfaktor_GD,'Korrigeringsfaktor GD'!S$1,FALSE),
"")</f>
        <v>3.3</v>
      </c>
      <c r="T405" s="18">
        <f>IFERROR(
                  Andel_oberoende_av_klimat*VLOOKUP($A405,Leveranser_per_nät,'Leveranser per nät'!T$1,FALSE)
               +Andel_beroende_av_klimat*VLOOKUP($A405,Leveranser_per_nät,'Leveranser per nät'!T$1,FALSE)/VLOOKUP($B405,Korrigeringsfaktor_GD,'Korrigeringsfaktor GD'!T$1,FALSE),
"")</f>
        <v>3.2142105263157896</v>
      </c>
      <c r="U405" s="18">
        <f>IFERROR(
                  Andel_oberoende_av_klimat*VLOOKUP($A405,Leveranser_per_nät,'Leveranser per nät'!U$1,FALSE)
               +Andel_beroende_av_klimat*VLOOKUP($A405,Leveranser_per_nät,'Leveranser per nät'!U$1,FALSE)/VLOOKUP($B405,Korrigeringsfaktor_GD,'Korrigeringsfaktor GD'!U$1,FALSE),
"")</f>
        <v>3.2595505617977523</v>
      </c>
      <c r="V405" s="18">
        <f>IFERROR(
                  Andel_oberoende_av_klimat*VLOOKUP($A405,Leveranser_per_nät,'Leveranser per nät'!V$1,FALSE)
               +Andel_beroende_av_klimat*VLOOKUP($A405,Leveranser_per_nät,'Leveranser per nät'!V$1,FALSE)/VLOOKUP($B405,Korrigeringsfaktor_GD,'Korrigeringsfaktor GD'!V$1,FALSE),
"")</f>
        <v>3.3411111111111111</v>
      </c>
      <c r="W405" s="18">
        <f>IFERROR(
                  Andel_oberoende_av_klimat*VLOOKUP($A405,Leveranser_per_nät,'Leveranser per nät'!W$1,FALSE)
               +Andel_beroende_av_klimat*VLOOKUP($A405,Leveranser_per_nät,'Leveranser per nät'!W$1,FALSE)/VLOOKUP($B405,Korrigeringsfaktor_GD,'Korrigeringsfaktor GD'!W$1,FALSE),
"")</f>
        <v>3.1580645161290315</v>
      </c>
      <c r="X405" s="18">
        <f>IFERROR(
                  Andel_oberoende_av_klimat*VLOOKUP($A405,Leveranser_per_nät,'Leveranser per nät'!X$1,FALSE)
               +Andel_beroende_av_klimat*VLOOKUP($A405,Leveranser_per_nät,'Leveranser per nät'!X$1,FALSE)/VLOOKUP($B405,Korrigeringsfaktor_GD,'Korrigeringsfaktor GD'!X$1,FALSE),
"")</f>
        <v>3.3429787234042552</v>
      </c>
      <c r="Y405" s="18">
        <f>IFERROR(
                  Andel_oberoende_av_klimat*VLOOKUP($A405,Leveranser_per_nät,'Leveranser per nät'!Y$1,FALSE)
               +Andel_beroende_av_klimat*VLOOKUP($A405,Leveranser_per_nät,'Leveranser per nät'!Y$1,FALSE)/VLOOKUP($B405,Korrigeringsfaktor_GD,'Korrigeringsfaktor GD'!Y$1,FALSE),
"")</f>
        <v>3.0765217391304347</v>
      </c>
      <c r="Z405" s="18">
        <f>IFERROR(
                  Andel_oberoende_av_klimat*VLOOKUP($A405,Leveranser_per_nät,'Leveranser per nät'!Z$1,FALSE)
               +Andel_beroende_av_klimat*VLOOKUP($A405,Leveranser_per_nät,'Leveranser per nät'!Z$1,FALSE)/VLOOKUP($B405,Korrigeringsfaktor_GD,'Korrigeringsfaktor GD'!Z$1,FALSE),
"")</f>
        <v>2.7787500000000001</v>
      </c>
      <c r="AA405" s="18">
        <f>IFERROR(
                  Andel_oberoende_av_klimat*VLOOKUP($A405,Leveranser_per_nät,'Leveranser per nät'!AA$1,FALSE)
               +Andel_beroende_av_klimat*VLOOKUP($A405,Leveranser_per_nät,'Leveranser per nät'!AA$1,FALSE)/VLOOKUP($B405,Korrigeringsfaktor_GD,'Korrigeringsfaktor GD'!AA$1,FALSE),
"")</f>
        <v>2.7236015701668301</v>
      </c>
      <c r="AB405" s="18">
        <f>IFERROR(
                  Andel_oberoende_av_klimat*VLOOKUP($A405,Leveranser_per_nät,'Leveranser per nät'!AB$1,FALSE)
               +Andel_beroende_av_klimat*VLOOKUP($A405,Leveranser_per_nät,'Leveranser per nät'!AB$1,FALSE)/VLOOKUP($B405,Korrigeringsfaktor_GD,'Korrigeringsfaktor GD'!AB$1,FALSE),
"")</f>
        <v>2.9184359233097878</v>
      </c>
      <c r="AC405" s="18">
        <f>IFERROR(
                  Andel_oberoende_av_klimat*VLOOKUP($A405,Leveranser_per_nät,'Leveranser per nät'!AC$1,FALSE)
               +Andel_beroende_av_klimat*VLOOKUP($A405,Leveranser_per_nät,'Leveranser per nät'!AC$1,FALSE)/VLOOKUP($B405,Korrigeringsfaktor_GD,'Korrigeringsfaktor GD'!AC$1,FALSE),
"")</f>
        <v>2.8005556962025313</v>
      </c>
      <c r="AD405" t="e">
        <v>#N/A</v>
      </c>
    </row>
    <row r="406" spans="1:30" x14ac:dyDescent="0.25">
      <c r="A406" t="s">
        <v>27</v>
      </c>
      <c r="B406" t="s">
        <v>25</v>
      </c>
      <c r="C406" s="18">
        <f>IFERROR(
                  Andel_oberoende_av_klimat*VLOOKUP($A406,Leveranser_per_nät,'Leveranser per nät'!C$1,FALSE)
               +Andel_beroende_av_klimat*VLOOKUP($A406,Leveranser_per_nät,'Leveranser per nät'!C$1,FALSE)/VLOOKUP($B406,Korrigeringsfaktor_GD,'Korrigeringsfaktor GD'!C$1,FALSE),
"")</f>
        <v>0</v>
      </c>
      <c r="D406" s="18">
        <f>IFERROR(
                  Andel_oberoende_av_klimat*VLOOKUP($A406,Leveranser_per_nät,'Leveranser per nät'!D$1,FALSE)
               +Andel_beroende_av_klimat*VLOOKUP($A406,Leveranser_per_nät,'Leveranser per nät'!D$1,FALSE)/VLOOKUP($B406,Korrigeringsfaktor_GD,'Korrigeringsfaktor GD'!D$1,FALSE),
"")</f>
        <v>0</v>
      </c>
      <c r="E406" s="18">
        <f>IFERROR(
                  Andel_oberoende_av_klimat*VLOOKUP($A406,Leveranser_per_nät,'Leveranser per nät'!E$1,FALSE)
               +Andel_beroende_av_klimat*VLOOKUP($A406,Leveranser_per_nät,'Leveranser per nät'!E$1,FALSE)/VLOOKUP($B406,Korrigeringsfaktor_GD,'Korrigeringsfaktor GD'!E$1,FALSE),
"")</f>
        <v>0</v>
      </c>
      <c r="F406" s="18">
        <f>IFERROR(
                  Andel_oberoende_av_klimat*VLOOKUP($A406,Leveranser_per_nät,'Leveranser per nät'!F$1,FALSE)
               +Andel_beroende_av_klimat*VLOOKUP($A406,Leveranser_per_nät,'Leveranser per nät'!F$1,FALSE)/VLOOKUP($B406,Korrigeringsfaktor_GD,'Korrigeringsfaktor GD'!F$1,FALSE),
"")</f>
        <v>0</v>
      </c>
      <c r="G406" s="18">
        <f>IFERROR(
                  Andel_oberoende_av_klimat*VLOOKUP($A406,Leveranser_per_nät,'Leveranser per nät'!G$1,FALSE)
               +Andel_beroende_av_klimat*VLOOKUP($A406,Leveranser_per_nät,'Leveranser per nät'!G$1,FALSE)/VLOOKUP($B406,Korrigeringsfaktor_GD,'Korrigeringsfaktor GD'!G$1,FALSE),
"")</f>
        <v>0</v>
      </c>
      <c r="H406" s="18">
        <f>IFERROR(
                  Andel_oberoende_av_klimat*VLOOKUP($A406,Leveranser_per_nät,'Leveranser per nät'!H$1,FALSE)
               +Andel_beroende_av_klimat*VLOOKUP($A406,Leveranser_per_nät,'Leveranser per nät'!H$1,FALSE)/VLOOKUP($B406,Korrigeringsfaktor_GD,'Korrigeringsfaktor GD'!H$1,FALSE),
"")</f>
        <v>0</v>
      </c>
      <c r="I406" s="18">
        <f>IFERROR(
                  Andel_oberoende_av_klimat*VLOOKUP($A406,Leveranser_per_nät,'Leveranser per nät'!I$1,FALSE)
               +Andel_beroende_av_klimat*VLOOKUP($A406,Leveranser_per_nät,'Leveranser per nät'!I$1,FALSE)/VLOOKUP($B406,Korrigeringsfaktor_GD,'Korrigeringsfaktor GD'!I$1,FALSE),
"")</f>
        <v>0</v>
      </c>
      <c r="J406" s="18">
        <f>IFERROR(
                  Andel_oberoende_av_klimat*VLOOKUP($A406,Leveranser_per_nät,'Leveranser per nät'!J$1,FALSE)
               +Andel_beroende_av_klimat*VLOOKUP($A406,Leveranser_per_nät,'Leveranser per nät'!J$1,FALSE)/VLOOKUP($B406,Korrigeringsfaktor_GD,'Korrigeringsfaktor GD'!J$1,FALSE),
"")</f>
        <v>0</v>
      </c>
      <c r="K406" s="18">
        <f>IFERROR(
                  Andel_oberoende_av_klimat*VLOOKUP($A406,Leveranser_per_nät,'Leveranser per nät'!K$1,FALSE)
               +Andel_beroende_av_klimat*VLOOKUP($A406,Leveranser_per_nät,'Leveranser per nät'!K$1,FALSE)/VLOOKUP($B406,Korrigeringsfaktor_GD,'Korrigeringsfaktor GD'!K$1,FALSE),
"")</f>
        <v>0</v>
      </c>
      <c r="L406" s="18">
        <f>IFERROR(
                  Andel_oberoende_av_klimat*VLOOKUP($A406,Leveranser_per_nät,'Leveranser per nät'!L$1,FALSE)
               +Andel_beroende_av_klimat*VLOOKUP($A406,Leveranser_per_nät,'Leveranser per nät'!L$1,FALSE)/VLOOKUP($B406,Korrigeringsfaktor_GD,'Korrigeringsfaktor GD'!L$1,FALSE),
"")</f>
        <v>2.8643645161290321</v>
      </c>
      <c r="M406" s="18">
        <f>IFERROR(
                  Andel_oberoende_av_klimat*VLOOKUP($A406,Leveranser_per_nät,'Leveranser per nät'!M$1,FALSE)
               +Andel_beroende_av_klimat*VLOOKUP($A406,Leveranser_per_nät,'Leveranser per nät'!M$1,FALSE)/VLOOKUP($B406,Korrigeringsfaktor_GD,'Korrigeringsfaktor GD'!M$1,FALSE),
"")</f>
        <v>2.4592307692307691</v>
      </c>
      <c r="N406" s="18">
        <f>IFERROR(
                  Andel_oberoende_av_klimat*VLOOKUP($A406,Leveranser_per_nät,'Leveranser per nät'!N$1,FALSE)
               +Andel_beroende_av_klimat*VLOOKUP($A406,Leveranser_per_nät,'Leveranser per nät'!N$1,FALSE)/VLOOKUP($B406,Korrigeringsfaktor_GD,'Korrigeringsfaktor GD'!N$1,FALSE),
"")</f>
        <v>2.546086956521739</v>
      </c>
      <c r="O406" s="18">
        <f>IFERROR(
                  Andel_oberoende_av_klimat*VLOOKUP($A406,Leveranser_per_nät,'Leveranser per nät'!O$1,FALSE)
               +Andel_beroende_av_klimat*VLOOKUP($A406,Leveranser_per_nät,'Leveranser per nät'!O$1,FALSE)/VLOOKUP($B406,Korrigeringsfaktor_GD,'Korrigeringsfaktor GD'!O$1,FALSE),
"")</f>
        <v>1.8176923076923075</v>
      </c>
      <c r="P406" s="18">
        <f>IFERROR(
                  Andel_oberoende_av_klimat*VLOOKUP($A406,Leveranser_per_nät,'Leveranser per nät'!P$1,FALSE)
               +Andel_beroende_av_klimat*VLOOKUP($A406,Leveranser_per_nät,'Leveranser per nät'!P$1,FALSE)/VLOOKUP($B406,Korrigeringsfaktor_GD,'Korrigeringsfaktor GD'!P$1,FALSE),
"")</f>
        <v>2.5478888888888886</v>
      </c>
      <c r="Q406" s="18">
        <f>IFERROR(
                  Andel_oberoende_av_klimat*VLOOKUP($A406,Leveranser_per_nät,'Leveranser per nät'!Q$1,FALSE)
               +Andel_beroende_av_klimat*VLOOKUP($A406,Leveranser_per_nät,'Leveranser per nät'!Q$1,FALSE)/VLOOKUP($B406,Korrigeringsfaktor_GD,'Korrigeringsfaktor GD'!Q$1,FALSE),
"")</f>
        <v>2.635217391304348</v>
      </c>
      <c r="R406" s="18">
        <f>IFERROR(
                  Andel_oberoende_av_klimat*VLOOKUP($A406,Leveranser_per_nät,'Leveranser per nät'!R$1,FALSE)
               +Andel_beroende_av_klimat*VLOOKUP($A406,Leveranser_per_nät,'Leveranser per nät'!R$1,FALSE)/VLOOKUP($B406,Korrigeringsfaktor_GD,'Korrigeringsfaktor GD'!R$1,FALSE),
"")</f>
        <v>2.6944444444444446</v>
      </c>
      <c r="S406" s="18">
        <f>IFERROR(
                  Andel_oberoende_av_klimat*VLOOKUP($A406,Leveranser_per_nät,'Leveranser per nät'!S$1,FALSE)
               +Andel_beroende_av_klimat*VLOOKUP($A406,Leveranser_per_nät,'Leveranser per nät'!S$1,FALSE)/VLOOKUP($B406,Korrigeringsfaktor_GD,'Korrigeringsfaktor GD'!S$1,FALSE),
"")</f>
        <v>2.6</v>
      </c>
      <c r="T406" s="18">
        <f>IFERROR(
                  Andel_oberoende_av_klimat*VLOOKUP($A406,Leveranser_per_nät,'Leveranser per nät'!T$1,FALSE)
               +Andel_beroende_av_klimat*VLOOKUP($A406,Leveranser_per_nät,'Leveranser per nät'!T$1,FALSE)/VLOOKUP($B406,Korrigeringsfaktor_GD,'Korrigeringsfaktor GD'!T$1,FALSE),
"")</f>
        <v>2.6117021276595747</v>
      </c>
      <c r="U406" s="18">
        <f>IFERROR(
                  Andel_oberoende_av_klimat*VLOOKUP($A406,Leveranser_per_nät,'Leveranser per nät'!U$1,FALSE)
               +Andel_beroende_av_klimat*VLOOKUP($A406,Leveranser_per_nät,'Leveranser per nät'!U$1,FALSE)/VLOOKUP($B406,Korrigeringsfaktor_GD,'Korrigeringsfaktor GD'!U$1,FALSE),
"")</f>
        <v>2.6181363636363639</v>
      </c>
      <c r="V406" s="18">
        <f>IFERROR(
                  Andel_oberoende_av_klimat*VLOOKUP($A406,Leveranser_per_nät,'Leveranser per nät'!V$1,FALSE)
               +Andel_beroende_av_klimat*VLOOKUP($A406,Leveranser_per_nät,'Leveranser per nät'!V$1,FALSE)/VLOOKUP($B406,Korrigeringsfaktor_GD,'Korrigeringsfaktor GD'!V$1,FALSE),
"")</f>
        <v>2.9868348314606741</v>
      </c>
      <c r="W406" s="18">
        <f>IFERROR(
                  Andel_oberoende_av_klimat*VLOOKUP($A406,Leveranser_per_nät,'Leveranser per nät'!W$1,FALSE)
               +Andel_beroende_av_klimat*VLOOKUP($A406,Leveranser_per_nät,'Leveranser per nät'!W$1,FALSE)/VLOOKUP($B406,Korrigeringsfaktor_GD,'Korrigeringsfaktor GD'!W$1,FALSE),
"")</f>
        <v>2.9439106382978726</v>
      </c>
      <c r="X406" s="18">
        <f>IFERROR(
                  Andel_oberoende_av_klimat*VLOOKUP($A406,Leveranser_per_nät,'Leveranser per nät'!X$1,FALSE)
               +Andel_beroende_av_klimat*VLOOKUP($A406,Leveranser_per_nät,'Leveranser per nät'!X$1,FALSE)/VLOOKUP($B406,Korrigeringsfaktor_GD,'Korrigeringsfaktor GD'!X$1,FALSE),
"")</f>
        <v>3.1671134020618559</v>
      </c>
      <c r="Y406" s="18">
        <f>IFERROR(
                  Andel_oberoende_av_klimat*VLOOKUP($A406,Leveranser_per_nät,'Leveranser per nät'!Y$1,FALSE)
               +Andel_beroende_av_klimat*VLOOKUP($A406,Leveranser_per_nät,'Leveranser per nät'!Y$1,FALSE)/VLOOKUP($B406,Korrigeringsfaktor_GD,'Korrigeringsfaktor GD'!Y$1,FALSE),
"")</f>
        <v>3.2243791666666666</v>
      </c>
      <c r="Z406" s="18">
        <f>IFERROR(
                  Andel_oberoende_av_klimat*VLOOKUP($A406,Leveranser_per_nät,'Leveranser per nät'!Z$1,FALSE)
               +Andel_beroende_av_klimat*VLOOKUP($A406,Leveranser_per_nät,'Leveranser per nät'!Z$1,FALSE)/VLOOKUP($B406,Korrigeringsfaktor_GD,'Korrigeringsfaktor GD'!Z$1,FALSE),
"")</f>
        <v>3.5146333333333333</v>
      </c>
      <c r="AA406" s="18">
        <f>IFERROR(
                  Andel_oberoende_av_klimat*VLOOKUP($A406,Leveranser_per_nät,'Leveranser per nät'!AA$1,FALSE)
               +Andel_beroende_av_klimat*VLOOKUP($A406,Leveranser_per_nät,'Leveranser per nät'!AA$1,FALSE)/VLOOKUP($B406,Korrigeringsfaktor_GD,'Korrigeringsfaktor GD'!AA$1,FALSE),
"")</f>
        <v>3.5252274418604652</v>
      </c>
      <c r="AB406" s="18">
        <f>IFERROR(
                  Andel_oberoende_av_klimat*VLOOKUP($A406,Leveranser_per_nät,'Leveranser per nät'!AB$1,FALSE)
               +Andel_beroende_av_klimat*VLOOKUP($A406,Leveranser_per_nät,'Leveranser per nät'!AB$1,FALSE)/VLOOKUP($B406,Korrigeringsfaktor_GD,'Korrigeringsfaktor GD'!AB$1,FALSE),
"")</f>
        <v>2.8022763837638376</v>
      </c>
      <c r="AC406" s="18">
        <f>IFERROR(
                  Andel_oberoende_av_klimat*VLOOKUP($A406,Leveranser_per_nät,'Leveranser per nät'!AC$1,FALSE)
               +Andel_beroende_av_klimat*VLOOKUP($A406,Leveranser_per_nät,'Leveranser per nät'!AC$1,FALSE)/VLOOKUP($B406,Korrigeringsfaktor_GD,'Korrigeringsfaktor GD'!AC$1,FALSE),
"")</f>
        <v>3.078581897386254</v>
      </c>
      <c r="AD406">
        <v>393.77699999999999</v>
      </c>
    </row>
    <row r="407" spans="1:30" x14ac:dyDescent="0.25">
      <c r="A407" t="s">
        <v>514</v>
      </c>
      <c r="B407" t="s">
        <v>514</v>
      </c>
      <c r="C407" s="18"/>
      <c r="D407" s="18"/>
      <c r="E407" s="18"/>
      <c r="F407" s="18"/>
      <c r="G407" s="18"/>
      <c r="H407" s="18"/>
      <c r="I407" s="18"/>
      <c r="J407" s="18"/>
      <c r="K407" s="18"/>
      <c r="L407" s="18"/>
      <c r="M407" s="18"/>
      <c r="N407" s="18"/>
      <c r="O407" s="18"/>
      <c r="P407" s="18"/>
      <c r="Q407" s="18"/>
      <c r="R407" s="18">
        <f>IFERROR(
                  Andel_oberoende_av_klimat*VLOOKUP($A407,Leveranser_per_nät,'Leveranser per nät'!R$1,FALSE)
               +Andel_beroende_av_klimat*VLOOKUP($A407,Leveranser_per_nät,'Leveranser per nät'!R$1,FALSE)/VLOOKUP($B407,Korrigeringsfaktor_GD,'Korrigeringsfaktor GD'!R$1,FALSE),
"")</f>
        <v>0</v>
      </c>
      <c r="S407" s="18">
        <f>IFERROR(
                  Andel_oberoende_av_klimat*VLOOKUP($A407,Leveranser_per_nät,'Leveranser per nät'!S$1,FALSE)
               +Andel_beroende_av_klimat*VLOOKUP($A407,Leveranser_per_nät,'Leveranser per nät'!S$1,FALSE)/VLOOKUP($B407,Korrigeringsfaktor_GD,'Korrigeringsfaktor GD'!S$1,FALSE),
"")</f>
        <v>0</v>
      </c>
      <c r="T407" s="18">
        <f>IFERROR(
                  Andel_oberoende_av_klimat*VLOOKUP($A407,Leveranser_per_nät,'Leveranser per nät'!T$1,FALSE)
               +Andel_beroende_av_klimat*VLOOKUP($A407,Leveranser_per_nät,'Leveranser per nät'!T$1,FALSE)/VLOOKUP($B407,Korrigeringsfaktor_GD,'Korrigeringsfaktor GD'!T$1,FALSE),
"")</f>
        <v>0.13379166666666667</v>
      </c>
      <c r="U407" s="18">
        <f>IFERROR(
                  Andel_oberoende_av_klimat*VLOOKUP($A407,Leveranser_per_nät,'Leveranser per nät'!U$1,FALSE)
               +Andel_beroende_av_klimat*VLOOKUP($A407,Leveranser_per_nät,'Leveranser per nät'!U$1,FALSE)/VLOOKUP($B407,Korrigeringsfaktor_GD,'Korrigeringsfaktor GD'!U$1,FALSE),
"")</f>
        <v>0.13600000000000001</v>
      </c>
      <c r="V407" s="18">
        <f>IFERROR(
                  Andel_oberoende_av_klimat*VLOOKUP($A407,Leveranser_per_nät,'Leveranser per nät'!V$1,FALSE)
               +Andel_beroende_av_klimat*VLOOKUP($A407,Leveranser_per_nät,'Leveranser per nät'!V$1,FALSE)/VLOOKUP($B407,Korrigeringsfaktor_GD,'Korrigeringsfaktor GD'!V$1,FALSE),
"")</f>
        <v>14.926976744186046</v>
      </c>
      <c r="W407" s="18">
        <f>IFERROR(
                  Andel_oberoende_av_klimat*VLOOKUP($A407,Leveranser_per_nät,'Leveranser per nät'!W$1,FALSE)
               +Andel_beroende_av_klimat*VLOOKUP($A407,Leveranser_per_nät,'Leveranser per nät'!W$1,FALSE)/VLOOKUP($B407,Korrigeringsfaktor_GD,'Korrigeringsfaktor GD'!W$1,FALSE),
"")</f>
        <v>12.632258064516126</v>
      </c>
      <c r="X407" s="18">
        <f>IFERROR(
                  Andel_oberoende_av_klimat*VLOOKUP($A407,Leveranser_per_nät,'Leveranser per nät'!X$1,FALSE)
               +Andel_beroende_av_klimat*VLOOKUP($A407,Leveranser_per_nät,'Leveranser per nät'!X$1,FALSE)/VLOOKUP($B407,Korrigeringsfaktor_GD,'Korrigeringsfaktor GD'!X$1,FALSE),
"")</f>
        <v>12.723846153846154</v>
      </c>
      <c r="Y407" s="18">
        <f>IFERROR(
                  Andel_oberoende_av_klimat*VLOOKUP($A407,Leveranser_per_nät,'Leveranser per nät'!Y$1,FALSE)
               +Andel_beroende_av_klimat*VLOOKUP($A407,Leveranser_per_nät,'Leveranser per nät'!Y$1,FALSE)/VLOOKUP($B407,Korrigeringsfaktor_GD,'Korrigeringsfaktor GD'!Y$1,FALSE),
"")</f>
        <v>13.210346153846155</v>
      </c>
      <c r="Z407" s="18">
        <f>IFERROR(
                  Andel_oberoende_av_klimat*VLOOKUP($A407,Leveranser_per_nät,'Leveranser per nät'!Z$1,FALSE)
               +Andel_beroende_av_klimat*VLOOKUP($A407,Leveranser_per_nät,'Leveranser per nät'!Z$1,FALSE)/VLOOKUP($B407,Korrigeringsfaktor_GD,'Korrigeringsfaktor GD'!Z$1,FALSE),
"")</f>
        <v>14.037930769230769</v>
      </c>
      <c r="AA407" s="18">
        <f>IFERROR(
                  Andel_oberoende_av_klimat*VLOOKUP($A407,Leveranser_per_nät,'Leveranser per nät'!AA$1,FALSE)
               +Andel_beroende_av_klimat*VLOOKUP($A407,Leveranser_per_nät,'Leveranser per nät'!AA$1,FALSE)/VLOOKUP($B407,Korrigeringsfaktor_GD,'Korrigeringsfaktor GD'!AA$1,FALSE),
"")</f>
        <v>15.063982869379014</v>
      </c>
      <c r="AB407" s="18">
        <f>IFERROR(
                  Andel_oberoende_av_klimat*VLOOKUP($A407,Leveranser_per_nät,'Leveranser per nät'!AB$1,FALSE)
               +Andel_beroende_av_klimat*VLOOKUP($A407,Leveranser_per_nät,'Leveranser per nät'!AB$1,FALSE)/VLOOKUP($B407,Korrigeringsfaktor_GD,'Korrigeringsfaktor GD'!AB$1,FALSE),
"")</f>
        <v>14.439239766081871</v>
      </c>
      <c r="AC407" s="18">
        <f>IFERROR(
                  Andel_oberoende_av_klimat*VLOOKUP($A407,Leveranser_per_nät,'Leveranser per nät'!AC$1,FALSE)
               +Andel_beroende_av_klimat*VLOOKUP($A407,Leveranser_per_nät,'Leveranser per nät'!AC$1,FALSE)/VLOOKUP($B407,Korrigeringsfaktor_GD,'Korrigeringsfaktor GD'!AC$1,FALSE),
"")</f>
        <v>13.770814644351464</v>
      </c>
      <c r="AD407">
        <v>13.340999999999999</v>
      </c>
    </row>
    <row r="408" spans="1:30" x14ac:dyDescent="0.25">
      <c r="A408" t="s">
        <v>316</v>
      </c>
      <c r="B408" t="s">
        <v>316</v>
      </c>
      <c r="C408" s="18">
        <f>IFERROR(
                  Andel_oberoende_av_klimat*VLOOKUP($A408,Leveranser_per_nät,'Leveranser per nät'!C$1,FALSE)
               +Andel_beroende_av_klimat*VLOOKUP($A408,Leveranser_per_nät,'Leveranser per nät'!C$1,FALSE)/VLOOKUP($B408,Korrigeringsfaktor_GD,'Korrigeringsfaktor GD'!C$1,FALSE),
"")</f>
        <v>122.1</v>
      </c>
      <c r="D408" s="18">
        <f>IFERROR(
                  Andel_oberoende_av_klimat*VLOOKUP($A408,Leveranser_per_nät,'Leveranser per nät'!D$1,FALSE)
               +Andel_beroende_av_klimat*VLOOKUP($A408,Leveranser_per_nät,'Leveranser per nät'!D$1,FALSE)/VLOOKUP($B408,Korrigeringsfaktor_GD,'Korrigeringsfaktor GD'!D$1,FALSE),
"")</f>
        <v>120.58664646464646</v>
      </c>
      <c r="E408" s="18">
        <f>IFERROR(
                  Andel_oberoende_av_klimat*VLOOKUP($A408,Leveranser_per_nät,'Leveranser per nät'!E$1,FALSE)
               +Andel_beroende_av_klimat*VLOOKUP($A408,Leveranser_per_nät,'Leveranser per nät'!E$1,FALSE)/VLOOKUP($B408,Korrigeringsfaktor_GD,'Korrigeringsfaktor GD'!E$1,FALSE),
"")</f>
        <v>121.47184466019418</v>
      </c>
      <c r="F408" s="18">
        <f>IFERROR(
                  Andel_oberoende_av_klimat*VLOOKUP($A408,Leveranser_per_nät,'Leveranser per nät'!F$1,FALSE)
               +Andel_beroende_av_klimat*VLOOKUP($A408,Leveranser_per_nät,'Leveranser per nät'!F$1,FALSE)/VLOOKUP($B408,Korrigeringsfaktor_GD,'Korrigeringsfaktor GD'!F$1,FALSE),
"")</f>
        <v>122.22765957446809</v>
      </c>
      <c r="G408" s="18">
        <f>IFERROR(
                  Andel_oberoende_av_klimat*VLOOKUP($A408,Leveranser_per_nät,'Leveranser per nät'!G$1,FALSE)
               +Andel_beroende_av_klimat*VLOOKUP($A408,Leveranser_per_nät,'Leveranser per nät'!G$1,FALSE)/VLOOKUP($B408,Korrigeringsfaktor_GD,'Korrigeringsfaktor GD'!G$1,FALSE),
"")</f>
        <v>120.40114942528736</v>
      </c>
      <c r="H408" s="18">
        <f>IFERROR(
                  Andel_oberoende_av_klimat*VLOOKUP($A408,Leveranser_per_nät,'Leveranser per nät'!H$1,FALSE)
               +Andel_beroende_av_klimat*VLOOKUP($A408,Leveranser_per_nät,'Leveranser per nät'!H$1,FALSE)/VLOOKUP($B408,Korrigeringsfaktor_GD,'Korrigeringsfaktor GD'!H$1,FALSE),
"")</f>
        <v>123.14059405940594</v>
      </c>
      <c r="I408" s="18">
        <f>IFERROR(
                  Andel_oberoende_av_klimat*VLOOKUP($A408,Leveranser_per_nät,'Leveranser per nät'!I$1,FALSE)
               +Andel_beroende_av_klimat*VLOOKUP($A408,Leveranser_per_nät,'Leveranser per nät'!I$1,FALSE)/VLOOKUP($B408,Korrigeringsfaktor_GD,'Korrigeringsfaktor GD'!I$1,FALSE),
"")</f>
        <v>123.3842105263158</v>
      </c>
      <c r="J408" s="18">
        <f>IFERROR(
                  Andel_oberoende_av_klimat*VLOOKUP($A408,Leveranser_per_nät,'Leveranser per nät'!J$1,FALSE)
               +Andel_beroende_av_klimat*VLOOKUP($A408,Leveranser_per_nät,'Leveranser per nät'!J$1,FALSE)/VLOOKUP($B408,Korrigeringsfaktor_GD,'Korrigeringsfaktor GD'!J$1,FALSE),
"")</f>
        <v>129.7509898989899</v>
      </c>
      <c r="K408" s="18">
        <f>IFERROR(
                  Andel_oberoende_av_klimat*VLOOKUP($A408,Leveranser_per_nät,'Leveranser per nät'!K$1,FALSE)
               +Andel_beroende_av_klimat*VLOOKUP($A408,Leveranser_per_nät,'Leveranser per nät'!K$1,FALSE)/VLOOKUP($B408,Korrigeringsfaktor_GD,'Korrigeringsfaktor GD'!K$1,FALSE),
"")</f>
        <v>123.32</v>
      </c>
      <c r="L408" s="18">
        <f>IFERROR(
                  Andel_oberoende_av_klimat*VLOOKUP($A408,Leveranser_per_nät,'Leveranser per nät'!L$1,FALSE)
               +Andel_beroende_av_klimat*VLOOKUP($A408,Leveranser_per_nät,'Leveranser per nät'!L$1,FALSE)/VLOOKUP($B408,Korrigeringsfaktor_GD,'Korrigeringsfaktor GD'!L$1,FALSE),
"")</f>
        <v>126.75216666666667</v>
      </c>
      <c r="M408" s="18">
        <f>IFERROR(
                  Andel_oberoende_av_klimat*VLOOKUP($A408,Leveranser_per_nät,'Leveranser per nät'!M$1,FALSE)
               +Andel_beroende_av_klimat*VLOOKUP($A408,Leveranser_per_nät,'Leveranser per nät'!M$1,FALSE)/VLOOKUP($B408,Korrigeringsfaktor_GD,'Korrigeringsfaktor GD'!M$1,FALSE),
"")</f>
        <v>132.32290322580644</v>
      </c>
      <c r="N408" s="18">
        <f>IFERROR(
                  Andel_oberoende_av_klimat*VLOOKUP($A408,Leveranser_per_nät,'Leveranser per nät'!N$1,FALSE)
               +Andel_beroende_av_klimat*VLOOKUP($A408,Leveranser_per_nät,'Leveranser per nät'!N$1,FALSE)/VLOOKUP($B408,Korrigeringsfaktor_GD,'Korrigeringsfaktor GD'!N$1,FALSE),
"")</f>
        <v>128.84230769230768</v>
      </c>
      <c r="O408" s="18">
        <f>IFERROR(
                  Andel_oberoende_av_klimat*VLOOKUP($A408,Leveranser_per_nät,'Leveranser per nät'!O$1,FALSE)
               +Andel_beroende_av_klimat*VLOOKUP($A408,Leveranser_per_nät,'Leveranser per nät'!O$1,FALSE)/VLOOKUP($B408,Korrigeringsfaktor_GD,'Korrigeringsfaktor GD'!O$1,FALSE),
"")</f>
        <v>128.25555555555556</v>
      </c>
      <c r="P408" s="18">
        <f>IFERROR(
                  Andel_oberoende_av_klimat*VLOOKUP($A408,Leveranser_per_nät,'Leveranser per nät'!P$1,FALSE)
               +Andel_beroende_av_klimat*VLOOKUP($A408,Leveranser_per_nät,'Leveranser per nät'!P$1,FALSE)/VLOOKUP($B408,Korrigeringsfaktor_GD,'Korrigeringsfaktor GD'!P$1,FALSE),
"")</f>
        <v>129.82857142857142</v>
      </c>
      <c r="Q408" s="18">
        <f>IFERROR(
                  Andel_oberoende_av_klimat*VLOOKUP($A408,Leveranser_per_nät,'Leveranser per nät'!Q$1,FALSE)
               +Andel_beroende_av_klimat*VLOOKUP($A408,Leveranser_per_nät,'Leveranser per nät'!Q$1,FALSE)/VLOOKUP($B408,Korrigeringsfaktor_GD,'Korrigeringsfaktor GD'!Q$1,FALSE),
"")</f>
        <v>134.6137931034483</v>
      </c>
      <c r="R408" s="18">
        <f>IFERROR(
                  Andel_oberoende_av_klimat*VLOOKUP($A408,Leveranser_per_nät,'Leveranser per nät'!R$1,FALSE)
               +Andel_beroende_av_klimat*VLOOKUP($A408,Leveranser_per_nät,'Leveranser per nät'!R$1,FALSE)/VLOOKUP($B408,Korrigeringsfaktor_GD,'Korrigeringsfaktor GD'!R$1,FALSE),
"")</f>
        <v>148.19538461538463</v>
      </c>
      <c r="S408" s="18">
        <f>IFERROR(
                  Andel_oberoende_av_klimat*VLOOKUP($A408,Leveranser_per_nät,'Leveranser per nät'!S$1,FALSE)
               +Andel_beroende_av_klimat*VLOOKUP($A408,Leveranser_per_nät,'Leveranser per nät'!S$1,FALSE)/VLOOKUP($B408,Korrigeringsfaktor_GD,'Korrigeringsfaktor GD'!S$1,FALSE),
"")</f>
        <v>131.08514851485148</v>
      </c>
      <c r="T408" s="18">
        <f>IFERROR(
                  Andel_oberoende_av_klimat*VLOOKUP($A408,Leveranser_per_nät,'Leveranser per nät'!T$1,FALSE)
               +Andel_beroende_av_klimat*VLOOKUP($A408,Leveranser_per_nät,'Leveranser per nät'!T$1,FALSE)/VLOOKUP($B408,Korrigeringsfaktor_GD,'Korrigeringsfaktor GD'!T$1,FALSE),
"")</f>
        <v>128.9050505050505</v>
      </c>
      <c r="U408" s="18">
        <f>IFERROR(
                  Andel_oberoende_av_klimat*VLOOKUP($A408,Leveranser_per_nät,'Leveranser per nät'!U$1,FALSE)
               +Andel_beroende_av_klimat*VLOOKUP($A408,Leveranser_per_nät,'Leveranser per nät'!U$1,FALSE)/VLOOKUP($B408,Korrigeringsfaktor_GD,'Korrigeringsfaktor GD'!U$1,FALSE),
"")</f>
        <v>124.88181818181818</v>
      </c>
      <c r="V408" s="18">
        <f>IFERROR(
                  Andel_oberoende_av_klimat*VLOOKUP($A408,Leveranser_per_nät,'Leveranser per nät'!V$1,FALSE)
               +Andel_beroende_av_klimat*VLOOKUP($A408,Leveranser_per_nät,'Leveranser per nät'!V$1,FALSE)/VLOOKUP($B408,Korrigeringsfaktor_GD,'Korrigeringsfaktor GD'!V$1,FALSE),
"")</f>
        <v>125.02222222222221</v>
      </c>
      <c r="W408" s="18">
        <f>IFERROR(
                  Andel_oberoende_av_klimat*VLOOKUP($A408,Leveranser_per_nät,'Leveranser per nät'!W$1,FALSE)
               +Andel_beroende_av_klimat*VLOOKUP($A408,Leveranser_per_nät,'Leveranser per nät'!W$1,FALSE)/VLOOKUP($B408,Korrigeringsfaktor_GD,'Korrigeringsfaktor GD'!W$1,FALSE),
"")</f>
        <v>128.49574468085109</v>
      </c>
      <c r="X408" s="18">
        <f>IFERROR(
                  Andel_oberoende_av_klimat*VLOOKUP($A408,Leveranser_per_nät,'Leveranser per nät'!X$1,FALSE)
               +Andel_beroende_av_klimat*VLOOKUP($A408,Leveranser_per_nät,'Leveranser per nät'!X$1,FALSE)/VLOOKUP($B408,Korrigeringsfaktor_GD,'Korrigeringsfaktor GD'!X$1,FALSE),
"")</f>
        <v>131.58602150537635</v>
      </c>
      <c r="Y408" s="18">
        <f>IFERROR(
                  Andel_oberoende_av_klimat*VLOOKUP($A408,Leveranser_per_nät,'Leveranser per nät'!Y$1,FALSE)
               +Andel_beroende_av_klimat*VLOOKUP($A408,Leveranser_per_nät,'Leveranser per nät'!Y$1,FALSE)/VLOOKUP($B408,Korrigeringsfaktor_GD,'Korrigeringsfaktor GD'!Y$1,FALSE),
"")</f>
        <v>131.54782608695652</v>
      </c>
      <c r="Z408" s="18">
        <f>IFERROR(
                  Andel_oberoende_av_klimat*VLOOKUP($A408,Leveranser_per_nät,'Leveranser per nät'!Z$1,FALSE)
               +Andel_beroende_av_klimat*VLOOKUP($A408,Leveranser_per_nät,'Leveranser per nät'!Z$1,FALSE)/VLOOKUP($B408,Korrigeringsfaktor_GD,'Korrigeringsfaktor GD'!Z$1,FALSE),
"")</f>
        <v>129.42608695652171</v>
      </c>
      <c r="AA408" s="18">
        <f>IFERROR(
                  Andel_oberoende_av_klimat*VLOOKUP($A408,Leveranser_per_nät,'Leveranser per nät'!AA$1,FALSE)
               +Andel_beroende_av_klimat*VLOOKUP($A408,Leveranser_per_nät,'Leveranser per nät'!AA$1,FALSE)/VLOOKUP($B408,Korrigeringsfaktor_GD,'Korrigeringsfaktor GD'!AA$1,FALSE),
"")</f>
        <v>124.89454848484849</v>
      </c>
      <c r="AB408" s="18">
        <f>IFERROR(
                  Andel_oberoende_av_klimat*VLOOKUP($A408,Leveranser_per_nät,'Leveranser per nät'!AB$1,FALSE)
               +Andel_beroende_av_klimat*VLOOKUP($A408,Leveranser_per_nät,'Leveranser per nät'!AB$1,FALSE)/VLOOKUP($B408,Korrigeringsfaktor_GD,'Korrigeringsfaktor GD'!AB$1,FALSE),
"")</f>
        <v>126.75126666666668</v>
      </c>
      <c r="AC408" s="18">
        <f>IFERROR(
                  Andel_oberoende_av_klimat*VLOOKUP($A408,Leveranser_per_nät,'Leveranser per nät'!AC$1,FALSE)
               +Andel_beroende_av_klimat*VLOOKUP($A408,Leveranser_per_nät,'Leveranser per nät'!AC$1,FALSE)/VLOOKUP($B408,Korrigeringsfaktor_GD,'Korrigeringsfaktor GD'!AC$1,FALSE),
"")</f>
        <v>121.8367517382413</v>
      </c>
      <c r="AD408">
        <v>119.94799999999999</v>
      </c>
    </row>
    <row r="409" spans="1:30" x14ac:dyDescent="0.25">
      <c r="A409" t="s">
        <v>317</v>
      </c>
      <c r="B409" t="s">
        <v>317</v>
      </c>
      <c r="C409" s="18">
        <f>IFERROR(
                  Andel_oberoende_av_klimat*VLOOKUP($A409,Leveranser_per_nät,'Leveranser per nät'!C$1,FALSE)
               +Andel_beroende_av_klimat*VLOOKUP($A409,Leveranser_per_nät,'Leveranser per nät'!C$1,FALSE)/VLOOKUP($B409,Korrigeringsfaktor_GD,'Korrigeringsfaktor GD'!C$1,FALSE),
"")</f>
        <v>1.8173913043478263</v>
      </c>
      <c r="D409" s="18">
        <f>IFERROR(
                  Andel_oberoende_av_klimat*VLOOKUP($A409,Leveranser_per_nät,'Leveranser per nät'!D$1,FALSE)
               +Andel_beroende_av_klimat*VLOOKUP($A409,Leveranser_per_nät,'Leveranser per nät'!D$1,FALSE)/VLOOKUP($B409,Korrigeringsfaktor_GD,'Korrigeringsfaktor GD'!D$1,FALSE),
"")</f>
        <v>1.8936470588235292</v>
      </c>
      <c r="E409" s="18">
        <f>IFERROR(
                  Andel_oberoende_av_klimat*VLOOKUP($A409,Leveranser_per_nät,'Leveranser per nät'!E$1,FALSE)
               +Andel_beroende_av_klimat*VLOOKUP($A409,Leveranser_per_nät,'Leveranser per nät'!E$1,FALSE)/VLOOKUP($B409,Korrigeringsfaktor_GD,'Korrigeringsfaktor GD'!E$1,FALSE),
"")</f>
        <v>2.0352898989898991</v>
      </c>
      <c r="F409" s="18">
        <f>IFERROR(
                  Andel_oberoende_av_klimat*VLOOKUP($A409,Leveranser_per_nät,'Leveranser per nät'!F$1,FALSE)
               +Andel_beroende_av_klimat*VLOOKUP($A409,Leveranser_per_nät,'Leveranser per nät'!F$1,FALSE)/VLOOKUP($B409,Korrigeringsfaktor_GD,'Korrigeringsfaktor GD'!F$1,FALSE),
"")</f>
        <v>2.1113</v>
      </c>
      <c r="G409" s="18">
        <f>IFERROR(
                  Andel_oberoende_av_klimat*VLOOKUP($A409,Leveranser_per_nät,'Leveranser per nät'!G$1,FALSE)
               +Andel_beroende_av_klimat*VLOOKUP($A409,Leveranser_per_nät,'Leveranser per nät'!G$1,FALSE)/VLOOKUP($B409,Korrigeringsfaktor_GD,'Korrigeringsfaktor GD'!G$1,FALSE),
"")</f>
        <v>2.2091954022988505</v>
      </c>
      <c r="H409" s="18">
        <f>IFERROR(
                  Andel_oberoende_av_klimat*VLOOKUP($A409,Leveranser_per_nät,'Leveranser per nät'!H$1,FALSE)
               +Andel_beroende_av_klimat*VLOOKUP($A409,Leveranser_per_nät,'Leveranser per nät'!H$1,FALSE)/VLOOKUP($B409,Korrigeringsfaktor_GD,'Korrigeringsfaktor GD'!H$1,FALSE),
"")</f>
        <v>3.1289686868686872</v>
      </c>
      <c r="I409" s="18">
        <f>IFERROR(
                  Andel_oberoende_av_klimat*VLOOKUP($A409,Leveranser_per_nät,'Leveranser per nät'!I$1,FALSE)
               +Andel_beroende_av_klimat*VLOOKUP($A409,Leveranser_per_nät,'Leveranser per nät'!I$1,FALSE)/VLOOKUP($B409,Korrigeringsfaktor_GD,'Korrigeringsfaktor GD'!I$1,FALSE),
"")</f>
        <v>4.4022851063829798</v>
      </c>
      <c r="J409" s="18">
        <f>IFERROR(
                  Andel_oberoende_av_klimat*VLOOKUP($A409,Leveranser_per_nät,'Leveranser per nät'!J$1,FALSE)
               +Andel_beroende_av_klimat*VLOOKUP($A409,Leveranser_per_nät,'Leveranser per nät'!J$1,FALSE)/VLOOKUP($B409,Korrigeringsfaktor_GD,'Korrigeringsfaktor GD'!J$1,FALSE),
"")</f>
        <v>7.0494949494949495</v>
      </c>
      <c r="K409" s="18">
        <f>IFERROR(
                  Andel_oberoende_av_klimat*VLOOKUP($A409,Leveranser_per_nät,'Leveranser per nät'!K$1,FALSE)
               +Andel_beroende_av_klimat*VLOOKUP($A409,Leveranser_per_nät,'Leveranser per nät'!K$1,FALSE)/VLOOKUP($B409,Korrigeringsfaktor_GD,'Korrigeringsfaktor GD'!K$1,FALSE),
"")</f>
        <v>6.718628571428571</v>
      </c>
      <c r="L409" s="18">
        <f>IFERROR(
                  Andel_oberoende_av_klimat*VLOOKUP($A409,Leveranser_per_nät,'Leveranser per nät'!L$1,FALSE)
               +Andel_beroende_av_klimat*VLOOKUP($A409,Leveranser_per_nät,'Leveranser per nät'!L$1,FALSE)/VLOOKUP($B409,Korrigeringsfaktor_GD,'Korrigeringsfaktor GD'!L$1,FALSE),
"")</f>
        <v>6.6448082474226799</v>
      </c>
      <c r="M409" s="18">
        <f>IFERROR(
                  Andel_oberoende_av_klimat*VLOOKUP($A409,Leveranser_per_nät,'Leveranser per nät'!M$1,FALSE)
               +Andel_beroende_av_klimat*VLOOKUP($A409,Leveranser_per_nät,'Leveranser per nät'!M$1,FALSE)/VLOOKUP($B409,Korrigeringsfaktor_GD,'Korrigeringsfaktor GD'!M$1,FALSE),
"")</f>
        <v>8.8004731182795695</v>
      </c>
      <c r="N409" s="18">
        <f>IFERROR(
                  Andel_oberoende_av_klimat*VLOOKUP($A409,Leveranser_per_nät,'Leveranser per nät'!N$1,FALSE)
               +Andel_beroende_av_klimat*VLOOKUP($A409,Leveranser_per_nät,'Leveranser per nät'!N$1,FALSE)/VLOOKUP($B409,Korrigeringsfaktor_GD,'Korrigeringsfaktor GD'!N$1,FALSE),
"")</f>
        <v>22.894999999999996</v>
      </c>
      <c r="O409" s="18">
        <f>IFERROR(
                  Andel_oberoende_av_klimat*VLOOKUP($A409,Leveranser_per_nät,'Leveranser per nät'!O$1,FALSE)
               +Andel_beroende_av_klimat*VLOOKUP($A409,Leveranser_per_nät,'Leveranser per nät'!O$1,FALSE)/VLOOKUP($B409,Korrigeringsfaktor_GD,'Korrigeringsfaktor GD'!O$1,FALSE),
"")</f>
        <v>38.13674157303371</v>
      </c>
      <c r="P409" s="18">
        <f>IFERROR(
                  Andel_oberoende_av_klimat*VLOOKUP($A409,Leveranser_per_nät,'Leveranser per nät'!P$1,FALSE)
               +Andel_beroende_av_klimat*VLOOKUP($A409,Leveranser_per_nät,'Leveranser per nät'!P$1,FALSE)/VLOOKUP($B409,Korrigeringsfaktor_GD,'Korrigeringsfaktor GD'!P$1,FALSE),
"")</f>
        <v>47.200206185567012</v>
      </c>
      <c r="Q409" s="18">
        <f>IFERROR(
                  Andel_oberoende_av_klimat*VLOOKUP($A409,Leveranser_per_nät,'Leveranser per nät'!Q$1,FALSE)
               +Andel_beroende_av_klimat*VLOOKUP($A409,Leveranser_per_nät,'Leveranser per nät'!Q$1,FALSE)/VLOOKUP($B409,Korrigeringsfaktor_GD,'Korrigeringsfaktor GD'!Q$1,FALSE),
"")</f>
        <v>58.429130434782607</v>
      </c>
      <c r="R409" s="18">
        <f>IFERROR(
                  Andel_oberoende_av_klimat*VLOOKUP($A409,Leveranser_per_nät,'Leveranser per nät'!R$1,FALSE)
               +Andel_beroende_av_klimat*VLOOKUP($A409,Leveranser_per_nät,'Leveranser per nät'!R$1,FALSE)/VLOOKUP($B409,Korrigeringsfaktor_GD,'Korrigeringsfaktor GD'!R$1,FALSE),
"")</f>
        <v>67.308787234042555</v>
      </c>
      <c r="S409" s="18">
        <f>IFERROR(
                  Andel_oberoende_av_klimat*VLOOKUP($A409,Leveranser_per_nät,'Leveranser per nät'!S$1,FALSE)
               +Andel_beroende_av_klimat*VLOOKUP($A409,Leveranser_per_nät,'Leveranser per nät'!S$1,FALSE)/VLOOKUP($B409,Korrigeringsfaktor_GD,'Korrigeringsfaktor GD'!S$1,FALSE),
"")</f>
        <v>76.099999999999994</v>
      </c>
      <c r="T409" s="18">
        <f>IFERROR(
                  Andel_oberoende_av_klimat*VLOOKUP($A409,Leveranser_per_nät,'Leveranser per nät'!T$1,FALSE)
               +Andel_beroende_av_klimat*VLOOKUP($A409,Leveranser_per_nät,'Leveranser per nät'!T$1,FALSE)/VLOOKUP($B409,Korrigeringsfaktor_GD,'Korrigeringsfaktor GD'!T$1,FALSE),
"")</f>
        <v>87.615151515151524</v>
      </c>
      <c r="U409" s="18">
        <f>IFERROR(
                  Andel_oberoende_av_klimat*VLOOKUP($A409,Leveranser_per_nät,'Leveranser per nät'!U$1,FALSE)
               +Andel_beroende_av_klimat*VLOOKUP($A409,Leveranser_per_nät,'Leveranser per nät'!U$1,FALSE)/VLOOKUP($B409,Korrigeringsfaktor_GD,'Korrigeringsfaktor GD'!U$1,FALSE),
"")</f>
        <v>91.139024390243904</v>
      </c>
      <c r="V409" s="18">
        <f>IFERROR(
                  Andel_oberoende_av_klimat*VLOOKUP($A409,Leveranser_per_nät,'Leveranser per nät'!V$1,FALSE)
               +Andel_beroende_av_klimat*VLOOKUP($A409,Leveranser_per_nät,'Leveranser per nät'!V$1,FALSE)/VLOOKUP($B409,Korrigeringsfaktor_GD,'Korrigeringsfaktor GD'!V$1,FALSE),
"")</f>
        <v>92.018181818181816</v>
      </c>
      <c r="W409" s="18">
        <f>IFERROR(
                  Andel_oberoende_av_klimat*VLOOKUP($A409,Leveranser_per_nät,'Leveranser per nät'!W$1,FALSE)
               +Andel_beroende_av_klimat*VLOOKUP($A409,Leveranser_per_nät,'Leveranser per nät'!W$1,FALSE)/VLOOKUP($B409,Korrigeringsfaktor_GD,'Korrigeringsfaktor GD'!W$1,FALSE),
"")</f>
        <v>94.305555555555543</v>
      </c>
      <c r="X409" s="18">
        <f>IFERROR(
                  Andel_oberoende_av_klimat*VLOOKUP($A409,Leveranser_per_nät,'Leveranser per nät'!X$1,FALSE)
               +Andel_beroende_av_klimat*VLOOKUP($A409,Leveranser_per_nät,'Leveranser per nät'!X$1,FALSE)/VLOOKUP($B409,Korrigeringsfaktor_GD,'Korrigeringsfaktor GD'!X$1,FALSE),
"")</f>
        <v>96.551538461538456</v>
      </c>
      <c r="Y409" s="18">
        <f>IFERROR(
                  Andel_oberoende_av_klimat*VLOOKUP($A409,Leveranser_per_nät,'Leveranser per nät'!Y$1,FALSE)
               +Andel_beroende_av_klimat*VLOOKUP($A409,Leveranser_per_nät,'Leveranser per nät'!Y$1,FALSE)/VLOOKUP($B409,Korrigeringsfaktor_GD,'Korrigeringsfaktor GD'!Y$1,FALSE),
"")</f>
        <v>0</v>
      </c>
      <c r="Z409" s="18">
        <f>IFERROR(
                  Andel_oberoende_av_klimat*VLOOKUP($A409,Leveranser_per_nät,'Leveranser per nät'!Z$1,FALSE)
               +Andel_beroende_av_klimat*VLOOKUP($A409,Leveranser_per_nät,'Leveranser per nät'!Z$1,FALSE)/VLOOKUP($B409,Korrigeringsfaktor_GD,'Korrigeringsfaktor GD'!Z$1,FALSE),
"")</f>
        <v>102.11333333333333</v>
      </c>
      <c r="AA409" s="18">
        <f>IFERROR(
                  Andel_oberoende_av_klimat*VLOOKUP($A409,Leveranser_per_nät,'Leveranser per nät'!AA$1,FALSE)
               +Andel_beroende_av_klimat*VLOOKUP($A409,Leveranser_per_nät,'Leveranser per nät'!AA$1,FALSE)/VLOOKUP($B409,Korrigeringsfaktor_GD,'Korrigeringsfaktor GD'!AA$1,FALSE),
"")</f>
        <v>102.12493873004084</v>
      </c>
      <c r="AB409" s="18">
        <f>IFERROR(
                  Andel_oberoende_av_klimat*VLOOKUP($A409,Leveranser_per_nät,'Leveranser per nät'!AB$1,FALSE)
               +Andel_beroende_av_klimat*VLOOKUP($A409,Leveranser_per_nät,'Leveranser per nät'!AB$1,FALSE)/VLOOKUP($B409,Korrigeringsfaktor_GD,'Korrigeringsfaktor GD'!AB$1,FALSE),
"")</f>
        <v>96.688130081300798</v>
      </c>
      <c r="AC409" s="18">
        <f>IFERROR(
                  Andel_oberoende_av_klimat*VLOOKUP($A409,Leveranser_per_nät,'Leveranser per nät'!AC$1,FALSE)
               +Andel_beroende_av_klimat*VLOOKUP($A409,Leveranser_per_nät,'Leveranser per nät'!AC$1,FALSE)/VLOOKUP($B409,Korrigeringsfaktor_GD,'Korrigeringsfaktor GD'!AC$1,FALSE),
"")</f>
        <v>95.003038674033149</v>
      </c>
      <c r="AD409">
        <v>88.5</v>
      </c>
    </row>
    <row r="410" spans="1:30" x14ac:dyDescent="0.25">
      <c r="A410" t="s">
        <v>318</v>
      </c>
      <c r="B410" t="s">
        <v>318</v>
      </c>
      <c r="C410" s="18">
        <f>IFERROR(
                  Andel_oberoende_av_klimat*VLOOKUP($A410,Leveranser_per_nät,'Leveranser per nät'!C$1,FALSE)
               +Andel_beroende_av_klimat*VLOOKUP($A410,Leveranser_per_nät,'Leveranser per nät'!C$1,FALSE)/VLOOKUP($B410,Korrigeringsfaktor_GD,'Korrigeringsfaktor GD'!C$1,FALSE),
"")</f>
        <v>224.25297876106197</v>
      </c>
      <c r="D410" s="18">
        <f>IFERROR(
                  Andel_oberoende_av_klimat*VLOOKUP($A410,Leveranser_per_nät,'Leveranser per nät'!D$1,FALSE)
               +Andel_beroende_av_klimat*VLOOKUP($A410,Leveranser_per_nät,'Leveranser per nät'!D$1,FALSE)/VLOOKUP($B410,Korrigeringsfaktor_GD,'Korrigeringsfaktor GD'!D$1,FALSE),
"")</f>
        <v>231.78739393939395</v>
      </c>
      <c r="E410" s="18">
        <f>IFERROR(
                  Andel_oberoende_av_klimat*VLOOKUP($A410,Leveranser_per_nät,'Leveranser per nät'!E$1,FALSE)
               +Andel_beroende_av_klimat*VLOOKUP($A410,Leveranser_per_nät,'Leveranser per nät'!E$1,FALSE)/VLOOKUP($B410,Korrigeringsfaktor_GD,'Korrigeringsfaktor GD'!E$1,FALSE),
"")</f>
        <v>241.31584158415842</v>
      </c>
      <c r="F410" s="18">
        <f>IFERROR(
                  Andel_oberoende_av_klimat*VLOOKUP($A410,Leveranser_per_nät,'Leveranser per nät'!F$1,FALSE)
               +Andel_beroende_av_klimat*VLOOKUP($A410,Leveranser_per_nät,'Leveranser per nät'!F$1,FALSE)/VLOOKUP($B410,Korrigeringsfaktor_GD,'Korrigeringsfaktor GD'!F$1,FALSE),
"")</f>
        <v>252.98947368421054</v>
      </c>
      <c r="G410" s="18">
        <f>IFERROR(
                  Andel_oberoende_av_klimat*VLOOKUP($A410,Leveranser_per_nät,'Leveranser per nät'!G$1,FALSE)
               +Andel_beroende_av_klimat*VLOOKUP($A410,Leveranser_per_nät,'Leveranser per nät'!G$1,FALSE)/VLOOKUP($B410,Korrigeringsfaktor_GD,'Korrigeringsfaktor GD'!G$1,FALSE),
"")</f>
        <v>267.3126436781609</v>
      </c>
      <c r="H410" s="18">
        <f>IFERROR(
                  Andel_oberoende_av_klimat*VLOOKUP($A410,Leveranser_per_nät,'Leveranser per nät'!H$1,FALSE)
               +Andel_beroende_av_klimat*VLOOKUP($A410,Leveranser_per_nät,'Leveranser per nät'!H$1,FALSE)/VLOOKUP($B410,Korrigeringsfaktor_GD,'Korrigeringsfaktor GD'!H$1,FALSE),
"")</f>
        <v>266.14257425742574</v>
      </c>
      <c r="I410" s="18">
        <f>IFERROR(
                  Andel_oberoende_av_klimat*VLOOKUP($A410,Leveranser_per_nät,'Leveranser per nät'!I$1,FALSE)
               +Andel_beroende_av_klimat*VLOOKUP($A410,Leveranser_per_nät,'Leveranser per nät'!I$1,FALSE)/VLOOKUP($B410,Korrigeringsfaktor_GD,'Korrigeringsfaktor GD'!I$1,FALSE),
"")</f>
        <v>277.87368421052633</v>
      </c>
      <c r="J410" s="18">
        <f>IFERROR(
                  Andel_oberoende_av_klimat*VLOOKUP($A410,Leveranser_per_nät,'Leveranser per nät'!J$1,FALSE)
               +Andel_beroende_av_klimat*VLOOKUP($A410,Leveranser_per_nät,'Leveranser per nät'!J$1,FALSE)/VLOOKUP($B410,Korrigeringsfaktor_GD,'Korrigeringsfaktor GD'!J$1,FALSE),
"")</f>
        <v>279.94285714285718</v>
      </c>
      <c r="K410" s="18">
        <f>IFERROR(
                  Andel_oberoende_av_klimat*VLOOKUP($A410,Leveranser_per_nät,'Leveranser per nät'!K$1,FALSE)
               +Andel_beroende_av_klimat*VLOOKUP($A410,Leveranser_per_nät,'Leveranser per nät'!K$1,FALSE)/VLOOKUP($B410,Korrigeringsfaktor_GD,'Korrigeringsfaktor GD'!K$1,FALSE),
"")</f>
        <v>273.15829999999994</v>
      </c>
      <c r="L410" s="18">
        <f>IFERROR(
                  Andel_oberoende_av_klimat*VLOOKUP($A410,Leveranser_per_nät,'Leveranser per nät'!L$1,FALSE)
               +Andel_beroende_av_klimat*VLOOKUP($A410,Leveranser_per_nät,'Leveranser per nät'!L$1,FALSE)/VLOOKUP($B410,Korrigeringsfaktor_GD,'Korrigeringsfaktor GD'!L$1,FALSE),
"")</f>
        <v>281.22372105263162</v>
      </c>
      <c r="M410" s="18">
        <f>IFERROR(
                  Andel_oberoende_av_klimat*VLOOKUP($A410,Leveranser_per_nät,'Leveranser per nät'!M$1,FALSE)
               +Andel_beroende_av_klimat*VLOOKUP($A410,Leveranser_per_nät,'Leveranser per nät'!M$1,FALSE)/VLOOKUP($B410,Korrigeringsfaktor_GD,'Korrigeringsfaktor GD'!M$1,FALSE),
"")</f>
        <v>276.85698924731184</v>
      </c>
      <c r="N410" s="18">
        <f>IFERROR(
                  Andel_oberoende_av_klimat*VLOOKUP($A410,Leveranser_per_nät,'Leveranser per nät'!N$1,FALSE)
               +Andel_beroende_av_klimat*VLOOKUP($A410,Leveranser_per_nät,'Leveranser per nät'!N$1,FALSE)/VLOOKUP($B410,Korrigeringsfaktor_GD,'Korrigeringsfaktor GD'!N$1,FALSE),
"")</f>
        <v>295.10769230769233</v>
      </c>
      <c r="O410" s="18">
        <f>IFERROR(
                  Andel_oberoende_av_klimat*VLOOKUP($A410,Leveranser_per_nät,'Leveranser per nät'!O$1,FALSE)
               +Andel_beroende_av_klimat*VLOOKUP($A410,Leveranser_per_nät,'Leveranser per nät'!O$1,FALSE)/VLOOKUP($B410,Korrigeringsfaktor_GD,'Korrigeringsfaktor GD'!O$1,FALSE),
"")</f>
        <v>315.08988764044943</v>
      </c>
      <c r="P410" s="18">
        <f>IFERROR(
                  Andel_oberoende_av_klimat*VLOOKUP($A410,Leveranser_per_nät,'Leveranser per nät'!P$1,FALSE)
               +Andel_beroende_av_klimat*VLOOKUP($A410,Leveranser_per_nät,'Leveranser per nät'!P$1,FALSE)/VLOOKUP($B410,Korrigeringsfaktor_GD,'Korrigeringsfaktor GD'!P$1,FALSE),
"")</f>
        <v>356.01428571428573</v>
      </c>
      <c r="Q410" s="18">
        <f>IFERROR(
                  Andel_oberoende_av_klimat*VLOOKUP($A410,Leveranser_per_nät,'Leveranser per nät'!Q$1,FALSE)
               +Andel_beroende_av_klimat*VLOOKUP($A410,Leveranser_per_nät,'Leveranser per nät'!Q$1,FALSE)/VLOOKUP($B410,Korrigeringsfaktor_GD,'Korrigeringsfaktor GD'!Q$1,FALSE),
"")</f>
        <v>385.49411764705883</v>
      </c>
      <c r="R410" s="18">
        <f>IFERROR(
                  Andel_oberoende_av_klimat*VLOOKUP($A410,Leveranser_per_nät,'Leveranser per nät'!R$1,FALSE)
               +Andel_beroende_av_klimat*VLOOKUP($A410,Leveranser_per_nät,'Leveranser per nät'!R$1,FALSE)/VLOOKUP($B410,Korrigeringsfaktor_GD,'Korrigeringsfaktor GD'!R$1,FALSE),
"")</f>
        <v>358.19230769230768</v>
      </c>
      <c r="S410" s="18">
        <f>IFERROR(
                  Andel_oberoende_av_klimat*VLOOKUP($A410,Leveranser_per_nät,'Leveranser per nät'!S$1,FALSE)
               +Andel_beroende_av_klimat*VLOOKUP($A410,Leveranser_per_nät,'Leveranser per nät'!S$1,FALSE)/VLOOKUP($B410,Korrigeringsfaktor_GD,'Korrigeringsfaktor GD'!S$1,FALSE),
"")</f>
        <v>346</v>
      </c>
      <c r="T410" s="18">
        <f>IFERROR(
                  Andel_oberoende_av_klimat*VLOOKUP($A410,Leveranser_per_nät,'Leveranser per nät'!T$1,FALSE)
               +Andel_beroende_av_klimat*VLOOKUP($A410,Leveranser_per_nät,'Leveranser per nät'!T$1,FALSE)/VLOOKUP($B410,Korrigeringsfaktor_GD,'Korrigeringsfaktor GD'!T$1,FALSE),
"")</f>
        <v>365.14285714285711</v>
      </c>
      <c r="U410" s="18">
        <f>IFERROR(
                  Andel_oberoende_av_klimat*VLOOKUP($A410,Leveranser_per_nät,'Leveranser per nät'!U$1,FALSE)
               +Andel_beroende_av_klimat*VLOOKUP($A410,Leveranser_per_nät,'Leveranser per nät'!U$1,FALSE)/VLOOKUP($B410,Korrigeringsfaktor_GD,'Korrigeringsfaktor GD'!U$1,FALSE),
"")</f>
        <v>360.65294117647062</v>
      </c>
      <c r="V410" s="18">
        <f>IFERROR(
                  Andel_oberoende_av_klimat*VLOOKUP($A410,Leveranser_per_nät,'Leveranser per nät'!V$1,FALSE)
               +Andel_beroende_av_klimat*VLOOKUP($A410,Leveranser_per_nät,'Leveranser per nät'!V$1,FALSE)/VLOOKUP($B410,Korrigeringsfaktor_GD,'Korrigeringsfaktor GD'!V$1,FALSE),
"")</f>
        <v>348.77191011235954</v>
      </c>
      <c r="W410" s="18">
        <f>IFERROR(
                  Andel_oberoende_av_klimat*VLOOKUP($A410,Leveranser_per_nät,'Leveranser per nät'!W$1,FALSE)
               +Andel_beroende_av_klimat*VLOOKUP($A410,Leveranser_per_nät,'Leveranser per nät'!W$1,FALSE)/VLOOKUP($B410,Korrigeringsfaktor_GD,'Korrigeringsfaktor GD'!W$1,FALSE),
"")</f>
        <v>365.2827956989247</v>
      </c>
      <c r="X410" s="18">
        <f>IFERROR(
                  Andel_oberoende_av_klimat*VLOOKUP($A410,Leveranser_per_nät,'Leveranser per nät'!X$1,FALSE)
               +Andel_beroende_av_klimat*VLOOKUP($A410,Leveranser_per_nät,'Leveranser per nät'!X$1,FALSE)/VLOOKUP($B410,Korrigeringsfaktor_GD,'Korrigeringsfaktor GD'!X$1,FALSE),
"")</f>
        <v>366.31846153846158</v>
      </c>
      <c r="Y410" s="18">
        <f>IFERROR(
                  Andel_oberoende_av_klimat*VLOOKUP($A410,Leveranser_per_nät,'Leveranser per nät'!Y$1,FALSE)
               +Andel_beroende_av_klimat*VLOOKUP($A410,Leveranser_per_nät,'Leveranser per nät'!Y$1,FALSE)/VLOOKUP($B410,Korrigeringsfaktor_GD,'Korrigeringsfaktor GD'!Y$1,FALSE),
"")</f>
        <v>365.67692307692306</v>
      </c>
      <c r="Z410" s="18">
        <f>IFERROR(
                  Andel_oberoende_av_klimat*VLOOKUP($A410,Leveranser_per_nät,'Leveranser per nät'!Z$1,FALSE)
               +Andel_beroende_av_klimat*VLOOKUP($A410,Leveranser_per_nät,'Leveranser per nät'!Z$1,FALSE)/VLOOKUP($B410,Korrigeringsfaktor_GD,'Korrigeringsfaktor GD'!Z$1,FALSE),
"")</f>
        <v>356.05384615384617</v>
      </c>
      <c r="AA410" s="18">
        <f>IFERROR(
                  Andel_oberoende_av_klimat*VLOOKUP($A410,Leveranser_per_nät,'Leveranser per nät'!AA$1,FALSE)
               +Andel_beroende_av_klimat*VLOOKUP($A410,Leveranser_per_nät,'Leveranser per nät'!AA$1,FALSE)/VLOOKUP($B410,Korrigeringsfaktor_GD,'Korrigeringsfaktor GD'!AA$1,FALSE),
"")</f>
        <v>357.56102699348429</v>
      </c>
      <c r="AB410" s="18">
        <f>IFERROR(
                  Andel_oberoende_av_klimat*VLOOKUP($A410,Leveranser_per_nät,'Leveranser per nät'!AB$1,FALSE)
               +Andel_beroende_av_klimat*VLOOKUP($A410,Leveranser_per_nät,'Leveranser per nät'!AB$1,FALSE)/VLOOKUP($B410,Korrigeringsfaktor_GD,'Korrigeringsfaktor GD'!AB$1,FALSE),
"")</f>
        <v>326.89734848484846</v>
      </c>
      <c r="AC410" s="18">
        <f>IFERROR(
                  Andel_oberoende_av_klimat*VLOOKUP($A410,Leveranser_per_nät,'Leveranser per nät'!AC$1,FALSE)
               +Andel_beroende_av_klimat*VLOOKUP($A410,Leveranser_per_nät,'Leveranser per nät'!AC$1,FALSE)/VLOOKUP($B410,Korrigeringsfaktor_GD,'Korrigeringsfaktor GD'!AC$1,FALSE),
"")</f>
        <v>313.05711042311657</v>
      </c>
      <c r="AD410">
        <v>306.2</v>
      </c>
    </row>
    <row r="411" spans="1:30" x14ac:dyDescent="0.25">
      <c r="A411" t="s">
        <v>282</v>
      </c>
      <c r="B411" t="s">
        <v>282</v>
      </c>
      <c r="C411" s="18">
        <f>IFERROR(
                  Andel_oberoende_av_klimat*VLOOKUP($A411,Leveranser_per_nät,'Leveranser per nät'!C$1,FALSE)
               +Andel_beroende_av_klimat*VLOOKUP($A411,Leveranser_per_nät,'Leveranser per nät'!C$1,FALSE)/VLOOKUP($B411,Korrigeringsfaktor_GD,'Korrigeringsfaktor GD'!C$1,FALSE),
"")</f>
        <v>0</v>
      </c>
      <c r="D411" s="18">
        <f>IFERROR(
                  Andel_oberoende_av_klimat*VLOOKUP($A411,Leveranser_per_nät,'Leveranser per nät'!D$1,FALSE)
               +Andel_beroende_av_klimat*VLOOKUP($A411,Leveranser_per_nät,'Leveranser per nät'!D$1,FALSE)/VLOOKUP($B411,Korrigeringsfaktor_GD,'Korrigeringsfaktor GD'!D$1,FALSE),
"")</f>
        <v>0</v>
      </c>
      <c r="E411" s="18">
        <f>IFERROR(
                  Andel_oberoende_av_klimat*VLOOKUP($A411,Leveranser_per_nät,'Leveranser per nät'!E$1,FALSE)
               +Andel_beroende_av_klimat*VLOOKUP($A411,Leveranser_per_nät,'Leveranser per nät'!E$1,FALSE)/VLOOKUP($B411,Korrigeringsfaktor_GD,'Korrigeringsfaktor GD'!E$1,FALSE),
"")</f>
        <v>0</v>
      </c>
      <c r="F411" s="18">
        <f>IFERROR(
                  Andel_oberoende_av_klimat*VLOOKUP($A411,Leveranser_per_nät,'Leveranser per nät'!F$1,FALSE)
               +Andel_beroende_av_klimat*VLOOKUP($A411,Leveranser_per_nät,'Leveranser per nät'!F$1,FALSE)/VLOOKUP($B411,Korrigeringsfaktor_GD,'Korrigeringsfaktor GD'!F$1,FALSE),
"")</f>
        <v>0</v>
      </c>
      <c r="G411" s="18">
        <f>IFERROR(
                  Andel_oberoende_av_klimat*VLOOKUP($A411,Leveranser_per_nät,'Leveranser per nät'!G$1,FALSE)
               +Andel_beroende_av_klimat*VLOOKUP($A411,Leveranser_per_nät,'Leveranser per nät'!G$1,FALSE)/VLOOKUP($B411,Korrigeringsfaktor_GD,'Korrigeringsfaktor GD'!G$1,FALSE),
"")</f>
        <v>0</v>
      </c>
      <c r="H411" s="18">
        <f>IFERROR(
                  Andel_oberoende_av_klimat*VLOOKUP($A411,Leveranser_per_nät,'Leveranser per nät'!H$1,FALSE)
               +Andel_beroende_av_klimat*VLOOKUP($A411,Leveranser_per_nät,'Leveranser per nät'!H$1,FALSE)/VLOOKUP($B411,Korrigeringsfaktor_GD,'Korrigeringsfaktor GD'!H$1,FALSE),
"")</f>
        <v>0</v>
      </c>
      <c r="I411" s="18">
        <f>IFERROR(
                  Andel_oberoende_av_klimat*VLOOKUP($A411,Leveranser_per_nät,'Leveranser per nät'!I$1,FALSE)
               +Andel_beroende_av_klimat*VLOOKUP($A411,Leveranser_per_nät,'Leveranser per nät'!I$1,FALSE)/VLOOKUP($B411,Korrigeringsfaktor_GD,'Korrigeringsfaktor GD'!I$1,FALSE),
"")</f>
        <v>0</v>
      </c>
      <c r="J411" s="18">
        <f>IFERROR(
                  Andel_oberoende_av_klimat*VLOOKUP($A411,Leveranser_per_nät,'Leveranser per nät'!J$1,FALSE)
               +Andel_beroende_av_klimat*VLOOKUP($A411,Leveranser_per_nät,'Leveranser per nät'!J$1,FALSE)/VLOOKUP($B411,Korrigeringsfaktor_GD,'Korrigeringsfaktor GD'!J$1,FALSE),
"")</f>
        <v>0</v>
      </c>
      <c r="K411" s="18">
        <f>IFERROR(
                  Andel_oberoende_av_klimat*VLOOKUP($A411,Leveranser_per_nät,'Leveranser per nät'!K$1,FALSE)
               +Andel_beroende_av_klimat*VLOOKUP($A411,Leveranser_per_nät,'Leveranser per nät'!K$1,FALSE)/VLOOKUP($B411,Korrigeringsfaktor_GD,'Korrigeringsfaktor GD'!K$1,FALSE),
"")</f>
        <v>0</v>
      </c>
      <c r="L411" s="18">
        <f>IFERROR(
                  Andel_oberoende_av_klimat*VLOOKUP($A411,Leveranser_per_nät,'Leveranser per nät'!L$1,FALSE)
               +Andel_beroende_av_klimat*VLOOKUP($A411,Leveranser_per_nät,'Leveranser per nät'!L$1,FALSE)/VLOOKUP($B411,Korrigeringsfaktor_GD,'Korrigeringsfaktor GD'!L$1,FALSE),
"")</f>
        <v>0</v>
      </c>
      <c r="M411" s="18">
        <f>IFERROR(
                  Andel_oberoende_av_klimat*VLOOKUP($A411,Leveranser_per_nät,'Leveranser per nät'!M$1,FALSE)
               +Andel_beroende_av_klimat*VLOOKUP($A411,Leveranser_per_nät,'Leveranser per nät'!M$1,FALSE)/VLOOKUP($B411,Korrigeringsfaktor_GD,'Korrigeringsfaktor GD'!M$1,FALSE),
"")</f>
        <v>31.58064516129032</v>
      </c>
      <c r="N411" s="18">
        <f>IFERROR(
                  Andel_oberoende_av_klimat*VLOOKUP($A411,Leveranser_per_nät,'Leveranser per nät'!N$1,FALSE)
               +Andel_beroende_av_klimat*VLOOKUP($A411,Leveranser_per_nät,'Leveranser per nät'!N$1,FALSE)/VLOOKUP($B411,Korrigeringsfaktor_GD,'Korrigeringsfaktor GD'!N$1,FALSE),
"")</f>
        <v>31.826086956521742</v>
      </c>
      <c r="O411" s="18">
        <f>IFERROR(
                  Andel_oberoende_av_klimat*VLOOKUP($A411,Leveranser_per_nät,'Leveranser per nät'!O$1,FALSE)
               +Andel_beroende_av_klimat*VLOOKUP($A411,Leveranser_per_nät,'Leveranser per nät'!O$1,FALSE)/VLOOKUP($B411,Korrigeringsfaktor_GD,'Korrigeringsfaktor GD'!O$1,FALSE),
"")</f>
        <v>19.794863636363637</v>
      </c>
      <c r="P411" s="18">
        <f>IFERROR(
                  Andel_oberoende_av_klimat*VLOOKUP($A411,Leveranser_per_nät,'Leveranser per nät'!P$1,FALSE)
               +Andel_beroende_av_klimat*VLOOKUP($A411,Leveranser_per_nät,'Leveranser per nät'!P$1,FALSE)/VLOOKUP($B411,Korrigeringsfaktor_GD,'Korrigeringsfaktor GD'!P$1,FALSE),
"")</f>
        <v>21.614428571428569</v>
      </c>
      <c r="Q411" s="18">
        <f>IFERROR(
                  Andel_oberoende_av_klimat*VLOOKUP($A411,Leveranser_per_nät,'Leveranser per nät'!Q$1,FALSE)
               +Andel_beroende_av_klimat*VLOOKUP($A411,Leveranser_per_nät,'Leveranser per nät'!Q$1,FALSE)/VLOOKUP($B411,Korrigeringsfaktor_GD,'Korrigeringsfaktor GD'!Q$1,FALSE),
"")</f>
        <v>20.35478260869565</v>
      </c>
      <c r="R411" s="18">
        <f>IFERROR(
                  Andel_oberoende_av_klimat*VLOOKUP($A411,Leveranser_per_nät,'Leveranser per nät'!R$1,FALSE)
               +Andel_beroende_av_klimat*VLOOKUP($A411,Leveranser_per_nät,'Leveranser per nät'!R$1,FALSE)/VLOOKUP($B411,Korrigeringsfaktor_GD,'Korrigeringsfaktor GD'!R$1,FALSE),
"")</f>
        <v>19.944347826086958</v>
      </c>
      <c r="S411" s="18">
        <f>IFERROR(
                  Andel_oberoende_av_klimat*VLOOKUP($A411,Leveranser_per_nät,'Leveranser per nät'!S$1,FALSE)
               +Andel_beroende_av_klimat*VLOOKUP($A411,Leveranser_per_nät,'Leveranser per nät'!S$1,FALSE)/VLOOKUP($B411,Korrigeringsfaktor_GD,'Korrigeringsfaktor GD'!S$1,FALSE),
"")</f>
        <v>20</v>
      </c>
      <c r="T411" s="18">
        <f>IFERROR(
                  Andel_oberoende_av_klimat*VLOOKUP($A411,Leveranser_per_nät,'Leveranser per nät'!T$1,FALSE)
               +Andel_beroende_av_klimat*VLOOKUP($A411,Leveranser_per_nät,'Leveranser per nät'!T$1,FALSE)/VLOOKUP($B411,Korrigeringsfaktor_GD,'Korrigeringsfaktor GD'!T$1,FALSE),
"")</f>
        <v>20.202541666666665</v>
      </c>
      <c r="U411" s="18">
        <f>IFERROR(
                  Andel_oberoende_av_klimat*VLOOKUP($A411,Leveranser_per_nät,'Leveranser per nät'!U$1,FALSE)
               +Andel_beroende_av_klimat*VLOOKUP($A411,Leveranser_per_nät,'Leveranser per nät'!U$1,FALSE)/VLOOKUP($B411,Korrigeringsfaktor_GD,'Korrigeringsfaktor GD'!U$1,FALSE),
"")</f>
        <v>20.502573033707868</v>
      </c>
      <c r="V411" s="18">
        <f>IFERROR(
                  Andel_oberoende_av_klimat*VLOOKUP($A411,Leveranser_per_nät,'Leveranser per nät'!V$1,FALSE)
               +Andel_beroende_av_klimat*VLOOKUP($A411,Leveranser_per_nät,'Leveranser per nät'!V$1,FALSE)/VLOOKUP($B411,Korrigeringsfaktor_GD,'Korrigeringsfaktor GD'!V$1,FALSE),
"")</f>
        <v>20.835545454545453</v>
      </c>
      <c r="W411" s="18">
        <f>IFERROR(
                  Andel_oberoende_av_klimat*VLOOKUP($A411,Leveranser_per_nät,'Leveranser per nät'!W$1,FALSE)
               +Andel_beroende_av_klimat*VLOOKUP($A411,Leveranser_per_nät,'Leveranser per nät'!W$1,FALSE)/VLOOKUP($B411,Korrigeringsfaktor_GD,'Korrigeringsfaktor GD'!W$1,FALSE),
"")</f>
        <v>21.99142105263158</v>
      </c>
      <c r="X411" s="18">
        <f>IFERROR(
                  Andel_oberoende_av_klimat*VLOOKUP($A411,Leveranser_per_nät,'Leveranser per nät'!X$1,FALSE)
               +Andel_beroende_av_klimat*VLOOKUP($A411,Leveranser_per_nät,'Leveranser per nät'!X$1,FALSE)/VLOOKUP($B411,Korrigeringsfaktor_GD,'Korrigeringsfaktor GD'!X$1,FALSE),
"")</f>
        <v>21.792042553191489</v>
      </c>
      <c r="Y411" s="18">
        <f>IFERROR(
                  Andel_oberoende_av_klimat*VLOOKUP($A411,Leveranser_per_nät,'Leveranser per nät'!Y$1,FALSE)
               +Andel_beroende_av_klimat*VLOOKUP($A411,Leveranser_per_nät,'Leveranser per nät'!Y$1,FALSE)/VLOOKUP($B411,Korrigeringsfaktor_GD,'Korrigeringsfaktor GD'!Y$1,FALSE),
"")</f>
        <v>22.930744680851063</v>
      </c>
      <c r="Z411" s="18">
        <f>IFERROR(
                  Andel_oberoende_av_klimat*VLOOKUP($A411,Leveranser_per_nät,'Leveranser per nät'!Z$1,FALSE)
               +Andel_beroende_av_klimat*VLOOKUP($A411,Leveranser_per_nät,'Leveranser per nät'!Z$1,FALSE)/VLOOKUP($B411,Korrigeringsfaktor_GD,'Korrigeringsfaktor GD'!Z$1,FALSE),
"")</f>
        <v>23.287846153846157</v>
      </c>
      <c r="AA411" s="18">
        <f>IFERROR(
                  Andel_oberoende_av_klimat*VLOOKUP($A411,Leveranser_per_nät,'Leveranser per nät'!AA$1,FALSE)
               +Andel_beroende_av_klimat*VLOOKUP($A411,Leveranser_per_nät,'Leveranser per nät'!AA$1,FALSE)/VLOOKUP($B411,Korrigeringsfaktor_GD,'Korrigeringsfaktor GD'!AA$1,FALSE),
"")</f>
        <v>23.465541784037562</v>
      </c>
      <c r="AB411" s="18">
        <f>IFERROR(
                  Andel_oberoende_av_klimat*VLOOKUP($A411,Leveranser_per_nät,'Leveranser per nät'!AB$1,FALSE)
               +Andel_beroende_av_klimat*VLOOKUP($A411,Leveranser_per_nät,'Leveranser per nät'!AB$1,FALSE)/VLOOKUP($B411,Korrigeringsfaktor_GD,'Korrigeringsfaktor GD'!AB$1,FALSE),
"")</f>
        <v>22.872527131782945</v>
      </c>
      <c r="AC411" s="18">
        <f>IFERROR(
                  Andel_oberoende_av_klimat*VLOOKUP($A411,Leveranser_per_nät,'Leveranser per nät'!AC$1,FALSE)
               +Andel_beroende_av_klimat*VLOOKUP($A411,Leveranser_per_nät,'Leveranser per nät'!AC$1,FALSE)/VLOOKUP($B411,Korrigeringsfaktor_GD,'Korrigeringsfaktor GD'!AC$1,FALSE),
"")</f>
        <v>21.820269430051813</v>
      </c>
      <c r="AD411">
        <v>21.28</v>
      </c>
    </row>
    <row r="412" spans="1:30" x14ac:dyDescent="0.25">
      <c r="A412" t="s">
        <v>331</v>
      </c>
      <c r="B412" t="s">
        <v>445</v>
      </c>
      <c r="C412" s="18">
        <f>IFERROR(
                  Andel_oberoende_av_klimat*VLOOKUP($A412,Leveranser_per_nät,'Leveranser per nät'!C$1,FALSE)
               +Andel_beroende_av_klimat*VLOOKUP($A412,Leveranser_per_nät,'Leveranser per nät'!C$1,FALSE)/VLOOKUP($B412,Korrigeringsfaktor_GD,'Korrigeringsfaktor GD'!C$1,FALSE),
"")</f>
        <v>0</v>
      </c>
      <c r="D412" s="18">
        <f>IFERROR(
                  Andel_oberoende_av_klimat*VLOOKUP($A412,Leveranser_per_nät,'Leveranser per nät'!D$1,FALSE)
               +Andel_beroende_av_klimat*VLOOKUP($A412,Leveranser_per_nät,'Leveranser per nät'!D$1,FALSE)/VLOOKUP($B412,Korrigeringsfaktor_GD,'Korrigeringsfaktor GD'!D$1,FALSE),
"")</f>
        <v>0</v>
      </c>
      <c r="E412" s="18">
        <f>IFERROR(
                  Andel_oberoende_av_klimat*VLOOKUP($A412,Leveranser_per_nät,'Leveranser per nät'!E$1,FALSE)
               +Andel_beroende_av_klimat*VLOOKUP($A412,Leveranser_per_nät,'Leveranser per nät'!E$1,FALSE)/VLOOKUP($B412,Korrigeringsfaktor_GD,'Korrigeringsfaktor GD'!E$1,FALSE),
"")</f>
        <v>0</v>
      </c>
      <c r="F412" s="18">
        <f>IFERROR(
                  Andel_oberoende_av_klimat*VLOOKUP($A412,Leveranser_per_nät,'Leveranser per nät'!F$1,FALSE)
               +Andel_beroende_av_klimat*VLOOKUP($A412,Leveranser_per_nät,'Leveranser per nät'!F$1,FALSE)/VLOOKUP($B412,Korrigeringsfaktor_GD,'Korrigeringsfaktor GD'!F$1,FALSE),
"")</f>
        <v>0</v>
      </c>
      <c r="G412" s="18">
        <f>IFERROR(
                  Andel_oberoende_av_klimat*VLOOKUP($A412,Leveranser_per_nät,'Leveranser per nät'!G$1,FALSE)
               +Andel_beroende_av_klimat*VLOOKUP($A412,Leveranser_per_nät,'Leveranser per nät'!G$1,FALSE)/VLOOKUP($B412,Korrigeringsfaktor_GD,'Korrigeringsfaktor GD'!G$1,FALSE),
"")</f>
        <v>0</v>
      </c>
      <c r="H412" s="18">
        <f>IFERROR(
                  Andel_oberoende_av_klimat*VLOOKUP($A412,Leveranser_per_nät,'Leveranser per nät'!H$1,FALSE)
               +Andel_beroende_av_klimat*VLOOKUP($A412,Leveranser_per_nät,'Leveranser per nät'!H$1,FALSE)/VLOOKUP($B412,Korrigeringsfaktor_GD,'Korrigeringsfaktor GD'!H$1,FALSE),
"")</f>
        <v>0</v>
      </c>
      <c r="I412" s="18">
        <f>IFERROR(
                  Andel_oberoende_av_klimat*VLOOKUP($A412,Leveranser_per_nät,'Leveranser per nät'!I$1,FALSE)
               +Andel_beroende_av_klimat*VLOOKUP($A412,Leveranser_per_nät,'Leveranser per nät'!I$1,FALSE)/VLOOKUP($B412,Korrigeringsfaktor_GD,'Korrigeringsfaktor GD'!I$1,FALSE),
"")</f>
        <v>0</v>
      </c>
      <c r="J412" s="18">
        <f>IFERROR(
                  Andel_oberoende_av_klimat*VLOOKUP($A412,Leveranser_per_nät,'Leveranser per nät'!J$1,FALSE)
               +Andel_beroende_av_klimat*VLOOKUP($A412,Leveranser_per_nät,'Leveranser per nät'!J$1,FALSE)/VLOOKUP($B412,Korrigeringsfaktor_GD,'Korrigeringsfaktor GD'!J$1,FALSE),
"")</f>
        <v>0</v>
      </c>
      <c r="K412" s="18">
        <f>IFERROR(
                  Andel_oberoende_av_klimat*VLOOKUP($A412,Leveranser_per_nät,'Leveranser per nät'!K$1,FALSE)
               +Andel_beroende_av_klimat*VLOOKUP($A412,Leveranser_per_nät,'Leveranser per nät'!K$1,FALSE)/VLOOKUP($B412,Korrigeringsfaktor_GD,'Korrigeringsfaktor GD'!K$1,FALSE),
"")</f>
        <v>0</v>
      </c>
      <c r="L412" s="18">
        <f>IFERROR(
                  Andel_oberoende_av_klimat*VLOOKUP($A412,Leveranser_per_nät,'Leveranser per nät'!L$1,FALSE)
               +Andel_beroende_av_klimat*VLOOKUP($A412,Leveranser_per_nät,'Leveranser per nät'!L$1,FALSE)/VLOOKUP($B412,Korrigeringsfaktor_GD,'Korrigeringsfaktor GD'!L$1,FALSE),
"")</f>
        <v>0</v>
      </c>
      <c r="M412" s="18">
        <f>IFERROR(
                  Andel_oberoende_av_klimat*VLOOKUP($A412,Leveranser_per_nät,'Leveranser per nät'!M$1,FALSE)
               +Andel_beroende_av_klimat*VLOOKUP($A412,Leveranser_per_nät,'Leveranser per nät'!M$1,FALSE)/VLOOKUP($B412,Korrigeringsfaktor_GD,'Korrigeringsfaktor GD'!M$1,FALSE),
"")</f>
        <v>0.5346153846153846</v>
      </c>
      <c r="N412" s="18">
        <f>IFERROR(
                  Andel_oberoende_av_klimat*VLOOKUP($A412,Leveranser_per_nät,'Leveranser per nät'!N$1,FALSE)
               +Andel_beroende_av_klimat*VLOOKUP($A412,Leveranser_per_nät,'Leveranser per nät'!N$1,FALSE)/VLOOKUP($B412,Korrigeringsfaktor_GD,'Korrigeringsfaktor GD'!N$1,FALSE),
"")</f>
        <v>0.87636363636363623</v>
      </c>
      <c r="O412" s="18">
        <f>IFERROR(
                  Andel_oberoende_av_klimat*VLOOKUP($A412,Leveranser_per_nät,'Leveranser per nät'!O$1,FALSE)
               +Andel_beroende_av_klimat*VLOOKUP($A412,Leveranser_per_nät,'Leveranser per nät'!O$1,FALSE)/VLOOKUP($B412,Korrigeringsfaktor_GD,'Korrigeringsfaktor GD'!O$1,FALSE),
"")</f>
        <v>1.5007727272727271</v>
      </c>
      <c r="P412" s="18">
        <f>IFERROR(
                  Andel_oberoende_av_klimat*VLOOKUP($A412,Leveranser_per_nät,'Leveranser per nät'!P$1,FALSE)
               +Andel_beroende_av_klimat*VLOOKUP($A412,Leveranser_per_nät,'Leveranser per nät'!P$1,FALSE)/VLOOKUP($B412,Korrigeringsfaktor_GD,'Korrigeringsfaktor GD'!P$1,FALSE),
"")</f>
        <v>1.7392916666666665</v>
      </c>
      <c r="Q412" s="18">
        <f>IFERROR(
                  Andel_oberoende_av_klimat*VLOOKUP($A412,Leveranser_per_nät,'Leveranser per nät'!Q$1,FALSE)
               +Andel_beroende_av_klimat*VLOOKUP($A412,Leveranser_per_nät,'Leveranser per nät'!Q$1,FALSE)/VLOOKUP($B412,Korrigeringsfaktor_GD,'Korrigeringsfaktor GD'!Q$1,FALSE),
"")</f>
        <v>1.4731965811965813</v>
      </c>
      <c r="R412" s="18">
        <f>IFERROR(
                  Andel_oberoende_av_klimat*VLOOKUP($A412,Leveranser_per_nät,'Leveranser per nät'!R$1,FALSE)
               +Andel_beroende_av_klimat*VLOOKUP($A412,Leveranser_per_nät,'Leveranser per nät'!R$1,FALSE)/VLOOKUP($B412,Korrigeringsfaktor_GD,'Korrigeringsfaktor GD'!R$1,FALSE),
"")</f>
        <v>1.5064347826086957</v>
      </c>
      <c r="S412" s="18">
        <f>IFERROR(
                  Andel_oberoende_av_klimat*VLOOKUP($A412,Leveranser_per_nät,'Leveranser per nät'!S$1,FALSE)
               +Andel_beroende_av_klimat*VLOOKUP($A412,Leveranser_per_nät,'Leveranser per nät'!S$1,FALSE)/VLOOKUP($B412,Korrigeringsfaktor_GD,'Korrigeringsfaktor GD'!S$1,FALSE),
"")</f>
        <v>1.2734951456310679</v>
      </c>
      <c r="T412" s="18">
        <f>IFERROR(
                  Andel_oberoende_av_klimat*VLOOKUP($A412,Leveranser_per_nät,'Leveranser per nät'!T$1,FALSE)
               +Andel_beroende_av_klimat*VLOOKUP($A412,Leveranser_per_nät,'Leveranser per nät'!T$1,FALSE)/VLOOKUP($B412,Korrigeringsfaktor_GD,'Korrigeringsfaktor GD'!T$1,FALSE),
"")</f>
        <v>1.2286262626262627</v>
      </c>
      <c r="U412" s="18">
        <f>IFERROR(
                  Andel_oberoende_av_klimat*VLOOKUP($A412,Leveranser_per_nät,'Leveranser per nät'!U$1,FALSE)
               +Andel_beroende_av_klimat*VLOOKUP($A412,Leveranser_per_nät,'Leveranser per nät'!U$1,FALSE)/VLOOKUP($B412,Korrigeringsfaktor_GD,'Korrigeringsfaktor GD'!U$1,FALSE),
"")</f>
        <v>1.0846</v>
      </c>
      <c r="V412" s="18" t="str">
        <f>IFERROR(
                  Andel_oberoende_av_klimat*VLOOKUP($A412,Leveranser_per_nät,'Leveranser per nät'!V$1,FALSE)
               +Andel_beroende_av_klimat*VLOOKUP($A412,Leveranser_per_nät,'Leveranser per nät'!V$1,FALSE)/VLOOKUP($B412,Korrigeringsfaktor_GD,'Korrigeringsfaktor GD'!V$1,FALSE),
"")</f>
        <v/>
      </c>
      <c r="W412" s="18" t="str">
        <f>IFERROR(
                  Andel_oberoende_av_klimat*VLOOKUP($A412,Leveranser_per_nät,'Leveranser per nät'!W$1,FALSE)
               +Andel_beroende_av_klimat*VLOOKUP($A412,Leveranser_per_nät,'Leveranser per nät'!W$1,FALSE)/VLOOKUP($B412,Korrigeringsfaktor_GD,'Korrigeringsfaktor GD'!W$1,FALSE),
"")</f>
        <v/>
      </c>
      <c r="X412" s="18" t="str">
        <f>IFERROR(
                  Andel_oberoende_av_klimat*VLOOKUP($A412,Leveranser_per_nät,'Leveranser per nät'!X$1,FALSE)
               +Andel_beroende_av_klimat*VLOOKUP($A412,Leveranser_per_nät,'Leveranser per nät'!X$1,FALSE)/VLOOKUP($B412,Korrigeringsfaktor_GD,'Korrigeringsfaktor GD'!X$1,FALSE),
"")</f>
        <v/>
      </c>
      <c r="Y412" s="18" t="str">
        <f>IFERROR(
                  Andel_oberoende_av_klimat*VLOOKUP($A412,Leveranser_per_nät,'Leveranser per nät'!Y$1,FALSE)
               +Andel_beroende_av_klimat*VLOOKUP($A412,Leveranser_per_nät,'Leveranser per nät'!Y$1,FALSE)/VLOOKUP($B412,Korrigeringsfaktor_GD,'Korrigeringsfaktor GD'!Y$1,FALSE),
"")</f>
        <v/>
      </c>
      <c r="Z412" s="18">
        <f>IFERROR(
                  Andel_oberoende_av_klimat*VLOOKUP($A412,Leveranser_per_nät,'Leveranser per nät'!Z$1,FALSE)
               +Andel_beroende_av_klimat*VLOOKUP($A412,Leveranser_per_nät,'Leveranser per nät'!Z$1,FALSE)/VLOOKUP($B412,Korrigeringsfaktor_GD,'Korrigeringsfaktor GD'!Z$1,FALSE),
"")</f>
        <v>0</v>
      </c>
      <c r="AA412" s="18" t="str">
        <f>IFERROR(
                  Andel_oberoende_av_klimat*VLOOKUP($A412,Leveranser_per_nät,'Leveranser per nät'!AA$1,FALSE)
               +Andel_beroende_av_klimat*VLOOKUP($A412,Leveranser_per_nät,'Leveranser per nät'!AA$1,FALSE)/VLOOKUP($B412,Korrigeringsfaktor_GD,'Korrigeringsfaktor GD'!AA$1,FALSE),
"")</f>
        <v/>
      </c>
      <c r="AB412" s="18">
        <f>IFERROR(
                  Andel_oberoende_av_klimat*VLOOKUP($A412,Leveranser_per_nät,'Leveranser per nät'!AB$1,FALSE)
               +Andel_beroende_av_klimat*VLOOKUP($A412,Leveranser_per_nät,'Leveranser per nät'!AB$1,FALSE)/VLOOKUP($B412,Korrigeringsfaktor_GD,'Korrigeringsfaktor GD'!AB$1,FALSE),
"")</f>
        <v>0</v>
      </c>
      <c r="AC412" s="18">
        <f>IFERROR(
                  Andel_oberoende_av_klimat*VLOOKUP($A412,Leveranser_per_nät,'Leveranser per nät'!AC$1,FALSE)
               +Andel_beroende_av_klimat*VLOOKUP($A412,Leveranser_per_nät,'Leveranser per nät'!AC$1,FALSE)/VLOOKUP($B412,Korrigeringsfaktor_GD,'Korrigeringsfaktor GD'!AC$1,FALSE),
"")</f>
        <v>0</v>
      </c>
      <c r="AD412" t="e">
        <v>#N/A</v>
      </c>
    </row>
    <row r="413" spans="1:30" x14ac:dyDescent="0.25">
      <c r="A413" t="s">
        <v>727</v>
      </c>
      <c r="B413" t="s">
        <v>288</v>
      </c>
      <c r="C413" s="18">
        <f>IFERROR(
                  Andel_oberoende_av_klimat*VLOOKUP($A413,Leveranser_per_nät,'Leveranser per nät'!C$1,FALSE)
               +Andel_beroende_av_klimat*VLOOKUP($A413,Leveranser_per_nät,'Leveranser per nät'!C$1,FALSE)/VLOOKUP($B413,Korrigeringsfaktor_GD,'Korrigeringsfaktor GD'!C$1,FALSE),
"")</f>
        <v>0</v>
      </c>
      <c r="D413" s="18">
        <f>IFERROR(
                  Andel_oberoende_av_klimat*VLOOKUP($A413,Leveranser_per_nät,'Leveranser per nät'!D$1,FALSE)
               +Andel_beroende_av_klimat*VLOOKUP($A413,Leveranser_per_nät,'Leveranser per nät'!D$1,FALSE)/VLOOKUP($B413,Korrigeringsfaktor_GD,'Korrigeringsfaktor GD'!D$1,FALSE),
"")</f>
        <v>0</v>
      </c>
      <c r="E413" s="18">
        <f>IFERROR(
                  Andel_oberoende_av_klimat*VLOOKUP($A413,Leveranser_per_nät,'Leveranser per nät'!E$1,FALSE)
               +Andel_beroende_av_klimat*VLOOKUP($A413,Leveranser_per_nät,'Leveranser per nät'!E$1,FALSE)/VLOOKUP($B413,Korrigeringsfaktor_GD,'Korrigeringsfaktor GD'!E$1,FALSE),
"")</f>
        <v>0</v>
      </c>
      <c r="F413" s="18">
        <f>IFERROR(
                  Andel_oberoende_av_klimat*VLOOKUP($A413,Leveranser_per_nät,'Leveranser per nät'!F$1,FALSE)
               +Andel_beroende_av_klimat*VLOOKUP($A413,Leveranser_per_nät,'Leveranser per nät'!F$1,FALSE)/VLOOKUP($B413,Korrigeringsfaktor_GD,'Korrigeringsfaktor GD'!F$1,FALSE),
"")</f>
        <v>0</v>
      </c>
      <c r="G413" s="18">
        <f>IFERROR(
                  Andel_oberoende_av_klimat*VLOOKUP($A413,Leveranser_per_nät,'Leveranser per nät'!G$1,FALSE)
               +Andel_beroende_av_klimat*VLOOKUP($A413,Leveranser_per_nät,'Leveranser per nät'!G$1,FALSE)/VLOOKUP($B413,Korrigeringsfaktor_GD,'Korrigeringsfaktor GD'!G$1,FALSE),
"")</f>
        <v>0</v>
      </c>
      <c r="H413" s="18">
        <f>IFERROR(
                  Andel_oberoende_av_klimat*VLOOKUP($A413,Leveranser_per_nät,'Leveranser per nät'!H$1,FALSE)
               +Andel_beroende_av_klimat*VLOOKUP($A413,Leveranser_per_nät,'Leveranser per nät'!H$1,FALSE)/VLOOKUP($B413,Korrigeringsfaktor_GD,'Korrigeringsfaktor GD'!H$1,FALSE),
"")</f>
        <v>0</v>
      </c>
      <c r="I413" s="18">
        <f>IFERROR(
                  Andel_oberoende_av_klimat*VLOOKUP($A413,Leveranser_per_nät,'Leveranser per nät'!I$1,FALSE)
               +Andel_beroende_av_klimat*VLOOKUP($A413,Leveranser_per_nät,'Leveranser per nät'!I$1,FALSE)/VLOOKUP($B413,Korrigeringsfaktor_GD,'Korrigeringsfaktor GD'!I$1,FALSE),
"")</f>
        <v>0</v>
      </c>
      <c r="J413" s="18">
        <f>IFERROR(
                  Andel_oberoende_av_klimat*VLOOKUP($A413,Leveranser_per_nät,'Leveranser per nät'!J$1,FALSE)
               +Andel_beroende_av_klimat*VLOOKUP($A413,Leveranser_per_nät,'Leveranser per nät'!J$1,FALSE)/VLOOKUP($B413,Korrigeringsfaktor_GD,'Korrigeringsfaktor GD'!J$1,FALSE),
"")</f>
        <v>0</v>
      </c>
      <c r="K413" s="18">
        <f>IFERROR(
                  Andel_oberoende_av_klimat*VLOOKUP($A413,Leveranser_per_nät,'Leveranser per nät'!K$1,FALSE)
               +Andel_beroende_av_klimat*VLOOKUP($A413,Leveranser_per_nät,'Leveranser per nät'!K$1,FALSE)/VLOOKUP($B413,Korrigeringsfaktor_GD,'Korrigeringsfaktor GD'!K$1,FALSE),
"")</f>
        <v>0</v>
      </c>
      <c r="L413" s="18">
        <f>IFERROR(
                  Andel_oberoende_av_klimat*VLOOKUP($A413,Leveranser_per_nät,'Leveranser per nät'!L$1,FALSE)
               +Andel_beroende_av_klimat*VLOOKUP($A413,Leveranser_per_nät,'Leveranser per nät'!L$1,FALSE)/VLOOKUP($B413,Korrigeringsfaktor_GD,'Korrigeringsfaktor GD'!L$1,FALSE),
"")</f>
        <v>0</v>
      </c>
      <c r="M413" s="18">
        <f>IFERROR(
                  Andel_oberoende_av_klimat*VLOOKUP($A413,Leveranser_per_nät,'Leveranser per nät'!M$1,FALSE)
               +Andel_beroende_av_klimat*VLOOKUP($A413,Leveranser_per_nät,'Leveranser per nät'!M$1,FALSE)/VLOOKUP($B413,Korrigeringsfaktor_GD,'Korrigeringsfaktor GD'!M$1,FALSE),
"")</f>
        <v>0</v>
      </c>
      <c r="N413" s="18">
        <f>IFERROR(
                  Andel_oberoende_av_klimat*VLOOKUP($A413,Leveranser_per_nät,'Leveranser per nät'!N$1,FALSE)
               +Andel_beroende_av_klimat*VLOOKUP($A413,Leveranser_per_nät,'Leveranser per nät'!N$1,FALSE)/VLOOKUP($B413,Korrigeringsfaktor_GD,'Korrigeringsfaktor GD'!N$1,FALSE),
"")</f>
        <v>0</v>
      </c>
      <c r="O413" s="18">
        <f>IFERROR(
                  Andel_oberoende_av_klimat*VLOOKUP($A413,Leveranser_per_nät,'Leveranser per nät'!O$1,FALSE)
               +Andel_beroende_av_klimat*VLOOKUP($A413,Leveranser_per_nät,'Leveranser per nät'!O$1,FALSE)/VLOOKUP($B413,Korrigeringsfaktor_GD,'Korrigeringsfaktor GD'!O$1,FALSE),
"")</f>
        <v>0</v>
      </c>
      <c r="P413" s="18">
        <f>IFERROR(
                  Andel_oberoende_av_klimat*VLOOKUP($A413,Leveranser_per_nät,'Leveranser per nät'!P$1,FALSE)
               +Andel_beroende_av_klimat*VLOOKUP($A413,Leveranser_per_nät,'Leveranser per nät'!P$1,FALSE)/VLOOKUP($B413,Korrigeringsfaktor_GD,'Korrigeringsfaktor GD'!P$1,FALSE),
"")</f>
        <v>0</v>
      </c>
      <c r="Q413" s="18">
        <f>IFERROR(
                  Andel_oberoende_av_klimat*VLOOKUP($A413,Leveranser_per_nät,'Leveranser per nät'!Q$1,FALSE)
               +Andel_beroende_av_klimat*VLOOKUP($A413,Leveranser_per_nät,'Leveranser per nät'!Q$1,FALSE)/VLOOKUP($B413,Korrigeringsfaktor_GD,'Korrigeringsfaktor GD'!Q$1,FALSE),
"")</f>
        <v>0</v>
      </c>
      <c r="R413" s="18">
        <f>IFERROR(
                  Andel_oberoende_av_klimat*VLOOKUP($A413,Leveranser_per_nät,'Leveranser per nät'!R$1,FALSE)
               +Andel_beroende_av_klimat*VLOOKUP($A413,Leveranser_per_nät,'Leveranser per nät'!R$1,FALSE)/VLOOKUP($B413,Korrigeringsfaktor_GD,'Korrigeringsfaktor GD'!R$1,FALSE),
"")</f>
        <v>0</v>
      </c>
      <c r="S413" s="18" t="str">
        <f>IFERROR(
                  Andel_oberoende_av_klimat*VLOOKUP($A413,Leveranser_per_nät,'Leveranser per nät'!S$1,FALSE)
               +Andel_beroende_av_klimat*VLOOKUP($A413,Leveranser_per_nät,'Leveranser per nät'!S$1,FALSE)/VLOOKUP($B413,Korrigeringsfaktor_GD,'Korrigeringsfaktor GD'!S$1,FALSE),
"")</f>
        <v/>
      </c>
      <c r="T413" s="18" t="str">
        <f>IFERROR(
                  Andel_oberoende_av_klimat*VLOOKUP($A413,Leveranser_per_nät,'Leveranser per nät'!T$1,FALSE)
               +Andel_beroende_av_klimat*VLOOKUP($A413,Leveranser_per_nät,'Leveranser per nät'!T$1,FALSE)/VLOOKUP($B413,Korrigeringsfaktor_GD,'Korrigeringsfaktor GD'!T$1,FALSE),
"")</f>
        <v/>
      </c>
      <c r="U413" s="18">
        <f>IFERROR(
                  Andel_oberoende_av_klimat*VLOOKUP($A413,Leveranser_per_nät,'Leveranser per nät'!U$1,FALSE)
               +Andel_beroende_av_klimat*VLOOKUP($A413,Leveranser_per_nät,'Leveranser per nät'!U$1,FALSE)/VLOOKUP($B413,Korrigeringsfaktor_GD,'Korrigeringsfaktor GD'!U$1,FALSE),
"")</f>
        <v>110.79114942528736</v>
      </c>
      <c r="V413" s="18">
        <f>IFERROR(
                  Andel_oberoende_av_klimat*VLOOKUP($A413,Leveranser_per_nät,'Leveranser per nät'!V$1,FALSE)
               +Andel_beroende_av_klimat*VLOOKUP($A413,Leveranser_per_nät,'Leveranser per nät'!V$1,FALSE)/VLOOKUP($B413,Korrigeringsfaktor_GD,'Korrigeringsfaktor GD'!V$1,FALSE),
"")</f>
        <v>111.70459545454545</v>
      </c>
      <c r="W413" s="18">
        <f>IFERROR(
                  Andel_oberoende_av_klimat*VLOOKUP($A413,Leveranser_per_nät,'Leveranser per nät'!W$1,FALSE)
               +Andel_beroende_av_klimat*VLOOKUP($A413,Leveranser_per_nät,'Leveranser per nät'!W$1,FALSE)/VLOOKUP($B413,Korrigeringsfaktor_GD,'Korrigeringsfaktor GD'!W$1,FALSE),
"")</f>
        <v>116.81559999999999</v>
      </c>
      <c r="X413" s="18">
        <f>IFERROR(
                  Andel_oberoende_av_klimat*VLOOKUP($A413,Leveranser_per_nät,'Leveranser per nät'!X$1,FALSE)
               +Andel_beroende_av_klimat*VLOOKUP($A413,Leveranser_per_nät,'Leveranser per nät'!X$1,FALSE)/VLOOKUP($B413,Korrigeringsfaktor_GD,'Korrigeringsfaktor GD'!X$1,FALSE),
"")</f>
        <v>134.14721182795699</v>
      </c>
      <c r="Y413" s="18">
        <f>IFERROR(
                  Andel_oberoende_av_klimat*VLOOKUP($A413,Leveranser_per_nät,'Leveranser per nät'!Y$1,FALSE)
               +Andel_beroende_av_klimat*VLOOKUP($A413,Leveranser_per_nät,'Leveranser per nät'!Y$1,FALSE)/VLOOKUP($B413,Korrigeringsfaktor_GD,'Korrigeringsfaktor GD'!Y$1,FALSE),
"")</f>
        <v>135.71762340425533</v>
      </c>
      <c r="Z413" s="18">
        <f>IFERROR(
                  Andel_oberoende_av_klimat*VLOOKUP($A413,Leveranser_per_nät,'Leveranser per nät'!Z$1,FALSE)
               +Andel_beroende_av_klimat*VLOOKUP($A413,Leveranser_per_nät,'Leveranser per nät'!Z$1,FALSE)/VLOOKUP($B413,Korrigeringsfaktor_GD,'Korrigeringsfaktor GD'!Z$1,FALSE),
"")</f>
        <v>140.59956923076925</v>
      </c>
      <c r="AA413" s="18">
        <f>IFERROR(
                  Andel_oberoende_av_klimat*VLOOKUP($A413,Leveranser_per_nät,'Leveranser per nät'!AA$1,FALSE)
               +Andel_beroende_av_klimat*VLOOKUP($A413,Leveranser_per_nät,'Leveranser per nät'!AA$1,FALSE)/VLOOKUP($B413,Korrigeringsfaktor_GD,'Korrigeringsfaktor GD'!AA$1,FALSE),
"")</f>
        <v>142.62055154574131</v>
      </c>
      <c r="AB413" s="18">
        <f>IFERROR(
                  Andel_oberoende_av_klimat*VLOOKUP($A413,Leveranser_per_nät,'Leveranser per nät'!AB$1,FALSE)
               +Andel_beroende_av_klimat*VLOOKUP($A413,Leveranser_per_nät,'Leveranser per nät'!AB$1,FALSE)/VLOOKUP($B413,Korrigeringsfaktor_GD,'Korrigeringsfaktor GD'!AB$1,FALSE),
"")</f>
        <v>131.45309859154929</v>
      </c>
      <c r="AC413" s="18">
        <f>IFERROR(
                  Andel_oberoende_av_klimat*VLOOKUP($A413,Leveranser_per_nät,'Leveranser per nät'!AC$1,FALSE)
               +Andel_beroende_av_klimat*VLOOKUP($A413,Leveranser_per_nät,'Leveranser per nät'!AC$1,FALSE)/VLOOKUP($B413,Korrigeringsfaktor_GD,'Korrigeringsfaktor GD'!AC$1,FALSE),
"")</f>
        <v>138.37553163481951</v>
      </c>
      <c r="AD413">
        <v>513.26678000000004</v>
      </c>
    </row>
    <row r="414" spans="1:30" x14ac:dyDescent="0.25">
      <c r="A414" s="4" t="s">
        <v>429</v>
      </c>
      <c r="B414" t="s">
        <v>445</v>
      </c>
      <c r="C414" s="18">
        <f>IFERROR(
                  Andel_oberoende_av_klimat*VLOOKUP($A414,Leveranser_per_nät,'Leveranser per nät'!C$1,FALSE)
               +Andel_beroende_av_klimat*VLOOKUP($A414,Leveranser_per_nät,'Leveranser per nät'!C$1,FALSE)/VLOOKUP($B414,Korrigeringsfaktor_GD,'Korrigeringsfaktor GD'!C$1,FALSE),
"")</f>
        <v>0</v>
      </c>
      <c r="D414" s="18">
        <f>IFERROR(
                  Andel_oberoende_av_klimat*VLOOKUP($A414,Leveranser_per_nät,'Leveranser per nät'!D$1,FALSE)
               +Andel_beroende_av_klimat*VLOOKUP($A414,Leveranser_per_nät,'Leveranser per nät'!D$1,FALSE)/VLOOKUP($B414,Korrigeringsfaktor_GD,'Korrigeringsfaktor GD'!D$1,FALSE),
"")</f>
        <v>0</v>
      </c>
      <c r="E414" s="18">
        <f>IFERROR(
                  Andel_oberoende_av_klimat*VLOOKUP($A414,Leveranser_per_nät,'Leveranser per nät'!E$1,FALSE)
               +Andel_beroende_av_klimat*VLOOKUP($A414,Leveranser_per_nät,'Leveranser per nät'!E$1,FALSE)/VLOOKUP($B414,Korrigeringsfaktor_GD,'Korrigeringsfaktor GD'!E$1,FALSE),
"")</f>
        <v>0</v>
      </c>
      <c r="F414" s="18">
        <f>IFERROR(
                  Andel_oberoende_av_klimat*VLOOKUP($A414,Leveranser_per_nät,'Leveranser per nät'!F$1,FALSE)
               +Andel_beroende_av_klimat*VLOOKUP($A414,Leveranser_per_nät,'Leveranser per nät'!F$1,FALSE)/VLOOKUP($B414,Korrigeringsfaktor_GD,'Korrigeringsfaktor GD'!F$1,FALSE),
"")</f>
        <v>0</v>
      </c>
      <c r="G414" s="18">
        <f>IFERROR(
                  Andel_oberoende_av_klimat*VLOOKUP($A414,Leveranser_per_nät,'Leveranser per nät'!G$1,FALSE)
               +Andel_beroende_av_klimat*VLOOKUP($A414,Leveranser_per_nät,'Leveranser per nät'!G$1,FALSE)/VLOOKUP($B414,Korrigeringsfaktor_GD,'Korrigeringsfaktor GD'!G$1,FALSE),
"")</f>
        <v>0</v>
      </c>
      <c r="H414" s="18">
        <f>IFERROR(
                  Andel_oberoende_av_klimat*VLOOKUP($A414,Leveranser_per_nät,'Leveranser per nät'!H$1,FALSE)
               +Andel_beroende_av_klimat*VLOOKUP($A414,Leveranser_per_nät,'Leveranser per nät'!H$1,FALSE)/VLOOKUP($B414,Korrigeringsfaktor_GD,'Korrigeringsfaktor GD'!H$1,FALSE),
"")</f>
        <v>0</v>
      </c>
      <c r="I414" s="18">
        <f>IFERROR(
                  Andel_oberoende_av_klimat*VLOOKUP($A414,Leveranser_per_nät,'Leveranser per nät'!I$1,FALSE)
               +Andel_beroende_av_klimat*VLOOKUP($A414,Leveranser_per_nät,'Leveranser per nät'!I$1,FALSE)/VLOOKUP($B414,Korrigeringsfaktor_GD,'Korrigeringsfaktor GD'!I$1,FALSE),
"")</f>
        <v>0</v>
      </c>
      <c r="J414" s="18">
        <f>IFERROR(
                  Andel_oberoende_av_klimat*VLOOKUP($A414,Leveranser_per_nät,'Leveranser per nät'!J$1,FALSE)
               +Andel_beroende_av_klimat*VLOOKUP($A414,Leveranser_per_nät,'Leveranser per nät'!J$1,FALSE)/VLOOKUP($B414,Korrigeringsfaktor_GD,'Korrigeringsfaktor GD'!J$1,FALSE),
"")</f>
        <v>0</v>
      </c>
      <c r="K414" s="18">
        <f>IFERROR(
                  Andel_oberoende_av_klimat*VLOOKUP($A414,Leveranser_per_nät,'Leveranser per nät'!K$1,FALSE)
               +Andel_beroende_av_klimat*VLOOKUP($A414,Leveranser_per_nät,'Leveranser per nät'!K$1,FALSE)/VLOOKUP($B414,Korrigeringsfaktor_GD,'Korrigeringsfaktor GD'!K$1,FALSE),
"")</f>
        <v>3.8187857142857147</v>
      </c>
      <c r="L414" s="18">
        <f>IFERROR(
                  Andel_oberoende_av_klimat*VLOOKUP($A414,Leveranser_per_nät,'Leveranser per nät'!L$1,FALSE)
               +Andel_beroende_av_klimat*VLOOKUP($A414,Leveranser_per_nät,'Leveranser per nät'!L$1,FALSE)/VLOOKUP($B414,Korrigeringsfaktor_GD,'Korrigeringsfaktor GD'!L$1,FALSE),
"")</f>
        <v>5.0429166666666676</v>
      </c>
      <c r="M414" s="18">
        <f>IFERROR(
                  Andel_oberoende_av_klimat*VLOOKUP($A414,Leveranser_per_nät,'Leveranser per nät'!M$1,FALSE)
               +Andel_beroende_av_klimat*VLOOKUP($A414,Leveranser_per_nät,'Leveranser per nät'!M$1,FALSE)/VLOOKUP($B414,Korrigeringsfaktor_GD,'Korrigeringsfaktor GD'!M$1,FALSE),
"")</f>
        <v>4.9804769230769237</v>
      </c>
      <c r="N414" s="18">
        <f>IFERROR(
                  Andel_oberoende_av_klimat*VLOOKUP($A414,Leveranser_per_nät,'Leveranser per nät'!N$1,FALSE)
               +Andel_beroende_av_klimat*VLOOKUP($A414,Leveranser_per_nät,'Leveranser per nät'!N$1,FALSE)/VLOOKUP($B414,Korrigeringsfaktor_GD,'Korrigeringsfaktor GD'!N$1,FALSE),
"")</f>
        <v>5.3677272727272731</v>
      </c>
      <c r="O414" s="18">
        <f>IFERROR(
                  Andel_oberoende_av_klimat*VLOOKUP($A414,Leveranser_per_nät,'Leveranser per nät'!O$1,FALSE)
               +Andel_beroende_av_klimat*VLOOKUP($A414,Leveranser_per_nät,'Leveranser per nät'!O$1,FALSE)/VLOOKUP($B414,Korrigeringsfaktor_GD,'Korrigeringsfaktor GD'!O$1,FALSE),
"")</f>
        <v>4.6666363636363632</v>
      </c>
      <c r="P414" s="18">
        <f>IFERROR(
                  Andel_oberoende_av_klimat*VLOOKUP($A414,Leveranser_per_nät,'Leveranser per nät'!P$1,FALSE)
               +Andel_beroende_av_klimat*VLOOKUP($A414,Leveranser_per_nät,'Leveranser per nät'!P$1,FALSE)/VLOOKUP($B414,Korrigeringsfaktor_GD,'Korrigeringsfaktor GD'!P$1,FALSE),
"")</f>
        <v>5.3526958333333328</v>
      </c>
      <c r="Q414" s="18">
        <f>IFERROR(
                  Andel_oberoende_av_klimat*VLOOKUP($A414,Leveranser_per_nät,'Leveranser per nät'!Q$1,FALSE)
               +Andel_beroende_av_klimat*VLOOKUP($A414,Leveranser_per_nät,'Leveranser per nät'!Q$1,FALSE)/VLOOKUP($B414,Korrigeringsfaktor_GD,'Korrigeringsfaktor GD'!Q$1,FALSE),
"")</f>
        <v>4.6980598290598294</v>
      </c>
      <c r="R414" s="18">
        <f>IFERROR(
                  Andel_oberoende_av_klimat*VLOOKUP($A414,Leveranser_per_nät,'Leveranser per nät'!R$1,FALSE)
               +Andel_beroende_av_klimat*VLOOKUP($A414,Leveranser_per_nät,'Leveranser per nät'!R$1,FALSE)/VLOOKUP($B414,Korrigeringsfaktor_GD,'Korrigeringsfaktor GD'!R$1,FALSE),
"")</f>
        <v>4.1692173913043478</v>
      </c>
      <c r="S414" s="18">
        <f>IFERROR(
                  Andel_oberoende_av_klimat*VLOOKUP($A414,Leveranser_per_nät,'Leveranser per nät'!S$1,FALSE)
               +Andel_beroende_av_klimat*VLOOKUP($A414,Leveranser_per_nät,'Leveranser per nät'!S$1,FALSE)/VLOOKUP($B414,Korrigeringsfaktor_GD,'Korrigeringsfaktor GD'!S$1,FALSE),
"")</f>
        <v>3.7813009708737866</v>
      </c>
      <c r="T414" s="18">
        <f>IFERROR(
                  Andel_oberoende_av_klimat*VLOOKUP($A414,Leveranser_per_nät,'Leveranser per nät'!T$1,FALSE)
               +Andel_beroende_av_klimat*VLOOKUP($A414,Leveranser_per_nät,'Leveranser per nät'!T$1,FALSE)/VLOOKUP($B414,Korrigeringsfaktor_GD,'Korrigeringsfaktor GD'!T$1,FALSE),
"")</f>
        <v>3.8973636363636368</v>
      </c>
      <c r="U414" s="18">
        <f>IFERROR(
                  Andel_oberoende_av_klimat*VLOOKUP($A414,Leveranser_per_nät,'Leveranser per nät'!U$1,FALSE)
               +Andel_beroende_av_klimat*VLOOKUP($A414,Leveranser_per_nät,'Leveranser per nät'!U$1,FALSE)/VLOOKUP($B414,Korrigeringsfaktor_GD,'Korrigeringsfaktor GD'!U$1,FALSE),
"")</f>
        <v>4.0562000000000005</v>
      </c>
      <c r="V414" s="18">
        <f>IFERROR(
                  Andel_oberoende_av_klimat*VLOOKUP($A414,Leveranser_per_nät,'Leveranser per nät'!V$1,FALSE)
               +Andel_beroende_av_klimat*VLOOKUP($A414,Leveranser_per_nät,'Leveranser per nät'!V$1,FALSE)/VLOOKUP($B414,Korrigeringsfaktor_GD,'Korrigeringsfaktor GD'!V$1,FALSE),
"")</f>
        <v>4.0944777777777777</v>
      </c>
      <c r="W414" s="18">
        <f>IFERROR(
                  Andel_oberoende_av_klimat*VLOOKUP($A414,Leveranser_per_nät,'Leveranser per nät'!W$1,FALSE)
               +Andel_beroende_av_klimat*VLOOKUP($A414,Leveranser_per_nät,'Leveranser per nät'!W$1,FALSE)/VLOOKUP($B414,Korrigeringsfaktor_GD,'Korrigeringsfaktor GD'!W$1,FALSE),
"")</f>
        <v>4.2180173913043477</v>
      </c>
      <c r="X414" s="18">
        <f>IFERROR(
                  Andel_oberoende_av_klimat*VLOOKUP($A414,Leveranser_per_nät,'Leveranser per nät'!X$1,FALSE)
               +Andel_beroende_av_klimat*VLOOKUP($A414,Leveranser_per_nät,'Leveranser per nät'!X$1,FALSE)/VLOOKUP($B414,Korrigeringsfaktor_GD,'Korrigeringsfaktor GD'!X$1,FALSE),
"")</f>
        <v>4.3945384615384624</v>
      </c>
      <c r="Y414" s="18">
        <f>IFERROR(
                  Andel_oberoende_av_klimat*VLOOKUP($A414,Leveranser_per_nät,'Leveranser per nät'!Y$1,FALSE)
               +Andel_beroende_av_klimat*VLOOKUP($A414,Leveranser_per_nät,'Leveranser per nät'!Y$1,FALSE)/VLOOKUP($B414,Korrigeringsfaktor_GD,'Korrigeringsfaktor GD'!Y$1,FALSE),
"")</f>
        <v>5.3978157303370784</v>
      </c>
      <c r="Z414" s="18">
        <f>IFERROR(
                  Andel_oberoende_av_klimat*VLOOKUP($A414,Leveranser_per_nät,'Leveranser per nät'!Z$1,FALSE)
               +Andel_beroende_av_klimat*VLOOKUP($A414,Leveranser_per_nät,'Leveranser per nät'!Z$1,FALSE)/VLOOKUP($B414,Korrigeringsfaktor_GD,'Korrigeringsfaktor GD'!Z$1,FALSE),
"")</f>
        <v>6.6400588235294116</v>
      </c>
      <c r="AA414" s="18">
        <f>IFERROR(
                  Andel_oberoende_av_klimat*VLOOKUP($A414,Leveranser_per_nät,'Leveranser per nät'!AA$1,FALSE)
               +Andel_beroende_av_klimat*VLOOKUP($A414,Leveranser_per_nät,'Leveranser per nät'!AA$1,FALSE)/VLOOKUP($B414,Korrigeringsfaktor_GD,'Korrigeringsfaktor GD'!AA$1,FALSE),
"")</f>
        <v>6.6476982378854625</v>
      </c>
      <c r="AB414" s="18">
        <f>IFERROR(
                  Andel_oberoende_av_klimat*VLOOKUP($A414,Leveranser_per_nät,'Leveranser per nät'!AB$1,FALSE)
               +Andel_beroende_av_klimat*VLOOKUP($A414,Leveranser_per_nät,'Leveranser per nät'!AB$1,FALSE)/VLOOKUP($B414,Korrigeringsfaktor_GD,'Korrigeringsfaktor GD'!AB$1,FALSE),
"")</f>
        <v>6.6553426573426577</v>
      </c>
      <c r="AC414" s="18">
        <f>IFERROR(
                  Andel_oberoende_av_klimat*VLOOKUP($A414,Leveranser_per_nät,'Leveranser per nät'!AC$1,FALSE)
               +Andel_beroende_av_klimat*VLOOKUP($A414,Leveranser_per_nät,'Leveranser per nät'!AC$1,FALSE)/VLOOKUP($B414,Korrigeringsfaktor_GD,'Korrigeringsfaktor GD'!AC$1,FALSE),
"")</f>
        <v>6.6462482948294834</v>
      </c>
      <c r="AD414" t="e">
        <v>#N/A</v>
      </c>
    </row>
    <row r="415" spans="1:30" x14ac:dyDescent="0.25">
      <c r="A415" t="s">
        <v>152</v>
      </c>
      <c r="B415" t="s">
        <v>151</v>
      </c>
      <c r="C415" s="18">
        <f>IFERROR(
                  Andel_oberoende_av_klimat*VLOOKUP($A415,Leveranser_per_nät,'Leveranser per nät'!C$1,FALSE)
               +Andel_beroende_av_klimat*VLOOKUP($A415,Leveranser_per_nät,'Leveranser per nät'!C$1,FALSE)/VLOOKUP($B415,Korrigeringsfaktor_GD,'Korrigeringsfaktor GD'!C$1,FALSE),
"")</f>
        <v>0</v>
      </c>
      <c r="D415" s="18">
        <f>IFERROR(
                  Andel_oberoende_av_klimat*VLOOKUP($A415,Leveranser_per_nät,'Leveranser per nät'!D$1,FALSE)
               +Andel_beroende_av_klimat*VLOOKUP($A415,Leveranser_per_nät,'Leveranser per nät'!D$1,FALSE)/VLOOKUP($B415,Korrigeringsfaktor_GD,'Korrigeringsfaktor GD'!D$1,FALSE),
"")</f>
        <v>0</v>
      </c>
      <c r="E415" s="18">
        <f>IFERROR(
                  Andel_oberoende_av_klimat*VLOOKUP($A415,Leveranser_per_nät,'Leveranser per nät'!E$1,FALSE)
               +Andel_beroende_av_klimat*VLOOKUP($A415,Leveranser_per_nät,'Leveranser per nät'!E$1,FALSE)/VLOOKUP($B415,Korrigeringsfaktor_GD,'Korrigeringsfaktor GD'!E$1,FALSE),
"")</f>
        <v>0</v>
      </c>
      <c r="F415" s="18">
        <f>IFERROR(
                  Andel_oberoende_av_klimat*VLOOKUP($A415,Leveranser_per_nät,'Leveranser per nät'!F$1,FALSE)
               +Andel_beroende_av_klimat*VLOOKUP($A415,Leveranser_per_nät,'Leveranser per nät'!F$1,FALSE)/VLOOKUP($B415,Korrigeringsfaktor_GD,'Korrigeringsfaktor GD'!F$1,FALSE),
"")</f>
        <v>0</v>
      </c>
      <c r="G415" s="18">
        <f>IFERROR(
                  Andel_oberoende_av_klimat*VLOOKUP($A415,Leveranser_per_nät,'Leveranser per nät'!G$1,FALSE)
               +Andel_beroende_av_klimat*VLOOKUP($A415,Leveranser_per_nät,'Leveranser per nät'!G$1,FALSE)/VLOOKUP($B415,Korrigeringsfaktor_GD,'Korrigeringsfaktor GD'!G$1,FALSE),
"")</f>
        <v>1.0954545454545455</v>
      </c>
      <c r="H415" s="18">
        <f>IFERROR(
                  Andel_oberoende_av_klimat*VLOOKUP($A415,Leveranser_per_nät,'Leveranser per nät'!H$1,FALSE)
               +Andel_beroende_av_klimat*VLOOKUP($A415,Leveranser_per_nät,'Leveranser per nät'!H$1,FALSE)/VLOOKUP($B415,Korrigeringsfaktor_GD,'Korrigeringsfaktor GD'!H$1,FALSE),
"")</f>
        <v>5</v>
      </c>
      <c r="I415" s="18">
        <f>IFERROR(
                  Andel_oberoende_av_klimat*VLOOKUP($A415,Leveranser_per_nät,'Leveranser per nät'!I$1,FALSE)
               +Andel_beroende_av_klimat*VLOOKUP($A415,Leveranser_per_nät,'Leveranser per nät'!I$1,FALSE)/VLOOKUP($B415,Korrigeringsfaktor_GD,'Korrigeringsfaktor GD'!I$1,FALSE),
"")</f>
        <v>7.3127659574468087</v>
      </c>
      <c r="J415" s="18">
        <f>IFERROR(
                  Andel_oberoende_av_klimat*VLOOKUP($A415,Leveranser_per_nät,'Leveranser per nät'!J$1,FALSE)
               +Andel_beroende_av_klimat*VLOOKUP($A415,Leveranser_per_nät,'Leveranser per nät'!J$1,FALSE)/VLOOKUP($B415,Korrigeringsfaktor_GD,'Korrigeringsfaktor GD'!J$1,FALSE),
"")</f>
        <v>9.1285714285714299</v>
      </c>
      <c r="K415" s="18">
        <f>IFERROR(
                  Andel_oberoende_av_klimat*VLOOKUP($A415,Leveranser_per_nät,'Leveranser per nät'!K$1,FALSE)
               +Andel_beroende_av_klimat*VLOOKUP($A415,Leveranser_per_nät,'Leveranser per nät'!K$1,FALSE)/VLOOKUP($B415,Korrigeringsfaktor_GD,'Korrigeringsfaktor GD'!K$1,FALSE),
"")</f>
        <v>10.397</v>
      </c>
      <c r="L415" s="18">
        <f>IFERROR(
                  Andel_oberoende_av_klimat*VLOOKUP($A415,Leveranser_per_nät,'Leveranser per nät'!L$1,FALSE)
               +Andel_beroende_av_klimat*VLOOKUP($A415,Leveranser_per_nät,'Leveranser per nät'!L$1,FALSE)/VLOOKUP($B415,Korrigeringsfaktor_GD,'Korrigeringsfaktor GD'!L$1,FALSE),
"")</f>
        <v>12.24957731958763</v>
      </c>
      <c r="M415" s="18">
        <f>IFERROR(
                  Andel_oberoende_av_klimat*VLOOKUP($A415,Leveranser_per_nät,'Leveranser per nät'!M$1,FALSE)
               +Andel_beroende_av_klimat*VLOOKUP($A415,Leveranser_per_nät,'Leveranser per nät'!M$1,FALSE)/VLOOKUP($B415,Korrigeringsfaktor_GD,'Korrigeringsfaktor GD'!M$1,FALSE),
"")</f>
        <v>13.863903225806451</v>
      </c>
      <c r="N415" s="18">
        <f>IFERROR(
                  Andel_oberoende_av_klimat*VLOOKUP($A415,Leveranser_per_nät,'Leveranser per nät'!N$1,FALSE)
               +Andel_beroende_av_klimat*VLOOKUP($A415,Leveranser_per_nät,'Leveranser per nät'!N$1,FALSE)/VLOOKUP($B415,Korrigeringsfaktor_GD,'Korrigeringsfaktor GD'!N$1,FALSE),
"")</f>
        <v>15.835983146067415</v>
      </c>
      <c r="O415" s="18">
        <f>IFERROR(
                  Andel_oberoende_av_klimat*VLOOKUP($A415,Leveranser_per_nät,'Leveranser per nät'!O$1,FALSE)
               +Andel_beroende_av_klimat*VLOOKUP($A415,Leveranser_per_nät,'Leveranser per nät'!O$1,FALSE)/VLOOKUP($B415,Korrigeringsfaktor_GD,'Korrigeringsfaktor GD'!O$1,FALSE),
"")</f>
        <v>17.18761011235955</v>
      </c>
      <c r="P415" s="18">
        <f>IFERROR(
                  Andel_oberoende_av_klimat*VLOOKUP($A415,Leveranser_per_nät,'Leveranser per nät'!P$1,FALSE)
               +Andel_beroende_av_klimat*VLOOKUP($A415,Leveranser_per_nät,'Leveranser per nät'!P$1,FALSE)/VLOOKUP($B415,Korrigeringsfaktor_GD,'Korrigeringsfaktor GD'!P$1,FALSE),
"")</f>
        <v>17.412993814432991</v>
      </c>
      <c r="Q415" s="18">
        <f>IFERROR(
                  Andel_oberoende_av_klimat*VLOOKUP($A415,Leveranser_per_nät,'Leveranser per nät'!Q$1,FALSE)
               +Andel_beroende_av_klimat*VLOOKUP($A415,Leveranser_per_nät,'Leveranser per nät'!Q$1,FALSE)/VLOOKUP($B415,Korrigeringsfaktor_GD,'Korrigeringsfaktor GD'!Q$1,FALSE),
"")</f>
        <v>17.95764347826087</v>
      </c>
      <c r="R415" s="18">
        <f>IFERROR(
                  Andel_oberoende_av_klimat*VLOOKUP($A415,Leveranser_per_nät,'Leveranser per nät'!R$1,FALSE)
               +Andel_beroende_av_klimat*VLOOKUP($A415,Leveranser_per_nät,'Leveranser per nät'!R$1,FALSE)/VLOOKUP($B415,Korrigeringsfaktor_GD,'Korrigeringsfaktor GD'!R$1,FALSE),
"")</f>
        <v>17.504347826086956</v>
      </c>
      <c r="S415" s="18">
        <f>IFERROR(
                  Andel_oberoende_av_klimat*VLOOKUP($A415,Leveranser_per_nät,'Leveranser per nät'!S$1,FALSE)
               +Andel_beroende_av_klimat*VLOOKUP($A415,Leveranser_per_nät,'Leveranser per nät'!S$1,FALSE)/VLOOKUP($B415,Korrigeringsfaktor_GD,'Korrigeringsfaktor GD'!S$1,FALSE),
"")</f>
        <v>16.882178217821782</v>
      </c>
      <c r="T415" s="18">
        <f>IFERROR(
                  Andel_oberoende_av_klimat*VLOOKUP($A415,Leveranser_per_nät,'Leveranser per nät'!T$1,FALSE)
               +Andel_beroende_av_klimat*VLOOKUP($A415,Leveranser_per_nät,'Leveranser per nät'!T$1,FALSE)/VLOOKUP($B415,Korrigeringsfaktor_GD,'Korrigeringsfaktor GD'!T$1,FALSE),
"")</f>
        <v>17.242857142857144</v>
      </c>
      <c r="U415" s="18">
        <f>IFERROR(
                  Andel_oberoende_av_klimat*VLOOKUP($A415,Leveranser_per_nät,'Leveranser per nät'!U$1,FALSE)
               +Andel_beroende_av_klimat*VLOOKUP($A415,Leveranser_per_nät,'Leveranser per nät'!U$1,FALSE)/VLOOKUP($B415,Korrigeringsfaktor_GD,'Korrigeringsfaktor GD'!U$1,FALSE),
"")</f>
        <v>17</v>
      </c>
      <c r="V415" s="18">
        <f>IFERROR(
                  Andel_oberoende_av_klimat*VLOOKUP($A415,Leveranser_per_nät,'Leveranser per nät'!V$1,FALSE)
               +Andel_beroende_av_klimat*VLOOKUP($A415,Leveranser_per_nät,'Leveranser per nät'!V$1,FALSE)/VLOOKUP($B415,Korrigeringsfaktor_GD,'Korrigeringsfaktor GD'!V$1,FALSE),
"")</f>
        <v>18.322222222222219</v>
      </c>
      <c r="W415" s="18">
        <f>IFERROR(
                  Andel_oberoende_av_klimat*VLOOKUP($A415,Leveranser_per_nät,'Leveranser per nät'!W$1,FALSE)
               +Andel_beroende_av_klimat*VLOOKUP($A415,Leveranser_per_nät,'Leveranser per nät'!W$1,FALSE)/VLOOKUP($B415,Korrigeringsfaktor_GD,'Korrigeringsfaktor GD'!W$1,FALSE),
"")</f>
        <v>17.626315789473683</v>
      </c>
      <c r="X415" s="18">
        <f>IFERROR(
                  Andel_oberoende_av_klimat*VLOOKUP($A415,Leveranser_per_nät,'Leveranser per nät'!X$1,FALSE)
               +Andel_beroende_av_klimat*VLOOKUP($A415,Leveranser_per_nät,'Leveranser per nät'!X$1,FALSE)/VLOOKUP($B415,Korrigeringsfaktor_GD,'Korrigeringsfaktor GD'!X$1,FALSE),
"")</f>
        <v>18.216250000000002</v>
      </c>
      <c r="Y415" s="18">
        <f>IFERROR(
                  Andel_oberoende_av_klimat*VLOOKUP($A415,Leveranser_per_nät,'Leveranser per nät'!Y$1,FALSE)
               +Andel_beroende_av_klimat*VLOOKUP($A415,Leveranser_per_nät,'Leveranser per nät'!Y$1,FALSE)/VLOOKUP($B415,Korrigeringsfaktor_GD,'Korrigeringsfaktor GD'!Y$1,FALSE),
"")</f>
        <v>17.895698924731182</v>
      </c>
      <c r="Z415" s="18">
        <f>IFERROR(
                  Andel_oberoende_av_klimat*VLOOKUP($A415,Leveranser_per_nät,'Leveranser per nät'!Z$1,FALSE)
               +Andel_beroende_av_klimat*VLOOKUP($A415,Leveranser_per_nät,'Leveranser per nät'!Z$1,FALSE)/VLOOKUP($B415,Korrigeringsfaktor_GD,'Korrigeringsfaktor GD'!Z$1,FALSE),
"")</f>
        <v>17.928695652173911</v>
      </c>
      <c r="AA415" s="18">
        <f>IFERROR(
                  Andel_oberoende_av_klimat*VLOOKUP($A415,Leveranser_per_nät,'Leveranser per nät'!AA$1,FALSE)
               +Andel_beroende_av_klimat*VLOOKUP($A415,Leveranser_per_nät,'Leveranser per nät'!AA$1,FALSE)/VLOOKUP($B415,Korrigeringsfaktor_GD,'Korrigeringsfaktor GD'!AA$1,FALSE),
"")</f>
        <v>19.658843384338432</v>
      </c>
      <c r="AB415" s="18">
        <f>IFERROR(
                  Andel_oberoende_av_klimat*VLOOKUP($A415,Leveranser_per_nät,'Leveranser per nät'!AB$1,FALSE)
               +Andel_beroende_av_klimat*VLOOKUP($A415,Leveranser_per_nät,'Leveranser per nät'!AB$1,FALSE)/VLOOKUP($B415,Korrigeringsfaktor_GD,'Korrigeringsfaktor GD'!AB$1,FALSE),
"")</f>
        <v>18.633495126705654</v>
      </c>
      <c r="AC415" s="18">
        <f>IFERROR(
                  Andel_oberoende_av_klimat*VLOOKUP($A415,Leveranser_per_nät,'Leveranser per nät'!AC$1,FALSE)
               +Andel_beroende_av_klimat*VLOOKUP($A415,Leveranser_per_nät,'Leveranser per nät'!AC$1,FALSE)/VLOOKUP($B415,Korrigeringsfaktor_GD,'Korrigeringsfaktor GD'!AC$1,FALSE),
"")</f>
        <v>18.285814814814813</v>
      </c>
      <c r="AD415">
        <v>177.02</v>
      </c>
    </row>
    <row r="416" spans="1:30" x14ac:dyDescent="0.25">
      <c r="A416" t="s">
        <v>442</v>
      </c>
      <c r="B416" t="s">
        <v>444</v>
      </c>
      <c r="C416" s="18">
        <f>IFERROR(
                  Andel_oberoende_av_klimat*VLOOKUP($A416,Leveranser_per_nät,'Leveranser per nät'!C$1,FALSE)
               +Andel_beroende_av_klimat*VLOOKUP($A416,Leveranser_per_nät,'Leveranser per nät'!C$1,FALSE)/VLOOKUP($B416,Korrigeringsfaktor_GD,'Korrigeringsfaktor GD'!C$1,FALSE),
"")</f>
        <v>0</v>
      </c>
      <c r="D416" s="18">
        <f>IFERROR(
                  Andel_oberoende_av_klimat*VLOOKUP($A416,Leveranser_per_nät,'Leveranser per nät'!D$1,FALSE)
               +Andel_beroende_av_klimat*VLOOKUP($A416,Leveranser_per_nät,'Leveranser per nät'!D$1,FALSE)/VLOOKUP($B416,Korrigeringsfaktor_GD,'Korrigeringsfaktor GD'!D$1,FALSE),
"")</f>
        <v>0</v>
      </c>
      <c r="E416" s="18">
        <f>IFERROR(
                  Andel_oberoende_av_klimat*VLOOKUP($A416,Leveranser_per_nät,'Leveranser per nät'!E$1,FALSE)
               +Andel_beroende_av_klimat*VLOOKUP($A416,Leveranser_per_nät,'Leveranser per nät'!E$1,FALSE)/VLOOKUP($B416,Korrigeringsfaktor_GD,'Korrigeringsfaktor GD'!E$1,FALSE),
"")</f>
        <v>0</v>
      </c>
      <c r="F416" s="18">
        <f>IFERROR(
                  Andel_oberoende_av_klimat*VLOOKUP($A416,Leveranser_per_nät,'Leveranser per nät'!F$1,FALSE)
               +Andel_beroende_av_klimat*VLOOKUP($A416,Leveranser_per_nät,'Leveranser per nät'!F$1,FALSE)/VLOOKUP($B416,Korrigeringsfaktor_GD,'Korrigeringsfaktor GD'!F$1,FALSE),
"")</f>
        <v>0</v>
      </c>
      <c r="G416" s="18">
        <f>IFERROR(
                  Andel_oberoende_av_klimat*VLOOKUP($A416,Leveranser_per_nät,'Leveranser per nät'!G$1,FALSE)
               +Andel_beroende_av_klimat*VLOOKUP($A416,Leveranser_per_nät,'Leveranser per nät'!G$1,FALSE)/VLOOKUP($B416,Korrigeringsfaktor_GD,'Korrigeringsfaktor GD'!G$1,FALSE),
"")</f>
        <v>0</v>
      </c>
      <c r="H416" s="18">
        <f>IFERROR(
                  Andel_oberoende_av_klimat*VLOOKUP($A416,Leveranser_per_nät,'Leveranser per nät'!H$1,FALSE)
               +Andel_beroende_av_klimat*VLOOKUP($A416,Leveranser_per_nät,'Leveranser per nät'!H$1,FALSE)/VLOOKUP($B416,Korrigeringsfaktor_GD,'Korrigeringsfaktor GD'!H$1,FALSE),
"")</f>
        <v>0</v>
      </c>
      <c r="I416" s="18">
        <f>IFERROR(
                  Andel_oberoende_av_klimat*VLOOKUP($A416,Leveranser_per_nät,'Leveranser per nät'!I$1,FALSE)
               +Andel_beroende_av_klimat*VLOOKUP($A416,Leveranser_per_nät,'Leveranser per nät'!I$1,FALSE)/VLOOKUP($B416,Korrigeringsfaktor_GD,'Korrigeringsfaktor GD'!I$1,FALSE),
"")</f>
        <v>0</v>
      </c>
      <c r="J416" s="18">
        <f>IFERROR(
                  Andel_oberoende_av_klimat*VLOOKUP($A416,Leveranser_per_nät,'Leveranser per nät'!J$1,FALSE)
               +Andel_beroende_av_klimat*VLOOKUP($A416,Leveranser_per_nät,'Leveranser per nät'!J$1,FALSE)/VLOOKUP($B416,Korrigeringsfaktor_GD,'Korrigeringsfaktor GD'!J$1,FALSE),
"")</f>
        <v>0</v>
      </c>
      <c r="K416" s="18">
        <f>IFERROR(
                  Andel_oberoende_av_klimat*VLOOKUP($A416,Leveranser_per_nät,'Leveranser per nät'!K$1,FALSE)
               +Andel_beroende_av_klimat*VLOOKUP($A416,Leveranser_per_nät,'Leveranser per nät'!K$1,FALSE)/VLOOKUP($B416,Korrigeringsfaktor_GD,'Korrigeringsfaktor GD'!K$1,FALSE),
"")</f>
        <v>0</v>
      </c>
      <c r="L416" s="18">
        <f>IFERROR(
                  Andel_oberoende_av_klimat*VLOOKUP($A416,Leveranser_per_nät,'Leveranser per nät'!L$1,FALSE)
               +Andel_beroende_av_klimat*VLOOKUP($A416,Leveranser_per_nät,'Leveranser per nät'!L$1,FALSE)/VLOOKUP($B416,Korrigeringsfaktor_GD,'Korrigeringsfaktor GD'!L$1,FALSE),
"")</f>
        <v>0</v>
      </c>
      <c r="M416" s="18">
        <f>IFERROR(
                  Andel_oberoende_av_klimat*VLOOKUP($A416,Leveranser_per_nät,'Leveranser per nät'!M$1,FALSE)
               +Andel_beroende_av_klimat*VLOOKUP($A416,Leveranser_per_nät,'Leveranser per nät'!M$1,FALSE)/VLOOKUP($B416,Korrigeringsfaktor_GD,'Korrigeringsfaktor GD'!M$1,FALSE),
"")</f>
        <v>0</v>
      </c>
      <c r="N416" s="18">
        <f>IFERROR(
                  Andel_oberoende_av_klimat*VLOOKUP($A416,Leveranser_per_nät,'Leveranser per nät'!N$1,FALSE)
               +Andel_beroende_av_klimat*VLOOKUP($A416,Leveranser_per_nät,'Leveranser per nät'!N$1,FALSE)/VLOOKUP($B416,Korrigeringsfaktor_GD,'Korrigeringsfaktor GD'!N$1,FALSE),
"")</f>
        <v>0</v>
      </c>
      <c r="O416" s="18">
        <f>IFERROR(
                  Andel_oberoende_av_klimat*VLOOKUP($A416,Leveranser_per_nät,'Leveranser per nät'!O$1,FALSE)
               +Andel_beroende_av_klimat*VLOOKUP($A416,Leveranser_per_nät,'Leveranser per nät'!O$1,FALSE)/VLOOKUP($B416,Korrigeringsfaktor_GD,'Korrigeringsfaktor GD'!O$1,FALSE),
"")</f>
        <v>0</v>
      </c>
      <c r="P416" s="18">
        <f>IFERROR(
                  Andel_oberoende_av_klimat*VLOOKUP($A416,Leveranser_per_nät,'Leveranser per nät'!P$1,FALSE)
               +Andel_beroende_av_klimat*VLOOKUP($A416,Leveranser_per_nät,'Leveranser per nät'!P$1,FALSE)/VLOOKUP($B416,Korrigeringsfaktor_GD,'Korrigeringsfaktor GD'!P$1,FALSE),
"")</f>
        <v>0</v>
      </c>
      <c r="Q416" s="18">
        <f>IFERROR(
                  Andel_oberoende_av_klimat*VLOOKUP($A416,Leveranser_per_nät,'Leveranser per nät'!Q$1,FALSE)
               +Andel_beroende_av_klimat*VLOOKUP($A416,Leveranser_per_nät,'Leveranser per nät'!Q$1,FALSE)/VLOOKUP($B416,Korrigeringsfaktor_GD,'Korrigeringsfaktor GD'!Q$1,FALSE),
"")</f>
        <v>0</v>
      </c>
      <c r="R416" s="18">
        <f>IFERROR(
                  Andel_oberoende_av_klimat*VLOOKUP($A416,Leveranser_per_nät,'Leveranser per nät'!R$1,FALSE)
               +Andel_beroende_av_klimat*VLOOKUP($A416,Leveranser_per_nät,'Leveranser per nät'!R$1,FALSE)/VLOOKUP($B416,Korrigeringsfaktor_GD,'Korrigeringsfaktor GD'!R$1,FALSE),
"")</f>
        <v>0</v>
      </c>
      <c r="S416" s="18">
        <f>IFERROR(
                  Andel_oberoende_av_klimat*VLOOKUP($A416,Leveranser_per_nät,'Leveranser per nät'!S$1,FALSE)
               +Andel_beroende_av_klimat*VLOOKUP($A416,Leveranser_per_nät,'Leveranser per nät'!S$1,FALSE)/VLOOKUP($B416,Korrigeringsfaktor_GD,'Korrigeringsfaktor GD'!S$1,FALSE),
"")</f>
        <v>65</v>
      </c>
      <c r="T416" s="18">
        <f>IFERROR(
                  Andel_oberoende_av_klimat*VLOOKUP($A416,Leveranser_per_nät,'Leveranser per nät'!T$1,FALSE)
               +Andel_beroende_av_klimat*VLOOKUP($A416,Leveranser_per_nät,'Leveranser per nät'!T$1,FALSE)/VLOOKUP($B416,Korrigeringsfaktor_GD,'Korrigeringsfaktor GD'!T$1,FALSE),
"")</f>
        <v>77.1875</v>
      </c>
      <c r="U416" s="18">
        <f>IFERROR(
                  Andel_oberoende_av_klimat*VLOOKUP($A416,Leveranser_per_nät,'Leveranser per nät'!U$1,FALSE)
               +Andel_beroende_av_klimat*VLOOKUP($A416,Leveranser_per_nät,'Leveranser per nät'!U$1,FALSE)/VLOOKUP($B416,Korrigeringsfaktor_GD,'Korrigeringsfaktor GD'!U$1,FALSE),
"")</f>
        <v>91.152772727272733</v>
      </c>
      <c r="V416" s="18">
        <f>IFERROR(
                  Andel_oberoende_av_klimat*VLOOKUP($A416,Leveranser_per_nät,'Leveranser per nät'!V$1,FALSE)
               +Andel_beroende_av_klimat*VLOOKUP($A416,Leveranser_per_nät,'Leveranser per nät'!V$1,FALSE)/VLOOKUP($B416,Korrigeringsfaktor_GD,'Korrigeringsfaktor GD'!V$1,FALSE),
"")</f>
        <v>93.885113953488371</v>
      </c>
      <c r="W416" s="18">
        <f>IFERROR(
                  Andel_oberoende_av_klimat*VLOOKUP($A416,Leveranser_per_nät,'Leveranser per nät'!W$1,FALSE)
               +Andel_beroende_av_klimat*VLOOKUP($A416,Leveranser_per_nät,'Leveranser per nät'!W$1,FALSE)/VLOOKUP($B416,Korrigeringsfaktor_GD,'Korrigeringsfaktor GD'!W$1,FALSE),
"")</f>
        <v>134.50388461538461</v>
      </c>
      <c r="X416" s="18">
        <f>IFERROR(
                  Andel_oberoende_av_klimat*VLOOKUP($A416,Leveranser_per_nät,'Leveranser per nät'!X$1,FALSE)
               +Andel_beroende_av_klimat*VLOOKUP($A416,Leveranser_per_nät,'Leveranser per nät'!X$1,FALSE)/VLOOKUP($B416,Korrigeringsfaktor_GD,'Korrigeringsfaktor GD'!X$1,FALSE),
"")</f>
        <v>141.24752307692307</v>
      </c>
      <c r="Y416" s="18">
        <f>IFERROR(
                  Andel_oberoende_av_klimat*VLOOKUP($A416,Leveranser_per_nät,'Leveranser per nät'!Y$1,FALSE)
               +Andel_beroende_av_klimat*VLOOKUP($A416,Leveranser_per_nät,'Leveranser per nät'!Y$1,FALSE)/VLOOKUP($B416,Korrigeringsfaktor_GD,'Korrigeringsfaktor GD'!Y$1,FALSE),
"")</f>
        <v>145.53556666666665</v>
      </c>
      <c r="Z416" s="18">
        <f>IFERROR(
                  Andel_oberoende_av_klimat*VLOOKUP($A416,Leveranser_per_nät,'Leveranser per nät'!Z$1,FALSE)
               +Andel_beroende_av_klimat*VLOOKUP($A416,Leveranser_per_nät,'Leveranser per nät'!Z$1,FALSE)/VLOOKUP($B416,Korrigeringsfaktor_GD,'Korrigeringsfaktor GD'!Z$1,FALSE),
"")</f>
        <v>152.23531818181817</v>
      </c>
      <c r="AA416" s="18">
        <f>IFERROR(
                  Andel_oberoende_av_klimat*VLOOKUP($A416,Leveranser_per_nät,'Leveranser per nät'!AA$1,FALSE)
               +Andel_beroende_av_klimat*VLOOKUP($A416,Leveranser_per_nät,'Leveranser per nät'!AA$1,FALSE)/VLOOKUP($B416,Korrigeringsfaktor_GD,'Korrigeringsfaktor GD'!AA$1,FALSE),
"")</f>
        <v>150.59198319587628</v>
      </c>
      <c r="AB416" s="18">
        <f>IFERROR(
                  Andel_oberoende_av_klimat*VLOOKUP($A416,Leveranser_per_nät,'Leveranser per nät'!AB$1,FALSE)
               +Andel_beroende_av_klimat*VLOOKUP($A416,Leveranser_per_nät,'Leveranser per nät'!AB$1,FALSE)/VLOOKUP($B416,Korrigeringsfaktor_GD,'Korrigeringsfaktor GD'!AB$1,FALSE),
"")</f>
        <v>151.41990168150346</v>
      </c>
      <c r="AC416" s="18">
        <f>IFERROR(
                  Andel_oberoende_av_klimat*VLOOKUP($A416,Leveranser_per_nät,'Leveranser per nät'!AC$1,FALSE)
               +Andel_beroende_av_klimat*VLOOKUP($A416,Leveranser_per_nät,'Leveranser per nät'!AC$1,FALSE)/VLOOKUP($B416,Korrigeringsfaktor_GD,'Korrigeringsfaktor GD'!AC$1,FALSE),
"")</f>
        <v>150.61079629629631</v>
      </c>
      <c r="AD416" t="e">
        <v>#N/A</v>
      </c>
    </row>
    <row r="417" spans="1:30" x14ac:dyDescent="0.25">
      <c r="A417" t="s">
        <v>430</v>
      </c>
      <c r="B417" t="s">
        <v>430</v>
      </c>
      <c r="C417" s="18">
        <f>IFERROR(
                  Andel_oberoende_av_klimat*VLOOKUP($A417,Leveranser_per_nät,'Leveranser per nät'!C$1,FALSE)
               +Andel_beroende_av_klimat*VLOOKUP($A417,Leveranser_per_nät,'Leveranser per nät'!C$1,FALSE)/VLOOKUP("Mariestad",Korrigeringsfaktor_GD,'Korrigeringsfaktor GD'!C$1,FALSE),
"")</f>
        <v>0</v>
      </c>
      <c r="D417" s="18">
        <f>IFERROR(
                  Andel_oberoende_av_klimat*VLOOKUP($A417,Leveranser_per_nät,'Leveranser per nät'!D$1,FALSE)
               +Andel_beroende_av_klimat*VLOOKUP($A417,Leveranser_per_nät,'Leveranser per nät'!D$1,FALSE)/VLOOKUP("Mariestad",Korrigeringsfaktor_GD,'Korrigeringsfaktor GD'!D$1,FALSE),
"")</f>
        <v>0</v>
      </c>
      <c r="E417" s="18">
        <f>IFERROR(
                  Andel_oberoende_av_klimat*VLOOKUP($A417,Leveranser_per_nät,'Leveranser per nät'!E$1,FALSE)
               +Andel_beroende_av_klimat*VLOOKUP($A417,Leveranser_per_nät,'Leveranser per nät'!E$1,FALSE)/VLOOKUP("Mariestad",Korrigeringsfaktor_GD,'Korrigeringsfaktor GD'!E$1,FALSE),
"")</f>
        <v>0</v>
      </c>
      <c r="F417" s="18">
        <f>IFERROR(
                  Andel_oberoende_av_klimat*VLOOKUP($A417,Leveranser_per_nät,'Leveranser per nät'!F$1,FALSE)
               +Andel_beroende_av_klimat*VLOOKUP($A417,Leveranser_per_nät,'Leveranser per nät'!F$1,FALSE)/VLOOKUP("Mariestad",Korrigeringsfaktor_GD,'Korrigeringsfaktor GD'!F$1,FALSE),
"")</f>
        <v>0</v>
      </c>
      <c r="G417" s="18">
        <f>IFERROR(
                  Andel_oberoende_av_klimat*VLOOKUP($A417,Leveranser_per_nät,'Leveranser per nät'!G$1,FALSE)
               +Andel_beroende_av_klimat*VLOOKUP($A417,Leveranser_per_nät,'Leveranser per nät'!G$1,FALSE)/VLOOKUP("Mariestad",Korrigeringsfaktor_GD,'Korrigeringsfaktor GD'!G$1,FALSE),
"")</f>
        <v>0</v>
      </c>
      <c r="H417" s="18">
        <f>IFERROR(
                  Andel_oberoende_av_klimat*VLOOKUP($A417,Leveranser_per_nät,'Leveranser per nät'!H$1,FALSE)
               +Andel_beroende_av_klimat*VLOOKUP($A417,Leveranser_per_nät,'Leveranser per nät'!H$1,FALSE)/VLOOKUP("Mariestad",Korrigeringsfaktor_GD,'Korrigeringsfaktor GD'!H$1,FALSE),
"")</f>
        <v>0</v>
      </c>
      <c r="I417" s="18">
        <f>IFERROR(
                  Andel_oberoende_av_klimat*VLOOKUP($A417,Leveranser_per_nät,'Leveranser per nät'!I$1,FALSE)
               +Andel_beroende_av_klimat*VLOOKUP($A417,Leveranser_per_nät,'Leveranser per nät'!I$1,FALSE)/VLOOKUP("Mariestad",Korrigeringsfaktor_GD,'Korrigeringsfaktor GD'!I$1,FALSE),
"")</f>
        <v>0</v>
      </c>
      <c r="J417" s="18">
        <f>IFERROR(
                  Andel_oberoende_av_klimat*VLOOKUP($A417,Leveranser_per_nät,'Leveranser per nät'!J$1,FALSE)
               +Andel_beroende_av_klimat*VLOOKUP($A417,Leveranser_per_nät,'Leveranser per nät'!J$1,FALSE)/VLOOKUP("Mariestad",Korrigeringsfaktor_GD,'Korrigeringsfaktor GD'!J$1,FALSE),
"")</f>
        <v>0</v>
      </c>
      <c r="K417" s="18">
        <f>IFERROR(
                  Andel_oberoende_av_klimat*VLOOKUP($A417,Leveranser_per_nät,'Leveranser per nät'!K$1,FALSE)
               +Andel_beroende_av_klimat*VLOOKUP($A417,Leveranser_per_nät,'Leveranser per nät'!K$1,FALSE)/VLOOKUP("Mariestad",Korrigeringsfaktor_GD,'Korrigeringsfaktor GD'!K$1,FALSE),
"")</f>
        <v>0</v>
      </c>
      <c r="L417" s="18">
        <f>IFERROR(
                  Andel_oberoende_av_klimat*VLOOKUP($A417,Leveranser_per_nät,'Leveranser per nät'!L$1,FALSE)
               +Andel_beroende_av_klimat*VLOOKUP($A417,Leveranser_per_nät,'Leveranser per nät'!L$1,FALSE)/VLOOKUP("Mariestad",Korrigeringsfaktor_GD,'Korrigeringsfaktor GD'!L$1,FALSE),
"")</f>
        <v>0</v>
      </c>
      <c r="M417" s="18">
        <f>IFERROR(
                  Andel_oberoende_av_klimat*VLOOKUP($A417,Leveranser_per_nät,'Leveranser per nät'!M$1,FALSE)
               +Andel_beroende_av_klimat*VLOOKUP($A417,Leveranser_per_nät,'Leveranser per nät'!M$1,FALSE)/VLOOKUP("Mariestad",Korrigeringsfaktor_GD,'Korrigeringsfaktor GD'!M$1,FALSE),
"")</f>
        <v>0</v>
      </c>
      <c r="N417" s="18">
        <f>IFERROR(
                  Andel_oberoende_av_klimat*VLOOKUP($A417,Leveranser_per_nät,'Leveranser per nät'!N$1,FALSE)
               +Andel_beroende_av_klimat*VLOOKUP($A417,Leveranser_per_nät,'Leveranser per nät'!N$1,FALSE)/VLOOKUP("Mariestad",Korrigeringsfaktor_GD,'Korrigeringsfaktor GD'!N$1,FALSE),
"")</f>
        <v>0</v>
      </c>
      <c r="O417" s="18">
        <f>IFERROR(
                  Andel_oberoende_av_klimat*VLOOKUP($A417,Leveranser_per_nät,'Leveranser per nät'!O$1,FALSE)
               +Andel_beroende_av_klimat*VLOOKUP($A417,Leveranser_per_nät,'Leveranser per nät'!O$1,FALSE)/VLOOKUP("Mariestad",Korrigeringsfaktor_GD,'Korrigeringsfaktor GD'!O$1,FALSE),
"")</f>
        <v>0</v>
      </c>
      <c r="P417" s="18">
        <f>IFERROR(
                  Andel_oberoende_av_klimat*VLOOKUP($A417,Leveranser_per_nät,'Leveranser per nät'!P$1,FALSE)
               +Andel_beroende_av_klimat*VLOOKUP($A417,Leveranser_per_nät,'Leveranser per nät'!P$1,FALSE)/VLOOKUP("Mariestad",Korrigeringsfaktor_GD,'Korrigeringsfaktor GD'!P$1,FALSE),
"")</f>
        <v>0</v>
      </c>
      <c r="Q417" s="18">
        <f>IFERROR(
                  Andel_oberoende_av_klimat*VLOOKUP($A417,Leveranser_per_nät,'Leveranser per nät'!Q$1,FALSE)
               +Andel_beroende_av_klimat*VLOOKUP($A417,Leveranser_per_nät,'Leveranser per nät'!Q$1,FALSE)/VLOOKUP("Mariestad",Korrigeringsfaktor_GD,'Korrigeringsfaktor GD'!Q$1,FALSE),
"")</f>
        <v>21.111666666666665</v>
      </c>
      <c r="R417" s="18">
        <f>IFERROR(
                  Andel_oberoende_av_klimat*VLOOKUP($A417,Leveranser_per_nät,'Leveranser per nät'!R$1,FALSE)
               +Andel_beroende_av_klimat*VLOOKUP($A417,Leveranser_per_nät,'Leveranser per nät'!R$1,FALSE)/VLOOKUP("Mariestad",Korrigeringsfaktor_GD,'Korrigeringsfaktor GD'!R$1,FALSE),
"")</f>
        <v>21.979107692307693</v>
      </c>
      <c r="S417" s="18">
        <f>IFERROR(
                  Andel_oberoende_av_klimat*VLOOKUP($A417,Leveranser_per_nät,'Leveranser per nät'!S$1,FALSE)
               +Andel_beroende_av_klimat*VLOOKUP($A417,Leveranser_per_nät,'Leveranser per nät'!S$1,FALSE)/VLOOKUP("Mariestad",Korrigeringsfaktor_GD,'Korrigeringsfaktor GD'!S$1,FALSE),
"")</f>
        <v>29</v>
      </c>
      <c r="T417" s="18">
        <f>IFERROR(
                  Andel_oberoende_av_klimat*VLOOKUP($A417,Leveranser_per_nät,'Leveranser per nät'!T$1,FALSE)
               +Andel_beroende_av_klimat*VLOOKUP($A417,Leveranser_per_nät,'Leveranser per nät'!T$1,FALSE)/VLOOKUP("Mariestad",Korrigeringsfaktor_GD,'Korrigeringsfaktor GD'!T$1,FALSE),
"")</f>
        <v>23.804432989690724</v>
      </c>
      <c r="U417" s="18">
        <f>IFERROR(
                  Andel_oberoende_av_klimat*VLOOKUP($A417,Leveranser_per_nät,'Leveranser per nät'!U$1,FALSE)
               +Andel_beroende_av_klimat*VLOOKUP($A417,Leveranser_per_nät,'Leveranser per nät'!U$1,FALSE)/VLOOKUP("Mariestad",Korrigeringsfaktor_GD,'Korrigeringsfaktor GD'!U$1,FALSE),
"")</f>
        <v>22.50186046511628</v>
      </c>
      <c r="V417" s="18">
        <f>IFERROR(
                  Andel_oberoende_av_klimat*VLOOKUP($A417,Leveranser_per_nät,'Leveranser per nät'!V$1,FALSE)
               +Andel_beroende_av_klimat*VLOOKUP($A417,Leveranser_per_nät,'Leveranser per nät'!V$1,FALSE)/VLOOKUP("Mariestad",Korrigeringsfaktor_GD,'Korrigeringsfaktor GD'!V$1,FALSE),
"")</f>
        <v>24.012022471910115</v>
      </c>
      <c r="W417" s="18">
        <f>IFERROR(
                  Andel_oberoende_av_klimat*VLOOKUP($A417,Leveranser_per_nät,'Leveranser per nät'!W$1,FALSE)
               +Andel_beroende_av_klimat*VLOOKUP($A417,Leveranser_per_nät,'Leveranser per nät'!W$1,FALSE)/VLOOKUP("Mariestad",Korrigeringsfaktor_GD,'Korrigeringsfaktor GD'!W$1,FALSE),
"")</f>
        <v>26.743829787234041</v>
      </c>
      <c r="X417" s="18">
        <f>IFERROR(
                  Andel_oberoende_av_klimat*VLOOKUP($A417,Leveranser_per_nät,'Leveranser per nät'!X$1,FALSE)
               +Andel_beroende_av_klimat*VLOOKUP($A417,Leveranser_per_nät,'Leveranser per nät'!X$1,FALSE)/VLOOKUP("Mariestad",Korrigeringsfaktor_GD,'Korrigeringsfaktor GD'!X$1,FALSE),
"")</f>
        <v>26.88776129032258</v>
      </c>
      <c r="Y417" s="18">
        <f>IFERROR(
                  Andel_oberoende_av_klimat*VLOOKUP($A417,Leveranser_per_nät,'Leveranser per nät'!Y$1,FALSE)
               +Andel_beroende_av_klimat*VLOOKUP($A417,Leveranser_per_nät,'Leveranser per nät'!Y$1,FALSE)/VLOOKUP($B417,Korrigeringsfaktor_GD,'Korrigeringsfaktor GD'!Y$1,FALSE),
"")</f>
        <v>27.819246153846155</v>
      </c>
      <c r="Z417" s="18">
        <f>IFERROR(
                  Andel_oberoende_av_klimat*VLOOKUP($A417,Leveranser_per_nät,'Leveranser per nät'!Z$1,FALSE)
               +Andel_beroende_av_klimat*VLOOKUP($A417,Leveranser_per_nät,'Leveranser per nät'!Z$1,FALSE)/VLOOKUP($B417,Korrigeringsfaktor_GD,'Korrigeringsfaktor GD'!Z$1,FALSE),
"")</f>
        <v>26.048591304347823</v>
      </c>
      <c r="AA417" s="18">
        <f>IFERROR(
                  Andel_oberoende_av_klimat*VLOOKUP($A417,Leveranser_per_nät,'Leveranser per nät'!AA$1,FALSE)
               +Andel_beroende_av_klimat*VLOOKUP($A417,Leveranser_per_nät,'Leveranser per nät'!AA$1,FALSE)/VLOOKUP($B417,Korrigeringsfaktor_GD,'Korrigeringsfaktor GD'!AA$1,FALSE),
"")</f>
        <v>26.379286274509809</v>
      </c>
      <c r="AB417" s="18">
        <f>IFERROR(
                  Andel_oberoende_av_klimat*VLOOKUP($A417,Leveranser_per_nät,'Leveranser per nät'!AB$1,FALSE)
               +Andel_beroende_av_klimat*VLOOKUP($A417,Leveranser_per_nät,'Leveranser per nät'!AB$1,FALSE)/VLOOKUP($B417,Korrigeringsfaktor_GD,'Korrigeringsfaktor GD'!AB$1,FALSE),
"")</f>
        <v>26.839448275862068</v>
      </c>
      <c r="AC417" s="18">
        <f>IFERROR(
                  Andel_oberoende_av_klimat*VLOOKUP($A417,Leveranser_per_nät,'Leveranser per nät'!AC$1,FALSE)
               +Andel_beroende_av_klimat*VLOOKUP($A417,Leveranser_per_nät,'Leveranser per nät'!AC$1,FALSE)/VLOOKUP($B417,Korrigeringsfaktor_GD,'Korrigeringsfaktor GD'!AC$1,FALSE),
"")</f>
        <v>26.061340380549684</v>
      </c>
      <c r="AD417">
        <v>25.06</v>
      </c>
    </row>
    <row r="418" spans="1:30" x14ac:dyDescent="0.25">
      <c r="A418" t="s">
        <v>320</v>
      </c>
      <c r="B418" t="s">
        <v>320</v>
      </c>
      <c r="C418" s="18">
        <f>IFERROR(
                  Andel_oberoende_av_klimat*VLOOKUP($A418,Leveranser_per_nät,'Leveranser per nät'!C$1,FALSE)
               +Andel_beroende_av_klimat*VLOOKUP($A418,Leveranser_per_nät,'Leveranser per nät'!C$1,FALSE)/VLOOKUP($B418,Korrigeringsfaktor_GD,'Korrigeringsfaktor GD'!C$1,FALSE),
"")</f>
        <v>265.72654867256642</v>
      </c>
      <c r="D418" s="18">
        <f>IFERROR(
                  Andel_oberoende_av_klimat*VLOOKUP($A418,Leveranser_per_nät,'Leveranser per nät'!D$1,FALSE)
               +Andel_beroende_av_klimat*VLOOKUP($A418,Leveranser_per_nät,'Leveranser per nät'!D$1,FALSE)/VLOOKUP($B418,Korrigeringsfaktor_GD,'Korrigeringsfaktor GD'!D$1,FALSE),
"")</f>
        <v>266.28963636363642</v>
      </c>
      <c r="E418" s="18">
        <f>IFERROR(
                  Andel_oberoende_av_klimat*VLOOKUP($A418,Leveranser_per_nät,'Leveranser per nät'!E$1,FALSE)
               +Andel_beroende_av_klimat*VLOOKUP($A418,Leveranser_per_nät,'Leveranser per nät'!E$1,FALSE)/VLOOKUP($B418,Korrigeringsfaktor_GD,'Korrigeringsfaktor GD'!E$1,FALSE),
"")</f>
        <v>270.23921568627452</v>
      </c>
      <c r="F418" s="18">
        <f>IFERROR(
                  Andel_oberoende_av_klimat*VLOOKUP($A418,Leveranser_per_nät,'Leveranser per nät'!F$1,FALSE)
               +Andel_beroende_av_klimat*VLOOKUP($A418,Leveranser_per_nät,'Leveranser per nät'!F$1,FALSE)/VLOOKUP($B418,Korrigeringsfaktor_GD,'Korrigeringsfaktor GD'!F$1,FALSE),
"")</f>
        <v>271.70000000000005</v>
      </c>
      <c r="G418" s="18">
        <f>IFERROR(
                  Andel_oberoende_av_klimat*VLOOKUP($A418,Leveranser_per_nät,'Leveranser per nät'!G$1,FALSE)
               +Andel_beroende_av_klimat*VLOOKUP($A418,Leveranser_per_nät,'Leveranser per nät'!G$1,FALSE)/VLOOKUP($B418,Korrigeringsfaktor_GD,'Korrigeringsfaktor GD'!G$1,FALSE),
"")</f>
        <v>263.99885057471261</v>
      </c>
      <c r="H418" s="18">
        <f>IFERROR(
                  Andel_oberoende_av_klimat*VLOOKUP($A418,Leveranser_per_nät,'Leveranser per nät'!H$1,FALSE)
               +Andel_beroende_av_klimat*VLOOKUP($A418,Leveranser_per_nät,'Leveranser per nät'!H$1,FALSE)/VLOOKUP($B418,Korrigeringsfaktor_GD,'Korrigeringsfaktor GD'!H$1,FALSE),
"")</f>
        <v>276.15686274509807</v>
      </c>
      <c r="I418" s="18">
        <f>IFERROR(
                  Andel_oberoende_av_klimat*VLOOKUP($A418,Leveranser_per_nät,'Leveranser per nät'!I$1,FALSE)
               +Andel_beroende_av_klimat*VLOOKUP($A418,Leveranser_per_nät,'Leveranser per nät'!I$1,FALSE)/VLOOKUP($B418,Korrigeringsfaktor_GD,'Korrigeringsfaktor GD'!I$1,FALSE),
"")</f>
        <v>274.76315789473688</v>
      </c>
      <c r="J418" s="18">
        <f>IFERROR(
                  Andel_oberoende_av_klimat*VLOOKUP($A418,Leveranser_per_nät,'Leveranser per nät'!J$1,FALSE)
               +Andel_beroende_av_klimat*VLOOKUP($A418,Leveranser_per_nät,'Leveranser per nät'!J$1,FALSE)/VLOOKUP($B418,Korrigeringsfaktor_GD,'Korrigeringsfaktor GD'!J$1,FALSE),
"")</f>
        <v>273.29522857142859</v>
      </c>
      <c r="K418" s="18">
        <f>IFERROR(
                  Andel_oberoende_av_klimat*VLOOKUP($A418,Leveranser_per_nät,'Leveranser per nät'!K$1,FALSE)
               +Andel_beroende_av_klimat*VLOOKUP($A418,Leveranser_per_nät,'Leveranser per nät'!K$1,FALSE)/VLOOKUP($B418,Korrigeringsfaktor_GD,'Korrigeringsfaktor GD'!K$1,FALSE),
"")</f>
        <v>272.17341666666664</v>
      </c>
      <c r="L418" s="18">
        <f>IFERROR(
                  Andel_oberoende_av_klimat*VLOOKUP($A418,Leveranser_per_nät,'Leveranser per nät'!L$1,FALSE)
               +Andel_beroende_av_klimat*VLOOKUP($A418,Leveranser_per_nät,'Leveranser per nät'!L$1,FALSE)/VLOOKUP($B418,Korrigeringsfaktor_GD,'Korrigeringsfaktor GD'!L$1,FALSE),
"")</f>
        <v>270.79485744680858</v>
      </c>
      <c r="M418" s="18">
        <f>IFERROR(
                  Andel_oberoende_av_klimat*VLOOKUP($A418,Leveranser_per_nät,'Leveranser per nät'!M$1,FALSE)
               +Andel_beroende_av_klimat*VLOOKUP($A418,Leveranser_per_nät,'Leveranser per nät'!M$1,FALSE)/VLOOKUP($B418,Korrigeringsfaktor_GD,'Korrigeringsfaktor GD'!M$1,FALSE),
"")</f>
        <v>274.12869565217386</v>
      </c>
      <c r="N418" s="18">
        <f>IFERROR(
                  Andel_oberoende_av_klimat*VLOOKUP($A418,Leveranser_per_nät,'Leveranser per nät'!N$1,FALSE)
               +Andel_beroende_av_klimat*VLOOKUP($A418,Leveranser_per_nät,'Leveranser per nät'!N$1,FALSE)/VLOOKUP($B418,Korrigeringsfaktor_GD,'Korrigeringsfaktor GD'!N$1,FALSE),
"")</f>
        <v>271.73580000000004</v>
      </c>
      <c r="O418" s="18">
        <f>IFERROR(
                  Andel_oberoende_av_klimat*VLOOKUP($A418,Leveranser_per_nät,'Leveranser per nät'!O$1,FALSE)
               +Andel_beroende_av_klimat*VLOOKUP($A418,Leveranser_per_nät,'Leveranser per nät'!O$1,FALSE)/VLOOKUP($B418,Korrigeringsfaktor_GD,'Korrigeringsfaktor GD'!O$1,FALSE),
"")</f>
        <v>271.95516853932588</v>
      </c>
      <c r="P418" s="18">
        <f>IFERROR(
                  Andel_oberoende_av_klimat*VLOOKUP($A418,Leveranser_per_nät,'Leveranser per nät'!P$1,FALSE)
               +Andel_beroende_av_klimat*VLOOKUP($A418,Leveranser_per_nät,'Leveranser per nät'!P$1,FALSE)/VLOOKUP($B418,Korrigeringsfaktor_GD,'Korrigeringsfaktor GD'!P$1,FALSE),
"")</f>
        <v>273.51837142857147</v>
      </c>
      <c r="Q418" s="18">
        <f>IFERROR(
                  Andel_oberoende_av_klimat*VLOOKUP($A418,Leveranser_per_nät,'Leveranser per nät'!Q$1,FALSE)
               +Andel_beroende_av_klimat*VLOOKUP($A418,Leveranser_per_nät,'Leveranser per nät'!Q$1,FALSE)/VLOOKUP($B418,Korrigeringsfaktor_GD,'Korrigeringsfaktor GD'!Q$1,FALSE),
"")</f>
        <v>283.69702352941181</v>
      </c>
      <c r="R418" s="18">
        <f>IFERROR(
                  Andel_oberoende_av_klimat*VLOOKUP($A418,Leveranser_per_nät,'Leveranser per nät'!R$1,FALSE)
               +Andel_beroende_av_klimat*VLOOKUP($A418,Leveranser_per_nät,'Leveranser per nät'!R$1,FALSE)/VLOOKUP($B418,Korrigeringsfaktor_GD,'Korrigeringsfaktor GD'!R$1,FALSE),
"")</f>
        <v>276.93076923076922</v>
      </c>
      <c r="S418" s="18">
        <f>IFERROR(
                  Andel_oberoende_av_klimat*VLOOKUP($A418,Leveranser_per_nät,'Leveranser per nät'!S$1,FALSE)
               +Andel_beroende_av_klimat*VLOOKUP($A418,Leveranser_per_nät,'Leveranser per nät'!S$1,FALSE)/VLOOKUP($B418,Korrigeringsfaktor_GD,'Korrigeringsfaktor GD'!S$1,FALSE),
"")</f>
        <v>280</v>
      </c>
      <c r="T418" s="18">
        <f>IFERROR(
                  Andel_oberoende_av_klimat*VLOOKUP($A418,Leveranser_per_nät,'Leveranser per nät'!T$1,FALSE)
               +Andel_beroende_av_klimat*VLOOKUP($A418,Leveranser_per_nät,'Leveranser per nät'!T$1,FALSE)/VLOOKUP($B418,Korrigeringsfaktor_GD,'Korrigeringsfaktor GD'!T$1,FALSE),
"")</f>
        <v>268.88714285714286</v>
      </c>
      <c r="U418" s="18">
        <f>IFERROR(
                  Andel_oberoende_av_klimat*VLOOKUP($A418,Leveranser_per_nät,'Leveranser per nät'!U$1,FALSE)
               +Andel_beroende_av_klimat*VLOOKUP($A418,Leveranser_per_nät,'Leveranser per nät'!U$1,FALSE)/VLOOKUP($B418,Korrigeringsfaktor_GD,'Korrigeringsfaktor GD'!U$1,FALSE),
"")</f>
        <v>257.28823529411761</v>
      </c>
      <c r="V418" s="18">
        <f>IFERROR(
                  Andel_oberoende_av_klimat*VLOOKUP($A418,Leveranser_per_nät,'Leveranser per nät'!V$1,FALSE)
               +Andel_beroende_av_klimat*VLOOKUP($A418,Leveranser_per_nät,'Leveranser per nät'!V$1,FALSE)/VLOOKUP($B418,Korrigeringsfaktor_GD,'Korrigeringsfaktor GD'!V$1,FALSE),
"")</f>
        <v>273.80224719101119</v>
      </c>
      <c r="W418" s="18">
        <f>IFERROR(
                  Andel_oberoende_av_klimat*VLOOKUP($A418,Leveranser_per_nät,'Leveranser per nät'!W$1,FALSE)
               +Andel_beroende_av_klimat*VLOOKUP($A418,Leveranser_per_nät,'Leveranser per nät'!W$1,FALSE)/VLOOKUP($B418,Korrigeringsfaktor_GD,'Korrigeringsfaktor GD'!W$1,FALSE),
"")</f>
        <v>298.2268947368421</v>
      </c>
      <c r="X418" s="18">
        <f>IFERROR(
                  Andel_oberoende_av_klimat*VLOOKUP($A418,Leveranser_per_nät,'Leveranser per nät'!X$1,FALSE)
               +Andel_beroende_av_klimat*VLOOKUP($A418,Leveranser_per_nät,'Leveranser per nät'!X$1,FALSE)/VLOOKUP($B418,Korrigeringsfaktor_GD,'Korrigeringsfaktor GD'!X$1,FALSE),
"")</f>
        <v>299.36374468085108</v>
      </c>
      <c r="Y418" s="18">
        <f>IFERROR(
                  Andel_oberoende_av_klimat*VLOOKUP($A418,Leveranser_per_nät,'Leveranser per nät'!Y$1,FALSE)
               +Andel_beroende_av_klimat*VLOOKUP($A418,Leveranser_per_nät,'Leveranser per nät'!Y$1,FALSE)/VLOOKUP($B418,Korrigeringsfaktor_GD,'Korrigeringsfaktor GD'!Y$1,FALSE),
"")</f>
        <v>317.91182795698921</v>
      </c>
      <c r="Z418" s="18">
        <f>IFERROR(
                  Andel_oberoende_av_klimat*VLOOKUP($A418,Leveranser_per_nät,'Leveranser per nät'!Z$1,FALSE)
               +Andel_beroende_av_klimat*VLOOKUP($A418,Leveranser_per_nät,'Leveranser per nät'!Z$1,FALSE)/VLOOKUP($B418,Korrigeringsfaktor_GD,'Korrigeringsfaktor GD'!Z$1,FALSE),
"")</f>
        <v>327.64444444444445</v>
      </c>
      <c r="AA418" s="18">
        <f>IFERROR(
                  Andel_oberoende_av_klimat*VLOOKUP($A418,Leveranser_per_nät,'Leveranser per nät'!AA$1,FALSE)
               +Andel_beroende_av_klimat*VLOOKUP($A418,Leveranser_per_nät,'Leveranser per nät'!AA$1,FALSE)/VLOOKUP($B418,Korrigeringsfaktor_GD,'Korrigeringsfaktor GD'!AA$1,FALSE),
"")</f>
        <v>314.46749320652168</v>
      </c>
      <c r="AB418" s="18">
        <f>IFERROR(
                  Andel_oberoende_av_klimat*VLOOKUP($A418,Leveranser_per_nät,'Leveranser per nät'!AB$1,FALSE)
               +Andel_beroende_av_klimat*VLOOKUP($A418,Leveranser_per_nät,'Leveranser per nät'!AB$1,FALSE)/VLOOKUP($B418,Korrigeringsfaktor_GD,'Korrigeringsfaktor GD'!AB$1,FALSE),
"")</f>
        <v>327.45224390243902</v>
      </c>
      <c r="AC418" s="18">
        <f>IFERROR(
                  Andel_oberoende_av_klimat*VLOOKUP($A418,Leveranser_per_nät,'Leveranser per nät'!AC$1,FALSE)
               +Andel_beroende_av_klimat*VLOOKUP($A418,Leveranser_per_nät,'Leveranser per nät'!AC$1,FALSE)/VLOOKUP($B418,Korrigeringsfaktor_GD,'Korrigeringsfaktor GD'!AC$1,FALSE),
"")</f>
        <v>319.82127272727274</v>
      </c>
      <c r="AD418">
        <v>304.98</v>
      </c>
    </row>
    <row r="419" spans="1:30" x14ac:dyDescent="0.25">
      <c r="A419" t="s">
        <v>383</v>
      </c>
      <c r="B419" t="s">
        <v>513</v>
      </c>
      <c r="C419" s="18">
        <f>IFERROR(
                  Andel_oberoende_av_klimat*VLOOKUP($A419,Leveranser_per_nät,'Leveranser per nät'!C$1,FALSE)
               +Andel_beroende_av_klimat*VLOOKUP($A419,Leveranser_per_nät,'Leveranser per nät'!C$1,FALSE)/VLOOKUP($B419,Korrigeringsfaktor_GD,'Korrigeringsfaktor GD'!C$1,FALSE),
"")</f>
        <v>0</v>
      </c>
      <c r="D419" s="18">
        <f>IFERROR(
                  Andel_oberoende_av_klimat*VLOOKUP($A419,Leveranser_per_nät,'Leveranser per nät'!D$1,FALSE)
               +Andel_beroende_av_klimat*VLOOKUP($A419,Leveranser_per_nät,'Leveranser per nät'!D$1,FALSE)/VLOOKUP($B419,Korrigeringsfaktor_GD,'Korrigeringsfaktor GD'!D$1,FALSE),
"")</f>
        <v>0</v>
      </c>
      <c r="E419" s="18">
        <f>IFERROR(
                  Andel_oberoende_av_klimat*VLOOKUP($A419,Leveranser_per_nät,'Leveranser per nät'!E$1,FALSE)
               +Andel_beroende_av_klimat*VLOOKUP($A419,Leveranser_per_nät,'Leveranser per nät'!E$1,FALSE)/VLOOKUP($B419,Korrigeringsfaktor_GD,'Korrigeringsfaktor GD'!E$1,FALSE),
"")</f>
        <v>0</v>
      </c>
      <c r="F419" s="18">
        <f>IFERROR(
                  Andel_oberoende_av_klimat*VLOOKUP($A419,Leveranser_per_nät,'Leveranser per nät'!F$1,FALSE)
               +Andel_beroende_av_klimat*VLOOKUP($A419,Leveranser_per_nät,'Leveranser per nät'!F$1,FALSE)/VLOOKUP($B419,Korrigeringsfaktor_GD,'Korrigeringsfaktor GD'!F$1,FALSE),
"")</f>
        <v>0</v>
      </c>
      <c r="G419" s="18">
        <f>IFERROR(
                  Andel_oberoende_av_klimat*VLOOKUP($A419,Leveranser_per_nät,'Leveranser per nät'!G$1,FALSE)
               +Andel_beroende_av_klimat*VLOOKUP($A419,Leveranser_per_nät,'Leveranser per nät'!G$1,FALSE)/VLOOKUP($B419,Korrigeringsfaktor_GD,'Korrigeringsfaktor GD'!G$1,FALSE),
"")</f>
        <v>0</v>
      </c>
      <c r="H419" s="18">
        <f>IFERROR(
                  Andel_oberoende_av_klimat*VLOOKUP($A419,Leveranser_per_nät,'Leveranser per nät'!H$1,FALSE)
               +Andel_beroende_av_klimat*VLOOKUP($A419,Leveranser_per_nät,'Leveranser per nät'!H$1,FALSE)/VLOOKUP($B419,Korrigeringsfaktor_GD,'Korrigeringsfaktor GD'!H$1,FALSE),
"")</f>
        <v>0</v>
      </c>
      <c r="I419" s="18">
        <f>IFERROR(
                  Andel_oberoende_av_klimat*VLOOKUP($A419,Leveranser_per_nät,'Leveranser per nät'!I$1,FALSE)
               +Andel_beroende_av_klimat*VLOOKUP($A419,Leveranser_per_nät,'Leveranser per nät'!I$1,FALSE)/VLOOKUP($B419,Korrigeringsfaktor_GD,'Korrigeringsfaktor GD'!I$1,FALSE),
"")</f>
        <v>0</v>
      </c>
      <c r="J419" s="18">
        <f>IFERROR(
                  Andel_oberoende_av_klimat*VLOOKUP($A419,Leveranser_per_nät,'Leveranser per nät'!J$1,FALSE)
               +Andel_beroende_av_klimat*VLOOKUP($A419,Leveranser_per_nät,'Leveranser per nät'!J$1,FALSE)/VLOOKUP($B419,Korrigeringsfaktor_GD,'Korrigeringsfaktor GD'!J$1,FALSE),
"")</f>
        <v>0</v>
      </c>
      <c r="K419" s="18">
        <f>IFERROR(
                  Andel_oberoende_av_klimat*VLOOKUP($A419,Leveranser_per_nät,'Leveranser per nät'!K$1,FALSE)
               +Andel_beroende_av_klimat*VLOOKUP($A419,Leveranser_per_nät,'Leveranser per nät'!K$1,FALSE)/VLOOKUP($B419,Korrigeringsfaktor_GD,'Korrigeringsfaktor GD'!K$1,FALSE),
"")</f>
        <v>0</v>
      </c>
      <c r="L419" s="18">
        <f>IFERROR(
                  Andel_oberoende_av_klimat*VLOOKUP($A419,Leveranser_per_nät,'Leveranser per nät'!L$1,FALSE)
               +Andel_beroende_av_klimat*VLOOKUP($A419,Leveranser_per_nät,'Leveranser per nät'!L$1,FALSE)/VLOOKUP($B419,Korrigeringsfaktor_GD,'Korrigeringsfaktor GD'!L$1,FALSE),
"")</f>
        <v>0</v>
      </c>
      <c r="M419" s="18">
        <f>IFERROR(
                  Andel_oberoende_av_klimat*VLOOKUP($A419,Leveranser_per_nät,'Leveranser per nät'!M$1,FALSE)
               +Andel_beroende_av_klimat*VLOOKUP($A419,Leveranser_per_nät,'Leveranser per nät'!M$1,FALSE)/VLOOKUP($B419,Korrigeringsfaktor_GD,'Korrigeringsfaktor GD'!M$1,FALSE),
"")</f>
        <v>0</v>
      </c>
      <c r="N419" s="18">
        <f>IFERROR(
                  Andel_oberoende_av_klimat*VLOOKUP($A419,Leveranser_per_nät,'Leveranser per nät'!N$1,FALSE)
               +Andel_beroende_av_klimat*VLOOKUP($A419,Leveranser_per_nät,'Leveranser per nät'!N$1,FALSE)/VLOOKUP($B419,Korrigeringsfaktor_GD,'Korrigeringsfaktor GD'!N$1,FALSE),
"")</f>
        <v>1.6819280898876405</v>
      </c>
      <c r="O419" s="18">
        <f>IFERROR(
                  Andel_oberoende_av_klimat*VLOOKUP($A419,Leveranser_per_nät,'Leveranser per nät'!O$1,FALSE)
               +Andel_beroende_av_klimat*VLOOKUP($A419,Leveranser_per_nät,'Leveranser per nät'!O$1,FALSE)/VLOOKUP($B419,Korrigeringsfaktor_GD,'Korrigeringsfaktor GD'!O$1,FALSE),
"")</f>
        <v>2.0861123595505617</v>
      </c>
      <c r="P419" s="18">
        <f>IFERROR(
                  Andel_oberoende_av_klimat*VLOOKUP($A419,Leveranser_per_nät,'Leveranser per nät'!P$1,FALSE)
               +Andel_beroende_av_klimat*VLOOKUP($A419,Leveranser_per_nät,'Leveranser per nät'!P$1,FALSE)/VLOOKUP($B419,Korrigeringsfaktor_GD,'Korrigeringsfaktor GD'!P$1,FALSE),
"")</f>
        <v>2.0425789473684213</v>
      </c>
      <c r="Q419" s="18">
        <f>IFERROR(
                  Andel_oberoende_av_klimat*VLOOKUP($A419,Leveranser_per_nät,'Leveranser per nät'!Q$1,FALSE)
               +Andel_beroende_av_klimat*VLOOKUP($A419,Leveranser_per_nät,'Leveranser per nät'!Q$1,FALSE)/VLOOKUP($B419,Korrigeringsfaktor_GD,'Korrigeringsfaktor GD'!Q$1,FALSE),
"")</f>
        <v>2.4144043478260873</v>
      </c>
      <c r="R419" s="18">
        <f>IFERROR(
                  Andel_oberoende_av_klimat*VLOOKUP($A419,Leveranser_per_nät,'Leveranser per nät'!R$1,FALSE)
               +Andel_beroende_av_klimat*VLOOKUP($A419,Leveranser_per_nät,'Leveranser per nät'!R$1,FALSE)/VLOOKUP($B419,Korrigeringsfaktor_GD,'Korrigeringsfaktor GD'!R$1,FALSE),
"")</f>
        <v>2.3694153846153849</v>
      </c>
      <c r="S419" s="18">
        <f>IFERROR(
                  Andel_oberoende_av_klimat*VLOOKUP($A419,Leveranser_per_nät,'Leveranser per nät'!S$1,FALSE)
               +Andel_beroende_av_klimat*VLOOKUP($A419,Leveranser_per_nät,'Leveranser per nät'!S$1,FALSE)/VLOOKUP($B419,Korrigeringsfaktor_GD,'Korrigeringsfaktor GD'!S$1,FALSE),
"")</f>
        <v>2.3510679611650485</v>
      </c>
      <c r="T419" s="18">
        <f>IFERROR(
                  Andel_oberoende_av_klimat*VLOOKUP($A419,Leveranser_per_nät,'Leveranser per nät'!T$1,FALSE)
               +Andel_beroende_av_klimat*VLOOKUP($A419,Leveranser_per_nät,'Leveranser per nät'!T$1,FALSE)/VLOOKUP($B419,Korrigeringsfaktor_GD,'Korrigeringsfaktor GD'!T$1,FALSE),
"")</f>
        <v>2.2789999999999999</v>
      </c>
      <c r="U419" s="18">
        <f>IFERROR(
                  Andel_oberoende_av_klimat*VLOOKUP($A419,Leveranser_per_nät,'Leveranser per nät'!U$1,FALSE)
               +Andel_beroende_av_klimat*VLOOKUP($A419,Leveranser_per_nät,'Leveranser per nät'!U$1,FALSE)/VLOOKUP($B419,Korrigeringsfaktor_GD,'Korrigeringsfaktor GD'!U$1,FALSE),
"")</f>
        <v>2.1268411764705881</v>
      </c>
      <c r="V419" s="18">
        <f>IFERROR(
                  Andel_oberoende_av_klimat*VLOOKUP($A419,Leveranser_per_nät,'Leveranser per nät'!V$1,FALSE)
               +Andel_beroende_av_klimat*VLOOKUP($A419,Leveranser_per_nät,'Leveranser per nät'!V$1,FALSE)/VLOOKUP($B419,Korrigeringsfaktor_GD,'Korrigeringsfaktor GD'!V$1,FALSE),
"")</f>
        <v>2.2967076923076926</v>
      </c>
      <c r="W419" s="18">
        <f>IFERROR(
                  Andel_oberoende_av_klimat*VLOOKUP($A419,Leveranser_per_nät,'Leveranser per nät'!W$1,FALSE)
               +Andel_beroende_av_klimat*VLOOKUP($A419,Leveranser_per_nät,'Leveranser per nät'!W$1,FALSE)/VLOOKUP($B419,Korrigeringsfaktor_GD,'Korrigeringsfaktor GD'!W$1,FALSE),
"")</f>
        <v>2.5834957446808513</v>
      </c>
      <c r="X419" s="18">
        <f>IFERROR(
                  Andel_oberoende_av_klimat*VLOOKUP($A419,Leveranser_per_nät,'Leveranser per nät'!X$1,FALSE)
               +Andel_beroende_av_klimat*VLOOKUP($A419,Leveranser_per_nät,'Leveranser per nät'!X$1,FALSE)/VLOOKUP($B419,Korrigeringsfaktor_GD,'Korrigeringsfaktor GD'!X$1,FALSE),
"")</f>
        <v>2.7521999999999998</v>
      </c>
      <c r="Y419" s="18">
        <f>IFERROR(
                  Andel_oberoende_av_klimat*VLOOKUP($A419,Leveranser_per_nät,'Leveranser per nät'!Y$1,FALSE)
               +Andel_beroende_av_klimat*VLOOKUP($A419,Leveranser_per_nät,'Leveranser per nät'!Y$1,FALSE)/VLOOKUP($B419,Korrigeringsfaktor_GD,'Korrigeringsfaktor GD'!Y$1,FALSE),
"")</f>
        <v>2.7013909090909092</v>
      </c>
      <c r="Z419" s="18">
        <f>IFERROR(
                  Andel_oberoende_av_klimat*VLOOKUP($A419,Leveranser_per_nät,'Leveranser per nät'!Z$1,FALSE)
               +Andel_beroende_av_klimat*VLOOKUP($A419,Leveranser_per_nät,'Leveranser per nät'!Z$1,FALSE)/VLOOKUP($B419,Korrigeringsfaktor_GD,'Korrigeringsfaktor GD'!Z$1,FALSE),
"")</f>
        <v>2.4633391304347825</v>
      </c>
      <c r="AA419" s="18">
        <f>IFERROR(
                  Andel_oberoende_av_klimat*VLOOKUP($A419,Leveranser_per_nät,'Leveranser per nät'!AA$1,FALSE)
               +Andel_beroende_av_klimat*VLOOKUP($A419,Leveranser_per_nät,'Leveranser per nät'!AA$1,FALSE)/VLOOKUP($B419,Korrigeringsfaktor_GD,'Korrigeringsfaktor GD'!AA$1,FALSE),
"")</f>
        <v>2.6549410071942443</v>
      </c>
      <c r="AB419" s="18">
        <f>IFERROR(
                  Andel_oberoende_av_klimat*VLOOKUP($A419,Leveranser_per_nät,'Leveranser per nät'!AB$1,FALSE)
               +Andel_beroende_av_klimat*VLOOKUP($A419,Leveranser_per_nät,'Leveranser per nät'!AB$1,FALSE)/VLOOKUP($B419,Korrigeringsfaktor_GD,'Korrigeringsfaktor GD'!AB$1,FALSE),
"")</f>
        <v>2.639270588235294</v>
      </c>
      <c r="AC419" s="18">
        <f>IFERROR(
                  Andel_oberoende_av_klimat*VLOOKUP($A419,Leveranser_per_nät,'Leveranser per nät'!AC$1,FALSE)
               +Andel_beroende_av_klimat*VLOOKUP($A419,Leveranser_per_nät,'Leveranser per nät'!AC$1,FALSE)/VLOOKUP($B419,Korrigeringsfaktor_GD,'Korrigeringsfaktor GD'!AC$1,FALSE),
"")</f>
        <v>2.5777435897435899</v>
      </c>
      <c r="AD419" t="e">
        <v>#N/A</v>
      </c>
    </row>
    <row r="420" spans="1:30" x14ac:dyDescent="0.25">
      <c r="A420" t="s">
        <v>321</v>
      </c>
      <c r="B420" t="s">
        <v>321</v>
      </c>
      <c r="C420" s="18">
        <f>IFERROR(
                  Andel_oberoende_av_klimat*VLOOKUP($A420,Leveranser_per_nät,'Leveranser per nät'!C$1,FALSE)
               +Andel_beroende_av_klimat*VLOOKUP($A420,Leveranser_per_nät,'Leveranser per nät'!C$1,FALSE)/VLOOKUP($B420,Korrigeringsfaktor_GD,'Korrigeringsfaktor GD'!C$1,FALSE),
"")</f>
        <v>0</v>
      </c>
      <c r="D420" s="18">
        <f>IFERROR(
                  Andel_oberoende_av_klimat*VLOOKUP($A420,Leveranser_per_nät,'Leveranser per nät'!D$1,FALSE)
               +Andel_beroende_av_klimat*VLOOKUP($A420,Leveranser_per_nät,'Leveranser per nät'!D$1,FALSE)/VLOOKUP($B420,Korrigeringsfaktor_GD,'Korrigeringsfaktor GD'!D$1,FALSE),
"")</f>
        <v>0</v>
      </c>
      <c r="E420" s="18">
        <f>IFERROR(
                  Andel_oberoende_av_klimat*VLOOKUP($A420,Leveranser_per_nät,'Leveranser per nät'!E$1,FALSE)
               +Andel_beroende_av_klimat*VLOOKUP($A420,Leveranser_per_nät,'Leveranser per nät'!E$1,FALSE)/VLOOKUP($B420,Korrigeringsfaktor_GD,'Korrigeringsfaktor GD'!E$1,FALSE),
"")</f>
        <v>0</v>
      </c>
      <c r="F420" s="18">
        <f>IFERROR(
                  Andel_oberoende_av_klimat*VLOOKUP($A420,Leveranser_per_nät,'Leveranser per nät'!F$1,FALSE)
               +Andel_beroende_av_klimat*VLOOKUP($A420,Leveranser_per_nät,'Leveranser per nät'!F$1,FALSE)/VLOOKUP($B420,Korrigeringsfaktor_GD,'Korrigeringsfaktor GD'!F$1,FALSE),
"")</f>
        <v>0</v>
      </c>
      <c r="G420" s="18">
        <f>IFERROR(
                  Andel_oberoende_av_klimat*VLOOKUP($A420,Leveranser_per_nät,'Leveranser per nät'!G$1,FALSE)
               +Andel_beroende_av_klimat*VLOOKUP($A420,Leveranser_per_nät,'Leveranser per nät'!G$1,FALSE)/VLOOKUP($B420,Korrigeringsfaktor_GD,'Korrigeringsfaktor GD'!G$1,FALSE),
"")</f>
        <v>0</v>
      </c>
      <c r="H420" s="18">
        <f>IFERROR(
                  Andel_oberoende_av_klimat*VLOOKUP($A420,Leveranser_per_nät,'Leveranser per nät'!H$1,FALSE)
               +Andel_beroende_av_klimat*VLOOKUP($A420,Leveranser_per_nät,'Leveranser per nät'!H$1,FALSE)/VLOOKUP($B420,Korrigeringsfaktor_GD,'Korrigeringsfaktor GD'!H$1,FALSE),
"")</f>
        <v>12</v>
      </c>
      <c r="I420" s="18">
        <f>IFERROR(
                  Andel_oberoende_av_klimat*VLOOKUP($A420,Leveranser_per_nät,'Leveranser per nät'!I$1,FALSE)
               +Andel_beroende_av_klimat*VLOOKUP($A420,Leveranser_per_nät,'Leveranser per nät'!I$1,FALSE)/VLOOKUP($B420,Korrigeringsfaktor_GD,'Korrigeringsfaktor GD'!I$1,FALSE),
"")</f>
        <v>14.625531914893617</v>
      </c>
      <c r="J420" s="18">
        <f>IFERROR(
                  Andel_oberoende_av_klimat*VLOOKUP($A420,Leveranser_per_nät,'Leveranser per nät'!J$1,FALSE)
               +Andel_beroende_av_klimat*VLOOKUP($A420,Leveranser_per_nät,'Leveranser per nät'!J$1,FALSE)/VLOOKUP($B420,Korrigeringsfaktor_GD,'Korrigeringsfaktor GD'!J$1,FALSE),
"")</f>
        <v>24.041614285714285</v>
      </c>
      <c r="K420" s="18">
        <f>IFERROR(
                  Andel_oberoende_av_klimat*VLOOKUP($A420,Leveranser_per_nät,'Leveranser per nät'!K$1,FALSE)
               +Andel_beroende_av_klimat*VLOOKUP($A420,Leveranser_per_nät,'Leveranser per nät'!K$1,FALSE)/VLOOKUP($B420,Korrigeringsfaktor_GD,'Korrigeringsfaktor GD'!K$1,FALSE),
"")</f>
        <v>28.197979797979798</v>
      </c>
      <c r="L420" s="18">
        <f>IFERROR(
                  Andel_oberoende_av_klimat*VLOOKUP($A420,Leveranser_per_nät,'Leveranser per nät'!L$1,FALSE)
               +Andel_beroende_av_klimat*VLOOKUP($A420,Leveranser_per_nät,'Leveranser per nät'!L$1,FALSE)/VLOOKUP($B420,Korrigeringsfaktor_GD,'Korrigeringsfaktor GD'!L$1,FALSE),
"")</f>
        <v>35.039008333333335</v>
      </c>
      <c r="M420" s="18">
        <f>IFERROR(
                  Andel_oberoende_av_klimat*VLOOKUP($A420,Leveranser_per_nät,'Leveranser per nät'!M$1,FALSE)
               +Andel_beroende_av_klimat*VLOOKUP($A420,Leveranser_per_nät,'Leveranser per nät'!M$1,FALSE)/VLOOKUP($B420,Korrigeringsfaktor_GD,'Korrigeringsfaktor GD'!M$1,FALSE),
"")</f>
        <v>39.460016129032255</v>
      </c>
      <c r="N420" s="18">
        <f>IFERROR(
                  Andel_oberoende_av_klimat*VLOOKUP($A420,Leveranser_per_nät,'Leveranser per nät'!N$1,FALSE)
               +Andel_beroende_av_klimat*VLOOKUP($A420,Leveranser_per_nät,'Leveranser per nät'!N$1,FALSE)/VLOOKUP($B420,Korrigeringsfaktor_GD,'Korrigeringsfaktor GD'!N$1,FALSE),
"")</f>
        <v>45.14506153846154</v>
      </c>
      <c r="O420" s="18">
        <f>IFERROR(
                  Andel_oberoende_av_klimat*VLOOKUP($A420,Leveranser_per_nät,'Leveranser per nät'!O$1,FALSE)
               +Andel_beroende_av_klimat*VLOOKUP($A420,Leveranser_per_nät,'Leveranser per nät'!O$1,FALSE)/VLOOKUP($B420,Korrigeringsfaktor_GD,'Korrigeringsfaktor GD'!O$1,FALSE),
"")</f>
        <v>47.171099999999996</v>
      </c>
      <c r="P420" s="18">
        <f>IFERROR(
                  Andel_oberoende_av_klimat*VLOOKUP($A420,Leveranser_per_nät,'Leveranser per nät'!P$1,FALSE)
               +Andel_beroende_av_klimat*VLOOKUP($A420,Leveranser_per_nät,'Leveranser per nät'!P$1,FALSE)/VLOOKUP($B420,Korrigeringsfaktor_GD,'Korrigeringsfaktor GD'!P$1,FALSE),
"")</f>
        <v>47.583324742268047</v>
      </c>
      <c r="Q420" s="18">
        <f>IFERROR(
                  Andel_oberoende_av_klimat*VLOOKUP($A420,Leveranser_per_nät,'Leveranser per nät'!Q$1,FALSE)
               +Andel_beroende_av_klimat*VLOOKUP($A420,Leveranser_per_nät,'Leveranser per nät'!Q$1,FALSE)/VLOOKUP($B420,Korrigeringsfaktor_GD,'Korrigeringsfaktor GD'!Q$1,FALSE),
"")</f>
        <v>49.923739130434782</v>
      </c>
      <c r="R420" s="18">
        <f>IFERROR(
                  Andel_oberoende_av_klimat*VLOOKUP($A420,Leveranser_per_nät,'Leveranser per nät'!R$1,FALSE)
               +Andel_beroende_av_klimat*VLOOKUP($A420,Leveranser_per_nät,'Leveranser per nät'!R$1,FALSE)/VLOOKUP($B420,Korrigeringsfaktor_GD,'Korrigeringsfaktor GD'!R$1,FALSE),
"")</f>
        <v>49.21562307692308</v>
      </c>
      <c r="S420" s="18">
        <f>IFERROR(
                  Andel_oberoende_av_klimat*VLOOKUP($A420,Leveranser_per_nät,'Leveranser per nät'!S$1,FALSE)
               +Andel_beroende_av_klimat*VLOOKUP($A420,Leveranser_per_nät,'Leveranser per nät'!S$1,FALSE)/VLOOKUP($B420,Korrigeringsfaktor_GD,'Korrigeringsfaktor GD'!S$1,FALSE),
"")</f>
        <v>48.327450980392157</v>
      </c>
      <c r="T420" s="18">
        <f>IFERROR(
                  Andel_oberoende_av_klimat*VLOOKUP($A420,Leveranser_per_nät,'Leveranser per nät'!T$1,FALSE)
               +Andel_beroende_av_klimat*VLOOKUP($A420,Leveranser_per_nät,'Leveranser per nät'!T$1,FALSE)/VLOOKUP($B420,Korrigeringsfaktor_GD,'Korrigeringsfaktor GD'!T$1,FALSE),
"")</f>
        <v>48.703971428571428</v>
      </c>
      <c r="U420" s="18">
        <f>IFERROR(
                  Andel_oberoende_av_klimat*VLOOKUP($A420,Leveranser_per_nät,'Leveranser per nät'!U$1,FALSE)
               +Andel_beroende_av_klimat*VLOOKUP($A420,Leveranser_per_nät,'Leveranser per nät'!U$1,FALSE)/VLOOKUP($B420,Korrigeringsfaktor_GD,'Korrigeringsfaktor GD'!U$1,FALSE),
"")</f>
        <v>47.674723529411764</v>
      </c>
      <c r="V420" s="18">
        <f>IFERROR(
                  Andel_oberoende_av_klimat*VLOOKUP($A420,Leveranser_per_nät,'Leveranser per nät'!V$1,FALSE)
               +Andel_beroende_av_klimat*VLOOKUP($A420,Leveranser_per_nät,'Leveranser per nät'!V$1,FALSE)/VLOOKUP($B420,Korrigeringsfaktor_GD,'Korrigeringsfaktor GD'!V$1,FALSE),
"")</f>
        <v>50.714684615384613</v>
      </c>
      <c r="W420" s="18">
        <f>IFERROR(
                  Andel_oberoende_av_klimat*VLOOKUP($A420,Leveranser_per_nät,'Leveranser per nät'!W$1,FALSE)
               +Andel_beroende_av_klimat*VLOOKUP($A420,Leveranser_per_nät,'Leveranser per nät'!W$1,FALSE)/VLOOKUP($B420,Korrigeringsfaktor_GD,'Korrigeringsfaktor GD'!W$1,FALSE),
"")</f>
        <v>49.62533684210527</v>
      </c>
      <c r="X420" s="18">
        <f>IFERROR(
                  Andel_oberoende_av_klimat*VLOOKUP($A420,Leveranser_per_nät,'Leveranser per nät'!X$1,FALSE)
               +Andel_beroende_av_klimat*VLOOKUP($A420,Leveranser_per_nät,'Leveranser per nät'!X$1,FALSE)/VLOOKUP($B420,Korrigeringsfaktor_GD,'Korrigeringsfaktor GD'!X$1,FALSE),
"")</f>
        <v>50.149011827956983</v>
      </c>
      <c r="Y420" s="18">
        <f>IFERROR(
                  Andel_oberoende_av_klimat*VLOOKUP($A420,Leveranser_per_nät,'Leveranser per nät'!Y$1,FALSE)
               +Andel_beroende_av_klimat*VLOOKUP($A420,Leveranser_per_nät,'Leveranser per nät'!Y$1,FALSE)/VLOOKUP($B420,Korrigeringsfaktor_GD,'Korrigeringsfaktor GD'!Y$1,FALSE),
"")</f>
        <v>52.127138461538465</v>
      </c>
      <c r="Z420" s="18">
        <f>IFERROR(
                  Andel_oberoende_av_klimat*VLOOKUP($A420,Leveranser_per_nät,'Leveranser per nät'!Z$1,FALSE)
               +Andel_beroende_av_klimat*VLOOKUP($A420,Leveranser_per_nät,'Leveranser per nät'!Z$1,FALSE)/VLOOKUP($B420,Korrigeringsfaktor_GD,'Korrigeringsfaktor GD'!Z$1,FALSE),
"")</f>
        <v>52.008878160919551</v>
      </c>
      <c r="AA420" s="18">
        <f>IFERROR(
                  Andel_oberoende_av_klimat*VLOOKUP($A420,Leveranser_per_nät,'Leveranser per nät'!AA$1,FALSE)
               +Andel_beroende_av_klimat*VLOOKUP($A420,Leveranser_per_nät,'Leveranser per nät'!AA$1,FALSE)/VLOOKUP($B420,Korrigeringsfaktor_GD,'Korrigeringsfaktor GD'!AA$1,FALSE),
"")</f>
        <v>53.056324889217123</v>
      </c>
      <c r="AB420" s="18">
        <f>IFERROR(
                  Andel_oberoende_av_klimat*VLOOKUP($A420,Leveranser_per_nät,'Leveranser per nät'!AB$1,FALSE)
               +Andel_beroende_av_klimat*VLOOKUP($A420,Leveranser_per_nät,'Leveranser per nät'!AB$1,FALSE)/VLOOKUP($B420,Korrigeringsfaktor_GD,'Korrigeringsfaktor GD'!AB$1,FALSE),
"")</f>
        <v>50.246944212523715</v>
      </c>
      <c r="AC420" s="18">
        <f>IFERROR(
                  Andel_oberoende_av_klimat*VLOOKUP($A420,Leveranser_per_nät,'Leveranser per nät'!AC$1,FALSE)
               +Andel_beroende_av_klimat*VLOOKUP($A420,Leveranser_per_nät,'Leveranser per nät'!AC$1,FALSE)/VLOOKUP($B420,Korrigeringsfaktor_GD,'Korrigeringsfaktor GD'!AC$1,FALSE),
"")</f>
        <v>48.752657142857146</v>
      </c>
      <c r="AD420">
        <v>48.066000000000003</v>
      </c>
    </row>
    <row r="421" spans="1:30" x14ac:dyDescent="0.25">
      <c r="A421" t="s">
        <v>324</v>
      </c>
      <c r="B421" t="s">
        <v>324</v>
      </c>
      <c r="C421" s="18">
        <f>IFERROR(
                  Andel_oberoende_av_klimat*VLOOKUP($A421,Leveranser_per_nät,'Leveranser per nät'!C$1,FALSE)
               +Andel_beroende_av_klimat*VLOOKUP($A421,Leveranser_per_nät,'Leveranser per nät'!C$1,FALSE)/VLOOKUP($B421,Korrigeringsfaktor_GD,'Korrigeringsfaktor GD'!C$1,FALSE),
"")</f>
        <v>680.83009708737859</v>
      </c>
      <c r="D421" s="18">
        <f>IFERROR(
                  Andel_oberoende_av_klimat*VLOOKUP($A421,Leveranser_per_nät,'Leveranser per nät'!D$1,FALSE)
               +Andel_beroende_av_klimat*VLOOKUP($A421,Leveranser_per_nät,'Leveranser per nät'!D$1,FALSE)/VLOOKUP($B421,Korrigeringsfaktor_GD,'Korrigeringsfaktor GD'!D$1,FALSE),
"")</f>
        <v>683.27894736842109</v>
      </c>
      <c r="E421" s="18">
        <f>IFERROR(
                  Andel_oberoende_av_klimat*VLOOKUP($A421,Leveranser_per_nät,'Leveranser per nät'!E$1,FALSE)
               +Andel_beroende_av_klimat*VLOOKUP($A421,Leveranser_per_nät,'Leveranser per nät'!E$1,FALSE)/VLOOKUP($B421,Korrigeringsfaktor_GD,'Korrigeringsfaktor GD'!E$1,FALSE),
"")</f>
        <v>689.40588235294115</v>
      </c>
      <c r="F421" s="18">
        <f>IFERROR(
                  Andel_oberoende_av_klimat*VLOOKUP($A421,Leveranser_per_nät,'Leveranser per nät'!F$1,FALSE)
               +Andel_beroende_av_klimat*VLOOKUP($A421,Leveranser_per_nät,'Leveranser per nät'!F$1,FALSE)/VLOOKUP($B421,Korrigeringsfaktor_GD,'Korrigeringsfaktor GD'!F$1,FALSE),
"")</f>
        <v>779.4727272727273</v>
      </c>
      <c r="G421" s="18">
        <f>IFERROR(
                  Andel_oberoende_av_klimat*VLOOKUP($A421,Leveranser_per_nät,'Leveranser per nät'!G$1,FALSE)
               +Andel_beroende_av_klimat*VLOOKUP($A421,Leveranser_per_nät,'Leveranser per nät'!G$1,FALSE)/VLOOKUP($B421,Korrigeringsfaktor_GD,'Korrigeringsfaktor GD'!G$1,FALSE),
"")</f>
        <v>777.07777777777778</v>
      </c>
      <c r="H421" s="18">
        <f>IFERROR(
                  Andel_oberoende_av_klimat*VLOOKUP($A421,Leveranser_per_nät,'Leveranser per nät'!H$1,FALSE)
               +Andel_beroende_av_klimat*VLOOKUP($A421,Leveranser_per_nät,'Leveranser per nät'!H$1,FALSE)/VLOOKUP($B421,Korrigeringsfaktor_GD,'Korrigeringsfaktor GD'!H$1,FALSE),
"")</f>
        <v>791</v>
      </c>
      <c r="I421" s="18">
        <f>IFERROR(
                  Andel_oberoende_av_klimat*VLOOKUP($A421,Leveranser_per_nät,'Leveranser per nät'!I$1,FALSE)
               +Andel_beroende_av_klimat*VLOOKUP($A421,Leveranser_per_nät,'Leveranser per nät'!I$1,FALSE)/VLOOKUP($B421,Korrigeringsfaktor_GD,'Korrigeringsfaktor GD'!I$1,FALSE),
"")</f>
        <v>818.34123711340203</v>
      </c>
      <c r="J421" s="18">
        <f>IFERROR(
                  Andel_oberoende_av_klimat*VLOOKUP($A421,Leveranser_per_nät,'Leveranser per nät'!J$1,FALSE)
               +Andel_beroende_av_klimat*VLOOKUP($A421,Leveranser_per_nät,'Leveranser per nät'!J$1,FALSE)/VLOOKUP($B421,Korrigeringsfaktor_GD,'Korrigeringsfaktor GD'!J$1,FALSE),
"")</f>
        <v>754.70371237113409</v>
      </c>
      <c r="K421" s="18">
        <f>IFERROR(
                  Andel_oberoende_av_klimat*VLOOKUP($A421,Leveranser_per_nät,'Leveranser per nät'!K$1,FALSE)
               +Andel_beroende_av_klimat*VLOOKUP($A421,Leveranser_per_nät,'Leveranser per nät'!K$1,FALSE)/VLOOKUP($B421,Korrigeringsfaktor_GD,'Korrigeringsfaktor GD'!K$1,FALSE),
"")</f>
        <v>767.02991340206188</v>
      </c>
      <c r="L421" s="18">
        <f>IFERROR(
                  Andel_oberoende_av_klimat*VLOOKUP($A421,Leveranser_per_nät,'Leveranser per nät'!L$1,FALSE)
               +Andel_beroende_av_klimat*VLOOKUP($A421,Leveranser_per_nät,'Leveranser per nät'!L$1,FALSE)/VLOOKUP($B421,Korrigeringsfaktor_GD,'Korrigeringsfaktor GD'!L$1,FALSE),
"")</f>
        <v>774.77744347826081</v>
      </c>
      <c r="M421" s="18">
        <f>IFERROR(
                  Andel_oberoende_av_klimat*VLOOKUP($A421,Leveranser_per_nät,'Leveranser per nät'!M$1,FALSE)
               +Andel_beroende_av_klimat*VLOOKUP($A421,Leveranser_per_nät,'Leveranser per nät'!M$1,FALSE)/VLOOKUP($B421,Korrigeringsfaktor_GD,'Korrigeringsfaktor GD'!M$1,FALSE),
"")</f>
        <v>796.12213913043479</v>
      </c>
      <c r="N421" s="18">
        <f>IFERROR(
                  Andel_oberoende_av_klimat*VLOOKUP($A421,Leveranser_per_nät,'Leveranser per nät'!N$1,FALSE)
               +Andel_beroende_av_klimat*VLOOKUP($A421,Leveranser_per_nät,'Leveranser per nät'!N$1,FALSE)/VLOOKUP($B421,Korrigeringsfaktor_GD,'Korrigeringsfaktor GD'!N$1,FALSE),
"")</f>
        <v>807.47344347826083</v>
      </c>
      <c r="O421" s="18">
        <f>IFERROR(
                  Andel_oberoende_av_klimat*VLOOKUP($A421,Leveranser_per_nät,'Leveranser per nät'!O$1,FALSE)
               +Andel_beroende_av_klimat*VLOOKUP($A421,Leveranser_per_nät,'Leveranser per nät'!O$1,FALSE)/VLOOKUP($B421,Korrigeringsfaktor_GD,'Korrigeringsfaktor GD'!O$1,FALSE),
"")</f>
        <v>807.89580000000001</v>
      </c>
      <c r="P421" s="18">
        <f>IFERROR(
                  Andel_oberoende_av_klimat*VLOOKUP($A421,Leveranser_per_nät,'Leveranser per nät'!P$1,FALSE)
               +Andel_beroende_av_klimat*VLOOKUP($A421,Leveranser_per_nät,'Leveranser per nät'!P$1,FALSE)/VLOOKUP($B421,Korrigeringsfaktor_GD,'Korrigeringsfaktor GD'!P$1,FALSE),
"")</f>
        <v>824.30087142857144</v>
      </c>
      <c r="Q421" s="18">
        <f>IFERROR(
                  Andel_oberoende_av_klimat*VLOOKUP($A421,Leveranser_per_nät,'Leveranser per nät'!Q$1,FALSE)
               +Andel_beroende_av_klimat*VLOOKUP($A421,Leveranser_per_nät,'Leveranser per nät'!Q$1,FALSE)/VLOOKUP($B421,Korrigeringsfaktor_GD,'Korrigeringsfaktor GD'!Q$1,FALSE),
"")</f>
        <v>885.16139999999996</v>
      </c>
      <c r="R421" s="18">
        <f>IFERROR(
                  Andel_oberoende_av_klimat*VLOOKUP($A421,Leveranser_per_nät,'Leveranser per nät'!R$1,FALSE)
               +Andel_beroende_av_klimat*VLOOKUP($A421,Leveranser_per_nät,'Leveranser per nät'!R$1,FALSE)/VLOOKUP($B421,Korrigeringsfaktor_GD,'Korrigeringsfaktor GD'!R$1,FALSE),
"")</f>
        <v>884.15499999999997</v>
      </c>
      <c r="S421" s="18">
        <f>IFERROR(
                  Andel_oberoende_av_klimat*VLOOKUP($A421,Leveranser_per_nät,'Leveranser per nät'!S$1,FALSE)
               +Andel_beroende_av_klimat*VLOOKUP($A421,Leveranser_per_nät,'Leveranser per nät'!S$1,FALSE)/VLOOKUP($B421,Korrigeringsfaktor_GD,'Korrigeringsfaktor GD'!S$1,FALSE),
"")</f>
        <v>878.37142857142862</v>
      </c>
      <c r="T421" s="18">
        <f>IFERROR(
                  Andel_oberoende_av_klimat*VLOOKUP($A421,Leveranser_per_nät,'Leveranser per nät'!T$1,FALSE)
               +Andel_beroende_av_klimat*VLOOKUP($A421,Leveranser_per_nät,'Leveranser per nät'!T$1,FALSE)/VLOOKUP($B421,Korrigeringsfaktor_GD,'Korrigeringsfaktor GD'!T$1,FALSE),
"")</f>
        <v>868.16260869565212</v>
      </c>
      <c r="U421" s="18">
        <f>IFERROR(
                  Andel_oberoende_av_klimat*VLOOKUP($A421,Leveranser_per_nät,'Leveranser per nät'!U$1,FALSE)
               +Andel_beroende_av_klimat*VLOOKUP($A421,Leveranser_per_nät,'Leveranser per nät'!U$1,FALSE)/VLOOKUP($B421,Korrigeringsfaktor_GD,'Korrigeringsfaktor GD'!U$1,FALSE),
"")</f>
        <v>857.22159662921342</v>
      </c>
      <c r="V421" s="18">
        <f>IFERROR(
                  Andel_oberoende_av_klimat*VLOOKUP($A421,Leveranser_per_nät,'Leveranser per nät'!V$1,FALSE)
               +Andel_beroende_av_klimat*VLOOKUP($A421,Leveranser_per_nät,'Leveranser per nät'!V$1,FALSE)/VLOOKUP($B421,Korrigeringsfaktor_GD,'Korrigeringsfaktor GD'!V$1,FALSE),
"")</f>
        <v>847.77987209302319</v>
      </c>
      <c r="W421" s="18">
        <f>IFERROR(
                  Andel_oberoende_av_klimat*VLOOKUP($A421,Leveranser_per_nät,'Leveranser per nät'!W$1,FALSE)
               +Andel_beroende_av_klimat*VLOOKUP($A421,Leveranser_per_nät,'Leveranser per nät'!W$1,FALSE)/VLOOKUP($B421,Korrigeringsfaktor_GD,'Korrigeringsfaktor GD'!W$1,FALSE),
"")</f>
        <v>870.65808947368419</v>
      </c>
      <c r="X421" s="18">
        <f>IFERROR(
                  Andel_oberoende_av_klimat*VLOOKUP($A421,Leveranser_per_nät,'Leveranser per nät'!X$1,FALSE)
               +Andel_beroende_av_klimat*VLOOKUP($A421,Leveranser_per_nät,'Leveranser per nät'!X$1,FALSE)/VLOOKUP($B421,Korrigeringsfaktor_GD,'Korrigeringsfaktor GD'!X$1,FALSE),
"")</f>
        <v>872.81566666666674</v>
      </c>
      <c r="Y421" s="18">
        <f>IFERROR(
                  Andel_oberoende_av_klimat*VLOOKUP($A421,Leveranser_per_nät,'Leveranser per nät'!Y$1,FALSE)
               +Andel_beroende_av_klimat*VLOOKUP($A421,Leveranser_per_nät,'Leveranser per nät'!Y$1,FALSE)/VLOOKUP($B421,Korrigeringsfaktor_GD,'Korrigeringsfaktor GD'!Y$1,FALSE),
"")</f>
        <v>885.77421052631576</v>
      </c>
      <c r="Z421" s="18">
        <f>IFERROR(
                  Andel_oberoende_av_klimat*VLOOKUP($A421,Leveranser_per_nät,'Leveranser per nät'!Z$1,FALSE)
               +Andel_beroende_av_klimat*VLOOKUP($A421,Leveranser_per_nät,'Leveranser per nät'!Z$1,FALSE)/VLOOKUP($B421,Korrigeringsfaktor_GD,'Korrigeringsfaktor GD'!Z$1,FALSE),
"")</f>
        <v>965.19747126436778</v>
      </c>
      <c r="AA421" s="18">
        <f>IFERROR(
                  Andel_oberoende_av_klimat*VLOOKUP($A421,Leveranser_per_nät,'Leveranser per nät'!AA$1,FALSE)
               +Andel_beroende_av_klimat*VLOOKUP($A421,Leveranser_per_nät,'Leveranser per nät'!AA$1,FALSE)/VLOOKUP($B421,Korrigeringsfaktor_GD,'Korrigeringsfaktor GD'!AA$1,FALSE),
"")</f>
        <v>861.93022777369583</v>
      </c>
      <c r="AB421" s="18">
        <f>IFERROR(
                  Andel_oberoende_av_klimat*VLOOKUP($A421,Leveranser_per_nät,'Leveranser per nät'!AB$1,FALSE)
               +Andel_beroende_av_klimat*VLOOKUP($A421,Leveranser_per_nät,'Leveranser per nät'!AB$1,FALSE)/VLOOKUP($B421,Korrigeringsfaktor_GD,'Korrigeringsfaktor GD'!AB$1,FALSE),
"")</f>
        <v>849.67441674506119</v>
      </c>
      <c r="AC421" s="18">
        <f>IFERROR(
                  Andel_oberoende_av_klimat*VLOOKUP($A421,Leveranser_per_nät,'Leveranser per nät'!AC$1,FALSE)
               +Andel_beroende_av_klimat*VLOOKUP($A421,Leveranser_per_nät,'Leveranser per nät'!AC$1,FALSE)/VLOOKUP($B421,Korrigeringsfaktor_GD,'Korrigeringsfaktor GD'!AC$1,FALSE),
"")</f>
        <v>826.95843687374747</v>
      </c>
      <c r="AD421">
        <v>823.99</v>
      </c>
    </row>
    <row r="422" spans="1:30" x14ac:dyDescent="0.25">
      <c r="A422" t="s">
        <v>335</v>
      </c>
      <c r="B422" t="s">
        <v>335</v>
      </c>
      <c r="C422" s="18">
        <f>IFERROR(
                  Andel_oberoende_av_klimat*VLOOKUP($A422,Leveranser_per_nät,'Leveranser per nät'!C$1,FALSE)
               +Andel_beroende_av_klimat*VLOOKUP($A422,Leveranser_per_nät,'Leveranser per nät'!C$1,FALSE)/VLOOKUP($B422,Korrigeringsfaktor_GD,'Korrigeringsfaktor GD'!C$1,FALSE),
"")</f>
        <v>1646.1272727272726</v>
      </c>
      <c r="D422" s="18">
        <f>IFERROR(
                  Andel_oberoende_av_klimat*VLOOKUP($A422,Leveranser_per_nät,'Leveranser per nät'!D$1,FALSE)
               +Andel_beroende_av_klimat*VLOOKUP($A422,Leveranser_per_nät,'Leveranser per nät'!D$1,FALSE)/VLOOKUP($B422,Korrigeringsfaktor_GD,'Korrigeringsfaktor GD'!D$1,FALSE),
"")</f>
        <v>1572.093793814433</v>
      </c>
      <c r="E422" s="18">
        <f>IFERROR(
                  Andel_oberoende_av_klimat*VLOOKUP($A422,Leveranser_per_nät,'Leveranser per nät'!E$1,FALSE)
               +Andel_beroende_av_klimat*VLOOKUP($A422,Leveranser_per_nät,'Leveranser per nät'!E$1,FALSE)/VLOOKUP($B422,Korrigeringsfaktor_GD,'Korrigeringsfaktor GD'!E$1,FALSE),
"")</f>
        <v>1509.9862745098039</v>
      </c>
      <c r="F422" s="18">
        <f>IFERROR(
                  Andel_oberoende_av_klimat*VLOOKUP($A422,Leveranser_per_nät,'Leveranser per nät'!F$1,FALSE)
               +Andel_beroende_av_klimat*VLOOKUP($A422,Leveranser_per_nät,'Leveranser per nät'!F$1,FALSE)/VLOOKUP($B422,Korrigeringsfaktor_GD,'Korrigeringsfaktor GD'!F$1,FALSE),
"")</f>
        <v>1599.4063829787237</v>
      </c>
      <c r="G422" s="18">
        <f>IFERROR(
                  Andel_oberoende_av_klimat*VLOOKUP($A422,Leveranser_per_nät,'Leveranser per nät'!G$1,FALSE)
               +Andel_beroende_av_klimat*VLOOKUP($A422,Leveranser_per_nät,'Leveranser per nät'!G$1,FALSE)/VLOOKUP($B422,Korrigeringsfaktor_GD,'Korrigeringsfaktor GD'!G$1,FALSE),
"")</f>
        <v>1626.75</v>
      </c>
      <c r="H422" s="18">
        <f>IFERROR(
                  Andel_oberoende_av_klimat*VLOOKUP($A422,Leveranser_per_nät,'Leveranser per nät'!H$1,FALSE)
               +Andel_beroende_av_klimat*VLOOKUP($A422,Leveranser_per_nät,'Leveranser per nät'!H$1,FALSE)/VLOOKUP($B422,Korrigeringsfaktor_GD,'Korrigeringsfaktor GD'!H$1,FALSE),
"")</f>
        <v>1552.7253714285714</v>
      </c>
      <c r="I422" s="18">
        <f>IFERROR(
                  Andel_oberoende_av_klimat*VLOOKUP($A422,Leveranser_per_nät,'Leveranser per nät'!I$1,FALSE)
               +Andel_beroende_av_klimat*VLOOKUP($A422,Leveranser_per_nät,'Leveranser per nät'!I$1,FALSE)/VLOOKUP($B422,Korrigeringsfaktor_GD,'Korrigeringsfaktor GD'!I$1,FALSE),
"")</f>
        <v>1617.2711340206185</v>
      </c>
      <c r="J422" s="18">
        <f>IFERROR(
                  Andel_oberoende_av_klimat*VLOOKUP($A422,Leveranser_per_nät,'Leveranser per nät'!J$1,FALSE)
               +Andel_beroende_av_klimat*VLOOKUP($A422,Leveranser_per_nät,'Leveranser per nät'!J$1,FALSE)/VLOOKUP($B422,Korrigeringsfaktor_GD,'Korrigeringsfaktor GD'!J$1,FALSE),
"")</f>
        <v>1618.7999999999997</v>
      </c>
      <c r="K422" s="18">
        <f>IFERROR(
                  Andel_oberoende_av_klimat*VLOOKUP($A422,Leveranser_per_nät,'Leveranser per nät'!K$1,FALSE)
               +Andel_beroende_av_klimat*VLOOKUP($A422,Leveranser_per_nät,'Leveranser per nät'!K$1,FALSE)/VLOOKUP($B422,Korrigeringsfaktor_GD,'Korrigeringsfaktor GD'!K$1,FALSE),
"")</f>
        <v>1455.5720142857144</v>
      </c>
      <c r="L422" s="18">
        <f>IFERROR(
                  Andel_oberoende_av_klimat*VLOOKUP($A422,Leveranser_per_nät,'Leveranser per nät'!L$1,FALSE)
               +Andel_beroende_av_klimat*VLOOKUP($A422,Leveranser_per_nät,'Leveranser per nät'!L$1,FALSE)/VLOOKUP($B422,Korrigeringsfaktor_GD,'Korrigeringsfaktor GD'!L$1,FALSE),
"")</f>
        <v>1976.9263555794919</v>
      </c>
      <c r="M422" s="18">
        <f>IFERROR(
                  Andel_oberoende_av_klimat*VLOOKUP($A422,Leveranser_per_nät,'Leveranser per nät'!M$1,FALSE)
               +Andel_beroende_av_klimat*VLOOKUP($A422,Leveranser_per_nät,'Leveranser per nät'!M$1,FALSE)/VLOOKUP($B422,Korrigeringsfaktor_GD,'Korrigeringsfaktor GD'!M$1,FALSE),
"")</f>
        <v>1638.1258260869565</v>
      </c>
      <c r="N422" s="18">
        <f>IFERROR(
                  Andel_oberoende_av_klimat*VLOOKUP($A422,Leveranser_per_nät,'Leveranser per nät'!N$1,FALSE)
               +Andel_beroende_av_klimat*VLOOKUP($A422,Leveranser_per_nät,'Leveranser per nät'!N$1,FALSE)/VLOOKUP($B422,Korrigeringsfaktor_GD,'Korrigeringsfaktor GD'!N$1,FALSE),
"")</f>
        <v>1531.2591304347825</v>
      </c>
      <c r="O422" s="18">
        <f>IFERROR(
                  Andel_oberoende_av_klimat*VLOOKUP($A422,Leveranser_per_nät,'Leveranser per nät'!O$1,FALSE)
               +Andel_beroende_av_klimat*VLOOKUP($A422,Leveranser_per_nät,'Leveranser per nät'!O$1,FALSE)/VLOOKUP($B422,Korrigeringsfaktor_GD,'Korrigeringsfaktor GD'!O$1,FALSE),
"")</f>
        <v>1399.9769662921349</v>
      </c>
      <c r="P422" s="18">
        <f>IFERROR(
                  Andel_oberoende_av_klimat*VLOOKUP($A422,Leveranser_per_nät,'Leveranser per nät'!P$1,FALSE)
               +Andel_beroende_av_klimat*VLOOKUP($A422,Leveranser_per_nät,'Leveranser per nät'!P$1,FALSE)/VLOOKUP($B422,Korrigeringsfaktor_GD,'Korrigeringsfaktor GD'!P$1,FALSE),
"")</f>
        <v>1496.7164948453608</v>
      </c>
      <c r="Q422" s="18">
        <f>IFERROR(
                  Andel_oberoende_av_klimat*VLOOKUP($A422,Leveranser_per_nät,'Leveranser per nät'!Q$1,FALSE)
               +Andel_beroende_av_klimat*VLOOKUP($A422,Leveranser_per_nät,'Leveranser per nät'!Q$1,FALSE)/VLOOKUP($B422,Korrigeringsfaktor_GD,'Korrigeringsfaktor GD'!Q$1,FALSE),
"")</f>
        <v>1475.3310344827587</v>
      </c>
      <c r="R422" s="18">
        <f>IFERROR(
                  Andel_oberoende_av_klimat*VLOOKUP($A422,Leveranser_per_nät,'Leveranser per nät'!R$1,FALSE)
               +Andel_beroende_av_klimat*VLOOKUP($A422,Leveranser_per_nät,'Leveranser per nät'!R$1,FALSE)/VLOOKUP($B422,Korrigeringsfaktor_GD,'Korrigeringsfaktor GD'!R$1,FALSE),
"")</f>
        <v>1427.4088888888891</v>
      </c>
      <c r="S422" s="18">
        <f>IFERROR(
                  Andel_oberoende_av_klimat*VLOOKUP($A422,Leveranser_per_nät,'Leveranser per nät'!S$1,FALSE)
               +Andel_beroende_av_klimat*VLOOKUP($A422,Leveranser_per_nät,'Leveranser per nät'!S$1,FALSE)/VLOOKUP($B422,Korrigeringsfaktor_GD,'Korrigeringsfaktor GD'!S$1,FALSE),
"")</f>
        <v>1415</v>
      </c>
      <c r="T422" s="18">
        <f>IFERROR(
                  Andel_oberoende_av_klimat*VLOOKUP($A422,Leveranser_per_nät,'Leveranser per nät'!T$1,FALSE)
               +Andel_beroende_av_klimat*VLOOKUP($A422,Leveranser_per_nät,'Leveranser per nät'!T$1,FALSE)/VLOOKUP($B422,Korrigeringsfaktor_GD,'Korrigeringsfaktor GD'!T$1,FALSE),
"")</f>
        <v>1406.9947368421053</v>
      </c>
      <c r="U422" s="18">
        <f>IFERROR(
                  Andel_oberoende_av_klimat*VLOOKUP($A422,Leveranser_per_nät,'Leveranser per nät'!U$1,FALSE)
               +Andel_beroende_av_klimat*VLOOKUP($A422,Leveranser_per_nät,'Leveranser per nät'!U$1,FALSE)/VLOOKUP($B422,Korrigeringsfaktor_GD,'Korrigeringsfaktor GD'!U$1,FALSE),
"")</f>
        <v>1475.1639325842698</v>
      </c>
      <c r="V422" s="18">
        <f>IFERROR(
                  Andel_oberoende_av_klimat*VLOOKUP($A422,Leveranser_per_nät,'Leveranser per nät'!V$1,FALSE)
               +Andel_beroende_av_klimat*VLOOKUP($A422,Leveranser_per_nät,'Leveranser per nät'!V$1,FALSE)/VLOOKUP($B422,Korrigeringsfaktor_GD,'Korrigeringsfaktor GD'!V$1,FALSE),
"")</f>
        <v>1474.946629213483</v>
      </c>
      <c r="W422" s="18">
        <f>IFERROR(
                  Andel_oberoende_av_klimat*VLOOKUP($A422,Leveranser_per_nät,'Leveranser per nät'!W$1,FALSE)
               +Andel_beroende_av_klimat*VLOOKUP($A422,Leveranser_per_nät,'Leveranser per nät'!W$1,FALSE)/VLOOKUP($B422,Korrigeringsfaktor_GD,'Korrigeringsfaktor GD'!W$1,FALSE),
"")</f>
        <v>1512.9760752688171</v>
      </c>
      <c r="X422" s="18">
        <f>IFERROR(
                  Andel_oberoende_av_klimat*VLOOKUP($A422,Leveranser_per_nät,'Leveranser per nät'!X$1,FALSE)
               +Andel_beroende_av_klimat*VLOOKUP($A422,Leveranser_per_nät,'Leveranser per nät'!X$1,FALSE)/VLOOKUP($B422,Korrigeringsfaktor_GD,'Korrigeringsfaktor GD'!X$1,FALSE),
"")</f>
        <v>1493.2668085106386</v>
      </c>
      <c r="Y422" s="18">
        <f>IFERROR(
                  Andel_oberoende_av_klimat*VLOOKUP($A422,Leveranser_per_nät,'Leveranser per nät'!Y$1,FALSE)
               +Andel_beroende_av_klimat*VLOOKUP($A422,Leveranser_per_nät,'Leveranser per nät'!Y$1,FALSE)/VLOOKUP($B422,Korrigeringsfaktor_GD,'Korrigeringsfaktor GD'!Y$1,FALSE),
"")</f>
        <v>1505.7653739130433</v>
      </c>
      <c r="Z422" s="18">
        <f>IFERROR(
                  Andel_oberoende_av_klimat*VLOOKUP($A422,Leveranser_per_nät,'Leveranser per nät'!Z$1,FALSE)
               +Andel_beroende_av_klimat*VLOOKUP($A422,Leveranser_per_nät,'Leveranser per nät'!Z$1,FALSE)/VLOOKUP($B422,Korrigeringsfaktor_GD,'Korrigeringsfaktor GD'!Z$1,FALSE),
"")</f>
        <v>1412.1866045454547</v>
      </c>
      <c r="AA422" s="18">
        <f>IFERROR(
                  Andel_oberoende_av_klimat*VLOOKUP($A422,Leveranser_per_nät,'Leveranser per nät'!AA$1,FALSE)
               +Andel_beroende_av_klimat*VLOOKUP($A422,Leveranser_per_nät,'Leveranser per nät'!AA$1,FALSE)/VLOOKUP($B422,Korrigeringsfaktor_GD,'Korrigeringsfaktor GD'!AA$1,FALSE),
"")</f>
        <v>1380.2678837740777</v>
      </c>
      <c r="AB422" s="18">
        <f>IFERROR(
                  Andel_oberoende_av_klimat*VLOOKUP($A422,Leveranser_per_nät,'Leveranser per nät'!AB$1,FALSE)
               +Andel_beroende_av_klimat*VLOOKUP($A422,Leveranser_per_nät,'Leveranser per nät'!AB$1,FALSE)/VLOOKUP($B422,Korrigeringsfaktor_GD,'Korrigeringsfaktor GD'!AB$1,FALSE),
"")</f>
        <v>1303.3083333333334</v>
      </c>
      <c r="AC422" s="18">
        <f>IFERROR(
                  Andel_oberoende_av_klimat*VLOOKUP($A422,Leveranser_per_nät,'Leveranser per nät'!AC$1,FALSE)
               +Andel_beroende_av_klimat*VLOOKUP($A422,Leveranser_per_nät,'Leveranser per nät'!AC$1,FALSE)/VLOOKUP($B422,Korrigeringsfaktor_GD,'Korrigeringsfaktor GD'!AC$1,FALSE),
"")</f>
        <v>1386.8869412955464</v>
      </c>
      <c r="AD422">
        <v>1157.2149999999999</v>
      </c>
    </row>
    <row r="423" spans="1:30" x14ac:dyDescent="0.25">
      <c r="A423" t="s">
        <v>273</v>
      </c>
      <c r="B423" t="s">
        <v>261</v>
      </c>
      <c r="C423" s="18">
        <f>IFERROR(
                  Andel_oberoende_av_klimat*VLOOKUP($A423,Leveranser_per_nät,'Leveranser per nät'!C$1,FALSE)
               +Andel_beroende_av_klimat*VLOOKUP($A423,Leveranser_per_nät,'Leveranser per nät'!C$1,FALSE)/VLOOKUP($B423,Korrigeringsfaktor_GD,'Korrigeringsfaktor GD'!C$1,FALSE),
"")</f>
        <v>0</v>
      </c>
      <c r="D423" s="18">
        <f>IFERROR(
                  Andel_oberoende_av_klimat*VLOOKUP($A423,Leveranser_per_nät,'Leveranser per nät'!D$1,FALSE)
               +Andel_beroende_av_klimat*VLOOKUP($A423,Leveranser_per_nät,'Leveranser per nät'!D$1,FALSE)/VLOOKUP($B423,Korrigeringsfaktor_GD,'Korrigeringsfaktor GD'!D$1,FALSE),
"")</f>
        <v>0</v>
      </c>
      <c r="E423" s="18">
        <f>IFERROR(
                  Andel_oberoende_av_klimat*VLOOKUP($A423,Leveranser_per_nät,'Leveranser per nät'!E$1,FALSE)
               +Andel_beroende_av_klimat*VLOOKUP($A423,Leveranser_per_nät,'Leveranser per nät'!E$1,FALSE)/VLOOKUP($B423,Korrigeringsfaktor_GD,'Korrigeringsfaktor GD'!E$1,FALSE),
"")</f>
        <v>0</v>
      </c>
      <c r="F423" s="18">
        <f>IFERROR(
                  Andel_oberoende_av_klimat*VLOOKUP($A423,Leveranser_per_nät,'Leveranser per nät'!F$1,FALSE)
               +Andel_beroende_av_klimat*VLOOKUP($A423,Leveranser_per_nät,'Leveranser per nät'!F$1,FALSE)/VLOOKUP($B423,Korrigeringsfaktor_GD,'Korrigeringsfaktor GD'!F$1,FALSE),
"")</f>
        <v>17</v>
      </c>
      <c r="G423" s="18">
        <f>IFERROR(
                  Andel_oberoende_av_klimat*VLOOKUP($A423,Leveranser_per_nät,'Leveranser per nät'!G$1,FALSE)
               +Andel_beroende_av_klimat*VLOOKUP($A423,Leveranser_per_nät,'Leveranser per nät'!G$1,FALSE)/VLOOKUP($B423,Korrigeringsfaktor_GD,'Korrigeringsfaktor GD'!G$1,FALSE),
"")</f>
        <v>18.322222222222219</v>
      </c>
      <c r="H423" s="18">
        <f>IFERROR(
                  Andel_oberoende_av_klimat*VLOOKUP($A423,Leveranser_per_nät,'Leveranser per nät'!H$1,FALSE)
               +Andel_beroende_av_klimat*VLOOKUP($A423,Leveranser_per_nät,'Leveranser per nät'!H$1,FALSE)/VLOOKUP($B423,Korrigeringsfaktor_GD,'Korrigeringsfaktor GD'!H$1,FALSE),
"")</f>
        <v>20.170999999999999</v>
      </c>
      <c r="I423" s="18">
        <f>IFERROR(
                  Andel_oberoende_av_klimat*VLOOKUP($A423,Leveranser_per_nät,'Leveranser per nät'!I$1,FALSE)
               +Andel_beroende_av_klimat*VLOOKUP($A423,Leveranser_per_nät,'Leveranser per nät'!I$1,FALSE)/VLOOKUP($B423,Korrigeringsfaktor_GD,'Korrigeringsfaktor GD'!I$1,FALSE),
"")</f>
        <v>22.476288659793816</v>
      </c>
      <c r="J423" s="18">
        <f>IFERROR(
                  Andel_oberoende_av_klimat*VLOOKUP($A423,Leveranser_per_nät,'Leveranser per nät'!J$1,FALSE)
               +Andel_beroende_av_klimat*VLOOKUP($A423,Leveranser_per_nät,'Leveranser per nät'!J$1,FALSE)/VLOOKUP($B423,Korrigeringsfaktor_GD,'Korrigeringsfaktor GD'!J$1,FALSE),
"")</f>
        <v>27.787500000000001</v>
      </c>
      <c r="K423" s="18">
        <f>IFERROR(
                  Andel_oberoende_av_klimat*VLOOKUP($A423,Leveranser_per_nät,'Leveranser per nät'!K$1,FALSE)
               +Andel_beroende_av_klimat*VLOOKUP($A423,Leveranser_per_nät,'Leveranser per nät'!K$1,FALSE)/VLOOKUP($B423,Korrigeringsfaktor_GD,'Korrigeringsfaktor GD'!K$1,FALSE),
"")</f>
        <v>28.747900000000001</v>
      </c>
      <c r="L423" s="18">
        <f>IFERROR(
                  Andel_oberoende_av_klimat*VLOOKUP($A423,Leveranser_per_nät,'Leveranser per nät'!L$1,FALSE)
               +Andel_beroende_av_klimat*VLOOKUP($A423,Leveranser_per_nät,'Leveranser per nät'!L$1,FALSE)/VLOOKUP($B423,Korrigeringsfaktor_GD,'Korrigeringsfaktor GD'!L$1,FALSE),
"")</f>
        <v>27.757652173913037</v>
      </c>
      <c r="M423" s="18">
        <f>IFERROR(
                  Andel_oberoende_av_klimat*VLOOKUP($A423,Leveranser_per_nät,'Leveranser per nät'!M$1,FALSE)
               +Andel_beroende_av_klimat*VLOOKUP($A423,Leveranser_per_nät,'Leveranser per nät'!M$1,FALSE)/VLOOKUP($B423,Korrigeringsfaktor_GD,'Korrigeringsfaktor GD'!M$1,FALSE),
"")</f>
        <v>29.323495652173911</v>
      </c>
      <c r="N423" s="18">
        <f>IFERROR(
                  Andel_oberoende_av_klimat*VLOOKUP($A423,Leveranser_per_nät,'Leveranser per nät'!N$1,FALSE)
               +Andel_beroende_av_klimat*VLOOKUP($A423,Leveranser_per_nät,'Leveranser per nät'!N$1,FALSE)/VLOOKUP($B423,Korrigeringsfaktor_GD,'Korrigeringsfaktor GD'!N$1,FALSE),
"")</f>
        <v>30.206887096774189</v>
      </c>
      <c r="O423" s="18">
        <f>IFERROR(
                  Andel_oberoende_av_klimat*VLOOKUP($A423,Leveranser_per_nät,'Leveranser per nät'!O$1,FALSE)
               +Andel_beroende_av_klimat*VLOOKUP($A423,Leveranser_per_nät,'Leveranser per nät'!O$1,FALSE)/VLOOKUP($B423,Korrigeringsfaktor_GD,'Korrigeringsfaktor GD'!O$1,FALSE),
"")</f>
        <v>30.469006451612906</v>
      </c>
      <c r="P423" s="18">
        <f>IFERROR(
                  Andel_oberoende_av_klimat*VLOOKUP($A423,Leveranser_per_nät,'Leveranser per nät'!P$1,FALSE)
               +Andel_beroende_av_klimat*VLOOKUP($A423,Leveranser_per_nät,'Leveranser per nät'!P$1,FALSE)/VLOOKUP($B423,Korrigeringsfaktor_GD,'Korrigeringsfaktor GD'!P$1,FALSE),
"")</f>
        <v>30.089799999999997</v>
      </c>
      <c r="Q423" s="18">
        <f>IFERROR(
                  Andel_oberoende_av_klimat*VLOOKUP($A423,Leveranser_per_nät,'Leveranser per nät'!Q$1,FALSE)
               +Andel_beroende_av_klimat*VLOOKUP($A423,Leveranser_per_nät,'Leveranser per nät'!Q$1,FALSE)/VLOOKUP($B423,Korrigeringsfaktor_GD,'Korrigeringsfaktor GD'!Q$1,FALSE),
"")</f>
        <v>29.876965765765767</v>
      </c>
      <c r="R423" s="18">
        <f>IFERROR(
                  Andel_oberoende_av_klimat*VLOOKUP($A423,Leveranser_per_nät,'Leveranser per nät'!R$1,FALSE)
               +Andel_beroende_av_klimat*VLOOKUP($A423,Leveranser_per_nät,'Leveranser per nät'!R$1,FALSE)/VLOOKUP($B423,Korrigeringsfaktor_GD,'Korrigeringsfaktor GD'!R$1,FALSE),
"")</f>
        <v>28.701222222222221</v>
      </c>
      <c r="S423" s="18">
        <f>IFERROR(
                  Andel_oberoende_av_klimat*VLOOKUP($A423,Leveranser_per_nät,'Leveranser per nät'!S$1,FALSE)
               +Andel_beroende_av_klimat*VLOOKUP($A423,Leveranser_per_nät,'Leveranser per nät'!S$1,FALSE)/VLOOKUP($B423,Korrigeringsfaktor_GD,'Korrigeringsfaktor GD'!S$1,FALSE),
"")</f>
        <v>30</v>
      </c>
      <c r="T423" s="18">
        <f>IFERROR(
                  Andel_oberoende_av_klimat*VLOOKUP($A423,Leveranser_per_nät,'Leveranser per nät'!T$1,FALSE)
               +Andel_beroende_av_klimat*VLOOKUP($A423,Leveranser_per_nät,'Leveranser per nät'!T$1,FALSE)/VLOOKUP($B423,Korrigeringsfaktor_GD,'Korrigeringsfaktor GD'!T$1,FALSE),
"")</f>
        <v>30.685652173913041</v>
      </c>
      <c r="U423" s="18">
        <f>IFERROR(
                  Andel_oberoende_av_klimat*VLOOKUP($A423,Leveranser_per_nät,'Leveranser per nät'!U$1,FALSE)
               +Andel_beroende_av_klimat*VLOOKUP($A423,Leveranser_per_nät,'Leveranser per nät'!U$1,FALSE)/VLOOKUP($B423,Korrigeringsfaktor_GD,'Korrigeringsfaktor GD'!U$1,FALSE),
"")</f>
        <v>30.233822222222223</v>
      </c>
      <c r="V423" s="18">
        <f>IFERROR(
                  Andel_oberoende_av_klimat*VLOOKUP($A423,Leveranser_per_nät,'Leveranser per nät'!V$1,FALSE)
               +Andel_beroende_av_klimat*VLOOKUP($A423,Leveranser_per_nät,'Leveranser per nät'!V$1,FALSE)/VLOOKUP($B423,Korrigeringsfaktor_GD,'Korrigeringsfaktor GD'!V$1,FALSE),
"")</f>
        <v>29.868321839080458</v>
      </c>
      <c r="W423" s="18">
        <f>IFERROR(
                  Andel_oberoende_av_klimat*VLOOKUP($A423,Leveranser_per_nät,'Leveranser per nät'!W$1,FALSE)
               +Andel_beroende_av_klimat*VLOOKUP($A423,Leveranser_per_nät,'Leveranser per nät'!W$1,FALSE)/VLOOKUP($B423,Korrigeringsfaktor_GD,'Korrigeringsfaktor GD'!W$1,FALSE),
"")</f>
        <v>30.882204166666668</v>
      </c>
      <c r="X423" s="18">
        <f>IFERROR(
                  Andel_oberoende_av_klimat*VLOOKUP($A423,Leveranser_per_nät,'Leveranser per nät'!X$1,FALSE)
               +Andel_beroende_av_klimat*VLOOKUP($A423,Leveranser_per_nät,'Leveranser per nät'!X$1,FALSE)/VLOOKUP($B423,Korrigeringsfaktor_GD,'Korrigeringsfaktor GD'!X$1,FALSE),
"")</f>
        <v>31.593985714285715</v>
      </c>
      <c r="Y423" s="18">
        <f>IFERROR(
                  Andel_oberoende_av_klimat*VLOOKUP($A423,Leveranser_per_nät,'Leveranser per nät'!Y$1,FALSE)
               +Andel_beroende_av_klimat*VLOOKUP($A423,Leveranser_per_nät,'Leveranser per nät'!Y$1,FALSE)/VLOOKUP($B423,Korrigeringsfaktor_GD,'Korrigeringsfaktor GD'!Y$1,FALSE),
"")</f>
        <v>31.620051546391757</v>
      </c>
      <c r="Z423" s="18">
        <f>IFERROR(
                  Andel_oberoende_av_klimat*VLOOKUP($A423,Leveranser_per_nät,'Leveranser per nät'!Z$1,FALSE)
               +Andel_beroende_av_klimat*VLOOKUP($A423,Leveranser_per_nät,'Leveranser per nät'!Z$1,FALSE)/VLOOKUP($B423,Korrigeringsfaktor_GD,'Korrigeringsfaktor GD'!Z$1,FALSE),
"")</f>
        <v>32.669373737373739</v>
      </c>
      <c r="AA423" s="18">
        <f>IFERROR(
                  Andel_oberoende_av_klimat*VLOOKUP($A423,Leveranser_per_nät,'Leveranser per nät'!AA$1,FALSE)
               +Andel_beroende_av_klimat*VLOOKUP($A423,Leveranser_per_nät,'Leveranser per nät'!AA$1,FALSE)/VLOOKUP($B423,Korrigeringsfaktor_GD,'Korrigeringsfaktor GD'!AA$1,FALSE),
"")</f>
        <v>30.585530831460673</v>
      </c>
      <c r="AB423" s="18">
        <f>IFERROR(
                  Andel_oberoende_av_klimat*VLOOKUP($A423,Leveranser_per_nät,'Leveranser per nät'!AB$1,FALSE)
               +Andel_beroende_av_klimat*VLOOKUP($A423,Leveranser_per_nät,'Leveranser per nät'!AB$1,FALSE)/VLOOKUP($B423,Korrigeringsfaktor_GD,'Korrigeringsfaktor GD'!AB$1,FALSE),
"")</f>
        <v>31.761425065913372</v>
      </c>
      <c r="AC423" s="18">
        <f>IFERROR(
                  Andel_oberoende_av_klimat*VLOOKUP($A423,Leveranser_per_nät,'Leveranser per nät'!AC$1,FALSE)
               +Andel_beroende_av_klimat*VLOOKUP($A423,Leveranser_per_nät,'Leveranser per nät'!AC$1,FALSE)/VLOOKUP($B423,Korrigeringsfaktor_GD,'Korrigeringsfaktor GD'!AC$1,FALSE),
"")</f>
        <v>31.224726440849345</v>
      </c>
      <c r="AD423">
        <v>351.95330000000001</v>
      </c>
    </row>
    <row r="424" spans="1:30" x14ac:dyDescent="0.25">
      <c r="A424" t="s">
        <v>238</v>
      </c>
      <c r="B424" t="s">
        <v>238</v>
      </c>
      <c r="C424" s="18">
        <f>IFERROR(
                  Andel_oberoende_av_klimat*VLOOKUP($A424,Leveranser_per_nät,'Leveranser per nät'!C$1,FALSE)
               +Andel_beroende_av_klimat*VLOOKUP($A424,Leveranser_per_nät,'Leveranser per nät'!C$1,FALSE)/VLOOKUP($B424,Korrigeringsfaktor_GD,'Korrigeringsfaktor GD'!C$1,FALSE),
"")</f>
        <v>0</v>
      </c>
      <c r="D424" s="18">
        <f>IFERROR(
                  Andel_oberoende_av_klimat*VLOOKUP($A424,Leveranser_per_nät,'Leveranser per nät'!D$1,FALSE)
               +Andel_beroende_av_klimat*VLOOKUP($A424,Leveranser_per_nät,'Leveranser per nät'!D$1,FALSE)/VLOOKUP($B424,Korrigeringsfaktor_GD,'Korrigeringsfaktor GD'!D$1,FALSE),
"")</f>
        <v>0</v>
      </c>
      <c r="E424" s="18">
        <f>IFERROR(
                  Andel_oberoende_av_klimat*VLOOKUP($A424,Leveranser_per_nät,'Leveranser per nät'!E$1,FALSE)
               +Andel_beroende_av_klimat*VLOOKUP($A424,Leveranser_per_nät,'Leveranser per nät'!E$1,FALSE)/VLOOKUP($B424,Korrigeringsfaktor_GD,'Korrigeringsfaktor GD'!E$1,FALSE),
"")</f>
        <v>0</v>
      </c>
      <c r="F424" s="18">
        <f>IFERROR(
                  Andel_oberoende_av_klimat*VLOOKUP($A424,Leveranser_per_nät,'Leveranser per nät'!F$1,FALSE)
               +Andel_beroende_av_klimat*VLOOKUP($A424,Leveranser_per_nät,'Leveranser per nät'!F$1,FALSE)/VLOOKUP($B424,Korrigeringsfaktor_GD,'Korrigeringsfaktor GD'!F$1,FALSE),
"")</f>
        <v>0</v>
      </c>
      <c r="G424" s="18">
        <f>IFERROR(
                  Andel_oberoende_av_klimat*VLOOKUP($A424,Leveranser_per_nät,'Leveranser per nät'!G$1,FALSE)
               +Andel_beroende_av_klimat*VLOOKUP($A424,Leveranser_per_nät,'Leveranser per nät'!G$1,FALSE)/VLOOKUP($B424,Korrigeringsfaktor_GD,'Korrigeringsfaktor GD'!G$1,FALSE),
"")</f>
        <v>0</v>
      </c>
      <c r="H424" s="18">
        <f>IFERROR(
                  Andel_oberoende_av_klimat*VLOOKUP($A424,Leveranser_per_nät,'Leveranser per nät'!H$1,FALSE)
               +Andel_beroende_av_klimat*VLOOKUP($A424,Leveranser_per_nät,'Leveranser per nät'!H$1,FALSE)/VLOOKUP($B424,Korrigeringsfaktor_GD,'Korrigeringsfaktor GD'!H$1,FALSE),
"")</f>
        <v>0</v>
      </c>
      <c r="I424" s="18">
        <f>IFERROR(
                  Andel_oberoende_av_klimat*VLOOKUP($A424,Leveranser_per_nät,'Leveranser per nät'!I$1,FALSE)
               +Andel_beroende_av_klimat*VLOOKUP($A424,Leveranser_per_nät,'Leveranser per nät'!I$1,FALSE)/VLOOKUP($B424,Korrigeringsfaktor_GD,'Korrigeringsfaktor GD'!I$1,FALSE),
"")</f>
        <v>0</v>
      </c>
      <c r="J424" s="18">
        <f>IFERROR(
                  Andel_oberoende_av_klimat*VLOOKUP($A424,Leveranser_per_nät,'Leveranser per nät'!J$1,FALSE)
               +Andel_beroende_av_klimat*VLOOKUP($A424,Leveranser_per_nät,'Leveranser per nät'!J$1,FALSE)/VLOOKUP($B424,Korrigeringsfaktor_GD,'Korrigeringsfaktor GD'!J$1,FALSE),
"")</f>
        <v>0</v>
      </c>
      <c r="K424" s="18">
        <f>IFERROR(
                  Andel_oberoende_av_klimat*VLOOKUP($A424,Leveranser_per_nät,'Leveranser per nät'!K$1,FALSE)
               +Andel_beroende_av_klimat*VLOOKUP($A424,Leveranser_per_nät,'Leveranser per nät'!K$1,FALSE)/VLOOKUP($B424,Korrigeringsfaktor_GD,'Korrigeringsfaktor GD'!K$1,FALSE),
"")</f>
        <v>26.186828571428578</v>
      </c>
      <c r="L424" s="18">
        <f>IFERROR(
                  Andel_oberoende_av_klimat*VLOOKUP($A424,Leveranser_per_nät,'Leveranser per nät'!L$1,FALSE)
               +Andel_beroende_av_klimat*VLOOKUP($A424,Leveranser_per_nät,'Leveranser per nät'!L$1,FALSE)/VLOOKUP($B424,Korrigeringsfaktor_GD,'Korrigeringsfaktor GD'!L$1,FALSE),
"")</f>
        <v>26.717347368421052</v>
      </c>
      <c r="M424" s="18">
        <f>IFERROR(
                  Andel_oberoende_av_klimat*VLOOKUP($A424,Leveranser_per_nät,'Leveranser per nät'!M$1,FALSE)
               +Andel_beroende_av_klimat*VLOOKUP($A424,Leveranser_per_nät,'Leveranser per nät'!M$1,FALSE)/VLOOKUP($B424,Korrigeringsfaktor_GD,'Korrigeringsfaktor GD'!M$1,FALSE),
"")</f>
        <v>30.405582608695653</v>
      </c>
      <c r="N424" s="18">
        <f>IFERROR(
                  Andel_oberoende_av_klimat*VLOOKUP($A424,Leveranser_per_nät,'Leveranser per nät'!N$1,FALSE)
               +Andel_beroende_av_klimat*VLOOKUP($A424,Leveranser_per_nät,'Leveranser per nät'!N$1,FALSE)/VLOOKUP($B424,Korrigeringsfaktor_GD,'Korrigeringsfaktor GD'!N$1,FALSE),
"")</f>
        <v>34.892207692307693</v>
      </c>
      <c r="O424" s="18">
        <f>IFERROR(
                  Andel_oberoende_av_klimat*VLOOKUP($A424,Leveranser_per_nät,'Leveranser per nät'!O$1,FALSE)
               +Andel_beroende_av_klimat*VLOOKUP($A424,Leveranser_per_nät,'Leveranser per nät'!O$1,FALSE)/VLOOKUP($B424,Korrigeringsfaktor_GD,'Korrigeringsfaktor GD'!O$1,FALSE),
"")</f>
        <v>35.579599999999999</v>
      </c>
      <c r="P424" s="18">
        <f>IFERROR(
                  Andel_oberoende_av_klimat*VLOOKUP($A424,Leveranser_per_nät,'Leveranser per nät'!P$1,FALSE)
               +Andel_beroende_av_klimat*VLOOKUP($A424,Leveranser_per_nät,'Leveranser per nät'!P$1,FALSE)/VLOOKUP($B424,Korrigeringsfaktor_GD,'Korrigeringsfaktor GD'!P$1,FALSE),
"")</f>
        <v>37.626957142857144</v>
      </c>
      <c r="Q424" s="18">
        <f>IFERROR(
                  Andel_oberoende_av_klimat*VLOOKUP($A424,Leveranser_per_nät,'Leveranser per nät'!Q$1,FALSE)
               +Andel_beroende_av_klimat*VLOOKUP($A424,Leveranser_per_nät,'Leveranser per nät'!Q$1,FALSE)/VLOOKUP($B424,Korrigeringsfaktor_GD,'Korrigeringsfaktor GD'!Q$1,FALSE),
"")</f>
        <v>39.135826495726498</v>
      </c>
      <c r="R424" s="18">
        <f>IFERROR(
                  Andel_oberoende_av_klimat*VLOOKUP($A424,Leveranser_per_nät,'Leveranser per nät'!R$1,FALSE)
               +Andel_beroende_av_klimat*VLOOKUP($A424,Leveranser_per_nät,'Leveranser per nät'!R$1,FALSE)/VLOOKUP($B424,Korrigeringsfaktor_GD,'Korrigeringsfaktor GD'!R$1,FALSE),
"")</f>
        <v>38.385384615384616</v>
      </c>
      <c r="S424" s="18">
        <f>IFERROR(
                  Andel_oberoende_av_klimat*VLOOKUP($A424,Leveranser_per_nät,'Leveranser per nät'!S$1,FALSE)
               +Andel_beroende_av_klimat*VLOOKUP($A424,Leveranser_per_nät,'Leveranser per nät'!S$1,FALSE)/VLOOKUP($B424,Korrigeringsfaktor_GD,'Korrigeringsfaktor GD'!S$1,FALSE),
"")</f>
        <v>38.6</v>
      </c>
      <c r="T424" s="18">
        <f>IFERROR(
                  Andel_oberoende_av_klimat*VLOOKUP($A424,Leveranser_per_nät,'Leveranser per nät'!T$1,FALSE)
               +Andel_beroende_av_klimat*VLOOKUP($A424,Leveranser_per_nät,'Leveranser per nät'!T$1,FALSE)/VLOOKUP($B424,Korrigeringsfaktor_GD,'Korrigeringsfaktor GD'!T$1,FALSE),
"")</f>
        <v>37.630000000000003</v>
      </c>
      <c r="U424" s="18">
        <f>IFERROR(
                  Andel_oberoende_av_klimat*VLOOKUP($A424,Leveranser_per_nät,'Leveranser per nät'!U$1,FALSE)
               +Andel_beroende_av_klimat*VLOOKUP($A424,Leveranser_per_nät,'Leveranser per nät'!U$1,FALSE)/VLOOKUP($B424,Korrigeringsfaktor_GD,'Korrigeringsfaktor GD'!U$1,FALSE),
"")</f>
        <v>37.335402298850568</v>
      </c>
      <c r="V424" s="18">
        <f>IFERROR(
                  Andel_oberoende_av_klimat*VLOOKUP($A424,Leveranser_per_nät,'Leveranser per nät'!V$1,FALSE)
               +Andel_beroende_av_klimat*VLOOKUP($A424,Leveranser_per_nät,'Leveranser per nät'!V$1,FALSE)/VLOOKUP($B424,Korrigeringsfaktor_GD,'Korrigeringsfaktor GD'!V$1,FALSE),
"")</f>
        <v>38.550459770114941</v>
      </c>
      <c r="W424" s="18">
        <f>IFERROR(
                  Andel_oberoende_av_klimat*VLOOKUP($A424,Leveranser_per_nät,'Leveranser per nät'!W$1,FALSE)
               +Andel_beroende_av_klimat*VLOOKUP($A424,Leveranser_per_nät,'Leveranser per nät'!W$1,FALSE)/VLOOKUP($B424,Korrigeringsfaktor_GD,'Korrigeringsfaktor GD'!W$1,FALSE),
"")</f>
        <v>40.955555555555556</v>
      </c>
      <c r="X424" s="18">
        <f>IFERROR(
                  Andel_oberoende_av_klimat*VLOOKUP($A424,Leveranser_per_nät,'Leveranser per nät'!X$1,FALSE)
               +Andel_beroende_av_klimat*VLOOKUP($A424,Leveranser_per_nät,'Leveranser per nät'!X$1,FALSE)/VLOOKUP($B424,Korrigeringsfaktor_GD,'Korrigeringsfaktor GD'!X$1,FALSE),
"")</f>
        <v>38.245393258426972</v>
      </c>
      <c r="Y424" s="18">
        <f>IFERROR(
                  Andel_oberoende_av_klimat*VLOOKUP($A424,Leveranser_per_nät,'Leveranser per nät'!Y$1,FALSE)
               +Andel_beroende_av_klimat*VLOOKUP($A424,Leveranser_per_nät,'Leveranser per nät'!Y$1,FALSE)/VLOOKUP($B424,Korrigeringsfaktor_GD,'Korrigeringsfaktor GD'!Y$1,FALSE),
"")</f>
        <v>40.309775280898876</v>
      </c>
      <c r="Z424" s="18">
        <f>IFERROR(
                  Andel_oberoende_av_klimat*VLOOKUP($A424,Leveranser_per_nät,'Leveranser per nät'!Z$1,FALSE)
               +Andel_beroende_av_klimat*VLOOKUP($A424,Leveranser_per_nät,'Leveranser per nät'!Z$1,FALSE)/VLOOKUP($B424,Korrigeringsfaktor_GD,'Korrigeringsfaktor GD'!Z$1,FALSE),
"")</f>
        <v>40.334705882352942</v>
      </c>
      <c r="AA424" s="18">
        <f>IFERROR(
                  Andel_oberoende_av_klimat*VLOOKUP($A424,Leveranser_per_nät,'Leveranser per nät'!AA$1,FALSE)
               +Andel_beroende_av_klimat*VLOOKUP($A424,Leveranser_per_nät,'Leveranser per nät'!AA$1,FALSE)/VLOOKUP($B424,Korrigeringsfaktor_GD,'Korrigeringsfaktor GD'!AA$1,FALSE),
"")</f>
        <v>39.593759590792843</v>
      </c>
      <c r="AB424" s="18">
        <f>IFERROR(
                  Andel_oberoende_av_klimat*VLOOKUP($A424,Leveranser_per_nät,'Leveranser per nät'!AB$1,FALSE)
               +Andel_beroende_av_klimat*VLOOKUP($A424,Leveranser_per_nät,'Leveranser per nät'!AB$1,FALSE)/VLOOKUP($B424,Korrigeringsfaktor_GD,'Korrigeringsfaktor GD'!AB$1,FALSE),
"")</f>
        <v>38</v>
      </c>
      <c r="AC424" s="18">
        <f>IFERROR(
                  Andel_oberoende_av_klimat*VLOOKUP($A424,Leveranser_per_nät,'Leveranser per nät'!AC$1,FALSE)
               +Andel_beroende_av_klimat*VLOOKUP($A424,Leveranser_per_nät,'Leveranser per nät'!AC$1,FALSE)/VLOOKUP($B424,Korrigeringsfaktor_GD,'Korrigeringsfaktor GD'!AC$1,FALSE),
"")</f>
        <v>36.96943193997857</v>
      </c>
      <c r="AD424">
        <v>35.200000000000003</v>
      </c>
    </row>
    <row r="425" spans="1:30" x14ac:dyDescent="0.25">
      <c r="A425" t="s">
        <v>328</v>
      </c>
      <c r="B425" t="s">
        <v>328</v>
      </c>
      <c r="C425" s="18">
        <f>IFERROR(
                  Andel_oberoende_av_klimat*VLOOKUP($A425,Leveranser_per_nät,'Leveranser per nät'!C$1,FALSE)
               +Andel_beroende_av_klimat*VLOOKUP($A425,Leveranser_per_nät,'Leveranser per nät'!C$1,FALSE)/VLOOKUP($B425,Korrigeringsfaktor_GD,'Korrigeringsfaktor GD'!C$1,FALSE),
"")</f>
        <v>14.890090090090089</v>
      </c>
      <c r="D425" s="18">
        <f>IFERROR(
                  Andel_oberoende_av_klimat*VLOOKUP($A425,Leveranser_per_nät,'Leveranser per nät'!D$1,FALSE)
               +Andel_beroende_av_klimat*VLOOKUP($A425,Leveranser_per_nät,'Leveranser per nät'!D$1,FALSE)/VLOOKUP($B425,Korrigeringsfaktor_GD,'Korrigeringsfaktor GD'!D$1,FALSE),
"")</f>
        <v>16.515959595959593</v>
      </c>
      <c r="E425" s="18">
        <f>IFERROR(
                  Andel_oberoende_av_klimat*VLOOKUP($A425,Leveranser_per_nät,'Leveranser per nät'!E$1,FALSE)
               +Andel_beroende_av_klimat*VLOOKUP($A425,Leveranser_per_nät,'Leveranser per nät'!E$1,FALSE)/VLOOKUP($B425,Korrigeringsfaktor_GD,'Korrigeringsfaktor GD'!E$1,FALSE),
"")</f>
        <v>15.889108910891089</v>
      </c>
      <c r="F425" s="18">
        <f>IFERROR(
                  Andel_oberoende_av_klimat*VLOOKUP($A425,Leveranser_per_nät,'Leveranser per nät'!F$1,FALSE)
               +Andel_beroende_av_klimat*VLOOKUP($A425,Leveranser_per_nät,'Leveranser per nät'!F$1,FALSE)/VLOOKUP($B425,Korrigeringsfaktor_GD,'Korrigeringsfaktor GD'!F$1,FALSE),
"")</f>
        <v>16.714893617021275</v>
      </c>
      <c r="G425" s="18">
        <f>IFERROR(
                  Andel_oberoende_av_klimat*VLOOKUP($A425,Leveranser_per_nät,'Leveranser per nät'!G$1,FALSE)
               +Andel_beroende_av_klimat*VLOOKUP($A425,Leveranser_per_nät,'Leveranser per nät'!G$1,FALSE)/VLOOKUP($B425,Korrigeringsfaktor_GD,'Korrigeringsfaktor GD'!G$1,FALSE),
"")</f>
        <v>15.336363636363636</v>
      </c>
      <c r="H425" s="18">
        <f>IFERROR(
                  Andel_oberoende_av_klimat*VLOOKUP($A425,Leveranser_per_nät,'Leveranser per nät'!H$1,FALSE)
               +Andel_beroende_av_klimat*VLOOKUP($A425,Leveranser_per_nät,'Leveranser per nät'!H$1,FALSE)/VLOOKUP($B425,Korrigeringsfaktor_GD,'Korrigeringsfaktor GD'!H$1,FALSE),
"")</f>
        <v>18</v>
      </c>
      <c r="I425" s="18">
        <f>IFERROR(
                  Andel_oberoende_av_klimat*VLOOKUP($A425,Leveranser_per_nät,'Leveranser per nät'!I$1,FALSE)
               +Andel_beroende_av_klimat*VLOOKUP($A425,Leveranser_per_nät,'Leveranser per nät'!I$1,FALSE)/VLOOKUP($B425,Korrigeringsfaktor_GD,'Korrigeringsfaktor GD'!I$1,FALSE),
"")</f>
        <v>20.893617021276597</v>
      </c>
      <c r="J425" s="18">
        <f>IFERROR(
                  Andel_oberoende_av_klimat*VLOOKUP($A425,Leveranser_per_nät,'Leveranser per nät'!J$1,FALSE)
               +Andel_beroende_av_klimat*VLOOKUP($A425,Leveranser_per_nät,'Leveranser per nät'!J$1,FALSE)/VLOOKUP($B425,Korrigeringsfaktor_GD,'Korrigeringsfaktor GD'!J$1,FALSE),
"")</f>
        <v>21.3</v>
      </c>
      <c r="K425" s="18">
        <f>IFERROR(
                  Andel_oberoende_av_klimat*VLOOKUP($A425,Leveranser_per_nät,'Leveranser per nät'!K$1,FALSE)
               +Andel_beroende_av_klimat*VLOOKUP($A425,Leveranser_per_nät,'Leveranser per nät'!K$1,FALSE)/VLOOKUP($B425,Korrigeringsfaktor_GD,'Korrigeringsfaktor GD'!K$1,FALSE),
"")</f>
        <v>20.933978787878786</v>
      </c>
      <c r="L425" s="18">
        <f>IFERROR(
                  Andel_oberoende_av_klimat*VLOOKUP($A425,Leveranser_per_nät,'Leveranser per nät'!L$1,FALSE)
               +Andel_beroende_av_klimat*VLOOKUP($A425,Leveranser_per_nät,'Leveranser per nät'!L$1,FALSE)/VLOOKUP($B425,Korrigeringsfaktor_GD,'Korrigeringsfaktor GD'!L$1,FALSE),
"")</f>
        <v>23.693474999999999</v>
      </c>
      <c r="M425" s="18">
        <f>IFERROR(
                  Andel_oberoende_av_klimat*VLOOKUP($A425,Leveranser_per_nät,'Leveranser per nät'!M$1,FALSE)
               +Andel_beroende_av_klimat*VLOOKUP($A425,Leveranser_per_nät,'Leveranser per nät'!M$1,FALSE)/VLOOKUP($B425,Korrigeringsfaktor_GD,'Korrigeringsfaktor GD'!M$1,FALSE),
"")</f>
        <v>21.580107526881722</v>
      </c>
      <c r="N425" s="18">
        <f>IFERROR(
                  Andel_oberoende_av_klimat*VLOOKUP($A425,Leveranser_per_nät,'Leveranser per nät'!N$1,FALSE)
               +Andel_beroende_av_klimat*VLOOKUP($A425,Leveranser_per_nät,'Leveranser per nät'!N$1,FALSE)/VLOOKUP($B425,Korrigeringsfaktor_GD,'Korrigeringsfaktor GD'!N$1,FALSE),
"")</f>
        <v>25.447692307692307</v>
      </c>
      <c r="O425" s="18">
        <f>IFERROR(
                  Andel_oberoende_av_klimat*VLOOKUP($A425,Leveranser_per_nät,'Leveranser per nät'!O$1,FALSE)
               +Andel_beroende_av_klimat*VLOOKUP($A425,Leveranser_per_nät,'Leveranser per nät'!O$1,FALSE)/VLOOKUP($B425,Korrigeringsfaktor_GD,'Korrigeringsfaktor GD'!O$1,FALSE),
"")</f>
        <v>25.758888888888887</v>
      </c>
      <c r="P425" s="18">
        <f>IFERROR(
                  Andel_oberoende_av_klimat*VLOOKUP($A425,Leveranser_per_nät,'Leveranser per nät'!P$1,FALSE)
               +Andel_beroende_av_klimat*VLOOKUP($A425,Leveranser_per_nät,'Leveranser per nät'!P$1,FALSE)/VLOOKUP($B425,Korrigeringsfaktor_GD,'Korrigeringsfaktor GD'!P$1,FALSE),
"")</f>
        <v>26.460721649484537</v>
      </c>
      <c r="Q425" s="18">
        <f>IFERROR(
                  Andel_oberoende_av_klimat*VLOOKUP($A425,Leveranser_per_nät,'Leveranser per nät'!Q$1,FALSE)
               +Andel_beroende_av_klimat*VLOOKUP($A425,Leveranser_per_nät,'Leveranser per nät'!Q$1,FALSE)/VLOOKUP($B425,Korrigeringsfaktor_GD,'Korrigeringsfaktor GD'!Q$1,FALSE),
"")</f>
        <v>28.700701754385964</v>
      </c>
      <c r="R425" s="18">
        <f>IFERROR(
                  Andel_oberoende_av_klimat*VLOOKUP($A425,Leveranser_per_nät,'Leveranser per nät'!R$1,FALSE)
               +Andel_beroende_av_klimat*VLOOKUP($A425,Leveranser_per_nät,'Leveranser per nät'!R$1,FALSE)/VLOOKUP($B425,Korrigeringsfaktor_GD,'Korrigeringsfaktor GD'!R$1,FALSE),
"")</f>
        <v>27.158461538461538</v>
      </c>
      <c r="S425" s="18">
        <f>IFERROR(
                  Andel_oberoende_av_klimat*VLOOKUP($A425,Leveranser_per_nät,'Leveranser per nät'!S$1,FALSE)
               +Andel_beroende_av_klimat*VLOOKUP($A425,Leveranser_per_nät,'Leveranser per nät'!S$1,FALSE)/VLOOKUP($B425,Korrigeringsfaktor_GD,'Korrigeringsfaktor GD'!S$1,FALSE),
"")</f>
        <v>29.792079207920793</v>
      </c>
      <c r="T425" s="18">
        <f>IFERROR(
                  Andel_oberoende_av_klimat*VLOOKUP($A425,Leveranser_per_nät,'Leveranser per nät'!T$1,FALSE)
               +Andel_beroende_av_klimat*VLOOKUP($A425,Leveranser_per_nät,'Leveranser per nät'!T$1,FALSE)/VLOOKUP($B425,Korrigeringsfaktor_GD,'Korrigeringsfaktor GD'!T$1,FALSE),
"")</f>
        <v>29.414285714285711</v>
      </c>
      <c r="U425" s="18">
        <f>IFERROR(
                  Andel_oberoende_av_klimat*VLOOKUP($A425,Leveranser_per_nät,'Leveranser per nät'!U$1,FALSE)
               +Andel_beroende_av_klimat*VLOOKUP($A425,Leveranser_per_nät,'Leveranser per nät'!U$1,FALSE)/VLOOKUP($B425,Korrigeringsfaktor_GD,'Korrigeringsfaktor GD'!U$1,FALSE),
"")</f>
        <v>28.962790697674418</v>
      </c>
      <c r="V425" s="18">
        <f>IFERROR(
                  Andel_oberoende_av_klimat*VLOOKUP($A425,Leveranser_per_nät,'Leveranser per nät'!V$1,FALSE)
               +Andel_beroende_av_klimat*VLOOKUP($A425,Leveranser_per_nät,'Leveranser per nät'!V$1,FALSE)/VLOOKUP($B425,Korrigeringsfaktor_GD,'Korrigeringsfaktor GD'!V$1,FALSE),
"")</f>
        <v>29.423333333333332</v>
      </c>
      <c r="W425" s="18">
        <f>IFERROR(
                  Andel_oberoende_av_klimat*VLOOKUP($A425,Leveranser_per_nät,'Leveranser per nät'!W$1,FALSE)
               +Andel_beroende_av_klimat*VLOOKUP($A425,Leveranser_per_nät,'Leveranser per nät'!W$1,FALSE)/VLOOKUP($B425,Korrigeringsfaktor_GD,'Korrigeringsfaktor GD'!W$1,FALSE),
"")</f>
        <v>30.896436170212766</v>
      </c>
      <c r="X425" s="18">
        <f>IFERROR(
                  Andel_oberoende_av_klimat*VLOOKUP($A425,Leveranser_per_nät,'Leveranser per nät'!X$1,FALSE)
               +Andel_beroende_av_klimat*VLOOKUP($A425,Leveranser_per_nät,'Leveranser per nät'!X$1,FALSE)/VLOOKUP($B425,Korrigeringsfaktor_GD,'Korrigeringsfaktor GD'!X$1,FALSE),
"")</f>
        <v>30.828869565217389</v>
      </c>
      <c r="Y425" s="18">
        <f>IFERROR(
                  Andel_oberoende_av_klimat*VLOOKUP($A425,Leveranser_per_nät,'Leveranser per nät'!Y$1,FALSE)
               +Andel_beroende_av_klimat*VLOOKUP($A425,Leveranser_per_nät,'Leveranser per nät'!Y$1,FALSE)/VLOOKUP($B425,Korrigeringsfaktor_GD,'Korrigeringsfaktor GD'!Y$1,FALSE),
"")</f>
        <v>32.798684269662921</v>
      </c>
      <c r="Z425" s="18">
        <f>IFERROR(
                  Andel_oberoende_av_klimat*VLOOKUP($A425,Leveranser_per_nät,'Leveranser per nät'!Z$1,FALSE)
               +Andel_beroende_av_klimat*VLOOKUP($A425,Leveranser_per_nät,'Leveranser per nät'!Z$1,FALSE)/VLOOKUP($B425,Korrigeringsfaktor_GD,'Korrigeringsfaktor GD'!Z$1,FALSE),
"")</f>
        <v>30.536556179775282</v>
      </c>
      <c r="AA425" s="18">
        <f>IFERROR(
                  Andel_oberoende_av_klimat*VLOOKUP($A425,Leveranser_per_nät,'Leveranser per nät'!AA$1,FALSE)
               +Andel_beroende_av_klimat*VLOOKUP($A425,Leveranser_per_nät,'Leveranser per nät'!AA$1,FALSE)/VLOOKUP($B425,Korrigeringsfaktor_GD,'Korrigeringsfaktor GD'!AA$1,FALSE),
"")</f>
        <v>31.774233722989724</v>
      </c>
      <c r="AB425" s="18">
        <f>IFERROR(
                  Andel_oberoende_av_klimat*VLOOKUP($A425,Leveranser_per_nät,'Leveranser per nät'!AB$1,FALSE)
               +Andel_beroende_av_klimat*VLOOKUP($A425,Leveranser_per_nät,'Leveranser per nät'!AB$1,FALSE)/VLOOKUP($B425,Korrigeringsfaktor_GD,'Korrigeringsfaktor GD'!AB$1,FALSE),
"")</f>
        <v>33.361322155688626</v>
      </c>
      <c r="AC425" s="18">
        <f>IFERROR(
                  Andel_oberoende_av_klimat*VLOOKUP($A425,Leveranser_per_nät,'Leveranser per nät'!AC$1,FALSE)
               +Andel_beroende_av_klimat*VLOOKUP($A425,Leveranser_per_nät,'Leveranser per nät'!AC$1,FALSE)/VLOOKUP($B425,Korrigeringsfaktor_GD,'Korrigeringsfaktor GD'!AC$1,FALSE),
"")</f>
        <v>30.789594029850747</v>
      </c>
      <c r="AD425">
        <v>29.428000000000001</v>
      </c>
    </row>
    <row r="426" spans="1:30" x14ac:dyDescent="0.25">
      <c r="A426" t="s">
        <v>284</v>
      </c>
      <c r="B426" t="s">
        <v>282</v>
      </c>
      <c r="C426" s="18">
        <f>IFERROR(
                  Andel_oberoende_av_klimat*VLOOKUP($A426,Leveranser_per_nät,'Leveranser per nät'!C$1,FALSE)
               +Andel_beroende_av_klimat*VLOOKUP($A426,Leveranser_per_nät,'Leveranser per nät'!C$1,FALSE)/VLOOKUP($B426,Korrigeringsfaktor_GD,'Korrigeringsfaktor GD'!C$1,FALSE),
"")</f>
        <v>0</v>
      </c>
      <c r="D426" s="18">
        <f>IFERROR(
                  Andel_oberoende_av_klimat*VLOOKUP($A426,Leveranser_per_nät,'Leveranser per nät'!D$1,FALSE)
               +Andel_beroende_av_klimat*VLOOKUP($A426,Leveranser_per_nät,'Leveranser per nät'!D$1,FALSE)/VLOOKUP($B426,Korrigeringsfaktor_GD,'Korrigeringsfaktor GD'!D$1,FALSE),
"")</f>
        <v>0</v>
      </c>
      <c r="E426" s="18">
        <f>IFERROR(
                  Andel_oberoende_av_klimat*VLOOKUP($A426,Leveranser_per_nät,'Leveranser per nät'!E$1,FALSE)
               +Andel_beroende_av_klimat*VLOOKUP($A426,Leveranser_per_nät,'Leveranser per nät'!E$1,FALSE)/VLOOKUP($B426,Korrigeringsfaktor_GD,'Korrigeringsfaktor GD'!E$1,FALSE),
"")</f>
        <v>0</v>
      </c>
      <c r="F426" s="18">
        <f>IFERROR(
                  Andel_oberoende_av_klimat*VLOOKUP($A426,Leveranser_per_nät,'Leveranser per nät'!F$1,FALSE)
               +Andel_beroende_av_klimat*VLOOKUP($A426,Leveranser_per_nät,'Leveranser per nät'!F$1,FALSE)/VLOOKUP($B426,Korrigeringsfaktor_GD,'Korrigeringsfaktor GD'!F$1,FALSE),
"")</f>
        <v>0</v>
      </c>
      <c r="G426" s="18">
        <f>IFERROR(
                  Andel_oberoende_av_klimat*VLOOKUP($A426,Leveranser_per_nät,'Leveranser per nät'!G$1,FALSE)
               +Andel_beroende_av_klimat*VLOOKUP($A426,Leveranser_per_nät,'Leveranser per nät'!G$1,FALSE)/VLOOKUP($B426,Korrigeringsfaktor_GD,'Korrigeringsfaktor GD'!G$1,FALSE),
"")</f>
        <v>0</v>
      </c>
      <c r="H426" s="18">
        <f>IFERROR(
                  Andel_oberoende_av_klimat*VLOOKUP($A426,Leveranser_per_nät,'Leveranser per nät'!H$1,FALSE)
               +Andel_beroende_av_klimat*VLOOKUP($A426,Leveranser_per_nät,'Leveranser per nät'!H$1,FALSE)/VLOOKUP($B426,Korrigeringsfaktor_GD,'Korrigeringsfaktor GD'!H$1,FALSE),
"")</f>
        <v>0</v>
      </c>
      <c r="I426" s="18">
        <f>IFERROR(
                  Andel_oberoende_av_klimat*VLOOKUP($A426,Leveranser_per_nät,'Leveranser per nät'!I$1,FALSE)
               +Andel_beroende_av_klimat*VLOOKUP($A426,Leveranser_per_nät,'Leveranser per nät'!I$1,FALSE)/VLOOKUP($B426,Korrigeringsfaktor_GD,'Korrigeringsfaktor GD'!I$1,FALSE),
"")</f>
        <v>0</v>
      </c>
      <c r="J426" s="18">
        <f>IFERROR(
                  Andel_oberoende_av_klimat*VLOOKUP($A426,Leveranser_per_nät,'Leveranser per nät'!J$1,FALSE)
               +Andel_beroende_av_klimat*VLOOKUP($A426,Leveranser_per_nät,'Leveranser per nät'!J$1,FALSE)/VLOOKUP($B426,Korrigeringsfaktor_GD,'Korrigeringsfaktor GD'!J$1,FALSE),
"")</f>
        <v>0</v>
      </c>
      <c r="K426" s="18">
        <f>IFERROR(
                  Andel_oberoende_av_klimat*VLOOKUP($A426,Leveranser_per_nät,'Leveranser per nät'!K$1,FALSE)
               +Andel_beroende_av_klimat*VLOOKUP($A426,Leveranser_per_nät,'Leveranser per nät'!K$1,FALSE)/VLOOKUP($B426,Korrigeringsfaktor_GD,'Korrigeringsfaktor GD'!K$1,FALSE),
"")</f>
        <v>0</v>
      </c>
      <c r="L426" s="18">
        <f>IFERROR(
                  Andel_oberoende_av_klimat*VLOOKUP($A426,Leveranser_per_nät,'Leveranser per nät'!L$1,FALSE)
               +Andel_beroende_av_klimat*VLOOKUP($A426,Leveranser_per_nät,'Leveranser per nät'!L$1,FALSE)/VLOOKUP($B426,Korrigeringsfaktor_GD,'Korrigeringsfaktor GD'!L$1,FALSE),
"")</f>
        <v>0</v>
      </c>
      <c r="M426" s="18">
        <f>IFERROR(
                  Andel_oberoende_av_klimat*VLOOKUP($A426,Leveranser_per_nät,'Leveranser per nät'!M$1,FALSE)
               +Andel_beroende_av_klimat*VLOOKUP($A426,Leveranser_per_nät,'Leveranser per nät'!M$1,FALSE)/VLOOKUP($B426,Korrigeringsfaktor_GD,'Korrigeringsfaktor GD'!M$1,FALSE),
"")</f>
        <v>0</v>
      </c>
      <c r="N426" s="18">
        <f>IFERROR(
                  Andel_oberoende_av_klimat*VLOOKUP($A426,Leveranser_per_nät,'Leveranser per nät'!N$1,FALSE)
               +Andel_beroende_av_klimat*VLOOKUP($A426,Leveranser_per_nät,'Leveranser per nät'!N$1,FALSE)/VLOOKUP($B426,Korrigeringsfaktor_GD,'Korrigeringsfaktor GD'!N$1,FALSE),
"")</f>
        <v>0</v>
      </c>
      <c r="O426" s="18">
        <f>IFERROR(
                  Andel_oberoende_av_klimat*VLOOKUP($A426,Leveranser_per_nät,'Leveranser per nät'!O$1,FALSE)
               +Andel_beroende_av_klimat*VLOOKUP($A426,Leveranser_per_nät,'Leveranser per nät'!O$1,FALSE)/VLOOKUP($B426,Korrigeringsfaktor_GD,'Korrigeringsfaktor GD'!O$1,FALSE),
"")</f>
        <v>8.1063636363636355</v>
      </c>
      <c r="P426" s="18">
        <f>IFERROR(
                  Andel_oberoende_av_klimat*VLOOKUP($A426,Leveranser_per_nät,'Leveranser per nät'!P$1,FALSE)
               +Andel_beroende_av_klimat*VLOOKUP($A426,Leveranser_per_nät,'Leveranser per nät'!P$1,FALSE)/VLOOKUP($B426,Korrigeringsfaktor_GD,'Korrigeringsfaktor GD'!P$1,FALSE),
"")</f>
        <v>10.467428571428572</v>
      </c>
      <c r="Q426" s="18">
        <f>IFERROR(
                  Andel_oberoende_av_klimat*VLOOKUP($A426,Leveranser_per_nät,'Leveranser per nät'!Q$1,FALSE)
               +Andel_beroende_av_klimat*VLOOKUP($A426,Leveranser_per_nät,'Leveranser per nät'!Q$1,FALSE)/VLOOKUP($B426,Korrigeringsfaktor_GD,'Korrigeringsfaktor GD'!Q$1,FALSE),
"")</f>
        <v>8.2873043478260868</v>
      </c>
      <c r="R426" s="18">
        <f>IFERROR(
                  Andel_oberoende_av_klimat*VLOOKUP($A426,Leveranser_per_nät,'Leveranser per nät'!R$1,FALSE)
               +Andel_beroende_av_klimat*VLOOKUP($A426,Leveranser_per_nät,'Leveranser per nät'!R$1,FALSE)/VLOOKUP($B426,Korrigeringsfaktor_GD,'Korrigeringsfaktor GD'!R$1,FALSE),
"")</f>
        <v>7.638260869565217</v>
      </c>
      <c r="S426" s="18">
        <f>IFERROR(
                  Andel_oberoende_av_klimat*VLOOKUP($A426,Leveranser_per_nät,'Leveranser per nät'!S$1,FALSE)
               +Andel_beroende_av_klimat*VLOOKUP($A426,Leveranser_per_nät,'Leveranser per nät'!S$1,FALSE)/VLOOKUP($B426,Korrigeringsfaktor_GD,'Korrigeringsfaktor GD'!S$1,FALSE),
"")</f>
        <v>6.9500000000000011</v>
      </c>
      <c r="T426" s="18">
        <f>IFERROR(
                  Andel_oberoende_av_klimat*VLOOKUP($A426,Leveranser_per_nät,'Leveranser per nät'!T$1,FALSE)
               +Andel_beroende_av_klimat*VLOOKUP($A426,Leveranser_per_nät,'Leveranser per nät'!T$1,FALSE)/VLOOKUP($B426,Korrigeringsfaktor_GD,'Korrigeringsfaktor GD'!T$1,FALSE),
"")</f>
        <v>6.3602499999999997</v>
      </c>
      <c r="U426" s="18">
        <f>IFERROR(
                  Andel_oberoende_av_klimat*VLOOKUP($A426,Leveranser_per_nät,'Leveranser per nät'!U$1,FALSE)
               +Andel_beroende_av_klimat*VLOOKUP($A426,Leveranser_per_nät,'Leveranser per nät'!U$1,FALSE)/VLOOKUP($B426,Korrigeringsfaktor_GD,'Korrigeringsfaktor GD'!U$1,FALSE),
"")</f>
        <v>7.2144719101123593</v>
      </c>
      <c r="V426" s="18">
        <f>IFERROR(
                  Andel_oberoende_av_klimat*VLOOKUP($A426,Leveranser_per_nät,'Leveranser per nät'!V$1,FALSE)
               +Andel_beroende_av_klimat*VLOOKUP($A426,Leveranser_per_nät,'Leveranser per nät'!V$1,FALSE)/VLOOKUP($B426,Korrigeringsfaktor_GD,'Korrigeringsfaktor GD'!V$1,FALSE),
"")</f>
        <v>8.1501818181818191</v>
      </c>
      <c r="W426" s="18">
        <f>IFERROR(
                  Andel_oberoende_av_klimat*VLOOKUP($A426,Leveranser_per_nät,'Leveranser per nät'!W$1,FALSE)
               +Andel_beroende_av_klimat*VLOOKUP($A426,Leveranser_per_nät,'Leveranser per nät'!W$1,FALSE)/VLOOKUP($B426,Korrigeringsfaktor_GD,'Korrigeringsfaktor GD'!W$1,FALSE),
"")</f>
        <v>8.8546315789473677</v>
      </c>
      <c r="X426" s="18">
        <f>IFERROR(
                  Andel_oberoende_av_klimat*VLOOKUP($A426,Leveranser_per_nät,'Leveranser per nät'!X$1,FALSE)
               +Andel_beroende_av_klimat*VLOOKUP($A426,Leveranser_per_nät,'Leveranser per nät'!X$1,FALSE)/VLOOKUP($B426,Korrigeringsfaktor_GD,'Korrigeringsfaktor GD'!X$1,FALSE),
"")</f>
        <v>9.3081063829787247</v>
      </c>
      <c r="Y426" s="18">
        <f>IFERROR(
                  Andel_oberoende_av_klimat*VLOOKUP($A426,Leveranser_per_nät,'Leveranser per nät'!Y$1,FALSE)
               +Andel_beroende_av_klimat*VLOOKUP($A426,Leveranser_per_nät,'Leveranser per nät'!Y$1,FALSE)/VLOOKUP($B426,Korrigeringsfaktor_GD,'Korrigeringsfaktor GD'!Y$1,FALSE),
"")</f>
        <v>9.6215106382978739</v>
      </c>
      <c r="Z426" s="18">
        <f>IFERROR(
                  Andel_oberoende_av_klimat*VLOOKUP($A426,Leveranser_per_nät,'Leveranser per nät'!Z$1,FALSE)
               +Andel_beroende_av_klimat*VLOOKUP($A426,Leveranser_per_nät,'Leveranser per nät'!Z$1,FALSE)/VLOOKUP($B426,Korrigeringsfaktor_GD,'Korrigeringsfaktor GD'!Z$1,FALSE),
"")</f>
        <v>10.082846153846154</v>
      </c>
      <c r="AA426" s="18">
        <f>IFERROR(
                  Andel_oberoende_av_klimat*VLOOKUP($A426,Leveranser_per_nät,'Leveranser per nät'!AA$1,FALSE)
               +Andel_beroende_av_klimat*VLOOKUP($A426,Leveranser_per_nät,'Leveranser per nät'!AA$1,FALSE)/VLOOKUP($B426,Korrigeringsfaktor_GD,'Korrigeringsfaktor GD'!AA$1,FALSE),
"")</f>
        <v>10.508891079812207</v>
      </c>
      <c r="AB426" s="18">
        <f>IFERROR(
                  Andel_oberoende_av_klimat*VLOOKUP($A426,Leveranser_per_nät,'Leveranser per nät'!AB$1,FALSE)
               +Andel_beroende_av_klimat*VLOOKUP($A426,Leveranser_per_nät,'Leveranser per nät'!AB$1,FALSE)/VLOOKUP($B426,Korrigeringsfaktor_GD,'Korrigeringsfaktor GD'!AB$1,FALSE),
"")</f>
        <v>10.311224806201549</v>
      </c>
      <c r="AC426" s="18">
        <f>IFERROR(
                  Andel_oberoende_av_klimat*VLOOKUP($A426,Leveranser_per_nät,'Leveranser per nät'!AC$1,FALSE)
               +Andel_beroende_av_klimat*VLOOKUP($A426,Leveranser_per_nät,'Leveranser per nät'!AC$1,FALSE)/VLOOKUP($B426,Korrigeringsfaktor_GD,'Korrigeringsfaktor GD'!AC$1,FALSE),
"")</f>
        <v>10.151347150259067</v>
      </c>
      <c r="AD426">
        <v>21.28</v>
      </c>
    </row>
    <row r="427" spans="1:30" x14ac:dyDescent="0.25">
      <c r="A427" t="s">
        <v>212</v>
      </c>
      <c r="B427" t="s">
        <v>517</v>
      </c>
      <c r="C427" s="18">
        <f>IFERROR(
                  Andel_oberoende_av_klimat*VLOOKUP($A427,Leveranser_per_nät,'Leveranser per nät'!C$1,FALSE)
               +Andel_beroende_av_klimat*VLOOKUP($A427,Leveranser_per_nät,'Leveranser per nät'!C$1,FALSE)/VLOOKUP($B427,Korrigeringsfaktor_GD,'Korrigeringsfaktor GD'!C$1,FALSE),
"")</f>
        <v>0</v>
      </c>
      <c r="D427" s="18">
        <f>IFERROR(
                  Andel_oberoende_av_klimat*VLOOKUP($A427,Leveranser_per_nät,'Leveranser per nät'!D$1,FALSE)
               +Andel_beroende_av_klimat*VLOOKUP($A427,Leveranser_per_nät,'Leveranser per nät'!D$1,FALSE)/VLOOKUP($B427,Korrigeringsfaktor_GD,'Korrigeringsfaktor GD'!D$1,FALSE),
"")</f>
        <v>0</v>
      </c>
      <c r="E427" s="18">
        <f>IFERROR(
                  Andel_oberoende_av_klimat*VLOOKUP($A427,Leveranser_per_nät,'Leveranser per nät'!E$1,FALSE)
               +Andel_beroende_av_klimat*VLOOKUP($A427,Leveranser_per_nät,'Leveranser per nät'!E$1,FALSE)/VLOOKUP($B427,Korrigeringsfaktor_GD,'Korrigeringsfaktor GD'!E$1,FALSE),
"")</f>
        <v>0</v>
      </c>
      <c r="F427" s="18">
        <f>IFERROR(
                  Andel_oberoende_av_klimat*VLOOKUP($A427,Leveranser_per_nät,'Leveranser per nät'!F$1,FALSE)
               +Andel_beroende_av_klimat*VLOOKUP($A427,Leveranser_per_nät,'Leveranser per nät'!F$1,FALSE)/VLOOKUP($B427,Korrigeringsfaktor_GD,'Korrigeringsfaktor GD'!F$1,FALSE),
"")</f>
        <v>0</v>
      </c>
      <c r="G427" s="18">
        <f>IFERROR(
                  Andel_oberoende_av_klimat*VLOOKUP($A427,Leveranser_per_nät,'Leveranser per nät'!G$1,FALSE)
               +Andel_beroende_av_klimat*VLOOKUP($A427,Leveranser_per_nät,'Leveranser per nät'!G$1,FALSE)/VLOOKUP($B427,Korrigeringsfaktor_GD,'Korrigeringsfaktor GD'!G$1,FALSE),
"")</f>
        <v>0</v>
      </c>
      <c r="H427" s="18">
        <f>IFERROR(
                  Andel_oberoende_av_klimat*VLOOKUP($A427,Leveranser_per_nät,'Leveranser per nät'!H$1,FALSE)
               +Andel_beroende_av_klimat*VLOOKUP($A427,Leveranser_per_nät,'Leveranser per nät'!H$1,FALSE)/VLOOKUP($B427,Korrigeringsfaktor_GD,'Korrigeringsfaktor GD'!H$1,FALSE),
"")</f>
        <v>0</v>
      </c>
      <c r="I427" s="18">
        <f>IFERROR(
                  Andel_oberoende_av_klimat*VLOOKUP($A427,Leveranser_per_nät,'Leveranser per nät'!I$1,FALSE)
               +Andel_beroende_av_klimat*VLOOKUP($A427,Leveranser_per_nät,'Leveranser per nät'!I$1,FALSE)/VLOOKUP($B427,Korrigeringsfaktor_GD,'Korrigeringsfaktor GD'!I$1,FALSE),
"")</f>
        <v>11.953752631578947</v>
      </c>
      <c r="J427" s="18">
        <f>IFERROR(
                  Andel_oberoende_av_klimat*VLOOKUP($A427,Leveranser_per_nät,'Leveranser per nät'!J$1,FALSE)
               +Andel_beroende_av_klimat*VLOOKUP($A427,Leveranser_per_nät,'Leveranser per nät'!J$1,FALSE)/VLOOKUP($B427,Korrigeringsfaktor_GD,'Korrigeringsfaktor GD'!J$1,FALSE),
"")</f>
        <v>12.999268686868687</v>
      </c>
      <c r="K427" s="18">
        <f>IFERROR(
                  Andel_oberoende_av_klimat*VLOOKUP($A427,Leveranser_per_nät,'Leveranser per nät'!K$1,FALSE)
               +Andel_beroende_av_klimat*VLOOKUP($A427,Leveranser_per_nät,'Leveranser per nät'!K$1,FALSE)/VLOOKUP($B427,Korrigeringsfaktor_GD,'Korrigeringsfaktor GD'!K$1,FALSE),
"")</f>
        <v>12.861300000000002</v>
      </c>
      <c r="L427" s="18">
        <f>IFERROR(
                  Andel_oberoende_av_klimat*VLOOKUP($A427,Leveranser_per_nät,'Leveranser per nät'!L$1,FALSE)
               +Andel_beroende_av_klimat*VLOOKUP($A427,Leveranser_per_nät,'Leveranser per nät'!L$1,FALSE)/VLOOKUP($B427,Korrigeringsfaktor_GD,'Korrigeringsfaktor GD'!L$1,FALSE),
"")</f>
        <v>12.894581099795438</v>
      </c>
      <c r="M427" s="18">
        <f>IFERROR(
                  Andel_oberoende_av_klimat*VLOOKUP($A427,Leveranser_per_nät,'Leveranser per nät'!M$1,FALSE)
               +Andel_beroende_av_klimat*VLOOKUP($A427,Leveranser_per_nät,'Leveranser per nät'!M$1,FALSE)/VLOOKUP($B427,Korrigeringsfaktor_GD,'Korrigeringsfaktor GD'!M$1,FALSE),
"")</f>
        <v>16.307192473118278</v>
      </c>
      <c r="N427" s="18">
        <f>IFERROR(
                  Andel_oberoende_av_klimat*VLOOKUP($A427,Leveranser_per_nät,'Leveranser per nät'!N$1,FALSE)
               +Andel_beroende_av_klimat*VLOOKUP($A427,Leveranser_per_nät,'Leveranser per nät'!N$1,FALSE)/VLOOKUP($B427,Korrigeringsfaktor_GD,'Korrigeringsfaktor GD'!N$1,FALSE),
"")</f>
        <v>3.7423076923076923</v>
      </c>
      <c r="O427" s="18">
        <f>IFERROR(
                  Andel_oberoende_av_klimat*VLOOKUP($A427,Leveranser_per_nät,'Leveranser per nät'!O$1,FALSE)
               +Andel_beroende_av_klimat*VLOOKUP($A427,Leveranser_per_nät,'Leveranser per nät'!O$1,FALSE)/VLOOKUP($B427,Korrigeringsfaktor_GD,'Korrigeringsfaktor GD'!O$1,FALSE),
"")</f>
        <v>16.322272727272725</v>
      </c>
      <c r="P427" s="18">
        <f>IFERROR(
                  Andel_oberoende_av_klimat*VLOOKUP($A427,Leveranser_per_nät,'Leveranser per nät'!P$1,FALSE)
               +Andel_beroende_av_klimat*VLOOKUP($A427,Leveranser_per_nät,'Leveranser per nät'!P$1,FALSE)/VLOOKUP($B427,Korrigeringsfaktor_GD,'Korrigeringsfaktor GD'!P$1,FALSE),
"")</f>
        <v>13.895714285714284</v>
      </c>
      <c r="Q427" s="18">
        <f>IFERROR(
                  Andel_oberoende_av_klimat*VLOOKUP($A427,Leveranser_per_nät,'Leveranser per nät'!Q$1,FALSE)
               +Andel_beroende_av_klimat*VLOOKUP($A427,Leveranser_per_nät,'Leveranser per nät'!Q$1,FALSE)/VLOOKUP($B427,Korrigeringsfaktor_GD,'Korrigeringsfaktor GD'!Q$1,FALSE),
"")</f>
        <v>14.346758620689657</v>
      </c>
      <c r="R427" s="18">
        <f>IFERROR(
                  Andel_oberoende_av_klimat*VLOOKUP($A427,Leveranser_per_nät,'Leveranser per nät'!R$1,FALSE)
               +Andel_beroende_av_klimat*VLOOKUP($A427,Leveranser_per_nät,'Leveranser per nät'!R$1,FALSE)/VLOOKUP($B427,Korrigeringsfaktor_GD,'Korrigeringsfaktor GD'!R$1,FALSE),
"")</f>
        <v>13.793076923076923</v>
      </c>
      <c r="S427" s="18">
        <f>IFERROR(
                  Andel_oberoende_av_klimat*VLOOKUP($A427,Leveranser_per_nät,'Leveranser per nät'!S$1,FALSE)
               +Andel_beroende_av_klimat*VLOOKUP($A427,Leveranser_per_nät,'Leveranser per nät'!S$1,FALSE)/VLOOKUP($B427,Korrigeringsfaktor_GD,'Korrigeringsfaktor GD'!S$1,FALSE),
"")</f>
        <v>13.8</v>
      </c>
      <c r="T427" s="18">
        <f>IFERROR(
                  Andel_oberoende_av_klimat*VLOOKUP($A427,Leveranser_per_nät,'Leveranser per nät'!T$1,FALSE)
               +Andel_beroende_av_klimat*VLOOKUP($A427,Leveranser_per_nät,'Leveranser per nät'!T$1,FALSE)/VLOOKUP($B427,Korrigeringsfaktor_GD,'Korrigeringsfaktor GD'!T$1,FALSE),
"")</f>
        <v>20.841649484536081</v>
      </c>
      <c r="U427" s="18">
        <f>IFERROR(
                  Andel_oberoende_av_klimat*VLOOKUP($A427,Leveranser_per_nät,'Leveranser per nät'!U$1,FALSE)
               +Andel_beroende_av_klimat*VLOOKUP($A427,Leveranser_per_nät,'Leveranser per nät'!U$1,FALSE)/VLOOKUP($B427,Korrigeringsfaktor_GD,'Korrigeringsfaktor GD'!U$1,FALSE),
"")</f>
        <v>13.364157303370787</v>
      </c>
      <c r="V427" s="18">
        <f>IFERROR(
                  Andel_oberoende_av_klimat*VLOOKUP($A427,Leveranser_per_nät,'Leveranser per nät'!V$1,FALSE)
               +Andel_beroende_av_klimat*VLOOKUP($A427,Leveranser_per_nät,'Leveranser per nät'!V$1,FALSE)/VLOOKUP($B427,Korrigeringsfaktor_GD,'Korrigeringsfaktor GD'!V$1,FALSE),
"")</f>
        <v>14.24090909090909</v>
      </c>
      <c r="W427" s="18">
        <f>IFERROR(
                  Andel_oberoende_av_klimat*VLOOKUP($A427,Leveranser_per_nät,'Leveranser per nät'!W$1,FALSE)
               +Andel_beroende_av_klimat*VLOOKUP($A427,Leveranser_per_nät,'Leveranser per nät'!W$1,FALSE)/VLOOKUP($B427,Korrigeringsfaktor_GD,'Korrigeringsfaktor GD'!W$1,FALSE),
"")</f>
        <v>13.893684210526317</v>
      </c>
      <c r="X427" s="18">
        <f>IFERROR(
                  Andel_oberoende_av_klimat*VLOOKUP($A427,Leveranser_per_nät,'Leveranser per nät'!X$1,FALSE)
               +Andel_beroende_av_klimat*VLOOKUP($A427,Leveranser_per_nät,'Leveranser per nät'!X$1,FALSE)/VLOOKUP($B427,Korrigeringsfaktor_GD,'Korrigeringsfaktor GD'!X$1,FALSE),
"")</f>
        <v>14.527096774193549</v>
      </c>
      <c r="Y427" s="18">
        <f>IFERROR(
                  Andel_oberoende_av_klimat*VLOOKUP($A427,Leveranser_per_nät,'Leveranser per nät'!Y$1,FALSE)
               +Andel_beroende_av_klimat*VLOOKUP($A427,Leveranser_per_nät,'Leveranser per nät'!Y$1,FALSE)/VLOOKUP($B427,Korrigeringsfaktor_GD,'Korrigeringsfaktor GD'!Y$1,FALSE),
"")</f>
        <v>14.019617021276598</v>
      </c>
      <c r="Z427" s="18">
        <f>IFERROR(
                  Andel_oberoende_av_klimat*VLOOKUP($A427,Leveranser_per_nät,'Leveranser per nät'!Z$1,FALSE)
               +Andel_beroende_av_klimat*VLOOKUP($A427,Leveranser_per_nät,'Leveranser per nät'!Z$1,FALSE)/VLOOKUP($B427,Korrigeringsfaktor_GD,'Korrigeringsfaktor GD'!Z$1,FALSE),
"")</f>
        <v>12.760999999999999</v>
      </c>
      <c r="AA427" s="18">
        <f>IFERROR(
                  Andel_oberoende_av_klimat*VLOOKUP($A427,Leveranser_per_nät,'Leveranser per nät'!AA$1,FALSE)
               +Andel_beroende_av_klimat*VLOOKUP($A427,Leveranser_per_nät,'Leveranser per nät'!AA$1,FALSE)/VLOOKUP($B427,Korrigeringsfaktor_GD,'Korrigeringsfaktor GD'!AA$1,FALSE),
"")</f>
        <v>12.619486304305475</v>
      </c>
      <c r="AB427" s="18">
        <f>IFERROR(
                  Andel_oberoende_av_klimat*VLOOKUP($A427,Leveranser_per_nät,'Leveranser per nät'!AB$1,FALSE)
               +Andel_beroende_av_klimat*VLOOKUP($A427,Leveranser_per_nät,'Leveranser per nät'!AB$1,FALSE)/VLOOKUP($B427,Korrigeringsfaktor_GD,'Korrigeringsfaktor GD'!AB$1,FALSE),
"")</f>
        <v>13.321281120943951</v>
      </c>
      <c r="AC427" s="18">
        <f>IFERROR(
                  Andel_oberoende_av_klimat*VLOOKUP($A427,Leveranser_per_nät,'Leveranser per nät'!AC$1,FALSE)
               +Andel_beroende_av_klimat*VLOOKUP($A427,Leveranser_per_nät,'Leveranser per nät'!AC$1,FALSE)/VLOOKUP($B427,Korrigeringsfaktor_GD,'Korrigeringsfaktor GD'!AC$1,FALSE),
"")</f>
        <v>12.651085623678647</v>
      </c>
      <c r="AD427" t="e">
        <v>#N/A</v>
      </c>
    </row>
    <row r="428" spans="1:30" x14ac:dyDescent="0.25">
      <c r="A428" t="s">
        <v>169</v>
      </c>
      <c r="B428" t="s">
        <v>168</v>
      </c>
      <c r="C428" s="18">
        <f>IFERROR(
                  Andel_oberoende_av_klimat*VLOOKUP($A428,Leveranser_per_nät,'Leveranser per nät'!C$1,FALSE)
               +Andel_beroende_av_klimat*VLOOKUP($A428,Leveranser_per_nät,'Leveranser per nät'!C$1,FALSE)/VLOOKUP($B428,Korrigeringsfaktor_GD,'Korrigeringsfaktor GD'!C$1,FALSE),
"")</f>
        <v>0</v>
      </c>
      <c r="D428" s="18">
        <f>IFERROR(
                  Andel_oberoende_av_klimat*VLOOKUP($A428,Leveranser_per_nät,'Leveranser per nät'!D$1,FALSE)
               +Andel_beroende_av_klimat*VLOOKUP($A428,Leveranser_per_nät,'Leveranser per nät'!D$1,FALSE)/VLOOKUP($B428,Korrigeringsfaktor_GD,'Korrigeringsfaktor GD'!D$1,FALSE),
"")</f>
        <v>0</v>
      </c>
      <c r="E428" s="18">
        <f>IFERROR(
                  Andel_oberoende_av_klimat*VLOOKUP($A428,Leveranser_per_nät,'Leveranser per nät'!E$1,FALSE)
               +Andel_beroende_av_klimat*VLOOKUP($A428,Leveranser_per_nät,'Leveranser per nät'!E$1,FALSE)/VLOOKUP($B428,Korrigeringsfaktor_GD,'Korrigeringsfaktor GD'!E$1,FALSE),
"")</f>
        <v>0</v>
      </c>
      <c r="F428" s="18">
        <f>IFERROR(
                  Andel_oberoende_av_klimat*VLOOKUP($A428,Leveranser_per_nät,'Leveranser per nät'!F$1,FALSE)
               +Andel_beroende_av_klimat*VLOOKUP($A428,Leveranser_per_nät,'Leveranser per nät'!F$1,FALSE)/VLOOKUP($B428,Korrigeringsfaktor_GD,'Korrigeringsfaktor GD'!F$1,FALSE),
"")</f>
        <v>0</v>
      </c>
      <c r="G428" s="18">
        <f>IFERROR(
                  Andel_oberoende_av_klimat*VLOOKUP($A428,Leveranser_per_nät,'Leveranser per nät'!G$1,FALSE)
               +Andel_beroende_av_klimat*VLOOKUP($A428,Leveranser_per_nät,'Leveranser per nät'!G$1,FALSE)/VLOOKUP($B428,Korrigeringsfaktor_GD,'Korrigeringsfaktor GD'!G$1,FALSE),
"")</f>
        <v>0</v>
      </c>
      <c r="H428" s="18">
        <f>IFERROR(
                  Andel_oberoende_av_klimat*VLOOKUP($A428,Leveranser_per_nät,'Leveranser per nät'!H$1,FALSE)
               +Andel_beroende_av_klimat*VLOOKUP($A428,Leveranser_per_nät,'Leveranser per nät'!H$1,FALSE)/VLOOKUP($B428,Korrigeringsfaktor_GD,'Korrigeringsfaktor GD'!H$1,FALSE),
"")</f>
        <v>0</v>
      </c>
      <c r="I428" s="18">
        <f>IFERROR(
                  Andel_oberoende_av_klimat*VLOOKUP($A428,Leveranser_per_nät,'Leveranser per nät'!I$1,FALSE)
               +Andel_beroende_av_klimat*VLOOKUP($A428,Leveranser_per_nät,'Leveranser per nät'!I$1,FALSE)/VLOOKUP($B428,Korrigeringsfaktor_GD,'Korrigeringsfaktor GD'!I$1,FALSE),
"")</f>
        <v>0</v>
      </c>
      <c r="J428" s="18">
        <f>IFERROR(
                  Andel_oberoende_av_klimat*VLOOKUP($A428,Leveranser_per_nät,'Leveranser per nät'!J$1,FALSE)
               +Andel_beroende_av_klimat*VLOOKUP($A428,Leveranser_per_nät,'Leveranser per nät'!J$1,FALSE)/VLOOKUP($B428,Korrigeringsfaktor_GD,'Korrigeringsfaktor GD'!J$1,FALSE),
"")</f>
        <v>0</v>
      </c>
      <c r="K428" s="18">
        <f>IFERROR(
                  Andel_oberoende_av_klimat*VLOOKUP($A428,Leveranser_per_nät,'Leveranser per nät'!K$1,FALSE)
               +Andel_beroende_av_klimat*VLOOKUP($A428,Leveranser_per_nät,'Leveranser per nät'!K$1,FALSE)/VLOOKUP($B428,Korrigeringsfaktor_GD,'Korrigeringsfaktor GD'!K$1,FALSE),
"")</f>
        <v>1.4433285714285715</v>
      </c>
      <c r="L428" s="18">
        <f>IFERROR(
                  Andel_oberoende_av_klimat*VLOOKUP($A428,Leveranser_per_nät,'Leveranser per nät'!L$1,FALSE)
               +Andel_beroende_av_klimat*VLOOKUP($A428,Leveranser_per_nät,'Leveranser per nät'!L$1,FALSE)/VLOOKUP($B428,Korrigeringsfaktor_GD,'Korrigeringsfaktor GD'!L$1,FALSE),
"")</f>
        <v>1.6879789473684212</v>
      </c>
      <c r="M428" s="18">
        <f>IFERROR(
                  Andel_oberoende_av_klimat*VLOOKUP($A428,Leveranser_per_nät,'Leveranser per nät'!M$1,FALSE)
               +Andel_beroende_av_klimat*VLOOKUP($A428,Leveranser_per_nät,'Leveranser per nät'!M$1,FALSE)/VLOOKUP($B428,Korrigeringsfaktor_GD,'Korrigeringsfaktor GD'!M$1,FALSE),
"")</f>
        <v>1.7264086021505374</v>
      </c>
      <c r="N428" s="18">
        <f>IFERROR(
                  Andel_oberoende_av_klimat*VLOOKUP($A428,Leveranser_per_nät,'Leveranser per nät'!N$1,FALSE)
               +Andel_beroende_av_klimat*VLOOKUP($A428,Leveranser_per_nät,'Leveranser per nät'!N$1,FALSE)/VLOOKUP($B428,Korrigeringsfaktor_GD,'Korrigeringsfaktor GD'!N$1,FALSE),
"")</f>
        <v>1.2403076923076923</v>
      </c>
      <c r="O428" s="18">
        <f>IFERROR(
                  Andel_oberoende_av_klimat*VLOOKUP($A428,Leveranser_per_nät,'Leveranser per nät'!O$1,FALSE)
               +Andel_beroende_av_klimat*VLOOKUP($A428,Leveranser_per_nät,'Leveranser per nät'!O$1,FALSE)/VLOOKUP($B428,Korrigeringsfaktor_GD,'Korrigeringsfaktor GD'!O$1,FALSE),
"")</f>
        <v>1.2603595505617977</v>
      </c>
      <c r="P428" s="18">
        <f>IFERROR(
                  Andel_oberoende_av_klimat*VLOOKUP($A428,Leveranser_per_nät,'Leveranser per nät'!P$1,FALSE)
               +Andel_beroende_av_klimat*VLOOKUP($A428,Leveranser_per_nät,'Leveranser per nät'!P$1,FALSE)/VLOOKUP($B428,Korrigeringsfaktor_GD,'Korrigeringsfaktor GD'!P$1,FALSE),
"")</f>
        <v>0</v>
      </c>
      <c r="Q428" s="18">
        <f>IFERROR(
                  Andel_oberoende_av_klimat*VLOOKUP($A428,Leveranser_per_nät,'Leveranser per nät'!Q$1,FALSE)
               +Andel_beroende_av_klimat*VLOOKUP($A428,Leveranser_per_nät,'Leveranser per nät'!Q$1,FALSE)/VLOOKUP($B428,Korrigeringsfaktor_GD,'Korrigeringsfaktor GD'!Q$1,FALSE),
"")</f>
        <v>0</v>
      </c>
      <c r="R428" s="18">
        <f>IFERROR(
                  Andel_oberoende_av_klimat*VLOOKUP($A428,Leveranser_per_nät,'Leveranser per nät'!R$1,FALSE)
               +Andel_beroende_av_klimat*VLOOKUP($A428,Leveranser_per_nät,'Leveranser per nät'!R$1,FALSE)/VLOOKUP($B428,Korrigeringsfaktor_GD,'Korrigeringsfaktor GD'!R$1,FALSE),
"")</f>
        <v>0</v>
      </c>
      <c r="S428" s="18">
        <f>IFERROR(
                  Andel_oberoende_av_klimat*VLOOKUP($A428,Leveranser_per_nät,'Leveranser per nät'!S$1,FALSE)
               +Andel_beroende_av_klimat*VLOOKUP($A428,Leveranser_per_nät,'Leveranser per nät'!S$1,FALSE)/VLOOKUP($B428,Korrigeringsfaktor_GD,'Korrigeringsfaktor GD'!S$1,FALSE),
"")</f>
        <v>2.6</v>
      </c>
      <c r="T428" s="18">
        <f>IFERROR(
                  Andel_oberoende_av_klimat*VLOOKUP($A428,Leveranser_per_nät,'Leveranser per nät'!T$1,FALSE)
               +Andel_beroende_av_klimat*VLOOKUP($A428,Leveranser_per_nät,'Leveranser per nät'!T$1,FALSE)/VLOOKUP($B428,Korrigeringsfaktor_GD,'Korrigeringsfaktor GD'!T$1,FALSE),
"")</f>
        <v>2.2476288659793817</v>
      </c>
      <c r="U428" s="18">
        <f>IFERROR(
                  Andel_oberoende_av_klimat*VLOOKUP($A428,Leveranser_per_nät,'Leveranser per nät'!U$1,FALSE)
               +Andel_beroende_av_klimat*VLOOKUP($A428,Leveranser_per_nät,'Leveranser per nät'!U$1,FALSE)/VLOOKUP($B428,Korrigeringsfaktor_GD,'Korrigeringsfaktor GD'!U$1,FALSE),
"")</f>
        <v>5.6963636363636363</v>
      </c>
      <c r="V428" s="18">
        <f>IFERROR(
                  Andel_oberoende_av_klimat*VLOOKUP($A428,Leveranser_per_nät,'Leveranser per nät'!V$1,FALSE)
               +Andel_beroende_av_klimat*VLOOKUP($A428,Leveranser_per_nät,'Leveranser per nät'!V$1,FALSE)/VLOOKUP($B428,Korrigeringsfaktor_GD,'Korrigeringsfaktor GD'!V$1,FALSE),
"")</f>
        <v>13.912272727272727</v>
      </c>
      <c r="W428" s="18">
        <f>IFERROR(
                  Andel_oberoende_av_klimat*VLOOKUP($A428,Leveranser_per_nät,'Leveranser per nät'!W$1,FALSE)
               +Andel_beroende_av_klimat*VLOOKUP($A428,Leveranser_per_nät,'Leveranser per nät'!W$1,FALSE)/VLOOKUP($B428,Korrigeringsfaktor_GD,'Korrigeringsfaktor GD'!W$1,FALSE),
"")</f>
        <v>13.474408602150536</v>
      </c>
      <c r="X428" s="18">
        <f>IFERROR(
                  Andel_oberoende_av_klimat*VLOOKUP($A428,Leveranser_per_nät,'Leveranser per nät'!X$1,FALSE)
               +Andel_beroende_av_klimat*VLOOKUP($A428,Leveranser_per_nät,'Leveranser per nät'!X$1,FALSE)/VLOOKUP($B428,Korrigeringsfaktor_GD,'Korrigeringsfaktor GD'!X$1,FALSE),
"")</f>
        <v>14.421827956989244</v>
      </c>
      <c r="Y428" s="18">
        <f>IFERROR(
                  Andel_oberoende_av_klimat*VLOOKUP($A428,Leveranser_per_nät,'Leveranser per nät'!Y$1,FALSE)
               +Andel_beroende_av_klimat*VLOOKUP($A428,Leveranser_per_nät,'Leveranser per nät'!Y$1,FALSE)/VLOOKUP($B428,Korrigeringsfaktor_GD,'Korrigeringsfaktor GD'!Y$1,FALSE),
"")</f>
        <v>14.74608695652174</v>
      </c>
      <c r="Z428" s="18">
        <f>IFERROR(
                  Andel_oberoende_av_klimat*VLOOKUP($A428,Leveranser_per_nät,'Leveranser per nät'!Z$1,FALSE)
               +Andel_beroende_av_klimat*VLOOKUP($A428,Leveranser_per_nät,'Leveranser per nät'!Z$1,FALSE)/VLOOKUP($B428,Korrigeringsfaktor_GD,'Korrigeringsfaktor GD'!Z$1,FALSE),
"")</f>
        <v>6.9589655172413778</v>
      </c>
      <c r="AA428" s="18">
        <f>IFERROR(
                  Andel_oberoende_av_klimat*VLOOKUP($A428,Leveranser_per_nät,'Leveranser per nät'!AA$1,FALSE)
               +Andel_beroende_av_klimat*VLOOKUP($A428,Leveranser_per_nät,'Leveranser per nät'!AA$1,FALSE)/VLOOKUP($B428,Korrigeringsfaktor_GD,'Korrigeringsfaktor GD'!AA$1,FALSE),
"")</f>
        <v>0</v>
      </c>
      <c r="AB428" s="18">
        <f>IFERROR(
                  Andel_oberoende_av_klimat*VLOOKUP($A428,Leveranser_per_nät,'Leveranser per nät'!AB$1,FALSE)
               +Andel_beroende_av_klimat*VLOOKUP($A428,Leveranser_per_nät,'Leveranser per nät'!AB$1,FALSE)/VLOOKUP($B428,Korrigeringsfaktor_GD,'Korrigeringsfaktor GD'!AB$1,FALSE),
"")</f>
        <v>0</v>
      </c>
      <c r="AC428" s="18">
        <f>IFERROR(
                  Andel_oberoende_av_klimat*VLOOKUP($A428,Leveranser_per_nät,'Leveranser per nät'!AC$1,FALSE)
               +Andel_beroende_av_klimat*VLOOKUP($A428,Leveranser_per_nät,'Leveranser per nät'!AC$1,FALSE)/VLOOKUP($B428,Korrigeringsfaktor_GD,'Korrigeringsfaktor GD'!AC$1,FALSE),
"")</f>
        <v>0</v>
      </c>
      <c r="AD428">
        <v>163.92</v>
      </c>
    </row>
    <row r="429" spans="1:30" x14ac:dyDescent="0.25">
      <c r="A429" t="s">
        <v>59</v>
      </c>
      <c r="B429" t="s">
        <v>59</v>
      </c>
      <c r="C429" s="18">
        <f>IFERROR(
                  Andel_oberoende_av_klimat*VLOOKUP($A429,Leveranser_per_nät,'Leveranser per nät'!C$1,FALSE)
               +Andel_beroende_av_klimat*VLOOKUP($A429,Leveranser_per_nät,'Leveranser per nät'!C$1,FALSE)/VLOOKUP("Täby",Korrigeringsfaktor_GD,'Korrigeringsfaktor GD'!C$1,FALSE),
"")</f>
        <v>47.123412612612611</v>
      </c>
      <c r="D429" s="18">
        <f>IFERROR(
                  Andel_oberoende_av_klimat*VLOOKUP($A429,Leveranser_per_nät,'Leveranser per nät'!D$1,FALSE)
               +Andel_beroende_av_klimat*VLOOKUP($A429,Leveranser_per_nät,'Leveranser per nät'!D$1,FALSE)/VLOOKUP("Täby",Korrigeringsfaktor_GD,'Korrigeringsfaktor GD'!D$1,FALSE),
"")</f>
        <v>48.017131313131316</v>
      </c>
      <c r="E429" s="18">
        <f>IFERROR(
                  Andel_oberoende_av_klimat*VLOOKUP($A429,Leveranser_per_nät,'Leveranser per nät'!E$1,FALSE)
               +Andel_beroende_av_klimat*VLOOKUP($A429,Leveranser_per_nät,'Leveranser per nät'!E$1,FALSE)/VLOOKUP("Täby",Korrigeringsfaktor_GD,'Korrigeringsfaktor GD'!E$1,FALSE),
"")</f>
        <v>46.674257425742574</v>
      </c>
      <c r="F429" s="18">
        <f>IFERROR(
                  Andel_oberoende_av_klimat*VLOOKUP($A429,Leveranser_per_nät,'Leveranser per nät'!F$1,FALSE)
               +Andel_beroende_av_klimat*VLOOKUP($A429,Leveranser_per_nät,'Leveranser per nät'!F$1,FALSE)/VLOOKUP("Täby",Korrigeringsfaktor_GD,'Korrigeringsfaktor GD'!F$1,FALSE),
"")</f>
        <v>48.423655913978493</v>
      </c>
      <c r="G429" s="18">
        <f>IFERROR(
                  Andel_oberoende_av_klimat*VLOOKUP($A429,Leveranser_per_nät,'Leveranser per nät'!G$1,FALSE)
               +Andel_beroende_av_klimat*VLOOKUP($A429,Leveranser_per_nät,'Leveranser per nät'!G$1,FALSE)/VLOOKUP("Täby",Korrigeringsfaktor_GD,'Korrigeringsfaktor GD'!G$1,FALSE),
"")</f>
        <v>50.811494252873565</v>
      </c>
      <c r="H429" s="18">
        <f>IFERROR(
                  Andel_oberoende_av_klimat*VLOOKUP($A429,Leveranser_per_nät,'Leveranser per nät'!H$1,FALSE)
               +Andel_beroende_av_klimat*VLOOKUP($A429,Leveranser_per_nät,'Leveranser per nät'!H$1,FALSE)/VLOOKUP("Täby",Korrigeringsfaktor_GD,'Korrigeringsfaktor GD'!H$1,FALSE),
"")</f>
        <v>50.714285714285715</v>
      </c>
      <c r="I429" s="18">
        <f>IFERROR(
                  Andel_oberoende_av_klimat*VLOOKUP($A429,Leveranser_per_nät,'Leveranser per nät'!I$1,FALSE)
               +Andel_beroende_av_klimat*VLOOKUP($A429,Leveranser_per_nät,'Leveranser per nät'!I$1,FALSE)/VLOOKUP("Täby",Korrigeringsfaktor_GD,'Korrigeringsfaktor GD'!I$1,FALSE),
"")</f>
        <v>57.196966666666668</v>
      </c>
      <c r="J429" s="18">
        <f>IFERROR(
                  Andel_oberoende_av_klimat*VLOOKUP($A429,Leveranser_per_nät,'Leveranser per nät'!J$1,FALSE)
               +Andel_beroende_av_klimat*VLOOKUP($A429,Leveranser_per_nät,'Leveranser per nät'!J$1,FALSE)/VLOOKUP("Täby",Korrigeringsfaktor_GD,'Korrigeringsfaktor GD'!J$1,FALSE),
"")</f>
        <v>58.410101010101002</v>
      </c>
      <c r="K429" s="18">
        <f>IFERROR(
                  Andel_oberoende_av_klimat*VLOOKUP($A429,Leveranser_per_nät,'Leveranser per nät'!K$1,FALSE)
               +Andel_beroende_av_klimat*VLOOKUP($A429,Leveranser_per_nät,'Leveranser per nät'!K$1,FALSE)/VLOOKUP("Täby",Korrigeringsfaktor_GD,'Korrigeringsfaktor GD'!K$1,FALSE),
"")</f>
        <v>59.050699999999992</v>
      </c>
      <c r="L429" s="18">
        <f>IFERROR(
                  Andel_oberoende_av_klimat*VLOOKUP($A429,Leveranser_per_nät,'Leveranser per nät'!L$1,FALSE)
               +Andel_beroende_av_klimat*VLOOKUP($A429,Leveranser_per_nät,'Leveranser per nät'!L$1,FALSE)/VLOOKUP("Täby",Korrigeringsfaktor_GD,'Korrigeringsfaktor GD'!L$1,FALSE),
"")</f>
        <v>58.51107368421053</v>
      </c>
      <c r="M429" s="18">
        <f>IFERROR(
                  Andel_oberoende_av_klimat*VLOOKUP($A429,Leveranser_per_nät,'Leveranser per nät'!M$1,FALSE)
               +Andel_beroende_av_klimat*VLOOKUP($A429,Leveranser_per_nät,'Leveranser per nät'!M$1,FALSE)/VLOOKUP("Täby",Korrigeringsfaktor_GD,'Korrigeringsfaktor GD'!M$1,FALSE),
"")</f>
        <v>52.194782608695654</v>
      </c>
      <c r="N429" s="18">
        <f>IFERROR(
                  Andel_oberoende_av_klimat*VLOOKUP($A429,Leveranser_per_nät,'Leveranser per nät'!N$1,FALSE)
               +Andel_beroende_av_klimat*VLOOKUP($A429,Leveranser_per_nät,'Leveranser per nät'!N$1,FALSE)/VLOOKUP("Täby",Korrigeringsfaktor_GD,'Korrigeringsfaktor GD'!N$1,FALSE),
"")</f>
        <v>52.694452173913049</v>
      </c>
      <c r="O429" s="18">
        <f>IFERROR(
                  Andel_oberoende_av_klimat*VLOOKUP($A429,Leveranser_per_nät,'Leveranser per nät'!O$1,FALSE)
               +Andel_beroende_av_klimat*VLOOKUP($A429,Leveranser_per_nät,'Leveranser per nät'!O$1,FALSE)/VLOOKUP("Täby",Korrigeringsfaktor_GD,'Korrigeringsfaktor GD'!O$1,FALSE),
"")</f>
        <v>46.55681818181818</v>
      </c>
      <c r="P429" s="18">
        <f>IFERROR(
                  Andel_oberoende_av_klimat*VLOOKUP($A429,Leveranser_per_nät,'Leveranser per nät'!P$1,FALSE)
               +Andel_beroende_av_klimat*VLOOKUP($A429,Leveranser_per_nät,'Leveranser per nät'!P$1,FALSE)/VLOOKUP("Täby",Korrigeringsfaktor_GD,'Korrigeringsfaktor GD'!P$1,FALSE),
"")</f>
        <v>57.633333333333333</v>
      </c>
      <c r="Q429" s="18">
        <f>IFERROR(
                  Andel_oberoende_av_klimat*VLOOKUP($A429,Leveranser_per_nät,'Leveranser per nät'!Q$1,FALSE)
               +Andel_beroende_av_klimat*VLOOKUP($A429,Leveranser_per_nät,'Leveranser per nät'!Q$1,FALSE)/VLOOKUP("Täby",Korrigeringsfaktor_GD,'Korrigeringsfaktor GD'!Q$1,FALSE),
"")</f>
        <v>61.791304347826085</v>
      </c>
      <c r="R429" s="18">
        <f>IFERROR(
                  Andel_oberoende_av_klimat*VLOOKUP($A429,Leveranser_per_nät,'Leveranser per nät'!R$1,FALSE)
               +Andel_beroende_av_klimat*VLOOKUP($A429,Leveranser_per_nät,'Leveranser per nät'!R$1,FALSE)/VLOOKUP("Täby",Korrigeringsfaktor_GD,'Korrigeringsfaktor GD'!R$1,FALSE),
"")</f>
        <v>60.851333333333336</v>
      </c>
      <c r="S429" s="18">
        <f>IFERROR(
                  Andel_oberoende_av_klimat*VLOOKUP($A429,Leveranser_per_nät,'Leveranser per nät'!S$1,FALSE)
               +Andel_beroende_av_klimat*VLOOKUP($A429,Leveranser_per_nät,'Leveranser per nät'!S$1,FALSE)/VLOOKUP("Täby",Korrigeringsfaktor_GD,'Korrigeringsfaktor GD'!S$1,FALSE),
"")</f>
        <v>63.445454545454538</v>
      </c>
      <c r="T429" s="18">
        <f>IFERROR(
                  Andel_oberoende_av_klimat*VLOOKUP($A429,Leveranser_per_nät,'Leveranser per nät'!T$1,FALSE)
               +Andel_beroende_av_klimat*VLOOKUP($A429,Leveranser_per_nät,'Leveranser per nät'!T$1,FALSE)/VLOOKUP("Täby",Korrigeringsfaktor_GD,'Korrigeringsfaktor GD'!T$1,FALSE),
"")</f>
        <v>62.106842105263169</v>
      </c>
      <c r="U429" s="18">
        <f>IFERROR(
                  Andel_oberoende_av_klimat*VLOOKUP($A429,Leveranser_per_nät,'Leveranser per nät'!U$1,FALSE)
               +Andel_beroende_av_klimat*VLOOKUP($A429,Leveranser_per_nät,'Leveranser per nät'!U$1,FALSE)/VLOOKUP("Täby",Korrigeringsfaktor_GD,'Korrigeringsfaktor GD'!U$1,FALSE),
"")</f>
        <v>60.907272727272726</v>
      </c>
      <c r="V429" s="18">
        <f>IFERROR(
                  Andel_oberoende_av_klimat*VLOOKUP($A429,Leveranser_per_nät,'Leveranser per nät'!V$1,FALSE)
               +Andel_beroende_av_klimat*VLOOKUP($A429,Leveranser_per_nät,'Leveranser per nät'!V$1,FALSE)/VLOOKUP("Täby",Korrigeringsfaktor_GD,'Korrigeringsfaktor GD'!V$1,FALSE),
"")</f>
        <v>61.935813953488378</v>
      </c>
      <c r="W429" s="18">
        <f>IFERROR(
                  Andel_oberoende_av_klimat*VLOOKUP($A429,Leveranser_per_nät,'Leveranser per nät'!W$1,FALSE)
               +Andel_beroende_av_klimat*VLOOKUP($A429,Leveranser_per_nät,'Leveranser per nät'!W$1,FALSE)/VLOOKUP("Täby",Korrigeringsfaktor_GD,'Korrigeringsfaktor GD'!W$1,FALSE),
"")</f>
        <v>62.485217391304346</v>
      </c>
      <c r="X429" s="18">
        <f>IFERROR(
                  Andel_oberoende_av_klimat*VLOOKUP($A429,Leveranser_per_nät,'Leveranser per nät'!X$1,FALSE)
               +Andel_beroende_av_klimat*VLOOKUP($A429,Leveranser_per_nät,'Leveranser per nät'!X$1,FALSE)/VLOOKUP("Täby",Korrigeringsfaktor_GD,'Korrigeringsfaktor GD'!X$1,FALSE),
"")</f>
        <v>64.394782608695664</v>
      </c>
      <c r="Y429" s="18">
        <f>IFERROR(
                  Andel_oberoende_av_klimat*VLOOKUP($A429,Leveranser_per_nät,'Leveranser per nät'!Y$1,FALSE)
               +Andel_beroende_av_klimat*VLOOKUP($A429,Leveranser_per_nät,'Leveranser per nät'!Y$1,FALSE)/VLOOKUP($B429,Korrigeringsfaktor_GD,'Korrigeringsfaktor GD'!Y$1,FALSE),
"")</f>
        <v>63.725531914893622</v>
      </c>
      <c r="Z429" s="18">
        <f>IFERROR(
                  Andel_oberoende_av_klimat*VLOOKUP($A429,Leveranser_per_nät,'Leveranser per nät'!Z$1,FALSE)
               +Andel_beroende_av_klimat*VLOOKUP($A429,Leveranser_per_nät,'Leveranser per nät'!Z$1,FALSE)/VLOOKUP($B429,Korrigeringsfaktor_GD,'Korrigeringsfaktor GD'!Z$1,FALSE),
"")</f>
        <v>62.779166666666669</v>
      </c>
      <c r="AA429" s="18">
        <f>IFERROR(
                  Andel_oberoende_av_klimat*VLOOKUP($A429,Leveranser_per_nät,'Leveranser per nät'!AA$1,FALSE)
               +Andel_beroende_av_klimat*VLOOKUP($A429,Leveranser_per_nät,'Leveranser per nät'!AA$1,FALSE)/VLOOKUP($B429,Korrigeringsfaktor_GD,'Korrigeringsfaktor GD'!AA$1,FALSE),
"")</f>
        <v>62.534706700027805</v>
      </c>
      <c r="AB429" s="18">
        <f>IFERROR(
                  Andel_oberoende_av_klimat*VLOOKUP($A429,Leveranser_per_nät,'Leveranser per nät'!AB$1,FALSE)
               +Andel_beroende_av_klimat*VLOOKUP($A429,Leveranser_per_nät,'Leveranser per nät'!AB$1,FALSE)/VLOOKUP($B429,Korrigeringsfaktor_GD,'Korrigeringsfaktor GD'!AB$1,FALSE),
"")</f>
        <v>63.386230769230771</v>
      </c>
      <c r="AC429" s="18">
        <f>IFERROR(
                  Andel_oberoende_av_klimat*VLOOKUP($A429,Leveranser_per_nät,'Leveranser per nät'!AC$1,FALSE)
               +Andel_beroende_av_klimat*VLOOKUP($A429,Leveranser_per_nät,'Leveranser per nät'!AC$1,FALSE)/VLOOKUP($B429,Korrigeringsfaktor_GD,'Korrigeringsfaktor GD'!AC$1,FALSE),
"")</f>
        <v>64.315810674723053</v>
      </c>
      <c r="AD429" t="e">
        <v>#N/A</v>
      </c>
    </row>
    <row r="430" spans="1:30" x14ac:dyDescent="0.25">
      <c r="A430" t="s">
        <v>235</v>
      </c>
      <c r="B430" t="s">
        <v>235</v>
      </c>
      <c r="C430" s="18">
        <f>IFERROR(
                  Andel_oberoende_av_klimat*VLOOKUP($A430,Leveranser_per_nät,'Leveranser per nät'!C$1,FALSE)
               +Andel_beroende_av_klimat*VLOOKUP($A430,Leveranser_per_nät,'Leveranser per nät'!C$1,FALSE)/VLOOKUP($B430,Korrigeringsfaktor_GD,'Korrigeringsfaktor GD'!C$1,FALSE),
"")</f>
        <v>0</v>
      </c>
      <c r="D430" s="18">
        <f>IFERROR(
                  Andel_oberoende_av_klimat*VLOOKUP($A430,Leveranser_per_nät,'Leveranser per nät'!D$1,FALSE)
               +Andel_beroende_av_klimat*VLOOKUP($A430,Leveranser_per_nät,'Leveranser per nät'!D$1,FALSE)/VLOOKUP($B430,Korrigeringsfaktor_GD,'Korrigeringsfaktor GD'!D$1,FALSE),
"")</f>
        <v>0</v>
      </c>
      <c r="E430" s="18">
        <f>IFERROR(
                  Andel_oberoende_av_klimat*VLOOKUP($A430,Leveranser_per_nät,'Leveranser per nät'!E$1,FALSE)
               +Andel_beroende_av_klimat*VLOOKUP($A430,Leveranser_per_nät,'Leveranser per nät'!E$1,FALSE)/VLOOKUP($B430,Korrigeringsfaktor_GD,'Korrigeringsfaktor GD'!E$1,FALSE),
"")</f>
        <v>0</v>
      </c>
      <c r="F430" s="18">
        <f>IFERROR(
                  Andel_oberoende_av_klimat*VLOOKUP($A430,Leveranser_per_nät,'Leveranser per nät'!F$1,FALSE)
               +Andel_beroende_av_klimat*VLOOKUP($A430,Leveranser_per_nät,'Leveranser per nät'!F$1,FALSE)/VLOOKUP($B430,Korrigeringsfaktor_GD,'Korrigeringsfaktor GD'!F$1,FALSE),
"")</f>
        <v>0</v>
      </c>
      <c r="G430" s="18">
        <f>IFERROR(
                  Andel_oberoende_av_klimat*VLOOKUP($A430,Leveranser_per_nät,'Leveranser per nät'!G$1,FALSE)
               +Andel_beroende_av_klimat*VLOOKUP($A430,Leveranser_per_nät,'Leveranser per nät'!G$1,FALSE)/VLOOKUP($B430,Korrigeringsfaktor_GD,'Korrigeringsfaktor GD'!G$1,FALSE),
"")</f>
        <v>0</v>
      </c>
      <c r="H430" s="18">
        <f>IFERROR(
                  Andel_oberoende_av_klimat*VLOOKUP($A430,Leveranser_per_nät,'Leveranser per nät'!H$1,FALSE)
               +Andel_beroende_av_klimat*VLOOKUP($A430,Leveranser_per_nät,'Leveranser per nät'!H$1,FALSE)/VLOOKUP($B430,Korrigeringsfaktor_GD,'Korrigeringsfaktor GD'!H$1,FALSE),
"")</f>
        <v>0</v>
      </c>
      <c r="I430" s="18">
        <f>IFERROR(
                  Andel_oberoende_av_klimat*VLOOKUP($A430,Leveranser_per_nät,'Leveranser per nät'!I$1,FALSE)
               +Andel_beroende_av_klimat*VLOOKUP($A430,Leveranser_per_nät,'Leveranser per nät'!I$1,FALSE)/VLOOKUP($B430,Korrigeringsfaktor_GD,'Korrigeringsfaktor GD'!I$1,FALSE),
"")</f>
        <v>0</v>
      </c>
      <c r="J430" s="18">
        <f>IFERROR(
                  Andel_oberoende_av_klimat*VLOOKUP($A430,Leveranser_per_nät,'Leveranser per nät'!J$1,FALSE)
               +Andel_beroende_av_klimat*VLOOKUP($A430,Leveranser_per_nät,'Leveranser per nät'!J$1,FALSE)/VLOOKUP($B430,Korrigeringsfaktor_GD,'Korrigeringsfaktor GD'!J$1,FALSE),
"")</f>
        <v>0</v>
      </c>
      <c r="K430" s="18">
        <f>IFERROR(
                  Andel_oberoende_av_klimat*VLOOKUP($A430,Leveranser_per_nät,'Leveranser per nät'!K$1,FALSE)
               +Andel_beroende_av_klimat*VLOOKUP($A430,Leveranser_per_nät,'Leveranser per nät'!K$1,FALSE)/VLOOKUP($B430,Korrigeringsfaktor_GD,'Korrigeringsfaktor GD'!K$1,FALSE),
"")</f>
        <v>0</v>
      </c>
      <c r="L430" s="18">
        <f>IFERROR(
                  Andel_oberoende_av_klimat*VLOOKUP($A430,Leveranser_per_nät,'Leveranser per nät'!L$1,FALSE)
               +Andel_beroende_av_klimat*VLOOKUP($A430,Leveranser_per_nät,'Leveranser per nät'!L$1,FALSE)/VLOOKUP($B430,Korrigeringsfaktor_GD,'Korrigeringsfaktor GD'!L$1,FALSE),
"")</f>
        <v>0</v>
      </c>
      <c r="M430" s="18">
        <f>IFERROR(
                  Andel_oberoende_av_klimat*VLOOKUP($A430,Leveranser_per_nät,'Leveranser per nät'!M$1,FALSE)
               +Andel_beroende_av_klimat*VLOOKUP($A430,Leveranser_per_nät,'Leveranser per nät'!M$1,FALSE)/VLOOKUP($B430,Korrigeringsfaktor_GD,'Korrigeringsfaktor GD'!M$1,FALSE),
"")</f>
        <v>0</v>
      </c>
      <c r="N430" s="18">
        <f>IFERROR(
                  Andel_oberoende_av_klimat*VLOOKUP($A430,Leveranser_per_nät,'Leveranser per nät'!N$1,FALSE)
               +Andel_beroende_av_klimat*VLOOKUP($A430,Leveranser_per_nät,'Leveranser per nät'!N$1,FALSE)/VLOOKUP($B430,Korrigeringsfaktor_GD,'Korrigeringsfaktor GD'!N$1,FALSE),
"")</f>
        <v>0</v>
      </c>
      <c r="O430" s="18">
        <f>IFERROR(
                  Andel_oberoende_av_klimat*VLOOKUP($A430,Leveranser_per_nät,'Leveranser per nät'!O$1,FALSE)
               +Andel_beroende_av_klimat*VLOOKUP($A430,Leveranser_per_nät,'Leveranser per nät'!O$1,FALSE)/VLOOKUP($B430,Korrigeringsfaktor_GD,'Korrigeringsfaktor GD'!O$1,FALSE),
"")</f>
        <v>18.883478260869563</v>
      </c>
      <c r="P430" s="18">
        <f>IFERROR(
                  Andel_oberoende_av_klimat*VLOOKUP($A430,Leveranser_per_nät,'Leveranser per nät'!P$1,FALSE)
               +Andel_beroende_av_klimat*VLOOKUP($A430,Leveranser_per_nät,'Leveranser per nät'!P$1,FALSE)/VLOOKUP($B430,Korrigeringsfaktor_GD,'Korrigeringsfaktor GD'!P$1,FALSE),
"")</f>
        <v>19.394167676767676</v>
      </c>
      <c r="Q430" s="18">
        <f>IFERROR(
                  Andel_oberoende_av_klimat*VLOOKUP($A430,Leveranser_per_nät,'Leveranser per nät'!Q$1,FALSE)
               +Andel_beroende_av_klimat*VLOOKUP($A430,Leveranser_per_nät,'Leveranser per nät'!Q$1,FALSE)/VLOOKUP($B430,Korrigeringsfaktor_GD,'Korrigeringsfaktor GD'!Q$1,FALSE),
"")</f>
        <v>19.984275862068969</v>
      </c>
      <c r="R430" s="18">
        <f>IFERROR(
                  Andel_oberoende_av_klimat*VLOOKUP($A430,Leveranser_per_nät,'Leveranser per nät'!R$1,FALSE)
               +Andel_beroende_av_klimat*VLOOKUP($A430,Leveranser_per_nät,'Leveranser per nät'!R$1,FALSE)/VLOOKUP($B430,Korrigeringsfaktor_GD,'Korrigeringsfaktor GD'!R$1,FALSE),
"")</f>
        <v>21.96</v>
      </c>
      <c r="S430" s="18">
        <f>IFERROR(
                  Andel_oberoende_av_klimat*VLOOKUP($A430,Leveranser_per_nät,'Leveranser per nät'!S$1,FALSE)
               +Andel_beroende_av_klimat*VLOOKUP($A430,Leveranser_per_nät,'Leveranser per nät'!S$1,FALSE)/VLOOKUP($B430,Korrigeringsfaktor_GD,'Korrigeringsfaktor GD'!S$1,FALSE),
"")</f>
        <v>19.82</v>
      </c>
      <c r="T430" s="18">
        <f>IFERROR(
                  Andel_oberoende_av_klimat*VLOOKUP($A430,Leveranser_per_nät,'Leveranser per nät'!T$1,FALSE)
               +Andel_beroende_av_klimat*VLOOKUP($A430,Leveranser_per_nät,'Leveranser per nät'!T$1,FALSE)/VLOOKUP($B430,Korrigeringsfaktor_GD,'Korrigeringsfaktor GD'!T$1,FALSE),
"")</f>
        <v>18.936666666666667</v>
      </c>
      <c r="U430" s="18">
        <f>IFERROR(
                  Andel_oberoende_av_klimat*VLOOKUP($A430,Leveranser_per_nät,'Leveranser per nät'!U$1,FALSE)
               +Andel_beroende_av_klimat*VLOOKUP($A430,Leveranser_per_nät,'Leveranser per nät'!U$1,FALSE)/VLOOKUP($B430,Korrigeringsfaktor_GD,'Korrigeringsfaktor GD'!U$1,FALSE),
"")</f>
        <v>18.265627586206897</v>
      </c>
      <c r="V430" s="18">
        <f>IFERROR(
                  Andel_oberoende_av_klimat*VLOOKUP($A430,Leveranser_per_nät,'Leveranser per nät'!V$1,FALSE)
               +Andel_beroende_av_klimat*VLOOKUP($A430,Leveranser_per_nät,'Leveranser per nät'!V$1,FALSE)/VLOOKUP($B430,Korrigeringsfaktor_GD,'Korrigeringsfaktor GD'!V$1,FALSE),
"")</f>
        <v>18.515333707865167</v>
      </c>
      <c r="W430" s="18">
        <f>IFERROR(
                  Andel_oberoende_av_klimat*VLOOKUP($A430,Leveranser_per_nät,'Leveranser per nät'!W$1,FALSE)
               +Andel_beroende_av_klimat*VLOOKUP($A430,Leveranser_per_nät,'Leveranser per nät'!W$1,FALSE)/VLOOKUP($B430,Korrigeringsfaktor_GD,'Korrigeringsfaktor GD'!W$1,FALSE),
"")</f>
        <v>19.579999999999998</v>
      </c>
      <c r="X430" s="18">
        <f>IFERROR(
                  Andel_oberoende_av_klimat*VLOOKUP($A430,Leveranser_per_nät,'Leveranser per nät'!X$1,FALSE)
               +Andel_beroende_av_klimat*VLOOKUP($A430,Leveranser_per_nät,'Leveranser per nät'!X$1,FALSE)/VLOOKUP($B430,Korrigeringsfaktor_GD,'Korrigeringsfaktor GD'!X$1,FALSE),
"")</f>
        <v>18.524999999999999</v>
      </c>
      <c r="Y430" s="18" t="str">
        <f>IFERROR(
                  Andel_oberoende_av_klimat*VLOOKUP($A430,Leveranser_per_nät,'Leveranser per nät'!Y$1,FALSE)
               +Andel_beroende_av_klimat*VLOOKUP($A430,Leveranser_per_nät,'Leveranser per nät'!Y$1,FALSE)/VLOOKUP($B430,Korrigeringsfaktor_GD,'Korrigeringsfaktor GD'!Y$1,FALSE),
"")</f>
        <v/>
      </c>
      <c r="Z430" s="18">
        <f>IFERROR(
                  Andel_oberoende_av_klimat*VLOOKUP($A430,Leveranser_per_nät,'Leveranser per nät'!Z$1,FALSE)
               +Andel_beroende_av_klimat*VLOOKUP($A430,Leveranser_per_nät,'Leveranser per nät'!Z$1,FALSE)/VLOOKUP($B430,Korrigeringsfaktor_GD,'Korrigeringsfaktor GD'!Z$1,FALSE),
"")</f>
        <v>0</v>
      </c>
      <c r="AA430" s="18" t="str">
        <f>IFERROR(
                  Andel_oberoende_av_klimat*VLOOKUP($A430,Leveranser_per_nät,'Leveranser per nät'!AA$1,FALSE)
               +Andel_beroende_av_klimat*VLOOKUP($A430,Leveranser_per_nät,'Leveranser per nät'!AA$1,FALSE)/VLOOKUP($B430,Korrigeringsfaktor_GD,'Korrigeringsfaktor GD'!AA$1,FALSE),
"")</f>
        <v/>
      </c>
      <c r="AB430" s="18">
        <f>IFERROR(
                  Andel_oberoende_av_klimat*VLOOKUP($A430,Leveranser_per_nät,'Leveranser per nät'!AB$1,FALSE)
               +Andel_beroende_av_klimat*VLOOKUP($A430,Leveranser_per_nät,'Leveranser per nät'!AB$1,FALSE)/VLOOKUP($B430,Korrigeringsfaktor_GD,'Korrigeringsfaktor GD'!AB$1,FALSE),
"")</f>
        <v>0</v>
      </c>
      <c r="AC430" s="18">
        <f>IFERROR(
                  Andel_oberoende_av_klimat*VLOOKUP($A430,Leveranser_per_nät,'Leveranser per nät'!AC$1,FALSE)
               +Andel_beroende_av_klimat*VLOOKUP($A430,Leveranser_per_nät,'Leveranser per nät'!AC$1,FALSE)/VLOOKUP($B430,Korrigeringsfaktor_GD,'Korrigeringsfaktor GD'!AC$1,FALSE),
"")</f>
        <v>0</v>
      </c>
      <c r="AD430" t="e">
        <v>#N/A</v>
      </c>
    </row>
    <row r="431" spans="1:30" x14ac:dyDescent="0.25">
      <c r="A431" t="s">
        <v>330</v>
      </c>
      <c r="B431" t="s">
        <v>154</v>
      </c>
      <c r="C431" s="18">
        <f>IFERROR(
                  Andel_oberoende_av_klimat*VLOOKUP($A431,Leveranser_per_nät,'Leveranser per nät'!C$1,FALSE)
               +Andel_beroende_av_klimat*VLOOKUP($A431,Leveranser_per_nät,'Leveranser per nät'!C$1,FALSE)/VLOOKUP($B431,Korrigeringsfaktor_GD,'Korrigeringsfaktor GD'!C$1,FALSE),
"")</f>
        <v>0</v>
      </c>
      <c r="D431" s="18">
        <f>IFERROR(
                  Andel_oberoende_av_klimat*VLOOKUP($A431,Leveranser_per_nät,'Leveranser per nät'!D$1,FALSE)
               +Andel_beroende_av_klimat*VLOOKUP($A431,Leveranser_per_nät,'Leveranser per nät'!D$1,FALSE)/VLOOKUP($B431,Korrigeringsfaktor_GD,'Korrigeringsfaktor GD'!D$1,FALSE),
"")</f>
        <v>0</v>
      </c>
      <c r="E431" s="18">
        <f>IFERROR(
                  Andel_oberoende_av_klimat*VLOOKUP($A431,Leveranser_per_nät,'Leveranser per nät'!E$1,FALSE)
               +Andel_beroende_av_klimat*VLOOKUP($A431,Leveranser_per_nät,'Leveranser per nät'!E$1,FALSE)/VLOOKUP($B431,Korrigeringsfaktor_GD,'Korrigeringsfaktor GD'!E$1,FALSE),
"")</f>
        <v>19.816666666666666</v>
      </c>
      <c r="F431" s="18">
        <f>IFERROR(
                  Andel_oberoende_av_klimat*VLOOKUP($A431,Leveranser_per_nät,'Leveranser per nät'!F$1,FALSE)
               +Andel_beroende_av_klimat*VLOOKUP($A431,Leveranser_per_nät,'Leveranser per nät'!F$1,FALSE)/VLOOKUP($B431,Korrigeringsfaktor_GD,'Korrigeringsfaktor GD'!F$1,FALSE),
"")</f>
        <v>20.644949494949497</v>
      </c>
      <c r="G431" s="18">
        <f>IFERROR(
                  Andel_oberoende_av_klimat*VLOOKUP($A431,Leveranser_per_nät,'Leveranser per nät'!G$1,FALSE)
               +Andel_beroende_av_klimat*VLOOKUP($A431,Leveranser_per_nät,'Leveranser per nät'!G$1,FALSE)/VLOOKUP($B431,Korrigeringsfaktor_GD,'Korrigeringsfaktor GD'!G$1,FALSE),
"")</f>
        <v>20.156521739130433</v>
      </c>
      <c r="H431" s="18">
        <f>IFERROR(
                  Andel_oberoende_av_klimat*VLOOKUP($A431,Leveranser_per_nät,'Leveranser per nät'!H$1,FALSE)
               +Andel_beroende_av_klimat*VLOOKUP($A431,Leveranser_per_nät,'Leveranser per nät'!H$1,FALSE)/VLOOKUP($B431,Korrigeringsfaktor_GD,'Korrigeringsfaktor GD'!H$1,FALSE),
"")</f>
        <v>20.499929702970295</v>
      </c>
      <c r="I431" s="18">
        <f>IFERROR(
                  Andel_oberoende_av_klimat*VLOOKUP($A431,Leveranser_per_nät,'Leveranser per nät'!I$1,FALSE)
               +Andel_beroende_av_klimat*VLOOKUP($A431,Leveranser_per_nät,'Leveranser per nät'!I$1,FALSE)/VLOOKUP($B431,Korrigeringsfaktor_GD,'Korrigeringsfaktor GD'!I$1,FALSE),
"")</f>
        <v>22.443577777777779</v>
      </c>
      <c r="J431" s="18">
        <f>IFERROR(
                  Andel_oberoende_av_klimat*VLOOKUP($A431,Leveranser_per_nät,'Leveranser per nät'!J$1,FALSE)
               +Andel_beroende_av_klimat*VLOOKUP($A431,Leveranser_per_nät,'Leveranser per nät'!J$1,FALSE)/VLOOKUP($B431,Korrigeringsfaktor_GD,'Korrigeringsfaktor GD'!J$1,FALSE),
"")</f>
        <v>23.31429664948454</v>
      </c>
      <c r="K431" s="18">
        <f>IFERROR(
                  Andel_oberoende_av_klimat*VLOOKUP($A431,Leveranser_per_nät,'Leveranser per nät'!K$1,FALSE)
               +Andel_beroende_av_klimat*VLOOKUP($A431,Leveranser_per_nät,'Leveranser per nät'!K$1,FALSE)/VLOOKUP($B431,Korrigeringsfaktor_GD,'Korrigeringsfaktor GD'!K$1,FALSE),
"")</f>
        <v>23.354500000000002</v>
      </c>
      <c r="L431" s="18">
        <f>IFERROR(
                  Andel_oberoende_av_klimat*VLOOKUP($A431,Leveranser_per_nät,'Leveranser per nät'!L$1,FALSE)
               +Andel_beroende_av_klimat*VLOOKUP($A431,Leveranser_per_nät,'Leveranser per nät'!L$1,FALSE)/VLOOKUP($B431,Korrigeringsfaktor_GD,'Korrigeringsfaktor GD'!L$1,FALSE),
"")</f>
        <v>24.768861842105263</v>
      </c>
      <c r="M431" s="18">
        <f>IFERROR(
                  Andel_oberoende_av_klimat*VLOOKUP($A431,Leveranser_per_nät,'Leveranser per nät'!M$1,FALSE)
               +Andel_beroende_av_klimat*VLOOKUP($A431,Leveranser_per_nät,'Leveranser per nät'!M$1,FALSE)/VLOOKUP($B431,Korrigeringsfaktor_GD,'Korrigeringsfaktor GD'!M$1,FALSE),
"")</f>
        <v>25.322794736842106</v>
      </c>
      <c r="N431" s="18">
        <f>IFERROR(
                  Andel_oberoende_av_klimat*VLOOKUP($A431,Leveranser_per_nät,'Leveranser per nät'!N$1,FALSE)
               +Andel_beroende_av_klimat*VLOOKUP($A431,Leveranser_per_nät,'Leveranser per nät'!N$1,FALSE)/VLOOKUP($B431,Korrigeringsfaktor_GD,'Korrigeringsfaktor GD'!N$1,FALSE),
"")</f>
        <v>25.135337499999999</v>
      </c>
      <c r="O431" s="18">
        <f>IFERROR(
                  Andel_oberoende_av_klimat*VLOOKUP($A431,Leveranser_per_nät,'Leveranser per nät'!O$1,FALSE)
               +Andel_beroende_av_klimat*VLOOKUP($A431,Leveranser_per_nät,'Leveranser per nät'!O$1,FALSE)/VLOOKUP($B431,Korrigeringsfaktor_GD,'Korrigeringsfaktor GD'!O$1,FALSE),
"")</f>
        <v>26.562886597938146</v>
      </c>
      <c r="P431" s="18">
        <f>IFERROR(
                  Andel_oberoende_av_klimat*VLOOKUP($A431,Leveranser_per_nät,'Leveranser per nät'!P$1,FALSE)
               +Andel_beroende_av_klimat*VLOOKUP($A431,Leveranser_per_nät,'Leveranser per nät'!P$1,FALSE)/VLOOKUP($B431,Korrigeringsfaktor_GD,'Korrigeringsfaktor GD'!P$1,FALSE),
"")</f>
        <v>29.627835051546391</v>
      </c>
      <c r="Q431" s="18">
        <f>IFERROR(
                  Andel_oberoende_av_klimat*VLOOKUP($A431,Leveranser_per_nät,'Leveranser per nät'!Q$1,FALSE)
               +Andel_beroende_av_klimat*VLOOKUP($A431,Leveranser_per_nät,'Leveranser per nät'!Q$1,FALSE)/VLOOKUP($B431,Korrigeringsfaktor_GD,'Korrigeringsfaktor GD'!Q$1,FALSE),
"")</f>
        <v>34.702222222222225</v>
      </c>
      <c r="R431" s="18">
        <f>IFERROR(
                  Andel_oberoende_av_klimat*VLOOKUP($A431,Leveranser_per_nät,'Leveranser per nät'!R$1,FALSE)
               +Andel_beroende_av_klimat*VLOOKUP($A431,Leveranser_per_nät,'Leveranser per nät'!R$1,FALSE)/VLOOKUP($B431,Korrigeringsfaktor_GD,'Korrigeringsfaktor GD'!R$1,FALSE),
"")</f>
        <v>29.617692307692302</v>
      </c>
      <c r="S431" s="18">
        <f>IFERROR(
                  Andel_oberoende_av_klimat*VLOOKUP($A431,Leveranser_per_nät,'Leveranser per nät'!S$1,FALSE)
               +Andel_beroende_av_klimat*VLOOKUP($A431,Leveranser_per_nät,'Leveranser per nät'!S$1,FALSE)/VLOOKUP($B431,Korrigeringsfaktor_GD,'Korrigeringsfaktor GD'!S$1,FALSE),
"")</f>
        <v>32.327184466019418</v>
      </c>
      <c r="T431" s="18">
        <f>IFERROR(
                  Andel_oberoende_av_klimat*VLOOKUP($A431,Leveranser_per_nät,'Leveranser per nät'!T$1,FALSE)
               +Andel_beroende_av_klimat*VLOOKUP($A431,Leveranser_per_nät,'Leveranser per nät'!T$1,FALSE)/VLOOKUP($B431,Korrigeringsfaktor_GD,'Korrigeringsfaktor GD'!T$1,FALSE),
"")</f>
        <v>33.344999999999999</v>
      </c>
      <c r="U431" s="18">
        <f>IFERROR(
                  Andel_oberoende_av_klimat*VLOOKUP($A431,Leveranser_per_nät,'Leveranser per nät'!U$1,FALSE)
               +Andel_beroende_av_klimat*VLOOKUP($A431,Leveranser_per_nät,'Leveranser per nät'!U$1,FALSE)/VLOOKUP($B431,Korrigeringsfaktor_GD,'Korrigeringsfaktor GD'!U$1,FALSE),
"")</f>
        <v>37.623075268817203</v>
      </c>
      <c r="V431" s="18">
        <f>IFERROR(
                  Andel_oberoende_av_klimat*VLOOKUP($A431,Leveranser_per_nät,'Leveranser per nät'!V$1,FALSE)
               +Andel_beroende_av_klimat*VLOOKUP($A431,Leveranser_per_nät,'Leveranser per nät'!V$1,FALSE)/VLOOKUP($B431,Korrigeringsfaktor_GD,'Korrigeringsfaktor GD'!V$1,FALSE),
"")</f>
        <v>40.374153846153845</v>
      </c>
      <c r="W431" s="18">
        <f>IFERROR(
                  Andel_oberoende_av_klimat*VLOOKUP($A431,Leveranser_per_nät,'Leveranser per nät'!W$1,FALSE)
               +Andel_beroende_av_klimat*VLOOKUP($A431,Leveranser_per_nät,'Leveranser per nät'!W$1,FALSE)/VLOOKUP($B431,Korrigeringsfaktor_GD,'Korrigeringsfaktor GD'!W$1,FALSE),
"")</f>
        <v>36.720666666666666</v>
      </c>
      <c r="X431" s="18">
        <f>IFERROR(
                  Andel_oberoende_av_klimat*VLOOKUP($A431,Leveranser_per_nät,'Leveranser per nät'!X$1,FALSE)
               +Andel_beroende_av_klimat*VLOOKUP($A431,Leveranser_per_nät,'Leveranser per nät'!X$1,FALSE)/VLOOKUP($B431,Korrigeringsfaktor_GD,'Korrigeringsfaktor GD'!X$1,FALSE),
"")</f>
        <v>38.853329896907219</v>
      </c>
      <c r="Y431" s="18">
        <f>IFERROR(
                  Andel_oberoende_av_klimat*VLOOKUP($A431,Leveranser_per_nät,'Leveranser per nät'!Y$1,FALSE)
               +Andel_beroende_av_klimat*VLOOKUP($A431,Leveranser_per_nät,'Leveranser per nät'!Y$1,FALSE)/VLOOKUP($B431,Korrigeringsfaktor_GD,'Korrigeringsfaktor GD'!Y$1,FALSE),
"")</f>
        <v>32.183285714285716</v>
      </c>
      <c r="Z431" s="18">
        <f>IFERROR(
                  Andel_oberoende_av_klimat*VLOOKUP($A431,Leveranser_per_nät,'Leveranser per nät'!Z$1,FALSE)
               +Andel_beroende_av_klimat*VLOOKUP($A431,Leveranser_per_nät,'Leveranser per nät'!Z$1,FALSE)/VLOOKUP($B431,Korrigeringsfaktor_GD,'Korrigeringsfaktor GD'!Z$1,FALSE),
"")</f>
        <v>34.411606060606061</v>
      </c>
      <c r="AA431" s="18">
        <f>IFERROR(
                  Andel_oberoende_av_klimat*VLOOKUP($A431,Leveranser_per_nät,'Leveranser per nät'!AA$1,FALSE)
               +Andel_beroende_av_klimat*VLOOKUP($A431,Leveranser_per_nät,'Leveranser per nät'!AA$1,FALSE)/VLOOKUP($B431,Korrigeringsfaktor_GD,'Korrigeringsfaktor GD'!AA$1,FALSE),
"")</f>
        <v>32.582657574640621</v>
      </c>
      <c r="AB431" s="18">
        <f>IFERROR(
                  Andel_oberoende_av_klimat*VLOOKUP($A431,Leveranser_per_nät,'Leveranser per nät'!AB$1,FALSE)
               +Andel_beroende_av_klimat*VLOOKUP($A431,Leveranser_per_nät,'Leveranser per nät'!AB$1,FALSE)/VLOOKUP($B431,Korrigeringsfaktor_GD,'Korrigeringsfaktor GD'!AB$1,FALSE),
"")</f>
        <v>36.129115267947419</v>
      </c>
      <c r="AC431" s="18">
        <f>IFERROR(
                  Andel_oberoende_av_klimat*VLOOKUP($A431,Leveranser_per_nät,'Leveranser per nät'!AC$1,FALSE)
               +Andel_beroende_av_klimat*VLOOKUP($A431,Leveranser_per_nät,'Leveranser per nät'!AC$1,FALSE)/VLOOKUP($B431,Korrigeringsfaktor_GD,'Korrigeringsfaktor GD'!AC$1,FALSE),
"")</f>
        <v>32.95781031487514</v>
      </c>
      <c r="AD431">
        <v>32.6</v>
      </c>
    </row>
    <row r="432" spans="1:30" x14ac:dyDescent="0.25">
      <c r="A432" t="s">
        <v>332</v>
      </c>
      <c r="B432" t="s">
        <v>445</v>
      </c>
      <c r="C432" s="18">
        <f>IFERROR(
                  Andel_oberoende_av_klimat*VLOOKUP($A432,Leveranser_per_nät,'Leveranser per nät'!C$1,FALSE)
               +Andel_beroende_av_klimat*VLOOKUP($A432,Leveranser_per_nät,'Leveranser per nät'!C$1,FALSE)/VLOOKUP($B432,Korrigeringsfaktor_GD,'Korrigeringsfaktor GD'!C$1,FALSE),
"")</f>
        <v>6.3982456140350878</v>
      </c>
      <c r="D432" s="18">
        <f>IFERROR(
                  Andel_oberoende_av_klimat*VLOOKUP($A432,Leveranser_per_nät,'Leveranser per nät'!D$1,FALSE)
               +Andel_beroende_av_klimat*VLOOKUP($A432,Leveranser_per_nät,'Leveranser per nät'!D$1,FALSE)/VLOOKUP($B432,Korrigeringsfaktor_GD,'Korrigeringsfaktor GD'!D$1,FALSE),
"")</f>
        <v>7.8606078431372541</v>
      </c>
      <c r="E432" s="18">
        <f>IFERROR(
                  Andel_oberoende_av_klimat*VLOOKUP($A432,Leveranser_per_nät,'Leveranser per nät'!E$1,FALSE)
               +Andel_beroende_av_klimat*VLOOKUP($A432,Leveranser_per_nät,'Leveranser per nät'!E$1,FALSE)/VLOOKUP($B432,Korrigeringsfaktor_GD,'Korrigeringsfaktor GD'!E$1,FALSE),
"")</f>
        <v>8.9376237623762371</v>
      </c>
      <c r="F432" s="18">
        <f>IFERROR(
                  Andel_oberoende_av_klimat*VLOOKUP($A432,Leveranser_per_nät,'Leveranser per nät'!F$1,FALSE)
               +Andel_beroende_av_klimat*VLOOKUP($A432,Leveranser_per_nät,'Leveranser per nät'!F$1,FALSE)/VLOOKUP($B432,Korrigeringsfaktor_GD,'Korrigeringsfaktor GD'!F$1,FALSE),
"")</f>
        <v>8.3574468085106375</v>
      </c>
      <c r="G432" s="18">
        <f>IFERROR(
                  Andel_oberoende_av_klimat*VLOOKUP($A432,Leveranser_per_nät,'Leveranser per nät'!G$1,FALSE)
               +Andel_beroende_av_klimat*VLOOKUP($A432,Leveranser_per_nät,'Leveranser per nät'!G$1,FALSE)/VLOOKUP($B432,Korrigeringsfaktor_GD,'Korrigeringsfaktor GD'!G$1,FALSE),
"")</f>
        <v>10.025581395348837</v>
      </c>
      <c r="H432" s="18">
        <f>IFERROR(
                  Andel_oberoende_av_klimat*VLOOKUP($A432,Leveranser_per_nät,'Leveranser per nät'!H$1,FALSE)
               +Andel_beroende_av_klimat*VLOOKUP($A432,Leveranser_per_nät,'Leveranser per nät'!H$1,FALSE)/VLOOKUP($B432,Korrigeringsfaktor_GD,'Korrigeringsfaktor GD'!H$1,FALSE),
"")</f>
        <v>20.854455445544552</v>
      </c>
      <c r="I432" s="18">
        <f>IFERROR(
                  Andel_oberoende_av_klimat*VLOOKUP($A432,Leveranser_per_nät,'Leveranser per nät'!I$1,FALSE)
               +Andel_beroende_av_klimat*VLOOKUP($A432,Leveranser_per_nät,'Leveranser per nät'!I$1,FALSE)/VLOOKUP($B432,Korrigeringsfaktor_GD,'Korrigeringsfaktor GD'!I$1,FALSE),
"")</f>
        <v>54.323404255319154</v>
      </c>
      <c r="J432" s="18">
        <f>IFERROR(
                  Andel_oberoende_av_klimat*VLOOKUP($A432,Leveranser_per_nät,'Leveranser per nät'!J$1,FALSE)
               +Andel_beroende_av_klimat*VLOOKUP($A432,Leveranser_per_nät,'Leveranser per nät'!J$1,FALSE)/VLOOKUP($B432,Korrigeringsfaktor_GD,'Korrigeringsfaktor GD'!J$1,FALSE),
"")</f>
        <v>61.431313131313132</v>
      </c>
      <c r="K432" s="18">
        <f>IFERROR(
                  Andel_oberoende_av_klimat*VLOOKUP($A432,Leveranser_per_nät,'Leveranser per nät'!K$1,FALSE)
               +Andel_beroende_av_klimat*VLOOKUP($A432,Leveranser_per_nät,'Leveranser per nät'!K$1,FALSE)/VLOOKUP($B432,Korrigeringsfaktor_GD,'Korrigeringsfaktor GD'!K$1,FALSE),
"")</f>
        <v>79.722857142857137</v>
      </c>
      <c r="L432" s="18">
        <f>IFERROR(
                  Andel_oberoende_av_klimat*VLOOKUP($A432,Leveranser_per_nät,'Leveranser per nät'!L$1,FALSE)
               +Andel_beroende_av_klimat*VLOOKUP($A432,Leveranser_per_nät,'Leveranser per nät'!L$1,FALSE)/VLOOKUP($B432,Korrigeringsfaktor_GD,'Korrigeringsfaktor GD'!L$1,FALSE),
"")</f>
        <v>97.050416666666663</v>
      </c>
      <c r="M432" s="18">
        <f>IFERROR(
                  Andel_oberoende_av_klimat*VLOOKUP($A432,Leveranser_per_nät,'Leveranser per nät'!M$1,FALSE)
               +Andel_beroende_av_klimat*VLOOKUP($A432,Leveranser_per_nät,'Leveranser per nät'!M$1,FALSE)/VLOOKUP($B432,Korrigeringsfaktor_GD,'Korrigeringsfaktor GD'!M$1,FALSE),
"")</f>
        <v>110.34461538461538</v>
      </c>
      <c r="N432" s="18">
        <f>IFERROR(
                  Andel_oberoende_av_klimat*VLOOKUP($A432,Leveranser_per_nät,'Leveranser per nät'!N$1,FALSE)
               +Andel_beroende_av_klimat*VLOOKUP($A432,Leveranser_per_nät,'Leveranser per nät'!N$1,FALSE)/VLOOKUP($B432,Korrigeringsfaktor_GD,'Korrigeringsfaktor GD'!N$1,FALSE),
"")</f>
        <v>119.73318181818182</v>
      </c>
      <c r="O432" s="18">
        <f>IFERROR(
                  Andel_oberoende_av_klimat*VLOOKUP($A432,Leveranser_per_nät,'Leveranser per nät'!O$1,FALSE)
               +Andel_beroende_av_klimat*VLOOKUP($A432,Leveranser_per_nät,'Leveranser per nät'!O$1,FALSE)/VLOOKUP($B432,Korrigeringsfaktor_GD,'Korrigeringsfaktor GD'!O$1,FALSE),
"")</f>
        <v>131.01636363636362</v>
      </c>
      <c r="P432" s="18">
        <f>IFERROR(
                  Andel_oberoende_av_klimat*VLOOKUP($A432,Leveranser_per_nät,'Leveranser per nät'!P$1,FALSE)
               +Andel_beroende_av_klimat*VLOOKUP($A432,Leveranser_per_nät,'Leveranser per nät'!P$1,FALSE)/VLOOKUP($B432,Korrigeringsfaktor_GD,'Korrigeringsfaktor GD'!P$1,FALSE),
"")</f>
        <v>129.77791666666667</v>
      </c>
      <c r="Q432" s="18">
        <f>IFERROR(
                  Andel_oberoende_av_klimat*VLOOKUP($A432,Leveranser_per_nät,'Leveranser per nät'!Q$1,FALSE)
               +Andel_beroende_av_klimat*VLOOKUP($A432,Leveranser_per_nät,'Leveranser per nät'!Q$1,FALSE)/VLOOKUP($B432,Korrigeringsfaktor_GD,'Korrigeringsfaktor GD'!Q$1,FALSE),
"")</f>
        <v>143.90615384615384</v>
      </c>
      <c r="R432" s="18">
        <f>IFERROR(
                  Andel_oberoende_av_klimat*VLOOKUP($A432,Leveranser_per_nät,'Leveranser per nät'!R$1,FALSE)
               +Andel_beroende_av_klimat*VLOOKUP($A432,Leveranser_per_nät,'Leveranser per nät'!R$1,FALSE)/VLOOKUP($B432,Korrigeringsfaktor_GD,'Korrigeringsfaktor GD'!R$1,FALSE),
"")</f>
        <v>142.3686956521739</v>
      </c>
      <c r="S432" s="18">
        <f>IFERROR(
                  Andel_oberoende_av_klimat*VLOOKUP($A432,Leveranser_per_nät,'Leveranser per nät'!S$1,FALSE)
               +Andel_beroende_av_klimat*VLOOKUP($A432,Leveranser_per_nät,'Leveranser per nät'!S$1,FALSE)/VLOOKUP($B432,Korrigeringsfaktor_GD,'Korrigeringsfaktor GD'!S$1,FALSE),
"")</f>
        <v>149.88058252427186</v>
      </c>
      <c r="T432" s="18">
        <f>IFERROR(
                  Andel_oberoende_av_klimat*VLOOKUP($A432,Leveranser_per_nät,'Leveranser per nät'!T$1,FALSE)
               +Andel_beroende_av_klimat*VLOOKUP($A432,Leveranser_per_nät,'Leveranser per nät'!T$1,FALSE)/VLOOKUP($B432,Korrigeringsfaktor_GD,'Korrigeringsfaktor GD'!T$1,FALSE),
"")</f>
        <v>163.14545454545453</v>
      </c>
      <c r="U432" s="18">
        <f>IFERROR(
                  Andel_oberoende_av_klimat*VLOOKUP($A432,Leveranser_per_nät,'Leveranser per nät'!U$1,FALSE)
               +Andel_beroende_av_klimat*VLOOKUP($A432,Leveranser_per_nät,'Leveranser per nät'!U$1,FALSE)/VLOOKUP($B432,Korrigeringsfaktor_GD,'Korrigeringsfaktor GD'!U$1,FALSE),
"")</f>
        <v>152.72800000000001</v>
      </c>
      <c r="V432" s="18">
        <f>IFERROR(
                  Andel_oberoende_av_klimat*VLOOKUP($A432,Leveranser_per_nät,'Leveranser per nät'!V$1,FALSE)
               +Andel_beroende_av_klimat*VLOOKUP($A432,Leveranser_per_nät,'Leveranser per nät'!V$1,FALSE)/VLOOKUP($B432,Korrigeringsfaktor_GD,'Korrigeringsfaktor GD'!V$1,FALSE),
"")</f>
        <v>149.92320000000001</v>
      </c>
      <c r="W432" s="18">
        <f>IFERROR(
                  Andel_oberoende_av_klimat*VLOOKUP($A432,Leveranser_per_nät,'Leveranser per nät'!W$1,FALSE)
               +Andel_beroende_av_klimat*VLOOKUP($A432,Leveranser_per_nät,'Leveranser per nät'!W$1,FALSE)/VLOOKUP($B432,Korrigeringsfaktor_GD,'Korrigeringsfaktor GD'!W$1,FALSE),
"")</f>
        <v>159.5876695652174</v>
      </c>
      <c r="X432" s="18">
        <f>IFERROR(
                  Andel_oberoende_av_klimat*VLOOKUP($A432,Leveranser_per_nät,'Leveranser per nät'!X$1,FALSE)
               +Andel_beroende_av_klimat*VLOOKUP($A432,Leveranser_per_nät,'Leveranser per nät'!X$1,FALSE)/VLOOKUP($B432,Korrigeringsfaktor_GD,'Korrigeringsfaktor GD'!X$1,FALSE),
"")</f>
        <v>160.50757692307693</v>
      </c>
      <c r="Y432" s="18">
        <f>IFERROR(
                  Andel_oberoende_av_klimat*VLOOKUP($A432,Leveranser_per_nät,'Leveranser per nät'!Y$1,FALSE)
               +Andel_beroende_av_klimat*VLOOKUP($A432,Leveranser_per_nät,'Leveranser per nät'!Y$1,FALSE)/VLOOKUP($B432,Korrigeringsfaktor_GD,'Korrigeringsfaktor GD'!Y$1,FALSE),
"")</f>
        <v>165.47651685393259</v>
      </c>
      <c r="Z432" s="18">
        <f>IFERROR(
                  Andel_oberoende_av_klimat*VLOOKUP($A432,Leveranser_per_nät,'Leveranser per nät'!Z$1,FALSE)
               +Andel_beroende_av_klimat*VLOOKUP($A432,Leveranser_per_nät,'Leveranser per nät'!Z$1,FALSE)/VLOOKUP($B432,Korrigeringsfaktor_GD,'Korrigeringsfaktor GD'!Z$1,FALSE),
"")</f>
        <v>167.40588235294118</v>
      </c>
      <c r="AA432" s="18">
        <f>IFERROR(
                  Andel_oberoende_av_klimat*VLOOKUP($A432,Leveranser_per_nät,'Leveranser per nät'!AA$1,FALSE)
               +Andel_beroende_av_klimat*VLOOKUP($A432,Leveranser_per_nät,'Leveranser per nät'!AA$1,FALSE)/VLOOKUP($B432,Korrigeringsfaktor_GD,'Korrigeringsfaktor GD'!AA$1,FALSE),
"")</f>
        <v>164.62616494126286</v>
      </c>
      <c r="AB432" s="18">
        <f>IFERROR(
                  Andel_oberoende_av_klimat*VLOOKUP($A432,Leveranser_per_nät,'Leveranser per nät'!AB$1,FALSE)
               +Andel_beroende_av_klimat*VLOOKUP($A432,Leveranser_per_nät,'Leveranser per nät'!AB$1,FALSE)/VLOOKUP($B432,Korrigeringsfaktor_GD,'Korrigeringsfaktor GD'!AB$1,FALSE),
"")</f>
        <v>167.93248251748255</v>
      </c>
      <c r="AC432" s="18">
        <f>IFERROR(
                  Andel_oberoende_av_klimat*VLOOKUP($A432,Leveranser_per_nät,'Leveranser per nät'!AC$1,FALSE)
               +Andel_beroende_av_klimat*VLOOKUP($A432,Leveranser_per_nät,'Leveranser per nät'!AC$1,FALSE)/VLOOKUP($B432,Korrigeringsfaktor_GD,'Korrigeringsfaktor GD'!AC$1,FALSE),
"")</f>
        <v>168.78324642464244</v>
      </c>
      <c r="AD432" t="e">
        <v>#N/A</v>
      </c>
    </row>
    <row r="433" spans="1:30" x14ac:dyDescent="0.25">
      <c r="A433" t="s">
        <v>58</v>
      </c>
      <c r="B433" t="s">
        <v>58</v>
      </c>
      <c r="C433" s="18">
        <f>IFERROR(
                  Andel_oberoende_av_klimat*VLOOKUP($A433,Leveranser_per_nät,'Leveranser per nät'!C$1,FALSE)
               +Andel_beroende_av_klimat*VLOOKUP($A433,Leveranser_per_nät,'Leveranser per nät'!C$1,FALSE)/VLOOKUP("Värmdö",Korrigeringsfaktor_GD,'Korrigeringsfaktor GD'!C$1,FALSE),
"")</f>
        <v>2.5281818181818183</v>
      </c>
      <c r="D433" s="18">
        <f>IFERROR(
                  Andel_oberoende_av_klimat*VLOOKUP($A433,Leveranser_per_nät,'Leveranser per nät'!D$1,FALSE)
               +Andel_beroende_av_klimat*VLOOKUP($A433,Leveranser_per_nät,'Leveranser per nät'!D$1,FALSE)/VLOOKUP("Värmdö",Korrigeringsfaktor_GD,'Korrigeringsfaktor GD'!D$1,FALSE),
"")</f>
        <v>2.5478888888888886</v>
      </c>
      <c r="E433" s="18">
        <f>IFERROR(
                  Andel_oberoende_av_klimat*VLOOKUP($A433,Leveranser_per_nät,'Leveranser per nät'!E$1,FALSE)
               +Andel_beroende_av_klimat*VLOOKUP($A433,Leveranser_per_nät,'Leveranser per nät'!E$1,FALSE)/VLOOKUP("Värmdö",Korrigeringsfaktor_GD,'Korrigeringsfaktor GD'!E$1,FALSE),
"")</f>
        <v>2.6266683168316831</v>
      </c>
      <c r="F433" s="18">
        <f>IFERROR(
                  Andel_oberoende_av_klimat*VLOOKUP($A433,Leveranser_per_nät,'Leveranser per nät'!F$1,FALSE)
               +Andel_beroende_av_klimat*VLOOKUP($A433,Leveranser_per_nät,'Leveranser per nät'!F$1,FALSE)/VLOOKUP("Värmdö",Korrigeringsfaktor_GD,'Korrigeringsfaktor GD'!F$1,FALSE),
"")</f>
        <v>2.1053763440860216</v>
      </c>
      <c r="G433" s="18">
        <f>IFERROR(
                  Andel_oberoende_av_klimat*VLOOKUP($A433,Leveranser_per_nät,'Leveranser per nät'!G$1,FALSE)
               +Andel_beroende_av_klimat*VLOOKUP($A433,Leveranser_per_nät,'Leveranser per nät'!G$1,FALSE)/VLOOKUP("Värmdö",Korrigeringsfaktor_GD,'Korrigeringsfaktor GD'!G$1,FALSE),
"")</f>
        <v>2.4647727272727273</v>
      </c>
      <c r="H433" s="18">
        <f>IFERROR(
                  Andel_oberoende_av_klimat*VLOOKUP($A433,Leveranser_per_nät,'Leveranser per nät'!H$1,FALSE)
               +Andel_beroende_av_klimat*VLOOKUP($A433,Leveranser_per_nät,'Leveranser per nät'!H$1,FALSE)/VLOOKUP("Värmdö",Korrigeringsfaktor_GD,'Korrigeringsfaktor GD'!H$1,FALSE),
"")</f>
        <v>2.2821428571428575</v>
      </c>
      <c r="I433" s="18">
        <f>IFERROR(
                  Andel_oberoende_av_klimat*VLOOKUP($A433,Leveranser_per_nät,'Leveranser per nät'!I$1,FALSE)
               +Andel_beroende_av_klimat*VLOOKUP($A433,Leveranser_per_nät,'Leveranser per nät'!I$1,FALSE)/VLOOKUP("Värmdö",Korrigeringsfaktor_GD,'Korrigeringsfaktor GD'!I$1,FALSE),
"")</f>
        <v>0</v>
      </c>
      <c r="J433" s="18">
        <f>IFERROR(
                  Andel_oberoende_av_klimat*VLOOKUP($A433,Leveranser_per_nät,'Leveranser per nät'!J$1,FALSE)
               +Andel_beroende_av_klimat*VLOOKUP($A433,Leveranser_per_nät,'Leveranser per nät'!J$1,FALSE)/VLOOKUP("Värmdö",Korrigeringsfaktor_GD,'Korrigeringsfaktor GD'!J$1,FALSE),
"")</f>
        <v>0</v>
      </c>
      <c r="K433" s="18">
        <f>IFERROR(
                  Andel_oberoende_av_klimat*VLOOKUP($A433,Leveranser_per_nät,'Leveranser per nät'!K$1,FALSE)
               +Andel_beroende_av_klimat*VLOOKUP($A433,Leveranser_per_nät,'Leveranser per nät'!K$1,FALSE)/VLOOKUP("Värmdö",Korrigeringsfaktor_GD,'Korrigeringsfaktor GD'!K$1,FALSE),
"")</f>
        <v>0</v>
      </c>
      <c r="L433" s="18">
        <f>IFERROR(
                  Andel_oberoende_av_klimat*VLOOKUP($A433,Leveranser_per_nät,'Leveranser per nät'!L$1,FALSE)
               +Andel_beroende_av_klimat*VLOOKUP($A433,Leveranser_per_nät,'Leveranser per nät'!L$1,FALSE)/VLOOKUP("Värmdö",Korrigeringsfaktor_GD,'Korrigeringsfaktor GD'!L$1,FALSE),
"")</f>
        <v>0</v>
      </c>
      <c r="M433" s="18">
        <f>IFERROR(
                  Andel_oberoende_av_klimat*VLOOKUP($A433,Leveranser_per_nät,'Leveranser per nät'!M$1,FALSE)
               +Andel_beroende_av_klimat*VLOOKUP($A433,Leveranser_per_nät,'Leveranser per nät'!M$1,FALSE)/VLOOKUP("Värmdö",Korrigeringsfaktor_GD,'Korrigeringsfaktor GD'!M$1,FALSE),
"")</f>
        <v>27.58043010752688</v>
      </c>
      <c r="N433" s="18">
        <f>IFERROR(
                  Andel_oberoende_av_klimat*VLOOKUP($A433,Leveranser_per_nät,'Leveranser per nät'!N$1,FALSE)
               +Andel_beroende_av_klimat*VLOOKUP($A433,Leveranser_per_nät,'Leveranser per nät'!N$1,FALSE)/VLOOKUP("Värmdö",Korrigeringsfaktor_GD,'Korrigeringsfaktor GD'!N$1,FALSE),
"")</f>
        <v>26.627826086956521</v>
      </c>
      <c r="O433" s="18">
        <f>IFERROR(
                  Andel_oberoende_av_klimat*VLOOKUP($A433,Leveranser_per_nät,'Leveranser per nät'!O$1,FALSE)
               +Andel_beroende_av_klimat*VLOOKUP($A433,Leveranser_per_nät,'Leveranser per nät'!O$1,FALSE)/VLOOKUP("Värmdö",Korrigeringsfaktor_GD,'Korrigeringsfaktor GD'!O$1,FALSE),
"")</f>
        <v>25.962272727272726</v>
      </c>
      <c r="P433" s="18">
        <f>IFERROR(
                  Andel_oberoende_av_klimat*VLOOKUP($A433,Leveranser_per_nät,'Leveranser per nät'!P$1,FALSE)
               +Andel_beroende_av_klimat*VLOOKUP($A433,Leveranser_per_nät,'Leveranser per nät'!P$1,FALSE)/VLOOKUP("Värmdö",Korrigeringsfaktor_GD,'Korrigeringsfaktor GD'!P$1,FALSE),
"")</f>
        <v>24.519587628865978</v>
      </c>
      <c r="Q433" s="18">
        <f>IFERROR(
                  Andel_oberoende_av_klimat*VLOOKUP($A433,Leveranser_per_nät,'Leveranser per nät'!Q$1,FALSE)
               +Andel_beroende_av_klimat*VLOOKUP($A433,Leveranser_per_nät,'Leveranser per nät'!Q$1,FALSE)/VLOOKUP("Värmdö",Korrigeringsfaktor_GD,'Korrigeringsfaktor GD'!Q$1,FALSE),
"")</f>
        <v>24.534782608695654</v>
      </c>
      <c r="R433" s="18">
        <f>IFERROR(
                  Andel_oberoende_av_klimat*VLOOKUP($A433,Leveranser_per_nät,'Leveranser per nät'!R$1,FALSE)
               +Andel_beroende_av_klimat*VLOOKUP($A433,Leveranser_per_nät,'Leveranser per nät'!R$1,FALSE)/VLOOKUP("Värmdö",Korrigeringsfaktor_GD,'Korrigeringsfaktor GD'!R$1,FALSE),
"")</f>
        <v>24.496076923076924</v>
      </c>
      <c r="S433" s="18">
        <f>IFERROR(
                  Andel_oberoende_av_klimat*VLOOKUP($A433,Leveranser_per_nät,'Leveranser per nät'!S$1,FALSE)
               +Andel_beroende_av_klimat*VLOOKUP($A433,Leveranser_per_nät,'Leveranser per nät'!S$1,FALSE)/VLOOKUP("Värmdö",Korrigeringsfaktor_GD,'Korrigeringsfaktor GD'!S$1,FALSE),
"")</f>
        <v>24</v>
      </c>
      <c r="T433" s="18">
        <f>IFERROR(
                  Andel_oberoende_av_klimat*VLOOKUP($A433,Leveranser_per_nät,'Leveranser per nät'!T$1,FALSE)
               +Andel_beroende_av_klimat*VLOOKUP($A433,Leveranser_per_nät,'Leveranser per nät'!T$1,FALSE)/VLOOKUP("Värmdö",Korrigeringsfaktor_GD,'Korrigeringsfaktor GD'!T$1,FALSE),
"")</f>
        <v>23.600103092783506</v>
      </c>
      <c r="U433" s="18">
        <f>IFERROR(
                  Andel_oberoende_av_klimat*VLOOKUP($A433,Leveranser_per_nät,'Leveranser per nät'!U$1,FALSE)
               +Andel_beroende_av_klimat*VLOOKUP($A433,Leveranser_per_nät,'Leveranser per nät'!U$1,FALSE)/VLOOKUP("Värmdö",Korrigeringsfaktor_GD,'Korrigeringsfaktor GD'!U$1,FALSE),
"")</f>
        <v>24.12067415730337</v>
      </c>
      <c r="V433" s="18">
        <f>IFERROR(
                  Andel_oberoende_av_klimat*VLOOKUP($A433,Leveranser_per_nät,'Leveranser per nät'!V$1,FALSE)
               +Andel_beroende_av_klimat*VLOOKUP($A433,Leveranser_per_nät,'Leveranser per nät'!V$1,FALSE)/VLOOKUP("Värmdö",Korrigeringsfaktor_GD,'Korrigeringsfaktor GD'!V$1,FALSE),
"")</f>
        <v>25.175348837209302</v>
      </c>
      <c r="W433" s="18">
        <f>IFERROR(
                  Andel_oberoende_av_klimat*VLOOKUP($A433,Leveranser_per_nät,'Leveranser per nät'!W$1,FALSE)
               +Andel_beroende_av_klimat*VLOOKUP($A433,Leveranser_per_nät,'Leveranser per nät'!W$1,FALSE)/VLOOKUP("Värmdö",Korrigeringsfaktor_GD,'Korrigeringsfaktor GD'!W$1,FALSE),
"")</f>
        <v>26.422473118279569</v>
      </c>
      <c r="X433" s="18">
        <f>IFERROR(
                  Andel_oberoende_av_klimat*VLOOKUP($A433,Leveranser_per_nät,'Leveranser per nät'!X$1,FALSE)
               +Andel_beroende_av_klimat*VLOOKUP($A433,Leveranser_per_nät,'Leveranser per nät'!X$1,FALSE)/VLOOKUP("Värmdö",Korrigeringsfaktor_GD,'Korrigeringsfaktor GD'!X$1,FALSE),
"")</f>
        <v>26.587745161290322</v>
      </c>
      <c r="Y433" s="18">
        <f>IFERROR(
                  Andel_oberoende_av_klimat*VLOOKUP($A433,Leveranser_per_nät,'Leveranser per nät'!Y$1,FALSE)
               +Andel_beroende_av_klimat*VLOOKUP($A433,Leveranser_per_nät,'Leveranser per nät'!Y$1,FALSE)/VLOOKUP($B433,Korrigeringsfaktor_GD,'Korrigeringsfaktor GD'!Y$1,FALSE),
"")</f>
        <v>24.843440860215054</v>
      </c>
      <c r="Z433" s="18">
        <f>IFERROR(
                  Andel_oberoende_av_klimat*VLOOKUP($A433,Leveranser_per_nät,'Leveranser per nät'!Z$1,FALSE)
               +Andel_beroende_av_klimat*VLOOKUP($A433,Leveranser_per_nät,'Leveranser per nät'!Z$1,FALSE)/VLOOKUP($B433,Korrigeringsfaktor_GD,'Korrigeringsfaktor GD'!Z$1,FALSE),
"")</f>
        <v>24.194984946236559</v>
      </c>
      <c r="AA433" s="18">
        <f>IFERROR(
                  Andel_oberoende_av_klimat*VLOOKUP($A433,Leveranser_per_nät,'Leveranser per nät'!AA$1,FALSE)
               +Andel_beroende_av_klimat*VLOOKUP($A433,Leveranser_per_nät,'Leveranser per nät'!AA$1,FALSE)/VLOOKUP($B433,Korrigeringsfaktor_GD,'Korrigeringsfaktor GD'!AA$1,FALSE),
"")</f>
        <v>24.772332225519285</v>
      </c>
      <c r="AB433" s="18">
        <f>IFERROR(
                  Andel_oberoende_av_klimat*VLOOKUP($A433,Leveranser_per_nät,'Leveranser per nät'!AB$1,FALSE)
               +Andel_beroende_av_klimat*VLOOKUP($A433,Leveranser_per_nät,'Leveranser per nät'!AB$1,FALSE)/VLOOKUP($B433,Korrigeringsfaktor_GD,'Korrigeringsfaktor GD'!AB$1,FALSE),
"")</f>
        <v>23.910767789890976</v>
      </c>
      <c r="AC433" s="18">
        <f>IFERROR(
                  Andel_oberoende_av_klimat*VLOOKUP($A433,Leveranser_per_nät,'Leveranser per nät'!AC$1,FALSE)
               +Andel_beroende_av_klimat*VLOOKUP($A433,Leveranser_per_nät,'Leveranser per nät'!AC$1,FALSE)/VLOOKUP($B433,Korrigeringsfaktor_GD,'Korrigeringsfaktor GD'!AC$1,FALSE),
"")</f>
        <v>23.230372204806685</v>
      </c>
      <c r="AD433">
        <v>22.521999999999998</v>
      </c>
    </row>
    <row r="434" spans="1:30" x14ac:dyDescent="0.25">
      <c r="A434" t="s">
        <v>333</v>
      </c>
      <c r="B434" t="s">
        <v>445</v>
      </c>
      <c r="C434" s="18">
        <f>IFERROR(
                  Andel_oberoende_av_klimat*VLOOKUP($A434,Leveranser_per_nät,'Leveranser per nät'!C$1,FALSE)
               +Andel_beroende_av_klimat*VLOOKUP($A434,Leveranser_per_nät,'Leveranser per nät'!C$1,FALSE)/VLOOKUP($B434,Korrigeringsfaktor_GD,'Korrigeringsfaktor GD'!C$1,FALSE),
"")</f>
        <v>0</v>
      </c>
      <c r="D434" s="18">
        <f>IFERROR(
                  Andel_oberoende_av_klimat*VLOOKUP($A434,Leveranser_per_nät,'Leveranser per nät'!D$1,FALSE)
               +Andel_beroende_av_klimat*VLOOKUP($A434,Leveranser_per_nät,'Leveranser per nät'!D$1,FALSE)/VLOOKUP($B434,Korrigeringsfaktor_GD,'Korrigeringsfaktor GD'!D$1,FALSE),
"")</f>
        <v>0</v>
      </c>
      <c r="E434" s="18">
        <f>IFERROR(
                  Andel_oberoende_av_klimat*VLOOKUP($A434,Leveranser_per_nät,'Leveranser per nät'!E$1,FALSE)
               +Andel_beroende_av_klimat*VLOOKUP($A434,Leveranser_per_nät,'Leveranser per nät'!E$1,FALSE)/VLOOKUP($B434,Korrigeringsfaktor_GD,'Korrigeringsfaktor GD'!E$1,FALSE),
"")</f>
        <v>0</v>
      </c>
      <c r="F434" s="18">
        <f>IFERROR(
                  Andel_oberoende_av_klimat*VLOOKUP($A434,Leveranser_per_nät,'Leveranser per nät'!F$1,FALSE)
               +Andel_beroende_av_klimat*VLOOKUP($A434,Leveranser_per_nät,'Leveranser per nät'!F$1,FALSE)/VLOOKUP($B434,Korrigeringsfaktor_GD,'Korrigeringsfaktor GD'!F$1,FALSE),
"")</f>
        <v>0</v>
      </c>
      <c r="G434" s="18">
        <f>IFERROR(
                  Andel_oberoende_av_klimat*VLOOKUP($A434,Leveranser_per_nät,'Leveranser per nät'!G$1,FALSE)
               +Andel_beroende_av_klimat*VLOOKUP($A434,Leveranser_per_nät,'Leveranser per nät'!G$1,FALSE)/VLOOKUP($B434,Korrigeringsfaktor_GD,'Korrigeringsfaktor GD'!G$1,FALSE),
"")</f>
        <v>0</v>
      </c>
      <c r="H434" s="18">
        <f>IFERROR(
                  Andel_oberoende_av_klimat*VLOOKUP($A434,Leveranser_per_nät,'Leveranser per nät'!H$1,FALSE)
               +Andel_beroende_av_klimat*VLOOKUP($A434,Leveranser_per_nät,'Leveranser per nät'!H$1,FALSE)/VLOOKUP($B434,Korrigeringsfaktor_GD,'Korrigeringsfaktor GD'!H$1,FALSE),
"")</f>
        <v>0</v>
      </c>
      <c r="I434" s="18">
        <f>IFERROR(
                  Andel_oberoende_av_klimat*VLOOKUP($A434,Leveranser_per_nät,'Leveranser per nät'!I$1,FALSE)
               +Andel_beroende_av_klimat*VLOOKUP($A434,Leveranser_per_nät,'Leveranser per nät'!I$1,FALSE)/VLOOKUP($B434,Korrigeringsfaktor_GD,'Korrigeringsfaktor GD'!I$1,FALSE),
"")</f>
        <v>0</v>
      </c>
      <c r="J434" s="18">
        <f>IFERROR(
                  Andel_oberoende_av_klimat*VLOOKUP($A434,Leveranser_per_nät,'Leveranser per nät'!J$1,FALSE)
               +Andel_beroende_av_klimat*VLOOKUP($A434,Leveranser_per_nät,'Leveranser per nät'!J$1,FALSE)/VLOOKUP($B434,Korrigeringsfaktor_GD,'Korrigeringsfaktor GD'!J$1,FALSE),
"")</f>
        <v>0</v>
      </c>
      <c r="K434" s="18">
        <f>IFERROR(
                  Andel_oberoende_av_klimat*VLOOKUP($A434,Leveranser_per_nät,'Leveranser per nät'!K$1,FALSE)
               +Andel_beroende_av_klimat*VLOOKUP($A434,Leveranser_per_nät,'Leveranser per nät'!K$1,FALSE)/VLOOKUP($B434,Korrigeringsfaktor_GD,'Korrigeringsfaktor GD'!K$1,FALSE),
"")</f>
        <v>0</v>
      </c>
      <c r="L434" s="18">
        <f>IFERROR(
                  Andel_oberoende_av_klimat*VLOOKUP($A434,Leveranser_per_nät,'Leveranser per nät'!L$1,FALSE)
               +Andel_beroende_av_klimat*VLOOKUP($A434,Leveranser_per_nät,'Leveranser per nät'!L$1,FALSE)/VLOOKUP($B434,Korrigeringsfaktor_GD,'Korrigeringsfaktor GD'!L$1,FALSE),
"")</f>
        <v>0</v>
      </c>
      <c r="M434" s="18">
        <f>IFERROR(
                  Andel_oberoende_av_klimat*VLOOKUP($A434,Leveranser_per_nät,'Leveranser per nät'!M$1,FALSE)
               +Andel_beroende_av_klimat*VLOOKUP($A434,Leveranser_per_nät,'Leveranser per nät'!M$1,FALSE)/VLOOKUP($B434,Korrigeringsfaktor_GD,'Korrigeringsfaktor GD'!M$1,FALSE),
"")</f>
        <v>3.5284615384615381</v>
      </c>
      <c r="N434" s="18">
        <f>IFERROR(
                  Andel_oberoende_av_klimat*VLOOKUP($A434,Leveranser_per_nät,'Leveranser per nät'!N$1,FALSE)
               +Andel_beroende_av_klimat*VLOOKUP($A434,Leveranser_per_nät,'Leveranser per nät'!N$1,FALSE)/VLOOKUP($B434,Korrigeringsfaktor_GD,'Korrigeringsfaktor GD'!N$1,FALSE),
"")</f>
        <v>4.2722727272727274</v>
      </c>
      <c r="O434" s="18">
        <f>IFERROR(
                  Andel_oberoende_av_klimat*VLOOKUP($A434,Leveranser_per_nät,'Leveranser per nät'!O$1,FALSE)
               +Andel_beroende_av_klimat*VLOOKUP($A434,Leveranser_per_nät,'Leveranser per nät'!O$1,FALSE)/VLOOKUP($B434,Korrigeringsfaktor_GD,'Korrigeringsfaktor GD'!O$1,FALSE),
"")</f>
        <v>4.2284545454545457</v>
      </c>
      <c r="P434" s="18">
        <f>IFERROR(
                  Andel_oberoende_av_klimat*VLOOKUP($A434,Leveranser_per_nät,'Leveranser per nät'!P$1,FALSE)
               +Andel_beroende_av_klimat*VLOOKUP($A434,Leveranser_per_nät,'Leveranser per nät'!P$1,FALSE)/VLOOKUP($B434,Korrigeringsfaktor_GD,'Korrigeringsfaktor GD'!P$1,FALSE),
"")</f>
        <v>4.4460000000000006</v>
      </c>
      <c r="Q434" s="18">
        <f>IFERROR(
                  Andel_oberoende_av_klimat*VLOOKUP($A434,Leveranser_per_nät,'Leveranser per nät'!Q$1,FALSE)
               +Andel_beroende_av_klimat*VLOOKUP($A434,Leveranser_per_nät,'Leveranser per nät'!Q$1,FALSE)/VLOOKUP($B434,Korrigeringsfaktor_GD,'Korrigeringsfaktor GD'!Q$1,FALSE),
"")</f>
        <v>4.0782393162393165</v>
      </c>
      <c r="R434" s="18">
        <f>IFERROR(
                  Andel_oberoende_av_klimat*VLOOKUP($A434,Leveranser_per_nät,'Leveranser per nät'!R$1,FALSE)
               +Andel_beroende_av_klimat*VLOOKUP($A434,Leveranser_per_nät,'Leveranser per nät'!R$1,FALSE)/VLOOKUP($B434,Korrigeringsfaktor_GD,'Korrigeringsfaktor GD'!R$1,FALSE),
"")</f>
        <v>3.925217391304348</v>
      </c>
      <c r="S434" s="18">
        <f>IFERROR(
                  Andel_oberoende_av_klimat*VLOOKUP($A434,Leveranser_per_nät,'Leveranser per nät'!S$1,FALSE)
               +Andel_beroende_av_klimat*VLOOKUP($A434,Leveranser_per_nät,'Leveranser per nät'!S$1,FALSE)/VLOOKUP($B434,Korrigeringsfaktor_GD,'Korrigeringsfaktor GD'!S$1,FALSE),
"")</f>
        <v>3.8988543689320387</v>
      </c>
      <c r="T434" s="18">
        <f>IFERROR(
                  Andel_oberoende_av_klimat*VLOOKUP($A434,Leveranser_per_nät,'Leveranser per nät'!T$1,FALSE)
               +Andel_beroende_av_klimat*VLOOKUP($A434,Leveranser_per_nät,'Leveranser per nät'!T$1,FALSE)/VLOOKUP($B434,Korrigeringsfaktor_GD,'Korrigeringsfaktor GD'!T$1,FALSE),
"")</f>
        <v>3.7463030303030305</v>
      </c>
      <c r="U434" s="18">
        <f>IFERROR(
                  Andel_oberoende_av_klimat*VLOOKUP($A434,Leveranser_per_nät,'Leveranser per nät'!U$1,FALSE)
               +Andel_beroende_av_klimat*VLOOKUP($A434,Leveranser_per_nät,'Leveranser per nät'!U$1,FALSE)/VLOOKUP($B434,Korrigeringsfaktor_GD,'Korrigeringsfaktor GD'!U$1,FALSE),
"")</f>
        <v>3.0883333333333338</v>
      </c>
      <c r="V434" s="18">
        <f>IFERROR(
                  Andel_oberoende_av_klimat*VLOOKUP($A434,Leveranser_per_nät,'Leveranser per nät'!V$1,FALSE)
               +Andel_beroende_av_klimat*VLOOKUP($A434,Leveranser_per_nät,'Leveranser per nät'!V$1,FALSE)/VLOOKUP($B434,Korrigeringsfaktor_GD,'Korrigeringsfaktor GD'!V$1,FALSE),
"")</f>
        <v>3.8013222222222227</v>
      </c>
      <c r="W434" s="18">
        <f>IFERROR(
                  Andel_oberoende_av_klimat*VLOOKUP($A434,Leveranser_per_nät,'Leveranser per nät'!W$1,FALSE)
               +Andel_beroende_av_klimat*VLOOKUP($A434,Leveranser_per_nät,'Leveranser per nät'!W$1,FALSE)/VLOOKUP($B434,Korrigeringsfaktor_GD,'Korrigeringsfaktor GD'!W$1,FALSE),
"")</f>
        <v>4.0313043478260866</v>
      </c>
      <c r="X434" s="18">
        <f>IFERROR(
                  Andel_oberoende_av_klimat*VLOOKUP($A434,Leveranser_per_nät,'Leveranser per nät'!X$1,FALSE)
               +Andel_beroende_av_klimat*VLOOKUP($A434,Leveranser_per_nät,'Leveranser per nät'!X$1,FALSE)/VLOOKUP($B434,Korrigeringsfaktor_GD,'Korrigeringsfaktor GD'!X$1,FALSE),
"")</f>
        <v>4.1133307692307692</v>
      </c>
      <c r="Y434" s="18">
        <f>IFERROR(
                  Andel_oberoende_av_klimat*VLOOKUP($A434,Leveranser_per_nät,'Leveranser per nät'!Y$1,FALSE)
               +Andel_beroende_av_klimat*VLOOKUP($A434,Leveranser_per_nät,'Leveranser per nät'!Y$1,FALSE)/VLOOKUP($B434,Korrigeringsfaktor_GD,'Korrigeringsfaktor GD'!Y$1,FALSE),
"")</f>
        <v>3.9494887640449434</v>
      </c>
      <c r="Z434" s="18">
        <f>IFERROR(
                  Andel_oberoende_av_klimat*VLOOKUP($A434,Leveranser_per_nät,'Leveranser per nät'!Z$1,FALSE)
               +Andel_beroende_av_klimat*VLOOKUP($A434,Leveranser_per_nät,'Leveranser per nät'!Z$1,FALSE)/VLOOKUP($B434,Korrigeringsfaktor_GD,'Korrigeringsfaktor GD'!Z$1,FALSE),
"")</f>
        <v>4.3222176470588236</v>
      </c>
      <c r="AA434" s="18">
        <f>IFERROR(
                  Andel_oberoende_av_klimat*VLOOKUP($A434,Leveranser_per_nät,'Leveranser per nät'!AA$1,FALSE)
               +Andel_beroende_av_klimat*VLOOKUP($A434,Leveranser_per_nät,'Leveranser per nät'!AA$1,FALSE)/VLOOKUP($B434,Korrigeringsfaktor_GD,'Korrigeringsfaktor GD'!AA$1,FALSE),
"")</f>
        <v>3.9652936857562406</v>
      </c>
      <c r="AB434" s="18">
        <f>IFERROR(
                  Andel_oberoende_av_klimat*VLOOKUP($A434,Leveranser_per_nät,'Leveranser per nät'!AB$1,FALSE)
               +Andel_beroende_av_klimat*VLOOKUP($A434,Leveranser_per_nät,'Leveranser per nät'!AB$1,FALSE)/VLOOKUP($B434,Korrigeringsfaktor_GD,'Korrigeringsfaktor GD'!AB$1,FALSE),
"")</f>
        <v>3.8573006993006995</v>
      </c>
      <c r="AC434" s="18">
        <f>IFERROR(
                  Andel_oberoende_av_klimat*VLOOKUP($A434,Leveranser_per_nät,'Leveranser per nät'!AC$1,FALSE)
               +Andel_beroende_av_klimat*VLOOKUP($A434,Leveranser_per_nät,'Leveranser per nät'!AC$1,FALSE)/VLOOKUP($B434,Korrigeringsfaktor_GD,'Korrigeringsfaktor GD'!AC$1,FALSE),
"")</f>
        <v>3.644682288228823</v>
      </c>
      <c r="AD434" t="e">
        <v>#N/A</v>
      </c>
    </row>
    <row r="435" spans="1:30" x14ac:dyDescent="0.25">
      <c r="A435" t="s">
        <v>192</v>
      </c>
      <c r="B435" t="s">
        <v>190</v>
      </c>
      <c r="C435" s="18">
        <f>IFERROR(
                  Andel_oberoende_av_klimat*VLOOKUP($A435,Leveranser_per_nät,'Leveranser per nät'!C$1,FALSE)
               +Andel_beroende_av_klimat*VLOOKUP($A435,Leveranser_per_nät,'Leveranser per nät'!C$1,FALSE)/VLOOKUP($B435,Korrigeringsfaktor_GD,'Korrigeringsfaktor GD'!C$1,FALSE),
"")</f>
        <v>0</v>
      </c>
      <c r="D435" s="18">
        <f>IFERROR(
                  Andel_oberoende_av_klimat*VLOOKUP($A435,Leveranser_per_nät,'Leveranser per nät'!D$1,FALSE)
               +Andel_beroende_av_klimat*VLOOKUP($A435,Leveranser_per_nät,'Leveranser per nät'!D$1,FALSE)/VLOOKUP($B435,Korrigeringsfaktor_GD,'Korrigeringsfaktor GD'!D$1,FALSE),
"")</f>
        <v>2.6460721649484533</v>
      </c>
      <c r="E435" s="18">
        <f>IFERROR(
                  Andel_oberoende_av_klimat*VLOOKUP($A435,Leveranser_per_nät,'Leveranser per nät'!E$1,FALSE)
               +Andel_beroende_av_klimat*VLOOKUP($A435,Leveranser_per_nät,'Leveranser per nät'!E$1,FALSE)/VLOOKUP($B435,Korrigeringsfaktor_GD,'Korrigeringsfaktor GD'!E$1,FALSE),
"")</f>
        <v>2.9588235294117649</v>
      </c>
      <c r="F435" s="18">
        <f>IFERROR(
                  Andel_oberoende_av_klimat*VLOOKUP($A435,Leveranser_per_nät,'Leveranser per nät'!F$1,FALSE)
               +Andel_beroende_av_klimat*VLOOKUP($A435,Leveranser_per_nät,'Leveranser per nät'!F$1,FALSE)/VLOOKUP($B435,Korrigeringsfaktor_GD,'Korrigeringsfaktor GD'!F$1,FALSE),
"")</f>
        <v>3.0649484536082472</v>
      </c>
      <c r="G435" s="18">
        <f>IFERROR(
                  Andel_oberoende_av_klimat*VLOOKUP($A435,Leveranser_per_nät,'Leveranser per nät'!G$1,FALSE)
               +Andel_beroende_av_klimat*VLOOKUP($A435,Leveranser_per_nät,'Leveranser per nät'!G$1,FALSE)/VLOOKUP($B435,Korrigeringsfaktor_GD,'Korrigeringsfaktor GD'!G$1,FALSE),
"")</f>
        <v>5.4772727272727275</v>
      </c>
      <c r="H435" s="18">
        <f>IFERROR(
                  Andel_oberoende_av_klimat*VLOOKUP($A435,Leveranser_per_nät,'Leveranser per nät'!H$1,FALSE)
               +Andel_beroende_av_klimat*VLOOKUP($A435,Leveranser_per_nät,'Leveranser per nät'!H$1,FALSE)/VLOOKUP($B435,Korrigeringsfaktor_GD,'Korrigeringsfaktor GD'!H$1,FALSE),
"")</f>
        <v>4.9653465346534658</v>
      </c>
      <c r="I435" s="18">
        <f>IFERROR(
                  Andel_oberoende_av_klimat*VLOOKUP($A435,Leveranser_per_nät,'Leveranser per nät'!I$1,FALSE)
               +Andel_beroende_av_klimat*VLOOKUP($A435,Leveranser_per_nät,'Leveranser per nät'!I$1,FALSE)/VLOOKUP($B435,Korrigeringsfaktor_GD,'Korrigeringsfaktor GD'!I$1,FALSE),
"")</f>
        <v>5.0353535353535355</v>
      </c>
      <c r="J435" s="18">
        <f>IFERROR(
                  Andel_oberoende_av_klimat*VLOOKUP($A435,Leveranser_per_nät,'Leveranser per nät'!J$1,FALSE)
               +Andel_beroende_av_klimat*VLOOKUP($A435,Leveranser_per_nät,'Leveranser per nät'!J$1,FALSE)/VLOOKUP($B435,Korrigeringsfaktor_GD,'Korrigeringsfaktor GD'!J$1,FALSE),
"")</f>
        <v>5.1082474226804129</v>
      </c>
      <c r="K435" s="18">
        <f>IFERROR(
                  Andel_oberoende_av_klimat*VLOOKUP($A435,Leveranser_per_nät,'Leveranser per nät'!K$1,FALSE)
               +Andel_beroende_av_klimat*VLOOKUP($A435,Leveranser_per_nät,'Leveranser per nät'!K$1,FALSE)/VLOOKUP($B435,Korrigeringsfaktor_GD,'Korrigeringsfaktor GD'!K$1,FALSE),
"")</f>
        <v>4.7200206185567017</v>
      </c>
      <c r="L435" s="18">
        <f>IFERROR(
                  Andel_oberoende_av_klimat*VLOOKUP($A435,Leveranser_per_nät,'Leveranser per nät'!L$1,FALSE)
               +Andel_beroende_av_klimat*VLOOKUP($A435,Leveranser_per_nät,'Leveranser per nät'!L$1,FALSE)/VLOOKUP($B435,Korrigeringsfaktor_GD,'Korrigeringsfaktor GD'!L$1,FALSE),
"")</f>
        <v>5.3508139784946236</v>
      </c>
      <c r="M435" s="18">
        <f>IFERROR(
                  Andel_oberoende_av_klimat*VLOOKUP($A435,Leveranser_per_nät,'Leveranser per nät'!M$1,FALSE)
               +Andel_beroende_av_klimat*VLOOKUP($A435,Leveranser_per_nät,'Leveranser per nät'!M$1,FALSE)/VLOOKUP($B435,Korrigeringsfaktor_GD,'Korrigeringsfaktor GD'!M$1,FALSE),
"")</f>
        <v>4.7046153846153853</v>
      </c>
      <c r="N435" s="18">
        <f>IFERROR(
                  Andel_oberoende_av_klimat*VLOOKUP($A435,Leveranser_per_nät,'Leveranser per nät'!N$1,FALSE)
               +Andel_beroende_av_klimat*VLOOKUP($A435,Leveranser_per_nät,'Leveranser per nät'!N$1,FALSE)/VLOOKUP($B435,Korrigeringsfaktor_GD,'Korrigeringsfaktor GD'!N$1,FALSE),
"")</f>
        <v>4.6784347826086954</v>
      </c>
      <c r="O435" s="18">
        <f>IFERROR(
                  Andel_oberoende_av_klimat*VLOOKUP($A435,Leveranser_per_nät,'Leveranser per nät'!O$1,FALSE)
               +Andel_beroende_av_klimat*VLOOKUP($A435,Leveranser_per_nät,'Leveranser per nät'!O$1,FALSE)/VLOOKUP($B435,Korrigeringsfaktor_GD,'Korrigeringsfaktor GD'!O$1,FALSE),
"")</f>
        <v>4.377933333333333</v>
      </c>
      <c r="P435" s="18">
        <f>IFERROR(
                  Andel_oberoende_av_klimat*VLOOKUP($A435,Leveranser_per_nät,'Leveranser per nät'!P$1,FALSE)
               +Andel_beroende_av_klimat*VLOOKUP($A435,Leveranser_per_nät,'Leveranser per nät'!P$1,FALSE)/VLOOKUP($B435,Korrigeringsfaktor_GD,'Korrigeringsfaktor GD'!P$1,FALSE),
"")</f>
        <v>4.2062428571428576</v>
      </c>
      <c r="Q435" s="18">
        <f>IFERROR(
                  Andel_oberoende_av_klimat*VLOOKUP($A435,Leveranser_per_nät,'Leveranser per nät'!Q$1,FALSE)
               +Andel_beroende_av_klimat*VLOOKUP($A435,Leveranser_per_nät,'Leveranser per nät'!Q$1,FALSE)/VLOOKUP($B435,Korrigeringsfaktor_GD,'Korrigeringsfaktor GD'!Q$1,FALSE),
"")</f>
        <v>4.5452956521739125</v>
      </c>
      <c r="R435" s="18">
        <f>IFERROR(
                  Andel_oberoende_av_klimat*VLOOKUP($A435,Leveranser_per_nät,'Leveranser per nät'!R$1,FALSE)
               +Andel_beroende_av_klimat*VLOOKUP($A435,Leveranser_per_nät,'Leveranser per nät'!R$1,FALSE)/VLOOKUP($B435,Korrigeringsfaktor_GD,'Korrigeringsfaktor GD'!R$1,FALSE),
"")</f>
        <v>4.3111111111111109</v>
      </c>
      <c r="S435" s="18">
        <f>IFERROR(
                  Andel_oberoende_av_klimat*VLOOKUP($A435,Leveranser_per_nät,'Leveranser per nät'!S$1,FALSE)
               +Andel_beroende_av_klimat*VLOOKUP($A435,Leveranser_per_nät,'Leveranser per nät'!S$1,FALSE)/VLOOKUP($B435,Korrigeringsfaktor_GD,'Korrigeringsfaktor GD'!S$1,FALSE),
"")</f>
        <v>4.3304040404040407</v>
      </c>
      <c r="T435" s="18">
        <f>IFERROR(
                  Andel_oberoende_av_klimat*VLOOKUP($A435,Leveranser_per_nät,'Leveranser per nät'!T$1,FALSE)
               +Andel_beroende_av_klimat*VLOOKUP($A435,Leveranser_per_nät,'Leveranser per nät'!T$1,FALSE)/VLOOKUP($B435,Korrigeringsfaktor_GD,'Korrigeringsfaktor GD'!T$1,FALSE),
"")</f>
        <v>3.8363157894736846</v>
      </c>
      <c r="U435" s="18">
        <f>IFERROR(
                  Andel_oberoende_av_klimat*VLOOKUP($A435,Leveranser_per_nät,'Leveranser per nät'!U$1,FALSE)
               +Andel_beroende_av_klimat*VLOOKUP($A435,Leveranser_per_nät,'Leveranser per nät'!U$1,FALSE)/VLOOKUP($B435,Korrigeringsfaktor_GD,'Korrigeringsfaktor GD'!U$1,FALSE),
"")</f>
        <v>3.6358136363636362</v>
      </c>
      <c r="V435" s="18">
        <f>IFERROR(
                  Andel_oberoende_av_klimat*VLOOKUP($A435,Leveranser_per_nät,'Leveranser per nät'!V$1,FALSE)
               +Andel_beroende_av_klimat*VLOOKUP($A435,Leveranser_per_nät,'Leveranser per nät'!V$1,FALSE)/VLOOKUP($B435,Korrigeringsfaktor_GD,'Korrigeringsfaktor GD'!V$1,FALSE),
"")</f>
        <v>3.88</v>
      </c>
      <c r="W435" s="18">
        <f>IFERROR(
                  Andel_oberoende_av_klimat*VLOOKUP($A435,Leveranser_per_nät,'Leveranser per nät'!W$1,FALSE)
               +Andel_beroende_av_klimat*VLOOKUP($A435,Leveranser_per_nät,'Leveranser per nät'!W$1,FALSE)/VLOOKUP($B435,Korrigeringsfaktor_GD,'Korrigeringsfaktor GD'!W$1,FALSE),
"")</f>
        <v>3.6289473684210529</v>
      </c>
      <c r="X435" s="18">
        <f>IFERROR(
                  Andel_oberoende_av_klimat*VLOOKUP($A435,Leveranser_per_nät,'Leveranser per nät'!X$1,FALSE)
               +Andel_beroende_av_klimat*VLOOKUP($A435,Leveranser_per_nät,'Leveranser per nät'!X$1,FALSE)/VLOOKUP($B435,Korrigeringsfaktor_GD,'Korrigeringsfaktor GD'!X$1,FALSE),
"")</f>
        <v>3.7801030927835053</v>
      </c>
      <c r="Y435" s="18">
        <f>IFERROR(
                  Andel_oberoende_av_klimat*VLOOKUP($A435,Leveranser_per_nät,'Leveranser per nät'!Y$1,FALSE)
               +Andel_beroende_av_klimat*VLOOKUP($A435,Leveranser_per_nät,'Leveranser per nät'!Y$1,FALSE)/VLOOKUP($B435,Korrigeringsfaktor_GD,'Korrigeringsfaktor GD'!Y$1,FALSE),
"")</f>
        <v>3.94</v>
      </c>
      <c r="Z435" s="18">
        <f>IFERROR(
                  Andel_oberoende_av_klimat*VLOOKUP($A435,Leveranser_per_nät,'Leveranser per nät'!Z$1,FALSE)
               +Andel_beroende_av_klimat*VLOOKUP($A435,Leveranser_per_nät,'Leveranser per nät'!Z$1,FALSE)/VLOOKUP($B435,Korrigeringsfaktor_GD,'Korrigeringsfaktor GD'!Z$1,FALSE),
"")</f>
        <v>4.1287640449438197</v>
      </c>
      <c r="AA435" s="18">
        <f>IFERROR(
                  Andel_oberoende_av_klimat*VLOOKUP($A435,Leveranser_per_nät,'Leveranser per nät'!AA$1,FALSE)
               +Andel_beroende_av_klimat*VLOOKUP($A435,Leveranser_per_nät,'Leveranser per nät'!AA$1,FALSE)/VLOOKUP($B435,Korrigeringsfaktor_GD,'Korrigeringsfaktor GD'!AA$1,FALSE),
"")</f>
        <v>4.0554892601431982</v>
      </c>
      <c r="AB435" s="18">
        <f>IFERROR(
                  Andel_oberoende_av_klimat*VLOOKUP($A435,Leveranser_per_nät,'Leveranser per nät'!AB$1,FALSE)
               +Andel_beroende_av_klimat*VLOOKUP($A435,Leveranser_per_nät,'Leveranser per nät'!AB$1,FALSE)/VLOOKUP($B435,Korrigeringsfaktor_GD,'Korrigeringsfaktor GD'!AB$1,FALSE),
"")</f>
        <v>4.162137404580152</v>
      </c>
      <c r="AC435" s="18">
        <f>IFERROR(
                  Andel_oberoende_av_klimat*VLOOKUP($A435,Leveranser_per_nät,'Leveranser per nät'!AC$1,FALSE)
               +Andel_beroende_av_klimat*VLOOKUP($A435,Leveranser_per_nät,'Leveranser per nät'!AC$1,FALSE)/VLOOKUP($B435,Korrigeringsfaktor_GD,'Korrigeringsfaktor GD'!AC$1,FALSE),
"")</f>
        <v>3.7314574898785429</v>
      </c>
      <c r="AD435">
        <v>79.8</v>
      </c>
    </row>
    <row r="436" spans="1:30" x14ac:dyDescent="0.25">
      <c r="A436" t="s">
        <v>431</v>
      </c>
      <c r="B436" t="s">
        <v>372</v>
      </c>
      <c r="C436" s="18">
        <f>IFERROR(
                  Andel_oberoende_av_klimat*VLOOKUP($A436,Leveranser_per_nät,'Leveranser per nät'!C$1,FALSE)
               +Andel_beroende_av_klimat*VLOOKUP($A436,Leveranser_per_nät,'Leveranser per nät'!C$1,FALSE)/VLOOKUP($B436,Korrigeringsfaktor_GD,'Korrigeringsfaktor GD'!C$1,FALSE),
"")</f>
        <v>0</v>
      </c>
      <c r="D436" s="18">
        <f>IFERROR(
                  Andel_oberoende_av_klimat*VLOOKUP($A436,Leveranser_per_nät,'Leveranser per nät'!D$1,FALSE)
               +Andel_beroende_av_klimat*VLOOKUP($A436,Leveranser_per_nät,'Leveranser per nät'!D$1,FALSE)/VLOOKUP($B436,Korrigeringsfaktor_GD,'Korrigeringsfaktor GD'!D$1,FALSE),
"")</f>
        <v>0</v>
      </c>
      <c r="E436" s="18">
        <f>IFERROR(
                  Andel_oberoende_av_klimat*VLOOKUP($A436,Leveranser_per_nät,'Leveranser per nät'!E$1,FALSE)
               +Andel_beroende_av_klimat*VLOOKUP($A436,Leveranser_per_nät,'Leveranser per nät'!E$1,FALSE)/VLOOKUP($B436,Korrigeringsfaktor_GD,'Korrigeringsfaktor GD'!E$1,FALSE),
"")</f>
        <v>0</v>
      </c>
      <c r="F436" s="18">
        <f>IFERROR(
                  Andel_oberoende_av_klimat*VLOOKUP($A436,Leveranser_per_nät,'Leveranser per nät'!F$1,FALSE)
               +Andel_beroende_av_klimat*VLOOKUP($A436,Leveranser_per_nät,'Leveranser per nät'!F$1,FALSE)/VLOOKUP($B436,Korrigeringsfaktor_GD,'Korrigeringsfaktor GD'!F$1,FALSE),
"")</f>
        <v>0</v>
      </c>
      <c r="G436" s="18">
        <f>IFERROR(
                  Andel_oberoende_av_klimat*VLOOKUP($A436,Leveranser_per_nät,'Leveranser per nät'!G$1,FALSE)
               +Andel_beroende_av_klimat*VLOOKUP($A436,Leveranser_per_nät,'Leveranser per nät'!G$1,FALSE)/VLOOKUP($B436,Korrigeringsfaktor_GD,'Korrigeringsfaktor GD'!G$1,FALSE),
"")</f>
        <v>0</v>
      </c>
      <c r="H436" s="18">
        <f>IFERROR(
                  Andel_oberoende_av_klimat*VLOOKUP($A436,Leveranser_per_nät,'Leveranser per nät'!H$1,FALSE)
               +Andel_beroende_av_klimat*VLOOKUP($A436,Leveranser_per_nät,'Leveranser per nät'!H$1,FALSE)/VLOOKUP($B436,Korrigeringsfaktor_GD,'Korrigeringsfaktor GD'!H$1,FALSE),
"")</f>
        <v>0</v>
      </c>
      <c r="I436" s="18">
        <f>IFERROR(
                  Andel_oberoende_av_klimat*VLOOKUP($A436,Leveranser_per_nät,'Leveranser per nät'!I$1,FALSE)
               +Andel_beroende_av_klimat*VLOOKUP($A436,Leveranser_per_nät,'Leveranser per nät'!I$1,FALSE)/VLOOKUP($B436,Korrigeringsfaktor_GD,'Korrigeringsfaktor GD'!I$1,FALSE),
"")</f>
        <v>0</v>
      </c>
      <c r="J436" s="18">
        <f>IFERROR(
                  Andel_oberoende_av_klimat*VLOOKUP($A436,Leveranser_per_nät,'Leveranser per nät'!J$1,FALSE)
               +Andel_beroende_av_klimat*VLOOKUP($A436,Leveranser_per_nät,'Leveranser per nät'!J$1,FALSE)/VLOOKUP($B436,Korrigeringsfaktor_GD,'Korrigeringsfaktor GD'!J$1,FALSE),
"")</f>
        <v>0</v>
      </c>
      <c r="K436" s="18">
        <f>IFERROR(
                  Andel_oberoende_av_klimat*VLOOKUP($A436,Leveranser_per_nät,'Leveranser per nät'!K$1,FALSE)
               +Andel_beroende_av_klimat*VLOOKUP($A436,Leveranser_per_nät,'Leveranser per nät'!K$1,FALSE)/VLOOKUP($B436,Korrigeringsfaktor_GD,'Korrigeringsfaktor GD'!K$1,FALSE),
"")</f>
        <v>0</v>
      </c>
      <c r="L436" s="18">
        <f>IFERROR(
                  Andel_oberoende_av_klimat*VLOOKUP($A436,Leveranser_per_nät,'Leveranser per nät'!L$1,FALSE)
               +Andel_beroende_av_klimat*VLOOKUP($A436,Leveranser_per_nät,'Leveranser per nät'!L$1,FALSE)/VLOOKUP($B436,Korrigeringsfaktor_GD,'Korrigeringsfaktor GD'!L$1,FALSE),
"")</f>
        <v>0</v>
      </c>
      <c r="M436" s="18">
        <f>IFERROR(
                  Andel_oberoende_av_klimat*VLOOKUP($A436,Leveranser_per_nät,'Leveranser per nät'!M$1,FALSE)
               +Andel_beroende_av_klimat*VLOOKUP($A436,Leveranser_per_nät,'Leveranser per nät'!M$1,FALSE)/VLOOKUP($B436,Korrigeringsfaktor_GD,'Korrigeringsfaktor GD'!M$1,FALSE),
"")</f>
        <v>0</v>
      </c>
      <c r="N436" s="18">
        <f>IFERROR(
                  Andel_oberoende_av_klimat*VLOOKUP($A436,Leveranser_per_nät,'Leveranser per nät'!N$1,FALSE)
               +Andel_beroende_av_klimat*VLOOKUP($A436,Leveranser_per_nät,'Leveranser per nät'!N$1,FALSE)/VLOOKUP($B436,Korrigeringsfaktor_GD,'Korrigeringsfaktor GD'!N$1,FALSE),
"")</f>
        <v>0</v>
      </c>
      <c r="O436" s="18">
        <f>IFERROR(
                  Andel_oberoende_av_klimat*VLOOKUP($A436,Leveranser_per_nät,'Leveranser per nät'!O$1,FALSE)
               +Andel_beroende_av_klimat*VLOOKUP($A436,Leveranser_per_nät,'Leveranser per nät'!O$1,FALSE)/VLOOKUP($B436,Korrigeringsfaktor_GD,'Korrigeringsfaktor GD'!O$1,FALSE),
"")</f>
        <v>0</v>
      </c>
      <c r="P436" s="18">
        <f>IFERROR(
                  Andel_oberoende_av_klimat*VLOOKUP($A436,Leveranser_per_nät,'Leveranser per nät'!P$1,FALSE)
               +Andel_beroende_av_klimat*VLOOKUP($A436,Leveranser_per_nät,'Leveranser per nät'!P$1,FALSE)/VLOOKUP($B436,Korrigeringsfaktor_GD,'Korrigeringsfaktor GD'!P$1,FALSE),
"")</f>
        <v>0</v>
      </c>
      <c r="Q436" s="18">
        <f>IFERROR(
                  Andel_oberoende_av_klimat*VLOOKUP($A436,Leveranser_per_nät,'Leveranser per nät'!Q$1,FALSE)
               +Andel_beroende_av_klimat*VLOOKUP($A436,Leveranser_per_nät,'Leveranser per nät'!Q$1,FALSE)/VLOOKUP($B436,Korrigeringsfaktor_GD,'Korrigeringsfaktor GD'!Q$1,FALSE),
"")</f>
        <v>9.3062905982905981</v>
      </c>
      <c r="R436" s="18">
        <f>IFERROR(
                  Andel_oberoende_av_klimat*VLOOKUP($A436,Leveranser_per_nät,'Leveranser per nät'!R$1,FALSE)
               +Andel_beroende_av_klimat*VLOOKUP($A436,Leveranser_per_nät,'Leveranser per nät'!R$1,FALSE)/VLOOKUP($B436,Korrigeringsfaktor_GD,'Korrigeringsfaktor GD'!R$1,FALSE),
"")</f>
        <v>9.3394494623655913</v>
      </c>
      <c r="S436" s="18">
        <f>IFERROR(
                  Andel_oberoende_av_klimat*VLOOKUP($A436,Leveranser_per_nät,'Leveranser per nät'!S$1,FALSE)
               +Andel_beroende_av_klimat*VLOOKUP($A436,Leveranser_per_nät,'Leveranser per nät'!S$1,FALSE)/VLOOKUP($B436,Korrigeringsfaktor_GD,'Korrigeringsfaktor GD'!S$1,FALSE),
"")</f>
        <v>10.059999999999999</v>
      </c>
      <c r="T436" s="18">
        <f>IFERROR(
                  Andel_oberoende_av_klimat*VLOOKUP($A436,Leveranser_per_nät,'Leveranser per nät'!T$1,FALSE)
               +Andel_beroende_av_klimat*VLOOKUP($A436,Leveranser_per_nät,'Leveranser per nät'!T$1,FALSE)/VLOOKUP($B436,Korrigeringsfaktor_GD,'Korrigeringsfaktor GD'!T$1,FALSE),
"")</f>
        <v>9.6</v>
      </c>
      <c r="U436" s="18">
        <f>IFERROR(
                  Andel_oberoende_av_klimat*VLOOKUP($A436,Leveranser_per_nät,'Leveranser per nät'!U$1,FALSE)
               +Andel_beroende_av_klimat*VLOOKUP($A436,Leveranser_per_nät,'Leveranser per nät'!U$1,FALSE)/VLOOKUP($B436,Korrigeringsfaktor_GD,'Korrigeringsfaktor GD'!U$1,FALSE),
"")</f>
        <v>9.7240000000000002</v>
      </c>
      <c r="V436" s="18">
        <f>IFERROR(
                  Andel_oberoende_av_klimat*VLOOKUP($A436,Leveranser_per_nät,'Leveranser per nät'!V$1,FALSE)
               +Andel_beroende_av_klimat*VLOOKUP($A436,Leveranser_per_nät,'Leveranser per nät'!V$1,FALSE)/VLOOKUP($B436,Korrigeringsfaktor_GD,'Korrigeringsfaktor GD'!V$1,FALSE),
"")</f>
        <v>9.6230769230769226</v>
      </c>
      <c r="W436" s="18">
        <f>IFERROR(
                  Andel_oberoende_av_klimat*VLOOKUP($A436,Leveranser_per_nät,'Leveranser per nät'!W$1,FALSE)
               +Andel_beroende_av_klimat*VLOOKUP($A436,Leveranser_per_nät,'Leveranser per nät'!W$1,FALSE)/VLOOKUP($B436,Korrigeringsfaktor_GD,'Korrigeringsfaktor GD'!W$1,FALSE),
"")</f>
        <v>9.6110638297872342</v>
      </c>
      <c r="X436" s="18">
        <f>IFERROR(
                  Andel_oberoende_av_klimat*VLOOKUP($A436,Leveranser_per_nät,'Leveranser per nät'!X$1,FALSE)
               +Andel_beroende_av_klimat*VLOOKUP($A436,Leveranser_per_nät,'Leveranser per nät'!X$1,FALSE)/VLOOKUP($B436,Korrigeringsfaktor_GD,'Korrigeringsfaktor GD'!X$1,FALSE),
"")</f>
        <v>9.6977723404255318</v>
      </c>
      <c r="Y436" s="18">
        <f>IFERROR(
                  Andel_oberoende_av_klimat*VLOOKUP($A436,Leveranser_per_nät,'Leveranser per nät'!Y$1,FALSE)
               +Andel_beroende_av_klimat*VLOOKUP($A436,Leveranser_per_nät,'Leveranser per nät'!Y$1,FALSE)/VLOOKUP($B436,Korrigeringsfaktor_GD,'Korrigeringsfaktor GD'!Y$1,FALSE),
"")</f>
        <v>9.1503333333333323</v>
      </c>
      <c r="Z436" s="18">
        <f>IFERROR(
                  Andel_oberoende_av_klimat*VLOOKUP($A436,Leveranser_per_nät,'Leveranser per nät'!Z$1,FALSE)
               +Andel_beroende_av_klimat*VLOOKUP($A436,Leveranser_per_nät,'Leveranser per nät'!Z$1,FALSE)/VLOOKUP($B436,Korrigeringsfaktor_GD,'Korrigeringsfaktor GD'!Z$1,FALSE),
"")</f>
        <v>3.5739111111111108</v>
      </c>
      <c r="AA436" s="18">
        <f>IFERROR(
                  Andel_oberoende_av_klimat*VLOOKUP($A436,Leveranser_per_nät,'Leveranser per nät'!AA$1,FALSE)
               +Andel_beroende_av_klimat*VLOOKUP($A436,Leveranser_per_nät,'Leveranser per nät'!AA$1,FALSE)/VLOOKUP($B436,Korrigeringsfaktor_GD,'Korrigeringsfaktor GD'!AA$1,FALSE),
"")</f>
        <v>8.6668312500000013</v>
      </c>
      <c r="AB436" s="18">
        <f>IFERROR(
                  Andel_oberoende_av_klimat*VLOOKUP($A436,Leveranser_per_nät,'Leveranser per nät'!AB$1,FALSE)
               +Andel_beroende_av_klimat*VLOOKUP($A436,Leveranser_per_nät,'Leveranser per nät'!AB$1,FALSE)/VLOOKUP($B436,Korrigeringsfaktor_GD,'Korrigeringsfaktor GD'!AB$1,FALSE),
"")</f>
        <v>8.5817082191780809</v>
      </c>
      <c r="AC436" s="18">
        <f>IFERROR(
                  Andel_oberoende_av_klimat*VLOOKUP($A436,Leveranser_per_nät,'Leveranser per nät'!AC$1,FALSE)
               +Andel_beroende_av_klimat*VLOOKUP($A436,Leveranser_per_nät,'Leveranser per nät'!AC$1,FALSE)/VLOOKUP($B436,Korrigeringsfaktor_GD,'Korrigeringsfaktor GD'!AC$1,FALSE),
"")</f>
        <v>8.4135406150583236</v>
      </c>
      <c r="AD436">
        <v>163.755</v>
      </c>
    </row>
    <row r="437" spans="1:30" x14ac:dyDescent="0.25">
      <c r="A437" s="4" t="s">
        <v>729</v>
      </c>
      <c r="B437" t="s">
        <v>108</v>
      </c>
      <c r="C437" s="18">
        <f>IFERROR(
                  Andel_oberoende_av_klimat*VLOOKUP($A437,Leveranser_per_nät,'Leveranser per nät'!C$1,FALSE)
               +Andel_beroende_av_klimat*VLOOKUP($A437,Leveranser_per_nät,'Leveranser per nät'!C$1,FALSE)/VLOOKUP($B437,Korrigeringsfaktor_GD,'Korrigeringsfaktor GD'!C$1,FALSE),
"")</f>
        <v>0</v>
      </c>
      <c r="D437" s="18">
        <f>IFERROR(
                  Andel_oberoende_av_klimat*VLOOKUP($A437,Leveranser_per_nät,'Leveranser per nät'!D$1,FALSE)
               +Andel_beroende_av_klimat*VLOOKUP($A437,Leveranser_per_nät,'Leveranser per nät'!D$1,FALSE)/VLOOKUP($B437,Korrigeringsfaktor_GD,'Korrigeringsfaktor GD'!D$1,FALSE),
"")</f>
        <v>0</v>
      </c>
      <c r="E437" s="18">
        <f>IFERROR(
                  Andel_oberoende_av_klimat*VLOOKUP($A437,Leveranser_per_nät,'Leveranser per nät'!E$1,FALSE)
               +Andel_beroende_av_klimat*VLOOKUP($A437,Leveranser_per_nät,'Leveranser per nät'!E$1,FALSE)/VLOOKUP($B437,Korrigeringsfaktor_GD,'Korrigeringsfaktor GD'!E$1,FALSE),
"")</f>
        <v>0</v>
      </c>
      <c r="F437" s="18">
        <f>IFERROR(
                  Andel_oberoende_av_klimat*VLOOKUP($A437,Leveranser_per_nät,'Leveranser per nät'!F$1,FALSE)
               +Andel_beroende_av_klimat*VLOOKUP($A437,Leveranser_per_nät,'Leveranser per nät'!F$1,FALSE)/VLOOKUP($B437,Korrigeringsfaktor_GD,'Korrigeringsfaktor GD'!F$1,FALSE),
"")</f>
        <v>0</v>
      </c>
      <c r="G437" s="18">
        <f>IFERROR(
                  Andel_oberoende_av_klimat*VLOOKUP($A437,Leveranser_per_nät,'Leveranser per nät'!G$1,FALSE)
               +Andel_beroende_av_klimat*VLOOKUP($A437,Leveranser_per_nät,'Leveranser per nät'!G$1,FALSE)/VLOOKUP($B437,Korrigeringsfaktor_GD,'Korrigeringsfaktor GD'!G$1,FALSE),
"")</f>
        <v>0</v>
      </c>
      <c r="H437" s="18">
        <f>IFERROR(
                  Andel_oberoende_av_klimat*VLOOKUP($A437,Leveranser_per_nät,'Leveranser per nät'!H$1,FALSE)
               +Andel_beroende_av_klimat*VLOOKUP($A437,Leveranser_per_nät,'Leveranser per nät'!H$1,FALSE)/VLOOKUP($B437,Korrigeringsfaktor_GD,'Korrigeringsfaktor GD'!H$1,FALSE),
"")</f>
        <v>0</v>
      </c>
      <c r="I437" s="18">
        <f>IFERROR(
                  Andel_oberoende_av_klimat*VLOOKUP($A437,Leveranser_per_nät,'Leveranser per nät'!I$1,FALSE)
               +Andel_beroende_av_klimat*VLOOKUP($A437,Leveranser_per_nät,'Leveranser per nät'!I$1,FALSE)/VLOOKUP($B437,Korrigeringsfaktor_GD,'Korrigeringsfaktor GD'!I$1,FALSE),
"")</f>
        <v>0</v>
      </c>
      <c r="J437" s="18">
        <f>IFERROR(
                  Andel_oberoende_av_klimat*VLOOKUP($A437,Leveranser_per_nät,'Leveranser per nät'!J$1,FALSE)
               +Andel_beroende_av_klimat*VLOOKUP($A437,Leveranser_per_nät,'Leveranser per nät'!J$1,FALSE)/VLOOKUP($B437,Korrigeringsfaktor_GD,'Korrigeringsfaktor GD'!J$1,FALSE),
"")</f>
        <v>0</v>
      </c>
      <c r="K437" s="18">
        <f>IFERROR(
                  Andel_oberoende_av_klimat*VLOOKUP($A437,Leveranser_per_nät,'Leveranser per nät'!K$1,FALSE)
               +Andel_beroende_av_klimat*VLOOKUP($A437,Leveranser_per_nät,'Leveranser per nät'!K$1,FALSE)/VLOOKUP($B437,Korrigeringsfaktor_GD,'Korrigeringsfaktor GD'!K$1,FALSE),
"")</f>
        <v>0</v>
      </c>
      <c r="L437" s="18">
        <f>IFERROR(
                  Andel_oberoende_av_klimat*VLOOKUP($A437,Leveranser_per_nät,'Leveranser per nät'!L$1,FALSE)
               +Andel_beroende_av_klimat*VLOOKUP($A437,Leveranser_per_nät,'Leveranser per nät'!L$1,FALSE)/VLOOKUP($B437,Korrigeringsfaktor_GD,'Korrigeringsfaktor GD'!L$1,FALSE),
"")</f>
        <v>0</v>
      </c>
      <c r="M437" s="18">
        <f>IFERROR(
                  Andel_oberoende_av_klimat*VLOOKUP($A437,Leveranser_per_nät,'Leveranser per nät'!M$1,FALSE)
               +Andel_beroende_av_klimat*VLOOKUP($A437,Leveranser_per_nät,'Leveranser per nät'!M$1,FALSE)/VLOOKUP($B437,Korrigeringsfaktor_GD,'Korrigeringsfaktor GD'!M$1,FALSE),
"")</f>
        <v>0</v>
      </c>
      <c r="N437" s="18">
        <f>IFERROR(
                  Andel_oberoende_av_klimat*VLOOKUP($A437,Leveranser_per_nät,'Leveranser per nät'!N$1,FALSE)
               +Andel_beroende_av_klimat*VLOOKUP($A437,Leveranser_per_nät,'Leveranser per nät'!N$1,FALSE)/VLOOKUP($B437,Korrigeringsfaktor_GD,'Korrigeringsfaktor GD'!N$1,FALSE),
"")</f>
        <v>3.5788499999999996</v>
      </c>
      <c r="O437" s="18">
        <f>IFERROR(
                  Andel_oberoende_av_klimat*VLOOKUP($A437,Leveranser_per_nät,'Leveranser per nät'!O$1,FALSE)
               +Andel_beroende_av_klimat*VLOOKUP($A437,Leveranser_per_nät,'Leveranser per nät'!O$1,FALSE)/VLOOKUP($B437,Korrigeringsfaktor_GD,'Korrigeringsfaktor GD'!O$1,FALSE),
"")</f>
        <v>3.6128090909090909</v>
      </c>
      <c r="P437" s="18">
        <f>IFERROR(
                  Andel_oberoende_av_klimat*VLOOKUP($A437,Leveranser_per_nät,'Leveranser per nät'!P$1,FALSE)
               +Andel_beroende_av_klimat*VLOOKUP($A437,Leveranser_per_nät,'Leveranser per nät'!P$1,FALSE)/VLOOKUP($B437,Korrigeringsfaktor_GD,'Korrigeringsfaktor GD'!P$1,FALSE),
"")</f>
        <v>3.4785833333333329</v>
      </c>
      <c r="Q437" s="18">
        <f>IFERROR(
                  Andel_oberoende_av_klimat*VLOOKUP($A437,Leveranser_per_nät,'Leveranser per nät'!Q$1,FALSE)
               +Andel_beroende_av_klimat*VLOOKUP($A437,Leveranser_per_nät,'Leveranser per nät'!Q$1,FALSE)/VLOOKUP($B437,Korrigeringsfaktor_GD,'Korrigeringsfaktor GD'!Q$1,FALSE),
"")</f>
        <v>3.7377871794871793</v>
      </c>
      <c r="R437" s="18">
        <f>IFERROR(
                  Andel_oberoende_av_klimat*VLOOKUP($A437,Leveranser_per_nät,'Leveranser per nät'!R$1,FALSE)
               +Andel_beroende_av_klimat*VLOOKUP($A437,Leveranser_per_nät,'Leveranser per nät'!R$1,FALSE)/VLOOKUP($B437,Korrigeringsfaktor_GD,'Korrigeringsfaktor GD'!R$1,FALSE),
"")</f>
        <v>3.5814956521739134</v>
      </c>
      <c r="S437" s="18">
        <f>IFERROR(
                  Andel_oberoende_av_klimat*VLOOKUP($A437,Leveranser_per_nät,'Leveranser per nät'!S$1,FALSE)
               +Andel_beroende_av_klimat*VLOOKUP($A437,Leveranser_per_nät,'Leveranser per nät'!S$1,FALSE)/VLOOKUP($B437,Korrigeringsfaktor_GD,'Korrigeringsfaktor GD'!S$1,FALSE),
"")</f>
        <v>3.5755825242718444</v>
      </c>
      <c r="T437" s="18">
        <f>IFERROR(
                  Andel_oberoende_av_klimat*VLOOKUP($A437,Leveranser_per_nät,'Leveranser per nät'!T$1,FALSE)
               +Andel_beroende_av_klimat*VLOOKUP($A437,Leveranser_per_nät,'Leveranser per nät'!T$1,FALSE)/VLOOKUP($B437,Korrigeringsfaktor_GD,'Korrigeringsfaktor GD'!T$1,FALSE),
"")</f>
        <v>3.6455959595959597</v>
      </c>
      <c r="U437" s="18">
        <f>IFERROR(
                  Andel_oberoende_av_klimat*VLOOKUP($A437,Leveranser_per_nät,'Leveranser per nät'!U$1,FALSE)
               +Andel_beroende_av_klimat*VLOOKUP($A437,Leveranser_per_nät,'Leveranser per nät'!U$1,FALSE)/VLOOKUP($B437,Korrigeringsfaktor_GD,'Korrigeringsfaktor GD'!U$1,FALSE),
"")</f>
        <v>3.5170168674698798</v>
      </c>
      <c r="V437" s="18">
        <f>IFERROR(
                  Andel_oberoende_av_klimat*VLOOKUP($A437,Leveranser_per_nät,'Leveranser per nät'!V$1,FALSE)
               +Andel_beroende_av_klimat*VLOOKUP($A437,Leveranser_per_nät,'Leveranser per nät'!V$1,FALSE)/VLOOKUP($B437,Korrigeringsfaktor_GD,'Korrigeringsfaktor GD'!V$1,FALSE),
"")</f>
        <v>3.527920224719101</v>
      </c>
      <c r="W437" s="18">
        <f>IFERROR(
                  Andel_oberoende_av_klimat*VLOOKUP($A437,Leveranser_per_nät,'Leveranser per nät'!W$1,FALSE)
               +Andel_beroende_av_klimat*VLOOKUP($A437,Leveranser_per_nät,'Leveranser per nät'!W$1,FALSE)/VLOOKUP($B437,Korrigeringsfaktor_GD,'Korrigeringsfaktor GD'!W$1,FALSE),
"")</f>
        <v>3.8785391304347829</v>
      </c>
      <c r="X437" s="18">
        <f>IFERROR(
                  Andel_oberoende_av_klimat*VLOOKUP($A437,Leveranser_per_nät,'Leveranser per nät'!X$1,FALSE)
               +Andel_beroende_av_klimat*VLOOKUP($A437,Leveranser_per_nät,'Leveranser per nät'!X$1,FALSE)/VLOOKUP($B437,Korrigeringsfaktor_GD,'Korrigeringsfaktor GD'!X$1,FALSE),
"")</f>
        <v>3.7377333333333338</v>
      </c>
      <c r="Y437" s="18">
        <f>IFERROR(
                  Andel_oberoende_av_klimat*VLOOKUP($A437,Leveranser_per_nät,'Leveranser per nät'!Y$1,FALSE)
               +Andel_beroende_av_klimat*VLOOKUP($A437,Leveranser_per_nät,'Leveranser per nät'!Y$1,FALSE)/VLOOKUP($B437,Korrigeringsfaktor_GD,'Korrigeringsfaktor GD'!Y$1,FALSE),
"")</f>
        <v>3.6363356321839078</v>
      </c>
      <c r="Z437" s="18">
        <f>IFERROR(
                  Andel_oberoende_av_klimat*VLOOKUP($A437,Leveranser_per_nät,'Leveranser per nät'!Z$1,FALSE)
               +Andel_beroende_av_klimat*VLOOKUP($A437,Leveranser_per_nät,'Leveranser per nät'!Z$1,FALSE)/VLOOKUP($B437,Korrigeringsfaktor_GD,'Korrigeringsfaktor GD'!Z$1,FALSE),
"")</f>
        <v>3.1959612903225807</v>
      </c>
      <c r="AA437" s="18">
        <f>IFERROR(
                  Andel_oberoende_av_klimat*VLOOKUP($A437,Leveranser_per_nät,'Leveranser per nät'!AA$1,FALSE)
               +Andel_beroende_av_klimat*VLOOKUP($A437,Leveranser_per_nät,'Leveranser per nät'!AA$1,FALSE)/VLOOKUP($B437,Korrigeringsfaktor_GD,'Korrigeringsfaktor GD'!AA$1,FALSE),
"")</f>
        <v>3.2214357569721113</v>
      </c>
      <c r="AB437" s="18">
        <f>IFERROR(
                  Andel_oberoende_av_klimat*VLOOKUP($A437,Leveranser_per_nät,'Leveranser per nät'!AB$1,FALSE)
               +Andel_beroende_av_klimat*VLOOKUP($A437,Leveranser_per_nät,'Leveranser per nät'!AB$1,FALSE)/VLOOKUP($B437,Korrigeringsfaktor_GD,'Korrigeringsfaktor GD'!AB$1,FALSE),
"")</f>
        <v>2.9085235294117644</v>
      </c>
      <c r="AC437" s="18">
        <f>IFERROR(
                  Andel_oberoende_av_klimat*VLOOKUP($A437,Leveranser_per_nät,'Leveranser per nät'!AC$1,FALSE)
               +Andel_beroende_av_klimat*VLOOKUP($A437,Leveranser_per_nät,'Leveranser per nät'!AC$1,FALSE)/VLOOKUP($B437,Korrigeringsfaktor_GD,'Korrigeringsfaktor GD'!AC$1,FALSE),
"")</f>
        <v>2.9071378378378379</v>
      </c>
      <c r="AD437">
        <v>69.885000000000005</v>
      </c>
    </row>
    <row r="438" spans="1:30" x14ac:dyDescent="0.25">
      <c r="A438" t="s">
        <v>348</v>
      </c>
      <c r="B438" t="s">
        <v>348</v>
      </c>
      <c r="C438" s="18">
        <f>IFERROR(
                  Andel_oberoende_av_klimat*VLOOKUP($A438,Leveranser_per_nät,'Leveranser per nät'!C$1,FALSE)
               +Andel_beroende_av_klimat*VLOOKUP($A438,Leveranser_per_nät,'Leveranser per nät'!C$1,FALSE)/VLOOKUP($B438,Korrigeringsfaktor_GD,'Korrigeringsfaktor GD'!C$1,FALSE),
"")</f>
        <v>49.323423423423421</v>
      </c>
      <c r="D438" s="18">
        <f>IFERROR(
                  Andel_oberoende_av_klimat*VLOOKUP($A438,Leveranser_per_nät,'Leveranser per nät'!D$1,FALSE)
               +Andel_beroende_av_klimat*VLOOKUP($A438,Leveranser_per_nät,'Leveranser per nät'!D$1,FALSE)/VLOOKUP($B438,Korrigeringsfaktor_GD,'Korrigeringsfaktor GD'!D$1,FALSE),
"")</f>
        <v>50.081626262626258</v>
      </c>
      <c r="E438" s="18">
        <f>IFERROR(
                  Andel_oberoende_av_klimat*VLOOKUP($A438,Leveranser_per_nät,'Leveranser per nät'!E$1,FALSE)
               +Andel_beroende_av_klimat*VLOOKUP($A438,Leveranser_per_nät,'Leveranser per nät'!E$1,FALSE)/VLOOKUP($B438,Korrigeringsfaktor_GD,'Korrigeringsfaktor GD'!E$1,FALSE),
"")</f>
        <v>53.258823529411764</v>
      </c>
      <c r="F438" s="18">
        <f>IFERROR(
                  Andel_oberoende_av_klimat*VLOOKUP($A438,Leveranser_per_nät,'Leveranser per nät'!F$1,FALSE)
               +Andel_beroende_av_klimat*VLOOKUP($A438,Leveranser_per_nät,'Leveranser per nät'!F$1,FALSE)/VLOOKUP($B438,Korrigeringsfaktor_GD,'Korrigeringsfaktor GD'!F$1,FALSE),
"")</f>
        <v>56.845161290322579</v>
      </c>
      <c r="G438" s="18">
        <f>IFERROR(
                  Andel_oberoende_av_klimat*VLOOKUP($A438,Leveranser_per_nät,'Leveranser per nät'!G$1,FALSE)
               +Andel_beroende_av_klimat*VLOOKUP($A438,Leveranser_per_nät,'Leveranser per nät'!G$1,FALSE)/VLOOKUP($B438,Korrigeringsfaktor_GD,'Korrigeringsfaktor GD'!G$1,FALSE),
"")</f>
        <v>57.439080459770118</v>
      </c>
      <c r="H438" s="18">
        <f>IFERROR(
                  Andel_oberoende_av_klimat*VLOOKUP($A438,Leveranser_per_nät,'Leveranser per nät'!H$1,FALSE)
               +Andel_beroende_av_klimat*VLOOKUP($A438,Leveranser_per_nät,'Leveranser per nät'!H$1,FALSE)/VLOOKUP($B438,Korrigeringsfaktor_GD,'Korrigeringsfaktor GD'!H$1,FALSE),
"")</f>
        <v>56.110999999999997</v>
      </c>
      <c r="I438" s="18">
        <f>IFERROR(
                  Andel_oberoende_av_klimat*VLOOKUP($A438,Leveranser_per_nät,'Leveranser per nät'!I$1,FALSE)
               +Andel_beroende_av_klimat*VLOOKUP($A438,Leveranser_per_nät,'Leveranser per nät'!I$1,FALSE)/VLOOKUP($B438,Korrigeringsfaktor_GD,'Korrigeringsfaktor GD'!I$1,FALSE),
"")</f>
        <v>61.155617021276598</v>
      </c>
      <c r="J438" s="18">
        <f>IFERROR(
                  Andel_oberoende_av_klimat*VLOOKUP($A438,Leveranser_per_nät,'Leveranser per nät'!J$1,FALSE)
               +Andel_beroende_av_klimat*VLOOKUP($A438,Leveranser_per_nät,'Leveranser per nät'!J$1,FALSE)/VLOOKUP($B438,Korrigeringsfaktor_GD,'Korrigeringsfaktor GD'!J$1,FALSE),
"")</f>
        <v>65.928571428571431</v>
      </c>
      <c r="K438" s="18">
        <f>IFERROR(
                  Andel_oberoende_av_klimat*VLOOKUP($A438,Leveranser_per_nät,'Leveranser per nät'!K$1,FALSE)
               +Andel_beroende_av_klimat*VLOOKUP($A438,Leveranser_per_nät,'Leveranser per nät'!K$1,FALSE)/VLOOKUP($B438,Korrigeringsfaktor_GD,'Korrigeringsfaktor GD'!K$1,FALSE),
"")</f>
        <v>71.846000000000004</v>
      </c>
      <c r="L438" s="18">
        <f>IFERROR(
                  Andel_oberoende_av_klimat*VLOOKUP($A438,Leveranser_per_nät,'Leveranser per nät'!L$1,FALSE)
               +Andel_beroende_av_klimat*VLOOKUP($A438,Leveranser_per_nät,'Leveranser per nät'!L$1,FALSE)/VLOOKUP($B438,Korrigeringsfaktor_GD,'Korrigeringsfaktor GD'!L$1,FALSE),
"")</f>
        <v>82.329216666666667</v>
      </c>
      <c r="M438" s="18">
        <f>IFERROR(
                  Andel_oberoende_av_klimat*VLOOKUP($A438,Leveranser_per_nät,'Leveranser per nät'!M$1,FALSE)
               +Andel_beroende_av_klimat*VLOOKUP($A438,Leveranser_per_nät,'Leveranser per nät'!M$1,FALSE)/VLOOKUP($B438,Korrigeringsfaktor_GD,'Korrigeringsfaktor GD'!M$1,FALSE),
"")</f>
        <v>94.741935483870961</v>
      </c>
      <c r="N438" s="18">
        <f>IFERROR(
                  Andel_oberoende_av_klimat*VLOOKUP($A438,Leveranser_per_nät,'Leveranser per nät'!N$1,FALSE)
               +Andel_beroende_av_klimat*VLOOKUP($A438,Leveranser_per_nät,'Leveranser per nät'!N$1,FALSE)/VLOOKUP($B438,Korrigeringsfaktor_GD,'Korrigeringsfaktor GD'!N$1,FALSE),
"")</f>
        <v>115.07703076923077</v>
      </c>
      <c r="O438" s="18">
        <f>IFERROR(
                  Andel_oberoende_av_klimat*VLOOKUP($A438,Leveranser_per_nät,'Leveranser per nät'!O$1,FALSE)
               +Andel_beroende_av_klimat*VLOOKUP($A438,Leveranser_per_nät,'Leveranser per nät'!O$1,FALSE)/VLOOKUP($B438,Korrigeringsfaktor_GD,'Korrigeringsfaktor GD'!O$1,FALSE),
"")</f>
        <v>120.71111111111111</v>
      </c>
      <c r="P438" s="18">
        <f>IFERROR(
                  Andel_oberoende_av_klimat*VLOOKUP($A438,Leveranser_per_nät,'Leveranser per nät'!P$1,FALSE)
               +Andel_beroende_av_klimat*VLOOKUP($A438,Leveranser_per_nät,'Leveranser per nät'!P$1,FALSE)/VLOOKUP($B438,Korrigeringsfaktor_GD,'Korrigeringsfaktor GD'!P$1,FALSE),
"")</f>
        <v>114.49764285714286</v>
      </c>
      <c r="Q438" s="18">
        <f>IFERROR(
                  Andel_oberoende_av_klimat*VLOOKUP($A438,Leveranser_per_nät,'Leveranser per nät'!Q$1,FALSE)
               +Andel_beroende_av_klimat*VLOOKUP($A438,Leveranser_per_nät,'Leveranser per nät'!Q$1,FALSE)/VLOOKUP($B438,Korrigeringsfaktor_GD,'Korrigeringsfaktor GD'!Q$1,FALSE),
"")</f>
        <v>122.61323684210528</v>
      </c>
      <c r="R438" s="18">
        <f>IFERROR(
                  Andel_oberoende_av_klimat*VLOOKUP($A438,Leveranser_per_nät,'Leveranser per nät'!R$1,FALSE)
               +Andel_beroende_av_klimat*VLOOKUP($A438,Leveranser_per_nät,'Leveranser per nät'!R$1,FALSE)/VLOOKUP($B438,Korrigeringsfaktor_GD,'Korrigeringsfaktor GD'!R$1,FALSE),
"")</f>
        <v>119.77843846153846</v>
      </c>
      <c r="S438" s="18">
        <f>IFERROR(
                  Andel_oberoende_av_klimat*VLOOKUP($A438,Leveranser_per_nät,'Leveranser per nät'!S$1,FALSE)
               +Andel_beroende_av_klimat*VLOOKUP($A438,Leveranser_per_nät,'Leveranser per nät'!S$1,FALSE)/VLOOKUP($B438,Korrigeringsfaktor_GD,'Korrigeringsfaktor GD'!S$1,FALSE),
"")</f>
        <v>120.16138613861386</v>
      </c>
      <c r="T438" s="18">
        <f>IFERROR(
                  Andel_oberoende_av_klimat*VLOOKUP($A438,Leveranser_per_nät,'Leveranser per nät'!T$1,FALSE)
               +Andel_beroende_av_klimat*VLOOKUP($A438,Leveranser_per_nät,'Leveranser per nät'!T$1,FALSE)/VLOOKUP($B438,Korrigeringsfaktor_GD,'Korrigeringsfaktor GD'!T$1,FALSE),
"")</f>
        <v>124.35142857142857</v>
      </c>
      <c r="U438" s="18">
        <f>IFERROR(
                  Andel_oberoende_av_klimat*VLOOKUP($A438,Leveranser_per_nät,'Leveranser per nät'!U$1,FALSE)
               +Andel_beroende_av_klimat*VLOOKUP($A438,Leveranser_per_nät,'Leveranser per nät'!U$1,FALSE)/VLOOKUP($B438,Korrigeringsfaktor_GD,'Korrigeringsfaktor GD'!U$1,FALSE),
"")</f>
        <v>123.64883720930231</v>
      </c>
      <c r="V438" s="18">
        <f>IFERROR(
                  Andel_oberoende_av_klimat*VLOOKUP($A438,Leveranser_per_nät,'Leveranser per nät'!V$1,FALSE)
               +Andel_beroende_av_klimat*VLOOKUP($A438,Leveranser_per_nät,'Leveranser per nät'!V$1,FALSE)/VLOOKUP($B438,Korrigeringsfaktor_GD,'Korrigeringsfaktor GD'!V$1,FALSE),
"")</f>
        <v>123.31966292134831</v>
      </c>
      <c r="W438" s="18">
        <f>IFERROR(
                  Andel_oberoende_av_klimat*VLOOKUP($A438,Leveranser_per_nät,'Leveranser per nät'!W$1,FALSE)
               +Andel_beroende_av_klimat*VLOOKUP($A438,Leveranser_per_nät,'Leveranser per nät'!W$1,FALSE)/VLOOKUP($B438,Korrigeringsfaktor_GD,'Korrigeringsfaktor GD'!W$1,FALSE),
"")</f>
        <v>131.31638297872342</v>
      </c>
      <c r="X438" s="18">
        <f>IFERROR(
                  Andel_oberoende_av_klimat*VLOOKUP($A438,Leveranser_per_nät,'Leveranser per nät'!X$1,FALSE)
               +Andel_beroende_av_klimat*VLOOKUP($A438,Leveranser_per_nät,'Leveranser per nät'!X$1,FALSE)/VLOOKUP($B438,Korrigeringsfaktor_GD,'Korrigeringsfaktor GD'!X$1,FALSE),
"")</f>
        <v>134.00720430107526</v>
      </c>
      <c r="Y438" s="18">
        <f>IFERROR(
                  Andel_oberoende_av_klimat*VLOOKUP($A438,Leveranser_per_nät,'Leveranser per nät'!Y$1,FALSE)
               +Andel_beroende_av_klimat*VLOOKUP($A438,Leveranser_per_nät,'Leveranser per nät'!Y$1,FALSE)/VLOOKUP($B438,Korrigeringsfaktor_GD,'Korrigeringsfaktor GD'!Y$1,FALSE),
"")</f>
        <v>137.74</v>
      </c>
      <c r="Z438" s="18">
        <f>IFERROR(
                  Andel_oberoende_av_klimat*VLOOKUP($A438,Leveranser_per_nät,'Leveranser per nät'!Z$1,FALSE)
               +Andel_beroende_av_klimat*VLOOKUP($A438,Leveranser_per_nät,'Leveranser per nät'!Z$1,FALSE)/VLOOKUP($B438,Korrigeringsfaktor_GD,'Korrigeringsfaktor GD'!Z$1,FALSE),
"")</f>
        <v>138.15028372093022</v>
      </c>
      <c r="AA438" s="18">
        <f>IFERROR(
                  Andel_oberoende_av_klimat*VLOOKUP($A438,Leveranser_per_nät,'Leveranser per nät'!AA$1,FALSE)
               +Andel_beroende_av_klimat*VLOOKUP($A438,Leveranser_per_nät,'Leveranser per nät'!AA$1,FALSE)/VLOOKUP($B438,Korrigeringsfaktor_GD,'Korrigeringsfaktor GD'!AA$1,FALSE),
"")</f>
        <v>131.95722057450629</v>
      </c>
      <c r="AB438" s="18">
        <f>IFERROR(
                  Andel_oberoende_av_klimat*VLOOKUP($A438,Leveranser_per_nät,'Leveranser per nät'!AB$1,FALSE)
               +Andel_beroende_av_klimat*VLOOKUP($A438,Leveranser_per_nät,'Leveranser per nät'!AB$1,FALSE)/VLOOKUP($B438,Korrigeringsfaktor_GD,'Korrigeringsfaktor GD'!AB$1,FALSE),
"")</f>
        <v>130.49477588932805</v>
      </c>
      <c r="AC438" s="18">
        <f>IFERROR(
                  Andel_oberoende_av_klimat*VLOOKUP($A438,Leveranser_per_nät,'Leveranser per nät'!AC$1,FALSE)
               +Andel_beroende_av_klimat*VLOOKUP($A438,Leveranser_per_nät,'Leveranser per nät'!AC$1,FALSE)/VLOOKUP($B438,Korrigeringsfaktor_GD,'Korrigeringsfaktor GD'!AC$1,FALSE),
"")</f>
        <v>126.87384679958029</v>
      </c>
      <c r="AD438">
        <v>122.64</v>
      </c>
    </row>
    <row r="439" spans="1:30" x14ac:dyDescent="0.25">
      <c r="A439" t="s">
        <v>45</v>
      </c>
      <c r="B439" t="s">
        <v>45</v>
      </c>
      <c r="C439" s="18">
        <f>IFERROR(
                  Andel_oberoende_av_klimat*VLOOKUP($A439,Leveranser_per_nät,'Leveranser per nät'!C$1,FALSE)
               +Andel_beroende_av_klimat*VLOOKUP($A439,Leveranser_per_nät,'Leveranser per nät'!C$1,FALSE)/VLOOKUP($B439,Korrigeringsfaktor_GD,'Korrigeringsfaktor GD'!C$1,FALSE),
"")</f>
        <v>45.734615384615381</v>
      </c>
      <c r="D439" s="18">
        <f>IFERROR(
                  Andel_oberoende_av_klimat*VLOOKUP($A439,Leveranser_per_nät,'Leveranser per nät'!D$1,FALSE)
               +Andel_beroende_av_klimat*VLOOKUP($A439,Leveranser_per_nät,'Leveranser per nät'!D$1,FALSE)/VLOOKUP($B439,Korrigeringsfaktor_GD,'Korrigeringsfaktor GD'!D$1,FALSE),
"")</f>
        <v>48.627894736842109</v>
      </c>
      <c r="E439" s="18">
        <f>IFERROR(
                  Andel_oberoende_av_klimat*VLOOKUP($A439,Leveranser_per_nät,'Leveranser per nät'!E$1,FALSE)
               +Andel_beroende_av_klimat*VLOOKUP($A439,Leveranser_per_nät,'Leveranser per nät'!E$1,FALSE)/VLOOKUP($B439,Korrigeringsfaktor_GD,'Korrigeringsfaktor GD'!E$1,FALSE),
"")</f>
        <v>48.66039603960396</v>
      </c>
      <c r="F439" s="18">
        <f>IFERROR(
                  Andel_oberoende_av_klimat*VLOOKUP($A439,Leveranser_per_nät,'Leveranser per nät'!F$1,FALSE)
               +Andel_beroende_av_klimat*VLOOKUP($A439,Leveranser_per_nät,'Leveranser per nät'!F$1,FALSE)/VLOOKUP($B439,Korrigeringsfaktor_GD,'Korrigeringsfaktor GD'!F$1,FALSE),
"")</f>
        <v>49.346464646464646</v>
      </c>
      <c r="G439" s="18">
        <f>IFERROR(
                  Andel_oberoende_av_klimat*VLOOKUP($A439,Leveranser_per_nät,'Leveranser per nät'!G$1,FALSE)
               +Andel_beroende_av_klimat*VLOOKUP($A439,Leveranser_per_nät,'Leveranser per nät'!G$1,FALSE)/VLOOKUP($B439,Korrigeringsfaktor_GD,'Korrigeringsfaktor GD'!G$1,FALSE),
"")</f>
        <v>49.860869565217392</v>
      </c>
      <c r="H439" s="18">
        <f>IFERROR(
                  Andel_oberoende_av_klimat*VLOOKUP($A439,Leveranser_per_nät,'Leveranser per nät'!H$1,FALSE)
               +Andel_beroende_av_klimat*VLOOKUP($A439,Leveranser_per_nät,'Leveranser per nät'!H$1,FALSE)/VLOOKUP($B439,Korrigeringsfaktor_GD,'Korrigeringsfaktor GD'!H$1,FALSE),
"")</f>
        <v>52.568431372549014</v>
      </c>
      <c r="I439" s="18">
        <f>IFERROR(
                  Andel_oberoende_av_klimat*VLOOKUP($A439,Leveranser_per_nät,'Leveranser per nät'!I$1,FALSE)
               +Andel_beroende_av_klimat*VLOOKUP($A439,Leveranser_per_nät,'Leveranser per nät'!I$1,FALSE)/VLOOKUP($B439,Korrigeringsfaktor_GD,'Korrigeringsfaktor GD'!I$1,FALSE),
"")</f>
        <v>56.412765957446808</v>
      </c>
      <c r="J439" s="18">
        <f>IFERROR(
                  Andel_oberoende_av_klimat*VLOOKUP($A439,Leveranser_per_nät,'Leveranser per nät'!J$1,FALSE)
               +Andel_beroende_av_klimat*VLOOKUP($A439,Leveranser_per_nät,'Leveranser per nät'!J$1,FALSE)/VLOOKUP($B439,Korrigeringsfaktor_GD,'Korrigeringsfaktor GD'!J$1,FALSE),
"")</f>
        <v>57.077583333333337</v>
      </c>
      <c r="K439" s="18">
        <f>IFERROR(
                  Andel_oberoende_av_klimat*VLOOKUP($A439,Leveranser_per_nät,'Leveranser per nät'!K$1,FALSE)
               +Andel_beroende_av_klimat*VLOOKUP($A439,Leveranser_per_nät,'Leveranser per nät'!K$1,FALSE)/VLOOKUP($B439,Korrigeringsfaktor_GD,'Korrigeringsfaktor GD'!K$1,FALSE),
"")</f>
        <v>57.814122680412368</v>
      </c>
      <c r="L439" s="18">
        <f>IFERROR(
                  Andel_oberoende_av_klimat*VLOOKUP($A439,Leveranser_per_nät,'Leveranser per nät'!L$1,FALSE)
               +Andel_beroende_av_klimat*VLOOKUP($A439,Leveranser_per_nät,'Leveranser per nät'!L$1,FALSE)/VLOOKUP($B439,Korrigeringsfaktor_GD,'Korrigeringsfaktor GD'!L$1,FALSE),
"")</f>
        <v>58.502127659574469</v>
      </c>
      <c r="M439" s="18">
        <f>IFERROR(
                  Andel_oberoende_av_klimat*VLOOKUP($A439,Leveranser_per_nät,'Leveranser per nät'!M$1,FALSE)
               +Andel_beroende_av_klimat*VLOOKUP($A439,Leveranser_per_nät,'Leveranser per nät'!M$1,FALSE)/VLOOKUP($B439,Korrigeringsfaktor_GD,'Korrigeringsfaktor GD'!M$1,FALSE),
"")</f>
        <v>59.514782608695654</v>
      </c>
      <c r="N439" s="18">
        <f>IFERROR(
                  Andel_oberoende_av_klimat*VLOOKUP($A439,Leveranser_per_nät,'Leveranser per nät'!N$1,FALSE)
               +Andel_beroende_av_klimat*VLOOKUP($A439,Leveranser_per_nät,'Leveranser per nät'!N$1,FALSE)/VLOOKUP($B439,Korrigeringsfaktor_GD,'Korrigeringsfaktor GD'!N$1,FALSE),
"")</f>
        <v>63.55842105263158</v>
      </c>
      <c r="O439" s="18">
        <f>IFERROR(
                  Andel_oberoende_av_klimat*VLOOKUP($A439,Leveranser_per_nät,'Leveranser per nät'!O$1,FALSE)
               +Andel_beroende_av_klimat*VLOOKUP($A439,Leveranser_per_nät,'Leveranser per nät'!O$1,FALSE)/VLOOKUP($B439,Korrigeringsfaktor_GD,'Korrigeringsfaktor GD'!O$1,FALSE),
"")</f>
        <v>61.582258064516125</v>
      </c>
      <c r="P439" s="18">
        <f>IFERROR(
                  Andel_oberoende_av_klimat*VLOOKUP($A439,Leveranser_per_nät,'Leveranser per nät'!P$1,FALSE)
               +Andel_beroende_av_klimat*VLOOKUP($A439,Leveranser_per_nät,'Leveranser per nät'!P$1,FALSE)/VLOOKUP($B439,Korrigeringsfaktor_GD,'Korrigeringsfaktor GD'!P$1,FALSE),
"")</f>
        <v>65.459595959595958</v>
      </c>
      <c r="Q439" s="18">
        <f>IFERROR(
                  Andel_oberoende_av_klimat*VLOOKUP($A439,Leveranser_per_nät,'Leveranser per nät'!Q$1,FALSE)
               +Andel_beroende_av_klimat*VLOOKUP($A439,Leveranser_per_nät,'Leveranser per nät'!Q$1,FALSE)/VLOOKUP($B439,Korrigeringsfaktor_GD,'Korrigeringsfaktor GD'!Q$1,FALSE),
"")</f>
        <v>62.899999999999991</v>
      </c>
      <c r="R439" s="18">
        <f>IFERROR(
                  Andel_oberoende_av_klimat*VLOOKUP($A439,Leveranser_per_nät,'Leveranser per nät'!R$1,FALSE)
               +Andel_beroende_av_klimat*VLOOKUP($A439,Leveranser_per_nät,'Leveranser per nät'!R$1,FALSE)/VLOOKUP($B439,Korrigeringsfaktor_GD,'Korrigeringsfaktor GD'!R$1,FALSE),
"")</f>
        <v>67.092415730337081</v>
      </c>
      <c r="S439" s="18">
        <f>IFERROR(
                  Andel_oberoende_av_klimat*VLOOKUP($A439,Leveranser_per_nät,'Leveranser per nät'!S$1,FALSE)
               +Andel_beroende_av_klimat*VLOOKUP($A439,Leveranser_per_nät,'Leveranser per nät'!S$1,FALSE)/VLOOKUP($B439,Korrigeringsfaktor_GD,'Korrigeringsfaktor GD'!S$1,FALSE),
"")</f>
        <v>63</v>
      </c>
      <c r="T439" s="18">
        <f>IFERROR(
                  Andel_oberoende_av_klimat*VLOOKUP($A439,Leveranser_per_nät,'Leveranser per nät'!T$1,FALSE)
               +Andel_beroende_av_klimat*VLOOKUP($A439,Leveranser_per_nät,'Leveranser per nät'!T$1,FALSE)/VLOOKUP($B439,Korrigeringsfaktor_GD,'Korrigeringsfaktor GD'!T$1,FALSE),
"")</f>
        <v>40.533617021276598</v>
      </c>
      <c r="U439" s="18">
        <f>IFERROR(
                  Andel_oberoende_av_klimat*VLOOKUP($A439,Leveranser_per_nät,'Leveranser per nät'!U$1,FALSE)
               +Andel_beroende_av_klimat*VLOOKUP($A439,Leveranser_per_nät,'Leveranser per nät'!U$1,FALSE)/VLOOKUP($B439,Korrigeringsfaktor_GD,'Korrigeringsfaktor GD'!U$1,FALSE),
"")</f>
        <v>34.007977528089889</v>
      </c>
      <c r="V439" s="18">
        <f>IFERROR(
                  Andel_oberoende_av_klimat*VLOOKUP($A439,Leveranser_per_nät,'Leveranser per nät'!V$1,FALSE)
               +Andel_beroende_av_klimat*VLOOKUP($A439,Leveranser_per_nät,'Leveranser per nät'!V$1,FALSE)/VLOOKUP($B439,Korrigeringsfaktor_GD,'Korrigeringsfaktor GD'!V$1,FALSE),
"")</f>
        <v>38.584444444444436</v>
      </c>
      <c r="W439" s="18">
        <f>IFERROR(
                  Andel_oberoende_av_klimat*VLOOKUP($A439,Leveranser_per_nät,'Leveranser per nät'!W$1,FALSE)
               +Andel_beroende_av_klimat*VLOOKUP($A439,Leveranser_per_nät,'Leveranser per nät'!W$1,FALSE)/VLOOKUP($B439,Korrigeringsfaktor_GD,'Korrigeringsfaktor GD'!W$1,FALSE),
"")</f>
        <v>40.229473684210525</v>
      </c>
      <c r="X439" s="18">
        <f>IFERROR(
                  Andel_oberoende_av_klimat*VLOOKUP($A439,Leveranser_per_nät,'Leveranser per nät'!X$1,FALSE)
               +Andel_beroende_av_klimat*VLOOKUP($A439,Leveranser_per_nät,'Leveranser per nät'!X$1,FALSE)/VLOOKUP($B439,Korrigeringsfaktor_GD,'Korrigeringsfaktor GD'!X$1,FALSE),
"")</f>
        <v>40.343333333333341</v>
      </c>
      <c r="Y439" s="18">
        <f>IFERROR(
                  Andel_oberoende_av_klimat*VLOOKUP($A439,Leveranser_per_nät,'Leveranser per nät'!Y$1,FALSE)
               +Andel_beroende_av_klimat*VLOOKUP($A439,Leveranser_per_nät,'Leveranser per nät'!Y$1,FALSE)/VLOOKUP($B439,Korrigeringsfaktor_GD,'Korrigeringsfaktor GD'!Y$1,FALSE),
"")</f>
        <v>39.844329896907219</v>
      </c>
      <c r="Z439" s="18">
        <f>IFERROR(
                  Andel_oberoende_av_klimat*VLOOKUP($A439,Leveranser_per_nät,'Leveranser per nät'!Z$1,FALSE)
               +Andel_beroende_av_klimat*VLOOKUP($A439,Leveranser_per_nät,'Leveranser per nät'!Z$1,FALSE)/VLOOKUP($B439,Korrigeringsfaktor_GD,'Korrigeringsfaktor GD'!Z$1,FALSE),
"")</f>
        <v>42.747931034482761</v>
      </c>
      <c r="AA439" s="18">
        <f>IFERROR(
                  Andel_oberoende_av_klimat*VLOOKUP($A439,Leveranser_per_nät,'Leveranser per nät'!AA$1,FALSE)
               +Andel_beroende_av_klimat*VLOOKUP($A439,Leveranser_per_nät,'Leveranser per nät'!AA$1,FALSE)/VLOOKUP($B439,Korrigeringsfaktor_GD,'Korrigeringsfaktor GD'!AA$1,FALSE),
"")</f>
        <v>38.25272692428527</v>
      </c>
      <c r="AB439" s="18">
        <f>IFERROR(
                  Andel_oberoende_av_klimat*VLOOKUP($A439,Leveranser_per_nät,'Leveranser per nät'!AB$1,FALSE)
               +Andel_beroende_av_klimat*VLOOKUP($A439,Leveranser_per_nät,'Leveranser per nät'!AB$1,FALSE)/VLOOKUP($B439,Korrigeringsfaktor_GD,'Korrigeringsfaktor GD'!AB$1,FALSE),
"")</f>
        <v>37.164239629990256</v>
      </c>
      <c r="AC439" s="18">
        <f>IFERROR(
                  Andel_oberoende_av_klimat*VLOOKUP($A439,Leveranser_per_nät,'Leveranser per nät'!AC$1,FALSE)
               +Andel_beroende_av_klimat*VLOOKUP($A439,Leveranser_per_nät,'Leveranser per nät'!AC$1,FALSE)/VLOOKUP($B439,Korrigeringsfaktor_GD,'Korrigeringsfaktor GD'!AC$1,FALSE),
"")</f>
        <v>36.165455958549231</v>
      </c>
      <c r="AD439">
        <v>35.270000000000003</v>
      </c>
    </row>
    <row r="440" spans="1:30" x14ac:dyDescent="0.25">
      <c r="A440" t="s">
        <v>350</v>
      </c>
      <c r="B440" t="s">
        <v>350</v>
      </c>
      <c r="C440" s="18">
        <f>IFERROR(
                  Andel_oberoende_av_klimat*VLOOKUP($A440,Leveranser_per_nät,'Leveranser per nät'!C$1,FALSE)
               +Andel_beroende_av_klimat*VLOOKUP($A440,Leveranser_per_nät,'Leveranser per nät'!C$1,FALSE)/VLOOKUP($B440,Korrigeringsfaktor_GD,'Korrigeringsfaktor GD'!C$1,FALSE),
"")</f>
        <v>46.25</v>
      </c>
      <c r="D440" s="18">
        <f>IFERROR(
                  Andel_oberoende_av_klimat*VLOOKUP($A440,Leveranser_per_nät,'Leveranser per nät'!D$1,FALSE)
               +Andel_beroende_av_klimat*VLOOKUP($A440,Leveranser_per_nät,'Leveranser per nät'!D$1,FALSE)/VLOOKUP($B440,Korrigeringsfaktor_GD,'Korrigeringsfaktor GD'!D$1,FALSE),
"")</f>
        <v>46.657585858585854</v>
      </c>
      <c r="E440" s="18">
        <f>IFERROR(
                  Andel_oberoende_av_klimat*VLOOKUP($A440,Leveranser_per_nät,'Leveranser per nät'!E$1,FALSE)
               +Andel_beroende_av_klimat*VLOOKUP($A440,Leveranser_per_nät,'Leveranser per nät'!E$1,FALSE)/VLOOKUP($B440,Korrigeringsfaktor_GD,'Korrigeringsfaktor GD'!E$1,FALSE),
"")</f>
        <v>48.327450980392157</v>
      </c>
      <c r="F440" s="18">
        <f>IFERROR(
                  Andel_oberoende_av_klimat*VLOOKUP($A440,Leveranser_per_nät,'Leveranser per nät'!F$1,FALSE)
               +Andel_beroende_av_klimat*VLOOKUP($A440,Leveranser_per_nät,'Leveranser per nät'!F$1,FALSE)/VLOOKUP($B440,Korrigeringsfaktor_GD,'Korrigeringsfaktor GD'!F$1,FALSE),
"")</f>
        <v>52.634408602150536</v>
      </c>
      <c r="G440" s="18">
        <f>IFERROR(
                  Andel_oberoende_av_klimat*VLOOKUP($A440,Leveranser_per_nät,'Leveranser per nät'!G$1,FALSE)
               +Andel_beroende_av_klimat*VLOOKUP($A440,Leveranser_per_nät,'Leveranser per nät'!G$1,FALSE)/VLOOKUP($B440,Korrigeringsfaktor_GD,'Korrigeringsfaktor GD'!G$1,FALSE),
"")</f>
        <v>55.229885057471265</v>
      </c>
      <c r="H440" s="18">
        <f>IFERROR(
                  Andel_oberoende_av_klimat*VLOOKUP($A440,Leveranser_per_nät,'Leveranser per nät'!H$1,FALSE)
               +Andel_beroende_av_klimat*VLOOKUP($A440,Leveranser_per_nät,'Leveranser per nät'!H$1,FALSE)/VLOOKUP($B440,Korrigeringsfaktor_GD,'Korrigeringsfaktor GD'!H$1,FALSE),
"")</f>
        <v>58</v>
      </c>
      <c r="I440" s="18">
        <f>IFERROR(
                  Andel_oberoende_av_klimat*VLOOKUP($A440,Leveranser_per_nät,'Leveranser per nät'!I$1,FALSE)
               +Andel_beroende_av_klimat*VLOOKUP($A440,Leveranser_per_nät,'Leveranser per nät'!I$1,FALSE)/VLOOKUP($B440,Korrigeringsfaktor_GD,'Korrigeringsfaktor GD'!I$1,FALSE),
"")</f>
        <v>61.173684210526318</v>
      </c>
      <c r="J440" s="18">
        <f>IFERROR(
                  Andel_oberoende_av_klimat*VLOOKUP($A440,Leveranser_per_nät,'Leveranser per nät'!J$1,FALSE)
               +Andel_beroende_av_klimat*VLOOKUP($A440,Leveranser_per_nät,'Leveranser per nät'!J$1,FALSE)/VLOOKUP($B440,Korrigeringsfaktor_GD,'Korrigeringsfaktor GD'!J$1,FALSE),
"")</f>
        <v>68.09006464646464</v>
      </c>
      <c r="K440" s="18">
        <f>IFERROR(
                  Andel_oberoende_av_klimat*VLOOKUP($A440,Leveranser_per_nät,'Leveranser per nät'!K$1,FALSE)
               +Andel_beroende_av_klimat*VLOOKUP($A440,Leveranser_per_nät,'Leveranser per nät'!K$1,FALSE)/VLOOKUP($B440,Korrigeringsfaktor_GD,'Korrigeringsfaktor GD'!K$1,FALSE),
"")</f>
        <v>70.203999999999994</v>
      </c>
      <c r="L440" s="18">
        <f>IFERROR(
                  Andel_oberoende_av_klimat*VLOOKUP($A440,Leveranser_per_nät,'Leveranser per nät'!L$1,FALSE)
               +Andel_beroende_av_klimat*VLOOKUP($A440,Leveranser_per_nät,'Leveranser per nät'!L$1,FALSE)/VLOOKUP($B440,Korrigeringsfaktor_GD,'Korrigeringsfaktor GD'!L$1,FALSE),
"")</f>
        <v>77.914054639175262</v>
      </c>
      <c r="M440" s="18">
        <f>IFERROR(
                  Andel_oberoende_av_klimat*VLOOKUP($A440,Leveranser_per_nät,'Leveranser per nät'!M$1,FALSE)
               +Andel_beroende_av_klimat*VLOOKUP($A440,Leveranser_per_nät,'Leveranser per nät'!M$1,FALSE)/VLOOKUP($B440,Korrigeringsfaktor_GD,'Korrigeringsfaktor GD'!M$1,FALSE),
"")</f>
        <v>82.111914893617026</v>
      </c>
      <c r="N440" s="18">
        <f>IFERROR(
                  Andel_oberoende_av_klimat*VLOOKUP($A440,Leveranser_per_nät,'Leveranser per nät'!N$1,FALSE)
               +Andel_beroende_av_klimat*VLOOKUP($A440,Leveranser_per_nät,'Leveranser per nät'!N$1,FALSE)/VLOOKUP($B440,Korrigeringsfaktor_GD,'Korrigeringsfaktor GD'!N$1,FALSE),
"")</f>
        <v>78.053846153846152</v>
      </c>
      <c r="O440" s="18">
        <f>IFERROR(
                  Andel_oberoende_av_klimat*VLOOKUP($A440,Leveranser_per_nät,'Leveranser per nät'!O$1,FALSE)
               +Andel_beroende_av_klimat*VLOOKUP($A440,Leveranser_per_nät,'Leveranser per nät'!O$1,FALSE)/VLOOKUP($B440,Korrigeringsfaktor_GD,'Korrigeringsfaktor GD'!O$1,FALSE),
"")</f>
        <v>80.617777777777775</v>
      </c>
      <c r="P440" s="18">
        <f>IFERROR(
                  Andel_oberoende_av_klimat*VLOOKUP($A440,Leveranser_per_nät,'Leveranser per nät'!P$1,FALSE)
               +Andel_beroende_av_klimat*VLOOKUP($A440,Leveranser_per_nät,'Leveranser per nät'!P$1,FALSE)/VLOOKUP($B440,Korrigeringsfaktor_GD,'Korrigeringsfaktor GD'!P$1,FALSE),
"")</f>
        <v>86.305959595959592</v>
      </c>
      <c r="Q440" s="18">
        <f>IFERROR(
                  Andel_oberoende_av_klimat*VLOOKUP($A440,Leveranser_per_nät,'Leveranser per nät'!Q$1,FALSE)
               +Andel_beroende_av_klimat*VLOOKUP($A440,Leveranser_per_nät,'Leveranser per nät'!Q$1,FALSE)/VLOOKUP($B440,Korrigeringsfaktor_GD,'Korrigeringsfaktor GD'!Q$1,FALSE),
"")</f>
        <v>86.689565217391305</v>
      </c>
      <c r="R440" s="18">
        <f>IFERROR(
                  Andel_oberoende_av_klimat*VLOOKUP($A440,Leveranser_per_nät,'Leveranser per nät'!R$1,FALSE)
               +Andel_beroende_av_klimat*VLOOKUP($A440,Leveranser_per_nät,'Leveranser per nät'!R$1,FALSE)/VLOOKUP($B440,Korrigeringsfaktor_GD,'Korrigeringsfaktor GD'!R$1,FALSE),
"")</f>
        <v>85.067999999999998</v>
      </c>
      <c r="S440" s="18">
        <f>IFERROR(
                  Andel_oberoende_av_klimat*VLOOKUP($A440,Leveranser_per_nät,'Leveranser per nät'!S$1,FALSE)
               +Andel_beroende_av_klimat*VLOOKUP($A440,Leveranser_per_nät,'Leveranser per nät'!S$1,FALSE)/VLOOKUP($B440,Korrigeringsfaktor_GD,'Korrigeringsfaktor GD'!S$1,FALSE),
"")</f>
        <v>82.424752475247516</v>
      </c>
      <c r="T440" s="18">
        <f>IFERROR(
                  Andel_oberoende_av_klimat*VLOOKUP($A440,Leveranser_per_nät,'Leveranser per nät'!T$1,FALSE)
               +Andel_beroende_av_klimat*VLOOKUP($A440,Leveranser_per_nät,'Leveranser per nät'!T$1,FALSE)/VLOOKUP($B440,Korrigeringsfaktor_GD,'Korrigeringsfaktor GD'!T$1,FALSE),
"")</f>
        <v>86.82359393939393</v>
      </c>
      <c r="U440" s="18">
        <f>IFERROR(
                  Andel_oberoende_av_klimat*VLOOKUP($A440,Leveranser_per_nät,'Leveranser per nät'!U$1,FALSE)
               +Andel_beroende_av_klimat*VLOOKUP($A440,Leveranser_per_nät,'Leveranser per nät'!U$1,FALSE)/VLOOKUP($B440,Korrigeringsfaktor_GD,'Korrigeringsfaktor GD'!U$1,FALSE),
"")</f>
        <v>83.635763636363635</v>
      </c>
      <c r="V440" s="18">
        <f>IFERROR(
                  Andel_oberoende_av_klimat*VLOOKUP($A440,Leveranser_per_nät,'Leveranser per nät'!V$1,FALSE)
               +Andel_beroende_av_klimat*VLOOKUP($A440,Leveranser_per_nät,'Leveranser per nät'!V$1,FALSE)/VLOOKUP($B440,Korrigeringsfaktor_GD,'Korrigeringsfaktor GD'!V$1,FALSE),
"")</f>
        <v>106.12118764044945</v>
      </c>
      <c r="W440" s="18">
        <f>IFERROR(
                  Andel_oberoende_av_klimat*VLOOKUP($A440,Leveranser_per_nät,'Leveranser per nät'!W$1,FALSE)
               +Andel_beroende_av_klimat*VLOOKUP($A440,Leveranser_per_nät,'Leveranser per nät'!W$1,FALSE)/VLOOKUP($B440,Korrigeringsfaktor_GD,'Korrigeringsfaktor GD'!W$1,FALSE),
"")</f>
        <v>114.16585744680852</v>
      </c>
      <c r="X440" s="18">
        <f>IFERROR(
                  Andel_oberoende_av_klimat*VLOOKUP($A440,Leveranser_per_nät,'Leveranser per nät'!X$1,FALSE)
               +Andel_beroende_av_klimat*VLOOKUP($A440,Leveranser_per_nät,'Leveranser per nät'!X$1,FALSE)/VLOOKUP($B440,Korrigeringsfaktor_GD,'Korrigeringsfaktor GD'!X$1,FALSE),
"")</f>
        <v>111.47405217391304</v>
      </c>
      <c r="Y440" s="18">
        <f>IFERROR(
                  Andel_oberoende_av_klimat*VLOOKUP($A440,Leveranser_per_nät,'Leveranser per nät'!Y$1,FALSE)
               +Andel_beroende_av_klimat*VLOOKUP($A440,Leveranser_per_nät,'Leveranser per nät'!Y$1,FALSE)/VLOOKUP($B440,Korrigeringsfaktor_GD,'Korrigeringsfaktor GD'!Y$1,FALSE),
"")</f>
        <v>109.393</v>
      </c>
      <c r="Z440" s="18">
        <f>IFERROR(
                  Andel_oberoende_av_klimat*VLOOKUP($A440,Leveranser_per_nät,'Leveranser per nät'!Z$1,FALSE)
               +Andel_beroende_av_klimat*VLOOKUP($A440,Leveranser_per_nät,'Leveranser per nät'!Z$1,FALSE)/VLOOKUP($B440,Korrigeringsfaktor_GD,'Korrigeringsfaktor GD'!Z$1,FALSE),
"")</f>
        <v>107.32248947368421</v>
      </c>
      <c r="AA440" s="18">
        <f>IFERROR(
                  Andel_oberoende_av_klimat*VLOOKUP($A440,Leveranser_per_nät,'Leveranser per nät'!AA$1,FALSE)
               +Andel_beroende_av_klimat*VLOOKUP($A440,Leveranser_per_nät,'Leveranser per nät'!AA$1,FALSE)/VLOOKUP($B440,Korrigeringsfaktor_GD,'Korrigeringsfaktor GD'!AA$1,FALSE),
"")</f>
        <v>109.35890198150594</v>
      </c>
      <c r="AB440" s="18">
        <f>IFERROR(
                  Andel_oberoende_av_klimat*VLOOKUP($A440,Leveranser_per_nät,'Leveranser per nät'!AB$1,FALSE)
               +Andel_beroende_av_klimat*VLOOKUP($A440,Leveranser_per_nät,'Leveranser per nät'!AB$1,FALSE)/VLOOKUP($B440,Korrigeringsfaktor_GD,'Korrigeringsfaktor GD'!AB$1,FALSE),
"")</f>
        <v>101.08626666666666</v>
      </c>
      <c r="AC440" s="18">
        <f>IFERROR(
                  Andel_oberoende_av_klimat*VLOOKUP($A440,Leveranser_per_nät,'Leveranser per nät'!AC$1,FALSE)
               +Andel_beroende_av_klimat*VLOOKUP($A440,Leveranser_per_nät,'Leveranser per nät'!AC$1,FALSE)/VLOOKUP($B440,Korrigeringsfaktor_GD,'Korrigeringsfaktor GD'!AC$1,FALSE),
"")</f>
        <v>101.84413470225871</v>
      </c>
      <c r="AD440">
        <v>99.975999999999999</v>
      </c>
    </row>
    <row r="441" spans="1:30" x14ac:dyDescent="0.25">
      <c r="A441" t="s">
        <v>260</v>
      </c>
      <c r="B441" t="s">
        <v>260</v>
      </c>
      <c r="C441" s="18">
        <f>IFERROR(
                  Andel_oberoende_av_klimat*VLOOKUP($A441,Leveranser_per_nät,'Leveranser per nät'!C$1,FALSE)
               +Andel_beroende_av_klimat*VLOOKUP($A441,Leveranser_per_nät,'Leveranser per nät'!C$1,FALSE)/VLOOKUP($B441,Korrigeringsfaktor_GD,'Korrigeringsfaktor GD'!C$1,FALSE),
"")</f>
        <v>0</v>
      </c>
      <c r="D441" s="18">
        <f>IFERROR(
                  Andel_oberoende_av_klimat*VLOOKUP($A441,Leveranser_per_nät,'Leveranser per nät'!D$1,FALSE)
               +Andel_beroende_av_klimat*VLOOKUP($A441,Leveranser_per_nät,'Leveranser per nät'!D$1,FALSE)/VLOOKUP($B441,Korrigeringsfaktor_GD,'Korrigeringsfaktor GD'!D$1,FALSE),
"")</f>
        <v>0</v>
      </c>
      <c r="E441" s="18">
        <f>IFERROR(
                  Andel_oberoende_av_klimat*VLOOKUP($A441,Leveranser_per_nät,'Leveranser per nät'!E$1,FALSE)
               +Andel_beroende_av_klimat*VLOOKUP($A441,Leveranser_per_nät,'Leveranser per nät'!E$1,FALSE)/VLOOKUP($B441,Korrigeringsfaktor_GD,'Korrigeringsfaktor GD'!E$1,FALSE),
"")</f>
        <v>0</v>
      </c>
      <c r="F441" s="18">
        <f>IFERROR(
                  Andel_oberoende_av_klimat*VLOOKUP($A441,Leveranser_per_nät,'Leveranser per nät'!F$1,FALSE)
               +Andel_beroende_av_klimat*VLOOKUP($A441,Leveranser_per_nät,'Leveranser per nät'!F$1,FALSE)/VLOOKUP($B441,Korrigeringsfaktor_GD,'Korrigeringsfaktor GD'!F$1,FALSE),
"")</f>
        <v>0</v>
      </c>
      <c r="G441" s="18">
        <f>IFERROR(
                  Andel_oberoende_av_klimat*VLOOKUP($A441,Leveranser_per_nät,'Leveranser per nät'!G$1,FALSE)
               +Andel_beroende_av_klimat*VLOOKUP($A441,Leveranser_per_nät,'Leveranser per nät'!G$1,FALSE)/VLOOKUP($B441,Korrigeringsfaktor_GD,'Korrigeringsfaktor GD'!G$1,FALSE),
"")</f>
        <v>0</v>
      </c>
      <c r="H441" s="18">
        <f>IFERROR(
                  Andel_oberoende_av_klimat*VLOOKUP($A441,Leveranser_per_nät,'Leveranser per nät'!H$1,FALSE)
               +Andel_beroende_av_klimat*VLOOKUP($A441,Leveranser_per_nät,'Leveranser per nät'!H$1,FALSE)/VLOOKUP($B441,Korrigeringsfaktor_GD,'Korrigeringsfaktor GD'!H$1,FALSE),
"")</f>
        <v>0</v>
      </c>
      <c r="I441" s="18">
        <f>IFERROR(
                  Andel_oberoende_av_klimat*VLOOKUP($A441,Leveranser_per_nät,'Leveranser per nät'!I$1,FALSE)
               +Andel_beroende_av_klimat*VLOOKUP($A441,Leveranser_per_nät,'Leveranser per nät'!I$1,FALSE)/VLOOKUP($B441,Korrigeringsfaktor_GD,'Korrigeringsfaktor GD'!I$1,FALSE),
"")</f>
        <v>13.379166666666666</v>
      </c>
      <c r="J441" s="18">
        <f>IFERROR(
                  Andel_oberoende_av_klimat*VLOOKUP($A441,Leveranser_per_nät,'Leveranser per nät'!J$1,FALSE)
               +Andel_beroende_av_klimat*VLOOKUP($A441,Leveranser_per_nät,'Leveranser per nät'!J$1,FALSE)/VLOOKUP($B441,Korrigeringsfaktor_GD,'Korrigeringsfaktor GD'!J$1,FALSE),
"")</f>
        <v>14.408333333333333</v>
      </c>
      <c r="K441" s="18">
        <f>IFERROR(
                  Andel_oberoende_av_klimat*VLOOKUP($A441,Leveranser_per_nät,'Leveranser per nät'!K$1,FALSE)
               +Andel_beroende_av_klimat*VLOOKUP($A441,Leveranser_per_nät,'Leveranser per nät'!K$1,FALSE)/VLOOKUP($B441,Korrigeringsfaktor_GD,'Korrigeringsfaktor GD'!K$1,FALSE),
"")</f>
        <v>14.959911237113401</v>
      </c>
      <c r="L441" s="18">
        <f>IFERROR(
                  Andel_oberoende_av_klimat*VLOOKUP($A441,Leveranser_per_nät,'Leveranser per nät'!L$1,FALSE)
               +Andel_beroende_av_klimat*VLOOKUP($A441,Leveranser_per_nät,'Leveranser per nät'!L$1,FALSE)/VLOOKUP($B441,Korrigeringsfaktor_GD,'Korrigeringsfaktor GD'!L$1,FALSE),
"")</f>
        <v>13.274924193548387</v>
      </c>
      <c r="M441" s="18">
        <f>IFERROR(
                  Andel_oberoende_av_klimat*VLOOKUP($A441,Leveranser_per_nät,'Leveranser per nät'!M$1,FALSE)
               +Andel_beroende_av_klimat*VLOOKUP($A441,Leveranser_per_nät,'Leveranser per nät'!M$1,FALSE)/VLOOKUP($B441,Korrigeringsfaktor_GD,'Korrigeringsfaktor GD'!M$1,FALSE),
"")</f>
        <v>14.254904347826086</v>
      </c>
      <c r="N441" s="18">
        <f>IFERROR(
                  Andel_oberoende_av_klimat*VLOOKUP($A441,Leveranser_per_nät,'Leveranser per nät'!N$1,FALSE)
               +Andel_beroende_av_klimat*VLOOKUP($A441,Leveranser_per_nät,'Leveranser per nät'!N$1,FALSE)/VLOOKUP($B441,Korrigeringsfaktor_GD,'Korrigeringsfaktor GD'!N$1,FALSE),
"")</f>
        <v>15.593469892473118</v>
      </c>
      <c r="O441" s="18">
        <f>IFERROR(
                  Andel_oberoende_av_klimat*VLOOKUP($A441,Leveranser_per_nät,'Leveranser per nät'!O$1,FALSE)
               +Andel_beroende_av_klimat*VLOOKUP($A441,Leveranser_per_nät,'Leveranser per nät'!O$1,FALSE)/VLOOKUP($B441,Korrigeringsfaktor_GD,'Korrigeringsfaktor GD'!O$1,FALSE),
"")</f>
        <v>15.075547311827956</v>
      </c>
      <c r="P441" s="18">
        <f>IFERROR(
                  Andel_oberoende_av_klimat*VLOOKUP($A441,Leveranser_per_nät,'Leveranser per nät'!P$1,FALSE)
               +Andel_beroende_av_klimat*VLOOKUP($A441,Leveranser_per_nät,'Leveranser per nät'!P$1,FALSE)/VLOOKUP($B441,Korrigeringsfaktor_GD,'Korrigeringsfaktor GD'!P$1,FALSE),
"")</f>
        <v>15.897914285714286</v>
      </c>
      <c r="Q441" s="18">
        <f>IFERROR(
                  Andel_oberoende_av_klimat*VLOOKUP($A441,Leveranser_per_nät,'Leveranser per nät'!Q$1,FALSE)
               +Andel_beroende_av_klimat*VLOOKUP($A441,Leveranser_per_nät,'Leveranser per nät'!Q$1,FALSE)/VLOOKUP($B441,Korrigeringsfaktor_GD,'Korrigeringsfaktor GD'!Q$1,FALSE),
"")</f>
        <v>16.188911926605503</v>
      </c>
      <c r="R441" s="18">
        <f>IFERROR(
                  Andel_oberoende_av_klimat*VLOOKUP($A441,Leveranser_per_nät,'Leveranser per nät'!R$1,FALSE)
               +Andel_beroende_av_klimat*VLOOKUP($A441,Leveranser_per_nät,'Leveranser per nät'!R$1,FALSE)/VLOOKUP($B441,Korrigeringsfaktor_GD,'Korrigeringsfaktor GD'!R$1,FALSE),
"")</f>
        <v>15.692444444444444</v>
      </c>
      <c r="S441" s="18">
        <f>IFERROR(
                  Andel_oberoende_av_klimat*VLOOKUP($A441,Leveranser_per_nät,'Leveranser per nät'!S$1,FALSE)
               +Andel_beroende_av_klimat*VLOOKUP($A441,Leveranser_per_nät,'Leveranser per nät'!S$1,FALSE)/VLOOKUP($B441,Korrigeringsfaktor_GD,'Korrigeringsfaktor GD'!S$1,FALSE),
"")</f>
        <v>16.04</v>
      </c>
      <c r="T441" s="18">
        <f>IFERROR(
                  Andel_oberoende_av_klimat*VLOOKUP($A441,Leveranser_per_nät,'Leveranser per nät'!T$1,FALSE)
               +Andel_beroende_av_klimat*VLOOKUP($A441,Leveranser_per_nät,'Leveranser per nät'!T$1,FALSE)/VLOOKUP($B441,Korrigeringsfaktor_GD,'Korrigeringsfaktor GD'!T$1,FALSE),
"")</f>
        <v>16.143252173913041</v>
      </c>
      <c r="U441" s="18">
        <f>IFERROR(
                  Andel_oberoende_av_klimat*VLOOKUP($A441,Leveranser_per_nät,'Leveranser per nät'!U$1,FALSE)
               +Andel_beroende_av_klimat*VLOOKUP($A441,Leveranser_per_nät,'Leveranser per nät'!U$1,FALSE)/VLOOKUP($B441,Korrigeringsfaktor_GD,'Korrigeringsfaktor GD'!U$1,FALSE),
"")</f>
        <v>15.486124719101124</v>
      </c>
      <c r="V441" s="18">
        <f>IFERROR(
                  Andel_oberoende_av_klimat*VLOOKUP($A441,Leveranser_per_nät,'Leveranser per nät'!V$1,FALSE)
               +Andel_beroende_av_klimat*VLOOKUP($A441,Leveranser_per_nät,'Leveranser per nät'!V$1,FALSE)/VLOOKUP($B441,Korrigeringsfaktor_GD,'Korrigeringsfaktor GD'!V$1,FALSE),
"")</f>
        <v>15.355012643678158</v>
      </c>
      <c r="W441" s="18">
        <f>IFERROR(
                  Andel_oberoende_av_klimat*VLOOKUP($A441,Leveranser_per_nät,'Leveranser per nät'!W$1,FALSE)
               +Andel_beroende_av_klimat*VLOOKUP($A441,Leveranser_per_nät,'Leveranser per nät'!W$1,FALSE)/VLOOKUP($B441,Korrigeringsfaktor_GD,'Korrigeringsfaktor GD'!W$1,FALSE),
"")</f>
        <v>15.397105263157897</v>
      </c>
      <c r="X441" s="18">
        <f>IFERROR(
                  Andel_oberoende_av_klimat*VLOOKUP($A441,Leveranser_per_nät,'Leveranser per nät'!X$1,FALSE)
               +Andel_beroende_av_klimat*VLOOKUP($A441,Leveranser_per_nät,'Leveranser per nät'!X$1,FALSE)/VLOOKUP($B441,Korrigeringsfaktor_GD,'Korrigeringsfaktor GD'!X$1,FALSE),
"")</f>
        <v>14.70051443298969</v>
      </c>
      <c r="Y441" s="18">
        <f>IFERROR(
                  Andel_oberoende_av_klimat*VLOOKUP($A441,Leveranser_per_nät,'Leveranser per nät'!Y$1,FALSE)
               +Andel_beroende_av_klimat*VLOOKUP($A441,Leveranser_per_nät,'Leveranser per nät'!Y$1,FALSE)/VLOOKUP($B441,Korrigeringsfaktor_GD,'Korrigeringsfaktor GD'!Y$1,FALSE),
"")</f>
        <v>14.062533333333334</v>
      </c>
      <c r="Z441" s="18">
        <f>IFERROR(
                  Andel_oberoende_av_klimat*VLOOKUP($A441,Leveranser_per_nät,'Leveranser per nät'!Z$1,FALSE)
               +Andel_beroende_av_klimat*VLOOKUP($A441,Leveranser_per_nät,'Leveranser per nät'!Z$1,FALSE)/VLOOKUP($B441,Korrigeringsfaktor_GD,'Korrigeringsfaktor GD'!Z$1,FALSE),
"")</f>
        <v>15.827158823529413</v>
      </c>
      <c r="AA441" s="18">
        <f>IFERROR(
                  Andel_oberoende_av_klimat*VLOOKUP($A441,Leveranser_per_nät,'Leveranser per nät'!AA$1,FALSE)
               +Andel_beroende_av_klimat*VLOOKUP($A441,Leveranser_per_nät,'Leveranser per nät'!AA$1,FALSE)/VLOOKUP($B441,Korrigeringsfaktor_GD,'Korrigeringsfaktor GD'!AA$1,FALSE),
"")</f>
        <v>14.614314485436893</v>
      </c>
      <c r="AB441" s="18">
        <f>IFERROR(
                  Andel_oberoende_av_klimat*VLOOKUP($A441,Leveranser_per_nät,'Leveranser per nät'!AB$1,FALSE)
               +Andel_beroende_av_klimat*VLOOKUP($A441,Leveranser_per_nät,'Leveranser per nät'!AB$1,FALSE)/VLOOKUP($B441,Korrigeringsfaktor_GD,'Korrigeringsfaktor GD'!AB$1,FALSE),
"")</f>
        <v>13.689109191530317</v>
      </c>
      <c r="AC441" s="18">
        <f>IFERROR(
                  Andel_oberoende_av_klimat*VLOOKUP($A441,Leveranser_per_nät,'Leveranser per nät'!AC$1,FALSE)
               +Andel_beroende_av_klimat*VLOOKUP($A441,Leveranser_per_nät,'Leveranser per nät'!AC$1,FALSE)/VLOOKUP($B441,Korrigeringsfaktor_GD,'Korrigeringsfaktor GD'!AC$1,FALSE),
"")</f>
        <v>13.152670040858018</v>
      </c>
      <c r="AD441">
        <v>12.9581</v>
      </c>
    </row>
    <row r="442" spans="1:30" x14ac:dyDescent="0.25">
      <c r="A442" t="s">
        <v>240</v>
      </c>
      <c r="B442" t="s">
        <v>240</v>
      </c>
      <c r="C442" s="18">
        <f>IFERROR(
                  Andel_oberoende_av_klimat*VLOOKUP($A442,Leveranser_per_nät,'Leveranser per nät'!C$1,FALSE)
               +Andel_beroende_av_klimat*VLOOKUP($A442,Leveranser_per_nät,'Leveranser per nät'!C$1,FALSE)/VLOOKUP($B442,Korrigeringsfaktor_GD,'Korrigeringsfaktor GD'!C$1,FALSE),
"")</f>
        <v>0</v>
      </c>
      <c r="D442" s="18">
        <f>IFERROR(
                  Andel_oberoende_av_klimat*VLOOKUP($A442,Leveranser_per_nät,'Leveranser per nät'!D$1,FALSE)
               +Andel_beroende_av_klimat*VLOOKUP($A442,Leveranser_per_nät,'Leveranser per nät'!D$1,FALSE)/VLOOKUP($B442,Korrigeringsfaktor_GD,'Korrigeringsfaktor GD'!D$1,FALSE),
"")</f>
        <v>0</v>
      </c>
      <c r="E442" s="18">
        <f>IFERROR(
                  Andel_oberoende_av_klimat*VLOOKUP($A442,Leveranser_per_nät,'Leveranser per nät'!E$1,FALSE)
               +Andel_beroende_av_klimat*VLOOKUP($A442,Leveranser_per_nät,'Leveranser per nät'!E$1,FALSE)/VLOOKUP($B442,Korrigeringsfaktor_GD,'Korrigeringsfaktor GD'!E$1,FALSE),
"")</f>
        <v>0</v>
      </c>
      <c r="F442" s="18">
        <f>IFERROR(
                  Andel_oberoende_av_klimat*VLOOKUP($A442,Leveranser_per_nät,'Leveranser per nät'!F$1,FALSE)
               +Andel_beroende_av_klimat*VLOOKUP($A442,Leveranser_per_nät,'Leveranser per nät'!F$1,FALSE)/VLOOKUP($B442,Korrigeringsfaktor_GD,'Korrigeringsfaktor GD'!F$1,FALSE),
"")</f>
        <v>0</v>
      </c>
      <c r="G442" s="18">
        <f>IFERROR(
                  Andel_oberoende_av_klimat*VLOOKUP($A442,Leveranser_per_nät,'Leveranser per nät'!G$1,FALSE)
               +Andel_beroende_av_klimat*VLOOKUP($A442,Leveranser_per_nät,'Leveranser per nät'!G$1,FALSE)/VLOOKUP($B442,Korrigeringsfaktor_GD,'Korrigeringsfaktor GD'!G$1,FALSE),
"")</f>
        <v>0</v>
      </c>
      <c r="H442" s="18">
        <f>IFERROR(
                  Andel_oberoende_av_klimat*VLOOKUP($A442,Leveranser_per_nät,'Leveranser per nät'!H$1,FALSE)
               +Andel_beroende_av_klimat*VLOOKUP($A442,Leveranser_per_nät,'Leveranser per nät'!H$1,FALSE)/VLOOKUP($B442,Korrigeringsfaktor_GD,'Korrigeringsfaktor GD'!H$1,FALSE),
"")</f>
        <v>0</v>
      </c>
      <c r="I442" s="18">
        <f>IFERROR(
                  Andel_oberoende_av_klimat*VLOOKUP($A442,Leveranser_per_nät,'Leveranser per nät'!I$1,FALSE)
               +Andel_beroende_av_klimat*VLOOKUP($A442,Leveranser_per_nät,'Leveranser per nät'!I$1,FALSE)/VLOOKUP($B442,Korrigeringsfaktor_GD,'Korrigeringsfaktor GD'!I$1,FALSE),
"")</f>
        <v>0</v>
      </c>
      <c r="J442" s="18">
        <f>IFERROR(
                  Andel_oberoende_av_klimat*VLOOKUP($A442,Leveranser_per_nät,'Leveranser per nät'!J$1,FALSE)
               +Andel_beroende_av_klimat*VLOOKUP($A442,Leveranser_per_nät,'Leveranser per nät'!J$1,FALSE)/VLOOKUP($B442,Korrigeringsfaktor_GD,'Korrigeringsfaktor GD'!J$1,FALSE),
"")</f>
        <v>0</v>
      </c>
      <c r="K442" s="18">
        <f>IFERROR(
                  Andel_oberoende_av_klimat*VLOOKUP($A442,Leveranser_per_nät,'Leveranser per nät'!K$1,FALSE)
               +Andel_beroende_av_klimat*VLOOKUP($A442,Leveranser_per_nät,'Leveranser per nät'!K$1,FALSE)/VLOOKUP($B442,Korrigeringsfaktor_GD,'Korrigeringsfaktor GD'!K$1,FALSE),
"")</f>
        <v>0</v>
      </c>
      <c r="L442" s="18">
        <f>IFERROR(
                  Andel_oberoende_av_klimat*VLOOKUP($A442,Leveranser_per_nät,'Leveranser per nät'!L$1,FALSE)
               +Andel_beroende_av_klimat*VLOOKUP($A442,Leveranser_per_nät,'Leveranser per nät'!L$1,FALSE)/VLOOKUP($B442,Korrigeringsfaktor_GD,'Korrigeringsfaktor GD'!L$1,FALSE),
"")</f>
        <v>0</v>
      </c>
      <c r="M442" s="18">
        <f>IFERROR(
                  Andel_oberoende_av_klimat*VLOOKUP($A442,Leveranser_per_nät,'Leveranser per nät'!M$1,FALSE)
               +Andel_beroende_av_klimat*VLOOKUP($A442,Leveranser_per_nät,'Leveranser per nät'!M$1,FALSE)/VLOOKUP($B442,Korrigeringsfaktor_GD,'Korrigeringsfaktor GD'!M$1,FALSE),
"")</f>
        <v>21.316052173913043</v>
      </c>
      <c r="N442" s="18">
        <f>IFERROR(
                  Andel_oberoende_av_klimat*VLOOKUP($A442,Leveranser_per_nät,'Leveranser per nät'!N$1,FALSE)
               +Andel_beroende_av_klimat*VLOOKUP($A442,Leveranser_per_nät,'Leveranser per nät'!N$1,FALSE)/VLOOKUP($B442,Korrigeringsfaktor_GD,'Korrigeringsfaktor GD'!N$1,FALSE),
"")</f>
        <v>19.312069565217389</v>
      </c>
      <c r="O442" s="18">
        <f>IFERROR(
                  Andel_oberoende_av_klimat*VLOOKUP($A442,Leveranser_per_nät,'Leveranser per nät'!O$1,FALSE)
               +Andel_beroende_av_klimat*VLOOKUP($A442,Leveranser_per_nät,'Leveranser per nät'!O$1,FALSE)/VLOOKUP($B442,Korrigeringsfaktor_GD,'Korrigeringsfaktor GD'!O$1,FALSE),
"")</f>
        <v>22.940716853932585</v>
      </c>
      <c r="P442" s="18">
        <f>IFERROR(
                  Andel_oberoende_av_klimat*VLOOKUP($A442,Leveranser_per_nät,'Leveranser per nät'!P$1,FALSE)
               +Andel_beroende_av_klimat*VLOOKUP($A442,Leveranser_per_nät,'Leveranser per nät'!P$1,FALSE)/VLOOKUP($B442,Korrigeringsfaktor_GD,'Korrigeringsfaktor GD'!P$1,FALSE),
"")</f>
        <v>23.096300000000003</v>
      </c>
      <c r="Q442" s="18">
        <f>IFERROR(
                  Andel_oberoende_av_klimat*VLOOKUP($A442,Leveranser_per_nät,'Leveranser per nät'!Q$1,FALSE)
               +Andel_beroende_av_klimat*VLOOKUP($A442,Leveranser_per_nät,'Leveranser per nät'!Q$1,FALSE)/VLOOKUP($B442,Korrigeringsfaktor_GD,'Korrigeringsfaktor GD'!Q$1,FALSE),
"")</f>
        <v>24.155932478632479</v>
      </c>
      <c r="R442" s="18">
        <f>IFERROR(
                  Andel_oberoende_av_klimat*VLOOKUP($A442,Leveranser_per_nät,'Leveranser per nät'!R$1,FALSE)
               +Andel_beroende_av_klimat*VLOOKUP($A442,Leveranser_per_nät,'Leveranser per nät'!R$1,FALSE)/VLOOKUP($B442,Korrigeringsfaktor_GD,'Korrigeringsfaktor GD'!R$1,FALSE),
"")</f>
        <v>23.711111111111112</v>
      </c>
      <c r="S442" s="18">
        <f>IFERROR(
                  Andel_oberoende_av_klimat*VLOOKUP($A442,Leveranser_per_nät,'Leveranser per nät'!S$1,FALSE)
               +Andel_beroende_av_klimat*VLOOKUP($A442,Leveranser_per_nät,'Leveranser per nät'!S$1,FALSE)/VLOOKUP($B442,Korrigeringsfaktor_GD,'Korrigeringsfaktor GD'!S$1,FALSE),
"")</f>
        <v>24</v>
      </c>
      <c r="T442" s="18">
        <f>IFERROR(
                  Andel_oberoende_av_klimat*VLOOKUP($A442,Leveranser_per_nät,'Leveranser per nät'!T$1,FALSE)
               +Andel_beroende_av_klimat*VLOOKUP($A442,Leveranser_per_nät,'Leveranser per nät'!T$1,FALSE)/VLOOKUP($B442,Korrigeringsfaktor_GD,'Korrigeringsfaktor GD'!T$1,FALSE),
"")</f>
        <v>24.802916666666668</v>
      </c>
      <c r="U442" s="18">
        <f>IFERROR(
                  Andel_oberoende_av_klimat*VLOOKUP($A442,Leveranser_per_nät,'Leveranser per nät'!U$1,FALSE)
               +Andel_beroende_av_klimat*VLOOKUP($A442,Leveranser_per_nät,'Leveranser per nät'!U$1,FALSE)/VLOOKUP($B442,Korrigeringsfaktor_GD,'Korrigeringsfaktor GD'!U$1,FALSE),
"")</f>
        <v>23.66181818181818</v>
      </c>
      <c r="V442" s="18">
        <f>IFERROR(
                  Andel_oberoende_av_klimat*VLOOKUP($A442,Leveranser_per_nät,'Leveranser per nät'!V$1,FALSE)
               +Andel_beroende_av_klimat*VLOOKUP($A442,Leveranser_per_nät,'Leveranser per nät'!V$1,FALSE)/VLOOKUP($B442,Korrigeringsfaktor_GD,'Korrigeringsfaktor GD'!V$1,FALSE),
"")</f>
        <v>23.004545454545454</v>
      </c>
      <c r="W442" s="18">
        <f>IFERROR(
                  Andel_oberoende_av_klimat*VLOOKUP($A442,Leveranser_per_nät,'Leveranser per nät'!W$1,FALSE)
               +Andel_beroende_av_klimat*VLOOKUP($A442,Leveranser_per_nät,'Leveranser per nät'!W$1,FALSE)/VLOOKUP($B442,Korrigeringsfaktor_GD,'Korrigeringsfaktor GD'!W$1,FALSE),
"")</f>
        <v>23.159139784946234</v>
      </c>
      <c r="X442" s="18">
        <f>IFERROR(
                  Andel_oberoende_av_klimat*VLOOKUP($A442,Leveranser_per_nät,'Leveranser per nät'!X$1,FALSE)
               +Andel_beroende_av_klimat*VLOOKUP($A442,Leveranser_per_nät,'Leveranser per nät'!X$1,FALSE)/VLOOKUP($B442,Korrigeringsfaktor_GD,'Korrigeringsfaktor GD'!X$1,FALSE),
"")</f>
        <v>22.596521739130434</v>
      </c>
      <c r="Y442" s="18">
        <f>IFERROR(
                  Andel_oberoende_av_klimat*VLOOKUP($A442,Leveranser_per_nät,'Leveranser per nät'!Y$1,FALSE)
               +Andel_beroende_av_klimat*VLOOKUP($A442,Leveranser_per_nät,'Leveranser per nät'!Y$1,FALSE)/VLOOKUP($B442,Korrigeringsfaktor_GD,'Korrigeringsfaktor GD'!Y$1,FALSE),
"")</f>
        <v>21.812307692307691</v>
      </c>
      <c r="Z442" s="18">
        <f>IFERROR(
                  Andel_oberoende_av_klimat*VLOOKUP($A442,Leveranser_per_nät,'Leveranser per nät'!Z$1,FALSE)
               +Andel_beroende_av_klimat*VLOOKUP($A442,Leveranser_per_nät,'Leveranser per nät'!Z$1,FALSE)/VLOOKUP($B442,Korrigeringsfaktor_GD,'Korrigeringsfaktor GD'!Z$1,FALSE),
"")</f>
        <v>20.843225806451613</v>
      </c>
      <c r="AA442" s="18">
        <f>IFERROR(
                  Andel_oberoende_av_klimat*VLOOKUP($A442,Leveranser_per_nät,'Leveranser per nät'!AA$1,FALSE)
               +Andel_beroende_av_klimat*VLOOKUP($A442,Leveranser_per_nät,'Leveranser per nät'!AA$1,FALSE)/VLOOKUP($B442,Korrigeringsfaktor_GD,'Korrigeringsfaktor GD'!AA$1,FALSE),
"")</f>
        <v>20.612267657992565</v>
      </c>
      <c r="AB442" s="18">
        <f>IFERROR(
                  Andel_oberoende_av_klimat*VLOOKUP($A442,Leveranser_per_nät,'Leveranser per nät'!AB$1,FALSE)
               +Andel_beroende_av_klimat*VLOOKUP($A442,Leveranser_per_nät,'Leveranser per nät'!AB$1,FALSE)/VLOOKUP($B442,Korrigeringsfaktor_GD,'Korrigeringsfaktor GD'!AB$1,FALSE),
"")</f>
        <v>20.909019607843135</v>
      </c>
      <c r="AC442" s="18">
        <f>IFERROR(
                  Andel_oberoende_av_klimat*VLOOKUP($A442,Leveranser_per_nät,'Leveranser per nät'!AC$1,FALSE)
               +Andel_beroende_av_klimat*VLOOKUP($A442,Leveranser_per_nät,'Leveranser per nät'!AC$1,FALSE)/VLOOKUP($B442,Korrigeringsfaktor_GD,'Korrigeringsfaktor GD'!AC$1,FALSE),
"")</f>
        <v>20.309745762711863</v>
      </c>
      <c r="AD442">
        <v>19.5</v>
      </c>
    </row>
    <row r="443" spans="1:30" x14ac:dyDescent="0.25">
      <c r="A443" t="s">
        <v>855</v>
      </c>
      <c r="B443" t="s">
        <v>151</v>
      </c>
      <c r="C443" s="18"/>
      <c r="D443" s="18"/>
      <c r="E443" s="18"/>
      <c r="F443" s="18"/>
      <c r="G443" s="18"/>
      <c r="H443" s="18"/>
      <c r="I443" s="18"/>
      <c r="J443" s="18"/>
      <c r="K443" s="18"/>
      <c r="L443" s="18"/>
      <c r="M443" s="18"/>
      <c r="N443" s="18"/>
      <c r="O443" s="18"/>
      <c r="P443" s="18"/>
      <c r="Q443" s="18"/>
      <c r="R443" s="18">
        <f>IFERROR(
                  Andel_oberoende_av_klimat*VLOOKUP($A443,Leveranser_per_nät,'Leveranser per nät'!R$1,FALSE)
               +Andel_beroende_av_klimat*VLOOKUP($A443,Leveranser_per_nät,'Leveranser per nät'!R$1,FALSE)/VLOOKUP($B443,Korrigeringsfaktor_GD,'Korrigeringsfaktor GD'!R$1,FALSE),
"")</f>
        <v>0</v>
      </c>
      <c r="S443" s="18">
        <f>IFERROR(
                  Andel_oberoende_av_klimat*VLOOKUP($A443,Leveranser_per_nät,'Leveranser per nät'!S$1,FALSE)
               +Andel_beroende_av_klimat*VLOOKUP($A443,Leveranser_per_nät,'Leveranser per nät'!S$1,FALSE)/VLOOKUP($B443,Korrigeringsfaktor_GD,'Korrigeringsfaktor GD'!S$1,FALSE),
"")</f>
        <v>0</v>
      </c>
      <c r="T443" s="18">
        <f>IFERROR(
                  Andel_oberoende_av_klimat*VLOOKUP($A443,Leveranser_per_nät,'Leveranser per nät'!T$1,FALSE)
               +Andel_beroende_av_klimat*VLOOKUP($A443,Leveranser_per_nät,'Leveranser per nät'!T$1,FALSE)/VLOOKUP($B443,Korrigeringsfaktor_GD,'Korrigeringsfaktor GD'!T$1,FALSE),
"")</f>
        <v>0</v>
      </c>
      <c r="U443" s="18">
        <f>IFERROR(
                  Andel_oberoende_av_klimat*VLOOKUP($A443,Leveranser_per_nät,'Leveranser per nät'!U$1,FALSE)
               +Andel_beroende_av_klimat*VLOOKUP($A443,Leveranser_per_nät,'Leveranser per nät'!U$1,FALSE)/VLOOKUP($B443,Korrigeringsfaktor_GD,'Korrigeringsfaktor GD'!U$1,FALSE),
"")</f>
        <v>0</v>
      </c>
      <c r="V443" s="18">
        <f>IFERROR(
                  Andel_oberoende_av_klimat*VLOOKUP($A443,Leveranser_per_nät,'Leveranser per nät'!V$1,FALSE)
               +Andel_beroende_av_klimat*VLOOKUP($A443,Leveranser_per_nät,'Leveranser per nät'!V$1,FALSE)/VLOOKUP($B443,Korrigeringsfaktor_GD,'Korrigeringsfaktor GD'!V$1,FALSE),
"")</f>
        <v>0</v>
      </c>
      <c r="W443" s="18">
        <f>IFERROR(
                  Andel_oberoende_av_klimat*VLOOKUP($A443,Leveranser_per_nät,'Leveranser per nät'!W$1,FALSE)
               +Andel_beroende_av_klimat*VLOOKUP($A443,Leveranser_per_nät,'Leveranser per nät'!W$1,FALSE)/VLOOKUP($B443,Korrigeringsfaktor_GD,'Korrigeringsfaktor GD'!W$1,FALSE),
"")</f>
        <v>0</v>
      </c>
      <c r="X443" s="18">
        <f>IFERROR(
                  Andel_oberoende_av_klimat*VLOOKUP($A443,Leveranser_per_nät,'Leveranser per nät'!X$1,FALSE)
               +Andel_beroende_av_klimat*VLOOKUP($A443,Leveranser_per_nät,'Leveranser per nät'!X$1,FALSE)/VLOOKUP($B443,Korrigeringsfaktor_GD,'Korrigeringsfaktor GD'!X$1,FALSE),
"")</f>
        <v>7.5026250000000001</v>
      </c>
      <c r="Y443" s="18">
        <f>IFERROR(
                  Andel_oberoende_av_klimat*VLOOKUP($A443,Leveranser_per_nät,'Leveranser per nät'!Y$1,FALSE)
               +Andel_beroende_av_klimat*VLOOKUP($A443,Leveranser_per_nät,'Leveranser per nät'!Y$1,FALSE)/VLOOKUP($B443,Korrigeringsfaktor_GD,'Korrigeringsfaktor GD'!Y$1,FALSE),
"")</f>
        <v>8.1478064516129027</v>
      </c>
      <c r="Z443" s="18">
        <f>IFERROR(
                  Andel_oberoende_av_klimat*VLOOKUP($A443,Leveranser_per_nät,'Leveranser per nät'!Z$1,FALSE)
               +Andel_beroende_av_klimat*VLOOKUP($A443,Leveranser_per_nät,'Leveranser per nät'!Z$1,FALSE)/VLOOKUP($B443,Korrigeringsfaktor_GD,'Korrigeringsfaktor GD'!Z$1,FALSE),
"")</f>
        <v>7.5640000000000001</v>
      </c>
      <c r="AA443" s="18">
        <f>IFERROR(
                  Andel_oberoende_av_klimat*VLOOKUP($A443,Leveranser_per_nät,'Leveranser per nät'!AA$1,FALSE)
               +Andel_beroende_av_klimat*VLOOKUP($A443,Leveranser_per_nät,'Leveranser per nät'!AA$1,FALSE)/VLOOKUP($B443,Korrigeringsfaktor_GD,'Korrigeringsfaktor GD'!AA$1,FALSE),
"")</f>
        <v>7.8496849684968488</v>
      </c>
      <c r="AB443" s="18">
        <f>IFERROR(
                  Andel_oberoende_av_klimat*VLOOKUP($A443,Leveranser_per_nät,'Leveranser per nät'!AB$1,FALSE)
               +Andel_beroende_av_klimat*VLOOKUP($A443,Leveranser_per_nät,'Leveranser per nät'!AB$1,FALSE)/VLOOKUP($B443,Korrigeringsfaktor_GD,'Korrigeringsfaktor GD'!AB$1,FALSE),
"")</f>
        <v>8.1714309941520487</v>
      </c>
      <c r="AC443" s="18">
        <f>IFERROR(
                  Andel_oberoende_av_klimat*VLOOKUP($A443,Leveranser_per_nät,'Leveranser per nät'!AC$1,FALSE)
               +Andel_beroende_av_klimat*VLOOKUP($A443,Leveranser_per_nät,'Leveranser per nät'!AC$1,FALSE)/VLOOKUP($B443,Korrigeringsfaktor_GD,'Korrigeringsfaktor GD'!AC$1,FALSE),
"")</f>
        <v>7.9408518518518516</v>
      </c>
      <c r="AD443">
        <v>177.02</v>
      </c>
    </row>
    <row r="444" spans="1:30" x14ac:dyDescent="0.25">
      <c r="A444" t="s">
        <v>297</v>
      </c>
      <c r="B444" t="s">
        <v>357</v>
      </c>
      <c r="C444" s="18">
        <f>IFERROR(
                  Andel_oberoende_av_klimat*VLOOKUP($A444,Leveranser_per_nät,'Leveranser per nät'!C$1,FALSE)
               +Andel_beroende_av_klimat*VLOOKUP($A444,Leveranser_per_nät,'Leveranser per nät'!C$1,FALSE)/VLOOKUP($B444,Korrigeringsfaktor_GD,'Korrigeringsfaktor GD'!C$1,FALSE),
"")</f>
        <v>0</v>
      </c>
      <c r="D444" s="18">
        <f>IFERROR(
                  Andel_oberoende_av_klimat*VLOOKUP($A444,Leveranser_per_nät,'Leveranser per nät'!D$1,FALSE)
               +Andel_beroende_av_klimat*VLOOKUP($A444,Leveranser_per_nät,'Leveranser per nät'!D$1,FALSE)/VLOOKUP($B444,Korrigeringsfaktor_GD,'Korrigeringsfaktor GD'!D$1,FALSE),
"")</f>
        <v>0</v>
      </c>
      <c r="E444" s="18">
        <f>IFERROR(
                  Andel_oberoende_av_klimat*VLOOKUP($A444,Leveranser_per_nät,'Leveranser per nät'!E$1,FALSE)
               +Andel_beroende_av_klimat*VLOOKUP($A444,Leveranser_per_nät,'Leveranser per nät'!E$1,FALSE)/VLOOKUP($B444,Korrigeringsfaktor_GD,'Korrigeringsfaktor GD'!E$1,FALSE),
"")</f>
        <v>0</v>
      </c>
      <c r="F444" s="18">
        <f>IFERROR(
                  Andel_oberoende_av_klimat*VLOOKUP($A444,Leveranser_per_nät,'Leveranser per nät'!F$1,FALSE)
               +Andel_beroende_av_klimat*VLOOKUP($A444,Leveranser_per_nät,'Leveranser per nät'!F$1,FALSE)/VLOOKUP($B444,Korrigeringsfaktor_GD,'Korrigeringsfaktor GD'!F$1,FALSE),
"")</f>
        <v>0</v>
      </c>
      <c r="G444" s="18">
        <f>IFERROR(
                  Andel_oberoende_av_klimat*VLOOKUP($A444,Leveranser_per_nät,'Leveranser per nät'!G$1,FALSE)
               +Andel_beroende_av_klimat*VLOOKUP($A444,Leveranser_per_nät,'Leveranser per nät'!G$1,FALSE)/VLOOKUP($B444,Korrigeringsfaktor_GD,'Korrigeringsfaktor GD'!G$1,FALSE),
"")</f>
        <v>0</v>
      </c>
      <c r="H444" s="18">
        <f>IFERROR(
                  Andel_oberoende_av_klimat*VLOOKUP($A444,Leveranser_per_nät,'Leveranser per nät'!H$1,FALSE)
               +Andel_beroende_av_klimat*VLOOKUP($A444,Leveranser_per_nät,'Leveranser per nät'!H$1,FALSE)/VLOOKUP($B444,Korrigeringsfaktor_GD,'Korrigeringsfaktor GD'!H$1,FALSE),
"")</f>
        <v>0</v>
      </c>
      <c r="I444" s="18">
        <f>IFERROR(
                  Andel_oberoende_av_klimat*VLOOKUP($A444,Leveranser_per_nät,'Leveranser per nät'!I$1,FALSE)
               +Andel_beroende_av_klimat*VLOOKUP($A444,Leveranser_per_nät,'Leveranser per nät'!I$1,FALSE)/VLOOKUP($B444,Korrigeringsfaktor_GD,'Korrigeringsfaktor GD'!I$1,FALSE),
"")</f>
        <v>0</v>
      </c>
      <c r="J444" s="18">
        <f>IFERROR(
                  Andel_oberoende_av_klimat*VLOOKUP($A444,Leveranser_per_nät,'Leveranser per nät'!J$1,FALSE)
               +Andel_beroende_av_klimat*VLOOKUP($A444,Leveranser_per_nät,'Leveranser per nät'!J$1,FALSE)/VLOOKUP($B444,Korrigeringsfaktor_GD,'Korrigeringsfaktor GD'!J$1,FALSE),
"")</f>
        <v>0</v>
      </c>
      <c r="K444" s="18">
        <f>IFERROR(
                  Andel_oberoende_av_klimat*VLOOKUP($A444,Leveranser_per_nät,'Leveranser per nät'!K$1,FALSE)
               +Andel_beroende_av_klimat*VLOOKUP($A444,Leveranser_per_nät,'Leveranser per nät'!K$1,FALSE)/VLOOKUP($B444,Korrigeringsfaktor_GD,'Korrigeringsfaktor GD'!K$1,FALSE),
"")</f>
        <v>3.8822680412371131</v>
      </c>
      <c r="L444" s="18">
        <f>IFERROR(
                  Andel_oberoende_av_klimat*VLOOKUP($A444,Leveranser_per_nät,'Leveranser per nät'!L$1,FALSE)
               +Andel_beroende_av_klimat*VLOOKUP($A444,Leveranser_per_nät,'Leveranser per nät'!L$1,FALSE)/VLOOKUP($B444,Korrigeringsfaktor_GD,'Korrigeringsfaktor GD'!L$1,FALSE),
"")</f>
        <v>4.0002150537634407</v>
      </c>
      <c r="M444" s="18">
        <f>IFERROR(
                  Andel_oberoende_av_klimat*VLOOKUP($A444,Leveranser_per_nät,'Leveranser per nät'!M$1,FALSE)
               +Andel_beroende_av_klimat*VLOOKUP($A444,Leveranser_per_nät,'Leveranser per nät'!M$1,FALSE)/VLOOKUP($B444,Korrigeringsfaktor_GD,'Korrigeringsfaktor GD'!M$1,FALSE),
"")</f>
        <v>3.0765217391304347</v>
      </c>
      <c r="N444" s="18">
        <f>IFERROR(
                  Andel_oberoende_av_klimat*VLOOKUP($A444,Leveranser_per_nät,'Leveranser per nät'!N$1,FALSE)
               +Andel_beroende_av_klimat*VLOOKUP($A444,Leveranser_per_nät,'Leveranser per nät'!N$1,FALSE)/VLOOKUP($B444,Korrigeringsfaktor_GD,'Korrigeringsfaktor GD'!N$1,FALSE),
"")</f>
        <v>3.368602150537634</v>
      </c>
      <c r="O444" s="18">
        <f>IFERROR(
                  Andel_oberoende_av_klimat*VLOOKUP($A444,Leveranser_per_nät,'Leveranser per nät'!O$1,FALSE)
               +Andel_beroende_av_klimat*VLOOKUP($A444,Leveranser_per_nät,'Leveranser per nät'!O$1,FALSE)/VLOOKUP($B444,Korrigeringsfaktor_GD,'Korrigeringsfaktor GD'!O$1,FALSE),
"")</f>
        <v>3.7722222222222221</v>
      </c>
      <c r="P444" s="18">
        <f>IFERROR(
                  Andel_oberoende_av_klimat*VLOOKUP($A444,Leveranser_per_nät,'Leveranser per nät'!P$1,FALSE)
               +Andel_beroende_av_klimat*VLOOKUP($A444,Leveranser_per_nät,'Leveranser per nät'!P$1,FALSE)/VLOOKUP($B444,Korrigeringsfaktor_GD,'Korrigeringsfaktor GD'!P$1,FALSE),
"")</f>
        <v>3.8268686868686865</v>
      </c>
      <c r="Q444" s="18">
        <f>IFERROR(
                  Andel_oberoende_av_klimat*VLOOKUP($A444,Leveranser_per_nät,'Leveranser per nät'!Q$1,FALSE)
               +Andel_beroende_av_klimat*VLOOKUP($A444,Leveranser_per_nät,'Leveranser per nät'!Q$1,FALSE)/VLOOKUP($B444,Korrigeringsfaktor_GD,'Korrigeringsfaktor GD'!Q$1,FALSE),
"")</f>
        <v>3.4530434782608697</v>
      </c>
      <c r="R444" s="18">
        <f>IFERROR(
                  Andel_oberoende_av_klimat*VLOOKUP($A444,Leveranser_per_nät,'Leveranser per nät'!R$1,FALSE)
               +Andel_beroende_av_klimat*VLOOKUP($A444,Leveranser_per_nät,'Leveranser per nät'!R$1,FALSE)/VLOOKUP($B444,Korrigeringsfaktor_GD,'Korrigeringsfaktor GD'!R$1,FALSE),
"")</f>
        <v>3.7722222222222221</v>
      </c>
      <c r="S444" s="18">
        <f>IFERROR(
                  Andel_oberoende_av_klimat*VLOOKUP($A444,Leveranser_per_nät,'Leveranser per nät'!S$1,FALSE)
               +Andel_beroende_av_klimat*VLOOKUP($A444,Leveranser_per_nät,'Leveranser per nät'!S$1,FALSE)/VLOOKUP($B444,Korrigeringsfaktor_GD,'Korrigeringsfaktor GD'!S$1,FALSE),
"")</f>
        <v>3</v>
      </c>
      <c r="T444" s="18">
        <f>IFERROR(
                  Andel_oberoende_av_klimat*VLOOKUP($A444,Leveranser_per_nät,'Leveranser per nät'!T$1,FALSE)
               +Andel_beroende_av_klimat*VLOOKUP($A444,Leveranser_per_nät,'Leveranser per nät'!T$1,FALSE)/VLOOKUP($B444,Korrigeringsfaktor_GD,'Korrigeringsfaktor GD'!T$1,FALSE),
"")</f>
        <v>2.9031578947368422</v>
      </c>
      <c r="U444" s="18" t="str">
        <f>IFERROR(
                  Andel_oberoende_av_klimat*VLOOKUP($A444,Leveranser_per_nät,'Leveranser per nät'!U$1,FALSE)
               +Andel_beroende_av_klimat*VLOOKUP($A444,Leveranser_per_nät,'Leveranser per nät'!U$1,FALSE)/VLOOKUP($B444,Korrigeringsfaktor_GD,'Korrigeringsfaktor GD'!U$1,FALSE),
"")</f>
        <v/>
      </c>
      <c r="V444" s="18" t="str">
        <f>IFERROR(
                  Andel_oberoende_av_klimat*VLOOKUP($A444,Leveranser_per_nät,'Leveranser per nät'!V$1,FALSE)
               +Andel_beroende_av_klimat*VLOOKUP($A444,Leveranser_per_nät,'Leveranser per nät'!V$1,FALSE)/VLOOKUP($B444,Korrigeringsfaktor_GD,'Korrigeringsfaktor GD'!V$1,FALSE),
"")</f>
        <v/>
      </c>
      <c r="W444" s="18" t="str">
        <f>IFERROR(
                  Andel_oberoende_av_klimat*VLOOKUP($A444,Leveranser_per_nät,'Leveranser per nät'!W$1,FALSE)
               +Andel_beroende_av_klimat*VLOOKUP($A444,Leveranser_per_nät,'Leveranser per nät'!W$1,FALSE)/VLOOKUP($B444,Korrigeringsfaktor_GD,'Korrigeringsfaktor GD'!W$1,FALSE),
"")</f>
        <v/>
      </c>
      <c r="X444" s="18" t="str">
        <f>IFERROR(
                  Andel_oberoende_av_klimat*VLOOKUP($A444,Leveranser_per_nät,'Leveranser per nät'!X$1,FALSE)
               +Andel_beroende_av_klimat*VLOOKUP($A444,Leveranser_per_nät,'Leveranser per nät'!X$1,FALSE)/VLOOKUP($B444,Korrigeringsfaktor_GD,'Korrigeringsfaktor GD'!X$1,FALSE),
"")</f>
        <v/>
      </c>
      <c r="Y444" s="18" t="str">
        <f>IFERROR(
                  Andel_oberoende_av_klimat*VLOOKUP($A444,Leveranser_per_nät,'Leveranser per nät'!Y$1,FALSE)
               +Andel_beroende_av_klimat*VLOOKUP($A444,Leveranser_per_nät,'Leveranser per nät'!Y$1,FALSE)/VLOOKUP($B444,Korrigeringsfaktor_GD,'Korrigeringsfaktor GD'!Y$1,FALSE),
"")</f>
        <v/>
      </c>
      <c r="Z444" s="18">
        <f>IFERROR(
                  Andel_oberoende_av_klimat*VLOOKUP($A444,Leveranser_per_nät,'Leveranser per nät'!Z$1,FALSE)
               +Andel_beroende_av_klimat*VLOOKUP($A444,Leveranser_per_nät,'Leveranser per nät'!Z$1,FALSE)/VLOOKUP($B444,Korrigeringsfaktor_GD,'Korrigeringsfaktor GD'!Z$1,FALSE),
"")</f>
        <v>0</v>
      </c>
      <c r="AA444" s="18" t="str">
        <f>IFERROR(
                  Andel_oberoende_av_klimat*VLOOKUP($A444,Leveranser_per_nät,'Leveranser per nät'!AA$1,FALSE)
               +Andel_beroende_av_klimat*VLOOKUP($A444,Leveranser_per_nät,'Leveranser per nät'!AA$1,FALSE)/VLOOKUP($B444,Korrigeringsfaktor_GD,'Korrigeringsfaktor GD'!AA$1,FALSE),
"")</f>
        <v/>
      </c>
      <c r="AB444" s="18">
        <f>IFERROR(
                  Andel_oberoende_av_klimat*VLOOKUP($A444,Leveranser_per_nät,'Leveranser per nät'!AB$1,FALSE)
               +Andel_beroende_av_klimat*VLOOKUP($A444,Leveranser_per_nät,'Leveranser per nät'!AB$1,FALSE)/VLOOKUP($B444,Korrigeringsfaktor_GD,'Korrigeringsfaktor GD'!AB$1,FALSE),
"")</f>
        <v>0</v>
      </c>
      <c r="AC444" s="18">
        <f>IFERROR(
                  Andel_oberoende_av_klimat*VLOOKUP($A444,Leveranser_per_nät,'Leveranser per nät'!AC$1,FALSE)
               +Andel_beroende_av_klimat*VLOOKUP($A444,Leveranser_per_nät,'Leveranser per nät'!AC$1,FALSE)/VLOOKUP($B444,Korrigeringsfaktor_GD,'Korrigeringsfaktor GD'!AC$1,FALSE),
"")</f>
        <v>0</v>
      </c>
      <c r="AD444">
        <v>88</v>
      </c>
    </row>
    <row r="445" spans="1:30" x14ac:dyDescent="0.25">
      <c r="A445" t="s">
        <v>133</v>
      </c>
      <c r="B445" t="s">
        <v>133</v>
      </c>
      <c r="C445" s="18">
        <f>IFERROR(
                  Andel_oberoende_av_klimat*VLOOKUP($A445,Leveranser_per_nät,'Leveranser per nät'!C$1,FALSE)
               +Andel_beroende_av_klimat*VLOOKUP($A445,Leveranser_per_nät,'Leveranser per nät'!C$1,FALSE)/VLOOKUP($B445,Korrigeringsfaktor_GD,'Korrigeringsfaktor GD'!C$1,FALSE),
"")</f>
        <v>182.22499999999997</v>
      </c>
      <c r="D445" s="18">
        <f>IFERROR(
                  Andel_oberoende_av_klimat*VLOOKUP($A445,Leveranser_per_nät,'Leveranser per nät'!D$1,FALSE)
               +Andel_beroende_av_klimat*VLOOKUP($A445,Leveranser_per_nät,'Leveranser per nät'!D$1,FALSE)/VLOOKUP($B445,Korrigeringsfaktor_GD,'Korrigeringsfaktor GD'!D$1,FALSE),
"")</f>
        <v>180.83</v>
      </c>
      <c r="E445" s="18">
        <f>IFERROR(
                  Andel_oberoende_av_klimat*VLOOKUP($A445,Leveranser_per_nät,'Leveranser per nät'!E$1,FALSE)
               +Andel_beroende_av_klimat*VLOOKUP($A445,Leveranser_per_nät,'Leveranser per nät'!E$1,FALSE)/VLOOKUP($B445,Korrigeringsfaktor_GD,'Korrigeringsfaktor GD'!E$1,FALSE),
"")</f>
        <v>190.04466019417475</v>
      </c>
      <c r="F445" s="18">
        <f>IFERROR(
                  Andel_oberoende_av_klimat*VLOOKUP($A445,Leveranser_per_nät,'Leveranser per nät'!F$1,FALSE)
               +Andel_beroende_av_klimat*VLOOKUP($A445,Leveranser_per_nät,'Leveranser per nät'!F$1,FALSE)/VLOOKUP($B445,Korrigeringsfaktor_GD,'Korrigeringsfaktor GD'!F$1,FALSE),
"")</f>
        <v>190.53655913978494</v>
      </c>
      <c r="G445" s="18">
        <f>IFERROR(
                  Andel_oberoende_av_klimat*VLOOKUP($A445,Leveranser_per_nät,'Leveranser per nät'!G$1,FALSE)
               +Andel_beroende_av_klimat*VLOOKUP($A445,Leveranser_per_nät,'Leveranser per nät'!G$1,FALSE)/VLOOKUP($B445,Korrigeringsfaktor_GD,'Korrigeringsfaktor GD'!G$1,FALSE),
"")</f>
        <v>198.27727272727273</v>
      </c>
      <c r="H445" s="18">
        <f>IFERROR(
                  Andel_oberoende_av_klimat*VLOOKUP($A445,Leveranser_per_nät,'Leveranser per nät'!H$1,FALSE)
               +Andel_beroende_av_klimat*VLOOKUP($A445,Leveranser_per_nät,'Leveranser per nät'!H$1,FALSE)/VLOOKUP($B445,Korrigeringsfaktor_GD,'Korrigeringsfaktor GD'!H$1,FALSE),
"")</f>
        <v>188.65714285714287</v>
      </c>
      <c r="I445" s="18">
        <f>IFERROR(
                  Andel_oberoende_av_klimat*VLOOKUP($A445,Leveranser_per_nät,'Leveranser per nät'!I$1,FALSE)
               +Andel_beroende_av_klimat*VLOOKUP($A445,Leveranser_per_nät,'Leveranser per nät'!I$1,FALSE)/VLOOKUP($B445,Korrigeringsfaktor_GD,'Korrigeringsfaktor GD'!I$1,FALSE),
"")</f>
        <v>235.36315789473684</v>
      </c>
      <c r="J445" s="18">
        <f>IFERROR(
                  Andel_oberoende_av_klimat*VLOOKUP($A445,Leveranser_per_nät,'Leveranser per nät'!J$1,FALSE)
               +Andel_beroende_av_klimat*VLOOKUP($A445,Leveranser_per_nät,'Leveranser per nät'!J$1,FALSE)/VLOOKUP($B445,Korrigeringsfaktor_GD,'Korrigeringsfaktor GD'!J$1,FALSE),
"")</f>
        <v>232.9827868686869</v>
      </c>
      <c r="K445" s="18">
        <f>IFERROR(
                  Andel_oberoende_av_klimat*VLOOKUP($A445,Leveranser_per_nät,'Leveranser per nät'!K$1,FALSE)
               +Andel_beroende_av_klimat*VLOOKUP($A445,Leveranser_per_nät,'Leveranser per nät'!K$1,FALSE)/VLOOKUP($B445,Korrigeringsfaktor_GD,'Korrigeringsfaktor GD'!K$1,FALSE),
"")</f>
        <v>216.04285714285714</v>
      </c>
      <c r="L445" s="18">
        <f>IFERROR(
                  Andel_oberoende_av_klimat*VLOOKUP($A445,Leveranser_per_nät,'Leveranser per nät'!L$1,FALSE)
               +Andel_beroende_av_klimat*VLOOKUP($A445,Leveranser_per_nät,'Leveranser per nät'!L$1,FALSE)/VLOOKUP($B445,Korrigeringsfaktor_GD,'Korrigeringsfaktor GD'!L$1,FALSE),
"")</f>
        <v>182.75261391561929</v>
      </c>
      <c r="M445" s="18">
        <f>IFERROR(
                  Andel_oberoende_av_klimat*VLOOKUP($A445,Leveranser_per_nät,'Leveranser per nät'!M$1,FALSE)
               +Andel_beroende_av_klimat*VLOOKUP($A445,Leveranser_per_nät,'Leveranser per nät'!M$1,FALSE)/VLOOKUP($B445,Korrigeringsfaktor_GD,'Korrigeringsfaktor GD'!M$1,FALSE),
"")</f>
        <v>178.24076923076922</v>
      </c>
      <c r="N445" s="18">
        <f>IFERROR(
                  Andel_oberoende_av_klimat*VLOOKUP($A445,Leveranser_per_nät,'Leveranser per nät'!N$1,FALSE)
               +Andel_beroende_av_klimat*VLOOKUP($A445,Leveranser_per_nät,'Leveranser per nät'!N$1,FALSE)/VLOOKUP($B445,Korrigeringsfaktor_GD,'Korrigeringsfaktor GD'!N$1,FALSE),
"")</f>
        <v>176.54</v>
      </c>
      <c r="O445" s="18">
        <f>IFERROR(
                  Andel_oberoende_av_klimat*VLOOKUP($A445,Leveranser_per_nät,'Leveranser per nät'!O$1,FALSE)
               +Andel_beroende_av_klimat*VLOOKUP($A445,Leveranser_per_nät,'Leveranser per nät'!O$1,FALSE)/VLOOKUP($B445,Korrigeringsfaktor_GD,'Korrigeringsfaktor GD'!O$1,FALSE),
"")</f>
        <v>176.55898876404493</v>
      </c>
      <c r="P445" s="18">
        <f>IFERROR(
                  Andel_oberoende_av_klimat*VLOOKUP($A445,Leveranser_per_nät,'Leveranser per nät'!P$1,FALSE)
               +Andel_beroende_av_klimat*VLOOKUP($A445,Leveranser_per_nät,'Leveranser per nät'!P$1,FALSE)/VLOOKUP($B445,Korrigeringsfaktor_GD,'Korrigeringsfaktor GD'!P$1,FALSE),
"")</f>
        <v>174.39556701030926</v>
      </c>
      <c r="Q445" s="18">
        <f>IFERROR(
                  Andel_oberoende_av_klimat*VLOOKUP($A445,Leveranser_per_nät,'Leveranser per nät'!Q$1,FALSE)
               +Andel_beroende_av_klimat*VLOOKUP($A445,Leveranser_per_nät,'Leveranser per nät'!Q$1,FALSE)/VLOOKUP($B445,Korrigeringsfaktor_GD,'Korrigeringsfaktor GD'!Q$1,FALSE),
"")</f>
        <v>173.8075</v>
      </c>
      <c r="R445" s="18">
        <f>IFERROR(
                  Andel_oberoende_av_klimat*VLOOKUP($A445,Leveranser_per_nät,'Leveranser per nät'!R$1,FALSE)
               +Andel_beroende_av_klimat*VLOOKUP($A445,Leveranser_per_nät,'Leveranser per nät'!R$1,FALSE)/VLOOKUP($B445,Korrigeringsfaktor_GD,'Korrigeringsfaktor GD'!R$1,FALSE),
"")</f>
        <v>183.44595744680851</v>
      </c>
      <c r="S445" s="18">
        <f>IFERROR(
                  Andel_oberoende_av_klimat*VLOOKUP($A445,Leveranser_per_nät,'Leveranser per nät'!S$1,FALSE)
               +Andel_beroende_av_klimat*VLOOKUP($A445,Leveranser_per_nät,'Leveranser per nät'!S$1,FALSE)/VLOOKUP($B445,Korrigeringsfaktor_GD,'Korrigeringsfaktor GD'!S$1,FALSE),
"")</f>
        <v>179.74554455445545</v>
      </c>
      <c r="T445" s="18">
        <f>IFERROR(
                  Andel_oberoende_av_klimat*VLOOKUP($A445,Leveranser_per_nät,'Leveranser per nät'!T$1,FALSE)
               +Andel_beroende_av_klimat*VLOOKUP($A445,Leveranser_per_nät,'Leveranser per nät'!T$1,FALSE)/VLOOKUP($B445,Korrigeringsfaktor_GD,'Korrigeringsfaktor GD'!T$1,FALSE),
"")</f>
        <v>177.76701030927836</v>
      </c>
      <c r="U445" s="18">
        <f>IFERROR(
                  Andel_oberoende_av_klimat*VLOOKUP($A445,Leveranser_per_nät,'Leveranser per nät'!U$1,FALSE)
               +Andel_beroende_av_klimat*VLOOKUP($A445,Leveranser_per_nät,'Leveranser per nät'!U$1,FALSE)/VLOOKUP($B445,Korrigeringsfaktor_GD,'Korrigeringsfaktor GD'!U$1,FALSE),
"")</f>
        <v>177.38538461538462</v>
      </c>
      <c r="V445" s="18">
        <f>IFERROR(
                  Andel_oberoende_av_klimat*VLOOKUP($A445,Leveranser_per_nät,'Leveranser per nät'!V$1,FALSE)
               +Andel_beroende_av_klimat*VLOOKUP($A445,Leveranser_per_nät,'Leveranser per nät'!V$1,FALSE)/VLOOKUP($B445,Korrigeringsfaktor_GD,'Korrigeringsfaktor GD'!V$1,FALSE),
"")</f>
        <v>178.17160919540231</v>
      </c>
      <c r="W445" s="18">
        <f>IFERROR(
                  Andel_oberoende_av_klimat*VLOOKUP($A445,Leveranser_per_nät,'Leveranser per nät'!W$1,FALSE)
               +Andel_beroende_av_klimat*VLOOKUP($A445,Leveranser_per_nät,'Leveranser per nät'!W$1,FALSE)/VLOOKUP($B445,Korrigeringsfaktor_GD,'Korrigeringsfaktor GD'!W$1,FALSE),
"")</f>
        <v>181.37817204301075</v>
      </c>
      <c r="X445" s="18">
        <f>IFERROR(
                  Andel_oberoende_av_klimat*VLOOKUP($A445,Leveranser_per_nät,'Leveranser per nät'!X$1,FALSE)
               +Andel_beroende_av_klimat*VLOOKUP($A445,Leveranser_per_nät,'Leveranser per nät'!X$1,FALSE)/VLOOKUP($B445,Korrigeringsfaktor_GD,'Korrigeringsfaktor GD'!X$1,FALSE),
"")</f>
        <v>179.75731578947369</v>
      </c>
      <c r="Y445" s="18">
        <f>IFERROR(
                  Andel_oberoende_av_klimat*VLOOKUP($A445,Leveranser_per_nät,'Leveranser per nät'!Y$1,FALSE)
               +Andel_beroende_av_klimat*VLOOKUP($A445,Leveranser_per_nät,'Leveranser per nät'!Y$1,FALSE)/VLOOKUP($B445,Korrigeringsfaktor_GD,'Korrigeringsfaktor GD'!Y$1,FALSE),
"")</f>
        <v>182.83525384615385</v>
      </c>
      <c r="Z445" s="18">
        <f>IFERROR(
                  Andel_oberoende_av_klimat*VLOOKUP($A445,Leveranser_per_nät,'Leveranser per nät'!Z$1,FALSE)
               +Andel_beroende_av_klimat*VLOOKUP($A445,Leveranser_per_nät,'Leveranser per nät'!Z$1,FALSE)/VLOOKUP($B445,Korrigeringsfaktor_GD,'Korrigeringsfaktor GD'!Z$1,FALSE),
"")</f>
        <v>180.33463483146068</v>
      </c>
      <c r="AA445" s="18">
        <f>IFERROR(
                  Andel_oberoende_av_klimat*VLOOKUP($A445,Leveranser_per_nät,'Leveranser per nät'!AA$1,FALSE)
               +Andel_beroende_av_klimat*VLOOKUP($A445,Leveranser_per_nät,'Leveranser per nät'!AA$1,FALSE)/VLOOKUP($B445,Korrigeringsfaktor_GD,'Korrigeringsfaktor GD'!AA$1,FALSE),
"")</f>
        <v>186.25481341463419</v>
      </c>
      <c r="AB445" s="18">
        <f>IFERROR(
                  Andel_oberoende_av_klimat*VLOOKUP($A445,Leveranser_per_nät,'Leveranser per nät'!AB$1,FALSE)
               +Andel_beroende_av_klimat*VLOOKUP($A445,Leveranser_per_nät,'Leveranser per nät'!AB$1,FALSE)/VLOOKUP($B445,Korrigeringsfaktor_GD,'Korrigeringsfaktor GD'!AB$1,FALSE),
"")</f>
        <v>177.36371764705882</v>
      </c>
      <c r="AC445" s="18">
        <f>IFERROR(
                  Andel_oberoende_av_klimat*VLOOKUP($A445,Leveranser_per_nät,'Leveranser per nät'!AC$1,FALSE)
               +Andel_beroende_av_klimat*VLOOKUP($A445,Leveranser_per_nät,'Leveranser per nät'!AC$1,FALSE)/VLOOKUP($B445,Korrigeringsfaktor_GD,'Korrigeringsfaktor GD'!AC$1,FALSE),
"")</f>
        <v>177.06637783452501</v>
      </c>
      <c r="AD445">
        <v>174.447</v>
      </c>
    </row>
    <row r="446" spans="1:30" x14ac:dyDescent="0.25">
      <c r="A446" t="s">
        <v>4</v>
      </c>
      <c r="B446" t="s">
        <v>2</v>
      </c>
      <c r="C446" s="18">
        <f>IFERROR(
                  Andel_oberoende_av_klimat*VLOOKUP($A446,Leveranser_per_nät,'Leveranser per nät'!C$1,FALSE)
               +Andel_beroende_av_klimat*VLOOKUP($A446,Leveranser_per_nät,'Leveranser per nät'!C$1,FALSE)/VLOOKUP($B446,Korrigeringsfaktor_GD,'Korrigeringsfaktor GD'!C$1,FALSE),
"")</f>
        <v>0</v>
      </c>
      <c r="D446" s="18">
        <f>IFERROR(
                  Andel_oberoende_av_klimat*VLOOKUP($A446,Leveranser_per_nät,'Leveranser per nät'!D$1,FALSE)
               +Andel_beroende_av_klimat*VLOOKUP($A446,Leveranser_per_nät,'Leveranser per nät'!D$1,FALSE)/VLOOKUP($B446,Korrigeringsfaktor_GD,'Korrigeringsfaktor GD'!D$1,FALSE),
"")</f>
        <v>0</v>
      </c>
      <c r="E446" s="18">
        <f>IFERROR(
                  Andel_oberoende_av_klimat*VLOOKUP($A446,Leveranser_per_nät,'Leveranser per nät'!E$1,FALSE)
               +Andel_beroende_av_klimat*VLOOKUP($A446,Leveranser_per_nät,'Leveranser per nät'!E$1,FALSE)/VLOOKUP($B446,Korrigeringsfaktor_GD,'Korrigeringsfaktor GD'!E$1,FALSE),
"")</f>
        <v>0</v>
      </c>
      <c r="F446" s="18">
        <f>IFERROR(
                  Andel_oberoende_av_klimat*VLOOKUP($A446,Leveranser_per_nät,'Leveranser per nät'!F$1,FALSE)
               +Andel_beroende_av_klimat*VLOOKUP($A446,Leveranser_per_nät,'Leveranser per nät'!F$1,FALSE)/VLOOKUP($B446,Korrigeringsfaktor_GD,'Korrigeringsfaktor GD'!F$1,FALSE),
"")</f>
        <v>0</v>
      </c>
      <c r="G446" s="18">
        <f>IFERROR(
                  Andel_oberoende_av_klimat*VLOOKUP($A446,Leveranser_per_nät,'Leveranser per nät'!G$1,FALSE)
               +Andel_beroende_av_klimat*VLOOKUP($A446,Leveranser_per_nät,'Leveranser per nät'!G$1,FALSE)/VLOOKUP($B446,Korrigeringsfaktor_GD,'Korrigeringsfaktor GD'!G$1,FALSE),
"")</f>
        <v>0</v>
      </c>
      <c r="H446" s="18">
        <f>IFERROR(
                  Andel_oberoende_av_klimat*VLOOKUP($A446,Leveranser_per_nät,'Leveranser per nät'!H$1,FALSE)
               +Andel_beroende_av_klimat*VLOOKUP($A446,Leveranser_per_nät,'Leveranser per nät'!H$1,FALSE)/VLOOKUP($B446,Korrigeringsfaktor_GD,'Korrigeringsfaktor GD'!H$1,FALSE),
"")</f>
        <v>0</v>
      </c>
      <c r="I446" s="18">
        <f>IFERROR(
                  Andel_oberoende_av_klimat*VLOOKUP($A446,Leveranser_per_nät,'Leveranser per nät'!I$1,FALSE)
               +Andel_beroende_av_klimat*VLOOKUP($A446,Leveranser_per_nät,'Leveranser per nät'!I$1,FALSE)/VLOOKUP($B446,Korrigeringsfaktor_GD,'Korrigeringsfaktor GD'!I$1,FALSE),
"")</f>
        <v>0</v>
      </c>
      <c r="J446" s="18">
        <f>IFERROR(
                  Andel_oberoende_av_klimat*VLOOKUP($A446,Leveranser_per_nät,'Leveranser per nät'!J$1,FALSE)
               +Andel_beroende_av_klimat*VLOOKUP($A446,Leveranser_per_nät,'Leveranser per nät'!J$1,FALSE)/VLOOKUP($B446,Korrigeringsfaktor_GD,'Korrigeringsfaktor GD'!J$1,FALSE),
"")</f>
        <v>12.171428571428571</v>
      </c>
      <c r="K446" s="18">
        <f>IFERROR(
                  Andel_oberoende_av_klimat*VLOOKUP($A446,Leveranser_per_nät,'Leveranser per nät'!K$1,FALSE)
               +Andel_beroende_av_klimat*VLOOKUP($A446,Leveranser_per_nät,'Leveranser per nät'!K$1,FALSE)/VLOOKUP($B446,Korrigeringsfaktor_GD,'Korrigeringsfaktor GD'!K$1,FALSE),
"")</f>
        <v>18.646999999999998</v>
      </c>
      <c r="L446" s="18">
        <f>IFERROR(
                  Andel_oberoende_av_klimat*VLOOKUP($A446,Leveranser_per_nät,'Leveranser per nät'!L$1,FALSE)
               +Andel_beroende_av_klimat*VLOOKUP($A446,Leveranser_per_nät,'Leveranser per nät'!L$1,FALSE)/VLOOKUP($B446,Korrigeringsfaktor_GD,'Korrigeringsfaktor GD'!L$1,FALSE),
"")</f>
        <v>19.050697938144328</v>
      </c>
      <c r="M446" s="18">
        <f>IFERROR(
                  Andel_oberoende_av_klimat*VLOOKUP($A446,Leveranser_per_nät,'Leveranser per nät'!M$1,FALSE)
               +Andel_beroende_av_klimat*VLOOKUP($A446,Leveranser_per_nät,'Leveranser per nät'!M$1,FALSE)/VLOOKUP($B446,Korrigeringsfaktor_GD,'Korrigeringsfaktor GD'!M$1,FALSE),
"")</f>
        <v>22.106451612903225</v>
      </c>
      <c r="N446" s="18">
        <f>IFERROR(
                  Andel_oberoende_av_klimat*VLOOKUP($A446,Leveranser_per_nät,'Leveranser per nät'!N$1,FALSE)
               +Andel_beroende_av_klimat*VLOOKUP($A446,Leveranser_per_nät,'Leveranser per nät'!N$1,FALSE)/VLOOKUP($B446,Korrigeringsfaktor_GD,'Korrigeringsfaktor GD'!N$1,FALSE),
"")</f>
        <v>29.099999999999998</v>
      </c>
      <c r="O446" s="18">
        <f>IFERROR(
                  Andel_oberoende_av_klimat*VLOOKUP($A446,Leveranser_per_nät,'Leveranser per nät'!O$1,FALSE)
               +Andel_beroende_av_klimat*VLOOKUP($A446,Leveranser_per_nät,'Leveranser per nät'!O$1,FALSE)/VLOOKUP($B446,Korrigeringsfaktor_GD,'Korrigeringsfaktor GD'!O$1,FALSE),
"")</f>
        <v>31.255555555555553</v>
      </c>
      <c r="P446" s="18">
        <f>IFERROR(
                  Andel_oberoende_av_klimat*VLOOKUP($A446,Leveranser_per_nät,'Leveranser per nät'!P$1,FALSE)
               +Andel_beroende_av_klimat*VLOOKUP($A446,Leveranser_per_nät,'Leveranser per nät'!P$1,FALSE)/VLOOKUP($B446,Korrigeringsfaktor_GD,'Korrigeringsfaktor GD'!P$1,FALSE),
"")</f>
        <v>29.627835051546391</v>
      </c>
      <c r="Q446" s="18">
        <f>IFERROR(
                  Andel_oberoende_av_klimat*VLOOKUP($A446,Leveranser_per_nät,'Leveranser per nät'!Q$1,FALSE)
               +Andel_beroende_av_klimat*VLOOKUP($A446,Leveranser_per_nät,'Leveranser per nät'!Q$1,FALSE)/VLOOKUP($B446,Korrigeringsfaktor_GD,'Korrigeringsfaktor GD'!Q$1,FALSE),
"")</f>
        <v>29.986956521739131</v>
      </c>
      <c r="R446" s="18">
        <f>IFERROR(
                  Andel_oberoende_av_klimat*VLOOKUP($A446,Leveranser_per_nät,'Leveranser per nät'!R$1,FALSE)
               +Andel_beroende_av_klimat*VLOOKUP($A446,Leveranser_per_nät,'Leveranser per nät'!R$1,FALSE)/VLOOKUP($B446,Korrigeringsfaktor_GD,'Korrigeringsfaktor GD'!R$1,FALSE),
"")</f>
        <v>16.613217391304346</v>
      </c>
      <c r="S446" s="18">
        <f>IFERROR(
                  Andel_oberoende_av_klimat*VLOOKUP($A446,Leveranser_per_nät,'Leveranser per nät'!S$1,FALSE)
               +Andel_beroende_av_klimat*VLOOKUP($A446,Leveranser_per_nät,'Leveranser per nät'!S$1,FALSE)/VLOOKUP($B446,Korrigeringsfaktor_GD,'Korrigeringsfaktor GD'!S$1,FALSE),
"")</f>
        <v>17.478019801980199</v>
      </c>
      <c r="T446" s="18">
        <f>IFERROR(
                  Andel_oberoende_av_klimat*VLOOKUP($A446,Leveranser_per_nät,'Leveranser per nät'!T$1,FALSE)
               +Andel_beroende_av_klimat*VLOOKUP($A446,Leveranser_per_nät,'Leveranser per nät'!T$1,FALSE)/VLOOKUP($B446,Korrigeringsfaktor_GD,'Korrigeringsfaktor GD'!T$1,FALSE),
"")</f>
        <v>13.692857142857143</v>
      </c>
      <c r="U446" s="18">
        <f>IFERROR(
                  Andel_oberoende_av_klimat*VLOOKUP($A446,Leveranser_per_nät,'Leveranser per nät'!U$1,FALSE)
               +Andel_beroende_av_klimat*VLOOKUP($A446,Leveranser_per_nät,'Leveranser per nät'!U$1,FALSE)/VLOOKUP($B446,Korrigeringsfaktor_GD,'Korrigeringsfaktor GD'!U$1,FALSE),
"")</f>
        <v>15.038372093023256</v>
      </c>
      <c r="V446" s="18">
        <f>IFERROR(
                  Andel_oberoende_av_klimat*VLOOKUP($A446,Leveranser_per_nät,'Leveranser per nät'!V$1,FALSE)
               +Andel_beroende_av_klimat*VLOOKUP($A446,Leveranser_per_nät,'Leveranser per nät'!V$1,FALSE)/VLOOKUP($B446,Korrigeringsfaktor_GD,'Korrigeringsfaktor GD'!V$1,FALSE),
"")</f>
        <v>21.232222222222223</v>
      </c>
      <c r="W446" s="18">
        <f>IFERROR(
                  Andel_oberoende_av_klimat*VLOOKUP($A446,Leveranser_per_nät,'Leveranser per nät'!W$1,FALSE)
               +Andel_beroende_av_klimat*VLOOKUP($A446,Leveranser_per_nät,'Leveranser per nät'!W$1,FALSE)/VLOOKUP($B446,Korrigeringsfaktor_GD,'Korrigeringsfaktor GD'!W$1,FALSE),
"")</f>
        <v>20.342842105263159</v>
      </c>
      <c r="X446" s="18">
        <f>IFERROR(
                  Andel_oberoende_av_klimat*VLOOKUP($A446,Leveranser_per_nät,'Leveranser per nät'!X$1,FALSE)
               +Andel_beroende_av_klimat*VLOOKUP($A446,Leveranser_per_nät,'Leveranser per nät'!X$1,FALSE)/VLOOKUP($B446,Korrigeringsfaktor_GD,'Korrigeringsfaktor GD'!X$1,FALSE),
"")</f>
        <v>19.579999999999998</v>
      </c>
      <c r="Y446" s="18">
        <f>IFERROR(
                  Andel_oberoende_av_klimat*VLOOKUP($A446,Leveranser_per_nät,'Leveranser per nät'!Y$1,FALSE)
               +Andel_beroende_av_klimat*VLOOKUP($A446,Leveranser_per_nät,'Leveranser per nät'!Y$1,FALSE)/VLOOKUP($B446,Korrigeringsfaktor_GD,'Korrigeringsfaktor GD'!Y$1,FALSE),
"")</f>
        <v>11.499888888888888</v>
      </c>
      <c r="Z446" s="18">
        <f>IFERROR(
                  Andel_oberoende_av_klimat*VLOOKUP($A446,Leveranser_per_nät,'Leveranser per nät'!Z$1,FALSE)
               +Andel_beroende_av_klimat*VLOOKUP($A446,Leveranser_per_nät,'Leveranser per nät'!Z$1,FALSE)/VLOOKUP($B446,Korrigeringsfaktor_GD,'Korrigeringsfaktor GD'!Z$1,FALSE),
"")</f>
        <v>17.558112359550563</v>
      </c>
      <c r="AA446" s="18">
        <f>IFERROR(
                  Andel_oberoende_av_klimat*VLOOKUP($A446,Leveranser_per_nät,'Leveranser per nät'!AA$1,FALSE)
               +Andel_beroende_av_klimat*VLOOKUP($A446,Leveranser_per_nät,'Leveranser per nät'!AA$1,FALSE)/VLOOKUP($B446,Korrigeringsfaktor_GD,'Korrigeringsfaktor GD'!AA$1,FALSE),
"")</f>
        <v>17.70048432288192</v>
      </c>
      <c r="AB446" s="18">
        <f>IFERROR(
                  Andel_oberoende_av_klimat*VLOOKUP($A446,Leveranser_per_nät,'Leveranser per nät'!AB$1,FALSE)
               +Andel_beroende_av_klimat*VLOOKUP($A446,Leveranser_per_nät,'Leveranser per nät'!AB$1,FALSE)/VLOOKUP($B446,Korrigeringsfaktor_GD,'Korrigeringsfaktor GD'!AB$1,FALSE),
"")</f>
        <v>18.556109589041096</v>
      </c>
      <c r="AC446" s="18">
        <f>IFERROR(
                  Andel_oberoende_av_klimat*VLOOKUP($A446,Leveranser_per_nät,'Leveranser per nät'!AC$1,FALSE)
               +Andel_beroende_av_klimat*VLOOKUP($A446,Leveranser_per_nät,'Leveranser per nät'!AC$1,FALSE)/VLOOKUP($B446,Korrigeringsfaktor_GD,'Korrigeringsfaktor GD'!AC$1,FALSE),
"")</f>
        <v>19.477945606694561</v>
      </c>
      <c r="AD446">
        <v>53.42</v>
      </c>
    </row>
    <row r="447" spans="1:30" x14ac:dyDescent="0.25">
      <c r="A447" t="s">
        <v>305</v>
      </c>
      <c r="B447" t="s">
        <v>505</v>
      </c>
      <c r="C447" s="18">
        <f>IFERROR(
                  Andel_oberoende_av_klimat*VLOOKUP($A447,Leveranser_per_nät,'Leveranser per nät'!C$1,FALSE)
               +Andel_beroende_av_klimat*VLOOKUP($A447,Leveranser_per_nät,'Leveranser per nät'!C$1,FALSE)/VLOOKUP($B447,Korrigeringsfaktor_GD,'Korrigeringsfaktor GD'!C$1,FALSE),
"")</f>
        <v>0</v>
      </c>
      <c r="D447" s="18">
        <f>IFERROR(
                  Andel_oberoende_av_klimat*VLOOKUP($A447,Leveranser_per_nät,'Leveranser per nät'!D$1,FALSE)
               +Andel_beroende_av_klimat*VLOOKUP($A447,Leveranser_per_nät,'Leveranser per nät'!D$1,FALSE)/VLOOKUP($B447,Korrigeringsfaktor_GD,'Korrigeringsfaktor GD'!D$1,FALSE),
"")</f>
        <v>0</v>
      </c>
      <c r="E447" s="18">
        <f>IFERROR(
                  Andel_oberoende_av_klimat*VLOOKUP($A447,Leveranser_per_nät,'Leveranser per nät'!E$1,FALSE)
               +Andel_beroende_av_klimat*VLOOKUP($A447,Leveranser_per_nät,'Leveranser per nät'!E$1,FALSE)/VLOOKUP($B447,Korrigeringsfaktor_GD,'Korrigeringsfaktor GD'!E$1,FALSE),
"")</f>
        <v>0</v>
      </c>
      <c r="F447" s="18">
        <f>IFERROR(
                  Andel_oberoende_av_klimat*VLOOKUP($A447,Leveranser_per_nät,'Leveranser per nät'!F$1,FALSE)
               +Andel_beroende_av_klimat*VLOOKUP($A447,Leveranser_per_nät,'Leveranser per nät'!F$1,FALSE)/VLOOKUP($B447,Korrigeringsfaktor_GD,'Korrigeringsfaktor GD'!F$1,FALSE),
"")</f>
        <v>7.0494949494949495</v>
      </c>
      <c r="G447" s="18">
        <f>IFERROR(
                  Andel_oberoende_av_klimat*VLOOKUP($A447,Leveranser_per_nät,'Leveranser per nät'!G$1,FALSE)
               +Andel_beroende_av_klimat*VLOOKUP($A447,Leveranser_per_nät,'Leveranser per nät'!G$1,FALSE)/VLOOKUP($B447,Korrigeringsfaktor_GD,'Korrigeringsfaktor GD'!G$1,FALSE),
"")</f>
        <v>7.3127659574468087</v>
      </c>
      <c r="H447" s="18">
        <f>IFERROR(
                  Andel_oberoende_av_klimat*VLOOKUP($A447,Leveranser_per_nät,'Leveranser per nät'!H$1,FALSE)
               +Andel_beroende_av_klimat*VLOOKUP($A447,Leveranser_per_nät,'Leveranser per nät'!H$1,FALSE)/VLOOKUP($B447,Korrigeringsfaktor_GD,'Korrigeringsfaktor GD'!H$1,FALSE),
"")</f>
        <v>6.7070909090909092</v>
      </c>
      <c r="I447" s="18">
        <f>IFERROR(
                  Andel_oberoende_av_klimat*VLOOKUP($A447,Leveranser_per_nät,'Leveranser per nät'!I$1,FALSE)
               +Andel_beroende_av_klimat*VLOOKUP($A447,Leveranser_per_nät,'Leveranser per nät'!I$1,FALSE)/VLOOKUP($B447,Korrigeringsfaktor_GD,'Korrigeringsfaktor GD'!I$1,FALSE),
"")</f>
        <v>6.77542857142857</v>
      </c>
      <c r="J447" s="18">
        <f>IFERROR(
                  Andel_oberoende_av_klimat*VLOOKUP($A447,Leveranser_per_nät,'Leveranser per nät'!J$1,FALSE)
               +Andel_beroende_av_klimat*VLOOKUP($A447,Leveranser_per_nät,'Leveranser per nät'!J$1,FALSE)/VLOOKUP($B447,Korrigeringsfaktor_GD,'Korrigeringsfaktor GD'!J$1,FALSE),
"")</f>
        <v>7.2041666666666666</v>
      </c>
      <c r="K447" s="18">
        <f>IFERROR(
                  Andel_oberoende_av_klimat*VLOOKUP($A447,Leveranser_per_nät,'Leveranser per nät'!K$1,FALSE)
               +Andel_beroende_av_klimat*VLOOKUP($A447,Leveranser_per_nät,'Leveranser per nät'!K$1,FALSE)/VLOOKUP($B447,Korrigeringsfaktor_GD,'Korrigeringsfaktor GD'!K$1,FALSE),
"")</f>
        <v>6.8603762886597934</v>
      </c>
      <c r="L447" s="18">
        <f>IFERROR(
                  Andel_oberoende_av_klimat*VLOOKUP($A447,Leveranser_per_nät,'Leveranser per nät'!L$1,FALSE)
               +Andel_beroende_av_klimat*VLOOKUP($A447,Leveranser_per_nät,'Leveranser per nät'!L$1,FALSE)/VLOOKUP($B447,Korrigeringsfaktor_GD,'Korrigeringsfaktor GD'!L$1,FALSE),
"")</f>
        <v>6.3892680851063828</v>
      </c>
      <c r="M447" s="18">
        <f>IFERROR(
                  Andel_oberoende_av_klimat*VLOOKUP($A447,Leveranser_per_nät,'Leveranser per nät'!M$1,FALSE)
               +Andel_beroende_av_klimat*VLOOKUP($A447,Leveranser_per_nät,'Leveranser per nät'!M$1,FALSE)/VLOOKUP($B447,Korrigeringsfaktor_GD,'Korrigeringsfaktor GD'!M$1,FALSE),
"")</f>
        <v>6.5814893617021273</v>
      </c>
      <c r="N447" s="18">
        <f>IFERROR(
                  Andel_oberoende_av_klimat*VLOOKUP($A447,Leveranser_per_nät,'Leveranser per nät'!N$1,FALSE)
               +Andel_beroende_av_klimat*VLOOKUP($A447,Leveranser_per_nät,'Leveranser per nät'!N$1,FALSE)/VLOOKUP($B447,Korrigeringsfaktor_GD,'Korrigeringsfaktor GD'!N$1,FALSE),
"")</f>
        <v>6.7291052631578951</v>
      </c>
      <c r="O447" s="18">
        <f>IFERROR(
                  Andel_oberoende_av_klimat*VLOOKUP($A447,Leveranser_per_nät,'Leveranser per nät'!O$1,FALSE)
               +Andel_beroende_av_klimat*VLOOKUP($A447,Leveranser_per_nät,'Leveranser per nät'!O$1,FALSE)/VLOOKUP($B447,Korrigeringsfaktor_GD,'Korrigeringsfaktor GD'!O$1,FALSE),
"")</f>
        <v>6.8848958762886596</v>
      </c>
      <c r="P447" s="18">
        <f>IFERROR(
                  Andel_oberoende_av_klimat*VLOOKUP($A447,Leveranser_per_nät,'Leveranser per nät'!P$1,FALSE)
               +Andel_beroende_av_klimat*VLOOKUP($A447,Leveranser_per_nät,'Leveranser per nät'!P$1,FALSE)/VLOOKUP($B447,Korrigeringsfaktor_GD,'Korrigeringsfaktor GD'!P$1,FALSE),
"")</f>
        <v>6.368962886597938</v>
      </c>
      <c r="Q447" s="18">
        <f>IFERROR(
                  Andel_oberoende_av_klimat*VLOOKUP($A447,Leveranser_per_nät,'Leveranser per nät'!Q$1,FALSE)
               +Andel_beroende_av_klimat*VLOOKUP($A447,Leveranser_per_nät,'Leveranser per nät'!Q$1,FALSE)/VLOOKUP($B447,Korrigeringsfaktor_GD,'Korrigeringsfaktor GD'!Q$1,FALSE),
"")</f>
        <v>6.3596999999999992</v>
      </c>
      <c r="R447" s="18">
        <f>IFERROR(
                  Andel_oberoende_av_klimat*VLOOKUP($A447,Leveranser_per_nät,'Leveranser per nät'!R$1,FALSE)
               +Andel_beroende_av_klimat*VLOOKUP($A447,Leveranser_per_nät,'Leveranser per nät'!R$1,FALSE)/VLOOKUP($B447,Korrigeringsfaktor_GD,'Korrigeringsfaktor GD'!R$1,FALSE),
"")</f>
        <v>6.635877777777778</v>
      </c>
      <c r="S447" s="18">
        <f>IFERROR(
                  Andel_oberoende_av_klimat*VLOOKUP($A447,Leveranser_per_nät,'Leveranser per nät'!S$1,FALSE)
               +Andel_beroende_av_klimat*VLOOKUP($A447,Leveranser_per_nät,'Leveranser per nät'!S$1,FALSE)/VLOOKUP($B447,Korrigeringsfaktor_GD,'Korrigeringsfaktor GD'!S$1,FALSE),
"")</f>
        <v>6.4948252427184467</v>
      </c>
      <c r="T447" s="18">
        <f>IFERROR(
                  Andel_oberoende_av_klimat*VLOOKUP($A447,Leveranser_per_nät,'Leveranser per nät'!T$1,FALSE)
               +Andel_beroende_av_klimat*VLOOKUP($A447,Leveranser_per_nät,'Leveranser per nät'!T$1,FALSE)/VLOOKUP($B447,Korrigeringsfaktor_GD,'Korrigeringsfaktor GD'!T$1,FALSE),
"")</f>
        <v>6.154015053763441</v>
      </c>
      <c r="U447" s="18">
        <f>IFERROR(
                  Andel_oberoende_av_klimat*VLOOKUP($A447,Leveranser_per_nät,'Leveranser per nät'!U$1,FALSE)
               +Andel_beroende_av_klimat*VLOOKUP($A447,Leveranser_per_nät,'Leveranser per nät'!U$1,FALSE)/VLOOKUP($B447,Korrigeringsfaktor_GD,'Korrigeringsfaktor GD'!U$1,FALSE),
"")</f>
        <v>6.0675063829787232</v>
      </c>
      <c r="V447" s="18">
        <f>IFERROR(
                  Andel_oberoende_av_klimat*VLOOKUP($A447,Leveranser_per_nät,'Leveranser per nät'!V$1,FALSE)
               +Andel_beroende_av_klimat*VLOOKUP($A447,Leveranser_per_nät,'Leveranser per nät'!V$1,FALSE)/VLOOKUP($B447,Korrigeringsfaktor_GD,'Korrigeringsfaktor GD'!V$1,FALSE),
"")</f>
        <v>5.7439076923076922</v>
      </c>
      <c r="W447" s="18">
        <f>IFERROR(
                  Andel_oberoende_av_klimat*VLOOKUP($A447,Leveranser_per_nät,'Leveranser per nät'!W$1,FALSE)
               +Andel_beroende_av_klimat*VLOOKUP($A447,Leveranser_per_nät,'Leveranser per nät'!W$1,FALSE)/VLOOKUP($B447,Korrigeringsfaktor_GD,'Korrigeringsfaktor GD'!W$1,FALSE),
"")</f>
        <v>5.7203075268817205</v>
      </c>
      <c r="X447" s="18">
        <f>IFERROR(
                  Andel_oberoende_av_klimat*VLOOKUP($A447,Leveranser_per_nät,'Leveranser per nät'!X$1,FALSE)
               +Andel_beroende_av_klimat*VLOOKUP($A447,Leveranser_per_nät,'Leveranser per nät'!X$1,FALSE)/VLOOKUP($B447,Korrigeringsfaktor_GD,'Korrigeringsfaktor GD'!X$1,FALSE),
"")</f>
        <v>5.6161624999999997</v>
      </c>
      <c r="Y447" s="18">
        <f>IFERROR(
                  Andel_oberoende_av_klimat*VLOOKUP($A447,Leveranser_per_nät,'Leveranser per nät'!Y$1,FALSE)
               +Andel_beroende_av_klimat*VLOOKUP($A447,Leveranser_per_nät,'Leveranser per nät'!Y$1,FALSE)/VLOOKUP($B447,Korrigeringsfaktor_GD,'Korrigeringsfaktor GD'!Y$1,FALSE),
"")</f>
        <v>6.0142276595744679</v>
      </c>
      <c r="Z447" s="18">
        <f>IFERROR(
                  Andel_oberoende_av_klimat*VLOOKUP($A447,Leveranser_per_nät,'Leveranser per nät'!Z$1,FALSE)
               +Andel_beroende_av_klimat*VLOOKUP($A447,Leveranser_per_nät,'Leveranser per nät'!Z$1,FALSE)/VLOOKUP($B447,Korrigeringsfaktor_GD,'Korrigeringsfaktor GD'!Z$1,FALSE),
"")</f>
        <v>6.1163375000000002</v>
      </c>
      <c r="AA447" s="18">
        <f>IFERROR(
                  Andel_oberoende_av_klimat*VLOOKUP($A447,Leveranser_per_nät,'Leveranser per nät'!AA$1,FALSE)
               +Andel_beroende_av_klimat*VLOOKUP($A447,Leveranser_per_nät,'Leveranser per nät'!AA$1,FALSE)/VLOOKUP($B447,Korrigeringsfaktor_GD,'Korrigeringsfaktor GD'!AA$1,FALSE),
"")</f>
        <v>5.0639713969448756</v>
      </c>
      <c r="AB447" s="18">
        <f>IFERROR(
                  Andel_oberoende_av_klimat*VLOOKUP($A447,Leveranser_per_nät,'Leveranser per nät'!AB$1,FALSE)
               +Andel_beroende_av_klimat*VLOOKUP($A447,Leveranser_per_nät,'Leveranser per nät'!AB$1,FALSE)/VLOOKUP($B447,Korrigeringsfaktor_GD,'Korrigeringsfaktor GD'!AB$1,FALSE),
"")</f>
        <v>5.8070000000000004</v>
      </c>
      <c r="AC447" s="18">
        <f>IFERROR(
                  Andel_oberoende_av_klimat*VLOOKUP($A447,Leveranser_per_nät,'Leveranser per nät'!AC$1,FALSE)
               +Andel_beroende_av_klimat*VLOOKUP($A447,Leveranser_per_nät,'Leveranser per nät'!AC$1,FALSE)/VLOOKUP($B447,Korrigeringsfaktor_GD,'Korrigeringsfaktor GD'!AC$1,FALSE),
"")</f>
        <v>0</v>
      </c>
      <c r="AD447" t="e">
        <v>#N/A</v>
      </c>
    </row>
    <row r="448" spans="1:30" x14ac:dyDescent="0.25">
      <c r="A448" t="s">
        <v>248</v>
      </c>
      <c r="B448" t="s">
        <v>248</v>
      </c>
      <c r="C448" s="18">
        <f>IFERROR(
                  Andel_oberoende_av_klimat*VLOOKUP($A448,Leveranser_per_nät,'Leveranser per nät'!C$1,FALSE)
               +Andel_beroende_av_klimat*VLOOKUP($A448,Leveranser_per_nät,'Leveranser per nät'!C$1,FALSE)/VLOOKUP("Herrljunga",Korrigeringsfaktor_GD,'Korrigeringsfaktor GD'!C$1,FALSE),
"")</f>
        <v>0</v>
      </c>
      <c r="D448" s="18">
        <f>IFERROR(
                  Andel_oberoende_av_klimat*VLOOKUP($A448,Leveranser_per_nät,'Leveranser per nät'!D$1,FALSE)
               +Andel_beroende_av_klimat*VLOOKUP($A448,Leveranser_per_nät,'Leveranser per nät'!D$1,FALSE)/VLOOKUP("Herrljunga",Korrigeringsfaktor_GD,'Korrigeringsfaktor GD'!D$1,FALSE),
"")</f>
        <v>0</v>
      </c>
      <c r="E448" s="18">
        <f>IFERROR(
                  Andel_oberoende_av_klimat*VLOOKUP($A448,Leveranser_per_nät,'Leveranser per nät'!E$1,FALSE)
               +Andel_beroende_av_klimat*VLOOKUP($A448,Leveranser_per_nät,'Leveranser per nät'!E$1,FALSE)/VLOOKUP("Herrljunga",Korrigeringsfaktor_GD,'Korrigeringsfaktor GD'!E$1,FALSE),
"")</f>
        <v>0</v>
      </c>
      <c r="F448" s="18">
        <f>IFERROR(
                  Andel_oberoende_av_klimat*VLOOKUP($A448,Leveranser_per_nät,'Leveranser per nät'!F$1,FALSE)
               +Andel_beroende_av_klimat*VLOOKUP($A448,Leveranser_per_nät,'Leveranser per nät'!F$1,FALSE)/VLOOKUP("Herrljunga",Korrigeringsfaktor_GD,'Korrigeringsfaktor GD'!F$1,FALSE),
"")</f>
        <v>0</v>
      </c>
      <c r="G448" s="18">
        <f>IFERROR(
                  Andel_oberoende_av_klimat*VLOOKUP($A448,Leveranser_per_nät,'Leveranser per nät'!G$1,FALSE)
               +Andel_beroende_av_klimat*VLOOKUP($A448,Leveranser_per_nät,'Leveranser per nät'!G$1,FALSE)/VLOOKUP("Herrljunga",Korrigeringsfaktor_GD,'Korrigeringsfaktor GD'!G$1,FALSE),
"")</f>
        <v>0</v>
      </c>
      <c r="H448" s="18">
        <f>IFERROR(
                  Andel_oberoende_av_klimat*VLOOKUP($A448,Leveranser_per_nät,'Leveranser per nät'!H$1,FALSE)
               +Andel_beroende_av_klimat*VLOOKUP($A448,Leveranser_per_nät,'Leveranser per nät'!H$1,FALSE)/VLOOKUP("Herrljunga",Korrigeringsfaktor_GD,'Korrigeringsfaktor GD'!H$1,FALSE),
"")</f>
        <v>0</v>
      </c>
      <c r="I448" s="18">
        <f>IFERROR(
                  Andel_oberoende_av_klimat*VLOOKUP($A448,Leveranser_per_nät,'Leveranser per nät'!I$1,FALSE)
               +Andel_beroende_av_klimat*VLOOKUP($A448,Leveranser_per_nät,'Leveranser per nät'!I$1,FALSE)/VLOOKUP("Herrljunga",Korrigeringsfaktor_GD,'Korrigeringsfaktor GD'!I$1,FALSE),
"")</f>
        <v>0</v>
      </c>
      <c r="J448" s="18">
        <f>IFERROR(
                  Andel_oberoende_av_klimat*VLOOKUP($A448,Leveranser_per_nät,'Leveranser per nät'!J$1,FALSE)
               +Andel_beroende_av_klimat*VLOOKUP($A448,Leveranser_per_nät,'Leveranser per nät'!J$1,FALSE)/VLOOKUP("Herrljunga",Korrigeringsfaktor_GD,'Korrigeringsfaktor GD'!J$1,FALSE),
"")</f>
        <v>0</v>
      </c>
      <c r="K448" s="18">
        <f>IFERROR(
                  Andel_oberoende_av_klimat*VLOOKUP($A448,Leveranser_per_nät,'Leveranser per nät'!K$1,FALSE)
               +Andel_beroende_av_klimat*VLOOKUP($A448,Leveranser_per_nät,'Leveranser per nät'!K$1,FALSE)/VLOOKUP("Herrljunga",Korrigeringsfaktor_GD,'Korrigeringsfaktor GD'!K$1,FALSE),
"")</f>
        <v>15.112857142857143</v>
      </c>
      <c r="L448" s="18">
        <f>IFERROR(
                  Andel_oberoende_av_klimat*VLOOKUP($A448,Leveranser_per_nät,'Leveranser per nät'!L$1,FALSE)
               +Andel_beroende_av_klimat*VLOOKUP($A448,Leveranser_per_nät,'Leveranser per nät'!L$1,FALSE)/VLOOKUP("Herrljunga",Korrigeringsfaktor_GD,'Korrigeringsfaktor GD'!L$1,FALSE),
"")</f>
        <v>17.44540416666667</v>
      </c>
      <c r="M448" s="18">
        <f>IFERROR(
                  Andel_oberoende_av_klimat*VLOOKUP($A448,Leveranser_per_nät,'Leveranser per nät'!M$1,FALSE)
               +Andel_beroende_av_klimat*VLOOKUP($A448,Leveranser_per_nät,'Leveranser per nät'!M$1,FALSE)/VLOOKUP("Herrljunga",Korrigeringsfaktor_GD,'Korrigeringsfaktor GD'!M$1,FALSE),
"")</f>
        <v>17.70838510638298</v>
      </c>
      <c r="N448" s="18">
        <f>IFERROR(
                  Andel_oberoende_av_klimat*VLOOKUP($A448,Leveranser_per_nät,'Leveranser per nät'!N$1,FALSE)
               +Andel_beroende_av_klimat*VLOOKUP($A448,Leveranser_per_nät,'Leveranser per nät'!N$1,FALSE)/VLOOKUP("Herrljunga",Korrigeringsfaktor_GD,'Korrigeringsfaktor GD'!N$1,FALSE),
"")</f>
        <v>15.439692307692306</v>
      </c>
      <c r="O448" s="18">
        <f>IFERROR(
                  Andel_oberoende_av_klimat*VLOOKUP($A448,Leveranser_per_nät,'Leveranser per nät'!O$1,FALSE)
               +Andel_beroende_av_klimat*VLOOKUP($A448,Leveranser_per_nät,'Leveranser per nät'!O$1,FALSE)/VLOOKUP("Herrljunga",Korrigeringsfaktor_GD,'Korrigeringsfaktor GD'!O$1,FALSE),
"")</f>
        <v>16.200077777777778</v>
      </c>
      <c r="P448" s="18">
        <f>IFERROR(
                  Andel_oberoende_av_klimat*VLOOKUP($A448,Leveranser_per_nät,'Leveranser per nät'!P$1,FALSE)
               +Andel_beroende_av_klimat*VLOOKUP($A448,Leveranser_per_nät,'Leveranser per nät'!P$1,FALSE)/VLOOKUP("Herrljunga",Korrigeringsfaktor_GD,'Korrigeringsfaktor GD'!P$1,FALSE),
"")</f>
        <v>0</v>
      </c>
      <c r="Q448" s="18">
        <f>IFERROR(
                  Andel_oberoende_av_klimat*VLOOKUP($A448,Leveranser_per_nät,'Leveranser per nät'!Q$1,FALSE)
               +Andel_beroende_av_klimat*VLOOKUP($A448,Leveranser_per_nät,'Leveranser per nät'!Q$1,FALSE)/VLOOKUP("Herrljunga",Korrigeringsfaktor_GD,'Korrigeringsfaktor GD'!Q$1,FALSE),
"")</f>
        <v>0</v>
      </c>
      <c r="R448" s="18">
        <f>IFERROR(
                  Andel_oberoende_av_klimat*VLOOKUP($A448,Leveranser_per_nät,'Leveranser per nät'!R$1,FALSE)
               +Andel_beroende_av_klimat*VLOOKUP($A448,Leveranser_per_nät,'Leveranser per nät'!R$1,FALSE)/VLOOKUP("Herrljunga",Korrigeringsfaktor_GD,'Korrigeringsfaktor GD'!R$1,FALSE),
"")</f>
        <v>0</v>
      </c>
      <c r="S448" s="18">
        <f>IFERROR(
                  Andel_oberoende_av_klimat*VLOOKUP($A448,Leveranser_per_nät,'Leveranser per nät'!S$1,FALSE)
               +Andel_beroende_av_klimat*VLOOKUP($A448,Leveranser_per_nät,'Leveranser per nät'!S$1,FALSE)/VLOOKUP("Herrljunga",Korrigeringsfaktor_GD,'Korrigeringsfaktor GD'!S$1,FALSE),
"")</f>
        <v>0</v>
      </c>
      <c r="T448" s="18">
        <f>IFERROR(
                  Andel_oberoende_av_klimat*VLOOKUP($A448,Leveranser_per_nät,'Leveranser per nät'!T$1,FALSE)
               +Andel_beroende_av_klimat*VLOOKUP($A448,Leveranser_per_nät,'Leveranser per nät'!T$1,FALSE)/VLOOKUP("Herrljunga",Korrigeringsfaktor_GD,'Korrigeringsfaktor GD'!T$1,FALSE),
"")</f>
        <v>17.952857142857141</v>
      </c>
      <c r="U448" s="18">
        <f>IFERROR(
                  Andel_oberoende_av_klimat*VLOOKUP($A448,Leveranser_per_nät,'Leveranser per nät'!U$1,FALSE)
               +Andel_beroende_av_klimat*VLOOKUP($A448,Leveranser_per_nät,'Leveranser per nät'!U$1,FALSE)/VLOOKUP("Herrljunga",Korrigeringsfaktor_GD,'Korrigeringsfaktor GD'!U$1,FALSE),
"")</f>
        <v>17.864117647058823</v>
      </c>
      <c r="V448" s="18">
        <f>IFERROR(
                  Andel_oberoende_av_klimat*VLOOKUP($A448,Leveranser_per_nät,'Leveranser per nät'!V$1,FALSE)
               +Andel_beroende_av_klimat*VLOOKUP($A448,Leveranser_per_nät,'Leveranser per nät'!V$1,FALSE)/VLOOKUP("Herrljunga",Korrigeringsfaktor_GD,'Korrigeringsfaktor GD'!V$1,FALSE),
"")</f>
        <v>18.645555555555553</v>
      </c>
      <c r="W448" s="18">
        <f>IFERROR(
                  Andel_oberoende_av_klimat*VLOOKUP($A448,Leveranser_per_nät,'Leveranser per nät'!W$1,FALSE)
               +Andel_beroende_av_klimat*VLOOKUP($A448,Leveranser_per_nät,'Leveranser per nät'!W$1,FALSE)/VLOOKUP("Herrljunga",Korrigeringsfaktor_GD,'Korrigeringsfaktor GD'!W$1,FALSE),
"")</f>
        <v>18.97421052631579</v>
      </c>
      <c r="X448" s="18">
        <f>IFERROR(
                  Andel_oberoende_av_klimat*VLOOKUP($A448,Leveranser_per_nät,'Leveranser per nät'!X$1,FALSE)
               +Andel_beroende_av_klimat*VLOOKUP($A448,Leveranser_per_nät,'Leveranser per nät'!X$1,FALSE)/VLOOKUP("Herrljunga",Korrigeringsfaktor_GD,'Korrigeringsfaktor GD'!X$1,FALSE),
"")</f>
        <v>17.968510638297872</v>
      </c>
      <c r="Y448" s="18">
        <f>IFERROR(
                  Andel_oberoende_av_klimat*VLOOKUP($A448,Leveranser_per_nät,'Leveranser per nät'!Y$1,FALSE)
               +Andel_beroende_av_klimat*VLOOKUP($A448,Leveranser_per_nät,'Leveranser per nät'!Y$1,FALSE)/VLOOKUP($B448,Korrigeringsfaktor_GD,'Korrigeringsfaktor GD'!Y$1,FALSE),
"")</f>
        <v>18.671304347826087</v>
      </c>
      <c r="Z448" s="18">
        <f>IFERROR(
                  Andel_oberoende_av_klimat*VLOOKUP($A448,Leveranser_per_nät,'Leveranser per nät'!Z$1,FALSE)
               +Andel_beroende_av_klimat*VLOOKUP($A448,Leveranser_per_nät,'Leveranser per nät'!Z$1,FALSE)/VLOOKUP($B448,Korrigeringsfaktor_GD,'Korrigeringsfaktor GD'!Z$1,FALSE),
"")</f>
        <v>20.435057471264368</v>
      </c>
      <c r="AA448" s="18">
        <f>IFERROR(
                  Andel_oberoende_av_klimat*VLOOKUP($A448,Leveranser_per_nät,'Leveranser per nät'!AA$1,FALSE)
               +Andel_beroende_av_klimat*VLOOKUP($A448,Leveranser_per_nät,'Leveranser per nät'!AA$1,FALSE)/VLOOKUP($B448,Korrigeringsfaktor_GD,'Korrigeringsfaktor GD'!AA$1,FALSE),
"")</f>
        <v>39.821353803210052</v>
      </c>
      <c r="AB448" s="18">
        <f>IFERROR(
                  Andel_oberoende_av_klimat*VLOOKUP($A448,Leveranser_per_nät,'Leveranser per nät'!AB$1,FALSE)
               +Andel_beroende_av_klimat*VLOOKUP($A448,Leveranser_per_nät,'Leveranser per nät'!AB$1,FALSE)/VLOOKUP($B448,Korrigeringsfaktor_GD,'Korrigeringsfaktor GD'!AB$1,FALSE),
"")</f>
        <v>37.312087286527515</v>
      </c>
      <c r="AC448" s="18">
        <f>IFERROR(
                  Andel_oberoende_av_klimat*VLOOKUP($A448,Leveranser_per_nät,'Leveranser per nät'!AC$1,FALSE)
               +Andel_beroende_av_klimat*VLOOKUP($A448,Leveranser_per_nät,'Leveranser per nät'!AC$1,FALSE)/VLOOKUP($B448,Korrigeringsfaktor_GD,'Korrigeringsfaktor GD'!AC$1,FALSE),
"")</f>
        <v>37.08587628865979</v>
      </c>
      <c r="AD448">
        <v>36.299999999999997</v>
      </c>
    </row>
    <row r="449" spans="1:30" x14ac:dyDescent="0.25">
      <c r="A449" t="s">
        <v>338</v>
      </c>
      <c r="B449" t="s">
        <v>338</v>
      </c>
      <c r="C449" s="18">
        <f>IFERROR(
                  Andel_oberoende_av_klimat*VLOOKUP($A449,Leveranser_per_nät,'Leveranser per nät'!C$1,FALSE)
               +Andel_beroende_av_klimat*VLOOKUP($A449,Leveranser_per_nät,'Leveranser per nät'!C$1,FALSE)/VLOOKUP($B449,Korrigeringsfaktor_GD,'Korrigeringsfaktor GD'!C$1,FALSE),
"")</f>
        <v>125.96725663716815</v>
      </c>
      <c r="D449" s="18">
        <f>IFERROR(
                  Andel_oberoende_av_klimat*VLOOKUP($A449,Leveranser_per_nät,'Leveranser per nät'!D$1,FALSE)
               +Andel_beroende_av_klimat*VLOOKUP($A449,Leveranser_per_nät,'Leveranser per nät'!D$1,FALSE)/VLOOKUP($B449,Korrigeringsfaktor_GD,'Korrigeringsfaktor GD'!D$1,FALSE),
"")</f>
        <v>138.09960606060605</v>
      </c>
      <c r="E449" s="18">
        <f>IFERROR(
                  Andel_oberoende_av_klimat*VLOOKUP($A449,Leveranser_per_nät,'Leveranser per nät'!E$1,FALSE)
               +Andel_beroende_av_klimat*VLOOKUP($A449,Leveranser_per_nät,'Leveranser per nät'!E$1,FALSE)/VLOOKUP($B449,Korrigeringsfaktor_GD,'Korrigeringsfaktor GD'!E$1,FALSE),
"")</f>
        <v>133.97034587458745</v>
      </c>
      <c r="F449" s="18">
        <f>IFERROR(
                  Andel_oberoende_av_klimat*VLOOKUP($A449,Leveranser_per_nät,'Leveranser per nät'!F$1,FALSE)
               +Andel_beroende_av_klimat*VLOOKUP($A449,Leveranser_per_nät,'Leveranser per nät'!F$1,FALSE)/VLOOKUP($B449,Korrigeringsfaktor_GD,'Korrigeringsfaktor GD'!F$1,FALSE),
"")</f>
        <v>137.56890175438599</v>
      </c>
      <c r="G449" s="18">
        <f>IFERROR(
                  Andel_oberoende_av_klimat*VLOOKUP($A449,Leveranser_per_nät,'Leveranser per nät'!G$1,FALSE)
               +Andel_beroende_av_klimat*VLOOKUP($A449,Leveranser_per_nät,'Leveranser per nät'!G$1,FALSE)/VLOOKUP($B449,Korrigeringsfaktor_GD,'Korrigeringsfaktor GD'!G$1,FALSE),
"")</f>
        <v>144.10139770114941</v>
      </c>
      <c r="H449" s="18">
        <f>IFERROR(
                  Andel_oberoende_av_klimat*VLOOKUP($A449,Leveranser_per_nät,'Leveranser per nät'!H$1,FALSE)
               +Andel_beroende_av_klimat*VLOOKUP($A449,Leveranser_per_nät,'Leveranser per nät'!H$1,FALSE)/VLOOKUP($B449,Korrigeringsfaktor_GD,'Korrigeringsfaktor GD'!H$1,FALSE),
"")</f>
        <v>150.72011485148514</v>
      </c>
      <c r="I449" s="18">
        <f>IFERROR(
                  Andel_oberoende_av_klimat*VLOOKUP($A449,Leveranser_per_nät,'Leveranser per nät'!I$1,FALSE)
               +Andel_beroende_av_klimat*VLOOKUP($A449,Leveranser_per_nät,'Leveranser per nät'!I$1,FALSE)/VLOOKUP($B449,Korrigeringsfaktor_GD,'Korrigeringsfaktor GD'!I$1,FALSE),
"")</f>
        <v>152.99745789473684</v>
      </c>
      <c r="J449" s="18">
        <f>IFERROR(
                  Andel_oberoende_av_klimat*VLOOKUP($A449,Leveranser_per_nät,'Leveranser per nät'!J$1,FALSE)
               +Andel_beroende_av_klimat*VLOOKUP($A449,Leveranser_per_nät,'Leveranser per nät'!J$1,FALSE)/VLOOKUP($B449,Korrigeringsfaktor_GD,'Korrigeringsfaktor GD'!J$1,FALSE),
"")</f>
        <v>149.0077</v>
      </c>
      <c r="K449" s="18">
        <f>IFERROR(
                  Andel_oberoende_av_klimat*VLOOKUP($A449,Leveranser_per_nät,'Leveranser per nät'!K$1,FALSE)
               +Andel_beroende_av_klimat*VLOOKUP($A449,Leveranser_per_nät,'Leveranser per nät'!K$1,FALSE)/VLOOKUP($B449,Korrigeringsfaktor_GD,'Korrigeringsfaktor GD'!K$1,FALSE),
"")</f>
        <v>152.81935154639174</v>
      </c>
      <c r="L449" s="18">
        <f>IFERROR(
                  Andel_oberoende_av_klimat*VLOOKUP($A449,Leveranser_per_nät,'Leveranser per nät'!L$1,FALSE)
               +Andel_beroende_av_klimat*VLOOKUP($A449,Leveranser_per_nät,'Leveranser per nät'!L$1,FALSE)/VLOOKUP($B449,Korrigeringsfaktor_GD,'Korrigeringsfaktor GD'!L$1,FALSE),
"")</f>
        <v>115.49131151611918</v>
      </c>
      <c r="M449" s="18">
        <f>IFERROR(
                  Andel_oberoende_av_klimat*VLOOKUP($A449,Leveranser_per_nät,'Leveranser per nät'!M$1,FALSE)
               +Andel_beroende_av_klimat*VLOOKUP($A449,Leveranser_per_nät,'Leveranser per nät'!M$1,FALSE)/VLOOKUP($B449,Korrigeringsfaktor_GD,'Korrigeringsfaktor GD'!M$1,FALSE),
"")</f>
        <v>168.64275053763441</v>
      </c>
      <c r="N449" s="18">
        <f>IFERROR(
                  Andel_oberoende_av_klimat*VLOOKUP($A449,Leveranser_per_nät,'Leveranser per nät'!N$1,FALSE)
               +Andel_beroende_av_klimat*VLOOKUP($A449,Leveranser_per_nät,'Leveranser per nät'!N$1,FALSE)/VLOOKUP($B449,Korrigeringsfaktor_GD,'Korrigeringsfaktor GD'!N$1,FALSE),
"")</f>
        <v>150.01307692307694</v>
      </c>
      <c r="O449" s="18">
        <f>IFERROR(
                  Andel_oberoende_av_klimat*VLOOKUP($A449,Leveranser_per_nät,'Leveranser per nät'!O$1,FALSE)
               +Andel_beroende_av_klimat*VLOOKUP($A449,Leveranser_per_nät,'Leveranser per nät'!O$1,FALSE)/VLOOKUP($B449,Korrigeringsfaktor_GD,'Korrigeringsfaktor GD'!O$1,FALSE),
"")</f>
        <v>148.62555555555556</v>
      </c>
      <c r="P449" s="18">
        <f>IFERROR(
                  Andel_oberoende_av_klimat*VLOOKUP($A449,Leveranser_per_nät,'Leveranser per nät'!P$1,FALSE)
               +Andel_beroende_av_klimat*VLOOKUP($A449,Leveranser_per_nät,'Leveranser per nät'!P$1,FALSE)/VLOOKUP($B449,Korrigeringsfaktor_GD,'Korrigeringsfaktor GD'!P$1,FALSE),
"")</f>
        <v>152.24428571428572</v>
      </c>
      <c r="Q449" s="18">
        <f>IFERROR(
                  Andel_oberoende_av_klimat*VLOOKUP($A449,Leveranser_per_nät,'Leveranser per nät'!Q$1,FALSE)
               +Andel_beroende_av_klimat*VLOOKUP($A449,Leveranser_per_nät,'Leveranser per nät'!Q$1,FALSE)/VLOOKUP($B449,Korrigeringsfaktor_GD,'Korrigeringsfaktor GD'!Q$1,FALSE),
"")</f>
        <v>156.70247058823529</v>
      </c>
      <c r="R449" s="18">
        <f>IFERROR(
                  Andel_oberoende_av_klimat*VLOOKUP($A449,Leveranser_per_nät,'Leveranser per nät'!R$1,FALSE)
               +Andel_beroende_av_klimat*VLOOKUP($A449,Leveranser_per_nät,'Leveranser per nät'!R$1,FALSE)/VLOOKUP($B449,Korrigeringsfaktor_GD,'Korrigeringsfaktor GD'!R$1,FALSE),
"")</f>
        <v>169.2292923076923</v>
      </c>
      <c r="S449" s="18">
        <f>IFERROR(
                  Andel_oberoende_av_klimat*VLOOKUP($A449,Leveranser_per_nät,'Leveranser per nät'!S$1,FALSE)
               +Andel_beroende_av_klimat*VLOOKUP($A449,Leveranser_per_nät,'Leveranser per nät'!S$1,FALSE)/VLOOKUP($B449,Korrigeringsfaktor_GD,'Korrigeringsfaktor GD'!S$1,FALSE),
"")</f>
        <v>145</v>
      </c>
      <c r="T449" s="18">
        <f>IFERROR(
                  Andel_oberoende_av_klimat*VLOOKUP($A449,Leveranser_per_nät,'Leveranser per nät'!T$1,FALSE)
               +Andel_beroende_av_klimat*VLOOKUP($A449,Leveranser_per_nät,'Leveranser per nät'!T$1,FALSE)/VLOOKUP($B449,Korrigeringsfaktor_GD,'Korrigeringsfaktor GD'!T$1,FALSE),
"")</f>
        <v>142.96357142857141</v>
      </c>
      <c r="U449" s="18">
        <f>IFERROR(
                  Andel_oberoende_av_klimat*VLOOKUP($A449,Leveranser_per_nät,'Leveranser per nät'!U$1,FALSE)
               +Andel_beroende_av_klimat*VLOOKUP($A449,Leveranser_per_nät,'Leveranser per nät'!U$1,FALSE)/VLOOKUP($B449,Korrigeringsfaktor_GD,'Korrigeringsfaktor GD'!U$1,FALSE),
"")</f>
        <v>142.23882352941177</v>
      </c>
      <c r="V449" s="18">
        <f>IFERROR(
                  Andel_oberoende_av_klimat*VLOOKUP($A449,Leveranser_per_nät,'Leveranser per nät'!V$1,FALSE)
               +Andel_beroende_av_klimat*VLOOKUP($A449,Leveranser_per_nät,'Leveranser per nät'!V$1,FALSE)/VLOOKUP($B449,Korrigeringsfaktor_GD,'Korrigeringsfaktor GD'!V$1,FALSE),
"")</f>
        <v>143.26632183908046</v>
      </c>
      <c r="W449" s="18">
        <f>IFERROR(
                  Andel_oberoende_av_klimat*VLOOKUP($A449,Leveranser_per_nät,'Leveranser per nät'!W$1,FALSE)
               +Andel_beroende_av_klimat*VLOOKUP($A449,Leveranser_per_nät,'Leveranser per nät'!W$1,FALSE)/VLOOKUP($B449,Korrigeringsfaktor_GD,'Korrigeringsfaktor GD'!W$1,FALSE),
"")</f>
        <v>139.43008695652176</v>
      </c>
      <c r="X449" s="18">
        <f>IFERROR(
                  Andel_oberoende_av_klimat*VLOOKUP($A449,Leveranser_per_nät,'Leveranser per nät'!X$1,FALSE)
               +Andel_beroende_av_klimat*VLOOKUP($A449,Leveranser_per_nät,'Leveranser per nät'!X$1,FALSE)/VLOOKUP($B449,Korrigeringsfaktor_GD,'Korrigeringsfaktor GD'!X$1,FALSE),
"")</f>
        <v>144.96111111111111</v>
      </c>
      <c r="Y449" s="18">
        <f>IFERROR(
                  Andel_oberoende_av_klimat*VLOOKUP($A449,Leveranser_per_nät,'Leveranser per nät'!Y$1,FALSE)
               +Andel_beroende_av_klimat*VLOOKUP($A449,Leveranser_per_nät,'Leveranser per nät'!Y$1,FALSE)/VLOOKUP($B449,Korrigeringsfaktor_GD,'Korrigeringsfaktor GD'!Y$1,FALSE),
"")</f>
        <v>146.24366666666666</v>
      </c>
      <c r="Z449" s="18">
        <f>IFERROR(
                  Andel_oberoende_av_klimat*VLOOKUP($A449,Leveranser_per_nät,'Leveranser per nät'!Z$1,FALSE)
               +Andel_beroende_av_klimat*VLOOKUP($A449,Leveranser_per_nät,'Leveranser per nät'!Z$1,FALSE)/VLOOKUP($B449,Korrigeringsfaktor_GD,'Korrigeringsfaktor GD'!Z$1,FALSE),
"")</f>
        <v>138.93691538461536</v>
      </c>
      <c r="AA449" s="18">
        <f>IFERROR(
                  Andel_oberoende_av_klimat*VLOOKUP($A449,Leveranser_per_nät,'Leveranser per nät'!AA$1,FALSE)
               +Andel_beroende_av_klimat*VLOOKUP($A449,Leveranser_per_nät,'Leveranser per nät'!AA$1,FALSE)/VLOOKUP($B449,Korrigeringsfaktor_GD,'Korrigeringsfaktor GD'!AA$1,FALSE),
"")</f>
        <v>202.79951111111112</v>
      </c>
      <c r="AB449" s="18">
        <f>IFERROR(
                  Andel_oberoende_av_klimat*VLOOKUP($A449,Leveranser_per_nät,'Leveranser per nät'!AB$1,FALSE)
               +Andel_beroende_av_klimat*VLOOKUP($A449,Leveranser_per_nät,'Leveranser per nät'!AB$1,FALSE)/VLOOKUP($B449,Korrigeringsfaktor_GD,'Korrigeringsfaktor GD'!AB$1,FALSE),
"")</f>
        <v>86.75388142292492</v>
      </c>
      <c r="AC449" s="18">
        <f>IFERROR(
                  Andel_oberoende_av_klimat*VLOOKUP($A449,Leveranser_per_nät,'Leveranser per nät'!AC$1,FALSE)
               +Andel_beroende_av_klimat*VLOOKUP($A449,Leveranser_per_nät,'Leveranser per nät'!AC$1,FALSE)/VLOOKUP($B449,Korrigeringsfaktor_GD,'Korrigeringsfaktor GD'!AC$1,FALSE),
"")</f>
        <v>132.13364812834223</v>
      </c>
      <c r="AD449">
        <v>209.041</v>
      </c>
    </row>
    <row r="450" spans="1:30" x14ac:dyDescent="0.25">
      <c r="A450" t="s">
        <v>435</v>
      </c>
      <c r="B450" t="s">
        <v>335</v>
      </c>
      <c r="C450" s="18">
        <f>IFERROR(
                  Andel_oberoende_av_klimat*VLOOKUP($A450,Leveranser_per_nät,'Leveranser per nät'!C$1,FALSE)
               +Andel_beroende_av_klimat*VLOOKUP($A450,Leveranser_per_nät,'Leveranser per nät'!C$1,FALSE)/VLOOKUP($B450,Korrigeringsfaktor_GD,'Korrigeringsfaktor GD'!C$1,FALSE),
"")</f>
        <v>0</v>
      </c>
      <c r="D450" s="18">
        <f>IFERROR(
                  Andel_oberoende_av_klimat*VLOOKUP($A450,Leveranser_per_nät,'Leveranser per nät'!D$1,FALSE)
               +Andel_beroende_av_klimat*VLOOKUP($A450,Leveranser_per_nät,'Leveranser per nät'!D$1,FALSE)/VLOOKUP($B450,Korrigeringsfaktor_GD,'Korrigeringsfaktor GD'!D$1,FALSE),
"")</f>
        <v>0</v>
      </c>
      <c r="E450" s="18">
        <f>IFERROR(
                  Andel_oberoende_av_klimat*VLOOKUP($A450,Leveranser_per_nät,'Leveranser per nät'!E$1,FALSE)
               +Andel_beroende_av_klimat*VLOOKUP($A450,Leveranser_per_nät,'Leveranser per nät'!E$1,FALSE)/VLOOKUP($B450,Korrigeringsfaktor_GD,'Korrigeringsfaktor GD'!E$1,FALSE),
"")</f>
        <v>0</v>
      </c>
      <c r="F450" s="18">
        <f>IFERROR(
                  Andel_oberoende_av_klimat*VLOOKUP($A450,Leveranser_per_nät,'Leveranser per nät'!F$1,FALSE)
               +Andel_beroende_av_klimat*VLOOKUP($A450,Leveranser_per_nät,'Leveranser per nät'!F$1,FALSE)/VLOOKUP($B450,Korrigeringsfaktor_GD,'Korrigeringsfaktor GD'!F$1,FALSE),
"")</f>
        <v>0</v>
      </c>
      <c r="G450" s="18">
        <f>IFERROR(
                  Andel_oberoende_av_klimat*VLOOKUP($A450,Leveranser_per_nät,'Leveranser per nät'!G$1,FALSE)
               +Andel_beroende_av_klimat*VLOOKUP($A450,Leveranser_per_nät,'Leveranser per nät'!G$1,FALSE)/VLOOKUP($B450,Korrigeringsfaktor_GD,'Korrigeringsfaktor GD'!G$1,FALSE),
"")</f>
        <v>0</v>
      </c>
      <c r="H450" s="18">
        <f>IFERROR(
                  Andel_oberoende_av_klimat*VLOOKUP($A450,Leveranser_per_nät,'Leveranser per nät'!H$1,FALSE)
               +Andel_beroende_av_klimat*VLOOKUP($A450,Leveranser_per_nät,'Leveranser per nät'!H$1,FALSE)/VLOOKUP($B450,Korrigeringsfaktor_GD,'Korrigeringsfaktor GD'!H$1,FALSE),
"")</f>
        <v>0</v>
      </c>
      <c r="I450" s="18">
        <f>IFERROR(
                  Andel_oberoende_av_klimat*VLOOKUP($A450,Leveranser_per_nät,'Leveranser per nät'!I$1,FALSE)
               +Andel_beroende_av_klimat*VLOOKUP($A450,Leveranser_per_nät,'Leveranser per nät'!I$1,FALSE)/VLOOKUP($B450,Korrigeringsfaktor_GD,'Korrigeringsfaktor GD'!I$1,FALSE),
"")</f>
        <v>0</v>
      </c>
      <c r="J450" s="18">
        <f>IFERROR(
                  Andel_oberoende_av_klimat*VLOOKUP($A450,Leveranser_per_nät,'Leveranser per nät'!J$1,FALSE)
               +Andel_beroende_av_klimat*VLOOKUP($A450,Leveranser_per_nät,'Leveranser per nät'!J$1,FALSE)/VLOOKUP($B450,Korrigeringsfaktor_GD,'Korrigeringsfaktor GD'!J$1,FALSE),
"")</f>
        <v>0</v>
      </c>
      <c r="K450" s="18">
        <f>IFERROR(
                  Andel_oberoende_av_klimat*VLOOKUP($A450,Leveranser_per_nät,'Leveranser per nät'!K$1,FALSE)
               +Andel_beroende_av_klimat*VLOOKUP($A450,Leveranser_per_nät,'Leveranser per nät'!K$1,FALSE)/VLOOKUP($B450,Korrigeringsfaktor_GD,'Korrigeringsfaktor GD'!K$1,FALSE),
"")</f>
        <v>0</v>
      </c>
      <c r="L450" s="18">
        <f>IFERROR(
                  Andel_oberoende_av_klimat*VLOOKUP($A450,Leveranser_per_nät,'Leveranser per nät'!L$1,FALSE)
               +Andel_beroende_av_klimat*VLOOKUP($A450,Leveranser_per_nät,'Leveranser per nät'!L$1,FALSE)/VLOOKUP($B450,Korrigeringsfaktor_GD,'Korrigeringsfaktor GD'!L$1,FALSE),
"")</f>
        <v>2.1462270372911352</v>
      </c>
      <c r="M450" s="18">
        <f>IFERROR(
                  Andel_oberoende_av_klimat*VLOOKUP($A450,Leveranser_per_nät,'Leveranser per nät'!M$1,FALSE)
               +Andel_beroende_av_klimat*VLOOKUP($A450,Leveranser_per_nät,'Leveranser per nät'!M$1,FALSE)/VLOOKUP($B450,Korrigeringsfaktor_GD,'Korrigeringsfaktor GD'!M$1,FALSE),
"")</f>
        <v>3.3629565217391302</v>
      </c>
      <c r="N450" s="18">
        <f>IFERROR(
                  Andel_oberoende_av_klimat*VLOOKUP($A450,Leveranser_per_nät,'Leveranser per nät'!N$1,FALSE)
               +Andel_beroende_av_klimat*VLOOKUP($A450,Leveranser_per_nät,'Leveranser per nät'!N$1,FALSE)/VLOOKUP($B450,Korrigeringsfaktor_GD,'Korrigeringsfaktor GD'!N$1,FALSE),
"")</f>
        <v>2.3339130434782609</v>
      </c>
      <c r="O450" s="18">
        <f>IFERROR(
                  Andel_oberoende_av_klimat*VLOOKUP($A450,Leveranser_per_nät,'Leveranser per nät'!O$1,FALSE)
               +Andel_beroende_av_klimat*VLOOKUP($A450,Leveranser_per_nät,'Leveranser per nät'!O$1,FALSE)/VLOOKUP($B450,Korrigeringsfaktor_GD,'Korrigeringsfaktor GD'!O$1,FALSE),
"")</f>
        <v>2.3903370786516858</v>
      </c>
      <c r="P450" s="18">
        <f>IFERROR(
                  Andel_oberoende_av_klimat*VLOOKUP($A450,Leveranser_per_nät,'Leveranser per nät'!P$1,FALSE)
               +Andel_beroende_av_klimat*VLOOKUP($A450,Leveranser_per_nät,'Leveranser per nät'!P$1,FALSE)/VLOOKUP($B450,Korrigeringsfaktor_GD,'Korrigeringsfaktor GD'!P$1,FALSE),
"")</f>
        <v>2.1965463917525776</v>
      </c>
      <c r="Q450" s="18">
        <f>IFERROR(
                  Andel_oberoende_av_klimat*VLOOKUP($A450,Leveranser_per_nät,'Leveranser per nät'!Q$1,FALSE)
               +Andel_beroende_av_klimat*VLOOKUP($A450,Leveranser_per_nät,'Leveranser per nät'!Q$1,FALSE)/VLOOKUP($B450,Korrigeringsfaktor_GD,'Korrigeringsfaktor GD'!Q$1,FALSE),
"")</f>
        <v>1.8972413793103451</v>
      </c>
      <c r="R450" s="18">
        <f>IFERROR(
                  Andel_oberoende_av_klimat*VLOOKUP($A450,Leveranser_per_nät,'Leveranser per nät'!R$1,FALSE)
               +Andel_beroende_av_klimat*VLOOKUP($A450,Leveranser_per_nät,'Leveranser per nät'!R$1,FALSE)/VLOOKUP($B450,Korrigeringsfaktor_GD,'Korrigeringsfaktor GD'!R$1,FALSE),
"")</f>
        <v>2.3711111111111114</v>
      </c>
      <c r="S450" s="18">
        <f>IFERROR(
                  Andel_oberoende_av_klimat*VLOOKUP($A450,Leveranser_per_nät,'Leveranser per nät'!S$1,FALSE)
               +Andel_beroende_av_klimat*VLOOKUP($A450,Leveranser_per_nät,'Leveranser per nät'!S$1,FALSE)/VLOOKUP($B450,Korrigeringsfaktor_GD,'Korrigeringsfaktor GD'!S$1,FALSE),
"")</f>
        <v>2.2000000000000002</v>
      </c>
      <c r="T450" s="18">
        <f>IFERROR(
                  Andel_oberoende_av_klimat*VLOOKUP($A450,Leveranser_per_nät,'Leveranser per nät'!T$1,FALSE)
               +Andel_beroende_av_klimat*VLOOKUP($A450,Leveranser_per_nät,'Leveranser per nät'!T$1,FALSE)/VLOOKUP($B450,Korrigeringsfaktor_GD,'Korrigeringsfaktor GD'!T$1,FALSE),
"")</f>
        <v>2.384736842105263</v>
      </c>
      <c r="U450" s="18">
        <f>IFERROR(
                  Andel_oberoende_av_klimat*VLOOKUP($A450,Leveranser_per_nät,'Leveranser per nät'!U$1,FALSE)
               +Andel_beroende_av_klimat*VLOOKUP($A450,Leveranser_per_nät,'Leveranser per nät'!U$1,FALSE)/VLOOKUP($B450,Korrigeringsfaktor_GD,'Korrigeringsfaktor GD'!U$1,FALSE),
"")</f>
        <v>2.3794719101123594</v>
      </c>
      <c r="V450" s="18">
        <f>IFERROR(
                  Andel_oberoende_av_klimat*VLOOKUP($A450,Leveranser_per_nät,'Leveranser per nät'!V$1,FALSE)
               +Andel_beroende_av_klimat*VLOOKUP($A450,Leveranser_per_nät,'Leveranser per nät'!V$1,FALSE)/VLOOKUP($B450,Korrigeringsfaktor_GD,'Korrigeringsfaktor GD'!V$1,FALSE),
"")</f>
        <v>2.3664337078651685</v>
      </c>
      <c r="W450" s="18">
        <f>IFERROR(
                  Andel_oberoende_av_klimat*VLOOKUP($A450,Leveranser_per_nät,'Leveranser per nät'!W$1,FALSE)
               +Andel_beroende_av_klimat*VLOOKUP($A450,Leveranser_per_nät,'Leveranser per nät'!W$1,FALSE)/VLOOKUP($B450,Korrigeringsfaktor_GD,'Korrigeringsfaktor GD'!W$1,FALSE),
"")</f>
        <v>2.5117139784946234</v>
      </c>
      <c r="X450" s="18">
        <f>IFERROR(
                  Andel_oberoende_av_klimat*VLOOKUP($A450,Leveranser_per_nät,'Leveranser per nät'!X$1,FALSE)
               +Andel_beroende_av_klimat*VLOOKUP($A450,Leveranser_per_nät,'Leveranser per nät'!X$1,FALSE)/VLOOKUP($B450,Korrigeringsfaktor_GD,'Korrigeringsfaktor GD'!X$1,FALSE),
"")</f>
        <v>2.4027659574468085</v>
      </c>
      <c r="Y450" s="18">
        <f>IFERROR(
                  Andel_oberoende_av_klimat*VLOOKUP($A450,Leveranser_per_nät,'Leveranser per nät'!Y$1,FALSE)
               +Andel_beroende_av_klimat*VLOOKUP($A450,Leveranser_per_nät,'Leveranser per nät'!Y$1,FALSE)/VLOOKUP($B450,Korrigeringsfaktor_GD,'Korrigeringsfaktor GD'!Y$1,FALSE),
"")</f>
        <v>2.44</v>
      </c>
      <c r="Z450" s="18">
        <f>IFERROR(
                  Andel_oberoende_av_klimat*VLOOKUP($A450,Leveranser_per_nät,'Leveranser per nät'!Z$1,FALSE)
               +Andel_beroende_av_klimat*VLOOKUP($A450,Leveranser_per_nät,'Leveranser per nät'!Z$1,FALSE)/VLOOKUP($B450,Korrigeringsfaktor_GD,'Korrigeringsfaktor GD'!Z$1,FALSE),
"")</f>
        <v>2.6290909090909089</v>
      </c>
      <c r="AA450" s="18">
        <f>IFERROR(
                  Andel_oberoende_av_klimat*VLOOKUP($A450,Leveranser_per_nät,'Leveranser per nät'!AA$1,FALSE)
               +Andel_beroende_av_klimat*VLOOKUP($A450,Leveranser_per_nät,'Leveranser per nät'!AA$1,FALSE)/VLOOKUP($B450,Korrigeringsfaktor_GD,'Korrigeringsfaktor GD'!AA$1,FALSE),
"")</f>
        <v>2.7741168788769177</v>
      </c>
      <c r="AB450" s="18">
        <f>IFERROR(
                  Andel_oberoende_av_klimat*VLOOKUP($A450,Leveranser_per_nät,'Leveranser per nät'!AB$1,FALSE)
               +Andel_beroende_av_klimat*VLOOKUP($A450,Leveranser_per_nät,'Leveranser per nät'!AB$1,FALSE)/VLOOKUP($B450,Korrigeringsfaktor_GD,'Korrigeringsfaktor GD'!AB$1,FALSE),
"")</f>
        <v>0</v>
      </c>
      <c r="AC450" s="18">
        <f>IFERROR(
                  Andel_oberoende_av_klimat*VLOOKUP($A450,Leveranser_per_nät,'Leveranser per nät'!AC$1,FALSE)
               +Andel_beroende_av_klimat*VLOOKUP($A450,Leveranser_per_nät,'Leveranser per nät'!AC$1,FALSE)/VLOOKUP($B450,Korrigeringsfaktor_GD,'Korrigeringsfaktor GD'!AC$1,FALSE),
"")</f>
        <v>0</v>
      </c>
      <c r="AD450">
        <v>1157.2149999999999</v>
      </c>
    </row>
    <row r="451" spans="1:30" x14ac:dyDescent="0.25">
      <c r="A451" t="s">
        <v>50</v>
      </c>
      <c r="B451" t="s">
        <v>50</v>
      </c>
      <c r="C451" s="18">
        <f>IFERROR(
                  Andel_oberoende_av_klimat*VLOOKUP($A451,Leveranser_per_nät,'Leveranser per nät'!C$1,FALSE)
               +Andel_beroende_av_klimat*VLOOKUP($A451,Leveranser_per_nät,'Leveranser per nät'!C$1,FALSE)/VLOOKUP($B451,Korrigeringsfaktor_GD,'Korrigeringsfaktor GD'!C$1,FALSE),
"")</f>
        <v>30.367961165048545</v>
      </c>
      <c r="D451" s="18">
        <f>IFERROR(
                  Andel_oberoende_av_klimat*VLOOKUP($A451,Leveranser_per_nät,'Leveranser per nät'!D$1,FALSE)
               +Andel_beroende_av_klimat*VLOOKUP($A451,Leveranser_per_nät,'Leveranser per nät'!D$1,FALSE)/VLOOKUP($B451,Korrigeringsfaktor_GD,'Korrigeringsfaktor GD'!D$1,FALSE),
"")</f>
        <v>29.570736842105262</v>
      </c>
      <c r="E451" s="18">
        <f>IFERROR(
                  Andel_oberoende_av_klimat*VLOOKUP($A451,Leveranser_per_nät,'Leveranser per nät'!E$1,FALSE)
               +Andel_beroende_av_klimat*VLOOKUP($A451,Leveranser_per_nät,'Leveranser per nät'!E$1,FALSE)/VLOOKUP($B451,Korrigeringsfaktor_GD,'Korrigeringsfaktor GD'!E$1,FALSE),
"")</f>
        <v>29.588235294117645</v>
      </c>
      <c r="F451" s="18">
        <f>IFERROR(
                  Andel_oberoende_av_klimat*VLOOKUP($A451,Leveranser_per_nät,'Leveranser per nät'!F$1,FALSE)
               +Andel_beroende_av_klimat*VLOOKUP($A451,Leveranser_per_nät,'Leveranser per nät'!F$1,FALSE)/VLOOKUP($B451,Korrigeringsfaktor_GD,'Korrigeringsfaktor GD'!F$1,FALSE),
"")</f>
        <v>34.240404040404037</v>
      </c>
      <c r="G451" s="18">
        <f>IFERROR(
                  Andel_oberoende_av_klimat*VLOOKUP($A451,Leveranser_per_nät,'Leveranser per nät'!G$1,FALSE)
               +Andel_beroende_av_klimat*VLOOKUP($A451,Leveranser_per_nät,'Leveranser per nät'!G$1,FALSE)/VLOOKUP($B451,Korrigeringsfaktor_GD,'Korrigeringsfaktor GD'!G$1,FALSE),
"")</f>
        <v>33.146153846153844</v>
      </c>
      <c r="H451" s="18">
        <f>IFERROR(
                  Andel_oberoende_av_klimat*VLOOKUP($A451,Leveranser_per_nät,'Leveranser per nät'!H$1,FALSE)
               +Andel_beroende_av_klimat*VLOOKUP($A451,Leveranser_per_nät,'Leveranser per nät'!H$1,FALSE)/VLOOKUP($B451,Korrigeringsfaktor_GD,'Korrigeringsfaktor GD'!H$1,FALSE),
"")</f>
        <v>35</v>
      </c>
      <c r="I451" s="18">
        <f>IFERROR(
                  Andel_oberoende_av_klimat*VLOOKUP($A451,Leveranser_per_nät,'Leveranser per nät'!I$1,FALSE)
               +Andel_beroende_av_klimat*VLOOKUP($A451,Leveranser_per_nät,'Leveranser per nät'!I$1,FALSE)/VLOOKUP($B451,Korrigeringsfaktor_GD,'Korrigeringsfaktor GD'!I$1,FALSE),
"")</f>
        <v>39.108333333333334</v>
      </c>
      <c r="J451" s="18">
        <f>IFERROR(
                  Andel_oberoende_av_klimat*VLOOKUP($A451,Leveranser_per_nät,'Leveranser per nät'!J$1,FALSE)
               +Andel_beroende_av_klimat*VLOOKUP($A451,Leveranser_per_nät,'Leveranser per nät'!J$1,FALSE)/VLOOKUP($B451,Korrigeringsfaktor_GD,'Korrigeringsfaktor GD'!J$1,FALSE),
"")</f>
        <v>39.844329896907219</v>
      </c>
      <c r="K451" s="18">
        <f>IFERROR(
                  Andel_oberoende_av_klimat*VLOOKUP($A451,Leveranser_per_nät,'Leveranser per nät'!K$1,FALSE)
               +Andel_beroende_av_klimat*VLOOKUP($A451,Leveranser_per_nät,'Leveranser per nät'!K$1,FALSE)/VLOOKUP($B451,Korrigeringsfaktor_GD,'Korrigeringsfaktor GD'!K$1,FALSE),
"")</f>
        <v>38.384392783505156</v>
      </c>
      <c r="L451" s="18">
        <f>IFERROR(
                  Andel_oberoende_av_klimat*VLOOKUP($A451,Leveranser_per_nät,'Leveranser per nät'!L$1,FALSE)
               +Andel_beroende_av_klimat*VLOOKUP($A451,Leveranser_per_nät,'Leveranser per nät'!L$1,FALSE)/VLOOKUP($B451,Korrigeringsfaktor_GD,'Korrigeringsfaktor GD'!L$1,FALSE),
"")</f>
        <v>48.63380426852234</v>
      </c>
      <c r="M451" s="18">
        <f>IFERROR(
                  Andel_oberoende_av_klimat*VLOOKUP($A451,Leveranser_per_nät,'Leveranser per nät'!M$1,FALSE)
               +Andel_beroende_av_klimat*VLOOKUP($A451,Leveranser_per_nät,'Leveranser per nät'!M$1,FALSE)/VLOOKUP($B451,Korrigeringsfaktor_GD,'Korrigeringsfaktor GD'!M$1,FALSE),
"")</f>
        <v>35.07076923076923</v>
      </c>
      <c r="N451" s="18">
        <f>IFERROR(
                  Andel_oberoende_av_klimat*VLOOKUP($A451,Leveranser_per_nät,'Leveranser per nät'!N$1,FALSE)
               +Andel_beroende_av_klimat*VLOOKUP($A451,Leveranser_per_nät,'Leveranser per nät'!N$1,FALSE)/VLOOKUP($B451,Korrigeringsfaktor_GD,'Korrigeringsfaktor GD'!N$1,FALSE),
"")</f>
        <v>32.001720430107525</v>
      </c>
      <c r="O451" s="18">
        <f>IFERROR(
                  Andel_oberoende_av_klimat*VLOOKUP($A451,Leveranser_per_nät,'Leveranser per nät'!O$1,FALSE)
               +Andel_beroende_av_klimat*VLOOKUP($A451,Leveranser_per_nät,'Leveranser per nät'!O$1,FALSE)/VLOOKUP($B451,Korrigeringsfaktor_GD,'Korrigeringsfaktor GD'!O$1,FALSE),
"")</f>
        <v>41.373913043478261</v>
      </c>
      <c r="P451" s="18">
        <f>IFERROR(
                  Andel_oberoende_av_klimat*VLOOKUP($A451,Leveranser_per_nät,'Leveranser per nät'!P$1,FALSE)
               +Andel_beroende_av_klimat*VLOOKUP($A451,Leveranser_per_nät,'Leveranser per nät'!P$1,FALSE)/VLOOKUP($B451,Korrigeringsfaktor_GD,'Korrigeringsfaktor GD'!P$1,FALSE),
"")</f>
        <v>42.6</v>
      </c>
      <c r="Q451" s="18">
        <f>IFERROR(
                  Andel_oberoende_av_klimat*VLOOKUP($A451,Leveranser_per_nät,'Leveranser per nät'!Q$1,FALSE)
               +Andel_beroende_av_klimat*VLOOKUP($A451,Leveranser_per_nät,'Leveranser per nät'!Q$1,FALSE)/VLOOKUP($B451,Korrigeringsfaktor_GD,'Korrigeringsfaktor GD'!Q$1,FALSE),
"")</f>
        <v>40.919090909090912</v>
      </c>
      <c r="R451" s="18">
        <f>IFERROR(
                  Andel_oberoende_av_klimat*VLOOKUP($A451,Leveranser_per_nät,'Leveranser per nät'!R$1,FALSE)
               +Andel_beroende_av_klimat*VLOOKUP($A451,Leveranser_per_nät,'Leveranser per nät'!R$1,FALSE)/VLOOKUP($B451,Korrigeringsfaktor_GD,'Korrigeringsfaktor GD'!R$1,FALSE),
"")</f>
        <v>39.668730337078649</v>
      </c>
      <c r="S451" s="18">
        <f>IFERROR(
                  Andel_oberoende_av_klimat*VLOOKUP($A451,Leveranser_per_nät,'Leveranser per nät'!S$1,FALSE)
               +Andel_beroende_av_klimat*VLOOKUP($A451,Leveranser_per_nät,'Leveranser per nät'!S$1,FALSE)/VLOOKUP($B451,Korrigeringsfaktor_GD,'Korrigeringsfaktor GD'!S$1,FALSE),
"")</f>
        <v>40.282828282828284</v>
      </c>
      <c r="T451" s="18">
        <f>IFERROR(
                  Andel_oberoende_av_klimat*VLOOKUP($A451,Leveranser_per_nät,'Leveranser per nät'!T$1,FALSE)
               +Andel_beroende_av_klimat*VLOOKUP($A451,Leveranser_per_nät,'Leveranser per nät'!T$1,FALSE)/VLOOKUP($B451,Korrigeringsfaktor_GD,'Korrigeringsfaktor GD'!T$1,FALSE),
"")</f>
        <v>46.572173913043478</v>
      </c>
      <c r="U451" s="18">
        <f>IFERROR(
                  Andel_oberoende_av_klimat*VLOOKUP($A451,Leveranser_per_nät,'Leveranser per nät'!U$1,FALSE)
               +Andel_beroende_av_klimat*VLOOKUP($A451,Leveranser_per_nät,'Leveranser per nät'!U$1,FALSE)/VLOOKUP($B451,Korrigeringsfaktor_GD,'Korrigeringsfaktor GD'!U$1,FALSE),
"")</f>
        <v>47.049772727272732</v>
      </c>
      <c r="V451" s="18">
        <f>IFERROR(
                  Andel_oberoende_av_klimat*VLOOKUP($A451,Leveranser_per_nät,'Leveranser per nät'!V$1,FALSE)
               +Andel_beroende_av_klimat*VLOOKUP($A451,Leveranser_per_nät,'Leveranser per nät'!V$1,FALSE)/VLOOKUP($B451,Korrigeringsfaktor_GD,'Korrigeringsfaktor GD'!V$1,FALSE),
"")</f>
        <v>46.786046511627909</v>
      </c>
      <c r="W451" s="18">
        <f>IFERROR(
                  Andel_oberoende_av_klimat*VLOOKUP($A451,Leveranser_per_nät,'Leveranser per nät'!W$1,FALSE)
               +Andel_beroende_av_klimat*VLOOKUP($A451,Leveranser_per_nät,'Leveranser per nät'!W$1,FALSE)/VLOOKUP($B451,Korrigeringsfaktor_GD,'Korrigeringsfaktor GD'!W$1,FALSE),
"")</f>
        <v>45.757021276595744</v>
      </c>
      <c r="X451" s="18">
        <f>IFERROR(
                  Andel_oberoende_av_klimat*VLOOKUP($A451,Leveranser_per_nät,'Leveranser per nät'!X$1,FALSE)
               +Andel_beroende_av_klimat*VLOOKUP($A451,Leveranser_per_nät,'Leveranser per nät'!X$1,FALSE)/VLOOKUP($B451,Korrigeringsfaktor_GD,'Korrigeringsfaktor GD'!X$1,FALSE),
"")</f>
        <v>44.151250000000005</v>
      </c>
      <c r="Y451" s="18">
        <f>IFERROR(
                  Andel_oberoende_av_klimat*VLOOKUP($A451,Leveranser_per_nät,'Leveranser per nät'!Y$1,FALSE)
               +Andel_beroende_av_klimat*VLOOKUP($A451,Leveranser_per_nät,'Leveranser per nät'!Y$1,FALSE)/VLOOKUP($B451,Korrigeringsfaktor_GD,'Korrigeringsfaktor GD'!Y$1,FALSE),
"")</f>
        <v>44.19</v>
      </c>
      <c r="Z451" s="18">
        <f>IFERROR(
                  Andel_oberoende_av_klimat*VLOOKUP($A451,Leveranser_per_nät,'Leveranser per nät'!Z$1,FALSE)
               +Andel_beroende_av_klimat*VLOOKUP($A451,Leveranser_per_nät,'Leveranser per nät'!Z$1,FALSE)/VLOOKUP($B451,Korrigeringsfaktor_GD,'Korrigeringsfaktor GD'!Z$1,FALSE),
"")</f>
        <v>42</v>
      </c>
      <c r="AA451" s="18">
        <f>IFERROR(
                  Andel_oberoende_av_klimat*VLOOKUP($A451,Leveranser_per_nät,'Leveranser per nät'!AA$1,FALSE)
               +Andel_beroende_av_klimat*VLOOKUP($A451,Leveranser_per_nät,'Leveranser per nät'!AA$1,FALSE)/VLOOKUP($B451,Korrigeringsfaktor_GD,'Korrigeringsfaktor GD'!AA$1,FALSE),
"")</f>
        <v>36.52538150289017</v>
      </c>
      <c r="AB451" s="18">
        <f>IFERROR(
                  Andel_oberoende_av_klimat*VLOOKUP($A451,Leveranser_per_nät,'Leveranser per nät'!AB$1,FALSE)
               +Andel_beroende_av_klimat*VLOOKUP($A451,Leveranser_per_nät,'Leveranser per nät'!AB$1,FALSE)/VLOOKUP($B451,Korrigeringsfaktor_GD,'Korrigeringsfaktor GD'!AB$1,FALSE),
"")</f>
        <v>37.560494531250001</v>
      </c>
      <c r="AC451" s="18">
        <f>IFERROR(
                  Andel_oberoende_av_klimat*VLOOKUP($A451,Leveranser_per_nät,'Leveranser per nät'!AC$1,FALSE)
               +Andel_beroende_av_klimat*VLOOKUP($A451,Leveranser_per_nät,'Leveranser per nät'!AC$1,FALSE)/VLOOKUP($B451,Korrigeringsfaktor_GD,'Korrigeringsfaktor GD'!AC$1,FALSE),
"")</f>
        <v>35.926669438669435</v>
      </c>
      <c r="AD451">
        <v>34.96</v>
      </c>
    </row>
    <row r="452" spans="1:30" x14ac:dyDescent="0.25">
      <c r="A452" t="s">
        <v>380</v>
      </c>
      <c r="B452" t="s">
        <v>50</v>
      </c>
      <c r="C452" s="18">
        <f>IFERROR(
                  Andel_oberoende_av_klimat*VLOOKUP($A452,Leveranser_per_nät,'Leveranser per nät'!C$1,FALSE)
               +Andel_beroende_av_klimat*VLOOKUP($A452,Leveranser_per_nät,'Leveranser per nät'!C$1,FALSE)/VLOOKUP($B452,Korrigeringsfaktor_GD,'Korrigeringsfaktor GD'!C$1,FALSE),
"")</f>
        <v>0</v>
      </c>
      <c r="D452" s="18">
        <f>IFERROR(
                  Andel_oberoende_av_klimat*VLOOKUP($A452,Leveranser_per_nät,'Leveranser per nät'!D$1,FALSE)
               +Andel_beroende_av_klimat*VLOOKUP($A452,Leveranser_per_nät,'Leveranser per nät'!D$1,FALSE)/VLOOKUP($B452,Korrigeringsfaktor_GD,'Korrigeringsfaktor GD'!D$1,FALSE),
"")</f>
        <v>0</v>
      </c>
      <c r="E452" s="18">
        <f>IFERROR(
                  Andel_oberoende_av_klimat*VLOOKUP($A452,Leveranser_per_nät,'Leveranser per nät'!E$1,FALSE)
               +Andel_beroende_av_klimat*VLOOKUP($A452,Leveranser_per_nät,'Leveranser per nät'!E$1,FALSE)/VLOOKUP($B452,Korrigeringsfaktor_GD,'Korrigeringsfaktor GD'!E$1,FALSE),
"")</f>
        <v>0</v>
      </c>
      <c r="F452" s="18">
        <f>IFERROR(
                  Andel_oberoende_av_klimat*VLOOKUP($A452,Leveranser_per_nät,'Leveranser per nät'!F$1,FALSE)
               +Andel_beroende_av_klimat*VLOOKUP($A452,Leveranser_per_nät,'Leveranser per nät'!F$1,FALSE)/VLOOKUP($B452,Korrigeringsfaktor_GD,'Korrigeringsfaktor GD'!F$1,FALSE),
"")</f>
        <v>0</v>
      </c>
      <c r="G452" s="18">
        <f>IFERROR(
                  Andel_oberoende_av_klimat*VLOOKUP($A452,Leveranser_per_nät,'Leveranser per nät'!G$1,FALSE)
               +Andel_beroende_av_klimat*VLOOKUP($A452,Leveranser_per_nät,'Leveranser per nät'!G$1,FALSE)/VLOOKUP($B452,Korrigeringsfaktor_GD,'Korrigeringsfaktor GD'!G$1,FALSE),
"")</f>
        <v>0</v>
      </c>
      <c r="H452" s="18">
        <f>IFERROR(
                  Andel_oberoende_av_klimat*VLOOKUP($A452,Leveranser_per_nät,'Leveranser per nät'!H$1,FALSE)
               +Andel_beroende_av_klimat*VLOOKUP($A452,Leveranser_per_nät,'Leveranser per nät'!H$1,FALSE)/VLOOKUP($B452,Korrigeringsfaktor_GD,'Korrigeringsfaktor GD'!H$1,FALSE),
"")</f>
        <v>0</v>
      </c>
      <c r="I452" s="18">
        <f>IFERROR(
                  Andel_oberoende_av_klimat*VLOOKUP($A452,Leveranser_per_nät,'Leveranser per nät'!I$1,FALSE)
               +Andel_beroende_av_klimat*VLOOKUP($A452,Leveranser_per_nät,'Leveranser per nät'!I$1,FALSE)/VLOOKUP($B452,Korrigeringsfaktor_GD,'Korrigeringsfaktor GD'!I$1,FALSE),
"")</f>
        <v>0</v>
      </c>
      <c r="J452" s="18">
        <f>IFERROR(
                  Andel_oberoende_av_klimat*VLOOKUP($A452,Leveranser_per_nät,'Leveranser per nät'!J$1,FALSE)
               +Andel_beroende_av_klimat*VLOOKUP($A452,Leveranser_per_nät,'Leveranser per nät'!J$1,FALSE)/VLOOKUP($B452,Korrigeringsfaktor_GD,'Korrigeringsfaktor GD'!J$1,FALSE),
"")</f>
        <v>0</v>
      </c>
      <c r="K452" s="18">
        <f>IFERROR(
                  Andel_oberoende_av_klimat*VLOOKUP($A452,Leveranser_per_nät,'Leveranser per nät'!K$1,FALSE)
               +Andel_beroende_av_klimat*VLOOKUP($A452,Leveranser_per_nät,'Leveranser per nät'!K$1,FALSE)/VLOOKUP($B452,Korrigeringsfaktor_GD,'Korrigeringsfaktor GD'!K$1,FALSE),
"")</f>
        <v>0</v>
      </c>
      <c r="L452" s="18">
        <f>IFERROR(
                  Andel_oberoende_av_klimat*VLOOKUP($A452,Leveranser_per_nät,'Leveranser per nät'!L$1,FALSE)
               +Andel_beroende_av_klimat*VLOOKUP($A452,Leveranser_per_nät,'Leveranser per nät'!L$1,FALSE)/VLOOKUP($B452,Korrigeringsfaktor_GD,'Korrigeringsfaktor GD'!L$1,FALSE),
"")</f>
        <v>0</v>
      </c>
      <c r="M452" s="18">
        <f>IFERROR(
                  Andel_oberoende_av_klimat*VLOOKUP($A452,Leveranser_per_nät,'Leveranser per nät'!M$1,FALSE)
               +Andel_beroende_av_klimat*VLOOKUP($A452,Leveranser_per_nät,'Leveranser per nät'!M$1,FALSE)/VLOOKUP($B452,Korrigeringsfaktor_GD,'Korrigeringsfaktor GD'!M$1,FALSE),
"")</f>
        <v>3.3680769230769227</v>
      </c>
      <c r="N452" s="18">
        <f>IFERROR(
                  Andel_oberoende_av_klimat*VLOOKUP($A452,Leveranser_per_nät,'Leveranser per nät'!N$1,FALSE)
               +Andel_beroende_av_klimat*VLOOKUP($A452,Leveranser_per_nät,'Leveranser per nät'!N$1,FALSE)/VLOOKUP($B452,Korrigeringsfaktor_GD,'Korrigeringsfaktor GD'!N$1,FALSE),
"")</f>
        <v>2.9475268817204299</v>
      </c>
      <c r="O452" s="18">
        <f>IFERROR(
                  Andel_oberoende_av_klimat*VLOOKUP($A452,Leveranser_per_nät,'Leveranser per nät'!O$1,FALSE)
               +Andel_beroende_av_klimat*VLOOKUP($A452,Leveranser_per_nät,'Leveranser per nät'!O$1,FALSE)/VLOOKUP($B452,Korrigeringsfaktor_GD,'Korrigeringsfaktor GD'!O$1,FALSE),
"")</f>
        <v>4.6678260869565218</v>
      </c>
      <c r="P452" s="18">
        <f>IFERROR(
                  Andel_oberoende_av_klimat*VLOOKUP($A452,Leveranser_per_nät,'Leveranser per nät'!P$1,FALSE)
               +Andel_beroende_av_klimat*VLOOKUP($A452,Leveranser_per_nät,'Leveranser per nät'!P$1,FALSE)/VLOOKUP($B452,Korrigeringsfaktor_GD,'Korrigeringsfaktor GD'!P$1,FALSE),
"")</f>
        <v>4.9446428571428571</v>
      </c>
      <c r="Q452" s="18">
        <f>IFERROR(
                  Andel_oberoende_av_klimat*VLOOKUP($A452,Leveranser_per_nät,'Leveranser per nät'!Q$1,FALSE)
               +Andel_beroende_av_klimat*VLOOKUP($A452,Leveranser_per_nät,'Leveranser per nät'!Q$1,FALSE)/VLOOKUP($B452,Korrigeringsfaktor_GD,'Korrigeringsfaktor GD'!Q$1,FALSE),
"")</f>
        <v>5.0095454545454539</v>
      </c>
      <c r="R452" s="18">
        <f>IFERROR(
                  Andel_oberoende_av_klimat*VLOOKUP($A452,Leveranser_per_nät,'Leveranser per nät'!R$1,FALSE)
               +Andel_beroende_av_klimat*VLOOKUP($A452,Leveranser_per_nät,'Leveranser per nät'!R$1,FALSE)/VLOOKUP($B452,Korrigeringsfaktor_GD,'Korrigeringsfaktor GD'!R$1,FALSE),
"")</f>
        <v>4.7915393258426962</v>
      </c>
      <c r="S452" s="18" t="str">
        <f>IFERROR(
                  Andel_oberoende_av_klimat*VLOOKUP($A452,Leveranser_per_nät,'Leveranser per nät'!S$1,FALSE)
               +Andel_beroende_av_klimat*VLOOKUP($A452,Leveranser_per_nät,'Leveranser per nät'!S$1,FALSE)/VLOOKUP($B452,Korrigeringsfaktor_GD,'Korrigeringsfaktor GD'!S$1,FALSE),
"")</f>
        <v/>
      </c>
      <c r="T452" s="18" t="str">
        <f>IFERROR(
                  Andel_oberoende_av_klimat*VLOOKUP($A452,Leveranser_per_nät,'Leveranser per nät'!T$1,FALSE)
               +Andel_beroende_av_klimat*VLOOKUP($A452,Leveranser_per_nät,'Leveranser per nät'!T$1,FALSE)/VLOOKUP($B452,Korrigeringsfaktor_GD,'Korrigeringsfaktor GD'!T$1,FALSE),
"")</f>
        <v/>
      </c>
      <c r="U452" s="18" t="str">
        <f>IFERROR(
                  Andel_oberoende_av_klimat*VLOOKUP($A452,Leveranser_per_nät,'Leveranser per nät'!U$1,FALSE)
               +Andel_beroende_av_klimat*VLOOKUP($A452,Leveranser_per_nät,'Leveranser per nät'!U$1,FALSE)/VLOOKUP($B452,Korrigeringsfaktor_GD,'Korrigeringsfaktor GD'!U$1,FALSE),
"")</f>
        <v/>
      </c>
      <c r="V452" s="18" t="str">
        <f>IFERROR(
                  Andel_oberoende_av_klimat*VLOOKUP($A452,Leveranser_per_nät,'Leveranser per nät'!V$1,FALSE)
               +Andel_beroende_av_klimat*VLOOKUP($A452,Leveranser_per_nät,'Leveranser per nät'!V$1,FALSE)/VLOOKUP($B452,Korrigeringsfaktor_GD,'Korrigeringsfaktor GD'!V$1,FALSE),
"")</f>
        <v/>
      </c>
      <c r="W452" s="18" t="str">
        <f>IFERROR(
                  Andel_oberoende_av_klimat*VLOOKUP($A452,Leveranser_per_nät,'Leveranser per nät'!W$1,FALSE)
               +Andel_beroende_av_klimat*VLOOKUP($A452,Leveranser_per_nät,'Leveranser per nät'!W$1,FALSE)/VLOOKUP($B452,Korrigeringsfaktor_GD,'Korrigeringsfaktor GD'!W$1,FALSE),
"")</f>
        <v/>
      </c>
      <c r="X452" s="18" t="str">
        <f>IFERROR(
                  Andel_oberoende_av_klimat*VLOOKUP($A452,Leveranser_per_nät,'Leveranser per nät'!X$1,FALSE)
               +Andel_beroende_av_klimat*VLOOKUP($A452,Leveranser_per_nät,'Leveranser per nät'!X$1,FALSE)/VLOOKUP($B452,Korrigeringsfaktor_GD,'Korrigeringsfaktor GD'!X$1,FALSE),
"")</f>
        <v/>
      </c>
      <c r="Y452" s="18" t="str">
        <f>IFERROR(
                  Andel_oberoende_av_klimat*VLOOKUP($A452,Leveranser_per_nät,'Leveranser per nät'!Y$1,FALSE)
               +Andel_beroende_av_klimat*VLOOKUP($A452,Leveranser_per_nät,'Leveranser per nät'!Y$1,FALSE)/VLOOKUP($B452,Korrigeringsfaktor_GD,'Korrigeringsfaktor GD'!Y$1,FALSE),
"")</f>
        <v/>
      </c>
      <c r="Z452" s="18">
        <f>IFERROR(
                  Andel_oberoende_av_klimat*VLOOKUP($A452,Leveranser_per_nät,'Leveranser per nät'!Z$1,FALSE)
               +Andel_beroende_av_klimat*VLOOKUP($A452,Leveranser_per_nät,'Leveranser per nät'!Z$1,FALSE)/VLOOKUP($B452,Korrigeringsfaktor_GD,'Korrigeringsfaktor GD'!Z$1,FALSE),
"")</f>
        <v>0</v>
      </c>
      <c r="AA452" s="18" t="str">
        <f>IFERROR(
                  Andel_oberoende_av_klimat*VLOOKUP($A452,Leveranser_per_nät,'Leveranser per nät'!AA$1,FALSE)
               +Andel_beroende_av_klimat*VLOOKUP($A452,Leveranser_per_nät,'Leveranser per nät'!AA$1,FALSE)/VLOOKUP($B452,Korrigeringsfaktor_GD,'Korrigeringsfaktor GD'!AA$1,FALSE),
"")</f>
        <v/>
      </c>
      <c r="AB452" s="18">
        <f>IFERROR(
                  Andel_oberoende_av_klimat*VLOOKUP($A452,Leveranser_per_nät,'Leveranser per nät'!AB$1,FALSE)
               +Andel_beroende_av_klimat*VLOOKUP($A452,Leveranser_per_nät,'Leveranser per nät'!AB$1,FALSE)/VLOOKUP($B452,Korrigeringsfaktor_GD,'Korrigeringsfaktor GD'!AB$1,FALSE),
"")</f>
        <v>0</v>
      </c>
      <c r="AC452" s="18">
        <f>IFERROR(
                  Andel_oberoende_av_klimat*VLOOKUP($A452,Leveranser_per_nät,'Leveranser per nät'!AC$1,FALSE)
               +Andel_beroende_av_klimat*VLOOKUP($A452,Leveranser_per_nät,'Leveranser per nät'!AC$1,FALSE)/VLOOKUP($B452,Korrigeringsfaktor_GD,'Korrigeringsfaktor GD'!AC$1,FALSE),
"")</f>
        <v>0</v>
      </c>
      <c r="AD452">
        <v>34.96</v>
      </c>
    </row>
    <row r="453" spans="1:30" x14ac:dyDescent="0.25">
      <c r="A453" t="s">
        <v>355</v>
      </c>
      <c r="B453" t="s">
        <v>355</v>
      </c>
      <c r="C453" s="18">
        <f>IFERROR(
                  Andel_oberoende_av_klimat*VLOOKUP($A453,Leveranser_per_nät,'Leveranser per nät'!C$1,FALSE)
               +Andel_beroende_av_klimat*VLOOKUP($A453,Leveranser_per_nät,'Leveranser per nät'!C$1,FALSE)/VLOOKUP($B453,Korrigeringsfaktor_GD,'Korrigeringsfaktor GD'!C$1,FALSE),
"")</f>
        <v>91.201801801801793</v>
      </c>
      <c r="D453" s="18">
        <f>IFERROR(
                  Andel_oberoende_av_klimat*VLOOKUP($A453,Leveranser_per_nät,'Leveranser per nät'!D$1,FALSE)
               +Andel_beroende_av_klimat*VLOOKUP($A453,Leveranser_per_nät,'Leveranser per nät'!D$1,FALSE)/VLOOKUP($B453,Korrigeringsfaktor_GD,'Korrigeringsfaktor GD'!D$1,FALSE),
"")</f>
        <v>87.89</v>
      </c>
      <c r="E453" s="18">
        <f>IFERROR(
                  Andel_oberoende_av_klimat*VLOOKUP($A453,Leveranser_per_nät,'Leveranser per nät'!E$1,FALSE)
               +Andel_beroende_av_klimat*VLOOKUP($A453,Leveranser_per_nät,'Leveranser per nät'!E$1,FALSE)/VLOOKUP($B453,Korrigeringsfaktor_GD,'Korrigeringsfaktor GD'!E$1,FALSE),
"")</f>
        <v>90.369306930693071</v>
      </c>
      <c r="F453" s="18">
        <f>IFERROR(
                  Andel_oberoende_av_klimat*VLOOKUP($A453,Leveranser_per_nät,'Leveranser per nät'!F$1,FALSE)
               +Andel_beroende_av_klimat*VLOOKUP($A453,Leveranser_per_nät,'Leveranser per nät'!F$1,FALSE)/VLOOKUP($B453,Korrigeringsfaktor_GD,'Korrigeringsfaktor GD'!F$1,FALSE),
"")</f>
        <v>90.887234042553203</v>
      </c>
      <c r="G453" s="18">
        <f>IFERROR(
                  Andel_oberoende_av_klimat*VLOOKUP($A453,Leveranser_per_nät,'Leveranser per nät'!G$1,FALSE)
               +Andel_beroende_av_klimat*VLOOKUP($A453,Leveranser_per_nät,'Leveranser per nät'!G$1,FALSE)/VLOOKUP($B453,Korrigeringsfaktor_GD,'Korrigeringsfaktor GD'!G$1,FALSE),
"")</f>
        <v>90.577011494252886</v>
      </c>
      <c r="H453" s="18">
        <f>IFERROR(
                  Andel_oberoende_av_klimat*VLOOKUP($A453,Leveranser_per_nät,'Leveranser per nät'!H$1,FALSE)
               +Andel_beroende_av_klimat*VLOOKUP($A453,Leveranser_per_nät,'Leveranser per nät'!H$1,FALSE)/VLOOKUP($B453,Korrigeringsfaktor_GD,'Korrigeringsfaktor GD'!H$1,FALSE),
"")</f>
        <v>91</v>
      </c>
      <c r="I453" s="18">
        <f>IFERROR(
                  Andel_oberoende_av_klimat*VLOOKUP($A453,Leveranser_per_nät,'Leveranser per nät'!I$1,FALSE)
               +Andel_beroende_av_klimat*VLOOKUP($A453,Leveranser_per_nät,'Leveranser per nät'!I$1,FALSE)/VLOOKUP($B453,Korrigeringsfaktor_GD,'Korrigeringsfaktor GD'!I$1,FALSE),
"")</f>
        <v>99.244680851063833</v>
      </c>
      <c r="J453" s="18">
        <f>IFERROR(
                  Andel_oberoende_av_klimat*VLOOKUP($A453,Leveranser_per_nät,'Leveranser per nät'!J$1,FALSE)
               +Andel_beroende_av_klimat*VLOOKUP($A453,Leveranser_per_nät,'Leveranser per nät'!J$1,FALSE)/VLOOKUP($B453,Korrigeringsfaktor_GD,'Korrigeringsfaktor GD'!J$1,FALSE),
"")</f>
        <v>101.42857142857143</v>
      </c>
      <c r="K453" s="18">
        <f>IFERROR(
                  Andel_oberoende_av_klimat*VLOOKUP($A453,Leveranser_per_nät,'Leveranser per nät'!K$1,FALSE)
               +Andel_beroende_av_klimat*VLOOKUP($A453,Leveranser_per_nät,'Leveranser per nät'!K$1,FALSE)/VLOOKUP($B453,Korrigeringsfaktor_GD,'Korrigeringsfaktor GD'!K$1,FALSE),
"")</f>
        <v>106.416</v>
      </c>
      <c r="L453" s="18">
        <f>IFERROR(
                  Andel_oberoende_av_klimat*VLOOKUP($A453,Leveranser_per_nät,'Leveranser per nät'!L$1,FALSE)
               +Andel_beroende_av_klimat*VLOOKUP($A453,Leveranser_per_nät,'Leveranser per nät'!L$1,FALSE)/VLOOKUP($B453,Korrigeringsfaktor_GD,'Korrigeringsfaktor GD'!L$1,FALSE),
"")</f>
        <v>114.37849583333332</v>
      </c>
      <c r="M453" s="18">
        <f>IFERROR(
                  Andel_oberoende_av_klimat*VLOOKUP($A453,Leveranser_per_nät,'Leveranser per nät'!M$1,FALSE)
               +Andel_beroende_av_klimat*VLOOKUP($A453,Leveranser_per_nät,'Leveranser per nät'!M$1,FALSE)/VLOOKUP($B453,Korrigeringsfaktor_GD,'Korrigeringsfaktor GD'!M$1,FALSE),
"")</f>
        <v>123.48032258064515</v>
      </c>
      <c r="N453" s="18">
        <f>IFERROR(
                  Andel_oberoende_av_klimat*VLOOKUP($A453,Leveranser_per_nät,'Leveranser per nät'!N$1,FALSE)
               +Andel_beroende_av_klimat*VLOOKUP($A453,Leveranser_per_nät,'Leveranser per nät'!N$1,FALSE)/VLOOKUP($B453,Korrigeringsfaktor_GD,'Korrigeringsfaktor GD'!N$1,FALSE),
"")</f>
        <v>129.31343755555557</v>
      </c>
      <c r="O453" s="18">
        <f>IFERROR(
                  Andel_oberoende_av_klimat*VLOOKUP($A453,Leveranser_per_nät,'Leveranser per nät'!O$1,FALSE)
               +Andel_beroende_av_klimat*VLOOKUP($A453,Leveranser_per_nät,'Leveranser per nät'!O$1,FALSE)/VLOOKUP($B453,Korrigeringsfaktor_GD,'Korrigeringsfaktor GD'!O$1,FALSE),
"")</f>
        <v>137.33315828888888</v>
      </c>
      <c r="P453" s="18">
        <f>IFERROR(
                  Andel_oberoende_av_klimat*VLOOKUP($A453,Leveranser_per_nät,'Leveranser per nät'!P$1,FALSE)
               +Andel_beroende_av_klimat*VLOOKUP($A453,Leveranser_per_nät,'Leveranser per nät'!P$1,FALSE)/VLOOKUP($B453,Korrigeringsfaktor_GD,'Korrigeringsfaktor GD'!P$1,FALSE),
"")</f>
        <v>140.96404817422683</v>
      </c>
      <c r="Q453" s="18">
        <f>IFERROR(
                  Andel_oberoende_av_klimat*VLOOKUP($A453,Leveranser_per_nät,'Leveranser per nät'!Q$1,FALSE)
               +Andel_beroende_av_klimat*VLOOKUP($A453,Leveranser_per_nät,'Leveranser per nät'!Q$1,FALSE)/VLOOKUP($B453,Korrigeringsfaktor_GD,'Korrigeringsfaktor GD'!Q$1,FALSE),
"")</f>
        <v>151.49373295438596</v>
      </c>
      <c r="R453" s="18">
        <f>IFERROR(
                  Andel_oberoende_av_klimat*VLOOKUP($A453,Leveranser_per_nät,'Leveranser per nät'!R$1,FALSE)
               +Andel_beroende_av_klimat*VLOOKUP($A453,Leveranser_per_nät,'Leveranser per nät'!R$1,FALSE)/VLOOKUP($B453,Korrigeringsfaktor_GD,'Korrigeringsfaktor GD'!R$1,FALSE),
"")</f>
        <v>148.39942164615385</v>
      </c>
      <c r="S453" s="18">
        <f>IFERROR(
                  Andel_oberoende_av_klimat*VLOOKUP($A453,Leveranser_per_nät,'Leveranser per nät'!S$1,FALSE)
               +Andel_beroende_av_klimat*VLOOKUP($A453,Leveranser_per_nät,'Leveranser per nät'!S$1,FALSE)/VLOOKUP($B453,Korrigeringsfaktor_GD,'Korrigeringsfaktor GD'!S$1,FALSE),
"")</f>
        <v>152.93267326732675</v>
      </c>
      <c r="T453" s="18">
        <f>IFERROR(
                  Andel_oberoende_av_klimat*VLOOKUP($A453,Leveranser_per_nät,'Leveranser per nät'!T$1,FALSE)
               +Andel_beroende_av_klimat*VLOOKUP($A453,Leveranser_per_nät,'Leveranser per nät'!T$1,FALSE)/VLOOKUP($B453,Korrigeringsfaktor_GD,'Korrigeringsfaktor GD'!T$1,FALSE),
"")</f>
        <v>152.47856161616161</v>
      </c>
      <c r="U453" s="18">
        <f>IFERROR(
                  Andel_oberoende_av_klimat*VLOOKUP($A453,Leveranser_per_nät,'Leveranser per nät'!U$1,FALSE)
               +Andel_beroende_av_klimat*VLOOKUP($A453,Leveranser_per_nät,'Leveranser per nät'!U$1,FALSE)/VLOOKUP($B453,Korrigeringsfaktor_GD,'Korrigeringsfaktor GD'!U$1,FALSE),
"")</f>
        <v>150.66529411764705</v>
      </c>
      <c r="V453" s="18">
        <f>IFERROR(
                  Andel_oberoende_av_klimat*VLOOKUP($A453,Leveranser_per_nät,'Leveranser per nät'!V$1,FALSE)
               +Andel_beroende_av_klimat*VLOOKUP($A453,Leveranser_per_nät,'Leveranser per nät'!V$1,FALSE)/VLOOKUP($B453,Korrigeringsfaktor_GD,'Korrigeringsfaktor GD'!V$1,FALSE),
"")</f>
        <v>153.97219663333334</v>
      </c>
      <c r="W453" s="18">
        <f>IFERROR(
                  Andel_oberoende_av_klimat*VLOOKUP($A453,Leveranser_per_nät,'Leveranser per nät'!W$1,FALSE)
               +Andel_beroende_av_klimat*VLOOKUP($A453,Leveranser_per_nät,'Leveranser per nät'!W$1,FALSE)/VLOOKUP($B453,Korrigeringsfaktor_GD,'Korrigeringsfaktor GD'!W$1,FALSE),
"")</f>
        <v>157.23897956989245</v>
      </c>
      <c r="X453" s="18">
        <f>IFERROR(
                  Andel_oberoende_av_klimat*VLOOKUP($A453,Leveranser_per_nät,'Leveranser per nät'!X$1,FALSE)
               +Andel_beroende_av_klimat*VLOOKUP($A453,Leveranser_per_nät,'Leveranser per nät'!X$1,FALSE)/VLOOKUP($B453,Korrigeringsfaktor_GD,'Korrigeringsfaktor GD'!X$1,FALSE),
"")</f>
        <v>165.64258888888889</v>
      </c>
      <c r="Y453" s="18">
        <f>IFERROR(
                  Andel_oberoende_av_klimat*VLOOKUP($A453,Leveranser_per_nät,'Leveranser per nät'!Y$1,FALSE)
               +Andel_beroende_av_klimat*VLOOKUP($A453,Leveranser_per_nät,'Leveranser per nät'!Y$1,FALSE)/VLOOKUP($B453,Korrigeringsfaktor_GD,'Korrigeringsfaktor GD'!Y$1,FALSE),
"")</f>
        <v>159.15968636363635</v>
      </c>
      <c r="Z453" s="18">
        <f>IFERROR(
                  Andel_oberoende_av_klimat*VLOOKUP($A453,Leveranser_per_nät,'Leveranser per nät'!Z$1,FALSE)
               +Andel_beroende_av_klimat*VLOOKUP($A453,Leveranser_per_nät,'Leveranser per nät'!Z$1,FALSE)/VLOOKUP($B453,Korrigeringsfaktor_GD,'Korrigeringsfaktor GD'!Z$1,FALSE),
"")</f>
        <v>151.20791111111112</v>
      </c>
      <c r="AA453" s="18">
        <f>IFERROR(
                  Andel_oberoende_av_klimat*VLOOKUP($A453,Leveranser_per_nät,'Leveranser per nät'!AA$1,FALSE)
               +Andel_beroende_av_klimat*VLOOKUP($A453,Leveranser_per_nät,'Leveranser per nät'!AA$1,FALSE)/VLOOKUP($B453,Korrigeringsfaktor_GD,'Korrigeringsfaktor GD'!AA$1,FALSE),
"")</f>
        <v>159.15766820261439</v>
      </c>
      <c r="AB453" s="18">
        <f>IFERROR(
                  Andel_oberoende_av_klimat*VLOOKUP($A453,Leveranser_per_nät,'Leveranser per nät'!AB$1,FALSE)
               +Andel_beroende_av_klimat*VLOOKUP($A453,Leveranser_per_nät,'Leveranser per nät'!AB$1,FALSE)/VLOOKUP($B453,Korrigeringsfaktor_GD,'Korrigeringsfaktor GD'!AB$1,FALSE),
"")</f>
        <v>155.83903230309073</v>
      </c>
      <c r="AC453" s="18">
        <f>IFERROR(
                  Andel_oberoende_av_klimat*VLOOKUP($A453,Leveranser_per_nät,'Leveranser per nät'!AC$1,FALSE)
               +Andel_beroende_av_klimat*VLOOKUP($A453,Leveranser_per_nät,'Leveranser per nät'!AC$1,FALSE)/VLOOKUP($B453,Korrigeringsfaktor_GD,'Korrigeringsfaktor GD'!AC$1,FALSE),
"")</f>
        <v>148.7727855614973</v>
      </c>
      <c r="AD453">
        <v>141.869</v>
      </c>
    </row>
    <row r="454" spans="1:30" x14ac:dyDescent="0.25">
      <c r="A454" t="s">
        <v>436</v>
      </c>
      <c r="B454" t="s">
        <v>280</v>
      </c>
      <c r="C454" s="18">
        <f>IFERROR(
                  Andel_oberoende_av_klimat*VLOOKUP($A454,Leveranser_per_nät,'Leveranser per nät'!C$1,FALSE)
               +Andel_beroende_av_klimat*VLOOKUP($A454,Leveranser_per_nät,'Leveranser per nät'!C$1,FALSE)/VLOOKUP($B454,Korrigeringsfaktor_GD,'Korrigeringsfaktor GD'!C$1,FALSE),
"")</f>
        <v>232.10951621621621</v>
      </c>
      <c r="D454" s="18">
        <f>IFERROR(
                  Andel_oberoende_av_klimat*VLOOKUP($A454,Leveranser_per_nät,'Leveranser per nät'!D$1,FALSE)
               +Andel_beroende_av_klimat*VLOOKUP($A454,Leveranser_per_nät,'Leveranser per nät'!D$1,FALSE)/VLOOKUP($B454,Korrigeringsfaktor_GD,'Korrigeringsfaktor GD'!D$1,FALSE),
"")</f>
        <v>202.42121212121214</v>
      </c>
      <c r="E454" s="18">
        <f>IFERROR(
                  Andel_oberoende_av_klimat*VLOOKUP($A454,Leveranser_per_nät,'Leveranser per nät'!E$1,FALSE)
               +Andel_beroende_av_klimat*VLOOKUP($A454,Leveranser_per_nät,'Leveranser per nät'!E$1,FALSE)/VLOOKUP($B454,Korrigeringsfaktor_GD,'Korrigeringsfaktor GD'!E$1,FALSE),
"")</f>
        <v>208.96000784313725</v>
      </c>
      <c r="F454" s="18">
        <f>IFERROR(
                  Andel_oberoende_av_klimat*VLOOKUP($A454,Leveranser_per_nät,'Leveranser per nät'!F$1,FALSE)
               +Andel_beroende_av_klimat*VLOOKUP($A454,Leveranser_per_nät,'Leveranser per nät'!F$1,FALSE)/VLOOKUP($B454,Korrigeringsfaktor_GD,'Korrigeringsfaktor GD'!F$1,FALSE),
"")</f>
        <v>209.48494623655913</v>
      </c>
      <c r="G454" s="18">
        <f>IFERROR(
                  Andel_oberoende_av_klimat*VLOOKUP($A454,Leveranser_per_nät,'Leveranser per nät'!G$1,FALSE)
               +Andel_beroende_av_klimat*VLOOKUP($A454,Leveranser_per_nät,'Leveranser per nät'!G$1,FALSE)/VLOOKUP($B454,Korrigeringsfaktor_GD,'Korrigeringsfaktor GD'!G$1,FALSE),
"")</f>
        <v>217.99545454545455</v>
      </c>
      <c r="H454" s="18">
        <f>IFERROR(
                  Andel_oberoende_av_klimat*VLOOKUP($A454,Leveranser_per_nät,'Leveranser per nät'!H$1,FALSE)
               +Andel_beroende_av_klimat*VLOOKUP($A454,Leveranser_per_nät,'Leveranser per nät'!H$1,FALSE)/VLOOKUP($B454,Korrigeringsfaktor_GD,'Korrigeringsfaktor GD'!H$1,FALSE),
"")</f>
        <v>0</v>
      </c>
      <c r="I454" s="18">
        <f>IFERROR(
                  Andel_oberoende_av_klimat*VLOOKUP($A454,Leveranser_per_nät,'Leveranser per nät'!I$1,FALSE)
               +Andel_beroende_av_klimat*VLOOKUP($A454,Leveranser_per_nät,'Leveranser per nät'!I$1,FALSE)/VLOOKUP($B454,Korrigeringsfaktor_GD,'Korrigeringsfaktor GD'!I$1,FALSE),
"")</f>
        <v>0</v>
      </c>
      <c r="J454" s="18">
        <f>IFERROR(
                  Andel_oberoende_av_klimat*VLOOKUP($A454,Leveranser_per_nät,'Leveranser per nät'!J$1,FALSE)
               +Andel_beroende_av_klimat*VLOOKUP($A454,Leveranser_per_nät,'Leveranser per nät'!J$1,FALSE)/VLOOKUP($B454,Korrigeringsfaktor_GD,'Korrigeringsfaktor GD'!J$1,FALSE),
"")</f>
        <v>187.31515151515151</v>
      </c>
      <c r="K454" s="18">
        <f>IFERROR(
                  Andel_oberoende_av_klimat*VLOOKUP($A454,Leveranser_per_nät,'Leveranser per nät'!K$1,FALSE)
               +Andel_beroende_av_klimat*VLOOKUP($A454,Leveranser_per_nät,'Leveranser per nät'!K$1,FALSE)/VLOOKUP($B454,Korrigeringsfaktor_GD,'Korrigeringsfaktor GD'!K$1,FALSE),
"")</f>
        <v>0</v>
      </c>
      <c r="L454" s="18">
        <f>IFERROR(
                  Andel_oberoende_av_klimat*VLOOKUP($A454,Leveranser_per_nät,'Leveranser per nät'!L$1,FALSE)
               +Andel_beroende_av_klimat*VLOOKUP($A454,Leveranser_per_nät,'Leveranser per nät'!L$1,FALSE)/VLOOKUP($B454,Korrigeringsfaktor_GD,'Korrigeringsfaktor GD'!L$1,FALSE),
"")</f>
        <v>0</v>
      </c>
      <c r="M454" s="18">
        <f>IFERROR(
                  Andel_oberoende_av_klimat*VLOOKUP($A454,Leveranser_per_nät,'Leveranser per nät'!M$1,FALSE)
               +Andel_beroende_av_klimat*VLOOKUP($A454,Leveranser_per_nät,'Leveranser per nät'!M$1,FALSE)/VLOOKUP($B454,Korrigeringsfaktor_GD,'Korrigeringsfaktor GD'!M$1,FALSE),
"")</f>
        <v>0</v>
      </c>
      <c r="N454" s="18">
        <f>IFERROR(
                  Andel_oberoende_av_klimat*VLOOKUP($A454,Leveranser_per_nät,'Leveranser per nät'!N$1,FALSE)
               +Andel_beroende_av_klimat*VLOOKUP($A454,Leveranser_per_nät,'Leveranser per nät'!N$1,FALSE)/VLOOKUP($B454,Korrigeringsfaktor_GD,'Korrigeringsfaktor GD'!N$1,FALSE),
"")</f>
        <v>0</v>
      </c>
      <c r="O454" s="18">
        <f>IFERROR(
                  Andel_oberoende_av_klimat*VLOOKUP($A454,Leveranser_per_nät,'Leveranser per nät'!O$1,FALSE)
               +Andel_beroende_av_klimat*VLOOKUP($A454,Leveranser_per_nät,'Leveranser per nät'!O$1,FALSE)/VLOOKUP($B454,Korrigeringsfaktor_GD,'Korrigeringsfaktor GD'!O$1,FALSE),
"")</f>
        <v>0</v>
      </c>
      <c r="P454" s="18">
        <f>IFERROR(
                  Andel_oberoende_av_klimat*VLOOKUP($A454,Leveranser_per_nät,'Leveranser per nät'!P$1,FALSE)
               +Andel_beroende_av_klimat*VLOOKUP($A454,Leveranser_per_nät,'Leveranser per nät'!P$1,FALSE)/VLOOKUP($B454,Korrigeringsfaktor_GD,'Korrigeringsfaktor GD'!P$1,FALSE),
"")</f>
        <v>0</v>
      </c>
      <c r="Q454" s="18">
        <f>IFERROR(
                  Andel_oberoende_av_klimat*VLOOKUP($A454,Leveranser_per_nät,'Leveranser per nät'!Q$1,FALSE)
               +Andel_beroende_av_klimat*VLOOKUP($A454,Leveranser_per_nät,'Leveranser per nät'!Q$1,FALSE)/VLOOKUP($B454,Korrigeringsfaktor_GD,'Korrigeringsfaktor GD'!Q$1,FALSE),
"")</f>
        <v>0</v>
      </c>
      <c r="R454" s="18">
        <f>IFERROR(
                  Andel_oberoende_av_klimat*VLOOKUP($A454,Leveranser_per_nät,'Leveranser per nät'!R$1,FALSE)
               +Andel_beroende_av_klimat*VLOOKUP($A454,Leveranser_per_nät,'Leveranser per nät'!R$1,FALSE)/VLOOKUP($B454,Korrigeringsfaktor_GD,'Korrigeringsfaktor GD'!R$1,FALSE),
"")</f>
        <v>0</v>
      </c>
      <c r="S454" s="18" t="str">
        <f>IFERROR(
                  Andel_oberoende_av_klimat*VLOOKUP($A454,Leveranser_per_nät,'Leveranser per nät'!S$1,FALSE)
               +Andel_beroende_av_klimat*VLOOKUP($A454,Leveranser_per_nät,'Leveranser per nät'!S$1,FALSE)/VLOOKUP($B454,Korrigeringsfaktor_GD,'Korrigeringsfaktor GD'!S$1,FALSE),
"")</f>
        <v/>
      </c>
      <c r="T454" s="18" t="str">
        <f>IFERROR(
                  Andel_oberoende_av_klimat*VLOOKUP($A454,Leveranser_per_nät,'Leveranser per nät'!T$1,FALSE)
               +Andel_beroende_av_klimat*VLOOKUP($A454,Leveranser_per_nät,'Leveranser per nät'!T$1,FALSE)/VLOOKUP($B454,Korrigeringsfaktor_GD,'Korrigeringsfaktor GD'!T$1,FALSE),
"")</f>
        <v/>
      </c>
      <c r="U454" s="18" t="str">
        <f>IFERROR(
                  Andel_oberoende_av_klimat*VLOOKUP($A454,Leveranser_per_nät,'Leveranser per nät'!U$1,FALSE)
               +Andel_beroende_av_klimat*VLOOKUP($A454,Leveranser_per_nät,'Leveranser per nät'!U$1,FALSE)/VLOOKUP($B454,Korrigeringsfaktor_GD,'Korrigeringsfaktor GD'!U$1,FALSE),
"")</f>
        <v/>
      </c>
      <c r="V454" s="18" t="str">
        <f>IFERROR(
                  Andel_oberoende_av_klimat*VLOOKUP($A454,Leveranser_per_nät,'Leveranser per nät'!V$1,FALSE)
               +Andel_beroende_av_klimat*VLOOKUP($A454,Leveranser_per_nät,'Leveranser per nät'!V$1,FALSE)/VLOOKUP($B454,Korrigeringsfaktor_GD,'Korrigeringsfaktor GD'!V$1,FALSE),
"")</f>
        <v/>
      </c>
      <c r="W454" s="18" t="str">
        <f>IFERROR(
                  Andel_oberoende_av_klimat*VLOOKUP($A454,Leveranser_per_nät,'Leveranser per nät'!W$1,FALSE)
               +Andel_beroende_av_klimat*VLOOKUP($A454,Leveranser_per_nät,'Leveranser per nät'!W$1,FALSE)/VLOOKUP($B454,Korrigeringsfaktor_GD,'Korrigeringsfaktor GD'!W$1,FALSE),
"")</f>
        <v/>
      </c>
      <c r="X454" s="18" t="str">
        <f>IFERROR(
                  Andel_oberoende_av_klimat*VLOOKUP($A454,Leveranser_per_nät,'Leveranser per nät'!X$1,FALSE)
               +Andel_beroende_av_klimat*VLOOKUP($A454,Leveranser_per_nät,'Leveranser per nät'!X$1,FALSE)/VLOOKUP($B454,Korrigeringsfaktor_GD,'Korrigeringsfaktor GD'!X$1,FALSE),
"")</f>
        <v/>
      </c>
      <c r="Y454" s="18" t="str">
        <f>IFERROR(
                  Andel_oberoende_av_klimat*VLOOKUP($A454,Leveranser_per_nät,'Leveranser per nät'!Y$1,FALSE)
               +Andel_beroende_av_klimat*VLOOKUP($A454,Leveranser_per_nät,'Leveranser per nät'!Y$1,FALSE)/VLOOKUP($B454,Korrigeringsfaktor_GD,'Korrigeringsfaktor GD'!Y$1,FALSE),
"")</f>
        <v/>
      </c>
      <c r="Z454" s="18">
        <f>IFERROR(
                  Andel_oberoende_av_klimat*VLOOKUP($A454,Leveranser_per_nät,'Leveranser per nät'!Z$1,FALSE)
               +Andel_beroende_av_klimat*VLOOKUP($A454,Leveranser_per_nät,'Leveranser per nät'!Z$1,FALSE)/VLOOKUP($B454,Korrigeringsfaktor_GD,'Korrigeringsfaktor GD'!Z$1,FALSE),
"")</f>
        <v>0</v>
      </c>
      <c r="AA454" s="18" t="str">
        <f>IFERROR(
                  Andel_oberoende_av_klimat*VLOOKUP($A454,Leveranser_per_nät,'Leveranser per nät'!AA$1,FALSE)
               +Andel_beroende_av_klimat*VLOOKUP($A454,Leveranser_per_nät,'Leveranser per nät'!AA$1,FALSE)/VLOOKUP($B454,Korrigeringsfaktor_GD,'Korrigeringsfaktor GD'!AA$1,FALSE),
"")</f>
        <v/>
      </c>
      <c r="AB454" s="18">
        <f>IFERROR(
                  Andel_oberoende_av_klimat*VLOOKUP($A454,Leveranser_per_nät,'Leveranser per nät'!AB$1,FALSE)
               +Andel_beroende_av_klimat*VLOOKUP($A454,Leveranser_per_nät,'Leveranser per nät'!AB$1,FALSE)/VLOOKUP($B454,Korrigeringsfaktor_GD,'Korrigeringsfaktor GD'!AB$1,FALSE),
"")</f>
        <v>0</v>
      </c>
      <c r="AC454" s="18">
        <f>IFERROR(
                  Andel_oberoende_av_klimat*VLOOKUP($A454,Leveranser_per_nät,'Leveranser per nät'!AC$1,FALSE)
               +Andel_beroende_av_klimat*VLOOKUP($A454,Leveranser_per_nät,'Leveranser per nät'!AC$1,FALSE)/VLOOKUP($B454,Korrigeringsfaktor_GD,'Korrigeringsfaktor GD'!AC$1,FALSE),
"")</f>
        <v>0</v>
      </c>
      <c r="AD454">
        <v>303.39999999999998</v>
      </c>
    </row>
    <row r="455" spans="1:30" x14ac:dyDescent="0.25">
      <c r="A455" t="s">
        <v>249</v>
      </c>
      <c r="B455" t="s">
        <v>235</v>
      </c>
      <c r="C455" s="18">
        <f>IFERROR(
                  Andel_oberoende_av_klimat*VLOOKUP($A455,Leveranser_per_nät,'Leveranser per nät'!C$1,FALSE)
               +Andel_beroende_av_klimat*VLOOKUP($A455,Leveranser_per_nät,'Leveranser per nät'!C$1,FALSE)/VLOOKUP($B455,Korrigeringsfaktor_GD,'Korrigeringsfaktor GD'!C$1,FALSE),
"")</f>
        <v>0</v>
      </c>
      <c r="D455" s="18">
        <f>IFERROR(
                  Andel_oberoende_av_klimat*VLOOKUP($A455,Leveranser_per_nät,'Leveranser per nät'!D$1,FALSE)
               +Andel_beroende_av_klimat*VLOOKUP($A455,Leveranser_per_nät,'Leveranser per nät'!D$1,FALSE)/VLOOKUP($B455,Korrigeringsfaktor_GD,'Korrigeringsfaktor GD'!D$1,FALSE),
"")</f>
        <v>0</v>
      </c>
      <c r="E455" s="18">
        <f>IFERROR(
                  Andel_oberoende_av_klimat*VLOOKUP($A455,Leveranser_per_nät,'Leveranser per nät'!E$1,FALSE)
               +Andel_beroende_av_klimat*VLOOKUP($A455,Leveranser_per_nät,'Leveranser per nät'!E$1,FALSE)/VLOOKUP($B455,Korrigeringsfaktor_GD,'Korrigeringsfaktor GD'!E$1,FALSE),
"")</f>
        <v>0</v>
      </c>
      <c r="F455" s="18">
        <f>IFERROR(
                  Andel_oberoende_av_klimat*VLOOKUP($A455,Leveranser_per_nät,'Leveranser per nät'!F$1,FALSE)
               +Andel_beroende_av_klimat*VLOOKUP($A455,Leveranser_per_nät,'Leveranser per nät'!F$1,FALSE)/VLOOKUP($B455,Korrigeringsfaktor_GD,'Korrigeringsfaktor GD'!F$1,FALSE),
"")</f>
        <v>0</v>
      </c>
      <c r="G455" s="18">
        <f>IFERROR(
                  Andel_oberoende_av_klimat*VLOOKUP($A455,Leveranser_per_nät,'Leveranser per nät'!G$1,FALSE)
               +Andel_beroende_av_klimat*VLOOKUP($A455,Leveranser_per_nät,'Leveranser per nät'!G$1,FALSE)/VLOOKUP($B455,Korrigeringsfaktor_GD,'Korrigeringsfaktor GD'!G$1,FALSE),
"")</f>
        <v>0</v>
      </c>
      <c r="H455" s="18">
        <f>IFERROR(
                  Andel_oberoende_av_klimat*VLOOKUP($A455,Leveranser_per_nät,'Leveranser per nät'!H$1,FALSE)
               +Andel_beroende_av_klimat*VLOOKUP($A455,Leveranser_per_nät,'Leveranser per nät'!H$1,FALSE)/VLOOKUP($B455,Korrigeringsfaktor_GD,'Korrigeringsfaktor GD'!H$1,FALSE),
"")</f>
        <v>0</v>
      </c>
      <c r="I455" s="18">
        <f>IFERROR(
                  Andel_oberoende_av_klimat*VLOOKUP($A455,Leveranser_per_nät,'Leveranser per nät'!I$1,FALSE)
               +Andel_beroende_av_klimat*VLOOKUP($A455,Leveranser_per_nät,'Leveranser per nät'!I$1,FALSE)/VLOOKUP($B455,Korrigeringsfaktor_GD,'Korrigeringsfaktor GD'!I$1,FALSE),
"")</f>
        <v>0</v>
      </c>
      <c r="J455" s="18">
        <f>IFERROR(
                  Andel_oberoende_av_klimat*VLOOKUP($A455,Leveranser_per_nät,'Leveranser per nät'!J$1,FALSE)
               +Andel_beroende_av_klimat*VLOOKUP($A455,Leveranser_per_nät,'Leveranser per nät'!J$1,FALSE)/VLOOKUP($B455,Korrigeringsfaktor_GD,'Korrigeringsfaktor GD'!J$1,FALSE),
"")</f>
        <v>0</v>
      </c>
      <c r="K455" s="18">
        <f>IFERROR(
                  Andel_oberoende_av_klimat*VLOOKUP($A455,Leveranser_per_nät,'Leveranser per nät'!K$1,FALSE)
               +Andel_beroende_av_klimat*VLOOKUP($A455,Leveranser_per_nät,'Leveranser per nät'!K$1,FALSE)/VLOOKUP($B455,Korrigeringsfaktor_GD,'Korrigeringsfaktor GD'!K$1,FALSE),
"")</f>
        <v>0</v>
      </c>
      <c r="L455" s="18">
        <f>IFERROR(
                  Andel_oberoende_av_klimat*VLOOKUP($A455,Leveranser_per_nät,'Leveranser per nät'!L$1,FALSE)
               +Andel_beroende_av_klimat*VLOOKUP($A455,Leveranser_per_nät,'Leveranser per nät'!L$1,FALSE)/VLOOKUP($B455,Korrigeringsfaktor_GD,'Korrigeringsfaktor GD'!L$1,FALSE),
"")</f>
        <v>0</v>
      </c>
      <c r="M455" s="18">
        <f>IFERROR(
                  Andel_oberoende_av_klimat*VLOOKUP($A455,Leveranser_per_nät,'Leveranser per nät'!M$1,FALSE)
               +Andel_beroende_av_klimat*VLOOKUP($A455,Leveranser_per_nät,'Leveranser per nät'!M$1,FALSE)/VLOOKUP($B455,Korrigeringsfaktor_GD,'Korrigeringsfaktor GD'!M$1,FALSE),
"")</f>
        <v>16.231304347826086</v>
      </c>
      <c r="N455" s="18">
        <f>IFERROR(
                  Andel_oberoende_av_klimat*VLOOKUP($A455,Leveranser_per_nät,'Leveranser per nät'!N$1,FALSE)
               +Andel_beroende_av_klimat*VLOOKUP($A455,Leveranser_per_nät,'Leveranser per nät'!N$1,FALSE)/VLOOKUP($B455,Korrigeringsfaktor_GD,'Korrigeringsfaktor GD'!N$1,FALSE),
"")</f>
        <v>15.983617021276597</v>
      </c>
      <c r="O455" s="18">
        <f>IFERROR(
                  Andel_oberoende_av_klimat*VLOOKUP($A455,Leveranser_per_nät,'Leveranser per nät'!O$1,FALSE)
               +Andel_beroende_av_klimat*VLOOKUP($A455,Leveranser_per_nät,'Leveranser per nät'!O$1,FALSE)/VLOOKUP($B455,Korrigeringsfaktor_GD,'Korrigeringsfaktor GD'!O$1,FALSE),
"")</f>
        <v>0</v>
      </c>
      <c r="P455" s="18">
        <f>IFERROR(
                  Andel_oberoende_av_klimat*VLOOKUP($A455,Leveranser_per_nät,'Leveranser per nät'!P$1,FALSE)
               +Andel_beroende_av_klimat*VLOOKUP($A455,Leveranser_per_nät,'Leveranser per nät'!P$1,FALSE)/VLOOKUP($B455,Korrigeringsfaktor_GD,'Korrigeringsfaktor GD'!P$1,FALSE),
"")</f>
        <v>19.134343434343435</v>
      </c>
      <c r="Q455" s="18">
        <f>IFERROR(
                  Andel_oberoende_av_klimat*VLOOKUP($A455,Leveranser_per_nät,'Leveranser per nät'!Q$1,FALSE)
               +Andel_beroende_av_klimat*VLOOKUP($A455,Leveranser_per_nät,'Leveranser per nät'!Q$1,FALSE)/VLOOKUP($B455,Korrigeringsfaktor_GD,'Korrigeringsfaktor GD'!Q$1,FALSE),
"")</f>
        <v>0</v>
      </c>
      <c r="R455" s="18">
        <f>IFERROR(
                  Andel_oberoende_av_klimat*VLOOKUP($A455,Leveranser_per_nät,'Leveranser per nät'!R$1,FALSE)
               +Andel_beroende_av_klimat*VLOOKUP($A455,Leveranser_per_nät,'Leveranser per nät'!R$1,FALSE)/VLOOKUP($B455,Korrigeringsfaktor_GD,'Korrigeringsfaktor GD'!R$1,FALSE),
"")</f>
        <v>0</v>
      </c>
      <c r="S455" s="18" t="str">
        <f>IFERROR(
                  Andel_oberoende_av_klimat*VLOOKUP($A455,Leveranser_per_nät,'Leveranser per nät'!S$1,FALSE)
               +Andel_beroende_av_klimat*VLOOKUP($A455,Leveranser_per_nät,'Leveranser per nät'!S$1,FALSE)/VLOOKUP($B455,Korrigeringsfaktor_GD,'Korrigeringsfaktor GD'!S$1,FALSE),
"")</f>
        <v/>
      </c>
      <c r="T455" s="18" t="str">
        <f>IFERROR(
                  Andel_oberoende_av_klimat*VLOOKUP($A455,Leveranser_per_nät,'Leveranser per nät'!T$1,FALSE)
               +Andel_beroende_av_klimat*VLOOKUP($A455,Leveranser_per_nät,'Leveranser per nät'!T$1,FALSE)/VLOOKUP($B455,Korrigeringsfaktor_GD,'Korrigeringsfaktor GD'!T$1,FALSE),
"")</f>
        <v/>
      </c>
      <c r="U455" s="18" t="str">
        <f>IFERROR(
                  Andel_oberoende_av_klimat*VLOOKUP($A455,Leveranser_per_nät,'Leveranser per nät'!U$1,FALSE)
               +Andel_beroende_av_klimat*VLOOKUP($A455,Leveranser_per_nät,'Leveranser per nät'!U$1,FALSE)/VLOOKUP($B455,Korrigeringsfaktor_GD,'Korrigeringsfaktor GD'!U$1,FALSE),
"")</f>
        <v/>
      </c>
      <c r="V455" s="18">
        <f>IFERROR(
                  Andel_oberoende_av_klimat*VLOOKUP($A455,Leveranser_per_nät,'Leveranser per nät'!V$1,FALSE)
               +Andel_beroende_av_klimat*VLOOKUP($A455,Leveranser_per_nät,'Leveranser per nät'!V$1,FALSE)/VLOOKUP($B455,Korrigeringsfaktor_GD,'Korrigeringsfaktor GD'!V$1,FALSE),
"")</f>
        <v>18.470786516853931</v>
      </c>
      <c r="W455" s="18">
        <f>IFERROR(
                  Andel_oberoende_av_klimat*VLOOKUP($A455,Leveranser_per_nät,'Leveranser per nät'!W$1,FALSE)
               +Andel_beroende_av_klimat*VLOOKUP($A455,Leveranser_per_nät,'Leveranser per nät'!W$1,FALSE)/VLOOKUP($B455,Korrigeringsfaktor_GD,'Korrigeringsfaktor GD'!W$1,FALSE),
"")</f>
        <v>19.579999999999998</v>
      </c>
      <c r="X455" s="18">
        <f>IFERROR(
                  Andel_oberoende_av_klimat*VLOOKUP($A455,Leveranser_per_nät,'Leveranser per nät'!X$1,FALSE)
               +Andel_beroende_av_klimat*VLOOKUP($A455,Leveranser_per_nät,'Leveranser per nät'!X$1,FALSE)/VLOOKUP($B455,Korrigeringsfaktor_GD,'Korrigeringsfaktor GD'!X$1,FALSE),
"")</f>
        <v>19.554166666666667</v>
      </c>
      <c r="Y455" s="18">
        <f>IFERROR(
                  Andel_oberoende_av_klimat*VLOOKUP($A455,Leveranser_per_nät,'Leveranser per nät'!Y$1,FALSE)
               +Andel_beroende_av_klimat*VLOOKUP($A455,Leveranser_per_nät,'Leveranser per nät'!Y$1,FALSE)/VLOOKUP($B455,Korrigeringsfaktor_GD,'Korrigeringsfaktor GD'!Y$1,FALSE),
"")</f>
        <v>19.907368421052631</v>
      </c>
      <c r="Z455" s="18">
        <f>IFERROR(
                  Andel_oberoende_av_klimat*VLOOKUP($A455,Leveranser_per_nät,'Leveranser per nät'!Z$1,FALSE)
               +Andel_beroende_av_klimat*VLOOKUP($A455,Leveranser_per_nät,'Leveranser per nät'!Z$1,FALSE)/VLOOKUP($B455,Korrigeringsfaktor_GD,'Korrigeringsfaktor GD'!Z$1,FALSE),
"")</f>
        <v>20.861123595505617</v>
      </c>
      <c r="AA455" s="18">
        <f>IFERROR(
                  Andel_oberoende_av_klimat*VLOOKUP($A455,Leveranser_per_nät,'Leveranser per nät'!AA$1,FALSE)
               +Andel_beroende_av_klimat*VLOOKUP($A455,Leveranser_per_nät,'Leveranser per nät'!AA$1,FALSE)/VLOOKUP($B455,Korrigeringsfaktor_GD,'Korrigeringsfaktor GD'!AA$1,FALSE),
"")</f>
        <v>20.923198405845234</v>
      </c>
      <c r="AB455" s="18">
        <f>IFERROR(
                  Andel_oberoende_av_klimat*VLOOKUP($A455,Leveranser_per_nät,'Leveranser per nät'!AB$1,FALSE)
               +Andel_beroende_av_klimat*VLOOKUP($A455,Leveranser_per_nät,'Leveranser per nät'!AB$1,FALSE)/VLOOKUP($B455,Korrigeringsfaktor_GD,'Korrigeringsfaktor GD'!AB$1,FALSE),
"")</f>
        <v>20.148389655172416</v>
      </c>
      <c r="AC455" s="18">
        <f>IFERROR(
                  Andel_oberoende_av_klimat*VLOOKUP($A455,Leveranser_per_nät,'Leveranser per nät'!AC$1,FALSE)
               +Andel_beroende_av_klimat*VLOOKUP($A455,Leveranser_per_nät,'Leveranser per nät'!AC$1,FALSE)/VLOOKUP($B455,Korrigeringsfaktor_GD,'Korrigeringsfaktor GD'!AC$1,FALSE),
"")</f>
        <v>19.663746721311476</v>
      </c>
      <c r="AD455" t="e">
        <v>#N/A</v>
      </c>
    </row>
    <row r="456" spans="1:30" x14ac:dyDescent="0.25">
      <c r="A456" t="s">
        <v>74</v>
      </c>
      <c r="B456" t="s">
        <v>362</v>
      </c>
      <c r="C456" s="18">
        <f>IFERROR(
                  Andel_oberoende_av_klimat*VLOOKUP($A456,Leveranser_per_nät,'Leveranser per nät'!C$1,FALSE)
               +Andel_beroende_av_klimat*VLOOKUP($A456,Leveranser_per_nät,'Leveranser per nät'!C$1,FALSE)/VLOOKUP($B456,Korrigeringsfaktor_GD,'Korrigeringsfaktor GD'!C$1,FALSE),
"")</f>
        <v>0</v>
      </c>
      <c r="D456" s="18">
        <f>IFERROR(
                  Andel_oberoende_av_klimat*VLOOKUP($A456,Leveranser_per_nät,'Leveranser per nät'!D$1,FALSE)
               +Andel_beroende_av_klimat*VLOOKUP($A456,Leveranser_per_nät,'Leveranser per nät'!D$1,FALSE)/VLOOKUP($B456,Korrigeringsfaktor_GD,'Korrigeringsfaktor GD'!D$1,FALSE),
"")</f>
        <v>0</v>
      </c>
      <c r="E456" s="18">
        <f>IFERROR(
                  Andel_oberoende_av_klimat*VLOOKUP($A456,Leveranser_per_nät,'Leveranser per nät'!E$1,FALSE)
               +Andel_beroende_av_klimat*VLOOKUP($A456,Leveranser_per_nät,'Leveranser per nät'!E$1,FALSE)/VLOOKUP($B456,Korrigeringsfaktor_GD,'Korrigeringsfaktor GD'!E$1,FALSE),
"")</f>
        <v>0</v>
      </c>
      <c r="F456" s="18">
        <f>IFERROR(
                  Andel_oberoende_av_klimat*VLOOKUP($A456,Leveranser_per_nät,'Leveranser per nät'!F$1,FALSE)
               +Andel_beroende_av_klimat*VLOOKUP($A456,Leveranser_per_nät,'Leveranser per nät'!F$1,FALSE)/VLOOKUP($B456,Korrigeringsfaktor_GD,'Korrigeringsfaktor GD'!F$1,FALSE),
"")</f>
        <v>0</v>
      </c>
      <c r="G456" s="18">
        <f>IFERROR(
                  Andel_oberoende_av_klimat*VLOOKUP($A456,Leveranser_per_nät,'Leveranser per nät'!G$1,FALSE)
               +Andel_beroende_av_klimat*VLOOKUP($A456,Leveranser_per_nät,'Leveranser per nät'!G$1,FALSE)/VLOOKUP($B456,Korrigeringsfaktor_GD,'Korrigeringsfaktor GD'!G$1,FALSE),
"")</f>
        <v>0</v>
      </c>
      <c r="H456" s="18">
        <f>IFERROR(
                  Andel_oberoende_av_klimat*VLOOKUP($A456,Leveranser_per_nät,'Leveranser per nät'!H$1,FALSE)
               +Andel_beroende_av_klimat*VLOOKUP($A456,Leveranser_per_nät,'Leveranser per nät'!H$1,FALSE)/VLOOKUP($B456,Korrigeringsfaktor_GD,'Korrigeringsfaktor GD'!H$1,FALSE),
"")</f>
        <v>0</v>
      </c>
      <c r="I456" s="18">
        <f>IFERROR(
                  Andel_oberoende_av_klimat*VLOOKUP($A456,Leveranser_per_nät,'Leveranser per nät'!I$1,FALSE)
               +Andel_beroende_av_klimat*VLOOKUP($A456,Leveranser_per_nät,'Leveranser per nät'!I$1,FALSE)/VLOOKUP($B456,Korrigeringsfaktor_GD,'Korrigeringsfaktor GD'!I$1,FALSE),
"")</f>
        <v>0</v>
      </c>
      <c r="J456" s="18">
        <f>IFERROR(
                  Andel_oberoende_av_klimat*VLOOKUP($A456,Leveranser_per_nät,'Leveranser per nät'!J$1,FALSE)
               +Andel_beroende_av_klimat*VLOOKUP($A456,Leveranser_per_nät,'Leveranser per nät'!J$1,FALSE)/VLOOKUP($B456,Korrigeringsfaktor_GD,'Korrigeringsfaktor GD'!J$1,FALSE),
"")</f>
        <v>0</v>
      </c>
      <c r="K456" s="18">
        <f>IFERROR(
                  Andel_oberoende_av_klimat*VLOOKUP($A456,Leveranser_per_nät,'Leveranser per nät'!K$1,FALSE)
               +Andel_beroende_av_klimat*VLOOKUP($A456,Leveranser_per_nät,'Leveranser per nät'!K$1,FALSE)/VLOOKUP($B456,Korrigeringsfaktor_GD,'Korrigeringsfaktor GD'!K$1,FALSE),
"")</f>
        <v>0</v>
      </c>
      <c r="L456" s="18">
        <f>IFERROR(
                  Andel_oberoende_av_klimat*VLOOKUP($A456,Leveranser_per_nät,'Leveranser per nät'!L$1,FALSE)
               +Andel_beroende_av_klimat*VLOOKUP($A456,Leveranser_per_nät,'Leveranser per nät'!L$1,FALSE)/VLOOKUP($B456,Korrigeringsfaktor_GD,'Korrigeringsfaktor GD'!L$1,FALSE),
"")</f>
        <v>0</v>
      </c>
      <c r="M456" s="18">
        <f>IFERROR(
                  Andel_oberoende_av_klimat*VLOOKUP($A456,Leveranser_per_nät,'Leveranser per nät'!M$1,FALSE)
               +Andel_beroende_av_klimat*VLOOKUP($A456,Leveranser_per_nät,'Leveranser per nät'!M$1,FALSE)/VLOOKUP($B456,Korrigeringsfaktor_GD,'Korrigeringsfaktor GD'!M$1,FALSE),
"")</f>
        <v>0.5263440860215054</v>
      </c>
      <c r="N456" s="18">
        <f>IFERROR(
                  Andel_oberoende_av_klimat*VLOOKUP($A456,Leveranser_per_nät,'Leveranser per nät'!N$1,FALSE)
               +Andel_beroende_av_klimat*VLOOKUP($A456,Leveranser_per_nät,'Leveranser per nät'!N$1,FALSE)/VLOOKUP($B456,Korrigeringsfaktor_GD,'Korrigeringsfaktor GD'!N$1,FALSE),
"")</f>
        <v>0.53888888888888886</v>
      </c>
      <c r="O456" s="18">
        <f>IFERROR(
                  Andel_oberoende_av_klimat*VLOOKUP($A456,Leveranser_per_nät,'Leveranser per nät'!O$1,FALSE)
               +Andel_beroende_av_klimat*VLOOKUP($A456,Leveranser_per_nät,'Leveranser per nät'!O$1,FALSE)/VLOOKUP($B456,Korrigeringsfaktor_GD,'Korrigeringsfaktor GD'!O$1,FALSE),
"")</f>
        <v>0.54325842696629212</v>
      </c>
      <c r="P456" s="18">
        <f>IFERROR(
                  Andel_oberoende_av_klimat*VLOOKUP($A456,Leveranser_per_nät,'Leveranser per nät'!P$1,FALSE)
               +Andel_beroende_av_klimat*VLOOKUP($A456,Leveranser_per_nät,'Leveranser per nät'!P$1,FALSE)/VLOOKUP($B456,Korrigeringsfaktor_GD,'Korrigeringsfaktor GD'!P$1,FALSE),
"")</f>
        <v>0.50714285714285712</v>
      </c>
      <c r="Q456" s="18">
        <f>IFERROR(
                  Andel_oberoende_av_klimat*VLOOKUP($A456,Leveranser_per_nät,'Leveranser per nät'!Q$1,FALSE)
               +Andel_beroende_av_klimat*VLOOKUP($A456,Leveranser_per_nät,'Leveranser per nät'!Q$1,FALSE)/VLOOKUP($B456,Korrigeringsfaktor_GD,'Korrigeringsfaktor GD'!Q$1,FALSE),
"")</f>
        <v>1.0109239130434784</v>
      </c>
      <c r="R456" s="18">
        <f>IFERROR(
                  Andel_oberoende_av_klimat*VLOOKUP($A456,Leveranser_per_nät,'Leveranser per nät'!R$1,FALSE)
               +Andel_beroende_av_klimat*VLOOKUP($A456,Leveranser_per_nät,'Leveranser per nät'!R$1,FALSE)/VLOOKUP($B456,Korrigeringsfaktor_GD,'Korrigeringsfaktor GD'!R$1,FALSE),
"")</f>
        <v>0.96230769230769231</v>
      </c>
      <c r="S456" s="18">
        <f>IFERROR(
                  Andel_oberoende_av_klimat*VLOOKUP($A456,Leveranser_per_nät,'Leveranser per nät'!S$1,FALSE)
               +Andel_beroende_av_klimat*VLOOKUP($A456,Leveranser_per_nät,'Leveranser per nät'!S$1,FALSE)/VLOOKUP($B456,Korrigeringsfaktor_GD,'Korrigeringsfaktor GD'!S$1,FALSE),
"")</f>
        <v>1.26</v>
      </c>
      <c r="T456" s="18" t="str">
        <f>IFERROR(
                  Andel_oberoende_av_klimat*VLOOKUP($A456,Leveranser_per_nät,'Leveranser per nät'!T$1,FALSE)
               +Andel_beroende_av_klimat*VLOOKUP($A456,Leveranser_per_nät,'Leveranser per nät'!T$1,FALSE)/VLOOKUP($B456,Korrigeringsfaktor_GD,'Korrigeringsfaktor GD'!T$1,FALSE),
"")</f>
        <v/>
      </c>
      <c r="U456" s="18">
        <f>IFERROR(
                  Andel_oberoende_av_klimat*VLOOKUP($A456,Leveranser_per_nät,'Leveranser per nät'!U$1,FALSE)
               +Andel_beroende_av_klimat*VLOOKUP($A456,Leveranser_per_nät,'Leveranser per nät'!U$1,FALSE)/VLOOKUP($B456,Korrigeringsfaktor_GD,'Korrigeringsfaktor GD'!U$1,FALSE),
"")</f>
        <v>1.3476091954022988</v>
      </c>
      <c r="V456" s="18" t="str">
        <f>IFERROR(
                  Andel_oberoende_av_klimat*VLOOKUP($A456,Leveranser_per_nät,'Leveranser per nät'!V$1,FALSE)
               +Andel_beroende_av_klimat*VLOOKUP($A456,Leveranser_per_nät,'Leveranser per nät'!V$1,FALSE)/VLOOKUP($B456,Korrigeringsfaktor_GD,'Korrigeringsfaktor GD'!V$1,FALSE),
"")</f>
        <v/>
      </c>
      <c r="W456" s="18" t="str">
        <f>IFERROR(
                  Andel_oberoende_av_klimat*VLOOKUP($A456,Leveranser_per_nät,'Leveranser per nät'!W$1,FALSE)
               +Andel_beroende_av_klimat*VLOOKUP($A456,Leveranser_per_nät,'Leveranser per nät'!W$1,FALSE)/VLOOKUP($B456,Korrigeringsfaktor_GD,'Korrigeringsfaktor GD'!W$1,FALSE),
"")</f>
        <v/>
      </c>
      <c r="X456" s="18" t="str">
        <f>IFERROR(
                  Andel_oberoende_av_klimat*VLOOKUP($A456,Leveranser_per_nät,'Leveranser per nät'!X$1,FALSE)
               +Andel_beroende_av_klimat*VLOOKUP($A456,Leveranser_per_nät,'Leveranser per nät'!X$1,FALSE)/VLOOKUP($B456,Korrigeringsfaktor_GD,'Korrigeringsfaktor GD'!X$1,FALSE),
"")</f>
        <v/>
      </c>
      <c r="Y456" s="18" t="str">
        <f>IFERROR(
                  Andel_oberoende_av_klimat*VLOOKUP($A456,Leveranser_per_nät,'Leveranser per nät'!Y$1,FALSE)
               +Andel_beroende_av_klimat*VLOOKUP($A456,Leveranser_per_nät,'Leveranser per nät'!Y$1,FALSE)/VLOOKUP($B456,Korrigeringsfaktor_GD,'Korrigeringsfaktor GD'!Y$1,FALSE),
"")</f>
        <v/>
      </c>
      <c r="Z456" s="18">
        <f>IFERROR(
                  Andel_oberoende_av_klimat*VLOOKUP($A456,Leveranser_per_nät,'Leveranser per nät'!Z$1,FALSE)
               +Andel_beroende_av_klimat*VLOOKUP($A456,Leveranser_per_nät,'Leveranser per nät'!Z$1,FALSE)/VLOOKUP($B456,Korrigeringsfaktor_GD,'Korrigeringsfaktor GD'!Z$1,FALSE),
"")</f>
        <v>0</v>
      </c>
      <c r="AA456" s="18" t="str">
        <f>IFERROR(
                  Andel_oberoende_av_klimat*VLOOKUP($A456,Leveranser_per_nät,'Leveranser per nät'!AA$1,FALSE)
               +Andel_beroende_av_klimat*VLOOKUP($A456,Leveranser_per_nät,'Leveranser per nät'!AA$1,FALSE)/VLOOKUP($B456,Korrigeringsfaktor_GD,'Korrigeringsfaktor GD'!AA$1,FALSE),
"")</f>
        <v/>
      </c>
      <c r="AB456" s="18">
        <f>IFERROR(
                  Andel_oberoende_av_klimat*VLOOKUP($A456,Leveranser_per_nät,'Leveranser per nät'!AB$1,FALSE)
               +Andel_beroende_av_klimat*VLOOKUP($A456,Leveranser_per_nät,'Leveranser per nät'!AB$1,FALSE)/VLOOKUP($B456,Korrigeringsfaktor_GD,'Korrigeringsfaktor GD'!AB$1,FALSE),
"")</f>
        <v>0</v>
      </c>
      <c r="AC456" s="18">
        <f>IFERROR(
                  Andel_oberoende_av_klimat*VLOOKUP($A456,Leveranser_per_nät,'Leveranser per nät'!AC$1,FALSE)
               +Andel_beroende_av_klimat*VLOOKUP($A456,Leveranser_per_nät,'Leveranser per nät'!AC$1,FALSE)/VLOOKUP($B456,Korrigeringsfaktor_GD,'Korrigeringsfaktor GD'!AC$1,FALSE),
"")</f>
        <v>0</v>
      </c>
      <c r="AD456">
        <v>167.4</v>
      </c>
    </row>
    <row r="457" spans="1:30" x14ac:dyDescent="0.25">
      <c r="A457" t="s">
        <v>362</v>
      </c>
      <c r="B457" t="s">
        <v>517</v>
      </c>
      <c r="C457" s="18">
        <f>IFERROR(
                  Andel_oberoende_av_klimat*VLOOKUP($A457,Leveranser_per_nät,'Leveranser per nät'!C$1,FALSE)
               +Andel_beroende_av_klimat*VLOOKUP($A457,Leveranser_per_nät,'Leveranser per nät'!C$1,FALSE)/VLOOKUP($B457,Korrigeringsfaktor_GD,'Korrigeringsfaktor GD'!C$1,FALSE),
"")</f>
        <v>180.375</v>
      </c>
      <c r="D457" s="18">
        <f>IFERROR(
                  Andel_oberoende_av_klimat*VLOOKUP($A457,Leveranser_per_nät,'Leveranser per nät'!D$1,FALSE)
               +Andel_beroende_av_klimat*VLOOKUP($A457,Leveranser_per_nät,'Leveranser per nät'!D$1,FALSE)/VLOOKUP($B457,Korrigeringsfaktor_GD,'Korrigeringsfaktor GD'!D$1,FALSE),
"")</f>
        <v>147.51571717171714</v>
      </c>
      <c r="E457" s="18">
        <f>IFERROR(
                  Andel_oberoende_av_klimat*VLOOKUP($A457,Leveranser_per_nät,'Leveranser per nät'!E$1,FALSE)
               +Andel_beroende_av_klimat*VLOOKUP($A457,Leveranser_per_nät,'Leveranser per nät'!E$1,FALSE)/VLOOKUP($B457,Korrigeringsfaktor_GD,'Korrigeringsfaktor GD'!E$1,FALSE),
"")</f>
        <v>158.79019607843136</v>
      </c>
      <c r="F457" s="18">
        <f>IFERROR(
                  Andel_oberoende_av_klimat*VLOOKUP($A457,Leveranser_per_nät,'Leveranser per nät'!F$1,FALSE)
               +Andel_beroende_av_klimat*VLOOKUP($A457,Leveranser_per_nät,'Leveranser per nät'!F$1,FALSE)/VLOOKUP($B457,Korrigeringsfaktor_GD,'Korrigeringsfaktor GD'!F$1,FALSE),
"")</f>
        <v>163.16666666666666</v>
      </c>
      <c r="G457" s="18">
        <f>IFERROR(
                  Andel_oberoende_av_klimat*VLOOKUP($A457,Leveranser_per_nät,'Leveranser per nät'!G$1,FALSE)
               +Andel_beroende_av_klimat*VLOOKUP($A457,Leveranser_per_nät,'Leveranser per nät'!G$1,FALSE)/VLOOKUP($B457,Korrigeringsfaktor_GD,'Korrigeringsfaktor GD'!G$1,FALSE),
"")</f>
        <v>164.58505747126438</v>
      </c>
      <c r="H457" s="18">
        <f>IFERROR(
                  Andel_oberoende_av_klimat*VLOOKUP($A457,Leveranser_per_nät,'Leveranser per nät'!H$1,FALSE)
               +Andel_beroende_av_klimat*VLOOKUP($A457,Leveranser_per_nät,'Leveranser per nät'!H$1,FALSE)/VLOOKUP($B457,Korrigeringsfaktor_GD,'Korrigeringsfaktor GD'!H$1,FALSE),
"")</f>
        <v>169.18787878787879</v>
      </c>
      <c r="I457" s="18">
        <f>IFERROR(
                  Andel_oberoende_av_klimat*VLOOKUP($A457,Leveranser_per_nät,'Leveranser per nät'!I$1,FALSE)
               +Andel_beroende_av_klimat*VLOOKUP($A457,Leveranser_per_nät,'Leveranser per nät'!I$1,FALSE)/VLOOKUP($B457,Korrigeringsfaktor_GD,'Korrigeringsfaktor GD'!I$1,FALSE),
"")</f>
        <v>172.1157894736842</v>
      </c>
      <c r="J457" s="18">
        <f>IFERROR(
                  Andel_oberoende_av_klimat*VLOOKUP($A457,Leveranser_per_nät,'Leveranser per nät'!J$1,FALSE)
               +Andel_beroende_av_klimat*VLOOKUP($A457,Leveranser_per_nät,'Leveranser per nät'!J$1,FALSE)/VLOOKUP($B457,Korrigeringsfaktor_GD,'Korrigeringsfaktor GD'!J$1,FALSE),
"")</f>
        <v>176.23737373737373</v>
      </c>
      <c r="K457" s="18">
        <f>IFERROR(
                  Andel_oberoende_av_klimat*VLOOKUP($A457,Leveranser_per_nät,'Leveranser per nät'!K$1,FALSE)
               +Andel_beroende_av_klimat*VLOOKUP($A457,Leveranser_per_nät,'Leveranser per nät'!K$1,FALSE)/VLOOKUP($B457,Korrigeringsfaktor_GD,'Korrigeringsfaktor GD'!K$1,FALSE),
"")</f>
        <v>171.60384141414141</v>
      </c>
      <c r="L457" s="18">
        <f>IFERROR(
                  Andel_oberoende_av_klimat*VLOOKUP($A457,Leveranser_per_nät,'Leveranser per nät'!L$1,FALSE)
               +Andel_beroende_av_klimat*VLOOKUP($A457,Leveranser_per_nät,'Leveranser per nät'!L$1,FALSE)/VLOOKUP($B457,Korrigeringsfaktor_GD,'Korrigeringsfaktor GD'!L$1,FALSE),
"")</f>
        <v>168.89036666666667</v>
      </c>
      <c r="M457" s="18">
        <f>IFERROR(
                  Andel_oberoende_av_klimat*VLOOKUP($A457,Leveranser_per_nät,'Leveranser per nät'!M$1,FALSE)
               +Andel_beroende_av_klimat*VLOOKUP($A457,Leveranser_per_nät,'Leveranser per nät'!M$1,FALSE)/VLOOKUP($B457,Korrigeringsfaktor_GD,'Korrigeringsfaktor GD'!M$1,FALSE),
"")</f>
        <v>172.57033010752687</v>
      </c>
      <c r="N457" s="18">
        <f>IFERROR(
                  Andel_oberoende_av_klimat*VLOOKUP($A457,Leveranser_per_nät,'Leveranser per nät'!N$1,FALSE)
               +Andel_beroende_av_klimat*VLOOKUP($A457,Leveranser_per_nät,'Leveranser per nät'!N$1,FALSE)/VLOOKUP($B457,Korrigeringsfaktor_GD,'Korrigeringsfaktor GD'!N$1,FALSE),
"")</f>
        <v>173.59068461538459</v>
      </c>
      <c r="O457" s="18">
        <f>IFERROR(
                  Andel_oberoende_av_klimat*VLOOKUP($A457,Leveranser_per_nät,'Leveranser per nät'!O$1,FALSE)
               +Andel_beroende_av_klimat*VLOOKUP($A457,Leveranser_per_nät,'Leveranser per nät'!O$1,FALSE)/VLOOKUP($B457,Korrigeringsfaktor_GD,'Korrigeringsfaktor GD'!O$1,FALSE),
"")</f>
        <v>174.95175909090906</v>
      </c>
      <c r="P457" s="18">
        <f>IFERROR(
                  Andel_oberoende_av_klimat*VLOOKUP($A457,Leveranser_per_nät,'Leveranser per nät'!P$1,FALSE)
               +Andel_beroende_av_klimat*VLOOKUP($A457,Leveranser_per_nät,'Leveranser per nät'!P$1,FALSE)/VLOOKUP($B457,Korrigeringsfaktor_GD,'Korrigeringsfaktor GD'!P$1,FALSE),
"")</f>
        <v>176.57091428571428</v>
      </c>
      <c r="Q457" s="18">
        <f>IFERROR(
                  Andel_oberoende_av_klimat*VLOOKUP($A457,Leveranser_per_nät,'Leveranser per nät'!Q$1,FALSE)
               +Andel_beroende_av_klimat*VLOOKUP($A457,Leveranser_per_nät,'Leveranser per nät'!Q$1,FALSE)/VLOOKUP($B457,Korrigeringsfaktor_GD,'Korrigeringsfaktor GD'!Q$1,FALSE),
"")</f>
        <v>187.80882758620692</v>
      </c>
      <c r="R457" s="18">
        <f>IFERROR(
                  Andel_oberoende_av_klimat*VLOOKUP($A457,Leveranser_per_nät,'Leveranser per nät'!R$1,FALSE)
               +Andel_beroende_av_klimat*VLOOKUP($A457,Leveranser_per_nät,'Leveranser per nät'!R$1,FALSE)/VLOOKUP($B457,Korrigeringsfaktor_GD,'Korrigeringsfaktor GD'!R$1,FALSE),
"")</f>
        <v>188.24449230769233</v>
      </c>
      <c r="S457" s="18">
        <f>IFERROR(
                  Andel_oberoende_av_klimat*VLOOKUP($A457,Leveranser_per_nät,'Leveranser per nät'!S$1,FALSE)
               +Andel_beroende_av_klimat*VLOOKUP($A457,Leveranser_per_nät,'Leveranser per nät'!S$1,FALSE)/VLOOKUP($B457,Korrigeringsfaktor_GD,'Korrigeringsfaktor GD'!S$1,FALSE),
"")</f>
        <v>187</v>
      </c>
      <c r="T457" s="18">
        <f>IFERROR(
                  Andel_oberoende_av_klimat*VLOOKUP($A457,Leveranser_per_nät,'Leveranser per nät'!T$1,FALSE)
               +Andel_beroende_av_klimat*VLOOKUP($A457,Leveranser_per_nät,'Leveranser per nät'!T$1,FALSE)/VLOOKUP($B457,Korrigeringsfaktor_GD,'Korrigeringsfaktor GD'!T$1,FALSE),
"")</f>
        <v>188.49432989690723</v>
      </c>
      <c r="U457" s="18">
        <f>IFERROR(
                  Andel_oberoende_av_klimat*VLOOKUP($A457,Leveranser_per_nät,'Leveranser per nät'!U$1,FALSE)
               +Andel_beroende_av_klimat*VLOOKUP($A457,Leveranser_per_nät,'Leveranser per nät'!U$1,FALSE)/VLOOKUP($B457,Korrigeringsfaktor_GD,'Korrigeringsfaktor GD'!U$1,FALSE),
"")</f>
        <v>182.86078651685395</v>
      </c>
      <c r="V457" s="18">
        <f>IFERROR(
                  Andel_oberoende_av_klimat*VLOOKUP($A457,Leveranser_per_nät,'Leveranser per nät'!V$1,FALSE)
               +Andel_beroende_av_klimat*VLOOKUP($A457,Leveranser_per_nät,'Leveranser per nät'!V$1,FALSE)/VLOOKUP($B457,Korrigeringsfaktor_GD,'Korrigeringsfaktor GD'!V$1,FALSE),
"")</f>
        <v>183.26954545454544</v>
      </c>
      <c r="W457" s="18">
        <f>IFERROR(
                  Andel_oberoende_av_klimat*VLOOKUP($A457,Leveranser_per_nät,'Leveranser per nät'!W$1,FALSE)
               +Andel_beroende_av_klimat*VLOOKUP($A457,Leveranser_per_nät,'Leveranser per nät'!W$1,FALSE)/VLOOKUP($B457,Korrigeringsfaktor_GD,'Korrigeringsfaktor GD'!W$1,FALSE),
"")</f>
        <v>187.77106842105263</v>
      </c>
      <c r="X457" s="18">
        <f>IFERROR(
                  Andel_oberoende_av_klimat*VLOOKUP($A457,Leveranser_per_nät,'Leveranser per nät'!X$1,FALSE)
               +Andel_beroende_av_klimat*VLOOKUP($A457,Leveranser_per_nät,'Leveranser per nät'!X$1,FALSE)/VLOOKUP($B457,Korrigeringsfaktor_GD,'Korrigeringsfaktor GD'!X$1,FALSE),
"")</f>
        <v>186.95741935483869</v>
      </c>
      <c r="Y457" s="18">
        <f>IFERROR(
                  Andel_oberoende_av_klimat*VLOOKUP($A457,Leveranser_per_nät,'Leveranser per nät'!Y$1,FALSE)
               +Andel_beroende_av_klimat*VLOOKUP($A457,Leveranser_per_nät,'Leveranser per nät'!Y$1,FALSE)/VLOOKUP($B457,Korrigeringsfaktor_GD,'Korrigeringsfaktor GD'!Y$1,FALSE),
"")</f>
        <v>185.43085106382978</v>
      </c>
      <c r="Z457" s="18">
        <f>IFERROR(
                  Andel_oberoende_av_klimat*VLOOKUP($A457,Leveranser_per_nät,'Leveranser per nät'!Z$1,FALSE)
               +Andel_beroende_av_klimat*VLOOKUP($A457,Leveranser_per_nät,'Leveranser per nät'!Z$1,FALSE)/VLOOKUP($B457,Korrigeringsfaktor_GD,'Korrigeringsfaktor GD'!Z$1,FALSE),
"")</f>
        <v>170.3</v>
      </c>
      <c r="AA457" s="18">
        <f>IFERROR(
                  Andel_oberoende_av_klimat*VLOOKUP($A457,Leveranser_per_nät,'Leveranser per nät'!AA$1,FALSE)
               +Andel_beroende_av_klimat*VLOOKUP($A457,Leveranser_per_nät,'Leveranser per nät'!AA$1,FALSE)/VLOOKUP($B457,Korrigeringsfaktor_GD,'Korrigeringsfaktor GD'!AA$1,FALSE),
"")</f>
        <v>170.28021429962985</v>
      </c>
      <c r="AB457" s="18">
        <f>IFERROR(
                  Andel_oberoende_av_klimat*VLOOKUP($A457,Leveranser_per_nät,'Leveranser per nät'!AB$1,FALSE)
               +Andel_beroende_av_klimat*VLOOKUP($A457,Leveranser_per_nät,'Leveranser per nät'!AB$1,FALSE)/VLOOKUP($B457,Korrigeringsfaktor_GD,'Korrigeringsfaktor GD'!AB$1,FALSE),
"")</f>
        <v>178.48678466076694</v>
      </c>
      <c r="AC457" s="18">
        <f>IFERROR(
                  Andel_oberoende_av_klimat*VLOOKUP($A457,Leveranser_per_nät,'Leveranser per nät'!AC$1,FALSE)
               +Andel_beroende_av_klimat*VLOOKUP($A457,Leveranser_per_nät,'Leveranser per nät'!AC$1,FALSE)/VLOOKUP($B457,Korrigeringsfaktor_GD,'Korrigeringsfaktor GD'!AC$1,FALSE),
"")</f>
        <v>174.08892177589851</v>
      </c>
      <c r="AD457" t="e">
        <v>#N/A</v>
      </c>
    </row>
    <row r="458" spans="1:30" x14ac:dyDescent="0.25">
      <c r="A458" t="s">
        <v>207</v>
      </c>
      <c r="B458" t="s">
        <v>207</v>
      </c>
      <c r="C458" s="18">
        <f>IFERROR(
                  Andel_oberoende_av_klimat*VLOOKUP($A458,Leveranser_per_nät,'Leveranser per nät'!C$1,FALSE)
               +Andel_beroende_av_klimat*VLOOKUP($A458,Leveranser_per_nät,'Leveranser per nät'!C$1,FALSE)/VLOOKUP($B458,Korrigeringsfaktor_GD,'Korrigeringsfaktor GD'!C$1,FALSE),
"")</f>
        <v>1504.8297297297297</v>
      </c>
      <c r="D458" s="18">
        <f>IFERROR(
                  Andel_oberoende_av_klimat*VLOOKUP($A458,Leveranser_per_nät,'Leveranser per nät'!D$1,FALSE)
               +Andel_beroende_av_klimat*VLOOKUP($A458,Leveranser_per_nät,'Leveranser per nät'!D$1,FALSE)/VLOOKUP($B458,Korrigeringsfaktor_GD,'Korrigeringsfaktor GD'!D$1,FALSE),
"")</f>
        <v>1469.0812857142857</v>
      </c>
      <c r="E458" s="18">
        <f>IFERROR(
                  Andel_oberoende_av_klimat*VLOOKUP($A458,Leveranser_per_nät,'Leveranser per nät'!E$1,FALSE)
               +Andel_beroende_av_klimat*VLOOKUP($A458,Leveranser_per_nät,'Leveranser per nät'!E$1,FALSE)/VLOOKUP($B458,Korrigeringsfaktor_GD,'Korrigeringsfaktor GD'!E$1,FALSE),
"")</f>
        <v>1495.1921568627454</v>
      </c>
      <c r="F458" s="18">
        <f>IFERROR(
                  Andel_oberoende_av_klimat*VLOOKUP($A458,Leveranser_per_nät,'Leveranser per nät'!F$1,FALSE)
               +Andel_beroende_av_klimat*VLOOKUP($A458,Leveranser_per_nät,'Leveranser per nät'!F$1,FALSE)/VLOOKUP($B458,Korrigeringsfaktor_GD,'Korrigeringsfaktor GD'!F$1,FALSE),
"")</f>
        <v>1571.8526315789477</v>
      </c>
      <c r="G458" s="18">
        <f>IFERROR(
                  Andel_oberoende_av_klimat*VLOOKUP($A458,Leveranser_per_nät,'Leveranser per nät'!G$1,FALSE)
               +Andel_beroende_av_klimat*VLOOKUP($A458,Leveranser_per_nät,'Leveranser per nät'!G$1,FALSE)/VLOOKUP($B458,Korrigeringsfaktor_GD,'Korrigeringsfaktor GD'!G$1,FALSE),
"")</f>
        <v>1482.5534781609194</v>
      </c>
      <c r="H458" s="18">
        <f>IFERROR(
                  Andel_oberoende_av_klimat*VLOOKUP($A458,Leveranser_per_nät,'Leveranser per nät'!H$1,FALSE)
               +Andel_beroende_av_klimat*VLOOKUP($A458,Leveranser_per_nät,'Leveranser per nät'!H$1,FALSE)/VLOOKUP($B458,Korrigeringsfaktor_GD,'Korrigeringsfaktor GD'!H$1,FALSE),
"")</f>
        <v>1500.5353535353536</v>
      </c>
      <c r="I458" s="18">
        <f>IFERROR(
                  Andel_oberoende_av_klimat*VLOOKUP($A458,Leveranser_per_nät,'Leveranser per nät'!I$1,FALSE)
               +Andel_beroende_av_klimat*VLOOKUP($A458,Leveranser_per_nät,'Leveranser per nät'!I$1,FALSE)/VLOOKUP($B458,Korrigeringsfaktor_GD,'Korrigeringsfaktor GD'!I$1,FALSE),
"")</f>
        <v>1471.7285714285713</v>
      </c>
      <c r="J458" s="18">
        <f>IFERROR(
                  Andel_oberoende_av_klimat*VLOOKUP($A458,Leveranser_per_nät,'Leveranser per nät'!J$1,FALSE)
               +Andel_beroende_av_klimat*VLOOKUP($A458,Leveranser_per_nät,'Leveranser per nät'!J$1,FALSE)/VLOOKUP($B458,Korrigeringsfaktor_GD,'Korrigeringsfaktor GD'!J$1,FALSE),
"")</f>
        <v>1480.0335428571429</v>
      </c>
      <c r="K458" s="18">
        <f>IFERROR(
                  Andel_oberoende_av_klimat*VLOOKUP($A458,Leveranser_per_nät,'Leveranser per nät'!K$1,FALSE)
               +Andel_beroende_av_klimat*VLOOKUP($A458,Leveranser_per_nät,'Leveranser per nät'!K$1,FALSE)/VLOOKUP($B458,Korrigeringsfaktor_GD,'Korrigeringsfaktor GD'!K$1,FALSE),
"")</f>
        <v>1565.8877571428573</v>
      </c>
      <c r="L458" s="18">
        <f>IFERROR(
                  Andel_oberoende_av_klimat*VLOOKUP($A458,Leveranser_per_nät,'Leveranser per nät'!L$1,FALSE)
               +Andel_beroende_av_klimat*VLOOKUP($A458,Leveranser_per_nät,'Leveranser per nät'!L$1,FALSE)/VLOOKUP($B458,Korrigeringsfaktor_GD,'Korrigeringsfaktor GD'!L$1,FALSE),
"")</f>
        <v>1558.1895446808512</v>
      </c>
      <c r="M458" s="18">
        <f>IFERROR(
                  Andel_oberoende_av_klimat*VLOOKUP($A458,Leveranser_per_nät,'Leveranser per nät'!M$1,FALSE)
               +Andel_beroende_av_klimat*VLOOKUP($A458,Leveranser_per_nät,'Leveranser per nät'!M$1,FALSE)/VLOOKUP($B458,Korrigeringsfaktor_GD,'Korrigeringsfaktor GD'!M$1,FALSE),
"")</f>
        <v>1580.0849462365591</v>
      </c>
      <c r="N458" s="18">
        <f>IFERROR(
                  Andel_oberoende_av_klimat*VLOOKUP($A458,Leveranser_per_nät,'Leveranser per nät'!N$1,FALSE)
               +Andel_beroende_av_klimat*VLOOKUP($A458,Leveranser_per_nät,'Leveranser per nät'!N$1,FALSE)/VLOOKUP($B458,Korrigeringsfaktor_GD,'Korrigeringsfaktor GD'!N$1,FALSE),
"")</f>
        <v>1665.3526881720429</v>
      </c>
      <c r="O458" s="18">
        <f>IFERROR(
                  Andel_oberoende_av_klimat*VLOOKUP($A458,Leveranser_per_nät,'Leveranser per nät'!O$1,FALSE)
               +Andel_beroende_av_klimat*VLOOKUP($A458,Leveranser_per_nät,'Leveranser per nät'!O$1,FALSE)/VLOOKUP($B458,Korrigeringsfaktor_GD,'Korrigeringsfaktor GD'!O$1,FALSE),
"")</f>
        <v>1611.3044943820225</v>
      </c>
      <c r="P458" s="18">
        <f>IFERROR(
                  Andel_oberoende_av_klimat*VLOOKUP($A458,Leveranser_per_nät,'Leveranser per nät'!P$1,FALSE)
               +Andel_beroende_av_klimat*VLOOKUP($A458,Leveranser_per_nät,'Leveranser per nät'!P$1,FALSE)/VLOOKUP($B458,Korrigeringsfaktor_GD,'Korrigeringsfaktor GD'!P$1,FALSE),
"")</f>
        <v>1635.4828282828282</v>
      </c>
      <c r="Q458" s="18">
        <f>IFERROR(
                  Andel_oberoende_av_klimat*VLOOKUP($A458,Leveranser_per_nät,'Leveranser per nät'!Q$1,FALSE)
               +Andel_beroende_av_klimat*VLOOKUP($A458,Leveranser_per_nät,'Leveranser per nät'!Q$1,FALSE)/VLOOKUP($B458,Korrigeringsfaktor_GD,'Korrigeringsfaktor GD'!Q$1,FALSE),
"")</f>
        <v>1607.9401709401709</v>
      </c>
      <c r="R458" s="18">
        <f>IFERROR(
                  Andel_oberoende_av_klimat*VLOOKUP($A458,Leveranser_per_nät,'Leveranser per nät'!R$1,FALSE)
               +Andel_beroende_av_klimat*VLOOKUP($A458,Leveranser_per_nät,'Leveranser per nät'!R$1,FALSE)/VLOOKUP($B458,Korrigeringsfaktor_GD,'Korrigeringsfaktor GD'!R$1,FALSE),
"")</f>
        <v>1399.623076923077</v>
      </c>
      <c r="S458" s="18">
        <f>IFERROR(
                  Andel_oberoende_av_klimat*VLOOKUP($A458,Leveranser_per_nät,'Leveranser per nät'!S$1,FALSE)
               +Andel_beroende_av_klimat*VLOOKUP($A458,Leveranser_per_nät,'Leveranser per nät'!S$1,FALSE)/VLOOKUP($B458,Korrigeringsfaktor_GD,'Korrigeringsfaktor GD'!S$1,FALSE),
"")</f>
        <v>1535</v>
      </c>
      <c r="T458" s="18">
        <f>IFERROR(
                  Andel_oberoende_av_klimat*VLOOKUP($A458,Leveranser_per_nät,'Leveranser per nät'!T$1,FALSE)
               +Andel_beroende_av_klimat*VLOOKUP($A458,Leveranser_per_nät,'Leveranser per nät'!T$1,FALSE)/VLOOKUP($B458,Korrigeringsfaktor_GD,'Korrigeringsfaktor GD'!T$1,FALSE),
"")</f>
        <v>1497.4375</v>
      </c>
      <c r="U458" s="18">
        <f>IFERROR(
                  Andel_oberoende_av_klimat*VLOOKUP($A458,Leveranser_per_nät,'Leveranser per nät'!U$1,FALSE)
               +Andel_beroende_av_klimat*VLOOKUP($A458,Leveranser_per_nät,'Leveranser per nät'!U$1,FALSE)/VLOOKUP($B458,Korrigeringsfaktor_GD,'Korrigeringsfaktor GD'!U$1,FALSE),
"")</f>
        <v>1490.5850876363638</v>
      </c>
      <c r="V458" s="18">
        <f>IFERROR(
                  Andel_oberoende_av_klimat*VLOOKUP($A458,Leveranser_per_nät,'Leveranser per nät'!V$1,FALSE)
               +Andel_beroende_av_klimat*VLOOKUP($A458,Leveranser_per_nät,'Leveranser per nät'!V$1,FALSE)/VLOOKUP($B458,Korrigeringsfaktor_GD,'Korrigeringsfaktor GD'!V$1,FALSE),
"")</f>
        <v>1476.6825863636363</v>
      </c>
      <c r="W458" s="18">
        <f>IFERROR(
                  Andel_oberoende_av_klimat*VLOOKUP($A458,Leveranser_per_nät,'Leveranser per nät'!W$1,FALSE)
               +Andel_beroende_av_klimat*VLOOKUP($A458,Leveranser_per_nät,'Leveranser per nät'!W$1,FALSE)/VLOOKUP($B458,Korrigeringsfaktor_GD,'Korrigeringsfaktor GD'!W$1,FALSE),
"")</f>
        <v>1539.2111698924732</v>
      </c>
      <c r="X458" s="18">
        <f>IFERROR(
                  Andel_oberoende_av_klimat*VLOOKUP($A458,Leveranser_per_nät,'Leveranser per nät'!X$1,FALSE)
               +Andel_beroende_av_klimat*VLOOKUP($A458,Leveranser_per_nät,'Leveranser per nät'!X$1,FALSE)/VLOOKUP($B458,Korrigeringsfaktor_GD,'Korrigeringsfaktor GD'!X$1,FALSE),
"")</f>
        <v>1579.6709582608696</v>
      </c>
      <c r="Y458" s="18">
        <f>IFERROR(
                  Andel_oberoende_av_klimat*VLOOKUP($A458,Leveranser_per_nät,'Leveranser per nät'!Y$1,FALSE)
               +Andel_beroende_av_klimat*VLOOKUP($A458,Leveranser_per_nät,'Leveranser per nät'!Y$1,FALSE)/VLOOKUP($B458,Korrigeringsfaktor_GD,'Korrigeringsfaktor GD'!Y$1,FALSE),
"")</f>
        <v>1554.5674956521736</v>
      </c>
      <c r="Z458" s="18">
        <f>IFERROR(
                  Andel_oberoende_av_klimat*VLOOKUP($A458,Leveranser_per_nät,'Leveranser per nät'!Z$1,FALSE)
               +Andel_beroende_av_klimat*VLOOKUP($A458,Leveranser_per_nät,'Leveranser per nät'!Z$1,FALSE)/VLOOKUP($B458,Korrigeringsfaktor_GD,'Korrigeringsfaktor GD'!Z$1,FALSE),
"")</f>
        <v>1493.1202919191919</v>
      </c>
      <c r="AA458" s="18">
        <f>IFERROR(
                  Andel_oberoende_av_klimat*VLOOKUP($A458,Leveranser_per_nät,'Leveranser per nät'!AA$1,FALSE)
               +Andel_beroende_av_klimat*VLOOKUP($A458,Leveranser_per_nät,'Leveranser per nät'!AA$1,FALSE)/VLOOKUP($B458,Korrigeringsfaktor_GD,'Korrigeringsfaktor GD'!AA$1,FALSE),
"")</f>
        <v>1421.6473028558266</v>
      </c>
      <c r="AB458" s="18">
        <f>IFERROR(
                  Andel_oberoende_av_klimat*VLOOKUP($A458,Leveranser_per_nät,'Leveranser per nät'!AB$1,FALSE)
               +Andel_beroende_av_klimat*VLOOKUP($A458,Leveranser_per_nät,'Leveranser per nät'!AB$1,FALSE)/VLOOKUP($B458,Korrigeringsfaktor_GD,'Korrigeringsfaktor GD'!AB$1,FALSE),
"")</f>
        <v>1500.7193121817288</v>
      </c>
      <c r="AC458" s="18">
        <f>IFERROR(
                  Andel_oberoende_av_klimat*VLOOKUP($A458,Leveranser_per_nät,'Leveranser per nät'!AC$1,FALSE)
               +Andel_beroende_av_klimat*VLOOKUP($A458,Leveranser_per_nät,'Leveranser per nät'!AC$1,FALSE)/VLOOKUP($B458,Korrigeringsfaktor_GD,'Korrigeringsfaktor GD'!AC$1,FALSE),
"")</f>
        <v>1459.9856540084388</v>
      </c>
      <c r="AD458">
        <v>1373.4</v>
      </c>
    </row>
    <row r="459" spans="1:30" x14ac:dyDescent="0.25">
      <c r="A459" t="s">
        <v>363</v>
      </c>
      <c r="B459" t="s">
        <v>363</v>
      </c>
      <c r="C459" s="18">
        <f>IFERROR(
                  Andel_oberoende_av_klimat*VLOOKUP($A459,Leveranser_per_nät,'Leveranser per nät'!C$1,FALSE)
               +Andel_beroende_av_klimat*VLOOKUP($A459,Leveranser_per_nät,'Leveranser per nät'!C$1,FALSE)/VLOOKUP($B459,Korrigeringsfaktor_GD,'Korrigeringsfaktor GD'!C$1,FALSE),
"")</f>
        <v>399.6332666666666</v>
      </c>
      <c r="D459" s="18">
        <f>IFERROR(
                  Andel_oberoende_av_klimat*VLOOKUP($A459,Leveranser_per_nät,'Leveranser per nät'!D$1,FALSE)
               +Andel_beroende_av_klimat*VLOOKUP($A459,Leveranser_per_nät,'Leveranser per nät'!D$1,FALSE)/VLOOKUP($B459,Korrigeringsfaktor_GD,'Korrigeringsfaktor GD'!D$1,FALSE),
"")</f>
        <v>414.03</v>
      </c>
      <c r="E459" s="18">
        <f>IFERROR(
                  Andel_oberoende_av_klimat*VLOOKUP($A459,Leveranser_per_nät,'Leveranser per nät'!E$1,FALSE)
               +Andel_beroende_av_klimat*VLOOKUP($A459,Leveranser_per_nät,'Leveranser per nät'!E$1,FALSE)/VLOOKUP($B459,Korrigeringsfaktor_GD,'Korrigeringsfaktor GD'!E$1,FALSE),
"")</f>
        <v>406.16534653465339</v>
      </c>
      <c r="F459" s="18">
        <f>IFERROR(
                  Andel_oberoende_av_klimat*VLOOKUP($A459,Leveranser_per_nät,'Leveranser per nät'!F$1,FALSE)
               +Andel_beroende_av_klimat*VLOOKUP($A459,Leveranser_per_nät,'Leveranser per nät'!F$1,FALSE)/VLOOKUP($B459,Korrigeringsfaktor_GD,'Korrigeringsfaktor GD'!F$1,FALSE),
"")</f>
        <v>409.5148936170213</v>
      </c>
      <c r="G459" s="18">
        <f>IFERROR(
                  Andel_oberoende_av_klimat*VLOOKUP($A459,Leveranser_per_nät,'Leveranser per nät'!G$1,FALSE)
               +Andel_beroende_av_klimat*VLOOKUP($A459,Leveranser_per_nät,'Leveranser per nät'!G$1,FALSE)/VLOOKUP($B459,Korrigeringsfaktor_GD,'Korrigeringsfaktor GD'!G$1,FALSE),
"")</f>
        <v>419.74712643678163</v>
      </c>
      <c r="H459" s="18">
        <f>IFERROR(
                  Andel_oberoende_av_klimat*VLOOKUP($A459,Leveranser_per_nät,'Leveranser per nät'!H$1,FALSE)
               +Andel_beroende_av_klimat*VLOOKUP($A459,Leveranser_per_nät,'Leveranser per nät'!H$1,FALSE)/VLOOKUP($B459,Korrigeringsfaktor_GD,'Korrigeringsfaktor GD'!H$1,FALSE),
"")</f>
        <v>426</v>
      </c>
      <c r="I459" s="18">
        <f>IFERROR(
                  Andel_oberoende_av_klimat*VLOOKUP($A459,Leveranser_per_nät,'Leveranser per nät'!I$1,FALSE)
               +Andel_beroende_av_klimat*VLOOKUP($A459,Leveranser_per_nät,'Leveranser per nät'!I$1,FALSE)/VLOOKUP($B459,Korrigeringsfaktor_GD,'Korrigeringsfaktor GD'!I$1,FALSE),
"")</f>
        <v>448.89622765957449</v>
      </c>
      <c r="J459" s="18">
        <f>IFERROR(
                  Andel_oberoende_av_klimat*VLOOKUP($A459,Leveranser_per_nät,'Leveranser per nät'!J$1,FALSE)
               +Andel_beroende_av_klimat*VLOOKUP($A459,Leveranser_per_nät,'Leveranser per nät'!J$1,FALSE)/VLOOKUP($B459,Korrigeringsfaktor_GD,'Korrigeringsfaktor GD'!J$1,FALSE),
"")</f>
        <v>477.10985714285715</v>
      </c>
      <c r="K459" s="18">
        <f>IFERROR(
                  Andel_oberoende_av_klimat*VLOOKUP($A459,Leveranser_per_nät,'Leveranser per nät'!K$1,FALSE)
               +Andel_beroende_av_klimat*VLOOKUP($A459,Leveranser_per_nät,'Leveranser per nät'!K$1,FALSE)/VLOOKUP($B459,Korrigeringsfaktor_GD,'Korrigeringsfaktor GD'!K$1,FALSE),
"")</f>
        <v>503.07900000000006</v>
      </c>
      <c r="L459" s="18">
        <f>IFERROR(
                  Andel_oberoende_av_klimat*VLOOKUP($A459,Leveranser_per_nät,'Leveranser per nät'!L$1,FALSE)
               +Andel_beroende_av_klimat*VLOOKUP($A459,Leveranser_per_nät,'Leveranser per nät'!L$1,FALSE)/VLOOKUP($B459,Korrigeringsfaktor_GD,'Korrigeringsfaktor GD'!L$1,FALSE),
"")</f>
        <v>468.03499690721651</v>
      </c>
      <c r="M459" s="18">
        <f>IFERROR(
                  Andel_oberoende_av_klimat*VLOOKUP($A459,Leveranser_per_nät,'Leveranser per nät'!M$1,FALSE)
               +Andel_beroende_av_klimat*VLOOKUP($A459,Leveranser_per_nät,'Leveranser per nät'!M$1,FALSE)/VLOOKUP($B459,Korrigeringsfaktor_GD,'Korrigeringsfaktor GD'!M$1,FALSE),
"")</f>
        <v>508.44838709677418</v>
      </c>
      <c r="N459" s="18">
        <f>IFERROR(
                  Andel_oberoende_av_klimat*VLOOKUP($A459,Leveranser_per_nät,'Leveranser per nät'!N$1,FALSE)
               +Andel_beroende_av_klimat*VLOOKUP($A459,Leveranser_per_nät,'Leveranser per nät'!N$1,FALSE)/VLOOKUP($B459,Korrigeringsfaktor_GD,'Korrigeringsfaktor GD'!N$1,FALSE),
"")</f>
        <v>520.56666666666661</v>
      </c>
      <c r="O459" s="18">
        <f>IFERROR(
                  Andel_oberoende_av_klimat*VLOOKUP($A459,Leveranser_per_nät,'Leveranser per nät'!O$1,FALSE)
               +Andel_beroende_av_klimat*VLOOKUP($A459,Leveranser_per_nät,'Leveranser per nät'!O$1,FALSE)/VLOOKUP($B459,Korrigeringsfaktor_GD,'Korrigeringsfaktor GD'!O$1,FALSE),
"")</f>
        <v>522.95933333333335</v>
      </c>
      <c r="P459" s="18">
        <f>IFERROR(
                  Andel_oberoende_av_klimat*VLOOKUP($A459,Leveranser_per_nät,'Leveranser per nät'!P$1,FALSE)
               +Andel_beroende_av_klimat*VLOOKUP($A459,Leveranser_per_nät,'Leveranser per nät'!P$1,FALSE)/VLOOKUP($B459,Korrigeringsfaktor_GD,'Korrigeringsfaktor GD'!P$1,FALSE),
"")</f>
        <v>534.53567142857139</v>
      </c>
      <c r="Q459" s="18">
        <f>IFERROR(
                  Andel_oberoende_av_klimat*VLOOKUP($A459,Leveranser_per_nät,'Leveranser per nät'!Q$1,FALSE)
               +Andel_beroende_av_klimat*VLOOKUP($A459,Leveranser_per_nät,'Leveranser per nät'!Q$1,FALSE)/VLOOKUP($B459,Korrigeringsfaktor_GD,'Korrigeringsfaktor GD'!Q$1,FALSE),
"")</f>
        <v>515.10957826086951</v>
      </c>
      <c r="R459" s="18">
        <f>IFERROR(
                  Andel_oberoende_av_klimat*VLOOKUP($A459,Leveranser_per_nät,'Leveranser per nät'!R$1,FALSE)
               +Andel_beroende_av_klimat*VLOOKUP($A459,Leveranser_per_nät,'Leveranser per nät'!R$1,FALSE)/VLOOKUP($B459,Korrigeringsfaktor_GD,'Korrigeringsfaktor GD'!R$1,FALSE),
"")</f>
        <v>628.73707826086957</v>
      </c>
      <c r="S459" s="18">
        <f>IFERROR(
                  Andel_oberoende_av_klimat*VLOOKUP($A459,Leveranser_per_nät,'Leveranser per nät'!S$1,FALSE)
               +Andel_beroende_av_klimat*VLOOKUP($A459,Leveranser_per_nät,'Leveranser per nät'!S$1,FALSE)/VLOOKUP($B459,Korrigeringsfaktor_GD,'Korrigeringsfaktor GD'!S$1,FALSE),
"")</f>
        <v>553.13960396039602</v>
      </c>
      <c r="T459" s="18">
        <f>IFERROR(
                  Andel_oberoende_av_klimat*VLOOKUP($A459,Leveranser_per_nät,'Leveranser per nät'!T$1,FALSE)
               +Andel_beroende_av_klimat*VLOOKUP($A459,Leveranser_per_nät,'Leveranser per nät'!T$1,FALSE)/VLOOKUP($B459,Korrigeringsfaktor_GD,'Korrigeringsfaktor GD'!T$1,FALSE),
"")</f>
        <v>560.92332857142867</v>
      </c>
      <c r="U459" s="18">
        <f>IFERROR(
                  Andel_oberoende_av_klimat*VLOOKUP($A459,Leveranser_per_nät,'Leveranser per nät'!U$1,FALSE)
               +Andel_beroende_av_klimat*VLOOKUP($A459,Leveranser_per_nät,'Leveranser per nät'!U$1,FALSE)/VLOOKUP($B459,Korrigeringsfaktor_GD,'Korrigeringsfaktor GD'!U$1,FALSE),
"")</f>
        <v>592.73242325581384</v>
      </c>
      <c r="V459" s="18">
        <f>IFERROR(
                  Andel_oberoende_av_klimat*VLOOKUP($A459,Leveranser_per_nät,'Leveranser per nät'!V$1,FALSE)
               +Andel_beroende_av_klimat*VLOOKUP($A459,Leveranser_per_nät,'Leveranser per nät'!V$1,FALSE)/VLOOKUP($B459,Korrigeringsfaktor_GD,'Korrigeringsfaktor GD'!V$1,FALSE),
"")</f>
        <v>549.0771222222221</v>
      </c>
      <c r="W459" s="18">
        <f>IFERROR(
                  Andel_oberoende_av_klimat*VLOOKUP($A459,Leveranser_per_nät,'Leveranser per nät'!W$1,FALSE)
               +Andel_beroende_av_klimat*VLOOKUP($A459,Leveranser_per_nät,'Leveranser per nät'!W$1,FALSE)/VLOOKUP($B459,Korrigeringsfaktor_GD,'Korrigeringsfaktor GD'!W$1,FALSE),
"")</f>
        <v>562.12918510638292</v>
      </c>
      <c r="X459" s="18">
        <f>IFERROR(
                  Andel_oberoende_av_klimat*VLOOKUP($A459,Leveranser_per_nät,'Leveranser per nät'!X$1,FALSE)
               +Andel_beroende_av_klimat*VLOOKUP($A459,Leveranser_per_nät,'Leveranser per nät'!X$1,FALSE)/VLOOKUP($B459,Korrigeringsfaktor_GD,'Korrigeringsfaktor GD'!X$1,FALSE),
"")</f>
        <v>586.45889677419359</v>
      </c>
      <c r="Y459" s="18">
        <f>IFERROR(
                  Andel_oberoende_av_klimat*VLOOKUP($A459,Leveranser_per_nät,'Leveranser per nät'!Y$1,FALSE)
               +Andel_beroende_av_klimat*VLOOKUP($A459,Leveranser_per_nät,'Leveranser per nät'!Y$1,FALSE)/VLOOKUP($B459,Korrigeringsfaktor_GD,'Korrigeringsfaktor GD'!Y$1,FALSE),
"")</f>
        <v>576.44728888888881</v>
      </c>
      <c r="Z459" s="18">
        <f>IFERROR(
                  Andel_oberoende_av_klimat*VLOOKUP($A459,Leveranser_per_nät,'Leveranser per nät'!Z$1,FALSE)
               +Andel_beroende_av_klimat*VLOOKUP($A459,Leveranser_per_nät,'Leveranser per nät'!Z$1,FALSE)/VLOOKUP($B459,Korrigeringsfaktor_GD,'Korrigeringsfaktor GD'!Z$1,FALSE),
"")</f>
        <v>551.82999999999993</v>
      </c>
      <c r="AA459" s="18">
        <f>IFERROR(
                  Andel_oberoende_av_klimat*VLOOKUP($A459,Leveranser_per_nät,'Leveranser per nät'!AA$1,FALSE)
               +Andel_beroende_av_klimat*VLOOKUP($A459,Leveranser_per_nät,'Leveranser per nät'!AA$1,FALSE)/VLOOKUP($B459,Korrigeringsfaktor_GD,'Korrigeringsfaktor GD'!AA$1,FALSE),
"")</f>
        <v>625.27634192331868</v>
      </c>
      <c r="AB459" s="18">
        <f>IFERROR(
                  Andel_oberoende_av_klimat*VLOOKUP($A459,Leveranser_per_nät,'Leveranser per nät'!AB$1,FALSE)
               +Andel_beroende_av_klimat*VLOOKUP($A459,Leveranser_per_nät,'Leveranser per nät'!AB$1,FALSE)/VLOOKUP($B459,Korrigeringsfaktor_GD,'Korrigeringsfaktor GD'!AB$1,FALSE),
"")</f>
        <v>562.6708914622177</v>
      </c>
      <c r="AC459" s="18">
        <f>IFERROR(
                  Andel_oberoende_av_klimat*VLOOKUP($A459,Leveranser_per_nät,'Leveranser per nät'!AC$1,FALSE)
               +Andel_beroende_av_klimat*VLOOKUP($A459,Leveranser_per_nät,'Leveranser per nät'!AC$1,FALSE)/VLOOKUP($B459,Korrigeringsfaktor_GD,'Korrigeringsfaktor GD'!AC$1,FALSE),
"")</f>
        <v>555.3420745512143</v>
      </c>
      <c r="AD459" t="e">
        <v>#N/A</v>
      </c>
    </row>
    <row r="460" spans="1:30" x14ac:dyDescent="0.25">
      <c r="A460" t="s">
        <v>367</v>
      </c>
      <c r="B460" t="s">
        <v>34</v>
      </c>
      <c r="C460" s="18">
        <f>IFERROR(
                  Andel_oberoende_av_klimat*VLOOKUP($A460,Leveranser_per_nät,'Leveranser per nät'!C$1,FALSE)
               +Andel_beroende_av_klimat*VLOOKUP($A460,Leveranser_per_nät,'Leveranser per nät'!C$1,FALSE)/VLOOKUP($B460,Korrigeringsfaktor_GD,'Korrigeringsfaktor GD'!C$1,FALSE),
"")</f>
        <v>93.78584070796461</v>
      </c>
      <c r="D460" s="18">
        <f>IFERROR(
                  Andel_oberoende_av_klimat*VLOOKUP($A460,Leveranser_per_nät,'Leveranser per nät'!D$1,FALSE)
               +Andel_beroende_av_klimat*VLOOKUP($A460,Leveranser_per_nät,'Leveranser per nät'!D$1,FALSE)/VLOOKUP($B460,Korrigeringsfaktor_GD,'Korrigeringsfaktor GD'!D$1,FALSE),
"")</f>
        <v>88.760534653465342</v>
      </c>
      <c r="E460" s="18">
        <f>IFERROR(
                  Andel_oberoende_av_klimat*VLOOKUP($A460,Leveranser_per_nät,'Leveranser per nät'!E$1,FALSE)
               +Andel_beroende_av_klimat*VLOOKUP($A460,Leveranser_per_nät,'Leveranser per nät'!E$1,FALSE)/VLOOKUP($B460,Korrigeringsfaktor_GD,'Korrigeringsfaktor GD'!E$1,FALSE),
"")</f>
        <v>90</v>
      </c>
      <c r="F460" s="18">
        <f>IFERROR(
                  Andel_oberoende_av_klimat*VLOOKUP($A460,Leveranser_per_nät,'Leveranser per nät'!F$1,FALSE)
               +Andel_beroende_av_klimat*VLOOKUP($A460,Leveranser_per_nät,'Leveranser per nät'!F$1,FALSE)/VLOOKUP($B460,Korrigeringsfaktor_GD,'Korrigeringsfaktor GD'!F$1,FALSE),
"")</f>
        <v>100.28936170212765</v>
      </c>
      <c r="G460" s="18">
        <f>IFERROR(
                  Andel_oberoende_av_klimat*VLOOKUP($A460,Leveranser_per_nät,'Leveranser per nät'!G$1,FALSE)
               +Andel_beroende_av_klimat*VLOOKUP($A460,Leveranser_per_nät,'Leveranser per nät'!G$1,FALSE)/VLOOKUP($B460,Korrigeringsfaktor_GD,'Korrigeringsfaktor GD'!G$1,FALSE),
"")</f>
        <v>104.93678160919541</v>
      </c>
      <c r="H460" s="18">
        <f>IFERROR(
                  Andel_oberoende_av_klimat*VLOOKUP($A460,Leveranser_per_nät,'Leveranser per nät'!H$1,FALSE)
               +Andel_beroende_av_klimat*VLOOKUP($A460,Leveranser_per_nät,'Leveranser per nät'!H$1,FALSE)/VLOOKUP($B460,Korrigeringsfaktor_GD,'Korrigeringsfaktor GD'!H$1,FALSE),
"")</f>
        <v>102.72121212121212</v>
      </c>
      <c r="I460" s="18">
        <f>IFERROR(
                  Andel_oberoende_av_klimat*VLOOKUP($A460,Leveranser_per_nät,'Leveranser per nät'!I$1,FALSE)
               +Andel_beroende_av_klimat*VLOOKUP($A460,Leveranser_per_nät,'Leveranser per nät'!I$1,FALSE)/VLOOKUP($B460,Korrigeringsfaktor_GD,'Korrigeringsfaktor GD'!I$1,FALSE),
"")</f>
        <v>110.73617021276596</v>
      </c>
      <c r="J460" s="18">
        <f>IFERROR(
                  Andel_oberoende_av_klimat*VLOOKUP($A460,Leveranser_per_nät,'Leveranser per nät'!J$1,FALSE)
               +Andel_beroende_av_klimat*VLOOKUP($A460,Leveranser_per_nät,'Leveranser per nät'!J$1,FALSE)/VLOOKUP($B460,Korrigeringsfaktor_GD,'Korrigeringsfaktor GD'!J$1,FALSE),
"")</f>
        <v>116.20062857142857</v>
      </c>
      <c r="K460" s="18">
        <f>IFERROR(
                  Andel_oberoende_av_klimat*VLOOKUP($A460,Leveranser_per_nät,'Leveranser per nät'!K$1,FALSE)
               +Andel_beroende_av_klimat*VLOOKUP($A460,Leveranser_per_nät,'Leveranser per nät'!K$1,FALSE)/VLOOKUP($B460,Korrigeringsfaktor_GD,'Korrigeringsfaktor GD'!K$1,FALSE),
"")</f>
        <v>118.661</v>
      </c>
      <c r="L460" s="18">
        <f>IFERROR(
                  Andel_oberoende_av_klimat*VLOOKUP($A460,Leveranser_per_nät,'Leveranser per nät'!L$1,FALSE)
               +Andel_beroende_av_klimat*VLOOKUP($A460,Leveranser_per_nät,'Leveranser per nät'!L$1,FALSE)/VLOOKUP($B460,Korrigeringsfaktor_GD,'Korrigeringsfaktor GD'!L$1,FALSE),
"")</f>
        <v>122.12</v>
      </c>
      <c r="M460" s="18">
        <f>IFERROR(
                  Andel_oberoende_av_klimat*VLOOKUP($A460,Leveranser_per_nät,'Leveranser per nät'!M$1,FALSE)
               +Andel_beroende_av_klimat*VLOOKUP($A460,Leveranser_per_nät,'Leveranser per nät'!M$1,FALSE)/VLOOKUP($B460,Korrigeringsfaktor_GD,'Korrigeringsfaktor GD'!M$1,FALSE),
"")</f>
        <v>122.22765957446809</v>
      </c>
      <c r="N460" s="18">
        <f>IFERROR(
                  Andel_oberoende_av_klimat*VLOOKUP($A460,Leveranser_per_nät,'Leveranser per nät'!N$1,FALSE)
               +Andel_beroende_av_klimat*VLOOKUP($A460,Leveranser_per_nät,'Leveranser per nät'!N$1,FALSE)/VLOOKUP($B460,Korrigeringsfaktor_GD,'Korrigeringsfaktor GD'!N$1,FALSE),
"")</f>
        <v>123.94444444444446</v>
      </c>
      <c r="O460" s="18">
        <f>IFERROR(
                  Andel_oberoende_av_klimat*VLOOKUP($A460,Leveranser_per_nät,'Leveranser per nät'!O$1,FALSE)
               +Andel_beroende_av_klimat*VLOOKUP($A460,Leveranser_per_nät,'Leveranser per nät'!O$1,FALSE)/VLOOKUP($B460,Korrigeringsfaktor_GD,'Korrigeringsfaktor GD'!O$1,FALSE),
"")</f>
        <v>127.12247191011235</v>
      </c>
      <c r="P460" s="18">
        <f>IFERROR(
                  Andel_oberoende_av_klimat*VLOOKUP($A460,Leveranser_per_nät,'Leveranser per nät'!P$1,FALSE)
               +Andel_beroende_av_klimat*VLOOKUP($A460,Leveranser_per_nät,'Leveranser per nät'!P$1,FALSE)/VLOOKUP($B460,Korrigeringsfaktor_GD,'Korrigeringsfaktor GD'!P$1,FALSE),
"")</f>
        <v>129.82857142857142</v>
      </c>
      <c r="Q460" s="18">
        <f>IFERROR(
                  Andel_oberoende_av_klimat*VLOOKUP($A460,Leveranser_per_nät,'Leveranser per nät'!Q$1,FALSE)
               +Andel_beroende_av_klimat*VLOOKUP($A460,Leveranser_per_nät,'Leveranser per nät'!Q$1,FALSE)/VLOOKUP($B460,Korrigeringsfaktor_GD,'Korrigeringsfaktor GD'!Q$1,FALSE),
"")</f>
        <v>135.39565217391305</v>
      </c>
      <c r="R460" s="18">
        <f>IFERROR(
                  Andel_oberoende_av_klimat*VLOOKUP($A460,Leveranser_per_nät,'Leveranser per nät'!R$1,FALSE)
               +Andel_beroende_av_klimat*VLOOKUP($A460,Leveranser_per_nät,'Leveranser per nät'!R$1,FALSE)/VLOOKUP($B460,Korrigeringsfaktor_GD,'Korrigeringsfaktor GD'!R$1,FALSE),
"")</f>
        <v>140.18542608695651</v>
      </c>
      <c r="S460" s="18">
        <f>IFERROR(
                  Andel_oberoende_av_klimat*VLOOKUP($A460,Leveranser_per_nät,'Leveranser per nät'!S$1,FALSE)
               +Andel_beroende_av_klimat*VLOOKUP($A460,Leveranser_per_nät,'Leveranser per nät'!S$1,FALSE)/VLOOKUP($B460,Korrigeringsfaktor_GD,'Korrigeringsfaktor GD'!S$1,FALSE),
"")</f>
        <v>137</v>
      </c>
      <c r="T460" s="18">
        <f>IFERROR(
                  Andel_oberoende_av_klimat*VLOOKUP($A460,Leveranser_per_nät,'Leveranser per nät'!T$1,FALSE)
               +Andel_beroende_av_klimat*VLOOKUP($A460,Leveranser_per_nät,'Leveranser per nät'!T$1,FALSE)/VLOOKUP($B460,Korrigeringsfaktor_GD,'Korrigeringsfaktor GD'!T$1,FALSE),
"")</f>
        <v>139.26142857142858</v>
      </c>
      <c r="U460" s="18">
        <f>IFERROR(
                  Andel_oberoende_av_klimat*VLOOKUP($A460,Leveranser_per_nät,'Leveranser per nät'!U$1,FALSE)
               +Andel_beroende_av_klimat*VLOOKUP($A460,Leveranser_per_nät,'Leveranser per nät'!U$1,FALSE)/VLOOKUP($B460,Korrigeringsfaktor_GD,'Korrigeringsfaktor GD'!U$1,FALSE),
"")</f>
        <v>140.40626506024097</v>
      </c>
      <c r="V460" s="18">
        <f>IFERROR(
                  Andel_oberoende_av_klimat*VLOOKUP($A460,Leveranser_per_nät,'Leveranser per nät'!V$1,FALSE)
               +Andel_beroende_av_klimat*VLOOKUP($A460,Leveranser_per_nät,'Leveranser per nät'!V$1,FALSE)/VLOOKUP($B460,Korrigeringsfaktor_GD,'Korrigeringsfaktor GD'!V$1,FALSE),
"")</f>
        <v>139.39440000000002</v>
      </c>
      <c r="W460" s="18">
        <f>IFERROR(
                  Andel_oberoende_av_klimat*VLOOKUP($A460,Leveranser_per_nät,'Leveranser per nät'!W$1,FALSE)
               +Andel_beroende_av_klimat*VLOOKUP($A460,Leveranser_per_nät,'Leveranser per nät'!W$1,FALSE)/VLOOKUP($B460,Korrigeringsfaktor_GD,'Korrigeringsfaktor GD'!W$1,FALSE),
"")</f>
        <v>138.91694193548386</v>
      </c>
      <c r="X460" s="18">
        <f>IFERROR(
                  Andel_oberoende_av_klimat*VLOOKUP($A460,Leveranser_per_nät,'Leveranser per nät'!X$1,FALSE)
               +Andel_beroende_av_klimat*VLOOKUP($A460,Leveranser_per_nät,'Leveranser per nät'!X$1,FALSE)/VLOOKUP($B460,Korrigeringsfaktor_GD,'Korrigeringsfaktor GD'!X$1,FALSE),
"")</f>
        <v>143.83292307692307</v>
      </c>
      <c r="Y460" s="18">
        <f>IFERROR(
                  Andel_oberoende_av_klimat*VLOOKUP($A460,Leveranser_per_nät,'Leveranser per nät'!Y$1,FALSE)
               +Andel_beroende_av_klimat*VLOOKUP($A460,Leveranser_per_nät,'Leveranser per nät'!Y$1,FALSE)/VLOOKUP($B460,Korrigeringsfaktor_GD,'Korrigeringsfaktor GD'!Y$1,FALSE),
"")</f>
        <v>144.66863258426966</v>
      </c>
      <c r="Z460" s="18">
        <f>IFERROR(
                  Andel_oberoende_av_klimat*VLOOKUP($A460,Leveranser_per_nät,'Leveranser per nät'!Z$1,FALSE)
               +Andel_beroende_av_klimat*VLOOKUP($A460,Leveranser_per_nät,'Leveranser per nät'!Z$1,FALSE)/VLOOKUP($B460,Korrigeringsfaktor_GD,'Korrigeringsfaktor GD'!Z$1,FALSE),
"")</f>
        <v>131.35551752577319</v>
      </c>
      <c r="AA460" s="18">
        <f>IFERROR(
                  Andel_oberoende_av_klimat*VLOOKUP($A460,Leveranser_per_nät,'Leveranser per nät'!AA$1,FALSE)
               +Andel_beroende_av_klimat*VLOOKUP($A460,Leveranser_per_nät,'Leveranser per nät'!AA$1,FALSE)/VLOOKUP($B460,Korrigeringsfaktor_GD,'Korrigeringsfaktor GD'!AA$1,FALSE),
"")</f>
        <v>138.87623063629223</v>
      </c>
      <c r="AB460" s="18">
        <f>IFERROR(
                  Andel_oberoende_av_klimat*VLOOKUP($A460,Leveranser_per_nät,'Leveranser per nät'!AB$1,FALSE)
               +Andel_beroende_av_klimat*VLOOKUP($A460,Leveranser_per_nät,'Leveranser per nät'!AB$1,FALSE)/VLOOKUP($B460,Korrigeringsfaktor_GD,'Korrigeringsfaktor GD'!AB$1,FALSE),
"")</f>
        <v>141.71383921568628</v>
      </c>
      <c r="AC460" s="18">
        <f>IFERROR(
                  Andel_oberoende_av_klimat*VLOOKUP($A460,Leveranser_per_nät,'Leveranser per nät'!AC$1,FALSE)
               +Andel_beroende_av_klimat*VLOOKUP($A460,Leveranser_per_nät,'Leveranser per nät'!AC$1,FALSE)/VLOOKUP($B460,Korrigeringsfaktor_GD,'Korrigeringsfaktor GD'!AC$1,FALSE),
"")</f>
        <v>137.92814358974357</v>
      </c>
      <c r="AD460">
        <v>333.59699999999998</v>
      </c>
    </row>
    <row r="461" spans="1:30" x14ac:dyDescent="0.25">
      <c r="A461" t="s">
        <v>36</v>
      </c>
      <c r="B461" t="s">
        <v>285</v>
      </c>
      <c r="C461" s="18">
        <f>IFERROR(
                  Andel_oberoende_av_klimat*VLOOKUP($A461,Leveranser_per_nät,'Leveranser per nät'!C$1,FALSE)
               +Andel_beroende_av_klimat*VLOOKUP($A461,Leveranser_per_nät,'Leveranser per nät'!C$1,FALSE)/VLOOKUP($B461,Korrigeringsfaktor_GD,'Korrigeringsfaktor GD'!C$1,FALSE),
"")</f>
        <v>0</v>
      </c>
      <c r="D461" s="18">
        <f>IFERROR(
                  Andel_oberoende_av_klimat*VLOOKUP($A461,Leveranser_per_nät,'Leveranser per nät'!D$1,FALSE)
               +Andel_beroende_av_klimat*VLOOKUP($A461,Leveranser_per_nät,'Leveranser per nät'!D$1,FALSE)/VLOOKUP($B461,Korrigeringsfaktor_GD,'Korrigeringsfaktor GD'!D$1,FALSE),
"")</f>
        <v>0</v>
      </c>
      <c r="E461" s="18">
        <f>IFERROR(
                  Andel_oberoende_av_klimat*VLOOKUP($A461,Leveranser_per_nät,'Leveranser per nät'!E$1,FALSE)
               +Andel_beroende_av_klimat*VLOOKUP($A461,Leveranser_per_nät,'Leveranser per nät'!E$1,FALSE)/VLOOKUP($B461,Korrigeringsfaktor_GD,'Korrigeringsfaktor GD'!E$1,FALSE),
"")</f>
        <v>0</v>
      </c>
      <c r="F461" s="18">
        <f>IFERROR(
                  Andel_oberoende_av_klimat*VLOOKUP($A461,Leveranser_per_nät,'Leveranser per nät'!F$1,FALSE)
               +Andel_beroende_av_klimat*VLOOKUP($A461,Leveranser_per_nät,'Leveranser per nät'!F$1,FALSE)/VLOOKUP($B461,Korrigeringsfaktor_GD,'Korrigeringsfaktor GD'!F$1,FALSE),
"")</f>
        <v>0</v>
      </c>
      <c r="G461" s="18">
        <f>IFERROR(
                  Andel_oberoende_av_klimat*VLOOKUP($A461,Leveranser_per_nät,'Leveranser per nät'!G$1,FALSE)
               +Andel_beroende_av_klimat*VLOOKUP($A461,Leveranser_per_nät,'Leveranser per nät'!G$1,FALSE)/VLOOKUP($B461,Korrigeringsfaktor_GD,'Korrigeringsfaktor GD'!G$1,FALSE),
"")</f>
        <v>0</v>
      </c>
      <c r="H461" s="18">
        <f>IFERROR(
                  Andel_oberoende_av_klimat*VLOOKUP($A461,Leveranser_per_nät,'Leveranser per nät'!H$1,FALSE)
               +Andel_beroende_av_klimat*VLOOKUP($A461,Leveranser_per_nät,'Leveranser per nät'!H$1,FALSE)/VLOOKUP($B461,Korrigeringsfaktor_GD,'Korrigeringsfaktor GD'!H$1,FALSE),
"")</f>
        <v>0</v>
      </c>
      <c r="I461" s="18">
        <f>IFERROR(
                  Andel_oberoende_av_klimat*VLOOKUP($A461,Leveranser_per_nät,'Leveranser per nät'!I$1,FALSE)
               +Andel_beroende_av_klimat*VLOOKUP($A461,Leveranser_per_nät,'Leveranser per nät'!I$1,FALSE)/VLOOKUP($B461,Korrigeringsfaktor_GD,'Korrigeringsfaktor GD'!I$1,FALSE),
"")</f>
        <v>0</v>
      </c>
      <c r="J461" s="18">
        <f>IFERROR(
                  Andel_oberoende_av_klimat*VLOOKUP($A461,Leveranser_per_nät,'Leveranser per nät'!J$1,FALSE)
               +Andel_beroende_av_klimat*VLOOKUP($A461,Leveranser_per_nät,'Leveranser per nät'!J$1,FALSE)/VLOOKUP($B461,Korrigeringsfaktor_GD,'Korrigeringsfaktor GD'!J$1,FALSE),
"")</f>
        <v>0</v>
      </c>
      <c r="K461" s="18">
        <f>IFERROR(
                  Andel_oberoende_av_klimat*VLOOKUP($A461,Leveranser_per_nät,'Leveranser per nät'!K$1,FALSE)
               +Andel_beroende_av_klimat*VLOOKUP($A461,Leveranser_per_nät,'Leveranser per nät'!K$1,FALSE)/VLOOKUP($B461,Korrigeringsfaktor_GD,'Korrigeringsfaktor GD'!K$1,FALSE),
"")</f>
        <v>8.7524515151515168</v>
      </c>
      <c r="L461" s="18">
        <f>IFERROR(
                  Andel_oberoende_av_klimat*VLOOKUP($A461,Leveranser_per_nät,'Leveranser per nät'!L$1,FALSE)
               +Andel_beroende_av_klimat*VLOOKUP($A461,Leveranser_per_nät,'Leveranser per nät'!L$1,FALSE)/VLOOKUP($B461,Korrigeringsfaktor_GD,'Korrigeringsfaktor GD'!L$1,FALSE),
"")</f>
        <v>10.318425000000001</v>
      </c>
      <c r="M461" s="18">
        <f>IFERROR(
                  Andel_oberoende_av_klimat*VLOOKUP($A461,Leveranser_per_nät,'Leveranser per nät'!M$1,FALSE)
               +Andel_beroende_av_klimat*VLOOKUP($A461,Leveranser_per_nät,'Leveranser per nät'!M$1,FALSE)/VLOOKUP($B461,Korrigeringsfaktor_GD,'Korrigeringsfaktor GD'!M$1,FALSE),
"")</f>
        <v>10.819529032258064</v>
      </c>
      <c r="N461" s="18">
        <f>IFERROR(
                  Andel_oberoende_av_klimat*VLOOKUP($A461,Leveranser_per_nät,'Leveranser per nät'!N$1,FALSE)
               +Andel_beroende_av_klimat*VLOOKUP($A461,Leveranser_per_nät,'Leveranser per nät'!N$1,FALSE)/VLOOKUP($B461,Korrigeringsfaktor_GD,'Korrigeringsfaktor GD'!N$1,FALSE),
"")</f>
        <v>13.025963440860215</v>
      </c>
      <c r="O461" s="18">
        <f>IFERROR(
                  Andel_oberoende_av_klimat*VLOOKUP($A461,Leveranser_per_nät,'Leveranser per nät'!O$1,FALSE)
               +Andel_beroende_av_klimat*VLOOKUP($A461,Leveranser_per_nät,'Leveranser per nät'!O$1,FALSE)/VLOOKUP($B461,Korrigeringsfaktor_GD,'Korrigeringsfaktor GD'!O$1,FALSE),
"")</f>
        <v>14.53868202247191</v>
      </c>
      <c r="P461" s="18">
        <f>IFERROR(
                  Andel_oberoende_av_klimat*VLOOKUP($A461,Leveranser_per_nät,'Leveranser per nät'!P$1,FALSE)
               +Andel_beroende_av_klimat*VLOOKUP($A461,Leveranser_per_nät,'Leveranser per nät'!P$1,FALSE)/VLOOKUP($B461,Korrigeringsfaktor_GD,'Korrigeringsfaktor GD'!P$1,FALSE),
"")</f>
        <v>15.734614285714287</v>
      </c>
      <c r="Q461" s="18">
        <f>IFERROR(
                  Andel_oberoende_av_klimat*VLOOKUP($A461,Leveranser_per_nät,'Leveranser per nät'!Q$1,FALSE)
               +Andel_beroende_av_klimat*VLOOKUP($A461,Leveranser_per_nät,'Leveranser per nät'!Q$1,FALSE)/VLOOKUP($B461,Korrigeringsfaktor_GD,'Korrigeringsfaktor GD'!Q$1,FALSE),
"")</f>
        <v>0</v>
      </c>
      <c r="R461" s="18">
        <f>IFERROR(
                  Andel_oberoende_av_klimat*VLOOKUP($A461,Leveranser_per_nät,'Leveranser per nät'!R$1,FALSE)
               +Andel_beroende_av_klimat*VLOOKUP($A461,Leveranser_per_nät,'Leveranser per nät'!R$1,FALSE)/VLOOKUP($B461,Korrigeringsfaktor_GD,'Korrigeringsfaktor GD'!R$1,FALSE),
"")</f>
        <v>0</v>
      </c>
      <c r="S461" s="18" t="str">
        <f>IFERROR(
                  Andel_oberoende_av_klimat*VLOOKUP($A461,Leveranser_per_nät,'Leveranser per nät'!S$1,FALSE)
               +Andel_beroende_av_klimat*VLOOKUP($A461,Leveranser_per_nät,'Leveranser per nät'!S$1,FALSE)/VLOOKUP($B461,Korrigeringsfaktor_GD,'Korrigeringsfaktor GD'!S$1,FALSE),
"")</f>
        <v/>
      </c>
      <c r="T461" s="18" t="str">
        <f>IFERROR(
                  Andel_oberoende_av_klimat*VLOOKUP($A461,Leveranser_per_nät,'Leveranser per nät'!T$1,FALSE)
               +Andel_beroende_av_klimat*VLOOKUP($A461,Leveranser_per_nät,'Leveranser per nät'!T$1,FALSE)/VLOOKUP($B461,Korrigeringsfaktor_GD,'Korrigeringsfaktor GD'!T$1,FALSE),
"")</f>
        <v/>
      </c>
      <c r="U461" s="18" t="str">
        <f>IFERROR(
                  Andel_oberoende_av_klimat*VLOOKUP($A461,Leveranser_per_nät,'Leveranser per nät'!U$1,FALSE)
               +Andel_beroende_av_klimat*VLOOKUP($A461,Leveranser_per_nät,'Leveranser per nät'!U$1,FALSE)/VLOOKUP($B461,Korrigeringsfaktor_GD,'Korrigeringsfaktor GD'!U$1,FALSE),
"")</f>
        <v/>
      </c>
      <c r="V461" s="18" t="str">
        <f>IFERROR(
                  Andel_oberoende_av_klimat*VLOOKUP($A461,Leveranser_per_nät,'Leveranser per nät'!V$1,FALSE)
               +Andel_beroende_av_klimat*VLOOKUP($A461,Leveranser_per_nät,'Leveranser per nät'!V$1,FALSE)/VLOOKUP($B461,Korrigeringsfaktor_GD,'Korrigeringsfaktor GD'!V$1,FALSE),
"")</f>
        <v/>
      </c>
      <c r="W461" s="18" t="str">
        <f>IFERROR(
                  Andel_oberoende_av_klimat*VLOOKUP($A461,Leveranser_per_nät,'Leveranser per nät'!W$1,FALSE)
               +Andel_beroende_av_klimat*VLOOKUP($A461,Leveranser_per_nät,'Leveranser per nät'!W$1,FALSE)/VLOOKUP($B461,Korrigeringsfaktor_GD,'Korrigeringsfaktor GD'!W$1,FALSE),
"")</f>
        <v/>
      </c>
      <c r="X461" s="18" t="str">
        <f>IFERROR(
                  Andel_oberoende_av_klimat*VLOOKUP($A461,Leveranser_per_nät,'Leveranser per nät'!X$1,FALSE)
               +Andel_beroende_av_klimat*VLOOKUP($A461,Leveranser_per_nät,'Leveranser per nät'!X$1,FALSE)/VLOOKUP($B461,Korrigeringsfaktor_GD,'Korrigeringsfaktor GD'!X$1,FALSE),
"")</f>
        <v/>
      </c>
      <c r="Y461" s="18" t="str">
        <f>IFERROR(
                  Andel_oberoende_av_klimat*VLOOKUP($A461,Leveranser_per_nät,'Leveranser per nät'!Y$1,FALSE)
               +Andel_beroende_av_klimat*VLOOKUP($A461,Leveranser_per_nät,'Leveranser per nät'!Y$1,FALSE)/VLOOKUP($B461,Korrigeringsfaktor_GD,'Korrigeringsfaktor GD'!Y$1,FALSE),
"")</f>
        <v/>
      </c>
      <c r="Z461" s="18">
        <f>IFERROR(
                  Andel_oberoende_av_klimat*VLOOKUP($A461,Leveranser_per_nät,'Leveranser per nät'!Z$1,FALSE)
               +Andel_beroende_av_klimat*VLOOKUP($A461,Leveranser_per_nät,'Leveranser per nät'!Z$1,FALSE)/VLOOKUP($B461,Korrigeringsfaktor_GD,'Korrigeringsfaktor GD'!Z$1,FALSE),
"")</f>
        <v>0</v>
      </c>
      <c r="AA461" s="18" t="str">
        <f>IFERROR(
                  Andel_oberoende_av_klimat*VLOOKUP($A461,Leveranser_per_nät,'Leveranser per nät'!AA$1,FALSE)
               +Andel_beroende_av_klimat*VLOOKUP($A461,Leveranser_per_nät,'Leveranser per nät'!AA$1,FALSE)/VLOOKUP($B461,Korrigeringsfaktor_GD,'Korrigeringsfaktor GD'!AA$1,FALSE),
"")</f>
        <v/>
      </c>
      <c r="AB461" s="18">
        <f>IFERROR(
                  Andel_oberoende_av_klimat*VLOOKUP($A461,Leveranser_per_nät,'Leveranser per nät'!AB$1,FALSE)
               +Andel_beroende_av_klimat*VLOOKUP($A461,Leveranser_per_nät,'Leveranser per nät'!AB$1,FALSE)/VLOOKUP($B461,Korrigeringsfaktor_GD,'Korrigeringsfaktor GD'!AB$1,FALSE),
"")</f>
        <v>0</v>
      </c>
      <c r="AC461" s="18">
        <f>IFERROR(
                  Andel_oberoende_av_klimat*VLOOKUP($A461,Leveranser_per_nät,'Leveranser per nät'!AC$1,FALSE)
               +Andel_beroende_av_klimat*VLOOKUP($A461,Leveranser_per_nät,'Leveranser per nät'!AC$1,FALSE)/VLOOKUP($B461,Korrigeringsfaktor_GD,'Korrigeringsfaktor GD'!AC$1,FALSE),
"")</f>
        <v>0</v>
      </c>
      <c r="AD461">
        <v>138.35900000000001</v>
      </c>
    </row>
    <row r="462" spans="1:30" x14ac:dyDescent="0.25">
      <c r="A462" t="s">
        <v>287</v>
      </c>
      <c r="B462" t="s">
        <v>311</v>
      </c>
      <c r="C462" s="18">
        <f>IFERROR(
                  Andel_oberoende_av_klimat*VLOOKUP($A462,Leveranser_per_nät,'Leveranser per nät'!C$1,FALSE)
               +Andel_beroende_av_klimat*VLOOKUP($A462,Leveranser_per_nät,'Leveranser per nät'!C$1,FALSE)/VLOOKUP($B462,Korrigeringsfaktor_GD,'Korrigeringsfaktor GD'!C$1,FALSE),
"")</f>
        <v>0</v>
      </c>
      <c r="D462" s="18">
        <f>IFERROR(
                  Andel_oberoende_av_klimat*VLOOKUP($A462,Leveranser_per_nät,'Leveranser per nät'!D$1,FALSE)
               +Andel_beroende_av_klimat*VLOOKUP($A462,Leveranser_per_nät,'Leveranser per nät'!D$1,FALSE)/VLOOKUP($B462,Korrigeringsfaktor_GD,'Korrigeringsfaktor GD'!D$1,FALSE),
"")</f>
        <v>0</v>
      </c>
      <c r="E462" s="18">
        <f>IFERROR(
                  Andel_oberoende_av_klimat*VLOOKUP($A462,Leveranser_per_nät,'Leveranser per nät'!E$1,FALSE)
               +Andel_beroende_av_klimat*VLOOKUP($A462,Leveranser_per_nät,'Leveranser per nät'!E$1,FALSE)/VLOOKUP($B462,Korrigeringsfaktor_GD,'Korrigeringsfaktor GD'!E$1,FALSE),
"")</f>
        <v>0</v>
      </c>
      <c r="F462" s="18">
        <f>IFERROR(
                  Andel_oberoende_av_klimat*VLOOKUP($A462,Leveranser_per_nät,'Leveranser per nät'!F$1,FALSE)
               +Andel_beroende_av_klimat*VLOOKUP($A462,Leveranser_per_nät,'Leveranser per nät'!F$1,FALSE)/VLOOKUP($B462,Korrigeringsfaktor_GD,'Korrigeringsfaktor GD'!F$1,FALSE),
"")</f>
        <v>0</v>
      </c>
      <c r="G462" s="18">
        <f>IFERROR(
                  Andel_oberoende_av_klimat*VLOOKUP($A462,Leveranser_per_nät,'Leveranser per nät'!G$1,FALSE)
               +Andel_beroende_av_klimat*VLOOKUP($A462,Leveranser_per_nät,'Leveranser per nät'!G$1,FALSE)/VLOOKUP($B462,Korrigeringsfaktor_GD,'Korrigeringsfaktor GD'!G$1,FALSE),
"")</f>
        <v>0</v>
      </c>
      <c r="H462" s="18">
        <f>IFERROR(
                  Andel_oberoende_av_klimat*VLOOKUP($A462,Leveranser_per_nät,'Leveranser per nät'!H$1,FALSE)
               +Andel_beroende_av_klimat*VLOOKUP($A462,Leveranser_per_nät,'Leveranser per nät'!H$1,FALSE)/VLOOKUP($B462,Korrigeringsfaktor_GD,'Korrigeringsfaktor GD'!H$1,FALSE),
"")</f>
        <v>0</v>
      </c>
      <c r="I462" s="18">
        <f>IFERROR(
                  Andel_oberoende_av_klimat*VLOOKUP($A462,Leveranser_per_nät,'Leveranser per nät'!I$1,FALSE)
               +Andel_beroende_av_klimat*VLOOKUP($A462,Leveranser_per_nät,'Leveranser per nät'!I$1,FALSE)/VLOOKUP($B462,Korrigeringsfaktor_GD,'Korrigeringsfaktor GD'!I$1,FALSE),
"")</f>
        <v>0</v>
      </c>
      <c r="J462" s="18">
        <f>IFERROR(
                  Andel_oberoende_av_klimat*VLOOKUP($A462,Leveranser_per_nät,'Leveranser per nät'!J$1,FALSE)
               +Andel_beroende_av_klimat*VLOOKUP($A462,Leveranser_per_nät,'Leveranser per nät'!J$1,FALSE)/VLOOKUP($B462,Korrigeringsfaktor_GD,'Korrigeringsfaktor GD'!J$1,FALSE),
"")</f>
        <v>0</v>
      </c>
      <c r="K462" s="18">
        <f>IFERROR(
                  Andel_oberoende_av_klimat*VLOOKUP($A462,Leveranser_per_nät,'Leveranser per nät'!K$1,FALSE)
               +Andel_beroende_av_klimat*VLOOKUP($A462,Leveranser_per_nät,'Leveranser per nät'!K$1,FALSE)/VLOOKUP($B462,Korrigeringsfaktor_GD,'Korrigeringsfaktor GD'!K$1,FALSE),
"")</f>
        <v>2.5398323232323228</v>
      </c>
      <c r="L462" s="18">
        <f>IFERROR(
                  Andel_oberoende_av_klimat*VLOOKUP($A462,Leveranser_per_nät,'Leveranser per nät'!L$1,FALSE)
               +Andel_beroende_av_klimat*VLOOKUP($A462,Leveranser_per_nät,'Leveranser per nät'!L$1,FALSE)/VLOOKUP($B462,Korrigeringsfaktor_GD,'Korrigeringsfaktor GD'!L$1,FALSE),
"")</f>
        <v>6.7204103092783507</v>
      </c>
      <c r="M462" s="18">
        <f>IFERROR(
                  Andel_oberoende_av_klimat*VLOOKUP($A462,Leveranser_per_nät,'Leveranser per nät'!M$1,FALSE)
               +Andel_beroende_av_klimat*VLOOKUP($A462,Leveranser_per_nät,'Leveranser per nät'!M$1,FALSE)/VLOOKUP($B462,Korrigeringsfaktor_GD,'Korrigeringsfaktor GD'!M$1,FALSE),
"")</f>
        <v>6.871910638297873</v>
      </c>
      <c r="N462" s="18">
        <f>IFERROR(
                  Andel_oberoende_av_klimat*VLOOKUP($A462,Leveranser_per_nät,'Leveranser per nät'!N$1,FALSE)
               +Andel_beroende_av_klimat*VLOOKUP($A462,Leveranser_per_nät,'Leveranser per nät'!N$1,FALSE)/VLOOKUP($B462,Korrigeringsfaktor_GD,'Korrigeringsfaktor GD'!N$1,FALSE),
"")</f>
        <v>6.9245827956989245</v>
      </c>
      <c r="O462" s="18">
        <f>IFERROR(
                  Andel_oberoende_av_klimat*VLOOKUP($A462,Leveranser_per_nät,'Leveranser per nät'!O$1,FALSE)
               +Andel_beroende_av_klimat*VLOOKUP($A462,Leveranser_per_nät,'Leveranser per nät'!O$1,FALSE)/VLOOKUP($B462,Korrigeringsfaktor_GD,'Korrigeringsfaktor GD'!O$1,FALSE),
"")</f>
        <v>6.1931460674157304</v>
      </c>
      <c r="P462" s="18">
        <f>IFERROR(
                  Andel_oberoende_av_klimat*VLOOKUP($A462,Leveranser_per_nät,'Leveranser per nät'!P$1,FALSE)
               +Andel_beroende_av_klimat*VLOOKUP($A462,Leveranser_per_nät,'Leveranser per nät'!P$1,FALSE)/VLOOKUP($B462,Korrigeringsfaktor_GD,'Korrigeringsfaktor GD'!P$1,FALSE),
"")</f>
        <v>8.1142857142857139</v>
      </c>
      <c r="Q462" s="18">
        <f>IFERROR(
                  Andel_oberoende_av_klimat*VLOOKUP($A462,Leveranser_per_nät,'Leveranser per nät'!Q$1,FALSE)
               +Andel_beroende_av_klimat*VLOOKUP($A462,Leveranser_per_nät,'Leveranser per nät'!Q$1,FALSE)/VLOOKUP($B462,Korrigeringsfaktor_GD,'Korrigeringsfaktor GD'!Q$1,FALSE),
"")</f>
        <v>0</v>
      </c>
      <c r="R462" s="18">
        <f>IFERROR(
                  Andel_oberoende_av_klimat*VLOOKUP($A462,Leveranser_per_nät,'Leveranser per nät'!R$1,FALSE)
               +Andel_beroende_av_klimat*VLOOKUP($A462,Leveranser_per_nät,'Leveranser per nät'!R$1,FALSE)/VLOOKUP($B462,Korrigeringsfaktor_GD,'Korrigeringsfaktor GD'!R$1,FALSE),
"")</f>
        <v>0</v>
      </c>
      <c r="S462" s="18" t="str">
        <f>IFERROR(
                  Andel_oberoende_av_klimat*VLOOKUP($A462,Leveranser_per_nät,'Leveranser per nät'!S$1,FALSE)
               +Andel_beroende_av_klimat*VLOOKUP($A462,Leveranser_per_nät,'Leveranser per nät'!S$1,FALSE)/VLOOKUP($B462,Korrigeringsfaktor_GD,'Korrigeringsfaktor GD'!S$1,FALSE),
"")</f>
        <v/>
      </c>
      <c r="T462" s="18" t="str">
        <f>IFERROR(
                  Andel_oberoende_av_klimat*VLOOKUP($A462,Leveranser_per_nät,'Leveranser per nät'!T$1,FALSE)
               +Andel_beroende_av_klimat*VLOOKUP($A462,Leveranser_per_nät,'Leveranser per nät'!T$1,FALSE)/VLOOKUP($B462,Korrigeringsfaktor_GD,'Korrigeringsfaktor GD'!T$1,FALSE),
"")</f>
        <v/>
      </c>
      <c r="U462" s="18" t="str">
        <f>IFERROR(
                  Andel_oberoende_av_klimat*VLOOKUP($A462,Leveranser_per_nät,'Leveranser per nät'!U$1,FALSE)
               +Andel_beroende_av_klimat*VLOOKUP($A462,Leveranser_per_nät,'Leveranser per nät'!U$1,FALSE)/VLOOKUP($B462,Korrigeringsfaktor_GD,'Korrigeringsfaktor GD'!U$1,FALSE),
"")</f>
        <v/>
      </c>
      <c r="V462" s="18" t="str">
        <f>IFERROR(
                  Andel_oberoende_av_klimat*VLOOKUP($A462,Leveranser_per_nät,'Leveranser per nät'!V$1,FALSE)
               +Andel_beroende_av_klimat*VLOOKUP($A462,Leveranser_per_nät,'Leveranser per nät'!V$1,FALSE)/VLOOKUP($B462,Korrigeringsfaktor_GD,'Korrigeringsfaktor GD'!V$1,FALSE),
"")</f>
        <v/>
      </c>
      <c r="W462" s="18" t="str">
        <f>IFERROR(
                  Andel_oberoende_av_klimat*VLOOKUP($A462,Leveranser_per_nät,'Leveranser per nät'!W$1,FALSE)
               +Andel_beroende_av_klimat*VLOOKUP($A462,Leveranser_per_nät,'Leveranser per nät'!W$1,FALSE)/VLOOKUP($B462,Korrigeringsfaktor_GD,'Korrigeringsfaktor GD'!W$1,FALSE),
"")</f>
        <v/>
      </c>
      <c r="X462" s="18" t="str">
        <f>IFERROR(
                  Andel_oberoende_av_klimat*VLOOKUP($A462,Leveranser_per_nät,'Leveranser per nät'!X$1,FALSE)
               +Andel_beroende_av_klimat*VLOOKUP($A462,Leveranser_per_nät,'Leveranser per nät'!X$1,FALSE)/VLOOKUP($B462,Korrigeringsfaktor_GD,'Korrigeringsfaktor GD'!X$1,FALSE),
"")</f>
        <v/>
      </c>
      <c r="Y462" s="18" t="str">
        <f>IFERROR(
                  Andel_oberoende_av_klimat*VLOOKUP($A462,Leveranser_per_nät,'Leveranser per nät'!Y$1,FALSE)
               +Andel_beroende_av_klimat*VLOOKUP($A462,Leveranser_per_nät,'Leveranser per nät'!Y$1,FALSE)/VLOOKUP($B462,Korrigeringsfaktor_GD,'Korrigeringsfaktor GD'!Y$1,FALSE),
"")</f>
        <v/>
      </c>
      <c r="Z462" s="18">
        <f>IFERROR(
                  Andel_oberoende_av_klimat*VLOOKUP($A462,Leveranser_per_nät,'Leveranser per nät'!Z$1,FALSE)
               +Andel_beroende_av_klimat*VLOOKUP($A462,Leveranser_per_nät,'Leveranser per nät'!Z$1,FALSE)/VLOOKUP($B462,Korrigeringsfaktor_GD,'Korrigeringsfaktor GD'!Z$1,FALSE),
"")</f>
        <v>0</v>
      </c>
      <c r="AA462" s="18" t="str">
        <f>IFERROR(
                  Andel_oberoende_av_klimat*VLOOKUP($A462,Leveranser_per_nät,'Leveranser per nät'!AA$1,FALSE)
               +Andel_beroende_av_klimat*VLOOKUP($A462,Leveranser_per_nät,'Leveranser per nät'!AA$1,FALSE)/VLOOKUP($B462,Korrigeringsfaktor_GD,'Korrigeringsfaktor GD'!AA$1,FALSE),
"")</f>
        <v/>
      </c>
      <c r="AB462" s="18">
        <f>IFERROR(
                  Andel_oberoende_av_klimat*VLOOKUP($A462,Leveranser_per_nät,'Leveranser per nät'!AB$1,FALSE)
               +Andel_beroende_av_klimat*VLOOKUP($A462,Leveranser_per_nät,'Leveranser per nät'!AB$1,FALSE)/VLOOKUP($B462,Korrigeringsfaktor_GD,'Korrigeringsfaktor GD'!AB$1,FALSE),
"")</f>
        <v>0</v>
      </c>
      <c r="AC462" s="18">
        <f>IFERROR(
                  Andel_oberoende_av_klimat*VLOOKUP($A462,Leveranser_per_nät,'Leveranser per nät'!AC$1,FALSE)
               +Andel_beroende_av_klimat*VLOOKUP($A462,Leveranser_per_nät,'Leveranser per nät'!AC$1,FALSE)/VLOOKUP($B462,Korrigeringsfaktor_GD,'Korrigeringsfaktor GD'!AC$1,FALSE),
"")</f>
        <v>0</v>
      </c>
      <c r="AD462">
        <v>668.80600000000004</v>
      </c>
    </row>
    <row r="463" spans="1:30" x14ac:dyDescent="0.25">
      <c r="A463" t="s">
        <v>437</v>
      </c>
      <c r="B463" t="s">
        <v>57</v>
      </c>
      <c r="C463" s="18">
        <f>IFERROR(
                  Andel_oberoende_av_klimat*VLOOKUP($A463,Leveranser_per_nät,'Leveranser per nät'!C$1,FALSE)
               +Andel_beroende_av_klimat*VLOOKUP($A463,Leveranser_per_nät,'Leveranser per nät'!C$1,FALSE)/VLOOKUP($B463,Korrigeringsfaktor_GD,'Korrigeringsfaktor GD'!C$1,FALSE),
"")</f>
        <v>50.375036036036036</v>
      </c>
      <c r="D463" s="18">
        <f>IFERROR(
                  Andel_oberoende_av_klimat*VLOOKUP($A463,Leveranser_per_nät,'Leveranser per nät'!D$1,FALSE)
               +Andel_beroende_av_klimat*VLOOKUP($A463,Leveranser_per_nät,'Leveranser per nät'!D$1,FALSE)/VLOOKUP($B463,Korrigeringsfaktor_GD,'Korrigeringsfaktor GD'!D$1,FALSE),
"")</f>
        <v>49.159149494949489</v>
      </c>
      <c r="E463" s="18">
        <f>IFERROR(
                  Andel_oberoende_av_klimat*VLOOKUP($A463,Leveranser_per_nät,'Leveranser per nät'!E$1,FALSE)
               +Andel_beroende_av_klimat*VLOOKUP($A463,Leveranser_per_nät,'Leveranser per nät'!E$1,FALSE)/VLOOKUP($B463,Korrigeringsfaktor_GD,'Korrigeringsfaktor GD'!E$1,FALSE),
"")</f>
        <v>49.184736633663363</v>
      </c>
      <c r="F463" s="18">
        <f>IFERROR(
                  Andel_oberoende_av_klimat*VLOOKUP($A463,Leveranser_per_nät,'Leveranser per nät'!F$1,FALSE)
               +Andel_beroende_av_klimat*VLOOKUP($A463,Leveranser_per_nät,'Leveranser per nät'!F$1,FALSE)/VLOOKUP($B463,Korrigeringsfaktor_GD,'Korrigeringsfaktor GD'!F$1,FALSE),
"")</f>
        <v>49.405813978494621</v>
      </c>
      <c r="G463" s="18">
        <f>IFERROR(
                  Andel_oberoende_av_klimat*VLOOKUP($A463,Leveranser_per_nät,'Leveranser per nät'!G$1,FALSE)
               +Andel_beroende_av_klimat*VLOOKUP($A463,Leveranser_per_nät,'Leveranser per nät'!G$1,FALSE)/VLOOKUP($B463,Korrigeringsfaktor_GD,'Korrigeringsfaktor GD'!G$1,FALSE),
"")</f>
        <v>0</v>
      </c>
      <c r="H463" s="18">
        <f>IFERROR(
                  Andel_oberoende_av_klimat*VLOOKUP($A463,Leveranser_per_nät,'Leveranser per nät'!H$1,FALSE)
               +Andel_beroende_av_klimat*VLOOKUP($A463,Leveranser_per_nät,'Leveranser per nät'!H$1,FALSE)/VLOOKUP($B463,Korrigeringsfaktor_GD,'Korrigeringsfaktor GD'!H$1,FALSE),
"")</f>
        <v>0</v>
      </c>
      <c r="I463" s="18">
        <f>IFERROR(
                  Andel_oberoende_av_klimat*VLOOKUP($A463,Leveranser_per_nät,'Leveranser per nät'!I$1,FALSE)
               +Andel_beroende_av_klimat*VLOOKUP($A463,Leveranser_per_nät,'Leveranser per nät'!I$1,FALSE)/VLOOKUP($B463,Korrigeringsfaktor_GD,'Korrigeringsfaktor GD'!I$1,FALSE),
"")</f>
        <v>0</v>
      </c>
      <c r="J463" s="18">
        <f>IFERROR(
                  Andel_oberoende_av_klimat*VLOOKUP($A463,Leveranser_per_nät,'Leveranser per nät'!J$1,FALSE)
               +Andel_beroende_av_klimat*VLOOKUP($A463,Leveranser_per_nät,'Leveranser per nät'!J$1,FALSE)/VLOOKUP($B463,Korrigeringsfaktor_GD,'Korrigeringsfaktor GD'!J$1,FALSE),
"")</f>
        <v>0</v>
      </c>
      <c r="K463" s="18">
        <f>IFERROR(
                  Andel_oberoende_av_klimat*VLOOKUP($A463,Leveranser_per_nät,'Leveranser per nät'!K$1,FALSE)
               +Andel_beroende_av_klimat*VLOOKUP($A463,Leveranser_per_nät,'Leveranser per nät'!K$1,FALSE)/VLOOKUP($B463,Korrigeringsfaktor_GD,'Korrigeringsfaktor GD'!K$1,FALSE),
"")</f>
        <v>0</v>
      </c>
      <c r="L463" s="18">
        <f>IFERROR(
                  Andel_oberoende_av_klimat*VLOOKUP($A463,Leveranser_per_nät,'Leveranser per nät'!L$1,FALSE)
               +Andel_beroende_av_klimat*VLOOKUP($A463,Leveranser_per_nät,'Leveranser per nät'!L$1,FALSE)/VLOOKUP($B463,Korrigeringsfaktor_GD,'Korrigeringsfaktor GD'!L$1,FALSE),
"")</f>
        <v>0</v>
      </c>
      <c r="M463" s="18">
        <f>IFERROR(
                  Andel_oberoende_av_klimat*VLOOKUP($A463,Leveranser_per_nät,'Leveranser per nät'!M$1,FALSE)
               +Andel_beroende_av_klimat*VLOOKUP($A463,Leveranser_per_nät,'Leveranser per nät'!M$1,FALSE)/VLOOKUP($B463,Korrigeringsfaktor_GD,'Korrigeringsfaktor GD'!M$1,FALSE),
"")</f>
        <v>0</v>
      </c>
      <c r="N463" s="18">
        <f>IFERROR(
                  Andel_oberoende_av_klimat*VLOOKUP($A463,Leveranser_per_nät,'Leveranser per nät'!N$1,FALSE)
               +Andel_beroende_av_klimat*VLOOKUP($A463,Leveranser_per_nät,'Leveranser per nät'!N$1,FALSE)/VLOOKUP($B463,Korrigeringsfaktor_GD,'Korrigeringsfaktor GD'!N$1,FALSE),
"")</f>
        <v>0</v>
      </c>
      <c r="O463" s="18">
        <f>IFERROR(
                  Andel_oberoende_av_klimat*VLOOKUP($A463,Leveranser_per_nät,'Leveranser per nät'!O$1,FALSE)
               +Andel_beroende_av_klimat*VLOOKUP($A463,Leveranser_per_nät,'Leveranser per nät'!O$1,FALSE)/VLOOKUP($B463,Korrigeringsfaktor_GD,'Korrigeringsfaktor GD'!O$1,FALSE),
"")</f>
        <v>0</v>
      </c>
      <c r="P463" s="18">
        <f>IFERROR(
                  Andel_oberoende_av_klimat*VLOOKUP($A463,Leveranser_per_nät,'Leveranser per nät'!P$1,FALSE)
               +Andel_beroende_av_klimat*VLOOKUP($A463,Leveranser_per_nät,'Leveranser per nät'!P$1,FALSE)/VLOOKUP($B463,Korrigeringsfaktor_GD,'Korrigeringsfaktor GD'!P$1,FALSE),
"")</f>
        <v>0</v>
      </c>
      <c r="Q463" s="18">
        <f>IFERROR(
                  Andel_oberoende_av_klimat*VLOOKUP($A463,Leveranser_per_nät,'Leveranser per nät'!Q$1,FALSE)
               +Andel_beroende_av_klimat*VLOOKUP($A463,Leveranser_per_nät,'Leveranser per nät'!Q$1,FALSE)/VLOOKUP($B463,Korrigeringsfaktor_GD,'Korrigeringsfaktor GD'!Q$1,FALSE),
"")</f>
        <v>0</v>
      </c>
      <c r="R463" s="18">
        <f>IFERROR(
                  Andel_oberoende_av_klimat*VLOOKUP($A463,Leveranser_per_nät,'Leveranser per nät'!R$1,FALSE)
               +Andel_beroende_av_klimat*VLOOKUP($A463,Leveranser_per_nät,'Leveranser per nät'!R$1,FALSE)/VLOOKUP($B463,Korrigeringsfaktor_GD,'Korrigeringsfaktor GD'!R$1,FALSE),
"")</f>
        <v>0</v>
      </c>
      <c r="S463" s="18" t="str">
        <f>IFERROR(
                  Andel_oberoende_av_klimat*VLOOKUP($A463,Leveranser_per_nät,'Leveranser per nät'!S$1,FALSE)
               +Andel_beroende_av_klimat*VLOOKUP($A463,Leveranser_per_nät,'Leveranser per nät'!S$1,FALSE)/VLOOKUP($B463,Korrigeringsfaktor_GD,'Korrigeringsfaktor GD'!S$1,FALSE),
"")</f>
        <v/>
      </c>
      <c r="T463" s="18" t="str">
        <f>IFERROR(
                  Andel_oberoende_av_klimat*VLOOKUP($A463,Leveranser_per_nät,'Leveranser per nät'!T$1,FALSE)
               +Andel_beroende_av_klimat*VLOOKUP($A463,Leveranser_per_nät,'Leveranser per nät'!T$1,FALSE)/VLOOKUP($B463,Korrigeringsfaktor_GD,'Korrigeringsfaktor GD'!T$1,FALSE),
"")</f>
        <v/>
      </c>
      <c r="U463" s="18" t="str">
        <f>IFERROR(
                  Andel_oberoende_av_klimat*VLOOKUP($A463,Leveranser_per_nät,'Leveranser per nät'!U$1,FALSE)
               +Andel_beroende_av_klimat*VLOOKUP($A463,Leveranser_per_nät,'Leveranser per nät'!U$1,FALSE)/VLOOKUP($B463,Korrigeringsfaktor_GD,'Korrigeringsfaktor GD'!U$1,FALSE),
"")</f>
        <v/>
      </c>
      <c r="V463" s="18" t="str">
        <f>IFERROR(
                  Andel_oberoende_av_klimat*VLOOKUP($A463,Leveranser_per_nät,'Leveranser per nät'!V$1,FALSE)
               +Andel_beroende_av_klimat*VLOOKUP($A463,Leveranser_per_nät,'Leveranser per nät'!V$1,FALSE)/VLOOKUP($B463,Korrigeringsfaktor_GD,'Korrigeringsfaktor GD'!V$1,FALSE),
"")</f>
        <v/>
      </c>
      <c r="W463" s="18" t="str">
        <f>IFERROR(
                  Andel_oberoende_av_klimat*VLOOKUP($A463,Leveranser_per_nät,'Leveranser per nät'!W$1,FALSE)
               +Andel_beroende_av_klimat*VLOOKUP($A463,Leveranser_per_nät,'Leveranser per nät'!W$1,FALSE)/VLOOKUP($B463,Korrigeringsfaktor_GD,'Korrigeringsfaktor GD'!W$1,FALSE),
"")</f>
        <v/>
      </c>
      <c r="X463" s="18" t="str">
        <f>IFERROR(
                  Andel_oberoende_av_klimat*VLOOKUP($A463,Leveranser_per_nät,'Leveranser per nät'!X$1,FALSE)
               +Andel_beroende_av_klimat*VLOOKUP($A463,Leveranser_per_nät,'Leveranser per nät'!X$1,FALSE)/VLOOKUP($B463,Korrigeringsfaktor_GD,'Korrigeringsfaktor GD'!X$1,FALSE),
"")</f>
        <v/>
      </c>
      <c r="Y463" s="18" t="str">
        <f>IFERROR(
                  Andel_oberoende_av_klimat*VLOOKUP($A463,Leveranser_per_nät,'Leveranser per nät'!Y$1,FALSE)
               +Andel_beroende_av_klimat*VLOOKUP($A463,Leveranser_per_nät,'Leveranser per nät'!Y$1,FALSE)/VLOOKUP($B463,Korrigeringsfaktor_GD,'Korrigeringsfaktor GD'!Y$1,FALSE),
"")</f>
        <v/>
      </c>
      <c r="Z463" s="18">
        <f>IFERROR(
                  Andel_oberoende_av_klimat*VLOOKUP($A463,Leveranser_per_nät,'Leveranser per nät'!Z$1,FALSE)
               +Andel_beroende_av_klimat*VLOOKUP($A463,Leveranser_per_nät,'Leveranser per nät'!Z$1,FALSE)/VLOOKUP($B463,Korrigeringsfaktor_GD,'Korrigeringsfaktor GD'!Z$1,FALSE),
"")</f>
        <v>0</v>
      </c>
      <c r="AA463" s="18" t="str">
        <f>IFERROR(
                  Andel_oberoende_av_klimat*VLOOKUP($A463,Leveranser_per_nät,'Leveranser per nät'!AA$1,FALSE)
               +Andel_beroende_av_klimat*VLOOKUP($A463,Leveranser_per_nät,'Leveranser per nät'!AA$1,FALSE)/VLOOKUP($B463,Korrigeringsfaktor_GD,'Korrigeringsfaktor GD'!AA$1,FALSE),
"")</f>
        <v/>
      </c>
      <c r="AB463" s="18">
        <f>IFERROR(
                  Andel_oberoende_av_klimat*VLOOKUP($A463,Leveranser_per_nät,'Leveranser per nät'!AB$1,FALSE)
               +Andel_beroende_av_klimat*VLOOKUP($A463,Leveranser_per_nät,'Leveranser per nät'!AB$1,FALSE)/VLOOKUP($B463,Korrigeringsfaktor_GD,'Korrigeringsfaktor GD'!AB$1,FALSE),
"")</f>
        <v>0</v>
      </c>
      <c r="AC463" s="18">
        <f>IFERROR(
                  Andel_oberoende_av_klimat*VLOOKUP($A463,Leveranser_per_nät,'Leveranser per nät'!AC$1,FALSE)
               +Andel_beroende_av_klimat*VLOOKUP($A463,Leveranser_per_nät,'Leveranser per nät'!AC$1,FALSE)/VLOOKUP($B463,Korrigeringsfaktor_GD,'Korrigeringsfaktor GD'!AC$1,FALSE),
"")</f>
        <v>0</v>
      </c>
      <c r="AD463">
        <v>66.5</v>
      </c>
    </row>
    <row r="464" spans="1:30" x14ac:dyDescent="0.25">
      <c r="A464" t="s">
        <v>281</v>
      </c>
      <c r="B464" t="s">
        <v>281</v>
      </c>
      <c r="C464" s="18">
        <f>IFERROR(
                  Andel_oberoende_av_klimat*VLOOKUP($A464,Leveranser_per_nät,'Leveranser per nät'!C$1,FALSE)
               +Andel_beroende_av_klimat*VLOOKUP($A464,Leveranser_per_nät,'Leveranser per nät'!C$1,FALSE)/VLOOKUP($B464,Korrigeringsfaktor_GD,'Korrigeringsfaktor GD'!C$1,FALSE),
"")</f>
        <v>0</v>
      </c>
      <c r="D464" s="18">
        <f>IFERROR(
                  Andel_oberoende_av_klimat*VLOOKUP($A464,Leveranser_per_nät,'Leveranser per nät'!D$1,FALSE)
               +Andel_beroende_av_klimat*VLOOKUP($A464,Leveranser_per_nät,'Leveranser per nät'!D$1,FALSE)/VLOOKUP($B464,Korrigeringsfaktor_GD,'Korrigeringsfaktor GD'!D$1,FALSE),
"")</f>
        <v>0</v>
      </c>
      <c r="E464" s="18">
        <f>IFERROR(
                  Andel_oberoende_av_klimat*VLOOKUP($A464,Leveranser_per_nät,'Leveranser per nät'!E$1,FALSE)
               +Andel_beroende_av_klimat*VLOOKUP($A464,Leveranser_per_nät,'Leveranser per nät'!E$1,FALSE)/VLOOKUP($B464,Korrigeringsfaktor_GD,'Korrigeringsfaktor GD'!E$1,FALSE),
"")</f>
        <v>0</v>
      </c>
      <c r="F464" s="18">
        <f>IFERROR(
                  Andel_oberoende_av_klimat*VLOOKUP($A464,Leveranser_per_nät,'Leveranser per nät'!F$1,FALSE)
               +Andel_beroende_av_klimat*VLOOKUP($A464,Leveranser_per_nät,'Leveranser per nät'!F$1,FALSE)/VLOOKUP($B464,Korrigeringsfaktor_GD,'Korrigeringsfaktor GD'!F$1,FALSE),
"")</f>
        <v>0</v>
      </c>
      <c r="G464" s="18">
        <f>IFERROR(
                  Andel_oberoende_av_klimat*VLOOKUP($A464,Leveranser_per_nät,'Leveranser per nät'!G$1,FALSE)
               +Andel_beroende_av_klimat*VLOOKUP($A464,Leveranser_per_nät,'Leveranser per nät'!G$1,FALSE)/VLOOKUP($B464,Korrigeringsfaktor_GD,'Korrigeringsfaktor GD'!G$1,FALSE),
"")</f>
        <v>0</v>
      </c>
      <c r="H464" s="18">
        <f>IFERROR(
                  Andel_oberoende_av_klimat*VLOOKUP($A464,Leveranser_per_nät,'Leveranser per nät'!H$1,FALSE)
               +Andel_beroende_av_klimat*VLOOKUP($A464,Leveranser_per_nät,'Leveranser per nät'!H$1,FALSE)/VLOOKUP($B464,Korrigeringsfaktor_GD,'Korrigeringsfaktor GD'!H$1,FALSE),
"")</f>
        <v>0</v>
      </c>
      <c r="I464" s="18">
        <f>IFERROR(
                  Andel_oberoende_av_klimat*VLOOKUP($A464,Leveranser_per_nät,'Leveranser per nät'!I$1,FALSE)
               +Andel_beroende_av_klimat*VLOOKUP($A464,Leveranser_per_nät,'Leveranser per nät'!I$1,FALSE)/VLOOKUP($B464,Korrigeringsfaktor_GD,'Korrigeringsfaktor GD'!I$1,FALSE),
"")</f>
        <v>0</v>
      </c>
      <c r="J464" s="18">
        <f>IFERROR(
                  Andel_oberoende_av_klimat*VLOOKUP($A464,Leveranser_per_nät,'Leveranser per nät'!J$1,FALSE)
               +Andel_beroende_av_klimat*VLOOKUP($A464,Leveranser_per_nät,'Leveranser per nät'!J$1,FALSE)/VLOOKUP($B464,Korrigeringsfaktor_GD,'Korrigeringsfaktor GD'!J$1,FALSE),
"")</f>
        <v>0</v>
      </c>
      <c r="K464" s="18">
        <f>IFERROR(
                  Andel_oberoende_av_klimat*VLOOKUP($A464,Leveranser_per_nät,'Leveranser per nät'!K$1,FALSE)
               +Andel_beroende_av_klimat*VLOOKUP($A464,Leveranser_per_nät,'Leveranser per nät'!K$1,FALSE)/VLOOKUP($B464,Korrigeringsfaktor_GD,'Korrigeringsfaktor GD'!K$1,FALSE),
"")</f>
        <v>0</v>
      </c>
      <c r="L464" s="18">
        <f>IFERROR(
                  Andel_oberoende_av_klimat*VLOOKUP($A464,Leveranser_per_nät,'Leveranser per nät'!L$1,FALSE)
               +Andel_beroende_av_klimat*VLOOKUP($A464,Leveranser_per_nät,'Leveranser per nät'!L$1,FALSE)/VLOOKUP($B464,Korrigeringsfaktor_GD,'Korrigeringsfaktor GD'!L$1,FALSE),
"")</f>
        <v>32.586033345307172</v>
      </c>
      <c r="M464" s="18">
        <f>IFERROR(
                  Andel_oberoende_av_klimat*VLOOKUP($A464,Leveranser_per_nät,'Leveranser per nät'!M$1,FALSE)
               +Andel_beroende_av_klimat*VLOOKUP($A464,Leveranser_per_nät,'Leveranser per nät'!M$1,FALSE)/VLOOKUP($B464,Korrigeringsfaktor_GD,'Korrigeringsfaktor GD'!M$1,FALSE),
"")</f>
        <v>28.716678260869564</v>
      </c>
      <c r="N464" s="18">
        <f>IFERROR(
                  Andel_oberoende_av_klimat*VLOOKUP($A464,Leveranser_per_nät,'Leveranser per nät'!N$1,FALSE)
               +Andel_beroende_av_klimat*VLOOKUP($A464,Leveranser_per_nät,'Leveranser per nät'!N$1,FALSE)/VLOOKUP($B464,Korrigeringsfaktor_GD,'Korrigeringsfaktor GD'!N$1,FALSE),
"")</f>
        <v>32.932307692307688</v>
      </c>
      <c r="O464" s="18">
        <f>IFERROR(
                  Andel_oberoende_av_klimat*VLOOKUP($A464,Leveranser_per_nät,'Leveranser per nät'!O$1,FALSE)
               +Andel_beroende_av_klimat*VLOOKUP($A464,Leveranser_per_nät,'Leveranser per nät'!O$1,FALSE)/VLOOKUP($B464,Korrigeringsfaktor_GD,'Korrigeringsfaktor GD'!O$1,FALSE),
"")</f>
        <v>45.481595505617975</v>
      </c>
      <c r="P464" s="18">
        <f>IFERROR(
                  Andel_oberoende_av_klimat*VLOOKUP($A464,Leveranser_per_nät,'Leveranser per nät'!P$1,FALSE)
               +Andel_beroende_av_klimat*VLOOKUP($A464,Leveranser_per_nät,'Leveranser per nät'!P$1,FALSE)/VLOOKUP($B464,Korrigeringsfaktor_GD,'Korrigeringsfaktor GD'!P$1,FALSE),
"")</f>
        <v>47.448285714285717</v>
      </c>
      <c r="Q464" s="18">
        <f>IFERROR(
                  Andel_oberoende_av_klimat*VLOOKUP($A464,Leveranser_per_nät,'Leveranser per nät'!Q$1,FALSE)
               +Andel_beroende_av_klimat*VLOOKUP($A464,Leveranser_per_nät,'Leveranser per nät'!Q$1,FALSE)/VLOOKUP($B464,Korrigeringsfaktor_GD,'Korrigeringsfaktor GD'!Q$1,FALSE),
"")</f>
        <v>45.419090909090912</v>
      </c>
      <c r="R464" s="18">
        <f>IFERROR(
                  Andel_oberoende_av_klimat*VLOOKUP($A464,Leveranser_per_nät,'Leveranser per nät'!R$1,FALSE)
               +Andel_beroende_av_klimat*VLOOKUP($A464,Leveranser_per_nät,'Leveranser per nät'!R$1,FALSE)/VLOOKUP($B464,Korrigeringsfaktor_GD,'Korrigeringsfaktor GD'!R$1,FALSE),
"")</f>
        <v>41.806923076923077</v>
      </c>
      <c r="S464" s="18">
        <f>IFERROR(
                  Andel_oberoende_av_klimat*VLOOKUP($A464,Leveranser_per_nät,'Leveranser per nät'!S$1,FALSE)
               +Andel_beroende_av_klimat*VLOOKUP($A464,Leveranser_per_nät,'Leveranser per nät'!S$1,FALSE)/VLOOKUP($B464,Korrigeringsfaktor_GD,'Korrigeringsfaktor GD'!S$1,FALSE),
"")</f>
        <v>43.304040404040407</v>
      </c>
      <c r="T464" s="18">
        <f>IFERROR(
                  Andel_oberoende_av_klimat*VLOOKUP($A464,Leveranser_per_nät,'Leveranser per nät'!T$1,FALSE)
               +Andel_beroende_av_klimat*VLOOKUP($A464,Leveranser_per_nät,'Leveranser per nät'!T$1,FALSE)/VLOOKUP($B464,Korrigeringsfaktor_GD,'Korrigeringsfaktor GD'!T$1,FALSE),
"")</f>
        <v>43.685731958762887</v>
      </c>
      <c r="U464" s="18">
        <f>IFERROR(
                  Andel_oberoende_av_klimat*VLOOKUP($A464,Leveranser_per_nät,'Leveranser per nät'!U$1,FALSE)
               +Andel_beroende_av_klimat*VLOOKUP($A464,Leveranser_per_nät,'Leveranser per nät'!U$1,FALSE)/VLOOKUP($B464,Korrigeringsfaktor_GD,'Korrigeringsfaktor GD'!U$1,FALSE),
"")</f>
        <v>43.334529411764706</v>
      </c>
      <c r="V464" s="18">
        <f>IFERROR(
                  Andel_oberoende_av_klimat*VLOOKUP($A464,Leveranser_per_nät,'Leveranser per nät'!V$1,FALSE)
               +Andel_beroende_av_klimat*VLOOKUP($A464,Leveranser_per_nät,'Leveranser per nät'!V$1,FALSE)/VLOOKUP($B464,Korrigeringsfaktor_GD,'Korrigeringsfaktor GD'!V$1,FALSE),
"")</f>
        <v>42.482827586206902</v>
      </c>
      <c r="W464" s="18">
        <f>IFERROR(
                  Andel_oberoende_av_klimat*VLOOKUP($A464,Leveranser_per_nät,'Leveranser per nät'!W$1,FALSE)
               +Andel_beroende_av_klimat*VLOOKUP($A464,Leveranser_per_nät,'Leveranser per nät'!W$1,FALSE)/VLOOKUP($B464,Korrigeringsfaktor_GD,'Korrigeringsfaktor GD'!W$1,FALSE),
"")</f>
        <v>45.581397849462363</v>
      </c>
      <c r="X464" s="18">
        <f>IFERROR(
                  Andel_oberoende_av_klimat*VLOOKUP($A464,Leveranser_per_nät,'Leveranser per nät'!X$1,FALSE)
               +Andel_beroende_av_klimat*VLOOKUP($A464,Leveranser_per_nät,'Leveranser per nät'!X$1,FALSE)/VLOOKUP($B464,Korrigeringsfaktor_GD,'Korrigeringsfaktor GD'!X$1,FALSE),
"")</f>
        <v>44.201999999999998</v>
      </c>
      <c r="Y464" s="18">
        <f>IFERROR(
                  Andel_oberoende_av_klimat*VLOOKUP($A464,Leveranser_per_nät,'Leveranser per nät'!Y$1,FALSE)
               +Andel_beroende_av_klimat*VLOOKUP($A464,Leveranser_per_nät,'Leveranser per nät'!Y$1,FALSE)/VLOOKUP($B464,Korrigeringsfaktor_GD,'Korrigeringsfaktor GD'!Y$1,FALSE),
"")</f>
        <v>44.906608695652167</v>
      </c>
      <c r="Z464" s="18">
        <f>IFERROR(
                  Andel_oberoende_av_klimat*VLOOKUP($A464,Leveranser_per_nät,'Leveranser per nät'!Z$1,FALSE)
               +Andel_beroende_av_klimat*VLOOKUP($A464,Leveranser_per_nät,'Leveranser per nät'!Z$1,FALSE)/VLOOKUP($B464,Korrigeringsfaktor_GD,'Korrigeringsfaktor GD'!Z$1,FALSE),
"")</f>
        <v>45.688033707865166</v>
      </c>
      <c r="AA464" s="18">
        <f>IFERROR(
                  Andel_oberoende_av_klimat*VLOOKUP($A464,Leveranser_per_nät,'Leveranser per nät'!AA$1,FALSE)
               +Andel_beroende_av_klimat*VLOOKUP($A464,Leveranser_per_nät,'Leveranser per nät'!AA$1,FALSE)/VLOOKUP($B464,Korrigeringsfaktor_GD,'Korrigeringsfaktor GD'!AA$1,FALSE),
"")</f>
        <v>43.623145605306796</v>
      </c>
      <c r="AB464" s="18">
        <f>IFERROR(
                  Andel_oberoende_av_klimat*VLOOKUP($A464,Leveranser_per_nät,'Leveranser per nät'!AB$1,FALSE)
               +Andel_beroende_av_klimat*VLOOKUP($A464,Leveranser_per_nät,'Leveranser per nät'!AB$1,FALSE)/VLOOKUP($B464,Korrigeringsfaktor_GD,'Korrigeringsfaktor GD'!AB$1,FALSE),
"")</f>
        <v>43.835111111111111</v>
      </c>
      <c r="AC464" s="18">
        <f>IFERROR(
                  Andel_oberoende_av_klimat*VLOOKUP($A464,Leveranser_per_nät,'Leveranser per nät'!AC$1,FALSE)
               +Andel_beroende_av_klimat*VLOOKUP($A464,Leveranser_per_nät,'Leveranser per nät'!AC$1,FALSE)/VLOOKUP($B464,Korrigeringsfaktor_GD,'Korrigeringsfaktor GD'!AC$1,FALSE),
"")</f>
        <v>41.30967084639498</v>
      </c>
      <c r="AD464">
        <v>40.049999999999997</v>
      </c>
    </row>
    <row r="465" spans="1:30" x14ac:dyDescent="0.25">
      <c r="A465" t="s">
        <v>370</v>
      </c>
      <c r="B465" t="s">
        <v>370</v>
      </c>
      <c r="C465" s="18">
        <f>IFERROR(
                  Andel_oberoende_av_klimat*VLOOKUP($A465,Leveranser_per_nät,'Leveranser per nät'!C$1,FALSE)
               +Andel_beroende_av_klimat*VLOOKUP($A465,Leveranser_per_nät,'Leveranser per nät'!C$1,FALSE)/VLOOKUP($B465,Korrigeringsfaktor_GD,'Korrigeringsfaktor GD'!C$1,FALSE),
"")</f>
        <v>17.901834862385321</v>
      </c>
      <c r="D465" s="18">
        <f>IFERROR(
                  Andel_oberoende_av_klimat*VLOOKUP($A465,Leveranser_per_nät,'Leveranser per nät'!D$1,FALSE)
               +Andel_beroende_av_klimat*VLOOKUP($A465,Leveranser_per_nät,'Leveranser per nät'!D$1,FALSE)/VLOOKUP($B465,Korrigeringsfaktor_GD,'Korrigeringsfaktor GD'!D$1,FALSE),
"")</f>
        <v>17.418947368421055</v>
      </c>
      <c r="E465" s="18">
        <f>IFERROR(
                  Andel_oberoende_av_klimat*VLOOKUP($A465,Leveranser_per_nät,'Leveranser per nät'!E$1,FALSE)
               +Andel_beroende_av_klimat*VLOOKUP($A465,Leveranser_per_nät,'Leveranser per nät'!E$1,FALSE)/VLOOKUP($B465,Korrigeringsfaktor_GD,'Korrigeringsfaktor GD'!E$1,FALSE),
"")</f>
        <v>19</v>
      </c>
      <c r="F465" s="18">
        <f>IFERROR(
                  Andel_oberoende_av_klimat*VLOOKUP($A465,Leveranser_per_nät,'Leveranser per nät'!F$1,FALSE)
               +Andel_beroende_av_klimat*VLOOKUP($A465,Leveranser_per_nät,'Leveranser per nät'!F$1,FALSE)/VLOOKUP($B465,Korrigeringsfaktor_GD,'Korrigeringsfaktor GD'!F$1,FALSE),
"")</f>
        <v>23.162626262626262</v>
      </c>
      <c r="G465" s="18">
        <f>IFERROR(
                  Andel_oberoende_av_klimat*VLOOKUP($A465,Leveranser_per_nät,'Leveranser per nät'!G$1,FALSE)
               +Andel_beroende_av_klimat*VLOOKUP($A465,Leveranser_per_nät,'Leveranser per nät'!G$1,FALSE)/VLOOKUP($B465,Korrigeringsfaktor_GD,'Korrigeringsfaktor GD'!G$1,FALSE),
"")</f>
        <v>26.521739130434781</v>
      </c>
      <c r="H465" s="18">
        <f>IFERROR(
                  Andel_oberoende_av_klimat*VLOOKUP($A465,Leveranser_per_nät,'Leveranser per nät'!H$1,FALSE)
               +Andel_beroende_av_klimat*VLOOKUP($A465,Leveranser_per_nät,'Leveranser per nät'!H$1,FALSE)/VLOOKUP($B465,Korrigeringsfaktor_GD,'Korrigeringsfaktor GD'!H$1,FALSE),
"")</f>
        <v>27.796174509803922</v>
      </c>
      <c r="I465" s="18">
        <f>IFERROR(
                  Andel_oberoende_av_klimat*VLOOKUP($A465,Leveranser_per_nät,'Leveranser per nät'!I$1,FALSE)
               +Andel_beroende_av_klimat*VLOOKUP($A465,Leveranser_per_nät,'Leveranser per nät'!I$1,FALSE)/VLOOKUP($B465,Korrigeringsfaktor_GD,'Korrigeringsfaktor GD'!I$1,FALSE),
"")</f>
        <v>26.562886597938146</v>
      </c>
      <c r="J465" s="18">
        <f>IFERROR(
                  Andel_oberoende_av_klimat*VLOOKUP($A465,Leveranser_per_nät,'Leveranser per nät'!J$1,FALSE)
               +Andel_beroende_av_klimat*VLOOKUP($A465,Leveranser_per_nät,'Leveranser per nät'!J$1,FALSE)/VLOOKUP($B465,Korrigeringsfaktor_GD,'Korrigeringsfaktor GD'!J$1,FALSE),
"")</f>
        <v>28.77373608247423</v>
      </c>
      <c r="K465" s="18">
        <f>IFERROR(
                  Andel_oberoende_av_klimat*VLOOKUP($A465,Leveranser_per_nät,'Leveranser per nät'!K$1,FALSE)
               +Andel_beroende_av_klimat*VLOOKUP($A465,Leveranser_per_nät,'Leveranser per nät'!K$1,FALSE)/VLOOKUP($B465,Korrigeringsfaktor_GD,'Korrigeringsfaktor GD'!K$1,FALSE),
"")</f>
        <v>21.873908333333336</v>
      </c>
      <c r="L465" s="18">
        <f>IFERROR(
                  Andel_oberoende_av_klimat*VLOOKUP($A465,Leveranser_per_nät,'Leveranser per nät'!L$1,FALSE)
               +Andel_beroende_av_klimat*VLOOKUP($A465,Leveranser_per_nät,'Leveranser per nät'!L$1,FALSE)/VLOOKUP($B465,Korrigeringsfaktor_GD,'Korrigeringsfaktor GD'!L$1,FALSE),
"")</f>
        <v>22.597491489361701</v>
      </c>
      <c r="M465" s="18">
        <f>IFERROR(
                  Andel_oberoende_av_klimat*VLOOKUP($A465,Leveranser_per_nät,'Leveranser per nät'!M$1,FALSE)
               +Andel_beroende_av_klimat*VLOOKUP($A465,Leveranser_per_nät,'Leveranser per nät'!M$1,FALSE)/VLOOKUP($B465,Korrigeringsfaktor_GD,'Korrigeringsfaktor GD'!M$1,FALSE),
"")</f>
        <v>24.788888888888888</v>
      </c>
      <c r="N465" s="18">
        <f>IFERROR(
                  Andel_oberoende_av_klimat*VLOOKUP($A465,Leveranser_per_nät,'Leveranser per nät'!N$1,FALSE)
               +Andel_beroende_av_klimat*VLOOKUP($A465,Leveranser_per_nät,'Leveranser per nät'!N$1,FALSE)/VLOOKUP($B465,Korrigeringsfaktor_GD,'Korrigeringsfaktor GD'!N$1,FALSE),
"")</f>
        <v>25.614529787234041</v>
      </c>
      <c r="O465" s="18">
        <f>IFERROR(
                  Andel_oberoende_av_klimat*VLOOKUP($A465,Leveranser_per_nät,'Leveranser per nät'!O$1,FALSE)
               +Andel_beroende_av_klimat*VLOOKUP($A465,Leveranser_per_nät,'Leveranser per nät'!O$1,FALSE)/VLOOKUP($B465,Korrigeringsfaktor_GD,'Korrigeringsfaktor GD'!O$1,FALSE),
"")</f>
        <v>25.090542105263161</v>
      </c>
      <c r="P465" s="18">
        <f>IFERROR(
                  Andel_oberoende_av_klimat*VLOOKUP($A465,Leveranser_per_nät,'Leveranser per nät'!P$1,FALSE)
               +Andel_beroende_av_klimat*VLOOKUP($A465,Leveranser_per_nät,'Leveranser per nät'!P$1,FALSE)/VLOOKUP($B465,Korrigeringsfaktor_GD,'Korrigeringsfaktor GD'!P$1,FALSE),
"")</f>
        <v>24.277999999999999</v>
      </c>
      <c r="Q465" s="18">
        <f>IFERROR(
                  Andel_oberoende_av_klimat*VLOOKUP($A465,Leveranser_per_nät,'Leveranser per nät'!Q$1,FALSE)
               +Andel_beroende_av_klimat*VLOOKUP($A465,Leveranser_per_nät,'Leveranser per nät'!Q$1,FALSE)/VLOOKUP($B465,Korrigeringsfaktor_GD,'Korrigeringsfaktor GD'!Q$1,FALSE),
"")</f>
        <v>24.591200000000001</v>
      </c>
      <c r="R465" s="18">
        <f>IFERROR(
                  Andel_oberoende_av_klimat*VLOOKUP($A465,Leveranser_per_nät,'Leveranser per nät'!R$1,FALSE)
               +Andel_beroende_av_klimat*VLOOKUP($A465,Leveranser_per_nät,'Leveranser per nät'!R$1,FALSE)/VLOOKUP($B465,Korrigeringsfaktor_GD,'Korrigeringsfaktor GD'!R$1,FALSE),
"")</f>
        <v>22.847323076923072</v>
      </c>
      <c r="S465" s="18">
        <f>IFERROR(
                  Andel_oberoende_av_klimat*VLOOKUP($A465,Leveranser_per_nät,'Leveranser per nät'!S$1,FALSE)
               +Andel_beroende_av_klimat*VLOOKUP($A465,Leveranser_per_nät,'Leveranser per nät'!S$1,FALSE)/VLOOKUP($B465,Korrigeringsfaktor_GD,'Korrigeringsfaktor GD'!S$1,FALSE),
"")</f>
        <v>24</v>
      </c>
      <c r="T465" s="18">
        <f>IFERROR(
                  Andel_oberoende_av_klimat*VLOOKUP($A465,Leveranser_per_nät,'Leveranser per nät'!T$1,FALSE)
               +Andel_beroende_av_klimat*VLOOKUP($A465,Leveranser_per_nät,'Leveranser per nät'!T$1,FALSE)/VLOOKUP($B465,Korrigeringsfaktor_GD,'Korrigeringsfaktor GD'!T$1,FALSE),
"")</f>
        <v>22.950416666666669</v>
      </c>
      <c r="U465" s="18">
        <f>IFERROR(
                  Andel_oberoende_av_klimat*VLOOKUP($A465,Leveranser_per_nät,'Leveranser per nät'!U$1,FALSE)
               +Andel_beroende_av_klimat*VLOOKUP($A465,Leveranser_per_nät,'Leveranser per nät'!U$1,FALSE)/VLOOKUP($B465,Korrigeringsfaktor_GD,'Korrigeringsfaktor GD'!U$1,FALSE),
"")</f>
        <v>23.738500000000002</v>
      </c>
      <c r="V465" s="18">
        <f>IFERROR(
                  Andel_oberoende_av_klimat*VLOOKUP($A465,Leveranser_per_nät,'Leveranser per nät'!V$1,FALSE)
               +Andel_beroende_av_klimat*VLOOKUP($A465,Leveranser_per_nät,'Leveranser per nät'!V$1,FALSE)/VLOOKUP($B465,Korrigeringsfaktor_GD,'Korrigeringsfaktor GD'!V$1,FALSE),
"")</f>
        <v>22.675909090909091</v>
      </c>
      <c r="W465" s="18">
        <f>IFERROR(
                  Andel_oberoende_av_klimat*VLOOKUP($A465,Leveranser_per_nät,'Leveranser per nät'!W$1,FALSE)
               +Andel_beroende_av_klimat*VLOOKUP($A465,Leveranser_per_nät,'Leveranser per nät'!W$1,FALSE)/VLOOKUP($B465,Korrigeringsfaktor_GD,'Korrigeringsfaktor GD'!W$1,FALSE),
"")</f>
        <v>23.775147826086958</v>
      </c>
      <c r="X465" s="18">
        <f>IFERROR(
                  Andel_oberoende_av_klimat*VLOOKUP($A465,Leveranser_per_nät,'Leveranser per nät'!X$1,FALSE)
               +Andel_beroende_av_klimat*VLOOKUP($A465,Leveranser_per_nät,'Leveranser per nät'!X$1,FALSE)/VLOOKUP($B465,Korrigeringsfaktor_GD,'Korrigeringsfaktor GD'!X$1,FALSE),
"")</f>
        <v>24.038106382978725</v>
      </c>
      <c r="Y465" s="18">
        <f>IFERROR(
                  Andel_oberoende_av_klimat*VLOOKUP($A465,Leveranser_per_nät,'Leveranser per nät'!Y$1,FALSE)
               +Andel_beroende_av_klimat*VLOOKUP($A465,Leveranser_per_nät,'Leveranser per nät'!Y$1,FALSE)/VLOOKUP($B465,Korrigeringsfaktor_GD,'Korrigeringsfaktor GD'!Y$1,FALSE),
"")</f>
        <v>24.229282978723408</v>
      </c>
      <c r="Z465" s="18">
        <f>IFERROR(
                  Andel_oberoende_av_klimat*VLOOKUP($A465,Leveranser_per_nät,'Leveranser per nät'!Z$1,FALSE)
               +Andel_beroende_av_klimat*VLOOKUP($A465,Leveranser_per_nät,'Leveranser per nät'!Z$1,FALSE)/VLOOKUP($B465,Korrigeringsfaktor_GD,'Korrigeringsfaktor GD'!Z$1,FALSE),
"")</f>
        <v>24.5579</v>
      </c>
      <c r="AA465" s="18">
        <f>IFERROR(
                  Andel_oberoende_av_klimat*VLOOKUP($A465,Leveranser_per_nät,'Leveranser per nät'!AA$1,FALSE)
               +Andel_beroende_av_klimat*VLOOKUP($A465,Leveranser_per_nät,'Leveranser per nät'!AA$1,FALSE)/VLOOKUP($B465,Korrigeringsfaktor_GD,'Korrigeringsfaktor GD'!AA$1,FALSE),
"")</f>
        <v>23.21768517869657</v>
      </c>
      <c r="AB465" s="18">
        <f>IFERROR(
                  Andel_oberoende_av_klimat*VLOOKUP($A465,Leveranser_per_nät,'Leveranser per nät'!AB$1,FALSE)
               +Andel_beroende_av_klimat*VLOOKUP($A465,Leveranser_per_nät,'Leveranser per nät'!AB$1,FALSE)/VLOOKUP($B465,Korrigeringsfaktor_GD,'Korrigeringsfaktor GD'!AB$1,FALSE),
"")</f>
        <v>22.829530708661416</v>
      </c>
      <c r="AC465" s="18">
        <f>IFERROR(
                  Andel_oberoende_av_klimat*VLOOKUP($A465,Leveranser_per_nät,'Leveranser per nät'!AC$1,FALSE)
               +Andel_beroende_av_klimat*VLOOKUP($A465,Leveranser_per_nät,'Leveranser per nät'!AC$1,FALSE)/VLOOKUP($B465,Korrigeringsfaktor_GD,'Korrigeringsfaktor GD'!AC$1,FALSE),
"")</f>
        <v>22.447499791013584</v>
      </c>
      <c r="AD465">
        <v>21.763000000000002</v>
      </c>
    </row>
    <row r="466" spans="1:30" x14ac:dyDescent="0.25">
      <c r="A466" t="s">
        <v>274</v>
      </c>
      <c r="B466" t="s">
        <v>262</v>
      </c>
      <c r="C466" s="18">
        <f>IFERROR(
                  Andel_oberoende_av_klimat*VLOOKUP($A466,Leveranser_per_nät,'Leveranser per nät'!C$1,FALSE)
               +Andel_beroende_av_klimat*VLOOKUP($A466,Leveranser_per_nät,'Leveranser per nät'!C$1,FALSE)/VLOOKUP($B466,Korrigeringsfaktor_GD,'Korrigeringsfaktor GD'!C$1,FALSE),
"")</f>
        <v>0</v>
      </c>
      <c r="D466" s="18">
        <f>IFERROR(
                  Andel_oberoende_av_klimat*VLOOKUP($A466,Leveranser_per_nät,'Leveranser per nät'!D$1,FALSE)
               +Andel_beroende_av_klimat*VLOOKUP($A466,Leveranser_per_nät,'Leveranser per nät'!D$1,FALSE)/VLOOKUP($B466,Korrigeringsfaktor_GD,'Korrigeringsfaktor GD'!D$1,FALSE),
"")</f>
        <v>0</v>
      </c>
      <c r="E466" s="18">
        <f>IFERROR(
                  Andel_oberoende_av_klimat*VLOOKUP($A466,Leveranser_per_nät,'Leveranser per nät'!E$1,FALSE)
               +Andel_beroende_av_klimat*VLOOKUP($A466,Leveranser_per_nät,'Leveranser per nät'!E$1,FALSE)/VLOOKUP($B466,Korrigeringsfaktor_GD,'Korrigeringsfaktor GD'!E$1,FALSE),
"")</f>
        <v>0</v>
      </c>
      <c r="F466" s="18">
        <f>IFERROR(
                  Andel_oberoende_av_klimat*VLOOKUP($A466,Leveranser_per_nät,'Leveranser per nät'!F$1,FALSE)
               +Andel_beroende_av_klimat*VLOOKUP($A466,Leveranser_per_nät,'Leveranser per nät'!F$1,FALSE)/VLOOKUP($B466,Korrigeringsfaktor_GD,'Korrigeringsfaktor GD'!F$1,FALSE),
"")</f>
        <v>0</v>
      </c>
      <c r="G466" s="18">
        <f>IFERROR(
                  Andel_oberoende_av_klimat*VLOOKUP($A466,Leveranser_per_nät,'Leveranser per nät'!G$1,FALSE)
               +Andel_beroende_av_klimat*VLOOKUP($A466,Leveranser_per_nät,'Leveranser per nät'!G$1,FALSE)/VLOOKUP($B466,Korrigeringsfaktor_GD,'Korrigeringsfaktor GD'!G$1,FALSE),
"")</f>
        <v>0</v>
      </c>
      <c r="H466" s="18">
        <f>IFERROR(
                  Andel_oberoende_av_klimat*VLOOKUP($A466,Leveranser_per_nät,'Leveranser per nät'!H$1,FALSE)
               +Andel_beroende_av_klimat*VLOOKUP($A466,Leveranser_per_nät,'Leveranser per nät'!H$1,FALSE)/VLOOKUP($B466,Korrigeringsfaktor_GD,'Korrigeringsfaktor GD'!H$1,FALSE),
"")</f>
        <v>0</v>
      </c>
      <c r="I466" s="18">
        <f>IFERROR(
                  Andel_oberoende_av_klimat*VLOOKUP($A466,Leveranser_per_nät,'Leveranser per nät'!I$1,FALSE)
               +Andel_beroende_av_klimat*VLOOKUP($A466,Leveranser_per_nät,'Leveranser per nät'!I$1,FALSE)/VLOOKUP($B466,Korrigeringsfaktor_GD,'Korrigeringsfaktor GD'!I$1,FALSE),
"")</f>
        <v>0</v>
      </c>
      <c r="J466" s="18">
        <f>IFERROR(
                  Andel_oberoende_av_klimat*VLOOKUP($A466,Leveranser_per_nät,'Leveranser per nät'!J$1,FALSE)
               +Andel_beroende_av_klimat*VLOOKUP($A466,Leveranser_per_nät,'Leveranser per nät'!J$1,FALSE)/VLOOKUP($B466,Korrigeringsfaktor_GD,'Korrigeringsfaktor GD'!J$1,FALSE),
"")</f>
        <v>0</v>
      </c>
      <c r="K466" s="18">
        <f>IFERROR(
                  Andel_oberoende_av_klimat*VLOOKUP($A466,Leveranser_per_nät,'Leveranser per nät'!K$1,FALSE)
               +Andel_beroende_av_klimat*VLOOKUP($A466,Leveranser_per_nät,'Leveranser per nät'!K$1,FALSE)/VLOOKUP($B466,Korrigeringsfaktor_GD,'Korrigeringsfaktor GD'!K$1,FALSE),
"")</f>
        <v>0</v>
      </c>
      <c r="L466" s="18">
        <f>IFERROR(
                  Andel_oberoende_av_klimat*VLOOKUP($A466,Leveranser_per_nät,'Leveranser per nät'!L$1,FALSE)
               +Andel_beroende_av_klimat*VLOOKUP($A466,Leveranser_per_nät,'Leveranser per nät'!L$1,FALSE)/VLOOKUP($B466,Korrigeringsfaktor_GD,'Korrigeringsfaktor GD'!L$1,FALSE),
"")</f>
        <v>0</v>
      </c>
      <c r="M466" s="18">
        <f>IFERROR(
                  Andel_oberoende_av_klimat*VLOOKUP($A466,Leveranser_per_nät,'Leveranser per nät'!M$1,FALSE)
               +Andel_beroende_av_klimat*VLOOKUP($A466,Leveranser_per_nät,'Leveranser per nät'!M$1,FALSE)/VLOOKUP($B466,Korrigeringsfaktor_GD,'Korrigeringsfaktor GD'!M$1,FALSE),
"")</f>
        <v>2.7639615384615386</v>
      </c>
      <c r="N466" s="18">
        <f>IFERROR(
                  Andel_oberoende_av_klimat*VLOOKUP($A466,Leveranser_per_nät,'Leveranser per nät'!N$1,FALSE)
               +Andel_beroende_av_klimat*VLOOKUP($A466,Leveranser_per_nät,'Leveranser per nät'!N$1,FALSE)/VLOOKUP($B466,Korrigeringsfaktor_GD,'Korrigeringsfaktor GD'!N$1,FALSE),
"")</f>
        <v>3.0425739130434781</v>
      </c>
      <c r="O466" s="18">
        <f>IFERROR(
                  Andel_oberoende_av_klimat*VLOOKUP($A466,Leveranser_per_nät,'Leveranser per nät'!O$1,FALSE)
               +Andel_beroende_av_klimat*VLOOKUP($A466,Leveranser_per_nät,'Leveranser per nät'!O$1,FALSE)/VLOOKUP($B466,Korrigeringsfaktor_GD,'Korrigeringsfaktor GD'!O$1,FALSE),
"")</f>
        <v>2.6245913043478262</v>
      </c>
      <c r="P466" s="18">
        <f>IFERROR(
                  Andel_oberoende_av_klimat*VLOOKUP($A466,Leveranser_per_nät,'Leveranser per nät'!P$1,FALSE)
               +Andel_beroende_av_klimat*VLOOKUP($A466,Leveranser_per_nät,'Leveranser per nät'!P$1,FALSE)/VLOOKUP($B466,Korrigeringsfaktor_GD,'Korrigeringsfaktor GD'!P$1,FALSE),
"")</f>
        <v>2.5448428571428567</v>
      </c>
      <c r="Q466" s="18">
        <f>IFERROR(
                  Andel_oberoende_av_klimat*VLOOKUP($A466,Leveranser_per_nät,'Leveranser per nät'!Q$1,FALSE)
               +Andel_beroende_av_klimat*VLOOKUP($A466,Leveranser_per_nät,'Leveranser per nät'!Q$1,FALSE)/VLOOKUP($B466,Korrigeringsfaktor_GD,'Korrigeringsfaktor GD'!Q$1,FALSE),
"")</f>
        <v>2.3942818181818177</v>
      </c>
      <c r="R466" s="18">
        <f>IFERROR(
                  Andel_oberoende_av_klimat*VLOOKUP($A466,Leveranser_per_nät,'Leveranser per nät'!R$1,FALSE)
               +Andel_beroende_av_klimat*VLOOKUP($A466,Leveranser_per_nät,'Leveranser per nät'!R$1,FALSE)/VLOOKUP($B466,Korrigeringsfaktor_GD,'Korrigeringsfaktor GD'!R$1,FALSE),
"")</f>
        <v>2.5866666666666664</v>
      </c>
      <c r="S466" s="18">
        <f>IFERROR(
                  Andel_oberoende_av_klimat*VLOOKUP($A466,Leveranser_per_nät,'Leveranser per nät'!S$1,FALSE)
               +Andel_beroende_av_klimat*VLOOKUP($A466,Leveranser_per_nät,'Leveranser per nät'!S$1,FALSE)/VLOOKUP($B466,Korrigeringsfaktor_GD,'Korrigeringsfaktor GD'!S$1,FALSE),
"")</f>
        <v>2.5176767676767677</v>
      </c>
      <c r="T466" s="18">
        <f>IFERROR(
                  Andel_oberoende_av_klimat*VLOOKUP($A466,Leveranser_per_nät,'Leveranser per nät'!T$1,FALSE)
               +Andel_beroende_av_klimat*VLOOKUP($A466,Leveranser_per_nät,'Leveranser per nät'!T$1,FALSE)/VLOOKUP($B466,Korrigeringsfaktor_GD,'Korrigeringsfaktor GD'!T$1,FALSE),
"")</f>
        <v>2.7296173913043478</v>
      </c>
      <c r="U466" s="18">
        <f>IFERROR(
                  Andel_oberoende_av_klimat*VLOOKUP($A466,Leveranser_per_nät,'Leveranser per nät'!U$1,FALSE)
               +Andel_beroende_av_klimat*VLOOKUP($A466,Leveranser_per_nät,'Leveranser per nät'!U$1,FALSE)/VLOOKUP($B466,Korrigeringsfaktor_GD,'Korrigeringsfaktor GD'!U$1,FALSE),
"")</f>
        <v>2.725490909090909</v>
      </c>
      <c r="V466" s="18">
        <f>IFERROR(
                  Andel_oberoende_av_klimat*VLOOKUP($A466,Leveranser_per_nät,'Leveranser per nät'!V$1,FALSE)
               +Andel_beroende_av_klimat*VLOOKUP($A466,Leveranser_per_nät,'Leveranser per nät'!V$1,FALSE)/VLOOKUP($B466,Korrigeringsfaktor_GD,'Korrigeringsfaktor GD'!V$1,FALSE),
"")</f>
        <v>2.5897352941176472</v>
      </c>
      <c r="W466" s="18">
        <f>IFERROR(
                  Andel_oberoende_av_klimat*VLOOKUP($A466,Leveranser_per_nät,'Leveranser per nät'!W$1,FALSE)
               +Andel_beroende_av_klimat*VLOOKUP($A466,Leveranser_per_nät,'Leveranser per nät'!W$1,FALSE)/VLOOKUP($B466,Korrigeringsfaktor_GD,'Korrigeringsfaktor GD'!W$1,FALSE),
"")</f>
        <v>2.6691595744680852</v>
      </c>
      <c r="X466" s="18">
        <f>IFERROR(
                  Andel_oberoende_av_klimat*VLOOKUP($A466,Leveranser_per_nät,'Leveranser per nät'!X$1,FALSE)
               +Andel_beroende_av_klimat*VLOOKUP($A466,Leveranser_per_nät,'Leveranser per nät'!X$1,FALSE)/VLOOKUP($B466,Korrigeringsfaktor_GD,'Korrigeringsfaktor GD'!X$1,FALSE),
"")</f>
        <v>2.7268947368421053</v>
      </c>
      <c r="Y466" s="18">
        <f>IFERROR(
                  Andel_oberoende_av_klimat*VLOOKUP($A466,Leveranser_per_nät,'Leveranser per nät'!Y$1,FALSE)
               +Andel_beroende_av_klimat*VLOOKUP($A466,Leveranser_per_nät,'Leveranser per nät'!Y$1,FALSE)/VLOOKUP($B466,Korrigeringsfaktor_GD,'Korrigeringsfaktor GD'!Y$1,FALSE),
"")</f>
        <v>2.8791404255319146</v>
      </c>
      <c r="Z466" s="18">
        <f>IFERROR(
                  Andel_oberoende_av_klimat*VLOOKUP($A466,Leveranser_per_nät,'Leveranser per nät'!Z$1,FALSE)
               +Andel_beroende_av_klimat*VLOOKUP($A466,Leveranser_per_nät,'Leveranser per nät'!Z$1,FALSE)/VLOOKUP($B466,Korrigeringsfaktor_GD,'Korrigeringsfaktor GD'!Z$1,FALSE),
"")</f>
        <v>2.933841935483871</v>
      </c>
      <c r="AA466" s="18">
        <f>IFERROR(
                  Andel_oberoende_av_klimat*VLOOKUP($A466,Leveranser_per_nät,'Leveranser per nät'!AA$1,FALSE)
               +Andel_beroende_av_klimat*VLOOKUP($A466,Leveranser_per_nät,'Leveranser per nät'!AA$1,FALSE)/VLOOKUP($B466,Korrigeringsfaktor_GD,'Korrigeringsfaktor GD'!AA$1,FALSE),
"")</f>
        <v>2.5589043812104788</v>
      </c>
      <c r="AB466" s="18">
        <f>IFERROR(
                  Andel_oberoende_av_klimat*VLOOKUP($A466,Leveranser_per_nät,'Leveranser per nät'!AB$1,FALSE)
               +Andel_beroende_av_klimat*VLOOKUP($A466,Leveranser_per_nät,'Leveranser per nät'!AB$1,FALSE)/VLOOKUP($B466,Korrigeringsfaktor_GD,'Korrigeringsfaktor GD'!AB$1,FALSE),
"")</f>
        <v>2.6106533878729543</v>
      </c>
      <c r="AC466" s="18">
        <f>IFERROR(
                  Andel_oberoende_av_klimat*VLOOKUP($A466,Leveranser_per_nät,'Leveranser per nät'!AC$1,FALSE)
               +Andel_beroende_av_klimat*VLOOKUP($A466,Leveranser_per_nät,'Leveranser per nät'!AC$1,FALSE)/VLOOKUP($B466,Korrigeringsfaktor_GD,'Korrigeringsfaktor GD'!AC$1,FALSE),
"")</f>
        <v>2.5946346653144019</v>
      </c>
      <c r="AD466">
        <v>9.2136999999999993</v>
      </c>
    </row>
    <row r="467" spans="1:30" x14ac:dyDescent="0.25">
      <c r="A467" t="s">
        <v>156</v>
      </c>
      <c r="B467" t="s">
        <v>156</v>
      </c>
      <c r="C467" s="18">
        <f>IFERROR(
                  Andel_oberoende_av_klimat*VLOOKUP($A467,Leveranser_per_nät,'Leveranser per nät'!C$1,FALSE)
               +Andel_beroende_av_klimat*VLOOKUP($A467,Leveranser_per_nät,'Leveranser per nät'!C$1,FALSE)/VLOOKUP($B467,Korrigeringsfaktor_GD,'Korrigeringsfaktor GD'!C$1,FALSE),
"")</f>
        <v>0</v>
      </c>
      <c r="D467" s="18">
        <f>IFERROR(
                  Andel_oberoende_av_klimat*VLOOKUP($A467,Leveranser_per_nät,'Leveranser per nät'!D$1,FALSE)
               +Andel_beroende_av_klimat*VLOOKUP($A467,Leveranser_per_nät,'Leveranser per nät'!D$1,FALSE)/VLOOKUP($B467,Korrigeringsfaktor_GD,'Korrigeringsfaktor GD'!D$1,FALSE),
"")</f>
        <v>0</v>
      </c>
      <c r="E467" s="18">
        <f>IFERROR(
                  Andel_oberoende_av_klimat*VLOOKUP($A467,Leveranser_per_nät,'Leveranser per nät'!E$1,FALSE)
               +Andel_beroende_av_klimat*VLOOKUP($A467,Leveranser_per_nät,'Leveranser per nät'!E$1,FALSE)/VLOOKUP($B467,Korrigeringsfaktor_GD,'Korrigeringsfaktor GD'!E$1,FALSE),
"")</f>
        <v>0</v>
      </c>
      <c r="F467" s="18">
        <f>IFERROR(
                  Andel_oberoende_av_klimat*VLOOKUP($A467,Leveranser_per_nät,'Leveranser per nät'!F$1,FALSE)
               +Andel_beroende_av_klimat*VLOOKUP($A467,Leveranser_per_nät,'Leveranser per nät'!F$1,FALSE)/VLOOKUP($B467,Korrigeringsfaktor_GD,'Korrigeringsfaktor GD'!F$1,FALSE),
"")</f>
        <v>0</v>
      </c>
      <c r="G467" s="18">
        <f>IFERROR(
                  Andel_oberoende_av_klimat*VLOOKUP($A467,Leveranser_per_nät,'Leveranser per nät'!G$1,FALSE)
               +Andel_beroende_av_klimat*VLOOKUP($A467,Leveranser_per_nät,'Leveranser per nät'!G$1,FALSE)/VLOOKUP($B467,Korrigeringsfaktor_GD,'Korrigeringsfaktor GD'!G$1,FALSE),
"")</f>
        <v>0</v>
      </c>
      <c r="H467" s="18">
        <f>IFERROR(
                  Andel_oberoende_av_klimat*VLOOKUP($A467,Leveranser_per_nät,'Leveranser per nät'!H$1,FALSE)
               +Andel_beroende_av_klimat*VLOOKUP($A467,Leveranser_per_nät,'Leveranser per nät'!H$1,FALSE)/VLOOKUP($B467,Korrigeringsfaktor_GD,'Korrigeringsfaktor GD'!H$1,FALSE),
"")</f>
        <v>39</v>
      </c>
      <c r="I467" s="18">
        <f>IFERROR(
                  Andel_oberoende_av_klimat*VLOOKUP($A467,Leveranser_per_nät,'Leveranser per nät'!I$1,FALSE)
               +Andel_beroende_av_klimat*VLOOKUP($A467,Leveranser_per_nät,'Leveranser per nät'!I$1,FALSE)/VLOOKUP($B467,Korrigeringsfaktor_GD,'Korrigeringsfaktor GD'!I$1,FALSE),
"")</f>
        <v>37.130434782608695</v>
      </c>
      <c r="J467" s="18">
        <f>IFERROR(
                  Andel_oberoende_av_klimat*VLOOKUP($A467,Leveranser_per_nät,'Leveranser per nät'!J$1,FALSE)
               +Andel_beroende_av_klimat*VLOOKUP($A467,Leveranser_per_nät,'Leveranser per nät'!J$1,FALSE)/VLOOKUP($B467,Korrigeringsfaktor_GD,'Korrigeringsfaktor GD'!J$1,FALSE),
"")</f>
        <v>36.844086021505376</v>
      </c>
      <c r="K467" s="18">
        <f>IFERROR(
                  Andel_oberoende_av_klimat*VLOOKUP($A467,Leveranser_per_nät,'Leveranser per nät'!K$1,FALSE)
               +Andel_beroende_av_klimat*VLOOKUP($A467,Leveranser_per_nät,'Leveranser per nät'!K$1,FALSE)/VLOOKUP($B467,Korrigeringsfaktor_GD,'Korrigeringsfaktor GD'!K$1,FALSE),
"")</f>
        <v>17.884961505376342</v>
      </c>
      <c r="L467" s="18">
        <f>IFERROR(
                  Andel_oberoende_av_klimat*VLOOKUP($A467,Leveranser_per_nät,'Leveranser per nät'!L$1,FALSE)
               +Andel_beroende_av_klimat*VLOOKUP($A467,Leveranser_per_nät,'Leveranser per nät'!L$1,FALSE)/VLOOKUP($B467,Korrigeringsfaktor_GD,'Korrigeringsfaktor GD'!L$1,FALSE),
"")</f>
        <v>25.650642150537632</v>
      </c>
      <c r="M467" s="18">
        <f>IFERROR(
                  Andel_oberoende_av_klimat*VLOOKUP($A467,Leveranser_per_nät,'Leveranser per nät'!M$1,FALSE)
               +Andel_beroende_av_klimat*VLOOKUP($A467,Leveranser_per_nät,'Leveranser per nät'!M$1,FALSE)/VLOOKUP($B467,Korrigeringsfaktor_GD,'Korrigeringsfaktor GD'!M$1,FALSE),
"")</f>
        <v>26.47493887640449</v>
      </c>
      <c r="N467" s="18">
        <f>IFERROR(
                  Andel_oberoende_av_klimat*VLOOKUP($A467,Leveranser_per_nät,'Leveranser per nät'!N$1,FALSE)
               +Andel_beroende_av_klimat*VLOOKUP($A467,Leveranser_per_nät,'Leveranser per nät'!N$1,FALSE)/VLOOKUP($B467,Korrigeringsfaktor_GD,'Korrigeringsfaktor GD'!N$1,FALSE),
"")</f>
        <v>54.108172043010747</v>
      </c>
      <c r="O467" s="18">
        <f>IFERROR(
                  Andel_oberoende_av_klimat*VLOOKUP($A467,Leveranser_per_nät,'Leveranser per nät'!O$1,FALSE)
               +Andel_beroende_av_klimat*VLOOKUP($A467,Leveranser_per_nät,'Leveranser per nät'!O$1,FALSE)/VLOOKUP($B467,Korrigeringsfaktor_GD,'Korrigeringsfaktor GD'!O$1,FALSE),
"")</f>
        <v>52.950215053763436</v>
      </c>
      <c r="P467" s="18">
        <f>IFERROR(
                  Andel_oberoende_av_klimat*VLOOKUP($A467,Leveranser_per_nät,'Leveranser per nät'!P$1,FALSE)
               +Andel_beroende_av_klimat*VLOOKUP($A467,Leveranser_per_nät,'Leveranser per nät'!P$1,FALSE)/VLOOKUP($B467,Korrigeringsfaktor_GD,'Korrigeringsfaktor GD'!P$1,FALSE),
"")</f>
        <v>53.738762886597939</v>
      </c>
      <c r="Q467" s="18">
        <f>IFERROR(
                  Andel_oberoende_av_klimat*VLOOKUP($A467,Leveranser_per_nät,'Leveranser per nät'!Q$1,FALSE)
               +Andel_beroende_av_klimat*VLOOKUP($A467,Leveranser_per_nät,'Leveranser per nät'!Q$1,FALSE)/VLOOKUP($B467,Korrigeringsfaktor_GD,'Korrigeringsfaktor GD'!Q$1,FALSE),
"")</f>
        <v>56.396216216216217</v>
      </c>
      <c r="R467" s="18">
        <f>IFERROR(
                  Andel_oberoende_av_klimat*VLOOKUP($A467,Leveranser_per_nät,'Leveranser per nät'!R$1,FALSE)
               +Andel_beroende_av_klimat*VLOOKUP($A467,Leveranser_per_nät,'Leveranser per nät'!R$1,FALSE)/VLOOKUP($B467,Korrigeringsfaktor_GD,'Korrigeringsfaktor GD'!R$1,FALSE),
"")</f>
        <v>34.021609195402299</v>
      </c>
      <c r="S467" s="18">
        <f>IFERROR(
                  Andel_oberoende_av_klimat*VLOOKUP($A467,Leveranser_per_nät,'Leveranser per nät'!S$1,FALSE)
               +Andel_beroende_av_klimat*VLOOKUP($A467,Leveranser_per_nät,'Leveranser per nät'!S$1,FALSE)/VLOOKUP($B467,Korrigeringsfaktor_GD,'Korrigeringsfaktor GD'!S$1,FALSE),
"")</f>
        <v>55.611881188118815</v>
      </c>
      <c r="T467" s="18">
        <f>IFERROR(
                  Andel_oberoende_av_klimat*VLOOKUP($A467,Leveranser_per_nät,'Leveranser per nät'!T$1,FALSE)
               +Andel_beroende_av_klimat*VLOOKUP($A467,Leveranser_per_nät,'Leveranser per nät'!T$1,FALSE)/VLOOKUP($B467,Korrigeringsfaktor_GD,'Korrigeringsfaktor GD'!T$1,FALSE),
"")</f>
        <v>56.300526315789483</v>
      </c>
      <c r="U467" s="18">
        <f>IFERROR(
                  Andel_oberoende_av_klimat*VLOOKUP($A467,Leveranser_per_nät,'Leveranser per nät'!U$1,FALSE)
               +Andel_beroende_av_klimat*VLOOKUP($A467,Leveranser_per_nät,'Leveranser per nät'!U$1,FALSE)/VLOOKUP($B467,Korrigeringsfaktor_GD,'Korrigeringsfaktor GD'!U$1,FALSE),
"")</f>
        <v>56.518666666666661</v>
      </c>
      <c r="V467" s="18">
        <f>IFERROR(
                  Andel_oberoende_av_klimat*VLOOKUP($A467,Leveranser_per_nät,'Leveranser per nät'!V$1,FALSE)
               +Andel_beroende_av_klimat*VLOOKUP($A467,Leveranser_per_nät,'Leveranser per nät'!V$1,FALSE)/VLOOKUP($B467,Korrigeringsfaktor_GD,'Korrigeringsfaktor GD'!V$1,FALSE),
"")</f>
        <v>54.698434782608693</v>
      </c>
      <c r="W467" s="18">
        <f>IFERROR(
                  Andel_oberoende_av_klimat*VLOOKUP($A467,Leveranser_per_nät,'Leveranser per nät'!W$1,FALSE)
               +Andel_beroende_av_klimat*VLOOKUP($A467,Leveranser_per_nät,'Leveranser per nät'!W$1,FALSE)/VLOOKUP($B467,Korrigeringsfaktor_GD,'Korrigeringsfaktor GD'!W$1,FALSE),
"")</f>
        <v>57.560989247311824</v>
      </c>
      <c r="X467" s="18">
        <f>IFERROR(
                  Andel_oberoende_av_klimat*VLOOKUP($A467,Leveranser_per_nät,'Leveranser per nät'!X$1,FALSE)
               +Andel_beroende_av_klimat*VLOOKUP($A467,Leveranser_per_nät,'Leveranser per nät'!X$1,FALSE)/VLOOKUP($B467,Korrigeringsfaktor_GD,'Korrigeringsfaktor GD'!X$1,FALSE),
"")</f>
        <v>58.803161290322578</v>
      </c>
      <c r="Y467" s="18">
        <f>IFERROR(
                  Andel_oberoende_av_klimat*VLOOKUP($A467,Leveranser_per_nät,'Leveranser per nät'!Y$1,FALSE)
               +Andel_beroende_av_klimat*VLOOKUP($A467,Leveranser_per_nät,'Leveranser per nät'!Y$1,FALSE)/VLOOKUP($B467,Korrigeringsfaktor_GD,'Korrigeringsfaktor GD'!Y$1,FALSE),
"")</f>
        <v>60.681739130434785</v>
      </c>
      <c r="Z467" s="18">
        <f>IFERROR(
                  Andel_oberoende_av_klimat*VLOOKUP($A467,Leveranser_per_nät,'Leveranser per nät'!Z$1,FALSE)
               +Andel_beroende_av_klimat*VLOOKUP($A467,Leveranser_per_nät,'Leveranser per nät'!Z$1,FALSE)/VLOOKUP($B467,Korrigeringsfaktor_GD,'Korrigeringsfaktor GD'!Z$1,FALSE),
"")</f>
        <v>63.535588235294114</v>
      </c>
      <c r="AA467" s="18">
        <f>IFERROR(
                  Andel_oberoende_av_klimat*VLOOKUP($A467,Leveranser_per_nät,'Leveranser per nät'!AA$1,FALSE)
               +Andel_beroende_av_klimat*VLOOKUP($A467,Leveranser_per_nät,'Leveranser per nät'!AA$1,FALSE)/VLOOKUP($B467,Korrigeringsfaktor_GD,'Korrigeringsfaktor GD'!AA$1,FALSE),
"")</f>
        <v>61.69606215189873</v>
      </c>
      <c r="AB467" s="18">
        <f>IFERROR(
                  Andel_oberoende_av_klimat*VLOOKUP($A467,Leveranser_per_nät,'Leveranser per nät'!AB$1,FALSE)
               +Andel_beroende_av_klimat*VLOOKUP($A467,Leveranser_per_nät,'Leveranser per nät'!AB$1,FALSE)/VLOOKUP($B467,Korrigeringsfaktor_GD,'Korrigeringsfaktor GD'!AB$1,FALSE),
"")</f>
        <v>56.246841779497103</v>
      </c>
      <c r="AC467" s="18">
        <f>IFERROR(
                  Andel_oberoende_av_klimat*VLOOKUP($A467,Leveranser_per_nät,'Leveranser per nät'!AC$1,FALSE)
               +Andel_beroende_av_klimat*VLOOKUP($A467,Leveranser_per_nät,'Leveranser per nät'!AC$1,FALSE)/VLOOKUP($B467,Korrigeringsfaktor_GD,'Korrigeringsfaktor GD'!AC$1,FALSE),
"")</f>
        <v>36.403553909465025</v>
      </c>
      <c r="AD467">
        <v>33.630000000000003</v>
      </c>
    </row>
    <row r="468" spans="1:30" x14ac:dyDescent="0.25">
      <c r="A468" t="s">
        <v>217</v>
      </c>
      <c r="B468" t="s">
        <v>520</v>
      </c>
      <c r="C468" s="18">
        <f>IFERROR(
                  Andel_oberoende_av_klimat*VLOOKUP($A468,Leveranser_per_nät,'Leveranser per nät'!C$1,FALSE)
               +Andel_beroende_av_klimat*VLOOKUP($A468,Leveranser_per_nät,'Leveranser per nät'!C$1,FALSE)/VLOOKUP($B468,Korrigeringsfaktor_GD,'Korrigeringsfaktor GD'!C$1,FALSE),
"")</f>
        <v>0</v>
      </c>
      <c r="D468" s="18">
        <f>IFERROR(
                  Andel_oberoende_av_klimat*VLOOKUP($A468,Leveranser_per_nät,'Leveranser per nät'!D$1,FALSE)
               +Andel_beroende_av_klimat*VLOOKUP($A468,Leveranser_per_nät,'Leveranser per nät'!D$1,FALSE)/VLOOKUP($B468,Korrigeringsfaktor_GD,'Korrigeringsfaktor GD'!D$1,FALSE),
"")</f>
        <v>0</v>
      </c>
      <c r="E468" s="18">
        <f>IFERROR(
                  Andel_oberoende_av_klimat*VLOOKUP($A468,Leveranser_per_nät,'Leveranser per nät'!E$1,FALSE)
               +Andel_beroende_av_klimat*VLOOKUP($A468,Leveranser_per_nät,'Leveranser per nät'!E$1,FALSE)/VLOOKUP($B468,Korrigeringsfaktor_GD,'Korrigeringsfaktor GD'!E$1,FALSE),
"")</f>
        <v>0</v>
      </c>
      <c r="F468" s="18">
        <f>IFERROR(
                  Andel_oberoende_av_klimat*VLOOKUP($A468,Leveranser_per_nät,'Leveranser per nät'!F$1,FALSE)
               +Andel_beroende_av_klimat*VLOOKUP($A468,Leveranser_per_nät,'Leveranser per nät'!F$1,FALSE)/VLOOKUP($B468,Korrigeringsfaktor_GD,'Korrigeringsfaktor GD'!F$1,FALSE),
"")</f>
        <v>0</v>
      </c>
      <c r="G468" s="18">
        <f>IFERROR(
                  Andel_oberoende_av_klimat*VLOOKUP($A468,Leveranser_per_nät,'Leveranser per nät'!G$1,FALSE)
               +Andel_beroende_av_klimat*VLOOKUP($A468,Leveranser_per_nät,'Leveranser per nät'!G$1,FALSE)/VLOOKUP($B468,Korrigeringsfaktor_GD,'Korrigeringsfaktor GD'!G$1,FALSE),
"")</f>
        <v>49.706896551724135</v>
      </c>
      <c r="H468" s="18">
        <f>IFERROR(
                  Andel_oberoende_av_klimat*VLOOKUP($A468,Leveranser_per_nät,'Leveranser per nät'!H$1,FALSE)
               +Andel_beroende_av_klimat*VLOOKUP($A468,Leveranser_per_nät,'Leveranser per nät'!H$1,FALSE)/VLOOKUP($B468,Korrigeringsfaktor_GD,'Korrigeringsfaktor GD'!H$1,FALSE),
"")</f>
        <v>44.382352941176471</v>
      </c>
      <c r="I468" s="18">
        <f>IFERROR(
                  Andel_oberoende_av_klimat*VLOOKUP($A468,Leveranser_per_nät,'Leveranser per nät'!I$1,FALSE)
               +Andel_beroende_av_klimat*VLOOKUP($A468,Leveranser_per_nät,'Leveranser per nät'!I$1,FALSE)/VLOOKUP($B468,Korrigeringsfaktor_GD,'Korrigeringsfaktor GD'!I$1,FALSE),
"")</f>
        <v>28.140342857142862</v>
      </c>
      <c r="J468" s="18">
        <f>IFERROR(
                  Andel_oberoende_av_klimat*VLOOKUP($A468,Leveranser_per_nät,'Leveranser per nät'!J$1,FALSE)
               +Andel_beroende_av_klimat*VLOOKUP($A468,Leveranser_per_nät,'Leveranser per nät'!J$1,FALSE)/VLOOKUP($B468,Korrigeringsfaktor_GD,'Korrigeringsfaktor GD'!J$1,FALSE),
"")</f>
        <v>44.432557731958759</v>
      </c>
      <c r="K468" s="18">
        <f>IFERROR(
                  Andel_oberoende_av_klimat*VLOOKUP($A468,Leveranser_per_nät,'Leveranser per nät'!K$1,FALSE)
               +Andel_beroende_av_klimat*VLOOKUP($A468,Leveranser_per_nät,'Leveranser per nät'!K$1,FALSE)/VLOOKUP($B468,Korrigeringsfaktor_GD,'Korrigeringsfaktor GD'!K$1,FALSE),
"")</f>
        <v>48.226963917525772</v>
      </c>
      <c r="L468" s="18">
        <f>IFERROR(
                  Andel_oberoende_av_klimat*VLOOKUP($A468,Leveranser_per_nät,'Leveranser per nät'!L$1,FALSE)
               +Andel_beroende_av_klimat*VLOOKUP($A468,Leveranser_per_nät,'Leveranser per nät'!L$1,FALSE)/VLOOKUP($B468,Korrigeringsfaktor_GD,'Korrigeringsfaktor GD'!L$1,FALSE),
"")</f>
        <v>45.134065532504643</v>
      </c>
      <c r="M468" s="18">
        <f>IFERROR(
                  Andel_oberoende_av_klimat*VLOOKUP($A468,Leveranser_per_nät,'Leveranser per nät'!M$1,FALSE)
               +Andel_beroende_av_klimat*VLOOKUP($A468,Leveranser_per_nät,'Leveranser per nät'!M$1,FALSE)/VLOOKUP($B468,Korrigeringsfaktor_GD,'Korrigeringsfaktor GD'!M$1,FALSE),
"")</f>
        <v>18.909768085106382</v>
      </c>
      <c r="N468" s="18">
        <f>IFERROR(
                  Andel_oberoende_av_klimat*VLOOKUP($A468,Leveranser_per_nät,'Leveranser per nät'!N$1,FALSE)
               +Andel_beroende_av_klimat*VLOOKUP($A468,Leveranser_per_nät,'Leveranser per nät'!N$1,FALSE)/VLOOKUP($B468,Korrigeringsfaktor_GD,'Korrigeringsfaktor GD'!N$1,FALSE),
"")</f>
        <v>4.6657894736842103</v>
      </c>
      <c r="O468" s="18">
        <f>IFERROR(
                  Andel_oberoende_av_klimat*VLOOKUP($A468,Leveranser_per_nät,'Leveranser per nät'!O$1,FALSE)
               +Andel_beroende_av_klimat*VLOOKUP($A468,Leveranser_per_nät,'Leveranser per nät'!O$1,FALSE)/VLOOKUP($B468,Korrigeringsfaktor_GD,'Korrigeringsfaktor GD'!O$1,FALSE),
"")</f>
        <v>21.277692307692305</v>
      </c>
      <c r="P468" s="18">
        <f>IFERROR(
                  Andel_oberoende_av_klimat*VLOOKUP($A468,Leveranser_per_nät,'Leveranser per nät'!P$1,FALSE)
               +Andel_beroende_av_klimat*VLOOKUP($A468,Leveranser_per_nät,'Leveranser per nät'!P$1,FALSE)/VLOOKUP($B468,Korrigeringsfaktor_GD,'Korrigeringsfaktor GD'!P$1,FALSE),
"")</f>
        <v>18.731515151515151</v>
      </c>
      <c r="Q468" s="18">
        <f>IFERROR(
                  Andel_oberoende_av_klimat*VLOOKUP($A468,Leveranser_per_nät,'Leveranser per nät'!Q$1,FALSE)
               +Andel_beroende_av_klimat*VLOOKUP($A468,Leveranser_per_nät,'Leveranser per nät'!Q$1,FALSE)/VLOOKUP($B468,Korrigeringsfaktor_GD,'Korrigeringsfaktor GD'!Q$1,FALSE),
"")</f>
        <v>19.8162905982906</v>
      </c>
      <c r="R468" s="18">
        <f>IFERROR(
                  Andel_oberoende_av_klimat*VLOOKUP($A468,Leveranser_per_nät,'Leveranser per nät'!R$1,FALSE)
               +Andel_beroende_av_klimat*VLOOKUP($A468,Leveranser_per_nät,'Leveranser per nät'!R$1,FALSE)/VLOOKUP($B468,Korrigeringsfaktor_GD,'Korrigeringsfaktor GD'!R$1,FALSE),
"")</f>
        <v>19.369462365591396</v>
      </c>
      <c r="S468" s="18">
        <f>IFERROR(
                  Andel_oberoende_av_klimat*VLOOKUP($A468,Leveranser_per_nät,'Leveranser per nät'!S$1,FALSE)
               +Andel_beroende_av_klimat*VLOOKUP($A468,Leveranser_per_nät,'Leveranser per nät'!S$1,FALSE)/VLOOKUP($B468,Korrigeringsfaktor_GD,'Korrigeringsfaktor GD'!S$1,FALSE),
"")</f>
        <v>19.600000000000001</v>
      </c>
      <c r="T468" s="18">
        <f>IFERROR(
                  Andel_oberoende_av_klimat*VLOOKUP($A468,Leveranser_per_nät,'Leveranser per nät'!T$1,FALSE)
               +Andel_beroende_av_klimat*VLOOKUP($A468,Leveranser_per_nät,'Leveranser per nät'!T$1,FALSE)/VLOOKUP($B468,Korrigeringsfaktor_GD,'Korrigeringsfaktor GD'!T$1,FALSE),
"")</f>
        <v>27.073711340206181</v>
      </c>
      <c r="U468" s="18">
        <f>IFERROR(
                  Andel_oberoende_av_klimat*VLOOKUP($A468,Leveranser_per_nät,'Leveranser per nät'!U$1,FALSE)
               +Andel_beroende_av_klimat*VLOOKUP($A468,Leveranser_per_nät,'Leveranser per nät'!U$1,FALSE)/VLOOKUP($B468,Korrigeringsfaktor_GD,'Korrigeringsfaktor GD'!U$1,FALSE),
"")</f>
        <v>18.557241379310348</v>
      </c>
      <c r="V468" s="18">
        <f>IFERROR(
                  Andel_oberoende_av_klimat*VLOOKUP($A468,Leveranser_per_nät,'Leveranser per nät'!V$1,FALSE)
               +Andel_beroende_av_klimat*VLOOKUP($A468,Leveranser_per_nät,'Leveranser per nät'!V$1,FALSE)/VLOOKUP($B468,Korrigeringsfaktor_GD,'Korrigeringsfaktor GD'!V$1,FALSE),
"")</f>
        <v>19.774606741573031</v>
      </c>
      <c r="W468" s="18">
        <f>IFERROR(
                  Andel_oberoende_av_klimat*VLOOKUP($A468,Leveranser_per_nät,'Leveranser per nät'!W$1,FALSE)
               +Andel_beroende_av_klimat*VLOOKUP($A468,Leveranser_per_nät,'Leveranser per nät'!W$1,FALSE)/VLOOKUP($B468,Korrigeringsfaktor_GD,'Korrigeringsfaktor GD'!W$1,FALSE),
"")</f>
        <v>19.566923076923079</v>
      </c>
      <c r="X468" s="18">
        <f>IFERROR(
                  Andel_oberoende_av_klimat*VLOOKUP($A468,Leveranser_per_nät,'Leveranser per nät'!X$1,FALSE)
               +Andel_beroende_av_klimat*VLOOKUP($A468,Leveranser_per_nät,'Leveranser per nät'!X$1,FALSE)/VLOOKUP($B468,Korrigeringsfaktor_GD,'Korrigeringsfaktor GD'!X$1,FALSE),
"")</f>
        <v>18.989565217391302</v>
      </c>
      <c r="Y468" s="18">
        <f>IFERROR(
                  Andel_oberoende_av_klimat*VLOOKUP($A468,Leveranser_per_nät,'Leveranser per nät'!Y$1,FALSE)
               +Andel_beroende_av_klimat*VLOOKUP($A468,Leveranser_per_nät,'Leveranser per nät'!Y$1,FALSE)/VLOOKUP($B468,Korrigeringsfaktor_GD,'Korrigeringsfaktor GD'!Y$1,FALSE),
"")</f>
        <v>18.498977777777778</v>
      </c>
      <c r="Z468" s="18">
        <f>IFERROR(
                  Andel_oberoende_av_klimat*VLOOKUP($A468,Leveranser_per_nät,'Leveranser per nät'!Z$1,FALSE)
               +Andel_beroende_av_klimat*VLOOKUP($A468,Leveranser_per_nät,'Leveranser per nät'!Z$1,FALSE)/VLOOKUP($B468,Korrigeringsfaktor_GD,'Korrigeringsfaktor GD'!Z$1,FALSE),
"")</f>
        <v>17.535295505617974</v>
      </c>
      <c r="AA468" s="18">
        <f>IFERROR(
                  Andel_oberoende_av_klimat*VLOOKUP($A468,Leveranser_per_nät,'Leveranser per nät'!AA$1,FALSE)
               +Andel_beroende_av_klimat*VLOOKUP($A468,Leveranser_per_nät,'Leveranser per nät'!AA$1,FALSE)/VLOOKUP($B468,Korrigeringsfaktor_GD,'Korrigeringsfaktor GD'!AA$1,FALSE),
"")</f>
        <v>16.980780019588636</v>
      </c>
      <c r="AB468" s="18">
        <f>IFERROR(
                  Andel_oberoende_av_klimat*VLOOKUP($A468,Leveranser_per_nät,'Leveranser per nät'!AB$1,FALSE)
               +Andel_beroende_av_klimat*VLOOKUP($A468,Leveranser_per_nät,'Leveranser per nät'!AB$1,FALSE)/VLOOKUP($B468,Korrigeringsfaktor_GD,'Korrigeringsfaktor GD'!AB$1,FALSE),
"")</f>
        <v>16.331659841740851</v>
      </c>
      <c r="AC468" s="18">
        <f>IFERROR(
                  Andel_oberoende_av_klimat*VLOOKUP($A468,Leveranser_per_nät,'Leveranser per nät'!AC$1,FALSE)
               +Andel_beroende_av_klimat*VLOOKUP($A468,Leveranser_per_nät,'Leveranser per nät'!AC$1,FALSE)/VLOOKUP($B468,Korrigeringsfaktor_GD,'Korrigeringsfaktor GD'!AC$1,FALSE),
"")</f>
        <v>15.519289006342495</v>
      </c>
      <c r="AD468">
        <v>48.96</v>
      </c>
    </row>
    <row r="469" spans="1:30" x14ac:dyDescent="0.25">
      <c r="A469" t="s">
        <v>77</v>
      </c>
      <c r="B469" t="s">
        <v>165</v>
      </c>
      <c r="C469" s="18">
        <f>IFERROR(
                  Andel_oberoende_av_klimat*VLOOKUP($A469,Leveranser_per_nät,'Leveranser per nät'!C$1,FALSE)
               +Andel_beroende_av_klimat*VLOOKUP($A469,Leveranser_per_nät,'Leveranser per nät'!C$1,FALSE)/VLOOKUP($B469,Korrigeringsfaktor_GD,'Korrigeringsfaktor GD'!C$1,FALSE),
"")</f>
        <v>0</v>
      </c>
      <c r="D469" s="18">
        <f>IFERROR(
                  Andel_oberoende_av_klimat*VLOOKUP($A469,Leveranser_per_nät,'Leveranser per nät'!D$1,FALSE)
               +Andel_beroende_av_klimat*VLOOKUP($A469,Leveranser_per_nät,'Leveranser per nät'!D$1,FALSE)/VLOOKUP($B469,Korrigeringsfaktor_GD,'Korrigeringsfaktor GD'!D$1,FALSE),
"")</f>
        <v>0</v>
      </c>
      <c r="E469" s="18">
        <f>IFERROR(
                  Andel_oberoende_av_klimat*VLOOKUP($A469,Leveranser_per_nät,'Leveranser per nät'!E$1,FALSE)
               +Andel_beroende_av_klimat*VLOOKUP($A469,Leveranser_per_nät,'Leveranser per nät'!E$1,FALSE)/VLOOKUP($B469,Korrigeringsfaktor_GD,'Korrigeringsfaktor GD'!E$1,FALSE),
"")</f>
        <v>0</v>
      </c>
      <c r="F469" s="18">
        <f>IFERROR(
                  Andel_oberoende_av_klimat*VLOOKUP($A469,Leveranser_per_nät,'Leveranser per nät'!F$1,FALSE)
               +Andel_beroende_av_klimat*VLOOKUP($A469,Leveranser_per_nät,'Leveranser per nät'!F$1,FALSE)/VLOOKUP($B469,Korrigeringsfaktor_GD,'Korrigeringsfaktor GD'!F$1,FALSE),
"")</f>
        <v>0</v>
      </c>
      <c r="G469" s="18">
        <f>IFERROR(
                  Andel_oberoende_av_klimat*VLOOKUP($A469,Leveranser_per_nät,'Leveranser per nät'!G$1,FALSE)
               +Andel_beroende_av_klimat*VLOOKUP($A469,Leveranser_per_nät,'Leveranser per nät'!G$1,FALSE)/VLOOKUP($B469,Korrigeringsfaktor_GD,'Korrigeringsfaktor GD'!G$1,FALSE),
"")</f>
        <v>0</v>
      </c>
      <c r="H469" s="18">
        <f>IFERROR(
                  Andel_oberoende_av_klimat*VLOOKUP($A469,Leveranser_per_nät,'Leveranser per nät'!H$1,FALSE)
               +Andel_beroende_av_klimat*VLOOKUP($A469,Leveranser_per_nät,'Leveranser per nät'!H$1,FALSE)/VLOOKUP($B469,Korrigeringsfaktor_GD,'Korrigeringsfaktor GD'!H$1,FALSE),
"")</f>
        <v>0</v>
      </c>
      <c r="I469" s="18">
        <f>IFERROR(
                  Andel_oberoende_av_klimat*VLOOKUP($A469,Leveranser_per_nät,'Leveranser per nät'!I$1,FALSE)
               +Andel_beroende_av_klimat*VLOOKUP($A469,Leveranser_per_nät,'Leveranser per nät'!I$1,FALSE)/VLOOKUP($B469,Korrigeringsfaktor_GD,'Korrigeringsfaktor GD'!I$1,FALSE),
"")</f>
        <v>0</v>
      </c>
      <c r="J469" s="18">
        <f>IFERROR(
                  Andel_oberoende_av_klimat*VLOOKUP($A469,Leveranser_per_nät,'Leveranser per nät'!J$1,FALSE)
               +Andel_beroende_av_klimat*VLOOKUP($A469,Leveranser_per_nät,'Leveranser per nät'!J$1,FALSE)/VLOOKUP($B469,Korrigeringsfaktor_GD,'Korrigeringsfaktor GD'!J$1,FALSE),
"")</f>
        <v>0</v>
      </c>
      <c r="K469" s="18">
        <f>IFERROR(
                  Andel_oberoende_av_klimat*VLOOKUP($A469,Leveranser_per_nät,'Leveranser per nät'!K$1,FALSE)
               +Andel_beroende_av_klimat*VLOOKUP($A469,Leveranser_per_nät,'Leveranser per nät'!K$1,FALSE)/VLOOKUP($B469,Korrigeringsfaktor_GD,'Korrigeringsfaktor GD'!K$1,FALSE),
"")</f>
        <v>0</v>
      </c>
      <c r="L469" s="18">
        <f>IFERROR(
                  Andel_oberoende_av_klimat*VLOOKUP($A469,Leveranser_per_nät,'Leveranser per nät'!L$1,FALSE)
               +Andel_beroende_av_klimat*VLOOKUP($A469,Leveranser_per_nät,'Leveranser per nät'!L$1,FALSE)/VLOOKUP($B469,Korrigeringsfaktor_GD,'Korrigeringsfaktor GD'!L$1,FALSE),
"")</f>
        <v>15.744709258709127</v>
      </c>
      <c r="M469" s="18">
        <f>IFERROR(
                  Andel_oberoende_av_klimat*VLOOKUP($A469,Leveranser_per_nät,'Leveranser per nät'!M$1,FALSE)
               +Andel_beroende_av_klimat*VLOOKUP($A469,Leveranser_per_nät,'Leveranser per nät'!M$1,FALSE)/VLOOKUP($B469,Korrigeringsfaktor_GD,'Korrigeringsfaktor GD'!M$1,FALSE),
"")</f>
        <v>12.134226086956524</v>
      </c>
      <c r="N469" s="18">
        <f>IFERROR(
                  Andel_oberoende_av_klimat*VLOOKUP($A469,Leveranser_per_nät,'Leveranser per nät'!N$1,FALSE)
               +Andel_beroende_av_klimat*VLOOKUP($A469,Leveranser_per_nät,'Leveranser per nät'!N$1,FALSE)/VLOOKUP($B469,Korrigeringsfaktor_GD,'Korrigeringsfaktor GD'!N$1,FALSE),
"")</f>
        <v>12.134226086956524</v>
      </c>
      <c r="O469" s="18">
        <f>IFERROR(
                  Andel_oberoende_av_klimat*VLOOKUP($A469,Leveranser_per_nät,'Leveranser per nät'!O$1,FALSE)
               +Andel_beroende_av_klimat*VLOOKUP($A469,Leveranser_per_nät,'Leveranser per nät'!O$1,FALSE)/VLOOKUP($B469,Korrigeringsfaktor_GD,'Korrigeringsfaktor GD'!O$1,FALSE),
"")</f>
        <v>12.565811111111113</v>
      </c>
      <c r="P469" s="18">
        <f>IFERROR(
                  Andel_oberoende_av_klimat*VLOOKUP($A469,Leveranser_per_nät,'Leveranser per nät'!P$1,FALSE)
               +Andel_beroende_av_klimat*VLOOKUP($A469,Leveranser_per_nät,'Leveranser per nät'!P$1,FALSE)/VLOOKUP($B469,Korrigeringsfaktor_GD,'Korrigeringsfaktor GD'!P$1,FALSE),
"")</f>
        <v>14.160421212121213</v>
      </c>
      <c r="Q469" s="18">
        <f>IFERROR(
                  Andel_oberoende_av_klimat*VLOOKUP($A469,Leveranser_per_nät,'Leveranser per nät'!Q$1,FALSE)
               +Andel_beroende_av_klimat*VLOOKUP($A469,Leveranser_per_nät,'Leveranser per nät'!Q$1,FALSE)/VLOOKUP($B469,Korrigeringsfaktor_GD,'Korrigeringsfaktor GD'!Q$1,FALSE),
"")</f>
        <v>13.551724137931036</v>
      </c>
      <c r="R469" s="18">
        <f>IFERROR(
                  Andel_oberoende_av_klimat*VLOOKUP($A469,Leveranser_per_nät,'Leveranser per nät'!R$1,FALSE)
               +Andel_beroende_av_klimat*VLOOKUP($A469,Leveranser_per_nät,'Leveranser per nät'!R$1,FALSE)/VLOOKUP($B469,Korrigeringsfaktor_GD,'Korrigeringsfaktor GD'!R$1,FALSE),
"")</f>
        <v>13.955648666666665</v>
      </c>
      <c r="S469" s="18">
        <f>IFERROR(
                  Andel_oberoende_av_klimat*VLOOKUP($A469,Leveranser_per_nät,'Leveranser per nät'!S$1,FALSE)
               +Andel_beroende_av_klimat*VLOOKUP($A469,Leveranser_per_nät,'Leveranser per nät'!S$1,FALSE)/VLOOKUP($B469,Korrigeringsfaktor_GD,'Korrigeringsfaktor GD'!S$1,FALSE),
"")</f>
        <v>14.119131313131312</v>
      </c>
      <c r="T469" s="18">
        <f>IFERROR(
                  Andel_oberoende_av_klimat*VLOOKUP($A469,Leveranser_per_nät,'Leveranser per nät'!T$1,FALSE)
               +Andel_beroende_av_klimat*VLOOKUP($A469,Leveranser_per_nät,'Leveranser per nät'!T$1,FALSE)/VLOOKUP($B469,Korrigeringsfaktor_GD,'Korrigeringsfaktor GD'!T$1,FALSE),
"")</f>
        <v>13.986375000000002</v>
      </c>
      <c r="U469" s="18">
        <f>IFERROR(
                  Andel_oberoende_av_klimat*VLOOKUP($A469,Leveranser_per_nät,'Leveranser per nät'!U$1,FALSE)
               +Andel_beroende_av_klimat*VLOOKUP($A469,Leveranser_per_nät,'Leveranser per nät'!U$1,FALSE)/VLOOKUP($B469,Korrigeringsfaktor_GD,'Korrigeringsfaktor GD'!U$1,FALSE),
"")</f>
        <v>14.630396551724139</v>
      </c>
      <c r="V469" s="18">
        <f>IFERROR(
                  Andel_oberoende_av_klimat*VLOOKUP($A469,Leveranser_per_nät,'Leveranser per nät'!V$1,FALSE)
               +Andel_beroende_av_klimat*VLOOKUP($A469,Leveranser_per_nät,'Leveranser per nät'!V$1,FALSE)/VLOOKUP($B469,Korrigeringsfaktor_GD,'Korrigeringsfaktor GD'!V$1,FALSE),
"")</f>
        <v>14.016067415730337</v>
      </c>
      <c r="W469" s="18">
        <f>IFERROR(
                  Andel_oberoende_av_klimat*VLOOKUP($A469,Leveranser_per_nät,'Leveranser per nät'!W$1,FALSE)
               +Andel_beroende_av_klimat*VLOOKUP($A469,Leveranser_per_nät,'Leveranser per nät'!W$1,FALSE)/VLOOKUP($B469,Korrigeringsfaktor_GD,'Korrigeringsfaktor GD'!W$1,FALSE),
"")</f>
        <v>14.515789473684212</v>
      </c>
      <c r="X469" s="18">
        <f>IFERROR(
                  Andel_oberoende_av_klimat*VLOOKUP($A469,Leveranser_per_nät,'Leveranser per nät'!X$1,FALSE)
               +Andel_beroende_av_klimat*VLOOKUP($A469,Leveranser_per_nät,'Leveranser per nät'!X$1,FALSE)/VLOOKUP($B469,Korrigeringsfaktor_GD,'Korrigeringsfaktor GD'!X$1,FALSE),
"")</f>
        <v>14.30541666666667</v>
      </c>
      <c r="Y469" s="18">
        <f>IFERROR(
                  Andel_oberoende_av_klimat*VLOOKUP($A469,Leveranser_per_nät,'Leveranser per nät'!Y$1,FALSE)
               +Andel_beroende_av_klimat*VLOOKUP($A469,Leveranser_per_nät,'Leveranser per nät'!Y$1,FALSE)/VLOOKUP($B469,Korrigeringsfaktor_GD,'Korrigeringsfaktor GD'!Y$1,FALSE),
"")</f>
        <v>15.565744680851065</v>
      </c>
      <c r="Z469" s="18">
        <f>IFERROR(
                  Andel_oberoende_av_klimat*VLOOKUP($A469,Leveranser_per_nät,'Leveranser per nät'!Z$1,FALSE)
               +Andel_beroende_av_klimat*VLOOKUP($A469,Leveranser_per_nät,'Leveranser per nät'!Z$1,FALSE)/VLOOKUP($B469,Korrigeringsfaktor_GD,'Korrigeringsfaktor GD'!Z$1,FALSE),
"")</f>
        <v>16.297021276595746</v>
      </c>
      <c r="AA469" s="18">
        <f>IFERROR(
                  Andel_oberoende_av_klimat*VLOOKUP($A469,Leveranser_per_nät,'Leveranser per nät'!AA$1,FALSE)
               +Andel_beroende_av_klimat*VLOOKUP($A469,Leveranser_per_nät,'Leveranser per nät'!AA$1,FALSE)/VLOOKUP($B469,Korrigeringsfaktor_GD,'Korrigeringsfaktor GD'!AA$1,FALSE),
"")</f>
        <v>16.292724243265759</v>
      </c>
      <c r="AB469" s="18">
        <f>IFERROR(
                  Andel_oberoende_av_klimat*VLOOKUP($A469,Leveranser_per_nät,'Leveranser per nät'!AB$1,FALSE)
               +Andel_beroende_av_klimat*VLOOKUP($A469,Leveranser_per_nät,'Leveranser per nät'!AB$1,FALSE)/VLOOKUP($B469,Korrigeringsfaktor_GD,'Korrigeringsfaktor GD'!AB$1,FALSE),
"")</f>
        <v>17.212890625</v>
      </c>
      <c r="AC469" s="18">
        <f>IFERROR(
                  Andel_oberoende_av_klimat*VLOOKUP($A469,Leveranser_per_nät,'Leveranser per nät'!AC$1,FALSE)
               +Andel_beroende_av_klimat*VLOOKUP($A469,Leveranser_per_nät,'Leveranser per nät'!AC$1,FALSE)/VLOOKUP($B469,Korrigeringsfaktor_GD,'Korrigeringsfaktor GD'!AC$1,FALSE),
"")</f>
        <v>17.457733964248163</v>
      </c>
      <c r="AD469">
        <v>301.7</v>
      </c>
    </row>
    <row r="470" spans="1:30" x14ac:dyDescent="0.25">
      <c r="A470" t="s">
        <v>482</v>
      </c>
      <c r="B470" t="s">
        <v>482</v>
      </c>
      <c r="C470" s="18">
        <f>IFERROR(
                  Andel_oberoende_av_klimat*VLOOKUP($A470,Leveranser_per_nät,'Leveranser per nät'!C$1,FALSE)
               +Andel_beroende_av_klimat*VLOOKUP($A470,Leveranser_per_nät,'Leveranser per nät'!C$1,FALSE)/VLOOKUP("Ljungby",Korrigeringsfaktor_GD,'Korrigeringsfaktor GD'!C$1,FALSE),
"")</f>
        <v>0</v>
      </c>
      <c r="D470" s="18">
        <f>IFERROR(
                  Andel_oberoende_av_klimat*VLOOKUP($A470,Leveranser_per_nät,'Leveranser per nät'!D$1,FALSE)
               +Andel_beroende_av_klimat*VLOOKUP($A470,Leveranser_per_nät,'Leveranser per nät'!D$1,FALSE)/VLOOKUP("Ljungby",Korrigeringsfaktor_GD,'Korrigeringsfaktor GD'!D$1,FALSE),
"")</f>
        <v>0</v>
      </c>
      <c r="E470" s="18">
        <f>IFERROR(
                  Andel_oberoende_av_klimat*VLOOKUP($A470,Leveranser_per_nät,'Leveranser per nät'!E$1,FALSE)
               +Andel_beroende_av_klimat*VLOOKUP($A470,Leveranser_per_nät,'Leveranser per nät'!E$1,FALSE)/VLOOKUP("Ljungby",Korrigeringsfaktor_GD,'Korrigeringsfaktor GD'!E$1,FALSE),
"")</f>
        <v>0</v>
      </c>
      <c r="F470" s="18">
        <f>IFERROR(
                  Andel_oberoende_av_klimat*VLOOKUP($A470,Leveranser_per_nät,'Leveranser per nät'!F$1,FALSE)
               +Andel_beroende_av_klimat*VLOOKUP($A470,Leveranser_per_nät,'Leveranser per nät'!F$1,FALSE)/VLOOKUP("Ljungby",Korrigeringsfaktor_GD,'Korrigeringsfaktor GD'!F$1,FALSE),
"")</f>
        <v>0</v>
      </c>
      <c r="G470" s="18">
        <f>IFERROR(
                  Andel_oberoende_av_klimat*VLOOKUP($A470,Leveranser_per_nät,'Leveranser per nät'!G$1,FALSE)
               +Andel_beroende_av_klimat*VLOOKUP($A470,Leveranser_per_nät,'Leveranser per nät'!G$1,FALSE)/VLOOKUP("Ljungby",Korrigeringsfaktor_GD,'Korrigeringsfaktor GD'!G$1,FALSE),
"")</f>
        <v>0</v>
      </c>
      <c r="H470" s="18">
        <f>IFERROR(
                  Andel_oberoende_av_klimat*VLOOKUP($A470,Leveranser_per_nät,'Leveranser per nät'!H$1,FALSE)
               +Andel_beroende_av_klimat*VLOOKUP($A470,Leveranser_per_nät,'Leveranser per nät'!H$1,FALSE)/VLOOKUP("Ljungby",Korrigeringsfaktor_GD,'Korrigeringsfaktor GD'!H$1,FALSE),
"")</f>
        <v>0</v>
      </c>
      <c r="I470" s="18">
        <f>IFERROR(
                  Andel_oberoende_av_klimat*VLOOKUP($A470,Leveranser_per_nät,'Leveranser per nät'!I$1,FALSE)
               +Andel_beroende_av_klimat*VLOOKUP($A470,Leveranser_per_nät,'Leveranser per nät'!I$1,FALSE)/VLOOKUP("Ljungby",Korrigeringsfaktor_GD,'Korrigeringsfaktor GD'!I$1,FALSE),
"")</f>
        <v>0</v>
      </c>
      <c r="J470" s="18">
        <f>IFERROR(
                  Andel_oberoende_av_klimat*VLOOKUP($A470,Leveranser_per_nät,'Leveranser per nät'!J$1,FALSE)
               +Andel_beroende_av_klimat*VLOOKUP($A470,Leveranser_per_nät,'Leveranser per nät'!J$1,FALSE)/VLOOKUP("Ljungby",Korrigeringsfaktor_GD,'Korrigeringsfaktor GD'!J$1,FALSE),
"")</f>
        <v>0</v>
      </c>
      <c r="K470" s="18">
        <f>IFERROR(
                  Andel_oberoende_av_klimat*VLOOKUP($A470,Leveranser_per_nät,'Leveranser per nät'!K$1,FALSE)
               +Andel_beroende_av_klimat*VLOOKUP($A470,Leveranser_per_nät,'Leveranser per nät'!K$1,FALSE)/VLOOKUP("Ljungby",Korrigeringsfaktor_GD,'Korrigeringsfaktor GD'!K$1,FALSE),
"")</f>
        <v>0</v>
      </c>
      <c r="L470" s="18">
        <f>IFERROR(
                  Andel_oberoende_av_klimat*VLOOKUP($A470,Leveranser_per_nät,'Leveranser per nät'!L$1,FALSE)
               +Andel_beroende_av_klimat*VLOOKUP($A470,Leveranser_per_nät,'Leveranser per nät'!L$1,FALSE)/VLOOKUP("Ljungby",Korrigeringsfaktor_GD,'Korrigeringsfaktor GD'!L$1,FALSE),
"")</f>
        <v>0</v>
      </c>
      <c r="M470" s="18">
        <f>IFERROR(
                  Andel_oberoende_av_klimat*VLOOKUP($A470,Leveranser_per_nät,'Leveranser per nät'!M$1,FALSE)
               +Andel_beroende_av_klimat*VLOOKUP($A470,Leveranser_per_nät,'Leveranser per nät'!M$1,FALSE)/VLOOKUP("Ljungby",Korrigeringsfaktor_GD,'Korrigeringsfaktor GD'!M$1,FALSE),
"")</f>
        <v>0</v>
      </c>
      <c r="N470" s="18">
        <f>IFERROR(
                  Andel_oberoende_av_klimat*VLOOKUP($A470,Leveranser_per_nät,'Leveranser per nät'!N$1,FALSE)
               +Andel_beroende_av_klimat*VLOOKUP($A470,Leveranser_per_nät,'Leveranser per nät'!N$1,FALSE)/VLOOKUP("Ljungby",Korrigeringsfaktor_GD,'Korrigeringsfaktor GD'!N$1,FALSE),
"")</f>
        <v>0</v>
      </c>
      <c r="O470" s="18">
        <f>IFERROR(
                  Andel_oberoende_av_klimat*VLOOKUP($A470,Leveranser_per_nät,'Leveranser per nät'!O$1,FALSE)
               +Andel_beroende_av_klimat*VLOOKUP($A470,Leveranser_per_nät,'Leveranser per nät'!O$1,FALSE)/VLOOKUP("Ljungby",Korrigeringsfaktor_GD,'Korrigeringsfaktor GD'!O$1,FALSE),
"")</f>
        <v>0</v>
      </c>
      <c r="P470" s="18">
        <f>IFERROR(
                  Andel_oberoende_av_klimat*VLOOKUP($A470,Leveranser_per_nät,'Leveranser per nät'!P$1,FALSE)
               +Andel_beroende_av_klimat*VLOOKUP($A470,Leveranser_per_nät,'Leveranser per nät'!P$1,FALSE)/VLOOKUP("Ljungby",Korrigeringsfaktor_GD,'Korrigeringsfaktor GD'!P$1,FALSE),
"")</f>
        <v>0</v>
      </c>
      <c r="Q470" s="18">
        <f>IFERROR(
                  Andel_oberoende_av_klimat*VLOOKUP($A470,Leveranser_per_nät,'Leveranser per nät'!Q$1,FALSE)
               +Andel_beroende_av_klimat*VLOOKUP($A470,Leveranser_per_nät,'Leveranser per nät'!Q$1,FALSE)/VLOOKUP("Ljungby",Korrigeringsfaktor_GD,'Korrigeringsfaktor GD'!Q$1,FALSE),
"")</f>
        <v>10.450000000000001</v>
      </c>
      <c r="R470" s="18">
        <f>IFERROR(
                  Andel_oberoende_av_klimat*VLOOKUP($A470,Leveranser_per_nät,'Leveranser per nät'!R$1,FALSE)
               +Andel_beroende_av_klimat*VLOOKUP($A470,Leveranser_per_nät,'Leveranser per nät'!R$1,FALSE)/VLOOKUP("Ljungby",Korrigeringsfaktor_GD,'Korrigeringsfaktor GD'!R$1,FALSE),
"")</f>
        <v>15.290000000000001</v>
      </c>
      <c r="S470" s="18">
        <f>IFERROR(
                  Andel_oberoende_av_klimat*VLOOKUP($A470,Leveranser_per_nät,'Leveranser per nät'!S$1,FALSE)
               +Andel_beroende_av_klimat*VLOOKUP($A470,Leveranser_per_nät,'Leveranser per nät'!S$1,FALSE)/VLOOKUP("Ljungby",Korrigeringsfaktor_GD,'Korrigeringsfaktor GD'!S$1,FALSE),
"")</f>
        <v>18.443333333333332</v>
      </c>
      <c r="T470" s="18">
        <f>IFERROR(
                  Andel_oberoende_av_klimat*VLOOKUP($A470,Leveranser_per_nät,'Leveranser per nät'!T$1,FALSE)
               +Andel_beroende_av_klimat*VLOOKUP($A470,Leveranser_per_nät,'Leveranser per nät'!T$1,FALSE)/VLOOKUP("Ljungby",Korrigeringsfaktor_GD,'Korrigeringsfaktor GD'!T$1,FALSE),
"")</f>
        <v>22.256262626262629</v>
      </c>
      <c r="U470" s="18">
        <f>IFERROR(
                  Andel_oberoende_av_klimat*VLOOKUP($A470,Leveranser_per_nät,'Leveranser per nät'!U$1,FALSE)
               +Andel_beroende_av_klimat*VLOOKUP($A470,Leveranser_per_nät,'Leveranser per nät'!U$1,FALSE)/VLOOKUP("Ljungby",Korrigeringsfaktor_GD,'Korrigeringsfaktor GD'!U$1,FALSE),
"")</f>
        <v>22.47058823529412</v>
      </c>
      <c r="V470" s="18">
        <f>IFERROR(
                  Andel_oberoende_av_klimat*VLOOKUP($A470,Leveranser_per_nät,'Leveranser per nät'!V$1,FALSE)
               +Andel_beroende_av_klimat*VLOOKUP($A470,Leveranser_per_nät,'Leveranser per nät'!V$1,FALSE)/VLOOKUP("Ljungby",Korrigeringsfaktor_GD,'Korrigeringsfaktor GD'!V$1,FALSE),
"")</f>
        <v>24.465555555555554</v>
      </c>
      <c r="W470" s="18">
        <f>IFERROR(
                  Andel_oberoende_av_klimat*VLOOKUP($A470,Leveranser_per_nät,'Leveranser per nät'!W$1,FALSE)
               +Andel_beroende_av_klimat*VLOOKUP($A470,Leveranser_per_nät,'Leveranser per nät'!W$1,FALSE)/VLOOKUP("Ljungby",Korrigeringsfaktor_GD,'Korrigeringsfaktor GD'!W$1,FALSE),
"")</f>
        <v>23.087446808510641</v>
      </c>
      <c r="X470" s="18">
        <f>IFERROR(
                  Andel_oberoende_av_klimat*VLOOKUP($A470,Leveranser_per_nät,'Leveranser per nät'!X$1,FALSE)
               +Andel_beroende_av_klimat*VLOOKUP($A470,Leveranser_per_nät,'Leveranser per nät'!X$1,FALSE)/VLOOKUP("Ljungby",Korrigeringsfaktor_GD,'Korrigeringsfaktor GD'!X$1,FALSE),
"")</f>
        <v>25.685591397849461</v>
      </c>
      <c r="Y470" s="18">
        <f>IFERROR(
                  Andel_oberoende_av_klimat*VLOOKUP($A470,Leveranser_per_nät,'Leveranser per nät'!Y$1,FALSE)
               +Andel_beroende_av_klimat*VLOOKUP($A470,Leveranser_per_nät,'Leveranser per nät'!Y$1,FALSE)/VLOOKUP($B470,Korrigeringsfaktor_GD,'Korrigeringsfaktor GD'!Y$1,FALSE),
"")</f>
        <v>26.694400000000002</v>
      </c>
      <c r="Z470" s="18">
        <f>IFERROR(
                  Andel_oberoende_av_klimat*VLOOKUP($A470,Leveranser_per_nät,'Leveranser per nät'!Z$1,FALSE)
               +Andel_beroende_av_klimat*VLOOKUP($A470,Leveranser_per_nät,'Leveranser per nät'!Z$1,FALSE)/VLOOKUP($B470,Korrigeringsfaktor_GD,'Korrigeringsfaktor GD'!Z$1,FALSE),
"")</f>
        <v>40.074347826086957</v>
      </c>
      <c r="AA470" s="18">
        <f>IFERROR(
                  Andel_oberoende_av_klimat*VLOOKUP($A470,Leveranser_per_nät,'Leveranser per nät'!AA$1,FALSE)
               +Andel_beroende_av_klimat*VLOOKUP($A470,Leveranser_per_nät,'Leveranser per nät'!AA$1,FALSE)/VLOOKUP($B470,Korrigeringsfaktor_GD,'Korrigeringsfaktor GD'!AA$1,FALSE),
"")</f>
        <v>40.495061538461535</v>
      </c>
      <c r="AB470" s="18">
        <f>IFERROR(
                  Andel_oberoende_av_klimat*VLOOKUP($A470,Leveranser_per_nät,'Leveranser per nät'!AB$1,FALSE)
               +Andel_beroende_av_klimat*VLOOKUP($A470,Leveranser_per_nät,'Leveranser per nät'!AB$1,FALSE)/VLOOKUP($B470,Korrigeringsfaktor_GD,'Korrigeringsfaktor GD'!AB$1,FALSE),
"")</f>
        <v>37.987590909090912</v>
      </c>
      <c r="AC470" s="18">
        <f>IFERROR(
                  Andel_oberoende_av_klimat*VLOOKUP($A470,Leveranser_per_nät,'Leveranser per nät'!AC$1,FALSE)
               +Andel_beroende_av_klimat*VLOOKUP($A470,Leveranser_per_nät,'Leveranser per nät'!AC$1,FALSE)/VLOOKUP($B470,Korrigeringsfaktor_GD,'Korrigeringsfaktor GD'!AC$1,FALSE),
"")</f>
        <v>37.31055555555556</v>
      </c>
      <c r="AD470">
        <v>35.85</v>
      </c>
    </row>
    <row r="471" spans="1:30" x14ac:dyDescent="0.25">
      <c r="A471" t="s">
        <v>40</v>
      </c>
      <c r="B471" t="s">
        <v>165</v>
      </c>
      <c r="C471" s="18">
        <f>IFERROR(
                  Andel_oberoende_av_klimat*VLOOKUP($A471,Leveranser_per_nät,'Leveranser per nät'!C$1,FALSE)
               +Andel_beroende_av_klimat*VLOOKUP($A471,Leveranser_per_nät,'Leveranser per nät'!C$1,FALSE)/VLOOKUP($B471,Korrigeringsfaktor_GD,'Korrigeringsfaktor GD'!C$1,FALSE),
"")</f>
        <v>0</v>
      </c>
      <c r="D471" s="18">
        <f>IFERROR(
                  Andel_oberoende_av_klimat*VLOOKUP($A471,Leveranser_per_nät,'Leveranser per nät'!D$1,FALSE)
               +Andel_beroende_av_klimat*VLOOKUP($A471,Leveranser_per_nät,'Leveranser per nät'!D$1,FALSE)/VLOOKUP($B471,Korrigeringsfaktor_GD,'Korrigeringsfaktor GD'!D$1,FALSE),
"")</f>
        <v>0</v>
      </c>
      <c r="E471" s="18">
        <f>IFERROR(
                  Andel_oberoende_av_klimat*VLOOKUP($A471,Leveranser_per_nät,'Leveranser per nät'!E$1,FALSE)
               +Andel_beroende_av_klimat*VLOOKUP($A471,Leveranser_per_nät,'Leveranser per nät'!E$1,FALSE)/VLOOKUP($B471,Korrigeringsfaktor_GD,'Korrigeringsfaktor GD'!E$1,FALSE),
"")</f>
        <v>0</v>
      </c>
      <c r="F471" s="18">
        <f>IFERROR(
                  Andel_oberoende_av_klimat*VLOOKUP($A471,Leveranser_per_nät,'Leveranser per nät'!F$1,FALSE)
               +Andel_beroende_av_klimat*VLOOKUP($A471,Leveranser_per_nät,'Leveranser per nät'!F$1,FALSE)/VLOOKUP($B471,Korrigeringsfaktor_GD,'Korrigeringsfaktor GD'!F$1,FALSE),
"")</f>
        <v>0</v>
      </c>
      <c r="G471" s="18">
        <f>IFERROR(
                  Andel_oberoende_av_klimat*VLOOKUP($A471,Leveranser_per_nät,'Leveranser per nät'!G$1,FALSE)
               +Andel_beroende_av_klimat*VLOOKUP($A471,Leveranser_per_nät,'Leveranser per nät'!G$1,FALSE)/VLOOKUP($B471,Korrigeringsfaktor_GD,'Korrigeringsfaktor GD'!G$1,FALSE),
"")</f>
        <v>0</v>
      </c>
      <c r="H471" s="18">
        <f>IFERROR(
                  Andel_oberoende_av_klimat*VLOOKUP($A471,Leveranser_per_nät,'Leveranser per nät'!H$1,FALSE)
               +Andel_beroende_av_klimat*VLOOKUP($A471,Leveranser_per_nät,'Leveranser per nät'!H$1,FALSE)/VLOOKUP($B471,Korrigeringsfaktor_GD,'Korrigeringsfaktor GD'!H$1,FALSE),
"")</f>
        <v>0</v>
      </c>
      <c r="I471" s="18">
        <f>IFERROR(
                  Andel_oberoende_av_klimat*VLOOKUP($A471,Leveranser_per_nät,'Leveranser per nät'!I$1,FALSE)
               +Andel_beroende_av_klimat*VLOOKUP($A471,Leveranser_per_nät,'Leveranser per nät'!I$1,FALSE)/VLOOKUP($B471,Korrigeringsfaktor_GD,'Korrigeringsfaktor GD'!I$1,FALSE),
"")</f>
        <v>0</v>
      </c>
      <c r="J471" s="18">
        <f>IFERROR(
                  Andel_oberoende_av_klimat*VLOOKUP($A471,Leveranser_per_nät,'Leveranser per nät'!J$1,FALSE)
               +Andel_beroende_av_klimat*VLOOKUP($A471,Leveranser_per_nät,'Leveranser per nät'!J$1,FALSE)/VLOOKUP($B471,Korrigeringsfaktor_GD,'Korrigeringsfaktor GD'!J$1,FALSE),
"")</f>
        <v>0</v>
      </c>
      <c r="K471" s="18">
        <f>IFERROR(
                  Andel_oberoende_av_klimat*VLOOKUP($A471,Leveranser_per_nät,'Leveranser per nät'!K$1,FALSE)
               +Andel_beroende_av_klimat*VLOOKUP($A471,Leveranser_per_nät,'Leveranser per nät'!K$1,FALSE)/VLOOKUP($B471,Korrigeringsfaktor_GD,'Korrigeringsfaktor GD'!K$1,FALSE),
"")</f>
        <v>0</v>
      </c>
      <c r="L471" s="18">
        <f>IFERROR(
                  Andel_oberoende_av_klimat*VLOOKUP($A471,Leveranser_per_nät,'Leveranser per nät'!L$1,FALSE)
               +Andel_beroende_av_klimat*VLOOKUP($A471,Leveranser_per_nät,'Leveranser per nät'!L$1,FALSE)/VLOOKUP($B471,Korrigeringsfaktor_GD,'Korrigeringsfaktor GD'!L$1,FALSE),
"")</f>
        <v>0</v>
      </c>
      <c r="M471" s="18">
        <f>IFERROR(
                  Andel_oberoende_av_klimat*VLOOKUP($A471,Leveranser_per_nät,'Leveranser per nät'!M$1,FALSE)
               +Andel_beroende_av_klimat*VLOOKUP($A471,Leveranser_per_nät,'Leveranser per nät'!M$1,FALSE)/VLOOKUP($B471,Korrigeringsfaktor_GD,'Korrigeringsfaktor GD'!M$1,FALSE),
"")</f>
        <v>0.50921739130434784</v>
      </c>
      <c r="N471" s="18">
        <f>IFERROR(
                  Andel_oberoende_av_klimat*VLOOKUP($A471,Leveranser_per_nät,'Leveranser per nät'!N$1,FALSE)
               +Andel_beroende_av_klimat*VLOOKUP($A471,Leveranser_per_nät,'Leveranser per nät'!N$1,FALSE)/VLOOKUP($B471,Korrigeringsfaktor_GD,'Korrigeringsfaktor GD'!N$1,FALSE),
"")</f>
        <v>0.51982608695652166</v>
      </c>
      <c r="O471" s="18">
        <f>IFERROR(
                  Andel_oberoende_av_klimat*VLOOKUP($A471,Leveranser_per_nät,'Leveranser per nät'!O$1,FALSE)
               +Andel_beroende_av_klimat*VLOOKUP($A471,Leveranser_per_nät,'Leveranser per nät'!O$1,FALSE)/VLOOKUP($B471,Korrigeringsfaktor_GD,'Korrigeringsfaktor GD'!O$1,FALSE),
"")</f>
        <v>0.52811111111111109</v>
      </c>
      <c r="P471" s="18">
        <f>IFERROR(
                  Andel_oberoende_av_klimat*VLOOKUP($A471,Leveranser_per_nät,'Leveranser per nät'!P$1,FALSE)
               +Andel_beroende_av_klimat*VLOOKUP($A471,Leveranser_per_nät,'Leveranser per nät'!P$1,FALSE)/VLOOKUP($B471,Korrigeringsfaktor_GD,'Korrigeringsfaktor GD'!P$1,FALSE),
"")</f>
        <v>0.52367676767676774</v>
      </c>
      <c r="Q471" s="18">
        <f>IFERROR(
                  Andel_oberoende_av_klimat*VLOOKUP($A471,Leveranser_per_nät,'Leveranser per nät'!Q$1,FALSE)
               +Andel_beroende_av_klimat*VLOOKUP($A471,Leveranser_per_nät,'Leveranser per nät'!Q$1,FALSE)/VLOOKUP($B471,Korrigeringsfaktor_GD,'Korrigeringsfaktor GD'!Q$1,FALSE),
"")</f>
        <v>0.57820689655172419</v>
      </c>
      <c r="R471" s="18">
        <f>IFERROR(
                  Andel_oberoende_av_klimat*VLOOKUP($A471,Leveranser_per_nät,'Leveranser per nät'!R$1,FALSE)
               +Andel_beroende_av_klimat*VLOOKUP($A471,Leveranser_per_nät,'Leveranser per nät'!R$1,FALSE)/VLOOKUP($B471,Korrigeringsfaktor_GD,'Korrigeringsfaktor GD'!R$1,FALSE),
"")</f>
        <v>0.61433333333333329</v>
      </c>
      <c r="S471" s="18">
        <f>IFERROR(
                  Andel_oberoende_av_klimat*VLOOKUP($A471,Leveranser_per_nät,'Leveranser per nät'!S$1,FALSE)
               +Andel_beroende_av_klimat*VLOOKUP($A471,Leveranser_per_nät,'Leveranser per nät'!S$1,FALSE)/VLOOKUP($B471,Korrigeringsfaktor_GD,'Korrigeringsfaktor GD'!S$1,FALSE),
"")</f>
        <v>0.56395959595959599</v>
      </c>
      <c r="T471" s="18">
        <f>IFERROR(
                  Andel_oberoende_av_klimat*VLOOKUP($A471,Leveranser_per_nät,'Leveranser per nät'!T$1,FALSE)
               +Andel_beroende_av_klimat*VLOOKUP($A471,Leveranser_per_nät,'Leveranser per nät'!T$1,FALSE)/VLOOKUP($B471,Korrigeringsfaktor_GD,'Korrigeringsfaktor GD'!T$1,FALSE),
"")</f>
        <v>0.54545833333333338</v>
      </c>
      <c r="U471" s="18">
        <f>IFERROR(
                  Andel_oberoende_av_klimat*VLOOKUP($A471,Leveranser_per_nät,'Leveranser per nät'!U$1,FALSE)
               +Andel_beroende_av_klimat*VLOOKUP($A471,Leveranser_per_nät,'Leveranser per nät'!U$1,FALSE)/VLOOKUP($B471,Korrigeringsfaktor_GD,'Korrigeringsfaktor GD'!U$1,FALSE),
"")</f>
        <v>0.47276781609195401</v>
      </c>
      <c r="V471" s="18">
        <f>IFERROR(
                  Andel_oberoende_av_klimat*VLOOKUP($A471,Leveranser_per_nät,'Leveranser per nät'!V$1,FALSE)
               +Andel_beroende_av_klimat*VLOOKUP($A471,Leveranser_per_nät,'Leveranser per nät'!V$1,FALSE)/VLOOKUP($B471,Korrigeringsfaktor_GD,'Korrigeringsfaktor GD'!V$1,FALSE),
"")</f>
        <v>0.53673932584269668</v>
      </c>
      <c r="W471" s="18">
        <f>IFERROR(
                  Andel_oberoende_av_klimat*VLOOKUP($A471,Leveranser_per_nät,'Leveranser per nät'!W$1,FALSE)
               +Andel_beroende_av_klimat*VLOOKUP($A471,Leveranser_per_nät,'Leveranser per nät'!W$1,FALSE)/VLOOKUP($B471,Korrigeringsfaktor_GD,'Korrigeringsfaktor GD'!W$1,FALSE),
"")</f>
        <v>0.5806315789473685</v>
      </c>
      <c r="X471" s="18">
        <f>IFERROR(
                  Andel_oberoende_av_klimat*VLOOKUP($A471,Leveranser_per_nät,'Leveranser per nät'!X$1,FALSE)
               +Andel_beroende_av_klimat*VLOOKUP($A471,Leveranser_per_nät,'Leveranser per nät'!X$1,FALSE)/VLOOKUP($B471,Korrigeringsfaktor_GD,'Korrigeringsfaktor GD'!X$1,FALSE),
"")</f>
        <v>0.60514999999999997</v>
      </c>
      <c r="Y471" s="18">
        <f>IFERROR(
                  Andel_oberoende_av_klimat*VLOOKUP($A471,Leveranser_per_nät,'Leveranser per nät'!Y$1,FALSE)
               +Andel_beroende_av_klimat*VLOOKUP($A471,Leveranser_per_nät,'Leveranser per nät'!Y$1,FALSE)/VLOOKUP($B471,Korrigeringsfaktor_GD,'Korrigeringsfaktor GD'!Y$1,FALSE),
"")</f>
        <v>0.57875319148936177</v>
      </c>
      <c r="Z471" s="18">
        <f>IFERROR(
                  Andel_oberoende_av_klimat*VLOOKUP($A471,Leveranser_per_nät,'Leveranser per nät'!Z$1,FALSE)
               +Andel_beroende_av_klimat*VLOOKUP($A471,Leveranser_per_nät,'Leveranser per nät'!Z$1,FALSE)/VLOOKUP($B471,Korrigeringsfaktor_GD,'Korrigeringsfaktor GD'!Z$1,FALSE),
"")</f>
        <v>0.49413404255319149</v>
      </c>
      <c r="AA471" s="18">
        <f>IFERROR(
                  Andel_oberoende_av_klimat*VLOOKUP($A471,Leveranser_per_nät,'Leveranser per nät'!AA$1,FALSE)
               +Andel_beroende_av_klimat*VLOOKUP($A471,Leveranser_per_nät,'Leveranser per nät'!AA$1,FALSE)/VLOOKUP($B471,Korrigeringsfaktor_GD,'Korrigeringsfaktor GD'!AA$1,FALSE),
"")</f>
        <v>0.51073646209386292</v>
      </c>
      <c r="AB471" s="18">
        <f>IFERROR(
                  Andel_oberoende_av_klimat*VLOOKUP($A471,Leveranser_per_nät,'Leveranser per nät'!AB$1,FALSE)
               +Andel_beroende_av_klimat*VLOOKUP($A471,Leveranser_per_nät,'Leveranser per nät'!AB$1,FALSE)/VLOOKUP($B471,Korrigeringsfaktor_GD,'Korrigeringsfaktor GD'!AB$1,FALSE),
"")</f>
        <v>0.50064921875000001</v>
      </c>
      <c r="AC471" s="18">
        <f>IFERROR(
                  Andel_oberoende_av_klimat*VLOOKUP($A471,Leveranser_per_nät,'Leveranser per nät'!AC$1,FALSE)
               +Andel_beroende_av_klimat*VLOOKUP($A471,Leveranser_per_nät,'Leveranser per nät'!AC$1,FALSE)/VLOOKUP($B471,Korrigeringsfaktor_GD,'Korrigeringsfaktor GD'!AC$1,FALSE),
"")</f>
        <v>0.51078117770767606</v>
      </c>
      <c r="AD471">
        <v>301.7</v>
      </c>
    </row>
    <row r="472" spans="1:30" x14ac:dyDescent="0.25">
      <c r="A472" t="s">
        <v>310</v>
      </c>
      <c r="B472" t="s">
        <v>310</v>
      </c>
      <c r="C472" s="18">
        <f>IFERROR(
                  Andel_oberoende_av_klimat*VLOOKUP($A472,Leveranser_per_nät,'Leveranser per nät'!C$1,FALSE)
               +Andel_beroende_av_klimat*VLOOKUP($A472,Leveranser_per_nät,'Leveranser per nät'!C$1,FALSE)/VLOOKUP($B472,Korrigeringsfaktor_GD,'Korrigeringsfaktor GD'!C$1,FALSE),
"")</f>
        <v>0</v>
      </c>
      <c r="D472" s="18">
        <f>IFERROR(
                  Andel_oberoende_av_klimat*VLOOKUP($A472,Leveranser_per_nät,'Leveranser per nät'!D$1,FALSE)
               +Andel_beroende_av_klimat*VLOOKUP($A472,Leveranser_per_nät,'Leveranser per nät'!D$1,FALSE)/VLOOKUP($B472,Korrigeringsfaktor_GD,'Korrigeringsfaktor GD'!D$1,FALSE),
"")</f>
        <v>0</v>
      </c>
      <c r="E472" s="18">
        <f>IFERROR(
                  Andel_oberoende_av_klimat*VLOOKUP($A472,Leveranser_per_nät,'Leveranser per nät'!E$1,FALSE)
               +Andel_beroende_av_klimat*VLOOKUP($A472,Leveranser_per_nät,'Leveranser per nät'!E$1,FALSE)/VLOOKUP($B472,Korrigeringsfaktor_GD,'Korrigeringsfaktor GD'!E$1,FALSE),
"")</f>
        <v>0</v>
      </c>
      <c r="F472" s="18">
        <f>IFERROR(
                  Andel_oberoende_av_klimat*VLOOKUP($A472,Leveranser_per_nät,'Leveranser per nät'!F$1,FALSE)
               +Andel_beroende_av_klimat*VLOOKUP($A472,Leveranser_per_nät,'Leveranser per nät'!F$1,FALSE)/VLOOKUP($B472,Korrigeringsfaktor_GD,'Korrigeringsfaktor GD'!F$1,FALSE),
"")</f>
        <v>0</v>
      </c>
      <c r="G472" s="18">
        <f>IFERROR(
                  Andel_oberoende_av_klimat*VLOOKUP($A472,Leveranser_per_nät,'Leveranser per nät'!G$1,FALSE)
               +Andel_beroende_av_klimat*VLOOKUP($A472,Leveranser_per_nät,'Leveranser per nät'!G$1,FALSE)/VLOOKUP($B472,Korrigeringsfaktor_GD,'Korrigeringsfaktor GD'!G$1,FALSE),
"")</f>
        <v>0</v>
      </c>
      <c r="H472" s="18">
        <f>IFERROR(
                  Andel_oberoende_av_klimat*VLOOKUP($A472,Leveranser_per_nät,'Leveranser per nät'!H$1,FALSE)
               +Andel_beroende_av_klimat*VLOOKUP($A472,Leveranser_per_nät,'Leveranser per nät'!H$1,FALSE)/VLOOKUP($B472,Korrigeringsfaktor_GD,'Korrigeringsfaktor GD'!H$1,FALSE),
"")</f>
        <v>0</v>
      </c>
      <c r="I472" s="18">
        <f>IFERROR(
                  Andel_oberoende_av_klimat*VLOOKUP($A472,Leveranser_per_nät,'Leveranser per nät'!I$1,FALSE)
               +Andel_beroende_av_klimat*VLOOKUP($A472,Leveranser_per_nät,'Leveranser per nät'!I$1,FALSE)/VLOOKUP($B472,Korrigeringsfaktor_GD,'Korrigeringsfaktor GD'!I$1,FALSE),
"")</f>
        <v>0</v>
      </c>
      <c r="J472" s="18">
        <f>IFERROR(
                  Andel_oberoende_av_klimat*VLOOKUP($A472,Leveranser_per_nät,'Leveranser per nät'!J$1,FALSE)
               +Andel_beroende_av_klimat*VLOOKUP($A472,Leveranser_per_nät,'Leveranser per nät'!J$1,FALSE)/VLOOKUP($B472,Korrigeringsfaktor_GD,'Korrigeringsfaktor GD'!J$1,FALSE),
"")</f>
        <v>0</v>
      </c>
      <c r="K472" s="18">
        <f>IFERROR(
                  Andel_oberoende_av_klimat*VLOOKUP($A472,Leveranser_per_nät,'Leveranser per nät'!K$1,FALSE)
               +Andel_beroende_av_klimat*VLOOKUP($A472,Leveranser_per_nät,'Leveranser per nät'!K$1,FALSE)/VLOOKUP($B472,Korrigeringsfaktor_GD,'Korrigeringsfaktor GD'!K$1,FALSE),
"")</f>
        <v>0</v>
      </c>
      <c r="L472" s="18">
        <f>IFERROR(
                  Andel_oberoende_av_klimat*VLOOKUP($A472,Leveranser_per_nät,'Leveranser per nät'!L$1,FALSE)
               +Andel_beroende_av_klimat*VLOOKUP($A472,Leveranser_per_nät,'Leveranser per nät'!L$1,FALSE)/VLOOKUP($B472,Korrigeringsfaktor_GD,'Korrigeringsfaktor GD'!L$1,FALSE),
"")</f>
        <v>0</v>
      </c>
      <c r="M472" s="18">
        <f>IFERROR(
                  Andel_oberoende_av_klimat*VLOOKUP($A472,Leveranser_per_nät,'Leveranser per nät'!M$1,FALSE)
               +Andel_beroende_av_klimat*VLOOKUP($A472,Leveranser_per_nät,'Leveranser per nät'!M$1,FALSE)/VLOOKUP($B472,Korrigeringsfaktor_GD,'Korrigeringsfaktor GD'!M$1,FALSE),
"")</f>
        <v>0</v>
      </c>
      <c r="N472" s="18">
        <f>IFERROR(
                  Andel_oberoende_av_klimat*VLOOKUP($A472,Leveranser_per_nät,'Leveranser per nät'!N$1,FALSE)
               +Andel_beroende_av_klimat*VLOOKUP($A472,Leveranser_per_nät,'Leveranser per nät'!N$1,FALSE)/VLOOKUP($B472,Korrigeringsfaktor_GD,'Korrigeringsfaktor GD'!N$1,FALSE),
"")</f>
        <v>0</v>
      </c>
      <c r="O472" s="18">
        <f>IFERROR(
                  Andel_oberoende_av_klimat*VLOOKUP($A472,Leveranser_per_nät,'Leveranser per nät'!O$1,FALSE)
               +Andel_beroende_av_klimat*VLOOKUP($A472,Leveranser_per_nät,'Leveranser per nät'!O$1,FALSE)/VLOOKUP($B472,Korrigeringsfaktor_GD,'Korrigeringsfaktor GD'!O$1,FALSE),
"")</f>
        <v>30.393333333333331</v>
      </c>
      <c r="P472" s="18">
        <f>IFERROR(
                  Andel_oberoende_av_klimat*VLOOKUP($A472,Leveranser_per_nät,'Leveranser per nät'!P$1,FALSE)
               +Andel_beroende_av_klimat*VLOOKUP($A472,Leveranser_per_nät,'Leveranser per nät'!P$1,FALSE)/VLOOKUP($B472,Korrigeringsfaktor_GD,'Korrigeringsfaktor GD'!P$1,FALSE),
"")</f>
        <v>32.326969696969698</v>
      </c>
      <c r="Q472" s="18">
        <f>IFERROR(
                  Andel_oberoende_av_klimat*VLOOKUP($A472,Leveranser_per_nät,'Leveranser per nät'!Q$1,FALSE)
               +Andel_beroende_av_klimat*VLOOKUP($A472,Leveranser_per_nät,'Leveranser per nät'!Q$1,FALSE)/VLOOKUP($B472,Korrigeringsfaktor_GD,'Korrigeringsfaktor GD'!Q$1,FALSE),
"")</f>
        <v>32.428290598290602</v>
      </c>
      <c r="R472" s="18">
        <f>IFERROR(
                  Andel_oberoende_av_klimat*VLOOKUP($A472,Leveranser_per_nät,'Leveranser per nät'!R$1,FALSE)
               +Andel_beroende_av_klimat*VLOOKUP($A472,Leveranser_per_nät,'Leveranser per nät'!R$1,FALSE)/VLOOKUP($B472,Korrigeringsfaktor_GD,'Korrigeringsfaktor GD'!R$1,FALSE),
"")</f>
        <v>33.466923076923081</v>
      </c>
      <c r="S472" s="18">
        <f>IFERROR(
                  Andel_oberoende_av_klimat*VLOOKUP($A472,Leveranser_per_nät,'Leveranser per nät'!S$1,FALSE)
               +Andel_beroende_av_klimat*VLOOKUP($A472,Leveranser_per_nät,'Leveranser per nät'!S$1,FALSE)/VLOOKUP($B472,Korrigeringsfaktor_GD,'Korrigeringsfaktor GD'!S$1,FALSE),
"")</f>
        <v>34.757425742574256</v>
      </c>
      <c r="T472" s="18">
        <f>IFERROR(
                  Andel_oberoende_av_klimat*VLOOKUP($A472,Leveranser_per_nät,'Leveranser per nät'!T$1,FALSE)
               +Andel_beroende_av_klimat*VLOOKUP($A472,Leveranser_per_nät,'Leveranser per nät'!T$1,FALSE)/VLOOKUP($B472,Korrigeringsfaktor_GD,'Korrigeringsfaktor GD'!T$1,FALSE),
"")</f>
        <v>33.065714285714286</v>
      </c>
      <c r="U472" s="18">
        <f>IFERROR(
                  Andel_oberoende_av_klimat*VLOOKUP($A472,Leveranser_per_nät,'Leveranser per nät'!U$1,FALSE)
               +Andel_beroende_av_klimat*VLOOKUP($A472,Leveranser_per_nät,'Leveranser per nät'!U$1,FALSE)/VLOOKUP($B472,Korrigeringsfaktor_GD,'Korrigeringsfaktor GD'!U$1,FALSE),
"")</f>
        <v>32.535000000000004</v>
      </c>
      <c r="V472" s="18">
        <f>IFERROR(
                  Andel_oberoende_av_klimat*VLOOKUP($A472,Leveranser_per_nät,'Leveranser per nät'!V$1,FALSE)
               +Andel_beroende_av_klimat*VLOOKUP($A472,Leveranser_per_nät,'Leveranser per nät'!V$1,FALSE)/VLOOKUP($B472,Korrigeringsfaktor_GD,'Korrigeringsfaktor GD'!V$1,FALSE),
"")</f>
        <v>32.096818181818179</v>
      </c>
      <c r="W472" s="18">
        <f>IFERROR(
                  Andel_oberoende_av_klimat*VLOOKUP($A472,Leveranser_per_nät,'Leveranser per nät'!W$1,FALSE)
               +Andel_beroende_av_klimat*VLOOKUP($A472,Leveranser_per_nät,'Leveranser per nät'!W$1,FALSE)/VLOOKUP($B472,Korrigeringsfaktor_GD,'Korrigeringsfaktor GD'!W$1,FALSE),
"")</f>
        <v>33.159677419354836</v>
      </c>
      <c r="X472" s="18">
        <f>IFERROR(
                  Andel_oberoende_av_klimat*VLOOKUP($A472,Leveranser_per_nät,'Leveranser per nät'!X$1,FALSE)
               +Andel_beroende_av_klimat*VLOOKUP($A472,Leveranser_per_nät,'Leveranser per nät'!X$1,FALSE)/VLOOKUP($B472,Korrigeringsfaktor_GD,'Korrigeringsfaktor GD'!X$1,FALSE),
"")</f>
        <v>32.356521739130429</v>
      </c>
      <c r="Y472" s="18">
        <f>IFERROR(
                  Andel_oberoende_av_klimat*VLOOKUP($A472,Leveranser_per_nät,'Leveranser per nät'!Y$1,FALSE)
               +Andel_beroende_av_klimat*VLOOKUP($A472,Leveranser_per_nät,'Leveranser per nät'!Y$1,FALSE)/VLOOKUP($B472,Korrigeringsfaktor_GD,'Korrigeringsfaktor GD'!Y$1,FALSE),
"")</f>
        <v>32.674782608695651</v>
      </c>
      <c r="Z472" s="18">
        <f>IFERROR(
                  Andel_oberoende_av_klimat*VLOOKUP($A472,Leveranser_per_nät,'Leveranser per nät'!Z$1,FALSE)
               +Andel_beroende_av_klimat*VLOOKUP($A472,Leveranser_per_nät,'Leveranser per nät'!Z$1,FALSE)/VLOOKUP($B472,Korrigeringsfaktor_GD,'Korrigeringsfaktor GD'!Z$1,FALSE),
"")</f>
        <v>31.702756989247309</v>
      </c>
      <c r="AA472" s="18">
        <f>IFERROR(
                  Andel_oberoende_av_klimat*VLOOKUP($A472,Leveranser_per_nät,'Leveranser per nät'!AA$1,FALSE)
               +Andel_beroende_av_klimat*VLOOKUP($A472,Leveranser_per_nät,'Leveranser per nät'!AA$1,FALSE)/VLOOKUP($B472,Korrigeringsfaktor_GD,'Korrigeringsfaktor GD'!AA$1,FALSE),
"")</f>
        <v>31.234548551959115</v>
      </c>
      <c r="AB472" s="18">
        <f>IFERROR(
                  Andel_oberoende_av_klimat*VLOOKUP($A472,Leveranser_per_nät,'Leveranser per nät'!AB$1,FALSE)
               +Andel_beroende_av_klimat*VLOOKUP($A472,Leveranser_per_nät,'Leveranser per nät'!AB$1,FALSE)/VLOOKUP($B472,Korrigeringsfaktor_GD,'Korrigeringsfaktor GD'!AB$1,FALSE),
"")</f>
        <v>31.175744850818091</v>
      </c>
      <c r="AC472" s="18">
        <f>IFERROR(
                  Andel_oberoende_av_klimat*VLOOKUP($A472,Leveranser_per_nät,'Leveranser per nät'!AC$1,FALSE)
               +Andel_beroende_av_klimat*VLOOKUP($A472,Leveranser_per_nät,'Leveranser per nät'!AC$1,FALSE)/VLOOKUP($B472,Korrigeringsfaktor_GD,'Korrigeringsfaktor GD'!AC$1,FALSE),
"")</f>
        <v>30.028321649484532</v>
      </c>
      <c r="AD472">
        <v>29.391999999999999</v>
      </c>
    </row>
    <row r="473" spans="1:30" x14ac:dyDescent="0.25">
      <c r="A473" t="s">
        <v>79</v>
      </c>
      <c r="B473" t="s">
        <v>79</v>
      </c>
      <c r="C473" s="18">
        <f>IFERROR(
                  Andel_oberoende_av_klimat*VLOOKUP($A473,Leveranser_per_nät,'Leveranser per nät'!C$1,FALSE)
               +Andel_beroende_av_klimat*VLOOKUP($A473,Leveranser_per_nät,'Leveranser per nät'!C$1,FALSE)/VLOOKUP($B473,Korrigeringsfaktor_GD,'Korrigeringsfaktor GD'!C$1,FALSE),
"")</f>
        <v>33.299999999999997</v>
      </c>
      <c r="D473" s="18">
        <f>IFERROR(
                  Andel_oberoende_av_klimat*VLOOKUP($A473,Leveranser_per_nät,'Leveranser per nät'!D$1,FALSE)
               +Andel_beroende_av_klimat*VLOOKUP($A473,Leveranser_per_nät,'Leveranser per nät'!D$1,FALSE)/VLOOKUP($B473,Korrigeringsfaktor_GD,'Korrigeringsfaktor GD'!D$1,FALSE),
"")</f>
        <v>31.738495049504952</v>
      </c>
      <c r="E473" s="18">
        <f>IFERROR(
                  Andel_oberoende_av_klimat*VLOOKUP($A473,Leveranser_per_nät,'Leveranser per nät'!E$1,FALSE)
               +Andel_beroende_av_klimat*VLOOKUP($A473,Leveranser_per_nät,'Leveranser per nät'!E$1,FALSE)/VLOOKUP($B473,Korrigeringsfaktor_GD,'Korrigeringsfaktor GD'!E$1,FALSE),
"")</f>
        <v>31.778217821782178</v>
      </c>
      <c r="F473" s="18">
        <f>IFERROR(
                  Andel_oberoende_av_klimat*VLOOKUP($A473,Leveranser_per_nät,'Leveranser per nät'!F$1,FALSE)
               +Andel_beroende_av_klimat*VLOOKUP($A473,Leveranser_per_nät,'Leveranser per nät'!F$1,FALSE)/VLOOKUP($B473,Korrigeringsfaktor_GD,'Korrigeringsfaktor GD'!F$1,FALSE),
"")</f>
        <v>33.42978723404255</v>
      </c>
      <c r="G473" s="18">
        <f>IFERROR(
                  Andel_oberoende_av_klimat*VLOOKUP($A473,Leveranser_per_nät,'Leveranser per nät'!G$1,FALSE)
               +Andel_beroende_av_klimat*VLOOKUP($A473,Leveranser_per_nät,'Leveranser per nät'!G$1,FALSE)/VLOOKUP($B473,Korrigeringsfaktor_GD,'Korrigeringsfaktor GD'!G$1,FALSE),
"")</f>
        <v>31.768181818181816</v>
      </c>
      <c r="H473" s="18">
        <f>IFERROR(
                  Andel_oberoende_av_klimat*VLOOKUP($A473,Leveranser_per_nät,'Leveranser per nät'!H$1,FALSE)
               +Andel_beroende_av_klimat*VLOOKUP($A473,Leveranser_per_nät,'Leveranser per nät'!H$1,FALSE)/VLOOKUP($B473,Korrigeringsfaktor_GD,'Korrigeringsfaktor GD'!H$1,FALSE),
"")</f>
        <v>33</v>
      </c>
      <c r="I473" s="18">
        <f>IFERROR(
                  Andel_oberoende_av_klimat*VLOOKUP($A473,Leveranser_per_nät,'Leveranser per nät'!I$1,FALSE)
               +Andel_beroende_av_klimat*VLOOKUP($A473,Leveranser_per_nät,'Leveranser per nät'!I$1,FALSE)/VLOOKUP($B473,Korrigeringsfaktor_GD,'Korrigeringsfaktor GD'!I$1,FALSE),
"")</f>
        <v>34.318810638297876</v>
      </c>
      <c r="J473" s="18">
        <f>IFERROR(
                  Andel_oberoende_av_klimat*VLOOKUP($A473,Leveranser_per_nät,'Leveranser per nät'!J$1,FALSE)
               +Andel_beroende_av_klimat*VLOOKUP($A473,Leveranser_per_nät,'Leveranser per nät'!J$1,FALSE)/VLOOKUP($B473,Korrigeringsfaktor_GD,'Korrigeringsfaktor GD'!J$1,FALSE),
"")</f>
        <v>33.169171428571431</v>
      </c>
      <c r="K473" s="18">
        <f>IFERROR(
                  Andel_oberoende_av_klimat*VLOOKUP($A473,Leveranser_per_nät,'Leveranser per nät'!K$1,FALSE)
               +Andel_beroende_av_klimat*VLOOKUP($A473,Leveranser_per_nät,'Leveranser per nät'!K$1,FALSE)/VLOOKUP($B473,Korrigeringsfaktor_GD,'Korrigeringsfaktor GD'!K$1,FALSE),
"")</f>
        <v>48.016707706329491</v>
      </c>
      <c r="L473" s="18">
        <f>IFERROR(
                  Andel_oberoende_av_klimat*VLOOKUP($A473,Leveranser_per_nät,'Leveranser per nät'!L$1,FALSE)
               +Andel_beroende_av_klimat*VLOOKUP($A473,Leveranser_per_nät,'Leveranser per nät'!L$1,FALSE)/VLOOKUP($B473,Korrigeringsfaktor_GD,'Korrigeringsfaktor GD'!L$1,FALSE),
"")</f>
        <v>49.056244677291268</v>
      </c>
      <c r="M473" s="18">
        <f>IFERROR(
                  Andel_oberoende_av_klimat*VLOOKUP($A473,Leveranser_per_nät,'Leveranser per nät'!M$1,FALSE)
               +Andel_beroende_av_klimat*VLOOKUP($A473,Leveranser_per_nät,'Leveranser per nät'!M$1,FALSE)/VLOOKUP($B473,Korrigeringsfaktor_GD,'Korrigeringsfaktor GD'!M$1,FALSE),
"")</f>
        <v>42.422280645161287</v>
      </c>
      <c r="N473" s="18">
        <f>IFERROR(
                  Andel_oberoende_av_klimat*VLOOKUP($A473,Leveranser_per_nät,'Leveranser per nät'!N$1,FALSE)
               +Andel_beroende_av_klimat*VLOOKUP($A473,Leveranser_per_nät,'Leveranser per nät'!N$1,FALSE)/VLOOKUP($B473,Korrigeringsfaktor_GD,'Korrigeringsfaktor GD'!N$1,FALSE),
"")</f>
        <v>43.111111111111114</v>
      </c>
      <c r="O473" s="18">
        <f>IFERROR(
                  Andel_oberoende_av_klimat*VLOOKUP($A473,Leveranser_per_nät,'Leveranser per nät'!O$1,FALSE)
               +Andel_beroende_av_klimat*VLOOKUP($A473,Leveranser_per_nät,'Leveranser per nät'!O$1,FALSE)/VLOOKUP($B473,Korrigeringsfaktor_GD,'Korrigeringsfaktor GD'!O$1,FALSE),
"")</f>
        <v>55.774999999999991</v>
      </c>
      <c r="P473" s="18">
        <f>IFERROR(
                  Andel_oberoende_av_klimat*VLOOKUP($A473,Leveranser_per_nät,'Leveranser per nät'!P$1,FALSE)
               +Andel_beroende_av_klimat*VLOOKUP($A473,Leveranser_per_nät,'Leveranser per nät'!P$1,FALSE)/VLOOKUP($B473,Korrigeringsfaktor_GD,'Korrigeringsfaktor GD'!P$1,FALSE),
"")</f>
        <v>63.356571134020612</v>
      </c>
      <c r="Q473" s="18">
        <f>IFERROR(
                  Andel_oberoende_av_klimat*VLOOKUP($A473,Leveranser_per_nät,'Leveranser per nät'!Q$1,FALSE)
               +Andel_beroende_av_klimat*VLOOKUP($A473,Leveranser_per_nät,'Leveranser per nät'!Q$1,FALSE)/VLOOKUP($B473,Korrigeringsfaktor_GD,'Korrigeringsfaktor GD'!Q$1,FALSE),
"")</f>
        <v>67.638596491228071</v>
      </c>
      <c r="R473" s="18">
        <f>IFERROR(
                  Andel_oberoende_av_klimat*VLOOKUP($A473,Leveranser_per_nät,'Leveranser per nät'!R$1,FALSE)
               +Andel_beroende_av_klimat*VLOOKUP($A473,Leveranser_per_nät,'Leveranser per nät'!R$1,FALSE)/VLOOKUP($B473,Korrigeringsfaktor_GD,'Korrigeringsfaktor GD'!R$1,FALSE),
"")</f>
        <v>72.069488291078258</v>
      </c>
      <c r="S473" s="18">
        <f>IFERROR(
                  Andel_oberoende_av_klimat*VLOOKUP($A473,Leveranser_per_nät,'Leveranser per nät'!S$1,FALSE)
               +Andel_beroende_av_klimat*VLOOKUP($A473,Leveranser_per_nät,'Leveranser per nät'!S$1,FALSE)/VLOOKUP($B473,Korrigeringsfaktor_GD,'Korrigeringsfaktor GD'!S$1,FALSE),
"")</f>
        <v>73.487128712871282</v>
      </c>
      <c r="T473" s="18">
        <f>IFERROR(
                  Andel_oberoende_av_klimat*VLOOKUP($A473,Leveranser_per_nät,'Leveranser per nät'!T$1,FALSE)
               +Andel_beroende_av_klimat*VLOOKUP($A473,Leveranser_per_nät,'Leveranser per nät'!T$1,FALSE)/VLOOKUP($B473,Korrigeringsfaktor_GD,'Korrigeringsfaktor GD'!T$1,FALSE),
"")</f>
        <v>89.88194285714286</v>
      </c>
      <c r="U473" s="18">
        <f>IFERROR(
                  Andel_oberoende_av_klimat*VLOOKUP($A473,Leveranser_per_nät,'Leveranser per nät'!U$1,FALSE)
               +Andel_beroende_av_klimat*VLOOKUP($A473,Leveranser_per_nät,'Leveranser per nät'!U$1,FALSE)/VLOOKUP($B473,Korrigeringsfaktor_GD,'Korrigeringsfaktor GD'!U$1,FALSE),
"")</f>
        <v>87.235317647058821</v>
      </c>
      <c r="V473" s="18">
        <f>IFERROR(
                  Andel_oberoende_av_klimat*VLOOKUP($A473,Leveranser_per_nät,'Leveranser per nät'!V$1,FALSE)
               +Andel_beroende_av_klimat*VLOOKUP($A473,Leveranser_per_nät,'Leveranser per nät'!V$1,FALSE)/VLOOKUP($B473,Korrigeringsfaktor_GD,'Korrigeringsfaktor GD'!V$1,FALSE),
"")</f>
        <v>86.340384615384622</v>
      </c>
      <c r="W473" s="18">
        <f>IFERROR(
                  Andel_oberoende_av_klimat*VLOOKUP($A473,Leveranser_per_nät,'Leveranser per nät'!W$1,FALSE)
               +Andel_beroende_av_klimat*VLOOKUP($A473,Leveranser_per_nät,'Leveranser per nät'!W$1,FALSE)/VLOOKUP($B473,Korrigeringsfaktor_GD,'Korrigeringsfaktor GD'!W$1,FALSE),
"")</f>
        <v>90.887234042553203</v>
      </c>
      <c r="X473" s="18">
        <f>IFERROR(
                  Andel_oberoende_av_klimat*VLOOKUP($A473,Leveranser_per_nät,'Leveranser per nät'!X$1,FALSE)
               +Andel_beroende_av_klimat*VLOOKUP($A473,Leveranser_per_nät,'Leveranser per nät'!X$1,FALSE)/VLOOKUP($B473,Korrigeringsfaktor_GD,'Korrigeringsfaktor GD'!X$1,FALSE),
"")</f>
        <v>87.070669230769241</v>
      </c>
      <c r="Y473" s="18">
        <f>IFERROR(
                  Andel_oberoende_av_klimat*VLOOKUP($A473,Leveranser_per_nät,'Leveranser per nät'!Y$1,FALSE)
               +Andel_beroende_av_klimat*VLOOKUP($A473,Leveranser_per_nät,'Leveranser per nät'!Y$1,FALSE)/VLOOKUP($B473,Korrigeringsfaktor_GD,'Korrigeringsfaktor GD'!Y$1,FALSE),
"")</f>
        <v>94.092359550561795</v>
      </c>
      <c r="Z473" s="18">
        <f>IFERROR(
                  Andel_oberoende_av_klimat*VLOOKUP($A473,Leveranser_per_nät,'Leveranser per nät'!Z$1,FALSE)
               +Andel_beroende_av_klimat*VLOOKUP($A473,Leveranser_per_nät,'Leveranser per nät'!Z$1,FALSE)/VLOOKUP($B473,Korrigeringsfaktor_GD,'Korrigeringsfaktor GD'!Z$1,FALSE),
"")</f>
        <v>90.84804444444444</v>
      </c>
      <c r="AA473" s="18">
        <f>IFERROR(
                  Andel_oberoende_av_klimat*VLOOKUP($A473,Leveranser_per_nät,'Leveranser per nät'!AA$1,FALSE)
               +Andel_beroende_av_klimat*VLOOKUP($A473,Leveranser_per_nät,'Leveranser per nät'!AA$1,FALSE)/VLOOKUP($B473,Korrigeringsfaktor_GD,'Korrigeringsfaktor GD'!AA$1,FALSE),
"")</f>
        <v>96.413779866199434</v>
      </c>
      <c r="AB473" s="18">
        <f>IFERROR(
                  Andel_oberoende_av_klimat*VLOOKUP($A473,Leveranser_per_nät,'Leveranser per nät'!AB$1,FALSE)
               +Andel_beroende_av_klimat*VLOOKUP($A473,Leveranser_per_nät,'Leveranser per nät'!AB$1,FALSE)/VLOOKUP($B473,Korrigeringsfaktor_GD,'Korrigeringsfaktor GD'!AB$1,FALSE),
"")</f>
        <v>90.049858536585376</v>
      </c>
      <c r="AC473" s="18">
        <f>IFERROR(
                  Andel_oberoende_av_klimat*VLOOKUP($A473,Leveranser_per_nät,'Leveranser per nät'!AC$1,FALSE)
               +Andel_beroende_av_klimat*VLOOKUP($A473,Leveranser_per_nät,'Leveranser per nät'!AC$1,FALSE)/VLOOKUP($B473,Korrigeringsfaktor_GD,'Korrigeringsfaktor GD'!AC$1,FALSE),
"")</f>
        <v>89.377912658227842</v>
      </c>
      <c r="AD473">
        <v>86.072999999999993</v>
      </c>
    </row>
    <row r="474" spans="1:30" x14ac:dyDescent="0.25">
      <c r="A474" s="4" t="s">
        <v>438</v>
      </c>
      <c r="B474" t="s">
        <v>438</v>
      </c>
      <c r="C474" s="18">
        <f>IFERROR(
                  Andel_oberoende_av_klimat*VLOOKUP($A474,Leveranser_per_nät,'Leveranser per nät'!C$1,FALSE)
               +Andel_beroende_av_klimat*VLOOKUP($A474,Leveranser_per_nät,'Leveranser per nät'!C$1,FALSE)/VLOOKUP($B474,Korrigeringsfaktor_GD,'Korrigeringsfaktor GD'!C$1,FALSE),
"")</f>
        <v>0</v>
      </c>
      <c r="D474" s="18">
        <f>IFERROR(
                  Andel_oberoende_av_klimat*VLOOKUP($A474,Leveranser_per_nät,'Leveranser per nät'!D$1,FALSE)
               +Andel_beroende_av_klimat*VLOOKUP($A474,Leveranser_per_nät,'Leveranser per nät'!D$1,FALSE)/VLOOKUP($B474,Korrigeringsfaktor_GD,'Korrigeringsfaktor GD'!D$1,FALSE),
"")</f>
        <v>0</v>
      </c>
      <c r="E474" s="18">
        <f>IFERROR(
                  Andel_oberoende_av_klimat*VLOOKUP($A474,Leveranser_per_nät,'Leveranser per nät'!E$1,FALSE)
               +Andel_beroende_av_klimat*VLOOKUP($A474,Leveranser_per_nät,'Leveranser per nät'!E$1,FALSE)/VLOOKUP($B474,Korrigeringsfaktor_GD,'Korrigeringsfaktor GD'!E$1,FALSE),
"")</f>
        <v>0</v>
      </c>
      <c r="F474" s="18">
        <f>IFERROR(
                  Andel_oberoende_av_klimat*VLOOKUP($A474,Leveranser_per_nät,'Leveranser per nät'!F$1,FALSE)
               +Andel_beroende_av_klimat*VLOOKUP($A474,Leveranser_per_nät,'Leveranser per nät'!F$1,FALSE)/VLOOKUP($B474,Korrigeringsfaktor_GD,'Korrigeringsfaktor GD'!F$1,FALSE),
"")</f>
        <v>0</v>
      </c>
      <c r="G474" s="18">
        <f>IFERROR(
                  Andel_oberoende_av_klimat*VLOOKUP($A474,Leveranser_per_nät,'Leveranser per nät'!G$1,FALSE)
               +Andel_beroende_av_klimat*VLOOKUP($A474,Leveranser_per_nät,'Leveranser per nät'!G$1,FALSE)/VLOOKUP($B474,Korrigeringsfaktor_GD,'Korrigeringsfaktor GD'!G$1,FALSE),
"")</f>
        <v>0</v>
      </c>
      <c r="H474" s="18">
        <f>IFERROR(
                  Andel_oberoende_av_klimat*VLOOKUP($A474,Leveranser_per_nät,'Leveranser per nät'!H$1,FALSE)
               +Andel_beroende_av_klimat*VLOOKUP($A474,Leveranser_per_nät,'Leveranser per nät'!H$1,FALSE)/VLOOKUP($B474,Korrigeringsfaktor_GD,'Korrigeringsfaktor GD'!H$1,FALSE),
"")</f>
        <v>0</v>
      </c>
      <c r="I474" s="18">
        <f>IFERROR(
                  Andel_oberoende_av_klimat*VLOOKUP($A474,Leveranser_per_nät,'Leveranser per nät'!I$1,FALSE)
               +Andel_beroende_av_klimat*VLOOKUP($A474,Leveranser_per_nät,'Leveranser per nät'!I$1,FALSE)/VLOOKUP($B474,Korrigeringsfaktor_GD,'Korrigeringsfaktor GD'!I$1,FALSE),
"")</f>
        <v>0</v>
      </c>
      <c r="J474" s="18">
        <f>IFERROR(
                  Andel_oberoende_av_klimat*VLOOKUP($A474,Leveranser_per_nät,'Leveranser per nät'!J$1,FALSE)
               +Andel_beroende_av_klimat*VLOOKUP($A474,Leveranser_per_nät,'Leveranser per nät'!J$1,FALSE)/VLOOKUP($B474,Korrigeringsfaktor_GD,'Korrigeringsfaktor GD'!J$1,FALSE),
"")</f>
        <v>0</v>
      </c>
      <c r="K474" s="18">
        <f>IFERROR(
                  Andel_oberoende_av_klimat*VLOOKUP($A474,Leveranser_per_nät,'Leveranser per nät'!K$1,FALSE)
               +Andel_beroende_av_klimat*VLOOKUP($A474,Leveranser_per_nät,'Leveranser per nät'!K$1,FALSE)/VLOOKUP($B474,Korrigeringsfaktor_GD,'Korrigeringsfaktor GD'!K$1,FALSE),
"")</f>
        <v>0</v>
      </c>
      <c r="L474" s="18">
        <f>IFERROR(
                  Andel_oberoende_av_klimat*VLOOKUP($A474,Leveranser_per_nät,'Leveranser per nät'!L$1,FALSE)
               +Andel_beroende_av_klimat*VLOOKUP($A474,Leveranser_per_nät,'Leveranser per nät'!L$1,FALSE)/VLOOKUP($B474,Korrigeringsfaktor_GD,'Korrigeringsfaktor GD'!L$1,FALSE),
"")</f>
        <v>0</v>
      </c>
      <c r="M474" s="18">
        <f>IFERROR(
                  Andel_oberoende_av_klimat*VLOOKUP($A474,Leveranser_per_nät,'Leveranser per nät'!M$1,FALSE)
               +Andel_beroende_av_klimat*VLOOKUP($A474,Leveranser_per_nät,'Leveranser per nät'!M$1,FALSE)/VLOOKUP($B474,Korrigeringsfaktor_GD,'Korrigeringsfaktor GD'!M$1,FALSE),
"")</f>
        <v>0</v>
      </c>
      <c r="N474" s="18">
        <f>IFERROR(
                  Andel_oberoende_av_klimat*VLOOKUP($A474,Leveranser_per_nät,'Leveranser per nät'!N$1,FALSE)
               +Andel_beroende_av_klimat*VLOOKUP($A474,Leveranser_per_nät,'Leveranser per nät'!N$1,FALSE)/VLOOKUP($B474,Korrigeringsfaktor_GD,'Korrigeringsfaktor GD'!N$1,FALSE),
"")</f>
        <v>0</v>
      </c>
      <c r="O474" s="18">
        <f>IFERROR(
                  Andel_oberoende_av_klimat*VLOOKUP($A474,Leveranser_per_nät,'Leveranser per nät'!O$1,FALSE)
               +Andel_beroende_av_klimat*VLOOKUP($A474,Leveranser_per_nät,'Leveranser per nät'!O$1,FALSE)/VLOOKUP($B474,Korrigeringsfaktor_GD,'Korrigeringsfaktor GD'!O$1,FALSE),
"")</f>
        <v>0</v>
      </c>
      <c r="P474" s="18">
        <f>IFERROR(
                  Andel_oberoende_av_klimat*VLOOKUP($A474,Leveranser_per_nät,'Leveranser per nät'!P$1,FALSE)
               +Andel_beroende_av_klimat*VLOOKUP($A474,Leveranser_per_nät,'Leveranser per nät'!P$1,FALSE)/VLOOKUP($B474,Korrigeringsfaktor_GD,'Korrigeringsfaktor GD'!P$1,FALSE),
"")</f>
        <v>0</v>
      </c>
      <c r="Q474" s="18">
        <f>IFERROR(
                  Andel_oberoende_av_klimat*VLOOKUP($A474,Leveranser_per_nät,'Leveranser per nät'!Q$1,FALSE)
               +Andel_beroende_av_klimat*VLOOKUP($A474,Leveranser_per_nät,'Leveranser per nät'!Q$1,FALSE)/VLOOKUP($B474,Korrigeringsfaktor_GD,'Korrigeringsfaktor GD'!Q$1,FALSE),
"")</f>
        <v>7.3625526315789473</v>
      </c>
      <c r="R474" s="18">
        <f>IFERROR(
                  Andel_oberoende_av_klimat*VLOOKUP($A474,Leveranser_per_nät,'Leveranser per nät'!R$1,FALSE)
               +Andel_beroende_av_klimat*VLOOKUP($A474,Leveranser_per_nät,'Leveranser per nät'!R$1,FALSE)/VLOOKUP($B474,Korrigeringsfaktor_GD,'Korrigeringsfaktor GD'!R$1,FALSE),
"")</f>
        <v>8.1686956521739127</v>
      </c>
      <c r="S474" s="18">
        <f>IFERROR(
                  Andel_oberoende_av_klimat*VLOOKUP($A474,Leveranser_per_nät,'Leveranser per nät'!S$1,FALSE)
               +Andel_beroende_av_klimat*VLOOKUP($A474,Leveranser_per_nät,'Leveranser per nät'!S$1,FALSE)/VLOOKUP($B474,Korrigeringsfaktor_GD,'Korrigeringsfaktor GD'!S$1,FALSE),
"")</f>
        <v>7</v>
      </c>
      <c r="T474" s="18">
        <f>IFERROR(
                  Andel_oberoende_av_klimat*VLOOKUP($A474,Leveranser_per_nät,'Leveranser per nät'!T$1,FALSE)
               +Andel_beroende_av_klimat*VLOOKUP($A474,Leveranser_per_nät,'Leveranser per nät'!T$1,FALSE)/VLOOKUP($B474,Korrigeringsfaktor_GD,'Korrigeringsfaktor GD'!T$1,FALSE),
"")</f>
        <v>6.3540749999999999</v>
      </c>
      <c r="U474" s="18">
        <f>IFERROR(
                  Andel_oberoende_av_klimat*VLOOKUP($A474,Leveranser_per_nät,'Leveranser per nät'!U$1,FALSE)
               +Andel_beroende_av_klimat*VLOOKUP($A474,Leveranser_per_nät,'Leveranser per nät'!U$1,FALSE)/VLOOKUP($B474,Korrigeringsfaktor_GD,'Korrigeringsfaktor GD'!U$1,FALSE),
"")</f>
        <v>8.1063636363636355</v>
      </c>
      <c r="V474" s="18">
        <f>IFERROR(
                  Andel_oberoende_av_klimat*VLOOKUP($A474,Leveranser_per_nät,'Leveranser per nät'!V$1,FALSE)
               +Andel_beroende_av_klimat*VLOOKUP($A474,Leveranser_per_nät,'Leveranser per nät'!V$1,FALSE)/VLOOKUP($B474,Korrigeringsfaktor_GD,'Korrigeringsfaktor GD'!V$1,FALSE),
"")</f>
        <v>10.608695652173914</v>
      </c>
      <c r="W474" s="18">
        <f>IFERROR(
                  Andel_oberoende_av_klimat*VLOOKUP($A474,Leveranser_per_nät,'Leveranser per nät'!W$1,FALSE)
               +Andel_beroende_av_klimat*VLOOKUP($A474,Leveranser_per_nät,'Leveranser per nät'!W$1,FALSE)/VLOOKUP($B474,Korrigeringsfaktor_GD,'Korrigeringsfaktor GD'!W$1,FALSE),
"")</f>
        <v>10.237872340425534</v>
      </c>
      <c r="X474" s="18">
        <f>IFERROR(
                  Andel_oberoende_av_klimat*VLOOKUP($A474,Leveranser_per_nät,'Leveranser per nät'!X$1,FALSE)
               +Andel_beroende_av_klimat*VLOOKUP($A474,Leveranser_per_nät,'Leveranser per nät'!X$1,FALSE)/VLOOKUP($B474,Korrigeringsfaktor_GD,'Korrigeringsfaktor GD'!X$1,FALSE),
"")</f>
        <v>10.548571428571428</v>
      </c>
      <c r="Y474" s="18">
        <f>IFERROR(
                  Andel_oberoende_av_klimat*VLOOKUP($A474,Leveranser_per_nät,'Leveranser per nät'!Y$1,FALSE)
               +Andel_beroende_av_klimat*VLOOKUP($A474,Leveranser_per_nät,'Leveranser per nät'!Y$1,FALSE)/VLOOKUP($B474,Korrigeringsfaktor_GD,'Korrigeringsfaktor GD'!Y$1,FALSE),
"")</f>
        <v>9.7463157894736856</v>
      </c>
      <c r="Z474" s="18">
        <f>IFERROR(
                  Andel_oberoende_av_klimat*VLOOKUP($A474,Leveranser_per_nät,'Leveranser per nät'!Z$1,FALSE)
               +Andel_beroende_av_klimat*VLOOKUP($A474,Leveranser_per_nät,'Leveranser per nät'!Z$1,FALSE)/VLOOKUP($B474,Korrigeringsfaktor_GD,'Korrigeringsfaktor GD'!Z$1,FALSE),
"")</f>
        <v>9.7056701030927837</v>
      </c>
      <c r="AA474" s="18">
        <f>IFERROR(
                  Andel_oberoende_av_klimat*VLOOKUP($A474,Leveranser_per_nät,'Leveranser per nät'!AA$1,FALSE)
               +Andel_beroende_av_klimat*VLOOKUP($A474,Leveranser_per_nät,'Leveranser per nät'!AA$1,FALSE)/VLOOKUP($B474,Korrigeringsfaktor_GD,'Korrigeringsfaktor GD'!AA$1,FALSE),
"")</f>
        <v>9.820498817567568</v>
      </c>
      <c r="AB474" s="18">
        <f>IFERROR(
                  Andel_oberoende_av_klimat*VLOOKUP($A474,Leveranser_per_nät,'Leveranser per nät'!AB$1,FALSE)
               +Andel_beroende_av_klimat*VLOOKUP($A474,Leveranser_per_nät,'Leveranser per nät'!AB$1,FALSE)/VLOOKUP($B474,Korrigeringsfaktor_GD,'Korrigeringsfaktor GD'!AB$1,FALSE),
"")</f>
        <v>9.893076923076924</v>
      </c>
      <c r="AC474" s="18">
        <f>IFERROR(
                  Andel_oberoende_av_klimat*VLOOKUP($A474,Leveranser_per_nät,'Leveranser per nät'!AC$1,FALSE)
               +Andel_beroende_av_klimat*VLOOKUP($A474,Leveranser_per_nät,'Leveranser per nät'!AC$1,FALSE)/VLOOKUP($B474,Korrigeringsfaktor_GD,'Korrigeringsfaktor GD'!AC$1,FALSE),
"")</f>
        <v>9.8544169102296451</v>
      </c>
      <c r="AD474">
        <v>9.5609999999999999</v>
      </c>
    </row>
    <row r="475" spans="1:30" x14ac:dyDescent="0.25">
      <c r="A475" s="4" t="s">
        <v>737</v>
      </c>
      <c r="B475" t="s">
        <v>138</v>
      </c>
      <c r="C475" s="18">
        <f>IFERROR(
                  Andel_oberoende_av_klimat*VLOOKUP($A475,Leveranser_per_nät,'Leveranser per nät'!C$1,FALSE)
               +Andel_beroende_av_klimat*VLOOKUP($A475,Leveranser_per_nät,'Leveranser per nät'!C$1,FALSE)/VLOOKUP($B475,Korrigeringsfaktor_GD,'Korrigeringsfaktor GD'!C$1,FALSE),
"")</f>
        <v>0</v>
      </c>
      <c r="D475" s="18">
        <f>IFERROR(
                  Andel_oberoende_av_klimat*VLOOKUP($A475,Leveranser_per_nät,'Leveranser per nät'!D$1,FALSE)
               +Andel_beroende_av_klimat*VLOOKUP($A475,Leveranser_per_nät,'Leveranser per nät'!D$1,FALSE)/VLOOKUP($B475,Korrigeringsfaktor_GD,'Korrigeringsfaktor GD'!D$1,FALSE),
"")</f>
        <v>0</v>
      </c>
      <c r="E475" s="18">
        <f>IFERROR(
                  Andel_oberoende_av_klimat*VLOOKUP($A475,Leveranser_per_nät,'Leveranser per nät'!E$1,FALSE)
               +Andel_beroende_av_klimat*VLOOKUP($A475,Leveranser_per_nät,'Leveranser per nät'!E$1,FALSE)/VLOOKUP($B475,Korrigeringsfaktor_GD,'Korrigeringsfaktor GD'!E$1,FALSE),
"")</f>
        <v>0</v>
      </c>
      <c r="F475" s="18">
        <f>IFERROR(
                  Andel_oberoende_av_klimat*VLOOKUP($A475,Leveranser_per_nät,'Leveranser per nät'!F$1,FALSE)
               +Andel_beroende_av_klimat*VLOOKUP($A475,Leveranser_per_nät,'Leveranser per nät'!F$1,FALSE)/VLOOKUP($B475,Korrigeringsfaktor_GD,'Korrigeringsfaktor GD'!F$1,FALSE),
"")</f>
        <v>0</v>
      </c>
      <c r="G475" s="18">
        <f>IFERROR(
                  Andel_oberoende_av_klimat*VLOOKUP($A475,Leveranser_per_nät,'Leveranser per nät'!G$1,FALSE)
               +Andel_beroende_av_klimat*VLOOKUP($A475,Leveranser_per_nät,'Leveranser per nät'!G$1,FALSE)/VLOOKUP($B475,Korrigeringsfaktor_GD,'Korrigeringsfaktor GD'!G$1,FALSE),
"")</f>
        <v>0</v>
      </c>
      <c r="H475" s="18">
        <f>IFERROR(
                  Andel_oberoende_av_klimat*VLOOKUP($A475,Leveranser_per_nät,'Leveranser per nät'!H$1,FALSE)
               +Andel_beroende_av_klimat*VLOOKUP($A475,Leveranser_per_nät,'Leveranser per nät'!H$1,FALSE)/VLOOKUP($B475,Korrigeringsfaktor_GD,'Korrigeringsfaktor GD'!H$1,FALSE),
"")</f>
        <v>0</v>
      </c>
      <c r="I475" s="18">
        <f>IFERROR(
                  Andel_oberoende_av_klimat*VLOOKUP($A475,Leveranser_per_nät,'Leveranser per nät'!I$1,FALSE)
               +Andel_beroende_av_klimat*VLOOKUP($A475,Leveranser_per_nät,'Leveranser per nät'!I$1,FALSE)/VLOOKUP($B475,Korrigeringsfaktor_GD,'Korrigeringsfaktor GD'!I$1,FALSE),
"")</f>
        <v>0</v>
      </c>
      <c r="J475" s="18">
        <f>IFERROR(
                  Andel_oberoende_av_klimat*VLOOKUP($A475,Leveranser_per_nät,'Leveranser per nät'!J$1,FALSE)
               +Andel_beroende_av_klimat*VLOOKUP($A475,Leveranser_per_nät,'Leveranser per nät'!J$1,FALSE)/VLOOKUP($B475,Korrigeringsfaktor_GD,'Korrigeringsfaktor GD'!J$1,FALSE),
"")</f>
        <v>0</v>
      </c>
      <c r="K475" s="18">
        <f>IFERROR(
                  Andel_oberoende_av_klimat*VLOOKUP($A475,Leveranser_per_nät,'Leveranser per nät'!K$1,FALSE)
               +Andel_beroende_av_klimat*VLOOKUP($A475,Leveranser_per_nät,'Leveranser per nät'!K$1,FALSE)/VLOOKUP($B475,Korrigeringsfaktor_GD,'Korrigeringsfaktor GD'!K$1,FALSE),
"")</f>
        <v>0</v>
      </c>
      <c r="L475" s="18">
        <f>IFERROR(
                  Andel_oberoende_av_klimat*VLOOKUP($A475,Leveranser_per_nät,'Leveranser per nät'!L$1,FALSE)
               +Andel_beroende_av_klimat*VLOOKUP($A475,Leveranser_per_nät,'Leveranser per nät'!L$1,FALSE)/VLOOKUP($B475,Korrigeringsfaktor_GD,'Korrigeringsfaktor GD'!L$1,FALSE),
"")</f>
        <v>0</v>
      </c>
      <c r="M475" s="18">
        <f>IFERROR(
                  Andel_oberoende_av_klimat*VLOOKUP($A475,Leveranser_per_nät,'Leveranser per nät'!M$1,FALSE)
               +Andel_beroende_av_klimat*VLOOKUP($A475,Leveranser_per_nät,'Leveranser per nät'!M$1,FALSE)/VLOOKUP($B475,Korrigeringsfaktor_GD,'Korrigeringsfaktor GD'!M$1,FALSE),
"")</f>
        <v>0</v>
      </c>
      <c r="N475" s="18">
        <f>IFERROR(
                  Andel_oberoende_av_klimat*VLOOKUP($A475,Leveranser_per_nät,'Leveranser per nät'!N$1,FALSE)
               +Andel_beroende_av_klimat*VLOOKUP($A475,Leveranser_per_nät,'Leveranser per nät'!N$1,FALSE)/VLOOKUP($B475,Korrigeringsfaktor_GD,'Korrigeringsfaktor GD'!N$1,FALSE),
"")</f>
        <v>0</v>
      </c>
      <c r="O475" s="18">
        <f>IFERROR(
                  Andel_oberoende_av_klimat*VLOOKUP($A475,Leveranser_per_nät,'Leveranser per nät'!O$1,FALSE)
               +Andel_beroende_av_klimat*VLOOKUP($A475,Leveranser_per_nät,'Leveranser per nät'!O$1,FALSE)/VLOOKUP($B475,Korrigeringsfaktor_GD,'Korrigeringsfaktor GD'!O$1,FALSE),
"")</f>
        <v>0</v>
      </c>
      <c r="P475" s="18">
        <f>IFERROR(
                  Andel_oberoende_av_klimat*VLOOKUP($A475,Leveranser_per_nät,'Leveranser per nät'!P$1,FALSE)
               +Andel_beroende_av_klimat*VLOOKUP($A475,Leveranser_per_nät,'Leveranser per nät'!P$1,FALSE)/VLOOKUP($B475,Korrigeringsfaktor_GD,'Korrigeringsfaktor GD'!P$1,FALSE),
"")</f>
        <v>0</v>
      </c>
      <c r="Q475" s="18">
        <f>IFERROR(
                  Andel_oberoende_av_klimat*VLOOKUP($A475,Leveranser_per_nät,'Leveranser per nät'!Q$1,FALSE)
               +Andel_beroende_av_klimat*VLOOKUP($A475,Leveranser_per_nät,'Leveranser per nät'!Q$1,FALSE)/VLOOKUP($B475,Korrigeringsfaktor_GD,'Korrigeringsfaktor GD'!Q$1,FALSE),
"")</f>
        <v>0</v>
      </c>
      <c r="R475" s="18">
        <f>IFERROR(
                  Andel_oberoende_av_klimat*VLOOKUP($A475,Leveranser_per_nät,'Leveranser per nät'!R$1,FALSE)
               +Andel_beroende_av_klimat*VLOOKUP($A475,Leveranser_per_nät,'Leveranser per nät'!R$1,FALSE)/VLOOKUP($B475,Korrigeringsfaktor_GD,'Korrigeringsfaktor GD'!R$1,FALSE),
"")</f>
        <v>0</v>
      </c>
      <c r="S475" s="18">
        <f>IFERROR(
                  Andel_oberoende_av_klimat*VLOOKUP($A475,Leveranser_per_nät,'Leveranser per nät'!S$1,FALSE)
               +Andel_beroende_av_klimat*VLOOKUP($A475,Leveranser_per_nät,'Leveranser per nät'!S$1,FALSE)/VLOOKUP($B475,Korrigeringsfaktor_GD,'Korrigeringsfaktor GD'!S$1,FALSE),
"")</f>
        <v>3</v>
      </c>
      <c r="T475" s="18">
        <f>IFERROR(
                  Andel_oberoende_av_klimat*VLOOKUP($A475,Leveranser_per_nät,'Leveranser per nät'!T$1,FALSE)
               +Andel_beroende_av_klimat*VLOOKUP($A475,Leveranser_per_nät,'Leveranser per nät'!T$1,FALSE)/VLOOKUP($B475,Korrigeringsfaktor_GD,'Korrigeringsfaktor GD'!T$1,FALSE),
"")</f>
        <v>2.9845833333333331</v>
      </c>
      <c r="U475" s="18">
        <f>IFERROR(
                  Andel_oberoende_av_klimat*VLOOKUP($A475,Leveranser_per_nät,'Leveranser per nät'!U$1,FALSE)
               +Andel_beroende_av_klimat*VLOOKUP($A475,Leveranser_per_nät,'Leveranser per nät'!U$1,FALSE)/VLOOKUP($B475,Korrigeringsfaktor_GD,'Korrigeringsfaktor GD'!U$1,FALSE),
"")</f>
        <v>2.942333333333333</v>
      </c>
      <c r="V475" s="18">
        <f>IFERROR(
                  Andel_oberoende_av_klimat*VLOOKUP($A475,Leveranser_per_nät,'Leveranser per nät'!V$1,FALSE)
               +Andel_beroende_av_klimat*VLOOKUP($A475,Leveranser_per_nät,'Leveranser per nät'!V$1,FALSE)/VLOOKUP($B475,Korrigeringsfaktor_GD,'Korrigeringsfaktor GD'!V$1,FALSE),
"")</f>
        <v>3.0555000000000003</v>
      </c>
      <c r="W475" s="18">
        <f>IFERROR(
                  Andel_oberoende_av_klimat*VLOOKUP($A475,Leveranser_per_nät,'Leveranser per nät'!W$1,FALSE)
               +Andel_beroende_av_klimat*VLOOKUP($A475,Leveranser_per_nät,'Leveranser per nät'!W$1,FALSE)/VLOOKUP($B475,Korrigeringsfaktor_GD,'Korrigeringsfaktor GD'!W$1,FALSE),
"")</f>
        <v>3.1903631578947369</v>
      </c>
      <c r="X475" s="18">
        <f>IFERROR(
                  Andel_oberoende_av_klimat*VLOOKUP($A475,Leveranser_per_nät,'Leveranser per nät'!X$1,FALSE)
               +Andel_beroende_av_klimat*VLOOKUP($A475,Leveranser_per_nät,'Leveranser per nät'!X$1,FALSE)/VLOOKUP($B475,Korrigeringsfaktor_GD,'Korrigeringsfaktor GD'!X$1,FALSE),
"")</f>
        <v>3.3178947368421055</v>
      </c>
      <c r="Y475" s="18">
        <f>IFERROR(
                  Andel_oberoende_av_klimat*VLOOKUP($A475,Leveranser_per_nät,'Leveranser per nät'!Y$1,FALSE)
               +Andel_beroende_av_klimat*VLOOKUP($A475,Leveranser_per_nät,'Leveranser per nät'!Y$1,FALSE)/VLOOKUP($B475,Korrigeringsfaktor_GD,'Korrigeringsfaktor GD'!Y$1,FALSE),
"")</f>
        <v>3.1340425531914891</v>
      </c>
      <c r="Z475" s="18">
        <f>IFERROR(
                  Andel_oberoende_av_klimat*VLOOKUP($A475,Leveranser_per_nät,'Leveranser per nät'!Z$1,FALSE)
               +Andel_beroende_av_klimat*VLOOKUP($A475,Leveranser_per_nät,'Leveranser per nät'!Z$1,FALSE)/VLOOKUP($B475,Korrigeringsfaktor_GD,'Korrigeringsfaktor GD'!Z$1,FALSE),
"")</f>
        <v>3.0672727272727274</v>
      </c>
      <c r="AA475" s="18">
        <f>IFERROR(
                  Andel_oberoende_av_klimat*VLOOKUP($A475,Leveranser_per_nät,'Leveranser per nät'!AA$1,FALSE)
               +Andel_beroende_av_klimat*VLOOKUP($A475,Leveranser_per_nät,'Leveranser per nät'!AA$1,FALSE)/VLOOKUP($B475,Korrigeringsfaktor_GD,'Korrigeringsfaktor GD'!AA$1,FALSE),
"")</f>
        <v>3.1639599079855407</v>
      </c>
      <c r="AB475" s="18">
        <f>IFERROR(
                  Andel_oberoende_av_klimat*VLOOKUP($A475,Leveranser_per_nät,'Leveranser per nät'!AB$1,FALSE)
               +Andel_beroende_av_klimat*VLOOKUP($A475,Leveranser_per_nät,'Leveranser per nät'!AB$1,FALSE)/VLOOKUP($B475,Korrigeringsfaktor_GD,'Korrigeringsfaktor GD'!AB$1,FALSE),
"")</f>
        <v>0</v>
      </c>
      <c r="AC475" s="18">
        <f>IFERROR(
                  Andel_oberoende_av_klimat*VLOOKUP($A475,Leveranser_per_nät,'Leveranser per nät'!AC$1,FALSE)
               +Andel_beroende_av_klimat*VLOOKUP($A475,Leveranser_per_nät,'Leveranser per nät'!AC$1,FALSE)/VLOOKUP($B475,Korrigeringsfaktor_GD,'Korrigeringsfaktor GD'!AC$1,FALSE),
"")</f>
        <v>0</v>
      </c>
      <c r="AD475">
        <v>662.10699999999997</v>
      </c>
    </row>
    <row r="476" spans="1:30" x14ac:dyDescent="0.25">
      <c r="A476" t="s">
        <v>371</v>
      </c>
      <c r="B476" t="s">
        <v>371</v>
      </c>
      <c r="C476" s="18">
        <f>IFERROR(
                  Andel_oberoende_av_klimat*VLOOKUP($A476,Leveranser_per_nät,'Leveranser per nät'!C$1,FALSE)
               +Andel_beroende_av_klimat*VLOOKUP($A476,Leveranser_per_nät,'Leveranser per nät'!C$1,FALSE)/VLOOKUP($B476,Korrigeringsfaktor_GD,'Korrigeringsfaktor GD'!C$1,FALSE),
"")</f>
        <v>31.347572815533979</v>
      </c>
      <c r="D476" s="18">
        <f>IFERROR(
                  Andel_oberoende_av_klimat*VLOOKUP($A476,Leveranser_per_nät,'Leveranser per nät'!D$1,FALSE)
               +Andel_beroende_av_klimat*VLOOKUP($A476,Leveranser_per_nät,'Leveranser per nät'!D$1,FALSE)/VLOOKUP($B476,Korrigeringsfaktor_GD,'Korrigeringsfaktor GD'!D$1,FALSE),
"")</f>
        <v>31.814164948453609</v>
      </c>
      <c r="E476" s="18">
        <f>IFERROR(
                  Andel_oberoende_av_klimat*VLOOKUP($A476,Leveranser_per_nät,'Leveranser per nät'!E$1,FALSE)
               +Andel_beroende_av_klimat*VLOOKUP($A476,Leveranser_per_nät,'Leveranser per nät'!E$1,FALSE)/VLOOKUP($B476,Korrigeringsfaktor_GD,'Korrigeringsfaktor GD'!E$1,FALSE),
"")</f>
        <v>29.966666666666665</v>
      </c>
      <c r="F476" s="18">
        <f>IFERROR(
                  Andel_oberoende_av_klimat*VLOOKUP($A476,Leveranser_per_nät,'Leveranser per nät'!F$1,FALSE)
               +Andel_beroende_av_klimat*VLOOKUP($A476,Leveranser_per_nät,'Leveranser per nät'!F$1,FALSE)/VLOOKUP($B476,Korrigeringsfaktor_GD,'Korrigeringsfaktor GD'!F$1,FALSE),
"")</f>
        <v>35</v>
      </c>
      <c r="G476" s="18">
        <f>IFERROR(
                  Andel_oberoende_av_klimat*VLOOKUP($A476,Leveranser_per_nät,'Leveranser per nät'!G$1,FALSE)
               +Andel_beroende_av_klimat*VLOOKUP($A476,Leveranser_per_nät,'Leveranser per nät'!G$1,FALSE)/VLOOKUP($B476,Korrigeringsfaktor_GD,'Korrigeringsfaktor GD'!G$1,FALSE),
"")</f>
        <v>35.284615384615378</v>
      </c>
      <c r="H476" s="18">
        <f>IFERROR(
                  Andel_oberoende_av_klimat*VLOOKUP($A476,Leveranser_per_nät,'Leveranser per nät'!H$1,FALSE)
               +Andel_beroende_av_klimat*VLOOKUP($A476,Leveranser_per_nät,'Leveranser per nät'!H$1,FALSE)/VLOOKUP($B476,Korrigeringsfaktor_GD,'Korrigeringsfaktor GD'!H$1,FALSE),
"")</f>
        <v>38.957843137254898</v>
      </c>
      <c r="I476" s="18">
        <f>IFERROR(
                  Andel_oberoende_av_klimat*VLOOKUP($A476,Leveranser_per_nät,'Leveranser per nät'!I$1,FALSE)
               +Andel_beroende_av_klimat*VLOOKUP($A476,Leveranser_per_nät,'Leveranser per nät'!I$1,FALSE)/VLOOKUP($B476,Korrigeringsfaktor_GD,'Korrigeringsfaktor GD'!I$1,FALSE),
"")</f>
        <v>38.759130303030304</v>
      </c>
      <c r="J476" s="18">
        <f>IFERROR(
                  Andel_oberoende_av_klimat*VLOOKUP($A476,Leveranser_per_nät,'Leveranser per nät'!J$1,FALSE)
               +Andel_beroende_av_klimat*VLOOKUP($A476,Leveranser_per_nät,'Leveranser per nät'!J$1,FALSE)/VLOOKUP($B476,Korrigeringsfaktor_GD,'Korrigeringsfaktor GD'!J$1,FALSE),
"")</f>
        <v>39.690841666666671</v>
      </c>
      <c r="K476" s="18">
        <f>IFERROR(
                  Andel_oberoende_av_klimat*VLOOKUP($A476,Leveranser_per_nät,'Leveranser per nät'!K$1,FALSE)
               +Andel_beroende_av_klimat*VLOOKUP($A476,Leveranser_per_nät,'Leveranser per nät'!K$1,FALSE)/VLOOKUP($B476,Korrigeringsfaktor_GD,'Korrigeringsfaktor GD'!K$1,FALSE),
"")</f>
        <v>40.470399999999998</v>
      </c>
      <c r="L476" s="18">
        <f>IFERROR(
                  Andel_oberoende_av_klimat*VLOOKUP($A476,Leveranser_per_nät,'Leveranser per nät'!L$1,FALSE)
               +Andel_beroende_av_klimat*VLOOKUP($A476,Leveranser_per_nät,'Leveranser per nät'!L$1,FALSE)/VLOOKUP($B476,Korrigeringsfaktor_GD,'Korrigeringsfaktor GD'!L$1,FALSE),
"")</f>
        <v>42.602711397849461</v>
      </c>
      <c r="M476" s="18">
        <f>IFERROR(
                  Andel_oberoende_av_klimat*VLOOKUP($A476,Leveranser_per_nät,'Leveranser per nät'!M$1,FALSE)
               +Andel_beroende_av_klimat*VLOOKUP($A476,Leveranser_per_nät,'Leveranser per nät'!M$1,FALSE)/VLOOKUP($B476,Korrigeringsfaktor_GD,'Korrigeringsfaktor GD'!M$1,FALSE),
"")</f>
        <v>42.278651914893615</v>
      </c>
      <c r="N476" s="18">
        <f>IFERROR(
                  Andel_oberoende_av_klimat*VLOOKUP($A476,Leveranser_per_nät,'Leveranser per nät'!N$1,FALSE)
               +Andel_beroende_av_klimat*VLOOKUP($A476,Leveranser_per_nät,'Leveranser per nät'!N$1,FALSE)/VLOOKUP($B476,Korrigeringsfaktor_GD,'Korrigeringsfaktor GD'!N$1,FALSE),
"")</f>
        <v>45.31</v>
      </c>
      <c r="O476" s="18">
        <f>IFERROR(
                  Andel_oberoende_av_klimat*VLOOKUP($A476,Leveranser_per_nät,'Leveranser per nät'!O$1,FALSE)
               +Andel_beroende_av_klimat*VLOOKUP($A476,Leveranser_per_nät,'Leveranser per nät'!O$1,FALSE)/VLOOKUP($B476,Korrigeringsfaktor_GD,'Korrigeringsfaktor GD'!O$1,FALSE),
"")</f>
        <v>74.134210526315798</v>
      </c>
      <c r="P476" s="18">
        <f>IFERROR(
                  Andel_oberoende_av_klimat*VLOOKUP($A476,Leveranser_per_nät,'Leveranser per nät'!P$1,FALSE)
               +Andel_beroende_av_klimat*VLOOKUP($A476,Leveranser_per_nät,'Leveranser per nät'!P$1,FALSE)/VLOOKUP($B476,Korrigeringsfaktor_GD,'Korrigeringsfaktor GD'!P$1,FALSE),
"")</f>
        <v>71.811428571428564</v>
      </c>
      <c r="Q476" s="18">
        <f>IFERROR(
                  Andel_oberoende_av_klimat*VLOOKUP($A476,Leveranser_per_nät,'Leveranser per nät'!Q$1,FALSE)
               +Andel_beroende_av_klimat*VLOOKUP($A476,Leveranser_per_nät,'Leveranser per nät'!Q$1,FALSE)/VLOOKUP($B476,Korrigeringsfaktor_GD,'Korrigeringsfaktor GD'!Q$1,FALSE),
"")</f>
        <v>75.00272727272727</v>
      </c>
      <c r="R476" s="18">
        <f>IFERROR(
                  Andel_oberoende_av_klimat*VLOOKUP($A476,Leveranser_per_nät,'Leveranser per nät'!R$1,FALSE)
               +Andel_beroende_av_klimat*VLOOKUP($A476,Leveranser_per_nät,'Leveranser per nät'!R$1,FALSE)/VLOOKUP($B476,Korrigeringsfaktor_GD,'Korrigeringsfaktor GD'!R$1,FALSE),
"")</f>
        <v>82.072777777777787</v>
      </c>
      <c r="S476" s="18">
        <f>IFERROR(
                  Andel_oberoende_av_klimat*VLOOKUP($A476,Leveranser_per_nät,'Leveranser per nät'!S$1,FALSE)
               +Andel_beroende_av_klimat*VLOOKUP($A476,Leveranser_per_nät,'Leveranser per nät'!S$1,FALSE)/VLOOKUP($B476,Korrigeringsfaktor_GD,'Korrigeringsfaktor GD'!S$1,FALSE),
"")</f>
        <v>71.699603960396047</v>
      </c>
      <c r="T476" s="18">
        <f>IFERROR(
                  Andel_oberoende_av_klimat*VLOOKUP($A476,Leveranser_per_nät,'Leveranser per nät'!T$1,FALSE)
               +Andel_beroende_av_klimat*VLOOKUP($A476,Leveranser_per_nät,'Leveranser per nät'!T$1,FALSE)/VLOOKUP($B476,Korrigeringsfaktor_GD,'Korrigeringsfaktor GD'!T$1,FALSE),
"")</f>
        <v>70.401578947368421</v>
      </c>
      <c r="U476" s="18">
        <f>IFERROR(
                  Andel_oberoende_av_klimat*VLOOKUP($A476,Leveranser_per_nät,'Leveranser per nät'!U$1,FALSE)
               +Andel_beroende_av_klimat*VLOOKUP($A476,Leveranser_per_nät,'Leveranser per nät'!U$1,FALSE)/VLOOKUP($B476,Korrigeringsfaktor_GD,'Korrigeringsfaktor GD'!U$1,FALSE),
"")</f>
        <v>68.537692307692296</v>
      </c>
      <c r="V476" s="18">
        <f>IFERROR(
                  Andel_oberoende_av_klimat*VLOOKUP($A476,Leveranser_per_nät,'Leveranser per nät'!V$1,FALSE)
               +Andel_beroende_av_klimat*VLOOKUP($A476,Leveranser_per_nät,'Leveranser per nät'!V$1,FALSE)/VLOOKUP($B476,Korrigeringsfaktor_GD,'Korrigeringsfaktor GD'!V$1,FALSE),
"")</f>
        <v>66.38454545454546</v>
      </c>
      <c r="W476" s="18">
        <f>IFERROR(
                  Andel_oberoende_av_klimat*VLOOKUP($A476,Leveranser_per_nät,'Leveranser per nät'!W$1,FALSE)
               +Andel_beroende_av_klimat*VLOOKUP($A476,Leveranser_per_nät,'Leveranser per nät'!W$1,FALSE)/VLOOKUP($B476,Korrigeringsfaktor_GD,'Korrigeringsfaktor GD'!W$1,FALSE),
"")</f>
        <v>67.083684210526314</v>
      </c>
      <c r="X476" s="18">
        <f>IFERROR(
                  Andel_oberoende_av_klimat*VLOOKUP($A476,Leveranser_per_nät,'Leveranser per nät'!X$1,FALSE)
               +Andel_beroende_av_klimat*VLOOKUP($A476,Leveranser_per_nät,'Leveranser per nät'!X$1,FALSE)/VLOOKUP($B476,Korrigeringsfaktor_GD,'Korrigeringsfaktor GD'!X$1,FALSE),
"")</f>
        <v>67.513333333333321</v>
      </c>
      <c r="Y476" s="18">
        <f>IFERROR(
                  Andel_oberoende_av_klimat*VLOOKUP($A476,Leveranser_per_nät,'Leveranser per nät'!Y$1,FALSE)
               +Andel_beroende_av_klimat*VLOOKUP($A476,Leveranser_per_nät,'Leveranser per nät'!Y$1,FALSE)/VLOOKUP($B476,Korrigeringsfaktor_GD,'Korrigeringsfaktor GD'!Y$1,FALSE),
"")</f>
        <v>69.574329896907216</v>
      </c>
      <c r="Z476" s="18">
        <f>IFERROR(
                  Andel_oberoende_av_klimat*VLOOKUP($A476,Leveranser_per_nät,'Leveranser per nät'!Z$1,FALSE)
               +Andel_beroende_av_klimat*VLOOKUP($A476,Leveranser_per_nät,'Leveranser per nät'!Z$1,FALSE)/VLOOKUP($B476,Korrigeringsfaktor_GD,'Korrigeringsfaktor GD'!Z$1,FALSE),
"")</f>
        <v>75.404269662921351</v>
      </c>
      <c r="AA476" s="18">
        <f>IFERROR(
                  Andel_oberoende_av_klimat*VLOOKUP($A476,Leveranser_per_nät,'Leveranser per nät'!AA$1,FALSE)
               +Andel_beroende_av_klimat*VLOOKUP($A476,Leveranser_per_nät,'Leveranser per nät'!AA$1,FALSE)/VLOOKUP($B476,Korrigeringsfaktor_GD,'Korrigeringsfaktor GD'!AA$1,FALSE),
"")</f>
        <v>71.153268563497562</v>
      </c>
      <c r="AB476" s="18">
        <f>IFERROR(
                  Andel_oberoende_av_klimat*VLOOKUP($A476,Leveranser_per_nät,'Leveranser per nät'!AB$1,FALSE)
               +Andel_beroende_av_klimat*VLOOKUP($A476,Leveranser_per_nät,'Leveranser per nät'!AB$1,FALSE)/VLOOKUP($B476,Korrigeringsfaktor_GD,'Korrigeringsfaktor GD'!AB$1,FALSE),
"")</f>
        <v>68.247787787787786</v>
      </c>
      <c r="AC476" s="18">
        <f>IFERROR(
                  Andel_oberoende_av_klimat*VLOOKUP($A476,Leveranser_per_nät,'Leveranser per nät'!AC$1,FALSE)
               +Andel_beroende_av_klimat*VLOOKUP($A476,Leveranser_per_nät,'Leveranser per nät'!AC$1,FALSE)/VLOOKUP($B476,Korrigeringsfaktor_GD,'Korrigeringsfaktor GD'!AC$1,FALSE),
"")</f>
        <v>66.767799999999994</v>
      </c>
      <c r="AD476" t="e">
        <v>#N/A</v>
      </c>
    </row>
    <row r="477" spans="1:30" x14ac:dyDescent="0.25">
      <c r="A477" t="s">
        <v>372</v>
      </c>
      <c r="B477" t="s">
        <v>372</v>
      </c>
      <c r="C477" s="18">
        <f>IFERROR(
                  Andel_oberoende_av_klimat*VLOOKUP($A477,Leveranser_per_nät,'Leveranser per nät'!C$1,FALSE)
               +Andel_beroende_av_klimat*VLOOKUP($A477,Leveranser_per_nät,'Leveranser per nät'!C$1,FALSE)/VLOOKUP($B477,Korrigeringsfaktor_GD,'Korrigeringsfaktor GD'!C$1,FALSE),
"")</f>
        <v>154.47192982456141</v>
      </c>
      <c r="D477" s="18">
        <f>IFERROR(
                  Andel_oberoende_av_klimat*VLOOKUP($A477,Leveranser_per_nät,'Leveranser per nät'!D$1,FALSE)
               +Andel_beroende_av_klimat*VLOOKUP($A477,Leveranser_per_nät,'Leveranser per nät'!D$1,FALSE)/VLOOKUP($B477,Korrigeringsfaktor_GD,'Korrigeringsfaktor GD'!D$1,FALSE),
"")</f>
        <v>153.23085436893203</v>
      </c>
      <c r="E477" s="18">
        <f>IFERROR(
                  Andel_oberoende_av_klimat*VLOOKUP($A477,Leveranser_per_nät,'Leveranser per nät'!E$1,FALSE)
               +Andel_beroende_av_klimat*VLOOKUP($A477,Leveranser_per_nät,'Leveranser per nät'!E$1,FALSE)/VLOOKUP($B477,Korrigeringsfaktor_GD,'Korrigeringsfaktor GD'!E$1,FALSE),
"")</f>
        <v>167.82871287128714</v>
      </c>
      <c r="F477" s="18">
        <f>IFERROR(
                  Andel_oberoende_av_klimat*VLOOKUP($A477,Leveranser_per_nät,'Leveranser per nät'!F$1,FALSE)
               +Andel_beroende_av_klimat*VLOOKUP($A477,Leveranser_per_nät,'Leveranser per nät'!F$1,FALSE)/VLOOKUP($B477,Korrigeringsfaktor_GD,'Korrigeringsfaktor GD'!F$1,FALSE),
"")</f>
        <v>175.50638297872342</v>
      </c>
      <c r="G477" s="18">
        <f>IFERROR(
                  Andel_oberoende_av_klimat*VLOOKUP($A477,Leveranser_per_nät,'Leveranser per nät'!G$1,FALSE)
               +Andel_beroende_av_klimat*VLOOKUP($A477,Leveranser_per_nät,'Leveranser per nät'!G$1,FALSE)/VLOOKUP($B477,Korrigeringsfaktor_GD,'Korrigeringsfaktor GD'!G$1,FALSE),
"")</f>
        <v>180.74999999999997</v>
      </c>
      <c r="H477" s="18">
        <f>IFERROR(
                  Andel_oberoende_av_klimat*VLOOKUP($A477,Leveranser_per_nät,'Leveranser per nät'!H$1,FALSE)
               +Andel_beroende_av_klimat*VLOOKUP($A477,Leveranser_per_nät,'Leveranser per nät'!H$1,FALSE)/VLOOKUP($B477,Korrigeringsfaktor_GD,'Korrigeringsfaktor GD'!H$1,FALSE),
"")</f>
        <v>185</v>
      </c>
      <c r="I477" s="18">
        <f>IFERROR(
                  Andel_oberoende_av_klimat*VLOOKUP($A477,Leveranser_per_nät,'Leveranser per nät'!I$1,FALSE)
               +Andel_beroende_av_klimat*VLOOKUP($A477,Leveranser_per_nät,'Leveranser per nät'!I$1,FALSE)/VLOOKUP($B477,Korrigeringsfaktor_GD,'Korrigeringsfaktor GD'!I$1,FALSE),
"")</f>
        <v>183.52105263157893</v>
      </c>
      <c r="J477" s="18">
        <f>IFERROR(
                  Andel_oberoende_av_klimat*VLOOKUP($A477,Leveranser_per_nät,'Leveranser per nät'!J$1,FALSE)
               +Andel_beroende_av_klimat*VLOOKUP($A477,Leveranser_per_nät,'Leveranser per nät'!J$1,FALSE)/VLOOKUP($B477,Korrigeringsfaktor_GD,'Korrigeringsfaktor GD'!J$1,FALSE),
"")</f>
        <v>194.36464646464646</v>
      </c>
      <c r="K477" s="18">
        <f>IFERROR(
                  Andel_oberoende_av_klimat*VLOOKUP($A477,Leveranser_per_nät,'Leveranser per nät'!K$1,FALSE)
               +Andel_beroende_av_klimat*VLOOKUP($A477,Leveranser_per_nät,'Leveranser per nät'!K$1,FALSE)/VLOOKUP($B477,Korrigeringsfaktor_GD,'Korrigeringsfaktor GD'!K$1,FALSE),
"")</f>
        <v>193.14508383838384</v>
      </c>
      <c r="L477" s="18">
        <f>IFERROR(
                  Andel_oberoende_av_klimat*VLOOKUP($A477,Leveranser_per_nät,'Leveranser per nät'!L$1,FALSE)
               +Andel_beroende_av_klimat*VLOOKUP($A477,Leveranser_per_nät,'Leveranser per nät'!L$1,FALSE)/VLOOKUP($B477,Korrigeringsfaktor_GD,'Korrigeringsfaktor GD'!L$1,FALSE),
"")</f>
        <v>195.94113298969071</v>
      </c>
      <c r="M477" s="18">
        <f>IFERROR(
                  Andel_oberoende_av_klimat*VLOOKUP($A477,Leveranser_per_nät,'Leveranser per nät'!M$1,FALSE)
               +Andel_beroende_av_klimat*VLOOKUP($A477,Leveranser_per_nät,'Leveranser per nät'!M$1,FALSE)/VLOOKUP($B477,Korrigeringsfaktor_GD,'Korrigeringsfaktor GD'!M$1,FALSE),
"")</f>
        <v>202.11612903225802</v>
      </c>
      <c r="N477" s="18">
        <f>IFERROR(
                  Andel_oberoende_av_klimat*VLOOKUP($A477,Leveranser_per_nät,'Leveranser per nät'!N$1,FALSE)
               +Andel_beroende_av_klimat*VLOOKUP($A477,Leveranser_per_nät,'Leveranser per nät'!N$1,FALSE)/VLOOKUP($B477,Korrigeringsfaktor_GD,'Korrigeringsfaktor GD'!N$1,FALSE),
"")</f>
        <v>210.32727272727271</v>
      </c>
      <c r="O477" s="18">
        <f>IFERROR(
                  Andel_oberoende_av_klimat*VLOOKUP($A477,Leveranser_per_nät,'Leveranser per nät'!O$1,FALSE)
               +Andel_beroende_av_klimat*VLOOKUP($A477,Leveranser_per_nät,'Leveranser per nät'!O$1,FALSE)/VLOOKUP($B477,Korrigeringsfaktor_GD,'Korrigeringsfaktor GD'!O$1,FALSE),
"")</f>
        <v>206.84033793103447</v>
      </c>
      <c r="P477" s="18">
        <f>IFERROR(
                  Andel_oberoende_av_klimat*VLOOKUP($A477,Leveranser_per_nät,'Leveranser per nät'!P$1,FALSE)
               +Andel_beroende_av_klimat*VLOOKUP($A477,Leveranser_per_nät,'Leveranser per nät'!P$1,FALSE)/VLOOKUP($B477,Korrigeringsfaktor_GD,'Korrigeringsfaktor GD'!P$1,FALSE),
"")</f>
        <v>197.00308333333334</v>
      </c>
      <c r="Q477" s="18">
        <f>IFERROR(
                  Andel_oberoende_av_klimat*VLOOKUP($A477,Leveranser_per_nät,'Leveranser per nät'!Q$1,FALSE)
               +Andel_beroende_av_klimat*VLOOKUP($A477,Leveranser_per_nät,'Leveranser per nät'!Q$1,FALSE)/VLOOKUP($B477,Korrigeringsfaktor_GD,'Korrigeringsfaktor GD'!Q$1,FALSE),
"")</f>
        <v>195.25603760683762</v>
      </c>
      <c r="R477" s="18">
        <f>IFERROR(
                  Andel_oberoende_av_klimat*VLOOKUP($A477,Leveranser_per_nät,'Leveranser per nät'!R$1,FALSE)
               +Andel_beroende_av_klimat*VLOOKUP($A477,Leveranser_per_nät,'Leveranser per nät'!R$1,FALSE)/VLOOKUP($B477,Korrigeringsfaktor_GD,'Korrigeringsfaktor GD'!R$1,FALSE),
"")</f>
        <v>188.19959139784945</v>
      </c>
      <c r="S477" s="18">
        <f>IFERROR(
                  Andel_oberoende_av_klimat*VLOOKUP($A477,Leveranser_per_nät,'Leveranser per nät'!S$1,FALSE)
               +Andel_beroende_av_klimat*VLOOKUP($A477,Leveranser_per_nät,'Leveranser per nät'!S$1,FALSE)/VLOOKUP($B477,Korrigeringsfaktor_GD,'Korrigeringsfaktor GD'!S$1,FALSE),
"")</f>
        <v>191.33725490196079</v>
      </c>
      <c r="T477" s="18">
        <f>IFERROR(
                  Andel_oberoende_av_klimat*VLOOKUP($A477,Leveranser_per_nät,'Leveranser per nät'!T$1,FALSE)
               +Andel_beroende_av_klimat*VLOOKUP($A477,Leveranser_per_nät,'Leveranser per nät'!T$1,FALSE)/VLOOKUP($B477,Korrigeringsfaktor_GD,'Korrigeringsfaktor GD'!T$1,FALSE),
"")</f>
        <v>185.4</v>
      </c>
      <c r="U477" s="18">
        <f>IFERROR(
                  Andel_oberoende_av_klimat*VLOOKUP($A477,Leveranser_per_nät,'Leveranser per nät'!U$1,FALSE)
               +Andel_beroende_av_klimat*VLOOKUP($A477,Leveranser_per_nät,'Leveranser per nät'!U$1,FALSE)/VLOOKUP($B477,Korrigeringsfaktor_GD,'Korrigeringsfaktor GD'!U$1,FALSE),
"")</f>
        <v>179.86340000000001</v>
      </c>
      <c r="V477" s="18">
        <f>IFERROR(
                  Andel_oberoende_av_klimat*VLOOKUP($A477,Leveranser_per_nät,'Leveranser per nät'!V$1,FALSE)
               +Andel_beroende_av_klimat*VLOOKUP($A477,Leveranser_per_nät,'Leveranser per nät'!V$1,FALSE)/VLOOKUP($B477,Korrigeringsfaktor_GD,'Korrigeringsfaktor GD'!V$1,FALSE),
"")</f>
        <v>179.90663076923079</v>
      </c>
      <c r="W477" s="18">
        <f>IFERROR(
                  Andel_oberoende_av_klimat*VLOOKUP($A477,Leveranser_per_nät,'Leveranser per nät'!W$1,FALSE)
               +Andel_beroende_av_klimat*VLOOKUP($A477,Leveranser_per_nät,'Leveranser per nät'!W$1,FALSE)/VLOOKUP($B477,Korrigeringsfaktor_GD,'Korrigeringsfaktor GD'!W$1,FALSE),
"")</f>
        <v>183.9693425531915</v>
      </c>
      <c r="X477" s="18">
        <f>IFERROR(
                  Andel_oberoende_av_klimat*VLOOKUP($A477,Leveranser_per_nät,'Leveranser per nät'!X$1,FALSE)
               +Andel_beroende_av_klimat*VLOOKUP($A477,Leveranser_per_nät,'Leveranser per nät'!X$1,FALSE)/VLOOKUP($B477,Korrigeringsfaktor_GD,'Korrigeringsfaktor GD'!X$1,FALSE),
"")</f>
        <v>184.76225531914898</v>
      </c>
      <c r="Y477" s="18">
        <f>IFERROR(
                  Andel_oberoende_av_klimat*VLOOKUP($A477,Leveranser_per_nät,'Leveranser per nät'!Y$1,FALSE)
               +Andel_beroende_av_klimat*VLOOKUP($A477,Leveranser_per_nät,'Leveranser per nät'!Y$1,FALSE)/VLOOKUP($B477,Korrigeringsfaktor_GD,'Korrigeringsfaktor GD'!Y$1,FALSE),
"")</f>
        <v>185.09539999999998</v>
      </c>
      <c r="Z477" s="18">
        <f>IFERROR(
                  Andel_oberoende_av_klimat*VLOOKUP($A477,Leveranser_per_nät,'Leveranser per nät'!Z$1,FALSE)
               +Andel_beroende_av_klimat*VLOOKUP($A477,Leveranser_per_nät,'Leveranser per nät'!Z$1,FALSE)/VLOOKUP($B477,Korrigeringsfaktor_GD,'Korrigeringsfaktor GD'!Z$1,FALSE),
"")</f>
        <v>174.02338888888889</v>
      </c>
      <c r="AA477" s="18">
        <f>IFERROR(
                  Andel_oberoende_av_klimat*VLOOKUP($A477,Leveranser_per_nät,'Leveranser per nät'!AA$1,FALSE)
               +Andel_beroende_av_klimat*VLOOKUP($A477,Leveranser_per_nät,'Leveranser per nät'!AA$1,FALSE)/VLOOKUP($B477,Korrigeringsfaktor_GD,'Korrigeringsfaktor GD'!AA$1,FALSE),
"")</f>
        <v>184.54610625000001</v>
      </c>
      <c r="AB477" s="18">
        <f>IFERROR(
                  Andel_oberoende_av_klimat*VLOOKUP($A477,Leveranser_per_nät,'Leveranser per nät'!AB$1,FALSE)
               +Andel_beroende_av_klimat*VLOOKUP($A477,Leveranser_per_nät,'Leveranser per nät'!AB$1,FALSE)/VLOOKUP($B477,Korrigeringsfaktor_GD,'Korrigeringsfaktor GD'!AB$1,FALSE),
"")</f>
        <v>174.97603698630135</v>
      </c>
      <c r="AC477" s="18">
        <f>IFERROR(
                  Andel_oberoende_av_klimat*VLOOKUP($A477,Leveranser_per_nät,'Leveranser per nät'!AC$1,FALSE)
               +Andel_beroende_av_klimat*VLOOKUP($A477,Leveranser_per_nät,'Leveranser per nät'!AC$1,FALSE)/VLOOKUP($B477,Korrigeringsfaktor_GD,'Korrigeringsfaktor GD'!AC$1,FALSE),
"")</f>
        <v>170.68376405090137</v>
      </c>
      <c r="AD477">
        <v>163.755</v>
      </c>
    </row>
    <row r="478" spans="1:30" x14ac:dyDescent="0.25">
      <c r="A478" t="s">
        <v>105</v>
      </c>
      <c r="B478" t="s">
        <v>518</v>
      </c>
      <c r="C478" s="18">
        <f>IFERROR(
                  Andel_oberoende_av_klimat*VLOOKUP($A478,Leveranser_per_nät,'Leveranser per nät'!C$1,FALSE)
               +Andel_beroende_av_klimat*VLOOKUP($A478,Leveranser_per_nät,'Leveranser per nät'!C$1,FALSE)/VLOOKUP($B478,Korrigeringsfaktor_GD,'Korrigeringsfaktor GD'!C$1,FALSE),
"")</f>
        <v>0</v>
      </c>
      <c r="D478" s="18">
        <f>IFERROR(
                  Andel_oberoende_av_klimat*VLOOKUP($A478,Leveranser_per_nät,'Leveranser per nät'!D$1,FALSE)
               +Andel_beroende_av_klimat*VLOOKUP($A478,Leveranser_per_nät,'Leveranser per nät'!D$1,FALSE)/VLOOKUP($B478,Korrigeringsfaktor_GD,'Korrigeringsfaktor GD'!D$1,FALSE),
"")</f>
        <v>0</v>
      </c>
      <c r="E478" s="18">
        <f>IFERROR(
                  Andel_oberoende_av_klimat*VLOOKUP($A478,Leveranser_per_nät,'Leveranser per nät'!E$1,FALSE)
               +Andel_beroende_av_klimat*VLOOKUP($A478,Leveranser_per_nät,'Leveranser per nät'!E$1,FALSE)/VLOOKUP($B478,Korrigeringsfaktor_GD,'Korrigeringsfaktor GD'!E$1,FALSE),
"")</f>
        <v>0</v>
      </c>
      <c r="F478" s="18">
        <f>IFERROR(
                  Andel_oberoende_av_klimat*VLOOKUP($A478,Leveranser_per_nät,'Leveranser per nät'!F$1,FALSE)
               +Andel_beroende_av_klimat*VLOOKUP($A478,Leveranser_per_nät,'Leveranser per nät'!F$1,FALSE)/VLOOKUP($B478,Korrigeringsfaktor_GD,'Korrigeringsfaktor GD'!F$1,FALSE),
"")</f>
        <v>0</v>
      </c>
      <c r="G478" s="18">
        <f>IFERROR(
                  Andel_oberoende_av_klimat*VLOOKUP($A478,Leveranser_per_nät,'Leveranser per nät'!G$1,FALSE)
               +Andel_beroende_av_klimat*VLOOKUP($A478,Leveranser_per_nät,'Leveranser per nät'!G$1,FALSE)/VLOOKUP($B478,Korrigeringsfaktor_GD,'Korrigeringsfaktor GD'!G$1,FALSE),
"")</f>
        <v>0</v>
      </c>
      <c r="H478" s="18">
        <f>IFERROR(
                  Andel_oberoende_av_klimat*VLOOKUP($A478,Leveranser_per_nät,'Leveranser per nät'!H$1,FALSE)
               +Andel_beroende_av_klimat*VLOOKUP($A478,Leveranser_per_nät,'Leveranser per nät'!H$1,FALSE)/VLOOKUP($B478,Korrigeringsfaktor_GD,'Korrigeringsfaktor GD'!H$1,FALSE),
"")</f>
        <v>1</v>
      </c>
      <c r="I478" s="18">
        <f>IFERROR(
                  Andel_oberoende_av_klimat*VLOOKUP($A478,Leveranser_per_nät,'Leveranser per nät'!I$1,FALSE)
               +Andel_beroende_av_klimat*VLOOKUP($A478,Leveranser_per_nät,'Leveranser per nät'!I$1,FALSE)/VLOOKUP($B478,Korrigeringsfaktor_GD,'Korrigeringsfaktor GD'!I$1,FALSE),
"")</f>
        <v>2.0432989690721648</v>
      </c>
      <c r="J478" s="18">
        <f>IFERROR(
                  Andel_oberoende_av_klimat*VLOOKUP($A478,Leveranser_per_nät,'Leveranser per nät'!J$1,FALSE)
               +Andel_beroende_av_klimat*VLOOKUP($A478,Leveranser_per_nät,'Leveranser per nät'!J$1,FALSE)/VLOOKUP($B478,Korrigeringsfaktor_GD,'Korrigeringsfaktor GD'!J$1,FALSE),
"")</f>
        <v>3.0212121212121206</v>
      </c>
      <c r="K478" s="18">
        <f>IFERROR(
                  Andel_oberoende_av_klimat*VLOOKUP($A478,Leveranser_per_nät,'Leveranser per nät'!K$1,FALSE)
               +Andel_beroende_av_klimat*VLOOKUP($A478,Leveranser_per_nät,'Leveranser per nät'!K$1,FALSE)/VLOOKUP($B478,Korrigeringsfaktor_GD,'Korrigeringsfaktor GD'!K$1,FALSE),
"")</f>
        <v>3.5811434343434345</v>
      </c>
      <c r="L478" s="18">
        <f>IFERROR(
                  Andel_oberoende_av_klimat*VLOOKUP($A478,Leveranser_per_nät,'Leveranser per nät'!L$1,FALSE)
               +Andel_beroende_av_klimat*VLOOKUP($A478,Leveranser_per_nät,'Leveranser per nät'!L$1,FALSE)/VLOOKUP($B478,Korrigeringsfaktor_GD,'Korrigeringsfaktor GD'!L$1,FALSE),
"")</f>
        <v>3.8487578947368419</v>
      </c>
      <c r="M478" s="18">
        <f>IFERROR(
                  Andel_oberoende_av_klimat*VLOOKUP($A478,Leveranser_per_nät,'Leveranser per nät'!M$1,FALSE)
               +Andel_beroende_av_klimat*VLOOKUP($A478,Leveranser_per_nät,'Leveranser per nät'!M$1,FALSE)/VLOOKUP($B478,Korrigeringsfaktor_GD,'Korrigeringsfaktor GD'!M$1,FALSE),
"")</f>
        <v>4.1328537634408598</v>
      </c>
      <c r="N478" s="18">
        <f>IFERROR(
                  Andel_oberoende_av_klimat*VLOOKUP($A478,Leveranser_per_nät,'Leveranser per nät'!N$1,FALSE)
               +Andel_beroende_av_klimat*VLOOKUP($A478,Leveranser_per_nät,'Leveranser per nät'!N$1,FALSE)/VLOOKUP($B478,Korrigeringsfaktor_GD,'Korrigeringsfaktor GD'!N$1,FALSE),
"")</f>
        <v>4.830139130434782</v>
      </c>
      <c r="O478" s="18">
        <f>IFERROR(
                  Andel_oberoende_av_klimat*VLOOKUP($A478,Leveranser_per_nät,'Leveranser per nät'!O$1,FALSE)
               +Andel_beroende_av_klimat*VLOOKUP($A478,Leveranser_per_nät,'Leveranser per nät'!O$1,FALSE)/VLOOKUP($B478,Korrigeringsfaktor_GD,'Korrigeringsfaktor GD'!O$1,FALSE),
"")</f>
        <v>4.7741550561797759</v>
      </c>
      <c r="P478" s="18">
        <f>IFERROR(
                  Andel_oberoende_av_klimat*VLOOKUP($A478,Leveranser_per_nät,'Leveranser per nät'!P$1,FALSE)
               +Andel_beroende_av_klimat*VLOOKUP($A478,Leveranser_per_nät,'Leveranser per nät'!P$1,FALSE)/VLOOKUP($B478,Korrigeringsfaktor_GD,'Korrigeringsfaktor GD'!P$1,FALSE),
"")</f>
        <v>4.4250686868686868</v>
      </c>
      <c r="Q478" s="18">
        <f>IFERROR(
                  Andel_oberoende_av_klimat*VLOOKUP($A478,Leveranser_per_nät,'Leveranser per nät'!Q$1,FALSE)
               +Andel_beroende_av_klimat*VLOOKUP($A478,Leveranser_per_nät,'Leveranser per nät'!Q$1,FALSE)/VLOOKUP($B478,Korrigeringsfaktor_GD,'Korrigeringsfaktor GD'!Q$1,FALSE),
"")</f>
        <v>6.0113728813559337</v>
      </c>
      <c r="R478" s="18">
        <f>IFERROR(
                  Andel_oberoende_av_klimat*VLOOKUP($A478,Leveranser_per_nät,'Leveranser per nät'!R$1,FALSE)
               +Andel_beroende_av_klimat*VLOOKUP($A478,Leveranser_per_nät,'Leveranser per nät'!R$1,FALSE)/VLOOKUP($B478,Korrigeringsfaktor_GD,'Korrigeringsfaktor GD'!R$1,FALSE),
"")</f>
        <v>6.8120692307692314</v>
      </c>
      <c r="S478" s="18">
        <f>IFERROR(
                  Andel_oberoende_av_klimat*VLOOKUP($A478,Leveranser_per_nät,'Leveranser per nät'!S$1,FALSE)
               +Andel_beroende_av_klimat*VLOOKUP($A478,Leveranser_per_nät,'Leveranser per nät'!S$1,FALSE)/VLOOKUP($B478,Korrigeringsfaktor_GD,'Korrigeringsfaktor GD'!S$1,FALSE),
"")</f>
        <v>7.2000000000000011</v>
      </c>
      <c r="T478" s="18">
        <f>IFERROR(
                  Andel_oberoende_av_klimat*VLOOKUP($A478,Leveranser_per_nät,'Leveranser per nät'!T$1,FALSE)
               +Andel_beroende_av_klimat*VLOOKUP($A478,Leveranser_per_nät,'Leveranser per nät'!T$1,FALSE)/VLOOKUP($B478,Korrigeringsfaktor_GD,'Korrigeringsfaktor GD'!T$1,FALSE),
"")</f>
        <v>7.0493814432989694</v>
      </c>
      <c r="U478" s="18">
        <f>IFERROR(
                  Andel_oberoende_av_klimat*VLOOKUP($A478,Leveranser_per_nät,'Leveranser per nät'!U$1,FALSE)
               +Andel_beroende_av_klimat*VLOOKUP($A478,Leveranser_per_nät,'Leveranser per nät'!U$1,FALSE)/VLOOKUP($B478,Korrigeringsfaktor_GD,'Korrigeringsfaktor GD'!U$1,FALSE),
"")</f>
        <v>4.2722727272727274</v>
      </c>
      <c r="V478" s="18">
        <f>IFERROR(
                  Andel_oberoende_av_klimat*VLOOKUP($A478,Leveranser_per_nät,'Leveranser per nät'!V$1,FALSE)
               +Andel_beroende_av_klimat*VLOOKUP($A478,Leveranser_per_nät,'Leveranser per nät'!V$1,FALSE)/VLOOKUP($B478,Korrigeringsfaktor_GD,'Korrigeringsfaktor GD'!V$1,FALSE),
"")</f>
        <v>4.3270454545454546</v>
      </c>
      <c r="W478" s="18">
        <f>IFERROR(
                  Andel_oberoende_av_klimat*VLOOKUP($A478,Leveranser_per_nät,'Leveranser per nät'!W$1,FALSE)
               +Andel_beroende_av_klimat*VLOOKUP($A478,Leveranser_per_nät,'Leveranser per nät'!W$1,FALSE)/VLOOKUP($B478,Korrigeringsfaktor_GD,'Korrigeringsfaktor GD'!W$1,FALSE),
"")</f>
        <v>6.000322580645161</v>
      </c>
      <c r="X478" s="18">
        <f>IFERROR(
                  Andel_oberoende_av_klimat*VLOOKUP($A478,Leveranser_per_nät,'Leveranser per nät'!X$1,FALSE)
               +Andel_beroende_av_klimat*VLOOKUP($A478,Leveranser_per_nät,'Leveranser per nät'!X$1,FALSE)/VLOOKUP($B478,Korrigeringsfaktor_GD,'Korrigeringsfaktor GD'!X$1,FALSE),
"")</f>
        <v>6.1530434782608694</v>
      </c>
      <c r="Y478" s="18">
        <f>IFERROR(
                  Andel_oberoende_av_klimat*VLOOKUP($A478,Leveranser_per_nät,'Leveranser per nät'!Y$1,FALSE)
               +Andel_beroende_av_klimat*VLOOKUP($A478,Leveranser_per_nät,'Leveranser per nät'!Y$1,FALSE)/VLOOKUP($B478,Korrigeringsfaktor_GD,'Korrigeringsfaktor GD'!Y$1,FALSE),
"")</f>
        <v>6.2135130434782608</v>
      </c>
      <c r="Z478" s="18">
        <f>IFERROR(
                  Andel_oberoende_av_klimat*VLOOKUP($A478,Leveranser_per_nät,'Leveranser per nät'!Z$1,FALSE)
               +Andel_beroende_av_klimat*VLOOKUP($A478,Leveranser_per_nät,'Leveranser per nät'!Z$1,FALSE)/VLOOKUP($B478,Korrigeringsfaktor_GD,'Korrigeringsfaktor GD'!Z$1,FALSE),
"")</f>
        <v>6.5220882352941176</v>
      </c>
      <c r="AA478" s="18">
        <f>IFERROR(
                  Andel_oberoende_av_klimat*VLOOKUP($A478,Leveranser_per_nät,'Leveranser per nät'!AA$1,FALSE)
               +Andel_beroende_av_klimat*VLOOKUP($A478,Leveranser_per_nät,'Leveranser per nät'!AA$1,FALSE)/VLOOKUP($B478,Korrigeringsfaktor_GD,'Korrigeringsfaktor GD'!AA$1,FALSE),
"")</f>
        <v>6.2482133691756268</v>
      </c>
      <c r="AB478" s="18">
        <f>IFERROR(
                  Andel_oberoende_av_klimat*VLOOKUP($A478,Leveranser_per_nät,'Leveranser per nät'!AB$1,FALSE)
               +Andel_beroende_av_klimat*VLOOKUP($A478,Leveranser_per_nät,'Leveranser per nät'!AB$1,FALSE)/VLOOKUP($B478,Korrigeringsfaktor_GD,'Korrigeringsfaktor GD'!AB$1,FALSE),
"")</f>
        <v>5.9379310344827587</v>
      </c>
      <c r="AC478" s="18">
        <f>IFERROR(
                  Andel_oberoende_av_klimat*VLOOKUP($A478,Leveranser_per_nät,'Leveranser per nät'!AC$1,FALSE)
               +Andel_beroende_av_klimat*VLOOKUP($A478,Leveranser_per_nät,'Leveranser per nät'!AC$1,FALSE)/VLOOKUP($B478,Korrigeringsfaktor_GD,'Korrigeringsfaktor GD'!AC$1,FALSE),
"")</f>
        <v>5.9029245989304799</v>
      </c>
      <c r="AD478" t="e">
        <v>#N/A</v>
      </c>
    </row>
    <row r="479" spans="1:30" x14ac:dyDescent="0.25">
      <c r="A479" t="s">
        <v>177</v>
      </c>
      <c r="B479" t="s">
        <v>177</v>
      </c>
      <c r="C479" s="18">
        <f>IFERROR(
                  Andel_oberoende_av_klimat*VLOOKUP($A479,Leveranser_per_nät,'Leveranser per nät'!C$1,FALSE)
               +Andel_beroende_av_klimat*VLOOKUP($A479,Leveranser_per_nät,'Leveranser per nät'!C$1,FALSE)/VLOOKUP($B479,Korrigeringsfaktor_GD,'Korrigeringsfaktor GD'!C$1,FALSE),
"")</f>
        <v>0</v>
      </c>
      <c r="D479" s="18">
        <f>IFERROR(
                  Andel_oberoende_av_klimat*VLOOKUP($A479,Leveranser_per_nät,'Leveranser per nät'!D$1,FALSE)
               +Andel_beroende_av_klimat*VLOOKUP($A479,Leveranser_per_nät,'Leveranser per nät'!D$1,FALSE)/VLOOKUP($B479,Korrigeringsfaktor_GD,'Korrigeringsfaktor GD'!D$1,FALSE),
"")</f>
        <v>0</v>
      </c>
      <c r="E479" s="18">
        <f>IFERROR(
                  Andel_oberoende_av_klimat*VLOOKUP($A479,Leveranser_per_nät,'Leveranser per nät'!E$1,FALSE)
               +Andel_beroende_av_klimat*VLOOKUP($A479,Leveranser_per_nät,'Leveranser per nät'!E$1,FALSE)/VLOOKUP($B479,Korrigeringsfaktor_GD,'Korrigeringsfaktor GD'!E$1,FALSE),
"")</f>
        <v>0</v>
      </c>
      <c r="F479" s="18">
        <f>IFERROR(
                  Andel_oberoende_av_klimat*VLOOKUP($A479,Leveranser_per_nät,'Leveranser per nät'!F$1,FALSE)
               +Andel_beroende_av_klimat*VLOOKUP($A479,Leveranser_per_nät,'Leveranser per nät'!F$1,FALSE)/VLOOKUP($B479,Korrigeringsfaktor_GD,'Korrigeringsfaktor GD'!F$1,FALSE),
"")</f>
        <v>0</v>
      </c>
      <c r="G479" s="18">
        <f>IFERROR(
                  Andel_oberoende_av_klimat*VLOOKUP($A479,Leveranser_per_nät,'Leveranser per nät'!G$1,FALSE)
               +Andel_beroende_av_klimat*VLOOKUP($A479,Leveranser_per_nät,'Leveranser per nät'!G$1,FALSE)/VLOOKUP($B479,Korrigeringsfaktor_GD,'Korrigeringsfaktor GD'!G$1,FALSE),
"")</f>
        <v>0</v>
      </c>
      <c r="H479" s="18">
        <f>IFERROR(
                  Andel_oberoende_av_klimat*VLOOKUP($A479,Leveranser_per_nät,'Leveranser per nät'!H$1,FALSE)
               +Andel_beroende_av_klimat*VLOOKUP($A479,Leveranser_per_nät,'Leveranser per nät'!H$1,FALSE)/VLOOKUP($B479,Korrigeringsfaktor_GD,'Korrigeringsfaktor GD'!H$1,FALSE),
"")</f>
        <v>0</v>
      </c>
      <c r="I479" s="18">
        <f>IFERROR(
                  Andel_oberoende_av_klimat*VLOOKUP($A479,Leveranser_per_nät,'Leveranser per nät'!I$1,FALSE)
               +Andel_beroende_av_klimat*VLOOKUP($A479,Leveranser_per_nät,'Leveranser per nät'!I$1,FALSE)/VLOOKUP($B479,Korrigeringsfaktor_GD,'Korrigeringsfaktor GD'!I$1,FALSE),
"")</f>
        <v>0</v>
      </c>
      <c r="J479" s="18">
        <f>IFERROR(
                  Andel_oberoende_av_klimat*VLOOKUP($A479,Leveranser_per_nät,'Leveranser per nät'!J$1,FALSE)
               +Andel_beroende_av_klimat*VLOOKUP($A479,Leveranser_per_nät,'Leveranser per nät'!J$1,FALSE)/VLOOKUP($B479,Korrigeringsfaktor_GD,'Korrigeringsfaktor GD'!J$1,FALSE),
"")</f>
        <v>0</v>
      </c>
      <c r="K479" s="18">
        <f>IFERROR(
                  Andel_oberoende_av_klimat*VLOOKUP($A479,Leveranser_per_nät,'Leveranser per nät'!K$1,FALSE)
               +Andel_beroende_av_klimat*VLOOKUP($A479,Leveranser_per_nät,'Leveranser per nät'!K$1,FALSE)/VLOOKUP($B479,Korrigeringsfaktor_GD,'Korrigeringsfaktor GD'!K$1,FALSE),
"")</f>
        <v>0</v>
      </c>
      <c r="L479" s="18">
        <f>IFERROR(
                  Andel_oberoende_av_klimat*VLOOKUP($A479,Leveranser_per_nät,'Leveranser per nät'!L$1,FALSE)
               +Andel_beroende_av_klimat*VLOOKUP($A479,Leveranser_per_nät,'Leveranser per nät'!L$1,FALSE)/VLOOKUP($B479,Korrigeringsfaktor_GD,'Korrigeringsfaktor GD'!L$1,FALSE),
"")</f>
        <v>0</v>
      </c>
      <c r="M479" s="18">
        <f>IFERROR(
                  Andel_oberoende_av_klimat*VLOOKUP($A479,Leveranser_per_nät,'Leveranser per nät'!M$1,FALSE)
               +Andel_beroende_av_klimat*VLOOKUP($A479,Leveranser_per_nät,'Leveranser per nät'!M$1,FALSE)/VLOOKUP($B479,Korrigeringsfaktor_GD,'Korrigeringsfaktor GD'!M$1,FALSE),
"")</f>
        <v>12.713460869565218</v>
      </c>
      <c r="N479" s="18">
        <f>IFERROR(
                  Andel_oberoende_av_klimat*VLOOKUP($A479,Leveranser_per_nät,'Leveranser per nät'!N$1,FALSE)
               +Andel_beroende_av_klimat*VLOOKUP($A479,Leveranser_per_nät,'Leveranser per nät'!N$1,FALSE)/VLOOKUP($B479,Korrigeringsfaktor_GD,'Korrigeringsfaktor GD'!N$1,FALSE),
"")</f>
        <v>12.813661538461538</v>
      </c>
      <c r="O479" s="18">
        <f>IFERROR(
                  Andel_oberoende_av_klimat*VLOOKUP($A479,Leveranser_per_nät,'Leveranser per nät'!O$1,FALSE)
               +Andel_beroende_av_klimat*VLOOKUP($A479,Leveranser_per_nät,'Leveranser per nät'!O$1,FALSE)/VLOOKUP($B479,Korrigeringsfaktor_GD,'Korrigeringsfaktor GD'!O$1,FALSE),
"")</f>
        <v>13.506711111111111</v>
      </c>
      <c r="P479" s="18">
        <f>IFERROR(
                  Andel_oberoende_av_klimat*VLOOKUP($A479,Leveranser_per_nät,'Leveranser per nät'!P$1,FALSE)
               +Andel_beroende_av_klimat*VLOOKUP($A479,Leveranser_per_nät,'Leveranser per nät'!P$1,FALSE)/VLOOKUP($B479,Korrigeringsfaktor_GD,'Korrigeringsfaktor GD'!P$1,FALSE),
"")</f>
        <v>13.266857142857143</v>
      </c>
      <c r="Q479" s="18">
        <f>IFERROR(
                  Andel_oberoende_av_klimat*VLOOKUP($A479,Leveranser_per_nät,'Leveranser per nät'!Q$1,FALSE)
               +Andel_beroende_av_klimat*VLOOKUP($A479,Leveranser_per_nät,'Leveranser per nät'!Q$1,FALSE)/VLOOKUP($B479,Korrigeringsfaktor_GD,'Korrigeringsfaktor GD'!Q$1,FALSE),
"")</f>
        <v>13.822895726495727</v>
      </c>
      <c r="R479" s="18">
        <f>IFERROR(
                  Andel_oberoende_av_klimat*VLOOKUP($A479,Leveranser_per_nät,'Leveranser per nät'!R$1,FALSE)
               +Andel_beroende_av_klimat*VLOOKUP($A479,Leveranser_per_nät,'Leveranser per nät'!R$1,FALSE)/VLOOKUP($B479,Korrigeringsfaktor_GD,'Korrigeringsfaktor GD'!R$1,FALSE),
"")</f>
        <v>13.203930769230769</v>
      </c>
      <c r="S479" s="18">
        <f>IFERROR(
                  Andel_oberoende_av_klimat*VLOOKUP($A479,Leveranser_per_nät,'Leveranser per nät'!S$1,FALSE)
               +Andel_beroende_av_klimat*VLOOKUP($A479,Leveranser_per_nät,'Leveranser per nät'!S$1,FALSE)/VLOOKUP($B479,Korrigeringsfaktor_GD,'Korrigeringsfaktor GD'!S$1,FALSE),
"")</f>
        <v>13.16</v>
      </c>
      <c r="T479" s="18">
        <f>IFERROR(
                  Andel_oberoende_av_klimat*VLOOKUP($A479,Leveranser_per_nät,'Leveranser per nät'!T$1,FALSE)
               +Andel_beroende_av_klimat*VLOOKUP($A479,Leveranser_per_nät,'Leveranser per nät'!T$1,FALSE)/VLOOKUP($B479,Korrigeringsfaktor_GD,'Korrigeringsfaktor GD'!T$1,FALSE),
"")</f>
        <v>13.158328571428573</v>
      </c>
      <c r="U479" s="18">
        <f>IFERROR(
                  Andel_oberoende_av_klimat*VLOOKUP($A479,Leveranser_per_nät,'Leveranser per nät'!U$1,FALSE)
               +Andel_beroende_av_klimat*VLOOKUP($A479,Leveranser_per_nät,'Leveranser per nät'!U$1,FALSE)/VLOOKUP($B479,Korrigeringsfaktor_GD,'Korrigeringsfaktor GD'!U$1,FALSE),
"")</f>
        <v>12.73583023255814</v>
      </c>
      <c r="V479" s="18">
        <f>IFERROR(
                  Andel_oberoende_av_klimat*VLOOKUP($A479,Leveranser_per_nät,'Leveranser per nät'!V$1,FALSE)
               +Andel_beroende_av_klimat*VLOOKUP($A479,Leveranser_per_nät,'Leveranser per nät'!V$1,FALSE)/VLOOKUP($B479,Korrigeringsfaktor_GD,'Korrigeringsfaktor GD'!V$1,FALSE),
"")</f>
        <v>12.772463218390804</v>
      </c>
      <c r="W479" s="18">
        <f>IFERROR(
                  Andel_oberoende_av_klimat*VLOOKUP($A479,Leveranser_per_nät,'Leveranser per nät'!W$1,FALSE)
               +Andel_beroende_av_klimat*VLOOKUP($A479,Leveranser_per_nät,'Leveranser per nät'!W$1,FALSE)/VLOOKUP($B479,Korrigeringsfaktor_GD,'Korrigeringsfaktor GD'!W$1,FALSE),
"")</f>
        <v>13.140846153846152</v>
      </c>
      <c r="X479" s="18">
        <f>IFERROR(
                  Andel_oberoende_av_klimat*VLOOKUP($A479,Leveranser_per_nät,'Leveranser per nät'!X$1,FALSE)
               +Andel_beroende_av_klimat*VLOOKUP($A479,Leveranser_per_nät,'Leveranser per nät'!X$1,FALSE)/VLOOKUP($B479,Korrigeringsfaktor_GD,'Korrigeringsfaktor GD'!X$1,FALSE),
"")</f>
        <v>12.825555555555555</v>
      </c>
      <c r="Y479" s="18">
        <f>IFERROR(
                  Andel_oberoende_av_klimat*VLOOKUP($A479,Leveranser_per_nät,'Leveranser per nät'!Y$1,FALSE)
               +Andel_beroende_av_klimat*VLOOKUP($A479,Leveranser_per_nät,'Leveranser per nät'!Y$1,FALSE)/VLOOKUP($B479,Korrigeringsfaktor_GD,'Korrigeringsfaktor GD'!Y$1,FALSE),
"")</f>
        <v>12.674666666666667</v>
      </c>
      <c r="Z479" s="18">
        <f>IFERROR(
                  Andel_oberoende_av_klimat*VLOOKUP($A479,Leveranser_per_nät,'Leveranser per nät'!Z$1,FALSE)
               +Andel_beroende_av_klimat*VLOOKUP($A479,Leveranser_per_nät,'Leveranser per nät'!Z$1,FALSE)/VLOOKUP($B479,Korrigeringsfaktor_GD,'Korrigeringsfaktor GD'!Z$1,FALSE),
"")</f>
        <v>12.212449438202245</v>
      </c>
      <c r="AA479" s="18">
        <f>IFERROR(
                  Andel_oberoende_av_klimat*VLOOKUP($A479,Leveranser_per_nät,'Leveranser per nät'!AA$1,FALSE)
               +Andel_beroende_av_klimat*VLOOKUP($A479,Leveranser_per_nät,'Leveranser per nät'!AA$1,FALSE)/VLOOKUP($B479,Korrigeringsfaktor_GD,'Korrigeringsfaktor GD'!AA$1,FALSE),
"")</f>
        <v>12.300278361725262</v>
      </c>
      <c r="AB479" s="18">
        <f>IFERROR(
                  Andel_oberoende_av_klimat*VLOOKUP($A479,Leveranser_per_nät,'Leveranser per nät'!AB$1,FALSE)
               +Andel_beroende_av_klimat*VLOOKUP($A479,Leveranser_per_nät,'Leveranser per nät'!AB$1,FALSE)/VLOOKUP($B479,Korrigeringsfaktor_GD,'Korrigeringsfaktor GD'!AB$1,FALSE),
"")</f>
        <v>11.84906231454006</v>
      </c>
      <c r="AC479" s="18">
        <f>IFERROR(
                  Andel_oberoende_av_klimat*VLOOKUP($A479,Leveranser_per_nät,'Leveranser per nät'!AC$1,FALSE)
               +Andel_beroende_av_klimat*VLOOKUP($A479,Leveranser_per_nät,'Leveranser per nät'!AC$1,FALSE)/VLOOKUP($B479,Korrigeringsfaktor_GD,'Korrigeringsfaktor GD'!AC$1,FALSE),
"")</f>
        <v>11.745303609341825</v>
      </c>
      <c r="AD479">
        <v>11.26</v>
      </c>
    </row>
    <row r="480" spans="1:30" x14ac:dyDescent="0.25">
      <c r="A480" t="s">
        <v>439</v>
      </c>
      <c r="B480" t="s">
        <v>315</v>
      </c>
      <c r="C480" s="18">
        <f>IFERROR(
                  Andel_oberoende_av_klimat*VLOOKUP($A480,Leveranser_per_nät,'Leveranser per nät'!C$1,FALSE)
               +Andel_beroende_av_klimat*VLOOKUP($A480,Leveranser_per_nät,'Leveranser per nät'!C$1,FALSE)/VLOOKUP($B480,Korrigeringsfaktor_GD,'Korrigeringsfaktor GD'!C$1,FALSE),
"")</f>
        <v>0</v>
      </c>
      <c r="D480" s="18">
        <f>IFERROR(
                  Andel_oberoende_av_klimat*VLOOKUP($A480,Leveranser_per_nät,'Leveranser per nät'!D$1,FALSE)
               +Andel_beroende_av_klimat*VLOOKUP($A480,Leveranser_per_nät,'Leveranser per nät'!D$1,FALSE)/VLOOKUP($B480,Korrigeringsfaktor_GD,'Korrigeringsfaktor GD'!D$1,FALSE),
"")</f>
        <v>5.6192500000000001</v>
      </c>
      <c r="E480" s="18">
        <f>IFERROR(
                  Andel_oberoende_av_klimat*VLOOKUP($A480,Leveranser_per_nät,'Leveranser per nät'!E$1,FALSE)
               +Andel_beroende_av_klimat*VLOOKUP($A480,Leveranser_per_nät,'Leveranser per nät'!E$1,FALSE)/VLOOKUP($B480,Korrigeringsfaktor_GD,'Korrigeringsfaktor GD'!E$1,FALSE),
"")</f>
        <v>4.9313725490196081</v>
      </c>
      <c r="F480" s="18">
        <f>IFERROR(
                  Andel_oberoende_av_klimat*VLOOKUP($A480,Leveranser_per_nät,'Leveranser per nät'!F$1,FALSE)
               +Andel_beroende_av_klimat*VLOOKUP($A480,Leveranser_per_nät,'Leveranser per nät'!F$1,FALSE)/VLOOKUP($B480,Korrigeringsfaktor_GD,'Korrigeringsfaktor GD'!F$1,FALSE),
"")</f>
        <v>5.1842105263157903</v>
      </c>
      <c r="G480" s="18">
        <f>IFERROR(
                  Andel_oberoende_av_klimat*VLOOKUP($A480,Leveranser_per_nät,'Leveranser per nät'!G$1,FALSE)
               +Andel_beroende_av_klimat*VLOOKUP($A480,Leveranser_per_nät,'Leveranser per nät'!G$1,FALSE)/VLOOKUP($B480,Korrigeringsfaktor_GD,'Korrigeringsfaktor GD'!G$1,FALSE),
"")</f>
        <v>5.4325842696629216</v>
      </c>
      <c r="H480" s="18">
        <f>IFERROR(
                  Andel_oberoende_av_klimat*VLOOKUP($A480,Leveranser_per_nät,'Leveranser per nät'!H$1,FALSE)
               +Andel_beroende_av_klimat*VLOOKUP($A480,Leveranser_per_nät,'Leveranser per nät'!H$1,FALSE)/VLOOKUP($B480,Korrigeringsfaktor_GD,'Korrigeringsfaktor GD'!H$1,FALSE),
"")</f>
        <v>6.0424242424242411</v>
      </c>
      <c r="I480" s="18">
        <f>IFERROR(
                  Andel_oberoende_av_klimat*VLOOKUP($A480,Leveranser_per_nät,'Leveranser per nät'!I$1,FALSE)
               +Andel_beroende_av_klimat*VLOOKUP($A480,Leveranser_per_nät,'Leveranser per nät'!I$1,FALSE)/VLOOKUP($B480,Korrigeringsfaktor_GD,'Korrigeringsfaktor GD'!I$1,FALSE),
"")</f>
        <v>7.1515463917525777</v>
      </c>
      <c r="J480" s="18">
        <f>IFERROR(
                  Andel_oberoende_av_klimat*VLOOKUP($A480,Leveranser_per_nät,'Leveranser per nät'!J$1,FALSE)
               +Andel_beroende_av_klimat*VLOOKUP($A480,Leveranser_per_nät,'Leveranser per nät'!J$1,FALSE)/VLOOKUP($B480,Korrigeringsfaktor_GD,'Korrigeringsfaktor GD'!J$1,FALSE),
"")</f>
        <v>6.8129571428571429</v>
      </c>
      <c r="K480" s="18">
        <f>IFERROR(
                  Andel_oberoende_av_klimat*VLOOKUP($A480,Leveranser_per_nät,'Leveranser per nät'!K$1,FALSE)
               +Andel_beroende_av_klimat*VLOOKUP($A480,Leveranser_per_nät,'Leveranser per nät'!K$1,FALSE)/VLOOKUP($B480,Korrigeringsfaktor_GD,'Korrigeringsfaktor GD'!K$1,FALSE),
"")</f>
        <v>6.6083979797979797</v>
      </c>
      <c r="L480" s="18">
        <f>IFERROR(
                  Andel_oberoende_av_klimat*VLOOKUP($A480,Leveranser_per_nät,'Leveranser per nät'!L$1,FALSE)
               +Andel_beroende_av_klimat*VLOOKUP($A480,Leveranser_per_nät,'Leveranser per nät'!L$1,FALSE)/VLOOKUP($B480,Korrigeringsfaktor_GD,'Korrigeringsfaktor GD'!L$1,FALSE),
"")</f>
        <v>6.8037578947368429</v>
      </c>
      <c r="M480" s="18">
        <f>IFERROR(
                  Andel_oberoende_av_klimat*VLOOKUP($A480,Leveranser_per_nät,'Leveranser per nät'!M$1,FALSE)
               +Andel_beroende_av_klimat*VLOOKUP($A480,Leveranser_per_nät,'Leveranser per nät'!M$1,FALSE)/VLOOKUP($B480,Korrigeringsfaktor_GD,'Korrigeringsfaktor GD'!M$1,FALSE),
"")</f>
        <v>6.8956521739130432</v>
      </c>
      <c r="N480" s="18">
        <f>IFERROR(
                  Andel_oberoende_av_klimat*VLOOKUP($A480,Leveranser_per_nät,'Leveranser per nät'!N$1,FALSE)
               +Andel_beroende_av_klimat*VLOOKUP($A480,Leveranser_per_nät,'Leveranser per nät'!N$1,FALSE)/VLOOKUP($B480,Korrigeringsfaktor_GD,'Korrigeringsfaktor GD'!N$1,FALSE),
"")</f>
        <v>6.8424731182795693</v>
      </c>
      <c r="O480" s="18">
        <f>IFERROR(
                  Andel_oberoende_av_klimat*VLOOKUP($A480,Leveranser_per_nät,'Leveranser per nät'!O$1,FALSE)
               +Andel_beroende_av_klimat*VLOOKUP($A480,Leveranser_per_nät,'Leveranser per nät'!O$1,FALSE)/VLOOKUP($B480,Korrigeringsfaktor_GD,'Korrigeringsfaktor GD'!O$1,FALSE),
"")</f>
        <v>6.6445000000000007</v>
      </c>
      <c r="P480" s="18">
        <f>IFERROR(
                  Andel_oberoende_av_klimat*VLOOKUP($A480,Leveranser_per_nät,'Leveranser per nät'!P$1,FALSE)
               +Andel_beroende_av_klimat*VLOOKUP($A480,Leveranser_per_nät,'Leveranser per nät'!P$1,FALSE)/VLOOKUP($B480,Korrigeringsfaktor_GD,'Korrigeringsfaktor GD'!P$1,FALSE),
"")</f>
        <v>6.988428571428571</v>
      </c>
      <c r="Q480" s="18">
        <f>IFERROR(
                  Andel_oberoende_av_klimat*VLOOKUP($A480,Leveranser_per_nät,'Leveranser per nät'!Q$1,FALSE)
               +Andel_beroende_av_klimat*VLOOKUP($A480,Leveranser_per_nät,'Leveranser per nät'!Q$1,FALSE)/VLOOKUP($B480,Korrigeringsfaktor_GD,'Korrigeringsfaktor GD'!Q$1,FALSE),
"")</f>
        <v>7.6039652173913055</v>
      </c>
      <c r="R480" s="18">
        <f>IFERROR(
                  Andel_oberoende_av_klimat*VLOOKUP($A480,Leveranser_per_nät,'Leveranser per nät'!R$1,FALSE)
               +Andel_beroende_av_klimat*VLOOKUP($A480,Leveranser_per_nät,'Leveranser per nät'!R$1,FALSE)/VLOOKUP($B480,Korrigeringsfaktor_GD,'Korrigeringsfaktor GD'!R$1,FALSE),
"")</f>
        <v>7.4033538461538466</v>
      </c>
      <c r="S480" s="18">
        <f>IFERROR(
                  Andel_oberoende_av_klimat*VLOOKUP($A480,Leveranser_per_nät,'Leveranser per nät'!S$1,FALSE)
               +Andel_beroende_av_klimat*VLOOKUP($A480,Leveranser_per_nät,'Leveranser per nät'!S$1,FALSE)/VLOOKUP($B480,Korrigeringsfaktor_GD,'Korrigeringsfaktor GD'!S$1,FALSE),
"")</f>
        <v>7.7099999999999991</v>
      </c>
      <c r="T480" s="18">
        <f>IFERROR(
                  Andel_oberoende_av_klimat*VLOOKUP($A480,Leveranser_per_nät,'Leveranser per nät'!T$1,FALSE)
               +Andel_beroende_av_klimat*VLOOKUP($A480,Leveranser_per_nät,'Leveranser per nät'!T$1,FALSE)/VLOOKUP($B480,Korrigeringsfaktor_GD,'Korrigeringsfaktor GD'!T$1,FALSE),
"")</f>
        <v>7.8638625000000015</v>
      </c>
      <c r="U480" s="18">
        <f>IFERROR(
                  Andel_oberoende_av_klimat*VLOOKUP($A480,Leveranser_per_nät,'Leveranser per nät'!U$1,FALSE)
               +Andel_beroende_av_klimat*VLOOKUP($A480,Leveranser_per_nät,'Leveranser per nät'!U$1,FALSE)/VLOOKUP($B480,Korrigeringsfaktor_GD,'Korrigeringsfaktor GD'!U$1,FALSE),
"")</f>
        <v>7.6554555555555552</v>
      </c>
      <c r="V480" s="18">
        <f>IFERROR(
                  Andel_oberoende_av_klimat*VLOOKUP($A480,Leveranser_per_nät,'Leveranser per nät'!V$1,FALSE)
               +Andel_beroende_av_klimat*VLOOKUP($A480,Leveranser_per_nät,'Leveranser per nät'!V$1,FALSE)/VLOOKUP($B480,Korrigeringsfaktor_GD,'Korrigeringsfaktor GD'!V$1,FALSE),
"")</f>
        <v>7.9141222222222218</v>
      </c>
      <c r="W480" s="18">
        <f>IFERROR(
                  Andel_oberoende_av_klimat*VLOOKUP($A480,Leveranser_per_nät,'Leveranser per nät'!W$1,FALSE)
               +Andel_beroende_av_klimat*VLOOKUP($A480,Leveranser_per_nät,'Leveranser per nät'!W$1,FALSE)/VLOOKUP($B480,Korrigeringsfaktor_GD,'Korrigeringsfaktor GD'!W$1,FALSE),
"")</f>
        <v>8.0440425531914901</v>
      </c>
      <c r="X480" s="18">
        <f>IFERROR(
                  Andel_oberoende_av_klimat*VLOOKUP($A480,Leveranser_per_nät,'Leveranser per nät'!X$1,FALSE)
               +Andel_beroende_av_klimat*VLOOKUP($A480,Leveranser_per_nät,'Leveranser per nät'!X$1,FALSE)/VLOOKUP($B480,Korrigeringsfaktor_GD,'Korrigeringsfaktor GD'!X$1,FALSE),
"")</f>
        <v>6.5321052631578951</v>
      </c>
      <c r="Y480" s="18">
        <f>IFERROR(
                  Andel_oberoende_av_klimat*VLOOKUP($A480,Leveranser_per_nät,'Leveranser per nät'!Y$1,FALSE)
               +Andel_beroende_av_klimat*VLOOKUP($A480,Leveranser_per_nät,'Leveranser per nät'!Y$1,FALSE)/VLOOKUP($B480,Korrigeringsfaktor_GD,'Korrigeringsfaktor GD'!Y$1,FALSE),
"")</f>
        <v>7.638260869565217</v>
      </c>
      <c r="Z480" s="18">
        <f>IFERROR(
                  Andel_oberoende_av_klimat*VLOOKUP($A480,Leveranser_per_nät,'Leveranser per nät'!Z$1,FALSE)
               +Andel_beroende_av_klimat*VLOOKUP($A480,Leveranser_per_nät,'Leveranser per nät'!Z$1,FALSE)/VLOOKUP($B480,Korrigeringsfaktor_GD,'Korrigeringsfaktor GD'!Z$1,FALSE),
"")</f>
        <v>7.3434285714285714</v>
      </c>
      <c r="AA480" s="18">
        <f>IFERROR(
                  Andel_oberoende_av_klimat*VLOOKUP($A480,Leveranser_per_nät,'Leveranser per nät'!AA$1,FALSE)
               +Andel_beroende_av_klimat*VLOOKUP($A480,Leveranser_per_nät,'Leveranser per nät'!AA$1,FALSE)/VLOOKUP($B480,Korrigeringsfaktor_GD,'Korrigeringsfaktor GD'!AA$1,FALSE),
"")</f>
        <v>7.1686607142857133</v>
      </c>
      <c r="AB480" s="18">
        <f>IFERROR(
                  Andel_oberoende_av_klimat*VLOOKUP($A480,Leveranser_per_nät,'Leveranser per nät'!AB$1,FALSE)
               +Andel_beroende_av_klimat*VLOOKUP($A480,Leveranser_per_nät,'Leveranser per nät'!AB$1,FALSE)/VLOOKUP($B480,Korrigeringsfaktor_GD,'Korrigeringsfaktor GD'!AB$1,FALSE),
"")</f>
        <v>7.4834081429990063</v>
      </c>
      <c r="AC480" s="18">
        <f>IFERROR(
                  Andel_oberoende_av_klimat*VLOOKUP($A480,Leveranser_per_nät,'Leveranser per nät'!AC$1,FALSE)
               +Andel_beroende_av_klimat*VLOOKUP($A480,Leveranser_per_nät,'Leveranser per nät'!AC$1,FALSE)/VLOOKUP($B480,Korrigeringsfaktor_GD,'Korrigeringsfaktor GD'!AC$1,FALSE),
"")</f>
        <v>7.7725983263598328</v>
      </c>
      <c r="AD480">
        <v>46.38</v>
      </c>
    </row>
    <row r="481" spans="1:30" x14ac:dyDescent="0.25">
      <c r="A481" t="s">
        <v>374</v>
      </c>
      <c r="B481" t="s">
        <v>447</v>
      </c>
      <c r="C481" s="18">
        <f>IFERROR(
                  Andel_oberoende_av_klimat*VLOOKUP($A481,Leveranser_per_nät,'Leveranser per nät'!C$1,FALSE)
               +Andel_beroende_av_klimat*VLOOKUP($A481,Leveranser_per_nät,'Leveranser per nät'!C$1,FALSE)/VLOOKUP($B481,Korrigeringsfaktor_GD,'Korrigeringsfaktor GD'!C$1,FALSE),
"")</f>
        <v>16.959633027522933</v>
      </c>
      <c r="D481" s="18">
        <f>IFERROR(
                  Andel_oberoende_av_klimat*VLOOKUP($A481,Leveranser_per_nät,'Leveranser per nät'!D$1,FALSE)
               +Andel_beroende_av_klimat*VLOOKUP($A481,Leveranser_per_nät,'Leveranser per nät'!D$1,FALSE)/VLOOKUP($B481,Korrigeringsfaktor_GD,'Korrigeringsfaktor GD'!D$1,FALSE),
"")</f>
        <v>17.886916666666664</v>
      </c>
      <c r="E481" s="18">
        <f>IFERROR(
                  Andel_oberoende_av_klimat*VLOOKUP($A481,Leveranser_per_nät,'Leveranser per nät'!E$1,FALSE)
               +Andel_beroende_av_klimat*VLOOKUP($A481,Leveranser_per_nät,'Leveranser per nät'!E$1,FALSE)/VLOOKUP($B481,Korrigeringsfaktor_GD,'Korrigeringsfaktor GD'!E$1,FALSE),
"")</f>
        <v>17.875247524752474</v>
      </c>
      <c r="F481" s="18">
        <f>IFERROR(
                  Andel_oberoende_av_klimat*VLOOKUP($A481,Leveranser_per_nät,'Leveranser per nät'!F$1,FALSE)
               +Andel_beroende_av_klimat*VLOOKUP($A481,Leveranser_per_nät,'Leveranser per nät'!F$1,FALSE)/VLOOKUP($B481,Korrigeringsfaktor_GD,'Korrigeringsfaktor GD'!F$1,FALSE),
"")</f>
        <v>18.804255319148936</v>
      </c>
      <c r="G481" s="18">
        <f>IFERROR(
                  Andel_oberoende_av_klimat*VLOOKUP($A481,Leveranser_per_nät,'Leveranser per nät'!G$1,FALSE)
               +Andel_beroende_av_klimat*VLOOKUP($A481,Leveranser_per_nät,'Leveranser per nät'!G$1,FALSE)/VLOOKUP($B481,Korrigeringsfaktor_GD,'Korrigeringsfaktor GD'!G$1,FALSE),
"")</f>
        <v>18.470786516853931</v>
      </c>
      <c r="H481" s="18">
        <f>IFERROR(
                  Andel_oberoende_av_klimat*VLOOKUP($A481,Leveranser_per_nät,'Leveranser per nät'!H$1,FALSE)
               +Andel_beroende_av_klimat*VLOOKUP($A481,Leveranser_per_nät,'Leveranser per nät'!H$1,FALSE)/VLOOKUP($B481,Korrigeringsfaktor_GD,'Korrigeringsfaktor GD'!H$1,FALSE),
"")</f>
        <v>20.141414141414142</v>
      </c>
      <c r="I481" s="18">
        <f>IFERROR(
                  Andel_oberoende_av_klimat*VLOOKUP($A481,Leveranser_per_nät,'Leveranser per nät'!I$1,FALSE)
               +Andel_beroende_av_klimat*VLOOKUP($A481,Leveranser_per_nät,'Leveranser per nät'!I$1,FALSE)/VLOOKUP($B481,Korrigeringsfaktor_GD,'Korrigeringsfaktor GD'!I$1,FALSE),
"")</f>
        <v>21.454639175257732</v>
      </c>
      <c r="J481" s="18">
        <f>IFERROR(
                  Andel_oberoende_av_klimat*VLOOKUP($A481,Leveranser_per_nät,'Leveranser per nät'!J$1,FALSE)
               +Andel_beroende_av_klimat*VLOOKUP($A481,Leveranser_per_nät,'Leveranser per nät'!J$1,FALSE)/VLOOKUP($B481,Korrigeringsfaktor_GD,'Korrigeringsfaktor GD'!J$1,FALSE),
"")</f>
        <v>21.31927142857143</v>
      </c>
      <c r="K481" s="18">
        <f>IFERROR(
                  Andel_oberoende_av_klimat*VLOOKUP($A481,Leveranser_per_nät,'Leveranser per nät'!K$1,FALSE)
               +Andel_beroende_av_klimat*VLOOKUP($A481,Leveranser_per_nät,'Leveranser per nät'!K$1,FALSE)/VLOOKUP($B481,Korrigeringsfaktor_GD,'Korrigeringsfaktor GD'!K$1,FALSE),
"")</f>
        <v>20.937000000000001</v>
      </c>
      <c r="L481" s="18">
        <f>IFERROR(
                  Andel_oberoende_av_klimat*VLOOKUP($A481,Leveranser_per_nät,'Leveranser per nät'!L$1,FALSE)
               +Andel_beroende_av_klimat*VLOOKUP($A481,Leveranser_per_nät,'Leveranser per nät'!L$1,FALSE)/VLOOKUP($B481,Korrigeringsfaktor_GD,'Korrigeringsfaktor GD'!L$1,FALSE),
"")</f>
        <v>20.666336842105263</v>
      </c>
      <c r="M481" s="18">
        <f>IFERROR(
                  Andel_oberoende_av_klimat*VLOOKUP($A481,Leveranser_per_nät,'Leveranser per nät'!M$1,FALSE)
               +Andel_beroende_av_klimat*VLOOKUP($A481,Leveranser_per_nät,'Leveranser per nät'!M$1,FALSE)/VLOOKUP($B481,Korrigeringsfaktor_GD,'Korrigeringsfaktor GD'!M$1,FALSE),
"")</f>
        <v>22.463913043478264</v>
      </c>
      <c r="N481" s="18">
        <f>IFERROR(
                  Andel_oberoende_av_klimat*VLOOKUP($A481,Leveranser_per_nät,'Leveranser per nät'!N$1,FALSE)
               +Andel_beroende_av_klimat*VLOOKUP($A481,Leveranser_per_nät,'Leveranser per nät'!N$1,FALSE)/VLOOKUP($B481,Korrigeringsfaktor_GD,'Korrigeringsfaktor GD'!N$1,FALSE),
"")</f>
        <v>21.790645161290321</v>
      </c>
      <c r="O481" s="18">
        <f>IFERROR(
                  Andel_oberoende_av_klimat*VLOOKUP($A481,Leveranser_per_nät,'Leveranser per nät'!O$1,FALSE)
               +Andel_beroende_av_klimat*VLOOKUP($A481,Leveranser_per_nät,'Leveranser per nät'!O$1,FALSE)/VLOOKUP($B481,Korrigeringsfaktor_GD,'Korrigeringsfaktor GD'!O$1,FALSE),
"")</f>
        <v>25.105755555555554</v>
      </c>
      <c r="P481" s="18">
        <f>IFERROR(
                  Andel_oberoende_av_klimat*VLOOKUP($A481,Leveranser_per_nät,'Leveranser per nät'!P$1,FALSE)
               +Andel_beroende_av_klimat*VLOOKUP($A481,Leveranser_per_nät,'Leveranser per nät'!P$1,FALSE)/VLOOKUP($B481,Korrigeringsfaktor_GD,'Korrigeringsfaktor GD'!P$1,FALSE),
"")</f>
        <v>26.030607216494843</v>
      </c>
      <c r="Q481" s="18">
        <f>IFERROR(
                  Andel_oberoende_av_klimat*VLOOKUP($A481,Leveranser_per_nät,'Leveranser per nät'!Q$1,FALSE)
               +Andel_beroende_av_klimat*VLOOKUP($A481,Leveranser_per_nät,'Leveranser per nät'!Q$1,FALSE)/VLOOKUP($B481,Korrigeringsfaktor_GD,'Korrigeringsfaktor GD'!Q$1,FALSE),
"")</f>
        <v>27.592543478260868</v>
      </c>
      <c r="R481" s="18">
        <f>IFERROR(
                  Andel_oberoende_av_klimat*VLOOKUP($A481,Leveranser_per_nät,'Leveranser per nät'!R$1,FALSE)
               +Andel_beroende_av_klimat*VLOOKUP($A481,Leveranser_per_nät,'Leveranser per nät'!R$1,FALSE)/VLOOKUP($B481,Korrigeringsfaktor_GD,'Korrigeringsfaktor GD'!R$1,FALSE),
"")</f>
        <v>27.906923076923078</v>
      </c>
      <c r="S481" s="18">
        <f>IFERROR(
                  Andel_oberoende_av_klimat*VLOOKUP($A481,Leveranser_per_nät,'Leveranser per nät'!S$1,FALSE)
               +Andel_beroende_av_klimat*VLOOKUP($A481,Leveranser_per_nät,'Leveranser per nät'!S$1,FALSE)/VLOOKUP($B481,Korrigeringsfaktor_GD,'Korrigeringsfaktor GD'!S$1,FALSE),
"")</f>
        <v>28.700000000000003</v>
      </c>
      <c r="T481" s="18">
        <f>IFERROR(
                  Andel_oberoende_av_klimat*VLOOKUP($A481,Leveranser_per_nät,'Leveranser per nät'!T$1,FALSE)
               +Andel_beroende_av_klimat*VLOOKUP($A481,Leveranser_per_nät,'Leveranser per nät'!T$1,FALSE)/VLOOKUP($B481,Korrigeringsfaktor_GD,'Korrigeringsfaktor GD'!T$1,FALSE),
"")</f>
        <v>29.43416666666667</v>
      </c>
      <c r="U481" s="18">
        <f>IFERROR(
                  Andel_oberoende_av_klimat*VLOOKUP($A481,Leveranser_per_nät,'Leveranser per nät'!U$1,FALSE)
               +Andel_beroende_av_klimat*VLOOKUP($A481,Leveranser_per_nät,'Leveranser per nät'!U$1,FALSE)/VLOOKUP($B481,Korrigeringsfaktor_GD,'Korrigeringsfaktor GD'!U$1,FALSE),
"")</f>
        <v>26.836666666666666</v>
      </c>
      <c r="V481" s="18">
        <f>IFERROR(
                  Andel_oberoende_av_klimat*VLOOKUP($A481,Leveranser_per_nät,'Leveranser per nät'!V$1,FALSE)
               +Andel_beroende_av_klimat*VLOOKUP($A481,Leveranser_per_nät,'Leveranser per nät'!V$1,FALSE)/VLOOKUP($B481,Korrigeringsfaktor_GD,'Korrigeringsfaktor GD'!V$1,FALSE),
"")</f>
        <v>29.207777777777778</v>
      </c>
      <c r="W481" s="18">
        <f>IFERROR(
                  Andel_oberoende_av_klimat*VLOOKUP($A481,Leveranser_per_nät,'Leveranser per nät'!W$1,FALSE)
               +Andel_beroende_av_klimat*VLOOKUP($A481,Leveranser_per_nät,'Leveranser per nät'!W$1,FALSE)/VLOOKUP($B481,Korrigeringsfaktor_GD,'Korrigeringsfaktor GD'!W$1,FALSE),
"")</f>
        <v>29.877872340425533</v>
      </c>
      <c r="X481" s="18">
        <f>IFERROR(
                  Andel_oberoende_av_klimat*VLOOKUP($A481,Leveranser_per_nät,'Leveranser per nät'!X$1,FALSE)
               +Andel_beroende_av_klimat*VLOOKUP($A481,Leveranser_per_nät,'Leveranser per nät'!X$1,FALSE)/VLOOKUP($B481,Korrigeringsfaktor_GD,'Korrigeringsfaktor GD'!X$1,FALSE),
"")</f>
        <v>28.720526315789471</v>
      </c>
      <c r="Y481" s="18">
        <f>IFERROR(
                  Andel_oberoende_av_klimat*VLOOKUP($A481,Leveranser_per_nät,'Leveranser per nät'!Y$1,FALSE)
               +Andel_beroende_av_klimat*VLOOKUP($A481,Leveranser_per_nät,'Leveranser per nät'!Y$1,FALSE)/VLOOKUP($B481,Korrigeringsfaktor_GD,'Korrigeringsfaktor GD'!Y$1,FALSE),
"")</f>
        <v>28.633118279569892</v>
      </c>
      <c r="Z481" s="18">
        <f>IFERROR(
                  Andel_oberoende_av_klimat*VLOOKUP($A481,Leveranser_per_nät,'Leveranser per nät'!Z$1,FALSE)
               +Andel_beroende_av_klimat*VLOOKUP($A481,Leveranser_per_nät,'Leveranser per nät'!Z$1,FALSE)/VLOOKUP($B481,Korrigeringsfaktor_GD,'Korrigeringsfaktor GD'!Z$1,FALSE),
"")</f>
        <v>29.161379310344827</v>
      </c>
      <c r="AA481" s="18">
        <f>IFERROR(
                  Andel_oberoende_av_klimat*VLOOKUP($A481,Leveranser_per_nät,'Leveranser per nät'!AA$1,FALSE)
               +Andel_beroende_av_klimat*VLOOKUP($A481,Leveranser_per_nät,'Leveranser per nät'!AA$1,FALSE)/VLOOKUP($B481,Korrigeringsfaktor_GD,'Korrigeringsfaktor GD'!AA$1,FALSE),
"")</f>
        <v>30.231762711864409</v>
      </c>
      <c r="AB481" s="18">
        <f>IFERROR(
                  Andel_oberoende_av_klimat*VLOOKUP($A481,Leveranser_per_nät,'Leveranser per nät'!AB$1,FALSE)
               +Andel_beroende_av_klimat*VLOOKUP($A481,Leveranser_per_nät,'Leveranser per nät'!AB$1,FALSE)/VLOOKUP($B481,Korrigeringsfaktor_GD,'Korrigeringsfaktor GD'!AB$1,FALSE),
"")</f>
        <v>28.482519685039371</v>
      </c>
      <c r="AC481" s="18">
        <f>IFERROR(
                  Andel_oberoende_av_klimat*VLOOKUP($A481,Leveranser_per_nät,'Leveranser per nät'!AC$1,FALSE)
               +Andel_beroende_av_klimat*VLOOKUP($A481,Leveranser_per_nät,'Leveranser per nät'!AC$1,FALSE)/VLOOKUP($B481,Korrigeringsfaktor_GD,'Korrigeringsfaktor GD'!AC$1,FALSE),
"")</f>
        <v>26.670256410256414</v>
      </c>
      <c r="AD481" t="e">
        <v>#N/A</v>
      </c>
    </row>
    <row r="482" spans="1:30" x14ac:dyDescent="0.25">
      <c r="A482" t="s">
        <v>376</v>
      </c>
      <c r="B482" t="s">
        <v>376</v>
      </c>
      <c r="C482" s="18">
        <f>IFERROR(
                  Andel_oberoende_av_klimat*VLOOKUP($A482,Leveranser_per_nät,'Leveranser per nät'!C$1,FALSE)
               +Andel_beroende_av_klimat*VLOOKUP($A482,Leveranser_per_nät,'Leveranser per nät'!C$1,FALSE)/VLOOKUP($B482,Korrigeringsfaktor_GD,'Korrigeringsfaktor GD'!C$1,FALSE),
"")</f>
        <v>165.18490566037735</v>
      </c>
      <c r="D482" s="18">
        <f>IFERROR(
                  Andel_oberoende_av_klimat*VLOOKUP($A482,Leveranser_per_nät,'Leveranser per nät'!D$1,FALSE)
               +Andel_beroende_av_klimat*VLOOKUP($A482,Leveranser_per_nät,'Leveranser per nät'!D$1,FALSE)/VLOOKUP($B482,Korrigeringsfaktor_GD,'Korrigeringsfaktor GD'!D$1,FALSE),
"")</f>
        <v>169.29557894736843</v>
      </c>
      <c r="E482" s="18">
        <f>IFERROR(
                  Andel_oberoende_av_klimat*VLOOKUP($A482,Leveranser_per_nät,'Leveranser per nät'!E$1,FALSE)
               +Andel_beroende_av_klimat*VLOOKUP($A482,Leveranser_per_nät,'Leveranser per nät'!E$1,FALSE)/VLOOKUP($B482,Korrigeringsfaktor_GD,'Korrigeringsfaktor GD'!E$1,FALSE),
"")</f>
        <v>169.81485148514849</v>
      </c>
      <c r="F482" s="18">
        <f>IFERROR(
                  Andel_oberoende_av_klimat*VLOOKUP($A482,Leveranser_per_nät,'Leveranser per nät'!F$1,FALSE)
               +Andel_beroende_av_klimat*VLOOKUP($A482,Leveranser_per_nät,'Leveranser per nät'!F$1,FALSE)/VLOOKUP($B482,Korrigeringsfaktor_GD,'Korrigeringsfaktor GD'!F$1,FALSE),
"")</f>
        <v>171.20202020202021</v>
      </c>
      <c r="G482" s="18">
        <f>IFERROR(
                  Andel_oberoende_av_klimat*VLOOKUP($A482,Leveranser_per_nät,'Leveranser per nät'!G$1,FALSE)
               +Andel_beroende_av_klimat*VLOOKUP($A482,Leveranser_per_nät,'Leveranser per nät'!G$1,FALSE)/VLOOKUP($B482,Korrigeringsfaktor_GD,'Korrigeringsfaktor GD'!G$1,FALSE),
"")</f>
        <v>176.75555555555556</v>
      </c>
      <c r="H482" s="18">
        <f>IFERROR(
                  Andel_oberoende_av_klimat*VLOOKUP($A482,Leveranser_per_nät,'Leveranser per nät'!H$1,FALSE)
               +Andel_beroende_av_klimat*VLOOKUP($A482,Leveranser_per_nät,'Leveranser per nät'!H$1,FALSE)/VLOOKUP($B482,Korrigeringsfaktor_GD,'Korrigeringsfaktor GD'!H$1,FALSE),
"")</f>
        <v>183.76422020202017</v>
      </c>
      <c r="I482" s="18">
        <f>IFERROR(
                  Andel_oberoende_av_klimat*VLOOKUP($A482,Leveranser_per_nät,'Leveranser per nät'!I$1,FALSE)
               +Andel_beroende_av_klimat*VLOOKUP($A482,Leveranser_per_nät,'Leveranser per nät'!I$1,FALSE)/VLOOKUP($B482,Korrigeringsfaktor_GD,'Korrigeringsfaktor GD'!I$1,FALSE),
"")</f>
        <v>203.22105263157894</v>
      </c>
      <c r="J482" s="18">
        <f>IFERROR(
                  Andel_oberoende_av_klimat*VLOOKUP($A482,Leveranser_per_nät,'Leveranser per nät'!J$1,FALSE)
               +Andel_beroende_av_klimat*VLOOKUP($A482,Leveranser_per_nät,'Leveranser per nät'!J$1,FALSE)/VLOOKUP($B482,Korrigeringsfaktor_GD,'Korrigeringsfaktor GD'!J$1,FALSE),
"")</f>
        <v>205.9</v>
      </c>
      <c r="K482" s="18">
        <f>IFERROR(
                  Andel_oberoende_av_klimat*VLOOKUP($A482,Leveranser_per_nät,'Leveranser per nät'!K$1,FALSE)
               +Andel_beroende_av_klimat*VLOOKUP($A482,Leveranser_per_nät,'Leveranser per nät'!K$1,FALSE)/VLOOKUP($B482,Korrigeringsfaktor_GD,'Korrigeringsfaktor GD'!K$1,FALSE),
"")</f>
        <v>219.65463917525773</v>
      </c>
      <c r="L482" s="18">
        <f>IFERROR(
                  Andel_oberoende_av_klimat*VLOOKUP($A482,Leveranser_per_nät,'Leveranser per nät'!L$1,FALSE)
               +Andel_beroende_av_klimat*VLOOKUP($A482,Leveranser_per_nät,'Leveranser per nät'!L$1,FALSE)/VLOOKUP($B482,Korrigeringsfaktor_GD,'Korrigeringsfaktor GD'!L$1,FALSE),
"")</f>
        <v>221.99468085106383</v>
      </c>
      <c r="M482" s="18">
        <f>IFERROR(
                  Andel_oberoende_av_klimat*VLOOKUP($A482,Leveranser_per_nät,'Leveranser per nät'!M$1,FALSE)
               +Andel_beroende_av_klimat*VLOOKUP($A482,Leveranser_per_nät,'Leveranser per nät'!M$1,FALSE)/VLOOKUP($B482,Korrigeringsfaktor_GD,'Korrigeringsfaktor GD'!M$1,FALSE),
"")</f>
        <v>230.74</v>
      </c>
      <c r="N482" s="18">
        <f>IFERROR(
                  Andel_oberoende_av_klimat*VLOOKUP($A482,Leveranser_per_nät,'Leveranser per nät'!N$1,FALSE)
               +Andel_beroende_av_klimat*VLOOKUP($A482,Leveranser_per_nät,'Leveranser per nät'!N$1,FALSE)/VLOOKUP($B482,Korrigeringsfaktor_GD,'Korrigeringsfaktor GD'!N$1,FALSE),
"")</f>
        <v>207.25423404255318</v>
      </c>
      <c r="O482" s="18">
        <f>IFERROR(
                  Andel_oberoende_av_klimat*VLOOKUP($A482,Leveranser_per_nät,'Leveranser per nät'!O$1,FALSE)
               +Andel_beroende_av_klimat*VLOOKUP($A482,Leveranser_per_nät,'Leveranser per nät'!O$1,FALSE)/VLOOKUP($B482,Korrigeringsfaktor_GD,'Korrigeringsfaktor GD'!O$1,FALSE),
"")</f>
        <v>218.53579999999999</v>
      </c>
      <c r="P482" s="18">
        <f>IFERROR(
                  Andel_oberoende_av_klimat*VLOOKUP($A482,Leveranser_per_nät,'Leveranser per nät'!P$1,FALSE)
               +Andel_beroende_av_klimat*VLOOKUP($A482,Leveranser_per_nät,'Leveranser per nät'!P$1,FALSE)/VLOOKUP($B482,Korrigeringsfaktor_GD,'Korrigeringsfaktor GD'!P$1,FALSE),
"")</f>
        <v>225.33079314285715</v>
      </c>
      <c r="Q482" s="18">
        <f>IFERROR(
                  Andel_oberoende_av_klimat*VLOOKUP($A482,Leveranser_per_nät,'Leveranser per nät'!Q$1,FALSE)
               +Andel_beroende_av_klimat*VLOOKUP($A482,Leveranser_per_nät,'Leveranser per nät'!Q$1,FALSE)/VLOOKUP($B482,Korrigeringsfaktor_GD,'Korrigeringsfaktor GD'!Q$1,FALSE),
"")</f>
        <v>219.75869391283786</v>
      </c>
      <c r="R482" s="18">
        <f>IFERROR(
                  Andel_oberoende_av_klimat*VLOOKUP($A482,Leveranser_per_nät,'Leveranser per nät'!R$1,FALSE)
               +Andel_beroende_av_klimat*VLOOKUP($A482,Leveranser_per_nät,'Leveranser per nät'!R$1,FALSE)/VLOOKUP($B482,Korrigeringsfaktor_GD,'Korrigeringsfaktor GD'!R$1,FALSE),
"")</f>
        <v>208.50042222222223</v>
      </c>
      <c r="S482" s="18">
        <f>IFERROR(
                  Andel_oberoende_av_klimat*VLOOKUP($A482,Leveranser_per_nät,'Leveranser per nät'!S$1,FALSE)
               +Andel_beroende_av_klimat*VLOOKUP($A482,Leveranser_per_nät,'Leveranser per nät'!S$1,FALSE)/VLOOKUP($B482,Korrigeringsfaktor_GD,'Korrigeringsfaktor GD'!S$1,FALSE),
"")</f>
        <v>249.38648571428573</v>
      </c>
      <c r="T482" s="18">
        <f>IFERROR(
                  Andel_oberoende_av_klimat*VLOOKUP($A482,Leveranser_per_nät,'Leveranser per nät'!T$1,FALSE)
               +Andel_beroende_av_klimat*VLOOKUP($A482,Leveranser_per_nät,'Leveranser per nät'!T$1,FALSE)/VLOOKUP($B482,Korrigeringsfaktor_GD,'Korrigeringsfaktor GD'!T$1,FALSE),
"")</f>
        <v>248.15018279569892</v>
      </c>
      <c r="U482" s="18">
        <f>IFERROR(
                  Andel_oberoende_av_klimat*VLOOKUP($A482,Leveranser_per_nät,'Leveranser per nät'!U$1,FALSE)
               +Andel_beroende_av_klimat*VLOOKUP($A482,Leveranser_per_nät,'Leveranser per nät'!U$1,FALSE)/VLOOKUP($B482,Korrigeringsfaktor_GD,'Korrigeringsfaktor GD'!U$1,FALSE),
"")</f>
        <v>237.24806818181816</v>
      </c>
      <c r="V482" s="18">
        <f>IFERROR(
                  Andel_oberoende_av_klimat*VLOOKUP($A482,Leveranser_per_nät,'Leveranser per nät'!V$1,FALSE)
               +Andel_beroende_av_klimat*VLOOKUP($A482,Leveranser_per_nät,'Leveranser per nät'!V$1,FALSE)/VLOOKUP($B482,Korrigeringsfaktor_GD,'Korrigeringsfaktor GD'!V$1,FALSE),
"")</f>
        <v>234.94351264367816</v>
      </c>
      <c r="W482" s="18">
        <f>IFERROR(
                  Andel_oberoende_av_klimat*VLOOKUP($A482,Leveranser_per_nät,'Leveranser per nät'!W$1,FALSE)
               +Andel_beroende_av_klimat*VLOOKUP($A482,Leveranser_per_nät,'Leveranser per nät'!W$1,FALSE)/VLOOKUP($B482,Korrigeringsfaktor_GD,'Korrigeringsfaktor GD'!W$1,FALSE),
"")</f>
        <v>242.9906765957447</v>
      </c>
      <c r="X482" s="18">
        <f>IFERROR(
                  Andel_oberoende_av_klimat*VLOOKUP($A482,Leveranser_per_nät,'Leveranser per nät'!X$1,FALSE)
               +Andel_beroende_av_klimat*VLOOKUP($A482,Leveranser_per_nät,'Leveranser per nät'!X$1,FALSE)/VLOOKUP($B482,Korrigeringsfaktor_GD,'Korrigeringsfaktor GD'!X$1,FALSE),
"")</f>
        <v>237.60377368421052</v>
      </c>
      <c r="Y482" s="18">
        <f>IFERROR(
                  Andel_oberoende_av_klimat*VLOOKUP($A482,Leveranser_per_nät,'Leveranser per nät'!Y$1,FALSE)
               +Andel_beroende_av_klimat*VLOOKUP($A482,Leveranser_per_nät,'Leveranser per nät'!Y$1,FALSE)/VLOOKUP($B482,Korrigeringsfaktor_GD,'Korrigeringsfaktor GD'!Y$1,FALSE),
"")</f>
        <v>240.90733333333336</v>
      </c>
      <c r="Z482" s="18">
        <f>IFERROR(
                  Andel_oberoende_av_klimat*VLOOKUP($A482,Leveranser_per_nät,'Leveranser per nät'!Z$1,FALSE)
               +Andel_beroende_av_klimat*VLOOKUP($A482,Leveranser_per_nät,'Leveranser per nät'!Z$1,FALSE)/VLOOKUP($B482,Korrigeringsfaktor_GD,'Korrigeringsfaktor GD'!Z$1,FALSE),
"")</f>
        <v>245.2447634408602</v>
      </c>
      <c r="AA482" s="18">
        <f>IFERROR(
                  Andel_oberoende_av_klimat*VLOOKUP($A482,Leveranser_per_nät,'Leveranser per nät'!AA$1,FALSE)
               +Andel_beroende_av_klimat*VLOOKUP($A482,Leveranser_per_nät,'Leveranser per nät'!AA$1,FALSE)/VLOOKUP($B482,Korrigeringsfaktor_GD,'Korrigeringsfaktor GD'!AA$1,FALSE),
"")</f>
        <v>236.816547261382</v>
      </c>
      <c r="AB482" s="18">
        <f>IFERROR(
                  Andel_oberoende_av_klimat*VLOOKUP($A482,Leveranser_per_nät,'Leveranser per nät'!AB$1,FALSE)
               +Andel_beroende_av_klimat*VLOOKUP($A482,Leveranser_per_nät,'Leveranser per nät'!AB$1,FALSE)/VLOOKUP($B482,Korrigeringsfaktor_GD,'Korrigeringsfaktor GD'!AB$1,FALSE),
"")</f>
        <v>223.8721233140655</v>
      </c>
      <c r="AC482" s="18">
        <f>IFERROR(
                  Andel_oberoende_av_klimat*VLOOKUP($A482,Leveranser_per_nät,'Leveranser per nät'!AC$1,FALSE)
               +Andel_beroende_av_klimat*VLOOKUP($A482,Leveranser_per_nät,'Leveranser per nät'!AC$1,FALSE)/VLOOKUP($B482,Korrigeringsfaktor_GD,'Korrigeringsfaktor GD'!AC$1,FALSE),
"")</f>
        <v>228.54298969072164</v>
      </c>
      <c r="AD482">
        <v>223.7</v>
      </c>
    </row>
    <row r="483" spans="1:30" x14ac:dyDescent="0.25">
      <c r="A483" s="4" t="s">
        <v>440</v>
      </c>
      <c r="B483" t="s">
        <v>101</v>
      </c>
      <c r="C483" s="18">
        <f>IFERROR(
                  Andel_oberoende_av_klimat*VLOOKUP($A483,Leveranser_per_nät,'Leveranser per nät'!C$1,FALSE)
               +Andel_beroende_av_klimat*VLOOKUP($A483,Leveranser_per_nät,'Leveranser per nät'!C$1,FALSE)/VLOOKUP($B483,Korrigeringsfaktor_GD,'Korrigeringsfaktor GD'!C$1,FALSE),
"")</f>
        <v>0</v>
      </c>
      <c r="D483" s="18">
        <f>IFERROR(
                  Andel_oberoende_av_klimat*VLOOKUP($A483,Leveranser_per_nät,'Leveranser per nät'!D$1,FALSE)
               +Andel_beroende_av_klimat*VLOOKUP($A483,Leveranser_per_nät,'Leveranser per nät'!D$1,FALSE)/VLOOKUP($B483,Korrigeringsfaktor_GD,'Korrigeringsfaktor GD'!D$1,FALSE),
"")</f>
        <v>0</v>
      </c>
      <c r="E483" s="18">
        <f>IFERROR(
                  Andel_oberoende_av_klimat*VLOOKUP($A483,Leveranser_per_nät,'Leveranser per nät'!E$1,FALSE)
               +Andel_beroende_av_klimat*VLOOKUP($A483,Leveranser_per_nät,'Leveranser per nät'!E$1,FALSE)/VLOOKUP($B483,Korrigeringsfaktor_GD,'Korrigeringsfaktor GD'!E$1,FALSE),
"")</f>
        <v>0</v>
      </c>
      <c r="F483" s="18">
        <f>IFERROR(
                  Andel_oberoende_av_klimat*VLOOKUP($A483,Leveranser_per_nät,'Leveranser per nät'!F$1,FALSE)
               +Andel_beroende_av_klimat*VLOOKUP($A483,Leveranser_per_nät,'Leveranser per nät'!F$1,FALSE)/VLOOKUP($B483,Korrigeringsfaktor_GD,'Korrigeringsfaktor GD'!F$1,FALSE),
"")</f>
        <v>0</v>
      </c>
      <c r="G483" s="18">
        <f>IFERROR(
                  Andel_oberoende_av_klimat*VLOOKUP($A483,Leveranser_per_nät,'Leveranser per nät'!G$1,FALSE)
               +Andel_beroende_av_klimat*VLOOKUP($A483,Leveranser_per_nät,'Leveranser per nät'!G$1,FALSE)/VLOOKUP($B483,Korrigeringsfaktor_GD,'Korrigeringsfaktor GD'!G$1,FALSE),
"")</f>
        <v>0</v>
      </c>
      <c r="H483" s="18">
        <f>IFERROR(
                  Andel_oberoende_av_klimat*VLOOKUP($A483,Leveranser_per_nät,'Leveranser per nät'!H$1,FALSE)
               +Andel_beroende_av_klimat*VLOOKUP($A483,Leveranser_per_nät,'Leveranser per nät'!H$1,FALSE)/VLOOKUP($B483,Korrigeringsfaktor_GD,'Korrigeringsfaktor GD'!H$1,FALSE),
"")</f>
        <v>0</v>
      </c>
      <c r="I483" s="18">
        <f>IFERROR(
                  Andel_oberoende_av_klimat*VLOOKUP($A483,Leveranser_per_nät,'Leveranser per nät'!I$1,FALSE)
               +Andel_beroende_av_klimat*VLOOKUP($A483,Leveranser_per_nät,'Leveranser per nät'!I$1,FALSE)/VLOOKUP($B483,Korrigeringsfaktor_GD,'Korrigeringsfaktor GD'!I$1,FALSE),
"")</f>
        <v>0</v>
      </c>
      <c r="J483" s="18">
        <f>IFERROR(
                  Andel_oberoende_av_klimat*VLOOKUP($A483,Leveranser_per_nät,'Leveranser per nät'!J$1,FALSE)
               +Andel_beroende_av_klimat*VLOOKUP($A483,Leveranser_per_nät,'Leveranser per nät'!J$1,FALSE)/VLOOKUP($B483,Korrigeringsfaktor_GD,'Korrigeringsfaktor GD'!J$1,FALSE),
"")</f>
        <v>0</v>
      </c>
      <c r="K483" s="18">
        <f>IFERROR(
                  Andel_oberoende_av_klimat*VLOOKUP($A483,Leveranser_per_nät,'Leveranser per nät'!K$1,FALSE)
               +Andel_beroende_av_klimat*VLOOKUP($A483,Leveranser_per_nät,'Leveranser per nät'!K$1,FALSE)/VLOOKUP($B483,Korrigeringsfaktor_GD,'Korrigeringsfaktor GD'!K$1,FALSE),
"")</f>
        <v>0</v>
      </c>
      <c r="L483" s="18">
        <f>IFERROR(
                  Andel_oberoende_av_klimat*VLOOKUP($A483,Leveranser_per_nät,'Leveranser per nät'!L$1,FALSE)
               +Andel_beroende_av_klimat*VLOOKUP($A483,Leveranser_per_nät,'Leveranser per nät'!L$1,FALSE)/VLOOKUP($B483,Korrigeringsfaktor_GD,'Korrigeringsfaktor GD'!L$1,FALSE),
"")</f>
        <v>0</v>
      </c>
      <c r="M483" s="18">
        <f>IFERROR(
                  Andel_oberoende_av_klimat*VLOOKUP($A483,Leveranser_per_nät,'Leveranser per nät'!M$1,FALSE)
               +Andel_beroende_av_klimat*VLOOKUP($A483,Leveranser_per_nät,'Leveranser per nät'!M$1,FALSE)/VLOOKUP($B483,Korrigeringsfaktor_GD,'Korrigeringsfaktor GD'!M$1,FALSE),
"")</f>
        <v>0</v>
      </c>
      <c r="N483" s="18">
        <f>IFERROR(
                  Andel_oberoende_av_klimat*VLOOKUP($A483,Leveranser_per_nät,'Leveranser per nät'!N$1,FALSE)
               +Andel_beroende_av_klimat*VLOOKUP($A483,Leveranser_per_nät,'Leveranser per nät'!N$1,FALSE)/VLOOKUP($B483,Korrigeringsfaktor_GD,'Korrigeringsfaktor GD'!N$1,FALSE),
"")</f>
        <v>0</v>
      </c>
      <c r="O483" s="18">
        <f>IFERROR(
                  Andel_oberoende_av_klimat*VLOOKUP($A483,Leveranser_per_nät,'Leveranser per nät'!O$1,FALSE)
               +Andel_beroende_av_klimat*VLOOKUP($A483,Leveranser_per_nät,'Leveranser per nät'!O$1,FALSE)/VLOOKUP($B483,Korrigeringsfaktor_GD,'Korrigeringsfaktor GD'!O$1,FALSE),
"")</f>
        <v>0</v>
      </c>
      <c r="P483" s="18">
        <f>IFERROR(
                  Andel_oberoende_av_klimat*VLOOKUP($A483,Leveranser_per_nät,'Leveranser per nät'!P$1,FALSE)
               +Andel_beroende_av_klimat*VLOOKUP($A483,Leveranser_per_nät,'Leveranser per nät'!P$1,FALSE)/VLOOKUP($B483,Korrigeringsfaktor_GD,'Korrigeringsfaktor GD'!P$1,FALSE),
"")</f>
        <v>0</v>
      </c>
      <c r="Q483" s="18">
        <f>IFERROR(
                  Andel_oberoende_av_klimat*VLOOKUP($A483,Leveranser_per_nät,'Leveranser per nät'!Q$1,FALSE)
               +Andel_beroende_av_klimat*VLOOKUP($A483,Leveranser_per_nät,'Leveranser per nät'!Q$1,FALSE)/VLOOKUP($B483,Korrigeringsfaktor_GD,'Korrigeringsfaktor GD'!Q$1,FALSE),
"")</f>
        <v>3.4081145299145303</v>
      </c>
      <c r="R483" s="18">
        <f>IFERROR(
                  Andel_oberoende_av_klimat*VLOOKUP($A483,Leveranser_per_nät,'Leveranser per nät'!R$1,FALSE)
               +Andel_beroende_av_klimat*VLOOKUP($A483,Leveranser_per_nät,'Leveranser per nät'!R$1,FALSE)/VLOOKUP($B483,Korrigeringsfaktor_GD,'Korrigeringsfaktor GD'!R$1,FALSE),
"")</f>
        <v>3.8353307692307692</v>
      </c>
      <c r="S483" s="18">
        <f>IFERROR(
                  Andel_oberoende_av_klimat*VLOOKUP($A483,Leveranser_per_nät,'Leveranser per nät'!S$1,FALSE)
               +Andel_beroende_av_klimat*VLOOKUP($A483,Leveranser_per_nät,'Leveranser per nät'!S$1,FALSE)/VLOOKUP($B483,Korrigeringsfaktor_GD,'Korrigeringsfaktor GD'!S$1,FALSE),
"")</f>
        <v>5.8600000000000012</v>
      </c>
      <c r="T483" s="18">
        <f>IFERROR(
                  Andel_oberoende_av_klimat*VLOOKUP($A483,Leveranser_per_nät,'Leveranser per nät'!T$1,FALSE)
               +Andel_beroende_av_klimat*VLOOKUP($A483,Leveranser_per_nät,'Leveranser per nät'!T$1,FALSE)/VLOOKUP($B483,Korrigeringsfaktor_GD,'Korrigeringsfaktor GD'!T$1,FALSE),
"")</f>
        <v>5.8209666666666671</v>
      </c>
      <c r="U483" s="18">
        <f>IFERROR(
                  Andel_oberoende_av_klimat*VLOOKUP($A483,Leveranser_per_nät,'Leveranser per nät'!U$1,FALSE)
               +Andel_beroende_av_klimat*VLOOKUP($A483,Leveranser_per_nät,'Leveranser per nät'!U$1,FALSE)/VLOOKUP($B483,Korrigeringsfaktor_GD,'Korrigeringsfaktor GD'!U$1,FALSE),
"")</f>
        <v>5.486910112359551</v>
      </c>
      <c r="V483" s="18">
        <f>IFERROR(
                  Andel_oberoende_av_klimat*VLOOKUP($A483,Leveranser_per_nät,'Leveranser per nät'!V$1,FALSE)
               +Andel_beroende_av_klimat*VLOOKUP($A483,Leveranser_per_nät,'Leveranser per nät'!V$1,FALSE)/VLOOKUP($B483,Korrigeringsfaktor_GD,'Korrigeringsfaktor GD'!V$1,FALSE),
"")</f>
        <v>5.5813409090909092</v>
      </c>
      <c r="W483" s="18">
        <f>IFERROR(
                  Andel_oberoende_av_klimat*VLOOKUP($A483,Leveranser_per_nät,'Leveranser per nät'!W$1,FALSE)
               +Andel_beroende_av_klimat*VLOOKUP($A483,Leveranser_per_nät,'Leveranser per nät'!W$1,FALSE)/VLOOKUP($B483,Korrigeringsfaktor_GD,'Korrigeringsfaktor GD'!W$1,FALSE),
"")</f>
        <v>5.3897634408602144</v>
      </c>
      <c r="X483" s="18">
        <f>IFERROR(
                  Andel_oberoende_av_klimat*VLOOKUP($A483,Leveranser_per_nät,'Leveranser per nät'!X$1,FALSE)
               +Andel_beroende_av_klimat*VLOOKUP($A483,Leveranser_per_nät,'Leveranser per nät'!X$1,FALSE)/VLOOKUP($B483,Korrigeringsfaktor_GD,'Korrigeringsfaktor GD'!X$1,FALSE),
"")</f>
        <v>5.7160967741935487</v>
      </c>
      <c r="Y483" s="18">
        <f>IFERROR(
                  Andel_oberoende_av_klimat*VLOOKUP($A483,Leveranser_per_nät,'Leveranser per nät'!Y$1,FALSE)
               +Andel_beroende_av_klimat*VLOOKUP($A483,Leveranser_per_nät,'Leveranser per nät'!Y$1,FALSE)/VLOOKUP($B483,Korrigeringsfaktor_GD,'Korrigeringsfaktor GD'!Y$1,FALSE),
"")</f>
        <v>5.7393043478260868</v>
      </c>
      <c r="Z483" s="18">
        <f>IFERROR(
                  Andel_oberoende_av_klimat*VLOOKUP($A483,Leveranser_per_nät,'Leveranser per nät'!Z$1,FALSE)
               +Andel_beroende_av_klimat*VLOOKUP($A483,Leveranser_per_nät,'Leveranser per nät'!Z$1,FALSE)/VLOOKUP($B483,Korrigeringsfaktor_GD,'Korrigeringsfaktor GD'!Z$1,FALSE),
"")</f>
        <v>5.7730454545454544</v>
      </c>
      <c r="AA483" s="18">
        <f>IFERROR(
                  Andel_oberoende_av_klimat*VLOOKUP($A483,Leveranser_per_nät,'Leveranser per nät'!AA$1,FALSE)
               +Andel_beroende_av_klimat*VLOOKUP($A483,Leveranser_per_nät,'Leveranser per nät'!AA$1,FALSE)/VLOOKUP($B483,Korrigeringsfaktor_GD,'Korrigeringsfaktor GD'!AA$1,FALSE),
"")</f>
        <v>5.721122823529412</v>
      </c>
      <c r="AB483" s="18">
        <f>IFERROR(
                  Andel_oberoende_av_klimat*VLOOKUP($A483,Leveranser_per_nät,'Leveranser per nät'!AB$1,FALSE)
               +Andel_beroende_av_klimat*VLOOKUP($A483,Leveranser_per_nät,'Leveranser per nät'!AB$1,FALSE)/VLOOKUP($B483,Korrigeringsfaktor_GD,'Korrigeringsfaktor GD'!AB$1,FALSE),
"")</f>
        <v>3.5354090909090909</v>
      </c>
      <c r="AC483" s="18">
        <f>IFERROR(
                  Andel_oberoende_av_klimat*VLOOKUP($A483,Leveranser_per_nät,'Leveranser per nät'!AC$1,FALSE)
               +Andel_beroende_av_klimat*VLOOKUP($A483,Leveranser_per_nät,'Leveranser per nät'!AC$1,FALSE)/VLOOKUP($B483,Korrigeringsfaktor_GD,'Korrigeringsfaktor GD'!AC$1,FALSE),
"")</f>
        <v>3.3551329842931938</v>
      </c>
      <c r="AD483">
        <v>213</v>
      </c>
    </row>
    <row r="484" spans="1:30" x14ac:dyDescent="0.25">
      <c r="A484" t="s">
        <v>218</v>
      </c>
      <c r="B484" t="s">
        <v>527</v>
      </c>
      <c r="C484" s="18">
        <f>IFERROR(
                  Andel_oberoende_av_klimat*VLOOKUP($A484,Leveranser_per_nät,'Leveranser per nät'!C$1,FALSE)
               +Andel_beroende_av_klimat*VLOOKUP($A484,Leveranser_per_nät,'Leveranser per nät'!C$1,FALSE)/VLOOKUP($B484,Korrigeringsfaktor_GD,'Korrigeringsfaktor GD'!C$1,FALSE),
"")</f>
        <v>0</v>
      </c>
      <c r="D484" s="18">
        <f>IFERROR(
                  Andel_oberoende_av_klimat*VLOOKUP($A484,Leveranser_per_nät,'Leveranser per nät'!D$1,FALSE)
               +Andel_beroende_av_klimat*VLOOKUP($A484,Leveranser_per_nät,'Leveranser per nät'!D$1,FALSE)/VLOOKUP($B484,Korrigeringsfaktor_GD,'Korrigeringsfaktor GD'!D$1,FALSE),
"")</f>
        <v>0</v>
      </c>
      <c r="E484" s="18">
        <f>IFERROR(
                  Andel_oberoende_av_klimat*VLOOKUP($A484,Leveranser_per_nät,'Leveranser per nät'!E$1,FALSE)
               +Andel_beroende_av_klimat*VLOOKUP($A484,Leveranser_per_nät,'Leveranser per nät'!E$1,FALSE)/VLOOKUP($B484,Korrigeringsfaktor_GD,'Korrigeringsfaktor GD'!E$1,FALSE),
"")</f>
        <v>0</v>
      </c>
      <c r="F484" s="18">
        <f>IFERROR(
                  Andel_oberoende_av_klimat*VLOOKUP($A484,Leveranser_per_nät,'Leveranser per nät'!F$1,FALSE)
               +Andel_beroende_av_klimat*VLOOKUP($A484,Leveranser_per_nät,'Leveranser per nät'!F$1,FALSE)/VLOOKUP($B484,Korrigeringsfaktor_GD,'Korrigeringsfaktor GD'!F$1,FALSE),
"")</f>
        <v>0</v>
      </c>
      <c r="G484" s="18">
        <f>IFERROR(
                  Andel_oberoende_av_klimat*VLOOKUP($A484,Leveranser_per_nät,'Leveranser per nät'!G$1,FALSE)
               +Andel_beroende_av_klimat*VLOOKUP($A484,Leveranser_per_nät,'Leveranser per nät'!G$1,FALSE)/VLOOKUP($B484,Korrigeringsfaktor_GD,'Korrigeringsfaktor GD'!G$1,FALSE),
"")</f>
        <v>9.5468863636363643</v>
      </c>
      <c r="H484" s="18">
        <f>IFERROR(
                  Andel_oberoende_av_klimat*VLOOKUP($A484,Leveranser_per_nät,'Leveranser per nät'!H$1,FALSE)
               +Andel_beroende_av_klimat*VLOOKUP($A484,Leveranser_per_nät,'Leveranser per nät'!H$1,FALSE)/VLOOKUP($B484,Korrigeringsfaktor_GD,'Korrigeringsfaktor GD'!H$1,FALSE),
"")</f>
        <v>10.124081818181818</v>
      </c>
      <c r="I484" s="18">
        <f>IFERROR(
                  Andel_oberoende_av_klimat*VLOOKUP($A484,Leveranser_per_nät,'Leveranser per nät'!I$1,FALSE)
               +Andel_beroende_av_klimat*VLOOKUP($A484,Leveranser_per_nät,'Leveranser per nät'!I$1,FALSE)/VLOOKUP($B484,Korrigeringsfaktor_GD,'Korrigeringsfaktor GD'!I$1,FALSE),
"")</f>
        <v>9.9836142857142853</v>
      </c>
      <c r="J484" s="18">
        <f>IFERROR(
                  Andel_oberoende_av_klimat*VLOOKUP($A484,Leveranser_per_nät,'Leveranser per nät'!J$1,FALSE)
               +Andel_beroende_av_klimat*VLOOKUP($A484,Leveranser_per_nät,'Leveranser per nät'!J$1,FALSE)/VLOOKUP($B484,Korrigeringsfaktor_GD,'Korrigeringsfaktor GD'!J$1,FALSE),
"")</f>
        <v>25.440314285714287</v>
      </c>
      <c r="K484" s="18">
        <f>IFERROR(
                  Andel_oberoende_av_klimat*VLOOKUP($A484,Leveranser_per_nät,'Leveranser per nät'!K$1,FALSE)
               +Andel_beroende_av_klimat*VLOOKUP($A484,Leveranser_per_nät,'Leveranser per nät'!K$1,FALSE)/VLOOKUP($B484,Korrigeringsfaktor_GD,'Korrigeringsfaktor GD'!K$1,FALSE),
"")</f>
        <v>9.8251584865976191</v>
      </c>
      <c r="L484" s="18">
        <f>IFERROR(
                  Andel_oberoende_av_klimat*VLOOKUP($A484,Leveranser_per_nät,'Leveranser per nät'!L$1,FALSE)
               +Andel_beroende_av_klimat*VLOOKUP($A484,Leveranser_per_nät,'Leveranser per nät'!L$1,FALSE)/VLOOKUP($B484,Korrigeringsfaktor_GD,'Korrigeringsfaktor GD'!L$1,FALSE),
"")</f>
        <v>10.115613470100479</v>
      </c>
      <c r="M484" s="18">
        <f>IFERROR(
                  Andel_oberoende_av_klimat*VLOOKUP($A484,Leveranser_per_nät,'Leveranser per nät'!M$1,FALSE)
               +Andel_beroende_av_klimat*VLOOKUP($A484,Leveranser_per_nät,'Leveranser per nät'!M$1,FALSE)/VLOOKUP($B484,Korrigeringsfaktor_GD,'Korrigeringsfaktor GD'!M$1,FALSE),
"")</f>
        <v>9.6539130434782603</v>
      </c>
      <c r="N484" s="18">
        <f>IFERROR(
                  Andel_oberoende_av_klimat*VLOOKUP($A484,Leveranser_per_nät,'Leveranser per nät'!N$1,FALSE)
               +Andel_beroende_av_klimat*VLOOKUP($A484,Leveranser_per_nät,'Leveranser per nät'!N$1,FALSE)/VLOOKUP($B484,Korrigeringsfaktor_GD,'Korrigeringsfaktor GD'!N$1,FALSE),
"")</f>
        <v>2.1938297872340424</v>
      </c>
      <c r="O484" s="18">
        <f>IFERROR(
                  Andel_oberoende_av_klimat*VLOOKUP($A484,Leveranser_per_nät,'Leveranser per nät'!O$1,FALSE)
               +Andel_beroende_av_klimat*VLOOKUP($A484,Leveranser_per_nät,'Leveranser per nät'!O$1,FALSE)/VLOOKUP($B484,Korrigeringsfaktor_GD,'Korrigeringsfaktor GD'!O$1,FALSE),
"")</f>
        <v>10.023333333333333</v>
      </c>
      <c r="P484" s="18">
        <f>IFERROR(
                  Andel_oberoende_av_klimat*VLOOKUP($A484,Leveranser_per_nät,'Leveranser per nät'!P$1,FALSE)
               +Andel_beroende_av_klimat*VLOOKUP($A484,Leveranser_per_nät,'Leveranser per nät'!P$1,FALSE)/VLOOKUP($B484,Korrigeringsfaktor_GD,'Korrigeringsfaktor GD'!P$1,FALSE),
"")</f>
        <v>8.4191111111111105</v>
      </c>
      <c r="Q484" s="18">
        <f>IFERROR(
                  Andel_oberoende_av_klimat*VLOOKUP($A484,Leveranser_per_nät,'Leveranser per nät'!Q$1,FALSE)
               +Andel_beroende_av_klimat*VLOOKUP($A484,Leveranser_per_nät,'Leveranser per nät'!Q$1,FALSE)/VLOOKUP($B484,Korrigeringsfaktor_GD,'Korrigeringsfaktor GD'!Q$1,FALSE),
"")</f>
        <v>8.3117241379310354</v>
      </c>
      <c r="R484" s="18">
        <f>IFERROR(
                  Andel_oberoende_av_klimat*VLOOKUP($A484,Leveranser_per_nät,'Leveranser per nät'!R$1,FALSE)
               +Andel_beroende_av_klimat*VLOOKUP($A484,Leveranser_per_nät,'Leveranser per nät'!R$1,FALSE)/VLOOKUP($B484,Korrigeringsfaktor_GD,'Korrigeringsfaktor GD'!R$1,FALSE),
"")</f>
        <v>8.1261538461538443</v>
      </c>
      <c r="S484" s="18">
        <f>IFERROR(
                  Andel_oberoende_av_klimat*VLOOKUP($A484,Leveranser_per_nät,'Leveranser per nät'!S$1,FALSE)
               +Andel_beroende_av_klimat*VLOOKUP($A484,Leveranser_per_nät,'Leveranser per nät'!S$1,FALSE)/VLOOKUP($B484,Korrigeringsfaktor_GD,'Korrigeringsfaktor GD'!S$1,FALSE),
"")</f>
        <v>7.0524006485952402</v>
      </c>
      <c r="T484" s="18">
        <f>IFERROR(
                  Andel_oberoende_av_klimat*VLOOKUP($A484,Leveranser_per_nät,'Leveranser per nät'!T$1,FALSE)
               +Andel_beroende_av_klimat*VLOOKUP($A484,Leveranser_per_nät,'Leveranser per nät'!T$1,FALSE)/VLOOKUP($B484,Korrigeringsfaktor_GD,'Korrigeringsfaktor GD'!T$1,FALSE),
"")</f>
        <v>8.7154554657930063</v>
      </c>
      <c r="U484" s="18">
        <f>IFERROR(
                  Andel_oberoende_av_klimat*VLOOKUP($A484,Leveranser_per_nät,'Leveranser per nät'!U$1,FALSE)
               +Andel_beroende_av_klimat*VLOOKUP($A484,Leveranser_per_nät,'Leveranser per nät'!U$1,FALSE)/VLOOKUP($B484,Korrigeringsfaktor_GD,'Korrigeringsfaktor GD'!U$1,FALSE),
"")</f>
        <v>6.0527194660371979</v>
      </c>
      <c r="V484" s="18">
        <f>IFERROR(
                  Andel_oberoende_av_klimat*VLOOKUP($A484,Leveranser_per_nät,'Leveranser per nät'!V$1,FALSE)
               +Andel_beroende_av_klimat*VLOOKUP($A484,Leveranser_per_nät,'Leveranser per nät'!V$1,FALSE)/VLOOKUP($B484,Korrigeringsfaktor_GD,'Korrigeringsfaktor GD'!V$1,FALSE),
"")</f>
        <v>6.1487943781965191</v>
      </c>
      <c r="W484" s="18">
        <f>IFERROR(
                  Andel_oberoende_av_klimat*VLOOKUP($A484,Leveranser_per_nät,'Leveranser per nät'!W$1,FALSE)
               +Andel_beroende_av_klimat*VLOOKUP($A484,Leveranser_per_nät,'Leveranser per nät'!W$1,FALSE)/VLOOKUP($B484,Korrigeringsfaktor_GD,'Korrigeringsfaktor GD'!W$1,FALSE),
"")</f>
        <v>6.7670540344654704</v>
      </c>
      <c r="X484" s="18">
        <f>IFERROR(
                  Andel_oberoende_av_klimat*VLOOKUP($A484,Leveranser_per_nät,'Leveranser per nät'!X$1,FALSE)
               +Andel_beroende_av_klimat*VLOOKUP($A484,Leveranser_per_nät,'Leveranser per nät'!X$1,FALSE)/VLOOKUP($B484,Korrigeringsfaktor_GD,'Korrigeringsfaktor GD'!X$1,FALSE),
"")</f>
        <v>7.1971344640412465</v>
      </c>
      <c r="Y484" s="18">
        <f>IFERROR(
                  Andel_oberoende_av_klimat*VLOOKUP($A484,Leveranser_per_nät,'Leveranser per nät'!Y$1,FALSE)
               +Andel_beroende_av_klimat*VLOOKUP($A484,Leveranser_per_nät,'Leveranser per nät'!Y$1,FALSE)/VLOOKUP($B484,Korrigeringsfaktor_GD,'Korrigeringsfaktor GD'!Y$1,FALSE),
"")</f>
        <v>7.685676344086021</v>
      </c>
      <c r="Z484" s="18">
        <f>IFERROR(
                  Andel_oberoende_av_klimat*VLOOKUP($A484,Leveranser_per_nät,'Leveranser per nät'!Z$1,FALSE)
               +Andel_beroende_av_klimat*VLOOKUP($A484,Leveranser_per_nät,'Leveranser per nät'!Z$1,FALSE)/VLOOKUP($B484,Korrigeringsfaktor_GD,'Korrigeringsfaktor GD'!Z$1,FALSE),
"")</f>
        <v>7.846222222222222</v>
      </c>
      <c r="AA484" s="18">
        <f>IFERROR(
                  Andel_oberoende_av_klimat*VLOOKUP($A484,Leveranser_per_nät,'Leveranser per nät'!AA$1,FALSE)
               +Andel_beroende_av_klimat*VLOOKUP($A484,Leveranser_per_nät,'Leveranser per nät'!AA$1,FALSE)/VLOOKUP($B484,Korrigeringsfaktor_GD,'Korrigeringsfaktor GD'!AA$1,FALSE),
"")</f>
        <v>7.9984522167487686</v>
      </c>
      <c r="AB484" s="18">
        <f>IFERROR(
                  Andel_oberoende_av_klimat*VLOOKUP($A484,Leveranser_per_nät,'Leveranser per nät'!AB$1,FALSE)
               +Andel_beroende_av_klimat*VLOOKUP($A484,Leveranser_per_nät,'Leveranser per nät'!AB$1,FALSE)/VLOOKUP($B484,Korrigeringsfaktor_GD,'Korrigeringsfaktor GD'!AB$1,FALSE),
"")</f>
        <v>7.516541584158416</v>
      </c>
      <c r="AC484" s="18">
        <f>IFERROR(
                  Andel_oberoende_av_klimat*VLOOKUP($A484,Leveranser_per_nät,'Leveranser per nät'!AC$1,FALSE)
               +Andel_beroende_av_klimat*VLOOKUP($A484,Leveranser_per_nät,'Leveranser per nät'!AC$1,FALSE)/VLOOKUP($B484,Korrigeringsfaktor_GD,'Korrigeringsfaktor GD'!AC$1,FALSE),
"")</f>
        <v>7.6502828631138966</v>
      </c>
      <c r="AD484" t="e">
        <v>#N/A</v>
      </c>
    </row>
    <row r="485" spans="1:30" x14ac:dyDescent="0.25">
      <c r="A485" t="s">
        <v>157</v>
      </c>
      <c r="B485" t="s">
        <v>157</v>
      </c>
      <c r="C485" s="18">
        <f>IFERROR(
                  Andel_oberoende_av_klimat*VLOOKUP($A485,Leveranser_per_nät,'Leveranser per nät'!C$1,FALSE)
               +Andel_beroende_av_klimat*VLOOKUP($A485,Leveranser_per_nät,'Leveranser per nät'!C$1,FALSE)/VLOOKUP($B485,Korrigeringsfaktor_GD,'Korrigeringsfaktor GD'!C$1,FALSE),
"")</f>
        <v>460.98113207547169</v>
      </c>
      <c r="D485" s="18">
        <f>IFERROR(
                  Andel_oberoende_av_klimat*VLOOKUP($A485,Leveranser_per_nät,'Leveranser per nät'!D$1,FALSE)
               +Andel_beroende_av_klimat*VLOOKUP($A485,Leveranser_per_nät,'Leveranser per nät'!D$1,FALSE)/VLOOKUP($B485,Korrigeringsfaktor_GD,'Korrigeringsfaktor GD'!D$1,FALSE),
"")</f>
        <v>458.80250000000001</v>
      </c>
      <c r="E485" s="18">
        <f>IFERROR(
                  Andel_oberoende_av_klimat*VLOOKUP($A485,Leveranser_per_nät,'Leveranser per nät'!E$1,FALSE)
               +Andel_beroende_av_klimat*VLOOKUP($A485,Leveranser_per_nät,'Leveranser per nät'!E$1,FALSE)/VLOOKUP($B485,Korrigeringsfaktor_GD,'Korrigeringsfaktor GD'!E$1,FALSE),
"")</f>
        <v>471.19400000000007</v>
      </c>
      <c r="F485" s="18">
        <f>IFERROR(
                  Andel_oberoende_av_klimat*VLOOKUP($A485,Leveranser_per_nät,'Leveranser per nät'!F$1,FALSE)
               +Andel_beroende_av_klimat*VLOOKUP($A485,Leveranser_per_nät,'Leveranser per nät'!F$1,FALSE)/VLOOKUP($B485,Korrigeringsfaktor_GD,'Korrigeringsfaktor GD'!F$1,FALSE),
"")</f>
        <v>483.39393939393938</v>
      </c>
      <c r="G485" s="18">
        <f>IFERROR(
                  Andel_oberoende_av_klimat*VLOOKUP($A485,Leveranser_per_nät,'Leveranser per nät'!G$1,FALSE)
               +Andel_beroende_av_klimat*VLOOKUP($A485,Leveranser_per_nät,'Leveranser per nät'!G$1,FALSE)/VLOOKUP($B485,Korrigeringsfaktor_GD,'Korrigeringsfaktor GD'!G$1,FALSE),
"")</f>
        <v>502.13225806451612</v>
      </c>
      <c r="H485" s="18">
        <f>IFERROR(
                  Andel_oberoende_av_klimat*VLOOKUP($A485,Leveranser_per_nät,'Leveranser per nät'!H$1,FALSE)
               +Andel_beroende_av_klimat*VLOOKUP($A485,Leveranser_per_nät,'Leveranser per nät'!H$1,FALSE)/VLOOKUP($B485,Korrigeringsfaktor_GD,'Korrigeringsfaktor GD'!H$1,FALSE),
"")</f>
        <v>514.83529411764698</v>
      </c>
      <c r="I485" s="18">
        <f>IFERROR(
                  Andel_oberoende_av_klimat*VLOOKUP($A485,Leveranser_per_nät,'Leveranser per nät'!I$1,FALSE)
               +Andel_beroende_av_klimat*VLOOKUP($A485,Leveranser_per_nät,'Leveranser per nät'!I$1,FALSE)/VLOOKUP($B485,Korrigeringsfaktor_GD,'Korrigeringsfaktor GD'!I$1,FALSE),
"")</f>
        <v>531.74255319148938</v>
      </c>
      <c r="J485" s="18">
        <f>IFERROR(
                  Andel_oberoende_av_klimat*VLOOKUP($A485,Leveranser_per_nät,'Leveranser per nät'!J$1,FALSE)
               +Andel_beroende_av_klimat*VLOOKUP($A485,Leveranser_per_nät,'Leveranser per nät'!J$1,FALSE)/VLOOKUP($B485,Korrigeringsfaktor_GD,'Korrigeringsfaktor GD'!J$1,FALSE),
"")</f>
        <v>526.60588421052637</v>
      </c>
      <c r="K485" s="18">
        <f>IFERROR(
                  Andel_oberoende_av_klimat*VLOOKUP($A485,Leveranser_per_nät,'Leveranser per nät'!K$1,FALSE)
               +Andel_beroende_av_klimat*VLOOKUP($A485,Leveranser_per_nät,'Leveranser per nät'!K$1,FALSE)/VLOOKUP($B485,Korrigeringsfaktor_GD,'Korrigeringsfaktor GD'!K$1,FALSE),
"")</f>
        <v>512.20715421052637</v>
      </c>
      <c r="L485" s="18">
        <f>IFERROR(
                  Andel_oberoende_av_klimat*VLOOKUP($A485,Leveranser_per_nät,'Leveranser per nät'!L$1,FALSE)
               +Andel_beroende_av_klimat*VLOOKUP($A485,Leveranser_per_nät,'Leveranser per nät'!L$1,FALSE)/VLOOKUP($B485,Korrigeringsfaktor_GD,'Korrigeringsfaktor GD'!L$1,FALSE),
"")</f>
        <v>516.22038387096768</v>
      </c>
      <c r="M485" s="18">
        <f>IFERROR(
                  Andel_oberoende_av_klimat*VLOOKUP($A485,Leveranser_per_nät,'Leveranser per nät'!M$1,FALSE)
               +Andel_beroende_av_klimat*VLOOKUP($A485,Leveranser_per_nät,'Leveranser per nät'!M$1,FALSE)/VLOOKUP($B485,Korrigeringsfaktor_GD,'Korrigeringsfaktor GD'!M$1,FALSE),
"")</f>
        <v>538.88888888888891</v>
      </c>
      <c r="N485" s="18">
        <f>IFERROR(
                  Andel_oberoende_av_klimat*VLOOKUP($A485,Leveranser_per_nät,'Leveranser per nät'!N$1,FALSE)
               +Andel_beroende_av_klimat*VLOOKUP($A485,Leveranser_per_nät,'Leveranser per nät'!N$1,FALSE)/VLOOKUP($B485,Korrigeringsfaktor_GD,'Korrigeringsfaktor GD'!N$1,FALSE),
"")</f>
        <v>526.3440860215054</v>
      </c>
      <c r="O485" s="18">
        <f>IFERROR(
                  Andel_oberoende_av_klimat*VLOOKUP($A485,Leveranser_per_nät,'Leveranser per nät'!O$1,FALSE)
               +Andel_beroende_av_klimat*VLOOKUP($A485,Leveranser_per_nät,'Leveranser per nät'!O$1,FALSE)/VLOOKUP($B485,Korrigeringsfaktor_GD,'Korrigeringsfaktor GD'!O$1,FALSE),
"")</f>
        <v>525.16052631578941</v>
      </c>
      <c r="P485" s="18">
        <f>IFERROR(
                  Andel_oberoende_av_klimat*VLOOKUP($A485,Leveranser_per_nät,'Leveranser per nät'!P$1,FALSE)
               +Andel_beroende_av_klimat*VLOOKUP($A485,Leveranser_per_nät,'Leveranser per nät'!P$1,FALSE)/VLOOKUP($B485,Korrigeringsfaktor_GD,'Korrigeringsfaktor GD'!P$1,FALSE),
"")</f>
        <v>522</v>
      </c>
      <c r="Q485" s="18">
        <f>IFERROR(
                  Andel_oberoende_av_klimat*VLOOKUP($A485,Leveranser_per_nät,'Leveranser per nät'!Q$1,FALSE)
               +Andel_beroende_av_klimat*VLOOKUP($A485,Leveranser_per_nät,'Leveranser per nät'!Q$1,FALSE)/VLOOKUP($B485,Korrigeringsfaktor_GD,'Korrigeringsfaktor GD'!Q$1,FALSE),
"")</f>
        <v>544.30869565217392</v>
      </c>
      <c r="R485" s="18">
        <f>IFERROR(
                  Andel_oberoende_av_klimat*VLOOKUP($A485,Leveranser_per_nät,'Leveranser per nät'!R$1,FALSE)
               +Andel_beroende_av_klimat*VLOOKUP($A485,Leveranser_per_nät,'Leveranser per nät'!R$1,FALSE)/VLOOKUP($B485,Korrigeringsfaktor_GD,'Korrigeringsfaktor GD'!R$1,FALSE),
"")</f>
        <v>549.91818181818189</v>
      </c>
      <c r="S485" s="18">
        <f>IFERROR(
                  Andel_oberoende_av_klimat*VLOOKUP($A485,Leveranser_per_nät,'Leveranser per nät'!S$1,FALSE)
               +Andel_beroende_av_klimat*VLOOKUP($A485,Leveranser_per_nät,'Leveranser per nät'!S$1,FALSE)/VLOOKUP($B485,Korrigeringsfaktor_GD,'Korrigeringsfaktor GD'!S$1,FALSE),
"")</f>
        <v>586.63607843137254</v>
      </c>
      <c r="T485" s="18">
        <f>IFERROR(
                  Andel_oberoende_av_klimat*VLOOKUP($A485,Leveranser_per_nät,'Leveranser per nät'!T$1,FALSE)
               +Andel_beroende_av_klimat*VLOOKUP($A485,Leveranser_per_nät,'Leveranser per nät'!T$1,FALSE)/VLOOKUP($B485,Korrigeringsfaktor_GD,'Korrigeringsfaktor GD'!T$1,FALSE),
"")</f>
        <v>550.66684210526319</v>
      </c>
      <c r="U485" s="18">
        <f>IFERROR(
                  Andel_oberoende_av_klimat*VLOOKUP($A485,Leveranser_per_nät,'Leveranser per nät'!U$1,FALSE)
               +Andel_beroende_av_klimat*VLOOKUP($A485,Leveranser_per_nät,'Leveranser per nät'!U$1,FALSE)/VLOOKUP($B485,Korrigeringsfaktor_GD,'Korrigeringsfaktor GD'!U$1,FALSE),
"")</f>
        <v>545.35046153846156</v>
      </c>
      <c r="V485" s="18">
        <f>IFERROR(
                  Andel_oberoende_av_klimat*VLOOKUP($A485,Leveranser_per_nät,'Leveranser per nät'!V$1,FALSE)
               +Andel_beroende_av_klimat*VLOOKUP($A485,Leveranser_per_nät,'Leveranser per nät'!V$1,FALSE)/VLOOKUP($B485,Korrigeringsfaktor_GD,'Korrigeringsfaktor GD'!V$1,FALSE),
"")</f>
        <v>541.23962365591387</v>
      </c>
      <c r="W485" s="18">
        <f>IFERROR(
                  Andel_oberoende_av_klimat*VLOOKUP($A485,Leveranser_per_nät,'Leveranser per nät'!W$1,FALSE)
               +Andel_beroende_av_klimat*VLOOKUP($A485,Leveranser_per_nät,'Leveranser per nät'!W$1,FALSE)/VLOOKUP($B485,Korrigeringsfaktor_GD,'Korrigeringsfaktor GD'!W$1,FALSE),
"")</f>
        <v>543.54627272727271</v>
      </c>
      <c r="X485" s="18">
        <f>IFERROR(
                  Andel_oberoende_av_klimat*VLOOKUP($A485,Leveranser_per_nät,'Leveranser per nät'!X$1,FALSE)
               +Andel_beroende_av_klimat*VLOOKUP($A485,Leveranser_per_nät,'Leveranser per nät'!X$1,FALSE)/VLOOKUP($B485,Korrigeringsfaktor_GD,'Korrigeringsfaktor GD'!X$1,FALSE),
"")</f>
        <v>545.93985148514844</v>
      </c>
      <c r="Y485" s="18">
        <f>IFERROR(
                  Andel_oberoende_av_klimat*VLOOKUP($A485,Leveranser_per_nät,'Leveranser per nät'!Y$1,FALSE)
               +Andel_beroende_av_klimat*VLOOKUP($A485,Leveranser_per_nät,'Leveranser per nät'!Y$1,FALSE)/VLOOKUP($B485,Korrigeringsfaktor_GD,'Korrigeringsfaktor GD'!Y$1,FALSE),
"")</f>
        <v>551.14</v>
      </c>
      <c r="Z485" s="18">
        <f>IFERROR(
                  Andel_oberoende_av_klimat*VLOOKUP($A485,Leveranser_per_nät,'Leveranser per nät'!Z$1,FALSE)
               +Andel_beroende_av_klimat*VLOOKUP($A485,Leveranser_per_nät,'Leveranser per nät'!Z$1,FALSE)/VLOOKUP($B485,Korrigeringsfaktor_GD,'Korrigeringsfaktor GD'!Z$1,FALSE),
"")</f>
        <v>611.57160465116272</v>
      </c>
      <c r="AA485" s="18">
        <f>IFERROR(
                  Andel_oberoende_av_klimat*VLOOKUP($A485,Leveranser_per_nät,'Leveranser per nät'!AA$1,FALSE)
               +Andel_beroende_av_klimat*VLOOKUP($A485,Leveranser_per_nät,'Leveranser per nät'!AA$1,FALSE)/VLOOKUP($B485,Korrigeringsfaktor_GD,'Korrigeringsfaktor GD'!AA$1,FALSE),
"")</f>
        <v>662.48207462686582</v>
      </c>
      <c r="AB485" s="18">
        <f>IFERROR(
                  Andel_oberoende_av_klimat*VLOOKUP($A485,Leveranser_per_nät,'Leveranser per nät'!AB$1,FALSE)
               +Andel_beroende_av_klimat*VLOOKUP($A485,Leveranser_per_nät,'Leveranser per nät'!AB$1,FALSE)/VLOOKUP($B485,Korrigeringsfaktor_GD,'Korrigeringsfaktor GD'!AB$1,FALSE),
"")</f>
        <v>534.46964574669187</v>
      </c>
      <c r="AC485" s="18">
        <f>IFERROR(
                  Andel_oberoende_av_klimat*VLOOKUP($A485,Leveranser_per_nät,'Leveranser per nät'!AC$1,FALSE)
               +Andel_beroende_av_klimat*VLOOKUP($A485,Leveranser_per_nät,'Leveranser per nät'!AC$1,FALSE)/VLOOKUP($B485,Korrigeringsfaktor_GD,'Korrigeringsfaktor GD'!AC$1,FALSE),
"")</f>
        <v>529.66189989888767</v>
      </c>
      <c r="AD485">
        <v>524.17999999999995</v>
      </c>
    </row>
    <row r="486" spans="1:30" x14ac:dyDescent="0.25">
      <c r="A486" t="s">
        <v>57</v>
      </c>
      <c r="B486" t="s">
        <v>57</v>
      </c>
      <c r="C486" s="18">
        <f>IFERROR(
                  Andel_oberoende_av_klimat*VLOOKUP($A486,Leveranser_per_nät,'Leveranser per nät'!C$1,FALSE)
               +Andel_beroende_av_klimat*VLOOKUP($A486,Leveranser_per_nät,'Leveranser per nät'!C$1,FALSE)/VLOOKUP($B486,Korrigeringsfaktor_GD,'Korrigeringsfaktor GD'!C$1,FALSE),
"")</f>
        <v>0</v>
      </c>
      <c r="D486" s="18">
        <f>IFERROR(
                  Andel_oberoende_av_klimat*VLOOKUP($A486,Leveranser_per_nät,'Leveranser per nät'!D$1,FALSE)
               +Andel_beroende_av_klimat*VLOOKUP($A486,Leveranser_per_nät,'Leveranser per nät'!D$1,FALSE)/VLOOKUP($B486,Korrigeringsfaktor_GD,'Korrigeringsfaktor GD'!D$1,FALSE),
"")</f>
        <v>0</v>
      </c>
      <c r="E486" s="18">
        <f>IFERROR(
                  Andel_oberoende_av_klimat*VLOOKUP($A486,Leveranser_per_nät,'Leveranser per nät'!E$1,FALSE)
               +Andel_beroende_av_klimat*VLOOKUP($A486,Leveranser_per_nät,'Leveranser per nät'!E$1,FALSE)/VLOOKUP($B486,Korrigeringsfaktor_GD,'Korrigeringsfaktor GD'!E$1,FALSE),
"")</f>
        <v>0</v>
      </c>
      <c r="F486" s="18">
        <f>IFERROR(
                  Andel_oberoende_av_klimat*VLOOKUP($A486,Leveranser_per_nät,'Leveranser per nät'!F$1,FALSE)
               +Andel_beroende_av_klimat*VLOOKUP($A486,Leveranser_per_nät,'Leveranser per nät'!F$1,FALSE)/VLOOKUP($B486,Korrigeringsfaktor_GD,'Korrigeringsfaktor GD'!F$1,FALSE),
"")</f>
        <v>0</v>
      </c>
      <c r="G486" s="18">
        <f>IFERROR(
                  Andel_oberoende_av_klimat*VLOOKUP($A486,Leveranser_per_nät,'Leveranser per nät'!G$1,FALSE)
               +Andel_beroende_av_klimat*VLOOKUP($A486,Leveranser_per_nät,'Leveranser per nät'!G$1,FALSE)/VLOOKUP($B486,Korrigeringsfaktor_GD,'Korrigeringsfaktor GD'!G$1,FALSE),
"")</f>
        <v>50.171818181818175</v>
      </c>
      <c r="H486" s="18">
        <f>IFERROR(
                  Andel_oberoende_av_klimat*VLOOKUP($A486,Leveranser_per_nät,'Leveranser per nät'!H$1,FALSE)
               +Andel_beroende_av_klimat*VLOOKUP($A486,Leveranser_per_nät,'Leveranser per nät'!H$1,FALSE)/VLOOKUP($B486,Korrigeringsfaktor_GD,'Korrigeringsfaktor GD'!H$1,FALSE),
"")</f>
        <v>50.714285714285715</v>
      </c>
      <c r="I486" s="18">
        <f>IFERROR(
                  Andel_oberoende_av_klimat*VLOOKUP($A486,Leveranser_per_nät,'Leveranser per nät'!I$1,FALSE)
               +Andel_beroende_av_klimat*VLOOKUP($A486,Leveranser_per_nät,'Leveranser per nät'!I$1,FALSE)/VLOOKUP($B486,Korrigeringsfaktor_GD,'Korrigeringsfaktor GD'!I$1,FALSE),
"")</f>
        <v>0</v>
      </c>
      <c r="J486" s="18">
        <f>IFERROR(
                  Andel_oberoende_av_klimat*VLOOKUP($A486,Leveranser_per_nät,'Leveranser per nät'!J$1,FALSE)
               +Andel_beroende_av_klimat*VLOOKUP($A486,Leveranser_per_nät,'Leveranser per nät'!J$1,FALSE)/VLOOKUP($B486,Korrigeringsfaktor_GD,'Korrigeringsfaktor GD'!J$1,FALSE),
"")</f>
        <v>0</v>
      </c>
      <c r="K486" s="18">
        <f>IFERROR(
                  Andel_oberoende_av_klimat*VLOOKUP($A486,Leveranser_per_nät,'Leveranser per nät'!K$1,FALSE)
               +Andel_beroende_av_klimat*VLOOKUP($A486,Leveranser_per_nät,'Leveranser per nät'!K$1,FALSE)/VLOOKUP($B486,Korrigeringsfaktor_GD,'Korrigeringsfaktor GD'!K$1,FALSE),
"")</f>
        <v>0</v>
      </c>
      <c r="L486" s="18">
        <f>IFERROR(
                  Andel_oberoende_av_klimat*VLOOKUP($A486,Leveranser_per_nät,'Leveranser per nät'!L$1,FALSE)
               +Andel_beroende_av_klimat*VLOOKUP($A486,Leveranser_per_nät,'Leveranser per nät'!L$1,FALSE)/VLOOKUP($B486,Korrigeringsfaktor_GD,'Korrigeringsfaktor GD'!L$1,FALSE),
"")</f>
        <v>0</v>
      </c>
      <c r="M486" s="18">
        <f>IFERROR(
                  Andel_oberoende_av_klimat*VLOOKUP($A486,Leveranser_per_nät,'Leveranser per nät'!M$1,FALSE)
               +Andel_beroende_av_klimat*VLOOKUP($A486,Leveranser_per_nät,'Leveranser per nät'!M$1,FALSE)/VLOOKUP($B486,Korrigeringsfaktor_GD,'Korrigeringsfaktor GD'!M$1,FALSE),
"")</f>
        <v>61.47698924731182</v>
      </c>
      <c r="N486" s="18">
        <f>IFERROR(
                  Andel_oberoende_av_klimat*VLOOKUP($A486,Leveranser_per_nät,'Leveranser per nät'!N$1,FALSE)
               +Andel_beroende_av_klimat*VLOOKUP($A486,Leveranser_per_nät,'Leveranser per nät'!N$1,FALSE)/VLOOKUP($B486,Korrigeringsfaktor_GD,'Korrigeringsfaktor GD'!N$1,FALSE),
"")</f>
        <v>57.286956521739128</v>
      </c>
      <c r="O486" s="18">
        <f>IFERROR(
                  Andel_oberoende_av_klimat*VLOOKUP($A486,Leveranser_per_nät,'Leveranser per nät'!O$1,FALSE)
               +Andel_beroende_av_klimat*VLOOKUP($A486,Leveranser_per_nät,'Leveranser per nät'!O$1,FALSE)/VLOOKUP($B486,Korrigeringsfaktor_GD,'Korrigeringsfaktor GD'!O$1,FALSE),
"")</f>
        <v>63.6459090909091</v>
      </c>
      <c r="P486" s="18">
        <f>IFERROR(
                  Andel_oberoende_av_klimat*VLOOKUP($A486,Leveranser_per_nät,'Leveranser per nät'!P$1,FALSE)
               +Andel_beroende_av_klimat*VLOOKUP($A486,Leveranser_per_nät,'Leveranser per nät'!P$1,FALSE)/VLOOKUP($B486,Korrigeringsfaktor_GD,'Korrigeringsfaktor GD'!P$1,FALSE),
"")</f>
        <v>65.232319587628865</v>
      </c>
      <c r="Q486" s="18">
        <f>IFERROR(
                  Andel_oberoende_av_klimat*VLOOKUP($A486,Leveranser_per_nät,'Leveranser per nät'!Q$1,FALSE)
               +Andel_beroende_av_klimat*VLOOKUP($A486,Leveranser_per_nät,'Leveranser per nät'!Q$1,FALSE)/VLOOKUP($B486,Korrigeringsfaktor_GD,'Korrigeringsfaktor GD'!Q$1,FALSE),
"")</f>
        <v>62.879999999999995</v>
      </c>
      <c r="R486" s="18">
        <f>IFERROR(
                  Andel_oberoende_av_klimat*VLOOKUP($A486,Leveranser_per_nät,'Leveranser per nät'!R$1,FALSE)
               +Andel_beroende_av_klimat*VLOOKUP($A486,Leveranser_per_nät,'Leveranser per nät'!R$1,FALSE)/VLOOKUP($B486,Korrigeringsfaktor_GD,'Korrigeringsfaktor GD'!R$1,FALSE),
"")</f>
        <v>66.292307692307688</v>
      </c>
      <c r="S486" s="18">
        <f>IFERROR(
                  Andel_oberoende_av_klimat*VLOOKUP($A486,Leveranser_per_nät,'Leveranser per nät'!S$1,FALSE)
               +Andel_beroende_av_klimat*VLOOKUP($A486,Leveranser_per_nät,'Leveranser per nät'!S$1,FALSE)/VLOOKUP($B486,Korrigeringsfaktor_GD,'Korrigeringsfaktor GD'!S$1,FALSE),
"")</f>
        <v>69.8</v>
      </c>
      <c r="T486" s="18">
        <f>IFERROR(
                  Andel_oberoende_av_klimat*VLOOKUP($A486,Leveranser_per_nät,'Leveranser per nät'!T$1,FALSE)
               +Andel_beroende_av_klimat*VLOOKUP($A486,Leveranser_per_nät,'Leveranser per nät'!T$1,FALSE)/VLOOKUP($B486,Korrigeringsfaktor_GD,'Korrigeringsfaktor GD'!T$1,FALSE),
"")</f>
        <v>68.079374999999999</v>
      </c>
      <c r="U486" s="18">
        <f>IFERROR(
                  Andel_oberoende_av_klimat*VLOOKUP($A486,Leveranser_per_nät,'Leveranser per nät'!U$1,FALSE)
               +Andel_beroende_av_klimat*VLOOKUP($A486,Leveranser_per_nät,'Leveranser per nät'!U$1,FALSE)/VLOOKUP($B486,Korrigeringsfaktor_GD,'Korrigeringsfaktor GD'!U$1,FALSE),
"")</f>
        <v>67.907303370786522</v>
      </c>
      <c r="V486" s="18">
        <f>IFERROR(
                  Andel_oberoende_av_klimat*VLOOKUP($A486,Leveranser_per_nät,'Leveranser per nät'!V$1,FALSE)
               +Andel_beroende_av_klimat*VLOOKUP($A486,Leveranser_per_nät,'Leveranser per nät'!V$1,FALSE)/VLOOKUP($B486,Korrigeringsfaktor_GD,'Korrigeringsfaktor GD'!V$1,FALSE),
"")</f>
        <v>68.173953488372092</v>
      </c>
      <c r="W486" s="18">
        <f>IFERROR(
                  Andel_oberoende_av_klimat*VLOOKUP($A486,Leveranser_per_nät,'Leveranser per nät'!W$1,FALSE)
               +Andel_beroende_av_klimat*VLOOKUP($A486,Leveranser_per_nät,'Leveranser per nät'!W$1,FALSE)/VLOOKUP($B486,Korrigeringsfaktor_GD,'Korrigeringsfaktor GD'!W$1,FALSE),
"")</f>
        <v>68.635531914893633</v>
      </c>
      <c r="X486" s="18" t="str">
        <f>IFERROR(
                  Andel_oberoende_av_klimat*VLOOKUP($A486,Leveranser_per_nät,'Leveranser per nät'!X$1,FALSE)
               +Andel_beroende_av_klimat*VLOOKUP($A486,Leveranser_per_nät,'Leveranser per nät'!X$1,FALSE)/VLOOKUP($B486,Korrigeringsfaktor_GD,'Korrigeringsfaktor GD'!X$1,FALSE),
"")</f>
        <v/>
      </c>
      <c r="Y486" s="18" t="str">
        <f>IFERROR(
                  Andel_oberoende_av_klimat*VLOOKUP($A486,Leveranser_per_nät,'Leveranser per nät'!Y$1,FALSE)
               +Andel_beroende_av_klimat*VLOOKUP($A486,Leveranser_per_nät,'Leveranser per nät'!Y$1,FALSE)/VLOOKUP($B486,Korrigeringsfaktor_GD,'Korrigeringsfaktor GD'!Y$1,FALSE),
"")</f>
        <v/>
      </c>
      <c r="Z486" s="18">
        <f>IFERROR(
                  Andel_oberoende_av_klimat*VLOOKUP($A486,Leveranser_per_nät,'Leveranser per nät'!Z$1,FALSE)
               +Andel_beroende_av_klimat*VLOOKUP($A486,Leveranser_per_nät,'Leveranser per nät'!Z$1,FALSE)/VLOOKUP($B486,Korrigeringsfaktor_GD,'Korrigeringsfaktor GD'!Z$1,FALSE),
"")</f>
        <v>68.956521739130437</v>
      </c>
      <c r="AA486" s="18">
        <f>IFERROR(
                  Andel_oberoende_av_klimat*VLOOKUP($A486,Leveranser_per_nät,'Leveranser per nät'!AA$1,FALSE)
               +Andel_beroende_av_klimat*VLOOKUP($A486,Leveranser_per_nät,'Leveranser per nät'!AA$1,FALSE)/VLOOKUP($B486,Korrigeringsfaktor_GD,'Korrigeringsfaktor GD'!AA$1,FALSE),
"")</f>
        <v>64.655732410611307</v>
      </c>
      <c r="AB486" s="18">
        <f>IFERROR(
                  Andel_oberoende_av_klimat*VLOOKUP($A486,Leveranser_per_nät,'Leveranser per nät'!AB$1,FALSE)
               +Andel_beroende_av_klimat*VLOOKUP($A486,Leveranser_per_nät,'Leveranser per nät'!AB$1,FALSE)/VLOOKUP($B486,Korrigeringsfaktor_GD,'Korrigeringsfaktor GD'!AB$1,FALSE),
"")</f>
        <v>67.366666666666674</v>
      </c>
      <c r="AC486" s="18">
        <f>IFERROR(
                  Andel_oberoende_av_klimat*VLOOKUP($A486,Leveranser_per_nät,'Leveranser per nät'!AC$1,FALSE)
               +Andel_beroende_av_klimat*VLOOKUP($A486,Leveranser_per_nät,'Leveranser per nät'!AC$1,FALSE)/VLOOKUP($B486,Korrigeringsfaktor_GD,'Korrigeringsfaktor GD'!AC$1,FALSE),
"")</f>
        <v>67.256910569105685</v>
      </c>
      <c r="AD486">
        <v>66.5</v>
      </c>
    </row>
    <row r="487" spans="1:30" x14ac:dyDescent="0.25">
      <c r="A487" t="s">
        <v>528</v>
      </c>
      <c r="B487" t="s">
        <v>528</v>
      </c>
      <c r="C487" s="18">
        <f>IFERROR(
                  Andel_oberoende_av_klimat*VLOOKUP($A487,Leveranser_per_nät,'Leveranser per nät'!C$1,FALSE)
               +Andel_beroende_av_klimat*VLOOKUP($A487,Leveranser_per_nät,'Leveranser per nät'!C$1,FALSE)/VLOOKUP($B487,Korrigeringsfaktor_GD,'Korrigeringsfaktor GD'!C$1,FALSE),
"")</f>
        <v>0</v>
      </c>
      <c r="D487" s="18">
        <f>IFERROR(
                  Andel_oberoende_av_klimat*VLOOKUP($A487,Leveranser_per_nät,'Leveranser per nät'!D$1,FALSE)
               +Andel_beroende_av_klimat*VLOOKUP($A487,Leveranser_per_nät,'Leveranser per nät'!D$1,FALSE)/VLOOKUP($B487,Korrigeringsfaktor_GD,'Korrigeringsfaktor GD'!D$1,FALSE),
"")</f>
        <v>0</v>
      </c>
      <c r="E487" s="18">
        <f>IFERROR(
                  Andel_oberoende_av_klimat*VLOOKUP($A487,Leveranser_per_nät,'Leveranser per nät'!E$1,FALSE)
               +Andel_beroende_av_klimat*VLOOKUP($A487,Leveranser_per_nät,'Leveranser per nät'!E$1,FALSE)/VLOOKUP($B487,Korrigeringsfaktor_GD,'Korrigeringsfaktor GD'!E$1,FALSE),
"")</f>
        <v>0</v>
      </c>
      <c r="F487" s="18">
        <f>IFERROR(
                  Andel_oberoende_av_klimat*VLOOKUP($A487,Leveranser_per_nät,'Leveranser per nät'!F$1,FALSE)
               +Andel_beroende_av_klimat*VLOOKUP($A487,Leveranser_per_nät,'Leveranser per nät'!F$1,FALSE)/VLOOKUP($B487,Korrigeringsfaktor_GD,'Korrigeringsfaktor GD'!F$1,FALSE),
"")</f>
        <v>0</v>
      </c>
      <c r="G487" s="18">
        <f>IFERROR(
                  Andel_oberoende_av_klimat*VLOOKUP($A487,Leveranser_per_nät,'Leveranser per nät'!G$1,FALSE)
               +Andel_beroende_av_klimat*VLOOKUP($A487,Leveranser_per_nät,'Leveranser per nät'!G$1,FALSE)/VLOOKUP($B487,Korrigeringsfaktor_GD,'Korrigeringsfaktor GD'!G$1,FALSE),
"")</f>
        <v>0</v>
      </c>
      <c r="H487" s="18">
        <f>IFERROR(
                  Andel_oberoende_av_klimat*VLOOKUP($A487,Leveranser_per_nät,'Leveranser per nät'!H$1,FALSE)
               +Andel_beroende_av_klimat*VLOOKUP($A487,Leveranser_per_nät,'Leveranser per nät'!H$1,FALSE)/VLOOKUP($B487,Korrigeringsfaktor_GD,'Korrigeringsfaktor GD'!H$1,FALSE),
"")</f>
        <v>0</v>
      </c>
      <c r="I487" s="18">
        <f>IFERROR(
                  Andel_oberoende_av_klimat*VLOOKUP($A487,Leveranser_per_nät,'Leveranser per nät'!I$1,FALSE)
               +Andel_beroende_av_klimat*VLOOKUP($A487,Leveranser_per_nät,'Leveranser per nät'!I$1,FALSE)/VLOOKUP($B487,Korrigeringsfaktor_GD,'Korrigeringsfaktor GD'!I$1,FALSE),
"")</f>
        <v>0</v>
      </c>
      <c r="J487" s="18">
        <f>IFERROR(
                  Andel_oberoende_av_klimat*VLOOKUP($A487,Leveranser_per_nät,'Leveranser per nät'!J$1,FALSE)
               +Andel_beroende_av_klimat*VLOOKUP($A487,Leveranser_per_nät,'Leveranser per nät'!J$1,FALSE)/VLOOKUP($B487,Korrigeringsfaktor_GD,'Korrigeringsfaktor GD'!J$1,FALSE),
"")</f>
        <v>0</v>
      </c>
      <c r="K487" s="18">
        <f>IFERROR(
                  Andel_oberoende_av_klimat*VLOOKUP($A487,Leveranser_per_nät,'Leveranser per nät'!K$1,FALSE)
               +Andel_beroende_av_klimat*VLOOKUP($A487,Leveranser_per_nät,'Leveranser per nät'!K$1,FALSE)/VLOOKUP($B487,Korrigeringsfaktor_GD,'Korrigeringsfaktor GD'!K$1,FALSE),
"")</f>
        <v>0</v>
      </c>
      <c r="L487" s="18">
        <f>IFERROR(
                  Andel_oberoende_av_klimat*VLOOKUP($A487,Leveranser_per_nät,'Leveranser per nät'!L$1,FALSE)
               +Andel_beroende_av_klimat*VLOOKUP($A487,Leveranser_per_nät,'Leveranser per nät'!L$1,FALSE)/VLOOKUP($B487,Korrigeringsfaktor_GD,'Korrigeringsfaktor GD'!L$1,FALSE),
"")</f>
        <v>0</v>
      </c>
      <c r="M487" s="18">
        <f>IFERROR(
                  Andel_oberoende_av_klimat*VLOOKUP($A487,Leveranser_per_nät,'Leveranser per nät'!M$1,FALSE)
               +Andel_beroende_av_klimat*VLOOKUP($A487,Leveranser_per_nät,'Leveranser per nät'!M$1,FALSE)/VLOOKUP($B487,Korrigeringsfaktor_GD,'Korrigeringsfaktor GD'!M$1,FALSE),
"")</f>
        <v>0</v>
      </c>
      <c r="N487" s="18">
        <f>IFERROR(
                  Andel_oberoende_av_klimat*VLOOKUP($A487,Leveranser_per_nät,'Leveranser per nät'!N$1,FALSE)
               +Andel_beroende_av_klimat*VLOOKUP($A487,Leveranser_per_nät,'Leveranser per nät'!N$1,FALSE)/VLOOKUP($B487,Korrigeringsfaktor_GD,'Korrigeringsfaktor GD'!N$1,FALSE),
"")</f>
        <v>0.5304347826086957</v>
      </c>
      <c r="O487" s="18">
        <f>IFERROR(
                  Andel_oberoende_av_klimat*VLOOKUP($A487,Leveranser_per_nät,'Leveranser per nät'!O$1,FALSE)
               +Andel_beroende_av_klimat*VLOOKUP($A487,Leveranser_per_nät,'Leveranser per nät'!O$1,FALSE)/VLOOKUP($B487,Korrigeringsfaktor_GD,'Korrigeringsfaktor GD'!O$1,FALSE),
"")</f>
        <v>2.6076404494382022</v>
      </c>
      <c r="P487" s="18">
        <f>IFERROR(
                  Andel_oberoende_av_klimat*VLOOKUP($A487,Leveranser_per_nät,'Leveranser per nät'!P$1,FALSE)
               +Andel_beroende_av_klimat*VLOOKUP($A487,Leveranser_per_nät,'Leveranser per nät'!P$1,FALSE)/VLOOKUP($B487,Korrigeringsfaktor_GD,'Korrigeringsfaktor GD'!P$1,FALSE),
"")</f>
        <v>1.9104845360824743</v>
      </c>
      <c r="Q487" s="18">
        <f>IFERROR(
                  Andel_oberoende_av_klimat*VLOOKUP($A487,Leveranser_per_nät,'Leveranser per nät'!Q$1,FALSE)
               +Andel_beroende_av_klimat*VLOOKUP($A487,Leveranser_per_nät,'Leveranser per nät'!Q$1,FALSE)/VLOOKUP($B487,Korrigeringsfaktor_GD,'Korrigeringsfaktor GD'!Q$1,FALSE),
"")</f>
        <v>2.1205614035087721</v>
      </c>
      <c r="R487" s="18">
        <f>IFERROR(
                  Andel_oberoende_av_klimat*VLOOKUP($A487,Leveranser_per_nät,'Leveranser per nät'!R$1,FALSE)
               +Andel_beroende_av_klimat*VLOOKUP($A487,Leveranser_per_nät,'Leveranser per nät'!R$1,FALSE)/VLOOKUP($B487,Korrigeringsfaktor_GD,'Korrigeringsfaktor GD'!R$1,FALSE),
"")</f>
        <v>2.843130434782609</v>
      </c>
      <c r="S487" s="18">
        <f>IFERROR(
                  Andel_oberoende_av_klimat*VLOOKUP($A487,Leveranser_per_nät,'Leveranser per nät'!S$1,FALSE)
               +Andel_beroende_av_klimat*VLOOKUP($A487,Leveranser_per_nät,'Leveranser per nät'!S$1,FALSE)/VLOOKUP($B487,Korrigeringsfaktor_GD,'Korrigeringsfaktor GD'!S$1,FALSE),
"")</f>
        <v>4.66</v>
      </c>
      <c r="T487" s="18">
        <f>IFERROR(
                  Andel_oberoende_av_klimat*VLOOKUP($A487,Leveranser_per_nät,'Leveranser per nät'!T$1,FALSE)
               +Andel_beroende_av_klimat*VLOOKUP($A487,Leveranser_per_nät,'Leveranser per nät'!T$1,FALSE)/VLOOKUP($B487,Korrigeringsfaktor_GD,'Korrigeringsfaktor GD'!T$1,FALSE),
"")</f>
        <v>5.7221666666666664</v>
      </c>
      <c r="U487" s="18">
        <f>IFERROR(
                  Andel_oberoende_av_klimat*VLOOKUP($A487,Leveranser_per_nät,'Leveranser per nät'!U$1,FALSE)
               +Andel_beroende_av_klimat*VLOOKUP($A487,Leveranser_per_nät,'Leveranser per nät'!U$1,FALSE)/VLOOKUP($B487,Korrigeringsfaktor_GD,'Korrigeringsfaktor GD'!U$1,FALSE),
"")</f>
        <v>3.9769999999999999</v>
      </c>
      <c r="V487" s="18">
        <f>IFERROR(
                  Andel_oberoende_av_klimat*VLOOKUP($A487,Leveranser_per_nät,'Leveranser per nät'!V$1,FALSE)
               +Andel_beroende_av_klimat*VLOOKUP($A487,Leveranser_per_nät,'Leveranser per nät'!V$1,FALSE)/VLOOKUP($B487,Korrigeringsfaktor_GD,'Korrigeringsfaktor GD'!V$1,FALSE),
"")</f>
        <v>4.0969999999999995</v>
      </c>
      <c r="W487" s="18">
        <f>IFERROR(
                  Andel_oberoende_av_klimat*VLOOKUP($A487,Leveranser_per_nät,'Leveranser per nät'!W$1,FALSE)
               +Andel_beroende_av_klimat*VLOOKUP($A487,Leveranser_per_nät,'Leveranser per nät'!W$1,FALSE)/VLOOKUP($B487,Korrigeringsfaktor_GD,'Korrigeringsfaktor GD'!W$1,FALSE),
"")</f>
        <v>4.4398936170212764</v>
      </c>
      <c r="X487" s="18">
        <f>IFERROR(
                  Andel_oberoende_av_klimat*VLOOKUP($A487,Leveranser_per_nät,'Leveranser per nät'!X$1,FALSE)
               +Andel_beroende_av_klimat*VLOOKUP($A487,Leveranser_per_nät,'Leveranser per nät'!X$1,FALSE)/VLOOKUP($B487,Korrigeringsfaktor_GD,'Korrigeringsfaktor GD'!X$1,FALSE),
"")</f>
        <v>4.6523479166666668</v>
      </c>
      <c r="Y487" s="18">
        <f>IFERROR(
                  Andel_oberoende_av_klimat*VLOOKUP($A487,Leveranser_per_nät,'Leveranser per nät'!Y$1,FALSE)
               +Andel_beroende_av_klimat*VLOOKUP($A487,Leveranser_per_nät,'Leveranser per nät'!Y$1,FALSE)/VLOOKUP($B487,Korrigeringsfaktor_GD,'Korrigeringsfaktor GD'!Y$1,FALSE),
"")</f>
        <v>5.0434290322580644</v>
      </c>
      <c r="Z487" s="18">
        <f>IFERROR(
                  Andel_oberoende_av_klimat*VLOOKUP($A487,Leveranser_per_nät,'Leveranser per nät'!Z$1,FALSE)
               +Andel_beroende_av_klimat*VLOOKUP($A487,Leveranser_per_nät,'Leveranser per nät'!Z$1,FALSE)/VLOOKUP($B487,Korrigeringsfaktor_GD,'Korrigeringsfaktor GD'!Z$1,FALSE),
"")</f>
        <v>8.288209090909092</v>
      </c>
      <c r="AA487" s="18">
        <f>IFERROR(
                  Andel_oberoende_av_klimat*VLOOKUP($A487,Leveranser_per_nät,'Leveranser per nät'!AA$1,FALSE)
               +Andel_beroende_av_klimat*VLOOKUP($A487,Leveranser_per_nät,'Leveranser per nät'!AA$1,FALSE)/VLOOKUP($B487,Korrigeringsfaktor_GD,'Korrigeringsfaktor GD'!AA$1,FALSE),
"")</f>
        <v>8.5293745629070976</v>
      </c>
      <c r="AB487" s="18">
        <f>IFERROR(
                  Andel_oberoende_av_klimat*VLOOKUP($A487,Leveranser_per_nät,'Leveranser per nät'!AB$1,FALSE)
               +Andel_beroende_av_klimat*VLOOKUP($A487,Leveranser_per_nät,'Leveranser per nät'!AB$1,FALSE)/VLOOKUP($B487,Korrigeringsfaktor_GD,'Korrigeringsfaktor GD'!AB$1,FALSE),
"")</f>
        <v>7.9820000000000002</v>
      </c>
      <c r="AC487" s="18">
        <f>IFERROR(
                  Andel_oberoende_av_klimat*VLOOKUP($A487,Leveranser_per_nät,'Leveranser per nät'!AC$1,FALSE)
               +Andel_beroende_av_klimat*VLOOKUP($A487,Leveranser_per_nät,'Leveranser per nät'!AC$1,FALSE)/VLOOKUP($B487,Korrigeringsfaktor_GD,'Korrigeringsfaktor GD'!AC$1,FALSE),
"")</f>
        <v>7.7697289256198356</v>
      </c>
      <c r="AD487">
        <v>7.5940000000000003</v>
      </c>
    </row>
    <row r="488" spans="1:30" x14ac:dyDescent="0.25">
      <c r="A488" t="s">
        <v>344</v>
      </c>
      <c r="B488" t="s">
        <v>344</v>
      </c>
      <c r="C488" s="18">
        <f>IFERROR(
                  Andel_oberoende_av_klimat*VLOOKUP($A488,Leveranser_per_nät,'Leveranser per nät'!C$1,FALSE)
               +Andel_beroende_av_klimat*VLOOKUP($A488,Leveranser_per_nät,'Leveranser per nät'!C$1,FALSE)/VLOOKUP($B488,Korrigeringsfaktor_GD,'Korrigeringsfaktor GD'!C$1,FALSE),
"")</f>
        <v>9.6119178217821784</v>
      </c>
      <c r="D488" s="18">
        <f>IFERROR(
                  Andel_oberoende_av_klimat*VLOOKUP($A488,Leveranser_per_nät,'Leveranser per nät'!D$1,FALSE)
               +Andel_beroende_av_klimat*VLOOKUP($A488,Leveranser_per_nät,'Leveranser per nät'!D$1,FALSE)/VLOOKUP($B488,Korrigeringsfaktor_GD,'Korrigeringsfaktor GD'!D$1,FALSE),
"")</f>
        <v>11.238285714285714</v>
      </c>
      <c r="E488" s="18">
        <f>IFERROR(
                  Andel_oberoende_av_klimat*VLOOKUP($A488,Leveranser_per_nät,'Leveranser per nät'!E$1,FALSE)
               +Andel_beroende_av_klimat*VLOOKUP($A488,Leveranser_per_nät,'Leveranser per nät'!E$1,FALSE)/VLOOKUP($B488,Korrigeringsfaktor_GD,'Korrigeringsfaktor GD'!E$1,FALSE),
"")</f>
        <v>14.062100000000001</v>
      </c>
      <c r="F488" s="18">
        <f>IFERROR(
                  Andel_oberoende_av_klimat*VLOOKUP($A488,Leveranser_per_nät,'Leveranser per nät'!F$1,FALSE)
               +Andel_beroende_av_klimat*VLOOKUP($A488,Leveranser_per_nät,'Leveranser per nät'!F$1,FALSE)/VLOOKUP($B488,Korrigeringsfaktor_GD,'Korrigeringsfaktor GD'!F$1,FALSE),
"")</f>
        <v>15.217000000000001</v>
      </c>
      <c r="G488" s="18">
        <f>IFERROR(
                  Andel_oberoende_av_klimat*VLOOKUP($A488,Leveranser_per_nät,'Leveranser per nät'!G$1,FALSE)
               +Andel_beroende_av_klimat*VLOOKUP($A488,Leveranser_per_nät,'Leveranser per nät'!G$1,FALSE)/VLOOKUP($B488,Korrigeringsfaktor_GD,'Korrigeringsfaktor GD'!G$1,FALSE),
"")</f>
        <v>15.913043478260871</v>
      </c>
      <c r="H488" s="18">
        <f>IFERROR(
                  Andel_oberoende_av_klimat*VLOOKUP($A488,Leveranser_per_nät,'Leveranser per nät'!H$1,FALSE)
               +Andel_beroende_av_klimat*VLOOKUP($A488,Leveranser_per_nät,'Leveranser per nät'!H$1,FALSE)/VLOOKUP($B488,Korrigeringsfaktor_GD,'Korrigeringsfaktor GD'!H$1,FALSE),
"")</f>
        <v>16</v>
      </c>
      <c r="I488" s="18">
        <f>IFERROR(
                  Andel_oberoende_av_klimat*VLOOKUP($A488,Leveranser_per_nät,'Leveranser per nät'!I$1,FALSE)
               +Andel_beroende_av_klimat*VLOOKUP($A488,Leveranser_per_nät,'Leveranser per nät'!I$1,FALSE)/VLOOKUP($B488,Korrigeringsfaktor_GD,'Korrigeringsfaktor GD'!I$1,FALSE),
"")</f>
        <v>23.343</v>
      </c>
      <c r="J488" s="18">
        <f>IFERROR(
                  Andel_oberoende_av_klimat*VLOOKUP($A488,Leveranser_per_nät,'Leveranser per nät'!J$1,FALSE)
               +Andel_beroende_av_klimat*VLOOKUP($A488,Leveranser_per_nät,'Leveranser per nät'!J$1,FALSE)/VLOOKUP($B488,Korrigeringsfaktor_GD,'Korrigeringsfaktor GD'!J$1,FALSE),
"")</f>
        <v>24.011827835051548</v>
      </c>
      <c r="K488" s="18">
        <f>IFERROR(
                  Andel_oberoende_av_klimat*VLOOKUP($A488,Leveranser_per_nät,'Leveranser per nät'!K$1,FALSE)
               +Andel_beroende_av_klimat*VLOOKUP($A488,Leveranser_per_nät,'Leveranser per nät'!K$1,FALSE)/VLOOKUP($B488,Korrigeringsfaktor_GD,'Korrigeringsfaktor GD'!K$1,FALSE),
"")</f>
        <v>26.39431616161616</v>
      </c>
      <c r="L488" s="18">
        <f>IFERROR(
                  Andel_oberoende_av_klimat*VLOOKUP($A488,Leveranser_per_nät,'Leveranser per nät'!L$1,FALSE)
               +Andel_beroende_av_klimat*VLOOKUP($A488,Leveranser_per_nät,'Leveranser per nät'!L$1,FALSE)/VLOOKUP($B488,Korrigeringsfaktor_GD,'Korrigeringsfaktor GD'!L$1,FALSE),
"")</f>
        <v>27.804330434782607</v>
      </c>
      <c r="M488" s="18">
        <f>IFERROR(
                  Andel_oberoende_av_klimat*VLOOKUP($A488,Leveranser_per_nät,'Leveranser per nät'!M$1,FALSE)
               +Andel_beroende_av_klimat*VLOOKUP($A488,Leveranser_per_nät,'Leveranser per nät'!M$1,FALSE)/VLOOKUP($B488,Korrigeringsfaktor_GD,'Korrigeringsfaktor GD'!M$1,FALSE),
"")</f>
        <v>27.268947368421053</v>
      </c>
      <c r="N488" s="18">
        <f>IFERROR(
                  Andel_oberoende_av_klimat*VLOOKUP($A488,Leveranser_per_nät,'Leveranser per nät'!N$1,FALSE)
               +Andel_beroende_av_klimat*VLOOKUP($A488,Leveranser_per_nät,'Leveranser per nät'!N$1,FALSE)/VLOOKUP($B488,Korrigeringsfaktor_GD,'Korrigeringsfaktor GD'!N$1,FALSE),
"")</f>
        <v>27.892978723404255</v>
      </c>
      <c r="O488" s="18">
        <f>IFERROR(
                  Andel_oberoende_av_klimat*VLOOKUP($A488,Leveranser_per_nät,'Leveranser per nät'!O$1,FALSE)
               +Andel_beroende_av_klimat*VLOOKUP($A488,Leveranser_per_nät,'Leveranser per nät'!O$1,FALSE)/VLOOKUP($B488,Korrigeringsfaktor_GD,'Korrigeringsfaktor GD'!O$1,FALSE),
"")</f>
        <v>26.758333333333333</v>
      </c>
      <c r="P488" s="18">
        <f>IFERROR(
                  Andel_oberoende_av_klimat*VLOOKUP($A488,Leveranser_per_nät,'Leveranser per nät'!P$1,FALSE)
               +Andel_beroende_av_klimat*VLOOKUP($A488,Leveranser_per_nät,'Leveranser per nät'!P$1,FALSE)/VLOOKUP($B488,Korrigeringsfaktor_GD,'Korrigeringsfaktor GD'!P$1,FALSE),
"")</f>
        <v>26.86938144329897</v>
      </c>
      <c r="Q488" s="18">
        <f>IFERROR(
                  Andel_oberoende_av_klimat*VLOOKUP($A488,Leveranser_per_nät,'Leveranser per nät'!Q$1,FALSE)
               +Andel_beroende_av_klimat*VLOOKUP($A488,Leveranser_per_nät,'Leveranser per nät'!Q$1,FALSE)/VLOOKUP($B488,Korrigeringsfaktor_GD,'Korrigeringsfaktor GD'!Q$1,FALSE),
"")</f>
        <v>26.45333333333333</v>
      </c>
      <c r="R488" s="18">
        <f>IFERROR(
                  Andel_oberoende_av_klimat*VLOOKUP($A488,Leveranser_per_nät,'Leveranser per nät'!R$1,FALSE)
               +Andel_beroende_av_klimat*VLOOKUP($A488,Leveranser_per_nät,'Leveranser per nät'!R$1,FALSE)/VLOOKUP($B488,Korrigeringsfaktor_GD,'Korrigeringsfaktor GD'!R$1,FALSE),
"")</f>
        <v>25.661538461538456</v>
      </c>
      <c r="S488" s="18">
        <f>IFERROR(
                  Andel_oberoende_av_klimat*VLOOKUP($A488,Leveranser_per_nät,'Leveranser per nät'!S$1,FALSE)
               +Andel_beroende_av_klimat*VLOOKUP($A488,Leveranser_per_nät,'Leveranser per nät'!S$1,FALSE)/VLOOKUP($B488,Korrigeringsfaktor_GD,'Korrigeringsfaktor GD'!S$1,FALSE),
"")</f>
        <v>24.230891089108908</v>
      </c>
      <c r="T488" s="18">
        <f>IFERROR(
                  Andel_oberoende_av_klimat*VLOOKUP($A488,Leveranser_per_nät,'Leveranser per nät'!T$1,FALSE)
               +Andel_beroende_av_klimat*VLOOKUP($A488,Leveranser_per_nät,'Leveranser per nät'!T$1,FALSE)/VLOOKUP($B488,Korrigeringsfaktor_GD,'Korrigeringsfaktor GD'!T$1,FALSE),
"")</f>
        <v>24.55</v>
      </c>
      <c r="U488" s="18">
        <f>IFERROR(
                  Andel_oberoende_av_klimat*VLOOKUP($A488,Leveranser_per_nät,'Leveranser per nät'!U$1,FALSE)
               +Andel_beroende_av_klimat*VLOOKUP($A488,Leveranser_per_nät,'Leveranser per nät'!U$1,FALSE)/VLOOKUP($B488,Korrigeringsfaktor_GD,'Korrigeringsfaktor GD'!U$1,FALSE),
"")</f>
        <v>24.612173913043478</v>
      </c>
      <c r="V488" s="18">
        <f>IFERROR(
                  Andel_oberoende_av_klimat*VLOOKUP($A488,Leveranser_per_nät,'Leveranser per nät'!V$1,FALSE)
               +Andel_beroende_av_klimat*VLOOKUP($A488,Leveranser_per_nät,'Leveranser per nät'!V$1,FALSE)/VLOOKUP($B488,Korrigeringsfaktor_GD,'Korrigeringsfaktor GD'!V$1,FALSE),
"")</f>
        <v>24.788888888888888</v>
      </c>
      <c r="W488" s="18">
        <f>IFERROR(
                  Andel_oberoende_av_klimat*VLOOKUP($A488,Leveranser_per_nät,'Leveranser per nät'!W$1,FALSE)
               +Andel_beroende_av_klimat*VLOOKUP($A488,Leveranser_per_nät,'Leveranser per nät'!W$1,FALSE)/VLOOKUP($B488,Korrigeringsfaktor_GD,'Korrigeringsfaktor GD'!W$1,FALSE),
"")</f>
        <v>25.111666666666665</v>
      </c>
      <c r="X488" s="18">
        <f>IFERROR(
                  Andel_oberoende_av_klimat*VLOOKUP($A488,Leveranser_per_nät,'Leveranser per nät'!X$1,FALSE)
               +Andel_beroende_av_klimat*VLOOKUP($A488,Leveranser_per_nät,'Leveranser per nät'!X$1,FALSE)/VLOOKUP($B488,Korrigeringsfaktor_GD,'Korrigeringsfaktor GD'!X$1,FALSE),
"")</f>
        <v>27.996565656565657</v>
      </c>
      <c r="Y488" s="18">
        <f>IFERROR(
                  Andel_oberoende_av_klimat*VLOOKUP($A488,Leveranser_per_nät,'Leveranser per nät'!Y$1,FALSE)
               +Andel_beroende_av_klimat*VLOOKUP($A488,Leveranser_per_nät,'Leveranser per nät'!Y$1,FALSE)/VLOOKUP($B488,Korrigeringsfaktor_GD,'Korrigeringsfaktor GD'!Y$1,FALSE),
"")</f>
        <v>24.545714285714286</v>
      </c>
      <c r="Z488" s="18">
        <f>IFERROR(
                  Andel_oberoende_av_klimat*VLOOKUP($A488,Leveranser_per_nät,'Leveranser per nät'!Z$1,FALSE)
               +Andel_beroende_av_klimat*VLOOKUP($A488,Leveranser_per_nät,'Leveranser per nät'!Z$1,FALSE)/VLOOKUP($B488,Korrigeringsfaktor_GD,'Korrigeringsfaktor GD'!Z$1,FALSE),
"")</f>
        <v>24.241428571428571</v>
      </c>
      <c r="AA488" s="18">
        <f>IFERROR(
                  Andel_oberoende_av_klimat*VLOOKUP($A488,Leveranser_per_nät,'Leveranser per nät'!AA$1,FALSE)
               +Andel_beroende_av_klimat*VLOOKUP($A488,Leveranser_per_nät,'Leveranser per nät'!AA$1,FALSE)/VLOOKUP($B488,Korrigeringsfaktor_GD,'Korrigeringsfaktor GD'!AA$1,FALSE),
"")</f>
        <v>22.727899223337758</v>
      </c>
      <c r="AB488" s="18">
        <f>IFERROR(
                  Andel_oberoende_av_klimat*VLOOKUP($A488,Leveranser_per_nät,'Leveranser per nät'!AB$1,FALSE)
               +Andel_beroende_av_klimat*VLOOKUP($A488,Leveranser_per_nät,'Leveranser per nät'!AB$1,FALSE)/VLOOKUP($B488,Korrigeringsfaktor_GD,'Korrigeringsfaktor GD'!AB$1,FALSE),
"")</f>
        <v>23.638356164383559</v>
      </c>
      <c r="AC488" s="18">
        <f>IFERROR(
                  Andel_oberoende_av_klimat*VLOOKUP($A488,Leveranser_per_nät,'Leveranser per nät'!AC$1,FALSE)
               +Andel_beroende_av_klimat*VLOOKUP($A488,Leveranser_per_nät,'Leveranser per nät'!AC$1,FALSE)/VLOOKUP($B488,Korrigeringsfaktor_GD,'Korrigeringsfaktor GD'!AC$1,FALSE),
"")</f>
        <v>23.073358490566036</v>
      </c>
      <c r="AD488" t="e">
        <v>#N/A</v>
      </c>
    </row>
    <row r="489" spans="1:30" x14ac:dyDescent="0.25">
      <c r="A489" t="s">
        <v>347</v>
      </c>
      <c r="B489" t="s">
        <v>412</v>
      </c>
      <c r="C489" s="18">
        <f>IFERROR(
                  Andel_oberoende_av_klimat*VLOOKUP($A489,Leveranser_per_nät,'Leveranser per nät'!C$1,FALSE)
               +Andel_beroende_av_klimat*VLOOKUP($A489,Leveranser_per_nät,'Leveranser per nät'!C$1,FALSE)/VLOOKUP($B489,Korrigeringsfaktor_GD,'Korrigeringsfaktor GD'!C$1,FALSE),
"")</f>
        <v>21.415539603960397</v>
      </c>
      <c r="D489" s="18">
        <f>IFERROR(
                  Andel_oberoende_av_klimat*VLOOKUP($A489,Leveranser_per_nät,'Leveranser per nät'!D$1,FALSE)
               +Andel_beroende_av_klimat*VLOOKUP($A489,Leveranser_per_nät,'Leveranser per nät'!D$1,FALSE)/VLOOKUP($B489,Korrigeringsfaktor_GD,'Korrigeringsfaktor GD'!D$1,FALSE),
"")</f>
        <v>24.518328571428569</v>
      </c>
      <c r="E489" s="18">
        <f>IFERROR(
                  Andel_oberoende_av_klimat*VLOOKUP($A489,Leveranser_per_nät,'Leveranser per nät'!E$1,FALSE)
               +Andel_beroende_av_klimat*VLOOKUP($A489,Leveranser_per_nät,'Leveranser per nät'!E$1,FALSE)/VLOOKUP($B489,Korrigeringsfaktor_GD,'Korrigeringsfaktor GD'!E$1,FALSE),
"")</f>
        <v>35.511873584905658</v>
      </c>
      <c r="F489" s="18">
        <f>IFERROR(
                  Andel_oberoende_av_klimat*VLOOKUP($A489,Leveranser_per_nät,'Leveranser per nät'!F$1,FALSE)
               +Andel_beroende_av_klimat*VLOOKUP($A489,Leveranser_per_nät,'Leveranser per nät'!F$1,FALSE)/VLOOKUP($B489,Korrigeringsfaktor_GD,'Korrigeringsfaktor GD'!F$1,FALSE),
"")</f>
        <v>33.030912121212125</v>
      </c>
      <c r="G489" s="18">
        <f>IFERROR(
                  Andel_oberoende_av_klimat*VLOOKUP($A489,Leveranser_per_nät,'Leveranser per nät'!G$1,FALSE)
               +Andel_beroende_av_klimat*VLOOKUP($A489,Leveranser_per_nät,'Leveranser per nät'!G$1,FALSE)/VLOOKUP($B489,Korrigeringsfaktor_GD,'Korrigeringsfaktor GD'!G$1,FALSE),
"")</f>
        <v>30.765217391304347</v>
      </c>
      <c r="H489" s="18">
        <f>IFERROR(
                  Andel_oberoende_av_klimat*VLOOKUP($A489,Leveranser_per_nät,'Leveranser per nät'!H$1,FALSE)
               +Andel_beroende_av_klimat*VLOOKUP($A489,Leveranser_per_nät,'Leveranser per nät'!H$1,FALSE)/VLOOKUP($B489,Korrigeringsfaktor_GD,'Korrigeringsfaktor GD'!H$1,FALSE),
"")</f>
        <v>28.594765656565656</v>
      </c>
      <c r="I489" s="18">
        <f>IFERROR(
                  Andel_oberoende_av_klimat*VLOOKUP($A489,Leveranser_per_nät,'Leveranser per nät'!I$1,FALSE)
               +Andel_beroende_av_klimat*VLOOKUP($A489,Leveranser_per_nät,'Leveranser per nät'!I$1,FALSE)/VLOOKUP($B489,Korrigeringsfaktor_GD,'Korrigeringsfaktor GD'!I$1,FALSE),
"")</f>
        <v>28.600808080808079</v>
      </c>
      <c r="J489" s="18">
        <f>IFERROR(
                  Andel_oberoende_av_klimat*VLOOKUP($A489,Leveranser_per_nät,'Leveranser per nät'!J$1,FALSE)
               +Andel_beroende_av_klimat*VLOOKUP($A489,Leveranser_per_nät,'Leveranser per nät'!J$1,FALSE)/VLOOKUP($B489,Korrigeringsfaktor_GD,'Korrigeringsfaktor GD'!J$1,FALSE),
"")</f>
        <v>24.998741237113403</v>
      </c>
      <c r="K489" s="18">
        <f>IFERROR(
                  Andel_oberoende_av_klimat*VLOOKUP($A489,Leveranser_per_nät,'Leveranser per nät'!K$1,FALSE)
               +Andel_beroende_av_klimat*VLOOKUP($A489,Leveranser_per_nät,'Leveranser per nät'!K$1,FALSE)/VLOOKUP($B489,Korrigeringsfaktor_GD,'Korrigeringsfaktor GD'!K$1,FALSE),
"")</f>
        <v>26.019471428571428</v>
      </c>
      <c r="L489" s="18">
        <f>IFERROR(
                  Andel_oberoende_av_klimat*VLOOKUP($A489,Leveranser_per_nät,'Leveranser per nät'!L$1,FALSE)
               +Andel_beroende_av_klimat*VLOOKUP($A489,Leveranser_per_nät,'Leveranser per nät'!L$1,FALSE)/VLOOKUP($B489,Korrigeringsfaktor_GD,'Korrigeringsfaktor GD'!L$1,FALSE),
"")</f>
        <v>27.214486956521736</v>
      </c>
      <c r="M489" s="18">
        <f>IFERROR(
                  Andel_oberoende_av_klimat*VLOOKUP($A489,Leveranser_per_nät,'Leveranser per nät'!M$1,FALSE)
               +Andel_beroende_av_klimat*VLOOKUP($A489,Leveranser_per_nät,'Leveranser per nät'!M$1,FALSE)/VLOOKUP($B489,Korrigeringsfaktor_GD,'Korrigeringsfaktor GD'!M$1,FALSE),
"")</f>
        <v>26.117021276595747</v>
      </c>
      <c r="N489" s="18">
        <f>IFERROR(
                  Andel_oberoende_av_klimat*VLOOKUP($A489,Leveranser_per_nät,'Leveranser per nät'!N$1,FALSE)
               +Andel_beroende_av_klimat*VLOOKUP($A489,Leveranser_per_nät,'Leveranser per nät'!N$1,FALSE)/VLOOKUP($B489,Korrigeringsfaktor_GD,'Korrigeringsfaktor GD'!N$1,FALSE),
"")</f>
        <v>26.01255319148936</v>
      </c>
      <c r="O489" s="18">
        <f>IFERROR(
                  Andel_oberoende_av_klimat*VLOOKUP($A489,Leveranser_per_nät,'Leveranser per nät'!O$1,FALSE)
               +Andel_beroende_av_klimat*VLOOKUP($A489,Leveranser_per_nät,'Leveranser per nät'!O$1,FALSE)/VLOOKUP($B489,Korrigeringsfaktor_GD,'Korrigeringsfaktor GD'!O$1,FALSE),
"")</f>
        <v>26.154226804123709</v>
      </c>
      <c r="P489" s="18">
        <f>IFERROR(
                  Andel_oberoende_av_klimat*VLOOKUP($A489,Leveranser_per_nät,'Leveranser per nät'!P$1,FALSE)
               +Andel_beroende_av_klimat*VLOOKUP($A489,Leveranser_per_nät,'Leveranser per nät'!P$1,FALSE)/VLOOKUP($B489,Korrigeringsfaktor_GD,'Korrigeringsfaktor GD'!P$1,FALSE),
"")</f>
        <v>26.86938144329897</v>
      </c>
      <c r="Q489" s="18">
        <f>IFERROR(
                  Andel_oberoende_av_klimat*VLOOKUP($A489,Leveranser_per_nät,'Leveranser per nät'!Q$1,FALSE)
               +Andel_beroende_av_klimat*VLOOKUP($A489,Leveranser_per_nät,'Leveranser per nät'!Q$1,FALSE)/VLOOKUP($B489,Korrigeringsfaktor_GD,'Korrigeringsfaktor GD'!Q$1,FALSE),
"")</f>
        <v>27.178679245283018</v>
      </c>
      <c r="R489" s="18">
        <f>IFERROR(
                  Andel_oberoende_av_klimat*VLOOKUP($A489,Leveranser_per_nät,'Leveranser per nät'!R$1,FALSE)
               +Andel_beroende_av_klimat*VLOOKUP($A489,Leveranser_per_nät,'Leveranser per nät'!R$1,FALSE)/VLOOKUP($B489,Korrigeringsfaktor_GD,'Korrigeringsfaktor GD'!R$1,FALSE),
"")</f>
        <v>26.196153846153845</v>
      </c>
      <c r="S489" s="18">
        <f>IFERROR(
                  Andel_oberoende_av_klimat*VLOOKUP($A489,Leveranser_per_nät,'Leveranser per nät'!S$1,FALSE)
               +Andel_beroende_av_klimat*VLOOKUP($A489,Leveranser_per_nät,'Leveranser per nät'!S$1,FALSE)/VLOOKUP($B489,Korrigeringsfaktor_GD,'Korrigeringsfaktor GD'!S$1,FALSE),
"")</f>
        <v>26.449514563106796</v>
      </c>
      <c r="T489" s="18">
        <f>IFERROR(
                  Andel_oberoende_av_klimat*VLOOKUP($A489,Leveranser_per_nät,'Leveranser per nät'!T$1,FALSE)
               +Andel_beroende_av_klimat*VLOOKUP($A489,Leveranser_per_nät,'Leveranser per nät'!T$1,FALSE)/VLOOKUP($B489,Korrigeringsfaktor_GD,'Korrigeringsfaktor GD'!T$1,FALSE),
"")</f>
        <v>26.01255319148936</v>
      </c>
      <c r="U489" s="18">
        <f>IFERROR(
                  Andel_oberoende_av_klimat*VLOOKUP($A489,Leveranser_per_nät,'Leveranser per nät'!U$1,FALSE)
               +Andel_beroende_av_klimat*VLOOKUP($A489,Leveranser_per_nät,'Leveranser per nät'!U$1,FALSE)/VLOOKUP($B489,Korrigeringsfaktor_GD,'Korrigeringsfaktor GD'!U$1,FALSE),
"")</f>
        <v>25.053978494623657</v>
      </c>
      <c r="V489" s="18">
        <f>IFERROR(
                  Andel_oberoende_av_klimat*VLOOKUP($A489,Leveranser_per_nät,'Leveranser per nät'!V$1,FALSE)
               +Andel_beroende_av_klimat*VLOOKUP($A489,Leveranser_per_nät,'Leveranser per nät'!V$1,FALSE)/VLOOKUP($B489,Korrigeringsfaktor_GD,'Korrigeringsfaktor GD'!V$1,FALSE),
"")</f>
        <v>25.65111111111111</v>
      </c>
      <c r="W489" s="18">
        <f>IFERROR(
                  Andel_oberoende_av_klimat*VLOOKUP($A489,Leveranser_per_nät,'Leveranser per nät'!W$1,FALSE)
               +Andel_beroende_av_klimat*VLOOKUP($A489,Leveranser_per_nät,'Leveranser per nät'!W$1,FALSE)/VLOOKUP($B489,Korrigeringsfaktor_GD,'Korrigeringsfaktor GD'!W$1,FALSE),
"")</f>
        <v>25.896129032258067</v>
      </c>
      <c r="X489" s="18">
        <f>IFERROR(
                  Andel_oberoende_av_klimat*VLOOKUP($A489,Leveranser_per_nät,'Leveranser per nät'!X$1,FALSE)
               +Andel_beroende_av_klimat*VLOOKUP($A489,Leveranser_per_nät,'Leveranser per nät'!X$1,FALSE)/VLOOKUP($B489,Korrigeringsfaktor_GD,'Korrigeringsfaktor GD'!X$1,FALSE),
"")</f>
        <v>25.559999999999995</v>
      </c>
      <c r="Y489" s="18">
        <f>IFERROR(
                  Andel_oberoende_av_klimat*VLOOKUP($A489,Leveranser_per_nät,'Leveranser per nät'!Y$1,FALSE)
               +Andel_beroende_av_klimat*VLOOKUP($A489,Leveranser_per_nät,'Leveranser per nät'!Y$1,FALSE)/VLOOKUP($B489,Korrigeringsfaktor_GD,'Korrigeringsfaktor GD'!Y$1,FALSE),
"")</f>
        <v>24.158421052631581</v>
      </c>
      <c r="Z489" s="18">
        <f>IFERROR(
                  Andel_oberoende_av_klimat*VLOOKUP($A489,Leveranser_per_nät,'Leveranser per nät'!Z$1,FALSE)
               +Andel_beroende_av_klimat*VLOOKUP($A489,Leveranser_per_nät,'Leveranser per nät'!Z$1,FALSE)/VLOOKUP($B489,Korrigeringsfaktor_GD,'Korrigeringsfaktor GD'!Z$1,FALSE),
"")</f>
        <v>25.743181818181817</v>
      </c>
      <c r="AA489" s="18">
        <f>IFERROR(
                  Andel_oberoende_av_klimat*VLOOKUP($A489,Leveranser_per_nät,'Leveranser per nät'!AA$1,FALSE)
               +Andel_beroende_av_klimat*VLOOKUP($A489,Leveranser_per_nät,'Leveranser per nät'!AA$1,FALSE)/VLOOKUP($B489,Korrigeringsfaktor_GD,'Korrigeringsfaktor GD'!AA$1,FALSE),
"")</f>
        <v>24.17145510835913</v>
      </c>
      <c r="AB489" s="18">
        <f>IFERROR(
                  Andel_oberoende_av_klimat*VLOOKUP($A489,Leveranser_per_nät,'Leveranser per nät'!AB$1,FALSE)
               +Andel_beroende_av_klimat*VLOOKUP($A489,Leveranser_per_nät,'Leveranser per nät'!AB$1,FALSE)/VLOOKUP($B489,Korrigeringsfaktor_GD,'Korrigeringsfaktor GD'!AB$1,FALSE),
"")</f>
        <v>22.434385447394295</v>
      </c>
      <c r="AC489" s="18">
        <f>IFERROR(
                  Andel_oberoende_av_klimat*VLOOKUP($A489,Leveranser_per_nät,'Leveranser per nät'!AC$1,FALSE)
               +Andel_beroende_av_klimat*VLOOKUP($A489,Leveranser_per_nät,'Leveranser per nät'!AC$1,FALSE)/VLOOKUP($B489,Korrigeringsfaktor_GD,'Korrigeringsfaktor GD'!AC$1,FALSE),
"")</f>
        <v>21.872416719242899</v>
      </c>
      <c r="AD489" t="s">
        <v>805</v>
      </c>
    </row>
    <row r="490" spans="1:30" x14ac:dyDescent="0.25">
      <c r="A490" s="1" t="s">
        <v>470</v>
      </c>
      <c r="C490" s="18">
        <f t="shared" ref="C490:I490" si="3">SUM(C4:C482)</f>
        <v>36772.174303901214</v>
      </c>
      <c r="D490" s="18">
        <f t="shared" si="3"/>
        <v>36978.35336210455</v>
      </c>
      <c r="E490" s="18">
        <f t="shared" si="3"/>
        <v>37833.408854576883</v>
      </c>
      <c r="F490" s="18">
        <f t="shared" si="3"/>
        <v>40057.870506779909</v>
      </c>
      <c r="G490" s="18">
        <f t="shared" si="3"/>
        <v>40778.269724370737</v>
      </c>
      <c r="H490" s="18">
        <f t="shared" si="3"/>
        <v>40356.945922600935</v>
      </c>
      <c r="I490" s="18">
        <f t="shared" si="3"/>
        <v>42062.169269229402</v>
      </c>
      <c r="J490" s="18">
        <f t="shared" ref="J490:Y490" si="4">SUM(J4:J489)</f>
        <v>42942.529535919588</v>
      </c>
      <c r="K490" s="18">
        <f t="shared" si="4"/>
        <v>39612.694941381997</v>
      </c>
      <c r="L490" s="18">
        <f t="shared" si="4"/>
        <v>41049.953289630568</v>
      </c>
      <c r="M490" s="18">
        <f t="shared" si="4"/>
        <v>41966.916649684201</v>
      </c>
      <c r="N490" s="18">
        <f t="shared" si="4"/>
        <v>42688.124874410241</v>
      </c>
      <c r="O490" s="18">
        <f t="shared" si="4"/>
        <v>43473.280855422745</v>
      </c>
      <c r="P490" s="18">
        <f t="shared" si="4"/>
        <v>51411.247326042889</v>
      </c>
      <c r="Q490" s="18">
        <f t="shared" si="4"/>
        <v>52978.065853350607</v>
      </c>
      <c r="R490" s="18">
        <f t="shared" si="4"/>
        <v>54118.036925723281</v>
      </c>
      <c r="S490" s="18">
        <f t="shared" si="4"/>
        <v>52347.001051901738</v>
      </c>
      <c r="T490" s="18">
        <f t="shared" si="4"/>
        <v>51878.167141187274</v>
      </c>
      <c r="U490" s="18">
        <f t="shared" si="4"/>
        <v>51466.128962816445</v>
      </c>
      <c r="V490" s="18">
        <f t="shared" si="4"/>
        <v>51998.590569308304</v>
      </c>
      <c r="W490" s="18">
        <f t="shared" si="4"/>
        <v>53033.304681727917</v>
      </c>
      <c r="X490" s="18">
        <f t="shared" si="4"/>
        <v>52258.750238578497</v>
      </c>
      <c r="Y490" s="18">
        <f t="shared" si="4"/>
        <v>51919.110340239633</v>
      </c>
      <c r="Z490" s="18">
        <f>SUM(Z4:Z489)</f>
        <v>53303.536120586847</v>
      </c>
      <c r="AA490" s="18">
        <f>SUM(AA4:AA489)</f>
        <v>53278.790095081938</v>
      </c>
      <c r="AB490" s="18">
        <f>SUM(AB4:AB489)</f>
        <v>51049.396002230387</v>
      </c>
      <c r="AC490" s="18">
        <f>SUM(AC4:AC489)</f>
        <v>50146.962367586493</v>
      </c>
    </row>
    <row r="492" spans="1:30" x14ac:dyDescent="0.25">
      <c r="A492" t="s">
        <v>471</v>
      </c>
      <c r="B492" t="s">
        <v>483</v>
      </c>
      <c r="C492" s="18">
        <f>IFERROR(
                  Andel_oberoende_av_klimat*VLOOKUP($A492,Leveranser_per_nät,'Leveranser per nät'!C$1,FALSE)
               +Andel_beroende_av_klimat*VLOOKUP($A492,Leveranser_per_nät,'Leveranser per nät'!C$1,FALSE)/VLOOKUP($B492,Korrigeringsfaktor_GD,'Korrigeringsfaktor GD'!C$1,FALSE),
"")</f>
        <v>39908.924137931041</v>
      </c>
      <c r="D492" s="18">
        <f>IFERROR(
                  Andel_oberoende_av_klimat*VLOOKUP($A492,Leveranser_per_nät,'Leveranser per nät'!D$1,FALSE)
               +Andel_beroende_av_klimat*VLOOKUP($A492,Leveranser_per_nät,'Leveranser per nät'!D$1,FALSE)/VLOOKUP($B492,Korrigeringsfaktor_GD,'Korrigeringsfaktor GD'!D$1,FALSE),
"")</f>
        <v>40412.598039215685</v>
      </c>
      <c r="E492" s="18">
        <f>IFERROR(
                  Andel_oberoende_av_klimat*VLOOKUP($A492,Leveranser_per_nät,'Leveranser per nät'!E$1,FALSE)
               +Andel_beroende_av_klimat*VLOOKUP($A492,Leveranser_per_nät,'Leveranser per nät'!E$1,FALSE)/VLOOKUP($B492,Korrigeringsfaktor_GD,'Korrigeringsfaktor GD'!E$1,FALSE),
"")</f>
        <v>43316.125252525249</v>
      </c>
      <c r="F492" s="18">
        <f>IFERROR(
                  Andel_oberoende_av_klimat*VLOOKUP($A492,Leveranser_per_nät,'Leveranser per nät'!F$1,FALSE)
               +Andel_beroende_av_klimat*VLOOKUP($A492,Leveranser_per_nät,'Leveranser per nät'!F$1,FALSE)/VLOOKUP($B492,Korrigeringsfaktor_GD,'Korrigeringsfaktor GD'!F$1,FALSE),
"")</f>
        <v>44453.41864512123</v>
      </c>
      <c r="G492" s="18">
        <f>IFERROR(
                  Andel_oberoende_av_klimat*VLOOKUP($A492,Leveranser_per_nät,'Leveranser per nät'!G$1,FALSE)
               +Andel_beroende_av_klimat*VLOOKUP($A492,Leveranser_per_nät,'Leveranser per nät'!G$1,FALSE)/VLOOKUP($B492,Korrigeringsfaktor_GD,'Korrigeringsfaktor GD'!G$1,FALSE),
"")</f>
        <v>44993.323574582413</v>
      </c>
      <c r="H492" s="18">
        <f>IFERROR(
                  Andel_oberoende_av_klimat*VLOOKUP($A492,Leveranser_per_nät,'Leveranser per nät'!H$1,FALSE)
               +Andel_beroende_av_klimat*VLOOKUP($A492,Leveranser_per_nät,'Leveranser per nät'!H$1,FALSE)/VLOOKUP($B492,Korrigeringsfaktor_GD,'Korrigeringsfaktor GD'!H$1,FALSE),
"")</f>
        <v>46463.371486969852</v>
      </c>
      <c r="I492" s="18">
        <f>IFERROR(
                  Andel_oberoende_av_klimat*VLOOKUP($A492,Leveranser_per_nät,'Leveranser per nät'!I$1,FALSE)
               +Andel_beroende_av_klimat*VLOOKUP($A492,Leveranser_per_nät,'Leveranser per nät'!I$1,FALSE)/VLOOKUP($B492,Korrigeringsfaktor_GD,'Korrigeringsfaktor GD'!I$1,FALSE),
"")</f>
        <v>48193.918639865427</v>
      </c>
      <c r="J492" s="18">
        <f>IFERROR(
                  Andel_oberoende_av_klimat*VLOOKUP($A492,Leveranser_per_nät,'Leveranser per nät'!J$1,FALSE)
               +Andel_beroende_av_klimat*VLOOKUP($A492,Leveranser_per_nät,'Leveranser per nät'!J$1,FALSE)/VLOOKUP($B492,Korrigeringsfaktor_GD,'Korrigeringsfaktor GD'!J$1,FALSE),
"")</f>
        <v>48384.403860337297</v>
      </c>
      <c r="K492" s="18">
        <f>IFERROR(
                  Andel_oberoende_av_klimat*VLOOKUP($A492,Leveranser_per_nät,'Leveranser per nät'!K$1,FALSE)
               +Andel_beroende_av_klimat*VLOOKUP($A492,Leveranser_per_nät,'Leveranser per nät'!K$1,FALSE)/VLOOKUP($B492,Korrigeringsfaktor_GD,'Korrigeringsfaktor GD'!K$1,FALSE),
"")</f>
        <v>48714.291720864865</v>
      </c>
      <c r="L492" s="18">
        <f>IFERROR(
                  Andel_oberoende_av_klimat*VLOOKUP($A492,Leveranser_per_nät,'Leveranser per nät'!L$1,FALSE)
               +Andel_beroende_av_klimat*VLOOKUP($A492,Leveranser_per_nät,'Leveranser per nät'!L$1,FALSE)/VLOOKUP($B492,Korrigeringsfaktor_GD,'Korrigeringsfaktor GD'!L$1,FALSE),
"")</f>
        <v>50629.957062505644</v>
      </c>
      <c r="M492" s="18">
        <f>IFERROR(
                  Andel_oberoende_av_klimat*VLOOKUP($A492,Leveranser_per_nät,'Leveranser per nät'!M$1,FALSE)
               +Andel_beroende_av_klimat*VLOOKUP($A492,Leveranser_per_nät,'Leveranser per nät'!M$1,FALSE)/VLOOKUP($B492,Korrigeringsfaktor_GD,'Korrigeringsfaktor GD'!M$1,FALSE),
"")</f>
        <v>50365.739265329918</v>
      </c>
      <c r="N492" s="18">
        <f>IFERROR(
                  Andel_oberoende_av_klimat*VLOOKUP($A492,Leveranser_per_nät,'Leveranser per nät'!N$1,FALSE)
               +Andel_beroende_av_klimat*VLOOKUP($A492,Leveranser_per_nät,'Leveranser per nät'!N$1,FALSE)/VLOOKUP($B492,Korrigeringsfaktor_GD,'Korrigeringsfaktor GD'!N$1,FALSE),
"")</f>
        <v>53870.902313866092</v>
      </c>
      <c r="O492" s="18">
        <f>IFERROR(
                  Andel_oberoende_av_klimat*VLOOKUP($A492,Leveranser_per_nät,'Leveranser per nät'!O$1,FALSE)
               +Andel_beroende_av_klimat*VLOOKUP($A492,Leveranser_per_nät,'Leveranser per nät'!O$1,FALSE)/VLOOKUP($B492,Korrigeringsfaktor_GD,'Korrigeringsfaktor GD'!O$1,FALSE),
"")</f>
        <v>54896.656794641283</v>
      </c>
      <c r="P492" s="18">
        <f>IFERROR(
                  Andel_oberoende_av_klimat*VLOOKUP($A492,Leveranser_per_nät,'Leveranser per nät'!P$1,FALSE)
               +Andel_beroende_av_klimat*VLOOKUP($A492,Leveranser_per_nät,'Leveranser per nät'!P$1,FALSE)/VLOOKUP($B492,Korrigeringsfaktor_GD,'Korrigeringsfaktor GD'!P$1,FALSE),
"")</f>
        <v>53872.628832496368</v>
      </c>
      <c r="Q492" s="18">
        <f>IFERROR(
                  Andel_oberoende_av_klimat*VLOOKUP($A492,Leveranser_per_nät,'Leveranser per nät'!Q$1,FALSE)
               +Andel_beroende_av_klimat*VLOOKUP($A492,Leveranser_per_nät,'Leveranser per nät'!Q$1,FALSE)/VLOOKUP($B492,Korrigeringsfaktor_GD,'Korrigeringsfaktor GD'!Q$1,FALSE),
"")</f>
        <v>54637.195565624286</v>
      </c>
      <c r="R492" s="18">
        <f>IFERROR(
                  Andel_oberoende_av_klimat*VLOOKUP($A492,Leveranser_per_nät,'Leveranser per nät'!R$1,FALSE)
               +Andel_beroende_av_klimat*VLOOKUP($A492,Leveranser_per_nät,'Leveranser per nät'!R$1,FALSE)/VLOOKUP($B492,Korrigeringsfaktor_GD,'Korrigeringsfaktor GD'!R$1,FALSE),
"")</f>
        <v>54220.87952494176</v>
      </c>
      <c r="S492" s="18">
        <f>IFERROR(
                  Andel_oberoende_av_klimat*VLOOKUP($A492,Leveranser_per_nät,'Leveranser per nät'!S$1,FALSE)
               +Andel_beroende_av_klimat*VLOOKUP($A492,Leveranser_per_nät,'Leveranser per nät'!S$1,FALSE)/VLOOKUP($B492,Korrigeringsfaktor_GD,'Korrigeringsfaktor GD'!S$1,FALSE),
"")</f>
        <v>52943.193010005503</v>
      </c>
      <c r="T492" s="18">
        <f>IFERROR(
                  Andel_oberoende_av_klimat*VLOOKUP($A492,Leveranser_per_nät,'Leveranser per nät'!T$1,FALSE)
               +Andel_beroende_av_klimat*VLOOKUP($A492,Leveranser_per_nät,'Leveranser per nät'!T$1,FALSE)/VLOOKUP($B492,Korrigeringsfaktor_GD,'Korrigeringsfaktor GD'!T$1,FALSE),
"")</f>
        <v>53418.749999999985</v>
      </c>
      <c r="U492" s="18">
        <f>IFERROR(
                  Andel_oberoende_av_klimat*VLOOKUP($A492,Leveranser_per_nät,'Leveranser per nät'!U$1,FALSE)
               +Andel_beroende_av_klimat*VLOOKUP($A492,Leveranser_per_nät,'Leveranser per nät'!U$1,FALSE)/VLOOKUP($B492,Korrigeringsfaktor_GD,'Korrigeringsfaktor GD'!U$1,FALSE),
"")</f>
        <v>52980.243808049512</v>
      </c>
      <c r="V492" s="18">
        <f>IFERROR(
                  Andel_oberoende_av_klimat*VLOOKUP($A492,Leveranser_per_nät,'Leveranser per nät'!V$1,FALSE)
               +Andel_beroende_av_klimat*VLOOKUP($A492,Leveranser_per_nät,'Leveranser per nät'!V$1,FALSE)/VLOOKUP($B492,Korrigeringsfaktor_GD,'Korrigeringsfaktor GD'!V$1,FALSE),
"")</f>
        <v>53095.226310648024</v>
      </c>
      <c r="W492" s="18">
        <f>IFERROR(
                  Andel_oberoende_av_klimat*VLOOKUP($A492,Leveranser_per_nät,'Leveranser per nät'!W$1,FALSE)
               +Andel_beroende_av_klimat*VLOOKUP($A492,Leveranser_per_nät,'Leveranser per nät'!W$1,FALSE)/VLOOKUP($B492,Korrigeringsfaktor_GD,'Korrigeringsfaktor GD'!W$1,FALSE),
"")</f>
        <v>53845.242718446621</v>
      </c>
      <c r="X492" s="18">
        <f>IFERROR(
                  Andel_oberoende_av_klimat*VLOOKUP($A492,Leveranser_per_nät,'Leveranser per nät'!X$1,FALSE)
               +Andel_beroende_av_klimat*VLOOKUP($A492,Leveranser_per_nät,'Leveranser per nät'!X$1,FALSE)/VLOOKUP($B492,Korrigeringsfaktor_GD,'Korrigeringsfaktor GD'!X$1,FALSE),
"")</f>
        <v>53162.054173832534</v>
      </c>
      <c r="Y492" s="18">
        <f>IFERROR(
                  Andel_oberoende_av_klimat*VLOOKUP($A492,Leveranser_per_nät,'Leveranser per nät'!Y$1,FALSE)
               +Andel_beroende_av_klimat*VLOOKUP($A492,Leveranser_per_nät,'Leveranser per nät'!Y$1,FALSE)/VLOOKUP($B492,Korrigeringsfaktor_GD,'Korrigeringsfaktor GD'!Y$1,FALSE),
"")</f>
        <v>53900.719810002833</v>
      </c>
      <c r="Z492" s="18">
        <f>IFERROR(
                  Andel_oberoende_av_klimat*VLOOKUP($A492,Leveranser_per_nät,'Leveranser per nät'!Z$1,FALSE)
               +Andel_beroende_av_klimat*VLOOKUP($A492,Leveranser_per_nät,'Leveranser per nät'!Z$1,FALSE)/VLOOKUP($B492,Korrigeringsfaktor_GD,'Korrigeringsfaktor GD'!Z$1,FALSE),
"")</f>
        <v>53778.339028788199</v>
      </c>
      <c r="AA492" s="18">
        <f>IFERROR(
                  Andel_oberoende_av_klimat*VLOOKUP($A492,Leveranser_per_nät,'Leveranser per nät'!AA$1,FALSE)
               +Andel_beroende_av_klimat*VLOOKUP($A492,Leveranser_per_nät,'Leveranser per nät'!AA$1,FALSE)/VLOOKUP($B492,Korrigeringsfaktor_GD,'Korrigeringsfaktor GD'!AA$1,FALSE),
"")</f>
        <v>52947.142051162919</v>
      </c>
      <c r="AB492" s="18">
        <f>IFERROR(
                  Andel_oberoende_av_klimat*VLOOKUP($A492,Leveranser_per_nät,'Leveranser per nät'!AB$1,FALSE)
               +Andel_beroende_av_klimat*VLOOKUP($A492,Leveranser_per_nät,'Leveranser per nät'!AB$1,FALSE)/VLOOKUP($B492,Korrigeringsfaktor_GD,'Korrigeringsfaktor GD'!AB$1,FALSE),
"")</f>
        <v>52591.935345572623</v>
      </c>
      <c r="AC492" s="18">
        <f>IFERROR(
                  Andel_oberoende_av_klimat*VLOOKUP($A492,Leveranser_per_nät,'Leveranser per nät'!AC$1,FALSE)
               +Andel_beroende_av_klimat*VLOOKUP($A492,Leveranser_per_nät,'Leveranser per nät'!AC$1,FALSE)/VLOOKUP($B492,Korrigeringsfaktor_GD,'Korrigeringsfaktor GD'!AC$1,FALSE),
"")</f>
        <v>50780.94305315175</v>
      </c>
    </row>
    <row r="493" spans="1:30" x14ac:dyDescent="0.25">
      <c r="A493" t="s">
        <v>472</v>
      </c>
      <c r="C493" s="15">
        <f>IF(C492-C490&lt;0, 0, C492-C490)</f>
        <v>3136.7498340298262</v>
      </c>
      <c r="D493" s="15">
        <f t="shared" ref="D493:W493" si="5">IF(D492-D490&lt;0, 0, D492-D490)</f>
        <v>3434.2446771111354</v>
      </c>
      <c r="E493" s="15">
        <f t="shared" si="5"/>
        <v>5482.7163979483666</v>
      </c>
      <c r="F493" s="15">
        <f t="shared" si="5"/>
        <v>4395.5481383413207</v>
      </c>
      <c r="G493" s="15">
        <f t="shared" si="5"/>
        <v>4215.053850211676</v>
      </c>
      <c r="H493" s="15">
        <f t="shared" si="5"/>
        <v>6106.4255643689175</v>
      </c>
      <c r="I493" s="15">
        <f t="shared" si="5"/>
        <v>6131.7493706360256</v>
      </c>
      <c r="J493" s="15">
        <f t="shared" si="5"/>
        <v>5441.8743244177094</v>
      </c>
      <c r="K493" s="15">
        <f t="shared" si="5"/>
        <v>9101.5967794828684</v>
      </c>
      <c r="L493" s="15">
        <f t="shared" si="5"/>
        <v>9580.0037728750758</v>
      </c>
      <c r="M493" s="15">
        <f t="shared" si="5"/>
        <v>8398.8226156457167</v>
      </c>
      <c r="N493" s="15">
        <f t="shared" si="5"/>
        <v>11182.777439455851</v>
      </c>
      <c r="O493" s="15">
        <f t="shared" si="5"/>
        <v>11423.375939218538</v>
      </c>
      <c r="P493" s="15">
        <f t="shared" si="5"/>
        <v>2461.3815064534792</v>
      </c>
      <c r="Q493" s="15">
        <f t="shared" si="5"/>
        <v>1659.1297122736796</v>
      </c>
      <c r="R493" s="15">
        <f t="shared" si="5"/>
        <v>102.84259921847843</v>
      </c>
      <c r="S493" s="15">
        <f t="shared" si="5"/>
        <v>596.1919581037655</v>
      </c>
      <c r="T493" s="15">
        <f t="shared" si="5"/>
        <v>1540.5828588127115</v>
      </c>
      <c r="U493" s="15">
        <f t="shared" si="5"/>
        <v>1514.1148452330672</v>
      </c>
      <c r="V493" s="15">
        <f t="shared" si="5"/>
        <v>1096.63574133972</v>
      </c>
      <c r="W493" s="15">
        <f t="shared" si="5"/>
        <v>811.9380367187041</v>
      </c>
      <c r="X493" s="15">
        <f t="shared" ref="X493:AA493" si="6">IF(X492-X490&lt;0, 0, X492-X490)</f>
        <v>903.30393525403633</v>
      </c>
      <c r="Y493" s="15">
        <f t="shared" si="6"/>
        <v>1981.6094697631997</v>
      </c>
      <c r="Z493" s="15">
        <f t="shared" ref="Z493" si="7">IF(Z492-Z490&lt;0, 0, Z492-Z490)</f>
        <v>474.80290820135269</v>
      </c>
      <c r="AA493" s="15">
        <f t="shared" si="6"/>
        <v>0</v>
      </c>
      <c r="AB493" s="15">
        <f>IF(AB492-AB490&lt;0, 0, AB492-AB490)</f>
        <v>1542.539343342236</v>
      </c>
      <c r="AC493" s="15">
        <f>IF(AC492-AC490&lt;0, 0, AC492-AC490)</f>
        <v>633.98068556525686</v>
      </c>
    </row>
  </sheetData>
  <autoFilter ref="A2:AD490" xr:uid="{00000000-0001-0000-0300-000000000000}"/>
  <sortState xmlns:xlrd2="http://schemas.microsoft.com/office/spreadsheetml/2017/richdata2" ref="A4:W316">
    <sortCondition ref="A4:A316"/>
  </sortState>
  <pageMargins left="0.7" right="0.7" top="0.75" bottom="0.75" header="0.3" footer="0.3"/>
  <pageSetup paperSize="9" orientation="portrait" horizontalDpi="360" verticalDpi="36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dimension ref="A1:AD521"/>
  <sheetViews>
    <sheetView topLeftCell="E1" zoomScale="85" zoomScaleNormal="85" workbookViewId="0">
      <selection activeCell="O22" sqref="O22"/>
    </sheetView>
  </sheetViews>
  <sheetFormatPr defaultRowHeight="15" x14ac:dyDescent="0.25"/>
  <cols>
    <col min="1" max="1" width="18.42578125" customWidth="1"/>
    <col min="2" max="2" width="17.7109375" customWidth="1"/>
    <col min="3" max="3" width="11.5703125" bestFit="1" customWidth="1"/>
    <col min="4" max="13" width="9.85546875" bestFit="1" customWidth="1"/>
    <col min="25" max="26" width="9.42578125" customWidth="1"/>
    <col min="30" max="30" width="11.140625" customWidth="1"/>
  </cols>
  <sheetData>
    <row r="1" spans="1:30" x14ac:dyDescent="0.25">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row>
    <row r="2" spans="1:30" x14ac:dyDescent="0.25">
      <c r="A2" s="1" t="s">
        <v>467</v>
      </c>
      <c r="B2" s="1" t="s">
        <v>468</v>
      </c>
      <c r="C2" s="1">
        <v>1996</v>
      </c>
      <c r="D2" s="1">
        <v>1997</v>
      </c>
      <c r="E2" s="1">
        <v>1998</v>
      </c>
      <c r="F2" s="1">
        <v>1999</v>
      </c>
      <c r="G2" s="1">
        <v>2000</v>
      </c>
      <c r="H2" s="1">
        <v>2001</v>
      </c>
      <c r="I2" s="1">
        <v>2002</v>
      </c>
      <c r="J2" s="1">
        <v>2003</v>
      </c>
      <c r="K2" s="1">
        <v>2004</v>
      </c>
      <c r="L2" s="1">
        <v>2005</v>
      </c>
      <c r="M2" s="7">
        <v>2006</v>
      </c>
      <c r="N2" s="7">
        <v>2007</v>
      </c>
      <c r="O2" s="7">
        <v>2008</v>
      </c>
      <c r="P2" s="7">
        <v>2009</v>
      </c>
      <c r="Q2" s="7">
        <v>2010</v>
      </c>
      <c r="R2" s="7">
        <v>2011</v>
      </c>
      <c r="S2" s="7">
        <v>2012</v>
      </c>
      <c r="T2" s="7">
        <v>2013</v>
      </c>
      <c r="U2" s="7">
        <v>2014</v>
      </c>
      <c r="V2" s="7">
        <v>2015</v>
      </c>
      <c r="W2" s="7">
        <v>2016</v>
      </c>
      <c r="X2" s="7">
        <v>2017</v>
      </c>
      <c r="Y2" s="7">
        <v>2018</v>
      </c>
      <c r="Z2" s="7">
        <v>2019</v>
      </c>
      <c r="AA2" s="7">
        <v>2020</v>
      </c>
      <c r="AB2" s="7">
        <v>2021</v>
      </c>
      <c r="AC2" s="7">
        <v>2022</v>
      </c>
    </row>
    <row r="3" spans="1:30" x14ac:dyDescent="0.25">
      <c r="A3" t="s">
        <v>484</v>
      </c>
      <c r="C3" s="17">
        <f t="shared" ref="C3" si="0">C518+C521</f>
        <v>41759.437024061954</v>
      </c>
      <c r="D3" s="17">
        <f t="shared" ref="D3:Y3" si="1">D518+D521</f>
        <v>41285.222126756293</v>
      </c>
      <c r="E3" s="17">
        <f t="shared" si="1"/>
        <v>42103.871554650381</v>
      </c>
      <c r="F3" s="17">
        <f t="shared" si="1"/>
        <v>44105.857365933844</v>
      </c>
      <c r="G3" s="17">
        <f t="shared" si="1"/>
        <v>44177.746359356177</v>
      </c>
      <c r="H3" s="17">
        <f t="shared" si="1"/>
        <v>46557.191765763964</v>
      </c>
      <c r="I3" s="17">
        <f t="shared" si="1"/>
        <v>48569.352969519219</v>
      </c>
      <c r="J3" s="17">
        <f t="shared" si="1"/>
        <v>48404.147171067241</v>
      </c>
      <c r="K3" s="17">
        <f t="shared" si="1"/>
        <v>48607.796207073297</v>
      </c>
      <c r="L3" s="17">
        <f t="shared" si="1"/>
        <v>50312.610678590216</v>
      </c>
      <c r="M3" s="17">
        <f t="shared" si="1"/>
        <v>50294.089607929738</v>
      </c>
      <c r="N3" s="17">
        <f t="shared" si="1"/>
        <v>54267.367691696076</v>
      </c>
      <c r="O3" s="17">
        <f t="shared" si="1"/>
        <v>54673.56625705176</v>
      </c>
      <c r="P3" s="17">
        <f t="shared" si="1"/>
        <v>54730.223174596991</v>
      </c>
      <c r="Q3" s="17">
        <f t="shared" si="1"/>
        <v>55903.329131451173</v>
      </c>
      <c r="R3" s="17">
        <f t="shared" si="1"/>
        <v>53970.358299733271</v>
      </c>
      <c r="S3" s="17">
        <f t="shared" si="1"/>
        <v>52921.901018773409</v>
      </c>
      <c r="T3" s="17">
        <f t="shared" si="1"/>
        <v>53306.899281324862</v>
      </c>
      <c r="U3" s="17">
        <f t="shared" si="1"/>
        <v>52781.981981981982</v>
      </c>
      <c r="V3" s="17">
        <f t="shared" si="1"/>
        <v>52385.85635359116</v>
      </c>
      <c r="W3" s="17">
        <f t="shared" si="1"/>
        <v>53397.622968123287</v>
      </c>
      <c r="X3" s="17">
        <f t="shared" si="1"/>
        <v>52768.142623297077</v>
      </c>
      <c r="Y3" s="17">
        <f t="shared" si="1"/>
        <v>54276.991264895594</v>
      </c>
      <c r="Z3" s="17">
        <f>Z518+Z521</f>
        <v>53834.952404938274</v>
      </c>
      <c r="AA3" s="17">
        <f>AA518+AA521</f>
        <v>51995.333971228822</v>
      </c>
      <c r="AB3" s="17">
        <f>AB518+AB521</f>
        <v>52942.412547001783</v>
      </c>
      <c r="AC3" s="17">
        <f>AC518+AC521</f>
        <v>51006.346275752774</v>
      </c>
    </row>
    <row r="4" spans="1:30" x14ac:dyDescent="0.25">
      <c r="A4" t="s">
        <v>95</v>
      </c>
      <c r="B4" t="s">
        <v>96</v>
      </c>
      <c r="C4" s="18">
        <f>IFERROR(
                  Andel_oberoende_av_klimat*VLOOKUP($A4,Leveranser_per_nät,'Leveranser per nät'!C$1,FALSE)
               +Andel_beroende_av_klimat*VLOOKUP($A4,Leveranser_per_nät,'Leveranser per nät'!C$1,FALSE)/VLOOKUP($B4,Korrigeringsfaktor_EI,'Korrigeringsfaktor EI'!C$1,FALSE),
"")</f>
        <v>1.8844036697247706</v>
      </c>
      <c r="D4" s="18">
        <f>IFERROR(
                  Andel_oberoende_av_klimat*VLOOKUP($A4,Leveranser_per_nät,'Leveranser per nät'!D$1,FALSE)
               +Andel_beroende_av_klimat*VLOOKUP($A4,Leveranser_per_nät,'Leveranser per nät'!D$1,FALSE)/VLOOKUP($B4,Korrigeringsfaktor_EI,'Korrigeringsfaktor EI'!D$1,FALSE),
"")</f>
        <v>13.013285714285715</v>
      </c>
      <c r="E4" s="18">
        <f>IFERROR(
                  Andel_oberoende_av_klimat*VLOOKUP($A4,Leveranser_per_nät,'Leveranser per nät'!E$1,FALSE)
               +Andel_beroende_av_klimat*VLOOKUP($A4,Leveranser_per_nät,'Leveranser per nät'!E$1,FALSE)/VLOOKUP($B4,Korrigeringsfaktor_EI,'Korrigeringsfaktor EI'!E$1,FALSE),
"")</f>
        <v>14.896039603960396</v>
      </c>
      <c r="F4" s="18">
        <f>IFERROR(
                  Andel_oberoende_av_klimat*VLOOKUP($A4,Leveranser_per_nät,'Leveranser per nät'!F$1,FALSE)
               +Andel_beroende_av_klimat*VLOOKUP($A4,Leveranser_per_nät,'Leveranser per nät'!F$1,FALSE)/VLOOKUP($B4,Korrigeringsfaktor_EI,'Korrigeringsfaktor EI'!F$1,FALSE),
"")</f>
        <v>14</v>
      </c>
      <c r="G4" s="18">
        <f>IFERROR(
                  Andel_oberoende_av_klimat*VLOOKUP($A4,Leveranser_per_nät,'Leveranser per nät'!G$1,FALSE)
               +Andel_beroende_av_klimat*VLOOKUP($A4,Leveranser_per_nät,'Leveranser per nät'!G$1,FALSE)/VLOOKUP($B4,Korrigeringsfaktor_EI,'Korrigeringsfaktor EI'!G$1,FALSE),
"")</f>
        <v>14.625531914893617</v>
      </c>
      <c r="H4" s="18">
        <f>IFERROR(
                  Andel_oberoende_av_klimat*VLOOKUP($A4,Leveranser_per_nät,'Leveranser per nät'!H$1,FALSE)
               +Andel_beroende_av_klimat*VLOOKUP($A4,Leveranser_per_nät,'Leveranser per nät'!H$1,FALSE)/VLOOKUP($B4,Korrigeringsfaktor_EI,'Korrigeringsfaktor EI'!H$1,FALSE),
"")</f>
        <v>14.896039603960396</v>
      </c>
      <c r="I4" s="18">
        <f>IFERROR(
                  Andel_oberoende_av_klimat*VLOOKUP($A4,Leveranser_per_nät,'Leveranser per nät'!I$1,FALSE)
               +Andel_beroende_av_klimat*VLOOKUP($A4,Leveranser_per_nät,'Leveranser per nät'!I$1,FALSE)/VLOOKUP($B4,Korrigeringsfaktor_EI,'Korrigeringsfaktor EI'!I$1,FALSE),
"")</f>
        <v>14.303092783505155</v>
      </c>
      <c r="J4" s="18">
        <f>IFERROR(
                  Andel_oberoende_av_klimat*VLOOKUP($A4,Leveranser_per_nät,'Leveranser per nät'!J$1,FALSE)
               +Andel_beroende_av_klimat*VLOOKUP($A4,Leveranser_per_nät,'Leveranser per nät'!J$1,FALSE)/VLOOKUP($B4,Korrigeringsfaktor_EI,'Korrigeringsfaktor EI'!J$1,FALSE),
"")</f>
        <v>15.4375</v>
      </c>
      <c r="K4" s="18">
        <f>IFERROR(
                  Andel_oberoende_av_klimat*VLOOKUP($A4,Leveranser_per_nät,'Leveranser per nät'!K$1,FALSE)
               +Andel_beroende_av_klimat*VLOOKUP($A4,Leveranser_per_nät,'Leveranser per nät'!K$1,FALSE)/VLOOKUP($B4,Korrigeringsfaktor_EI,'Korrigeringsfaktor EI'!K$1,FALSE),
"")</f>
        <v>12.947718128182581</v>
      </c>
      <c r="L4" s="18">
        <f>IFERROR(
                  Andel_oberoende_av_klimat*VLOOKUP($A4,Leveranser_per_nät,'Leveranser per nät'!L$1,FALSE)
               +Andel_beroende_av_klimat*VLOOKUP($A4,Leveranser_per_nät,'Leveranser per nät'!L$1,FALSE)/VLOOKUP($B4,Korrigeringsfaktor_EI,'Korrigeringsfaktor EI'!L$1,FALSE),
"")</f>
        <v>13.243636983143002</v>
      </c>
      <c r="M4" s="18">
        <f>IFERROR(
                  Andel_oberoende_av_klimat*VLOOKUP($A4,Leveranser_per_nät,'Leveranser per nät'!M$1,FALSE)
               +Andel_beroende_av_klimat*VLOOKUP($A4,Leveranser_per_nät,'Leveranser per nät'!M$1,FALSE)/VLOOKUP($B4,Korrigeringsfaktor_EI,'Korrigeringsfaktor EI'!M$1,FALSE),
"")</f>
        <v>14.05015652173913</v>
      </c>
      <c r="N4" s="18">
        <f>IFERROR(
                  Andel_oberoende_av_klimat*VLOOKUP($A4,Leveranser_per_nät,'Leveranser per nät'!N$1,FALSE)
               +Andel_beroende_av_klimat*VLOOKUP($A4,Leveranser_per_nät,'Leveranser per nät'!N$1,FALSE)/VLOOKUP($B4,Korrigeringsfaktor_EI,'Korrigeringsfaktor EI'!N$1,FALSE),
"")</f>
        <v>14.386300000000002</v>
      </c>
      <c r="O4" s="18">
        <f>IFERROR(
                  Andel_oberoende_av_klimat*VLOOKUP($A4,Leveranser_per_nät,'Leveranser per nät'!O$1,FALSE)
               +Andel_beroende_av_klimat*VLOOKUP($A4,Leveranser_per_nät,'Leveranser per nät'!O$1,FALSE)/VLOOKUP($B4,Korrigeringsfaktor_EI,'Korrigeringsfaktor EI'!O$1,FALSE),
"")</f>
        <v>15.724536170212765</v>
      </c>
      <c r="P4" s="18">
        <f>IFERROR(
                  Andel_oberoende_av_klimat*VLOOKUP($A4,Leveranser_per_nät,'Leveranser per nät'!P$1,FALSE)
               +Andel_beroende_av_klimat*VLOOKUP($A4,Leveranser_per_nät,'Leveranser per nät'!P$1,FALSE)/VLOOKUP($B4,Korrigeringsfaktor_EI,'Korrigeringsfaktor EI'!P$1,FALSE),
"")</f>
        <v>18.137343434343435</v>
      </c>
      <c r="Q4" s="18">
        <f>IFERROR(
                  Andel_oberoende_av_klimat*VLOOKUP($A4,Leveranser_per_nät,'Leveranser per nät'!Q$1,FALSE)
               +Andel_beroende_av_klimat*VLOOKUP($A4,Leveranser_per_nät,'Leveranser per nät'!Q$1,FALSE)/VLOOKUP($B4,Korrigeringsfaktor_EI,'Korrigeringsfaktor EI'!Q$1,FALSE),
"")</f>
        <v>18.807738938053099</v>
      </c>
      <c r="R4" s="18">
        <f>IFERROR(
                  Andel_oberoende_av_klimat*VLOOKUP($A4,Leveranser_per_nät,'Leveranser per nät'!R$1,FALSE)
               +Andel_beroende_av_klimat*VLOOKUP($A4,Leveranser_per_nät,'Leveranser per nät'!R$1,FALSE)/VLOOKUP($B4,Korrigeringsfaktor_EI,'Korrigeringsfaktor EI'!R$1,FALSE),
"")</f>
        <v>17.698486956521741</v>
      </c>
      <c r="S4" s="18">
        <f>IFERROR(
                  Andel_oberoende_av_klimat*VLOOKUP($A4,Leveranser_per_nät,'Leveranser per nät'!S$1,FALSE)
               +Andel_beroende_av_klimat*VLOOKUP($A4,Leveranser_per_nät,'Leveranser per nät'!S$1,FALSE)/VLOOKUP($B4,Korrigeringsfaktor_EI,'Korrigeringsfaktor EI'!S$1,FALSE),
"")</f>
        <v>18.401574257425743</v>
      </c>
      <c r="T4" s="18">
        <f>IFERROR(
                  Andel_oberoende_av_klimat*VLOOKUP($A4,Leveranser_per_nät,'Leveranser per nät'!T$1,FALSE)
               +Andel_beroende_av_klimat*VLOOKUP($A4,Leveranser_per_nät,'Leveranser per nät'!T$1,FALSE)/VLOOKUP($B4,Korrigeringsfaktor_EI,'Korrigeringsfaktor EI'!T$1,FALSE),
"")</f>
        <v>17.137148453608248</v>
      </c>
      <c r="U4" s="18">
        <f>IFERROR(
                  Andel_oberoende_av_klimat*VLOOKUP($A4,Leveranser_per_nät,'Leveranser per nät'!U$1,FALSE)
               +Andel_beroende_av_klimat*VLOOKUP($A4,Leveranser_per_nät,'Leveranser per nät'!U$1,FALSE)/VLOOKUP($B4,Korrigeringsfaktor_EI,'Korrigeringsfaktor EI'!U$1,FALSE),
"")</f>
        <v>17.306040449438203</v>
      </c>
      <c r="V4" s="18">
        <f>IFERROR(
                  Andel_oberoende_av_klimat*VLOOKUP($A4,Leveranser_per_nät,'Leveranser per nät'!V$1,FALSE)
               +Andel_beroende_av_klimat*VLOOKUP($A4,Leveranser_per_nät,'Leveranser per nät'!V$1,FALSE)/VLOOKUP($B4,Korrigeringsfaktor_EI,'Korrigeringsfaktor EI'!V$1,FALSE),
"")</f>
        <v>18.544</v>
      </c>
      <c r="W4" s="18">
        <f>IFERROR(
                  Andel_oberoende_av_klimat*VLOOKUP($A4,Leveranser_per_nät,'Leveranser per nät'!W$1,FALSE)
               +Andel_beroende_av_klimat*VLOOKUP($A4,Leveranser_per_nät,'Leveranser per nät'!W$1,FALSE)/VLOOKUP($B4,Korrigeringsfaktor_EI,'Korrigeringsfaktor EI'!W$1,FALSE),
"")</f>
        <v>18.977321052631581</v>
      </c>
      <c r="X4" s="18">
        <f>IFERROR(
                  Andel_oberoende_av_klimat*VLOOKUP($A4,Leveranser_per_nät,'Leveranser per nät'!X$1,FALSE)
               +Andel_beroende_av_klimat*VLOOKUP($A4,Leveranser_per_nät,'Leveranser per nät'!X$1,FALSE)/VLOOKUP($B4,Korrigeringsfaktor_EI,'Korrigeringsfaktor EI'!X$1,FALSE),
"")</f>
        <v>20.086650515463919</v>
      </c>
      <c r="Y4" s="18">
        <f>IFERROR(
                  Andel_oberoende_av_klimat*VLOOKUP($A4,Leveranser_per_nät,'Leveranser per nät'!Y$1,FALSE)
               +Andel_beroende_av_klimat*VLOOKUP($A4,Leveranser_per_nät,'Leveranser per nät'!Y$1,FALSE)/VLOOKUP($B4,Korrigeringsfaktor_EI,'Korrigeringsfaktor EI'!Y$1,FALSE),
"")</f>
        <v>19.535531914893618</v>
      </c>
      <c r="Z4" s="18">
        <f>IFERROR(
                  Andel_oberoende_av_klimat*VLOOKUP($A4,Leveranser_per_nät,'Leveranser per nät'!Z$1,FALSE)
               +Andel_beroende_av_klimat*VLOOKUP($A4,Leveranser_per_nät,'Leveranser per nät'!Z$1,FALSE)/VLOOKUP($B4,Korrigeringsfaktor_EI,'Korrigeringsfaktor EI'!Z$1,FALSE),
"")</f>
        <v>18.713368085106381</v>
      </c>
      <c r="AA4" s="18">
        <f>IFERROR(
                  Andel_oberoende_av_klimat*VLOOKUP($A4,Leveranser_per_nät,'Leveranser per nät'!AA$1,FALSE)
               +Andel_beroende_av_klimat*VLOOKUP($A4,Leveranser_per_nät,'Leveranser per nät'!AA$1,FALSE)/VLOOKUP($B4,Korrigeringsfaktor_EI,'Korrigeringsfaktor EI'!AA$1,FALSE),
"")</f>
        <v>17.344336603444518</v>
      </c>
      <c r="AB4" s="18">
        <f>IFERROR(
                  Andel_oberoende_av_klimat*VLOOKUP($A4,Leveranser_per_nät,'Leveranser per nät'!AB$1,FALSE)
               +Andel_beroende_av_klimat*VLOOKUP($A4,Leveranser_per_nät,'Leveranser per nät'!AB$1,FALSE)/VLOOKUP($B4,Korrigeringsfaktor_EI,'Korrigeringsfaktor EI'!AB$1,FALSE),
"")</f>
        <v>17.762334503510534</v>
      </c>
      <c r="AC4" s="18">
        <f>IFERROR(
                  Andel_oberoende_av_klimat*VLOOKUP($A4,Leveranser_per_nät,'Leveranser per nät'!AC$1,FALSE)
               +Andel_beroende_av_klimat*VLOOKUP($A4,Leveranser_per_nät,'Leveranser per nät'!AC$1,FALSE)/VLOOKUP($B4,Korrigeringsfaktor_EI,'Korrigeringsfaktor EI'!AC$1,FALSE),
"")</f>
        <v>17.028297872340428</v>
      </c>
      <c r="AD4">
        <v>31.07</v>
      </c>
    </row>
    <row r="5" spans="1:30" x14ac:dyDescent="0.25">
      <c r="A5" s="3" t="s">
        <v>382</v>
      </c>
      <c r="B5" t="s">
        <v>163</v>
      </c>
      <c r="C5" s="18">
        <f>IFERROR(
                  Andel_oberoende_av_klimat*VLOOKUP($A5,Leveranser_per_nät,'Leveranser per nät'!C$1,FALSE)
               +Andel_beroende_av_klimat*VLOOKUP($A5,Leveranser_per_nät,'Leveranser per nät'!C$1,FALSE)/VLOOKUP($B5,Korrigeringsfaktor_EI,'Korrigeringsfaktor EI'!C$1,FALSE),
"")</f>
        <v>0</v>
      </c>
      <c r="D5" s="18">
        <f>IFERROR(
                  Andel_oberoende_av_klimat*VLOOKUP($A5,Leveranser_per_nät,'Leveranser per nät'!D$1,FALSE)
               +Andel_beroende_av_klimat*VLOOKUP($A5,Leveranser_per_nät,'Leveranser per nät'!D$1,FALSE)/VLOOKUP($B5,Korrigeringsfaktor_EI,'Korrigeringsfaktor EI'!D$1,FALSE),
"")</f>
        <v>0</v>
      </c>
      <c r="E5" s="18">
        <f>IFERROR(
                  Andel_oberoende_av_klimat*VLOOKUP($A5,Leveranser_per_nät,'Leveranser per nät'!E$1,FALSE)
               +Andel_beroende_av_klimat*VLOOKUP($A5,Leveranser_per_nät,'Leveranser per nät'!E$1,FALSE)/VLOOKUP($B5,Korrigeringsfaktor_EI,'Korrigeringsfaktor EI'!E$1,FALSE),
"")</f>
        <v>0</v>
      </c>
      <c r="F5" s="18">
        <f>IFERROR(
                  Andel_oberoende_av_klimat*VLOOKUP($A5,Leveranser_per_nät,'Leveranser per nät'!F$1,FALSE)
               +Andel_beroende_av_klimat*VLOOKUP($A5,Leveranser_per_nät,'Leveranser per nät'!F$1,FALSE)/VLOOKUP($B5,Korrigeringsfaktor_EI,'Korrigeringsfaktor EI'!F$1,FALSE),
"")</f>
        <v>0</v>
      </c>
      <c r="G5" s="18">
        <f>IFERROR(
                  Andel_oberoende_av_klimat*VLOOKUP($A5,Leveranser_per_nät,'Leveranser per nät'!G$1,FALSE)
               +Andel_beroende_av_klimat*VLOOKUP($A5,Leveranser_per_nät,'Leveranser per nät'!G$1,FALSE)/VLOOKUP($B5,Korrigeringsfaktor_EI,'Korrigeringsfaktor EI'!G$1,FALSE),
"")</f>
        <v>0</v>
      </c>
      <c r="H5" s="18">
        <f>IFERROR(
                  Andel_oberoende_av_klimat*VLOOKUP($A5,Leveranser_per_nät,'Leveranser per nät'!H$1,FALSE)
               +Andel_beroende_av_klimat*VLOOKUP($A5,Leveranser_per_nät,'Leveranser per nät'!H$1,FALSE)/VLOOKUP($B5,Korrigeringsfaktor_EI,'Korrigeringsfaktor EI'!H$1,FALSE),
"")</f>
        <v>0</v>
      </c>
      <c r="I5" s="18">
        <f>IFERROR(
                  Andel_oberoende_av_klimat*VLOOKUP($A5,Leveranser_per_nät,'Leveranser per nät'!I$1,FALSE)
               +Andel_beroende_av_klimat*VLOOKUP($A5,Leveranser_per_nät,'Leveranser per nät'!I$1,FALSE)/VLOOKUP($B5,Korrigeringsfaktor_EI,'Korrigeringsfaktor EI'!I$1,FALSE),
"")</f>
        <v>0</v>
      </c>
      <c r="J5" s="18">
        <f>IFERROR(
                  Andel_oberoende_av_klimat*VLOOKUP($A5,Leveranser_per_nät,'Leveranser per nät'!J$1,FALSE)
               +Andel_beroende_av_klimat*VLOOKUP($A5,Leveranser_per_nät,'Leveranser per nät'!J$1,FALSE)/VLOOKUP($B5,Korrigeringsfaktor_EI,'Korrigeringsfaktor EI'!J$1,FALSE),
"")</f>
        <v>0</v>
      </c>
      <c r="K5" s="18">
        <f>IFERROR(
                  Andel_oberoende_av_klimat*VLOOKUP($A5,Leveranser_per_nät,'Leveranser per nät'!K$1,FALSE)
               +Andel_beroende_av_klimat*VLOOKUP($A5,Leveranser_per_nät,'Leveranser per nät'!K$1,FALSE)/VLOOKUP($B5,Korrigeringsfaktor_EI,'Korrigeringsfaktor EI'!K$1,FALSE),
"")</f>
        <v>0</v>
      </c>
      <c r="L5" s="18">
        <f>IFERROR(
                  Andel_oberoende_av_klimat*VLOOKUP($A5,Leveranser_per_nät,'Leveranser per nät'!L$1,FALSE)
               +Andel_beroende_av_klimat*VLOOKUP($A5,Leveranser_per_nät,'Leveranser per nät'!L$1,FALSE)/VLOOKUP($B5,Korrigeringsfaktor_EI,'Korrigeringsfaktor EI'!L$1,FALSE),
"")</f>
        <v>0</v>
      </c>
      <c r="M5" s="18">
        <f>IFERROR(
                  Andel_oberoende_av_klimat*VLOOKUP($A5,Leveranser_per_nät,'Leveranser per nät'!M$1,FALSE)
               +Andel_beroende_av_klimat*VLOOKUP($A5,Leveranser_per_nät,'Leveranser per nät'!M$1,FALSE)/VLOOKUP($B5,Korrigeringsfaktor_EI,'Korrigeringsfaktor EI'!M$1,FALSE),
"")</f>
        <v>0</v>
      </c>
      <c r="N5" s="18">
        <f>IFERROR(
                  Andel_oberoende_av_klimat*VLOOKUP($A5,Leveranser_per_nät,'Leveranser per nät'!N$1,FALSE)
               +Andel_beroende_av_klimat*VLOOKUP($A5,Leveranser_per_nät,'Leveranser per nät'!N$1,FALSE)/VLOOKUP($B5,Korrigeringsfaktor_EI,'Korrigeringsfaktor EI'!N$1,FALSE),
"")</f>
        <v>0</v>
      </c>
      <c r="O5" s="18">
        <f>IFERROR(
                  Andel_oberoende_av_klimat*VLOOKUP($A5,Leveranser_per_nät,'Leveranser per nät'!O$1,FALSE)
               +Andel_beroende_av_klimat*VLOOKUP($A5,Leveranser_per_nät,'Leveranser per nät'!O$1,FALSE)/VLOOKUP($B5,Korrigeringsfaktor_EI,'Korrigeringsfaktor EI'!O$1,FALSE),
"")</f>
        <v>0</v>
      </c>
      <c r="P5" s="18">
        <f>IFERROR(
                  Andel_oberoende_av_klimat*VLOOKUP($A5,Leveranser_per_nät,'Leveranser per nät'!P$1,FALSE)
               +Andel_beroende_av_klimat*VLOOKUP($A5,Leveranser_per_nät,'Leveranser per nät'!P$1,FALSE)/VLOOKUP($B5,Korrigeringsfaktor_EI,'Korrigeringsfaktor EI'!P$1,FALSE),
"")</f>
        <v>1.0142857142857142</v>
      </c>
      <c r="Q5" s="18">
        <f>IFERROR(
                  Andel_oberoende_av_klimat*VLOOKUP($A5,Leveranser_per_nät,'Leveranser per nät'!Q$1,FALSE)
               +Andel_beroende_av_klimat*VLOOKUP($A5,Leveranser_per_nät,'Leveranser per nät'!Q$1,FALSE)/VLOOKUP($B5,Korrigeringsfaktor_EI,'Korrigeringsfaktor EI'!Q$1,FALSE),
"")</f>
        <v>0.84175</v>
      </c>
      <c r="R5" s="18">
        <f>IFERROR(
                  Andel_oberoende_av_klimat*VLOOKUP($A5,Leveranser_per_nät,'Leveranser per nät'!R$1,FALSE)
               +Andel_beroende_av_klimat*VLOOKUP($A5,Leveranser_per_nät,'Leveranser per nät'!R$1,FALSE)/VLOOKUP($B5,Korrigeringsfaktor_EI,'Korrigeringsfaktor EI'!R$1,FALSE),
"")</f>
        <v>0</v>
      </c>
      <c r="S5" s="18" t="str">
        <f>IFERROR(
                  Andel_oberoende_av_klimat*VLOOKUP($A5,Leveranser_per_nät,'Leveranser per nät'!S$1,FALSE)
               +Andel_beroende_av_klimat*VLOOKUP($A5,Leveranser_per_nät,'Leveranser per nät'!S$1,FALSE)/VLOOKUP($B5,Korrigeringsfaktor_EI,'Korrigeringsfaktor EI'!S$1,FALSE),
"")</f>
        <v/>
      </c>
      <c r="T5" s="18" t="str">
        <f>IFERROR(
                  Andel_oberoende_av_klimat*VLOOKUP($A5,Leveranser_per_nät,'Leveranser per nät'!T$1,FALSE)
               +Andel_beroende_av_klimat*VLOOKUP($A5,Leveranser_per_nät,'Leveranser per nät'!T$1,FALSE)/VLOOKUP($B5,Korrigeringsfaktor_EI,'Korrigeringsfaktor EI'!T$1,FALSE),
"")</f>
        <v/>
      </c>
      <c r="U5" s="18" t="str">
        <f>IFERROR(
                  Andel_oberoende_av_klimat*VLOOKUP($A5,Leveranser_per_nät,'Leveranser per nät'!U$1,FALSE)
               +Andel_beroende_av_klimat*VLOOKUP($A5,Leveranser_per_nät,'Leveranser per nät'!U$1,FALSE)/VLOOKUP($B5,Korrigeringsfaktor_EI,'Korrigeringsfaktor EI'!U$1,FALSE),
"")</f>
        <v/>
      </c>
      <c r="V5" s="18" t="str">
        <f>IFERROR(
                  Andel_oberoende_av_klimat*VLOOKUP($A5,Leveranser_per_nät,'Leveranser per nät'!V$1,FALSE)
               +Andel_beroende_av_klimat*VLOOKUP($A5,Leveranser_per_nät,'Leveranser per nät'!V$1,FALSE)/VLOOKUP($B5,Korrigeringsfaktor_EI,'Korrigeringsfaktor EI'!V$1,FALSE),
"")</f>
        <v/>
      </c>
      <c r="W5" s="18" t="str">
        <f>IFERROR(
                  Andel_oberoende_av_klimat*VLOOKUP($A5,Leveranser_per_nät,'Leveranser per nät'!W$1,FALSE)
               +Andel_beroende_av_klimat*VLOOKUP($A5,Leveranser_per_nät,'Leveranser per nät'!W$1,FALSE)/VLOOKUP($B5,Korrigeringsfaktor_EI,'Korrigeringsfaktor EI'!W$1,FALSE),
"")</f>
        <v/>
      </c>
      <c r="X5" s="18" t="str">
        <f>IFERROR(
                  Andel_oberoende_av_klimat*VLOOKUP($A5,Leveranser_per_nät,'Leveranser per nät'!X$1,FALSE)
               +Andel_beroende_av_klimat*VLOOKUP($A5,Leveranser_per_nät,'Leveranser per nät'!X$1,FALSE)/VLOOKUP($B5,Korrigeringsfaktor_EI,'Korrigeringsfaktor EI'!X$1,FALSE),
"")</f>
        <v/>
      </c>
      <c r="Y5" s="18" t="str">
        <f>IFERROR(
                  Andel_oberoende_av_klimat*VLOOKUP($A5,Leveranser_per_nät,'Leveranser per nät'!Y$1,FALSE)
               +Andel_beroende_av_klimat*VLOOKUP($A5,Leveranser_per_nät,'Leveranser per nät'!Y$1,FALSE)/VLOOKUP($B5,Korrigeringsfaktor_EI,'Korrigeringsfaktor EI'!Y$1,FALSE),
"")</f>
        <v/>
      </c>
      <c r="Z5" s="18">
        <f>IFERROR(
                  Andel_oberoende_av_klimat*VLOOKUP($A5,Leveranser_per_nät,'Leveranser per nät'!Z$1,FALSE)
               +Andel_beroende_av_klimat*VLOOKUP($A5,Leveranser_per_nät,'Leveranser per nät'!Z$1,FALSE)/VLOOKUP($B5,Korrigeringsfaktor_EI,'Korrigeringsfaktor EI'!Z$1,FALSE),
"")</f>
        <v>0</v>
      </c>
      <c r="AA5" s="18" t="str">
        <f>IFERROR(
                  Andel_oberoende_av_klimat*VLOOKUP($A5,Leveranser_per_nät,'Leveranser per nät'!AA$1,FALSE)
               +Andel_beroende_av_klimat*VLOOKUP($A5,Leveranser_per_nät,'Leveranser per nät'!AA$1,FALSE)/VLOOKUP($B5,Korrigeringsfaktor_EI,'Korrigeringsfaktor EI'!AA$1,FALSE),
"")</f>
        <v/>
      </c>
      <c r="AB5" s="18">
        <f>IFERROR(
                  Andel_oberoende_av_klimat*VLOOKUP($A5,Leveranser_per_nät,'Leveranser per nät'!AB$1,FALSE)
               +Andel_beroende_av_klimat*VLOOKUP($A5,Leveranser_per_nät,'Leveranser per nät'!AB$1,FALSE)/VLOOKUP($B5,Korrigeringsfaktor_EI,'Korrigeringsfaktor EI'!AB$1,FALSE),
"")</f>
        <v>0</v>
      </c>
      <c r="AC5" s="18">
        <f>IFERROR(
                  Andel_oberoende_av_klimat*VLOOKUP($A5,Leveranser_per_nät,'Leveranser per nät'!AC$1,FALSE)
               +Andel_beroende_av_klimat*VLOOKUP($A5,Leveranser_per_nät,'Leveranser per nät'!AC$1,FALSE)/VLOOKUP($B5,Korrigeringsfaktor_EI,'Korrigeringsfaktor EI'!AC$1,FALSE),
"")</f>
        <v>0</v>
      </c>
      <c r="AD5" t="e">
        <v>#N/A</v>
      </c>
    </row>
    <row r="6" spans="1:30" x14ac:dyDescent="0.25">
      <c r="A6" t="s">
        <v>1</v>
      </c>
      <c r="B6" t="s">
        <v>1</v>
      </c>
      <c r="C6" s="18">
        <f>IFERROR(
                  Andel_oberoende_av_klimat*VLOOKUP($A6,Leveranser_per_nät,'Leveranser per nät'!C$1,FALSE)
               +Andel_beroende_av_klimat*VLOOKUP($A6,Leveranser_per_nät,'Leveranser per nät'!C$1,FALSE)/VLOOKUP($B6,Korrigeringsfaktor_EI,'Korrigeringsfaktor EI'!C$1,FALSE),
"")</f>
        <v>63.824999999999996</v>
      </c>
      <c r="D6" s="18">
        <f>IFERROR(
                  Andel_oberoende_av_klimat*VLOOKUP($A6,Leveranser_per_nät,'Leveranser per nät'!D$1,FALSE)
               +Andel_beroende_av_klimat*VLOOKUP($A6,Leveranser_per_nät,'Leveranser per nät'!D$1,FALSE)/VLOOKUP($B6,Korrigeringsfaktor_EI,'Korrigeringsfaktor EI'!D$1,FALSE),
"")</f>
        <v>62.861287128712867</v>
      </c>
      <c r="E6" s="18">
        <f>IFERROR(
                  Andel_oberoende_av_klimat*VLOOKUP($A6,Leveranser_per_nät,'Leveranser per nät'!E$1,FALSE)
               +Andel_beroende_av_klimat*VLOOKUP($A6,Leveranser_per_nät,'Leveranser per nät'!E$1,FALSE)/VLOOKUP($B6,Korrigeringsfaktor_EI,'Korrigeringsfaktor EI'!E$1,FALSE),
"")</f>
        <v>62.276923076923076</v>
      </c>
      <c r="F6" s="18">
        <f>IFERROR(
                  Andel_oberoende_av_klimat*VLOOKUP($A6,Leveranser_per_nät,'Leveranser per nät'!F$1,FALSE)
               +Andel_beroende_av_klimat*VLOOKUP($A6,Leveranser_per_nät,'Leveranser per nät'!F$1,FALSE)/VLOOKUP($B6,Korrigeringsfaktor_EI,'Korrigeringsfaktor EI'!F$1,FALSE),
"")</f>
        <v>73.028571428571439</v>
      </c>
      <c r="G6" s="18">
        <f>IFERROR(
                  Andel_oberoende_av_klimat*VLOOKUP($A6,Leveranser_per_nät,'Leveranser per nät'!G$1,FALSE)
               +Andel_beroende_av_klimat*VLOOKUP($A6,Leveranser_per_nät,'Leveranser per nät'!G$1,FALSE)/VLOOKUP($B6,Korrigeringsfaktor_EI,'Korrigeringsfaktor EI'!G$1,FALSE),
"")</f>
        <v>78.053846153846152</v>
      </c>
      <c r="H6" s="18">
        <f>IFERROR(
                  Andel_oberoende_av_klimat*VLOOKUP($A6,Leveranser_per_nät,'Leveranser per nät'!H$1,FALSE)
               +Andel_beroende_av_klimat*VLOOKUP($A6,Leveranser_per_nät,'Leveranser per nät'!H$1,FALSE)/VLOOKUP($B6,Korrigeringsfaktor_EI,'Korrigeringsfaktor EI'!H$1,FALSE),
"")</f>
        <v>89.62929292929293</v>
      </c>
      <c r="I6" s="18">
        <f>IFERROR(
                  Andel_oberoende_av_klimat*VLOOKUP($A6,Leveranser_per_nät,'Leveranser per nät'!I$1,FALSE)
               +Andel_beroende_av_klimat*VLOOKUP($A6,Leveranser_per_nät,'Leveranser per nät'!I$1,FALSE)/VLOOKUP($B6,Korrigeringsfaktor_EI,'Korrigeringsfaktor EI'!I$1,FALSE),
"")</f>
        <v>89.842553191489372</v>
      </c>
      <c r="J6" s="18">
        <f>IFERROR(
                  Andel_oberoende_av_klimat*VLOOKUP($A6,Leveranser_per_nät,'Leveranser per nät'!J$1,FALSE)
               +Andel_beroende_av_klimat*VLOOKUP($A6,Leveranser_per_nät,'Leveranser per nät'!J$1,FALSE)/VLOOKUP($B6,Korrigeringsfaktor_EI,'Korrigeringsfaktor EI'!J$1,FALSE),
"")</f>
        <v>101.14329896907216</v>
      </c>
      <c r="K6" s="18">
        <f>IFERROR(
                  Andel_oberoende_av_klimat*VLOOKUP($A6,Leveranser_per_nät,'Leveranser per nät'!K$1,FALSE)
               +Andel_beroende_av_klimat*VLOOKUP($A6,Leveranser_per_nät,'Leveranser per nät'!K$1,FALSE)/VLOOKUP($B6,Korrigeringsfaktor_EI,'Korrigeringsfaktor EI'!K$1,FALSE),
"")</f>
        <v>102.23999999999998</v>
      </c>
      <c r="L6" s="18">
        <f>IFERROR(
                  Andel_oberoende_av_klimat*VLOOKUP($A6,Leveranser_per_nät,'Leveranser per nät'!L$1,FALSE)
               +Andel_beroende_av_klimat*VLOOKUP($A6,Leveranser_per_nät,'Leveranser per nät'!L$1,FALSE)/VLOOKUP($B6,Korrigeringsfaktor_EI,'Korrigeringsfaktor EI'!L$1,FALSE),
"")</f>
        <v>103.68006315789474</v>
      </c>
      <c r="M6" s="18">
        <f>IFERROR(
                  Andel_oberoende_av_klimat*VLOOKUP($A6,Leveranser_per_nät,'Leveranser per nät'!M$1,FALSE)
               +Andel_beroende_av_klimat*VLOOKUP($A6,Leveranser_per_nät,'Leveranser per nät'!M$1,FALSE)/VLOOKUP($B6,Korrigeringsfaktor_EI,'Korrigeringsfaktor EI'!M$1,FALSE),
"")</f>
        <v>111.92173913043477</v>
      </c>
      <c r="N6" s="18">
        <f>IFERROR(
                  Andel_oberoende_av_klimat*VLOOKUP($A6,Leveranser_per_nät,'Leveranser per nät'!N$1,FALSE)
               +Andel_beroende_av_klimat*VLOOKUP($A6,Leveranser_per_nät,'Leveranser per nät'!N$1,FALSE)/VLOOKUP($B6,Korrigeringsfaktor_EI,'Korrigeringsfaktor EI'!N$1,FALSE),
"")</f>
        <v>111.7095652173913</v>
      </c>
      <c r="O6" s="18">
        <f>IFERROR(
                  Andel_oberoende_av_klimat*VLOOKUP($A6,Leveranser_per_nät,'Leveranser per nät'!O$1,FALSE)
               +Andel_beroende_av_klimat*VLOOKUP($A6,Leveranser_per_nät,'Leveranser per nät'!O$1,FALSE)/VLOOKUP($B6,Korrigeringsfaktor_EI,'Korrigeringsfaktor EI'!O$1,FALSE),
"")</f>
        <v>116.76</v>
      </c>
      <c r="P6" s="18">
        <f>IFERROR(
                  Andel_oberoende_av_klimat*VLOOKUP($A6,Leveranser_per_nät,'Leveranser per nät'!P$1,FALSE)
               +Andel_beroende_av_klimat*VLOOKUP($A6,Leveranser_per_nät,'Leveranser per nät'!P$1,FALSE)/VLOOKUP($B6,Korrigeringsfaktor_EI,'Korrigeringsfaktor EI'!P$1,FALSE),
"")</f>
        <v>125.04375</v>
      </c>
      <c r="Q6" s="18">
        <f>IFERROR(
                  Andel_oberoende_av_klimat*VLOOKUP($A6,Leveranser_per_nät,'Leveranser per nät'!Q$1,FALSE)
               +Andel_beroende_av_klimat*VLOOKUP($A6,Leveranser_per_nät,'Leveranser per nät'!Q$1,FALSE)/VLOOKUP($B6,Korrigeringsfaktor_EI,'Korrigeringsfaktor EI'!Q$1,FALSE),
"")</f>
        <v>130.52421052631581</v>
      </c>
      <c r="R6" s="18">
        <f>IFERROR(
                  Andel_oberoende_av_klimat*VLOOKUP($A6,Leveranser_per_nät,'Leveranser per nät'!R$1,FALSE)
               +Andel_beroende_av_klimat*VLOOKUP($A6,Leveranser_per_nät,'Leveranser per nät'!R$1,FALSE)/VLOOKUP($B6,Korrigeringsfaktor_EI,'Korrigeringsfaktor EI'!R$1,FALSE),
"")</f>
        <v>120.11172043010751</v>
      </c>
      <c r="S6" s="18">
        <f>IFERROR(
                  Andel_oberoende_av_klimat*VLOOKUP($A6,Leveranser_per_nät,'Leveranser per nät'!S$1,FALSE)
               +Andel_beroende_av_klimat*VLOOKUP($A6,Leveranser_per_nät,'Leveranser per nät'!S$1,FALSE)/VLOOKUP($B6,Korrigeringsfaktor_EI,'Korrigeringsfaktor EI'!S$1,FALSE),
"")</f>
        <v>123.14059405940594</v>
      </c>
      <c r="T6" s="18">
        <f>IFERROR(
                  Andel_oberoende_av_klimat*VLOOKUP($A6,Leveranser_per_nät,'Leveranser per nät'!T$1,FALSE)
               +Andel_beroende_av_klimat*VLOOKUP($A6,Leveranser_per_nät,'Leveranser per nät'!T$1,FALSE)/VLOOKUP($B6,Korrigeringsfaktor_EI,'Korrigeringsfaktor EI'!T$1,FALSE),
"")</f>
        <v>122.7619191919192</v>
      </c>
      <c r="U6" s="18">
        <f>IFERROR(
                  Andel_oberoende_av_klimat*VLOOKUP($A6,Leveranser_per_nät,'Leveranser per nät'!U$1,FALSE)
               +Andel_beroende_av_klimat*VLOOKUP($A6,Leveranser_per_nät,'Leveranser per nät'!U$1,FALSE)/VLOOKUP($B6,Korrigeringsfaktor_EI,'Korrigeringsfaktor EI'!U$1,FALSE),
"")</f>
        <v>117.76136363636365</v>
      </c>
      <c r="V6" s="18">
        <f>IFERROR(
                  Andel_oberoende_av_klimat*VLOOKUP($A6,Leveranser_per_nät,'Leveranser per nät'!V$1,FALSE)
               +Andel_beroende_av_klimat*VLOOKUP($A6,Leveranser_per_nät,'Leveranser per nät'!V$1,FALSE)/VLOOKUP($B6,Korrigeringsfaktor_EI,'Korrigeringsfaktor EI'!V$1,FALSE),
"")</f>
        <v>118.3221505376344</v>
      </c>
      <c r="W6" s="18">
        <f>IFERROR(
                  Andel_oberoende_av_klimat*VLOOKUP($A6,Leveranser_per_nät,'Leveranser per nät'!W$1,FALSE)
               +Andel_beroende_av_klimat*VLOOKUP($A6,Leveranser_per_nät,'Leveranser per nät'!W$1,FALSE)/VLOOKUP($B6,Korrigeringsfaktor_EI,'Korrigeringsfaktor EI'!W$1,FALSE),
"")</f>
        <v>125.14666666666666</v>
      </c>
      <c r="X6" s="18">
        <f>IFERROR(
                  Andel_oberoende_av_klimat*VLOOKUP($A6,Leveranser_per_nät,'Leveranser per nät'!X$1,FALSE)
               +Andel_beroende_av_klimat*VLOOKUP($A6,Leveranser_per_nät,'Leveranser per nät'!X$1,FALSE)/VLOOKUP($B6,Korrigeringsfaktor_EI,'Korrigeringsfaktor EI'!X$1,FALSE),
"")</f>
        <v>124.6304255319149</v>
      </c>
      <c r="Y6" s="18">
        <f>IFERROR(
                  Andel_oberoende_av_klimat*VLOOKUP($A6,Leveranser_per_nät,'Leveranser per nät'!Y$1,FALSE)
               +Andel_beroende_av_klimat*VLOOKUP($A6,Leveranser_per_nät,'Leveranser per nät'!Y$1,FALSE)/VLOOKUP($B6,Korrigeringsfaktor_EI,'Korrigeringsfaktor EI'!Y$1,FALSE),
"")</f>
        <v>130.94999999999999</v>
      </c>
      <c r="Z6" s="18">
        <f>IFERROR(
                  Andel_oberoende_av_klimat*VLOOKUP($A6,Leveranser_per_nät,'Leveranser per nät'!Z$1,FALSE)
               +Andel_beroende_av_klimat*VLOOKUP($A6,Leveranser_per_nät,'Leveranser per nät'!Z$1,FALSE)/VLOOKUP($B6,Korrigeringsfaktor_EI,'Korrigeringsfaktor EI'!Z$1,FALSE),
"")</f>
        <v>130.5781818181818</v>
      </c>
      <c r="AA6" s="18">
        <f>IFERROR(
                  Andel_oberoende_av_klimat*VLOOKUP($A6,Leveranser_per_nät,'Leveranser per nät'!AA$1,FALSE)
               +Andel_beroende_av_klimat*VLOOKUP($A6,Leveranser_per_nät,'Leveranser per nät'!AA$1,FALSE)/VLOOKUP($B6,Korrigeringsfaktor_EI,'Korrigeringsfaktor EI'!AA$1,FALSE),
"")</f>
        <v>125.63149253731342</v>
      </c>
      <c r="AB6" s="18">
        <f>IFERROR(
                  Andel_oberoende_av_klimat*VLOOKUP($A6,Leveranser_per_nät,'Leveranser per nät'!AB$1,FALSE)
               +Andel_beroende_av_klimat*VLOOKUP($A6,Leveranser_per_nät,'Leveranser per nät'!AB$1,FALSE)/VLOOKUP($B6,Korrigeringsfaktor_EI,'Korrigeringsfaktor EI'!AB$1,FALSE),
"")</f>
        <v>130.24482587064676</v>
      </c>
      <c r="AC6" s="18">
        <f>IFERROR(
                  Andel_oberoende_av_klimat*VLOOKUP($A6,Leveranser_per_nät,'Leveranser per nät'!AC$1,FALSE)
               +Andel_beroende_av_klimat*VLOOKUP($A6,Leveranser_per_nät,'Leveranser per nät'!AC$1,FALSE)/VLOOKUP($B6,Korrigeringsfaktor_EI,'Korrigeringsfaktor EI'!AC$1,FALSE),
"")</f>
        <v>125.22567567567566</v>
      </c>
      <c r="AD6">
        <v>118.5</v>
      </c>
    </row>
    <row r="7" spans="1:30" x14ac:dyDescent="0.25">
      <c r="A7" t="s">
        <v>2</v>
      </c>
      <c r="B7" t="s">
        <v>2</v>
      </c>
      <c r="C7" s="18">
        <f>IFERROR(
                  Andel_oberoende_av_klimat*VLOOKUP($A7,Leveranser_per_nät,'Leveranser per nät'!C$1,FALSE)
               +Andel_beroende_av_klimat*VLOOKUP($A7,Leveranser_per_nät,'Leveranser per nät'!C$1,FALSE)/VLOOKUP($B7,Korrigeringsfaktor_EI,'Korrigeringsfaktor EI'!C$1,FALSE),
"")</f>
        <v>0</v>
      </c>
      <c r="D7" s="18">
        <f>IFERROR(
                  Andel_oberoende_av_klimat*VLOOKUP($A7,Leveranser_per_nät,'Leveranser per nät'!D$1,FALSE)
               +Andel_beroende_av_klimat*VLOOKUP($A7,Leveranser_per_nät,'Leveranser per nät'!D$1,FALSE)/VLOOKUP($B7,Korrigeringsfaktor_EI,'Korrigeringsfaktor EI'!D$1,FALSE),
"")</f>
        <v>0</v>
      </c>
      <c r="E7" s="18">
        <f>IFERROR(
                  Andel_oberoende_av_klimat*VLOOKUP($A7,Leveranser_per_nät,'Leveranser per nät'!E$1,FALSE)
               +Andel_beroende_av_klimat*VLOOKUP($A7,Leveranser_per_nät,'Leveranser per nät'!E$1,FALSE)/VLOOKUP($B7,Korrigeringsfaktor_EI,'Korrigeringsfaktor EI'!E$1,FALSE),
"")</f>
        <v>34.726253398058248</v>
      </c>
      <c r="F7" s="18">
        <f>IFERROR(
                  Andel_oberoende_av_klimat*VLOOKUP($A7,Leveranser_per_nät,'Leveranser per nät'!F$1,FALSE)
               +Andel_beroende_av_klimat*VLOOKUP($A7,Leveranser_per_nät,'Leveranser per nät'!F$1,FALSE)/VLOOKUP($B7,Korrigeringsfaktor_EI,'Korrigeringsfaktor EI'!F$1,FALSE),
"")</f>
        <v>53.125773195876292</v>
      </c>
      <c r="G7" s="18">
        <f>IFERROR(
                  Andel_oberoende_av_klimat*VLOOKUP($A7,Leveranser_per_nät,'Leveranser per nät'!G$1,FALSE)
               +Andel_beroende_av_klimat*VLOOKUP($A7,Leveranser_per_nät,'Leveranser per nät'!G$1,FALSE)/VLOOKUP($B7,Korrigeringsfaktor_EI,'Korrigeringsfaktor EI'!G$1,FALSE),
"")</f>
        <v>55.6</v>
      </c>
      <c r="H7" s="18">
        <f>IFERROR(
                  Andel_oberoende_av_klimat*VLOOKUP($A7,Leveranser_per_nät,'Leveranser per nät'!H$1,FALSE)
               +Andel_beroende_av_klimat*VLOOKUP($A7,Leveranser_per_nät,'Leveranser per nät'!H$1,FALSE)/VLOOKUP($B7,Korrigeringsfaktor_EI,'Korrigeringsfaktor EI'!H$1,FALSE),
"")</f>
        <v>82</v>
      </c>
      <c r="I7" s="18">
        <f>IFERROR(
                  Andel_oberoende_av_klimat*VLOOKUP($A7,Leveranser_per_nät,'Leveranser per nät'!I$1,FALSE)
               +Andel_beroende_av_klimat*VLOOKUP($A7,Leveranser_per_nät,'Leveranser per nät'!I$1,FALSE)/VLOOKUP($B7,Korrigeringsfaktor_EI,'Korrigeringsfaktor EI'!I$1,FALSE),
"")</f>
        <v>76.726315789473688</v>
      </c>
      <c r="J7" s="18">
        <f>IFERROR(
                  Andel_oberoende_av_klimat*VLOOKUP($A7,Leveranser_per_nät,'Leveranser per nät'!J$1,FALSE)
               +Andel_beroende_av_klimat*VLOOKUP($A7,Leveranser_per_nät,'Leveranser per nät'!J$1,FALSE)/VLOOKUP($B7,Korrigeringsfaktor_EI,'Korrigeringsfaktor EI'!J$1,FALSE),
"")</f>
        <v>84.185714285714283</v>
      </c>
      <c r="K7" s="18">
        <f>IFERROR(
                  Andel_oberoende_av_klimat*VLOOKUP($A7,Leveranser_per_nät,'Leveranser per nät'!K$1,FALSE)
               +Andel_beroende_av_klimat*VLOOKUP($A7,Leveranser_per_nät,'Leveranser per nät'!K$1,FALSE)/VLOOKUP($B7,Korrigeringsfaktor_EI,'Korrigeringsfaktor EI'!K$1,FALSE),
"")</f>
        <v>92.980824242424248</v>
      </c>
      <c r="L7" s="18">
        <f>IFERROR(
                  Andel_oberoende_av_klimat*VLOOKUP($A7,Leveranser_per_nät,'Leveranser per nät'!L$1,FALSE)
               +Andel_beroende_av_klimat*VLOOKUP($A7,Leveranser_per_nät,'Leveranser per nät'!L$1,FALSE)/VLOOKUP($B7,Korrigeringsfaktor_EI,'Korrigeringsfaktor EI'!L$1,FALSE),
"")</f>
        <v>95.020900000000012</v>
      </c>
      <c r="M7" s="18">
        <f>IFERROR(
                  Andel_oberoende_av_klimat*VLOOKUP($A7,Leveranser_per_nät,'Leveranser per nät'!M$1,FALSE)
               +Andel_beroende_av_klimat*VLOOKUP($A7,Leveranser_per_nät,'Leveranser per nät'!M$1,FALSE)/VLOOKUP($B7,Korrigeringsfaktor_EI,'Korrigeringsfaktor EI'!M$1,FALSE),
"")</f>
        <v>90.173913043478251</v>
      </c>
      <c r="N7" s="18">
        <f>IFERROR(
                  Andel_oberoende_av_klimat*VLOOKUP($A7,Leveranser_per_nät,'Leveranser per nät'!N$1,FALSE)
               +Andel_beroende_av_klimat*VLOOKUP($A7,Leveranser_per_nät,'Leveranser per nät'!N$1,FALSE)/VLOOKUP($B7,Korrigeringsfaktor_EI,'Korrigeringsfaktor EI'!N$1,FALSE),
"")</f>
        <v>98.369230769230768</v>
      </c>
      <c r="O7" s="18">
        <f>IFERROR(
                  Andel_oberoende_av_klimat*VLOOKUP($A7,Leveranser_per_nät,'Leveranser per nät'!O$1,FALSE)
               +Andel_beroende_av_klimat*VLOOKUP($A7,Leveranser_per_nät,'Leveranser per nät'!O$1,FALSE)/VLOOKUP($B7,Korrigeringsfaktor_EI,'Korrigeringsfaktor EI'!O$1,FALSE),
"")</f>
        <v>96.539130434782606</v>
      </c>
      <c r="P7" s="18">
        <f>IFERROR(
                  Andel_oberoende_av_klimat*VLOOKUP($A7,Leveranser_per_nät,'Leveranser per nät'!P$1,FALSE)
               +Andel_beroende_av_klimat*VLOOKUP($A7,Leveranser_per_nät,'Leveranser per nät'!P$1,FALSE)/VLOOKUP($B7,Korrigeringsfaktor_EI,'Korrigeringsfaktor EI'!P$1,FALSE),
"")</f>
        <v>102.91666666666667</v>
      </c>
      <c r="Q7" s="18">
        <f>IFERROR(
                  Andel_oberoende_av_klimat*VLOOKUP($A7,Leveranser_per_nät,'Leveranser per nät'!Q$1,FALSE)
               +Andel_beroende_av_klimat*VLOOKUP($A7,Leveranser_per_nät,'Leveranser per nät'!Q$1,FALSE)/VLOOKUP($B7,Korrigeringsfaktor_EI,'Korrigeringsfaktor EI'!Q$1,FALSE),
"")</f>
        <v>103.6</v>
      </c>
      <c r="R7" s="18">
        <f>IFERROR(
                  Andel_oberoende_av_klimat*VLOOKUP($A7,Leveranser_per_nät,'Leveranser per nät'!R$1,FALSE)
               +Andel_beroende_av_klimat*VLOOKUP($A7,Leveranser_per_nät,'Leveranser per nät'!R$1,FALSE)/VLOOKUP($B7,Korrigeringsfaktor_EI,'Korrigeringsfaktor EI'!R$1,FALSE),
"")</f>
        <v>106.56993978494624</v>
      </c>
      <c r="S7" s="18">
        <f>IFERROR(
                  Andel_oberoende_av_klimat*VLOOKUP($A7,Leveranser_per_nät,'Leveranser per nät'!S$1,FALSE)
               +Andel_beroende_av_klimat*VLOOKUP($A7,Leveranser_per_nät,'Leveranser per nät'!S$1,FALSE)/VLOOKUP($B7,Korrigeringsfaktor_EI,'Korrigeringsfaktor EI'!S$1,FALSE),
"")</f>
        <v>105.26534653465345</v>
      </c>
      <c r="T7" s="18">
        <f>IFERROR(
                  Andel_oberoende_av_klimat*VLOOKUP($A7,Leveranser_per_nät,'Leveranser per nät'!T$1,FALSE)
               +Andel_beroende_av_klimat*VLOOKUP($A7,Leveranser_per_nät,'Leveranser per nät'!T$1,FALSE)/VLOOKUP($B7,Korrigeringsfaktor_EI,'Korrigeringsfaktor EI'!T$1,FALSE),
"")</f>
        <v>91.643434343434336</v>
      </c>
      <c r="U7" s="18">
        <f>IFERROR(
                  Andel_oberoende_av_klimat*VLOOKUP($A7,Leveranser_per_nät,'Leveranser per nät'!U$1,FALSE)
               +Andel_beroende_av_klimat*VLOOKUP($A7,Leveranser_per_nät,'Leveranser per nät'!U$1,FALSE)/VLOOKUP($B7,Korrigeringsfaktor_EI,'Korrigeringsfaktor EI'!U$1,FALSE),
"")</f>
        <v>96.4</v>
      </c>
      <c r="V7" s="18">
        <f>IFERROR(
                  Andel_oberoende_av_klimat*VLOOKUP($A7,Leveranser_per_nät,'Leveranser per nät'!V$1,FALSE)
               +Andel_beroende_av_klimat*VLOOKUP($A7,Leveranser_per_nät,'Leveranser per nät'!V$1,FALSE)/VLOOKUP($B7,Korrigeringsfaktor_EI,'Korrigeringsfaktor EI'!V$1,FALSE),
"")</f>
        <v>96.539130434782606</v>
      </c>
      <c r="W7" s="18">
        <f>IFERROR(
                  Andel_oberoende_av_klimat*VLOOKUP($A7,Leveranser_per_nät,'Leveranser per nät'!W$1,FALSE)
               +Andel_beroende_av_klimat*VLOOKUP($A7,Leveranser_per_nät,'Leveranser per nät'!W$1,FALSE)/VLOOKUP($B7,Korrigeringsfaktor_EI,'Korrigeringsfaktor EI'!W$1,FALSE),
"")</f>
        <v>58.374210526315785</v>
      </c>
      <c r="X7" s="18">
        <f>IFERROR(
                  Andel_oberoende_av_klimat*VLOOKUP($A7,Leveranser_per_nät,'Leveranser per nät'!X$1,FALSE)
               +Andel_beroende_av_klimat*VLOOKUP($A7,Leveranser_per_nät,'Leveranser per nät'!X$1,FALSE)/VLOOKUP($B7,Korrigeringsfaktor_EI,'Korrigeringsfaktor EI'!X$1,FALSE),
"")</f>
        <v>61.322765957446805</v>
      </c>
      <c r="Y7" s="18">
        <f>IFERROR(
                  Andel_oberoende_av_klimat*VLOOKUP($A7,Leveranser_per_nät,'Leveranser per nät'!Y$1,FALSE)
               +Andel_beroende_av_klimat*VLOOKUP($A7,Leveranser_per_nät,'Leveranser per nät'!Y$1,FALSE)/VLOOKUP($B7,Korrigeringsfaktor_EI,'Korrigeringsfaktor EI'!Y$1,FALSE),
"")</f>
        <v>60.812348314606737</v>
      </c>
      <c r="Z7" s="18">
        <f>IFERROR(
                  Andel_oberoende_av_klimat*VLOOKUP($A7,Leveranser_per_nät,'Leveranser per nät'!Z$1,FALSE)
               +Andel_beroende_av_klimat*VLOOKUP($A7,Leveranser_per_nät,'Leveranser per nät'!Z$1,FALSE)/VLOOKUP($B7,Korrigeringsfaktor_EI,'Korrigeringsfaktor EI'!Z$1,FALSE),
"")</f>
        <v>59.932318181818182</v>
      </c>
      <c r="AA7" s="18">
        <f>IFERROR(
                  Andel_oberoende_av_klimat*VLOOKUP($A7,Leveranser_per_nät,'Leveranser per nät'!AA$1,FALSE)
               +Andel_beroende_av_klimat*VLOOKUP($A7,Leveranser_per_nät,'Leveranser per nät'!AA$1,FALSE)/VLOOKUP($B7,Korrigeringsfaktor_EI,'Korrigeringsfaktor EI'!AA$1,FALSE),
"")</f>
        <v>56.818421052631578</v>
      </c>
      <c r="AB7" s="18">
        <f>IFERROR(
                  Andel_oberoende_av_klimat*VLOOKUP($A7,Leveranser_per_nät,'Leveranser per nät'!AB$1,FALSE)
               +Andel_beroende_av_klimat*VLOOKUP($A7,Leveranser_per_nät,'Leveranser per nät'!AB$1,FALSE)/VLOOKUP($B7,Korrigeringsfaktor_EI,'Korrigeringsfaktor EI'!AB$1,FALSE),
"")</f>
        <v>57.706771653543306</v>
      </c>
      <c r="AC7" s="18">
        <f>IFERROR(
                  Andel_oberoende_av_klimat*VLOOKUP($A7,Leveranser_per_nät,'Leveranser per nät'!AC$1,FALSE)
               +Andel_beroende_av_klimat*VLOOKUP($A7,Leveranser_per_nät,'Leveranser per nät'!AC$1,FALSE)/VLOOKUP($B7,Korrigeringsfaktor_EI,'Korrigeringsfaktor EI'!AC$1,FALSE),
"")</f>
        <v>55.471147679324901</v>
      </c>
      <c r="AD7">
        <v>53.42</v>
      </c>
    </row>
    <row r="8" spans="1:30" x14ac:dyDescent="0.25">
      <c r="A8" t="s">
        <v>792</v>
      </c>
      <c r="B8" t="s">
        <v>792</v>
      </c>
      <c r="C8" s="18" t="str">
        <f>IFERROR(
                  Andel_oberoende_av_klimat*VLOOKUP($A8,Leveranser_per_nät,'Leveranser per nät'!C$1,FALSE)
               +Andel_beroende_av_klimat*VLOOKUP($A8,Leveranser_per_nät,'Leveranser per nät'!C$1,FALSE)/VLOOKUP($B8,Korrigeringsfaktor_EI,'Korrigeringsfaktor EI'!C$1,FALSE),
"")</f>
        <v/>
      </c>
      <c r="D8" s="18" t="str">
        <f>IFERROR(
                  Andel_oberoende_av_klimat*VLOOKUP($A8,Leveranser_per_nät,'Leveranser per nät'!D$1,FALSE)
               +Andel_beroende_av_klimat*VLOOKUP($A8,Leveranser_per_nät,'Leveranser per nät'!D$1,FALSE)/VLOOKUP($B8,Korrigeringsfaktor_EI,'Korrigeringsfaktor EI'!D$1,FALSE),
"")</f>
        <v/>
      </c>
      <c r="E8" s="18" t="str">
        <f>IFERROR(
                  Andel_oberoende_av_klimat*VLOOKUP($A8,Leveranser_per_nät,'Leveranser per nät'!E$1,FALSE)
               +Andel_beroende_av_klimat*VLOOKUP($A8,Leveranser_per_nät,'Leveranser per nät'!E$1,FALSE)/VLOOKUP($B8,Korrigeringsfaktor_EI,'Korrigeringsfaktor EI'!E$1,FALSE),
"")</f>
        <v/>
      </c>
      <c r="F8" s="18" t="str">
        <f>IFERROR(
                  Andel_oberoende_av_klimat*VLOOKUP($A8,Leveranser_per_nät,'Leveranser per nät'!F$1,FALSE)
               +Andel_beroende_av_klimat*VLOOKUP($A8,Leveranser_per_nät,'Leveranser per nät'!F$1,FALSE)/VLOOKUP($B8,Korrigeringsfaktor_EI,'Korrigeringsfaktor EI'!F$1,FALSE),
"")</f>
        <v/>
      </c>
      <c r="G8" s="18" t="str">
        <f>IFERROR(
                  Andel_oberoende_av_klimat*VLOOKUP($A8,Leveranser_per_nät,'Leveranser per nät'!G$1,FALSE)
               +Andel_beroende_av_klimat*VLOOKUP($A8,Leveranser_per_nät,'Leveranser per nät'!G$1,FALSE)/VLOOKUP($B8,Korrigeringsfaktor_EI,'Korrigeringsfaktor EI'!G$1,FALSE),
"")</f>
        <v/>
      </c>
      <c r="H8" s="18" t="str">
        <f>IFERROR(
                  Andel_oberoende_av_klimat*VLOOKUP($A8,Leveranser_per_nät,'Leveranser per nät'!H$1,FALSE)
               +Andel_beroende_av_klimat*VLOOKUP($A8,Leveranser_per_nät,'Leveranser per nät'!H$1,FALSE)/VLOOKUP($B8,Korrigeringsfaktor_EI,'Korrigeringsfaktor EI'!H$1,FALSE),
"")</f>
        <v/>
      </c>
      <c r="I8" s="18" t="str">
        <f>IFERROR(
                  Andel_oberoende_av_klimat*VLOOKUP($A8,Leveranser_per_nät,'Leveranser per nät'!I$1,FALSE)
               +Andel_beroende_av_klimat*VLOOKUP($A8,Leveranser_per_nät,'Leveranser per nät'!I$1,FALSE)/VLOOKUP($B8,Korrigeringsfaktor_EI,'Korrigeringsfaktor EI'!I$1,FALSE),
"")</f>
        <v/>
      </c>
      <c r="J8" s="18" t="str">
        <f>IFERROR(
                  Andel_oberoende_av_klimat*VLOOKUP($A8,Leveranser_per_nät,'Leveranser per nät'!J$1,FALSE)
               +Andel_beroende_av_klimat*VLOOKUP($A8,Leveranser_per_nät,'Leveranser per nät'!J$1,FALSE)/VLOOKUP($B8,Korrigeringsfaktor_EI,'Korrigeringsfaktor EI'!J$1,FALSE),
"")</f>
        <v/>
      </c>
      <c r="K8" s="18" t="str">
        <f>IFERROR(
                  Andel_oberoende_av_klimat*VLOOKUP($A8,Leveranser_per_nät,'Leveranser per nät'!K$1,FALSE)
               +Andel_beroende_av_klimat*VLOOKUP($A8,Leveranser_per_nät,'Leveranser per nät'!K$1,FALSE)/VLOOKUP($B8,Korrigeringsfaktor_EI,'Korrigeringsfaktor EI'!K$1,FALSE),
"")</f>
        <v/>
      </c>
      <c r="L8" s="18"/>
      <c r="M8" s="18"/>
      <c r="N8" s="18"/>
      <c r="O8" s="18"/>
      <c r="P8" s="18"/>
      <c r="Q8" s="18"/>
      <c r="R8" s="18"/>
      <c r="S8" s="18"/>
      <c r="T8" s="18"/>
      <c r="U8" s="18">
        <f>IFERROR(
                  Andel_oberoende_av_klimat*VLOOKUP($A8,Leveranser_per_nät,'Leveranser per nät'!U$1,FALSE)
               +Andel_beroende_av_klimat*VLOOKUP($A8,Leveranser_per_nät,'Leveranser per nät'!U$1,FALSE)/VLOOKUP("Jönköping",Korrigeringsfaktor_EI,'Korrigeringsfaktor EI'!U$1,FALSE),
"")</f>
        <v>23.362241379310341</v>
      </c>
      <c r="V8" s="18">
        <f>IFERROR(
                  Andel_oberoende_av_klimat*VLOOKUP($A8,Leveranser_per_nät,'Leveranser per nät'!V$1,FALSE)
               +Andel_beroende_av_klimat*VLOOKUP($A8,Leveranser_per_nät,'Leveranser per nät'!V$1,FALSE)/VLOOKUP("Jönköping",Korrigeringsfaktor_EI,'Korrigeringsfaktor EI'!V$1,FALSE),
"")</f>
        <v>24.294516853932585</v>
      </c>
      <c r="W8" s="18">
        <f>IFERROR(
                  Andel_oberoende_av_klimat*VLOOKUP($A8,Leveranser_per_nät,'Leveranser per nät'!W$1,FALSE)
               +Andel_beroende_av_klimat*VLOOKUP($A8,Leveranser_per_nät,'Leveranser per nät'!W$1,FALSE)/VLOOKUP("Jönköping",Korrigeringsfaktor_EI,'Korrigeringsfaktor EI'!W$1,FALSE),
"")</f>
        <v>25.682578947368423</v>
      </c>
      <c r="X8" s="18">
        <f>IFERROR(
                  Andel_oberoende_av_klimat*VLOOKUP($A8,Leveranser_per_nät,'Leveranser per nät'!X$1,FALSE)
               +Andel_beroende_av_klimat*VLOOKUP($A8,Leveranser_per_nät,'Leveranser per nät'!X$1,FALSE)/VLOOKUP("Jönköping",Korrigeringsfaktor_EI,'Korrigeringsfaktor EI'!X$1,FALSE),
"")</f>
        <v>26.029820430107527</v>
      </c>
      <c r="Y8" s="18">
        <f>IFERROR(
                  Andel_oberoende_av_klimat*VLOOKUP($A8,Leveranser_per_nät,'Leveranser per nät'!Y$1,FALSE)
               +Andel_beroende_av_klimat*VLOOKUP($A8,Leveranser_per_nät,'Leveranser per nät'!Y$1,FALSE)/VLOOKUP($B8,Korrigeringsfaktor_EI,'Korrigeringsfaktor EI'!Y$1,FALSE),
"")</f>
        <v>27.767923076923076</v>
      </c>
      <c r="Z8" s="18">
        <f>IFERROR(
                  Andel_oberoende_av_klimat*VLOOKUP($A8,Leveranser_per_nät,'Leveranser per nät'!Z$1,FALSE)
               +Andel_beroende_av_klimat*VLOOKUP($A8,Leveranser_per_nät,'Leveranser per nät'!Z$1,FALSE)/VLOOKUP($B8,Korrigeringsfaktor_EI,'Korrigeringsfaktor EI'!Z$1,FALSE),
"")</f>
        <v>26.462392307692305</v>
      </c>
      <c r="AA8" s="18">
        <f>IFERROR(
                  Andel_oberoende_av_klimat*VLOOKUP($A8,Leveranser_per_nät,'Leveranser per nät'!AA$1,FALSE)
               +Andel_beroende_av_klimat*VLOOKUP($A8,Leveranser_per_nät,'Leveranser per nät'!AA$1,FALSE)/VLOOKUP($B8,Korrigeringsfaktor_EI,'Korrigeringsfaktor EI'!AA$1,FALSE),
"")</f>
        <v>24.231563875537567</v>
      </c>
      <c r="AB8" s="18">
        <f>IFERROR(
                  Andel_oberoende_av_klimat*VLOOKUP($A8,Leveranser_per_nät,'Leveranser per nät'!AB$1,FALSE)
               +Andel_beroende_av_klimat*VLOOKUP($A8,Leveranser_per_nät,'Leveranser per nät'!AB$1,FALSE)/VLOOKUP($B8,Korrigeringsfaktor_EI,'Korrigeringsfaktor EI'!AB$1,FALSE),
"")</f>
        <v>25.975793161546086</v>
      </c>
      <c r="AC8" s="18">
        <f>IFERROR(
                  Andel_oberoende_av_klimat*VLOOKUP($A8,Leveranser_per_nät,'Leveranser per nät'!AC$1,FALSE)
               +Andel_beroende_av_klimat*VLOOKUP($A8,Leveranser_per_nät,'Leveranser per nät'!AC$1,FALSE)/VLOOKUP($B8,Korrigeringsfaktor_EI,'Korrigeringsfaktor EI'!AC$1,FALSE),
"")</f>
        <v>24.731794736842108</v>
      </c>
      <c r="AD8" t="e">
        <v>#N/A</v>
      </c>
    </row>
    <row r="9" spans="1:30" x14ac:dyDescent="0.25">
      <c r="A9" t="s">
        <v>360</v>
      </c>
      <c r="B9" t="s">
        <v>362</v>
      </c>
      <c r="C9" s="18">
        <f>IFERROR(
                  Andel_oberoende_av_klimat*VLOOKUP($A9,Leveranser_per_nät,'Leveranser per nät'!C$1,FALSE)
               +Andel_beroende_av_klimat*VLOOKUP($A9,Leveranser_per_nät,'Leveranser per nät'!C$1,FALSE)/VLOOKUP($B9,Korrigeringsfaktor_EI,'Korrigeringsfaktor EI'!C$1,FALSE),
"")</f>
        <v>0</v>
      </c>
      <c r="D9" s="18">
        <f>IFERROR(
                  Andel_oberoende_av_klimat*VLOOKUP($A9,Leveranser_per_nät,'Leveranser per nät'!D$1,FALSE)
               +Andel_beroende_av_klimat*VLOOKUP($A9,Leveranser_per_nät,'Leveranser per nät'!D$1,FALSE)/VLOOKUP($B9,Korrigeringsfaktor_EI,'Korrigeringsfaktor EI'!D$1,FALSE),
"")</f>
        <v>5.9255670103092779</v>
      </c>
      <c r="E9" s="18">
        <f>IFERROR(
                  Andel_oberoende_av_klimat*VLOOKUP($A9,Leveranser_per_nät,'Leveranser per nät'!E$1,FALSE)
               +Andel_beroende_av_klimat*VLOOKUP($A9,Leveranser_per_nät,'Leveranser per nät'!E$1,FALSE)/VLOOKUP($B9,Korrigeringsfaktor_EI,'Korrigeringsfaktor EI'!E$1,FALSE),
"")</f>
        <v>5.9584158415841575</v>
      </c>
      <c r="F9" s="18">
        <f>IFERROR(
                  Andel_oberoende_av_klimat*VLOOKUP($A9,Leveranser_per_nät,'Leveranser per nät'!F$1,FALSE)
               +Andel_beroende_av_klimat*VLOOKUP($A9,Leveranser_per_nät,'Leveranser per nät'!F$1,FALSE)/VLOOKUP($B9,Korrigeringsfaktor_EI,'Korrigeringsfaktor EI'!F$1,FALSE),
"")</f>
        <v>7.3688172043010747</v>
      </c>
      <c r="G9" s="18">
        <f>IFERROR(
                  Andel_oberoende_av_klimat*VLOOKUP($A9,Leveranser_per_nät,'Leveranser per nät'!G$1,FALSE)
               +Andel_beroende_av_klimat*VLOOKUP($A9,Leveranser_per_nät,'Leveranser per nät'!G$1,FALSE)/VLOOKUP($B9,Korrigeringsfaktor_EI,'Korrigeringsfaktor EI'!G$1,FALSE),
"")</f>
        <v>6.6837209302325569</v>
      </c>
      <c r="H9" s="18">
        <f>IFERROR(
                  Andel_oberoende_av_klimat*VLOOKUP($A9,Leveranser_per_nät,'Leveranser per nät'!H$1,FALSE)
               +Andel_beroende_av_klimat*VLOOKUP($A9,Leveranser_per_nät,'Leveranser per nät'!H$1,FALSE)/VLOOKUP($B9,Korrigeringsfaktor_EI,'Korrigeringsfaktor EI'!H$1,FALSE),
"")</f>
        <v>6.9514851485148519</v>
      </c>
      <c r="I9" s="18">
        <f>IFERROR(
                  Andel_oberoende_av_klimat*VLOOKUP($A9,Leveranser_per_nät,'Leveranser per nät'!I$1,FALSE)
               +Andel_beroende_av_klimat*VLOOKUP($A9,Leveranser_per_nät,'Leveranser per nät'!I$1,FALSE)/VLOOKUP($B9,Korrigeringsfaktor_EI,'Korrigeringsfaktor EI'!I$1,FALSE),
"")</f>
        <v>5.1458333333333339</v>
      </c>
      <c r="J9" s="18">
        <f>IFERROR(
                  Andel_oberoende_av_klimat*VLOOKUP($A9,Leveranser_per_nät,'Leveranser per nät'!J$1,FALSE)
               +Andel_beroende_av_klimat*VLOOKUP($A9,Leveranser_per_nät,'Leveranser per nät'!J$1,FALSE)/VLOOKUP($B9,Korrigeringsfaktor_EI,'Korrigeringsfaktor EI'!J$1,FALSE),
"")</f>
        <v>8</v>
      </c>
      <c r="K9" s="18">
        <f>IFERROR(
                  Andel_oberoende_av_klimat*VLOOKUP($A9,Leveranser_per_nät,'Leveranser per nät'!K$1,FALSE)
               +Andel_beroende_av_klimat*VLOOKUP($A9,Leveranser_per_nät,'Leveranser per nät'!K$1,FALSE)/VLOOKUP($B9,Korrigeringsfaktor_EI,'Korrigeringsfaktor EI'!K$1,FALSE),
"")</f>
        <v>4.9669999999999996</v>
      </c>
      <c r="L9" s="18">
        <f>IFERROR(
                  Andel_oberoende_av_klimat*VLOOKUP($A9,Leveranser_per_nät,'Leveranser per nät'!L$1,FALSE)
               +Andel_beroende_av_klimat*VLOOKUP($A9,Leveranser_per_nät,'Leveranser per nät'!L$1,FALSE)/VLOOKUP($B9,Korrigeringsfaktor_EI,'Korrigeringsfaktor EI'!L$1,FALSE),
"")</f>
        <v>7.3667571428571428</v>
      </c>
      <c r="M9" s="18">
        <f>IFERROR(
                  Andel_oberoende_av_klimat*VLOOKUP($A9,Leveranser_per_nät,'Leveranser per nät'!M$1,FALSE)
               +Andel_beroende_av_klimat*VLOOKUP($A9,Leveranser_per_nät,'Leveranser per nät'!M$1,FALSE)/VLOOKUP($B9,Korrigeringsfaktor_EI,'Korrigeringsfaktor EI'!M$1,FALSE),
"")</f>
        <v>6.8056290322580644</v>
      </c>
      <c r="N9" s="18">
        <f>IFERROR(
                  Andel_oberoende_av_klimat*VLOOKUP($A9,Leveranser_per_nät,'Leveranser per nät'!N$1,FALSE)
               +Andel_beroende_av_klimat*VLOOKUP($A9,Leveranser_per_nät,'Leveranser per nät'!N$1,FALSE)/VLOOKUP($B9,Korrigeringsfaktor_EI,'Korrigeringsfaktor EI'!N$1,FALSE),
"")</f>
        <v>6.8308935483870972</v>
      </c>
      <c r="O9" s="18">
        <f>IFERROR(
                  Andel_oberoende_av_klimat*VLOOKUP($A9,Leveranser_per_nät,'Leveranser per nät'!O$1,FALSE)
               +Andel_beroende_av_klimat*VLOOKUP($A9,Leveranser_per_nät,'Leveranser per nät'!O$1,FALSE)/VLOOKUP($B9,Korrigeringsfaktor_EI,'Korrigeringsfaktor EI'!O$1,FALSE),
"")</f>
        <v>6.6773461538461536</v>
      </c>
      <c r="P9" s="18">
        <f>IFERROR(
                  Andel_oberoende_av_klimat*VLOOKUP($A9,Leveranser_per_nät,'Leveranser per nät'!P$1,FALSE)
               +Andel_beroende_av_klimat*VLOOKUP($A9,Leveranser_per_nät,'Leveranser per nät'!P$1,FALSE)/VLOOKUP($B9,Korrigeringsfaktor_EI,'Korrigeringsfaktor EI'!P$1,FALSE),
"")</f>
        <v>6.8178686868686853</v>
      </c>
      <c r="Q9" s="18">
        <f>IFERROR(
                  Andel_oberoende_av_klimat*VLOOKUP($A9,Leveranser_per_nät,'Leveranser per nät'!Q$1,FALSE)
               +Andel_beroende_av_klimat*VLOOKUP($A9,Leveranser_per_nät,'Leveranser per nät'!Q$1,FALSE)/VLOOKUP($B9,Korrigeringsfaktor_EI,'Korrigeringsfaktor EI'!Q$1,FALSE),
"")</f>
        <v>6.8397521739130429</v>
      </c>
      <c r="R9" s="18">
        <f>IFERROR(
                  Andel_oberoende_av_klimat*VLOOKUP($A9,Leveranser_per_nät,'Leveranser per nät'!R$1,FALSE)
               +Andel_beroende_av_klimat*VLOOKUP($A9,Leveranser_per_nät,'Leveranser per nät'!R$1,FALSE)/VLOOKUP($B9,Korrigeringsfaktor_EI,'Korrigeringsfaktor EI'!R$1,FALSE),
"")</f>
        <v>6.8290787234042556</v>
      </c>
      <c r="S9" s="18">
        <f>IFERROR(
                  Andel_oberoende_av_klimat*VLOOKUP($A9,Leveranser_per_nät,'Leveranser per nät'!S$1,FALSE)
               +Andel_beroende_av_klimat*VLOOKUP($A9,Leveranser_per_nät,'Leveranser per nät'!S$1,FALSE)/VLOOKUP($B9,Korrigeringsfaktor_EI,'Korrigeringsfaktor EI'!S$1,FALSE),
"")</f>
        <v>6.3674757281553394</v>
      </c>
      <c r="T9" s="18">
        <f>IFERROR(
                  Andel_oberoende_av_klimat*VLOOKUP($A9,Leveranser_per_nät,'Leveranser per nät'!T$1,FALSE)
               +Andel_beroende_av_klimat*VLOOKUP($A9,Leveranser_per_nät,'Leveranser per nät'!T$1,FALSE)/VLOOKUP($B9,Korrigeringsfaktor_EI,'Korrigeringsfaktor EI'!T$1,FALSE),
"")</f>
        <v>6.4</v>
      </c>
      <c r="U9" s="18">
        <f>IFERROR(
                  Andel_oberoende_av_klimat*VLOOKUP($A9,Leveranser_per_nät,'Leveranser per nät'!U$1,FALSE)
               +Andel_beroende_av_klimat*VLOOKUP($A9,Leveranser_per_nät,'Leveranser per nät'!U$1,FALSE)/VLOOKUP($B9,Korrigeringsfaktor_EI,'Korrigeringsfaktor EI'!U$1,FALSE),
"")</f>
        <v>6.2511111111111104</v>
      </c>
      <c r="V9" s="18">
        <f>IFERROR(
                  Andel_oberoende_av_klimat*VLOOKUP($A9,Leveranser_per_nät,'Leveranser per nät'!V$1,FALSE)
               +Andel_beroende_av_klimat*VLOOKUP($A9,Leveranser_per_nät,'Leveranser per nät'!V$1,FALSE)/VLOOKUP($B9,Korrigeringsfaktor_EI,'Korrigeringsfaktor EI'!V$1,FALSE),
"")</f>
        <v>6.4631818181818188</v>
      </c>
      <c r="W9" s="18">
        <f>IFERROR(
                  Andel_oberoende_av_klimat*VLOOKUP($A9,Leveranser_per_nät,'Leveranser per nät'!W$1,FALSE)
               +Andel_beroende_av_klimat*VLOOKUP($A9,Leveranser_per_nät,'Leveranser per nät'!W$1,FALSE)/VLOOKUP($B9,Korrigeringsfaktor_EI,'Korrigeringsfaktor EI'!W$1,FALSE),
"")</f>
        <v>6.408721052631579</v>
      </c>
      <c r="X9" s="18">
        <f>IFERROR(
                  Andel_oberoende_av_klimat*VLOOKUP($A9,Leveranser_per_nät,'Leveranser per nät'!X$1,FALSE)
               +Andel_beroende_av_klimat*VLOOKUP($A9,Leveranser_per_nät,'Leveranser per nät'!X$1,FALSE)/VLOOKUP($B9,Korrigeringsfaktor_EI,'Korrigeringsfaktor EI'!X$1,FALSE),
"")</f>
        <v>6.6859574468085103</v>
      </c>
      <c r="Y9" s="18">
        <f>IFERROR(
                  Andel_oberoende_av_klimat*VLOOKUP($A9,Leveranser_per_nät,'Leveranser per nät'!Y$1,FALSE)
               +Andel_beroende_av_klimat*VLOOKUP($A9,Leveranser_per_nät,'Leveranser per nät'!Y$1,FALSE)/VLOOKUP($B9,Korrigeringsfaktor_EI,'Korrigeringsfaktor EI'!Y$1,FALSE),
"")</f>
        <v>6.6834782608695651</v>
      </c>
      <c r="Z9" s="18">
        <f>IFERROR(
                  Andel_oberoende_av_klimat*VLOOKUP($A9,Leveranser_per_nät,'Leveranser per nät'!Z$1,FALSE)
               +Andel_beroende_av_klimat*VLOOKUP($A9,Leveranser_per_nät,'Leveranser per nät'!Z$1,FALSE)/VLOOKUP($B9,Korrigeringsfaktor_EI,'Korrigeringsfaktor EI'!Z$1,FALSE),
"")</f>
        <v>6.7364044943820227</v>
      </c>
      <c r="AA9" s="18">
        <f>IFERROR(
                  Andel_oberoende_av_klimat*VLOOKUP($A9,Leveranser_per_nät,'Leveranser per nät'!AA$1,FALSE)
               +Andel_beroende_av_klimat*VLOOKUP($A9,Leveranser_per_nät,'Leveranser per nät'!AA$1,FALSE)/VLOOKUP($B9,Korrigeringsfaktor_EI,'Korrigeringsfaktor EI'!AA$1,FALSE),
"")</f>
        <v>6.6496309354563561</v>
      </c>
      <c r="AB9" s="18">
        <f>IFERROR(
                  Andel_oberoende_av_klimat*VLOOKUP($A9,Leveranser_per_nät,'Leveranser per nät'!AB$1,FALSE)
               +Andel_beroende_av_klimat*VLOOKUP($A9,Leveranser_per_nät,'Leveranser per nät'!AB$1,FALSE)/VLOOKUP($B9,Korrigeringsfaktor_EI,'Korrigeringsfaktor EI'!AB$1,FALSE),
"")</f>
        <v>6.7252937062937068</v>
      </c>
      <c r="AC9" s="18">
        <f>IFERROR(
                  Andel_oberoende_av_klimat*VLOOKUP($A9,Leveranser_per_nät,'Leveranser per nät'!AC$1,FALSE)
               +Andel_beroende_av_klimat*VLOOKUP($A9,Leveranser_per_nät,'Leveranser per nät'!AC$1,FALSE)/VLOOKUP($B9,Korrigeringsfaktor_EI,'Korrigeringsfaktor EI'!AC$1,FALSE),
"")</f>
        <v>6.5755688367129137</v>
      </c>
      <c r="AD9">
        <v>167.4</v>
      </c>
    </row>
    <row r="10" spans="1:30" x14ac:dyDescent="0.25">
      <c r="A10" t="s">
        <v>224</v>
      </c>
      <c r="B10" t="s">
        <v>223</v>
      </c>
      <c r="C10" s="18">
        <f>IFERROR(
                  Andel_oberoende_av_klimat*VLOOKUP($A10,Leveranser_per_nät,'Leveranser per nät'!C$1,FALSE)
               +Andel_beroende_av_klimat*VLOOKUP($A10,Leveranser_per_nät,'Leveranser per nät'!C$1,FALSE)/VLOOKUP($B10,Korrigeringsfaktor_EI,'Korrigeringsfaktor EI'!C$1,FALSE),
"")</f>
        <v>0</v>
      </c>
      <c r="D10" s="18">
        <f>IFERROR(
                  Andel_oberoende_av_klimat*VLOOKUP($A10,Leveranser_per_nät,'Leveranser per nät'!D$1,FALSE)
               +Andel_beroende_av_klimat*VLOOKUP($A10,Leveranser_per_nät,'Leveranser per nät'!D$1,FALSE)/VLOOKUP($B10,Korrigeringsfaktor_EI,'Korrigeringsfaktor EI'!D$1,FALSE),
"")</f>
        <v>0</v>
      </c>
      <c r="E10" s="18">
        <f>IFERROR(
                  Andel_oberoende_av_klimat*VLOOKUP($A10,Leveranser_per_nät,'Leveranser per nät'!E$1,FALSE)
               +Andel_beroende_av_klimat*VLOOKUP($A10,Leveranser_per_nät,'Leveranser per nät'!E$1,FALSE)/VLOOKUP($B10,Korrigeringsfaktor_EI,'Korrigeringsfaktor EI'!E$1,FALSE),
"")</f>
        <v>0</v>
      </c>
      <c r="F10" s="18">
        <f>IFERROR(
                  Andel_oberoende_av_klimat*VLOOKUP($A10,Leveranser_per_nät,'Leveranser per nät'!F$1,FALSE)
               +Andel_beroende_av_klimat*VLOOKUP($A10,Leveranser_per_nät,'Leveranser per nät'!F$1,FALSE)/VLOOKUP($B10,Korrigeringsfaktor_EI,'Korrigeringsfaktor EI'!F$1,FALSE),
"")</f>
        <v>0</v>
      </c>
      <c r="G10" s="18">
        <f>IFERROR(
                  Andel_oberoende_av_klimat*VLOOKUP($A10,Leveranser_per_nät,'Leveranser per nät'!G$1,FALSE)
               +Andel_beroende_av_klimat*VLOOKUP($A10,Leveranser_per_nät,'Leveranser per nät'!G$1,FALSE)/VLOOKUP($B10,Korrigeringsfaktor_EI,'Korrigeringsfaktor EI'!G$1,FALSE),
"")</f>
        <v>0</v>
      </c>
      <c r="H10" s="18">
        <f>IFERROR(
                  Andel_oberoende_av_klimat*VLOOKUP($A10,Leveranser_per_nät,'Leveranser per nät'!H$1,FALSE)
               +Andel_beroende_av_klimat*VLOOKUP($A10,Leveranser_per_nät,'Leveranser per nät'!H$1,FALSE)/VLOOKUP($B10,Korrigeringsfaktor_EI,'Korrigeringsfaktor EI'!H$1,FALSE),
"")</f>
        <v>0</v>
      </c>
      <c r="I10" s="18">
        <f>IFERROR(
                  Andel_oberoende_av_klimat*VLOOKUP($A10,Leveranser_per_nät,'Leveranser per nät'!I$1,FALSE)
               +Andel_beroende_av_klimat*VLOOKUP($A10,Leveranser_per_nät,'Leveranser per nät'!I$1,FALSE)/VLOOKUP($B10,Korrigeringsfaktor_EI,'Korrigeringsfaktor EI'!I$1,FALSE),
"")</f>
        <v>0</v>
      </c>
      <c r="J10" s="18">
        <f>IFERROR(
                  Andel_oberoende_av_klimat*VLOOKUP($A10,Leveranser_per_nät,'Leveranser per nät'!J$1,FALSE)
               +Andel_beroende_av_klimat*VLOOKUP($A10,Leveranser_per_nät,'Leveranser per nät'!J$1,FALSE)/VLOOKUP($B10,Korrigeringsfaktor_EI,'Korrigeringsfaktor EI'!J$1,FALSE),
"")</f>
        <v>0</v>
      </c>
      <c r="K10" s="18">
        <f>IFERROR(
                  Andel_oberoende_av_klimat*VLOOKUP($A10,Leveranser_per_nät,'Leveranser per nät'!K$1,FALSE)
               +Andel_beroende_av_klimat*VLOOKUP($A10,Leveranser_per_nät,'Leveranser per nät'!K$1,FALSE)/VLOOKUP($B10,Korrigeringsfaktor_EI,'Korrigeringsfaktor EI'!K$1,FALSE),
"")</f>
        <v>1.81</v>
      </c>
      <c r="L10" s="18">
        <f>IFERROR(
                  Andel_oberoende_av_klimat*VLOOKUP($A10,Leveranser_per_nät,'Leveranser per nät'!L$1,FALSE)
               +Andel_beroende_av_klimat*VLOOKUP($A10,Leveranser_per_nät,'Leveranser per nät'!L$1,FALSE)/VLOOKUP($B10,Korrigeringsfaktor_EI,'Korrigeringsfaktor EI'!L$1,FALSE),
"")</f>
        <v>1.8339750000000001</v>
      </c>
      <c r="M10" s="18">
        <f>IFERROR(
                  Andel_oberoende_av_klimat*VLOOKUP($A10,Leveranser_per_nät,'Leveranser per nät'!M$1,FALSE)
               +Andel_beroende_av_klimat*VLOOKUP($A10,Leveranser_per_nät,'Leveranser per nät'!M$1,FALSE)/VLOOKUP($B10,Korrigeringsfaktor_EI,'Korrigeringsfaktor EI'!M$1,FALSE),
"")</f>
        <v>1.9295774193548385</v>
      </c>
      <c r="N10" s="18">
        <f>IFERROR(
                  Andel_oberoende_av_klimat*VLOOKUP($A10,Leveranser_per_nät,'Leveranser per nät'!N$1,FALSE)
               +Andel_beroende_av_klimat*VLOOKUP($A10,Leveranser_per_nät,'Leveranser per nät'!N$1,FALSE)/VLOOKUP($B10,Korrigeringsfaktor_EI,'Korrigeringsfaktor EI'!N$1,FALSE),
"")</f>
        <v>2.0285301075268816</v>
      </c>
      <c r="O10" s="18">
        <f>IFERROR(
                  Andel_oberoende_av_klimat*VLOOKUP($A10,Leveranser_per_nät,'Leveranser per nät'!O$1,FALSE)
               +Andel_beroende_av_klimat*VLOOKUP($A10,Leveranser_per_nät,'Leveranser per nät'!O$1,FALSE)/VLOOKUP($B10,Korrigeringsfaktor_EI,'Korrigeringsfaktor EI'!O$1,FALSE),
"")</f>
        <v>2.0843225806451615</v>
      </c>
      <c r="P10" s="18">
        <f>IFERROR(
                  Andel_oberoende_av_klimat*VLOOKUP($A10,Leveranser_per_nät,'Leveranser per nät'!P$1,FALSE)
               +Andel_beroende_av_klimat*VLOOKUP($A10,Leveranser_per_nät,'Leveranser per nät'!P$1,FALSE)/VLOOKUP($B10,Korrigeringsfaktor_EI,'Korrigeringsfaktor EI'!P$1,FALSE),
"")</f>
        <v>2.1536371134020618</v>
      </c>
      <c r="Q10" s="18">
        <f>IFERROR(
                  Andel_oberoende_av_klimat*VLOOKUP($A10,Leveranser_per_nät,'Leveranser per nät'!Q$1,FALSE)
               +Andel_beroende_av_klimat*VLOOKUP($A10,Leveranser_per_nät,'Leveranser per nät'!Q$1,FALSE)/VLOOKUP($B10,Korrigeringsfaktor_EI,'Korrigeringsfaktor EI'!Q$1,FALSE),
"")</f>
        <v>2.2033499999999999</v>
      </c>
      <c r="R10" s="18">
        <f>IFERROR(
                  Andel_oberoende_av_klimat*VLOOKUP($A10,Leveranser_per_nät,'Leveranser per nät'!R$1,FALSE)
               +Andel_beroende_av_klimat*VLOOKUP($A10,Leveranser_per_nät,'Leveranser per nät'!R$1,FALSE)/VLOOKUP($B10,Korrigeringsfaktor_EI,'Korrigeringsfaktor EI'!R$1,FALSE),
"")</f>
        <v>2.0474784946236557</v>
      </c>
      <c r="S10" s="18">
        <f>IFERROR(
                  Andel_oberoende_av_klimat*VLOOKUP($A10,Leveranser_per_nät,'Leveranser per nät'!S$1,FALSE)
               +Andel_beroende_av_klimat*VLOOKUP($A10,Leveranser_per_nät,'Leveranser per nät'!S$1,FALSE)/VLOOKUP($B10,Korrigeringsfaktor_EI,'Korrigeringsfaktor EI'!S$1,FALSE),
"")</f>
        <v>1.972549019607843</v>
      </c>
      <c r="T10" s="18">
        <f>IFERROR(
                  Andel_oberoende_av_klimat*VLOOKUP($A10,Leveranser_per_nät,'Leveranser per nät'!T$1,FALSE)
               +Andel_beroende_av_klimat*VLOOKUP($A10,Leveranser_per_nät,'Leveranser per nät'!T$1,FALSE)/VLOOKUP($B10,Korrigeringsfaktor_EI,'Korrigeringsfaktor EI'!T$1,FALSE),
"")</f>
        <v>2.1339828282828286</v>
      </c>
      <c r="U10" s="18">
        <f>IFERROR(
                  Andel_oberoende_av_klimat*VLOOKUP($A10,Leveranser_per_nät,'Leveranser per nät'!U$1,FALSE)
               +Andel_beroende_av_klimat*VLOOKUP($A10,Leveranser_per_nät,'Leveranser per nät'!U$1,FALSE)/VLOOKUP($B10,Korrigeringsfaktor_EI,'Korrigeringsfaktor EI'!U$1,FALSE),
"")</f>
        <v>1.9540111111111109</v>
      </c>
      <c r="V10" s="18">
        <f>IFERROR(
                  Andel_oberoende_av_klimat*VLOOKUP($A10,Leveranser_per_nät,'Leveranser per nät'!V$1,FALSE)
               +Andel_beroende_av_klimat*VLOOKUP($A10,Leveranser_per_nät,'Leveranser per nät'!V$1,FALSE)/VLOOKUP($B10,Korrigeringsfaktor_EI,'Korrigeringsfaktor EI'!V$1,FALSE),
"")</f>
        <v>1.8403947368421054</v>
      </c>
      <c r="W10" s="18">
        <f>IFERROR(
                  Andel_oberoende_av_klimat*VLOOKUP($A10,Leveranser_per_nät,'Leveranser per nät'!W$1,FALSE)
               +Andel_beroende_av_klimat*VLOOKUP($A10,Leveranser_per_nät,'Leveranser per nät'!W$1,FALSE)/VLOOKUP($B10,Korrigeringsfaktor_EI,'Korrigeringsfaktor EI'!W$1,FALSE),
"")</f>
        <v>1.6878333333333333</v>
      </c>
      <c r="X10" s="18">
        <f>IFERROR(
                  Andel_oberoende_av_klimat*VLOOKUP($A10,Leveranser_per_nät,'Leveranser per nät'!X$1,FALSE)
               +Andel_beroende_av_klimat*VLOOKUP($A10,Leveranser_per_nät,'Leveranser per nät'!X$1,FALSE)/VLOOKUP($B10,Korrigeringsfaktor_EI,'Korrigeringsfaktor EI'!X$1,FALSE),
"")</f>
        <v>1.7495833333333333</v>
      </c>
      <c r="Y10" s="18">
        <f>IFERROR(
                  Andel_oberoende_av_klimat*VLOOKUP($A10,Leveranser_per_nät,'Leveranser per nät'!Y$1,FALSE)
               +Andel_beroende_av_klimat*VLOOKUP($A10,Leveranser_per_nät,'Leveranser per nät'!Y$1,FALSE)/VLOOKUP($B10,Korrigeringsfaktor_EI,'Korrigeringsfaktor EI'!Y$1,FALSE),
"")</f>
        <v>1.8390769230769231</v>
      </c>
      <c r="Z10" s="18">
        <f>IFERROR(
                  Andel_oberoende_av_klimat*VLOOKUP($A10,Leveranser_per_nät,'Leveranser per nät'!Z$1,FALSE)
               +Andel_beroende_av_klimat*VLOOKUP($A10,Leveranser_per_nät,'Leveranser per nät'!Z$1,FALSE)/VLOOKUP($B10,Korrigeringsfaktor_EI,'Korrigeringsfaktor EI'!Z$1,FALSE),
"")</f>
        <v>1.7107692307692308</v>
      </c>
      <c r="AA10" s="18">
        <f>IFERROR(
                  Andel_oberoende_av_klimat*VLOOKUP($A10,Leveranser_per_nät,'Leveranser per nät'!AA$1,FALSE)
               +Andel_beroende_av_klimat*VLOOKUP($A10,Leveranser_per_nät,'Leveranser per nät'!AA$1,FALSE)/VLOOKUP($B10,Korrigeringsfaktor_EI,'Korrigeringsfaktor EI'!AA$1,FALSE),
"")</f>
        <v>1.5841491525423728</v>
      </c>
      <c r="AB10" s="18">
        <f>IFERROR(
                  Andel_oberoende_av_klimat*VLOOKUP($A10,Leveranser_per_nät,'Leveranser per nät'!AB$1,FALSE)
               +Andel_beroende_av_klimat*VLOOKUP($A10,Leveranser_per_nät,'Leveranser per nät'!AB$1,FALSE)/VLOOKUP($B10,Korrigeringsfaktor_EI,'Korrigeringsfaktor EI'!AB$1,FALSE),
"")</f>
        <v>1.5944698795180723</v>
      </c>
      <c r="AC10" s="18">
        <f>IFERROR(
                  Andel_oberoende_av_klimat*VLOOKUP($A10,Leveranser_per_nät,'Leveranser per nät'!AC$1,FALSE)
               +Andel_beroende_av_klimat*VLOOKUP($A10,Leveranser_per_nät,'Leveranser per nät'!AC$1,FALSE)/VLOOKUP($B10,Korrigeringsfaktor_EI,'Korrigeringsfaktor EI'!AC$1,FALSE),
"")</f>
        <v>1.5786656017039402</v>
      </c>
      <c r="AD10">
        <v>146.80000000000001</v>
      </c>
    </row>
    <row r="11" spans="1:30" x14ac:dyDescent="0.25">
      <c r="A11" t="s">
        <v>5</v>
      </c>
      <c r="B11" t="s">
        <v>5</v>
      </c>
      <c r="C11" s="18">
        <f>IFERROR(
                  Andel_oberoende_av_klimat*VLOOKUP($A11,Leveranser_per_nät,'Leveranser per nät'!C$1,FALSE)
               +Andel_beroende_av_klimat*VLOOKUP($A11,Leveranser_per_nät,'Leveranser per nät'!C$1,FALSE)/VLOOKUP($B11,Korrigeringsfaktor_EI,'Korrigeringsfaktor EI'!C$1,FALSE),
"")</f>
        <v>70.665137614678898</v>
      </c>
      <c r="D11" s="18">
        <f>IFERROR(
                  Andel_oberoende_av_klimat*VLOOKUP($A11,Leveranser_per_nät,'Leveranser per nät'!D$1,FALSE)
               +Andel_beroende_av_klimat*VLOOKUP($A11,Leveranser_per_nät,'Leveranser per nät'!D$1,FALSE)/VLOOKUP($B11,Korrigeringsfaktor_EI,'Korrigeringsfaktor EI'!D$1,FALSE),
"")</f>
        <v>67.632571428571438</v>
      </c>
      <c r="E11" s="18">
        <f>IFERROR(
                  Andel_oberoende_av_klimat*VLOOKUP($A11,Leveranser_per_nät,'Leveranser per nät'!E$1,FALSE)
               +Andel_beroende_av_klimat*VLOOKUP($A11,Leveranser_per_nät,'Leveranser per nät'!E$1,FALSE)/VLOOKUP($B11,Korrigeringsfaktor_EI,'Korrigeringsfaktor EI'!E$1,FALSE),
"")</f>
        <v>73.470873786407765</v>
      </c>
      <c r="F11" s="18">
        <f>IFERROR(
                  Andel_oberoende_av_klimat*VLOOKUP($A11,Leveranser_per_nät,'Leveranser per nät'!F$1,FALSE)
               +Andel_beroende_av_klimat*VLOOKUP($A11,Leveranser_per_nät,'Leveranser per nät'!F$1,FALSE)/VLOOKUP($B11,Korrigeringsfaktor_EI,'Korrigeringsfaktor EI'!F$1,FALSE),
"")</f>
        <v>80.274999999999991</v>
      </c>
      <c r="G11" s="18">
        <f>IFERROR(
                  Andel_oberoende_av_klimat*VLOOKUP($A11,Leveranser_per_nät,'Leveranser per nät'!G$1,FALSE)
               +Andel_beroende_av_klimat*VLOOKUP($A11,Leveranser_per_nät,'Leveranser per nät'!G$1,FALSE)/VLOOKUP($B11,Korrigeringsfaktor_EI,'Korrigeringsfaktor EI'!G$1,FALSE),
"")</f>
        <v>79.315730337078648</v>
      </c>
      <c r="H11" s="18">
        <f>IFERROR(
                  Andel_oberoende_av_klimat*VLOOKUP($A11,Leveranser_per_nät,'Leveranser per nät'!H$1,FALSE)
               +Andel_beroende_av_klimat*VLOOKUP($A11,Leveranser_per_nät,'Leveranser per nät'!H$1,FALSE)/VLOOKUP($B11,Korrigeringsfaktor_EI,'Korrigeringsfaktor EI'!H$1,FALSE),
"")</f>
        <v>84.593939393939394</v>
      </c>
      <c r="I11" s="18">
        <f>IFERROR(
                  Andel_oberoende_av_klimat*VLOOKUP($A11,Leveranser_per_nät,'Leveranser per nät'!I$1,FALSE)
               +Andel_beroende_av_klimat*VLOOKUP($A11,Leveranser_per_nät,'Leveranser per nät'!I$1,FALSE)/VLOOKUP($B11,Korrigeringsfaktor_EI,'Korrigeringsfaktor EI'!I$1,FALSE),
"")</f>
        <v>93.655195833333337</v>
      </c>
      <c r="J11" s="18">
        <f>IFERROR(
                  Andel_oberoende_av_klimat*VLOOKUP($A11,Leveranser_per_nät,'Leveranser per nät'!J$1,FALSE)
               +Andel_beroende_av_klimat*VLOOKUP($A11,Leveranser_per_nät,'Leveranser per nät'!J$1,FALSE)/VLOOKUP($B11,Korrigeringsfaktor_EI,'Korrigeringsfaktor EI'!J$1,FALSE),
"")</f>
        <v>89.257142857142867</v>
      </c>
      <c r="K11" s="18">
        <f>IFERROR(
                  Andel_oberoende_av_klimat*VLOOKUP($A11,Leveranser_per_nät,'Leveranser per nät'!K$1,FALSE)
               +Andel_beroende_av_klimat*VLOOKUP($A11,Leveranser_per_nät,'Leveranser per nät'!K$1,FALSE)/VLOOKUP($B11,Korrigeringsfaktor_EI,'Korrigeringsfaktor EI'!K$1,FALSE),
"")</f>
        <v>84.532600000000002</v>
      </c>
      <c r="L11" s="18">
        <f>IFERROR(
                  Andel_oberoende_av_klimat*VLOOKUP($A11,Leveranser_per_nät,'Leveranser per nät'!L$1,FALSE)
               +Andel_beroende_av_klimat*VLOOKUP($A11,Leveranser_per_nät,'Leveranser per nät'!L$1,FALSE)/VLOOKUP($B11,Korrigeringsfaktor_EI,'Korrigeringsfaktor EI'!L$1,FALSE),
"")</f>
        <v>86.127363157894735</v>
      </c>
      <c r="M11" s="18">
        <f>IFERROR(
                  Andel_oberoende_av_klimat*VLOOKUP($A11,Leveranser_per_nät,'Leveranser per nät'!M$1,FALSE)
               +Andel_beroende_av_klimat*VLOOKUP($A11,Leveranser_per_nät,'Leveranser per nät'!M$1,FALSE)/VLOOKUP($B11,Korrigeringsfaktor_EI,'Korrigeringsfaktor EI'!M$1,FALSE),
"")</f>
        <v>86.320430107526889</v>
      </c>
      <c r="N11" s="18">
        <f>IFERROR(
                  Andel_oberoende_av_klimat*VLOOKUP($A11,Leveranser_per_nät,'Leveranser per nät'!N$1,FALSE)
               +Andel_beroende_av_klimat*VLOOKUP($A11,Leveranser_per_nät,'Leveranser per nät'!N$1,FALSE)/VLOOKUP($B11,Korrigeringsfaktor_EI,'Korrigeringsfaktor EI'!N$1,FALSE),
"")</f>
        <v>85.571860869565228</v>
      </c>
      <c r="O11" s="18">
        <f>IFERROR(
                  Andel_oberoende_av_klimat*VLOOKUP($A11,Leveranser_per_nät,'Leveranser per nät'!O$1,FALSE)
               +Andel_beroende_av_klimat*VLOOKUP($A11,Leveranser_per_nät,'Leveranser per nät'!O$1,FALSE)/VLOOKUP($B11,Korrigeringsfaktor_EI,'Korrigeringsfaktor EI'!O$1,FALSE),
"")</f>
        <v>84.412633333333332</v>
      </c>
      <c r="P11" s="18">
        <f>IFERROR(
                  Andel_oberoende_av_klimat*VLOOKUP($A11,Leveranser_per_nät,'Leveranser per nät'!P$1,FALSE)
               +Andel_beroende_av_klimat*VLOOKUP($A11,Leveranser_per_nät,'Leveranser per nät'!P$1,FALSE)/VLOOKUP($B11,Korrigeringsfaktor_EI,'Korrigeringsfaktor EI'!P$1,FALSE),
"")</f>
        <v>91.855183333333343</v>
      </c>
      <c r="Q11" s="18">
        <f>IFERROR(
                  Andel_oberoende_av_klimat*VLOOKUP($A11,Leveranser_per_nät,'Leveranser per nät'!Q$1,FALSE)
               +Andel_beroende_av_klimat*VLOOKUP($A11,Leveranser_per_nät,'Leveranser per nät'!Q$1,FALSE)/VLOOKUP($B11,Korrigeringsfaktor_EI,'Korrigeringsfaktor EI'!Q$1,FALSE),
"")</f>
        <v>96.975478761061936</v>
      </c>
      <c r="R11" s="18">
        <f>IFERROR(
                  Andel_oberoende_av_klimat*VLOOKUP($A11,Leveranser_per_nät,'Leveranser per nät'!R$1,FALSE)
               +Andel_beroende_av_klimat*VLOOKUP($A11,Leveranser_per_nät,'Leveranser per nät'!R$1,FALSE)/VLOOKUP($B11,Korrigeringsfaktor_EI,'Korrigeringsfaktor EI'!R$1,FALSE),
"")</f>
        <v>95.708822222222224</v>
      </c>
      <c r="S11" s="18">
        <f>IFERROR(
                  Andel_oberoende_av_klimat*VLOOKUP($A11,Leveranser_per_nät,'Leveranser per nät'!S$1,FALSE)
               +Andel_beroende_av_klimat*VLOOKUP($A11,Leveranser_per_nät,'Leveranser per nät'!S$1,FALSE)/VLOOKUP($B11,Korrigeringsfaktor_EI,'Korrigeringsfaktor EI'!S$1,FALSE),
"")</f>
        <v>100</v>
      </c>
      <c r="T11" s="18">
        <f>IFERROR(
                  Andel_oberoende_av_klimat*VLOOKUP($A11,Leveranser_per_nät,'Leveranser per nät'!T$1,FALSE)
               +Andel_beroende_av_klimat*VLOOKUP($A11,Leveranser_per_nät,'Leveranser per nät'!T$1,FALSE)/VLOOKUP($B11,Korrigeringsfaktor_EI,'Korrigeringsfaktor EI'!T$1,FALSE),
"")</f>
        <v>99.847894736842107</v>
      </c>
      <c r="U11" s="18">
        <f>IFERROR(
                  Andel_oberoende_av_klimat*VLOOKUP($A11,Leveranser_per_nät,'Leveranser per nät'!U$1,FALSE)
               +Andel_beroende_av_klimat*VLOOKUP($A11,Leveranser_per_nät,'Leveranser per nät'!U$1,FALSE)/VLOOKUP($B11,Korrigeringsfaktor_EI,'Korrigeringsfaktor EI'!U$1,FALSE),
"")</f>
        <v>95.722134831460679</v>
      </c>
      <c r="V11" s="18">
        <f>IFERROR(
                  Andel_oberoende_av_klimat*VLOOKUP($A11,Leveranser_per_nät,'Leveranser per nät'!V$1,FALSE)
               +Andel_beroende_av_klimat*VLOOKUP($A11,Leveranser_per_nät,'Leveranser per nät'!V$1,FALSE)/VLOOKUP($B11,Korrigeringsfaktor_EI,'Korrigeringsfaktor EI'!V$1,FALSE),
"")</f>
        <v>96.568888888888893</v>
      </c>
      <c r="W11" s="18">
        <f>IFERROR(
                  Andel_oberoende_av_klimat*VLOOKUP($A11,Leveranser_per_nät,'Leveranser per nät'!W$1,FALSE)
               +Andel_beroende_av_klimat*VLOOKUP($A11,Leveranser_per_nät,'Leveranser per nät'!W$1,FALSE)/VLOOKUP($B11,Korrigeringsfaktor_EI,'Korrigeringsfaktor EI'!W$1,FALSE),
"")</f>
        <v>99.536842105263162</v>
      </c>
      <c r="X11" s="18" t="str">
        <f>IFERROR(
                  Andel_oberoende_av_klimat*VLOOKUP($A11,Leveranser_per_nät,'Leveranser per nät'!X$1,FALSE)
               +Andel_beroende_av_klimat*VLOOKUP($A11,Leveranser_per_nät,'Leveranser per nät'!X$1,FALSE)/VLOOKUP($B11,Korrigeringsfaktor_EI,'Korrigeringsfaktor EI'!X$1,FALSE),
"")</f>
        <v/>
      </c>
      <c r="Y11" s="18" t="str">
        <f>IFERROR(
                  Andel_oberoende_av_klimat*VLOOKUP($A11,Leveranser_per_nät,'Leveranser per nät'!Y$1,FALSE)
               +Andel_beroende_av_klimat*VLOOKUP($A11,Leveranser_per_nät,'Leveranser per nät'!Y$1,FALSE)/VLOOKUP($B11,Korrigeringsfaktor_EI,'Korrigeringsfaktor EI'!Y$1,FALSE),
"")</f>
        <v/>
      </c>
      <c r="Z11" s="18">
        <f>IFERROR(
                  Andel_oberoende_av_klimat*VLOOKUP($A11,Leveranser_per_nät,'Leveranser per nät'!Z$1,FALSE)
               +Andel_beroende_av_klimat*VLOOKUP($A11,Leveranser_per_nät,'Leveranser per nät'!Z$1,FALSE)/VLOOKUP($B11,Korrigeringsfaktor_EI,'Korrigeringsfaktor EI'!Z$1,FALSE),
"")</f>
        <v>0</v>
      </c>
      <c r="AA11" s="18" t="str">
        <f>IFERROR(
                  Andel_oberoende_av_klimat*VLOOKUP($A11,Leveranser_per_nät,'Leveranser per nät'!AA$1,FALSE)
               +Andel_beroende_av_klimat*VLOOKUP($A11,Leveranser_per_nät,'Leveranser per nät'!AA$1,FALSE)/VLOOKUP($B11,Korrigeringsfaktor_EI,'Korrigeringsfaktor EI'!AA$1,FALSE),
"")</f>
        <v/>
      </c>
      <c r="AB11" s="18">
        <f>IFERROR(
                  Andel_oberoende_av_klimat*VLOOKUP($A11,Leveranser_per_nät,'Leveranser per nät'!AB$1,FALSE)
               +Andel_beroende_av_klimat*VLOOKUP($A11,Leveranser_per_nät,'Leveranser per nät'!AB$1,FALSE)/VLOOKUP($B11,Korrigeringsfaktor_EI,'Korrigeringsfaktor EI'!AB$1,FALSE),
"")</f>
        <v>0</v>
      </c>
      <c r="AC11" s="18">
        <f>IFERROR(
                  Andel_oberoende_av_klimat*VLOOKUP($A11,Leveranser_per_nät,'Leveranser per nät'!AC$1,FALSE)
               +Andel_beroende_av_klimat*VLOOKUP($A11,Leveranser_per_nät,'Leveranser per nät'!AC$1,FALSE)/VLOOKUP($B11,Korrigeringsfaktor_EI,'Korrigeringsfaktor EI'!AC$1,FALSE),
"")</f>
        <v>0</v>
      </c>
      <c r="AD11" t="e">
        <v>#N/A</v>
      </c>
    </row>
    <row r="12" spans="1:30" x14ac:dyDescent="0.25">
      <c r="A12" t="s">
        <v>938</v>
      </c>
      <c r="B12" t="s">
        <v>5</v>
      </c>
      <c r="C12" s="18">
        <f>IFERROR(
                  Andel_oberoende_av_klimat*VLOOKUP($A12,Leveranser_per_nät,'Leveranser per nät'!C$1,FALSE)
               +Andel_beroende_av_klimat*VLOOKUP($A12,Leveranser_per_nät,'Leveranser per nät'!C$1,FALSE)/VLOOKUP($B12,Korrigeringsfaktor_EI,'Korrigeringsfaktor EI'!C$1,FALSE),
"")</f>
        <v>0</v>
      </c>
      <c r="D12" s="18">
        <f>IFERROR(
                  Andel_oberoende_av_klimat*VLOOKUP($A12,Leveranser_per_nät,'Leveranser per nät'!D$1,FALSE)
               +Andel_beroende_av_klimat*VLOOKUP($A12,Leveranser_per_nät,'Leveranser per nät'!D$1,FALSE)/VLOOKUP($B12,Korrigeringsfaktor_EI,'Korrigeringsfaktor EI'!D$1,FALSE),
"")</f>
        <v>0</v>
      </c>
      <c r="E12" s="18">
        <f>IFERROR(
                  Andel_oberoende_av_klimat*VLOOKUP($A12,Leveranser_per_nät,'Leveranser per nät'!E$1,FALSE)
               +Andel_beroende_av_klimat*VLOOKUP($A12,Leveranser_per_nät,'Leveranser per nät'!E$1,FALSE)/VLOOKUP($B12,Korrigeringsfaktor_EI,'Korrigeringsfaktor EI'!E$1,FALSE),
"")</f>
        <v>0</v>
      </c>
      <c r="F12" s="18">
        <f>IFERROR(
                  Andel_oberoende_av_klimat*VLOOKUP($A12,Leveranser_per_nät,'Leveranser per nät'!F$1,FALSE)
               +Andel_beroende_av_klimat*VLOOKUP($A12,Leveranser_per_nät,'Leveranser per nät'!F$1,FALSE)/VLOOKUP($B12,Korrigeringsfaktor_EI,'Korrigeringsfaktor EI'!F$1,FALSE),
"")</f>
        <v>0</v>
      </c>
      <c r="G12" s="18">
        <f>IFERROR(
                  Andel_oberoende_av_klimat*VLOOKUP($A12,Leveranser_per_nät,'Leveranser per nät'!G$1,FALSE)
               +Andel_beroende_av_klimat*VLOOKUP($A12,Leveranser_per_nät,'Leveranser per nät'!G$1,FALSE)/VLOOKUP($B12,Korrigeringsfaktor_EI,'Korrigeringsfaktor EI'!G$1,FALSE),
"")</f>
        <v>0</v>
      </c>
      <c r="H12" s="18">
        <f>IFERROR(
                  Andel_oberoende_av_klimat*VLOOKUP($A12,Leveranser_per_nät,'Leveranser per nät'!H$1,FALSE)
               +Andel_beroende_av_klimat*VLOOKUP($A12,Leveranser_per_nät,'Leveranser per nät'!H$1,FALSE)/VLOOKUP($B12,Korrigeringsfaktor_EI,'Korrigeringsfaktor EI'!H$1,FALSE),
"")</f>
        <v>0</v>
      </c>
      <c r="I12" s="18">
        <f>IFERROR(
                  Andel_oberoende_av_klimat*VLOOKUP($A12,Leveranser_per_nät,'Leveranser per nät'!I$1,FALSE)
               +Andel_beroende_av_klimat*VLOOKUP($A12,Leveranser_per_nät,'Leveranser per nät'!I$1,FALSE)/VLOOKUP($B12,Korrigeringsfaktor_EI,'Korrigeringsfaktor EI'!I$1,FALSE),
"")</f>
        <v>0</v>
      </c>
      <c r="J12" s="18">
        <f>IFERROR(
                  Andel_oberoende_av_klimat*VLOOKUP($A12,Leveranser_per_nät,'Leveranser per nät'!J$1,FALSE)
               +Andel_beroende_av_klimat*VLOOKUP($A12,Leveranser_per_nät,'Leveranser per nät'!J$1,FALSE)/VLOOKUP($B12,Korrigeringsfaktor_EI,'Korrigeringsfaktor EI'!J$1,FALSE),
"")</f>
        <v>0</v>
      </c>
      <c r="K12" s="18">
        <f>IFERROR(
                  Andel_oberoende_av_klimat*VLOOKUP($A12,Leveranser_per_nät,'Leveranser per nät'!K$1,FALSE)
               +Andel_beroende_av_klimat*VLOOKUP($A12,Leveranser_per_nät,'Leveranser per nät'!K$1,FALSE)/VLOOKUP($B12,Korrigeringsfaktor_EI,'Korrigeringsfaktor EI'!K$1,FALSE),
"")</f>
        <v>0</v>
      </c>
      <c r="L12" s="18">
        <f>IFERROR(
                  Andel_oberoende_av_klimat*VLOOKUP($A12,Leveranser_per_nät,'Leveranser per nät'!L$1,FALSE)
               +Andel_beroende_av_klimat*VLOOKUP($A12,Leveranser_per_nät,'Leveranser per nät'!L$1,FALSE)/VLOOKUP($B12,Korrigeringsfaktor_EI,'Korrigeringsfaktor EI'!L$1,FALSE),
"")</f>
        <v>0</v>
      </c>
      <c r="M12" s="18">
        <f>IFERROR(
                  Andel_oberoende_av_klimat*VLOOKUP($A12,Leveranser_per_nät,'Leveranser per nät'!M$1,FALSE)
               +Andel_beroende_av_klimat*VLOOKUP($A12,Leveranser_per_nät,'Leveranser per nät'!M$1,FALSE)/VLOOKUP($B12,Korrigeringsfaktor_EI,'Korrigeringsfaktor EI'!M$1,FALSE),
"")</f>
        <v>0</v>
      </c>
      <c r="N12" s="18">
        <f>IFERROR(
                  Andel_oberoende_av_klimat*VLOOKUP($A12,Leveranser_per_nät,'Leveranser per nät'!N$1,FALSE)
               +Andel_beroende_av_klimat*VLOOKUP($A12,Leveranser_per_nät,'Leveranser per nät'!N$1,FALSE)/VLOOKUP($B12,Korrigeringsfaktor_EI,'Korrigeringsfaktor EI'!N$1,FALSE),
"")</f>
        <v>0</v>
      </c>
      <c r="O12" s="18">
        <f>IFERROR(
                  Andel_oberoende_av_klimat*VLOOKUP($A12,Leveranser_per_nät,'Leveranser per nät'!O$1,FALSE)
               +Andel_beroende_av_klimat*VLOOKUP($A12,Leveranser_per_nät,'Leveranser per nät'!O$1,FALSE)/VLOOKUP($B12,Korrigeringsfaktor_EI,'Korrigeringsfaktor EI'!O$1,FALSE),
"")</f>
        <v>0</v>
      </c>
      <c r="P12" s="18">
        <f>IFERROR(
                  Andel_oberoende_av_klimat*VLOOKUP($A12,Leveranser_per_nät,'Leveranser per nät'!P$1,FALSE)
               +Andel_beroende_av_klimat*VLOOKUP($A12,Leveranser_per_nät,'Leveranser per nät'!P$1,FALSE)/VLOOKUP($B12,Korrigeringsfaktor_EI,'Korrigeringsfaktor EI'!P$1,FALSE),
"")</f>
        <v>0</v>
      </c>
      <c r="Q12" s="18">
        <f>IFERROR(
                  Andel_oberoende_av_klimat*VLOOKUP($A12,Leveranser_per_nät,'Leveranser per nät'!Q$1,FALSE)
               +Andel_beroende_av_klimat*VLOOKUP($A12,Leveranser_per_nät,'Leveranser per nät'!Q$1,FALSE)/VLOOKUP($B12,Korrigeringsfaktor_EI,'Korrigeringsfaktor EI'!Q$1,FALSE),
"")</f>
        <v>0</v>
      </c>
      <c r="R12" s="18">
        <f>IFERROR(
                  Andel_oberoende_av_klimat*VLOOKUP($A12,Leveranser_per_nät,'Leveranser per nät'!R$1,FALSE)
               +Andel_beroende_av_klimat*VLOOKUP($A12,Leveranser_per_nät,'Leveranser per nät'!R$1,FALSE)/VLOOKUP($B12,Korrigeringsfaktor_EI,'Korrigeringsfaktor EI'!R$1,FALSE),
"")</f>
        <v>0</v>
      </c>
      <c r="S12" s="18">
        <f>IFERROR(
                  Andel_oberoende_av_klimat*VLOOKUP($A12,Leveranser_per_nät,'Leveranser per nät'!S$1,FALSE)
               +Andel_beroende_av_klimat*VLOOKUP($A12,Leveranser_per_nät,'Leveranser per nät'!S$1,FALSE)/VLOOKUP($B12,Korrigeringsfaktor_EI,'Korrigeringsfaktor EI'!S$1,FALSE),
"")</f>
        <v>0</v>
      </c>
      <c r="T12" s="18">
        <f>IFERROR(
                  Andel_oberoende_av_klimat*VLOOKUP($A12,Leveranser_per_nät,'Leveranser per nät'!T$1,FALSE)
               +Andel_beroende_av_klimat*VLOOKUP($A12,Leveranser_per_nät,'Leveranser per nät'!T$1,FALSE)/VLOOKUP($B12,Korrigeringsfaktor_EI,'Korrigeringsfaktor EI'!T$1,FALSE),
"")</f>
        <v>0</v>
      </c>
      <c r="U12" s="18">
        <f>IFERROR(
                  Andel_oberoende_av_klimat*VLOOKUP($A12,Leveranser_per_nät,'Leveranser per nät'!U$1,FALSE)
               +Andel_beroende_av_klimat*VLOOKUP($A12,Leveranser_per_nät,'Leveranser per nät'!U$1,FALSE)/VLOOKUP($B12,Korrigeringsfaktor_EI,'Korrigeringsfaktor EI'!U$1,FALSE),
"")</f>
        <v>0</v>
      </c>
      <c r="V12" s="18">
        <f>IFERROR(
                  Andel_oberoende_av_klimat*VLOOKUP($A12,Leveranser_per_nät,'Leveranser per nät'!V$1,FALSE)
               +Andel_beroende_av_klimat*VLOOKUP($A12,Leveranser_per_nät,'Leveranser per nät'!V$1,FALSE)/VLOOKUP($B12,Korrigeringsfaktor_EI,'Korrigeringsfaktor EI'!V$1,FALSE),
"")</f>
        <v>0</v>
      </c>
      <c r="W12" s="18">
        <f>IFERROR(
                  Andel_oberoende_av_klimat*VLOOKUP($A12,Leveranser_per_nät,'Leveranser per nät'!W$1,FALSE)
               +Andel_beroende_av_klimat*VLOOKUP($A12,Leveranser_per_nät,'Leveranser per nät'!W$1,FALSE)/VLOOKUP($B12,Korrigeringsfaktor_EI,'Korrigeringsfaktor EI'!W$1,FALSE),
"")</f>
        <v>0</v>
      </c>
      <c r="X12" s="18">
        <f>IFERROR(
                  Andel_oberoende_av_klimat*VLOOKUP($A12,Leveranser_per_nät,'Leveranser per nät'!X$1,FALSE)
               +Andel_beroende_av_klimat*VLOOKUP($A12,Leveranser_per_nät,'Leveranser per nät'!X$1,FALSE)/VLOOKUP($B12,Korrigeringsfaktor_EI,'Korrigeringsfaktor EI'!X$1,FALSE),
"")</f>
        <v>315.49361702127658</v>
      </c>
      <c r="Y12" s="18">
        <f>IFERROR(
                  Andel_oberoende_av_klimat*VLOOKUP($A12,Leveranser_per_nät,'Leveranser per nät'!Y$1,FALSE)
               +Andel_beroende_av_klimat*VLOOKUP($A12,Leveranser_per_nät,'Leveranser per nät'!Y$1,FALSE)/VLOOKUP($B12,Korrigeringsfaktor_EI,'Korrigeringsfaktor EI'!Y$1,FALSE),
"")</f>
        <v>322.90769230769229</v>
      </c>
      <c r="Z12" s="18">
        <f>IFERROR(
                  Andel_oberoende_av_klimat*VLOOKUP($A12,Leveranser_per_nät,'Leveranser per nät'!Z$1,FALSE)
               +Andel_beroende_av_klimat*VLOOKUP($A12,Leveranser_per_nät,'Leveranser per nät'!Z$1,FALSE)/VLOOKUP($B12,Korrigeringsfaktor_EI,'Korrigeringsfaktor EI'!Z$1,FALSE),
"")</f>
        <v>320.76923076923077</v>
      </c>
      <c r="AA12" s="18">
        <f>IFERROR(
                  Andel_oberoende_av_klimat*VLOOKUP($A12,Leveranser_per_nät,'Leveranser per nät'!AA$1,FALSE)
               +Andel_beroende_av_klimat*VLOOKUP($A12,Leveranser_per_nät,'Leveranser per nät'!AA$1,FALSE)/VLOOKUP($B12,Korrigeringsfaktor_EI,'Korrigeringsfaktor EI'!AA$1,FALSE),
"")</f>
        <v>310.44707140946775</v>
      </c>
      <c r="AB12" s="18">
        <f>IFERROR(
                  Andel_oberoende_av_klimat*VLOOKUP($A12,Leveranser_per_nät,'Leveranser per nät'!AB$1,FALSE)
               +Andel_beroende_av_klimat*VLOOKUP($A12,Leveranser_per_nät,'Leveranser per nät'!AB$1,FALSE)/VLOOKUP($B12,Korrigeringsfaktor_EI,'Korrigeringsfaktor EI'!AB$1,FALSE),
"")</f>
        <v>313.16130306021716</v>
      </c>
      <c r="AC12" s="18">
        <f>IFERROR(
                  Andel_oberoende_av_klimat*VLOOKUP($A12,Leveranser_per_nät,'Leveranser per nät'!AC$1,FALSE)
               +Andel_beroende_av_klimat*VLOOKUP($A12,Leveranser_per_nät,'Leveranser per nät'!AC$1,FALSE)/VLOOKUP($B12,Korrigeringsfaktor_EI,'Korrigeringsfaktor EI'!AC$1,FALSE),
"")</f>
        <v>310.40427807486628</v>
      </c>
      <c r="AD12" t="e">
        <v>#N/A</v>
      </c>
    </row>
    <row r="13" spans="1:30" x14ac:dyDescent="0.25">
      <c r="A13" t="s">
        <v>20</v>
      </c>
      <c r="B13" t="s">
        <v>21</v>
      </c>
      <c r="C13" s="18">
        <f>IFERROR(
                  Andel_oberoende_av_klimat*VLOOKUP($A13,Leveranser_per_nät,'Leveranser per nät'!C$1,FALSE)
               +Andel_beroende_av_klimat*VLOOKUP($A13,Leveranser_per_nät,'Leveranser per nät'!C$1,FALSE)/VLOOKUP($B13,Korrigeringsfaktor_EI,'Korrigeringsfaktor EI'!C$1,FALSE),
"")</f>
        <v>11.377777777777776</v>
      </c>
      <c r="D13" s="18">
        <f>IFERROR(
                  Andel_oberoende_av_klimat*VLOOKUP($A13,Leveranser_per_nät,'Leveranser per nät'!D$1,FALSE)
               +Andel_beroende_av_klimat*VLOOKUP($A13,Leveranser_per_nät,'Leveranser per nät'!D$1,FALSE)/VLOOKUP($B13,Korrigeringsfaktor_EI,'Korrigeringsfaktor EI'!D$1,FALSE),
"")</f>
        <v>9.8697083333333335</v>
      </c>
      <c r="E13" s="18">
        <f>IFERROR(
                  Andel_oberoende_av_klimat*VLOOKUP($A13,Leveranser_per_nät,'Leveranser per nät'!E$1,FALSE)
               +Andel_beroende_av_klimat*VLOOKUP($A13,Leveranser_per_nät,'Leveranser per nät'!E$1,FALSE)/VLOOKUP($B13,Korrigeringsfaktor_EI,'Korrigeringsfaktor EI'!E$1,FALSE),
"")</f>
        <v>10.923762376237624</v>
      </c>
      <c r="F13" s="18">
        <f>IFERROR(
                  Andel_oberoende_av_klimat*VLOOKUP($A13,Leveranser_per_nät,'Leveranser per nät'!F$1,FALSE)
               +Andel_beroende_av_klimat*VLOOKUP($A13,Leveranser_per_nät,'Leveranser per nät'!F$1,FALSE)/VLOOKUP($B13,Korrigeringsfaktor_EI,'Korrigeringsfaktor EI'!F$1,FALSE),
"")</f>
        <v>10.142857142857144</v>
      </c>
      <c r="G13" s="18">
        <f>IFERROR(
                  Andel_oberoende_av_klimat*VLOOKUP($A13,Leveranser_per_nät,'Leveranser per nät'!G$1,FALSE)
               +Andel_beroende_av_klimat*VLOOKUP($A13,Leveranser_per_nät,'Leveranser per nät'!G$1,FALSE)/VLOOKUP($B13,Korrigeringsfaktor_EI,'Korrigeringsfaktor EI'!G$1,FALSE),
"")</f>
        <v>10.608695652173914</v>
      </c>
      <c r="H13" s="18">
        <f>IFERROR(
                  Andel_oberoende_av_klimat*VLOOKUP($A13,Leveranser_per_nät,'Leveranser per nät'!H$1,FALSE)
               +Andel_beroende_av_klimat*VLOOKUP($A13,Leveranser_per_nät,'Leveranser per nät'!H$1,FALSE)/VLOOKUP($B13,Korrigeringsfaktor_EI,'Korrigeringsfaktor EI'!H$1,FALSE),
"")</f>
        <v>10.923762376237624</v>
      </c>
      <c r="I13" s="18">
        <f>IFERROR(
                  Andel_oberoende_av_klimat*VLOOKUP($A13,Leveranser_per_nät,'Leveranser per nät'!I$1,FALSE)
               +Andel_beroende_av_klimat*VLOOKUP($A13,Leveranser_per_nät,'Leveranser per nät'!I$1,FALSE)/VLOOKUP($B13,Korrigeringsfaktor_EI,'Korrigeringsfaktor EI'!I$1,FALSE),
"")</f>
        <v>10.216494845360826</v>
      </c>
      <c r="J13" s="18">
        <f>IFERROR(
                  Andel_oberoende_av_klimat*VLOOKUP($A13,Leveranser_per_nät,'Leveranser per nät'!J$1,FALSE)
               +Andel_beroende_av_klimat*VLOOKUP($A13,Leveranser_per_nät,'Leveranser per nät'!J$1,FALSE)/VLOOKUP($B13,Korrigeringsfaktor_EI,'Korrigeringsfaktor EI'!J$1,FALSE),
"")</f>
        <v>11.238144329896908</v>
      </c>
      <c r="K13" s="18">
        <f>IFERROR(
                  Andel_oberoende_av_klimat*VLOOKUP($A13,Leveranser_per_nät,'Leveranser per nät'!K$1,FALSE)
               +Andel_beroende_av_klimat*VLOOKUP($A13,Leveranser_per_nät,'Leveranser per nät'!K$1,FALSE)/VLOOKUP($B13,Korrigeringsfaktor_EI,'Korrigeringsfaktor EI'!K$1,FALSE),
"")</f>
        <v>11.407227319587628</v>
      </c>
      <c r="L13" s="18">
        <f>IFERROR(
                  Andel_oberoende_av_klimat*VLOOKUP($A13,Leveranser_per_nät,'Leveranser per nät'!L$1,FALSE)
               +Andel_beroende_av_klimat*VLOOKUP($A13,Leveranser_per_nät,'Leveranser per nät'!L$1,FALSE)/VLOOKUP($B13,Korrigeringsfaktor_EI,'Korrigeringsfaktor EI'!L$1,FALSE),
"")</f>
        <v>12.066063829787236</v>
      </c>
      <c r="M13" s="18">
        <f>IFERROR(
                  Andel_oberoende_av_klimat*VLOOKUP($A13,Leveranser_per_nät,'Leveranser per nät'!M$1,FALSE)
               +Andel_beroende_av_klimat*VLOOKUP($A13,Leveranser_per_nät,'Leveranser per nät'!M$1,FALSE)/VLOOKUP($B13,Korrigeringsfaktor_EI,'Korrigeringsfaktor EI'!M$1,FALSE),
"")</f>
        <v>11.096695652173914</v>
      </c>
      <c r="N13" s="18">
        <f>IFERROR(
                  Andel_oberoende_av_klimat*VLOOKUP($A13,Leveranser_per_nät,'Leveranser per nät'!N$1,FALSE)
               +Andel_beroende_av_klimat*VLOOKUP($A13,Leveranser_per_nät,'Leveranser per nät'!N$1,FALSE)/VLOOKUP($B13,Korrigeringsfaktor_EI,'Korrigeringsfaktor EI'!N$1,FALSE),
"")</f>
        <v>12.737526881720429</v>
      </c>
      <c r="O13" s="18">
        <f>IFERROR(
                  Andel_oberoende_av_klimat*VLOOKUP($A13,Leveranser_per_nät,'Leveranser per nät'!O$1,FALSE)
               +Andel_beroende_av_klimat*VLOOKUP($A13,Leveranser_per_nät,'Leveranser per nät'!O$1,FALSE)/VLOOKUP($B13,Korrigeringsfaktor_EI,'Korrigeringsfaktor EI'!O$1,FALSE),
"")</f>
        <v>11.895376344086023</v>
      </c>
      <c r="P13" s="18">
        <f>IFERROR(
                  Andel_oberoende_av_klimat*VLOOKUP($A13,Leveranser_per_nät,'Leveranser per nät'!P$1,FALSE)
               +Andel_beroende_av_klimat*VLOOKUP($A13,Leveranser_per_nät,'Leveranser per nät'!P$1,FALSE)/VLOOKUP($B13,Korrigeringsfaktor_EI,'Korrigeringsfaktor EI'!P$1,FALSE),
"")</f>
        <v>13.690103092783506</v>
      </c>
      <c r="Q13" s="18">
        <f>IFERROR(
                  Andel_oberoende_av_klimat*VLOOKUP($A13,Leveranser_per_nät,'Leveranser per nät'!Q$1,FALSE)
               +Andel_beroende_av_klimat*VLOOKUP($A13,Leveranser_per_nät,'Leveranser per nät'!Q$1,FALSE)/VLOOKUP($B13,Korrigeringsfaktor_EI,'Korrigeringsfaktor EI'!Q$1,FALSE),
"")</f>
        <v>14.924875</v>
      </c>
      <c r="R13" s="18">
        <f>IFERROR(
                  Andel_oberoende_av_klimat*VLOOKUP($A13,Leveranser_per_nät,'Leveranser per nät'!R$1,FALSE)
               +Andel_beroende_av_klimat*VLOOKUP($A13,Leveranser_per_nät,'Leveranser per nät'!R$1,FALSE)/VLOOKUP($B13,Korrigeringsfaktor_EI,'Korrigeringsfaktor EI'!R$1,FALSE),
"")</f>
        <v>15.25150769230769</v>
      </c>
      <c r="S13" s="18">
        <f>IFERROR(
                  Andel_oberoende_av_klimat*VLOOKUP($A13,Leveranser_per_nät,'Leveranser per nät'!S$1,FALSE)
               +Andel_beroende_av_klimat*VLOOKUP($A13,Leveranser_per_nät,'Leveranser per nät'!S$1,FALSE)/VLOOKUP($B13,Korrigeringsfaktor_EI,'Korrigeringsfaktor EI'!S$1,FALSE),
"")</f>
        <v>15.68</v>
      </c>
      <c r="T13" s="18">
        <f>IFERROR(
                  Andel_oberoende_av_klimat*VLOOKUP($A13,Leveranser_per_nät,'Leveranser per nät'!T$1,FALSE)
               +Andel_beroende_av_klimat*VLOOKUP($A13,Leveranser_per_nät,'Leveranser per nät'!T$1,FALSE)/VLOOKUP($B13,Korrigeringsfaktor_EI,'Korrigeringsfaktor EI'!T$1,FALSE),
"")</f>
        <v>15.213141666666665</v>
      </c>
      <c r="U13" s="18">
        <f>IFERROR(
                  Andel_oberoende_av_klimat*VLOOKUP($A13,Leveranser_per_nät,'Leveranser per nät'!U$1,FALSE)
               +Andel_beroende_av_klimat*VLOOKUP($A13,Leveranser_per_nät,'Leveranser per nät'!U$1,FALSE)/VLOOKUP($B13,Korrigeringsfaktor_EI,'Korrigeringsfaktor EI'!U$1,FALSE),
"")</f>
        <v>14.845311111111108</v>
      </c>
      <c r="V13" s="18">
        <f>IFERROR(
                  Andel_oberoende_av_klimat*VLOOKUP($A13,Leveranser_per_nät,'Leveranser per nät'!V$1,FALSE)
               +Andel_beroende_av_klimat*VLOOKUP($A13,Leveranser_per_nät,'Leveranser per nät'!V$1,FALSE)/VLOOKUP($B13,Korrigeringsfaktor_EI,'Korrigeringsfaktor EI'!V$1,FALSE),
"")</f>
        <v>15.474904347826087</v>
      </c>
      <c r="W13" s="18">
        <f>IFERROR(
                  Andel_oberoende_av_klimat*VLOOKUP($A13,Leveranser_per_nät,'Leveranser per nät'!W$1,FALSE)
               +Andel_beroende_av_klimat*VLOOKUP($A13,Leveranser_per_nät,'Leveranser per nät'!W$1,FALSE)/VLOOKUP($B13,Korrigeringsfaktor_EI,'Korrigeringsfaktor EI'!W$1,FALSE),
"")</f>
        <v>17.045684210526318</v>
      </c>
      <c r="X13" s="18">
        <f>IFERROR(
                  Andel_oberoende_av_klimat*VLOOKUP($A13,Leveranser_per_nät,'Leveranser per nät'!X$1,FALSE)
               +Andel_beroende_av_klimat*VLOOKUP($A13,Leveranser_per_nät,'Leveranser per nät'!X$1,FALSE)/VLOOKUP($B13,Korrigeringsfaktor_EI,'Korrigeringsfaktor EI'!X$1,FALSE),
"")</f>
        <v>17.429966666666669</v>
      </c>
      <c r="Y13" s="18">
        <f>IFERROR(
                  Andel_oberoende_av_klimat*VLOOKUP($A13,Leveranser_per_nät,'Leveranser per nät'!Y$1,FALSE)
               +Andel_beroende_av_klimat*VLOOKUP($A13,Leveranser_per_nät,'Leveranser per nät'!Y$1,FALSE)/VLOOKUP($B13,Korrigeringsfaktor_EI,'Korrigeringsfaktor EI'!Y$1,FALSE),
"")</f>
        <v>18.102229787234041</v>
      </c>
      <c r="Z13" s="18">
        <f>IFERROR(
                  Andel_oberoende_av_klimat*VLOOKUP($A13,Leveranser_per_nät,'Leveranser per nät'!Z$1,FALSE)
               +Andel_beroende_av_klimat*VLOOKUP($A13,Leveranser_per_nät,'Leveranser per nät'!Z$1,FALSE)/VLOOKUP($B13,Korrigeringsfaktor_EI,'Korrigeringsfaktor EI'!Z$1,FALSE),
"")</f>
        <v>18.105363829787237</v>
      </c>
      <c r="AA13" s="18">
        <f>IFERROR(
                  Andel_oberoende_av_klimat*VLOOKUP($A13,Leveranser_per_nät,'Leveranser per nät'!AA$1,FALSE)
               +Andel_beroende_av_klimat*VLOOKUP($A13,Leveranser_per_nät,'Leveranser per nät'!AA$1,FALSE)/VLOOKUP($B13,Korrigeringsfaktor_EI,'Korrigeringsfaktor EI'!AA$1,FALSE),
"")</f>
        <v>17.474002412129568</v>
      </c>
      <c r="AB13" s="18">
        <f>IFERROR(
                  Andel_oberoende_av_klimat*VLOOKUP($A13,Leveranser_per_nät,'Leveranser per nät'!AB$1,FALSE)
               +Andel_beroende_av_klimat*VLOOKUP($A13,Leveranser_per_nät,'Leveranser per nät'!AB$1,FALSE)/VLOOKUP($B13,Korrigeringsfaktor_EI,'Korrigeringsfaktor EI'!AB$1,FALSE),
"")</f>
        <v>17.600684584980236</v>
      </c>
      <c r="AC13" s="18">
        <f>IFERROR(
                  Andel_oberoende_av_klimat*VLOOKUP($A13,Leveranser_per_nät,'Leveranser per nät'!AC$1,FALSE)
               +Andel_beroende_av_klimat*VLOOKUP($A13,Leveranser_per_nät,'Leveranser per nät'!AC$1,FALSE)/VLOOKUP($B13,Korrigeringsfaktor_EI,'Korrigeringsfaktor EI'!AC$1,FALSE),
"")</f>
        <v>17.353240145985403</v>
      </c>
      <c r="AD13">
        <v>122.995</v>
      </c>
    </row>
    <row r="14" spans="1:30" x14ac:dyDescent="0.25">
      <c r="A14" t="s">
        <v>449</v>
      </c>
      <c r="B14" t="s">
        <v>449</v>
      </c>
      <c r="C14" s="18">
        <f>IFERROR(
                  Andel_oberoende_av_klimat*VLOOKUP($A14,Leveranser_per_nät,'Leveranser per nät'!C$1,FALSE)
               +Andel_beroende_av_klimat*VLOOKUP($A14,Leveranser_per_nät,'Leveranser per nät'!C$1,FALSE)/VLOOKUP($B14,Korrigeringsfaktor_EI,'Korrigeringsfaktor EI'!C$1,FALSE),
"")</f>
        <v>0</v>
      </c>
      <c r="D14" s="18">
        <f>IFERROR(
                  Andel_oberoende_av_klimat*VLOOKUP($A14,Leveranser_per_nät,'Leveranser per nät'!D$1,FALSE)
               +Andel_beroende_av_klimat*VLOOKUP($A14,Leveranser_per_nät,'Leveranser per nät'!D$1,FALSE)/VLOOKUP($B14,Korrigeringsfaktor_EI,'Korrigeringsfaktor EI'!D$1,FALSE),
"")</f>
        <v>0</v>
      </c>
      <c r="E14" s="18">
        <f>IFERROR(
                  Andel_oberoende_av_klimat*VLOOKUP($A14,Leveranser_per_nät,'Leveranser per nät'!E$1,FALSE)
               +Andel_beroende_av_klimat*VLOOKUP($A14,Leveranser_per_nät,'Leveranser per nät'!E$1,FALSE)/VLOOKUP($B14,Korrigeringsfaktor_EI,'Korrigeringsfaktor EI'!E$1,FALSE),
"")</f>
        <v>0</v>
      </c>
      <c r="F14" s="18">
        <f>IFERROR(
                  Andel_oberoende_av_klimat*VLOOKUP($A14,Leveranser_per_nät,'Leveranser per nät'!F$1,FALSE)
               +Andel_beroende_av_klimat*VLOOKUP($A14,Leveranser_per_nät,'Leveranser per nät'!F$1,FALSE)/VLOOKUP($B14,Korrigeringsfaktor_EI,'Korrigeringsfaktor EI'!F$1,FALSE),
"")</f>
        <v>0</v>
      </c>
      <c r="G14" s="18">
        <f>IFERROR(
                  Andel_oberoende_av_klimat*VLOOKUP($A14,Leveranser_per_nät,'Leveranser per nät'!G$1,FALSE)
               +Andel_beroende_av_klimat*VLOOKUP($A14,Leveranser_per_nät,'Leveranser per nät'!G$1,FALSE)/VLOOKUP($B14,Korrigeringsfaktor_EI,'Korrigeringsfaktor EI'!G$1,FALSE),
"")</f>
        <v>0</v>
      </c>
      <c r="H14" s="18">
        <f>IFERROR(
                  Andel_oberoende_av_klimat*VLOOKUP($A14,Leveranser_per_nät,'Leveranser per nät'!H$1,FALSE)
               +Andel_beroende_av_klimat*VLOOKUP($A14,Leveranser_per_nät,'Leveranser per nät'!H$1,FALSE)/VLOOKUP($B14,Korrigeringsfaktor_EI,'Korrigeringsfaktor EI'!H$1,FALSE),
"")</f>
        <v>0</v>
      </c>
      <c r="I14" s="18">
        <f>IFERROR(
                  Andel_oberoende_av_klimat*VLOOKUP($A14,Leveranser_per_nät,'Leveranser per nät'!I$1,FALSE)
               +Andel_beroende_av_klimat*VLOOKUP($A14,Leveranser_per_nät,'Leveranser per nät'!I$1,FALSE)/VLOOKUP($B14,Korrigeringsfaktor_EI,'Korrigeringsfaktor EI'!I$1,FALSE),
"")</f>
        <v>0</v>
      </c>
      <c r="J14" s="18">
        <f>IFERROR(
                  Andel_oberoende_av_klimat*VLOOKUP($A14,Leveranser_per_nät,'Leveranser per nät'!J$1,FALSE)
               +Andel_beroende_av_klimat*VLOOKUP($A14,Leveranser_per_nät,'Leveranser per nät'!J$1,FALSE)/VLOOKUP($B14,Korrigeringsfaktor_EI,'Korrigeringsfaktor EI'!J$1,FALSE),
"")</f>
        <v>0</v>
      </c>
      <c r="K14" s="18">
        <f>IFERROR(
                  Andel_oberoende_av_klimat*VLOOKUP($A14,Leveranser_per_nät,'Leveranser per nät'!K$1,FALSE)
               +Andel_beroende_av_klimat*VLOOKUP($A14,Leveranser_per_nät,'Leveranser per nät'!K$1,FALSE)/VLOOKUP($B14,Korrigeringsfaktor_EI,'Korrigeringsfaktor EI'!K$1,FALSE),
"")</f>
        <v>0</v>
      </c>
      <c r="L14" s="18">
        <f>IFERROR(
                  Andel_oberoende_av_klimat*VLOOKUP($A14,Leveranser_per_nät,'Leveranser per nät'!L$1,FALSE)
               +Andel_beroende_av_klimat*VLOOKUP($A14,Leveranser_per_nät,'Leveranser per nät'!L$1,FALSE)/VLOOKUP($B14,Korrigeringsfaktor_EI,'Korrigeringsfaktor EI'!L$1,FALSE),
"")</f>
        <v>0</v>
      </c>
      <c r="M14" s="18">
        <f>IFERROR(
                  Andel_oberoende_av_klimat*VLOOKUP($A14,Leveranser_per_nät,'Leveranser per nät'!M$1,FALSE)
               +Andel_beroende_av_klimat*VLOOKUP($A14,Leveranser_per_nät,'Leveranser per nät'!M$1,FALSE)/VLOOKUP($B14,Korrigeringsfaktor_EI,'Korrigeringsfaktor EI'!M$1,FALSE),
"")</f>
        <v>0</v>
      </c>
      <c r="N14" s="18">
        <f>IFERROR(
                  Andel_oberoende_av_klimat*VLOOKUP($A14,Leveranser_per_nät,'Leveranser per nät'!N$1,FALSE)
               +Andel_beroende_av_klimat*VLOOKUP($A14,Leveranser_per_nät,'Leveranser per nät'!N$1,FALSE)/VLOOKUP($B14,Korrigeringsfaktor_EI,'Korrigeringsfaktor EI'!N$1,FALSE),
"")</f>
        <v>0</v>
      </c>
      <c r="O14" s="18">
        <f>IFERROR(
                  Andel_oberoende_av_klimat*VLOOKUP($A14,Leveranser_per_nät,'Leveranser per nät'!O$1,FALSE)
               +Andel_beroende_av_klimat*VLOOKUP($A14,Leveranser_per_nät,'Leveranser per nät'!O$1,FALSE)/VLOOKUP($B14,Korrigeringsfaktor_EI,'Korrigeringsfaktor EI'!O$1,FALSE),
"")</f>
        <v>0</v>
      </c>
      <c r="P14" s="18">
        <f>IFERROR(
                  Andel_oberoende_av_klimat*VLOOKUP($A14,Leveranser_per_nät,'Leveranser per nät'!P$1,FALSE)
               +Andel_beroende_av_klimat*VLOOKUP($A14,Leveranser_per_nät,'Leveranser per nät'!P$1,FALSE)/VLOOKUP($B14,Korrigeringsfaktor_EI,'Korrigeringsfaktor EI'!P$1,FALSE),
"")</f>
        <v>0</v>
      </c>
      <c r="Q14" s="18">
        <f>IFERROR(
                  Andel_oberoende_av_klimat*VLOOKUP($A14,Leveranser_per_nät,'Leveranser per nät'!Q$1,FALSE)
               +Andel_beroende_av_klimat*VLOOKUP($A14,Leveranser_per_nät,'Leveranser per nät'!Q$1,FALSE)/VLOOKUP($B14,Korrigeringsfaktor_EI,'Korrigeringsfaktor EI'!Q$1,FALSE),
"")</f>
        <v>0</v>
      </c>
      <c r="R14" s="18">
        <f>IFERROR(
                  Andel_oberoende_av_klimat*VLOOKUP($A14,Leveranser_per_nät,'Leveranser per nät'!R$1,FALSE)
               +Andel_beroende_av_klimat*VLOOKUP($A14,Leveranser_per_nät,'Leveranser per nät'!R$1,FALSE)/VLOOKUP($B14,Korrigeringsfaktor_EI,'Korrigeringsfaktor EI'!R$1,FALSE),
"")</f>
        <v>0</v>
      </c>
      <c r="S14" s="18">
        <f>IFERROR(
                  Andel_oberoende_av_klimat*VLOOKUP($A14,Leveranser_per_nät,'Leveranser per nät'!S$1,FALSE)
               +Andel_beroende_av_klimat*VLOOKUP($A14,Leveranser_per_nät,'Leveranser per nät'!S$1,FALSE)/VLOOKUP($B14,Korrigeringsfaktor_EI,'Korrigeringsfaktor EI'!S$1,FALSE),
"")</f>
        <v>14.200891089108911</v>
      </c>
      <c r="T14" s="18">
        <f>IFERROR(
                  Andel_oberoende_av_klimat*VLOOKUP($A14,Leveranser_per_nät,'Leveranser per nät'!T$1,FALSE)
               +Andel_beroende_av_klimat*VLOOKUP($A14,Leveranser_per_nät,'Leveranser per nät'!T$1,FALSE)/VLOOKUP($B14,Korrigeringsfaktor_EI,'Korrigeringsfaktor EI'!T$1,FALSE),
"")</f>
        <v>15.137894736842105</v>
      </c>
      <c r="U14" s="18">
        <f>IFERROR(
                  Andel_oberoende_av_klimat*VLOOKUP($A14,Leveranser_per_nät,'Leveranser per nät'!U$1,FALSE)
               +Andel_beroende_av_klimat*VLOOKUP($A14,Leveranser_per_nät,'Leveranser per nät'!U$1,FALSE)/VLOOKUP($B14,Korrigeringsfaktor_EI,'Korrigeringsfaktor EI'!U$1,FALSE),
"")</f>
        <v>14.54153846153846</v>
      </c>
      <c r="V14" s="18">
        <f>IFERROR(
                  Andel_oberoende_av_klimat*VLOOKUP($A14,Leveranser_per_nät,'Leveranser per nät'!V$1,FALSE)
               +Andel_beroende_av_klimat*VLOOKUP($A14,Leveranser_per_nät,'Leveranser per nät'!V$1,FALSE)/VLOOKUP($B14,Korrigeringsfaktor_EI,'Korrigeringsfaktor EI'!V$1,FALSE),
"")</f>
        <v>14.427826086956522</v>
      </c>
      <c r="W14" s="18">
        <f>IFERROR(
                  Andel_oberoende_av_klimat*VLOOKUP($A14,Leveranser_per_nät,'Leveranser per nät'!W$1,FALSE)
               +Andel_beroende_av_klimat*VLOOKUP($A14,Leveranser_per_nät,'Leveranser per nät'!W$1,FALSE)/VLOOKUP($B14,Korrigeringsfaktor_EI,'Korrigeringsfaktor EI'!W$1,FALSE),
"")</f>
        <v>15.137894736842105</v>
      </c>
      <c r="X14" s="18">
        <f>IFERROR(
                  Andel_oberoende_av_klimat*VLOOKUP($A14,Leveranser_per_nät,'Leveranser per nät'!X$1,FALSE)
               +Andel_beroende_av_klimat*VLOOKUP($A14,Leveranser_per_nät,'Leveranser per nät'!X$1,FALSE)/VLOOKUP($B14,Korrigeringsfaktor_EI,'Korrigeringsfaktor EI'!X$1,FALSE),
"")</f>
        <v>15.937731958762889</v>
      </c>
      <c r="Y14" s="18">
        <f>IFERROR(
                  Andel_oberoende_av_klimat*VLOOKUP($A14,Leveranser_per_nät,'Leveranser per nät'!Y$1,FALSE)
               +Andel_beroende_av_klimat*VLOOKUP($A14,Leveranser_per_nät,'Leveranser per nät'!Y$1,FALSE)/VLOOKUP($B14,Korrigeringsfaktor_EI,'Korrigeringsfaktor EI'!Y$1,FALSE),
"")</f>
        <v>16.959381443298973</v>
      </c>
      <c r="Z14" s="18">
        <f>IFERROR(
                  Andel_oberoende_av_klimat*VLOOKUP($A14,Leveranser_per_nät,'Leveranser per nät'!Z$1,FALSE)
               +Andel_beroende_av_klimat*VLOOKUP($A14,Leveranser_per_nät,'Leveranser per nät'!Z$1,FALSE)/VLOOKUP($B14,Korrigeringsfaktor_EI,'Korrigeringsfaktor EI'!Z$1,FALSE),
"")</f>
        <v>16.314545454545453</v>
      </c>
      <c r="AA14" s="18">
        <f>IFERROR(
                  Andel_oberoende_av_klimat*VLOOKUP($A14,Leveranser_per_nät,'Leveranser per nät'!AA$1,FALSE)
               +Andel_beroende_av_klimat*VLOOKUP($A14,Leveranser_per_nät,'Leveranser per nät'!AA$1,FALSE)/VLOOKUP($B14,Korrigeringsfaktor_EI,'Korrigeringsfaktor EI'!AA$1,FALSE),
"")</f>
        <v>15.497368421052631</v>
      </c>
      <c r="AB14" s="18">
        <f>IFERROR(
                  Andel_oberoende_av_klimat*VLOOKUP($A14,Leveranser_per_nät,'Leveranser per nät'!AB$1,FALSE)
               +Andel_beroende_av_klimat*VLOOKUP($A14,Leveranser_per_nät,'Leveranser per nät'!AB$1,FALSE)/VLOOKUP($B14,Korrigeringsfaktor_EI,'Korrigeringsfaktor EI'!AB$1,FALSE),
"")</f>
        <v>15.705550146056474</v>
      </c>
      <c r="AC14" s="18">
        <f>IFERROR(
                  Andel_oberoende_av_klimat*VLOOKUP($A14,Leveranser_per_nät,'Leveranser per nät'!AC$1,FALSE)
               +Andel_beroende_av_klimat*VLOOKUP($A14,Leveranser_per_nät,'Leveranser per nät'!AC$1,FALSE)/VLOOKUP($B14,Korrigeringsfaktor_EI,'Korrigeringsfaktor EI'!AC$1,FALSE),
"")</f>
        <v>15.224330578512395</v>
      </c>
      <c r="AD14" t="e">
        <v>#N/A</v>
      </c>
    </row>
    <row r="15" spans="1:30" x14ac:dyDescent="0.25">
      <c r="A15" t="s">
        <v>6</v>
      </c>
      <c r="B15" t="s">
        <v>6</v>
      </c>
      <c r="C15" s="18">
        <f>IFERROR(
                  Andel_oberoende_av_klimat*VLOOKUP($A15,Leveranser_per_nät,'Leveranser per nät'!C$1,FALSE)
               +Andel_beroende_av_klimat*VLOOKUP($A15,Leveranser_per_nät,'Leveranser per nät'!C$1,FALSE)/VLOOKUP($B15,Korrigeringsfaktor_EI,'Korrigeringsfaktor EI'!C$1,FALSE),
"")</f>
        <v>0</v>
      </c>
      <c r="D15" s="18">
        <f>IFERROR(
                  Andel_oberoende_av_klimat*VLOOKUP($A15,Leveranser_per_nät,'Leveranser per nät'!D$1,FALSE)
               +Andel_beroende_av_klimat*VLOOKUP($A15,Leveranser_per_nät,'Leveranser per nät'!D$1,FALSE)/VLOOKUP($B15,Korrigeringsfaktor_EI,'Korrigeringsfaktor EI'!D$1,FALSE),
"")</f>
        <v>0</v>
      </c>
      <c r="E15" s="18">
        <f>IFERROR(
                  Andel_oberoende_av_klimat*VLOOKUP($A15,Leveranser_per_nät,'Leveranser per nät'!E$1,FALSE)
               +Andel_beroende_av_klimat*VLOOKUP($A15,Leveranser_per_nät,'Leveranser per nät'!E$1,FALSE)/VLOOKUP($B15,Korrigeringsfaktor_EI,'Korrigeringsfaktor EI'!E$1,FALSE),
"")</f>
        <v>0</v>
      </c>
      <c r="F15" s="18">
        <f>IFERROR(
                  Andel_oberoende_av_klimat*VLOOKUP($A15,Leveranser_per_nät,'Leveranser per nät'!F$1,FALSE)
               +Andel_beroende_av_klimat*VLOOKUP($A15,Leveranser_per_nät,'Leveranser per nät'!F$1,FALSE)/VLOOKUP($B15,Korrigeringsfaktor_EI,'Korrigeringsfaktor EI'!F$1,FALSE),
"")</f>
        <v>0</v>
      </c>
      <c r="G15" s="18">
        <f>IFERROR(
                  Andel_oberoende_av_klimat*VLOOKUP($A15,Leveranser_per_nät,'Leveranser per nät'!G$1,FALSE)
               +Andel_beroende_av_klimat*VLOOKUP($A15,Leveranser_per_nät,'Leveranser per nät'!G$1,FALSE)/VLOOKUP($B15,Korrigeringsfaktor_EI,'Korrigeringsfaktor EI'!G$1,FALSE),
"")</f>
        <v>0</v>
      </c>
      <c r="H15" s="18">
        <f>IFERROR(
                  Andel_oberoende_av_klimat*VLOOKUP($A15,Leveranser_per_nät,'Leveranser per nät'!H$1,FALSE)
               +Andel_beroende_av_klimat*VLOOKUP($A15,Leveranser_per_nät,'Leveranser per nät'!H$1,FALSE)/VLOOKUP($B15,Korrigeringsfaktor_EI,'Korrigeringsfaktor EI'!H$1,FALSE),
"")</f>
        <v>0</v>
      </c>
      <c r="I15" s="18">
        <f>IFERROR(
                  Andel_oberoende_av_klimat*VLOOKUP($A15,Leveranser_per_nät,'Leveranser per nät'!I$1,FALSE)
               +Andel_beroende_av_klimat*VLOOKUP($A15,Leveranser_per_nät,'Leveranser per nät'!I$1,FALSE)/VLOOKUP($B15,Korrigeringsfaktor_EI,'Korrigeringsfaktor EI'!I$1,FALSE),
"")</f>
        <v>0</v>
      </c>
      <c r="J15" s="18">
        <f>IFERROR(
                  Andel_oberoende_av_klimat*VLOOKUP($A15,Leveranser_per_nät,'Leveranser per nät'!J$1,FALSE)
               +Andel_beroende_av_klimat*VLOOKUP($A15,Leveranser_per_nät,'Leveranser per nät'!J$1,FALSE)/VLOOKUP($B15,Korrigeringsfaktor_EI,'Korrigeringsfaktor EI'!J$1,FALSE),
"")</f>
        <v>0</v>
      </c>
      <c r="K15" s="18">
        <f>IFERROR(
                  Andel_oberoende_av_klimat*VLOOKUP($A15,Leveranser_per_nät,'Leveranser per nät'!K$1,FALSE)
               +Andel_beroende_av_klimat*VLOOKUP($A15,Leveranser_per_nät,'Leveranser per nät'!K$1,FALSE)/VLOOKUP($B15,Korrigeringsfaktor_EI,'Korrigeringsfaktor EI'!K$1,FALSE),
"")</f>
        <v>0</v>
      </c>
      <c r="L15" s="18">
        <f>IFERROR(
                  Andel_oberoende_av_klimat*VLOOKUP($A15,Leveranser_per_nät,'Leveranser per nät'!L$1,FALSE)
               +Andel_beroende_av_klimat*VLOOKUP($A15,Leveranser_per_nät,'Leveranser per nät'!L$1,FALSE)/VLOOKUP($B15,Korrigeringsfaktor_EI,'Korrigeringsfaktor EI'!L$1,FALSE),
"")</f>
        <v>0</v>
      </c>
      <c r="M15" s="18">
        <f>IFERROR(
                  Andel_oberoende_av_klimat*VLOOKUP($A15,Leveranser_per_nät,'Leveranser per nät'!M$1,FALSE)
               +Andel_beroende_av_klimat*VLOOKUP($A15,Leveranser_per_nät,'Leveranser per nät'!M$1,FALSE)/VLOOKUP($B15,Korrigeringsfaktor_EI,'Korrigeringsfaktor EI'!M$1,FALSE),
"")</f>
        <v>30.650643478260868</v>
      </c>
      <c r="N15" s="18">
        <f>IFERROR(
                  Andel_oberoende_av_klimat*VLOOKUP($A15,Leveranser_per_nät,'Leveranser per nät'!N$1,FALSE)
               +Andel_beroende_av_klimat*VLOOKUP($A15,Leveranser_per_nät,'Leveranser per nät'!N$1,FALSE)/VLOOKUP($B15,Korrigeringsfaktor_EI,'Korrigeringsfaktor EI'!N$1,FALSE),
"")</f>
        <v>33.593802127659572</v>
      </c>
      <c r="O15" s="18">
        <f>IFERROR(
                  Andel_oberoende_av_klimat*VLOOKUP($A15,Leveranser_per_nät,'Leveranser per nät'!O$1,FALSE)
               +Andel_beroende_av_klimat*VLOOKUP($A15,Leveranser_per_nät,'Leveranser per nät'!O$1,FALSE)/VLOOKUP($B15,Korrigeringsfaktor_EI,'Korrigeringsfaktor EI'!O$1,FALSE),
"")</f>
        <v>35.566970833333336</v>
      </c>
      <c r="P15" s="18">
        <f>IFERROR(
                  Andel_oberoende_av_klimat*VLOOKUP($A15,Leveranser_per_nät,'Leveranser per nät'!P$1,FALSE)
               +Andel_beroende_av_klimat*VLOOKUP($A15,Leveranser_per_nät,'Leveranser per nät'!P$1,FALSE)/VLOOKUP($B15,Korrigeringsfaktor_EI,'Korrigeringsfaktor EI'!P$1,FALSE),
"")</f>
        <v>38.308790721649487</v>
      </c>
      <c r="Q15" s="18">
        <f>IFERROR(
                  Andel_oberoende_av_klimat*VLOOKUP($A15,Leveranser_per_nät,'Leveranser per nät'!Q$1,FALSE)
               +Andel_beroende_av_klimat*VLOOKUP($A15,Leveranser_per_nät,'Leveranser per nät'!Q$1,FALSE)/VLOOKUP($B15,Korrigeringsfaktor_EI,'Korrigeringsfaktor EI'!Q$1,FALSE),
"")</f>
        <v>40.72</v>
      </c>
      <c r="R15" s="18">
        <f>IFERROR(
                  Andel_oberoende_av_klimat*VLOOKUP($A15,Leveranser_per_nät,'Leveranser per nät'!R$1,FALSE)
               +Andel_beroende_av_klimat*VLOOKUP($A15,Leveranser_per_nät,'Leveranser per nät'!R$1,FALSE)/VLOOKUP($B15,Korrigeringsfaktor_EI,'Korrigeringsfaktor EI'!R$1,FALSE),
"")</f>
        <v>44.907692307692308</v>
      </c>
      <c r="S15" s="18">
        <f>IFERROR(
                  Andel_oberoende_av_klimat*VLOOKUP($A15,Leveranser_per_nät,'Leveranser per nät'!S$1,FALSE)
               +Andel_beroende_av_klimat*VLOOKUP($A15,Leveranser_per_nät,'Leveranser per nät'!S$1,FALSE)/VLOOKUP($B15,Korrigeringsfaktor_EI,'Korrigeringsfaktor EI'!S$1,FALSE),
"")</f>
        <v>40.164077669902916</v>
      </c>
      <c r="T15" s="18">
        <f>IFERROR(
                  Andel_oberoende_av_klimat*VLOOKUP($A15,Leveranser_per_nät,'Leveranser per nät'!T$1,FALSE)
               +Andel_beroende_av_klimat*VLOOKUP($A15,Leveranser_per_nät,'Leveranser per nät'!T$1,FALSE)/VLOOKUP($B15,Korrigeringsfaktor_EI,'Korrigeringsfaktor EI'!T$1,FALSE),
"")</f>
        <v>39.697872340425533</v>
      </c>
      <c r="U15" s="18">
        <f>IFERROR(
                  Andel_oberoende_av_klimat*VLOOKUP($A15,Leveranser_per_nät,'Leveranser per nät'!U$1,FALSE)
               +Andel_beroende_av_klimat*VLOOKUP($A15,Leveranser_per_nät,'Leveranser per nät'!U$1,FALSE)/VLOOKUP($B15,Korrigeringsfaktor_EI,'Korrigeringsfaktor EI'!U$1,FALSE),
"")</f>
        <v>40.313043478260866</v>
      </c>
      <c r="V15" s="18">
        <f>IFERROR(
                  Andel_oberoende_av_klimat*VLOOKUP($A15,Leveranser_per_nät,'Leveranser per nät'!V$1,FALSE)
               +Andel_beroende_av_klimat*VLOOKUP($A15,Leveranser_per_nät,'Leveranser per nät'!V$1,FALSE)/VLOOKUP($B15,Korrigeringsfaktor_EI,'Korrigeringsfaktor EI'!V$1,FALSE),
"")</f>
        <v>40.002150537634407</v>
      </c>
      <c r="W15" s="18">
        <f>IFERROR(
                  Andel_oberoende_av_klimat*VLOOKUP($A15,Leveranser_per_nät,'Leveranser per nät'!W$1,FALSE)
               +Andel_beroende_av_klimat*VLOOKUP($A15,Leveranser_per_nät,'Leveranser per nät'!W$1,FALSE)/VLOOKUP($B15,Korrigeringsfaktor_EI,'Korrigeringsfaktor EI'!W$1,FALSE),
"")</f>
        <v>41.166666666666671</v>
      </c>
      <c r="X15" s="18">
        <f>IFERROR(
                  Andel_oberoende_av_klimat*VLOOKUP($A15,Leveranser_per_nät,'Leveranser per nät'!X$1,FALSE)
               +Andel_beroende_av_klimat*VLOOKUP($A15,Leveranser_per_nät,'Leveranser per nät'!X$1,FALSE)/VLOOKUP($B15,Korrigeringsfaktor_EI,'Korrigeringsfaktor EI'!X$1,FALSE),
"")</f>
        <v>40.282828282828284</v>
      </c>
      <c r="Y15" s="18">
        <f>IFERROR(
                  Andel_oberoende_av_klimat*VLOOKUP($A15,Leveranser_per_nät,'Leveranser per nät'!Y$1,FALSE)
               +Andel_beroende_av_klimat*VLOOKUP($A15,Leveranser_per_nät,'Leveranser per nät'!Y$1,FALSE)/VLOOKUP($B15,Korrigeringsfaktor_EI,'Korrigeringsfaktor EI'!Y$1,FALSE),
"")</f>
        <v>41.372500000000002</v>
      </c>
      <c r="Z15" s="18">
        <f>IFERROR(
                  Andel_oberoende_av_klimat*VLOOKUP($A15,Leveranser_per_nät,'Leveranser per nät'!Z$1,FALSE)
               +Andel_beroende_av_klimat*VLOOKUP($A15,Leveranser_per_nät,'Leveranser per nät'!Z$1,FALSE)/VLOOKUP($B15,Korrigeringsfaktor_EI,'Korrigeringsfaktor EI'!Z$1,FALSE),
"")</f>
        <v>41.6</v>
      </c>
      <c r="AA15" s="18">
        <f>IFERROR(
                  Andel_oberoende_av_klimat*VLOOKUP($A15,Leveranser_per_nät,'Leveranser per nät'!AA$1,FALSE)
               +Andel_beroende_av_klimat*VLOOKUP($A15,Leveranser_per_nät,'Leveranser per nät'!AA$1,FALSE)/VLOOKUP($B15,Korrigeringsfaktor_EI,'Korrigeringsfaktor EI'!AA$1,FALSE),
"")</f>
        <v>39.726801639344259</v>
      </c>
      <c r="AB15" s="18">
        <f>IFERROR(
                  Andel_oberoende_av_klimat*VLOOKUP($A15,Leveranser_per_nät,'Leveranser per nät'!AB$1,FALSE)
               +Andel_beroende_av_klimat*VLOOKUP($A15,Leveranser_per_nät,'Leveranser per nät'!AB$1,FALSE)/VLOOKUP($B15,Korrigeringsfaktor_EI,'Korrigeringsfaktor EI'!AB$1,FALSE),
"")</f>
        <v>40.902497551420176</v>
      </c>
      <c r="AC15" s="18">
        <f>IFERROR(
                  Andel_oberoende_av_klimat*VLOOKUP($A15,Leveranser_per_nät,'Leveranser per nät'!AC$1,FALSE)
               +Andel_beroende_av_klimat*VLOOKUP($A15,Leveranser_per_nät,'Leveranser per nät'!AC$1,FALSE)/VLOOKUP($B15,Korrigeringsfaktor_EI,'Korrigeringsfaktor EI'!AC$1,FALSE),
"")</f>
        <v>40.712212943632565</v>
      </c>
      <c r="AD15">
        <v>39.5</v>
      </c>
    </row>
    <row r="16" spans="1:30" x14ac:dyDescent="0.25">
      <c r="A16" t="s">
        <v>119</v>
      </c>
      <c r="B16" t="s">
        <v>119</v>
      </c>
      <c r="C16" s="18">
        <f>IFERROR(
                  Andel_oberoende_av_klimat*VLOOKUP($A16,Leveranser_per_nät,'Leveranser per nät'!C$1,FALSE)
               +Andel_beroende_av_klimat*VLOOKUP($A16,Leveranser_per_nät,'Leveranser per nät'!C$1,FALSE)/VLOOKUP($B16,Korrigeringsfaktor_EI,'Korrigeringsfaktor EI'!C$1,FALSE),
"")</f>
        <v>0</v>
      </c>
      <c r="D16" s="18">
        <f>IFERROR(
                  Andel_oberoende_av_klimat*VLOOKUP($A16,Leveranser_per_nät,'Leveranser per nät'!D$1,FALSE)
               +Andel_beroende_av_klimat*VLOOKUP($A16,Leveranser_per_nät,'Leveranser per nät'!D$1,FALSE)/VLOOKUP($B16,Korrigeringsfaktor_EI,'Korrigeringsfaktor EI'!D$1,FALSE),
"")</f>
        <v>0</v>
      </c>
      <c r="E16" s="18">
        <f>IFERROR(
                  Andel_oberoende_av_klimat*VLOOKUP($A16,Leveranser_per_nät,'Leveranser per nät'!E$1,FALSE)
               +Andel_beroende_av_klimat*VLOOKUP($A16,Leveranser_per_nät,'Leveranser per nät'!E$1,FALSE)/VLOOKUP($B16,Korrigeringsfaktor_EI,'Korrigeringsfaktor EI'!E$1,FALSE),
"")</f>
        <v>0</v>
      </c>
      <c r="F16" s="18">
        <f>IFERROR(
                  Andel_oberoende_av_klimat*VLOOKUP($A16,Leveranser_per_nät,'Leveranser per nät'!F$1,FALSE)
               +Andel_beroende_av_klimat*VLOOKUP($A16,Leveranser_per_nät,'Leveranser per nät'!F$1,FALSE)/VLOOKUP($B16,Korrigeringsfaktor_EI,'Korrigeringsfaktor EI'!F$1,FALSE),
"")</f>
        <v>52.74285714285714</v>
      </c>
      <c r="G16" s="18">
        <f>IFERROR(
                  Andel_oberoende_av_klimat*VLOOKUP($A16,Leveranser_per_nät,'Leveranser per nät'!G$1,FALSE)
               +Andel_beroende_av_klimat*VLOOKUP($A16,Leveranser_per_nät,'Leveranser per nät'!G$1,FALSE)/VLOOKUP($B16,Korrigeringsfaktor_EI,'Korrigeringsfaktor EI'!G$1,FALSE),
"")</f>
        <v>53.888888888888886</v>
      </c>
      <c r="H16" s="18">
        <f>IFERROR(
                  Andel_oberoende_av_klimat*VLOOKUP($A16,Leveranser_per_nät,'Leveranser per nät'!H$1,FALSE)
               +Andel_beroende_av_klimat*VLOOKUP($A16,Leveranser_per_nät,'Leveranser per nät'!H$1,FALSE)/VLOOKUP($B16,Korrigeringsfaktor_EI,'Korrigeringsfaktor EI'!H$1,FALSE),
"")</f>
        <v>75.473267326732667</v>
      </c>
      <c r="I16" s="18">
        <f>IFERROR(
                  Andel_oberoende_av_klimat*VLOOKUP($A16,Leveranser_per_nät,'Leveranser per nät'!I$1,FALSE)
               +Andel_beroende_av_klimat*VLOOKUP($A16,Leveranser_per_nät,'Leveranser per nät'!I$1,FALSE)/VLOOKUP($B16,Korrigeringsfaktor_EI,'Korrigeringsfaktor EI'!I$1,FALSE),
"")</f>
        <v>83.01923711340207</v>
      </c>
      <c r="J16" s="18">
        <f>IFERROR(
                  Andel_oberoende_av_klimat*VLOOKUP($A16,Leveranser_per_nät,'Leveranser per nät'!J$1,FALSE)
               +Andel_beroende_av_klimat*VLOOKUP($A16,Leveranser_per_nät,'Leveranser per nät'!J$1,FALSE)/VLOOKUP($B16,Korrigeringsfaktor_EI,'Korrigeringsfaktor EI'!J$1,FALSE),
"")</f>
        <v>84.796907216494844</v>
      </c>
      <c r="K16" s="18">
        <f>IFERROR(
                  Andel_oberoende_av_klimat*VLOOKUP($A16,Leveranser_per_nät,'Leveranser per nät'!K$1,FALSE)
               +Andel_beroende_av_klimat*VLOOKUP($A16,Leveranser_per_nät,'Leveranser per nät'!K$1,FALSE)/VLOOKUP($B16,Korrigeringsfaktor_EI,'Korrigeringsfaktor EI'!K$1,FALSE),
"")</f>
        <v>84.391666666666666</v>
      </c>
      <c r="L16" s="18">
        <f>IFERROR(
                  Andel_oberoende_av_klimat*VLOOKUP($A16,Leveranser_per_nät,'Leveranser per nät'!L$1,FALSE)
               +Andel_beroende_av_klimat*VLOOKUP($A16,Leveranser_per_nät,'Leveranser per nät'!L$1,FALSE)/VLOOKUP($B16,Korrigeringsfaktor_EI,'Korrigeringsfaktor EI'!L$1,FALSE),
"")</f>
        <v>85.267741935483869</v>
      </c>
      <c r="M16" s="18">
        <f>IFERROR(
                  Andel_oberoende_av_klimat*VLOOKUP($A16,Leveranser_per_nät,'Leveranser per nät'!M$1,FALSE)
               +Andel_beroende_av_klimat*VLOOKUP($A16,Leveranser_per_nät,'Leveranser per nät'!M$1,FALSE)/VLOOKUP($B16,Korrigeringsfaktor_EI,'Korrigeringsfaktor EI'!M$1,FALSE),
"")</f>
        <v>94.656086956521719</v>
      </c>
      <c r="N16" s="18">
        <f>IFERROR(
                  Andel_oberoende_av_klimat*VLOOKUP($A16,Leveranser_per_nät,'Leveranser per nät'!N$1,FALSE)
               +Andel_beroende_av_klimat*VLOOKUP($A16,Leveranser_per_nät,'Leveranser per nät'!N$1,FALSE)/VLOOKUP($B16,Korrigeringsfaktor_EI,'Korrigeringsfaktor EI'!N$1,FALSE),
"")</f>
        <v>103.3817391304348</v>
      </c>
      <c r="O16" s="18">
        <f>IFERROR(
                  Andel_oberoende_av_klimat*VLOOKUP($A16,Leveranser_per_nät,'Leveranser per nät'!O$1,FALSE)
               +Andel_beroende_av_klimat*VLOOKUP($A16,Leveranser_per_nät,'Leveranser per nät'!O$1,FALSE)/VLOOKUP($B16,Korrigeringsfaktor_EI,'Korrigeringsfaktor EI'!O$1,FALSE),
"")</f>
        <v>105.88106741573034</v>
      </c>
      <c r="P16" s="18">
        <f>IFERROR(
                  Andel_oberoende_av_klimat*VLOOKUP($A16,Leveranser_per_nät,'Leveranser per nät'!P$1,FALSE)
               +Andel_beroende_av_klimat*VLOOKUP($A16,Leveranser_per_nät,'Leveranser per nät'!P$1,FALSE)/VLOOKUP($B16,Korrigeringsfaktor_EI,'Korrigeringsfaktor EI'!P$1,FALSE),
"")</f>
        <v>118.09631578947369</v>
      </c>
      <c r="Q16" s="18">
        <f>IFERROR(
                  Andel_oberoende_av_klimat*VLOOKUP($A16,Leveranser_per_nät,'Leveranser per nät'!Q$1,FALSE)
               +Andel_beroende_av_klimat*VLOOKUP($A16,Leveranser_per_nät,'Leveranser per nät'!Q$1,FALSE)/VLOOKUP($B16,Korrigeringsfaktor_EI,'Korrigeringsfaktor EI'!Q$1,FALSE),
"")</f>
        <v>128.81761061946904</v>
      </c>
      <c r="R16" s="18">
        <f>IFERROR(
                  Andel_oberoende_av_klimat*VLOOKUP($A16,Leveranser_per_nät,'Leveranser per nät'!R$1,FALSE)
               +Andel_beroende_av_klimat*VLOOKUP($A16,Leveranser_per_nät,'Leveranser per nät'!R$1,FALSE)/VLOOKUP($B16,Korrigeringsfaktor_EI,'Korrigeringsfaktor EI'!R$1,FALSE),
"")</f>
        <v>120.17222222222222</v>
      </c>
      <c r="S16" s="18">
        <f>IFERROR(
                  Andel_oberoende_av_klimat*VLOOKUP($A16,Leveranser_per_nät,'Leveranser per nät'!S$1,FALSE)
               +Andel_beroende_av_klimat*VLOOKUP($A16,Leveranser_per_nät,'Leveranser per nät'!S$1,FALSE)/VLOOKUP($B16,Korrigeringsfaktor_EI,'Korrigeringsfaktor EI'!S$1,FALSE),
"")</f>
        <v>118.67142857142858</v>
      </c>
      <c r="T16" s="18">
        <f>IFERROR(
                  Andel_oberoende_av_klimat*VLOOKUP($A16,Leveranser_per_nät,'Leveranser per nät'!T$1,FALSE)
               +Andel_beroende_av_klimat*VLOOKUP($A16,Leveranser_per_nät,'Leveranser per nät'!T$1,FALSE)/VLOOKUP($B16,Korrigeringsfaktor_EI,'Korrigeringsfaktor EI'!T$1,FALSE),
"")</f>
        <v>118.9257894736842</v>
      </c>
      <c r="U16" s="18">
        <f>IFERROR(
                  Andel_oberoende_av_klimat*VLOOKUP($A16,Leveranser_per_nät,'Leveranser per nät'!U$1,FALSE)
               +Andel_beroende_av_klimat*VLOOKUP($A16,Leveranser_per_nät,'Leveranser per nät'!U$1,FALSE)/VLOOKUP($B16,Korrigeringsfaktor_EI,'Korrigeringsfaktor EI'!U$1,FALSE),
"")</f>
        <v>111.90352941176468</v>
      </c>
      <c r="V16" s="18">
        <f>IFERROR(
                  Andel_oberoende_av_klimat*VLOOKUP($A16,Leveranser_per_nät,'Leveranser per nät'!V$1,FALSE)
               +Andel_beroende_av_klimat*VLOOKUP($A16,Leveranser_per_nät,'Leveranser per nät'!V$1,FALSE)/VLOOKUP($B16,Korrigeringsfaktor_EI,'Korrigeringsfaktor EI'!V$1,FALSE),
"")</f>
        <v>108.34045454545455</v>
      </c>
      <c r="W16" s="18">
        <f>IFERROR(
                  Andel_oberoende_av_klimat*VLOOKUP($A16,Leveranser_per_nät,'Leveranser per nät'!W$1,FALSE)
               +Andel_beroende_av_klimat*VLOOKUP($A16,Leveranser_per_nät,'Leveranser per nät'!W$1,FALSE)/VLOOKUP($B16,Korrigeringsfaktor_EI,'Korrigeringsfaktor EI'!W$1,FALSE),
"")</f>
        <v>113.24340425531915</v>
      </c>
      <c r="X16" s="18">
        <f>IFERROR(
                  Andel_oberoende_av_klimat*VLOOKUP($A16,Leveranser_per_nät,'Leveranser per nät'!X$1,FALSE)
               +Andel_beroende_av_klimat*VLOOKUP($A16,Leveranser_per_nät,'Leveranser per nät'!X$1,FALSE)/VLOOKUP($B16,Korrigeringsfaktor_EI,'Korrigeringsfaktor EI'!X$1,FALSE),
"")</f>
        <v>112.19872340425533</v>
      </c>
      <c r="Y16" s="18">
        <f>IFERROR(
                  Andel_oberoende_av_klimat*VLOOKUP($A16,Leveranser_per_nät,'Leveranser per nät'!Y$1,FALSE)
               +Andel_beroende_av_klimat*VLOOKUP($A16,Leveranser_per_nät,'Leveranser per nät'!Y$1,FALSE)/VLOOKUP($B16,Korrigeringsfaktor_EI,'Korrigeringsfaktor EI'!Y$1,FALSE),
"")</f>
        <v>115.7976923076923</v>
      </c>
      <c r="Z16" s="18">
        <f>IFERROR(
                  Andel_oberoende_av_klimat*VLOOKUP($A16,Leveranser_per_nät,'Leveranser per nät'!Z$1,FALSE)
               +Andel_beroende_av_klimat*VLOOKUP($A16,Leveranser_per_nät,'Leveranser per nät'!Z$1,FALSE)/VLOOKUP($B16,Korrigeringsfaktor_EI,'Korrigeringsfaktor EI'!Z$1,FALSE),
"")</f>
        <v>114.08692307692307</v>
      </c>
      <c r="AA16" s="18">
        <f>IFERROR(
                  Andel_oberoende_av_klimat*VLOOKUP($A16,Leveranser_per_nät,'Leveranser per nät'!AA$1,FALSE)
               +Andel_beroende_av_klimat*VLOOKUP($A16,Leveranser_per_nät,'Leveranser per nät'!AA$1,FALSE)/VLOOKUP($B16,Korrigeringsfaktor_EI,'Korrigeringsfaktor EI'!AA$1,FALSE),
"")</f>
        <v>99.20802469135802</v>
      </c>
      <c r="AB16" s="18">
        <f>IFERROR(
                  Andel_oberoende_av_klimat*VLOOKUP($A16,Leveranser_per_nät,'Leveranser per nät'!AB$1,FALSE)
               +Andel_beroende_av_klimat*VLOOKUP($A16,Leveranser_per_nät,'Leveranser per nät'!AB$1,FALSE)/VLOOKUP($B16,Korrigeringsfaktor_EI,'Korrigeringsfaktor EI'!AB$1,FALSE),
"")</f>
        <v>110.81852071005918</v>
      </c>
      <c r="AC16" s="18">
        <f>IFERROR(
                  Andel_oberoende_av_klimat*VLOOKUP($A16,Leveranser_per_nät,'Leveranser per nät'!AC$1,FALSE)
               +Andel_beroende_av_klimat*VLOOKUP($A16,Leveranser_per_nät,'Leveranser per nät'!AC$1,FALSE)/VLOOKUP($B16,Korrigeringsfaktor_EI,'Korrigeringsfaktor EI'!AC$1,FALSE),
"")</f>
        <v>107.73961945031712</v>
      </c>
      <c r="AD16">
        <v>103.6</v>
      </c>
    </row>
    <row r="17" spans="1:30" x14ac:dyDescent="0.25">
      <c r="A17" t="s">
        <v>334</v>
      </c>
      <c r="B17" t="s">
        <v>334</v>
      </c>
      <c r="C17" s="18">
        <f>IFERROR(
                  Andel_oberoende_av_klimat*VLOOKUP($A17,Leveranser_per_nät,'Leveranser per nät'!C$1,FALSE)
               +Andel_beroende_av_klimat*VLOOKUP($A17,Leveranser_per_nät,'Leveranser per nät'!C$1,FALSE)/VLOOKUP($B17,Korrigeringsfaktor_EI,'Korrigeringsfaktor EI'!C$1,FALSE),
"")</f>
        <v>20.6</v>
      </c>
      <c r="D17" s="18">
        <f>IFERROR(
                  Andel_oberoende_av_klimat*VLOOKUP($A17,Leveranser_per_nät,'Leveranser per nät'!D$1,FALSE)
               +Andel_beroende_av_klimat*VLOOKUP($A17,Leveranser_per_nät,'Leveranser per nät'!D$1,FALSE)/VLOOKUP($B17,Korrigeringsfaktor_EI,'Korrigeringsfaktor EI'!D$1,FALSE),
"")</f>
        <v>18.62073737373737</v>
      </c>
      <c r="E17" s="18">
        <f>IFERROR(
                  Andel_oberoende_av_klimat*VLOOKUP($A17,Leveranser_per_nät,'Leveranser per nät'!E$1,FALSE)
               +Andel_beroende_av_klimat*VLOOKUP($A17,Leveranser_per_nät,'Leveranser per nät'!E$1,FALSE)/VLOOKUP($B17,Korrigeringsfaktor_EI,'Korrigeringsfaktor EI'!E$1,FALSE),
"")</f>
        <v>18.247169811320752</v>
      </c>
      <c r="F17" s="18">
        <f>IFERROR(
                  Andel_oberoende_av_klimat*VLOOKUP($A17,Leveranser_per_nät,'Leveranser per nät'!F$1,FALSE)
               +Andel_beroende_av_klimat*VLOOKUP($A17,Leveranser_per_nät,'Leveranser per nät'!F$1,FALSE)/VLOOKUP($B17,Korrigeringsfaktor_EI,'Korrigeringsfaktor EI'!F$1,FALSE),
"")</f>
        <v>23.328571428571429</v>
      </c>
      <c r="G17" s="18">
        <f>IFERROR(
                  Andel_oberoende_av_klimat*VLOOKUP($A17,Leveranser_per_nät,'Leveranser per nät'!G$1,FALSE)
               +Andel_beroende_av_klimat*VLOOKUP($A17,Leveranser_per_nät,'Leveranser per nät'!G$1,FALSE)/VLOOKUP($B17,Korrigeringsfaktor_EI,'Korrigeringsfaktor EI'!G$1,FALSE),
"")</f>
        <v>17.107692307692307</v>
      </c>
      <c r="H17" s="18">
        <f>IFERROR(
                  Andel_oberoende_av_klimat*VLOOKUP($A17,Leveranser_per_nät,'Leveranser per nät'!H$1,FALSE)
               +Andel_beroende_av_klimat*VLOOKUP($A17,Leveranser_per_nät,'Leveranser per nät'!H$1,FALSE)/VLOOKUP($B17,Korrigeringsfaktor_EI,'Korrigeringsfaktor EI'!H$1,FALSE),
"")</f>
        <v>18</v>
      </c>
      <c r="I17" s="18">
        <f>IFERROR(
                  Andel_oberoende_av_klimat*VLOOKUP($A17,Leveranser_per_nät,'Leveranser per nät'!I$1,FALSE)
               +Andel_beroende_av_klimat*VLOOKUP($A17,Leveranser_per_nät,'Leveranser per nät'!I$1,FALSE)/VLOOKUP($B17,Korrigeringsfaktor_EI,'Korrigeringsfaktor EI'!I$1,FALSE),
"")</f>
        <v>18.662639473684209</v>
      </c>
      <c r="J17" s="18">
        <f>IFERROR(
                  Andel_oberoende_av_klimat*VLOOKUP($A17,Leveranser_per_nät,'Leveranser per nät'!J$1,FALSE)
               +Andel_beroende_av_klimat*VLOOKUP($A17,Leveranser_per_nät,'Leveranser per nät'!J$1,FALSE)/VLOOKUP($B17,Korrigeringsfaktor_EI,'Korrigeringsfaktor EI'!J$1,FALSE),
"")</f>
        <v>18.256128571428569</v>
      </c>
      <c r="K17" s="18">
        <f>IFERROR(
                  Andel_oberoende_av_klimat*VLOOKUP($A17,Leveranser_per_nät,'Leveranser per nät'!K$1,FALSE)
               +Andel_beroende_av_klimat*VLOOKUP($A17,Leveranser_per_nät,'Leveranser per nät'!K$1,FALSE)/VLOOKUP($B17,Korrigeringsfaktor_EI,'Korrigeringsfaktor EI'!K$1,FALSE),
"")</f>
        <v>16.688996485770158</v>
      </c>
      <c r="L17" s="18">
        <f>IFERROR(
                  Andel_oberoende_av_klimat*VLOOKUP($A17,Leveranser_per_nät,'Leveranser per nät'!L$1,FALSE)
               +Andel_beroende_av_klimat*VLOOKUP($A17,Leveranser_per_nät,'Leveranser per nät'!L$1,FALSE)/VLOOKUP($B17,Korrigeringsfaktor_EI,'Korrigeringsfaktor EI'!L$1,FALSE),
"")</f>
        <v>16.813461620439231</v>
      </c>
      <c r="M17" s="18">
        <f>IFERROR(
                  Andel_oberoende_av_klimat*VLOOKUP($A17,Leveranser_per_nät,'Leveranser per nät'!M$1,FALSE)
               +Andel_beroende_av_klimat*VLOOKUP($A17,Leveranser_per_nät,'Leveranser per nät'!M$1,FALSE)/VLOOKUP($B17,Korrigeringsfaktor_EI,'Korrigeringsfaktor EI'!M$1,FALSE),
"")</f>
        <v>21.308626086956519</v>
      </c>
      <c r="N17" s="18">
        <f>IFERROR(
                  Andel_oberoende_av_klimat*VLOOKUP($A17,Leveranser_per_nät,'Leveranser per nät'!N$1,FALSE)
               +Andel_beroende_av_klimat*VLOOKUP($A17,Leveranser_per_nät,'Leveranser per nät'!N$1,FALSE)/VLOOKUP($B17,Korrigeringsfaktor_EI,'Korrigeringsfaktor EI'!N$1,FALSE),
"")</f>
        <v>18.843118279569889</v>
      </c>
      <c r="O17" s="18">
        <f>IFERROR(
                  Andel_oberoende_av_klimat*VLOOKUP($A17,Leveranser_per_nät,'Leveranser per nät'!O$1,FALSE)
               +Andel_beroende_av_klimat*VLOOKUP($A17,Leveranser_per_nät,'Leveranser per nät'!O$1,FALSE)/VLOOKUP($B17,Korrigeringsfaktor_EI,'Korrigeringsfaktor EI'!O$1,FALSE),
"")</f>
        <v>18.671304347826087</v>
      </c>
      <c r="P17" s="18">
        <f>IFERROR(
                  Andel_oberoende_av_klimat*VLOOKUP($A17,Leveranser_per_nät,'Leveranser per nät'!P$1,FALSE)
               +Andel_beroende_av_klimat*VLOOKUP($A17,Leveranser_per_nät,'Leveranser per nät'!P$1,FALSE)/VLOOKUP($B17,Korrigeringsfaktor_EI,'Korrigeringsfaktor EI'!P$1,FALSE),
"")</f>
        <v>19.235050505050509</v>
      </c>
      <c r="Q17" s="18">
        <f>IFERROR(
                  Andel_oberoende_av_klimat*VLOOKUP($A17,Leveranser_per_nät,'Leveranser per nät'!Q$1,FALSE)
               +Andel_beroende_av_klimat*VLOOKUP($A17,Leveranser_per_nät,'Leveranser per nät'!Q$1,FALSE)/VLOOKUP($B17,Korrigeringsfaktor_EI,'Korrigeringsfaktor EI'!Q$1,FALSE),
"")</f>
        <v>20.602350877192983</v>
      </c>
      <c r="R17" s="18">
        <f>IFERROR(
                  Andel_oberoende_av_klimat*VLOOKUP($A17,Leveranser_per_nät,'Leveranser per nät'!R$1,FALSE)
               +Andel_beroende_av_klimat*VLOOKUP($A17,Leveranser_per_nät,'Leveranser per nät'!R$1,FALSE)/VLOOKUP($B17,Korrigeringsfaktor_EI,'Korrigeringsfaktor EI'!R$1,FALSE),
"")</f>
        <v>19.52</v>
      </c>
      <c r="S17" s="18">
        <f>IFERROR(
                  Andel_oberoende_av_klimat*VLOOKUP($A17,Leveranser_per_nät,'Leveranser per nät'!S$1,FALSE)
               +Andel_beroende_av_klimat*VLOOKUP($A17,Leveranser_per_nät,'Leveranser per nät'!S$1,FALSE)/VLOOKUP($B17,Korrigeringsfaktor_EI,'Korrigeringsfaktor EI'!S$1,FALSE),
"")</f>
        <v>19.066930693069306</v>
      </c>
      <c r="T17" s="18">
        <f>IFERROR(
                  Andel_oberoende_av_klimat*VLOOKUP($A17,Leveranser_per_nät,'Leveranser per nät'!T$1,FALSE)
               +Andel_beroende_av_klimat*VLOOKUP($A17,Leveranser_per_nät,'Leveranser per nät'!T$1,FALSE)/VLOOKUP($B17,Korrigeringsfaktor_EI,'Korrigeringsfaktor EI'!T$1,FALSE),
"")</f>
        <v>19.033329896907215</v>
      </c>
      <c r="U17" s="18">
        <f>IFERROR(
                  Andel_oberoende_av_klimat*VLOOKUP($A17,Leveranser_per_nät,'Leveranser per nät'!U$1,FALSE)
               +Andel_beroende_av_klimat*VLOOKUP($A17,Leveranser_per_nät,'Leveranser per nät'!U$1,FALSE)/VLOOKUP($B17,Korrigeringsfaktor_EI,'Korrigeringsfaktor EI'!U$1,FALSE),
"")</f>
        <v>18.246777777777776</v>
      </c>
      <c r="V17" s="18">
        <f>IFERROR(
                  Andel_oberoende_av_klimat*VLOOKUP($A17,Leveranser_per_nät,'Leveranser per nät'!V$1,FALSE)
               +Andel_beroende_av_klimat*VLOOKUP($A17,Leveranser_per_nät,'Leveranser per nät'!V$1,FALSE)/VLOOKUP($B17,Korrigeringsfaktor_EI,'Korrigeringsfaktor EI'!V$1,FALSE),
"")</f>
        <v>18.353043478260872</v>
      </c>
      <c r="W17" s="18">
        <f>IFERROR(
                  Andel_oberoende_av_klimat*VLOOKUP($A17,Leveranser_per_nät,'Leveranser per nät'!W$1,FALSE)
               +Andel_beroende_av_klimat*VLOOKUP($A17,Leveranser_per_nät,'Leveranser per nät'!W$1,FALSE)/VLOOKUP($B17,Korrigeringsfaktor_EI,'Korrigeringsfaktor EI'!W$1,FALSE),
"")</f>
        <v>20.099659574468085</v>
      </c>
      <c r="X17" s="18">
        <f>IFERROR(
                  Andel_oberoende_av_klimat*VLOOKUP($A17,Leveranser_per_nät,'Leveranser per nät'!X$1,FALSE)
               +Andel_beroende_av_klimat*VLOOKUP($A17,Leveranser_per_nät,'Leveranser per nät'!X$1,FALSE)/VLOOKUP($B17,Korrigeringsfaktor_EI,'Korrigeringsfaktor EI'!X$1,FALSE),
"")</f>
        <v>19.477889247311829</v>
      </c>
      <c r="Y17" s="18">
        <f>IFERROR(
                  Andel_oberoende_av_klimat*VLOOKUP($A17,Leveranser_per_nät,'Leveranser per nät'!Y$1,FALSE)
               +Andel_beroende_av_klimat*VLOOKUP($A17,Leveranser_per_nät,'Leveranser per nät'!Y$1,FALSE)/VLOOKUP($B17,Korrigeringsfaktor_EI,'Korrigeringsfaktor EI'!Y$1,FALSE),
"")</f>
        <v>20.391555555555556</v>
      </c>
      <c r="Z17" s="18">
        <f>IFERROR(
                  Andel_oberoende_av_klimat*VLOOKUP($A17,Leveranser_per_nät,'Leveranser per nät'!Z$1,FALSE)
               +Andel_beroende_av_klimat*VLOOKUP($A17,Leveranser_per_nät,'Leveranser per nät'!Z$1,FALSE)/VLOOKUP($B17,Korrigeringsfaktor_EI,'Korrigeringsfaktor EI'!Z$1,FALSE),
"")</f>
        <v>20.744866292134834</v>
      </c>
      <c r="AA17" s="18">
        <f>IFERROR(
                  Andel_oberoende_av_klimat*VLOOKUP($A17,Leveranser_per_nät,'Leveranser per nät'!AA$1,FALSE)
               +Andel_beroende_av_klimat*VLOOKUP($A17,Leveranser_per_nät,'Leveranser per nät'!AA$1,FALSE)/VLOOKUP($B17,Korrigeringsfaktor_EI,'Korrigeringsfaktor EI'!AA$1,FALSE),
"")</f>
        <v>19.566566736401668</v>
      </c>
      <c r="AB17" s="18">
        <f>IFERROR(
                  Andel_oberoende_av_klimat*VLOOKUP($A17,Leveranser_per_nät,'Leveranser per nät'!AB$1,FALSE)
               +Andel_beroende_av_klimat*VLOOKUP($A17,Leveranser_per_nät,'Leveranser per nät'!AB$1,FALSE)/VLOOKUP($B17,Korrigeringsfaktor_EI,'Korrigeringsfaktor EI'!AB$1,FALSE),
"")</f>
        <v>19.217112175648701</v>
      </c>
      <c r="AC17" s="18">
        <f>IFERROR(
                  Andel_oberoende_av_klimat*VLOOKUP($A17,Leveranser_per_nät,'Leveranser per nät'!AC$1,FALSE)
               +Andel_beroende_av_klimat*VLOOKUP($A17,Leveranser_per_nät,'Leveranser per nät'!AC$1,FALSE)/VLOOKUP($B17,Korrigeringsfaktor_EI,'Korrigeringsfaktor EI'!AC$1,FALSE),
"")</f>
        <v>18.976666415500539</v>
      </c>
      <c r="AD17">
        <v>18.013000000000002</v>
      </c>
    </row>
    <row r="18" spans="1:30" x14ac:dyDescent="0.25">
      <c r="A18" t="s">
        <v>861</v>
      </c>
      <c r="B18" t="s">
        <v>203</v>
      </c>
      <c r="C18" s="18">
        <f>IFERROR(
                  Andel_oberoende_av_klimat*VLOOKUP($A18,Leveranser_per_nät,'Leveranser per nät'!C$1,FALSE)
               +Andel_beroende_av_klimat*VLOOKUP($A18,Leveranser_per_nät,'Leveranser per nät'!C$1,FALSE)/VLOOKUP($B18,Korrigeringsfaktor_EI,'Korrigeringsfaktor EI'!C$1,FALSE),
"")</f>
        <v>0</v>
      </c>
      <c r="D18" s="18">
        <f>IFERROR(
                  Andel_oberoende_av_klimat*VLOOKUP($A18,Leveranser_per_nät,'Leveranser per nät'!D$1,FALSE)
               +Andel_beroende_av_klimat*VLOOKUP($A18,Leveranser_per_nät,'Leveranser per nät'!D$1,FALSE)/VLOOKUP($B18,Korrigeringsfaktor_EI,'Korrigeringsfaktor EI'!D$1,FALSE),
"")</f>
        <v>0</v>
      </c>
      <c r="E18" s="18">
        <f>IFERROR(
                  Andel_oberoende_av_klimat*VLOOKUP($A18,Leveranser_per_nät,'Leveranser per nät'!E$1,FALSE)
               +Andel_beroende_av_klimat*VLOOKUP($A18,Leveranser_per_nät,'Leveranser per nät'!E$1,FALSE)/VLOOKUP($B18,Korrigeringsfaktor_EI,'Korrigeringsfaktor EI'!E$1,FALSE),
"")</f>
        <v>0</v>
      </c>
      <c r="F18" s="18">
        <f>IFERROR(
                  Andel_oberoende_av_klimat*VLOOKUP($A18,Leveranser_per_nät,'Leveranser per nät'!F$1,FALSE)
               +Andel_beroende_av_klimat*VLOOKUP($A18,Leveranser_per_nät,'Leveranser per nät'!F$1,FALSE)/VLOOKUP($B18,Korrigeringsfaktor_EI,'Korrigeringsfaktor EI'!F$1,FALSE),
"")</f>
        <v>0</v>
      </c>
      <c r="G18" s="18">
        <f>IFERROR(
                  Andel_oberoende_av_klimat*VLOOKUP($A18,Leveranser_per_nät,'Leveranser per nät'!G$1,FALSE)
               +Andel_beroende_av_klimat*VLOOKUP($A18,Leveranser_per_nät,'Leveranser per nät'!G$1,FALSE)/VLOOKUP($B18,Korrigeringsfaktor_EI,'Korrigeringsfaktor EI'!G$1,FALSE),
"")</f>
        <v>0</v>
      </c>
      <c r="H18" s="18">
        <f>IFERROR(
                  Andel_oberoende_av_klimat*VLOOKUP($A18,Leveranser_per_nät,'Leveranser per nät'!H$1,FALSE)
               +Andel_beroende_av_klimat*VLOOKUP($A18,Leveranser_per_nät,'Leveranser per nät'!H$1,FALSE)/VLOOKUP($B18,Korrigeringsfaktor_EI,'Korrigeringsfaktor EI'!H$1,FALSE),
"")</f>
        <v>0</v>
      </c>
      <c r="I18" s="18">
        <f>IFERROR(
                  Andel_oberoende_av_klimat*VLOOKUP($A18,Leveranser_per_nät,'Leveranser per nät'!I$1,FALSE)
               +Andel_beroende_av_klimat*VLOOKUP($A18,Leveranser_per_nät,'Leveranser per nät'!I$1,FALSE)/VLOOKUP($B18,Korrigeringsfaktor_EI,'Korrigeringsfaktor EI'!I$1,FALSE),
"")</f>
        <v>0</v>
      </c>
      <c r="J18" s="18">
        <f>IFERROR(
                  Andel_oberoende_av_klimat*VLOOKUP($A18,Leveranser_per_nät,'Leveranser per nät'!J$1,FALSE)
               +Andel_beroende_av_klimat*VLOOKUP($A18,Leveranser_per_nät,'Leveranser per nät'!J$1,FALSE)/VLOOKUP($B18,Korrigeringsfaktor_EI,'Korrigeringsfaktor EI'!J$1,FALSE),
"")</f>
        <v>0</v>
      </c>
      <c r="K18" s="18">
        <f>IFERROR(
                  Andel_oberoende_av_klimat*VLOOKUP($A18,Leveranser_per_nät,'Leveranser per nät'!K$1,FALSE)
               +Andel_beroende_av_klimat*VLOOKUP($A18,Leveranser_per_nät,'Leveranser per nät'!K$1,FALSE)/VLOOKUP($B18,Korrigeringsfaktor_EI,'Korrigeringsfaktor EI'!K$1,FALSE),
"")</f>
        <v>0</v>
      </c>
      <c r="L18" s="18">
        <f>IFERROR(
                  Andel_oberoende_av_klimat*VLOOKUP($A18,Leveranser_per_nät,'Leveranser per nät'!L$1,FALSE)
               +Andel_beroende_av_klimat*VLOOKUP($A18,Leveranser_per_nät,'Leveranser per nät'!L$1,FALSE)/VLOOKUP($B18,Korrigeringsfaktor_EI,'Korrigeringsfaktor EI'!L$1,FALSE),
"")</f>
        <v>0</v>
      </c>
      <c r="M18" s="18">
        <f>IFERROR(
                  Andel_oberoende_av_klimat*VLOOKUP($A18,Leveranser_per_nät,'Leveranser per nät'!M$1,FALSE)
               +Andel_beroende_av_klimat*VLOOKUP($A18,Leveranser_per_nät,'Leveranser per nät'!M$1,FALSE)/VLOOKUP($B18,Korrigeringsfaktor_EI,'Korrigeringsfaktor EI'!M$1,FALSE),
"")</f>
        <v>0</v>
      </c>
      <c r="N18" s="18">
        <f>IFERROR(
                  Andel_oberoende_av_klimat*VLOOKUP($A18,Leveranser_per_nät,'Leveranser per nät'!N$1,FALSE)
               +Andel_beroende_av_klimat*VLOOKUP($A18,Leveranser_per_nät,'Leveranser per nät'!N$1,FALSE)/VLOOKUP($B18,Korrigeringsfaktor_EI,'Korrigeringsfaktor EI'!N$1,FALSE),
"")</f>
        <v>0</v>
      </c>
      <c r="O18" s="18">
        <f>IFERROR(
                  Andel_oberoende_av_klimat*VLOOKUP($A18,Leveranser_per_nät,'Leveranser per nät'!O$1,FALSE)
               +Andel_beroende_av_klimat*VLOOKUP($A18,Leveranser_per_nät,'Leveranser per nät'!O$1,FALSE)/VLOOKUP($B18,Korrigeringsfaktor_EI,'Korrigeringsfaktor EI'!O$1,FALSE),
"")</f>
        <v>0</v>
      </c>
      <c r="P18" s="18">
        <f>IFERROR(
                  Andel_oberoende_av_klimat*VLOOKUP($A18,Leveranser_per_nät,'Leveranser per nät'!P$1,FALSE)
               +Andel_beroende_av_klimat*VLOOKUP($A18,Leveranser_per_nät,'Leveranser per nät'!P$1,FALSE)/VLOOKUP($B18,Korrigeringsfaktor_EI,'Korrigeringsfaktor EI'!P$1,FALSE),
"")</f>
        <v>0</v>
      </c>
      <c r="Q18" s="18">
        <f>IFERROR(
                  Andel_oberoende_av_klimat*VLOOKUP($A18,Leveranser_per_nät,'Leveranser per nät'!Q$1,FALSE)
               +Andel_beroende_av_klimat*VLOOKUP($A18,Leveranser_per_nät,'Leveranser per nät'!Q$1,FALSE)/VLOOKUP($B18,Korrigeringsfaktor_EI,'Korrigeringsfaktor EI'!Q$1,FALSE),
"")</f>
        <v>0</v>
      </c>
      <c r="R18" s="18">
        <f>IFERROR(
                  Andel_oberoende_av_klimat*VLOOKUP($A18,Leveranser_per_nät,'Leveranser per nät'!R$1,FALSE)
               +Andel_beroende_av_klimat*VLOOKUP($A18,Leveranser_per_nät,'Leveranser per nät'!R$1,FALSE)/VLOOKUP($B18,Korrigeringsfaktor_EI,'Korrigeringsfaktor EI'!R$1,FALSE),
"")</f>
        <v>0</v>
      </c>
      <c r="S18" s="18">
        <f>IFERROR(
                  Andel_oberoende_av_klimat*VLOOKUP($A18,Leveranser_per_nät,'Leveranser per nät'!S$1,FALSE)
               +Andel_beroende_av_klimat*VLOOKUP($A18,Leveranser_per_nät,'Leveranser per nät'!S$1,FALSE)/VLOOKUP($B18,Korrigeringsfaktor_EI,'Korrigeringsfaktor EI'!S$1,FALSE),
"")</f>
        <v>0</v>
      </c>
      <c r="T18" s="18">
        <f>IFERROR(
                  Andel_oberoende_av_klimat*VLOOKUP($A18,Leveranser_per_nät,'Leveranser per nät'!T$1,FALSE)
               +Andel_beroende_av_klimat*VLOOKUP($A18,Leveranser_per_nät,'Leveranser per nät'!T$1,FALSE)/VLOOKUP($B18,Korrigeringsfaktor_EI,'Korrigeringsfaktor EI'!T$1,FALSE),
"")</f>
        <v>0</v>
      </c>
      <c r="U18" s="18">
        <f>IFERROR(
                  Andel_oberoende_av_klimat*VLOOKUP($A18,Leveranser_per_nät,'Leveranser per nät'!U$1,FALSE)
               +Andel_beroende_av_klimat*VLOOKUP($A18,Leveranser_per_nät,'Leveranser per nät'!U$1,FALSE)/VLOOKUP($B18,Korrigeringsfaktor_EI,'Korrigeringsfaktor EI'!U$1,FALSE),
"")</f>
        <v>0</v>
      </c>
      <c r="V18" s="18">
        <f>IFERROR(
                  Andel_oberoende_av_klimat*VLOOKUP($A18,Leveranser_per_nät,'Leveranser per nät'!V$1,FALSE)
               +Andel_beroende_av_klimat*VLOOKUP($A18,Leveranser_per_nät,'Leveranser per nät'!V$1,FALSE)/VLOOKUP($B18,Korrigeringsfaktor_EI,'Korrigeringsfaktor EI'!V$1,FALSE),
"")</f>
        <v>0</v>
      </c>
      <c r="W18" s="18">
        <f>IFERROR(
                  Andel_oberoende_av_klimat*VLOOKUP($A18,Leveranser_per_nät,'Leveranser per nät'!W$1,FALSE)
               +Andel_beroende_av_klimat*VLOOKUP($A18,Leveranser_per_nät,'Leveranser per nät'!W$1,FALSE)/VLOOKUP($B18,Korrigeringsfaktor_EI,'Korrigeringsfaktor EI'!W$1,FALSE),
"")</f>
        <v>0</v>
      </c>
      <c r="X18" s="18">
        <f>IFERROR(
                  Andel_oberoende_av_klimat*VLOOKUP($A18,Leveranser_per_nät,'Leveranser per nät'!X$1,FALSE)
               +Andel_beroende_av_klimat*VLOOKUP($A18,Leveranser_per_nät,'Leveranser per nät'!X$1,FALSE)/VLOOKUP($B18,Korrigeringsfaktor_EI,'Korrigeringsfaktor EI'!X$1,FALSE),
"")</f>
        <v>94.788105263157902</v>
      </c>
      <c r="Y18" s="18">
        <f>IFERROR(
                  Andel_oberoende_av_klimat*VLOOKUP($A18,Leveranser_per_nät,'Leveranser per nät'!Y$1,FALSE)
               +Andel_beroende_av_klimat*VLOOKUP($A18,Leveranser_per_nät,'Leveranser per nät'!Y$1,FALSE)/VLOOKUP($B18,Korrigeringsfaktor_EI,'Korrigeringsfaktor EI'!Y$1,FALSE),
"")</f>
        <v>99.513307692307677</v>
      </c>
      <c r="Z18" s="18">
        <f>IFERROR(
                  Andel_oberoende_av_klimat*VLOOKUP($A18,Leveranser_per_nät,'Leveranser per nät'!Z$1,FALSE)
               +Andel_beroende_av_klimat*VLOOKUP($A18,Leveranser_per_nät,'Leveranser per nät'!Z$1,FALSE)/VLOOKUP($B18,Korrigeringsfaktor_EI,'Korrigeringsfaktor EI'!Z$1,FALSE),
"")</f>
        <v>97.829977528089898</v>
      </c>
      <c r="AA18" s="18">
        <f>IFERROR(
                  Andel_oberoende_av_klimat*VLOOKUP($A18,Leveranser_per_nät,'Leveranser per nät'!AA$1,FALSE)
               +Andel_beroende_av_klimat*VLOOKUP($A18,Leveranser_per_nät,'Leveranser per nät'!AA$1,FALSE)/VLOOKUP($B18,Korrigeringsfaktor_EI,'Korrigeringsfaktor EI'!AA$1,FALSE),
"")</f>
        <v>95.427662469863378</v>
      </c>
      <c r="AB18" s="18">
        <f>IFERROR(
                  Andel_oberoende_av_klimat*VLOOKUP($A18,Leveranser_per_nät,'Leveranser per nät'!AB$1,FALSE)
               +Andel_beroende_av_klimat*VLOOKUP($A18,Leveranser_per_nät,'Leveranser per nät'!AB$1,FALSE)/VLOOKUP($B18,Korrigeringsfaktor_EI,'Korrigeringsfaktor EI'!AB$1,FALSE),
"")</f>
        <v>97.557465753424651</v>
      </c>
      <c r="AC18" s="18">
        <f>IFERROR(
                  Andel_oberoende_av_klimat*VLOOKUP($A18,Leveranser_per_nät,'Leveranser per nät'!AC$1,FALSE)
               +Andel_beroende_av_klimat*VLOOKUP($A18,Leveranser_per_nät,'Leveranser per nät'!AC$1,FALSE)/VLOOKUP($B18,Korrigeringsfaktor_EI,'Korrigeringsfaktor EI'!AC$1,FALSE),
"")</f>
        <v>90.424323467230451</v>
      </c>
      <c r="AD18" t="e">
        <v>#N/A</v>
      </c>
    </row>
    <row r="19" spans="1:30" x14ac:dyDescent="0.25">
      <c r="A19" s="4" t="s">
        <v>392</v>
      </c>
      <c r="B19" t="s">
        <v>203</v>
      </c>
      <c r="C19" s="18">
        <f>IFERROR(
                  Andel_oberoende_av_klimat*VLOOKUP($A19,Leveranser_per_nät,'Leveranser per nät'!C$1,FALSE)
               +Andel_beroende_av_klimat*VLOOKUP($A19,Leveranser_per_nät,'Leveranser per nät'!C$1,FALSE)/VLOOKUP($B19,Korrigeringsfaktor_EI,'Korrigeringsfaktor EI'!C$1,FALSE),
"")</f>
        <v>0</v>
      </c>
      <c r="D19" s="18">
        <f>IFERROR(
                  Andel_oberoende_av_klimat*VLOOKUP($A19,Leveranser_per_nät,'Leveranser per nät'!D$1,FALSE)
               +Andel_beroende_av_klimat*VLOOKUP($A19,Leveranser_per_nät,'Leveranser per nät'!D$1,FALSE)/VLOOKUP($B19,Korrigeringsfaktor_EI,'Korrigeringsfaktor EI'!D$1,FALSE),
"")</f>
        <v>0</v>
      </c>
      <c r="E19" s="18">
        <f>IFERROR(
                  Andel_oberoende_av_klimat*VLOOKUP($A19,Leveranser_per_nät,'Leveranser per nät'!E$1,FALSE)
               +Andel_beroende_av_klimat*VLOOKUP($A19,Leveranser_per_nät,'Leveranser per nät'!E$1,FALSE)/VLOOKUP($B19,Korrigeringsfaktor_EI,'Korrigeringsfaktor EI'!E$1,FALSE),
"")</f>
        <v>0</v>
      </c>
      <c r="F19" s="18">
        <f>IFERROR(
                  Andel_oberoende_av_klimat*VLOOKUP($A19,Leveranser_per_nät,'Leveranser per nät'!F$1,FALSE)
               +Andel_beroende_av_klimat*VLOOKUP($A19,Leveranser_per_nät,'Leveranser per nät'!F$1,FALSE)/VLOOKUP($B19,Korrigeringsfaktor_EI,'Korrigeringsfaktor EI'!F$1,FALSE),
"")</f>
        <v>0</v>
      </c>
      <c r="G19" s="18">
        <f>IFERROR(
                  Andel_oberoende_av_klimat*VLOOKUP($A19,Leveranser_per_nät,'Leveranser per nät'!G$1,FALSE)
               +Andel_beroende_av_klimat*VLOOKUP($A19,Leveranser_per_nät,'Leveranser per nät'!G$1,FALSE)/VLOOKUP($B19,Korrigeringsfaktor_EI,'Korrigeringsfaktor EI'!G$1,FALSE),
"")</f>
        <v>0</v>
      </c>
      <c r="H19" s="18">
        <f>IFERROR(
                  Andel_oberoende_av_klimat*VLOOKUP($A19,Leveranser_per_nät,'Leveranser per nät'!H$1,FALSE)
               +Andel_beroende_av_klimat*VLOOKUP($A19,Leveranser_per_nät,'Leveranser per nät'!H$1,FALSE)/VLOOKUP($B19,Korrigeringsfaktor_EI,'Korrigeringsfaktor EI'!H$1,FALSE),
"")</f>
        <v>0</v>
      </c>
      <c r="I19" s="18">
        <f>IFERROR(
                  Andel_oberoende_av_klimat*VLOOKUP($A19,Leveranser_per_nät,'Leveranser per nät'!I$1,FALSE)
               +Andel_beroende_av_klimat*VLOOKUP($A19,Leveranser_per_nät,'Leveranser per nät'!I$1,FALSE)/VLOOKUP($B19,Korrigeringsfaktor_EI,'Korrigeringsfaktor EI'!I$1,FALSE),
"")</f>
        <v>0</v>
      </c>
      <c r="J19" s="18">
        <f>IFERROR(
                  Andel_oberoende_av_klimat*VLOOKUP($A19,Leveranser_per_nät,'Leveranser per nät'!J$1,FALSE)
               +Andel_beroende_av_klimat*VLOOKUP($A19,Leveranser_per_nät,'Leveranser per nät'!J$1,FALSE)/VLOOKUP($B19,Korrigeringsfaktor_EI,'Korrigeringsfaktor EI'!J$1,FALSE),
"")</f>
        <v>0</v>
      </c>
      <c r="K19" s="18">
        <f>IFERROR(
                  Andel_oberoende_av_klimat*VLOOKUP($A19,Leveranser_per_nät,'Leveranser per nät'!K$1,FALSE)
               +Andel_beroende_av_klimat*VLOOKUP($A19,Leveranser_per_nät,'Leveranser per nät'!K$1,FALSE)/VLOOKUP($B19,Korrigeringsfaktor_EI,'Korrigeringsfaktor EI'!K$1,FALSE),
"")</f>
        <v>0</v>
      </c>
      <c r="L19" s="18">
        <f>IFERROR(
                  Andel_oberoende_av_klimat*VLOOKUP($A19,Leveranser_per_nät,'Leveranser per nät'!L$1,FALSE)
               +Andel_beroende_av_klimat*VLOOKUP($A19,Leveranser_per_nät,'Leveranser per nät'!L$1,FALSE)/VLOOKUP($B19,Korrigeringsfaktor_EI,'Korrigeringsfaktor EI'!L$1,FALSE),
"")</f>
        <v>0</v>
      </c>
      <c r="M19" s="18">
        <f>IFERROR(
                  Andel_oberoende_av_klimat*VLOOKUP($A19,Leveranser_per_nät,'Leveranser per nät'!M$1,FALSE)
               +Andel_beroende_av_klimat*VLOOKUP($A19,Leveranser_per_nät,'Leveranser per nät'!M$1,FALSE)/VLOOKUP($B19,Korrigeringsfaktor_EI,'Korrigeringsfaktor EI'!M$1,FALSE),
"")</f>
        <v>0</v>
      </c>
      <c r="N19" s="18">
        <f>IFERROR(
                  Andel_oberoende_av_klimat*VLOOKUP($A19,Leveranser_per_nät,'Leveranser per nät'!N$1,FALSE)
               +Andel_beroende_av_klimat*VLOOKUP($A19,Leveranser_per_nät,'Leveranser per nät'!N$1,FALSE)/VLOOKUP($B19,Korrigeringsfaktor_EI,'Korrigeringsfaktor EI'!N$1,FALSE),
"")</f>
        <v>84.869565217391312</v>
      </c>
      <c r="O19" s="18">
        <f>IFERROR(
                  Andel_oberoende_av_klimat*VLOOKUP($A19,Leveranser_per_nät,'Leveranser per nät'!O$1,FALSE)
               +Andel_beroende_av_klimat*VLOOKUP($A19,Leveranser_per_nät,'Leveranser per nät'!O$1,FALSE)/VLOOKUP($B19,Korrigeringsfaktor_EI,'Korrigeringsfaktor EI'!O$1,FALSE),
"")</f>
        <v>85.110769230769222</v>
      </c>
      <c r="P19" s="18">
        <f>IFERROR(
                  Andel_oberoende_av_klimat*VLOOKUP($A19,Leveranser_per_nät,'Leveranser per nät'!P$1,FALSE)
               +Andel_beroende_av_klimat*VLOOKUP($A19,Leveranser_per_nät,'Leveranser per nät'!P$1,FALSE)/VLOOKUP($B19,Korrigeringsfaktor_EI,'Korrigeringsfaktor EI'!P$1,FALSE),
"")</f>
        <v>82.668457894736846</v>
      </c>
      <c r="Q19" s="18">
        <f>IFERROR(
                  Andel_oberoende_av_klimat*VLOOKUP($A19,Leveranser_per_nät,'Leveranser per nät'!Q$1,FALSE)
               +Andel_beroende_av_klimat*VLOOKUP($A19,Leveranser_per_nät,'Leveranser per nät'!Q$1,FALSE)/VLOOKUP($B19,Korrigeringsfaktor_EI,'Korrigeringsfaktor EI'!Q$1,FALSE),
"")</f>
        <v>94.002835398230104</v>
      </c>
      <c r="R19" s="18">
        <f>IFERROR(
                  Andel_oberoende_av_klimat*VLOOKUP($A19,Leveranser_per_nät,'Leveranser per nät'!R$1,FALSE)
               +Andel_beroende_av_klimat*VLOOKUP($A19,Leveranser_per_nät,'Leveranser per nät'!R$1,FALSE)/VLOOKUP($B19,Korrigeringsfaktor_EI,'Korrigeringsfaktor EI'!R$1,FALSE),
"")</f>
        <v>87.057311827956994</v>
      </c>
      <c r="S19" s="18">
        <f>IFERROR(
                  Andel_oberoende_av_klimat*VLOOKUP($A19,Leveranser_per_nät,'Leveranser per nät'!S$1,FALSE)
               +Andel_beroende_av_klimat*VLOOKUP($A19,Leveranser_per_nät,'Leveranser per nät'!S$1,FALSE)/VLOOKUP($B19,Korrigeringsfaktor_EI,'Korrigeringsfaktor EI'!S$1,FALSE),
"")</f>
        <v>88.764705882352942</v>
      </c>
      <c r="T19" s="18">
        <f>IFERROR(
                  Andel_oberoende_av_klimat*VLOOKUP($A19,Leveranser_per_nät,'Leveranser per nät'!T$1,FALSE)
               +Andel_beroende_av_klimat*VLOOKUP($A19,Leveranser_per_nät,'Leveranser per nät'!T$1,FALSE)/VLOOKUP($B19,Korrigeringsfaktor_EI,'Korrigeringsfaktor EI'!T$1,FALSE),
"")</f>
        <v>88.62222222222222</v>
      </c>
      <c r="U19" s="18">
        <f>IFERROR(
                  Andel_oberoende_av_klimat*VLOOKUP($A19,Leveranser_per_nät,'Leveranser per nät'!U$1,FALSE)
               +Andel_beroende_av_klimat*VLOOKUP($A19,Leveranser_per_nät,'Leveranser per nät'!U$1,FALSE)/VLOOKUP($B19,Korrigeringsfaktor_EI,'Korrigeringsfaktor EI'!U$1,FALSE),
"")</f>
        <v>76.462727272727264</v>
      </c>
      <c r="V19" s="18">
        <f>IFERROR(
                  Andel_oberoende_av_klimat*VLOOKUP($A19,Leveranser_per_nät,'Leveranser per nät'!V$1,FALSE)
               +Andel_beroende_av_klimat*VLOOKUP($A19,Leveranser_per_nät,'Leveranser per nät'!V$1,FALSE)/VLOOKUP($B19,Korrigeringsfaktor_EI,'Korrigeringsfaktor EI'!V$1,FALSE),
"")</f>
        <v>87.84</v>
      </c>
      <c r="W19" s="18">
        <f>IFERROR(
                  Andel_oberoende_av_klimat*VLOOKUP($A19,Leveranser_per_nät,'Leveranser per nät'!W$1,FALSE)
               +Andel_beroende_av_klimat*VLOOKUP($A19,Leveranser_per_nät,'Leveranser per nät'!W$1,FALSE)/VLOOKUP($B19,Korrigeringsfaktor_EI,'Korrigeringsfaktor EI'!W$1,FALSE),
"")</f>
        <v>87.890833333333347</v>
      </c>
      <c r="X19" s="18" t="str">
        <f>IFERROR(
                  Andel_oberoende_av_klimat*VLOOKUP($A19,Leveranser_per_nät,'Leveranser per nät'!X$1,FALSE)
               +Andel_beroende_av_klimat*VLOOKUP($A19,Leveranser_per_nät,'Leveranser per nät'!X$1,FALSE)/VLOOKUP($B19,Korrigeringsfaktor_EI,'Korrigeringsfaktor EI'!X$1,FALSE),
"")</f>
        <v/>
      </c>
      <c r="Y19" s="18" t="str">
        <f>IFERROR(
                  Andel_oberoende_av_klimat*VLOOKUP($A19,Leveranser_per_nät,'Leveranser per nät'!Y$1,FALSE)
               +Andel_beroende_av_klimat*VLOOKUP($A19,Leveranser_per_nät,'Leveranser per nät'!Y$1,FALSE)/VLOOKUP($B19,Korrigeringsfaktor_EI,'Korrigeringsfaktor EI'!Y$1,FALSE),
"")</f>
        <v/>
      </c>
      <c r="Z19" s="18">
        <f>IFERROR(
                  Andel_oberoende_av_klimat*VLOOKUP($A19,Leveranser_per_nät,'Leveranser per nät'!Z$1,FALSE)
               +Andel_beroende_av_klimat*VLOOKUP($A19,Leveranser_per_nät,'Leveranser per nät'!Z$1,FALSE)/VLOOKUP($B19,Korrigeringsfaktor_EI,'Korrigeringsfaktor EI'!Z$1,FALSE),
"")</f>
        <v>0</v>
      </c>
      <c r="AA19" s="18" t="str">
        <f>IFERROR(
                  Andel_oberoende_av_klimat*VLOOKUP($A19,Leveranser_per_nät,'Leveranser per nät'!AA$1,FALSE)
               +Andel_beroende_av_klimat*VLOOKUP($A19,Leveranser_per_nät,'Leveranser per nät'!AA$1,FALSE)/VLOOKUP($B19,Korrigeringsfaktor_EI,'Korrigeringsfaktor EI'!AA$1,FALSE),
"")</f>
        <v/>
      </c>
      <c r="AB19" s="18">
        <f>IFERROR(
                  Andel_oberoende_av_klimat*VLOOKUP($A19,Leveranser_per_nät,'Leveranser per nät'!AB$1,FALSE)
               +Andel_beroende_av_klimat*VLOOKUP($A19,Leveranser_per_nät,'Leveranser per nät'!AB$1,FALSE)/VLOOKUP($B19,Korrigeringsfaktor_EI,'Korrigeringsfaktor EI'!AB$1,FALSE),
"")</f>
        <v>0</v>
      </c>
      <c r="AC19" s="18">
        <f>IFERROR(
                  Andel_oberoende_av_klimat*VLOOKUP($A19,Leveranser_per_nät,'Leveranser per nät'!AC$1,FALSE)
               +Andel_beroende_av_klimat*VLOOKUP($A19,Leveranser_per_nät,'Leveranser per nät'!AC$1,FALSE)/VLOOKUP($B19,Korrigeringsfaktor_EI,'Korrigeringsfaktor EI'!AC$1,FALSE),
"")</f>
        <v>0</v>
      </c>
      <c r="AD19" t="e">
        <v>#N/A</v>
      </c>
    </row>
    <row r="20" spans="1:30" x14ac:dyDescent="0.25">
      <c r="A20" t="s">
        <v>118</v>
      </c>
      <c r="B20" t="s">
        <v>118</v>
      </c>
      <c r="C20" s="18">
        <f>IFERROR(
                  Andel_oberoende_av_klimat*VLOOKUP($A20,Leveranser_per_nät,'Leveranser per nät'!C$1,FALSE)
               +Andel_beroende_av_klimat*VLOOKUP($A20,Leveranser_per_nät,'Leveranser per nät'!C$1,FALSE)/VLOOKUP($B20,Korrigeringsfaktor_EI,'Korrigeringsfaktor EI'!C$1,FALSE),
"")</f>
        <v>147.9018691588785</v>
      </c>
      <c r="D20" s="18">
        <f>IFERROR(
                  Andel_oberoende_av_klimat*VLOOKUP($A20,Leveranser_per_nät,'Leveranser per nät'!D$1,FALSE)
               +Andel_beroende_av_klimat*VLOOKUP($A20,Leveranser_per_nät,'Leveranser per nät'!D$1,FALSE)/VLOOKUP($B20,Korrigeringsfaktor_EI,'Korrigeringsfaktor EI'!D$1,FALSE),
"")</f>
        <v>157.32870833333334</v>
      </c>
      <c r="E20" s="18">
        <f>IFERROR(
                  Andel_oberoende_av_klimat*VLOOKUP($A20,Leveranser_per_nät,'Leveranser per nät'!E$1,FALSE)
               +Andel_beroende_av_klimat*VLOOKUP($A20,Leveranser_per_nät,'Leveranser per nät'!E$1,FALSE)/VLOOKUP($B20,Korrigeringsfaktor_EI,'Korrigeringsfaktor EI'!E$1,FALSE),
"")</f>
        <v>168.65294117647059</v>
      </c>
      <c r="F20" s="18">
        <f>IFERROR(
                  Andel_oberoende_av_klimat*VLOOKUP($A20,Leveranser_per_nät,'Leveranser per nät'!F$1,FALSE)
               +Andel_beroende_av_klimat*VLOOKUP($A20,Leveranser_per_nät,'Leveranser per nät'!F$1,FALSE)/VLOOKUP($B20,Korrigeringsfaktor_EI,'Korrigeringsfaktor EI'!F$1,FALSE),
"")</f>
        <v>177.70264639175258</v>
      </c>
      <c r="G20" s="18">
        <f>IFERROR(
                  Andel_oberoende_av_klimat*VLOOKUP($A20,Leveranser_per_nät,'Leveranser per nät'!G$1,FALSE)
               +Andel_beroende_av_klimat*VLOOKUP($A20,Leveranser_per_nät,'Leveranser per nät'!G$1,FALSE)/VLOOKUP($B20,Korrigeringsfaktor_EI,'Korrigeringsfaktor EI'!G$1,FALSE),
"")</f>
        <v>174.34887777777777</v>
      </c>
      <c r="H20" s="18">
        <f>IFERROR(
                  Andel_oberoende_av_klimat*VLOOKUP($A20,Leveranser_per_nät,'Leveranser per nät'!H$1,FALSE)
               +Andel_beroende_av_klimat*VLOOKUP($A20,Leveranser_per_nät,'Leveranser per nät'!H$1,FALSE)/VLOOKUP($B20,Korrigeringsfaktor_EI,'Korrigeringsfaktor EI'!H$1,FALSE),
"")</f>
        <v>186</v>
      </c>
      <c r="I20" s="18">
        <f>IFERROR(
                  Andel_oberoende_av_klimat*VLOOKUP($A20,Leveranser_per_nät,'Leveranser per nät'!I$1,FALSE)
               +Andel_beroende_av_klimat*VLOOKUP($A20,Leveranser_per_nät,'Leveranser per nät'!I$1,FALSE)/VLOOKUP($B20,Korrigeringsfaktor_EI,'Korrigeringsfaktor EI'!I$1,FALSE),
"")</f>
        <v>231.91443298969074</v>
      </c>
      <c r="J20" s="18">
        <f>IFERROR(
                  Andel_oberoende_av_klimat*VLOOKUP($A20,Leveranser_per_nät,'Leveranser per nät'!J$1,FALSE)
               +Andel_beroende_av_klimat*VLOOKUP($A20,Leveranser_per_nät,'Leveranser per nät'!J$1,FALSE)/VLOOKUP($B20,Korrigeringsfaktor_EI,'Korrigeringsfaktor EI'!J$1,FALSE),
"")</f>
        <v>197.78571428571428</v>
      </c>
      <c r="K20" s="18">
        <f>IFERROR(
                  Andel_oberoende_av_klimat*VLOOKUP($A20,Leveranser_per_nät,'Leveranser per nät'!K$1,FALSE)
               +Andel_beroende_av_klimat*VLOOKUP($A20,Leveranser_per_nät,'Leveranser per nät'!K$1,FALSE)/VLOOKUP($B20,Korrigeringsfaktor_EI,'Korrigeringsfaktor EI'!K$1,FALSE),
"")</f>
        <v>0</v>
      </c>
      <c r="L20" s="18">
        <f>IFERROR(
                  Andel_oberoende_av_klimat*VLOOKUP($A20,Leveranser_per_nät,'Leveranser per nät'!L$1,FALSE)
               +Andel_beroende_av_klimat*VLOOKUP($A20,Leveranser_per_nät,'Leveranser per nät'!L$1,FALSE)/VLOOKUP($B20,Korrigeringsfaktor_EI,'Korrigeringsfaktor EI'!L$1,FALSE),
"")</f>
        <v>0</v>
      </c>
      <c r="M20" s="18">
        <f>IFERROR(
                  Andel_oberoende_av_klimat*VLOOKUP($A20,Leveranser_per_nät,'Leveranser per nät'!M$1,FALSE)
               +Andel_beroende_av_klimat*VLOOKUP($A20,Leveranser_per_nät,'Leveranser per nät'!M$1,FALSE)/VLOOKUP($B20,Korrigeringsfaktor_EI,'Korrigeringsfaktor EI'!M$1,FALSE),
"")</f>
        <v>0</v>
      </c>
      <c r="N20" s="18">
        <f>IFERROR(
                  Andel_oberoende_av_klimat*VLOOKUP($A20,Leveranser_per_nät,'Leveranser per nät'!N$1,FALSE)
               +Andel_beroende_av_klimat*VLOOKUP($A20,Leveranser_per_nät,'Leveranser per nät'!N$1,FALSE)/VLOOKUP($B20,Korrigeringsfaktor_EI,'Korrigeringsfaktor EI'!N$1,FALSE),
"")</f>
        <v>0</v>
      </c>
      <c r="O20" s="18">
        <f>IFERROR(
                  Andel_oberoende_av_klimat*VLOOKUP($A20,Leveranser_per_nät,'Leveranser per nät'!O$1,FALSE)
               +Andel_beroende_av_klimat*VLOOKUP($A20,Leveranser_per_nät,'Leveranser per nät'!O$1,FALSE)/VLOOKUP($B20,Korrigeringsfaktor_EI,'Korrigeringsfaktor EI'!O$1,FALSE),
"")</f>
        <v>0</v>
      </c>
      <c r="P20" s="18">
        <f>IFERROR(
                  Andel_oberoende_av_klimat*VLOOKUP($A20,Leveranser_per_nät,'Leveranser per nät'!P$1,FALSE)
               +Andel_beroende_av_klimat*VLOOKUP($A20,Leveranser_per_nät,'Leveranser per nät'!P$1,FALSE)/VLOOKUP($B20,Korrigeringsfaktor_EI,'Korrigeringsfaktor EI'!P$1,FALSE),
"")</f>
        <v>205.69714285714286</v>
      </c>
      <c r="Q20" s="18">
        <f>IFERROR(
                  Andel_oberoende_av_klimat*VLOOKUP($A20,Leveranser_per_nät,'Leveranser per nät'!Q$1,FALSE)
               +Andel_beroende_av_klimat*VLOOKUP($A20,Leveranser_per_nät,'Leveranser per nät'!Q$1,FALSE)/VLOOKUP($B20,Korrigeringsfaktor_EI,'Korrigeringsfaktor EI'!Q$1,FALSE),
"")</f>
        <v>202.28318584070797</v>
      </c>
      <c r="R20" s="18">
        <f>IFERROR(
                  Andel_oberoende_av_klimat*VLOOKUP($A20,Leveranser_per_nät,'Leveranser per nät'!R$1,FALSE)
               +Andel_beroende_av_klimat*VLOOKUP($A20,Leveranser_per_nät,'Leveranser per nät'!R$1,FALSE)/VLOOKUP($B20,Korrigeringsfaktor_EI,'Korrigeringsfaktor EI'!R$1,FALSE),
"")</f>
        <v>210.63846153846151</v>
      </c>
      <c r="S20" s="18">
        <f>IFERROR(
                  Andel_oberoende_av_klimat*VLOOKUP($A20,Leveranser_per_nät,'Leveranser per nät'!S$1,FALSE)
               +Andel_beroende_av_klimat*VLOOKUP($A20,Leveranser_per_nät,'Leveranser per nät'!S$1,FALSE)/VLOOKUP($B20,Korrigeringsfaktor_EI,'Korrigeringsfaktor EI'!S$1,FALSE),
"")</f>
        <v>221</v>
      </c>
      <c r="T20" s="18">
        <f>IFERROR(
                  Andel_oberoende_av_klimat*VLOOKUP($A20,Leveranser_per_nät,'Leveranser per nät'!T$1,FALSE)
               +Andel_beroende_av_klimat*VLOOKUP($A20,Leveranser_per_nät,'Leveranser per nät'!T$1,FALSE)/VLOOKUP($B20,Korrigeringsfaktor_EI,'Korrigeringsfaktor EI'!T$1,FALSE),
"")</f>
        <v>226.048225</v>
      </c>
      <c r="U20" s="18">
        <f>IFERROR(
                  Andel_oberoende_av_klimat*VLOOKUP($A20,Leveranser_per_nät,'Leveranser per nät'!U$1,FALSE)
               +Andel_beroende_av_klimat*VLOOKUP($A20,Leveranser_per_nät,'Leveranser per nät'!U$1,FALSE)/VLOOKUP($B20,Korrigeringsfaktor_EI,'Korrigeringsfaktor EI'!U$1,FALSE),
"")</f>
        <v>217.70953043478258</v>
      </c>
      <c r="V20" s="18">
        <f>IFERROR(
                  Andel_oberoende_av_klimat*VLOOKUP($A20,Leveranser_per_nät,'Leveranser per nät'!V$1,FALSE)
               +Andel_beroende_av_klimat*VLOOKUP($A20,Leveranser_per_nät,'Leveranser per nät'!V$1,FALSE)/VLOOKUP($B20,Korrigeringsfaktor_EI,'Korrigeringsfaktor EI'!V$1,FALSE),
"")</f>
        <v>222.45798260869566</v>
      </c>
      <c r="W20" s="18">
        <f>IFERROR(
                  Andel_oberoende_av_klimat*VLOOKUP($A20,Leveranser_per_nät,'Leveranser per nät'!W$1,FALSE)
               +Andel_beroende_av_klimat*VLOOKUP($A20,Leveranser_per_nät,'Leveranser per nät'!W$1,FALSE)/VLOOKUP($B20,Korrigeringsfaktor_EI,'Korrigeringsfaktor EI'!W$1,FALSE),
"")</f>
        <v>229.06368333333333</v>
      </c>
      <c r="X20" s="18">
        <f>IFERROR(
                  Andel_oberoende_av_klimat*VLOOKUP($A20,Leveranser_per_nät,'Leveranser per nät'!X$1,FALSE)
               +Andel_beroende_av_klimat*VLOOKUP($A20,Leveranser_per_nät,'Leveranser per nät'!X$1,FALSE)/VLOOKUP($B20,Korrigeringsfaktor_EI,'Korrigeringsfaktor EI'!X$1,FALSE),
"")</f>
        <v>222.75308421052631</v>
      </c>
      <c r="Y20" s="18">
        <f>IFERROR(
                  Andel_oberoende_av_klimat*VLOOKUP($A20,Leveranser_per_nät,'Leveranser per nät'!Y$1,FALSE)
               +Andel_beroende_av_klimat*VLOOKUP($A20,Leveranser_per_nät,'Leveranser per nät'!Y$1,FALSE)/VLOOKUP($B20,Korrigeringsfaktor_EI,'Korrigeringsfaktor EI'!Y$1,FALSE),
"")</f>
        <v>215.67478260869566</v>
      </c>
      <c r="Z20" s="18">
        <f>IFERROR(
                  Andel_oberoende_av_klimat*VLOOKUP($A20,Leveranser_per_nät,'Leveranser per nät'!Z$1,FALSE)
               +Andel_beroende_av_klimat*VLOOKUP($A20,Leveranser_per_nät,'Leveranser per nät'!Z$1,FALSE)/VLOOKUP($B20,Korrigeringsfaktor_EI,'Korrigeringsfaktor EI'!Z$1,FALSE),
"")</f>
        <v>135.42000000000002</v>
      </c>
      <c r="AA20" s="18">
        <f>IFERROR(
                  Andel_oberoende_av_klimat*VLOOKUP($A20,Leveranser_per_nät,'Leveranser per nät'!AA$1,FALSE)
               +Andel_beroende_av_klimat*VLOOKUP($A20,Leveranser_per_nät,'Leveranser per nät'!AA$1,FALSE)/VLOOKUP($B20,Korrigeringsfaktor_EI,'Korrigeringsfaktor EI'!AA$1,FALSE),
"")</f>
        <v>129.3418294449902</v>
      </c>
      <c r="AB20" s="18">
        <f>IFERROR(
                  Andel_oberoende_av_klimat*VLOOKUP($A20,Leveranser_per_nät,'Leveranser per nät'!AB$1,FALSE)
               +Andel_beroende_av_klimat*VLOOKUP($A20,Leveranser_per_nät,'Leveranser per nät'!AB$1,FALSE)/VLOOKUP($B20,Korrigeringsfaktor_EI,'Korrigeringsfaktor EI'!AB$1,FALSE),
"")</f>
        <v>127.80498944723618</v>
      </c>
      <c r="AC20" s="18">
        <f>IFERROR(
                  Andel_oberoende_av_klimat*VLOOKUP($A20,Leveranser_per_nät,'Leveranser per nät'!AC$1,FALSE)
               +Andel_beroende_av_klimat*VLOOKUP($A20,Leveranser_per_nät,'Leveranser per nät'!AC$1,FALSE)/VLOOKUP($B20,Korrigeringsfaktor_EI,'Korrigeringsfaktor EI'!AC$1,FALSE),
"")</f>
        <v>120.96861951219513</v>
      </c>
      <c r="AD20">
        <v>116.05800000000001</v>
      </c>
    </row>
    <row r="21" spans="1:30" x14ac:dyDescent="0.25">
      <c r="A21" t="s">
        <v>158</v>
      </c>
      <c r="B21" t="s">
        <v>160</v>
      </c>
      <c r="C21" s="18">
        <f>IFERROR(
                  Andel_oberoende_av_klimat*VLOOKUP($A21,Leveranser_per_nät,'Leveranser per nät'!C$1,FALSE)
               +Andel_beroende_av_klimat*VLOOKUP($A21,Leveranser_per_nät,'Leveranser per nät'!C$1,FALSE)/VLOOKUP($B21,Korrigeringsfaktor_EI,'Korrigeringsfaktor EI'!C$1,FALSE),
"")</f>
        <v>12.172727272727272</v>
      </c>
      <c r="D21" s="18">
        <f>IFERROR(
                  Andel_oberoende_av_klimat*VLOOKUP($A21,Leveranser_per_nät,'Leveranser per nät'!D$1,FALSE)
               +Andel_beroende_av_klimat*VLOOKUP($A21,Leveranser_per_nät,'Leveranser per nät'!D$1,FALSE)/VLOOKUP($B21,Korrigeringsfaktor_EI,'Korrigeringsfaktor EI'!D$1,FALSE),
"")</f>
        <v>11.17</v>
      </c>
      <c r="E21" s="18">
        <f>IFERROR(
                  Andel_oberoende_av_klimat*VLOOKUP($A21,Leveranser_per_nät,'Leveranser per nät'!E$1,FALSE)
               +Andel_beroende_av_klimat*VLOOKUP($A21,Leveranser_per_nät,'Leveranser per nät'!E$1,FALSE)/VLOOKUP($B21,Korrigeringsfaktor_EI,'Korrigeringsfaktor EI'!E$1,FALSE),
"")</f>
        <v>11.676923076923075</v>
      </c>
      <c r="F21" s="18">
        <f>IFERROR(
                  Andel_oberoende_av_klimat*VLOOKUP($A21,Leveranser_per_nät,'Leveranser per nät'!F$1,FALSE)
               +Andel_beroende_av_klimat*VLOOKUP($A21,Leveranser_per_nät,'Leveranser per nät'!F$1,FALSE)/VLOOKUP($B21,Korrigeringsfaktor_EI,'Korrigeringsfaktor EI'!F$1,FALSE),
"")</f>
        <v>11.238144329896908</v>
      </c>
      <c r="G21" s="18">
        <f>IFERROR(
                  Andel_oberoende_av_klimat*VLOOKUP($A21,Leveranser_per_nät,'Leveranser per nät'!G$1,FALSE)
               +Andel_beroende_av_klimat*VLOOKUP($A21,Leveranser_per_nät,'Leveranser per nät'!G$1,FALSE)/VLOOKUP($B21,Korrigeringsfaktor_EI,'Korrigeringsfaktor EI'!G$1,FALSE),
"")</f>
        <v>11.761538461538461</v>
      </c>
      <c r="H21" s="18">
        <f>IFERROR(
                  Andel_oberoende_av_klimat*VLOOKUP($A21,Leveranser_per_nät,'Leveranser per nät'!H$1,FALSE)
               +Andel_beroende_av_klimat*VLOOKUP($A21,Leveranser_per_nät,'Leveranser per nät'!H$1,FALSE)/VLOOKUP($B21,Korrigeringsfaktor_EI,'Korrigeringsfaktor EI'!H$1,FALSE),
"")</f>
        <v>12.909900990099009</v>
      </c>
      <c r="I21" s="18">
        <f>IFERROR(
                  Andel_oberoende_av_klimat*VLOOKUP($A21,Leveranser_per_nät,'Leveranser per nät'!I$1,FALSE)
               +Andel_beroende_av_klimat*VLOOKUP($A21,Leveranser_per_nät,'Leveranser per nät'!I$1,FALSE)/VLOOKUP($B21,Korrigeringsfaktor_EI,'Korrigeringsfaktor EI'!I$1,FALSE),
"")</f>
        <v>17.626315789473683</v>
      </c>
      <c r="J21" s="18">
        <f>IFERROR(
                  Andel_oberoende_av_klimat*VLOOKUP($A21,Leveranser_per_nät,'Leveranser per nät'!J$1,FALSE)
               +Andel_beroende_av_klimat*VLOOKUP($A21,Leveranser_per_nät,'Leveranser per nät'!J$1,FALSE)/VLOOKUP($B21,Korrigeringsfaktor_EI,'Korrigeringsfaktor EI'!J$1,FALSE),
"")</f>
        <v>17.368041237113403</v>
      </c>
      <c r="K21" s="18">
        <f>IFERROR(
                  Andel_oberoende_av_klimat*VLOOKUP($A21,Leveranser_per_nät,'Leveranser per nät'!K$1,FALSE)
               +Andel_beroende_av_klimat*VLOOKUP($A21,Leveranser_per_nät,'Leveranser per nät'!K$1,FALSE)/VLOOKUP($B21,Korrigeringsfaktor_EI,'Korrigeringsfaktor EI'!K$1,FALSE),
"")</f>
        <v>22.447606060606059</v>
      </c>
      <c r="L21" s="18">
        <f>IFERROR(
                  Andel_oberoende_av_klimat*VLOOKUP($A21,Leveranser_per_nät,'Leveranser per nät'!L$1,FALSE)
               +Andel_beroende_av_klimat*VLOOKUP($A21,Leveranser_per_nät,'Leveranser per nät'!L$1,FALSE)/VLOOKUP($B21,Korrigeringsfaktor_EI,'Korrigeringsfaktor EI'!L$1,FALSE),
"")</f>
        <v>26.23242916666667</v>
      </c>
      <c r="M21" s="18">
        <f>IFERROR(
                  Andel_oberoende_av_klimat*VLOOKUP($A21,Leveranser_per_nät,'Leveranser per nät'!M$1,FALSE)
               +Andel_beroende_av_klimat*VLOOKUP($A21,Leveranser_per_nät,'Leveranser per nät'!M$1,FALSE)/VLOOKUP($B21,Korrigeringsfaktor_EI,'Korrigeringsfaktor EI'!M$1,FALSE),
"")</f>
        <v>31.295652173913041</v>
      </c>
      <c r="N21" s="18">
        <f>IFERROR(
                  Andel_oberoende_av_klimat*VLOOKUP($A21,Leveranser_per_nät,'Leveranser per nät'!N$1,FALSE)
               +Andel_beroende_av_klimat*VLOOKUP($A21,Leveranser_per_nät,'Leveranser per nät'!N$1,FALSE)/VLOOKUP($B21,Korrigeringsfaktor_EI,'Korrigeringsfaktor EI'!N$1,FALSE),
"")</f>
        <v>33.682022471910116</v>
      </c>
      <c r="O21" s="18">
        <f>IFERROR(
                  Andel_oberoende_av_klimat*VLOOKUP($A21,Leveranser_per_nät,'Leveranser per nät'!O$1,FALSE)
               +Andel_beroende_av_klimat*VLOOKUP($A21,Leveranser_per_nät,'Leveranser per nät'!O$1,FALSE)/VLOOKUP($B21,Korrigeringsfaktor_EI,'Korrigeringsfaktor EI'!O$1,FALSE),
"")</f>
        <v>32.518362921348313</v>
      </c>
      <c r="P21" s="18">
        <f>IFERROR(
                  Andel_oberoende_av_klimat*VLOOKUP($A21,Leveranser_per_nät,'Leveranser per nät'!P$1,FALSE)
               +Andel_beroende_av_klimat*VLOOKUP($A21,Leveranser_per_nät,'Leveranser per nät'!P$1,FALSE)/VLOOKUP($B21,Korrigeringsfaktor_EI,'Korrigeringsfaktor EI'!P$1,FALSE),
"")</f>
        <v>35.434536559139787</v>
      </c>
      <c r="Q21" s="18">
        <f>IFERROR(
                  Andel_oberoende_av_klimat*VLOOKUP($A21,Leveranser_per_nät,'Leveranser per nät'!Q$1,FALSE)
               +Andel_beroende_av_klimat*VLOOKUP($A21,Leveranser_per_nät,'Leveranser per nät'!Q$1,FALSE)/VLOOKUP($B21,Korrigeringsfaktor_EI,'Korrigeringsfaktor EI'!Q$1,FALSE),
"")</f>
        <v>36.44719357798165</v>
      </c>
      <c r="R21" s="18">
        <f>IFERROR(
                  Andel_oberoende_av_klimat*VLOOKUP($A21,Leveranser_per_nät,'Leveranser per nät'!R$1,FALSE)
               +Andel_beroende_av_klimat*VLOOKUP($A21,Leveranser_per_nät,'Leveranser per nät'!R$1,FALSE)/VLOOKUP($B21,Korrigeringsfaktor_EI,'Korrigeringsfaktor EI'!R$1,FALSE),
"")</f>
        <v>35.243333333333339</v>
      </c>
      <c r="S21" s="18">
        <f>IFERROR(
                  Andel_oberoende_av_klimat*VLOOKUP($A21,Leveranser_per_nät,'Leveranser per nät'!S$1,FALSE)
               +Andel_beroende_av_klimat*VLOOKUP($A21,Leveranser_per_nät,'Leveranser per nät'!S$1,FALSE)/VLOOKUP($B21,Korrigeringsfaktor_EI,'Korrigeringsfaktor EI'!S$1,FALSE),
"")</f>
        <v>36.51428571428572</v>
      </c>
      <c r="T21" s="18" t="str">
        <f>IFERROR(
                  Andel_oberoende_av_klimat*VLOOKUP($A21,Leveranser_per_nät,'Leveranser per nät'!T$1,FALSE)
               +Andel_beroende_av_klimat*VLOOKUP($A21,Leveranser_per_nät,'Leveranser per nät'!T$1,FALSE)/VLOOKUP($B21,Korrigeringsfaktor_EI,'Korrigeringsfaktor EI'!T$1,FALSE),
"")</f>
        <v/>
      </c>
      <c r="U21" s="18">
        <f>IFERROR(
                  Andel_oberoende_av_klimat*VLOOKUP($A21,Leveranser_per_nät,'Leveranser per nät'!U$1,FALSE)
               +Andel_beroende_av_klimat*VLOOKUP($A21,Leveranser_per_nät,'Leveranser per nät'!U$1,FALSE)/VLOOKUP($B21,Korrigeringsfaktor_EI,'Korrigeringsfaktor EI'!U$1,FALSE),
"")</f>
        <v>0</v>
      </c>
      <c r="V21" s="18" t="str">
        <f>IFERROR(
                  Andel_oberoende_av_klimat*VLOOKUP($A21,Leveranser_per_nät,'Leveranser per nät'!V$1,FALSE)
               +Andel_beroende_av_klimat*VLOOKUP($A21,Leveranser_per_nät,'Leveranser per nät'!V$1,FALSE)/VLOOKUP($B21,Korrigeringsfaktor_EI,'Korrigeringsfaktor EI'!V$1,FALSE),
"")</f>
        <v/>
      </c>
      <c r="W21" s="18" t="str">
        <f>IFERROR(
                  Andel_oberoende_av_klimat*VLOOKUP($A21,Leveranser_per_nät,'Leveranser per nät'!W$1,FALSE)
               +Andel_beroende_av_klimat*VLOOKUP($A21,Leveranser_per_nät,'Leveranser per nät'!W$1,FALSE)/VLOOKUP($B21,Korrigeringsfaktor_EI,'Korrigeringsfaktor EI'!W$1,FALSE),
"")</f>
        <v/>
      </c>
      <c r="X21" s="18" t="str">
        <f>IFERROR(
                  Andel_oberoende_av_klimat*VLOOKUP($A21,Leveranser_per_nät,'Leveranser per nät'!X$1,FALSE)
               +Andel_beroende_av_klimat*VLOOKUP($A21,Leveranser_per_nät,'Leveranser per nät'!X$1,FALSE)/VLOOKUP($B21,Korrigeringsfaktor_EI,'Korrigeringsfaktor EI'!X$1,FALSE),
"")</f>
        <v/>
      </c>
      <c r="Y21" s="18" t="str">
        <f>IFERROR(
                  Andel_oberoende_av_klimat*VLOOKUP($A21,Leveranser_per_nät,'Leveranser per nät'!Y$1,FALSE)
               +Andel_beroende_av_klimat*VLOOKUP($A21,Leveranser_per_nät,'Leveranser per nät'!Y$1,FALSE)/VLOOKUP($B21,Korrigeringsfaktor_EI,'Korrigeringsfaktor EI'!Y$1,FALSE),
"")</f>
        <v/>
      </c>
      <c r="Z21" s="18">
        <f>IFERROR(
                  Andel_oberoende_av_klimat*VLOOKUP($A21,Leveranser_per_nät,'Leveranser per nät'!Z$1,FALSE)
               +Andel_beroende_av_klimat*VLOOKUP($A21,Leveranser_per_nät,'Leveranser per nät'!Z$1,FALSE)/VLOOKUP($B21,Korrigeringsfaktor_EI,'Korrigeringsfaktor EI'!Z$1,FALSE),
"")</f>
        <v>0</v>
      </c>
      <c r="AA21" s="18" t="str">
        <f>IFERROR(
                  Andel_oberoende_av_klimat*VLOOKUP($A21,Leveranser_per_nät,'Leveranser per nät'!AA$1,FALSE)
               +Andel_beroende_av_klimat*VLOOKUP($A21,Leveranser_per_nät,'Leveranser per nät'!AA$1,FALSE)/VLOOKUP($B21,Korrigeringsfaktor_EI,'Korrigeringsfaktor EI'!AA$1,FALSE),
"")</f>
        <v/>
      </c>
      <c r="AB21" s="18">
        <f>IFERROR(
                  Andel_oberoende_av_klimat*VLOOKUP($A21,Leveranser_per_nät,'Leveranser per nät'!AB$1,FALSE)
               +Andel_beroende_av_klimat*VLOOKUP($A21,Leveranser_per_nät,'Leveranser per nät'!AB$1,FALSE)/VLOOKUP($B21,Korrigeringsfaktor_EI,'Korrigeringsfaktor EI'!AB$1,FALSE),
"")</f>
        <v>0</v>
      </c>
      <c r="AC21" s="18">
        <f>IFERROR(
                  Andel_oberoende_av_klimat*VLOOKUP($A21,Leveranser_per_nät,'Leveranser per nät'!AC$1,FALSE)
               +Andel_beroende_av_klimat*VLOOKUP($A21,Leveranser_per_nät,'Leveranser per nät'!AC$1,FALSE)/VLOOKUP($B21,Korrigeringsfaktor_EI,'Korrigeringsfaktor EI'!AC$1,FALSE),
"")</f>
        <v>0</v>
      </c>
      <c r="AD21">
        <v>711.67200000000003</v>
      </c>
    </row>
    <row r="22" spans="1:30" x14ac:dyDescent="0.25">
      <c r="A22" t="s">
        <v>85</v>
      </c>
      <c r="B22" t="s">
        <v>460</v>
      </c>
      <c r="C22" s="18">
        <f>IFERROR(
                  Andel_oberoende_av_klimat*VLOOKUP($A22,Leveranser_per_nät,'Leveranser per nät'!C$1,FALSE)
               +Andel_beroende_av_klimat*VLOOKUP($A22,Leveranser_per_nät,'Leveranser per nät'!C$1,FALSE)/VLOOKUP($B22,Korrigeringsfaktor_EI,'Korrigeringsfaktor EI'!C$1,FALSE),
"")</f>
        <v>0</v>
      </c>
      <c r="D22" s="18">
        <f>IFERROR(
                  Andel_oberoende_av_klimat*VLOOKUP($A22,Leveranser_per_nät,'Leveranser per nät'!D$1,FALSE)
               +Andel_beroende_av_klimat*VLOOKUP($A22,Leveranser_per_nät,'Leveranser per nät'!D$1,FALSE)/VLOOKUP($B22,Korrigeringsfaktor_EI,'Korrigeringsfaktor EI'!D$1,FALSE),
"")</f>
        <v>0</v>
      </c>
      <c r="E22" s="18">
        <f>IFERROR(
                  Andel_oberoende_av_klimat*VLOOKUP($A22,Leveranser_per_nät,'Leveranser per nät'!E$1,FALSE)
               +Andel_beroende_av_klimat*VLOOKUP($A22,Leveranser_per_nät,'Leveranser per nät'!E$1,FALSE)/VLOOKUP($B22,Korrigeringsfaktor_EI,'Korrigeringsfaktor EI'!E$1,FALSE),
"")</f>
        <v>0</v>
      </c>
      <c r="F22" s="18">
        <f>IFERROR(
                  Andel_oberoende_av_klimat*VLOOKUP($A22,Leveranser_per_nät,'Leveranser per nät'!F$1,FALSE)
               +Andel_beroende_av_klimat*VLOOKUP($A22,Leveranser_per_nät,'Leveranser per nät'!F$1,FALSE)/VLOOKUP($B22,Korrigeringsfaktor_EI,'Korrigeringsfaktor EI'!F$1,FALSE),
"")</f>
        <v>0</v>
      </c>
      <c r="G22" s="18">
        <f>IFERROR(
                  Andel_oberoende_av_klimat*VLOOKUP($A22,Leveranser_per_nät,'Leveranser per nät'!G$1,FALSE)
               +Andel_beroende_av_klimat*VLOOKUP($A22,Leveranser_per_nät,'Leveranser per nät'!G$1,FALSE)/VLOOKUP($B22,Korrigeringsfaktor_EI,'Korrigeringsfaktor EI'!G$1,FALSE),
"")</f>
        <v>0</v>
      </c>
      <c r="H22" s="18">
        <f>IFERROR(
                  Andel_oberoende_av_klimat*VLOOKUP($A22,Leveranser_per_nät,'Leveranser per nät'!H$1,FALSE)
               +Andel_beroende_av_klimat*VLOOKUP($A22,Leveranser_per_nät,'Leveranser per nät'!H$1,FALSE)/VLOOKUP($B22,Korrigeringsfaktor_EI,'Korrigeringsfaktor EI'!H$1,FALSE),
"")</f>
        <v>0</v>
      </c>
      <c r="I22" s="18">
        <f>IFERROR(
                  Andel_oberoende_av_klimat*VLOOKUP($A22,Leveranser_per_nät,'Leveranser per nät'!I$1,FALSE)
               +Andel_beroende_av_klimat*VLOOKUP($A22,Leveranser_per_nät,'Leveranser per nät'!I$1,FALSE)/VLOOKUP($B22,Korrigeringsfaktor_EI,'Korrigeringsfaktor EI'!I$1,FALSE),
"")</f>
        <v>0</v>
      </c>
      <c r="J22" s="18">
        <f>IFERROR(
                  Andel_oberoende_av_klimat*VLOOKUP($A22,Leveranser_per_nät,'Leveranser per nät'!J$1,FALSE)
               +Andel_beroende_av_klimat*VLOOKUP($A22,Leveranser_per_nät,'Leveranser per nät'!J$1,FALSE)/VLOOKUP($B22,Korrigeringsfaktor_EI,'Korrigeringsfaktor EI'!J$1,FALSE),
"")</f>
        <v>0</v>
      </c>
      <c r="K22" s="18">
        <f>IFERROR(
                  Andel_oberoende_av_klimat*VLOOKUP($A22,Leveranser_per_nät,'Leveranser per nät'!K$1,FALSE)
               +Andel_beroende_av_klimat*VLOOKUP($A22,Leveranser_per_nät,'Leveranser per nät'!K$1,FALSE)/VLOOKUP($B22,Korrigeringsfaktor_EI,'Korrigeringsfaktor EI'!K$1,FALSE),
"")</f>
        <v>0</v>
      </c>
      <c r="L22" s="18">
        <f>IFERROR(
                  Andel_oberoende_av_klimat*VLOOKUP($A22,Leveranser_per_nät,'Leveranser per nät'!L$1,FALSE)
               +Andel_beroende_av_klimat*VLOOKUP($A22,Leveranser_per_nät,'Leveranser per nät'!L$1,FALSE)/VLOOKUP($B22,Korrigeringsfaktor_EI,'Korrigeringsfaktor EI'!L$1,FALSE),
"")</f>
        <v>9.9670322023512732</v>
      </c>
      <c r="M22" s="18">
        <f>IFERROR(
                  Andel_oberoende_av_klimat*VLOOKUP($A22,Leveranser_per_nät,'Leveranser per nät'!M$1,FALSE)
               +Andel_beroende_av_klimat*VLOOKUP($A22,Leveranser_per_nät,'Leveranser per nät'!M$1,FALSE)/VLOOKUP($B22,Korrigeringsfaktor_EI,'Korrigeringsfaktor EI'!M$1,FALSE),
"")</f>
        <v>7.7443478260869565</v>
      </c>
      <c r="N22" s="18">
        <f>IFERROR(
                  Andel_oberoende_av_klimat*VLOOKUP($A22,Leveranser_per_nät,'Leveranser per nät'!N$1,FALSE)
               +Andel_beroende_av_klimat*VLOOKUP($A22,Leveranser_per_nät,'Leveranser per nät'!N$1,FALSE)/VLOOKUP($B22,Korrigeringsfaktor_EI,'Korrigeringsfaktor EI'!N$1,FALSE),
"")</f>
        <v>7.7185727272727274</v>
      </c>
      <c r="O22" s="18">
        <f>IFERROR(
                  Andel_oberoende_av_klimat*VLOOKUP($A22,Leveranser_per_nät,'Leveranser per nät'!O$1,FALSE)
               +Andel_beroende_av_klimat*VLOOKUP($A22,Leveranser_per_nät,'Leveranser per nät'!O$1,FALSE)/VLOOKUP($B22,Korrigeringsfaktor_EI,'Korrigeringsfaktor EI'!O$1,FALSE),
"")</f>
        <v>7.630607865168539</v>
      </c>
      <c r="P22" s="18">
        <f>IFERROR(
                  Andel_oberoende_av_klimat*VLOOKUP($A22,Leveranser_per_nät,'Leveranser per nät'!P$1,FALSE)
               +Andel_beroende_av_klimat*VLOOKUP($A22,Leveranser_per_nät,'Leveranser per nät'!P$1,FALSE)/VLOOKUP($B22,Korrigeringsfaktor_EI,'Korrigeringsfaktor EI'!P$1,FALSE),
"")</f>
        <v>7.9792723404255321</v>
      </c>
      <c r="Q22" s="18">
        <f>IFERROR(
                  Andel_oberoende_av_klimat*VLOOKUP($A22,Leveranser_per_nät,'Leveranser per nät'!Q$1,FALSE)
               +Andel_beroende_av_klimat*VLOOKUP($A22,Leveranser_per_nät,'Leveranser per nät'!Q$1,FALSE)/VLOOKUP($B22,Korrigeringsfaktor_EI,'Korrigeringsfaktor EI'!Q$1,FALSE),
"")</f>
        <v>7.4909090909090903</v>
      </c>
      <c r="R22" s="18">
        <f>IFERROR(
                  Andel_oberoende_av_klimat*VLOOKUP($A22,Leveranser_per_nät,'Leveranser per nät'!R$1,FALSE)
               +Andel_beroende_av_klimat*VLOOKUP($A22,Leveranser_per_nät,'Leveranser per nät'!R$1,FALSE)/VLOOKUP($B22,Korrigeringsfaktor_EI,'Korrigeringsfaktor EI'!R$1,FALSE),
"")</f>
        <v>7.746090834782609</v>
      </c>
      <c r="S22" s="18">
        <f>IFERROR(
                  Andel_oberoende_av_klimat*VLOOKUP($A22,Leveranser_per_nät,'Leveranser per nät'!S$1,FALSE)
               +Andel_beroende_av_klimat*VLOOKUP($A22,Leveranser_per_nät,'Leveranser per nät'!S$1,FALSE)/VLOOKUP($B22,Korrigeringsfaktor_EI,'Korrigeringsfaktor EI'!S$1,FALSE),
"")</f>
        <v>8.1041428571428575</v>
      </c>
      <c r="T22" s="18">
        <f>IFERROR(
                  Andel_oberoende_av_klimat*VLOOKUP($A22,Leveranser_per_nät,'Leveranser per nät'!T$1,FALSE)
               +Andel_beroende_av_klimat*VLOOKUP($A22,Leveranser_per_nät,'Leveranser per nät'!T$1,FALSE)/VLOOKUP($B22,Korrigeringsfaktor_EI,'Korrigeringsfaktor EI'!T$1,FALSE),
"")</f>
        <v>8.2651443298969074</v>
      </c>
      <c r="U22" s="18">
        <f>IFERROR(
                  Andel_oberoende_av_klimat*VLOOKUP($A22,Leveranser_per_nät,'Leveranser per nät'!U$1,FALSE)
               +Andel_beroende_av_klimat*VLOOKUP($A22,Leveranser_per_nät,'Leveranser per nät'!U$1,FALSE)/VLOOKUP($B22,Korrigeringsfaktor_EI,'Korrigeringsfaktor EI'!U$1,FALSE),
"")</f>
        <v>7.8085294117647059</v>
      </c>
      <c r="V22" s="18">
        <f>IFERROR(
                  Andel_oberoende_av_klimat*VLOOKUP($A22,Leveranser_per_nät,'Leveranser per nät'!V$1,FALSE)
               +Andel_beroende_av_klimat*VLOOKUP($A22,Leveranser_per_nät,'Leveranser per nät'!V$1,FALSE)/VLOOKUP($B22,Korrigeringsfaktor_EI,'Korrigeringsfaktor EI'!V$1,FALSE),
"")</f>
        <v>7.7384444444444451</v>
      </c>
      <c r="W22" s="18">
        <f>IFERROR(
                  Andel_oberoende_av_klimat*VLOOKUP($A22,Leveranser_per_nät,'Leveranser per nät'!W$1,FALSE)
               +Andel_beroende_av_klimat*VLOOKUP($A22,Leveranser_per_nät,'Leveranser per nät'!W$1,FALSE)/VLOOKUP($B22,Korrigeringsfaktor_EI,'Korrigeringsfaktor EI'!W$1,FALSE),
"")</f>
        <v>8.0626086956521732</v>
      </c>
      <c r="X22" s="18">
        <f>IFERROR(
                  Andel_oberoende_av_klimat*VLOOKUP($A22,Leveranser_per_nät,'Leveranser per nät'!X$1,FALSE)
               +Andel_beroende_av_klimat*VLOOKUP($A22,Leveranser_per_nät,'Leveranser per nät'!X$1,FALSE)/VLOOKUP($B22,Korrigeringsfaktor_EI,'Korrigeringsfaktor EI'!X$1,FALSE),
"")</f>
        <v>7.9257565217391299</v>
      </c>
      <c r="Y22" s="18">
        <f>IFERROR(
                  Andel_oberoende_av_klimat*VLOOKUP($A22,Leveranser_per_nät,'Leveranser per nät'!Y$1,FALSE)
               +Andel_beroende_av_klimat*VLOOKUP($A22,Leveranser_per_nät,'Leveranser per nät'!Y$1,FALSE)/VLOOKUP($B22,Korrigeringsfaktor_EI,'Korrigeringsfaktor EI'!Y$1,FALSE),
"")</f>
        <v>8.2767505747126435</v>
      </c>
      <c r="Z22" s="18">
        <f>IFERROR(
                  Andel_oberoende_av_klimat*VLOOKUP($A22,Leveranser_per_nät,'Leveranser per nät'!Z$1,FALSE)
               +Andel_beroende_av_klimat*VLOOKUP($A22,Leveranser_per_nät,'Leveranser per nät'!Z$1,FALSE)/VLOOKUP($B22,Korrigeringsfaktor_EI,'Korrigeringsfaktor EI'!Z$1,FALSE),
"")</f>
        <v>8.3523176470588236</v>
      </c>
      <c r="AA22" s="18">
        <f>IFERROR(
                  Andel_oberoende_av_klimat*VLOOKUP($A22,Leveranser_per_nät,'Leveranser per nät'!AA$1,FALSE)
               +Andel_beroende_av_klimat*VLOOKUP($A22,Leveranser_per_nät,'Leveranser per nät'!AA$1,FALSE)/VLOOKUP($B22,Korrigeringsfaktor_EI,'Korrigeringsfaktor EI'!AA$1,FALSE),
"")</f>
        <v>8.3541532332209627</v>
      </c>
      <c r="AB22" s="18">
        <f>IFERROR(
                  Andel_oberoende_av_klimat*VLOOKUP($A22,Leveranser_per_nät,'Leveranser per nät'!AB$1,FALSE)
               +Andel_beroende_av_klimat*VLOOKUP($A22,Leveranser_per_nät,'Leveranser per nät'!AB$1,FALSE)/VLOOKUP($B22,Korrigeringsfaktor_EI,'Korrigeringsfaktor EI'!AB$1,FALSE),
"")</f>
        <v>8.5722672064777328</v>
      </c>
      <c r="AC22" s="18">
        <f>IFERROR(
                  Andel_oberoende_av_klimat*VLOOKUP($A22,Leveranser_per_nät,'Leveranser per nät'!AC$1,FALSE)
               +Andel_beroende_av_klimat*VLOOKUP($A22,Leveranser_per_nät,'Leveranser per nät'!AC$1,FALSE)/VLOOKUP($B22,Korrigeringsfaktor_EI,'Korrigeringsfaktor EI'!AC$1,FALSE),
"")</f>
        <v>8.240724511930587</v>
      </c>
      <c r="AD22" t="e">
        <v>#N/A</v>
      </c>
    </row>
    <row r="23" spans="1:30" x14ac:dyDescent="0.25">
      <c r="A23" t="s">
        <v>7</v>
      </c>
      <c r="B23" t="s">
        <v>7</v>
      </c>
      <c r="C23" s="18">
        <f>IFERROR(
                  Andel_oberoende_av_klimat*VLOOKUP($A23,Leveranser_per_nät,'Leveranser per nät'!C$1,FALSE)
               +Andel_beroende_av_klimat*VLOOKUP($A23,Leveranser_per_nät,'Leveranser per nät'!C$1,FALSE)/VLOOKUP($B23,Korrigeringsfaktor_EI,'Korrigeringsfaktor EI'!C$1,FALSE),
"")</f>
        <v>0</v>
      </c>
      <c r="D23" s="18">
        <f>IFERROR(
                  Andel_oberoende_av_klimat*VLOOKUP($A23,Leveranser_per_nät,'Leveranser per nät'!D$1,FALSE)
               +Andel_beroende_av_klimat*VLOOKUP($A23,Leveranser_per_nät,'Leveranser per nät'!D$1,FALSE)/VLOOKUP($B23,Korrigeringsfaktor_EI,'Korrigeringsfaktor EI'!D$1,FALSE),
"")</f>
        <v>0</v>
      </c>
      <c r="E23" s="18">
        <f>IFERROR(
                  Andel_oberoende_av_klimat*VLOOKUP($A23,Leveranser_per_nät,'Leveranser per nät'!E$1,FALSE)
               +Andel_beroende_av_klimat*VLOOKUP($A23,Leveranser_per_nät,'Leveranser per nät'!E$1,FALSE)/VLOOKUP($B23,Korrigeringsfaktor_EI,'Korrigeringsfaktor EI'!E$1,FALSE),
"")</f>
        <v>0</v>
      </c>
      <c r="F23" s="18">
        <f>IFERROR(
                  Andel_oberoende_av_klimat*VLOOKUP($A23,Leveranser_per_nät,'Leveranser per nät'!F$1,FALSE)
               +Andel_beroende_av_klimat*VLOOKUP($A23,Leveranser_per_nät,'Leveranser per nät'!F$1,FALSE)/VLOOKUP($B23,Korrigeringsfaktor_EI,'Korrigeringsfaktor EI'!F$1,FALSE),
"")</f>
        <v>0</v>
      </c>
      <c r="G23" s="18">
        <f>IFERROR(
                  Andel_oberoende_av_klimat*VLOOKUP($A23,Leveranser_per_nät,'Leveranser per nät'!G$1,FALSE)
               +Andel_beroende_av_klimat*VLOOKUP($A23,Leveranser_per_nät,'Leveranser per nät'!G$1,FALSE)/VLOOKUP($B23,Korrigeringsfaktor_EI,'Korrigeringsfaktor EI'!G$1,FALSE),
"")</f>
        <v>0</v>
      </c>
      <c r="H23" s="18">
        <f>IFERROR(
                  Andel_oberoende_av_klimat*VLOOKUP($A23,Leveranser_per_nät,'Leveranser per nät'!H$1,FALSE)
               +Andel_beroende_av_klimat*VLOOKUP($A23,Leveranser_per_nät,'Leveranser per nät'!H$1,FALSE)/VLOOKUP($B23,Korrigeringsfaktor_EI,'Korrigeringsfaktor EI'!H$1,FALSE),
"")</f>
        <v>0</v>
      </c>
      <c r="I23" s="18">
        <f>IFERROR(
                  Andel_oberoende_av_klimat*VLOOKUP($A23,Leveranser_per_nät,'Leveranser per nät'!I$1,FALSE)
               +Andel_beroende_av_klimat*VLOOKUP($A23,Leveranser_per_nät,'Leveranser per nät'!I$1,FALSE)/VLOOKUP($B23,Korrigeringsfaktor_EI,'Korrigeringsfaktor EI'!I$1,FALSE),
"")</f>
        <v>0</v>
      </c>
      <c r="J23" s="18">
        <f>IFERROR(
                  Andel_oberoende_av_klimat*VLOOKUP($A23,Leveranser_per_nät,'Leveranser per nät'!J$1,FALSE)
               +Andel_beroende_av_klimat*VLOOKUP($A23,Leveranser_per_nät,'Leveranser per nät'!J$1,FALSE)/VLOOKUP($B23,Korrigeringsfaktor_EI,'Korrigeringsfaktor EI'!J$1,FALSE),
"")</f>
        <v>0</v>
      </c>
      <c r="K23" s="18">
        <f>IFERROR(
                  Andel_oberoende_av_klimat*VLOOKUP($A23,Leveranser_per_nät,'Leveranser per nät'!K$1,FALSE)
               +Andel_beroende_av_klimat*VLOOKUP($A23,Leveranser_per_nät,'Leveranser per nät'!K$1,FALSE)/VLOOKUP($B23,Korrigeringsfaktor_EI,'Korrigeringsfaktor EI'!K$1,FALSE),
"")</f>
        <v>0</v>
      </c>
      <c r="L23" s="18">
        <f>IFERROR(
                  Andel_oberoende_av_klimat*VLOOKUP($A23,Leveranser_per_nät,'Leveranser per nät'!L$1,FALSE)
               +Andel_beroende_av_klimat*VLOOKUP($A23,Leveranser_per_nät,'Leveranser per nät'!L$1,FALSE)/VLOOKUP($B23,Korrigeringsfaktor_EI,'Korrigeringsfaktor EI'!L$1,FALSE),
"")</f>
        <v>0</v>
      </c>
      <c r="M23" s="18">
        <f>IFERROR(
                  Andel_oberoende_av_klimat*VLOOKUP($A23,Leveranser_per_nät,'Leveranser per nät'!M$1,FALSE)
               +Andel_beroende_av_klimat*VLOOKUP($A23,Leveranser_per_nät,'Leveranser per nät'!M$1,FALSE)/VLOOKUP($B23,Korrigeringsfaktor_EI,'Korrigeringsfaktor EI'!M$1,FALSE),
"")</f>
        <v>8.0626086956521732</v>
      </c>
      <c r="N23" s="18">
        <f>IFERROR(
                  Andel_oberoende_av_klimat*VLOOKUP($A23,Leveranser_per_nät,'Leveranser per nät'!N$1,FALSE)
               +Andel_beroende_av_klimat*VLOOKUP($A23,Leveranser_per_nät,'Leveranser per nät'!N$1,FALSE)/VLOOKUP($B23,Korrigeringsfaktor_EI,'Korrigeringsfaktor EI'!N$1,FALSE),
"")</f>
        <v>7.27076923076923</v>
      </c>
      <c r="O23" s="18">
        <f>IFERROR(
                  Andel_oberoende_av_klimat*VLOOKUP($A23,Leveranser_per_nät,'Leveranser per nät'!O$1,FALSE)
               +Andel_beroende_av_klimat*VLOOKUP($A23,Leveranser_per_nät,'Leveranser per nät'!O$1,FALSE)/VLOOKUP($B23,Korrigeringsfaktor_EI,'Korrigeringsfaktor EI'!O$1,FALSE),
"")</f>
        <v>8.5538461538461537</v>
      </c>
      <c r="P23" s="18">
        <f>IFERROR(
                  Andel_oberoende_av_klimat*VLOOKUP($A23,Leveranser_per_nät,'Leveranser per nät'!P$1,FALSE)
               +Andel_beroende_av_klimat*VLOOKUP($A23,Leveranser_per_nät,'Leveranser per nät'!P$1,FALSE)/VLOOKUP($B23,Korrigeringsfaktor_EI,'Korrigeringsfaktor EI'!P$1,FALSE),
"")</f>
        <v>8.4391666666666652</v>
      </c>
      <c r="Q23" s="18">
        <f>IFERROR(
                  Andel_oberoende_av_klimat*VLOOKUP($A23,Leveranser_per_nät,'Leveranser per nät'!Q$1,FALSE)
               +Andel_beroende_av_klimat*VLOOKUP($A23,Leveranser_per_nät,'Leveranser per nät'!Q$1,FALSE)/VLOOKUP($B23,Korrigeringsfaktor_EI,'Korrigeringsfaktor EI'!Q$1,FALSE),
"")</f>
        <v>9.2686956521739123</v>
      </c>
      <c r="R23" s="18">
        <f>IFERROR(
                  Andel_oberoende_av_klimat*VLOOKUP($A23,Leveranser_per_nät,'Leveranser per nät'!R$1,FALSE)
               +Andel_beroende_av_klimat*VLOOKUP($A23,Leveranser_per_nät,'Leveranser per nät'!R$1,FALSE)/VLOOKUP($B23,Korrigeringsfaktor_EI,'Korrigeringsfaktor EI'!R$1,FALSE),
"")</f>
        <v>8.4975652173913048</v>
      </c>
      <c r="S23" s="18">
        <f>IFERROR(
                  Andel_oberoende_av_klimat*VLOOKUP($A23,Leveranser_per_nät,'Leveranser per nät'!S$1,FALSE)
               +Andel_beroende_av_klimat*VLOOKUP($A23,Leveranser_per_nät,'Leveranser per nät'!S$1,FALSE)/VLOOKUP($B23,Korrigeringsfaktor_EI,'Korrigeringsfaktor EI'!S$1,FALSE),
"")</f>
        <v>8.14</v>
      </c>
      <c r="T23" s="18">
        <f>IFERROR(
                  Andel_oberoende_av_klimat*VLOOKUP($A23,Leveranser_per_nät,'Leveranser per nät'!T$1,FALSE)
               +Andel_beroende_av_klimat*VLOOKUP($A23,Leveranser_per_nät,'Leveranser per nät'!T$1,FALSE)/VLOOKUP($B23,Korrigeringsfaktor_EI,'Korrigeringsfaktor EI'!T$1,FALSE),
"")</f>
        <v>8.1650000000000009</v>
      </c>
      <c r="U23" s="18">
        <f>IFERROR(
                  Andel_oberoende_av_klimat*VLOOKUP($A23,Leveranser_per_nät,'Leveranser per nät'!U$1,FALSE)
               +Andel_beroende_av_klimat*VLOOKUP($A23,Leveranser_per_nät,'Leveranser per nät'!U$1,FALSE)/VLOOKUP($B23,Korrigeringsfaktor_EI,'Korrigeringsfaktor EI'!U$1,FALSE),
"")</f>
        <v>8.2159090909090917</v>
      </c>
      <c r="V23" s="18">
        <f>IFERROR(
                  Andel_oberoende_av_klimat*VLOOKUP($A23,Leveranser_per_nät,'Leveranser per nät'!V$1,FALSE)
               +Andel_beroende_av_klimat*VLOOKUP($A23,Leveranser_per_nät,'Leveranser per nät'!V$1,FALSE)/VLOOKUP($B23,Korrigeringsfaktor_EI,'Korrigeringsfaktor EI'!V$1,FALSE),
"")</f>
        <v>8.4469230769230776</v>
      </c>
      <c r="W23" s="18">
        <f>IFERROR(
                  Andel_oberoende_av_klimat*VLOOKUP($A23,Leveranser_per_nät,'Leveranser per nät'!W$1,FALSE)
               +Andel_beroende_av_klimat*VLOOKUP($A23,Leveranser_per_nät,'Leveranser per nät'!W$1,FALSE)/VLOOKUP($B23,Korrigeringsfaktor_EI,'Korrigeringsfaktor EI'!W$1,FALSE),
"")</f>
        <v>9.0887234042553189</v>
      </c>
      <c r="X23" s="18">
        <f>IFERROR(
                  Andel_oberoende_av_klimat*VLOOKUP($A23,Leveranser_per_nät,'Leveranser per nät'!X$1,FALSE)
               +Andel_beroende_av_klimat*VLOOKUP($A23,Leveranser_per_nät,'Leveranser per nät'!X$1,FALSE)/VLOOKUP($B23,Korrigeringsfaktor_EI,'Korrigeringsfaktor EI'!X$1,FALSE),
"")</f>
        <v>8.7373118279569901</v>
      </c>
      <c r="Y23" s="18">
        <f>IFERROR(
                  Andel_oberoende_av_klimat*VLOOKUP($A23,Leveranser_per_nät,'Leveranser per nät'!Y$1,FALSE)
               +Andel_beroende_av_klimat*VLOOKUP($A23,Leveranser_per_nät,'Leveranser per nät'!Y$1,FALSE)/VLOOKUP($B23,Korrigeringsfaktor_EI,'Korrigeringsfaktor EI'!Y$1,FALSE),
"")</f>
        <v>8.9815384615384612</v>
      </c>
      <c r="Z23" s="18">
        <f>IFERROR(
                  Andel_oberoende_av_klimat*VLOOKUP($A23,Leveranser_per_nät,'Leveranser per nät'!Z$1,FALSE)
               +Andel_beroende_av_klimat*VLOOKUP($A23,Leveranser_per_nät,'Leveranser per nät'!Z$1,FALSE)/VLOOKUP($B23,Korrigeringsfaktor_EI,'Korrigeringsfaktor EI'!Z$1,FALSE),
"")</f>
        <v>9.3766666666666652</v>
      </c>
      <c r="AA23" s="18">
        <f>IFERROR(
                  Andel_oberoende_av_klimat*VLOOKUP($A23,Leveranser_per_nät,'Leveranser per nät'!AA$1,FALSE)
               +Andel_beroende_av_klimat*VLOOKUP($A23,Leveranser_per_nät,'Leveranser per nät'!AA$1,FALSE)/VLOOKUP($B23,Korrigeringsfaktor_EI,'Korrigeringsfaktor EI'!AA$1,FALSE),
"")</f>
        <v>10.093823072943611</v>
      </c>
      <c r="AB23" s="18">
        <f>IFERROR(
                  Andel_oberoende_av_klimat*VLOOKUP($A23,Leveranser_per_nät,'Leveranser per nät'!AB$1,FALSE)
               +Andel_beroende_av_klimat*VLOOKUP($A23,Leveranser_per_nät,'Leveranser per nät'!AB$1,FALSE)/VLOOKUP($B23,Korrigeringsfaktor_EI,'Korrigeringsfaktor EI'!AB$1,FALSE),
"")</f>
        <v>9.8414084507042254</v>
      </c>
      <c r="AC23" s="18">
        <f>IFERROR(
                  Andel_oberoende_av_klimat*VLOOKUP($A23,Leveranser_per_nät,'Leveranser per nät'!AC$1,FALSE)
               +Andel_beroende_av_klimat*VLOOKUP($A23,Leveranser_per_nät,'Leveranser per nät'!AC$1,FALSE)/VLOOKUP($B23,Korrigeringsfaktor_EI,'Korrigeringsfaktor EI'!AC$1,FALSE),
"")</f>
        <v>9.8349253731343289</v>
      </c>
      <c r="AD23">
        <v>9.4</v>
      </c>
    </row>
    <row r="24" spans="1:30" x14ac:dyDescent="0.25">
      <c r="A24" s="4" t="s">
        <v>9</v>
      </c>
      <c r="B24" t="s">
        <v>138</v>
      </c>
      <c r="C24" s="18">
        <f>IFERROR(
                  Andel_oberoende_av_klimat*VLOOKUP($A24,Leveranser_per_nät,'Leveranser per nät'!C$1,FALSE)
               +Andel_beroende_av_klimat*VLOOKUP($A24,Leveranser_per_nät,'Leveranser per nät'!C$1,FALSE)/VLOOKUP($B24,Korrigeringsfaktor_EI,'Korrigeringsfaktor EI'!C$1,FALSE),
"")</f>
        <v>0</v>
      </c>
      <c r="D24" s="18">
        <f>IFERROR(
                  Andel_oberoende_av_klimat*VLOOKUP($A24,Leveranser_per_nät,'Leveranser per nät'!D$1,FALSE)
               +Andel_beroende_av_klimat*VLOOKUP($A24,Leveranser_per_nät,'Leveranser per nät'!D$1,FALSE)/VLOOKUP($B24,Korrigeringsfaktor_EI,'Korrigeringsfaktor EI'!D$1,FALSE),
"")</f>
        <v>0</v>
      </c>
      <c r="E24" s="18">
        <f>IFERROR(
                  Andel_oberoende_av_klimat*VLOOKUP($A24,Leveranser_per_nät,'Leveranser per nät'!E$1,FALSE)
               +Andel_beroende_av_klimat*VLOOKUP($A24,Leveranser_per_nät,'Leveranser per nät'!E$1,FALSE)/VLOOKUP($B24,Korrigeringsfaktor_EI,'Korrigeringsfaktor EI'!E$1,FALSE),
"")</f>
        <v>0</v>
      </c>
      <c r="F24" s="18">
        <f>IFERROR(
                  Andel_oberoende_av_klimat*VLOOKUP($A24,Leveranser_per_nät,'Leveranser per nät'!F$1,FALSE)
               +Andel_beroende_av_klimat*VLOOKUP($A24,Leveranser_per_nät,'Leveranser per nät'!F$1,FALSE)/VLOOKUP($B24,Korrigeringsfaktor_EI,'Korrigeringsfaktor EI'!F$1,FALSE),
"")</f>
        <v>0</v>
      </c>
      <c r="G24" s="18">
        <f>IFERROR(
                  Andel_oberoende_av_klimat*VLOOKUP($A24,Leveranser_per_nät,'Leveranser per nät'!G$1,FALSE)
               +Andel_beroende_av_klimat*VLOOKUP($A24,Leveranser_per_nät,'Leveranser per nät'!G$1,FALSE)/VLOOKUP($B24,Korrigeringsfaktor_EI,'Korrigeringsfaktor EI'!G$1,FALSE),
"")</f>
        <v>0</v>
      </c>
      <c r="H24" s="18">
        <f>IFERROR(
                  Andel_oberoende_av_klimat*VLOOKUP($A24,Leveranser_per_nät,'Leveranser per nät'!H$1,FALSE)
               +Andel_beroende_av_klimat*VLOOKUP($A24,Leveranser_per_nät,'Leveranser per nät'!H$1,FALSE)/VLOOKUP($B24,Korrigeringsfaktor_EI,'Korrigeringsfaktor EI'!H$1,FALSE),
"")</f>
        <v>0</v>
      </c>
      <c r="I24" s="18">
        <f>IFERROR(
                  Andel_oberoende_av_klimat*VLOOKUP($A24,Leveranser_per_nät,'Leveranser per nät'!I$1,FALSE)
               +Andel_beroende_av_klimat*VLOOKUP($A24,Leveranser_per_nät,'Leveranser per nät'!I$1,FALSE)/VLOOKUP($B24,Korrigeringsfaktor_EI,'Korrigeringsfaktor EI'!I$1,FALSE),
"")</f>
        <v>0</v>
      </c>
      <c r="J24" s="18">
        <f>IFERROR(
                  Andel_oberoende_av_klimat*VLOOKUP($A24,Leveranser_per_nät,'Leveranser per nät'!J$1,FALSE)
               +Andel_beroende_av_klimat*VLOOKUP($A24,Leveranser_per_nät,'Leveranser per nät'!J$1,FALSE)/VLOOKUP($B24,Korrigeringsfaktor_EI,'Korrigeringsfaktor EI'!J$1,FALSE),
"")</f>
        <v>0</v>
      </c>
      <c r="K24" s="18">
        <f>IFERROR(
                  Andel_oberoende_av_klimat*VLOOKUP($A24,Leveranser_per_nät,'Leveranser per nät'!K$1,FALSE)
               +Andel_beroende_av_klimat*VLOOKUP($A24,Leveranser_per_nät,'Leveranser per nät'!K$1,FALSE)/VLOOKUP($B24,Korrigeringsfaktor_EI,'Korrigeringsfaktor EI'!K$1,FALSE),
"")</f>
        <v>0</v>
      </c>
      <c r="L24" s="18">
        <f>IFERROR(
                  Andel_oberoende_av_klimat*VLOOKUP($A24,Leveranser_per_nät,'Leveranser per nät'!L$1,FALSE)
               +Andel_beroende_av_klimat*VLOOKUP($A24,Leveranser_per_nät,'Leveranser per nät'!L$1,FALSE)/VLOOKUP($B24,Korrigeringsfaktor_EI,'Korrigeringsfaktor EI'!L$1,FALSE),
"")</f>
        <v>0</v>
      </c>
      <c r="M24" s="18">
        <f>IFERROR(
                  Andel_oberoende_av_klimat*VLOOKUP($A24,Leveranser_per_nät,'Leveranser per nät'!M$1,FALSE)
               +Andel_beroende_av_klimat*VLOOKUP($A24,Leveranser_per_nät,'Leveranser per nät'!M$1,FALSE)/VLOOKUP($B24,Korrigeringsfaktor_EI,'Korrigeringsfaktor EI'!M$1,FALSE),
"")</f>
        <v>0</v>
      </c>
      <c r="N24" s="18">
        <f>IFERROR(
                  Andel_oberoende_av_klimat*VLOOKUP($A24,Leveranser_per_nät,'Leveranser per nät'!N$1,FALSE)
               +Andel_beroende_av_klimat*VLOOKUP($A24,Leveranser_per_nät,'Leveranser per nät'!N$1,FALSE)/VLOOKUP($B24,Korrigeringsfaktor_EI,'Korrigeringsfaktor EI'!N$1,FALSE),
"")</f>
        <v>0</v>
      </c>
      <c r="O24" s="18">
        <f>IFERROR(
                  Andel_oberoende_av_klimat*VLOOKUP($A24,Leveranser_per_nät,'Leveranser per nät'!O$1,FALSE)
               +Andel_beroende_av_klimat*VLOOKUP($A24,Leveranser_per_nät,'Leveranser per nät'!O$1,FALSE)/VLOOKUP($B24,Korrigeringsfaktor_EI,'Korrigeringsfaktor EI'!O$1,FALSE),
"")</f>
        <v>0</v>
      </c>
      <c r="P24" s="18">
        <f>IFERROR(
                  Andel_oberoende_av_klimat*VLOOKUP($A24,Leveranser_per_nät,'Leveranser per nät'!P$1,FALSE)
               +Andel_beroende_av_klimat*VLOOKUP($A24,Leveranser_per_nät,'Leveranser per nät'!P$1,FALSE)/VLOOKUP($B24,Korrigeringsfaktor_EI,'Korrigeringsfaktor EI'!P$1,FALSE),
"")</f>
        <v>0</v>
      </c>
      <c r="Q24" s="18">
        <f>IFERROR(
                  Andel_oberoende_av_klimat*VLOOKUP($A24,Leveranser_per_nät,'Leveranser per nät'!Q$1,FALSE)
               +Andel_beroende_av_klimat*VLOOKUP($A24,Leveranser_per_nät,'Leveranser per nät'!Q$1,FALSE)/VLOOKUP($B24,Korrigeringsfaktor_EI,'Korrigeringsfaktor EI'!Q$1,FALSE),
"")</f>
        <v>3.5647368421052636</v>
      </c>
      <c r="R24" s="18">
        <f>IFERROR(
                  Andel_oberoende_av_klimat*VLOOKUP($A24,Leveranser_per_nät,'Leveranser per nät'!R$1,FALSE)
               +Andel_beroende_av_klimat*VLOOKUP($A24,Leveranser_per_nät,'Leveranser per nät'!R$1,FALSE)/VLOOKUP($B24,Korrigeringsfaktor_EI,'Korrigeringsfaktor EI'!R$1,FALSE),
"")</f>
        <v>3.4215789473684208</v>
      </c>
      <c r="S24" s="18">
        <f>IFERROR(
                  Andel_oberoende_av_klimat*VLOOKUP($A24,Leveranser_per_nät,'Leveranser per nät'!S$1,FALSE)
               +Andel_beroende_av_klimat*VLOOKUP($A24,Leveranser_per_nät,'Leveranser per nät'!S$1,FALSE)/VLOOKUP($B24,Korrigeringsfaktor_EI,'Korrigeringsfaktor EI'!S$1,FALSE),
"")</f>
        <v>3.4757425742574259</v>
      </c>
      <c r="T24" s="18">
        <f>IFERROR(
                  Andel_oberoende_av_klimat*VLOOKUP($A24,Leveranser_per_nät,'Leveranser per nät'!T$1,FALSE)
               +Andel_beroende_av_klimat*VLOOKUP($A24,Leveranser_per_nät,'Leveranser per nät'!T$1,FALSE)/VLOOKUP($B24,Korrigeringsfaktor_EI,'Korrigeringsfaktor EI'!T$1,FALSE),
"")</f>
        <v>3.4215789473684208</v>
      </c>
      <c r="U24" s="18">
        <f>IFERROR(
                  Andel_oberoende_av_klimat*VLOOKUP($A24,Leveranser_per_nät,'Leveranser per nät'!U$1,FALSE)
               +Andel_beroende_av_klimat*VLOOKUP($A24,Leveranser_per_nät,'Leveranser per nät'!U$1,FALSE)/VLOOKUP($B24,Korrigeringsfaktor_EI,'Korrigeringsfaktor EI'!U$1,FALSE),
"")</f>
        <v>3.4215384615384616</v>
      </c>
      <c r="V24" s="18">
        <f>IFERROR(
                  Andel_oberoende_av_klimat*VLOOKUP($A24,Leveranser_per_nät,'Leveranser per nät'!V$1,FALSE)
               +Andel_beroende_av_klimat*VLOOKUP($A24,Leveranser_per_nät,'Leveranser per nät'!V$1,FALSE)/VLOOKUP($B24,Korrigeringsfaktor_EI,'Korrigeringsfaktor EI'!V$1,FALSE),
"")</f>
        <v>3.5241846153846152</v>
      </c>
      <c r="W24" s="18">
        <f>IFERROR(
                  Andel_oberoende_av_klimat*VLOOKUP($A24,Leveranser_per_nät,'Leveranser per nät'!W$1,FALSE)
               +Andel_beroende_av_klimat*VLOOKUP($A24,Leveranser_per_nät,'Leveranser per nät'!W$1,FALSE)/VLOOKUP($B24,Korrigeringsfaktor_EI,'Korrigeringsfaktor EI'!W$1,FALSE),
"")</f>
        <v>3.5701791666666667</v>
      </c>
      <c r="X24" s="18">
        <f>IFERROR(
                  Andel_oberoende_av_klimat*VLOOKUP($A24,Leveranser_per_nät,'Leveranser per nät'!X$1,FALSE)
               +Andel_beroende_av_klimat*VLOOKUP($A24,Leveranser_per_nät,'Leveranser per nät'!X$1,FALSE)/VLOOKUP($B24,Korrigeringsfaktor_EI,'Korrigeringsfaktor EI'!X$1,FALSE),
"")</f>
        <v>3.6289473684210529</v>
      </c>
      <c r="Y24" s="18">
        <f>IFERROR(
                  Andel_oberoende_av_klimat*VLOOKUP($A24,Leveranser_per_nät,'Leveranser per nät'!Y$1,FALSE)
               +Andel_beroende_av_klimat*VLOOKUP($A24,Leveranser_per_nät,'Leveranser per nät'!Y$1,FALSE)/VLOOKUP($B24,Korrigeringsfaktor_EI,'Korrigeringsfaktor EI'!Y$1,FALSE),
"")</f>
        <v>3.7423076923076923</v>
      </c>
      <c r="Z24" s="18">
        <f>IFERROR(
                  Andel_oberoende_av_klimat*VLOOKUP($A24,Leveranser_per_nät,'Leveranser per nät'!Z$1,FALSE)
               +Andel_beroende_av_klimat*VLOOKUP($A24,Leveranser_per_nät,'Leveranser per nät'!Z$1,FALSE)/VLOOKUP($B24,Korrigeringsfaktor_EI,'Korrigeringsfaktor EI'!Z$1,FALSE),
"")</f>
        <v>3.5791397849462365</v>
      </c>
      <c r="AA24" s="18">
        <f>IFERROR(
                  Andel_oberoende_av_klimat*VLOOKUP($A24,Leveranser_per_nät,'Leveranser per nät'!AA$1,FALSE)
               +Andel_beroende_av_klimat*VLOOKUP($A24,Leveranser_per_nät,'Leveranser per nät'!AA$1,FALSE)/VLOOKUP($B24,Korrigeringsfaktor_EI,'Korrigeringsfaktor EI'!AA$1,FALSE),
"")</f>
        <v>3.5574072241464623</v>
      </c>
      <c r="AB24" s="18">
        <f>IFERROR(
                  Andel_oberoende_av_klimat*VLOOKUP($A24,Leveranser_per_nät,'Leveranser per nät'!AB$1,FALSE)
               +Andel_beroende_av_klimat*VLOOKUP($A24,Leveranser_per_nät,'Leveranser per nät'!AB$1,FALSE)/VLOOKUP($B24,Korrigeringsfaktor_EI,'Korrigeringsfaktor EI'!AB$1,FALSE),
"")</f>
        <v>3.3304255319148934</v>
      </c>
      <c r="AC24" s="18">
        <f>IFERROR(
                  Andel_oberoende_av_klimat*VLOOKUP($A24,Leveranser_per_nät,'Leveranser per nät'!AC$1,FALSE)
               +Andel_beroende_av_klimat*VLOOKUP($A24,Leveranser_per_nät,'Leveranser per nät'!AC$1,FALSE)/VLOOKUP($B24,Korrigeringsfaktor_EI,'Korrigeringsfaktor EI'!AC$1,FALSE),
"")</f>
        <v>3.2232723472668807</v>
      </c>
      <c r="AD24">
        <v>662.10699999999997</v>
      </c>
    </row>
    <row r="25" spans="1:30" x14ac:dyDescent="0.25">
      <c r="A25" t="s">
        <v>323</v>
      </c>
      <c r="B25" t="s">
        <v>323</v>
      </c>
      <c r="C25" s="18">
        <f>IFERROR(
                  Andel_oberoende_av_klimat*VLOOKUP($A25,Leveranser_per_nät,'Leveranser per nät'!C$1,FALSE)
               +Andel_beroende_av_klimat*VLOOKUP($A25,Leveranser_per_nät,'Leveranser per nät'!C$1,FALSE)/VLOOKUP($B25,Korrigeringsfaktor_EI,'Korrigeringsfaktor EI'!C$1,FALSE),
"")</f>
        <v>0</v>
      </c>
      <c r="D25" s="18">
        <f>IFERROR(
                  Andel_oberoende_av_klimat*VLOOKUP($A25,Leveranser_per_nät,'Leveranser per nät'!D$1,FALSE)
               +Andel_beroende_av_klimat*VLOOKUP($A25,Leveranser_per_nät,'Leveranser per nät'!D$1,FALSE)/VLOOKUP($B25,Korrigeringsfaktor_EI,'Korrigeringsfaktor EI'!D$1,FALSE),
"")</f>
        <v>0</v>
      </c>
      <c r="E25" s="18">
        <f>IFERROR(
                  Andel_oberoende_av_klimat*VLOOKUP($A25,Leveranser_per_nät,'Leveranser per nät'!E$1,FALSE)
               +Andel_beroende_av_klimat*VLOOKUP($A25,Leveranser_per_nät,'Leveranser per nät'!E$1,FALSE)/VLOOKUP($B25,Korrigeringsfaktor_EI,'Korrigeringsfaktor EI'!E$1,FALSE),
"")</f>
        <v>0</v>
      </c>
      <c r="F25" s="18">
        <f>IFERROR(
                  Andel_oberoende_av_klimat*VLOOKUP($A25,Leveranser_per_nät,'Leveranser per nät'!F$1,FALSE)
               +Andel_beroende_av_klimat*VLOOKUP($A25,Leveranser_per_nät,'Leveranser per nät'!F$1,FALSE)/VLOOKUP($B25,Korrigeringsfaktor_EI,'Korrigeringsfaktor EI'!F$1,FALSE),
"")</f>
        <v>0</v>
      </c>
      <c r="G25" s="18">
        <f>IFERROR(
                  Andel_oberoende_av_klimat*VLOOKUP($A25,Leveranser_per_nät,'Leveranser per nät'!G$1,FALSE)
               +Andel_beroende_av_klimat*VLOOKUP($A25,Leveranser_per_nät,'Leveranser per nät'!G$1,FALSE)/VLOOKUP($B25,Korrigeringsfaktor_EI,'Korrigeringsfaktor EI'!G$1,FALSE),
"")</f>
        <v>0</v>
      </c>
      <c r="H25" s="18">
        <f>IFERROR(
                  Andel_oberoende_av_klimat*VLOOKUP($A25,Leveranser_per_nät,'Leveranser per nät'!H$1,FALSE)
               +Andel_beroende_av_klimat*VLOOKUP($A25,Leveranser_per_nät,'Leveranser per nät'!H$1,FALSE)/VLOOKUP($B25,Korrigeringsfaktor_EI,'Korrigeringsfaktor EI'!H$1,FALSE),
"")</f>
        <v>0</v>
      </c>
      <c r="I25" s="18">
        <f>IFERROR(
                  Andel_oberoende_av_klimat*VLOOKUP($A25,Leveranser_per_nät,'Leveranser per nät'!I$1,FALSE)
               +Andel_beroende_av_klimat*VLOOKUP($A25,Leveranser_per_nät,'Leveranser per nät'!I$1,FALSE)/VLOOKUP($B25,Korrigeringsfaktor_EI,'Korrigeringsfaktor EI'!I$1,FALSE),
"")</f>
        <v>0</v>
      </c>
      <c r="J25" s="18">
        <f>IFERROR(
                  Andel_oberoende_av_klimat*VLOOKUP($A25,Leveranser_per_nät,'Leveranser per nät'!J$1,FALSE)
               +Andel_beroende_av_klimat*VLOOKUP($A25,Leveranser_per_nät,'Leveranser per nät'!J$1,FALSE)/VLOOKUP($B25,Korrigeringsfaktor_EI,'Korrigeringsfaktor EI'!J$1,FALSE),
"")</f>
        <v>4.2453125000000007</v>
      </c>
      <c r="K25" s="18">
        <f>IFERROR(
                  Andel_oberoende_av_klimat*VLOOKUP($A25,Leveranser_per_nät,'Leveranser per nät'!K$1,FALSE)
               +Andel_beroende_av_klimat*VLOOKUP($A25,Leveranser_per_nät,'Leveranser per nät'!K$1,FALSE)/VLOOKUP($B25,Korrigeringsfaktor_EI,'Korrigeringsfaktor EI'!K$1,FALSE),
"")</f>
        <v>4.8188714285714287</v>
      </c>
      <c r="L25" s="18">
        <f>IFERROR(
                  Andel_oberoende_av_klimat*VLOOKUP($A25,Leveranser_per_nät,'Leveranser per nät'!L$1,FALSE)
               +Andel_beroende_av_klimat*VLOOKUP($A25,Leveranser_per_nät,'Leveranser per nät'!L$1,FALSE)/VLOOKUP($B25,Korrigeringsfaktor_EI,'Korrigeringsfaktor EI'!L$1,FALSE),
"")</f>
        <v>6.966205731344882</v>
      </c>
      <c r="M25" s="18">
        <f>IFERROR(
                  Andel_oberoende_av_klimat*VLOOKUP($A25,Leveranser_per_nät,'Leveranser per nät'!M$1,FALSE)
               +Andel_beroende_av_klimat*VLOOKUP($A25,Leveranser_per_nät,'Leveranser per nät'!M$1,FALSE)/VLOOKUP($B25,Korrigeringsfaktor_EI,'Korrigeringsfaktor EI'!M$1,FALSE),
"")</f>
        <v>7.0692433776261003</v>
      </c>
      <c r="N25" s="18">
        <f>IFERROR(
                  Andel_oberoende_av_klimat*VLOOKUP($A25,Leveranser_per_nät,'Leveranser per nät'!N$1,FALSE)
               +Andel_beroende_av_klimat*VLOOKUP($A25,Leveranser_per_nät,'Leveranser per nät'!N$1,FALSE)/VLOOKUP($B25,Korrigeringsfaktor_EI,'Korrigeringsfaktor EI'!N$1,FALSE),
"")</f>
        <v>6.956529787234043</v>
      </c>
      <c r="O25" s="18">
        <f>IFERROR(
                  Andel_oberoende_av_klimat*VLOOKUP($A25,Leveranser_per_nät,'Leveranser per nät'!O$1,FALSE)
               +Andel_beroende_av_klimat*VLOOKUP($A25,Leveranser_per_nät,'Leveranser per nät'!O$1,FALSE)/VLOOKUP($B25,Korrigeringsfaktor_EI,'Korrigeringsfaktor EI'!O$1,FALSE),
"")</f>
        <v>7.0536851063829786</v>
      </c>
      <c r="P25" s="18">
        <f>IFERROR(
                  Andel_oberoende_av_klimat*VLOOKUP($A25,Leveranser_per_nät,'Leveranser per nät'!P$1,FALSE)
               +Andel_beroende_av_klimat*VLOOKUP($A25,Leveranser_per_nät,'Leveranser per nät'!P$1,FALSE)/VLOOKUP($B25,Korrigeringsfaktor_EI,'Korrigeringsfaktor EI'!P$1,FALSE),
"")</f>
        <v>7.4377571428571434</v>
      </c>
      <c r="Q25" s="18">
        <f>IFERROR(
                  Andel_oberoende_av_klimat*VLOOKUP($A25,Leveranser_per_nät,'Leveranser per nät'!Q$1,FALSE)
               +Andel_beroende_av_klimat*VLOOKUP($A25,Leveranser_per_nät,'Leveranser per nät'!Q$1,FALSE)/VLOOKUP($B25,Korrigeringsfaktor_EI,'Korrigeringsfaktor EI'!Q$1,FALSE),
"")</f>
        <v>8.1842214953271029</v>
      </c>
      <c r="R25" s="18">
        <f>IFERROR(
                  Andel_oberoende_av_klimat*VLOOKUP($A25,Leveranser_per_nät,'Leveranser per nät'!R$1,FALSE)
               +Andel_beroende_av_klimat*VLOOKUP($A25,Leveranser_per_nät,'Leveranser per nät'!R$1,FALSE)/VLOOKUP($B25,Korrigeringsfaktor_EI,'Korrigeringsfaktor EI'!R$1,FALSE),
"")</f>
        <v>7.3288888888888888</v>
      </c>
      <c r="S25" s="18">
        <f>IFERROR(
                  Andel_oberoende_av_klimat*VLOOKUP($A25,Leveranser_per_nät,'Leveranser per nät'!S$1,FALSE)
               +Andel_beroende_av_klimat*VLOOKUP($A25,Leveranser_per_nät,'Leveranser per nät'!S$1,FALSE)/VLOOKUP($B25,Korrigeringsfaktor_EI,'Korrigeringsfaktor EI'!S$1,FALSE),
"")</f>
        <v>7.7161485148514846</v>
      </c>
      <c r="T25" s="18">
        <f>IFERROR(
                  Andel_oberoende_av_klimat*VLOOKUP($A25,Leveranser_per_nät,'Leveranser per nät'!T$1,FALSE)
               +Andel_beroende_av_klimat*VLOOKUP($A25,Leveranser_per_nät,'Leveranser per nät'!T$1,FALSE)/VLOOKUP($B25,Korrigeringsfaktor_EI,'Korrigeringsfaktor EI'!T$1,FALSE),
"")</f>
        <v>7.983587096774194</v>
      </c>
      <c r="U25" s="18">
        <f>IFERROR(
                  Andel_oberoende_av_klimat*VLOOKUP($A25,Leveranser_per_nät,'Leveranser per nät'!U$1,FALSE)
               +Andel_beroende_av_klimat*VLOOKUP($A25,Leveranser_per_nät,'Leveranser per nät'!U$1,FALSE)/VLOOKUP($B25,Korrigeringsfaktor_EI,'Korrigeringsfaktor EI'!U$1,FALSE),
"")</f>
        <v>8.0021391304347826</v>
      </c>
      <c r="V25" s="18">
        <f>IFERROR(
                  Andel_oberoende_av_klimat*VLOOKUP($A25,Leveranser_per_nät,'Leveranser per nät'!V$1,FALSE)
               +Andel_beroende_av_klimat*VLOOKUP($A25,Leveranser_per_nät,'Leveranser per nät'!V$1,FALSE)/VLOOKUP($B25,Korrigeringsfaktor_EI,'Korrigeringsfaktor EI'!V$1,FALSE),
"")</f>
        <v>7.5851230769230771</v>
      </c>
      <c r="W25" s="18">
        <f>IFERROR(
                  Andel_oberoende_av_klimat*VLOOKUP($A25,Leveranser_per_nät,'Leveranser per nät'!W$1,FALSE)
               +Andel_beroende_av_klimat*VLOOKUP($A25,Leveranser_per_nät,'Leveranser per nät'!W$1,FALSE)/VLOOKUP($B25,Korrigeringsfaktor_EI,'Korrigeringsfaktor EI'!W$1,FALSE),
"")</f>
        <v>7.7982505154639181</v>
      </c>
      <c r="X25" s="18">
        <f>IFERROR(
                  Andel_oberoende_av_klimat*VLOOKUP($A25,Leveranser_per_nät,'Leveranser per nät'!X$1,FALSE)
               +Andel_beroende_av_klimat*VLOOKUP($A25,Leveranser_per_nät,'Leveranser per nät'!X$1,FALSE)/VLOOKUP($B25,Korrigeringsfaktor_EI,'Korrigeringsfaktor EI'!X$1,FALSE),
"")</f>
        <v>7.8404285714285713</v>
      </c>
      <c r="Y25" s="18">
        <f>IFERROR(
                  Andel_oberoende_av_klimat*VLOOKUP($A25,Leveranser_per_nät,'Leveranser per nät'!Y$1,FALSE)
               +Andel_beroende_av_klimat*VLOOKUP($A25,Leveranser_per_nät,'Leveranser per nät'!Y$1,FALSE)/VLOOKUP($B25,Korrigeringsfaktor_EI,'Korrigeringsfaktor EI'!Y$1,FALSE),
"")</f>
        <v>7.828157894736842</v>
      </c>
      <c r="Z25" s="18">
        <f>IFERROR(
                  Andel_oberoende_av_klimat*VLOOKUP($A25,Leveranser_per_nät,'Leveranser per nät'!Z$1,FALSE)
               +Andel_beroende_av_klimat*VLOOKUP($A25,Leveranser_per_nät,'Leveranser per nät'!Z$1,FALSE)/VLOOKUP($B25,Korrigeringsfaktor_EI,'Korrigeringsfaktor EI'!Z$1,FALSE),
"")</f>
        <v>7.6215051546391752</v>
      </c>
      <c r="AA25" s="18">
        <f>IFERROR(
                  Andel_oberoende_av_klimat*VLOOKUP($A25,Leveranser_per_nät,'Leveranser per nät'!AA$1,FALSE)
               +Andel_beroende_av_klimat*VLOOKUP($A25,Leveranser_per_nät,'Leveranser per nät'!AA$1,FALSE)/VLOOKUP($B25,Korrigeringsfaktor_EI,'Korrigeringsfaktor EI'!AA$1,FALSE),
"")</f>
        <v>7.5032432122370931</v>
      </c>
      <c r="AB25" s="18">
        <f>IFERROR(
                  Andel_oberoende_av_klimat*VLOOKUP($A25,Leveranser_per_nät,'Leveranser per nät'!AB$1,FALSE)
               +Andel_beroende_av_klimat*VLOOKUP($A25,Leveranser_per_nät,'Leveranser per nät'!AB$1,FALSE)/VLOOKUP($B25,Korrigeringsfaktor_EI,'Korrigeringsfaktor EI'!AB$1,FALSE),
"")</f>
        <v>7.411492668621702</v>
      </c>
      <c r="AC25" s="18">
        <f>IFERROR(
                  Andel_oberoende_av_klimat*VLOOKUP($A25,Leveranser_per_nät,'Leveranser per nät'!AC$1,FALSE)
               +Andel_beroende_av_klimat*VLOOKUP($A25,Leveranser_per_nät,'Leveranser per nät'!AC$1,FALSE)/VLOOKUP($B25,Korrigeringsfaktor_EI,'Korrigeringsfaktor EI'!AC$1,FALSE),
"")</f>
        <v>6.7791726618705042</v>
      </c>
      <c r="AD25">
        <v>6.65</v>
      </c>
    </row>
    <row r="26" spans="1:30" x14ac:dyDescent="0.25">
      <c r="A26" t="s">
        <v>109</v>
      </c>
      <c r="B26" t="s">
        <v>110</v>
      </c>
      <c r="C26" s="18">
        <f>IFERROR(
                  Andel_oberoende_av_klimat*VLOOKUP($A26,Leveranser_per_nät,'Leveranser per nät'!C$1,FALSE)
               +Andel_beroende_av_klimat*VLOOKUP($A26,Leveranser_per_nät,'Leveranser per nät'!C$1,FALSE)/VLOOKUP($B26,Korrigeringsfaktor_EI,'Korrigeringsfaktor EI'!C$1,FALSE),
"")</f>
        <v>0</v>
      </c>
      <c r="D26" s="18">
        <f>IFERROR(
                  Andel_oberoende_av_klimat*VLOOKUP($A26,Leveranser_per_nät,'Leveranser per nät'!D$1,FALSE)
               +Andel_beroende_av_klimat*VLOOKUP($A26,Leveranser_per_nät,'Leveranser per nät'!D$1,FALSE)/VLOOKUP($B26,Korrigeringsfaktor_EI,'Korrigeringsfaktor EI'!D$1,FALSE),
"")</f>
        <v>0</v>
      </c>
      <c r="E26" s="18">
        <f>IFERROR(
                  Andel_oberoende_av_klimat*VLOOKUP($A26,Leveranser_per_nät,'Leveranser per nät'!E$1,FALSE)
               +Andel_beroende_av_klimat*VLOOKUP($A26,Leveranser_per_nät,'Leveranser per nät'!E$1,FALSE)/VLOOKUP($B26,Korrigeringsfaktor_EI,'Korrigeringsfaktor EI'!E$1,FALSE),
"")</f>
        <v>0</v>
      </c>
      <c r="F26" s="18">
        <f>IFERROR(
                  Andel_oberoende_av_klimat*VLOOKUP($A26,Leveranser_per_nät,'Leveranser per nät'!F$1,FALSE)
               +Andel_beroende_av_klimat*VLOOKUP($A26,Leveranser_per_nät,'Leveranser per nät'!F$1,FALSE)/VLOOKUP($B26,Korrigeringsfaktor_EI,'Korrigeringsfaktor EI'!F$1,FALSE),
"")</f>
        <v>0</v>
      </c>
      <c r="G26" s="18">
        <f>IFERROR(
                  Andel_oberoende_av_klimat*VLOOKUP($A26,Leveranser_per_nät,'Leveranser per nät'!G$1,FALSE)
               +Andel_beroende_av_klimat*VLOOKUP($A26,Leveranser_per_nät,'Leveranser per nät'!G$1,FALSE)/VLOOKUP($B26,Korrigeringsfaktor_EI,'Korrigeringsfaktor EI'!G$1,FALSE),
"")</f>
        <v>0</v>
      </c>
      <c r="H26" s="18">
        <f>IFERROR(
                  Andel_oberoende_av_klimat*VLOOKUP($A26,Leveranser_per_nät,'Leveranser per nät'!H$1,FALSE)
               +Andel_beroende_av_klimat*VLOOKUP($A26,Leveranser_per_nät,'Leveranser per nät'!H$1,FALSE)/VLOOKUP($B26,Korrigeringsfaktor_EI,'Korrigeringsfaktor EI'!H$1,FALSE),
"")</f>
        <v>0</v>
      </c>
      <c r="I26" s="18">
        <f>IFERROR(
                  Andel_oberoende_av_klimat*VLOOKUP($A26,Leveranser_per_nät,'Leveranser per nät'!I$1,FALSE)
               +Andel_beroende_av_klimat*VLOOKUP($A26,Leveranser_per_nät,'Leveranser per nät'!I$1,FALSE)/VLOOKUP($B26,Korrigeringsfaktor_EI,'Korrigeringsfaktor EI'!I$1,FALSE),
"")</f>
        <v>0</v>
      </c>
      <c r="J26" s="18">
        <f>IFERROR(
                  Andel_oberoende_av_klimat*VLOOKUP($A26,Leveranser_per_nät,'Leveranser per nät'!J$1,FALSE)
               +Andel_beroende_av_klimat*VLOOKUP($A26,Leveranser_per_nät,'Leveranser per nät'!J$1,FALSE)/VLOOKUP($B26,Korrigeringsfaktor_EI,'Korrigeringsfaktor EI'!J$1,FALSE),
"")</f>
        <v>0</v>
      </c>
      <c r="K26" s="18">
        <f>IFERROR(
                  Andel_oberoende_av_klimat*VLOOKUP($A26,Leveranser_per_nät,'Leveranser per nät'!K$1,FALSE)
               +Andel_beroende_av_klimat*VLOOKUP($A26,Leveranser_per_nät,'Leveranser per nät'!K$1,FALSE)/VLOOKUP($B26,Korrigeringsfaktor_EI,'Korrigeringsfaktor EI'!K$1,FALSE),
"")</f>
        <v>0</v>
      </c>
      <c r="L26" s="18">
        <f>IFERROR(
                  Andel_oberoende_av_klimat*VLOOKUP($A26,Leveranser_per_nät,'Leveranser per nät'!L$1,FALSE)
               +Andel_beroende_av_klimat*VLOOKUP($A26,Leveranser_per_nät,'Leveranser per nät'!L$1,FALSE)/VLOOKUP($B26,Korrigeringsfaktor_EI,'Korrigeringsfaktor EI'!L$1,FALSE),
"")</f>
        <v>0</v>
      </c>
      <c r="M26" s="18">
        <f>IFERROR(
                  Andel_oberoende_av_klimat*VLOOKUP($A26,Leveranser_per_nät,'Leveranser per nät'!M$1,FALSE)
               +Andel_beroende_av_klimat*VLOOKUP($A26,Leveranser_per_nät,'Leveranser per nät'!M$1,FALSE)/VLOOKUP($B26,Korrigeringsfaktor_EI,'Korrigeringsfaktor EI'!M$1,FALSE),
"")</f>
        <v>0</v>
      </c>
      <c r="N26" s="18">
        <f>IFERROR(
                  Andel_oberoende_av_klimat*VLOOKUP($A26,Leveranser_per_nät,'Leveranser per nät'!N$1,FALSE)
               +Andel_beroende_av_klimat*VLOOKUP($A26,Leveranser_per_nät,'Leveranser per nät'!N$1,FALSE)/VLOOKUP($B26,Korrigeringsfaktor_EI,'Korrigeringsfaktor EI'!N$1,FALSE),
"")</f>
        <v>1.3151538461538461</v>
      </c>
      <c r="O26" s="18">
        <f>IFERROR(
                  Andel_oberoende_av_klimat*VLOOKUP($A26,Leveranser_per_nät,'Leveranser per nät'!O$1,FALSE)
               +Andel_beroende_av_klimat*VLOOKUP($A26,Leveranser_per_nät,'Leveranser per nät'!O$1,FALSE)/VLOOKUP($B26,Korrigeringsfaktor_EI,'Korrigeringsfaktor EI'!O$1,FALSE),
"")</f>
        <v>3.2656666666666663</v>
      </c>
      <c r="P26" s="18">
        <f>IFERROR(
                  Andel_oberoende_av_klimat*VLOOKUP($A26,Leveranser_per_nät,'Leveranser per nät'!P$1,FALSE)
               +Andel_beroende_av_klimat*VLOOKUP($A26,Leveranser_per_nät,'Leveranser per nät'!P$1,FALSE)/VLOOKUP($B26,Korrigeringsfaktor_EI,'Korrigeringsfaktor EI'!P$1,FALSE),
"")</f>
        <v>3.1708625000000001</v>
      </c>
      <c r="Q26" s="18">
        <f>IFERROR(
                  Andel_oberoende_av_klimat*VLOOKUP($A26,Leveranser_per_nät,'Leveranser per nät'!Q$1,FALSE)
               +Andel_beroende_av_klimat*VLOOKUP($A26,Leveranser_per_nät,'Leveranser per nät'!Q$1,FALSE)/VLOOKUP($B26,Korrigeringsfaktor_EI,'Korrigeringsfaktor EI'!Q$1,FALSE),
"")</f>
        <v>3.7810363636363635</v>
      </c>
      <c r="R26" s="18">
        <f>IFERROR(
                  Andel_oberoende_av_klimat*VLOOKUP($A26,Leveranser_per_nät,'Leveranser per nät'!R$1,FALSE)
               +Andel_beroende_av_klimat*VLOOKUP($A26,Leveranser_per_nät,'Leveranser per nät'!R$1,FALSE)/VLOOKUP($B26,Korrigeringsfaktor_EI,'Korrigeringsfaktor EI'!R$1,FALSE),
"")</f>
        <v>4.4547191011235956</v>
      </c>
      <c r="S26" s="18">
        <f>IFERROR(
                  Andel_oberoende_av_klimat*VLOOKUP($A26,Leveranser_per_nät,'Leveranser per nät'!S$1,FALSE)
               +Andel_beroende_av_klimat*VLOOKUP($A26,Leveranser_per_nät,'Leveranser per nät'!S$1,FALSE)/VLOOKUP($B26,Korrigeringsfaktor_EI,'Korrigeringsfaktor EI'!S$1,FALSE),
"")</f>
        <v>4.9700000000000006</v>
      </c>
      <c r="T26" s="18">
        <f>IFERROR(
                  Andel_oberoende_av_klimat*VLOOKUP($A26,Leveranser_per_nät,'Leveranser per nät'!T$1,FALSE)
               +Andel_beroende_av_klimat*VLOOKUP($A26,Leveranser_per_nät,'Leveranser per nät'!T$1,FALSE)/VLOOKUP($B26,Korrigeringsfaktor_EI,'Korrigeringsfaktor EI'!T$1,FALSE),
"")</f>
        <v>4.9341043478260866</v>
      </c>
      <c r="U26" s="18">
        <f>IFERROR(
                  Andel_oberoende_av_klimat*VLOOKUP($A26,Leveranser_per_nät,'Leveranser per nät'!U$1,FALSE)
               +Andel_beroende_av_klimat*VLOOKUP($A26,Leveranser_per_nät,'Leveranser per nät'!U$1,FALSE)/VLOOKUP($B26,Korrigeringsfaktor_EI,'Korrigeringsfaktor EI'!U$1,FALSE),
"")</f>
        <v>4.8528636363636366</v>
      </c>
      <c r="V26" s="18">
        <f>IFERROR(
                  Andel_oberoende_av_klimat*VLOOKUP($A26,Leveranser_per_nät,'Leveranser per nät'!V$1,FALSE)
               +Andel_beroende_av_klimat*VLOOKUP($A26,Leveranser_per_nät,'Leveranser per nät'!V$1,FALSE)/VLOOKUP($B26,Korrigeringsfaktor_EI,'Korrigeringsfaktor EI'!V$1,FALSE),
"")</f>
        <v>4.9327865168539331</v>
      </c>
      <c r="W26" s="18">
        <f>IFERROR(
                  Andel_oberoende_av_klimat*VLOOKUP($A26,Leveranser_per_nät,'Leveranser per nät'!W$1,FALSE)
               +Andel_beroende_av_klimat*VLOOKUP($A26,Leveranser_per_nät,'Leveranser per nät'!W$1,FALSE)/VLOOKUP($B26,Korrigeringsfaktor_EI,'Korrigeringsfaktor EI'!W$1,FALSE),
"")</f>
        <v>3.8339787234042557</v>
      </c>
      <c r="X26" s="18">
        <f>IFERROR(
                  Andel_oberoende_av_klimat*VLOOKUP($A26,Leveranser_per_nät,'Leveranser per nät'!X$1,FALSE)
               +Andel_beroende_av_klimat*VLOOKUP($A26,Leveranser_per_nät,'Leveranser per nät'!X$1,FALSE)/VLOOKUP($B26,Korrigeringsfaktor_EI,'Korrigeringsfaktor EI'!X$1,FALSE),
"")</f>
        <v>3.2764210526315791</v>
      </c>
      <c r="Y26" s="18">
        <f>IFERROR(
                  Andel_oberoende_av_klimat*VLOOKUP($A26,Leveranser_per_nät,'Leveranser per nät'!Y$1,FALSE)
               +Andel_beroende_av_klimat*VLOOKUP($A26,Leveranser_per_nät,'Leveranser per nät'!Y$1,FALSE)/VLOOKUP($B26,Korrigeringsfaktor_EI,'Korrigeringsfaktor EI'!Y$1,FALSE),
"")</f>
        <v>3.9358260869565216</v>
      </c>
      <c r="Z26" s="18">
        <f>IFERROR(
                  Andel_oberoende_av_klimat*VLOOKUP($A26,Leveranser_per_nät,'Leveranser per nät'!Z$1,FALSE)
               +Andel_beroende_av_klimat*VLOOKUP($A26,Leveranser_per_nät,'Leveranser per nät'!Z$1,FALSE)/VLOOKUP($B26,Korrigeringsfaktor_EI,'Korrigeringsfaktor EI'!Z$1,FALSE),
"")</f>
        <v>4.2010434782608694</v>
      </c>
      <c r="AA26" s="18">
        <f>IFERROR(
                  Andel_oberoende_av_klimat*VLOOKUP($A26,Leveranser_per_nät,'Leveranser per nät'!AA$1,FALSE)
               +Andel_beroende_av_klimat*VLOOKUP($A26,Leveranser_per_nät,'Leveranser per nät'!AA$1,FALSE)/VLOOKUP($B26,Korrigeringsfaktor_EI,'Korrigeringsfaktor EI'!AA$1,FALSE),
"")</f>
        <v>3.9228553092182032</v>
      </c>
      <c r="AB26" s="18">
        <f>IFERROR(
                  Andel_oberoende_av_klimat*VLOOKUP($A26,Leveranser_per_nät,'Leveranser per nät'!AB$1,FALSE)
               +Andel_beroende_av_klimat*VLOOKUP($A26,Leveranser_per_nät,'Leveranser per nät'!AB$1,FALSE)/VLOOKUP($B26,Korrigeringsfaktor_EI,'Korrigeringsfaktor EI'!AB$1,FALSE),
"")</f>
        <v>3.9208282025819265</v>
      </c>
      <c r="AC26" s="18">
        <f>IFERROR(
                  Andel_oberoende_av_klimat*VLOOKUP($A26,Leveranser_per_nät,'Leveranser per nät'!AC$1,FALSE)
               +Andel_beroende_av_klimat*VLOOKUP($A26,Leveranser_per_nät,'Leveranser per nät'!AC$1,FALSE)/VLOOKUP($B26,Korrigeringsfaktor_EI,'Korrigeringsfaktor EI'!AC$1,FALSE),
"")</f>
        <v>3.9022014537902385</v>
      </c>
      <c r="AD26">
        <v>374.2</v>
      </c>
    </row>
    <row r="27" spans="1:30" x14ac:dyDescent="0.25">
      <c r="A27" t="s">
        <v>213</v>
      </c>
      <c r="B27" t="s">
        <v>213</v>
      </c>
      <c r="C27" s="18">
        <f>IFERROR(
                  Andel_oberoende_av_klimat*VLOOKUP($A27,Leveranser_per_nät,'Leveranser per nät'!C$1,FALSE)
               +Andel_beroende_av_klimat*VLOOKUP($A27,Leveranser_per_nät,'Leveranser per nät'!C$1,FALSE)/VLOOKUP($B27,Korrigeringsfaktor_EI,'Korrigeringsfaktor EI'!C$1,FALSE),
"")</f>
        <v>0</v>
      </c>
      <c r="D27" s="18">
        <f>IFERROR(
                  Andel_oberoende_av_klimat*VLOOKUP($A27,Leveranser_per_nät,'Leveranser per nät'!D$1,FALSE)
               +Andel_beroende_av_klimat*VLOOKUP($A27,Leveranser_per_nät,'Leveranser per nät'!D$1,FALSE)/VLOOKUP($B27,Korrigeringsfaktor_EI,'Korrigeringsfaktor EI'!D$1,FALSE),
"")</f>
        <v>0</v>
      </c>
      <c r="E27" s="18">
        <f>IFERROR(
                  Andel_oberoende_av_klimat*VLOOKUP($A27,Leveranser_per_nät,'Leveranser per nät'!E$1,FALSE)
               +Andel_beroende_av_klimat*VLOOKUP($A27,Leveranser_per_nät,'Leveranser per nät'!E$1,FALSE)/VLOOKUP($B27,Korrigeringsfaktor_EI,'Korrigeringsfaktor EI'!E$1,FALSE),
"")</f>
        <v>0</v>
      </c>
      <c r="F27" s="18">
        <f>IFERROR(
                  Andel_oberoende_av_klimat*VLOOKUP($A27,Leveranser_per_nät,'Leveranser per nät'!F$1,FALSE)
               +Andel_beroende_av_klimat*VLOOKUP($A27,Leveranser_per_nät,'Leveranser per nät'!F$1,FALSE)/VLOOKUP($B27,Korrigeringsfaktor_EI,'Korrigeringsfaktor EI'!F$1,FALSE),
"")</f>
        <v>0</v>
      </c>
      <c r="G27" s="18">
        <f>IFERROR(
                  Andel_oberoende_av_klimat*VLOOKUP($A27,Leveranser_per_nät,'Leveranser per nät'!G$1,FALSE)
               +Andel_beroende_av_klimat*VLOOKUP($A27,Leveranser_per_nät,'Leveranser per nät'!G$1,FALSE)/VLOOKUP($B27,Korrigeringsfaktor_EI,'Korrigeringsfaktor EI'!G$1,FALSE),
"")</f>
        <v>0</v>
      </c>
      <c r="H27" s="18">
        <f>IFERROR(
                  Andel_oberoende_av_klimat*VLOOKUP($A27,Leveranser_per_nät,'Leveranser per nät'!H$1,FALSE)
               +Andel_beroende_av_klimat*VLOOKUP($A27,Leveranser_per_nät,'Leveranser per nät'!H$1,FALSE)/VLOOKUP($B27,Korrigeringsfaktor_EI,'Korrigeringsfaktor EI'!H$1,FALSE),
"")</f>
        <v>19.411340206185567</v>
      </c>
      <c r="I27" s="18">
        <f>IFERROR(
                  Andel_oberoende_av_klimat*VLOOKUP($A27,Leveranser_per_nät,'Leveranser per nät'!I$1,FALSE)
               +Andel_beroende_av_klimat*VLOOKUP($A27,Leveranser_per_nät,'Leveranser per nät'!I$1,FALSE)/VLOOKUP($B27,Korrigeringsfaktor_EI,'Korrigeringsfaktor EI'!I$1,FALSE),
"")</f>
        <v>21.592739784946236</v>
      </c>
      <c r="J27" s="18">
        <f>IFERROR(
                  Andel_oberoende_av_klimat*VLOOKUP($A27,Leveranser_per_nät,'Leveranser per nät'!J$1,FALSE)
               +Andel_beroende_av_klimat*VLOOKUP($A27,Leveranser_per_nät,'Leveranser per nät'!J$1,FALSE)/VLOOKUP($B27,Korrigeringsfaktor_EI,'Korrigeringsfaktor EI'!J$1,FALSE),
"")</f>
        <v>21.934394736842108</v>
      </c>
      <c r="K27" s="18">
        <f>IFERROR(
                  Andel_oberoende_av_klimat*VLOOKUP($A27,Leveranser_per_nät,'Leveranser per nät'!K$1,FALSE)
               +Andel_beroende_av_klimat*VLOOKUP($A27,Leveranser_per_nät,'Leveranser per nät'!K$1,FALSE)/VLOOKUP($B27,Korrigeringsfaktor_EI,'Korrigeringsfaktor EI'!K$1,FALSE),
"")</f>
        <v>22.768254166666669</v>
      </c>
      <c r="L27" s="18">
        <f>IFERROR(
                  Andel_oberoende_av_klimat*VLOOKUP($A27,Leveranser_per_nät,'Leveranser per nät'!L$1,FALSE)
               +Andel_beroende_av_klimat*VLOOKUP($A27,Leveranser_per_nät,'Leveranser per nät'!L$1,FALSE)/VLOOKUP($B27,Korrigeringsfaktor_EI,'Korrigeringsfaktor EI'!L$1,FALSE),
"")</f>
        <v>22.605848936170212</v>
      </c>
      <c r="M27" s="18">
        <f>IFERROR(
                  Andel_oberoende_av_klimat*VLOOKUP($A27,Leveranser_per_nät,'Leveranser per nät'!M$1,FALSE)
               +Andel_beroende_av_klimat*VLOOKUP($A27,Leveranser_per_nät,'Leveranser per nät'!M$1,FALSE)/VLOOKUP($B27,Korrigeringsfaktor_EI,'Korrigeringsfaktor EI'!M$1,FALSE),
"")</f>
        <v>24.365322222222218</v>
      </c>
      <c r="N27" s="18">
        <f>IFERROR(
                  Andel_oberoende_av_klimat*VLOOKUP($A27,Leveranser_per_nät,'Leveranser per nät'!N$1,FALSE)
               +Andel_beroende_av_klimat*VLOOKUP($A27,Leveranser_per_nät,'Leveranser per nät'!N$1,FALSE)/VLOOKUP($B27,Korrigeringsfaktor_EI,'Korrigeringsfaktor EI'!N$1,FALSE),
"")</f>
        <v>5.7439080459770118</v>
      </c>
      <c r="O27" s="18">
        <f>IFERROR(
                  Andel_oberoende_av_klimat*VLOOKUP($A27,Leveranser_per_nät,'Leveranser per nät'!O$1,FALSE)
               +Andel_beroende_av_klimat*VLOOKUP($A27,Leveranser_per_nät,'Leveranser per nät'!O$1,FALSE)/VLOOKUP($B27,Korrigeringsfaktor_EI,'Korrigeringsfaktor EI'!O$1,FALSE),
"")</f>
        <v>23.969770114942527</v>
      </c>
      <c r="P27" s="18">
        <f>IFERROR(
                  Andel_oberoende_av_klimat*VLOOKUP($A27,Leveranser_per_nät,'Leveranser per nät'!P$1,FALSE)
               +Andel_beroende_av_klimat*VLOOKUP($A27,Leveranser_per_nät,'Leveranser per nät'!P$1,FALSE)/VLOOKUP($B27,Korrigeringsfaktor_EI,'Korrigeringsfaktor EI'!P$1,FALSE),
"")</f>
        <v>28.7495652173913</v>
      </c>
      <c r="Q27" s="18">
        <f>IFERROR(
                  Andel_oberoende_av_klimat*VLOOKUP($A27,Leveranser_per_nät,'Leveranser per nät'!Q$1,FALSE)
               +Andel_beroende_av_klimat*VLOOKUP($A27,Leveranser_per_nät,'Leveranser per nät'!Q$1,FALSE)/VLOOKUP($B27,Korrigeringsfaktor_EI,'Korrigeringsfaktor EI'!Q$1,FALSE),
"")</f>
        <v>32.05172727272727</v>
      </c>
      <c r="R27" s="18">
        <f>IFERROR(
                  Andel_oberoende_av_klimat*VLOOKUP($A27,Leveranser_per_nät,'Leveranser per nät'!R$1,FALSE)
               +Andel_beroende_av_klimat*VLOOKUP($A27,Leveranser_per_nät,'Leveranser per nät'!R$1,FALSE)/VLOOKUP($B27,Korrigeringsfaktor_EI,'Korrigeringsfaktor EI'!R$1,FALSE),
"")</f>
        <v>37.614444444444437</v>
      </c>
      <c r="S27" s="18">
        <f>IFERROR(
                  Andel_oberoende_av_klimat*VLOOKUP($A27,Leveranser_per_nät,'Leveranser per nät'!S$1,FALSE)
               +Andel_beroende_av_klimat*VLOOKUP($A27,Leveranser_per_nät,'Leveranser per nät'!S$1,FALSE)/VLOOKUP($B27,Korrigeringsfaktor_EI,'Korrigeringsfaktor EI'!S$1,FALSE),
"")</f>
        <v>36.210000000000008</v>
      </c>
      <c r="T27" s="18">
        <f>IFERROR(
                  Andel_oberoende_av_klimat*VLOOKUP($A27,Leveranser_per_nät,'Leveranser per nät'!T$1,FALSE)
               +Andel_beroende_av_klimat*VLOOKUP($A27,Leveranser_per_nät,'Leveranser per nät'!T$1,FALSE)/VLOOKUP($B27,Korrigeringsfaktor_EI,'Korrigeringsfaktor EI'!T$1,FALSE),
"")</f>
        <v>52.256842105263161</v>
      </c>
      <c r="U27" s="18">
        <f>IFERROR(
                  Andel_oberoende_av_klimat*VLOOKUP($A27,Leveranser_per_nät,'Leveranser per nät'!U$1,FALSE)
               +Andel_beroende_av_klimat*VLOOKUP($A27,Leveranser_per_nät,'Leveranser per nät'!U$1,FALSE)/VLOOKUP($B27,Korrigeringsfaktor_EI,'Korrigeringsfaktor EI'!U$1,FALSE),
"")</f>
        <v>27.880000000000003</v>
      </c>
      <c r="V27" s="18">
        <f>IFERROR(
                  Andel_oberoende_av_klimat*VLOOKUP($A27,Leveranser_per_nät,'Leveranser per nät'!V$1,FALSE)
               +Andel_beroende_av_klimat*VLOOKUP($A27,Leveranser_per_nät,'Leveranser per nät'!V$1,FALSE)/VLOOKUP($B27,Korrigeringsfaktor_EI,'Korrigeringsfaktor EI'!V$1,FALSE),
"")</f>
        <v>27.375555555555554</v>
      </c>
      <c r="W27" s="18">
        <f>IFERROR(
                  Andel_oberoende_av_klimat*VLOOKUP($A27,Leveranser_per_nät,'Leveranser per nät'!W$1,FALSE)
               +Andel_beroende_av_klimat*VLOOKUP($A27,Leveranser_per_nät,'Leveranser per nät'!W$1,FALSE)/VLOOKUP($B27,Korrigeringsfaktor_EI,'Korrigeringsfaktor EI'!W$1,FALSE),
"")</f>
        <v>26.948817204301072</v>
      </c>
      <c r="X27" s="18">
        <f>IFERROR(
                  Andel_oberoende_av_klimat*VLOOKUP($A27,Leveranser_per_nät,'Leveranser per nät'!X$1,FALSE)
               +Andel_beroende_av_klimat*VLOOKUP($A27,Leveranser_per_nät,'Leveranser per nät'!X$1,FALSE)/VLOOKUP($B27,Korrigeringsfaktor_EI,'Korrigeringsfaktor EI'!X$1,FALSE),
"")</f>
        <v>28.537391304347825</v>
      </c>
      <c r="Y27" s="18">
        <f>IFERROR(
                  Andel_oberoende_av_klimat*VLOOKUP($A27,Leveranser_per_nät,'Leveranser per nät'!Y$1,FALSE)
               +Andel_beroende_av_klimat*VLOOKUP($A27,Leveranser_per_nät,'Leveranser per nät'!Y$1,FALSE)/VLOOKUP($B27,Korrigeringsfaktor_EI,'Korrigeringsfaktor EI'!Y$1,FALSE),
"")</f>
        <v>28.296479310344829</v>
      </c>
      <c r="Z27" s="18">
        <f>IFERROR(
                  Andel_oberoende_av_klimat*VLOOKUP($A27,Leveranser_per_nät,'Leveranser per nät'!Z$1,FALSE)
               +Andel_beroende_av_klimat*VLOOKUP($A27,Leveranser_per_nät,'Leveranser per nät'!Z$1,FALSE)/VLOOKUP($B27,Korrigeringsfaktor_EI,'Korrigeringsfaktor EI'!Z$1,FALSE),
"")</f>
        <v>27.001666666666665</v>
      </c>
      <c r="AA27" s="18">
        <f>IFERROR(
                  Andel_oberoende_av_klimat*VLOOKUP($A27,Leveranser_per_nät,'Leveranser per nät'!AA$1,FALSE)
               +Andel_beroende_av_klimat*VLOOKUP($A27,Leveranser_per_nät,'Leveranser per nät'!AA$1,FALSE)/VLOOKUP($B27,Korrigeringsfaktor_EI,'Korrigeringsfaktor EI'!AA$1,FALSE),
"")</f>
        <v>24.331941197604792</v>
      </c>
      <c r="AB27" s="18">
        <f>IFERROR(
                  Andel_oberoende_av_klimat*VLOOKUP($A27,Leveranser_per_nät,'Leveranser per nät'!AB$1,FALSE)
               +Andel_beroende_av_klimat*VLOOKUP($A27,Leveranser_per_nät,'Leveranser per nät'!AB$1,FALSE)/VLOOKUP($B27,Korrigeringsfaktor_EI,'Korrigeringsfaktor EI'!AB$1,FALSE),
"")</f>
        <v>26.113520278330018</v>
      </c>
      <c r="AC27" s="18">
        <f>IFERROR(
                  Andel_oberoende_av_klimat*VLOOKUP($A27,Leveranser_per_nät,'Leveranser per nät'!AC$1,FALSE)
               +Andel_beroende_av_klimat*VLOOKUP($A27,Leveranser_per_nät,'Leveranser per nät'!AC$1,FALSE)/VLOOKUP($B27,Korrigeringsfaktor_EI,'Korrigeringsfaktor EI'!AC$1,FALSE),
"")</f>
        <v>28.995326787620062</v>
      </c>
      <c r="AD27">
        <v>24.338999999999999</v>
      </c>
    </row>
    <row r="28" spans="1:30" x14ac:dyDescent="0.25">
      <c r="A28" t="s">
        <v>178</v>
      </c>
      <c r="B28" t="s">
        <v>151</v>
      </c>
      <c r="C28" s="18">
        <f>IFERROR(
                  Andel_oberoende_av_klimat*VLOOKUP($A28,Leveranser_per_nät,'Leveranser per nät'!C$1,FALSE)
               +Andel_beroende_av_klimat*VLOOKUP($A28,Leveranser_per_nät,'Leveranser per nät'!C$1,FALSE)/VLOOKUP($B28,Korrigeringsfaktor_EI,'Korrigeringsfaktor EI'!C$1,FALSE),
"")</f>
        <v>0</v>
      </c>
      <c r="D28" s="18">
        <f>IFERROR(
                  Andel_oberoende_av_klimat*VLOOKUP($A28,Leveranser_per_nät,'Leveranser per nät'!D$1,FALSE)
               +Andel_beroende_av_klimat*VLOOKUP($A28,Leveranser_per_nät,'Leveranser per nät'!D$1,FALSE)/VLOOKUP($B28,Korrigeringsfaktor_EI,'Korrigeringsfaktor EI'!D$1,FALSE),
"")</f>
        <v>0</v>
      </c>
      <c r="E28" s="18">
        <f>IFERROR(
                  Andel_oberoende_av_klimat*VLOOKUP($A28,Leveranser_per_nät,'Leveranser per nät'!E$1,FALSE)
               +Andel_beroende_av_klimat*VLOOKUP($A28,Leveranser_per_nät,'Leveranser per nät'!E$1,FALSE)/VLOOKUP($B28,Korrigeringsfaktor_EI,'Korrigeringsfaktor EI'!E$1,FALSE),
"")</f>
        <v>0</v>
      </c>
      <c r="F28" s="18">
        <f>IFERROR(
                  Andel_oberoende_av_klimat*VLOOKUP($A28,Leveranser_per_nät,'Leveranser per nät'!F$1,FALSE)
               +Andel_beroende_av_klimat*VLOOKUP($A28,Leveranser_per_nät,'Leveranser per nät'!F$1,FALSE)/VLOOKUP($B28,Korrigeringsfaktor_EI,'Korrigeringsfaktor EI'!F$1,FALSE),
"")</f>
        <v>0</v>
      </c>
      <c r="G28" s="18">
        <f>IFERROR(
                  Andel_oberoende_av_klimat*VLOOKUP($A28,Leveranser_per_nät,'Leveranser per nät'!G$1,FALSE)
               +Andel_beroende_av_klimat*VLOOKUP($A28,Leveranser_per_nät,'Leveranser per nät'!G$1,FALSE)/VLOOKUP($B28,Korrigeringsfaktor_EI,'Korrigeringsfaktor EI'!G$1,FALSE),
"")</f>
        <v>0</v>
      </c>
      <c r="H28" s="18">
        <f>IFERROR(
                  Andel_oberoende_av_klimat*VLOOKUP($A28,Leveranser_per_nät,'Leveranser per nät'!H$1,FALSE)
               +Andel_beroende_av_klimat*VLOOKUP($A28,Leveranser_per_nät,'Leveranser per nät'!H$1,FALSE)/VLOOKUP($B28,Korrigeringsfaktor_EI,'Korrigeringsfaktor EI'!H$1,FALSE),
"")</f>
        <v>0</v>
      </c>
      <c r="I28" s="18">
        <f>IFERROR(
                  Andel_oberoende_av_klimat*VLOOKUP($A28,Leveranser_per_nät,'Leveranser per nät'!I$1,FALSE)
               +Andel_beroende_av_klimat*VLOOKUP($A28,Leveranser_per_nät,'Leveranser per nät'!I$1,FALSE)/VLOOKUP($B28,Korrigeringsfaktor_EI,'Korrigeringsfaktor EI'!I$1,FALSE),
"")</f>
        <v>0</v>
      </c>
      <c r="J28" s="18">
        <f>IFERROR(
                  Andel_oberoende_av_klimat*VLOOKUP($A28,Leveranser_per_nät,'Leveranser per nät'!J$1,FALSE)
               +Andel_beroende_av_klimat*VLOOKUP($A28,Leveranser_per_nät,'Leveranser per nät'!J$1,FALSE)/VLOOKUP($B28,Korrigeringsfaktor_EI,'Korrigeringsfaktor EI'!J$1,FALSE),
"")</f>
        <v>0</v>
      </c>
      <c r="K28" s="18">
        <f>IFERROR(
                  Andel_oberoende_av_klimat*VLOOKUP($A28,Leveranser_per_nät,'Leveranser per nät'!K$1,FALSE)
               +Andel_beroende_av_klimat*VLOOKUP($A28,Leveranser_per_nät,'Leveranser per nät'!K$1,FALSE)/VLOOKUP($B28,Korrigeringsfaktor_EI,'Korrigeringsfaktor EI'!K$1,FALSE),
"")</f>
        <v>0</v>
      </c>
      <c r="L28" s="18">
        <f>IFERROR(
                  Andel_oberoende_av_klimat*VLOOKUP($A28,Leveranser_per_nät,'Leveranser per nät'!L$1,FALSE)
               +Andel_beroende_av_klimat*VLOOKUP($A28,Leveranser_per_nät,'Leveranser per nät'!L$1,FALSE)/VLOOKUP($B28,Korrigeringsfaktor_EI,'Korrigeringsfaktor EI'!L$1,FALSE),
"")</f>
        <v>0</v>
      </c>
      <c r="M28" s="18">
        <f>IFERROR(
                  Andel_oberoende_av_klimat*VLOOKUP($A28,Leveranser_per_nät,'Leveranser per nät'!M$1,FALSE)
               +Andel_beroende_av_klimat*VLOOKUP($A28,Leveranser_per_nät,'Leveranser per nät'!M$1,FALSE)/VLOOKUP($B28,Korrigeringsfaktor_EI,'Korrigeringsfaktor EI'!M$1,FALSE),
"")</f>
        <v>0.11351304347826087</v>
      </c>
      <c r="N28" s="18">
        <f>IFERROR(
                  Andel_oberoende_av_klimat*VLOOKUP($A28,Leveranser_per_nät,'Leveranser per nät'!N$1,FALSE)
               +Andel_beroende_av_klimat*VLOOKUP($A28,Leveranser_per_nät,'Leveranser per nät'!N$1,FALSE)/VLOOKUP($B28,Korrigeringsfaktor_EI,'Korrigeringsfaktor EI'!N$1,FALSE),
"")</f>
        <v>0.11532222222222221</v>
      </c>
      <c r="O28" s="18">
        <f>IFERROR(
                  Andel_oberoende_av_klimat*VLOOKUP($A28,Leveranser_per_nät,'Leveranser per nät'!O$1,FALSE)
               +Andel_beroende_av_klimat*VLOOKUP($A28,Leveranser_per_nät,'Leveranser per nät'!O$1,FALSE)/VLOOKUP($B28,Korrigeringsfaktor_EI,'Korrigeringsfaktor EI'!O$1,FALSE),
"")</f>
        <v>4.7366923076923086</v>
      </c>
      <c r="P28" s="18">
        <f>IFERROR(
                  Andel_oberoende_av_klimat*VLOOKUP($A28,Leveranser_per_nät,'Leveranser per nät'!P$1,FALSE)
               +Andel_beroende_av_klimat*VLOOKUP($A28,Leveranser_per_nät,'Leveranser per nät'!P$1,FALSE)/VLOOKUP($B28,Korrigeringsfaktor_EI,'Korrigeringsfaktor EI'!P$1,FALSE),
"")</f>
        <v>9.0754789473684205</v>
      </c>
      <c r="Q28" s="18">
        <f>IFERROR(
                  Andel_oberoende_av_klimat*VLOOKUP($A28,Leveranser_per_nät,'Leveranser per nät'!Q$1,FALSE)
               +Andel_beroende_av_klimat*VLOOKUP($A28,Leveranser_per_nät,'Leveranser per nät'!Q$1,FALSE)/VLOOKUP($B28,Korrigeringsfaktor_EI,'Korrigeringsfaktor EI'!Q$1,FALSE),
"")</f>
        <v>9.7985249999999997</v>
      </c>
      <c r="R28" s="18">
        <f>IFERROR(
                  Andel_oberoende_av_klimat*VLOOKUP($A28,Leveranser_per_nät,'Leveranser per nät'!R$1,FALSE)
               +Andel_beroende_av_klimat*VLOOKUP($A28,Leveranser_per_nät,'Leveranser per nät'!R$1,FALSE)/VLOOKUP($B28,Korrigeringsfaktor_EI,'Korrigeringsfaktor EI'!R$1,FALSE),
"")</f>
        <v>9.4857731182795675</v>
      </c>
      <c r="S28" s="18">
        <f>IFERROR(
                  Andel_oberoende_av_klimat*VLOOKUP($A28,Leveranser_per_nät,'Leveranser per nät'!S$1,FALSE)
               +Andel_beroende_av_klimat*VLOOKUP($A28,Leveranser_per_nät,'Leveranser per nät'!S$1,FALSE)/VLOOKUP($B28,Korrigeringsfaktor_EI,'Korrigeringsfaktor EI'!S$1,FALSE),
"")</f>
        <v>8.9356470588235286</v>
      </c>
      <c r="T28" s="18">
        <f>IFERROR(
                  Andel_oberoende_av_klimat*VLOOKUP($A28,Leveranser_per_nät,'Leveranser per nät'!T$1,FALSE)
               +Andel_beroende_av_klimat*VLOOKUP($A28,Leveranser_per_nät,'Leveranser per nät'!T$1,FALSE)/VLOOKUP($B28,Korrigeringsfaktor_EI,'Korrigeringsfaktor EI'!T$1,FALSE),
"")</f>
        <v>9.3811285714285724</v>
      </c>
      <c r="U28" s="18">
        <f>IFERROR(
                  Andel_oberoende_av_klimat*VLOOKUP($A28,Leveranser_per_nät,'Leveranser per nät'!U$1,FALSE)
               +Andel_beroende_av_klimat*VLOOKUP($A28,Leveranser_per_nät,'Leveranser per nät'!U$1,FALSE)/VLOOKUP($B28,Korrigeringsfaktor_EI,'Korrigeringsfaktor EI'!U$1,FALSE),
"")</f>
        <v>8.9104272727272722</v>
      </c>
      <c r="V28" s="18">
        <f>IFERROR(
                  Andel_oberoende_av_klimat*VLOOKUP($A28,Leveranser_per_nät,'Leveranser per nät'!V$1,FALSE)
               +Andel_beroende_av_klimat*VLOOKUP($A28,Leveranser_per_nät,'Leveranser per nät'!V$1,FALSE)/VLOOKUP($B28,Korrigeringsfaktor_EI,'Korrigeringsfaktor EI'!V$1,FALSE),
"")</f>
        <v>8.5267741935483858</v>
      </c>
      <c r="W28" s="18">
        <f>IFERROR(
                  Andel_oberoende_av_klimat*VLOOKUP($A28,Leveranser_per_nät,'Leveranser per nät'!W$1,FALSE)
               +Andel_beroende_av_klimat*VLOOKUP($A28,Leveranser_per_nät,'Leveranser per nät'!W$1,FALSE)/VLOOKUP($B28,Korrigeringsfaktor_EI,'Korrigeringsfaktor EI'!W$1,FALSE),
"")</f>
        <v>9.57136595744681</v>
      </c>
      <c r="X28" s="18">
        <f>IFERROR(
                  Andel_oberoende_av_klimat*VLOOKUP($A28,Leveranser_per_nät,'Leveranser per nät'!X$1,FALSE)
               +Andel_beroende_av_klimat*VLOOKUP($A28,Leveranser_per_nät,'Leveranser per nät'!X$1,FALSE)/VLOOKUP($B28,Korrigeringsfaktor_EI,'Korrigeringsfaktor EI'!X$1,FALSE),
"")</f>
        <v>9.2320752688172032</v>
      </c>
      <c r="Y28" s="18">
        <f>IFERROR(
                  Andel_oberoende_av_klimat*VLOOKUP($A28,Leveranser_per_nät,'Leveranser per nät'!Y$1,FALSE)
               +Andel_beroende_av_klimat*VLOOKUP($A28,Leveranser_per_nät,'Leveranser per nät'!Y$1,FALSE)/VLOOKUP($B28,Korrigeringsfaktor_EI,'Korrigeringsfaktor EI'!Y$1,FALSE),
"")</f>
        <v>9.4309662921348298</v>
      </c>
      <c r="Z28" s="18">
        <f>IFERROR(
                  Andel_oberoende_av_klimat*VLOOKUP($A28,Leveranser_per_nät,'Leveranser per nät'!Z$1,FALSE)
               +Andel_beroende_av_klimat*VLOOKUP($A28,Leveranser_per_nät,'Leveranser per nät'!Z$1,FALSE)/VLOOKUP($B28,Korrigeringsfaktor_EI,'Korrigeringsfaktor EI'!Z$1,FALSE),
"")</f>
        <v>9.0024712643678164</v>
      </c>
      <c r="AA28" s="18">
        <f>IFERROR(
                  Andel_oberoende_av_klimat*VLOOKUP($A28,Leveranser_per_nät,'Leveranser per nät'!AA$1,FALSE)
               +Andel_beroende_av_klimat*VLOOKUP($A28,Leveranser_per_nät,'Leveranser per nät'!AA$1,FALSE)/VLOOKUP($B28,Korrigeringsfaktor_EI,'Korrigeringsfaktor EI'!AA$1,FALSE),
"")</f>
        <v>8.2399596899224807</v>
      </c>
      <c r="AB28" s="18">
        <f>IFERROR(
                  Andel_oberoende_av_klimat*VLOOKUP($A28,Leveranser_per_nät,'Leveranser per nät'!AB$1,FALSE)
               +Andel_beroende_av_klimat*VLOOKUP($A28,Leveranser_per_nät,'Leveranser per nät'!AB$1,FALSE)/VLOOKUP($B28,Korrigeringsfaktor_EI,'Korrigeringsfaktor EI'!AB$1,FALSE),
"")</f>
        <v>8.9959655172413804</v>
      </c>
      <c r="AC28" s="18">
        <f>IFERROR(
                  Andel_oberoende_av_klimat*VLOOKUP($A28,Leveranser_per_nät,'Leveranser per nät'!AC$1,FALSE)
               +Andel_beroende_av_klimat*VLOOKUP($A28,Leveranser_per_nät,'Leveranser per nät'!AC$1,FALSE)/VLOOKUP($B28,Korrigeringsfaktor_EI,'Korrigeringsfaktor EI'!AC$1,FALSE),
"")</f>
        <v>8.6994522292993626</v>
      </c>
      <c r="AD28">
        <v>177.02</v>
      </c>
    </row>
    <row r="29" spans="1:30" x14ac:dyDescent="0.25">
      <c r="A29" t="s">
        <v>377</v>
      </c>
      <c r="B29" t="s">
        <v>376</v>
      </c>
      <c r="C29" s="18">
        <f>IFERROR(
                  Andel_oberoende_av_klimat*VLOOKUP($A29,Leveranser_per_nät,'Leveranser per nät'!C$1,FALSE)
               +Andel_beroende_av_klimat*VLOOKUP($A29,Leveranser_per_nät,'Leveranser per nät'!C$1,FALSE)/VLOOKUP($B29,Korrigeringsfaktor_EI,'Korrigeringsfaktor EI'!C$1,FALSE),
"")</f>
        <v>0</v>
      </c>
      <c r="D29" s="18">
        <f>IFERROR(
                  Andel_oberoende_av_klimat*VLOOKUP($A29,Leveranser_per_nät,'Leveranser per nät'!D$1,FALSE)
               +Andel_beroende_av_klimat*VLOOKUP($A29,Leveranser_per_nät,'Leveranser per nät'!D$1,FALSE)/VLOOKUP($B29,Korrigeringsfaktor_EI,'Korrigeringsfaktor EI'!D$1,FALSE),
"")</f>
        <v>0</v>
      </c>
      <c r="E29" s="18">
        <f>IFERROR(
                  Andel_oberoende_av_klimat*VLOOKUP($A29,Leveranser_per_nät,'Leveranser per nät'!E$1,FALSE)
               +Andel_beroende_av_klimat*VLOOKUP($A29,Leveranser_per_nät,'Leveranser per nät'!E$1,FALSE)/VLOOKUP($B29,Korrigeringsfaktor_EI,'Korrigeringsfaktor EI'!E$1,FALSE),
"")</f>
        <v>0</v>
      </c>
      <c r="F29" s="18">
        <f>IFERROR(
                  Andel_oberoende_av_klimat*VLOOKUP($A29,Leveranser_per_nät,'Leveranser per nät'!F$1,FALSE)
               +Andel_beroende_av_klimat*VLOOKUP($A29,Leveranser_per_nät,'Leveranser per nät'!F$1,FALSE)/VLOOKUP($B29,Korrigeringsfaktor_EI,'Korrigeringsfaktor EI'!F$1,FALSE),
"")</f>
        <v>0</v>
      </c>
      <c r="G29" s="18">
        <f>IFERROR(
                  Andel_oberoende_av_klimat*VLOOKUP($A29,Leveranser_per_nät,'Leveranser per nät'!G$1,FALSE)
               +Andel_beroende_av_klimat*VLOOKUP($A29,Leveranser_per_nät,'Leveranser per nät'!G$1,FALSE)/VLOOKUP($B29,Korrigeringsfaktor_EI,'Korrigeringsfaktor EI'!G$1,FALSE),
"")</f>
        <v>0</v>
      </c>
      <c r="H29" s="18">
        <f>IFERROR(
                  Andel_oberoende_av_klimat*VLOOKUP($A29,Leveranser_per_nät,'Leveranser per nät'!H$1,FALSE)
               +Andel_beroende_av_klimat*VLOOKUP($A29,Leveranser_per_nät,'Leveranser per nät'!H$1,FALSE)/VLOOKUP($B29,Korrigeringsfaktor_EI,'Korrigeringsfaktor EI'!H$1,FALSE),
"")</f>
        <v>0</v>
      </c>
      <c r="I29" s="18">
        <f>IFERROR(
                  Andel_oberoende_av_klimat*VLOOKUP($A29,Leveranser_per_nät,'Leveranser per nät'!I$1,FALSE)
               +Andel_beroende_av_klimat*VLOOKUP($A29,Leveranser_per_nät,'Leveranser per nät'!I$1,FALSE)/VLOOKUP($B29,Korrigeringsfaktor_EI,'Korrigeringsfaktor EI'!I$1,FALSE),
"")</f>
        <v>0</v>
      </c>
      <c r="J29" s="18">
        <f>IFERROR(
                  Andel_oberoende_av_klimat*VLOOKUP($A29,Leveranser_per_nät,'Leveranser per nät'!J$1,FALSE)
               +Andel_beroende_av_klimat*VLOOKUP($A29,Leveranser_per_nät,'Leveranser per nät'!J$1,FALSE)/VLOOKUP($B29,Korrigeringsfaktor_EI,'Korrigeringsfaktor EI'!J$1,FALSE),
"")</f>
        <v>0</v>
      </c>
      <c r="K29" s="18">
        <f>IFERROR(
                  Andel_oberoende_av_klimat*VLOOKUP($A29,Leveranser_per_nät,'Leveranser per nät'!K$1,FALSE)
               +Andel_beroende_av_klimat*VLOOKUP($A29,Leveranser_per_nät,'Leveranser per nät'!K$1,FALSE)/VLOOKUP($B29,Korrigeringsfaktor_EI,'Korrigeringsfaktor EI'!K$1,FALSE),
"")</f>
        <v>0</v>
      </c>
      <c r="L29" s="18">
        <f>IFERROR(
                  Andel_oberoende_av_klimat*VLOOKUP($A29,Leveranser_per_nät,'Leveranser per nät'!L$1,FALSE)
               +Andel_beroende_av_klimat*VLOOKUP($A29,Leveranser_per_nät,'Leveranser per nät'!L$1,FALSE)/VLOOKUP($B29,Korrigeringsfaktor_EI,'Korrigeringsfaktor EI'!L$1,FALSE),
"")</f>
        <v>10.351935263157895</v>
      </c>
      <c r="M29" s="18">
        <f>IFERROR(
                  Andel_oberoende_av_klimat*VLOOKUP($A29,Leveranser_per_nät,'Leveranser per nät'!M$1,FALSE)
               +Andel_beroende_av_klimat*VLOOKUP($A29,Leveranser_per_nät,'Leveranser per nät'!M$1,FALSE)/VLOOKUP($B29,Korrigeringsfaktor_EI,'Korrigeringsfaktor EI'!M$1,FALSE),
"")</f>
        <v>10.90711111111111</v>
      </c>
      <c r="N29" s="18">
        <f>IFERROR(
                  Andel_oberoende_av_klimat*VLOOKUP($A29,Leveranser_per_nät,'Leveranser per nät'!N$1,FALSE)
               +Andel_beroende_av_klimat*VLOOKUP($A29,Leveranser_per_nät,'Leveranser per nät'!N$1,FALSE)/VLOOKUP($B29,Korrigeringsfaktor_EI,'Korrigeringsfaktor EI'!N$1,FALSE),
"")</f>
        <v>8.0700347826086958</v>
      </c>
      <c r="O29" s="18">
        <f>IFERROR(
                  Andel_oberoende_av_klimat*VLOOKUP($A29,Leveranser_per_nät,'Leveranser per nät'!O$1,FALSE)
               +Andel_beroende_av_klimat*VLOOKUP($A29,Leveranser_per_nät,'Leveranser per nät'!O$1,FALSE)/VLOOKUP($B29,Korrigeringsfaktor_EI,'Korrigeringsfaktor EI'!O$1,FALSE),
"")</f>
        <v>8.1165307692307689</v>
      </c>
      <c r="P29" s="18">
        <f>IFERROR(
                  Andel_oberoende_av_klimat*VLOOKUP($A29,Leveranser_per_nät,'Leveranser per nät'!P$1,FALSE)
               +Andel_beroende_av_klimat*VLOOKUP($A29,Leveranser_per_nät,'Leveranser per nät'!P$1,FALSE)/VLOOKUP($B29,Korrigeringsfaktor_EI,'Korrigeringsfaktor EI'!P$1,FALSE),
"")</f>
        <v>8.3961783749999999</v>
      </c>
      <c r="Q29" s="18">
        <f>IFERROR(
                  Andel_oberoende_av_klimat*VLOOKUP($A29,Leveranser_per_nät,'Leveranser per nät'!Q$1,FALSE)
               +Andel_beroende_av_klimat*VLOOKUP($A29,Leveranser_per_nät,'Leveranser per nät'!Q$1,FALSE)/VLOOKUP($B29,Korrigeringsfaktor_EI,'Korrigeringsfaktor EI'!Q$1,FALSE),
"")</f>
        <v>9.1804121495327102</v>
      </c>
      <c r="R29" s="18">
        <f>IFERROR(
                  Andel_oberoende_av_klimat*VLOOKUP($A29,Leveranser_per_nät,'Leveranser per nät'!R$1,FALSE)
               +Andel_beroende_av_klimat*VLOOKUP($A29,Leveranser_per_nät,'Leveranser per nät'!R$1,FALSE)/VLOOKUP($B29,Korrigeringsfaktor_EI,'Korrigeringsfaktor EI'!R$1,FALSE),
"")</f>
        <v>9.5999196629213479</v>
      </c>
      <c r="S29" s="18">
        <f>IFERROR(
                  Andel_oberoende_av_klimat*VLOOKUP($A29,Leveranser_per_nät,'Leveranser per nät'!S$1,FALSE)
               +Andel_beroende_av_klimat*VLOOKUP($A29,Leveranser_per_nät,'Leveranser per nät'!S$1,FALSE)/VLOOKUP($B29,Korrigeringsfaktor_EI,'Korrigeringsfaktor EI'!S$1,FALSE),
"")</f>
        <v>8.2242783505154637</v>
      </c>
      <c r="T29" s="18">
        <f>IFERROR(
                  Andel_oberoende_av_klimat*VLOOKUP($A29,Leveranser_per_nät,'Leveranser per nät'!T$1,FALSE)
               +Andel_beroende_av_klimat*VLOOKUP($A29,Leveranser_per_nät,'Leveranser per nät'!T$1,FALSE)/VLOOKUP($B29,Korrigeringsfaktor_EI,'Korrigeringsfaktor EI'!T$1,FALSE),
"")</f>
        <v>7.8865043478260866</v>
      </c>
      <c r="U29" s="18">
        <f>IFERROR(
                  Andel_oberoende_av_klimat*VLOOKUP($A29,Leveranser_per_nät,'Leveranser per nät'!U$1,FALSE)
               +Andel_beroende_av_klimat*VLOOKUP($A29,Leveranser_per_nät,'Leveranser per nät'!U$1,FALSE)/VLOOKUP($B29,Korrigeringsfaktor_EI,'Korrigeringsfaktor EI'!U$1,FALSE),
"")</f>
        <v>7.5784550561797746</v>
      </c>
      <c r="V29" s="18">
        <f>IFERROR(
                  Andel_oberoende_av_klimat*VLOOKUP($A29,Leveranser_per_nät,'Leveranser per nät'!V$1,FALSE)
               +Andel_beroende_av_klimat*VLOOKUP($A29,Leveranser_per_nät,'Leveranser per nät'!V$1,FALSE)/VLOOKUP($B29,Korrigeringsfaktor_EI,'Korrigeringsfaktor EI'!V$1,FALSE),
"")</f>
        <v>7.2394617977528082</v>
      </c>
      <c r="W29" s="18">
        <f>IFERROR(
                  Andel_oberoende_av_klimat*VLOOKUP($A29,Leveranser_per_nät,'Leveranser per nät'!W$1,FALSE)
               +Andel_beroende_av_klimat*VLOOKUP($A29,Leveranser_per_nät,'Leveranser per nät'!W$1,FALSE)/VLOOKUP($B29,Korrigeringsfaktor_EI,'Korrigeringsfaktor EI'!W$1,FALSE),
"")</f>
        <v>7.5571708333333332</v>
      </c>
      <c r="X29" s="18">
        <f>IFERROR(
                  Andel_oberoende_av_klimat*VLOOKUP($A29,Leveranser_per_nät,'Leveranser per nät'!X$1,FALSE)
               +Andel_beroende_av_klimat*VLOOKUP($A29,Leveranser_per_nät,'Leveranser per nät'!X$1,FALSE)/VLOOKUP($B29,Korrigeringsfaktor_EI,'Korrigeringsfaktor EI'!X$1,FALSE),
"")</f>
        <v>7.3997083333333347</v>
      </c>
      <c r="Y29" s="18">
        <f>IFERROR(
                  Andel_oberoende_av_klimat*VLOOKUP($A29,Leveranser_per_nät,'Leveranser per nät'!Y$1,FALSE)
               +Andel_beroende_av_klimat*VLOOKUP($A29,Leveranser_per_nät,'Leveranser per nät'!Y$1,FALSE)/VLOOKUP($B29,Korrigeringsfaktor_EI,'Korrigeringsfaktor EI'!Y$1,FALSE),
"")</f>
        <v>7.4548947368421068</v>
      </c>
      <c r="Z29" s="18">
        <f>IFERROR(
                  Andel_oberoende_av_klimat*VLOOKUP($A29,Leveranser_per_nät,'Leveranser per nät'!Z$1,FALSE)
               +Andel_beroende_av_klimat*VLOOKUP($A29,Leveranser_per_nät,'Leveranser per nät'!Z$1,FALSE)/VLOOKUP($B29,Korrigeringsfaktor_EI,'Korrigeringsfaktor EI'!Z$1,FALSE),
"")</f>
        <v>7.0816315789473689</v>
      </c>
      <c r="AA29" s="18">
        <f>IFERROR(
                  Andel_oberoende_av_klimat*VLOOKUP($A29,Leveranser_per_nät,'Leveranser per nät'!AA$1,FALSE)
               +Andel_beroende_av_klimat*VLOOKUP($A29,Leveranser_per_nät,'Leveranser per nät'!AA$1,FALSE)/VLOOKUP($B29,Korrigeringsfaktor_EI,'Korrigeringsfaktor EI'!AA$1,FALSE),
"")</f>
        <v>6.6952353798126953</v>
      </c>
      <c r="AB29" s="18">
        <f>IFERROR(
                  Andel_oberoende_av_klimat*VLOOKUP($A29,Leveranser_per_nät,'Leveranser per nät'!AB$1,FALSE)
               +Andel_beroende_av_klimat*VLOOKUP($A29,Leveranser_per_nät,'Leveranser per nät'!AB$1,FALSE)/VLOOKUP($B29,Korrigeringsfaktor_EI,'Korrigeringsfaktor EI'!AB$1,FALSE),
"")</f>
        <v>6.8206165703275525</v>
      </c>
      <c r="AC29" s="18">
        <f>IFERROR(
                  Andel_oberoende_av_klimat*VLOOKUP($A29,Leveranser_per_nät,'Leveranser per nät'!AC$1,FALSE)
               +Andel_beroende_av_klimat*VLOOKUP($A29,Leveranser_per_nät,'Leveranser per nät'!AC$1,FALSE)/VLOOKUP($B29,Korrigeringsfaktor_EI,'Korrigeringsfaktor EI'!AC$1,FALSE),
"")</f>
        <v>6.6889509703779364</v>
      </c>
      <c r="AD29">
        <v>223.7</v>
      </c>
    </row>
    <row r="30" spans="1:30" x14ac:dyDescent="0.25">
      <c r="A30" t="s">
        <v>485</v>
      </c>
      <c r="B30" t="s">
        <v>80</v>
      </c>
      <c r="C30" s="18">
        <f>IFERROR(
                  Andel_oberoende_av_klimat*VLOOKUP($A30,Leveranser_per_nät,'Leveranser per nät'!C$1,FALSE)
               +Andel_beroende_av_klimat*VLOOKUP($A30,Leveranser_per_nät,'Leveranser per nät'!C$1,FALSE)/VLOOKUP($B30,Korrigeringsfaktor_EI,'Korrigeringsfaktor EI'!C$1,FALSE),
"")</f>
        <v>0</v>
      </c>
      <c r="D30" s="18">
        <f>IFERROR(
                  Andel_oberoende_av_klimat*VLOOKUP($A30,Leveranser_per_nät,'Leveranser per nät'!D$1,FALSE)
               +Andel_beroende_av_klimat*VLOOKUP($A30,Leveranser_per_nät,'Leveranser per nät'!D$1,FALSE)/VLOOKUP($B30,Korrigeringsfaktor_EI,'Korrigeringsfaktor EI'!D$1,FALSE),
"")</f>
        <v>0</v>
      </c>
      <c r="E30" s="18">
        <f>IFERROR(
                  Andel_oberoende_av_klimat*VLOOKUP($A30,Leveranser_per_nät,'Leveranser per nät'!E$1,FALSE)
               +Andel_beroende_av_klimat*VLOOKUP($A30,Leveranser_per_nät,'Leveranser per nät'!E$1,FALSE)/VLOOKUP($B30,Korrigeringsfaktor_EI,'Korrigeringsfaktor EI'!E$1,FALSE),
"")</f>
        <v>0</v>
      </c>
      <c r="F30" s="18">
        <f>IFERROR(
                  Andel_oberoende_av_klimat*VLOOKUP($A30,Leveranser_per_nät,'Leveranser per nät'!F$1,FALSE)
               +Andel_beroende_av_klimat*VLOOKUP($A30,Leveranser_per_nät,'Leveranser per nät'!F$1,FALSE)/VLOOKUP($B30,Korrigeringsfaktor_EI,'Korrigeringsfaktor EI'!F$1,FALSE),
"")</f>
        <v>0</v>
      </c>
      <c r="G30" s="18">
        <f>IFERROR(
                  Andel_oberoende_av_klimat*VLOOKUP($A30,Leveranser_per_nät,'Leveranser per nät'!G$1,FALSE)
               +Andel_beroende_av_klimat*VLOOKUP($A30,Leveranser_per_nät,'Leveranser per nät'!G$1,FALSE)/VLOOKUP($B30,Korrigeringsfaktor_EI,'Korrigeringsfaktor EI'!G$1,FALSE),
"")</f>
        <v>0</v>
      </c>
      <c r="H30" s="18">
        <f>IFERROR(
                  Andel_oberoende_av_klimat*VLOOKUP($A30,Leveranser_per_nät,'Leveranser per nät'!H$1,FALSE)
               +Andel_beroende_av_klimat*VLOOKUP($A30,Leveranser_per_nät,'Leveranser per nät'!H$1,FALSE)/VLOOKUP($B30,Korrigeringsfaktor_EI,'Korrigeringsfaktor EI'!H$1,FALSE),
"")</f>
        <v>0</v>
      </c>
      <c r="I30" s="18">
        <f>IFERROR(
                  Andel_oberoende_av_klimat*VLOOKUP($A30,Leveranser_per_nät,'Leveranser per nät'!I$1,FALSE)
               +Andel_beroende_av_klimat*VLOOKUP($A30,Leveranser_per_nät,'Leveranser per nät'!I$1,FALSE)/VLOOKUP($B30,Korrigeringsfaktor_EI,'Korrigeringsfaktor EI'!I$1,FALSE),
"")</f>
        <v>0</v>
      </c>
      <c r="J30" s="18">
        <f>IFERROR(
                  Andel_oberoende_av_klimat*VLOOKUP($A30,Leveranser_per_nät,'Leveranser per nät'!J$1,FALSE)
               +Andel_beroende_av_klimat*VLOOKUP($A30,Leveranser_per_nät,'Leveranser per nät'!J$1,FALSE)/VLOOKUP($B30,Korrigeringsfaktor_EI,'Korrigeringsfaktor EI'!J$1,FALSE),
"")</f>
        <v>0</v>
      </c>
      <c r="K30" s="18">
        <f>IFERROR(
                  Andel_oberoende_av_klimat*VLOOKUP($A30,Leveranser_per_nät,'Leveranser per nät'!K$1,FALSE)
               +Andel_beroende_av_klimat*VLOOKUP($A30,Leveranser_per_nät,'Leveranser per nät'!K$1,FALSE)/VLOOKUP($B30,Korrigeringsfaktor_EI,'Korrigeringsfaktor EI'!K$1,FALSE),
"")</f>
        <v>0</v>
      </c>
      <c r="L30" s="18">
        <f>IFERROR(
                  Andel_oberoende_av_klimat*VLOOKUP($A30,Leveranser_per_nät,'Leveranser per nät'!L$1,FALSE)
               +Andel_beroende_av_klimat*VLOOKUP($A30,Leveranser_per_nät,'Leveranser per nät'!L$1,FALSE)/VLOOKUP($B30,Korrigeringsfaktor_EI,'Korrigeringsfaktor EI'!L$1,FALSE),
"")</f>
        <v>0</v>
      </c>
      <c r="M30" s="18">
        <f>IFERROR(
                  Andel_oberoende_av_klimat*VLOOKUP($A30,Leveranser_per_nät,'Leveranser per nät'!M$1,FALSE)
               +Andel_beroende_av_klimat*VLOOKUP($A30,Leveranser_per_nät,'Leveranser per nät'!M$1,FALSE)/VLOOKUP($B30,Korrigeringsfaktor_EI,'Korrigeringsfaktor EI'!M$1,FALSE),
"")</f>
        <v>0</v>
      </c>
      <c r="N30" s="18">
        <f>IFERROR(
                  Andel_oberoende_av_klimat*VLOOKUP($A30,Leveranser_per_nät,'Leveranser per nät'!N$1,FALSE)
               +Andel_beroende_av_klimat*VLOOKUP($A30,Leveranser_per_nät,'Leveranser per nät'!N$1,FALSE)/VLOOKUP($B30,Korrigeringsfaktor_EI,'Korrigeringsfaktor EI'!N$1,FALSE),
"")</f>
        <v>0</v>
      </c>
      <c r="O30" s="18">
        <f>IFERROR(
                  Andel_oberoende_av_klimat*VLOOKUP($A30,Leveranser_per_nät,'Leveranser per nät'!O$1,FALSE)
               +Andel_beroende_av_klimat*VLOOKUP($A30,Leveranser_per_nät,'Leveranser per nät'!O$1,FALSE)/VLOOKUP($B30,Korrigeringsfaktor_EI,'Korrigeringsfaktor EI'!O$1,FALSE),
"")</f>
        <v>0</v>
      </c>
      <c r="P30" s="18">
        <f>IFERROR(
                  Andel_oberoende_av_klimat*VLOOKUP($A30,Leveranser_per_nät,'Leveranser per nät'!P$1,FALSE)
               +Andel_beroende_av_klimat*VLOOKUP($A30,Leveranser_per_nät,'Leveranser per nät'!P$1,FALSE)/VLOOKUP($B30,Korrigeringsfaktor_EI,'Korrigeringsfaktor EI'!P$1,FALSE),
"")</f>
        <v>0</v>
      </c>
      <c r="Q30" s="18">
        <f>IFERROR(
                  Andel_oberoende_av_klimat*VLOOKUP($A30,Leveranser_per_nät,'Leveranser per nät'!Q$1,FALSE)
               +Andel_beroende_av_klimat*VLOOKUP($A30,Leveranser_per_nät,'Leveranser per nät'!Q$1,FALSE)/VLOOKUP($B30,Korrigeringsfaktor_EI,'Korrigeringsfaktor EI'!Q$1,FALSE),
"")</f>
        <v>9.4572727272727271</v>
      </c>
      <c r="R30" s="18">
        <f>IFERROR(
                  Andel_oberoende_av_klimat*VLOOKUP($A30,Leveranser_per_nät,'Leveranser per nät'!R$1,FALSE)
               +Andel_beroende_av_klimat*VLOOKUP($A30,Leveranser_per_nät,'Leveranser per nät'!R$1,FALSE)/VLOOKUP($B30,Korrigeringsfaktor_EI,'Korrigeringsfaktor EI'!R$1,FALSE),
"")</f>
        <v>9.4130934000000011</v>
      </c>
      <c r="S30" s="18">
        <f>IFERROR(
                  Andel_oberoende_av_klimat*VLOOKUP($A30,Leveranser_per_nät,'Leveranser per nät'!S$1,FALSE)
               +Andel_beroende_av_klimat*VLOOKUP($A30,Leveranser_per_nät,'Leveranser per nät'!S$1,FALSE)/VLOOKUP($B30,Korrigeringsfaktor_EI,'Korrigeringsfaktor EI'!S$1,FALSE),
"")</f>
        <v>9.6052857142857153</v>
      </c>
      <c r="T30" s="18">
        <f>IFERROR(
                  Andel_oberoende_av_klimat*VLOOKUP($A30,Leveranser_per_nät,'Leveranser per nät'!T$1,FALSE)
               +Andel_beroende_av_klimat*VLOOKUP($A30,Leveranser_per_nät,'Leveranser per nät'!T$1,FALSE)/VLOOKUP($B30,Korrigeringsfaktor_EI,'Korrigeringsfaktor EI'!T$1,FALSE),
"")</f>
        <v>9.2727916666666665</v>
      </c>
      <c r="U30" s="18" t="str">
        <f>IFERROR(
                  Andel_oberoende_av_klimat*VLOOKUP($A30,Leveranser_per_nät,'Leveranser per nät'!U$1,FALSE)
               +Andel_beroende_av_klimat*VLOOKUP($A30,Leveranser_per_nät,'Leveranser per nät'!U$1,FALSE)/VLOOKUP($B30,Korrigeringsfaktor_EI,'Korrigeringsfaktor EI'!U$1,FALSE),
"")</f>
        <v/>
      </c>
      <c r="V30" s="18" t="str">
        <f>IFERROR(
                  Andel_oberoende_av_klimat*VLOOKUP($A30,Leveranser_per_nät,'Leveranser per nät'!V$1,FALSE)
               +Andel_beroende_av_klimat*VLOOKUP($A30,Leveranser_per_nät,'Leveranser per nät'!V$1,FALSE)/VLOOKUP($B30,Korrigeringsfaktor_EI,'Korrigeringsfaktor EI'!V$1,FALSE),
"")</f>
        <v/>
      </c>
      <c r="W30" s="18" t="str">
        <f>IFERROR(
                  Andel_oberoende_av_klimat*VLOOKUP($A30,Leveranser_per_nät,'Leveranser per nät'!W$1,FALSE)
               +Andel_beroende_av_klimat*VLOOKUP($A30,Leveranser_per_nät,'Leveranser per nät'!W$1,FALSE)/VLOOKUP($B30,Korrigeringsfaktor_EI,'Korrigeringsfaktor EI'!W$1,FALSE),
"")</f>
        <v/>
      </c>
      <c r="X30" s="18" t="str">
        <f>IFERROR(
                  Andel_oberoende_av_klimat*VLOOKUP($A30,Leveranser_per_nät,'Leveranser per nät'!X$1,FALSE)
               +Andel_beroende_av_klimat*VLOOKUP($A30,Leveranser_per_nät,'Leveranser per nät'!X$1,FALSE)/VLOOKUP($B30,Korrigeringsfaktor_EI,'Korrigeringsfaktor EI'!X$1,FALSE),
"")</f>
        <v/>
      </c>
      <c r="Y30" s="18" t="str">
        <f>IFERROR(
                  Andel_oberoende_av_klimat*VLOOKUP($A30,Leveranser_per_nät,'Leveranser per nät'!Y$1,FALSE)
               +Andel_beroende_av_klimat*VLOOKUP($A30,Leveranser_per_nät,'Leveranser per nät'!Y$1,FALSE)/VLOOKUP($B30,Korrigeringsfaktor_EI,'Korrigeringsfaktor EI'!Y$1,FALSE),
"")</f>
        <v/>
      </c>
      <c r="Z30" s="18">
        <f>IFERROR(
                  Andel_oberoende_av_klimat*VLOOKUP($A30,Leveranser_per_nät,'Leveranser per nät'!Z$1,FALSE)
               +Andel_beroende_av_klimat*VLOOKUP($A30,Leveranser_per_nät,'Leveranser per nät'!Z$1,FALSE)/VLOOKUP($B30,Korrigeringsfaktor_EI,'Korrigeringsfaktor EI'!Z$1,FALSE),
"")</f>
        <v>0</v>
      </c>
      <c r="AA30" s="18" t="str">
        <f>IFERROR(
                  Andel_oberoende_av_klimat*VLOOKUP($A30,Leveranser_per_nät,'Leveranser per nät'!AA$1,FALSE)
               +Andel_beroende_av_klimat*VLOOKUP($A30,Leveranser_per_nät,'Leveranser per nät'!AA$1,FALSE)/VLOOKUP($B30,Korrigeringsfaktor_EI,'Korrigeringsfaktor EI'!AA$1,FALSE),
"")</f>
        <v/>
      </c>
      <c r="AB30" s="18">
        <f>IFERROR(
                  Andel_oberoende_av_klimat*VLOOKUP($A30,Leveranser_per_nät,'Leveranser per nät'!AB$1,FALSE)
               +Andel_beroende_av_klimat*VLOOKUP($A30,Leveranser_per_nät,'Leveranser per nät'!AB$1,FALSE)/VLOOKUP($B30,Korrigeringsfaktor_EI,'Korrigeringsfaktor EI'!AB$1,FALSE),
"")</f>
        <v>0</v>
      </c>
      <c r="AC30" s="18">
        <f>IFERROR(
                  Andel_oberoende_av_klimat*VLOOKUP($A30,Leveranser_per_nät,'Leveranser per nät'!AC$1,FALSE)
               +Andel_beroende_av_klimat*VLOOKUP($A30,Leveranser_per_nät,'Leveranser per nät'!AC$1,FALSE)/VLOOKUP($B30,Korrigeringsfaktor_EI,'Korrigeringsfaktor EI'!AC$1,FALSE),
"")</f>
        <v>0</v>
      </c>
      <c r="AD30">
        <v>46.6</v>
      </c>
    </row>
    <row r="31" spans="1:30" x14ac:dyDescent="0.25">
      <c r="A31" t="s">
        <v>225</v>
      </c>
      <c r="B31" t="s">
        <v>223</v>
      </c>
      <c r="C31" s="18">
        <f>IFERROR(
                  Andel_oberoende_av_klimat*VLOOKUP($A31,Leveranser_per_nät,'Leveranser per nät'!C$1,FALSE)
               +Andel_beroende_av_klimat*VLOOKUP($A31,Leveranser_per_nät,'Leveranser per nät'!C$1,FALSE)/VLOOKUP($B31,Korrigeringsfaktor_EI,'Korrigeringsfaktor EI'!C$1,FALSE),
"")</f>
        <v>0</v>
      </c>
      <c r="D31" s="18">
        <f>IFERROR(
                  Andel_oberoende_av_klimat*VLOOKUP($A31,Leveranser_per_nät,'Leveranser per nät'!D$1,FALSE)
               +Andel_beroende_av_klimat*VLOOKUP($A31,Leveranser_per_nät,'Leveranser per nät'!D$1,FALSE)/VLOOKUP($B31,Korrigeringsfaktor_EI,'Korrigeringsfaktor EI'!D$1,FALSE),
"")</f>
        <v>0</v>
      </c>
      <c r="E31" s="18">
        <f>IFERROR(
                  Andel_oberoende_av_klimat*VLOOKUP($A31,Leveranser_per_nät,'Leveranser per nät'!E$1,FALSE)
               +Andel_beroende_av_klimat*VLOOKUP($A31,Leveranser_per_nät,'Leveranser per nät'!E$1,FALSE)/VLOOKUP($B31,Korrigeringsfaktor_EI,'Korrigeringsfaktor EI'!E$1,FALSE),
"")</f>
        <v>0</v>
      </c>
      <c r="F31" s="18">
        <f>IFERROR(
                  Andel_oberoende_av_klimat*VLOOKUP($A31,Leveranser_per_nät,'Leveranser per nät'!F$1,FALSE)
               +Andel_beroende_av_klimat*VLOOKUP($A31,Leveranser_per_nät,'Leveranser per nät'!F$1,FALSE)/VLOOKUP($B31,Korrigeringsfaktor_EI,'Korrigeringsfaktor EI'!F$1,FALSE),
"")</f>
        <v>0</v>
      </c>
      <c r="G31" s="18">
        <f>IFERROR(
                  Andel_oberoende_av_klimat*VLOOKUP($A31,Leveranser_per_nät,'Leveranser per nät'!G$1,FALSE)
               +Andel_beroende_av_klimat*VLOOKUP($A31,Leveranser_per_nät,'Leveranser per nät'!G$1,FALSE)/VLOOKUP($B31,Korrigeringsfaktor_EI,'Korrigeringsfaktor EI'!G$1,FALSE),
"")</f>
        <v>0</v>
      </c>
      <c r="H31" s="18">
        <f>IFERROR(
                  Andel_oberoende_av_klimat*VLOOKUP($A31,Leveranser_per_nät,'Leveranser per nät'!H$1,FALSE)
               +Andel_beroende_av_klimat*VLOOKUP($A31,Leveranser_per_nät,'Leveranser per nät'!H$1,FALSE)/VLOOKUP($B31,Korrigeringsfaktor_EI,'Korrigeringsfaktor EI'!H$1,FALSE),
"")</f>
        <v>0</v>
      </c>
      <c r="I31" s="18">
        <f>IFERROR(
                  Andel_oberoende_av_klimat*VLOOKUP($A31,Leveranser_per_nät,'Leveranser per nät'!I$1,FALSE)
               +Andel_beroende_av_klimat*VLOOKUP($A31,Leveranser_per_nät,'Leveranser per nät'!I$1,FALSE)/VLOOKUP($B31,Korrigeringsfaktor_EI,'Korrigeringsfaktor EI'!I$1,FALSE),
"")</f>
        <v>0</v>
      </c>
      <c r="J31" s="18">
        <f>IFERROR(
                  Andel_oberoende_av_klimat*VLOOKUP($A31,Leveranser_per_nät,'Leveranser per nät'!J$1,FALSE)
               +Andel_beroende_av_klimat*VLOOKUP($A31,Leveranser_per_nät,'Leveranser per nät'!J$1,FALSE)/VLOOKUP($B31,Korrigeringsfaktor_EI,'Korrigeringsfaktor EI'!J$1,FALSE),
"")</f>
        <v>0</v>
      </c>
      <c r="K31" s="18">
        <f>IFERROR(
                  Andel_oberoende_av_klimat*VLOOKUP($A31,Leveranser_per_nät,'Leveranser per nät'!K$1,FALSE)
               +Andel_beroende_av_klimat*VLOOKUP($A31,Leveranser_per_nät,'Leveranser per nät'!K$1,FALSE)/VLOOKUP($B31,Korrigeringsfaktor_EI,'Korrigeringsfaktor EI'!K$1,FALSE),
"")</f>
        <v>3.3360000000000003</v>
      </c>
      <c r="L31" s="18">
        <f>IFERROR(
                  Andel_oberoende_av_klimat*VLOOKUP($A31,Leveranser_per_nät,'Leveranser per nät'!L$1,FALSE)
               +Andel_beroende_av_klimat*VLOOKUP($A31,Leveranser_per_nät,'Leveranser per nät'!L$1,FALSE)/VLOOKUP($B31,Korrigeringsfaktor_EI,'Korrigeringsfaktor EI'!L$1,FALSE),
"")</f>
        <v>3.4260958333333336</v>
      </c>
      <c r="M31" s="18">
        <f>IFERROR(
                  Andel_oberoende_av_klimat*VLOOKUP($A31,Leveranser_per_nät,'Leveranser per nät'!M$1,FALSE)
               +Andel_beroende_av_klimat*VLOOKUP($A31,Leveranser_per_nät,'Leveranser per nät'!M$1,FALSE)/VLOOKUP($B31,Korrigeringsfaktor_EI,'Korrigeringsfaktor EI'!M$1,FALSE),
"")</f>
        <v>3.5212419354838711</v>
      </c>
      <c r="N31" s="18">
        <f>IFERROR(
                  Andel_oberoende_av_klimat*VLOOKUP($A31,Leveranser_per_nät,'Leveranser per nät'!N$1,FALSE)
               +Andel_beroende_av_klimat*VLOOKUP($A31,Leveranser_per_nät,'Leveranser per nät'!N$1,FALSE)/VLOOKUP($B31,Korrigeringsfaktor_EI,'Korrigeringsfaktor EI'!N$1,FALSE),
"")</f>
        <v>5.1023795698924737</v>
      </c>
      <c r="O31" s="18">
        <f>IFERROR(
                  Andel_oberoende_av_klimat*VLOOKUP($A31,Leveranser_per_nät,'Leveranser per nät'!O$1,FALSE)
               +Andel_beroende_av_klimat*VLOOKUP($A31,Leveranser_per_nät,'Leveranser per nät'!O$1,FALSE)/VLOOKUP($B31,Korrigeringsfaktor_EI,'Korrigeringsfaktor EI'!O$1,FALSE),
"")</f>
        <v>6.7635215053763433</v>
      </c>
      <c r="P31" s="18">
        <f>IFERROR(
                  Andel_oberoende_av_klimat*VLOOKUP($A31,Leveranser_per_nät,'Leveranser per nät'!P$1,FALSE)
               +Andel_beroende_av_klimat*VLOOKUP($A31,Leveranser_per_nät,'Leveranser per nät'!P$1,FALSE)/VLOOKUP($B31,Korrigeringsfaktor_EI,'Korrigeringsfaktor EI'!P$1,FALSE),
"")</f>
        <v>9.4819288659793823</v>
      </c>
      <c r="Q31" s="18">
        <f>IFERROR(
                  Andel_oberoende_av_klimat*VLOOKUP($A31,Leveranser_per_nät,'Leveranser per nät'!Q$1,FALSE)
               +Andel_beroende_av_klimat*VLOOKUP($A31,Leveranser_per_nät,'Leveranser per nät'!Q$1,FALSE)/VLOOKUP($B31,Korrigeringsfaktor_EI,'Korrigeringsfaktor EI'!Q$1,FALSE),
"")</f>
        <v>10.394225</v>
      </c>
      <c r="R31" s="18">
        <f>IFERROR(
                  Andel_oberoende_av_klimat*VLOOKUP($A31,Leveranser_per_nät,'Leveranser per nät'!R$1,FALSE)
               +Andel_beroende_av_klimat*VLOOKUP($A31,Leveranser_per_nät,'Leveranser per nät'!R$1,FALSE)/VLOOKUP($B31,Korrigeringsfaktor_EI,'Korrigeringsfaktor EI'!R$1,FALSE),
"")</f>
        <v>10.316344086021505</v>
      </c>
      <c r="S31" s="18">
        <f>IFERROR(
                  Andel_oberoende_av_klimat*VLOOKUP($A31,Leveranser_per_nät,'Leveranser per nät'!S$1,FALSE)
               +Andel_beroende_av_klimat*VLOOKUP($A31,Leveranser_per_nät,'Leveranser per nät'!S$1,FALSE)/VLOOKUP($B31,Korrigeringsfaktor_EI,'Korrigeringsfaktor EI'!S$1,FALSE),
"")</f>
        <v>10.750392156862745</v>
      </c>
      <c r="T31" s="18">
        <f>IFERROR(
                  Andel_oberoende_av_klimat*VLOOKUP($A31,Leveranser_per_nät,'Leveranser per nät'!T$1,FALSE)
               +Andel_beroende_av_klimat*VLOOKUP($A31,Leveranser_per_nät,'Leveranser per nät'!T$1,FALSE)/VLOOKUP($B31,Korrigeringsfaktor_EI,'Korrigeringsfaktor EI'!T$1,FALSE),
"")</f>
        <v>10.9257101010101</v>
      </c>
      <c r="U31" s="18">
        <f>IFERROR(
                  Andel_oberoende_av_klimat*VLOOKUP($A31,Leveranser_per_nät,'Leveranser per nät'!U$1,FALSE)
               +Andel_beroende_av_klimat*VLOOKUP($A31,Leveranser_per_nät,'Leveranser per nät'!U$1,FALSE)/VLOOKUP($B31,Korrigeringsfaktor_EI,'Korrigeringsfaktor EI'!U$1,FALSE),
"")</f>
        <v>10.457677777777777</v>
      </c>
      <c r="V31" s="18">
        <f>IFERROR(
                  Andel_oberoende_av_klimat*VLOOKUP($A31,Leveranser_per_nät,'Leveranser per nät'!V$1,FALSE)
               +Andel_beroende_av_klimat*VLOOKUP($A31,Leveranser_per_nät,'Leveranser per nät'!V$1,FALSE)/VLOOKUP($B31,Korrigeringsfaktor_EI,'Korrigeringsfaktor EI'!V$1,FALSE),
"")</f>
        <v>10.689842105263159</v>
      </c>
      <c r="W31" s="18">
        <f>IFERROR(
                  Andel_oberoende_av_klimat*VLOOKUP($A31,Leveranser_per_nät,'Leveranser per nät'!W$1,FALSE)
               +Andel_beroende_av_klimat*VLOOKUP($A31,Leveranser_per_nät,'Leveranser per nät'!W$1,FALSE)/VLOOKUP($B31,Korrigeringsfaktor_EI,'Korrigeringsfaktor EI'!W$1,FALSE),
"")</f>
        <v>11.419633333333335</v>
      </c>
      <c r="X31" s="18">
        <f>IFERROR(
                  Andel_oberoende_av_klimat*VLOOKUP($A31,Leveranser_per_nät,'Leveranser per nät'!X$1,FALSE)
               +Andel_beroende_av_klimat*VLOOKUP($A31,Leveranser_per_nät,'Leveranser per nät'!X$1,FALSE)/VLOOKUP($B31,Korrigeringsfaktor_EI,'Korrigeringsfaktor EI'!X$1,FALSE),
"")</f>
        <v>10.909166666666666</v>
      </c>
      <c r="Y31" s="18">
        <f>IFERROR(
                  Andel_oberoende_av_klimat*VLOOKUP($A31,Leveranser_per_nät,'Leveranser per nät'!Y$1,FALSE)
               +Andel_beroende_av_klimat*VLOOKUP($A31,Leveranser_per_nät,'Leveranser per nät'!Y$1,FALSE)/VLOOKUP($B31,Korrigeringsfaktor_EI,'Korrigeringsfaktor EI'!Y$1,FALSE),
"")</f>
        <v>11.291076923076924</v>
      </c>
      <c r="Z31" s="18">
        <f>IFERROR(
                  Andel_oberoende_av_klimat*VLOOKUP($A31,Leveranser_per_nät,'Leveranser per nät'!Z$1,FALSE)
               +Andel_beroende_av_klimat*VLOOKUP($A31,Leveranser_per_nät,'Leveranser per nät'!Z$1,FALSE)/VLOOKUP($B31,Korrigeringsfaktor_EI,'Korrigeringsfaktor EI'!Z$1,FALSE),
"")</f>
        <v>11.077230769230768</v>
      </c>
      <c r="AA31" s="18">
        <f>IFERROR(
                  Andel_oberoende_av_klimat*VLOOKUP($A31,Leveranser_per_nät,'Leveranser per nät'!AA$1,FALSE)
               +Andel_beroende_av_klimat*VLOOKUP($A31,Leveranser_per_nät,'Leveranser per nät'!AA$1,FALSE)/VLOOKUP($B31,Korrigeringsfaktor_EI,'Korrigeringsfaktor EI'!AA$1,FALSE),
"")</f>
        <v>9.9701694915254233</v>
      </c>
      <c r="AB31" s="18">
        <f>IFERROR(
                  Andel_oberoende_av_klimat*VLOOKUP($A31,Leveranser_per_nät,'Leveranser per nät'!AB$1,FALSE)
               +Andel_beroende_av_klimat*VLOOKUP($A31,Leveranser_per_nät,'Leveranser per nät'!AB$1,FALSE)/VLOOKUP($B31,Korrigeringsfaktor_EI,'Korrigeringsfaktor EI'!AB$1,FALSE),
"")</f>
        <v>9.286032128514055</v>
      </c>
      <c r="AC31" s="18">
        <f>IFERROR(
                  Andel_oberoende_av_klimat*VLOOKUP($A31,Leveranser_per_nät,'Leveranser per nät'!AC$1,FALSE)
               +Andel_beroende_av_klimat*VLOOKUP($A31,Leveranser_per_nät,'Leveranser per nät'!AC$1,FALSE)/VLOOKUP($B31,Korrigeringsfaktor_EI,'Korrigeringsfaktor EI'!AC$1,FALSE),
"")</f>
        <v>9.890183173588925</v>
      </c>
      <c r="AD31">
        <v>146.80000000000001</v>
      </c>
    </row>
    <row r="32" spans="1:30" x14ac:dyDescent="0.25">
      <c r="A32" t="s">
        <v>19</v>
      </c>
      <c r="B32" t="s">
        <v>19</v>
      </c>
      <c r="C32" s="18">
        <f>IFERROR(
                  Andel_oberoende_av_klimat*VLOOKUP($A32,Leveranser_per_nät,'Leveranser per nät'!C$1,FALSE)
               +Andel_beroende_av_klimat*VLOOKUP($A32,Leveranser_per_nät,'Leveranser per nät'!C$1,FALSE)/VLOOKUP($B32,Korrigeringsfaktor_EI,'Korrigeringsfaktor EI'!C$1,FALSE),
"")</f>
        <v>245.21538461538461</v>
      </c>
      <c r="D32" s="18">
        <f>IFERROR(
                  Andel_oberoende_av_klimat*VLOOKUP($A32,Leveranser_per_nät,'Leveranser per nät'!D$1,FALSE)
               +Andel_beroende_av_klimat*VLOOKUP($A32,Leveranser_per_nät,'Leveranser per nät'!D$1,FALSE)/VLOOKUP($B32,Korrigeringsfaktor_EI,'Korrigeringsfaktor EI'!D$1,FALSE),
"")</f>
        <v>241.59626262626267</v>
      </c>
      <c r="E32" s="18">
        <f>IFERROR(
                  Andel_oberoende_av_klimat*VLOOKUP($A32,Leveranser_per_nät,'Leveranser per nät'!E$1,FALSE)
               +Andel_beroende_av_klimat*VLOOKUP($A32,Leveranser_per_nät,'Leveranser per nät'!E$1,FALSE)/VLOOKUP($B32,Korrigeringsfaktor_EI,'Korrigeringsfaktor EI'!E$1,FALSE),
"")</f>
        <v>249.04766355140185</v>
      </c>
      <c r="F32" s="18">
        <f>IFERROR(
                  Andel_oberoende_av_klimat*VLOOKUP($A32,Leveranser_per_nät,'Leveranser per nät'!F$1,FALSE)
               +Andel_beroende_av_klimat*VLOOKUP($A32,Leveranser_per_nät,'Leveranser per nät'!F$1,FALSE)/VLOOKUP($B32,Korrigeringsfaktor_EI,'Korrigeringsfaktor EI'!F$1,FALSE),
"")</f>
        <v>266</v>
      </c>
      <c r="G32" s="18">
        <f>IFERROR(
                  Andel_oberoende_av_klimat*VLOOKUP($A32,Leveranser_per_nät,'Leveranser per nät'!G$1,FALSE)
               +Andel_beroende_av_klimat*VLOOKUP($A32,Leveranser_per_nät,'Leveranser per nät'!G$1,FALSE)/VLOOKUP($B32,Korrigeringsfaktor_EI,'Korrigeringsfaktor EI'!G$1,FALSE),
"")</f>
        <v>249.30434782608694</v>
      </c>
      <c r="H32" s="18">
        <f>IFERROR(
                  Andel_oberoende_av_klimat*VLOOKUP($A32,Leveranser_per_nät,'Leveranser per nät'!H$1,FALSE)
               +Andel_beroende_av_klimat*VLOOKUP($A32,Leveranser_per_nät,'Leveranser per nät'!H$1,FALSE)/VLOOKUP($B32,Korrigeringsfaktor_EI,'Korrigeringsfaktor EI'!H$1,FALSE),
"")</f>
        <v>257.2049504950495</v>
      </c>
      <c r="I32" s="18">
        <f>IFERROR(
                  Andel_oberoende_av_klimat*VLOOKUP($A32,Leveranser_per_nät,'Leveranser per nät'!I$1,FALSE)
               +Andel_beroende_av_klimat*VLOOKUP($A32,Leveranser_per_nät,'Leveranser per nät'!I$1,FALSE)/VLOOKUP($B32,Korrigeringsfaktor_EI,'Korrigeringsfaktor EI'!I$1,FALSE),
"")</f>
        <v>262.70000000000005</v>
      </c>
      <c r="J32" s="18">
        <f>IFERROR(
                  Andel_oberoende_av_klimat*VLOOKUP($A32,Leveranser_per_nät,'Leveranser per nät'!J$1,FALSE)
               +Andel_beroende_av_klimat*VLOOKUP($A32,Leveranser_per_nät,'Leveranser per nät'!J$1,FALSE)/VLOOKUP($B32,Korrigeringsfaktor_EI,'Korrigeringsfaktor EI'!J$1,FALSE),
"")</f>
        <v>266.55416666666667</v>
      </c>
      <c r="K32" s="18">
        <f>IFERROR(
                  Andel_oberoende_av_klimat*VLOOKUP($A32,Leveranser_per_nät,'Leveranser per nät'!K$1,FALSE)
               +Andel_beroende_av_klimat*VLOOKUP($A32,Leveranser_per_nät,'Leveranser per nät'!K$1,FALSE)/VLOOKUP($B32,Korrigeringsfaktor_EI,'Korrigeringsfaktor EI'!K$1,FALSE),
"")</f>
        <v>259</v>
      </c>
      <c r="L32" s="18">
        <f>IFERROR(
                  Andel_oberoende_av_klimat*VLOOKUP($A32,Leveranser_per_nät,'Leveranser per nät'!L$1,FALSE)
               +Andel_beroende_av_klimat*VLOOKUP($A32,Leveranser_per_nät,'Leveranser per nät'!L$1,FALSE)/VLOOKUP($B32,Korrigeringsfaktor_EI,'Korrigeringsfaktor EI'!L$1,FALSE),
"")</f>
        <v>270.57234042553193</v>
      </c>
      <c r="M32" s="18">
        <f>IFERROR(
                  Andel_oberoende_av_klimat*VLOOKUP($A32,Leveranser_per_nät,'Leveranser per nät'!M$1,FALSE)
               +Andel_beroende_av_klimat*VLOOKUP($A32,Leveranser_per_nät,'Leveranser per nät'!M$1,FALSE)/VLOOKUP($B32,Korrigeringsfaktor_EI,'Korrigeringsfaktor EI'!M$1,FALSE),
"")</f>
        <v>244.45531914893618</v>
      </c>
      <c r="N32" s="18">
        <f>IFERROR(
                  Andel_oberoende_av_klimat*VLOOKUP($A32,Leveranser_per_nät,'Leveranser per nät'!N$1,FALSE)
               +Andel_beroende_av_klimat*VLOOKUP($A32,Leveranser_per_nät,'Leveranser per nät'!N$1,FALSE)/VLOOKUP($B32,Korrigeringsfaktor_EI,'Korrigeringsfaktor EI'!N$1,FALSE),
"")</f>
        <v>246.54468085106384</v>
      </c>
      <c r="O32" s="18">
        <f>IFERROR(
                  Andel_oberoende_av_klimat*VLOOKUP($A32,Leveranser_per_nät,'Leveranser per nät'!O$1,FALSE)
               +Andel_beroende_av_klimat*VLOOKUP($A32,Leveranser_per_nät,'Leveranser per nät'!O$1,FALSE)/VLOOKUP($B32,Korrigeringsfaktor_EI,'Korrigeringsfaktor EI'!O$1,FALSE),
"")</f>
        <v>239.23191489361702</v>
      </c>
      <c r="P32" s="18">
        <f>IFERROR(
                  Andel_oberoende_av_klimat*VLOOKUP($A32,Leveranser_per_nät,'Leveranser per nät'!P$1,FALSE)
               +Andel_beroende_av_klimat*VLOOKUP($A32,Leveranser_per_nät,'Leveranser per nät'!P$1,FALSE)/VLOOKUP($B32,Korrigeringsfaktor_EI,'Korrigeringsfaktor EI'!P$1,FALSE),
"")</f>
        <v>253.17500000000001</v>
      </c>
      <c r="Q32" s="18">
        <f>IFERROR(
                  Andel_oberoende_av_klimat*VLOOKUP($A32,Leveranser_per_nät,'Leveranser per nät'!Q$1,FALSE)
               +Andel_beroende_av_klimat*VLOOKUP($A32,Leveranser_per_nät,'Leveranser per nät'!Q$1,FALSE)/VLOOKUP($B32,Korrigeringsfaktor_EI,'Korrigeringsfaktor EI'!Q$1,FALSE),
"")</f>
        <v>275.76542056074766</v>
      </c>
      <c r="R32" s="18">
        <f>IFERROR(
                  Andel_oberoende_av_klimat*VLOOKUP($A32,Leveranser_per_nät,'Leveranser per nät'!R$1,FALSE)
               +Andel_beroende_av_klimat*VLOOKUP($A32,Leveranser_per_nät,'Leveranser per nät'!R$1,FALSE)/VLOOKUP($B32,Korrigeringsfaktor_EI,'Korrigeringsfaktor EI'!R$1,FALSE),
"")</f>
        <v>257.68461538461537</v>
      </c>
      <c r="S32" s="18">
        <f>IFERROR(
                  Andel_oberoende_av_klimat*VLOOKUP($A32,Leveranser_per_nät,'Leveranser per nät'!S$1,FALSE)
               +Andel_beroende_av_klimat*VLOOKUP($A32,Leveranser_per_nät,'Leveranser per nät'!S$1,FALSE)/VLOOKUP($B32,Korrigeringsfaktor_EI,'Korrigeringsfaktor EI'!S$1,FALSE),
"")</f>
        <v>271</v>
      </c>
      <c r="T32" s="18">
        <f>IFERROR(
                  Andel_oberoende_av_klimat*VLOOKUP($A32,Leveranser_per_nät,'Leveranser per nät'!T$1,FALSE)
               +Andel_beroende_av_klimat*VLOOKUP($A32,Leveranser_per_nät,'Leveranser per nät'!T$1,FALSE)/VLOOKUP($B32,Korrigeringsfaktor_EI,'Korrigeringsfaktor EI'!T$1,FALSE),
"")</f>
        <v>265.43157894736839</v>
      </c>
      <c r="U32" s="18">
        <f>IFERROR(
                  Andel_oberoende_av_klimat*VLOOKUP($A32,Leveranser_per_nät,'Leveranser per nät'!U$1,FALSE)
               +Andel_beroende_av_klimat*VLOOKUP($A32,Leveranser_per_nät,'Leveranser per nät'!U$1,FALSE)/VLOOKUP($B32,Korrigeringsfaktor_EI,'Korrigeringsfaktor EI'!U$1,FALSE),
"")</f>
        <v>266.2782608695652</v>
      </c>
      <c r="V32" s="18">
        <f>IFERROR(
                  Andel_oberoende_av_klimat*VLOOKUP($A32,Leveranser_per_nät,'Leveranser per nät'!V$1,FALSE)
               +Andel_beroende_av_klimat*VLOOKUP($A32,Leveranser_per_nät,'Leveranser per nät'!V$1,FALSE)/VLOOKUP($B32,Korrigeringsfaktor_EI,'Korrigeringsfaktor EI'!V$1,FALSE),
"")</f>
        <v>262.00777777777773</v>
      </c>
      <c r="W32" s="18">
        <f>IFERROR(
                  Andel_oberoende_av_klimat*VLOOKUP($A32,Leveranser_per_nät,'Leveranser per nät'!W$1,FALSE)
               +Andel_beroende_av_klimat*VLOOKUP($A32,Leveranser_per_nät,'Leveranser per nät'!W$1,FALSE)/VLOOKUP($B32,Korrigeringsfaktor_EI,'Korrigeringsfaktor EI'!W$1,FALSE),
"")</f>
        <v>272.88257731958765</v>
      </c>
      <c r="X32" s="18">
        <f>IFERROR(
                  Andel_oberoende_av_klimat*VLOOKUP($A32,Leveranser_per_nät,'Leveranser per nät'!X$1,FALSE)
               +Andel_beroende_av_klimat*VLOOKUP($A32,Leveranser_per_nät,'Leveranser per nät'!X$1,FALSE)/VLOOKUP($B32,Korrigeringsfaktor_EI,'Korrigeringsfaktor EI'!X$1,FALSE),
"")</f>
        <v>275.8857142857143</v>
      </c>
      <c r="Y32" s="18">
        <f>IFERROR(
                  Andel_oberoende_av_klimat*VLOOKUP($A32,Leveranser_per_nät,'Leveranser per nät'!Y$1,FALSE)
               +Andel_beroende_av_klimat*VLOOKUP($A32,Leveranser_per_nät,'Leveranser per nät'!Y$1,FALSE)/VLOOKUP($B32,Korrigeringsfaktor_EI,'Korrigeringsfaktor EI'!Y$1,FALSE),
"")</f>
        <v>278.9103092783505</v>
      </c>
      <c r="Z32" s="18">
        <f>IFERROR(
                  Andel_oberoende_av_klimat*VLOOKUP($A32,Leveranser_per_nät,'Leveranser per nät'!Z$1,FALSE)
               +Andel_beroende_av_klimat*VLOOKUP($A32,Leveranser_per_nät,'Leveranser per nät'!Z$1,FALSE)/VLOOKUP($B32,Korrigeringsfaktor_EI,'Korrigeringsfaktor EI'!Z$1,FALSE),
"")</f>
        <v>275</v>
      </c>
      <c r="AA32" s="18">
        <f>IFERROR(
                  Andel_oberoende_av_klimat*VLOOKUP($A32,Leveranser_per_nät,'Leveranser per nät'!AA$1,FALSE)
               +Andel_beroende_av_klimat*VLOOKUP($A32,Leveranser_per_nät,'Leveranser per nät'!AA$1,FALSE)/VLOOKUP($B32,Korrigeringsfaktor_EI,'Korrigeringsfaktor EI'!AA$1,FALSE),
"")</f>
        <v>268.24112458654906</v>
      </c>
      <c r="AB32" s="18">
        <f>IFERROR(
                  Andel_oberoende_av_klimat*VLOOKUP($A32,Leveranser_per_nät,'Leveranser per nät'!AB$1,FALSE)
               +Andel_beroende_av_klimat*VLOOKUP($A32,Leveranser_per_nät,'Leveranser per nät'!AB$1,FALSE)/VLOOKUP($B32,Korrigeringsfaktor_EI,'Korrigeringsfaktor EI'!AB$1,FALSE),
"")</f>
        <v>264.56762045231068</v>
      </c>
      <c r="AC32" s="18">
        <f>IFERROR(
                  Andel_oberoende_av_klimat*VLOOKUP($A32,Leveranser_per_nät,'Leveranser per nät'!AC$1,FALSE)
               +Andel_beroende_av_klimat*VLOOKUP($A32,Leveranser_per_nät,'Leveranser per nät'!AC$1,FALSE)/VLOOKUP($B32,Korrigeringsfaktor_EI,'Korrigeringsfaktor EI'!AC$1,FALSE),
"")</f>
        <v>270.2229350104821</v>
      </c>
      <c r="AD32">
        <v>261.39999999999998</v>
      </c>
    </row>
    <row r="33" spans="1:30" x14ac:dyDescent="0.25">
      <c r="A33" t="s">
        <v>263</v>
      </c>
      <c r="B33" t="s">
        <v>261</v>
      </c>
      <c r="C33" s="18">
        <f>IFERROR(
                  Andel_oberoende_av_klimat*VLOOKUP($A33,Leveranser_per_nät,'Leveranser per nät'!C$1,FALSE)
               +Andel_beroende_av_klimat*VLOOKUP($A33,Leveranser_per_nät,'Leveranser per nät'!C$1,FALSE)/VLOOKUP($B33,Korrigeringsfaktor_EI,'Korrigeringsfaktor EI'!C$1,FALSE),
"")</f>
        <v>0</v>
      </c>
      <c r="D33" s="18">
        <f>IFERROR(
                  Andel_oberoende_av_klimat*VLOOKUP($A33,Leveranser_per_nät,'Leveranser per nät'!D$1,FALSE)
               +Andel_beroende_av_klimat*VLOOKUP($A33,Leveranser_per_nät,'Leveranser per nät'!D$1,FALSE)/VLOOKUP($B33,Korrigeringsfaktor_EI,'Korrigeringsfaktor EI'!D$1,FALSE),
"")</f>
        <v>0</v>
      </c>
      <c r="E33" s="18">
        <f>IFERROR(
                  Andel_oberoende_av_klimat*VLOOKUP($A33,Leveranser_per_nät,'Leveranser per nät'!E$1,FALSE)
               +Andel_beroende_av_klimat*VLOOKUP($A33,Leveranser_per_nät,'Leveranser per nät'!E$1,FALSE)/VLOOKUP($B33,Korrigeringsfaktor_EI,'Korrigeringsfaktor EI'!E$1,FALSE),
"")</f>
        <v>0</v>
      </c>
      <c r="F33" s="18">
        <f>IFERROR(
                  Andel_oberoende_av_klimat*VLOOKUP($A33,Leveranser_per_nät,'Leveranser per nät'!F$1,FALSE)
               +Andel_beroende_av_klimat*VLOOKUP($A33,Leveranser_per_nät,'Leveranser per nät'!F$1,FALSE)/VLOOKUP($B33,Korrigeringsfaktor_EI,'Korrigeringsfaktor EI'!F$1,FALSE),
"")</f>
        <v>3</v>
      </c>
      <c r="G33" s="18">
        <f>IFERROR(
                  Andel_oberoende_av_klimat*VLOOKUP($A33,Leveranser_per_nät,'Leveranser per nät'!G$1,FALSE)
               +Andel_beroende_av_klimat*VLOOKUP($A33,Leveranser_per_nät,'Leveranser per nät'!G$1,FALSE)/VLOOKUP($B33,Korrigeringsfaktor_EI,'Korrigeringsfaktor EI'!G$1,FALSE),
"")</f>
        <v>3.1826086956521733</v>
      </c>
      <c r="H33" s="18">
        <f>IFERROR(
                  Andel_oberoende_av_klimat*VLOOKUP($A33,Leveranser_per_nät,'Leveranser per nät'!H$1,FALSE)
               +Andel_beroende_av_klimat*VLOOKUP($A33,Leveranser_per_nät,'Leveranser per nät'!H$1,FALSE)/VLOOKUP($B33,Korrigeringsfaktor_EI,'Korrigeringsfaktor EI'!H$1,FALSE),
"")</f>
        <v>5.7119999999999997</v>
      </c>
      <c r="I33" s="18">
        <f>IFERROR(
                  Andel_oberoende_av_klimat*VLOOKUP($A33,Leveranser_per_nät,'Leveranser per nät'!I$1,FALSE)
               +Andel_beroende_av_klimat*VLOOKUP($A33,Leveranser_per_nät,'Leveranser per nät'!I$1,FALSE)/VLOOKUP($B33,Korrigeringsfaktor_EI,'Korrigeringsfaktor EI'!I$1,FALSE),
"")</f>
        <v>6.1749999999999989</v>
      </c>
      <c r="J33" s="18">
        <f>IFERROR(
                  Andel_oberoende_av_klimat*VLOOKUP($A33,Leveranser_per_nät,'Leveranser per nät'!J$1,FALSE)
               +Andel_beroende_av_klimat*VLOOKUP($A33,Leveranser_per_nät,'Leveranser per nät'!J$1,FALSE)/VLOOKUP($B33,Korrigeringsfaktor_EI,'Korrigeringsfaktor EI'!J$1,FALSE),
"")</f>
        <v>6.2210526315789476</v>
      </c>
      <c r="K33" s="18">
        <f>IFERROR(
                  Andel_oberoende_av_klimat*VLOOKUP($A33,Leveranser_per_nät,'Leveranser per nät'!K$1,FALSE)
               +Andel_beroende_av_klimat*VLOOKUP($A33,Leveranser_per_nät,'Leveranser per nät'!K$1,FALSE)/VLOOKUP($B33,Korrigeringsfaktor_EI,'Korrigeringsfaktor EI'!K$1,FALSE),
"")</f>
        <v>5.8183485714285714</v>
      </c>
      <c r="L33" s="18">
        <f>IFERROR(
                  Andel_oberoende_av_klimat*VLOOKUP($A33,Leveranser_per_nät,'Leveranser per nät'!L$1,FALSE)
               +Andel_beroende_av_klimat*VLOOKUP($A33,Leveranser_per_nät,'Leveranser per nät'!L$1,FALSE)/VLOOKUP($B33,Korrigeringsfaktor_EI,'Korrigeringsfaktor EI'!L$1,FALSE),
"")</f>
        <v>5.862841505376343</v>
      </c>
      <c r="M33" s="18">
        <f>IFERROR(
                  Andel_oberoende_av_klimat*VLOOKUP($A33,Leveranser_per_nät,'Leveranser per nät'!M$1,FALSE)
               +Andel_beroende_av_klimat*VLOOKUP($A33,Leveranser_per_nät,'Leveranser per nät'!M$1,FALSE)/VLOOKUP($B33,Korrigeringsfaktor_EI,'Korrigeringsfaktor EI'!M$1,FALSE),
"")</f>
        <v>7.0982782608695647</v>
      </c>
      <c r="N33" s="18">
        <f>IFERROR(
                  Andel_oberoende_av_klimat*VLOOKUP($A33,Leveranser_per_nät,'Leveranser per nät'!N$1,FALSE)
               +Andel_beroende_av_klimat*VLOOKUP($A33,Leveranser_per_nät,'Leveranser per nät'!N$1,FALSE)/VLOOKUP($B33,Korrigeringsfaktor_EI,'Korrigeringsfaktor EI'!N$1,FALSE),
"")</f>
        <v>7.5788521739130434</v>
      </c>
      <c r="O33" s="18">
        <f>IFERROR(
                  Andel_oberoende_av_klimat*VLOOKUP($A33,Leveranser_per_nät,'Leveranser per nät'!O$1,FALSE)
               +Andel_beroende_av_klimat*VLOOKUP($A33,Leveranser_per_nät,'Leveranser per nät'!O$1,FALSE)/VLOOKUP($B33,Korrigeringsfaktor_EI,'Korrigeringsfaktor EI'!O$1,FALSE),
"")</f>
        <v>7.908846236559139</v>
      </c>
      <c r="P33" s="18">
        <f>IFERROR(
                  Andel_oberoende_av_klimat*VLOOKUP($A33,Leveranser_per_nät,'Leveranser per nät'!P$1,FALSE)
               +Andel_beroende_av_klimat*VLOOKUP($A33,Leveranser_per_nät,'Leveranser per nät'!P$1,FALSE)/VLOOKUP($B33,Korrigeringsfaktor_EI,'Korrigeringsfaktor EI'!P$1,FALSE),
"")</f>
        <v>8.5359083333333334</v>
      </c>
      <c r="Q33" s="18">
        <f>IFERROR(
                  Andel_oberoende_av_klimat*VLOOKUP($A33,Leveranser_per_nät,'Leveranser per nät'!Q$1,FALSE)
               +Andel_beroende_av_klimat*VLOOKUP($A33,Leveranser_per_nät,'Leveranser per nät'!Q$1,FALSE)/VLOOKUP($B33,Korrigeringsfaktor_EI,'Korrigeringsfaktor EI'!Q$1,FALSE),
"")</f>
        <v>8.5286897196261684</v>
      </c>
      <c r="R33" s="18">
        <f>IFERROR(
                  Andel_oberoende_av_klimat*VLOOKUP($A33,Leveranser_per_nät,'Leveranser per nät'!R$1,FALSE)
               +Andel_beroende_av_klimat*VLOOKUP($A33,Leveranser_per_nät,'Leveranser per nät'!R$1,FALSE)/VLOOKUP($B33,Korrigeringsfaktor_EI,'Korrigeringsfaktor EI'!R$1,FALSE),
"")</f>
        <v>8.4020348314606732</v>
      </c>
      <c r="S33" s="18">
        <f>IFERROR(
                  Andel_oberoende_av_klimat*VLOOKUP($A33,Leveranser_per_nät,'Leveranser per nät'!S$1,FALSE)
               +Andel_beroende_av_klimat*VLOOKUP($A33,Leveranser_per_nät,'Leveranser per nät'!S$1,FALSE)/VLOOKUP($B33,Korrigeringsfaktor_EI,'Korrigeringsfaktor EI'!S$1,FALSE),
"")</f>
        <v>8.7010909090909099</v>
      </c>
      <c r="T33" s="18">
        <f>IFERROR(
                  Andel_oberoende_av_klimat*VLOOKUP($A33,Leveranser_per_nät,'Leveranser per nät'!T$1,FALSE)
               +Andel_beroende_av_klimat*VLOOKUP($A33,Leveranser_per_nät,'Leveranser per nät'!T$1,FALSE)/VLOOKUP($B33,Korrigeringsfaktor_EI,'Korrigeringsfaktor EI'!T$1,FALSE),
"")</f>
        <v>8.518782608695652</v>
      </c>
      <c r="U33" s="18">
        <f>IFERROR(
                  Andel_oberoende_av_klimat*VLOOKUP($A33,Leveranser_per_nät,'Leveranser per nät'!U$1,FALSE)
               +Andel_beroende_av_klimat*VLOOKUP($A33,Leveranser_per_nät,'Leveranser per nät'!U$1,FALSE)/VLOOKUP($B33,Korrigeringsfaktor_EI,'Korrigeringsfaktor EI'!U$1,FALSE),
"")</f>
        <v>8.4616333333333333</v>
      </c>
      <c r="V33" s="18">
        <f>IFERROR(
                  Andel_oberoende_av_klimat*VLOOKUP($A33,Leveranser_per_nät,'Leveranser per nät'!V$1,FALSE)
               +Andel_beroende_av_klimat*VLOOKUP($A33,Leveranser_per_nät,'Leveranser per nät'!V$1,FALSE)/VLOOKUP($B33,Korrigeringsfaktor_EI,'Korrigeringsfaktor EI'!V$1,FALSE),
"")</f>
        <v>8.5219712643678154</v>
      </c>
      <c r="W33" s="18">
        <f>IFERROR(
                  Andel_oberoende_av_klimat*VLOOKUP($A33,Leveranser_per_nät,'Leveranser per nät'!W$1,FALSE)
               +Andel_beroende_av_klimat*VLOOKUP($A33,Leveranser_per_nät,'Leveranser per nät'!W$1,FALSE)/VLOOKUP($B33,Korrigeringsfaktor_EI,'Korrigeringsfaktor EI'!W$1,FALSE),
"")</f>
        <v>8.3683526315789472</v>
      </c>
      <c r="X33" s="18">
        <f>IFERROR(
                  Andel_oberoende_av_klimat*VLOOKUP($A33,Leveranser_per_nät,'Leveranser per nät'!X$1,FALSE)
               +Andel_beroende_av_klimat*VLOOKUP($A33,Leveranser_per_nät,'Leveranser per nät'!X$1,FALSE)/VLOOKUP($B33,Korrigeringsfaktor_EI,'Korrigeringsfaktor EI'!X$1,FALSE),
"")</f>
        <v>8.1952541666666665</v>
      </c>
      <c r="Y33" s="18">
        <f>IFERROR(
                  Andel_oberoende_av_klimat*VLOOKUP($A33,Leveranser_per_nät,'Leveranser per nät'!Y$1,FALSE)
               +Andel_beroende_av_klimat*VLOOKUP($A33,Leveranser_per_nät,'Leveranser per nät'!Y$1,FALSE)/VLOOKUP($B33,Korrigeringsfaktor_EI,'Korrigeringsfaktor EI'!Y$1,FALSE),
"")</f>
        <v>8.3193946236559135</v>
      </c>
      <c r="Z33" s="18">
        <f>IFERROR(
                  Andel_oberoende_av_klimat*VLOOKUP($A33,Leveranser_per_nät,'Leveranser per nät'!Z$1,FALSE)
               +Andel_beroende_av_klimat*VLOOKUP($A33,Leveranser_per_nät,'Leveranser per nät'!Z$1,FALSE)/VLOOKUP($B33,Korrigeringsfaktor_EI,'Korrigeringsfaktor EI'!Z$1,FALSE),
"")</f>
        <v>8.0352731958762895</v>
      </c>
      <c r="AA33" s="18">
        <f>IFERROR(
                  Andel_oberoende_av_klimat*VLOOKUP($A33,Leveranser_per_nät,'Leveranser per nät'!AA$1,FALSE)
               +Andel_beroende_av_klimat*VLOOKUP($A33,Leveranser_per_nät,'Leveranser per nät'!AA$1,FALSE)/VLOOKUP($B33,Korrigeringsfaktor_EI,'Korrigeringsfaktor EI'!AA$1,FALSE),
"")</f>
        <v>7.8645952476415104</v>
      </c>
      <c r="AB33" s="18">
        <f>IFERROR(
                  Andel_oberoende_av_klimat*VLOOKUP($A33,Leveranser_per_nät,'Leveranser per nät'!AB$1,FALSE)
               +Andel_beroende_av_klimat*VLOOKUP($A33,Leveranser_per_nät,'Leveranser per nät'!AB$1,FALSE)/VLOOKUP($B33,Korrigeringsfaktor_EI,'Korrigeringsfaktor EI'!AB$1,FALSE),
"")</f>
        <v>7.6760390551181104</v>
      </c>
      <c r="AC33" s="18">
        <f>IFERROR(
                  Andel_oberoende_av_klimat*VLOOKUP($A33,Leveranser_per_nät,'Leveranser per nät'!AC$1,FALSE)
               +Andel_beroende_av_klimat*VLOOKUP($A33,Leveranser_per_nät,'Leveranser per nät'!AC$1,FALSE)/VLOOKUP($B33,Korrigeringsfaktor_EI,'Korrigeringsfaktor EI'!AC$1,FALSE),
"")</f>
        <v>7.2144499790136418</v>
      </c>
      <c r="AD33">
        <v>351.95330000000001</v>
      </c>
    </row>
    <row r="34" spans="1:30" x14ac:dyDescent="0.25">
      <c r="A34" t="s">
        <v>21</v>
      </c>
      <c r="B34" t="s">
        <v>21</v>
      </c>
      <c r="C34" s="18">
        <f>IFERROR(
                  Andel_oberoende_av_klimat*VLOOKUP($A34,Leveranser_per_nät,'Leveranser per nät'!C$1,FALSE)
               +Andel_beroende_av_klimat*VLOOKUP($A34,Leveranser_per_nät,'Leveranser per nät'!C$1,FALSE)/VLOOKUP($B34,Korrigeringsfaktor_EI,'Korrigeringsfaktor EI'!C$1,FALSE),
"")</f>
        <v>106.19259259259259</v>
      </c>
      <c r="D34" s="18">
        <f>IFERROR(
                  Andel_oberoende_av_klimat*VLOOKUP($A34,Leveranser_per_nät,'Leveranser per nät'!D$1,FALSE)
               +Andel_beroende_av_klimat*VLOOKUP($A34,Leveranser_per_nät,'Leveranser per nät'!D$1,FALSE)/VLOOKUP($B34,Korrigeringsfaktor_EI,'Korrigeringsfaktor EI'!D$1,FALSE),
"")</f>
        <v>108.08308333333333</v>
      </c>
      <c r="E34" s="18">
        <f>IFERROR(
                  Andel_oberoende_av_klimat*VLOOKUP($A34,Leveranser_per_nät,'Leveranser per nät'!E$1,FALSE)
               +Andel_beroende_av_klimat*VLOOKUP($A34,Leveranser_per_nät,'Leveranser per nät'!E$1,FALSE)/VLOOKUP($B34,Korrigeringsfaktor_EI,'Korrigeringsfaktor EI'!E$1,FALSE),
"")</f>
        <v>106.25841584158414</v>
      </c>
      <c r="F34" s="18">
        <f>IFERROR(
                  Andel_oberoende_av_klimat*VLOOKUP($A34,Leveranser_per_nät,'Leveranser per nät'!F$1,FALSE)
               +Andel_beroende_av_klimat*VLOOKUP($A34,Leveranser_per_nät,'Leveranser per nät'!F$1,FALSE)/VLOOKUP($B34,Korrigeringsfaktor_EI,'Korrigeringsfaktor EI'!F$1,FALSE),
"")</f>
        <v>117.65714285714284</v>
      </c>
      <c r="G34" s="18">
        <f>IFERROR(
                  Andel_oberoende_av_klimat*VLOOKUP($A34,Leveranser_per_nät,'Leveranser per nät'!G$1,FALSE)
               +Andel_beroende_av_klimat*VLOOKUP($A34,Leveranser_per_nät,'Leveranser per nät'!G$1,FALSE)/VLOOKUP($B34,Korrigeringsfaktor_EI,'Korrigeringsfaktor EI'!G$1,FALSE),
"")</f>
        <v>122</v>
      </c>
      <c r="H34" s="18">
        <f>IFERROR(
                  Andel_oberoende_av_klimat*VLOOKUP($A34,Leveranser_per_nät,'Leveranser per nät'!H$1,FALSE)
               +Andel_beroende_av_klimat*VLOOKUP($A34,Leveranser_per_nät,'Leveranser per nät'!H$1,FALSE)/VLOOKUP($B34,Korrigeringsfaktor_EI,'Korrigeringsfaktor EI'!H$1,FALSE),
"")</f>
        <v>129.0990099009901</v>
      </c>
      <c r="I34" s="18">
        <f>IFERROR(
                  Andel_oberoende_av_klimat*VLOOKUP($A34,Leveranser_per_nät,'Leveranser per nät'!I$1,FALSE)
               +Andel_beroende_av_klimat*VLOOKUP($A34,Leveranser_per_nät,'Leveranser per nät'!I$1,FALSE)/VLOOKUP($B34,Korrigeringsfaktor_EI,'Korrigeringsfaktor EI'!I$1,FALSE),
"")</f>
        <v>128.72783505154638</v>
      </c>
      <c r="J34" s="18">
        <f>IFERROR(
                  Andel_oberoende_av_klimat*VLOOKUP($A34,Leveranser_per_nät,'Leveranser per nät'!J$1,FALSE)
               +Andel_beroende_av_klimat*VLOOKUP($A34,Leveranser_per_nät,'Leveranser per nät'!J$1,FALSE)/VLOOKUP($B34,Korrigeringsfaktor_EI,'Korrigeringsfaktor EI'!J$1,FALSE),
"")</f>
        <v>130.77113402061855</v>
      </c>
      <c r="K34" s="18">
        <f>IFERROR(
                  Andel_oberoende_av_klimat*VLOOKUP($A34,Leveranser_per_nät,'Leveranser per nät'!K$1,FALSE)
               +Andel_beroende_av_klimat*VLOOKUP($A34,Leveranser_per_nät,'Leveranser per nät'!K$1,FALSE)/VLOOKUP($B34,Korrigeringsfaktor_EI,'Korrigeringsfaktor EI'!K$1,FALSE),
"")</f>
        <v>132.84916907216495</v>
      </c>
      <c r="L34" s="18">
        <f>IFERROR(
                  Andel_oberoende_av_klimat*VLOOKUP($A34,Leveranser_per_nät,'Leveranser per nät'!L$1,FALSE)
               +Andel_beroende_av_klimat*VLOOKUP($A34,Leveranser_per_nät,'Leveranser per nät'!L$1,FALSE)/VLOOKUP($B34,Korrigeringsfaktor_EI,'Korrigeringsfaktor EI'!L$1,FALSE),
"")</f>
        <v>130.86508085106382</v>
      </c>
      <c r="M34" s="18">
        <f>IFERROR(
                  Andel_oberoende_av_klimat*VLOOKUP($A34,Leveranser_per_nät,'Leveranser per nät'!M$1,FALSE)
               +Andel_beroende_av_klimat*VLOOKUP($A34,Leveranser_per_nät,'Leveranser per nät'!M$1,FALSE)/VLOOKUP($B34,Korrigeringsfaktor_EI,'Korrigeringsfaktor EI'!M$1,FALSE),
"")</f>
        <v>139.55518469565217</v>
      </c>
      <c r="N34" s="18">
        <f>IFERROR(
                  Andel_oberoende_av_klimat*VLOOKUP($A34,Leveranser_per_nät,'Leveranser per nät'!N$1,FALSE)
               +Andel_beroende_av_klimat*VLOOKUP($A34,Leveranser_per_nät,'Leveranser per nät'!N$1,FALSE)/VLOOKUP($B34,Korrigeringsfaktor_EI,'Korrigeringsfaktor EI'!N$1,FALSE),
"")</f>
        <v>128.74376344086022</v>
      </c>
      <c r="O34" s="18">
        <f>IFERROR(
                  Andel_oberoende_av_klimat*VLOOKUP($A34,Leveranser_per_nät,'Leveranser per nät'!O$1,FALSE)
               +Andel_beroende_av_klimat*VLOOKUP($A34,Leveranser_per_nät,'Leveranser per nät'!O$1,FALSE)/VLOOKUP($B34,Korrigeringsfaktor_EI,'Korrigeringsfaktor EI'!O$1,FALSE),
"")</f>
        <v>133.90193548387097</v>
      </c>
      <c r="P34" s="18">
        <f>IFERROR(
                  Andel_oberoende_av_klimat*VLOOKUP($A34,Leveranser_per_nät,'Leveranser per nät'!P$1,FALSE)
               +Andel_beroende_av_klimat*VLOOKUP($A34,Leveranser_per_nät,'Leveranser per nät'!P$1,FALSE)/VLOOKUP($B34,Korrigeringsfaktor_EI,'Korrigeringsfaktor EI'!P$1,FALSE),
"")</f>
        <v>136.79886597938145</v>
      </c>
      <c r="Q34" s="18">
        <f>IFERROR(
                  Andel_oberoende_av_klimat*VLOOKUP($A34,Leveranser_per_nät,'Leveranser per nät'!Q$1,FALSE)
               +Andel_beroende_av_klimat*VLOOKUP($A34,Leveranser_per_nät,'Leveranser per nät'!Q$1,FALSE)/VLOOKUP($B34,Korrigeringsfaktor_EI,'Korrigeringsfaktor EI'!Q$1,FALSE),
"")</f>
        <v>140.27439999999999</v>
      </c>
      <c r="R34" s="18">
        <f>IFERROR(
                  Andel_oberoende_av_klimat*VLOOKUP($A34,Leveranser_per_nät,'Leveranser per nät'!R$1,FALSE)
               +Andel_beroende_av_klimat*VLOOKUP($A34,Leveranser_per_nät,'Leveranser per nät'!R$1,FALSE)/VLOOKUP($B34,Korrigeringsfaktor_EI,'Korrigeringsfaktor EI'!R$1,FALSE),
"")</f>
        <v>131.25235384615385</v>
      </c>
      <c r="S34" s="18">
        <f>IFERROR(
                  Andel_oberoende_av_klimat*VLOOKUP($A34,Leveranser_per_nät,'Leveranser per nät'!S$1,FALSE)
               +Andel_beroende_av_klimat*VLOOKUP($A34,Leveranser_per_nät,'Leveranser per nät'!S$1,FALSE)/VLOOKUP($B34,Korrigeringsfaktor_EI,'Korrigeringsfaktor EI'!S$1,FALSE),
"")</f>
        <v>130</v>
      </c>
      <c r="T34" s="18">
        <f>IFERROR(
                  Andel_oberoende_av_klimat*VLOOKUP($A34,Leveranser_per_nät,'Leveranser per nät'!T$1,FALSE)
               +Andel_beroende_av_klimat*VLOOKUP($A34,Leveranser_per_nät,'Leveranser per nät'!T$1,FALSE)/VLOOKUP($B34,Korrigeringsfaktor_EI,'Korrigeringsfaktor EI'!T$1,FALSE),
"")</f>
        <v>129.41462083333334</v>
      </c>
      <c r="U34" s="18">
        <f>IFERROR(
                  Andel_oberoende_av_klimat*VLOOKUP($A34,Leveranser_per_nät,'Leveranser per nät'!U$1,FALSE)
               +Andel_beroende_av_klimat*VLOOKUP($A34,Leveranser_per_nät,'Leveranser per nät'!U$1,FALSE)/VLOOKUP($B34,Korrigeringsfaktor_EI,'Korrigeringsfaktor EI'!U$1,FALSE),
"")</f>
        <v>125.64409999999999</v>
      </c>
      <c r="V34" s="18">
        <f>IFERROR(
                  Andel_oberoende_av_klimat*VLOOKUP($A34,Leveranser_per_nät,'Leveranser per nät'!V$1,FALSE)
               +Andel_beroende_av_klimat*VLOOKUP($A34,Leveranser_per_nät,'Leveranser per nät'!V$1,FALSE)/VLOOKUP($B34,Korrigeringsfaktor_EI,'Korrigeringsfaktor EI'!V$1,FALSE),
"")</f>
        <v>124.75189565217391</v>
      </c>
      <c r="W34" s="18">
        <f>IFERROR(
                  Andel_oberoende_av_klimat*VLOOKUP($A34,Leveranser_per_nät,'Leveranser per nät'!W$1,FALSE)
               +Andel_beroende_av_klimat*VLOOKUP($A34,Leveranser_per_nät,'Leveranser per nät'!W$1,FALSE)/VLOOKUP($B34,Korrigeringsfaktor_EI,'Korrigeringsfaktor EI'!W$1,FALSE),
"")</f>
        <v>127.65807368421054</v>
      </c>
      <c r="X34" s="18">
        <f>IFERROR(
                  Andel_oberoende_av_klimat*VLOOKUP($A34,Leveranser_per_nät,'Leveranser per nät'!X$1,FALSE)
               +Andel_beroende_av_klimat*VLOOKUP($A34,Leveranser_per_nät,'Leveranser per nät'!X$1,FALSE)/VLOOKUP($B34,Korrigeringsfaktor_EI,'Korrigeringsfaktor EI'!X$1,FALSE),
"")</f>
        <v>129.13159999999999</v>
      </c>
      <c r="Y34" s="18">
        <f>IFERROR(
                  Andel_oberoende_av_klimat*VLOOKUP($A34,Leveranser_per_nät,'Leveranser per nät'!Y$1,FALSE)
               +Andel_beroende_av_klimat*VLOOKUP($A34,Leveranser_per_nät,'Leveranser per nät'!Y$1,FALSE)/VLOOKUP($B34,Korrigeringsfaktor_EI,'Korrigeringsfaktor EI'!Y$1,FALSE),
"")</f>
        <v>131.40935957446811</v>
      </c>
      <c r="Z34" s="18">
        <f>IFERROR(
                  Andel_oberoende_av_klimat*VLOOKUP($A34,Leveranser_per_nät,'Leveranser per nät'!Z$1,FALSE)
               +Andel_beroende_av_klimat*VLOOKUP($A34,Leveranser_per_nät,'Leveranser per nät'!Z$1,FALSE)/VLOOKUP($B34,Korrigeringsfaktor_EI,'Korrigeringsfaktor EI'!Z$1,FALSE),
"")</f>
        <v>129.19881489361703</v>
      </c>
      <c r="AA34" s="18">
        <f>IFERROR(
                  Andel_oberoende_av_klimat*VLOOKUP($A34,Leveranser_per_nät,'Leveranser per nät'!AA$1,FALSE)
               +Andel_beroende_av_klimat*VLOOKUP($A34,Leveranser_per_nät,'Leveranser per nät'!AA$1,FALSE)/VLOOKUP($B34,Korrigeringsfaktor_EI,'Korrigeringsfaktor EI'!AA$1,FALSE),
"")</f>
        <v>123.93210889042039</v>
      </c>
      <c r="AB34" s="18">
        <f>IFERROR(
                  Andel_oberoende_av_klimat*VLOOKUP($A34,Leveranser_per_nät,'Leveranser per nät'!AB$1,FALSE)
               +Andel_beroende_av_klimat*VLOOKUP($A34,Leveranser_per_nät,'Leveranser per nät'!AB$1,FALSE)/VLOOKUP($B34,Korrigeringsfaktor_EI,'Korrigeringsfaktor EI'!AB$1,FALSE),
"")</f>
        <v>128.79103596837945</v>
      </c>
      <c r="AC34" s="18">
        <f>IFERROR(
                  Andel_oberoende_av_klimat*VLOOKUP($A34,Leveranser_per_nät,'Leveranser per nät'!AC$1,FALSE)
               +Andel_beroende_av_klimat*VLOOKUP($A34,Leveranser_per_nät,'Leveranser per nät'!AC$1,FALSE)/VLOOKUP($B34,Korrigeringsfaktor_EI,'Korrigeringsfaktor EI'!AC$1,FALSE),
"")</f>
        <v>128.4154189781022</v>
      </c>
      <c r="AD34">
        <v>122.995</v>
      </c>
    </row>
    <row r="35" spans="1:30" x14ac:dyDescent="0.25">
      <c r="A35" t="s">
        <v>60</v>
      </c>
      <c r="B35" t="s">
        <v>211</v>
      </c>
      <c r="C35" s="18">
        <f>IFERROR(
                  Andel_oberoende_av_klimat*VLOOKUP($A35,Leveranser_per_nät,'Leveranser per nät'!C$1,FALSE)
               +Andel_beroende_av_klimat*VLOOKUP($A35,Leveranser_per_nät,'Leveranser per nät'!C$1,FALSE)/VLOOKUP($B35,Korrigeringsfaktor_EI,'Korrigeringsfaktor EI'!C$1,FALSE),
"")</f>
        <v>7.7333333333333334</v>
      </c>
      <c r="D35" s="18">
        <f>IFERROR(
                  Andel_oberoende_av_klimat*VLOOKUP($A35,Leveranser_per_nät,'Leveranser per nät'!D$1,FALSE)
               +Andel_beroende_av_klimat*VLOOKUP($A35,Leveranser_per_nät,'Leveranser per nät'!D$1,FALSE)/VLOOKUP($B35,Korrigeringsfaktor_EI,'Korrigeringsfaktor EI'!D$1,FALSE),
"")</f>
        <v>7.3976499999999987</v>
      </c>
      <c r="E35" s="18">
        <f>IFERROR(
                  Andel_oberoende_av_klimat*VLOOKUP($A35,Leveranser_per_nät,'Leveranser per nät'!E$1,FALSE)
               +Andel_beroende_av_klimat*VLOOKUP($A35,Leveranser_per_nät,'Leveranser per nät'!E$1,FALSE)/VLOOKUP($B35,Korrigeringsfaktor_EI,'Korrigeringsfaktor EI'!E$1,FALSE),
"")</f>
        <v>9.1362376237623764</v>
      </c>
      <c r="F35" s="18">
        <f>IFERROR(
                  Andel_oberoende_av_klimat*VLOOKUP($A35,Leveranser_per_nät,'Leveranser per nät'!F$1,FALSE)
               +Andel_beroende_av_klimat*VLOOKUP($A35,Leveranser_per_nät,'Leveranser per nät'!F$1,FALSE)/VLOOKUP($B35,Korrigeringsfaktor_EI,'Korrigeringsfaktor EI'!F$1,FALSE),
"")</f>
        <v>7.4779999999999998</v>
      </c>
      <c r="G35" s="18">
        <f>IFERROR(
                  Andel_oberoende_av_klimat*VLOOKUP($A35,Leveranser_per_nät,'Leveranser per nät'!G$1,FALSE)
               +Andel_beroende_av_klimat*VLOOKUP($A35,Leveranser_per_nät,'Leveranser per nät'!G$1,FALSE)/VLOOKUP($B35,Korrigeringsfaktor_EI,'Korrigeringsfaktor EI'!G$1,FALSE),
"")</f>
        <v>7.8720021505376341</v>
      </c>
      <c r="H35" s="18">
        <f>IFERROR(
                  Andel_oberoende_av_klimat*VLOOKUP($A35,Leveranser_per_nät,'Leveranser per nät'!H$1,FALSE)
               +Andel_beroende_av_klimat*VLOOKUP($A35,Leveranser_per_nät,'Leveranser per nät'!H$1,FALSE)/VLOOKUP($B35,Korrigeringsfaktor_EI,'Korrigeringsfaktor EI'!H$1,FALSE),
"")</f>
        <v>7.9445544554455445</v>
      </c>
      <c r="I35" s="18">
        <f>IFERROR(
                  Andel_oberoende_av_klimat*VLOOKUP($A35,Leveranser_per_nät,'Leveranser per nät'!I$1,FALSE)
               +Andel_beroende_av_klimat*VLOOKUP($A35,Leveranser_per_nät,'Leveranser per nät'!I$1,FALSE)/VLOOKUP($B35,Korrigeringsfaktor_EI,'Korrigeringsfaktor EI'!I$1,FALSE),
"")</f>
        <v>7.2041666666666666</v>
      </c>
      <c r="J35" s="18">
        <f>IFERROR(
                  Andel_oberoende_av_klimat*VLOOKUP($A35,Leveranser_per_nät,'Leveranser per nät'!J$1,FALSE)
               +Andel_beroende_av_klimat*VLOOKUP($A35,Leveranser_per_nät,'Leveranser per nät'!J$1,FALSE)/VLOOKUP($B35,Korrigeringsfaktor_EI,'Korrigeringsfaktor EI'!J$1,FALSE),
"")</f>
        <v>6.9588585858585859</v>
      </c>
      <c r="K35" s="18">
        <f>IFERROR(
                  Andel_oberoende_av_klimat*VLOOKUP($A35,Leveranser_per_nät,'Leveranser per nät'!K$1,FALSE)
               +Andel_beroende_av_klimat*VLOOKUP($A35,Leveranser_per_nät,'Leveranser per nät'!K$1,FALSE)/VLOOKUP($B35,Korrigeringsfaktor_EI,'Korrigeringsfaktor EI'!K$1,FALSE),
"")</f>
        <v>6.8871336008967301</v>
      </c>
      <c r="L35" s="18">
        <f>IFERROR(
                  Andel_oberoende_av_klimat*VLOOKUP($A35,Leveranser_per_nät,'Leveranser per nät'!L$1,FALSE)
               +Andel_beroende_av_klimat*VLOOKUP($A35,Leveranser_per_nät,'Leveranser per nät'!L$1,FALSE)/VLOOKUP($B35,Korrigeringsfaktor_EI,'Korrigeringsfaktor EI'!L$1,FALSE),
"")</f>
        <v>6.9881772276704499</v>
      </c>
      <c r="M35" s="18">
        <f>IFERROR(
                  Andel_oberoende_av_klimat*VLOOKUP($A35,Leveranser_per_nät,'Leveranser per nät'!M$1,FALSE)
               +Andel_beroende_av_klimat*VLOOKUP($A35,Leveranser_per_nät,'Leveranser per nät'!M$1,FALSE)/VLOOKUP($B35,Korrigeringsfaktor_EI,'Korrigeringsfaktor EI'!M$1,FALSE),
"")</f>
        <v>8.4551304347826086</v>
      </c>
      <c r="N35" s="18">
        <f>IFERROR(
                  Andel_oberoende_av_klimat*VLOOKUP($A35,Leveranser_per_nät,'Leveranser per nät'!N$1,FALSE)
               +Andel_beroende_av_klimat*VLOOKUP($A35,Leveranser_per_nät,'Leveranser per nät'!N$1,FALSE)/VLOOKUP($B35,Korrigeringsfaktor_EI,'Korrigeringsfaktor EI'!N$1,FALSE),
"")</f>
        <v>6.5814893617021273</v>
      </c>
      <c r="O35" s="18">
        <f>IFERROR(
                  Andel_oberoende_av_klimat*VLOOKUP($A35,Leveranser_per_nät,'Leveranser per nät'!O$1,FALSE)
               +Andel_beroende_av_klimat*VLOOKUP($A35,Leveranser_per_nät,'Leveranser per nät'!O$1,FALSE)/VLOOKUP($B35,Korrigeringsfaktor_EI,'Korrigeringsfaktor EI'!O$1,FALSE),
"")</f>
        <v>6.3652173913043466</v>
      </c>
      <c r="P35" s="18">
        <f>IFERROR(
                  Andel_oberoende_av_klimat*VLOOKUP($A35,Leveranser_per_nät,'Leveranser per nät'!P$1,FALSE)
               +Andel_beroende_av_klimat*VLOOKUP($A35,Leveranser_per_nät,'Leveranser per nät'!P$1,FALSE)/VLOOKUP($B35,Korrigeringsfaktor_EI,'Korrigeringsfaktor EI'!P$1,FALSE),
"")</f>
        <v>6.1298969072164944</v>
      </c>
      <c r="Q35" s="18">
        <f>IFERROR(
                  Andel_oberoende_av_klimat*VLOOKUP($A35,Leveranser_per_nät,'Leveranser per nät'!Q$1,FALSE)
               +Andel_beroende_av_klimat*VLOOKUP($A35,Leveranser_per_nät,'Leveranser per nät'!Q$1,FALSE)/VLOOKUP($B35,Korrigeringsfaktor_EI,'Korrigeringsfaktor EI'!Q$1,FALSE),
"")</f>
        <v>5.5837837837837832</v>
      </c>
      <c r="R35" s="18">
        <f>IFERROR(
                  Andel_oberoende_av_klimat*VLOOKUP($A35,Leveranser_per_nät,'Leveranser per nät'!R$1,FALSE)
               +Andel_beroende_av_klimat*VLOOKUP($A35,Leveranser_per_nät,'Leveranser per nät'!R$1,FALSE)/VLOOKUP($B35,Korrigeringsfaktor_EI,'Korrigeringsfaktor EI'!R$1,FALSE),
"")</f>
        <v>5.8613043478260876</v>
      </c>
      <c r="S35" s="18">
        <f>IFERROR(
                  Andel_oberoende_av_klimat*VLOOKUP($A35,Leveranser_per_nät,'Leveranser per nät'!S$1,FALSE)
               +Andel_beroende_av_klimat*VLOOKUP($A35,Leveranser_per_nät,'Leveranser per nät'!S$1,FALSE)/VLOOKUP($B35,Korrigeringsfaktor_EI,'Korrigeringsfaktor EI'!S$1,FALSE),
"")</f>
        <v>5.0857070707070706</v>
      </c>
      <c r="T35" s="18">
        <f>IFERROR(
                  Andel_oberoende_av_klimat*VLOOKUP($A35,Leveranser_per_nät,'Leveranser per nät'!T$1,FALSE)
               +Andel_beroende_av_klimat*VLOOKUP($A35,Leveranser_per_nät,'Leveranser per nät'!T$1,FALSE)/VLOOKUP($B35,Korrigeringsfaktor_EI,'Korrigeringsfaktor EI'!T$1,FALSE),
"")</f>
        <v>5.0805263157894744</v>
      </c>
      <c r="U35" s="18">
        <f>IFERROR(
                  Andel_oberoende_av_klimat*VLOOKUP($A35,Leveranser_per_nät,'Leveranser per nät'!U$1,FALSE)
               +Andel_beroende_av_klimat*VLOOKUP($A35,Leveranser_per_nät,'Leveranser per nät'!U$1,FALSE)/VLOOKUP($B35,Korrigeringsfaktor_EI,'Korrigeringsfaktor EI'!U$1,FALSE),
"")</f>
        <v>4.9577777777777774</v>
      </c>
      <c r="V35" s="18">
        <f>IFERROR(
                  Andel_oberoende_av_klimat*VLOOKUP($A35,Leveranser_per_nät,'Leveranser per nät'!V$1,FALSE)
               +Andel_beroende_av_klimat*VLOOKUP($A35,Leveranser_per_nät,'Leveranser per nät'!V$1,FALSE)/VLOOKUP($B35,Korrigeringsfaktor_EI,'Korrigeringsfaktor EI'!V$1,FALSE),
"")</f>
        <v>4.9184615384615382</v>
      </c>
      <c r="W35" s="18">
        <f>IFERROR(
                  Andel_oberoende_av_klimat*VLOOKUP($A35,Leveranser_per_nät,'Leveranser per nät'!W$1,FALSE)
               +Andel_beroende_av_klimat*VLOOKUP($A35,Leveranser_per_nät,'Leveranser per nät'!W$1,FALSE)/VLOOKUP($B35,Korrigeringsfaktor_EI,'Korrigeringsfaktor EI'!W$1,FALSE),
"")</f>
        <v>5.3516666666666666</v>
      </c>
      <c r="X35" s="18">
        <f>IFERROR(
                  Andel_oberoende_av_klimat*VLOOKUP($A35,Leveranser_per_nät,'Leveranser per nät'!X$1,FALSE)
               +Andel_beroende_av_klimat*VLOOKUP($A35,Leveranser_per_nät,'Leveranser per nät'!X$1,FALSE)/VLOOKUP($B35,Korrigeringsfaktor_EI,'Korrigeringsfaktor EI'!X$1,FALSE),
"")</f>
        <v>5.2104123711340202</v>
      </c>
      <c r="Y35" s="18">
        <f>IFERROR(
                  Andel_oberoende_av_klimat*VLOOKUP($A35,Leveranser_per_nät,'Leveranser per nät'!Y$1,FALSE)
               +Andel_beroende_av_klimat*VLOOKUP($A35,Leveranser_per_nät,'Leveranser per nät'!Y$1,FALSE)/VLOOKUP($B35,Korrigeringsfaktor_EI,'Korrigeringsfaktor EI'!Y$1,FALSE),
"")</f>
        <v>5.4952631578947368</v>
      </c>
      <c r="Z35" s="18">
        <f>IFERROR(
                  Andel_oberoende_av_klimat*VLOOKUP($A35,Leveranser_per_nät,'Leveranser per nät'!Z$1,FALSE)
               +Andel_beroende_av_klimat*VLOOKUP($A35,Leveranser_per_nät,'Leveranser per nät'!Z$1,FALSE)/VLOOKUP($B35,Korrigeringsfaktor_EI,'Korrigeringsfaktor EI'!Z$1,FALSE),
"")</f>
        <v>5.1189361702127671</v>
      </c>
      <c r="AA35" s="18">
        <f>IFERROR(
                  Andel_oberoende_av_klimat*VLOOKUP($A35,Leveranser_per_nät,'Leveranser per nät'!AA$1,FALSE)
               +Andel_beroende_av_klimat*VLOOKUP($A35,Leveranser_per_nät,'Leveranser per nät'!AA$1,FALSE)/VLOOKUP($B35,Korrigeringsfaktor_EI,'Korrigeringsfaktor EI'!AA$1,FALSE),
"")</f>
        <v>5.5144725111441311</v>
      </c>
      <c r="AB35" s="18">
        <f>IFERROR(
                  Andel_oberoende_av_klimat*VLOOKUP($A35,Leveranser_per_nät,'Leveranser per nät'!AB$1,FALSE)
               +Andel_beroende_av_klimat*VLOOKUP($A35,Leveranser_per_nät,'Leveranser per nät'!AB$1,FALSE)/VLOOKUP($B35,Korrigeringsfaktor_EI,'Korrigeringsfaktor EI'!AB$1,FALSE),
"")</f>
        <v>5.3613882352941173</v>
      </c>
      <c r="AC35" s="18">
        <f>IFERROR(
                  Andel_oberoende_av_klimat*VLOOKUP($A35,Leveranser_per_nät,'Leveranser per nät'!AC$1,FALSE)
               +Andel_beroende_av_klimat*VLOOKUP($A35,Leveranser_per_nät,'Leveranser per nät'!AC$1,FALSE)/VLOOKUP($B35,Korrigeringsfaktor_EI,'Korrigeringsfaktor EI'!AC$1,FALSE),
"")</f>
        <v>5.6333921568627447</v>
      </c>
      <c r="AD35">
        <v>41.512</v>
      </c>
    </row>
    <row r="36" spans="1:30" x14ac:dyDescent="0.25">
      <c r="A36" t="s">
        <v>306</v>
      </c>
      <c r="B36" t="s">
        <v>336</v>
      </c>
      <c r="C36" s="18">
        <f>IFERROR(
                  Andel_oberoende_av_klimat*VLOOKUP($A36,Leveranser_per_nät,'Leveranser per nät'!C$1,FALSE)
               +Andel_beroende_av_klimat*VLOOKUP($A36,Leveranser_per_nät,'Leveranser per nät'!C$1,FALSE)/VLOOKUP($B36,Korrigeringsfaktor_EI,'Korrigeringsfaktor EI'!C$1,FALSE),
"")</f>
        <v>0</v>
      </c>
      <c r="D36" s="18">
        <f>IFERROR(
                  Andel_oberoende_av_klimat*VLOOKUP($A36,Leveranser_per_nät,'Leveranser per nät'!D$1,FALSE)
               +Andel_beroende_av_klimat*VLOOKUP($A36,Leveranser_per_nät,'Leveranser per nät'!D$1,FALSE)/VLOOKUP($B36,Korrigeringsfaktor_EI,'Korrigeringsfaktor EI'!D$1,FALSE),
"")</f>
        <v>0</v>
      </c>
      <c r="E36" s="18">
        <f>IFERROR(
                  Andel_oberoende_av_klimat*VLOOKUP($A36,Leveranser_per_nät,'Leveranser per nät'!E$1,FALSE)
               +Andel_beroende_av_klimat*VLOOKUP($A36,Leveranser_per_nät,'Leveranser per nät'!E$1,FALSE)/VLOOKUP($B36,Korrigeringsfaktor_EI,'Korrigeringsfaktor EI'!E$1,FALSE),
"")</f>
        <v>0</v>
      </c>
      <c r="F36" s="18">
        <f>IFERROR(
                  Andel_oberoende_av_klimat*VLOOKUP($A36,Leveranser_per_nät,'Leveranser per nät'!F$1,FALSE)
               +Andel_beroende_av_klimat*VLOOKUP($A36,Leveranser_per_nät,'Leveranser per nät'!F$1,FALSE)/VLOOKUP($B36,Korrigeringsfaktor_EI,'Korrigeringsfaktor EI'!F$1,FALSE),
"")</f>
        <v>0</v>
      </c>
      <c r="G36" s="18">
        <f>IFERROR(
                  Andel_oberoende_av_klimat*VLOOKUP($A36,Leveranser_per_nät,'Leveranser per nät'!G$1,FALSE)
               +Andel_beroende_av_klimat*VLOOKUP($A36,Leveranser_per_nät,'Leveranser per nät'!G$1,FALSE)/VLOOKUP($B36,Korrigeringsfaktor_EI,'Korrigeringsfaktor EI'!G$1,FALSE),
"")</f>
        <v>0</v>
      </c>
      <c r="H36" s="18">
        <f>IFERROR(
                  Andel_oberoende_av_klimat*VLOOKUP($A36,Leveranser_per_nät,'Leveranser per nät'!H$1,FALSE)
               +Andel_beroende_av_klimat*VLOOKUP($A36,Leveranser_per_nät,'Leveranser per nät'!H$1,FALSE)/VLOOKUP($B36,Korrigeringsfaktor_EI,'Korrigeringsfaktor EI'!H$1,FALSE),
"")</f>
        <v>0</v>
      </c>
      <c r="I36" s="18">
        <f>IFERROR(
                  Andel_oberoende_av_klimat*VLOOKUP($A36,Leveranser_per_nät,'Leveranser per nät'!I$1,FALSE)
               +Andel_beroende_av_klimat*VLOOKUP($A36,Leveranser_per_nät,'Leveranser per nät'!I$1,FALSE)/VLOOKUP($B36,Korrigeringsfaktor_EI,'Korrigeringsfaktor EI'!I$1,FALSE),
"")</f>
        <v>0</v>
      </c>
      <c r="J36" s="18">
        <f>IFERROR(
                  Andel_oberoende_av_klimat*VLOOKUP($A36,Leveranser_per_nät,'Leveranser per nät'!J$1,FALSE)
               +Andel_beroende_av_klimat*VLOOKUP($A36,Leveranser_per_nät,'Leveranser per nät'!J$1,FALSE)/VLOOKUP($B36,Korrigeringsfaktor_EI,'Korrigeringsfaktor EI'!J$1,FALSE),
"")</f>
        <v>0</v>
      </c>
      <c r="K36" s="18">
        <f>IFERROR(
                  Andel_oberoende_av_klimat*VLOOKUP($A36,Leveranser_per_nät,'Leveranser per nät'!K$1,FALSE)
               +Andel_beroende_av_klimat*VLOOKUP($A36,Leveranser_per_nät,'Leveranser per nät'!K$1,FALSE)/VLOOKUP($B36,Korrigeringsfaktor_EI,'Korrigeringsfaktor EI'!K$1,FALSE),
"")</f>
        <v>8.7273333333333341</v>
      </c>
      <c r="L36" s="18">
        <f>IFERROR(
                  Andel_oberoende_av_klimat*VLOOKUP($A36,Leveranser_per_nät,'Leveranser per nät'!L$1,FALSE)
               +Andel_beroende_av_klimat*VLOOKUP($A36,Leveranser_per_nät,'Leveranser per nät'!L$1,FALSE)/VLOOKUP($B36,Korrigeringsfaktor_EI,'Korrigeringsfaktor EI'!L$1,FALSE),
"")</f>
        <v>10.133404255319149</v>
      </c>
      <c r="M36" s="18">
        <f>IFERROR(
                  Andel_oberoende_av_klimat*VLOOKUP($A36,Leveranser_per_nät,'Leveranser per nät'!M$1,FALSE)
               +Andel_beroende_av_klimat*VLOOKUP($A36,Leveranser_per_nät,'Leveranser per nät'!M$1,FALSE)/VLOOKUP($B36,Korrigeringsfaktor_EI,'Korrigeringsfaktor EI'!M$1,FALSE),
"")</f>
        <v>10.585384615384616</v>
      </c>
      <c r="N36" s="18">
        <f>IFERROR(
                  Andel_oberoende_av_klimat*VLOOKUP($A36,Leveranser_per_nät,'Leveranser per nät'!N$1,FALSE)
               +Andel_beroende_av_klimat*VLOOKUP($A36,Leveranser_per_nät,'Leveranser per nät'!N$1,FALSE)/VLOOKUP($B36,Korrigeringsfaktor_EI,'Korrigeringsfaktor EI'!N$1,FALSE),
"")</f>
        <v>13.687777777777777</v>
      </c>
      <c r="O36" s="18">
        <f>IFERROR(
                  Andel_oberoende_av_klimat*VLOOKUP($A36,Leveranser_per_nät,'Leveranser per nät'!O$1,FALSE)
               +Andel_beroende_av_klimat*VLOOKUP($A36,Leveranser_per_nät,'Leveranser per nät'!O$1,FALSE)/VLOOKUP($B36,Korrigeringsfaktor_EI,'Korrigeringsfaktor EI'!O$1,FALSE),
"")</f>
        <v>12.082307692307692</v>
      </c>
      <c r="P36" s="18">
        <f>IFERROR(
                  Andel_oberoende_av_klimat*VLOOKUP($A36,Leveranser_per_nät,'Leveranser per nät'!P$1,FALSE)
               +Andel_beroende_av_klimat*VLOOKUP($A36,Leveranser_per_nät,'Leveranser per nät'!P$1,FALSE)/VLOOKUP($B36,Korrigeringsfaktor_EI,'Korrigeringsfaktor EI'!P$1,FALSE),
"")</f>
        <v>12.157628865979381</v>
      </c>
      <c r="Q36" s="18">
        <f>IFERROR(
                  Andel_oberoende_av_klimat*VLOOKUP($A36,Leveranser_per_nät,'Leveranser per nät'!Q$1,FALSE)
               +Andel_beroende_av_klimat*VLOOKUP($A36,Leveranser_per_nät,'Leveranser per nät'!Q$1,FALSE)/VLOOKUP($B36,Korrigeringsfaktor_EI,'Korrigeringsfaktor EI'!Q$1,FALSE),
"")</f>
        <v>13.412499999999998</v>
      </c>
      <c r="R36" s="18">
        <f>IFERROR(
                  Andel_oberoende_av_klimat*VLOOKUP($A36,Leveranser_per_nät,'Leveranser per nät'!R$1,FALSE)
               +Andel_beroende_av_klimat*VLOOKUP($A36,Leveranser_per_nät,'Leveranser per nät'!R$1,FALSE)/VLOOKUP($B36,Korrigeringsfaktor_EI,'Korrigeringsfaktor EI'!R$1,FALSE),
"")</f>
        <v>12.933333333333334</v>
      </c>
      <c r="S36" s="18">
        <f>IFERROR(
                  Andel_oberoende_av_klimat*VLOOKUP($A36,Leveranser_per_nät,'Leveranser per nät'!S$1,FALSE)
               +Andel_beroende_av_klimat*VLOOKUP($A36,Leveranser_per_nät,'Leveranser per nät'!S$1,FALSE)/VLOOKUP($B36,Korrigeringsfaktor_EI,'Korrigeringsfaktor EI'!S$1,FALSE),
"")</f>
        <v>12.78979797979798</v>
      </c>
      <c r="T36" s="18">
        <f>IFERROR(
                  Andel_oberoende_av_klimat*VLOOKUP($A36,Leveranser_per_nät,'Leveranser per nät'!T$1,FALSE)
               +Andel_beroende_av_klimat*VLOOKUP($A36,Leveranser_per_nät,'Leveranser per nät'!T$1,FALSE)/VLOOKUP($B36,Korrigeringsfaktor_EI,'Korrigeringsfaktor EI'!T$1,FALSE),
"")</f>
        <v>12.640638297872341</v>
      </c>
      <c r="U36" s="18">
        <f>IFERROR(
                  Andel_oberoende_av_klimat*VLOOKUP($A36,Leveranser_per_nät,'Leveranser per nät'!U$1,FALSE)
               +Andel_beroende_av_klimat*VLOOKUP($A36,Leveranser_per_nät,'Leveranser per nät'!U$1,FALSE)/VLOOKUP($B36,Korrigeringsfaktor_EI,'Korrigeringsfaktor EI'!U$1,FALSE),
"")</f>
        <v>12.040114942528735</v>
      </c>
      <c r="V36" s="18">
        <f>IFERROR(
                  Andel_oberoende_av_klimat*VLOOKUP($A36,Leveranser_per_nät,'Leveranser per nät'!V$1,FALSE)
               +Andel_beroende_av_klimat*VLOOKUP($A36,Leveranser_per_nät,'Leveranser per nät'!V$1,FALSE)/VLOOKUP($B36,Korrigeringsfaktor_EI,'Korrigeringsfaktor EI'!V$1,FALSE),
"")</f>
        <v>11.843033707865168</v>
      </c>
      <c r="W36" s="18">
        <f>IFERROR(
                  Andel_oberoende_av_klimat*VLOOKUP($A36,Leveranser_per_nät,'Leveranser per nät'!W$1,FALSE)
               +Andel_beroende_av_klimat*VLOOKUP($A36,Leveranser_per_nät,'Leveranser per nät'!W$1,FALSE)/VLOOKUP($B36,Korrigeringsfaktor_EI,'Korrigeringsfaktor EI'!W$1,FALSE),
"")</f>
        <v>11.895376344086023</v>
      </c>
      <c r="X36" s="18">
        <f>IFERROR(
                  Andel_oberoende_av_klimat*VLOOKUP($A36,Leveranser_per_nät,'Leveranser per nät'!X$1,FALSE)
               +Andel_beroende_av_klimat*VLOOKUP($A36,Leveranser_per_nät,'Leveranser per nät'!X$1,FALSE)/VLOOKUP($B36,Korrigeringsfaktor_EI,'Korrigeringsfaktor EI'!X$1,FALSE),
"")</f>
        <v>11.775652173913043</v>
      </c>
      <c r="Y36" s="18">
        <f>IFERROR(
                  Andel_oberoende_av_klimat*VLOOKUP($A36,Leveranser_per_nät,'Leveranser per nät'!Y$1,FALSE)
               +Andel_beroende_av_klimat*VLOOKUP($A36,Leveranser_per_nät,'Leveranser per nät'!Y$1,FALSE)/VLOOKUP($B36,Korrigeringsfaktor_EI,'Korrigeringsfaktor EI'!Y$1,FALSE),
"")</f>
        <v>12.071111111111112</v>
      </c>
      <c r="Z36" s="18">
        <f>IFERROR(
                  Andel_oberoende_av_klimat*VLOOKUP($A36,Leveranser_per_nät,'Leveranser per nät'!Z$1,FALSE)
               +Andel_beroende_av_klimat*VLOOKUP($A36,Leveranser_per_nät,'Leveranser per nät'!Z$1,FALSE)/VLOOKUP($B36,Korrigeringsfaktor_EI,'Korrigeringsfaktor EI'!Z$1,FALSE),
"")</f>
        <v>11.826527272727272</v>
      </c>
      <c r="AA36" s="18">
        <f>IFERROR(
                  Andel_oberoende_av_klimat*VLOOKUP($A36,Leveranser_per_nät,'Leveranser per nät'!AA$1,FALSE)
               +Andel_beroende_av_klimat*VLOOKUP($A36,Leveranser_per_nät,'Leveranser per nät'!AA$1,FALSE)/VLOOKUP($B36,Korrigeringsfaktor_EI,'Korrigeringsfaktor EI'!AA$1,FALSE),
"")</f>
        <v>11.527988768211921</v>
      </c>
      <c r="AB36" s="18">
        <f>IFERROR(
                  Andel_oberoende_av_klimat*VLOOKUP($A36,Leveranser_per_nät,'Leveranser per nät'!AB$1,FALSE)
               +Andel_beroende_av_klimat*VLOOKUP($A36,Leveranser_per_nät,'Leveranser per nät'!AB$1,FALSE)/VLOOKUP($B36,Korrigeringsfaktor_EI,'Korrigeringsfaktor EI'!AB$1,FALSE),
"")</f>
        <v>11.695</v>
      </c>
      <c r="AC36" s="18">
        <f>IFERROR(
                  Andel_oberoende_av_klimat*VLOOKUP($A36,Leveranser_per_nät,'Leveranser per nät'!AC$1,FALSE)
               +Andel_beroende_av_klimat*VLOOKUP($A36,Leveranser_per_nät,'Leveranser per nät'!AC$1,FALSE)/VLOOKUP($B36,Korrigeringsfaktor_EI,'Korrigeringsfaktor EI'!AC$1,FALSE),
"")</f>
        <v>11.172456684491978</v>
      </c>
      <c r="AD36">
        <v>141.40199999999999</v>
      </c>
    </row>
    <row r="37" spans="1:30" x14ac:dyDescent="0.25">
      <c r="A37" s="3" t="s">
        <v>23</v>
      </c>
      <c r="B37" s="3" t="s">
        <v>23</v>
      </c>
      <c r="C37" s="18">
        <f>IFERROR(
                  Andel_oberoende_av_klimat*VLOOKUP($A37,Leveranser_per_nät,'Leveranser per nät'!C$1,FALSE)
               +Andel_beroende_av_klimat*VLOOKUP($A37,Leveranser_per_nät,'Leveranser per nät'!C$1,FALSE)/VLOOKUP($B37,Korrigeringsfaktor_EI,'Korrigeringsfaktor EI'!C$1,FALSE),
"")</f>
        <v>0</v>
      </c>
      <c r="D37" s="18">
        <f>IFERROR(
                  Andel_oberoende_av_klimat*VLOOKUP($A37,Leveranser_per_nät,'Leveranser per nät'!D$1,FALSE)
               +Andel_beroende_av_klimat*VLOOKUP($A37,Leveranser_per_nät,'Leveranser per nät'!D$1,FALSE)/VLOOKUP($B37,Korrigeringsfaktor_EI,'Korrigeringsfaktor EI'!D$1,FALSE),
"")</f>
        <v>0</v>
      </c>
      <c r="E37" s="18">
        <f>IFERROR(
                  Andel_oberoende_av_klimat*VLOOKUP($A37,Leveranser_per_nät,'Leveranser per nät'!E$1,FALSE)
               +Andel_beroende_av_klimat*VLOOKUP($A37,Leveranser_per_nät,'Leveranser per nät'!E$1,FALSE)/VLOOKUP($B37,Korrigeringsfaktor_EI,'Korrigeringsfaktor EI'!E$1,FALSE),
"")</f>
        <v>0</v>
      </c>
      <c r="F37" s="18">
        <f>IFERROR(
                  Andel_oberoende_av_klimat*VLOOKUP($A37,Leveranser_per_nät,'Leveranser per nät'!F$1,FALSE)
               +Andel_beroende_av_klimat*VLOOKUP($A37,Leveranser_per_nät,'Leveranser per nät'!F$1,FALSE)/VLOOKUP($B37,Korrigeringsfaktor_EI,'Korrigeringsfaktor EI'!F$1,FALSE),
"")</f>
        <v>0</v>
      </c>
      <c r="G37" s="18">
        <f>IFERROR(
                  Andel_oberoende_av_klimat*VLOOKUP($A37,Leveranser_per_nät,'Leveranser per nät'!G$1,FALSE)
               +Andel_beroende_av_klimat*VLOOKUP($A37,Leveranser_per_nät,'Leveranser per nät'!G$1,FALSE)/VLOOKUP($B37,Korrigeringsfaktor_EI,'Korrigeringsfaktor EI'!G$1,FALSE),
"")</f>
        <v>0</v>
      </c>
      <c r="H37" s="18">
        <f>IFERROR(
                  Andel_oberoende_av_klimat*VLOOKUP($A37,Leveranser_per_nät,'Leveranser per nät'!H$1,FALSE)
               +Andel_beroende_av_klimat*VLOOKUP($A37,Leveranser_per_nät,'Leveranser per nät'!H$1,FALSE)/VLOOKUP($B37,Korrigeringsfaktor_EI,'Korrigeringsfaktor EI'!H$1,FALSE),
"")</f>
        <v>0</v>
      </c>
      <c r="I37" s="18">
        <f>IFERROR(
                  Andel_oberoende_av_klimat*VLOOKUP($A37,Leveranser_per_nät,'Leveranser per nät'!I$1,FALSE)
               +Andel_beroende_av_klimat*VLOOKUP($A37,Leveranser_per_nät,'Leveranser per nät'!I$1,FALSE)/VLOOKUP($B37,Korrigeringsfaktor_EI,'Korrigeringsfaktor EI'!I$1,FALSE),
"")</f>
        <v>0</v>
      </c>
      <c r="J37" s="18">
        <f>IFERROR(
                  Andel_oberoende_av_klimat*VLOOKUP($A37,Leveranser_per_nät,'Leveranser per nät'!J$1,FALSE)
               +Andel_beroende_av_klimat*VLOOKUP($A37,Leveranser_per_nät,'Leveranser per nät'!J$1,FALSE)/VLOOKUP($B37,Korrigeringsfaktor_EI,'Korrigeringsfaktor EI'!J$1,FALSE),
"")</f>
        <v>0</v>
      </c>
      <c r="K37" s="18">
        <f>IFERROR(
                  Andel_oberoende_av_klimat*VLOOKUP($A37,Leveranser_per_nät,'Leveranser per nät'!K$1,FALSE)
               +Andel_beroende_av_klimat*VLOOKUP($A37,Leveranser_per_nät,'Leveranser per nät'!K$1,FALSE)/VLOOKUP($B37,Korrigeringsfaktor_EI,'Korrigeringsfaktor EI'!K$1,FALSE),
"")</f>
        <v>0</v>
      </c>
      <c r="L37" s="18">
        <f>IFERROR(
                  Andel_oberoende_av_klimat*VLOOKUP($A37,Leveranser_per_nät,'Leveranser per nät'!L$1,FALSE)
               +Andel_beroende_av_klimat*VLOOKUP($A37,Leveranser_per_nät,'Leveranser per nät'!L$1,FALSE)/VLOOKUP($B37,Korrigeringsfaktor_EI,'Korrigeringsfaktor EI'!L$1,FALSE),
"")</f>
        <v>0</v>
      </c>
      <c r="M37" s="18">
        <f>IFERROR(
                  Andel_oberoende_av_klimat*VLOOKUP($A37,Leveranser_per_nät,'Leveranser per nät'!M$1,FALSE)
               +Andel_beroende_av_klimat*VLOOKUP($A37,Leveranser_per_nät,'Leveranser per nät'!M$1,FALSE)/VLOOKUP($B37,Korrigeringsfaktor_EI,'Korrigeringsfaktor EI'!M$1,FALSE),
"")</f>
        <v>0</v>
      </c>
      <c r="N37" s="18">
        <f>IFERROR(
                  Andel_oberoende_av_klimat*VLOOKUP($A37,Leveranser_per_nät,'Leveranser per nät'!N$1,FALSE)
               +Andel_beroende_av_klimat*VLOOKUP($A37,Leveranser_per_nät,'Leveranser per nät'!N$1,FALSE)/VLOOKUP($B37,Korrigeringsfaktor_EI,'Korrigeringsfaktor EI'!N$1,FALSE),
"")</f>
        <v>0</v>
      </c>
      <c r="O37" s="18">
        <f>IFERROR(
                  Andel_oberoende_av_klimat*VLOOKUP($A37,Leveranser_per_nät,'Leveranser per nät'!O$1,FALSE)
               +Andel_beroende_av_klimat*VLOOKUP($A37,Leveranser_per_nät,'Leveranser per nät'!O$1,FALSE)/VLOOKUP($B37,Korrigeringsfaktor_EI,'Korrigeringsfaktor EI'!O$1,FALSE),
"")</f>
        <v>0</v>
      </c>
      <c r="P37" s="18">
        <f>IFERROR(
                  Andel_oberoende_av_klimat*VLOOKUP($A37,Leveranser_per_nät,'Leveranser per nät'!P$1,FALSE)
               +Andel_beroende_av_klimat*VLOOKUP($A37,Leveranser_per_nät,'Leveranser per nät'!P$1,FALSE)/VLOOKUP($B37,Korrigeringsfaktor_EI,'Korrigeringsfaktor EI'!P$1,FALSE),
"")</f>
        <v>28.816666666666666</v>
      </c>
      <c r="Q37" s="18">
        <f>IFERROR(
                  Andel_oberoende_av_klimat*VLOOKUP($A37,Leveranser_per_nät,'Leveranser per nät'!Q$1,FALSE)
               +Andel_beroende_av_klimat*VLOOKUP($A37,Leveranser_per_nät,'Leveranser per nät'!Q$1,FALSE)/VLOOKUP($B37,Korrigeringsfaktor_EI,'Korrigeringsfaktor EI'!Q$1,FALSE),
"")</f>
        <v>27.362418181818185</v>
      </c>
      <c r="R37" s="18">
        <f>IFERROR(
                  Andel_oberoende_av_klimat*VLOOKUP($A37,Leveranser_per_nät,'Leveranser per nät'!R$1,FALSE)
               +Andel_beroende_av_klimat*VLOOKUP($A37,Leveranser_per_nät,'Leveranser per nät'!R$1,FALSE)/VLOOKUP($B37,Korrigeringsfaktor_EI,'Korrigeringsfaktor EI'!R$1,FALSE),
"")</f>
        <v>27.906923076923078</v>
      </c>
      <c r="S37" s="18">
        <f>IFERROR(
                  Andel_oberoende_av_klimat*VLOOKUP($A37,Leveranser_per_nät,'Leveranser per nät'!S$1,FALSE)
               +Andel_beroende_av_klimat*VLOOKUP($A37,Leveranser_per_nät,'Leveranser per nät'!S$1,FALSE)/VLOOKUP($B37,Korrigeringsfaktor_EI,'Korrigeringsfaktor EI'!S$1,FALSE),
"")</f>
        <v>29.627835051546391</v>
      </c>
      <c r="T37" s="18">
        <f>IFERROR(
                  Andel_oberoende_av_klimat*VLOOKUP($A37,Leveranser_per_nät,'Leveranser per nät'!T$1,FALSE)
               +Andel_beroende_av_klimat*VLOOKUP($A37,Leveranser_per_nät,'Leveranser per nät'!T$1,FALSE)/VLOOKUP($B37,Korrigeringsfaktor_EI,'Korrigeringsfaktor EI'!T$1,FALSE),
"")</f>
        <v>27.866168421052635</v>
      </c>
      <c r="U37" s="18">
        <f>IFERROR(
                  Andel_oberoende_av_klimat*VLOOKUP($A37,Leveranser_per_nät,'Leveranser per nät'!U$1,FALSE)
               +Andel_beroende_av_klimat*VLOOKUP($A37,Leveranser_per_nät,'Leveranser per nät'!U$1,FALSE)/VLOOKUP($B37,Korrigeringsfaktor_EI,'Korrigeringsfaktor EI'!U$1,FALSE),
"")</f>
        <v>26.775448275862068</v>
      </c>
      <c r="V37" s="18">
        <f>IFERROR(
                  Andel_oberoende_av_klimat*VLOOKUP($A37,Leveranser_per_nät,'Leveranser per nät'!V$1,FALSE)
               +Andel_beroende_av_klimat*VLOOKUP($A37,Leveranser_per_nät,'Leveranser per nät'!V$1,FALSE)/VLOOKUP($B37,Korrigeringsfaktor_EI,'Korrigeringsfaktor EI'!V$1,FALSE),
"")</f>
        <v>27.120876470588236</v>
      </c>
      <c r="W37" s="18">
        <f>IFERROR(
                  Andel_oberoende_av_klimat*VLOOKUP($A37,Leveranser_per_nät,'Leveranser per nät'!W$1,FALSE)
               +Andel_beroende_av_klimat*VLOOKUP($A37,Leveranser_per_nät,'Leveranser per nät'!W$1,FALSE)/VLOOKUP($B37,Korrigeringsfaktor_EI,'Korrigeringsfaktor EI'!W$1,FALSE),
"")</f>
        <v>26.921425531914895</v>
      </c>
      <c r="X37" s="18">
        <f>IFERROR(
                  Andel_oberoende_av_klimat*VLOOKUP($A37,Leveranser_per_nät,'Leveranser per nät'!X$1,FALSE)
               +Andel_beroende_av_klimat*VLOOKUP($A37,Leveranser_per_nät,'Leveranser per nät'!X$1,FALSE)/VLOOKUP($B37,Korrigeringsfaktor_EI,'Korrigeringsfaktor EI'!X$1,FALSE),
"")</f>
        <v>27.022505376344085</v>
      </c>
      <c r="Y37" s="18">
        <f>IFERROR(
                  Andel_oberoende_av_klimat*VLOOKUP($A37,Leveranser_per_nät,'Leveranser per nät'!Y$1,FALSE)
               +Andel_beroende_av_klimat*VLOOKUP($A37,Leveranser_per_nät,'Leveranser per nät'!Y$1,FALSE)/VLOOKUP($B37,Korrigeringsfaktor_EI,'Korrigeringsfaktor EI'!Y$1,FALSE),
"")</f>
        <v>27.011266666666664</v>
      </c>
      <c r="Z37" s="18">
        <f>IFERROR(
                  Andel_oberoende_av_klimat*VLOOKUP($A37,Leveranser_per_nät,'Leveranser per nät'!Z$1,FALSE)
               +Andel_beroende_av_klimat*VLOOKUP($A37,Leveranser_per_nät,'Leveranser per nät'!Z$1,FALSE)/VLOOKUP($B37,Korrigeringsfaktor_EI,'Korrigeringsfaktor EI'!Z$1,FALSE),
"")</f>
        <v>25.076808988764043</v>
      </c>
      <c r="AA37" s="18">
        <f>IFERROR(
                  Andel_oberoende_av_klimat*VLOOKUP($A37,Leveranser_per_nät,'Leveranser per nät'!AA$1,FALSE)
               +Andel_beroende_av_klimat*VLOOKUP($A37,Leveranser_per_nät,'Leveranser per nät'!AA$1,FALSE)/VLOOKUP($B37,Korrigeringsfaktor_EI,'Korrigeringsfaktor EI'!AA$1,FALSE),
"")</f>
        <v>25.390601635514017</v>
      </c>
      <c r="AB37" s="18">
        <f>IFERROR(
                  Andel_oberoende_av_klimat*VLOOKUP($A37,Leveranser_per_nät,'Leveranser per nät'!AB$1,FALSE)
               +Andel_beroende_av_klimat*VLOOKUP($A37,Leveranser_per_nät,'Leveranser per nät'!AB$1,FALSE)/VLOOKUP($B37,Korrigeringsfaktor_EI,'Korrigeringsfaktor EI'!AB$1,FALSE),
"")</f>
        <v>24.724409448818896</v>
      </c>
      <c r="AC37" s="18">
        <f>IFERROR(
                  Andel_oberoende_av_klimat*VLOOKUP($A37,Leveranser_per_nät,'Leveranser per nät'!AC$1,FALSE)
               +Andel_beroende_av_klimat*VLOOKUP($A37,Leveranser_per_nät,'Leveranser per nät'!AC$1,FALSE)/VLOOKUP($B37,Korrigeringsfaktor_EI,'Korrigeringsfaktor EI'!AC$1,FALSE),
"")</f>
        <v>25.921777301927193</v>
      </c>
      <c r="AD37">
        <v>24.7</v>
      </c>
    </row>
    <row r="38" spans="1:30" x14ac:dyDescent="0.25">
      <c r="A38" t="s">
        <v>25</v>
      </c>
      <c r="B38" t="s">
        <v>25</v>
      </c>
      <c r="C38" s="18">
        <f>IFERROR(
                  Andel_oberoende_av_klimat*VLOOKUP($A38,Leveranser_per_nät,'Leveranser per nät'!C$1,FALSE)
               +Andel_beroende_av_klimat*VLOOKUP($A38,Leveranser_per_nät,'Leveranser per nät'!C$1,FALSE)/VLOOKUP($B38,Korrigeringsfaktor_EI,'Korrigeringsfaktor EI'!C$1,FALSE),
"")</f>
        <v>318.19615384615383</v>
      </c>
      <c r="D38" s="18">
        <f>IFERROR(
                  Andel_oberoende_av_klimat*VLOOKUP($A38,Leveranser_per_nät,'Leveranser per nät'!D$1,FALSE)
               +Andel_beroende_av_klimat*VLOOKUP($A38,Leveranser_per_nät,'Leveranser per nät'!D$1,FALSE)/VLOOKUP($B38,Korrigeringsfaktor_EI,'Korrigeringsfaktor EI'!D$1,FALSE),
"")</f>
        <v>301.58463440860214</v>
      </c>
      <c r="E38" s="18">
        <f>IFERROR(
                  Andel_oberoende_av_klimat*VLOOKUP($A38,Leveranser_per_nät,'Leveranser per nät'!E$1,FALSE)
               +Andel_beroende_av_klimat*VLOOKUP($A38,Leveranser_per_nät,'Leveranser per nät'!E$1,FALSE)/VLOOKUP($B38,Korrigeringsfaktor_EI,'Korrigeringsfaktor EI'!E$1,FALSE),
"")</f>
        <v>300.1070707070707</v>
      </c>
      <c r="F38" s="18">
        <f>IFERROR(
                  Andel_oberoende_av_klimat*VLOOKUP($A38,Leveranser_per_nät,'Leveranser per nät'!F$1,FALSE)
               +Andel_beroende_av_klimat*VLOOKUP($A38,Leveranser_per_nät,'Leveranser per nät'!F$1,FALSE)/VLOOKUP($B38,Korrigeringsfaktor_EI,'Korrigeringsfaktor EI'!F$1,FALSE),
"")</f>
        <v>305.66249999999997</v>
      </c>
      <c r="G38" s="18">
        <f>IFERROR(
                  Andel_oberoende_av_klimat*VLOOKUP($A38,Leveranser_per_nät,'Leveranser per nät'!G$1,FALSE)
               +Andel_beroende_av_klimat*VLOOKUP($A38,Leveranser_per_nät,'Leveranser per nät'!G$1,FALSE)/VLOOKUP($B38,Korrigeringsfaktor_EI,'Korrigeringsfaktor EI'!G$1,FALSE),
"")</f>
        <v>305.01111111111106</v>
      </c>
      <c r="H38" s="18">
        <f>IFERROR(
                  Andel_oberoende_av_klimat*VLOOKUP($A38,Leveranser_per_nät,'Leveranser per nät'!H$1,FALSE)
               +Andel_beroende_av_klimat*VLOOKUP($A38,Leveranser_per_nät,'Leveranser per nät'!H$1,FALSE)/VLOOKUP($B38,Korrigeringsfaktor_EI,'Korrigeringsfaktor EI'!H$1,FALSE),
"")</f>
        <v>337.6435643564356</v>
      </c>
      <c r="I38" s="18">
        <f>IFERROR(
                  Andel_oberoende_av_klimat*VLOOKUP($A38,Leveranser_per_nät,'Leveranser per nät'!I$1,FALSE)
               +Andel_beroende_av_klimat*VLOOKUP($A38,Leveranser_per_nät,'Leveranser per nät'!I$1,FALSE)/VLOOKUP($B38,Korrigeringsfaktor_EI,'Korrigeringsfaktor EI'!I$1,FALSE),
"")</f>
        <v>347.85833333333335</v>
      </c>
      <c r="J38" s="18">
        <f>IFERROR(
                  Andel_oberoende_av_klimat*VLOOKUP($A38,Leveranser_per_nät,'Leveranser per nät'!J$1,FALSE)
               +Andel_beroende_av_klimat*VLOOKUP($A38,Leveranser_per_nät,'Leveranser per nät'!J$1,FALSE)/VLOOKUP($B38,Korrigeringsfaktor_EI,'Korrigeringsfaktor EI'!J$1,FALSE),
"")</f>
        <v>381.27331666666669</v>
      </c>
      <c r="K38" s="18">
        <f>IFERROR(
                  Andel_oberoende_av_klimat*VLOOKUP($A38,Leveranser_per_nät,'Leveranser per nät'!K$1,FALSE)
               +Andel_beroende_av_klimat*VLOOKUP($A38,Leveranser_per_nät,'Leveranser per nät'!K$1,FALSE)/VLOOKUP($B38,Korrigeringsfaktor_EI,'Korrigeringsfaktor EI'!K$1,FALSE),
"")</f>
        <v>375.56555833333334</v>
      </c>
      <c r="L38" s="18">
        <f>IFERROR(
                  Andel_oberoende_av_klimat*VLOOKUP($A38,Leveranser_per_nät,'Leveranser per nät'!L$1,FALSE)
               +Andel_beroende_av_klimat*VLOOKUP($A38,Leveranser_per_nät,'Leveranser per nät'!L$1,FALSE)/VLOOKUP($B38,Korrigeringsfaktor_EI,'Korrigeringsfaktor EI'!L$1,FALSE),
"")</f>
        <v>369.97462688172038</v>
      </c>
      <c r="M38" s="18">
        <f>IFERROR(
                  Andel_oberoende_av_klimat*VLOOKUP($A38,Leveranser_per_nät,'Leveranser per nät'!M$1,FALSE)
               +Andel_beroende_av_klimat*VLOOKUP($A38,Leveranser_per_nät,'Leveranser per nät'!M$1,FALSE)/VLOOKUP($B38,Korrigeringsfaktor_EI,'Korrigeringsfaktor EI'!M$1,FALSE),
"")</f>
        <v>380.53391304347821</v>
      </c>
      <c r="N38" s="18">
        <f>IFERROR(
                  Andel_oberoende_av_klimat*VLOOKUP($A38,Leveranser_per_nät,'Leveranser per nät'!N$1,FALSE)
               +Andel_beroende_av_klimat*VLOOKUP($A38,Leveranser_per_nät,'Leveranser per nät'!N$1,FALSE)/VLOOKUP($B38,Korrigeringsfaktor_EI,'Korrigeringsfaktor EI'!N$1,FALSE),
"")</f>
        <v>378.54666666666662</v>
      </c>
      <c r="O38" s="18">
        <f>IFERROR(
                  Andel_oberoende_av_klimat*VLOOKUP($A38,Leveranser_per_nät,'Leveranser per nät'!O$1,FALSE)
               +Andel_beroende_av_klimat*VLOOKUP($A38,Leveranser_per_nät,'Leveranser per nät'!O$1,FALSE)/VLOOKUP($B38,Korrigeringsfaktor_EI,'Korrigeringsfaktor EI'!O$1,FALSE),
"")</f>
        <v>379.26086956521738</v>
      </c>
      <c r="P38" s="18">
        <f>IFERROR(
                  Andel_oberoende_av_klimat*VLOOKUP($A38,Leveranser_per_nät,'Leveranser per nät'!P$1,FALSE)
               +Andel_beroende_av_klimat*VLOOKUP($A38,Leveranser_per_nät,'Leveranser per nät'!P$1,FALSE)/VLOOKUP($B38,Korrigeringsfaktor_EI,'Korrigeringsfaktor EI'!P$1,FALSE),
"")</f>
        <v>384.95752577319587</v>
      </c>
      <c r="Q38" s="18">
        <f>IFERROR(
                  Andel_oberoende_av_klimat*VLOOKUP($A38,Leveranser_per_nät,'Leveranser per nät'!Q$1,FALSE)
               +Andel_beroende_av_klimat*VLOOKUP($A38,Leveranser_per_nät,'Leveranser per nät'!Q$1,FALSE)/VLOOKUP($B38,Korrigeringsfaktor_EI,'Korrigeringsfaktor EI'!Q$1,FALSE),
"")</f>
        <v>405.05749999999995</v>
      </c>
      <c r="R38" s="18">
        <f>IFERROR(
                  Andel_oberoende_av_klimat*VLOOKUP($A38,Leveranser_per_nät,'Leveranser per nät'!R$1,FALSE)
               +Andel_beroende_av_klimat*VLOOKUP($A38,Leveranser_per_nät,'Leveranser per nät'!R$1,FALSE)/VLOOKUP($B38,Korrigeringsfaktor_EI,'Korrigeringsfaktor EI'!R$1,FALSE),
"")</f>
        <v>384.92307692307691</v>
      </c>
      <c r="S38" s="18">
        <f>IFERROR(
                  Andel_oberoende_av_klimat*VLOOKUP($A38,Leveranser_per_nät,'Leveranser per nät'!S$1,FALSE)
               +Andel_beroende_av_klimat*VLOOKUP($A38,Leveranser_per_nät,'Leveranser per nät'!S$1,FALSE)/VLOOKUP($B38,Korrigeringsfaktor_EI,'Korrigeringsfaktor EI'!S$1,FALSE),
"")</f>
        <v>382.33168316831683</v>
      </c>
      <c r="T38" s="18">
        <f>IFERROR(
                  Andel_oberoende_av_klimat*VLOOKUP($A38,Leveranser_per_nät,'Leveranser per nät'!T$1,FALSE)
               +Andel_beroende_av_klimat*VLOOKUP($A38,Leveranser_per_nät,'Leveranser per nät'!T$1,FALSE)/VLOOKUP($B38,Korrigeringsfaktor_EI,'Korrigeringsfaktor EI'!T$1,FALSE),
"")</f>
        <v>387.33631914893618</v>
      </c>
      <c r="U38" s="18">
        <f>IFERROR(
                  Andel_oberoende_av_klimat*VLOOKUP($A38,Leveranser_per_nät,'Leveranser per nät'!U$1,FALSE)
               +Andel_beroende_av_klimat*VLOOKUP($A38,Leveranser_per_nät,'Leveranser per nät'!U$1,FALSE)/VLOOKUP($B38,Korrigeringsfaktor_EI,'Korrigeringsfaktor EI'!U$1,FALSE),
"")</f>
        <v>376.97864444444446</v>
      </c>
      <c r="V38" s="18">
        <f>IFERROR(
                  Andel_oberoende_av_klimat*VLOOKUP($A38,Leveranser_per_nät,'Leveranser per nät'!V$1,FALSE)
               +Andel_beroende_av_klimat*VLOOKUP($A38,Leveranser_per_nät,'Leveranser per nät'!V$1,FALSE)/VLOOKUP($B38,Korrigeringsfaktor_EI,'Korrigeringsfaktor EI'!V$1,FALSE),
"")</f>
        <v>380.78943076923082</v>
      </c>
      <c r="W38" s="18">
        <f>IFERROR(
                  Andel_oberoende_av_klimat*VLOOKUP($A38,Leveranser_per_nät,'Leveranser per nät'!W$1,FALSE)
               +Andel_beroende_av_klimat*VLOOKUP($A38,Leveranser_per_nät,'Leveranser per nät'!W$1,FALSE)/VLOOKUP($B38,Korrigeringsfaktor_EI,'Korrigeringsfaktor EI'!W$1,FALSE),
"")</f>
        <v>382.3776125</v>
      </c>
      <c r="X38" s="18">
        <f>IFERROR(
                  Andel_oberoende_av_klimat*VLOOKUP($A38,Leveranser_per_nät,'Leveranser per nät'!X$1,FALSE)
               +Andel_beroende_av_klimat*VLOOKUP($A38,Leveranser_per_nät,'Leveranser per nät'!X$1,FALSE)/VLOOKUP($B38,Korrigeringsfaktor_EI,'Korrigeringsfaktor EI'!X$1,FALSE),
"")</f>
        <v>385.37145833333329</v>
      </c>
      <c r="Y38" s="18">
        <f>IFERROR(
                  Andel_oberoende_av_klimat*VLOOKUP($A38,Leveranser_per_nät,'Leveranser per nät'!Y$1,FALSE)
               +Andel_beroende_av_klimat*VLOOKUP($A38,Leveranser_per_nät,'Leveranser per nät'!Y$1,FALSE)/VLOOKUP($B38,Korrigeringsfaktor_EI,'Korrigeringsfaktor EI'!Y$1,FALSE),
"")</f>
        <v>400.57732473118267</v>
      </c>
      <c r="Z38" s="18">
        <f>IFERROR(
                  Andel_oberoende_av_klimat*VLOOKUP($A38,Leveranser_per_nät,'Leveranser per nät'!Z$1,FALSE)
               +Andel_beroende_av_klimat*VLOOKUP($A38,Leveranser_per_nät,'Leveranser per nät'!Z$1,FALSE)/VLOOKUP($B38,Korrigeringsfaktor_EI,'Korrigeringsfaktor EI'!Z$1,FALSE),
"")</f>
        <v>400.82575913978496</v>
      </c>
      <c r="AA38" s="18">
        <f>IFERROR(
                  Andel_oberoende_av_klimat*VLOOKUP($A38,Leveranser_per_nät,'Leveranser per nät'!AA$1,FALSE)
               +Andel_beroende_av_klimat*VLOOKUP($A38,Leveranser_per_nät,'Leveranser per nät'!AA$1,FALSE)/VLOOKUP($B38,Korrigeringsfaktor_EI,'Korrigeringsfaktor EI'!AA$1,FALSE),
"")</f>
        <v>423.10657792657588</v>
      </c>
      <c r="AB38" s="18">
        <f>IFERROR(
                  Andel_oberoende_av_klimat*VLOOKUP($A38,Leveranser_per_nät,'Leveranser per nät'!AB$1,FALSE)
               +Andel_beroende_av_klimat*VLOOKUP($A38,Leveranser_per_nät,'Leveranser per nät'!AB$1,FALSE)/VLOOKUP($B38,Korrigeringsfaktor_EI,'Korrigeringsfaktor EI'!AB$1,FALSE),
"")</f>
        <v>386.42716895874258</v>
      </c>
      <c r="AC38" s="18">
        <f>IFERROR(
                  Andel_oberoende_av_klimat*VLOOKUP($A38,Leveranser_per_nät,'Leveranser per nät'!AC$1,FALSE)
               +Andel_beroende_av_klimat*VLOOKUP($A38,Leveranser_per_nät,'Leveranser per nät'!AC$1,FALSE)/VLOOKUP($B38,Korrigeringsfaktor_EI,'Korrigeringsfaktor EI'!AC$1,FALSE),
"")</f>
        <v>375.28691074380163</v>
      </c>
      <c r="AD38">
        <v>393.77699999999999</v>
      </c>
    </row>
    <row r="39" spans="1:30" x14ac:dyDescent="0.25">
      <c r="A39" t="s">
        <v>29</v>
      </c>
      <c r="B39" t="s">
        <v>29</v>
      </c>
      <c r="C39" s="18">
        <f>IFERROR(
                  Andel_oberoende_av_klimat*VLOOKUP($A39,Leveranser_per_nät,'Leveranser per nät'!C$1,FALSE)
               +Andel_beroende_av_klimat*VLOOKUP($A39,Leveranser_per_nät,'Leveranser per nät'!C$1,FALSE)/VLOOKUP($B39,Korrigeringsfaktor_EI,'Korrigeringsfaktor EI'!C$1,FALSE),
"")</f>
        <v>582.75</v>
      </c>
      <c r="D39" s="18">
        <f>IFERROR(
                  Andel_oberoende_av_klimat*VLOOKUP($A39,Leveranser_per_nät,'Leveranser per nät'!D$1,FALSE)
               +Andel_beroende_av_klimat*VLOOKUP($A39,Leveranser_per_nät,'Leveranser per nät'!D$1,FALSE)/VLOOKUP($B39,Korrigeringsfaktor_EI,'Korrigeringsfaktor EI'!D$1,FALSE),
"")</f>
        <v>580.91568627450977</v>
      </c>
      <c r="E39" s="18">
        <f>IFERROR(
                  Andel_oberoende_av_klimat*VLOOKUP($A39,Leveranser_per_nät,'Leveranser per nät'!E$1,FALSE)
               +Andel_beroende_av_klimat*VLOOKUP($A39,Leveranser_per_nät,'Leveranser per nät'!E$1,FALSE)/VLOOKUP($B39,Korrigeringsfaktor_EI,'Korrigeringsfaktor EI'!E$1,FALSE),
"")</f>
        <v>576.13333333333333</v>
      </c>
      <c r="F39" s="18">
        <f>IFERROR(
                  Andel_oberoende_av_klimat*VLOOKUP($A39,Leveranser_per_nät,'Leveranser per nät'!F$1,FALSE)
               +Andel_beroende_av_klimat*VLOOKUP($A39,Leveranser_per_nät,'Leveranser per nät'!F$1,FALSE)/VLOOKUP($B39,Korrigeringsfaktor_EI,'Korrigeringsfaktor EI'!F$1,FALSE),
"")</f>
        <v>591.15050505050499</v>
      </c>
      <c r="G39" s="18">
        <f>IFERROR(
                  Andel_oberoende_av_klimat*VLOOKUP($A39,Leveranser_per_nät,'Leveranser per nät'!G$1,FALSE)
               +Andel_beroende_av_klimat*VLOOKUP($A39,Leveranser_per_nät,'Leveranser per nät'!G$1,FALSE)/VLOOKUP($B39,Korrigeringsfaktor_EI,'Korrigeringsfaktor EI'!G$1,FALSE),
"")</f>
        <v>622.73043478260865</v>
      </c>
      <c r="H39" s="18">
        <f>IFERROR(
                  Andel_oberoende_av_klimat*VLOOKUP($A39,Leveranser_per_nät,'Leveranser per nät'!H$1,FALSE)
               +Andel_beroende_av_klimat*VLOOKUP($A39,Leveranser_per_nät,'Leveranser per nät'!H$1,FALSE)/VLOOKUP($B39,Korrigeringsfaktor_EI,'Korrigeringsfaktor EI'!H$1,FALSE),
"")</f>
        <v>598.82079207920788</v>
      </c>
      <c r="I39" s="18">
        <f>IFERROR(
                  Andel_oberoende_av_klimat*VLOOKUP($A39,Leveranser_per_nät,'Leveranser per nät'!I$1,FALSE)
               +Andel_beroende_av_klimat*VLOOKUP($A39,Leveranser_per_nät,'Leveranser per nät'!I$1,FALSE)/VLOOKUP($B39,Korrigeringsfaktor_EI,'Korrigeringsfaktor EI'!I$1,FALSE),
"")</f>
        <v>608.26322916666663</v>
      </c>
      <c r="J39" s="18">
        <f>IFERROR(
                  Andel_oberoende_av_klimat*VLOOKUP($A39,Leveranser_per_nät,'Leveranser per nät'!J$1,FALSE)
               +Andel_beroende_av_klimat*VLOOKUP($A39,Leveranser_per_nät,'Leveranser per nät'!J$1,FALSE)/VLOOKUP($B39,Korrigeringsfaktor_EI,'Korrigeringsfaktor EI'!J$1,FALSE),
"")</f>
        <v>605.0843142857143</v>
      </c>
      <c r="K39" s="18">
        <f>IFERROR(
                  Andel_oberoende_av_klimat*VLOOKUP($A39,Leveranser_per_nät,'Leveranser per nät'!K$1,FALSE)
               +Andel_beroende_av_klimat*VLOOKUP($A39,Leveranser_per_nät,'Leveranser per nät'!K$1,FALSE)/VLOOKUP($B39,Korrigeringsfaktor_EI,'Korrigeringsfaktor EI'!K$1,FALSE),
"")</f>
        <v>591.19200000000001</v>
      </c>
      <c r="L39" s="18">
        <f>IFERROR(
                  Andel_oberoende_av_klimat*VLOOKUP($A39,Leveranser_per_nät,'Leveranser per nät'!L$1,FALSE)
               +Andel_beroende_av_klimat*VLOOKUP($A39,Leveranser_per_nät,'Leveranser per nät'!L$1,FALSE)/VLOOKUP($B39,Korrigeringsfaktor_EI,'Korrigeringsfaktor EI'!L$1,FALSE),
"")</f>
        <v>642.74727525773187</v>
      </c>
      <c r="M39" s="18">
        <f>IFERROR(
                  Andel_oberoende_av_klimat*VLOOKUP($A39,Leveranser_per_nät,'Leveranser per nät'!M$1,FALSE)
               +Andel_beroende_av_klimat*VLOOKUP($A39,Leveranser_per_nät,'Leveranser per nät'!M$1,FALSE)/VLOOKUP($B39,Korrigeringsfaktor_EI,'Korrigeringsfaktor EI'!M$1,FALSE),
"")</f>
        <v>662.41332340425538</v>
      </c>
      <c r="N39" s="18">
        <f>IFERROR(
                  Andel_oberoende_av_klimat*VLOOKUP($A39,Leveranser_per_nät,'Leveranser per nät'!N$1,FALSE)
               +Andel_beroende_av_klimat*VLOOKUP($A39,Leveranser_per_nät,'Leveranser per nät'!N$1,FALSE)/VLOOKUP($B39,Korrigeringsfaktor_EI,'Korrigeringsfaktor EI'!N$1,FALSE),
"")</f>
        <v>658.84699892473111</v>
      </c>
      <c r="O39" s="18">
        <f>IFERROR(
                  Andel_oberoende_av_klimat*VLOOKUP($A39,Leveranser_per_nät,'Leveranser per nät'!O$1,FALSE)
               +Andel_beroende_av_klimat*VLOOKUP($A39,Leveranser_per_nät,'Leveranser per nät'!O$1,FALSE)/VLOOKUP($B39,Korrigeringsfaktor_EI,'Korrigeringsfaktor EI'!O$1,FALSE),
"")</f>
        <v>602.96925806451611</v>
      </c>
      <c r="P39" s="18">
        <f>IFERROR(
                  Andel_oberoende_av_klimat*VLOOKUP($A39,Leveranser_per_nät,'Leveranser per nät'!P$1,FALSE)
               +Andel_beroende_av_klimat*VLOOKUP($A39,Leveranser_per_nät,'Leveranser per nät'!P$1,FALSE)/VLOOKUP($B39,Korrigeringsfaktor_EI,'Korrigeringsfaktor EI'!P$1,FALSE),
"")</f>
        <v>627.2641773195877</v>
      </c>
      <c r="Q39" s="18">
        <f>IFERROR(
                  Andel_oberoende_av_klimat*VLOOKUP($A39,Leveranser_per_nät,'Leveranser per nät'!Q$1,FALSE)
               +Andel_beroende_av_klimat*VLOOKUP($A39,Leveranser_per_nät,'Leveranser per nät'!Q$1,FALSE)/VLOOKUP($B39,Korrigeringsfaktor_EI,'Korrigeringsfaktor EI'!Q$1,FALSE),
"")</f>
        <v>667.72668230088493</v>
      </c>
      <c r="R39" s="18">
        <f>IFERROR(
                  Andel_oberoende_av_klimat*VLOOKUP($A39,Leveranser_per_nät,'Leveranser per nät'!R$1,FALSE)
               +Andel_beroende_av_klimat*VLOOKUP($A39,Leveranser_per_nät,'Leveranser per nät'!R$1,FALSE)/VLOOKUP($B39,Korrigeringsfaktor_EI,'Korrigeringsfaktor EI'!R$1,FALSE),
"")</f>
        <v>623.37464468085102</v>
      </c>
      <c r="S39" s="18">
        <f>IFERROR(
                  Andel_oberoende_av_klimat*VLOOKUP($A39,Leveranser_per_nät,'Leveranser per nät'!S$1,FALSE)
               +Andel_beroende_av_klimat*VLOOKUP($A39,Leveranser_per_nät,'Leveranser per nät'!S$1,FALSE)/VLOOKUP($B39,Korrigeringsfaktor_EI,'Korrigeringsfaktor EI'!S$1,FALSE),
"")</f>
        <v>631.84951456310671</v>
      </c>
      <c r="T39" s="18">
        <f>IFERROR(
                  Andel_oberoende_av_klimat*VLOOKUP($A39,Leveranser_per_nät,'Leveranser per nät'!T$1,FALSE)
               +Andel_beroende_av_klimat*VLOOKUP($A39,Leveranser_per_nät,'Leveranser per nät'!T$1,FALSE)/VLOOKUP($B39,Korrigeringsfaktor_EI,'Korrigeringsfaktor EI'!T$1,FALSE),
"")</f>
        <v>633.23397575757576</v>
      </c>
      <c r="U39" s="18">
        <f>IFERROR(
                  Andel_oberoende_av_klimat*VLOOKUP($A39,Leveranser_per_nät,'Leveranser per nät'!U$1,FALSE)
               +Andel_beroende_av_klimat*VLOOKUP($A39,Leveranser_per_nät,'Leveranser per nät'!U$1,FALSE)/VLOOKUP($B39,Korrigeringsfaktor_EI,'Korrigeringsfaktor EI'!U$1,FALSE),
"")</f>
        <v>597.78962134831454</v>
      </c>
      <c r="V39" s="18">
        <f>IFERROR(
                  Andel_oberoende_av_klimat*VLOOKUP($A39,Leveranser_per_nät,'Leveranser per nät'!V$1,FALSE)
               +Andel_beroende_av_klimat*VLOOKUP($A39,Leveranser_per_nät,'Leveranser per nät'!V$1,FALSE)/VLOOKUP($B39,Korrigeringsfaktor_EI,'Korrigeringsfaktor EI'!V$1,FALSE),
"")</f>
        <v>599.22684680851057</v>
      </c>
      <c r="W39" s="18">
        <f>IFERROR(
                  Andel_oberoende_av_klimat*VLOOKUP($A39,Leveranser_per_nät,'Leveranser per nät'!W$1,FALSE)
               +Andel_beroende_av_klimat*VLOOKUP($A39,Leveranser_per_nät,'Leveranser per nät'!W$1,FALSE)/VLOOKUP($B39,Korrigeringsfaktor_EI,'Korrigeringsfaktor EI'!W$1,FALSE),
"")</f>
        <v>620.7572917525772</v>
      </c>
      <c r="X39" s="18">
        <f>IFERROR(
                  Andel_oberoende_av_klimat*VLOOKUP($A39,Leveranser_per_nät,'Leveranser per nät'!X$1,FALSE)
               +Andel_beroende_av_klimat*VLOOKUP($A39,Leveranser_per_nät,'Leveranser per nät'!X$1,FALSE)/VLOOKUP($B39,Korrigeringsfaktor_EI,'Korrigeringsfaktor EI'!X$1,FALSE),
"")</f>
        <v>610.93597499999998</v>
      </c>
      <c r="Y39" s="18">
        <f>IFERROR(
                  Andel_oberoende_av_klimat*VLOOKUP($A39,Leveranser_per_nät,'Leveranser per nät'!Y$1,FALSE)
               +Andel_beroende_av_klimat*VLOOKUP($A39,Leveranser_per_nät,'Leveranser per nät'!Y$1,FALSE)/VLOOKUP($B39,Korrigeringsfaktor_EI,'Korrigeringsfaktor EI'!Y$1,FALSE),
"")</f>
        <v>634.8964869565217</v>
      </c>
      <c r="Z39" s="18">
        <f>IFERROR(
                  Andel_oberoende_av_klimat*VLOOKUP($A39,Leveranser_per_nät,'Leveranser per nät'!Z$1,FALSE)
               +Andel_beroende_av_klimat*VLOOKUP($A39,Leveranser_per_nät,'Leveranser per nät'!Z$1,FALSE)/VLOOKUP($B39,Korrigeringsfaktor_EI,'Korrigeringsfaktor EI'!Z$1,FALSE),
"")</f>
        <v>626.77666153846144</v>
      </c>
      <c r="AA39" s="18">
        <f>IFERROR(
                  Andel_oberoende_av_klimat*VLOOKUP($A39,Leveranser_per_nät,'Leveranser per nät'!AA$1,FALSE)
               +Andel_beroende_av_klimat*VLOOKUP($A39,Leveranser_per_nät,'Leveranser per nät'!AA$1,FALSE)/VLOOKUP($B39,Korrigeringsfaktor_EI,'Korrigeringsfaktor EI'!AA$1,FALSE),
"")</f>
        <v>614.96694976255947</v>
      </c>
      <c r="AB39" s="18">
        <f>IFERROR(
                  Andel_oberoende_av_klimat*VLOOKUP($A39,Leveranser_per_nät,'Leveranser per nät'!AB$1,FALSE)
               +Andel_beroende_av_klimat*VLOOKUP($A39,Leveranser_per_nät,'Leveranser per nät'!AB$1,FALSE)/VLOOKUP($B39,Korrigeringsfaktor_EI,'Korrigeringsfaktor EI'!AB$1,FALSE),
"")</f>
        <v>645.61671184600198</v>
      </c>
      <c r="AC39" s="18">
        <f>IFERROR(
                  Andel_oberoende_av_klimat*VLOOKUP($A39,Leveranser_per_nät,'Leveranser per nät'!AC$1,FALSE)
               +Andel_beroende_av_klimat*VLOOKUP($A39,Leveranser_per_nät,'Leveranser per nät'!AC$1,FALSE)/VLOOKUP($B39,Korrigeringsfaktor_EI,'Korrigeringsfaktor EI'!AC$1,FALSE),
"")</f>
        <v>620.77499893048127</v>
      </c>
      <c r="AD39">
        <v>578.77</v>
      </c>
    </row>
    <row r="40" spans="1:30" x14ac:dyDescent="0.25">
      <c r="A40" t="s">
        <v>41</v>
      </c>
      <c r="B40" t="s">
        <v>316</v>
      </c>
      <c r="C40" s="18">
        <f>IFERROR(
                  Andel_oberoende_av_klimat*VLOOKUP($A40,Leveranser_per_nät,'Leveranser per nät'!C$1,FALSE)
               +Andel_beroende_av_klimat*VLOOKUP($A40,Leveranser_per_nät,'Leveranser per nät'!C$1,FALSE)/VLOOKUP($B40,Korrigeringsfaktor_EI,'Korrigeringsfaktor EI'!C$1,FALSE),
"")</f>
        <v>0</v>
      </c>
      <c r="D40" s="18">
        <f>IFERROR(
                  Andel_oberoende_av_klimat*VLOOKUP($A40,Leveranser_per_nät,'Leveranser per nät'!D$1,FALSE)
               +Andel_beroende_av_klimat*VLOOKUP($A40,Leveranser_per_nät,'Leveranser per nät'!D$1,FALSE)/VLOOKUP($B40,Korrigeringsfaktor_EI,'Korrigeringsfaktor EI'!D$1,FALSE),
"")</f>
        <v>0</v>
      </c>
      <c r="E40" s="18">
        <f>IFERROR(
                  Andel_oberoende_av_klimat*VLOOKUP($A40,Leveranser_per_nät,'Leveranser per nät'!E$1,FALSE)
               +Andel_beroende_av_klimat*VLOOKUP($A40,Leveranser_per_nät,'Leveranser per nät'!E$1,FALSE)/VLOOKUP($B40,Korrigeringsfaktor_EI,'Korrigeringsfaktor EI'!E$1,FALSE),
"")</f>
        <v>0</v>
      </c>
      <c r="F40" s="18">
        <f>IFERROR(
                  Andel_oberoende_av_klimat*VLOOKUP($A40,Leveranser_per_nät,'Leveranser per nät'!F$1,FALSE)
               +Andel_beroende_av_klimat*VLOOKUP($A40,Leveranser_per_nät,'Leveranser per nät'!F$1,FALSE)/VLOOKUP($B40,Korrigeringsfaktor_EI,'Korrigeringsfaktor EI'!F$1,FALSE),
"")</f>
        <v>0</v>
      </c>
      <c r="G40" s="18">
        <f>IFERROR(
                  Andel_oberoende_av_klimat*VLOOKUP($A40,Leveranser_per_nät,'Leveranser per nät'!G$1,FALSE)
               +Andel_beroende_av_klimat*VLOOKUP($A40,Leveranser_per_nät,'Leveranser per nät'!G$1,FALSE)/VLOOKUP($B40,Korrigeringsfaktor_EI,'Korrigeringsfaktor EI'!G$1,FALSE),
"")</f>
        <v>12.933333333333334</v>
      </c>
      <c r="H40" s="18">
        <f>IFERROR(
                  Andel_oberoende_av_klimat*VLOOKUP($A40,Leveranser_per_nät,'Leveranser per nät'!H$1,FALSE)
               +Andel_beroende_av_klimat*VLOOKUP($A40,Leveranser_per_nät,'Leveranser per nät'!H$1,FALSE)/VLOOKUP($B40,Korrigeringsfaktor_EI,'Korrigeringsfaktor EI'!H$1,FALSE),
"")</f>
        <v>13.902970297029704</v>
      </c>
      <c r="I40" s="18">
        <f>IFERROR(
                  Andel_oberoende_av_klimat*VLOOKUP($A40,Leveranser_per_nät,'Leveranser per nät'!I$1,FALSE)
               +Andel_beroende_av_klimat*VLOOKUP($A40,Leveranser_per_nät,'Leveranser per nät'!I$1,FALSE)/VLOOKUP($B40,Korrigeringsfaktor_EI,'Korrigeringsfaktor EI'!I$1,FALSE),
"")</f>
        <v>14.992737234042554</v>
      </c>
      <c r="J40" s="18">
        <f>IFERROR(
                  Andel_oberoende_av_klimat*VLOOKUP($A40,Leveranser_per_nät,'Leveranser per nät'!J$1,FALSE)
               +Andel_beroende_av_klimat*VLOOKUP($A40,Leveranser_per_nät,'Leveranser per nät'!J$1,FALSE)/VLOOKUP($B40,Korrigeringsfaktor_EI,'Korrigeringsfaktor EI'!J$1,FALSE),
"")</f>
        <v>15.02131237113402</v>
      </c>
      <c r="K40" s="18">
        <f>IFERROR(
                  Andel_oberoende_av_klimat*VLOOKUP($A40,Leveranser_per_nät,'Leveranser per nät'!K$1,FALSE)
               +Andel_beroende_av_klimat*VLOOKUP($A40,Leveranser_per_nät,'Leveranser per nät'!K$1,FALSE)/VLOOKUP($B40,Korrigeringsfaktor_EI,'Korrigeringsfaktor EI'!K$1,FALSE),
"")</f>
        <v>0</v>
      </c>
      <c r="L40" s="18">
        <f>IFERROR(
                  Andel_oberoende_av_klimat*VLOOKUP($A40,Leveranser_per_nät,'Leveranser per nät'!L$1,FALSE)
               +Andel_beroende_av_klimat*VLOOKUP($A40,Leveranser_per_nät,'Leveranser per nät'!L$1,FALSE)/VLOOKUP($B40,Korrigeringsfaktor_EI,'Korrigeringsfaktor EI'!L$1,FALSE),
"")</f>
        <v>0</v>
      </c>
      <c r="M40" s="18">
        <f>IFERROR(
                  Andel_oberoende_av_klimat*VLOOKUP($A40,Leveranser_per_nät,'Leveranser per nät'!M$1,FALSE)
               +Andel_beroende_av_klimat*VLOOKUP($A40,Leveranser_per_nät,'Leveranser per nät'!M$1,FALSE)/VLOOKUP($B40,Korrigeringsfaktor_EI,'Korrigeringsfaktor EI'!M$1,FALSE),
"")</f>
        <v>77.534713043478263</v>
      </c>
      <c r="N40" s="18">
        <f>IFERROR(
                  Andel_oberoende_av_klimat*VLOOKUP($A40,Leveranser_per_nät,'Leveranser per nät'!N$1,FALSE)
               +Andel_beroende_av_klimat*VLOOKUP($A40,Leveranser_per_nät,'Leveranser per nät'!N$1,FALSE)/VLOOKUP($B40,Korrigeringsfaktor_EI,'Korrigeringsfaktor EI'!N$1,FALSE),
"")</f>
        <v>85.824347826086964</v>
      </c>
      <c r="O40" s="18">
        <f>IFERROR(
                  Andel_oberoende_av_klimat*VLOOKUP($A40,Leveranser_per_nät,'Leveranser per nät'!O$1,FALSE)
               +Andel_beroende_av_klimat*VLOOKUP($A40,Leveranser_per_nät,'Leveranser per nät'!O$1,FALSE)/VLOOKUP($B40,Korrigeringsfaktor_EI,'Korrigeringsfaktor EI'!O$1,FALSE),
"")</f>
        <v>6.1763826086956524</v>
      </c>
      <c r="P40" s="18">
        <f>IFERROR(
                  Andel_oberoende_av_klimat*VLOOKUP($A40,Leveranser_per_nät,'Leveranser per nät'!P$1,FALSE)
               +Andel_beroende_av_klimat*VLOOKUP($A40,Leveranser_per_nät,'Leveranser per nät'!P$1,FALSE)/VLOOKUP($B40,Korrigeringsfaktor_EI,'Korrigeringsfaktor EI'!P$1,FALSE),
"")</f>
        <v>16.384771428571426</v>
      </c>
      <c r="Q40" s="18">
        <f>IFERROR(
                  Andel_oberoende_av_klimat*VLOOKUP($A40,Leveranser_per_nät,'Leveranser per nät'!Q$1,FALSE)
               +Andel_beroende_av_klimat*VLOOKUP($A40,Leveranser_per_nät,'Leveranser per nät'!Q$1,FALSE)/VLOOKUP($B40,Korrigeringsfaktor_EI,'Korrigeringsfaktor EI'!Q$1,FALSE),
"")</f>
        <v>17.469911504424779</v>
      </c>
      <c r="R40" s="18">
        <f>IFERROR(
                  Andel_oberoende_av_klimat*VLOOKUP($A40,Leveranser_per_nät,'Leveranser per nät'!R$1,FALSE)
               +Andel_beroende_av_klimat*VLOOKUP($A40,Leveranser_per_nät,'Leveranser per nät'!R$1,FALSE)/VLOOKUP($B40,Korrigeringsfaktor_EI,'Korrigeringsfaktor EI'!R$1,FALSE),
"")</f>
        <v>53.043478260869563</v>
      </c>
      <c r="S40" s="18">
        <f>IFERROR(
                  Andel_oberoende_av_klimat*VLOOKUP($A40,Leveranser_per_nät,'Leveranser per nät'!S$1,FALSE)
               +Andel_beroende_av_klimat*VLOOKUP($A40,Leveranser_per_nät,'Leveranser per nät'!S$1,FALSE)/VLOOKUP($B40,Korrigeringsfaktor_EI,'Korrigeringsfaktor EI'!S$1,FALSE),
"")</f>
        <v>53.625742574257423</v>
      </c>
      <c r="T40" s="18">
        <f>IFERROR(
                  Andel_oberoende_av_klimat*VLOOKUP($A40,Leveranser_per_nät,'Leveranser per nät'!T$1,FALSE)
               +Andel_beroende_av_klimat*VLOOKUP($A40,Leveranser_per_nät,'Leveranser per nät'!T$1,FALSE)/VLOOKUP($B40,Korrigeringsfaktor_EI,'Korrigeringsfaktor EI'!T$1,FALSE),
"")</f>
        <v>45.592142857142861</v>
      </c>
      <c r="U40" s="18">
        <f>IFERROR(
                  Andel_oberoende_av_klimat*VLOOKUP($A40,Leveranser_per_nät,'Leveranser per nät'!U$1,FALSE)
               +Andel_beroende_av_klimat*VLOOKUP($A40,Leveranser_per_nät,'Leveranser per nät'!U$1,FALSE)/VLOOKUP($B40,Korrigeringsfaktor_EI,'Korrigeringsfaktor EI'!U$1,FALSE),
"")</f>
        <v>59.182573033707861</v>
      </c>
      <c r="V40" s="18">
        <f>IFERROR(
                  Andel_oberoende_av_klimat*VLOOKUP($A40,Leveranser_per_nät,'Leveranser per nät'!V$1,FALSE)
               +Andel_beroende_av_klimat*VLOOKUP($A40,Leveranser_per_nät,'Leveranser per nät'!V$1,FALSE)/VLOOKUP($B40,Korrigeringsfaktor_EI,'Korrigeringsfaktor EI'!V$1,FALSE),
"")</f>
        <v>62.846176923076925</v>
      </c>
      <c r="W40" s="18">
        <f>IFERROR(
                  Andel_oberoende_av_klimat*VLOOKUP($A40,Leveranser_per_nät,'Leveranser per nät'!W$1,FALSE)
               +Andel_beroende_av_klimat*VLOOKUP($A40,Leveranser_per_nät,'Leveranser per nät'!W$1,FALSE)/VLOOKUP($B40,Korrigeringsfaktor_EI,'Korrigeringsfaktor EI'!W$1,FALSE),
"")</f>
        <v>45.234680851063828</v>
      </c>
      <c r="X40" s="18">
        <f>IFERROR(
                  Andel_oberoende_av_klimat*VLOOKUP($A40,Leveranser_per_nät,'Leveranser per nät'!X$1,FALSE)
               +Andel_beroende_av_klimat*VLOOKUP($A40,Leveranser_per_nät,'Leveranser per nät'!X$1,FALSE)/VLOOKUP($B40,Korrigeringsfaktor_EI,'Korrigeringsfaktor EI'!X$1,FALSE),
"")</f>
        <v>25.620324731182794</v>
      </c>
      <c r="Y40" s="18">
        <f>IFERROR(
                  Andel_oberoende_av_klimat*VLOOKUP($A40,Leveranser_per_nät,'Leveranser per nät'!Y$1,FALSE)
               +Andel_beroende_av_klimat*VLOOKUP($A40,Leveranser_per_nät,'Leveranser per nät'!Y$1,FALSE)/VLOOKUP($B40,Korrigeringsfaktor_EI,'Korrigeringsfaktor EI'!Y$1,FALSE),
"")</f>
        <v>17.459999999999997</v>
      </c>
      <c r="Z40" s="18">
        <f>IFERROR(
                  Andel_oberoende_av_klimat*VLOOKUP($A40,Leveranser_per_nät,'Leveranser per nät'!Z$1,FALSE)
               +Andel_beroende_av_klimat*VLOOKUP($A40,Leveranser_per_nät,'Leveranser per nät'!Z$1,FALSE)/VLOOKUP($B40,Korrigeringsfaktor_EI,'Korrigeringsfaktor EI'!Z$1,FALSE),
"")</f>
        <v>16.733068181818179</v>
      </c>
      <c r="AA40" s="18">
        <f>IFERROR(
                  Andel_oberoende_av_klimat*VLOOKUP($A40,Leveranser_per_nät,'Leveranser per nät'!AA$1,FALSE)
               +Andel_beroende_av_klimat*VLOOKUP($A40,Leveranser_per_nät,'Leveranser per nät'!AA$1,FALSE)/VLOOKUP($B40,Korrigeringsfaktor_EI,'Korrigeringsfaktor EI'!AA$1,FALSE),
"")</f>
        <v>15.199236065573771</v>
      </c>
      <c r="AB40" s="18">
        <f>IFERROR(
                  Andel_oberoende_av_klimat*VLOOKUP($A40,Leveranser_per_nät,'Leveranser per nät'!AB$1,FALSE)
               +Andel_beroende_av_klimat*VLOOKUP($A40,Leveranser_per_nät,'Leveranser per nät'!AB$1,FALSE)/VLOOKUP($B40,Korrigeringsfaktor_EI,'Korrigeringsfaktor EI'!AB$1,FALSE),
"")</f>
        <v>15.871792814371258</v>
      </c>
      <c r="AC40" s="18">
        <f>IFERROR(
                  Andel_oberoende_av_klimat*VLOOKUP($A40,Leveranser_per_nät,'Leveranser per nät'!AC$1,FALSE)
               +Andel_beroende_av_klimat*VLOOKUP($A40,Leveranser_per_nät,'Leveranser per nät'!AC$1,FALSE)/VLOOKUP($B40,Korrigeringsfaktor_EI,'Korrigeringsfaktor EI'!AC$1,FALSE),
"")</f>
        <v>16.282747008547009</v>
      </c>
      <c r="AD40">
        <v>119.94799999999999</v>
      </c>
    </row>
    <row r="41" spans="1:30" x14ac:dyDescent="0.25">
      <c r="A41" t="s">
        <v>364</v>
      </c>
      <c r="B41" t="s">
        <v>363</v>
      </c>
      <c r="C41" s="18">
        <f>IFERROR(
                  Andel_oberoende_av_klimat*VLOOKUP($A41,Leveranser_per_nät,'Leveranser per nät'!C$1,FALSE)
               +Andel_beroende_av_klimat*VLOOKUP($A41,Leveranser_per_nät,'Leveranser per nät'!C$1,FALSE)/VLOOKUP($B41,Korrigeringsfaktor_EI,'Korrigeringsfaktor EI'!C$1,FALSE),
"")</f>
        <v>0</v>
      </c>
      <c r="D41" s="18">
        <f>IFERROR(
                  Andel_oberoende_av_klimat*VLOOKUP($A41,Leveranser_per_nät,'Leveranser per nät'!D$1,FALSE)
               +Andel_beroende_av_klimat*VLOOKUP($A41,Leveranser_per_nät,'Leveranser per nät'!D$1,FALSE)/VLOOKUP($B41,Korrigeringsfaktor_EI,'Korrigeringsfaktor EI'!D$1,FALSE),
"")</f>
        <v>0</v>
      </c>
      <c r="E41" s="18">
        <f>IFERROR(
                  Andel_oberoende_av_klimat*VLOOKUP($A41,Leveranser_per_nät,'Leveranser per nät'!E$1,FALSE)
               +Andel_beroende_av_klimat*VLOOKUP($A41,Leveranser_per_nät,'Leveranser per nät'!E$1,FALSE)/VLOOKUP($B41,Korrigeringsfaktor_EI,'Korrigeringsfaktor EI'!E$1,FALSE),
"")</f>
        <v>0</v>
      </c>
      <c r="F41" s="18">
        <f>IFERROR(
                  Andel_oberoende_av_klimat*VLOOKUP($A41,Leveranser_per_nät,'Leveranser per nät'!F$1,FALSE)
               +Andel_beroende_av_klimat*VLOOKUP($A41,Leveranser_per_nät,'Leveranser per nät'!F$1,FALSE)/VLOOKUP($B41,Korrigeringsfaktor_EI,'Korrigeringsfaktor EI'!F$1,FALSE),
"")</f>
        <v>7.1515463917525777</v>
      </c>
      <c r="G41" s="18">
        <f>IFERROR(
                  Andel_oberoende_av_klimat*VLOOKUP($A41,Leveranser_per_nät,'Leveranser per nät'!G$1,FALSE)
               +Andel_beroende_av_klimat*VLOOKUP($A41,Leveranser_per_nät,'Leveranser per nät'!G$1,FALSE)/VLOOKUP($B41,Korrigeringsfaktor_EI,'Korrigeringsfaktor EI'!G$1,FALSE),
"")</f>
        <v>13.9</v>
      </c>
      <c r="H41" s="18">
        <f>IFERROR(
                  Andel_oberoende_av_klimat*VLOOKUP($A41,Leveranser_per_nät,'Leveranser per nät'!H$1,FALSE)
               +Andel_beroende_av_klimat*VLOOKUP($A41,Leveranser_per_nät,'Leveranser per nät'!H$1,FALSE)/VLOOKUP($B41,Korrigeringsfaktor_EI,'Korrigeringsfaktor EI'!H$1,FALSE),
"")</f>
        <v>16.257142424242424</v>
      </c>
      <c r="I41" s="18">
        <f>IFERROR(
                  Andel_oberoende_av_klimat*VLOOKUP($A41,Leveranser_per_nät,'Leveranser per nät'!I$1,FALSE)
               +Andel_beroende_av_klimat*VLOOKUP($A41,Leveranser_per_nät,'Leveranser per nät'!I$1,FALSE)/VLOOKUP($B41,Korrigeringsfaktor_EI,'Korrigeringsfaktor EI'!I$1,FALSE),
"")</f>
        <v>15.670212765957448</v>
      </c>
      <c r="J41" s="18">
        <f>IFERROR(
                  Andel_oberoende_av_klimat*VLOOKUP($A41,Leveranser_per_nät,'Leveranser per nät'!J$1,FALSE)
               +Andel_beroende_av_klimat*VLOOKUP($A41,Leveranser_per_nät,'Leveranser per nät'!J$1,FALSE)/VLOOKUP($B41,Korrigeringsfaktor_EI,'Korrigeringsfaktor EI'!J$1,FALSE),
"")</f>
        <v>17.368041237113403</v>
      </c>
      <c r="K41" s="18">
        <f>IFERROR(
                  Andel_oberoende_av_klimat*VLOOKUP($A41,Leveranser_per_nät,'Leveranser per nät'!K$1,FALSE)
               +Andel_beroende_av_klimat*VLOOKUP($A41,Leveranser_per_nät,'Leveranser per nät'!K$1,FALSE)/VLOOKUP($B41,Korrigeringsfaktor_EI,'Korrigeringsfaktor EI'!K$1,FALSE),
"")</f>
        <v>17.523030303030303</v>
      </c>
      <c r="L41" s="18">
        <f>IFERROR(
                  Andel_oberoende_av_klimat*VLOOKUP($A41,Leveranser_per_nät,'Leveranser per nät'!L$1,FALSE)
               +Andel_beroende_av_klimat*VLOOKUP($A41,Leveranser_per_nät,'Leveranser per nät'!L$1,FALSE)/VLOOKUP($B41,Korrigeringsfaktor_EI,'Korrigeringsfaktor EI'!L$1,FALSE),
"")</f>
        <v>16.875642105263157</v>
      </c>
      <c r="M41" s="18">
        <f>IFERROR(
                  Andel_oberoende_av_klimat*VLOOKUP($A41,Leveranser_per_nät,'Leveranser per nät'!M$1,FALSE)
               +Andel_beroende_av_klimat*VLOOKUP($A41,Leveranser_per_nät,'Leveranser per nät'!M$1,FALSE)/VLOOKUP($B41,Korrigeringsfaktor_EI,'Korrigeringsfaktor EI'!M$1,FALSE),
"")</f>
        <v>18.450646153846154</v>
      </c>
      <c r="N41" s="18">
        <f>IFERROR(
                  Andel_oberoende_av_klimat*VLOOKUP($A41,Leveranser_per_nät,'Leveranser per nät'!N$1,FALSE)
               +Andel_beroende_av_klimat*VLOOKUP($A41,Leveranser_per_nät,'Leveranser per nät'!N$1,FALSE)/VLOOKUP($B41,Korrigeringsfaktor_EI,'Korrigeringsfaktor EI'!N$1,FALSE),
"")</f>
        <v>18.598133333333333</v>
      </c>
      <c r="O41" s="18">
        <f>IFERROR(
                  Andel_oberoende_av_klimat*VLOOKUP($A41,Leveranser_per_nät,'Leveranser per nät'!O$1,FALSE)
               +Andel_beroende_av_klimat*VLOOKUP($A41,Leveranser_per_nät,'Leveranser per nät'!O$1,FALSE)/VLOOKUP($B41,Korrigeringsfaktor_EI,'Korrigeringsfaktor EI'!O$1,FALSE),
"")</f>
        <v>18.859092307692308</v>
      </c>
      <c r="P41" s="18">
        <f>IFERROR(
                  Andel_oberoende_av_klimat*VLOOKUP($A41,Leveranser_per_nät,'Leveranser per nät'!P$1,FALSE)
               +Andel_beroende_av_klimat*VLOOKUP($A41,Leveranser_per_nät,'Leveranser per nät'!P$1,FALSE)/VLOOKUP($B41,Korrigeringsfaktor_EI,'Korrigeringsfaktor EI'!P$1,FALSE),
"")</f>
        <v>16.213100000000001</v>
      </c>
      <c r="Q41" s="18">
        <f>IFERROR(
                  Andel_oberoende_av_klimat*VLOOKUP($A41,Leveranser_per_nät,'Leveranser per nät'!Q$1,FALSE)
               +Andel_beroende_av_klimat*VLOOKUP($A41,Leveranser_per_nät,'Leveranser per nät'!Q$1,FALSE)/VLOOKUP($B41,Korrigeringsfaktor_EI,'Korrigeringsfaktor EI'!Q$1,FALSE),
"")</f>
        <v>18.453854545454544</v>
      </c>
      <c r="R41" s="18">
        <f>IFERROR(
                  Andel_oberoende_av_klimat*VLOOKUP($A41,Leveranser_per_nät,'Leveranser per nät'!R$1,FALSE)
               +Andel_beroende_av_klimat*VLOOKUP($A41,Leveranser_per_nät,'Leveranser per nät'!R$1,FALSE)/VLOOKUP($B41,Korrigeringsfaktor_EI,'Korrigeringsfaktor EI'!R$1,FALSE),
"")</f>
        <v>18.240591304347824</v>
      </c>
      <c r="S41" s="18">
        <f>IFERROR(
                  Andel_oberoende_av_klimat*VLOOKUP($A41,Leveranser_per_nät,'Leveranser per nät'!S$1,FALSE)
               +Andel_beroende_av_klimat*VLOOKUP($A41,Leveranser_per_nät,'Leveranser per nät'!S$1,FALSE)/VLOOKUP($B41,Korrigeringsfaktor_EI,'Korrigeringsfaktor EI'!S$1,FALSE),
"")</f>
        <v>18.268262626262629</v>
      </c>
      <c r="T41" s="18">
        <f>IFERROR(
                  Andel_oberoende_av_klimat*VLOOKUP($A41,Leveranser_per_nät,'Leveranser per nät'!T$1,FALSE)
               +Andel_beroende_av_klimat*VLOOKUP($A41,Leveranser_per_nät,'Leveranser per nät'!T$1,FALSE)/VLOOKUP($B41,Korrigeringsfaktor_EI,'Korrigeringsfaktor EI'!T$1,FALSE),
"")</f>
        <v>22.347560824742267</v>
      </c>
      <c r="U41" s="18">
        <f>IFERROR(
                  Andel_oberoende_av_klimat*VLOOKUP($A41,Leveranser_per_nät,'Leveranser per nät'!U$1,FALSE)
               +Andel_beroende_av_klimat*VLOOKUP($A41,Leveranser_per_nät,'Leveranser per nät'!U$1,FALSE)/VLOOKUP($B41,Korrigeringsfaktor_EI,'Korrigeringsfaktor EI'!U$1,FALSE),
"")</f>
        <v>17.077080459770116</v>
      </c>
      <c r="V41" s="18">
        <f>IFERROR(
                  Andel_oberoende_av_klimat*VLOOKUP($A41,Leveranser_per_nät,'Leveranser per nät'!V$1,FALSE)
               +Andel_beroende_av_klimat*VLOOKUP($A41,Leveranser_per_nät,'Leveranser per nät'!V$1,FALSE)/VLOOKUP($B41,Korrigeringsfaktor_EI,'Korrigeringsfaktor EI'!V$1,FALSE),
"")</f>
        <v>15.531646153846154</v>
      </c>
      <c r="W41" s="18">
        <f>IFERROR(
                  Andel_oberoende_av_klimat*VLOOKUP($A41,Leveranser_per_nät,'Leveranser per nät'!W$1,FALSE)
               +Andel_beroende_av_klimat*VLOOKUP($A41,Leveranser_per_nät,'Leveranser per nät'!W$1,FALSE)/VLOOKUP($B41,Korrigeringsfaktor_EI,'Korrigeringsfaktor EI'!W$1,FALSE),
"")</f>
        <v>15.376368421052632</v>
      </c>
      <c r="X41" s="18">
        <f>IFERROR(
                  Andel_oberoende_av_klimat*VLOOKUP($A41,Leveranser_per_nät,'Leveranser per nät'!X$1,FALSE)
               +Andel_beroende_av_klimat*VLOOKUP($A41,Leveranser_per_nät,'Leveranser per nät'!X$1,FALSE)/VLOOKUP($B41,Korrigeringsfaktor_EI,'Korrigeringsfaktor EI'!X$1,FALSE),
"")</f>
        <v>13.869166666666667</v>
      </c>
      <c r="Y41" s="18">
        <f>IFERROR(
                  Andel_oberoende_av_klimat*VLOOKUP($A41,Leveranser_per_nät,'Leveranser per nät'!Y$1,FALSE)
               +Andel_beroende_av_klimat*VLOOKUP($A41,Leveranser_per_nät,'Leveranser per nät'!Y$1,FALSE)/VLOOKUP($B41,Korrigeringsfaktor_EI,'Korrigeringsfaktor EI'!Y$1,FALSE),
"")</f>
        <v>15.150136363636364</v>
      </c>
      <c r="Z41" s="18">
        <f>IFERROR(
                  Andel_oberoende_av_klimat*VLOOKUP($A41,Leveranser_per_nät,'Leveranser per nät'!Z$1,FALSE)
               +Andel_beroende_av_klimat*VLOOKUP($A41,Leveranser_per_nät,'Leveranser per nät'!Z$1,FALSE)/VLOOKUP($B41,Korrigeringsfaktor_EI,'Korrigeringsfaktor EI'!Z$1,FALSE),
"")</f>
        <v>14.075888505747127</v>
      </c>
      <c r="AA41" s="18">
        <f>IFERROR(
                  Andel_oberoende_av_klimat*VLOOKUP($A41,Leveranser_per_nät,'Leveranser per nät'!AA$1,FALSE)
               +Andel_beroende_av_klimat*VLOOKUP($A41,Leveranser_per_nät,'Leveranser per nät'!AA$1,FALSE)/VLOOKUP($B41,Korrigeringsfaktor_EI,'Korrigeringsfaktor EI'!AA$1,FALSE),
"")</f>
        <v>12.465252459016392</v>
      </c>
      <c r="AB41" s="18">
        <f>IFERROR(
                  Andel_oberoende_av_klimat*VLOOKUP($A41,Leveranser_per_nät,'Leveranser per nät'!AB$1,FALSE)
               +Andel_beroende_av_klimat*VLOOKUP($A41,Leveranser_per_nät,'Leveranser per nät'!AB$1,FALSE)/VLOOKUP($B41,Korrigeringsfaktor_EI,'Korrigeringsfaktor EI'!AB$1,FALSE),
"")</f>
        <v>14.277578775913131</v>
      </c>
      <c r="AC41" s="18">
        <f>IFERROR(
                  Andel_oberoende_av_klimat*VLOOKUP($A41,Leveranser_per_nät,'Leveranser per nät'!AC$1,FALSE)
               +Andel_beroende_av_klimat*VLOOKUP($A41,Leveranser_per_nät,'Leveranser per nät'!AC$1,FALSE)/VLOOKUP($B41,Korrigeringsfaktor_EI,'Korrigeringsfaktor EI'!AC$1,FALSE),
"")</f>
        <v>13.878442675159235</v>
      </c>
      <c r="AD41" t="e">
        <v>#N/A</v>
      </c>
    </row>
    <row r="42" spans="1:30" x14ac:dyDescent="0.25">
      <c r="A42" t="s">
        <v>378</v>
      </c>
      <c r="B42" t="s">
        <v>376</v>
      </c>
      <c r="C42" s="18">
        <f>IFERROR(
                  Andel_oberoende_av_klimat*VLOOKUP($A42,Leveranser_per_nät,'Leveranser per nät'!C$1,FALSE)
               +Andel_beroende_av_klimat*VLOOKUP($A42,Leveranser_per_nät,'Leveranser per nät'!C$1,FALSE)/VLOOKUP($B42,Korrigeringsfaktor_EI,'Korrigeringsfaktor EI'!C$1,FALSE),
"")</f>
        <v>0</v>
      </c>
      <c r="D42" s="18">
        <f>IFERROR(
                  Andel_oberoende_av_klimat*VLOOKUP($A42,Leveranser_per_nät,'Leveranser per nät'!D$1,FALSE)
               +Andel_beroende_av_klimat*VLOOKUP($A42,Leveranser_per_nät,'Leveranser per nät'!D$1,FALSE)/VLOOKUP($B42,Korrigeringsfaktor_EI,'Korrigeringsfaktor EI'!D$1,FALSE),
"")</f>
        <v>0</v>
      </c>
      <c r="E42" s="18">
        <f>IFERROR(
                  Andel_oberoende_av_klimat*VLOOKUP($A42,Leveranser_per_nät,'Leveranser per nät'!E$1,FALSE)
               +Andel_beroende_av_klimat*VLOOKUP($A42,Leveranser_per_nät,'Leveranser per nät'!E$1,FALSE)/VLOOKUP($B42,Korrigeringsfaktor_EI,'Korrigeringsfaktor EI'!E$1,FALSE),
"")</f>
        <v>0</v>
      </c>
      <c r="F42" s="18">
        <f>IFERROR(
                  Andel_oberoende_av_klimat*VLOOKUP($A42,Leveranser_per_nät,'Leveranser per nät'!F$1,FALSE)
               +Andel_beroende_av_klimat*VLOOKUP($A42,Leveranser_per_nät,'Leveranser per nät'!F$1,FALSE)/VLOOKUP($B42,Korrigeringsfaktor_EI,'Korrigeringsfaktor EI'!F$1,FALSE),
"")</f>
        <v>0</v>
      </c>
      <c r="G42" s="18">
        <f>IFERROR(
                  Andel_oberoende_av_klimat*VLOOKUP($A42,Leveranser_per_nät,'Leveranser per nät'!G$1,FALSE)
               +Andel_beroende_av_klimat*VLOOKUP($A42,Leveranser_per_nät,'Leveranser per nät'!G$1,FALSE)/VLOOKUP($B42,Korrigeringsfaktor_EI,'Korrigeringsfaktor EI'!G$1,FALSE),
"")</f>
        <v>0</v>
      </c>
      <c r="H42" s="18">
        <f>IFERROR(
                  Andel_oberoende_av_klimat*VLOOKUP($A42,Leveranser_per_nät,'Leveranser per nät'!H$1,FALSE)
               +Andel_beroende_av_klimat*VLOOKUP($A42,Leveranser_per_nät,'Leveranser per nät'!H$1,FALSE)/VLOOKUP($B42,Korrigeringsfaktor_EI,'Korrigeringsfaktor EI'!H$1,FALSE),
"")</f>
        <v>0</v>
      </c>
      <c r="I42" s="18">
        <f>IFERROR(
                  Andel_oberoende_av_klimat*VLOOKUP($A42,Leveranser_per_nät,'Leveranser per nät'!I$1,FALSE)
               +Andel_beroende_av_klimat*VLOOKUP($A42,Leveranser_per_nät,'Leveranser per nät'!I$1,FALSE)/VLOOKUP($B42,Korrigeringsfaktor_EI,'Korrigeringsfaktor EI'!I$1,FALSE),
"")</f>
        <v>0</v>
      </c>
      <c r="J42" s="18">
        <f>IFERROR(
                  Andel_oberoende_av_klimat*VLOOKUP($A42,Leveranser_per_nät,'Leveranser per nät'!J$1,FALSE)
               +Andel_beroende_av_klimat*VLOOKUP($A42,Leveranser_per_nät,'Leveranser per nät'!J$1,FALSE)/VLOOKUP($B42,Korrigeringsfaktor_EI,'Korrigeringsfaktor EI'!J$1,FALSE),
"")</f>
        <v>0</v>
      </c>
      <c r="K42" s="18">
        <f>IFERROR(
                  Andel_oberoende_av_klimat*VLOOKUP($A42,Leveranser_per_nät,'Leveranser per nät'!K$1,FALSE)
               +Andel_beroende_av_klimat*VLOOKUP($A42,Leveranser_per_nät,'Leveranser per nät'!K$1,FALSE)/VLOOKUP($B42,Korrigeringsfaktor_EI,'Korrigeringsfaktor EI'!K$1,FALSE),
"")</f>
        <v>0</v>
      </c>
      <c r="L42" s="18">
        <f>IFERROR(
                  Andel_oberoende_av_klimat*VLOOKUP($A42,Leveranser_per_nät,'Leveranser per nät'!L$1,FALSE)
               +Andel_beroende_av_klimat*VLOOKUP($A42,Leveranser_per_nät,'Leveranser per nät'!L$1,FALSE)/VLOOKUP($B42,Korrigeringsfaktor_EI,'Korrigeringsfaktor EI'!L$1,FALSE),
"")</f>
        <v>0</v>
      </c>
      <c r="M42" s="18">
        <f>IFERROR(
                  Andel_oberoende_av_klimat*VLOOKUP($A42,Leveranser_per_nät,'Leveranser per nät'!M$1,FALSE)
               +Andel_beroende_av_klimat*VLOOKUP($A42,Leveranser_per_nät,'Leveranser per nät'!M$1,FALSE)/VLOOKUP($B42,Korrigeringsfaktor_EI,'Korrigeringsfaktor EI'!M$1,FALSE),
"")</f>
        <v>6.5744444444444436</v>
      </c>
      <c r="N42" s="18">
        <f>IFERROR(
                  Andel_oberoende_av_klimat*VLOOKUP($A42,Leveranser_per_nät,'Leveranser per nät'!N$1,FALSE)
               +Andel_beroende_av_klimat*VLOOKUP($A42,Leveranser_per_nät,'Leveranser per nät'!N$1,FALSE)/VLOOKUP($B42,Korrigeringsfaktor_EI,'Korrigeringsfaktor EI'!N$1,FALSE),
"")</f>
        <v>5.1834086956521741</v>
      </c>
      <c r="O42" s="18">
        <f>IFERROR(
                  Andel_oberoende_av_klimat*VLOOKUP($A42,Leveranser_per_nät,'Leveranser per nät'!O$1,FALSE)
               +Andel_beroende_av_klimat*VLOOKUP($A42,Leveranser_per_nät,'Leveranser per nät'!O$1,FALSE)/VLOOKUP($B42,Korrigeringsfaktor_EI,'Korrigeringsfaktor EI'!O$1,FALSE),
"")</f>
        <v>5.348292307692307</v>
      </c>
      <c r="P42" s="18">
        <f>IFERROR(
                  Andel_oberoende_av_klimat*VLOOKUP($A42,Leveranser_per_nät,'Leveranser per nät'!P$1,FALSE)
               +Andel_beroende_av_klimat*VLOOKUP($A42,Leveranser_per_nät,'Leveranser per nät'!P$1,FALSE)/VLOOKUP($B42,Korrigeringsfaktor_EI,'Korrigeringsfaktor EI'!P$1,FALSE),
"")</f>
        <v>5.4340514583333333</v>
      </c>
      <c r="Q42" s="18">
        <f>IFERROR(
                  Andel_oberoende_av_klimat*VLOOKUP($A42,Leveranser_per_nät,'Leveranser per nät'!Q$1,FALSE)
               +Andel_beroende_av_klimat*VLOOKUP($A42,Leveranser_per_nät,'Leveranser per nät'!Q$1,FALSE)/VLOOKUP($B42,Korrigeringsfaktor_EI,'Korrigeringsfaktor EI'!Q$1,FALSE),
"")</f>
        <v>6.0353504672897191</v>
      </c>
      <c r="R42" s="18">
        <f>IFERROR(
                  Andel_oberoende_av_klimat*VLOOKUP($A42,Leveranser_per_nät,'Leveranser per nät'!R$1,FALSE)
               +Andel_beroende_av_klimat*VLOOKUP($A42,Leveranser_per_nät,'Leveranser per nät'!R$1,FALSE)/VLOOKUP($B42,Korrigeringsfaktor_EI,'Korrigeringsfaktor EI'!R$1,FALSE),
"")</f>
        <v>5.649887640449438</v>
      </c>
      <c r="S42" s="18">
        <f>IFERROR(
                  Andel_oberoende_av_klimat*VLOOKUP($A42,Leveranser_per_nät,'Leveranser per nät'!S$1,FALSE)
               +Andel_beroende_av_klimat*VLOOKUP($A42,Leveranser_per_nät,'Leveranser per nät'!S$1,FALSE)/VLOOKUP($B42,Korrigeringsfaktor_EI,'Korrigeringsfaktor EI'!S$1,FALSE),
"")</f>
        <v>5.884701030927836</v>
      </c>
      <c r="T42" s="18">
        <f>IFERROR(
                  Andel_oberoende_av_klimat*VLOOKUP($A42,Leveranser_per_nät,'Leveranser per nät'!T$1,FALSE)
               +Andel_beroende_av_klimat*VLOOKUP($A42,Leveranser_per_nät,'Leveranser per nät'!T$1,FALSE)/VLOOKUP($B42,Korrigeringsfaktor_EI,'Korrigeringsfaktor EI'!T$1,FALSE),
"")</f>
        <v>5.8453913043478263</v>
      </c>
      <c r="U42" s="18">
        <f>IFERROR(
                  Andel_oberoende_av_klimat*VLOOKUP($A42,Leveranser_per_nät,'Leveranser per nät'!U$1,FALSE)
               +Andel_beroende_av_klimat*VLOOKUP($A42,Leveranser_per_nät,'Leveranser per nät'!U$1,FALSE)/VLOOKUP($B42,Korrigeringsfaktor_EI,'Korrigeringsfaktor EI'!U$1,FALSE),
"")</f>
        <v>5.05773595505618</v>
      </c>
      <c r="V42" s="18">
        <f>IFERROR(
                  Andel_oberoende_av_klimat*VLOOKUP($A42,Leveranser_per_nät,'Leveranser per nät'!V$1,FALSE)
               +Andel_beroende_av_klimat*VLOOKUP($A42,Leveranser_per_nät,'Leveranser per nät'!V$1,FALSE)/VLOOKUP($B42,Korrigeringsfaktor_EI,'Korrigeringsfaktor EI'!V$1,FALSE),
"")</f>
        <v>5.5999078651685394</v>
      </c>
      <c r="W42" s="18">
        <f>IFERROR(
                  Andel_oberoende_av_klimat*VLOOKUP($A42,Leveranser_per_nät,'Leveranser per nät'!W$1,FALSE)
               +Andel_beroende_av_klimat*VLOOKUP($A42,Leveranser_per_nät,'Leveranser per nät'!W$1,FALSE)/VLOOKUP($B42,Korrigeringsfaktor_EI,'Korrigeringsfaktor EI'!W$1,FALSE),
"")</f>
        <v>5.6542416666666666</v>
      </c>
      <c r="X42" s="18">
        <f>IFERROR(
                  Andel_oberoende_av_klimat*VLOOKUP($A42,Leveranser_per_nät,'Leveranser per nät'!X$1,FALSE)
               +Andel_beroende_av_klimat*VLOOKUP($A42,Leveranser_per_nät,'Leveranser per nät'!X$1,FALSE)/VLOOKUP($B42,Korrigeringsfaktor_EI,'Korrigeringsfaktor EI'!X$1,FALSE),
"")</f>
        <v>5.5873458333333339</v>
      </c>
      <c r="Y42" s="18">
        <f>IFERROR(
                  Andel_oberoende_av_klimat*VLOOKUP($A42,Leveranser_per_nät,'Leveranser per nät'!Y$1,FALSE)
               +Andel_beroende_av_klimat*VLOOKUP($A42,Leveranser_per_nät,'Leveranser per nät'!Y$1,FALSE)/VLOOKUP($B42,Korrigeringsfaktor_EI,'Korrigeringsfaktor EI'!Y$1,FALSE),
"")</f>
        <v>5.8270526315789475</v>
      </c>
      <c r="Z42" s="18">
        <f>IFERROR(
                  Andel_oberoende_av_klimat*VLOOKUP($A42,Leveranser_per_nät,'Leveranser per nät'!Z$1,FALSE)
               +Andel_beroende_av_klimat*VLOOKUP($A42,Leveranser_per_nät,'Leveranser per nät'!Z$1,FALSE)/VLOOKUP($B42,Korrigeringsfaktor_EI,'Korrigeringsfaktor EI'!Z$1,FALSE),
"")</f>
        <v>5.5471052631578948</v>
      </c>
      <c r="AA42" s="18">
        <f>IFERROR(
                  Andel_oberoende_av_klimat*VLOOKUP($A42,Leveranser_per_nät,'Leveranser per nät'!AA$1,FALSE)
               +Andel_beroende_av_klimat*VLOOKUP($A42,Leveranser_per_nät,'Leveranser per nät'!AA$1,FALSE)/VLOOKUP($B42,Korrigeringsfaktor_EI,'Korrigeringsfaktor EI'!AA$1,FALSE),
"")</f>
        <v>4.9822403746097814</v>
      </c>
      <c r="AB42" s="18">
        <f>IFERROR(
                  Andel_oberoende_av_klimat*VLOOKUP($A42,Leveranser_per_nät,'Leveranser per nät'!AB$1,FALSE)
               +Andel_beroende_av_klimat*VLOOKUP($A42,Leveranser_per_nät,'Leveranser per nät'!AB$1,FALSE)/VLOOKUP($B42,Korrigeringsfaktor_EI,'Korrigeringsfaktor EI'!AB$1,FALSE),
"")</f>
        <v>5.2226435452793831</v>
      </c>
      <c r="AC42" s="18">
        <f>IFERROR(
                  Andel_oberoende_av_klimat*VLOOKUP($A42,Leveranser_per_nät,'Leveranser per nät'!AC$1,FALSE)
               +Andel_beroende_av_klimat*VLOOKUP($A42,Leveranser_per_nät,'Leveranser per nät'!AC$1,FALSE)/VLOOKUP($B42,Korrigeringsfaktor_EI,'Korrigeringsfaktor EI'!AC$1,FALSE),
"")</f>
        <v>4.993875383043922</v>
      </c>
      <c r="AD42">
        <v>223.7</v>
      </c>
    </row>
    <row r="43" spans="1:30" x14ac:dyDescent="0.25">
      <c r="A43" t="s">
        <v>61</v>
      </c>
      <c r="B43" t="s">
        <v>441</v>
      </c>
      <c r="C43" s="18">
        <f>IFERROR(
                  Andel_oberoende_av_klimat*VLOOKUP($A43,Leveranser_per_nät,'Leveranser per nät'!C$1,FALSE)
               +Andel_beroende_av_klimat*VLOOKUP($A43,Leveranser_per_nät,'Leveranser per nät'!C$1,FALSE)/VLOOKUP($B43,Korrigeringsfaktor_EI,'Korrigeringsfaktor EI'!C$1,FALSE),
"")</f>
        <v>27.496296296296293</v>
      </c>
      <c r="D43" s="18">
        <f>IFERROR(
                  Andel_oberoende_av_klimat*VLOOKUP($A43,Leveranser_per_nät,'Leveranser per nät'!D$1,FALSE)
               +Andel_beroende_av_klimat*VLOOKUP($A43,Leveranser_per_nät,'Leveranser per nät'!D$1,FALSE)/VLOOKUP($B43,Korrigeringsfaktor_EI,'Korrigeringsfaktor EI'!D$1,FALSE),
"")</f>
        <v>24.662154545454545</v>
      </c>
      <c r="E43" s="18">
        <f>IFERROR(
                  Andel_oberoende_av_klimat*VLOOKUP($A43,Leveranser_per_nät,'Leveranser per nät'!E$1,FALSE)
               +Andel_beroende_av_klimat*VLOOKUP($A43,Leveranser_per_nät,'Leveranser per nät'!E$1,FALSE)/VLOOKUP($B43,Korrigeringsfaktor_EI,'Korrigeringsfaktor EI'!E$1,FALSE),
"")</f>
        <v>25.469902912621357</v>
      </c>
      <c r="F43" s="18">
        <f>IFERROR(
                  Andel_oberoende_av_klimat*VLOOKUP($A43,Leveranser_per_nät,'Leveranser per nät'!F$1,FALSE)
               +Andel_beroende_av_klimat*VLOOKUP($A43,Leveranser_per_nät,'Leveranser per nät'!F$1,FALSE)/VLOOKUP($B43,Korrigeringsfaktor_EI,'Korrigeringsfaktor EI'!F$1,FALSE),
"")</f>
        <v>24.268980851063834</v>
      </c>
      <c r="G43" s="18">
        <f>IFERROR(
                  Andel_oberoende_av_klimat*VLOOKUP($A43,Leveranser_per_nät,'Leveranser per nät'!G$1,FALSE)
               +Andel_beroende_av_klimat*VLOOKUP($A43,Leveranser_per_nät,'Leveranser per nät'!G$1,FALSE)/VLOOKUP($B43,Korrigeringsfaktor_EI,'Korrigeringsfaktor EI'!G$1,FALSE),
"")</f>
        <v>28.684044943820222</v>
      </c>
      <c r="H43" s="18">
        <f>IFERROR(
                  Andel_oberoende_av_klimat*VLOOKUP($A43,Leveranser_per_nät,'Leveranser per nät'!H$1,FALSE)
               +Andel_beroende_av_klimat*VLOOKUP($A43,Leveranser_per_nät,'Leveranser per nät'!H$1,FALSE)/VLOOKUP($B43,Korrigeringsfaktor_EI,'Korrigeringsfaktor EI'!H$1,FALSE),
"")</f>
        <v>30.428571428571431</v>
      </c>
      <c r="I43" s="18">
        <f>IFERROR(
                  Andel_oberoende_av_klimat*VLOOKUP($A43,Leveranser_per_nät,'Leveranser per nät'!I$1,FALSE)
               +Andel_beroende_av_klimat*VLOOKUP($A43,Leveranser_per_nät,'Leveranser per nät'!I$1,FALSE)/VLOOKUP($B43,Korrigeringsfaktor_EI,'Korrigeringsfaktor EI'!I$1,FALSE),
"")</f>
        <v>27.375833333333336</v>
      </c>
      <c r="J43" s="18">
        <f>IFERROR(
                  Andel_oberoende_av_klimat*VLOOKUP($A43,Leveranser_per_nät,'Leveranser per nät'!J$1,FALSE)
               +Andel_beroende_av_klimat*VLOOKUP($A43,Leveranser_per_nät,'Leveranser per nät'!J$1,FALSE)/VLOOKUP($B43,Korrigeringsfaktor_EI,'Korrigeringsfaktor EI'!J$1,FALSE),
"")</f>
        <v>27.23357142857143</v>
      </c>
      <c r="K43" s="18">
        <f>IFERROR(
                  Andel_oberoende_av_klimat*VLOOKUP($A43,Leveranser_per_nät,'Leveranser per nät'!K$1,FALSE)
               +Andel_beroende_av_klimat*VLOOKUP($A43,Leveranser_per_nät,'Leveranser per nät'!K$1,FALSE)/VLOOKUP($B43,Korrigeringsfaktor_EI,'Korrigeringsfaktor EI'!K$1,FALSE),
"")</f>
        <v>50.580454166666669</v>
      </c>
      <c r="L43" s="18">
        <f>IFERROR(
                  Andel_oberoende_av_klimat*VLOOKUP($A43,Leveranser_per_nät,'Leveranser per nät'!L$1,FALSE)
               +Andel_beroende_av_klimat*VLOOKUP($A43,Leveranser_per_nät,'Leveranser per nät'!L$1,FALSE)/VLOOKUP($B43,Korrigeringsfaktor_EI,'Korrigeringsfaktor EI'!L$1,FALSE),
"")</f>
        <v>31.246377330792129</v>
      </c>
      <c r="M43" s="18">
        <f>IFERROR(
                  Andel_oberoende_av_klimat*VLOOKUP($A43,Leveranser_per_nät,'Leveranser per nät'!M$1,FALSE)
               +Andel_beroende_av_klimat*VLOOKUP($A43,Leveranser_per_nät,'Leveranser per nät'!M$1,FALSE)/VLOOKUP($B43,Korrigeringsfaktor_EI,'Korrigeringsfaktor EI'!M$1,FALSE),
"")</f>
        <v>28.006956521739127</v>
      </c>
      <c r="N43" s="18">
        <f>IFERROR(
                  Andel_oberoende_av_klimat*VLOOKUP($A43,Leveranser_per_nät,'Leveranser per nät'!N$1,FALSE)
               +Andel_beroende_av_klimat*VLOOKUP($A43,Leveranser_per_nät,'Leveranser per nät'!N$1,FALSE)/VLOOKUP($B43,Korrigeringsfaktor_EI,'Korrigeringsfaktor EI'!N$1,FALSE),
"")</f>
        <v>29.884999999999998</v>
      </c>
      <c r="O43" s="18">
        <f>IFERROR(
                  Andel_oberoende_av_klimat*VLOOKUP($A43,Leveranser_per_nät,'Leveranser per nät'!O$1,FALSE)
               +Andel_beroende_av_klimat*VLOOKUP($A43,Leveranser_per_nät,'Leveranser per nät'!O$1,FALSE)/VLOOKUP($B43,Korrigeringsfaktor_EI,'Korrigeringsfaktor EI'!O$1,FALSE),
"")</f>
        <v>29.099999999999998</v>
      </c>
      <c r="P43" s="18">
        <f>IFERROR(
                  Andel_oberoende_av_klimat*VLOOKUP($A43,Leveranser_per_nät,'Leveranser per nät'!P$1,FALSE)
               +Andel_beroende_av_klimat*VLOOKUP($A43,Leveranser_per_nät,'Leveranser per nät'!P$1,FALSE)/VLOOKUP($B43,Korrigeringsfaktor_EI,'Korrigeringsfaktor EI'!P$1,FALSE),
"")</f>
        <v>30.068421052631578</v>
      </c>
      <c r="Q43" s="18">
        <f>IFERROR(
                  Andel_oberoende_av_klimat*VLOOKUP($A43,Leveranser_per_nät,'Leveranser per nät'!Q$1,FALSE)
               +Andel_beroende_av_klimat*VLOOKUP($A43,Leveranser_per_nät,'Leveranser per nät'!Q$1,FALSE)/VLOOKUP($B43,Korrigeringsfaktor_EI,'Korrigeringsfaktor EI'!Q$1,FALSE),
"")</f>
        <v>30.152432432432427</v>
      </c>
      <c r="R43" s="18">
        <f>IFERROR(
                  Andel_oberoende_av_klimat*VLOOKUP($A43,Leveranser_per_nät,'Leveranser per nät'!R$1,FALSE)
               +Andel_beroende_av_klimat*VLOOKUP($A43,Leveranser_per_nät,'Leveranser per nät'!R$1,FALSE)/VLOOKUP($B43,Korrigeringsfaktor_EI,'Korrigeringsfaktor EI'!R$1,FALSE),
"")</f>
        <v>28.575393258426967</v>
      </c>
      <c r="S43" s="18">
        <f>IFERROR(
                  Andel_oberoende_av_klimat*VLOOKUP($A43,Leveranser_per_nät,'Leveranser per nät'!S$1,FALSE)
               +Andel_beroende_av_klimat*VLOOKUP($A43,Leveranser_per_nät,'Leveranser per nät'!S$1,FALSE)/VLOOKUP($B43,Korrigeringsfaktor_EI,'Korrigeringsfaktor EI'!S$1,FALSE),
"")</f>
        <v>34.240404040404037</v>
      </c>
      <c r="T43" s="18">
        <f>IFERROR(
                  Andel_oberoende_av_klimat*VLOOKUP($A43,Leveranser_per_nät,'Leveranser per nät'!T$1,FALSE)
               +Andel_beroende_av_klimat*VLOOKUP($A43,Leveranser_per_nät,'Leveranser per nät'!T$1,FALSE)/VLOOKUP($B43,Korrigeringsfaktor_EI,'Korrigeringsfaktor EI'!T$1,FALSE),
"")</f>
        <v>31.370107526881721</v>
      </c>
      <c r="U43" s="18">
        <f>IFERROR(
                  Andel_oberoende_av_klimat*VLOOKUP($A43,Leveranser_per_nät,'Leveranser per nät'!U$1,FALSE)
               +Andel_beroende_av_klimat*VLOOKUP($A43,Leveranser_per_nät,'Leveranser per nät'!U$1,FALSE)/VLOOKUP($B43,Korrigeringsfaktor_EI,'Korrigeringsfaktor EI'!U$1,FALSE),
"")</f>
        <v>29.14203333333333</v>
      </c>
      <c r="V43" s="18">
        <f>IFERROR(
                  Andel_oberoende_av_klimat*VLOOKUP($A43,Leveranser_per_nät,'Leveranser per nät'!V$1,FALSE)
               +Andel_beroende_av_klimat*VLOOKUP($A43,Leveranser_per_nät,'Leveranser per nät'!V$1,FALSE)/VLOOKUP($B43,Korrigeringsfaktor_EI,'Korrigeringsfaktor EI'!V$1,FALSE),
"")</f>
        <v>31.149655172413791</v>
      </c>
      <c r="W43" s="18">
        <f>IFERROR(
                  Andel_oberoende_av_klimat*VLOOKUP($A43,Leveranser_per_nät,'Leveranser per nät'!W$1,FALSE)
               +Andel_beroende_av_klimat*VLOOKUP($A43,Leveranser_per_nät,'Leveranser per nät'!W$1,FALSE)/VLOOKUP($B43,Korrigeringsfaktor_EI,'Korrigeringsfaktor EI'!W$1,FALSE),
"")</f>
        <v>27.161702127659577</v>
      </c>
      <c r="X43" s="18">
        <f>IFERROR(
                  Andel_oberoende_av_klimat*VLOOKUP($A43,Leveranser_per_nät,'Leveranser per nät'!X$1,FALSE)
               +Andel_beroende_av_klimat*VLOOKUP($A43,Leveranser_per_nät,'Leveranser per nät'!X$1,FALSE)/VLOOKUP($B43,Korrigeringsfaktor_EI,'Korrigeringsfaktor EI'!X$1,FALSE),
"")</f>
        <v>30.295744680851065</v>
      </c>
      <c r="Y43" s="18">
        <f>IFERROR(
                  Andel_oberoende_av_klimat*VLOOKUP($A43,Leveranser_per_nät,'Leveranser per nät'!Y$1,FALSE)
               +Andel_beroende_av_klimat*VLOOKUP($A43,Leveranser_per_nät,'Leveranser per nät'!Y$1,FALSE)/VLOOKUP($B43,Korrigeringsfaktor_EI,'Korrigeringsfaktor EI'!Y$1,FALSE),
"")</f>
        <v>30.587333333333333</v>
      </c>
      <c r="Z43" s="18">
        <f>IFERROR(
                  Andel_oberoende_av_klimat*VLOOKUP($A43,Leveranser_per_nät,'Leveranser per nät'!Z$1,FALSE)
               +Andel_beroende_av_klimat*VLOOKUP($A43,Leveranser_per_nät,'Leveranser per nät'!Z$1,FALSE)/VLOOKUP($B43,Korrigeringsfaktor_EI,'Korrigeringsfaktor EI'!Z$1,FALSE),
"")</f>
        <v>0</v>
      </c>
      <c r="AA43" s="18" t="str">
        <f>IFERROR(
                  Andel_oberoende_av_klimat*VLOOKUP($A43,Leveranser_per_nät,'Leveranser per nät'!AA$1,FALSE)
               +Andel_beroende_av_klimat*VLOOKUP($A43,Leveranser_per_nät,'Leveranser per nät'!AA$1,FALSE)/VLOOKUP($B43,Korrigeringsfaktor_EI,'Korrigeringsfaktor EI'!AA$1,FALSE),
"")</f>
        <v/>
      </c>
      <c r="AB43" s="18">
        <f>IFERROR(
                  Andel_oberoende_av_klimat*VLOOKUP($A43,Leveranser_per_nät,'Leveranser per nät'!AB$1,FALSE)
               +Andel_beroende_av_klimat*VLOOKUP($A43,Leveranser_per_nät,'Leveranser per nät'!AB$1,FALSE)/VLOOKUP($B43,Korrigeringsfaktor_EI,'Korrigeringsfaktor EI'!AB$1,FALSE),
"")</f>
        <v>0</v>
      </c>
      <c r="AC43" s="18">
        <f>IFERROR(
                  Andel_oberoende_av_klimat*VLOOKUP($A43,Leveranser_per_nät,'Leveranser per nät'!AC$1,FALSE)
               +Andel_beroende_av_klimat*VLOOKUP($A43,Leveranser_per_nät,'Leveranser per nät'!AC$1,FALSE)/VLOOKUP($B43,Korrigeringsfaktor_EI,'Korrigeringsfaktor EI'!AC$1,FALSE),
"")</f>
        <v>0</v>
      </c>
      <c r="AD43" t="e">
        <v>#N/A</v>
      </c>
    </row>
    <row r="44" spans="1:30" x14ac:dyDescent="0.25">
      <c r="A44" s="3" t="s">
        <v>97</v>
      </c>
      <c r="B44" t="s">
        <v>163</v>
      </c>
      <c r="C44" s="18">
        <f>IFERROR(
                  Andel_oberoende_av_klimat*VLOOKUP($A44,Leveranser_per_nät,'Leveranser per nät'!C$1,FALSE)
               +Andel_beroende_av_klimat*VLOOKUP($A44,Leveranser_per_nät,'Leveranser per nät'!C$1,FALSE)/VLOOKUP($B44,Korrigeringsfaktor_EI,'Korrigeringsfaktor EI'!C$1,FALSE),
"")</f>
        <v>0</v>
      </c>
      <c r="D44" s="18">
        <f>IFERROR(
                  Andel_oberoende_av_klimat*VLOOKUP($A44,Leveranser_per_nät,'Leveranser per nät'!D$1,FALSE)
               +Andel_beroende_av_klimat*VLOOKUP($A44,Leveranser_per_nät,'Leveranser per nät'!D$1,FALSE)/VLOOKUP($B44,Korrigeringsfaktor_EI,'Korrigeringsfaktor EI'!D$1,FALSE),
"")</f>
        <v>0</v>
      </c>
      <c r="E44" s="18">
        <f>IFERROR(
                  Andel_oberoende_av_klimat*VLOOKUP($A44,Leveranser_per_nät,'Leveranser per nät'!E$1,FALSE)
               +Andel_beroende_av_klimat*VLOOKUP($A44,Leveranser_per_nät,'Leveranser per nät'!E$1,FALSE)/VLOOKUP($B44,Korrigeringsfaktor_EI,'Korrigeringsfaktor EI'!E$1,FALSE),
"")</f>
        <v>0</v>
      </c>
      <c r="F44" s="18">
        <f>IFERROR(
                  Andel_oberoende_av_klimat*VLOOKUP($A44,Leveranser_per_nät,'Leveranser per nät'!F$1,FALSE)
               +Andel_beroende_av_klimat*VLOOKUP($A44,Leveranser_per_nät,'Leveranser per nät'!F$1,FALSE)/VLOOKUP($B44,Korrigeringsfaktor_EI,'Korrigeringsfaktor EI'!F$1,FALSE),
"")</f>
        <v>0</v>
      </c>
      <c r="G44" s="18">
        <f>IFERROR(
                  Andel_oberoende_av_klimat*VLOOKUP($A44,Leveranser_per_nät,'Leveranser per nät'!G$1,FALSE)
               +Andel_beroende_av_klimat*VLOOKUP($A44,Leveranser_per_nät,'Leveranser per nät'!G$1,FALSE)/VLOOKUP($B44,Korrigeringsfaktor_EI,'Korrigeringsfaktor EI'!G$1,FALSE),
"")</f>
        <v>0</v>
      </c>
      <c r="H44" s="18">
        <f>IFERROR(
                  Andel_oberoende_av_klimat*VLOOKUP($A44,Leveranser_per_nät,'Leveranser per nät'!H$1,FALSE)
               +Andel_beroende_av_klimat*VLOOKUP($A44,Leveranser_per_nät,'Leveranser per nät'!H$1,FALSE)/VLOOKUP($B44,Korrigeringsfaktor_EI,'Korrigeringsfaktor EI'!H$1,FALSE),
"")</f>
        <v>0</v>
      </c>
      <c r="I44" s="18">
        <f>IFERROR(
                  Andel_oberoende_av_klimat*VLOOKUP($A44,Leveranser_per_nät,'Leveranser per nät'!I$1,FALSE)
               +Andel_beroende_av_klimat*VLOOKUP($A44,Leveranser_per_nät,'Leveranser per nät'!I$1,FALSE)/VLOOKUP($B44,Korrigeringsfaktor_EI,'Korrigeringsfaktor EI'!I$1,FALSE),
"")</f>
        <v>0</v>
      </c>
      <c r="J44" s="18">
        <f>IFERROR(
                  Andel_oberoende_av_klimat*VLOOKUP($A44,Leveranser_per_nät,'Leveranser per nät'!J$1,FALSE)
               +Andel_beroende_av_klimat*VLOOKUP($A44,Leveranser_per_nät,'Leveranser per nät'!J$1,FALSE)/VLOOKUP($B44,Korrigeringsfaktor_EI,'Korrigeringsfaktor EI'!J$1,FALSE),
"")</f>
        <v>0</v>
      </c>
      <c r="K44" s="18">
        <f>IFERROR(
                  Andel_oberoende_av_klimat*VLOOKUP($A44,Leveranser_per_nät,'Leveranser per nät'!K$1,FALSE)
               +Andel_beroende_av_klimat*VLOOKUP($A44,Leveranser_per_nät,'Leveranser per nät'!K$1,FALSE)/VLOOKUP($B44,Korrigeringsfaktor_EI,'Korrigeringsfaktor EI'!K$1,FALSE),
"")</f>
        <v>0</v>
      </c>
      <c r="L44" s="18">
        <f>IFERROR(
                  Andel_oberoende_av_klimat*VLOOKUP($A44,Leveranser_per_nät,'Leveranser per nät'!L$1,FALSE)
               +Andel_beroende_av_klimat*VLOOKUP($A44,Leveranser_per_nät,'Leveranser per nät'!L$1,FALSE)/VLOOKUP($B44,Korrigeringsfaktor_EI,'Korrigeringsfaktor EI'!L$1,FALSE),
"")</f>
        <v>0</v>
      </c>
      <c r="M44" s="18">
        <f>IFERROR(
                  Andel_oberoende_av_klimat*VLOOKUP($A44,Leveranser_per_nät,'Leveranser per nät'!M$1,FALSE)
               +Andel_beroende_av_klimat*VLOOKUP($A44,Leveranser_per_nät,'Leveranser per nät'!M$1,FALSE)/VLOOKUP($B44,Korrigeringsfaktor_EI,'Korrigeringsfaktor EI'!M$1,FALSE),
"")</f>
        <v>0</v>
      </c>
      <c r="N44" s="18">
        <f>IFERROR(
                  Andel_oberoende_av_klimat*VLOOKUP($A44,Leveranser_per_nät,'Leveranser per nät'!N$1,FALSE)
               +Andel_beroende_av_klimat*VLOOKUP($A44,Leveranser_per_nät,'Leveranser per nät'!N$1,FALSE)/VLOOKUP($B44,Korrigeringsfaktor_EI,'Korrigeringsfaktor EI'!N$1,FALSE),
"")</f>
        <v>0</v>
      </c>
      <c r="O44" s="18">
        <f>IFERROR(
                  Andel_oberoende_av_klimat*VLOOKUP($A44,Leveranser_per_nät,'Leveranser per nät'!O$1,FALSE)
               +Andel_beroende_av_klimat*VLOOKUP($A44,Leveranser_per_nät,'Leveranser per nät'!O$1,FALSE)/VLOOKUP($B44,Korrigeringsfaktor_EI,'Korrigeringsfaktor EI'!O$1,FALSE),
"")</f>
        <v>0</v>
      </c>
      <c r="P44" s="18">
        <f>IFERROR(
                  Andel_oberoende_av_klimat*VLOOKUP($A44,Leveranser_per_nät,'Leveranser per nät'!P$1,FALSE)
               +Andel_beroende_av_klimat*VLOOKUP($A44,Leveranser_per_nät,'Leveranser per nät'!P$1,FALSE)/VLOOKUP($B44,Korrigeringsfaktor_EI,'Korrigeringsfaktor EI'!P$1,FALSE),
"")</f>
        <v>1.5619999999999998</v>
      </c>
      <c r="Q44" s="18">
        <f>IFERROR(
                  Andel_oberoende_av_klimat*VLOOKUP($A44,Leveranser_per_nät,'Leveranser per nät'!Q$1,FALSE)
               +Andel_beroende_av_klimat*VLOOKUP($A44,Leveranser_per_nät,'Leveranser per nät'!Q$1,FALSE)/VLOOKUP($B44,Korrigeringsfaktor_EI,'Korrigeringsfaktor EI'!Q$1,FALSE),
"")</f>
        <v>1.3319999999999999</v>
      </c>
      <c r="R44" s="18">
        <f>IFERROR(
                  Andel_oberoende_av_klimat*VLOOKUP($A44,Leveranser_per_nät,'Leveranser per nät'!R$1,FALSE)
               +Andel_beroende_av_klimat*VLOOKUP($A44,Leveranser_per_nät,'Leveranser per nät'!R$1,FALSE)/VLOOKUP($B44,Korrigeringsfaktor_EI,'Korrigeringsfaktor EI'!R$1,FALSE),
"")</f>
        <v>0</v>
      </c>
      <c r="S44" s="18" t="str">
        <f>IFERROR(
                  Andel_oberoende_av_klimat*VLOOKUP($A44,Leveranser_per_nät,'Leveranser per nät'!S$1,FALSE)
               +Andel_beroende_av_klimat*VLOOKUP($A44,Leveranser_per_nät,'Leveranser per nät'!S$1,FALSE)/VLOOKUP($B44,Korrigeringsfaktor_EI,'Korrigeringsfaktor EI'!S$1,FALSE),
"")</f>
        <v/>
      </c>
      <c r="T44" s="18" t="str">
        <f>IFERROR(
                  Andel_oberoende_av_klimat*VLOOKUP($A44,Leveranser_per_nät,'Leveranser per nät'!T$1,FALSE)
               +Andel_beroende_av_klimat*VLOOKUP($A44,Leveranser_per_nät,'Leveranser per nät'!T$1,FALSE)/VLOOKUP($B44,Korrigeringsfaktor_EI,'Korrigeringsfaktor EI'!T$1,FALSE),
"")</f>
        <v/>
      </c>
      <c r="U44" s="18" t="str">
        <f>IFERROR(
                  Andel_oberoende_av_klimat*VLOOKUP($A44,Leveranser_per_nät,'Leveranser per nät'!U$1,FALSE)
               +Andel_beroende_av_klimat*VLOOKUP($A44,Leveranser_per_nät,'Leveranser per nät'!U$1,FALSE)/VLOOKUP($B44,Korrigeringsfaktor_EI,'Korrigeringsfaktor EI'!U$1,FALSE),
"")</f>
        <v/>
      </c>
      <c r="V44" s="18" t="str">
        <f>IFERROR(
                  Andel_oberoende_av_klimat*VLOOKUP($A44,Leveranser_per_nät,'Leveranser per nät'!V$1,FALSE)
               +Andel_beroende_av_klimat*VLOOKUP($A44,Leveranser_per_nät,'Leveranser per nät'!V$1,FALSE)/VLOOKUP($B44,Korrigeringsfaktor_EI,'Korrigeringsfaktor EI'!V$1,FALSE),
"")</f>
        <v/>
      </c>
      <c r="W44" s="18" t="str">
        <f>IFERROR(
                  Andel_oberoende_av_klimat*VLOOKUP($A44,Leveranser_per_nät,'Leveranser per nät'!W$1,FALSE)
               +Andel_beroende_av_klimat*VLOOKUP($A44,Leveranser_per_nät,'Leveranser per nät'!W$1,FALSE)/VLOOKUP($B44,Korrigeringsfaktor_EI,'Korrigeringsfaktor EI'!W$1,FALSE),
"")</f>
        <v/>
      </c>
      <c r="X44" s="18" t="str">
        <f>IFERROR(
                  Andel_oberoende_av_klimat*VLOOKUP($A44,Leveranser_per_nät,'Leveranser per nät'!X$1,FALSE)
               +Andel_beroende_av_klimat*VLOOKUP($A44,Leveranser_per_nät,'Leveranser per nät'!X$1,FALSE)/VLOOKUP($B44,Korrigeringsfaktor_EI,'Korrigeringsfaktor EI'!X$1,FALSE),
"")</f>
        <v/>
      </c>
      <c r="Y44" s="18" t="str">
        <f>IFERROR(
                  Andel_oberoende_av_klimat*VLOOKUP($A44,Leveranser_per_nät,'Leveranser per nät'!Y$1,FALSE)
               +Andel_beroende_av_klimat*VLOOKUP($A44,Leveranser_per_nät,'Leveranser per nät'!Y$1,FALSE)/VLOOKUP($B44,Korrigeringsfaktor_EI,'Korrigeringsfaktor EI'!Y$1,FALSE),
"")</f>
        <v/>
      </c>
      <c r="Z44" s="18">
        <f>IFERROR(
                  Andel_oberoende_av_klimat*VLOOKUP($A44,Leveranser_per_nät,'Leveranser per nät'!Z$1,FALSE)
               +Andel_beroende_av_klimat*VLOOKUP($A44,Leveranser_per_nät,'Leveranser per nät'!Z$1,FALSE)/VLOOKUP($B44,Korrigeringsfaktor_EI,'Korrigeringsfaktor EI'!Z$1,FALSE),
"")</f>
        <v>0</v>
      </c>
      <c r="AA44" s="18" t="str">
        <f>IFERROR(
                  Andel_oberoende_av_klimat*VLOOKUP($A44,Leveranser_per_nät,'Leveranser per nät'!AA$1,FALSE)
               +Andel_beroende_av_klimat*VLOOKUP($A44,Leveranser_per_nät,'Leveranser per nät'!AA$1,FALSE)/VLOOKUP($B44,Korrigeringsfaktor_EI,'Korrigeringsfaktor EI'!AA$1,FALSE),
"")</f>
        <v/>
      </c>
      <c r="AB44" s="18">
        <f>IFERROR(
                  Andel_oberoende_av_klimat*VLOOKUP($A44,Leveranser_per_nät,'Leveranser per nät'!AB$1,FALSE)
               +Andel_beroende_av_klimat*VLOOKUP($A44,Leveranser_per_nät,'Leveranser per nät'!AB$1,FALSE)/VLOOKUP($B44,Korrigeringsfaktor_EI,'Korrigeringsfaktor EI'!AB$1,FALSE),
"")</f>
        <v>0</v>
      </c>
      <c r="AC44" s="18">
        <f>IFERROR(
                  Andel_oberoende_av_klimat*VLOOKUP($A44,Leveranser_per_nät,'Leveranser per nät'!AC$1,FALSE)
               +Andel_beroende_av_klimat*VLOOKUP($A44,Leveranser_per_nät,'Leveranser per nät'!AC$1,FALSE)/VLOOKUP($B44,Korrigeringsfaktor_EI,'Korrigeringsfaktor EI'!AC$1,FALSE),
"")</f>
        <v>0</v>
      </c>
      <c r="AD44" t="e">
        <v>#N/A</v>
      </c>
    </row>
    <row r="45" spans="1:30" x14ac:dyDescent="0.25">
      <c r="A45" t="s">
        <v>81</v>
      </c>
      <c r="B45" t="s">
        <v>81</v>
      </c>
      <c r="C45" s="18">
        <f>IFERROR(
                  Andel_oberoende_av_klimat*VLOOKUP($A45,Leveranser_per_nät,'Leveranser per nät'!C$1,FALSE)
               +Andel_beroende_av_klimat*VLOOKUP($A45,Leveranser_per_nät,'Leveranser per nät'!C$1,FALSE)/VLOOKUP($B45,Korrigeringsfaktor_EI,'Korrigeringsfaktor EI'!C$1,FALSE),
"")</f>
        <v>0</v>
      </c>
      <c r="D45" s="18">
        <f>IFERROR(
                  Andel_oberoende_av_klimat*VLOOKUP($A45,Leveranser_per_nät,'Leveranser per nät'!D$1,FALSE)
               +Andel_beroende_av_klimat*VLOOKUP($A45,Leveranser_per_nät,'Leveranser per nät'!D$1,FALSE)/VLOOKUP($B45,Korrigeringsfaktor_EI,'Korrigeringsfaktor EI'!D$1,FALSE),
"")</f>
        <v>0</v>
      </c>
      <c r="E45" s="18">
        <f>IFERROR(
                  Andel_oberoende_av_klimat*VLOOKUP($A45,Leveranser_per_nät,'Leveranser per nät'!E$1,FALSE)
               +Andel_beroende_av_klimat*VLOOKUP($A45,Leveranser_per_nät,'Leveranser per nät'!E$1,FALSE)/VLOOKUP($B45,Korrigeringsfaktor_EI,'Korrigeringsfaktor EI'!E$1,FALSE),
"")</f>
        <v>0</v>
      </c>
      <c r="F45" s="18">
        <f>IFERROR(
                  Andel_oberoende_av_klimat*VLOOKUP($A45,Leveranser_per_nät,'Leveranser per nät'!F$1,FALSE)
               +Andel_beroende_av_klimat*VLOOKUP($A45,Leveranser_per_nät,'Leveranser per nät'!F$1,FALSE)/VLOOKUP($B45,Korrigeringsfaktor_EI,'Korrigeringsfaktor EI'!F$1,FALSE),
"")</f>
        <v>0</v>
      </c>
      <c r="G45" s="18">
        <f>IFERROR(
                  Andel_oberoende_av_klimat*VLOOKUP($A45,Leveranser_per_nät,'Leveranser per nät'!G$1,FALSE)
               +Andel_beroende_av_klimat*VLOOKUP($A45,Leveranser_per_nät,'Leveranser per nät'!G$1,FALSE)/VLOOKUP($B45,Korrigeringsfaktor_EI,'Korrigeringsfaktor EI'!G$1,FALSE),
"")</f>
        <v>0</v>
      </c>
      <c r="H45" s="18">
        <f>IFERROR(
                  Andel_oberoende_av_klimat*VLOOKUP($A45,Leveranser_per_nät,'Leveranser per nät'!H$1,FALSE)
               +Andel_beroende_av_klimat*VLOOKUP($A45,Leveranser_per_nät,'Leveranser per nät'!H$1,FALSE)/VLOOKUP($B45,Korrigeringsfaktor_EI,'Korrigeringsfaktor EI'!H$1,FALSE),
"")</f>
        <v>0</v>
      </c>
      <c r="I45" s="18">
        <f>IFERROR(
                  Andel_oberoende_av_klimat*VLOOKUP($A45,Leveranser_per_nät,'Leveranser per nät'!I$1,FALSE)
               +Andel_beroende_av_klimat*VLOOKUP($A45,Leveranser_per_nät,'Leveranser per nät'!I$1,FALSE)/VLOOKUP($B45,Korrigeringsfaktor_EI,'Korrigeringsfaktor EI'!I$1,FALSE),
"")</f>
        <v>0</v>
      </c>
      <c r="J45" s="18">
        <f>IFERROR(
                  Andel_oberoende_av_klimat*VLOOKUP($A45,Leveranser_per_nät,'Leveranser per nät'!J$1,FALSE)
               +Andel_beroende_av_klimat*VLOOKUP($A45,Leveranser_per_nät,'Leveranser per nät'!J$1,FALSE)/VLOOKUP($B45,Korrigeringsfaktor_EI,'Korrigeringsfaktor EI'!J$1,FALSE),
"")</f>
        <v>0</v>
      </c>
      <c r="K45" s="18">
        <f>IFERROR(
                  Andel_oberoende_av_klimat*VLOOKUP($A45,Leveranser_per_nät,'Leveranser per nät'!K$1,FALSE)
               +Andel_beroende_av_klimat*VLOOKUP($A45,Leveranser_per_nät,'Leveranser per nät'!K$1,FALSE)/VLOOKUP($B45,Korrigeringsfaktor_EI,'Korrigeringsfaktor EI'!K$1,FALSE),
"")</f>
        <v>0</v>
      </c>
      <c r="L45" s="18">
        <f>IFERROR(
                  Andel_oberoende_av_klimat*VLOOKUP($A45,Leveranser_per_nät,'Leveranser per nät'!L$1,FALSE)
               +Andel_beroende_av_klimat*VLOOKUP($A45,Leveranser_per_nät,'Leveranser per nät'!L$1,FALSE)/VLOOKUP($B45,Korrigeringsfaktor_EI,'Korrigeringsfaktor EI'!L$1,FALSE),
"")</f>
        <v>5.0931707729960483</v>
      </c>
      <c r="M45" s="18">
        <f>IFERROR(
                  Andel_oberoende_av_klimat*VLOOKUP($A45,Leveranser_per_nät,'Leveranser per nät'!M$1,FALSE)
               +Andel_beroende_av_klimat*VLOOKUP($A45,Leveranser_per_nät,'Leveranser per nät'!M$1,FALSE)/VLOOKUP($B45,Korrigeringsfaktor_EI,'Korrigeringsfaktor EI'!M$1,FALSE),
"")</f>
        <v>6.2763846153846155</v>
      </c>
      <c r="N45" s="18">
        <f>IFERROR(
                  Andel_oberoende_av_klimat*VLOOKUP($A45,Leveranser_per_nät,'Leveranser per nät'!N$1,FALSE)
               +Andel_beroende_av_klimat*VLOOKUP($A45,Leveranser_per_nät,'Leveranser per nät'!N$1,FALSE)/VLOOKUP($B45,Korrigeringsfaktor_EI,'Korrigeringsfaktor EI'!N$1,FALSE),
"")</f>
        <v>12.150574712643678</v>
      </c>
      <c r="O45" s="18">
        <f>IFERROR(
                  Andel_oberoende_av_klimat*VLOOKUP($A45,Leveranser_per_nät,'Leveranser per nät'!O$1,FALSE)
               +Andel_beroende_av_klimat*VLOOKUP($A45,Leveranser_per_nät,'Leveranser per nät'!O$1,FALSE)/VLOOKUP($B45,Korrigeringsfaktor_EI,'Korrigeringsfaktor EI'!O$1,FALSE),
"")</f>
        <v>11.933881818181819</v>
      </c>
      <c r="P45" s="18">
        <f>IFERROR(
                  Andel_oberoende_av_klimat*VLOOKUP($A45,Leveranser_per_nät,'Leveranser per nät'!P$1,FALSE)
               +Andel_beroende_av_klimat*VLOOKUP($A45,Leveranser_per_nät,'Leveranser per nät'!P$1,FALSE)/VLOOKUP($B45,Korrigeringsfaktor_EI,'Korrigeringsfaktor EI'!P$1,FALSE),
"")</f>
        <v>13.065669565217391</v>
      </c>
      <c r="Q45" s="18">
        <f>IFERROR(
                  Andel_oberoende_av_klimat*VLOOKUP($A45,Leveranser_per_nät,'Leveranser per nät'!Q$1,FALSE)
               +Andel_beroende_av_klimat*VLOOKUP($A45,Leveranser_per_nät,'Leveranser per nät'!Q$1,FALSE)/VLOOKUP($B45,Korrigeringsfaktor_EI,'Korrigeringsfaktor EI'!Q$1,FALSE),
"")</f>
        <v>13.190825688073394</v>
      </c>
      <c r="R45" s="18">
        <f>IFERROR(
                  Andel_oberoende_av_klimat*VLOOKUP($A45,Leveranser_per_nät,'Leveranser per nät'!R$1,FALSE)
               +Andel_beroende_av_klimat*VLOOKUP($A45,Leveranser_per_nät,'Leveranser per nät'!R$1,FALSE)/VLOOKUP($B45,Korrigeringsfaktor_EI,'Korrigeringsfaktor EI'!R$1,FALSE),
"")</f>
        <v>13.022545311111111</v>
      </c>
      <c r="S45" s="18">
        <f>IFERROR(
                  Andel_oberoende_av_klimat*VLOOKUP($A45,Leveranser_per_nät,'Leveranser per nät'!S$1,FALSE)
               +Andel_beroende_av_klimat*VLOOKUP($A45,Leveranser_per_nät,'Leveranser per nät'!S$1,FALSE)/VLOOKUP($B45,Korrigeringsfaktor_EI,'Korrigeringsfaktor EI'!S$1,FALSE),
"")</f>
        <v>12.256050505050506</v>
      </c>
      <c r="T45" s="18">
        <f>IFERROR(
                  Andel_oberoende_av_klimat*VLOOKUP($A45,Leveranser_per_nät,'Leveranser per nät'!T$1,FALSE)
               +Andel_beroende_av_klimat*VLOOKUP($A45,Leveranser_per_nät,'Leveranser per nät'!T$1,FALSE)/VLOOKUP($B45,Korrigeringsfaktor_EI,'Korrigeringsfaktor EI'!T$1,FALSE),
"")</f>
        <v>14.30842105263158</v>
      </c>
      <c r="U45" s="18">
        <f>IFERROR(
                  Andel_oberoende_av_klimat*VLOOKUP($A45,Leveranser_per_nät,'Leveranser per nät'!U$1,FALSE)
               +Andel_beroende_av_klimat*VLOOKUP($A45,Leveranser_per_nät,'Leveranser per nät'!U$1,FALSE)/VLOOKUP($B45,Korrigeringsfaktor_EI,'Korrigeringsfaktor EI'!U$1,FALSE),
"")</f>
        <v>13.707058823529412</v>
      </c>
      <c r="V45" s="18">
        <f>IFERROR(
                  Andel_oberoende_av_klimat*VLOOKUP($A45,Leveranser_per_nät,'Leveranser per nät'!V$1,FALSE)
               +Andel_beroende_av_klimat*VLOOKUP($A45,Leveranser_per_nät,'Leveranser per nät'!V$1,FALSE)/VLOOKUP($B45,Korrigeringsfaktor_EI,'Korrigeringsfaktor EI'!V$1,FALSE),
"")</f>
        <v>11.517078651685392</v>
      </c>
      <c r="W45" s="18">
        <f>IFERROR(
                  Andel_oberoende_av_klimat*VLOOKUP($A45,Leveranser_per_nät,'Leveranser per nät'!W$1,FALSE)
               +Andel_beroende_av_klimat*VLOOKUP($A45,Leveranser_per_nät,'Leveranser per nät'!W$1,FALSE)/VLOOKUP($B45,Korrigeringsfaktor_EI,'Korrigeringsfaktor EI'!W$1,FALSE),
"")</f>
        <v>11.684838709677418</v>
      </c>
      <c r="X45" s="18">
        <f>IFERROR(
                  Andel_oberoende_av_klimat*VLOOKUP($A45,Leveranser_per_nät,'Leveranser per nät'!X$1,FALSE)
               +Andel_beroende_av_klimat*VLOOKUP($A45,Leveranser_per_nät,'Leveranser per nät'!X$1,FALSE)/VLOOKUP($B45,Korrigeringsfaktor_EI,'Korrigeringsfaktor EI'!X$1,FALSE),
"")</f>
        <v>12.624347826086957</v>
      </c>
      <c r="Y45" s="18">
        <f>IFERROR(
                  Andel_oberoende_av_klimat*VLOOKUP($A45,Leveranser_per_nät,'Leveranser per nät'!Y$1,FALSE)
               +Andel_beroende_av_klimat*VLOOKUP($A45,Leveranser_per_nät,'Leveranser per nät'!Y$1,FALSE)/VLOOKUP($B45,Korrigeringsfaktor_EI,'Korrigeringsfaktor EI'!Y$1,FALSE),
"")</f>
        <v>14.0283908045977</v>
      </c>
      <c r="Z45" s="18">
        <f>IFERROR(
                  Andel_oberoende_av_klimat*VLOOKUP($A45,Leveranser_per_nät,'Leveranser per nät'!Z$1,FALSE)
               +Andel_beroende_av_klimat*VLOOKUP($A45,Leveranser_per_nät,'Leveranser per nät'!Z$1,FALSE)/VLOOKUP($B45,Korrigeringsfaktor_EI,'Korrigeringsfaktor EI'!Z$1,FALSE),
"")</f>
        <v>13.478837209302325</v>
      </c>
      <c r="AA45" s="18">
        <f>IFERROR(
                  Andel_oberoende_av_klimat*VLOOKUP($A45,Leveranser_per_nät,'Leveranser per nät'!AA$1,FALSE)
               +Andel_beroende_av_klimat*VLOOKUP($A45,Leveranser_per_nät,'Leveranser per nät'!AA$1,FALSE)/VLOOKUP($B45,Korrigeringsfaktor_EI,'Korrigeringsfaktor EI'!AA$1,FALSE),
"")</f>
        <v>13.726727385308191</v>
      </c>
      <c r="AB45" s="18">
        <f>IFERROR(
                  Andel_oberoende_av_klimat*VLOOKUP($A45,Leveranser_per_nät,'Leveranser per nät'!AB$1,FALSE)
               +Andel_beroende_av_klimat*VLOOKUP($A45,Leveranser_per_nät,'Leveranser per nät'!AB$1,FALSE)/VLOOKUP($B45,Korrigeringsfaktor_EI,'Korrigeringsfaktor EI'!AB$1,FALSE),
"")</f>
        <v>13.530432220039291</v>
      </c>
      <c r="AC45" s="18">
        <f>IFERROR(
                  Andel_oberoende_av_klimat*VLOOKUP($A45,Leveranser_per_nät,'Leveranser per nät'!AC$1,FALSE)
               +Andel_beroende_av_klimat*VLOOKUP($A45,Leveranser_per_nät,'Leveranser per nät'!AC$1,FALSE)/VLOOKUP($B45,Korrigeringsfaktor_EI,'Korrigeringsfaktor EI'!AC$1,FALSE),
"")</f>
        <v>12.716203605514316</v>
      </c>
      <c r="AD45">
        <v>12.2</v>
      </c>
    </row>
    <row r="46" spans="1:30" x14ac:dyDescent="0.25">
      <c r="A46" t="s">
        <v>30</v>
      </c>
      <c r="B46" t="s">
        <v>30</v>
      </c>
      <c r="C46" s="18">
        <f>IFERROR(
                  Andel_oberoende_av_klimat*VLOOKUP($A46,Leveranser_per_nät,'Leveranser per nät'!C$1,FALSE)
               +Andel_beroende_av_klimat*VLOOKUP($A46,Leveranser_per_nät,'Leveranser per nät'!C$1,FALSE)/VLOOKUP($B46,Korrigeringsfaktor_EI,'Korrigeringsfaktor EI'!C$1,FALSE),
"")</f>
        <v>0</v>
      </c>
      <c r="D46" s="18">
        <f>IFERROR(
                  Andel_oberoende_av_klimat*VLOOKUP($A46,Leveranser_per_nät,'Leveranser per nät'!D$1,FALSE)
               +Andel_beroende_av_klimat*VLOOKUP($A46,Leveranser_per_nät,'Leveranser per nät'!D$1,FALSE)/VLOOKUP($B46,Korrigeringsfaktor_EI,'Korrigeringsfaktor EI'!D$1,FALSE),
"")</f>
        <v>0</v>
      </c>
      <c r="E46" s="18">
        <f>IFERROR(
                  Andel_oberoende_av_klimat*VLOOKUP($A46,Leveranser_per_nät,'Leveranser per nät'!E$1,FALSE)
               +Andel_beroende_av_klimat*VLOOKUP($A46,Leveranser_per_nät,'Leveranser per nät'!E$1,FALSE)/VLOOKUP($B46,Korrigeringsfaktor_EI,'Korrigeringsfaktor EI'!E$1,FALSE),
"")</f>
        <v>0</v>
      </c>
      <c r="F46" s="18">
        <f>IFERROR(
                  Andel_oberoende_av_klimat*VLOOKUP($A46,Leveranser_per_nät,'Leveranser per nät'!F$1,FALSE)
               +Andel_beroende_av_klimat*VLOOKUP($A46,Leveranser_per_nät,'Leveranser per nät'!F$1,FALSE)/VLOOKUP($B46,Korrigeringsfaktor_EI,'Korrigeringsfaktor EI'!F$1,FALSE),
"")</f>
        <v>10.216494845360826</v>
      </c>
      <c r="G46" s="18">
        <f>IFERROR(
                  Andel_oberoende_av_klimat*VLOOKUP($A46,Leveranser_per_nät,'Leveranser per nät'!G$1,FALSE)
               +Andel_beroende_av_klimat*VLOOKUP($A46,Leveranser_per_nät,'Leveranser per nät'!G$1,FALSE)/VLOOKUP($B46,Korrigeringsfaktor_EI,'Korrigeringsfaktor EI'!G$1,FALSE),
"")</f>
        <v>38.799999999999997</v>
      </c>
      <c r="H46" s="18">
        <f>IFERROR(
                  Andel_oberoende_av_klimat*VLOOKUP($A46,Leveranser_per_nät,'Leveranser per nät'!H$1,FALSE)
               +Andel_beroende_av_klimat*VLOOKUP($A46,Leveranser_per_nät,'Leveranser per nät'!H$1,FALSE)/VLOOKUP($B46,Korrigeringsfaktor_EI,'Korrigeringsfaktor EI'!H$1,FALSE),
"")</f>
        <v>48.370833333333337</v>
      </c>
      <c r="I46" s="18">
        <f>IFERROR(
                  Andel_oberoende_av_klimat*VLOOKUP($A46,Leveranser_per_nät,'Leveranser per nät'!I$1,FALSE)
               +Andel_beroende_av_klimat*VLOOKUP($A46,Leveranser_per_nät,'Leveranser per nät'!I$1,FALSE)/VLOOKUP($B46,Korrigeringsfaktor_EI,'Korrigeringsfaktor EI'!I$1,FALSE),
"")</f>
        <v>51.982608695652175</v>
      </c>
      <c r="J46" s="18">
        <f>IFERROR(
                  Andel_oberoende_av_klimat*VLOOKUP($A46,Leveranser_per_nät,'Leveranser per nät'!J$1,FALSE)
               +Andel_beroende_av_klimat*VLOOKUP($A46,Leveranser_per_nät,'Leveranser per nät'!J$1,FALSE)/VLOOKUP($B46,Korrigeringsfaktor_EI,'Korrigeringsfaktor EI'!J$1,FALSE),
"")</f>
        <v>52.487500000000004</v>
      </c>
      <c r="K46" s="18">
        <f>IFERROR(
                  Andel_oberoende_av_klimat*VLOOKUP($A46,Leveranser_per_nät,'Leveranser per nät'!K$1,FALSE)
               +Andel_beroende_av_klimat*VLOOKUP($A46,Leveranser_per_nät,'Leveranser per nät'!K$1,FALSE)/VLOOKUP($B46,Korrigeringsfaktor_EI,'Korrigeringsfaktor EI'!K$1,FALSE),
"")</f>
        <v>51.721800000000002</v>
      </c>
      <c r="L46" s="18">
        <f>IFERROR(
                  Andel_oberoende_av_klimat*VLOOKUP($A46,Leveranser_per_nät,'Leveranser per nät'!L$1,FALSE)
               +Andel_beroende_av_klimat*VLOOKUP($A46,Leveranser_per_nät,'Leveranser per nät'!L$1,FALSE)/VLOOKUP($B46,Korrigeringsfaktor_EI,'Korrigeringsfaktor EI'!L$1,FALSE),
"")</f>
        <v>50.632110526315792</v>
      </c>
      <c r="M46" s="18">
        <f>IFERROR(
                  Andel_oberoende_av_klimat*VLOOKUP($A46,Leveranser_per_nät,'Leveranser per nät'!M$1,FALSE)
               +Andel_beroende_av_klimat*VLOOKUP($A46,Leveranser_per_nät,'Leveranser per nät'!M$1,FALSE)/VLOOKUP($B46,Korrigeringsfaktor_EI,'Korrigeringsfaktor EI'!M$1,FALSE),
"")</f>
        <v>52.178461538461534</v>
      </c>
      <c r="N46" s="18">
        <f>IFERROR(
                  Andel_oberoende_av_klimat*VLOOKUP($A46,Leveranser_per_nät,'Leveranser per nät'!N$1,FALSE)
               +Andel_beroende_av_klimat*VLOOKUP($A46,Leveranser_per_nät,'Leveranser per nät'!N$1,FALSE)/VLOOKUP($B46,Korrigeringsfaktor_EI,'Korrigeringsfaktor EI'!N$1,FALSE),
"")</f>
        <v>51.733333333333334</v>
      </c>
      <c r="O46" s="18">
        <f>IFERROR(
                  Andel_oberoende_av_klimat*VLOOKUP($A46,Leveranser_per_nät,'Leveranser per nät'!O$1,FALSE)
               +Andel_beroende_av_klimat*VLOOKUP($A46,Leveranser_per_nät,'Leveranser per nät'!O$1,FALSE)/VLOOKUP($B46,Korrigeringsfaktor_EI,'Korrigeringsfaktor EI'!O$1,FALSE),
"")</f>
        <v>49.362222222222215</v>
      </c>
      <c r="P46" s="18">
        <f>IFERROR(
                  Andel_oberoende_av_klimat*VLOOKUP($A46,Leveranser_per_nät,'Leveranser per nät'!P$1,FALSE)
               +Andel_beroende_av_klimat*VLOOKUP($A46,Leveranser_per_nät,'Leveranser per nät'!P$1,FALSE)/VLOOKUP($B46,Korrigeringsfaktor_EI,'Korrigeringsfaktor EI'!P$1,FALSE),
"")</f>
        <v>45.413684210526313</v>
      </c>
      <c r="Q46" s="18">
        <f>IFERROR(
                  Andel_oberoende_av_klimat*VLOOKUP($A46,Leveranser_per_nät,'Leveranser per nät'!Q$1,FALSE)
               +Andel_beroende_av_klimat*VLOOKUP($A46,Leveranser_per_nät,'Leveranser per nät'!Q$1,FALSE)/VLOOKUP($B46,Korrigeringsfaktor_EI,'Korrigeringsfaktor EI'!Q$1,FALSE),
"")</f>
        <v>45.600909090909084</v>
      </c>
      <c r="R46" s="18">
        <f>IFERROR(
                  Andel_oberoende_av_klimat*VLOOKUP($A46,Leveranser_per_nät,'Leveranser per nät'!R$1,FALSE)
               +Andel_beroende_av_klimat*VLOOKUP($A46,Leveranser_per_nät,'Leveranser per nät'!R$1,FALSE)/VLOOKUP($B46,Korrigeringsfaktor_EI,'Korrigeringsfaktor EI'!R$1,FALSE),
"")</f>
        <v>43.945384615384611</v>
      </c>
      <c r="S46" s="18">
        <f>IFERROR(
                  Andel_oberoende_av_klimat*VLOOKUP($A46,Leveranser_per_nät,'Leveranser per nät'!S$1,FALSE)
               +Andel_beroende_av_klimat*VLOOKUP($A46,Leveranser_per_nät,'Leveranser per nät'!S$1,FALSE)/VLOOKUP($B46,Korrigeringsfaktor_EI,'Korrigeringsfaktor EI'!S$1,FALSE),
"")</f>
        <v>39.557142857142857</v>
      </c>
      <c r="T46" s="18">
        <f>IFERROR(
                  Andel_oberoende_av_klimat*VLOOKUP($A46,Leveranser_per_nät,'Leveranser per nät'!T$1,FALSE)
               +Andel_beroende_av_klimat*VLOOKUP($A46,Leveranser_per_nät,'Leveranser per nät'!T$1,FALSE)/VLOOKUP($B46,Korrigeringsfaktor_EI,'Korrigeringsfaktor EI'!T$1,FALSE),
"")</f>
        <v>41.37</v>
      </c>
      <c r="U46" s="18">
        <f>IFERROR(
                  Andel_oberoende_av_klimat*VLOOKUP($A46,Leveranser_per_nät,'Leveranser per nät'!U$1,FALSE)
               +Andel_beroende_av_klimat*VLOOKUP($A46,Leveranser_per_nät,'Leveranser per nät'!U$1,FALSE)/VLOOKUP($B46,Korrigeringsfaktor_EI,'Korrigeringsfaktor EI'!U$1,FALSE),
"")</f>
        <v>39.09882352941176</v>
      </c>
      <c r="V46" s="18">
        <f>IFERROR(
                  Andel_oberoende_av_klimat*VLOOKUP($A46,Leveranser_per_nät,'Leveranser per nät'!V$1,FALSE)
               +Andel_beroende_av_klimat*VLOOKUP($A46,Leveranser_per_nät,'Leveranser per nät'!V$1,FALSE)/VLOOKUP($B46,Korrigeringsfaktor_EI,'Korrigeringsfaktor EI'!V$1,FALSE),
"")</f>
        <v>37.026363636363634</v>
      </c>
      <c r="W46" s="18">
        <f>IFERROR(
                  Andel_oberoende_av_klimat*VLOOKUP($A46,Leveranser_per_nät,'Leveranser per nät'!W$1,FALSE)
               +Andel_beroende_av_klimat*VLOOKUP($A46,Leveranser_per_nät,'Leveranser per nät'!W$1,FALSE)/VLOOKUP($B46,Korrigeringsfaktor_EI,'Korrigeringsfaktor EI'!W$1,FALSE),
"")</f>
        <v>37.660869565217389</v>
      </c>
      <c r="X46" s="18">
        <f>IFERROR(
                  Andel_oberoende_av_klimat*VLOOKUP($A46,Leveranser_per_nät,'Leveranser per nät'!X$1,FALSE)
               +Andel_beroende_av_klimat*VLOOKUP($A46,Leveranser_per_nät,'Leveranser per nät'!X$1,FALSE)/VLOOKUP($B46,Korrigeringsfaktor_EI,'Korrigeringsfaktor EI'!X$1,FALSE),
"")</f>
        <v>39.775384615384617</v>
      </c>
      <c r="Y46" s="18">
        <f>IFERROR(
                  Andel_oberoende_av_klimat*VLOOKUP($A46,Leveranser_per_nät,'Leveranser per nät'!Y$1,FALSE)
               +Andel_beroende_av_klimat*VLOOKUP($A46,Leveranser_per_nät,'Leveranser per nät'!Y$1,FALSE)/VLOOKUP($B46,Korrigeringsfaktor_EI,'Korrigeringsfaktor EI'!Y$1,FALSE),
"")</f>
        <v>40.093636363636364</v>
      </c>
      <c r="Z46" s="18">
        <f>IFERROR(
                  Andel_oberoende_av_klimat*VLOOKUP($A46,Leveranser_per_nät,'Leveranser per nät'!Z$1,FALSE)
               +Andel_beroende_av_klimat*VLOOKUP($A46,Leveranser_per_nät,'Leveranser per nät'!Z$1,FALSE)/VLOOKUP($B46,Korrigeringsfaktor_EI,'Korrigeringsfaktor EI'!Z$1,FALSE),
"")</f>
        <v>38.873333333333335</v>
      </c>
      <c r="AA46" s="18">
        <f>IFERROR(
                  Andel_oberoende_av_klimat*VLOOKUP($A46,Leveranser_per_nät,'Leveranser per nät'!AA$1,FALSE)
               +Andel_beroende_av_klimat*VLOOKUP($A46,Leveranser_per_nät,'Leveranser per nät'!AA$1,FALSE)/VLOOKUP($B46,Korrigeringsfaktor_EI,'Korrigeringsfaktor EI'!AA$1,FALSE),
"")</f>
        <v>37.147883426552838</v>
      </c>
      <c r="AB46" s="18">
        <f>IFERROR(
                  Andel_oberoende_av_klimat*VLOOKUP($A46,Leveranser_per_nät,'Leveranser per nät'!AB$1,FALSE)
               +Andel_beroende_av_klimat*VLOOKUP($A46,Leveranser_per_nät,'Leveranser per nät'!AB$1,FALSE)/VLOOKUP($B46,Korrigeringsfaktor_EI,'Korrigeringsfaktor EI'!AB$1,FALSE),
"")</f>
        <v>35.4</v>
      </c>
      <c r="AC46" s="18">
        <f>IFERROR(
                  Andel_oberoende_av_klimat*VLOOKUP($A46,Leveranser_per_nät,'Leveranser per nät'!AC$1,FALSE)
               +Andel_beroende_av_klimat*VLOOKUP($A46,Leveranser_per_nät,'Leveranser per nät'!AC$1,FALSE)/VLOOKUP($B46,Korrigeringsfaktor_EI,'Korrigeringsfaktor EI'!AC$1,FALSE),
"")</f>
        <v>34.871610845986979</v>
      </c>
      <c r="AD46" t="s">
        <v>805</v>
      </c>
    </row>
    <row r="47" spans="1:30" x14ac:dyDescent="0.25">
      <c r="A47" t="s">
        <v>393</v>
      </c>
      <c r="B47" t="s">
        <v>157</v>
      </c>
      <c r="C47" s="18">
        <f>IFERROR(
                  Andel_oberoende_av_klimat*VLOOKUP($A47,Leveranser_per_nät,'Leveranser per nät'!C$1,FALSE)
               +Andel_beroende_av_klimat*VLOOKUP($A47,Leveranser_per_nät,'Leveranser per nät'!C$1,FALSE)/VLOOKUP($B47,Korrigeringsfaktor_EI,'Korrigeringsfaktor EI'!C$1,FALSE),
"")</f>
        <v>0</v>
      </c>
      <c r="D47" s="18">
        <f>IFERROR(
                  Andel_oberoende_av_klimat*VLOOKUP($A47,Leveranser_per_nät,'Leveranser per nät'!D$1,FALSE)
               +Andel_beroende_av_klimat*VLOOKUP($A47,Leveranser_per_nät,'Leveranser per nät'!D$1,FALSE)/VLOOKUP($B47,Korrigeringsfaktor_EI,'Korrigeringsfaktor EI'!D$1,FALSE),
"")</f>
        <v>0</v>
      </c>
      <c r="E47" s="18">
        <f>IFERROR(
                  Andel_oberoende_av_klimat*VLOOKUP($A47,Leveranser_per_nät,'Leveranser per nät'!E$1,FALSE)
               +Andel_beroende_av_klimat*VLOOKUP($A47,Leveranser_per_nät,'Leveranser per nät'!E$1,FALSE)/VLOOKUP($B47,Korrigeringsfaktor_EI,'Korrigeringsfaktor EI'!E$1,FALSE),
"")</f>
        <v>0</v>
      </c>
      <c r="F47" s="18">
        <f>IFERROR(
                  Andel_oberoende_av_klimat*VLOOKUP($A47,Leveranser_per_nät,'Leveranser per nät'!F$1,FALSE)
               +Andel_beroende_av_klimat*VLOOKUP($A47,Leveranser_per_nät,'Leveranser per nät'!F$1,FALSE)/VLOOKUP($B47,Korrigeringsfaktor_EI,'Korrigeringsfaktor EI'!F$1,FALSE),
"")</f>
        <v>0</v>
      </c>
      <c r="G47" s="18">
        <f>IFERROR(
                  Andel_oberoende_av_klimat*VLOOKUP($A47,Leveranser_per_nät,'Leveranser per nät'!G$1,FALSE)
               +Andel_beroende_av_klimat*VLOOKUP($A47,Leveranser_per_nät,'Leveranser per nät'!G$1,FALSE)/VLOOKUP($B47,Korrigeringsfaktor_EI,'Korrigeringsfaktor EI'!G$1,FALSE),
"")</f>
        <v>0</v>
      </c>
      <c r="H47" s="18">
        <f>IFERROR(
                  Andel_oberoende_av_klimat*VLOOKUP($A47,Leveranser_per_nät,'Leveranser per nät'!H$1,FALSE)
               +Andel_beroende_av_klimat*VLOOKUP($A47,Leveranser_per_nät,'Leveranser per nät'!H$1,FALSE)/VLOOKUP($B47,Korrigeringsfaktor_EI,'Korrigeringsfaktor EI'!H$1,FALSE),
"")</f>
        <v>0</v>
      </c>
      <c r="I47" s="18">
        <f>IFERROR(
                  Andel_oberoende_av_klimat*VLOOKUP($A47,Leveranser_per_nät,'Leveranser per nät'!I$1,FALSE)
               +Andel_beroende_av_klimat*VLOOKUP($A47,Leveranser_per_nät,'Leveranser per nät'!I$1,FALSE)/VLOOKUP($B47,Korrigeringsfaktor_EI,'Korrigeringsfaktor EI'!I$1,FALSE),
"")</f>
        <v>0</v>
      </c>
      <c r="J47" s="18">
        <f>IFERROR(
                  Andel_oberoende_av_klimat*VLOOKUP($A47,Leveranser_per_nät,'Leveranser per nät'!J$1,FALSE)
               +Andel_beroende_av_klimat*VLOOKUP($A47,Leveranser_per_nät,'Leveranser per nät'!J$1,FALSE)/VLOOKUP($B47,Korrigeringsfaktor_EI,'Korrigeringsfaktor EI'!J$1,FALSE),
"")</f>
        <v>0</v>
      </c>
      <c r="K47" s="18">
        <f>IFERROR(
                  Andel_oberoende_av_klimat*VLOOKUP($A47,Leveranser_per_nät,'Leveranser per nät'!K$1,FALSE)
               +Andel_beroende_av_klimat*VLOOKUP($A47,Leveranser_per_nät,'Leveranser per nät'!K$1,FALSE)/VLOOKUP($B47,Korrigeringsfaktor_EI,'Korrigeringsfaktor EI'!K$1,FALSE),
"")</f>
        <v>0</v>
      </c>
      <c r="L47" s="18">
        <f>IFERROR(
                  Andel_oberoende_av_klimat*VLOOKUP($A47,Leveranser_per_nät,'Leveranser per nät'!L$1,FALSE)
               +Andel_beroende_av_klimat*VLOOKUP($A47,Leveranser_per_nät,'Leveranser per nät'!L$1,FALSE)/VLOOKUP($B47,Korrigeringsfaktor_EI,'Korrigeringsfaktor EI'!L$1,FALSE),
"")</f>
        <v>0</v>
      </c>
      <c r="M47" s="18">
        <f>IFERROR(
                  Andel_oberoende_av_klimat*VLOOKUP($A47,Leveranser_per_nät,'Leveranser per nät'!M$1,FALSE)
               +Andel_beroende_av_klimat*VLOOKUP($A47,Leveranser_per_nät,'Leveranser per nät'!M$1,FALSE)/VLOOKUP($B47,Korrigeringsfaktor_EI,'Korrigeringsfaktor EI'!M$1,FALSE),
"")</f>
        <v>0</v>
      </c>
      <c r="N47" s="18">
        <f>IFERROR(
                  Andel_oberoende_av_klimat*VLOOKUP($A47,Leveranser_per_nät,'Leveranser per nät'!N$1,FALSE)
               +Andel_beroende_av_klimat*VLOOKUP($A47,Leveranser_per_nät,'Leveranser per nät'!N$1,FALSE)/VLOOKUP($B47,Korrigeringsfaktor_EI,'Korrigeringsfaktor EI'!N$1,FALSE),
"")</f>
        <v>0</v>
      </c>
      <c r="O47" s="18">
        <f>IFERROR(
                  Andel_oberoende_av_klimat*VLOOKUP($A47,Leveranser_per_nät,'Leveranser per nät'!O$1,FALSE)
               +Andel_beroende_av_klimat*VLOOKUP($A47,Leveranser_per_nät,'Leveranser per nät'!O$1,FALSE)/VLOOKUP($B47,Korrigeringsfaktor_EI,'Korrigeringsfaktor EI'!O$1,FALSE),
"")</f>
        <v>0</v>
      </c>
      <c r="P47" s="18">
        <f>IFERROR(
                  Andel_oberoende_av_klimat*VLOOKUP($A47,Leveranser_per_nät,'Leveranser per nät'!P$1,FALSE)
               +Andel_beroende_av_klimat*VLOOKUP($A47,Leveranser_per_nät,'Leveranser per nät'!P$1,FALSE)/VLOOKUP($B47,Korrigeringsfaktor_EI,'Korrigeringsfaktor EI'!P$1,FALSE),
"")</f>
        <v>0</v>
      </c>
      <c r="Q47" s="18">
        <f>IFERROR(
                  Andel_oberoende_av_klimat*VLOOKUP($A47,Leveranser_per_nät,'Leveranser per nät'!Q$1,FALSE)
               +Andel_beroende_av_klimat*VLOOKUP($A47,Leveranser_per_nät,'Leveranser per nät'!Q$1,FALSE)/VLOOKUP($B47,Korrigeringsfaktor_EI,'Korrigeringsfaktor EI'!Q$1,FALSE),
"")</f>
        <v>15.262499999999999</v>
      </c>
      <c r="R47" s="18">
        <f>IFERROR(
                  Andel_oberoende_av_klimat*VLOOKUP($A47,Leveranser_per_nät,'Leveranser per nät'!R$1,FALSE)
               +Andel_beroende_av_klimat*VLOOKUP($A47,Leveranser_per_nät,'Leveranser per nät'!R$1,FALSE)/VLOOKUP($B47,Korrigeringsfaktor_EI,'Korrigeringsfaktor EI'!R$1,FALSE),
"")</f>
        <v>0</v>
      </c>
      <c r="S47" s="18" t="str">
        <f>IFERROR(
                  Andel_oberoende_av_klimat*VLOOKUP($A47,Leveranser_per_nät,'Leveranser per nät'!S$1,FALSE)
               +Andel_beroende_av_klimat*VLOOKUP($A47,Leveranser_per_nät,'Leveranser per nät'!S$1,FALSE)/VLOOKUP($B47,Korrigeringsfaktor_EI,'Korrigeringsfaktor EI'!S$1,FALSE),
"")</f>
        <v/>
      </c>
      <c r="T47" s="18" t="str">
        <f>IFERROR(
                  Andel_oberoende_av_klimat*VLOOKUP($A47,Leveranser_per_nät,'Leveranser per nät'!T$1,FALSE)
               +Andel_beroende_av_klimat*VLOOKUP($A47,Leveranser_per_nät,'Leveranser per nät'!T$1,FALSE)/VLOOKUP($B47,Korrigeringsfaktor_EI,'Korrigeringsfaktor EI'!T$1,FALSE),
"")</f>
        <v/>
      </c>
      <c r="U47" s="18">
        <f>IFERROR(
                  Andel_oberoende_av_klimat*VLOOKUP($A47,Leveranser_per_nät,'Leveranser per nät'!U$1,FALSE)
               +Andel_beroende_av_klimat*VLOOKUP($A47,Leveranser_per_nät,'Leveranser per nät'!U$1,FALSE)/VLOOKUP($B47,Korrigeringsfaktor_EI,'Korrigeringsfaktor EI'!U$1,FALSE),
"")</f>
        <v>0</v>
      </c>
      <c r="V47" s="18" t="str">
        <f>IFERROR(
                  Andel_oberoende_av_klimat*VLOOKUP($A47,Leveranser_per_nät,'Leveranser per nät'!V$1,FALSE)
               +Andel_beroende_av_klimat*VLOOKUP($A47,Leveranser_per_nät,'Leveranser per nät'!V$1,FALSE)/VLOOKUP($B47,Korrigeringsfaktor_EI,'Korrigeringsfaktor EI'!V$1,FALSE),
"")</f>
        <v/>
      </c>
      <c r="W47" s="18" t="str">
        <f>IFERROR(
                  Andel_oberoende_av_klimat*VLOOKUP($A47,Leveranser_per_nät,'Leveranser per nät'!W$1,FALSE)
               +Andel_beroende_av_klimat*VLOOKUP($A47,Leveranser_per_nät,'Leveranser per nät'!W$1,FALSE)/VLOOKUP($B47,Korrigeringsfaktor_EI,'Korrigeringsfaktor EI'!W$1,FALSE),
"")</f>
        <v/>
      </c>
      <c r="X47" s="18">
        <f>IFERROR(
                  Andel_oberoende_av_klimat*VLOOKUP($A47,Leveranser_per_nät,'Leveranser per nät'!X$1,FALSE)
               +Andel_beroende_av_klimat*VLOOKUP($A47,Leveranser_per_nät,'Leveranser per nät'!X$1,FALSE)/VLOOKUP($B47,Korrigeringsfaktor_EI,'Korrigeringsfaktor EI'!X$1,FALSE),
"")</f>
        <v>0</v>
      </c>
      <c r="Y47" s="18">
        <f>IFERROR(
                  Andel_oberoende_av_klimat*VLOOKUP($A47,Leveranser_per_nät,'Leveranser per nät'!Y$1,FALSE)
               +Andel_beroende_av_klimat*VLOOKUP($A47,Leveranser_per_nät,'Leveranser per nät'!Y$1,FALSE)/VLOOKUP($B47,Korrigeringsfaktor_EI,'Korrigeringsfaktor EI'!Y$1,FALSE),
"")</f>
        <v>0</v>
      </c>
      <c r="Z47" s="18">
        <f>IFERROR(
                  Andel_oberoende_av_klimat*VLOOKUP($A47,Leveranser_per_nät,'Leveranser per nät'!Z$1,FALSE)
               +Andel_beroende_av_klimat*VLOOKUP($A47,Leveranser_per_nät,'Leveranser per nät'!Z$1,FALSE)/VLOOKUP($B47,Korrigeringsfaktor_EI,'Korrigeringsfaktor EI'!Z$1,FALSE),
"")</f>
        <v>0</v>
      </c>
      <c r="AA47" s="18" t="str">
        <f>IFERROR(
                  Andel_oberoende_av_klimat*VLOOKUP($A47,Leveranser_per_nät,'Leveranser per nät'!AA$1,FALSE)
               +Andel_beroende_av_klimat*VLOOKUP($A47,Leveranser_per_nät,'Leveranser per nät'!AA$1,FALSE)/VLOOKUP($B47,Korrigeringsfaktor_EI,'Korrigeringsfaktor EI'!AA$1,FALSE),
"")</f>
        <v/>
      </c>
      <c r="AB47" s="18">
        <f>IFERROR(
                  Andel_oberoende_av_klimat*VLOOKUP($A47,Leveranser_per_nät,'Leveranser per nät'!AB$1,FALSE)
               +Andel_beroende_av_klimat*VLOOKUP($A47,Leveranser_per_nät,'Leveranser per nät'!AB$1,FALSE)/VLOOKUP($B47,Korrigeringsfaktor_EI,'Korrigeringsfaktor EI'!AB$1,FALSE),
"")</f>
        <v>0</v>
      </c>
      <c r="AC47" s="18">
        <f>IFERROR(
                  Andel_oberoende_av_klimat*VLOOKUP($A47,Leveranser_per_nät,'Leveranser per nät'!AC$1,FALSE)
               +Andel_beroende_av_klimat*VLOOKUP($A47,Leveranser_per_nät,'Leveranser per nät'!AC$1,FALSE)/VLOOKUP($B47,Korrigeringsfaktor_EI,'Korrigeringsfaktor EI'!AC$1,FALSE),
"")</f>
        <v>0</v>
      </c>
      <c r="AD47">
        <v>524.17999999999995</v>
      </c>
    </row>
    <row r="48" spans="1:30" x14ac:dyDescent="0.25">
      <c r="A48" t="s">
        <v>31</v>
      </c>
      <c r="B48" s="41" t="s">
        <v>370</v>
      </c>
      <c r="C48" s="18">
        <f>IFERROR(
                  Andel_oberoende_av_klimat*VLOOKUP($A48,Leveranser_per_nät,'Leveranser per nät'!C$1,FALSE)
               +Andel_beroende_av_klimat*VLOOKUP($A48,Leveranser_per_nät,'Leveranser per nät'!C$1,FALSE)/VLOOKUP($B48,Korrigeringsfaktor_EI,'Korrigeringsfaktor EI'!C$1,FALSE),
"")</f>
        <v>16.017431192660549</v>
      </c>
      <c r="D48" s="18">
        <f>IFERROR(
                  Andel_oberoende_av_klimat*VLOOKUP($A48,Leveranser_per_nät,'Leveranser per nät'!D$1,FALSE)
               +Andel_beroende_av_klimat*VLOOKUP($A48,Leveranser_per_nät,'Leveranser per nät'!D$1,FALSE)/VLOOKUP($B48,Korrigeringsfaktor_EI,'Korrigeringsfaktor EI'!D$1,FALSE),
"")</f>
        <v>16.877649484536082</v>
      </c>
      <c r="E48" s="18">
        <f>IFERROR(
                  Andel_oberoende_av_klimat*VLOOKUP($A48,Leveranser_per_nät,'Leveranser per nät'!E$1,FALSE)
               +Andel_beroende_av_klimat*VLOOKUP($A48,Leveranser_per_nät,'Leveranser per nät'!E$1,FALSE)/VLOOKUP($B48,Korrigeringsfaktor_EI,'Korrigeringsfaktor EI'!E$1,FALSE),
"")</f>
        <v>15.889108910891089</v>
      </c>
      <c r="F48" s="18">
        <f>IFERROR(
                  Andel_oberoende_av_klimat*VLOOKUP($A48,Leveranser_per_nät,'Leveranser per nät'!F$1,FALSE)
               +Andel_beroende_av_klimat*VLOOKUP($A48,Leveranser_per_nät,'Leveranser per nät'!F$1,FALSE)/VLOOKUP($B48,Korrigeringsfaktor_EI,'Korrigeringsfaktor EI'!F$1,FALSE),
"")</f>
        <v>15</v>
      </c>
      <c r="G48" s="18">
        <f>IFERROR(
                  Andel_oberoende_av_klimat*VLOOKUP($A48,Leveranser_per_nät,'Leveranser per nät'!G$1,FALSE)
               +Andel_beroende_av_klimat*VLOOKUP($A48,Leveranser_per_nät,'Leveranser per nät'!G$1,FALSE)/VLOOKUP($B48,Korrigeringsfaktor_EI,'Korrigeringsfaktor EI'!G$1,FALSE),
"")</f>
        <v>15.670212765957448</v>
      </c>
      <c r="H48" s="18">
        <f>IFERROR(
                  Andel_oberoende_av_klimat*VLOOKUP($A48,Leveranser_per_nät,'Leveranser per nät'!H$1,FALSE)
               +Andel_beroende_av_klimat*VLOOKUP($A48,Leveranser_per_nät,'Leveranser per nät'!H$1,FALSE)/VLOOKUP($B48,Korrigeringsfaktor_EI,'Korrigeringsfaktor EI'!H$1,FALSE),
"")</f>
        <v>15.889108910891089</v>
      </c>
      <c r="I48" s="18">
        <f>IFERROR(
                  Andel_oberoende_av_klimat*VLOOKUP($A48,Leveranser_per_nät,'Leveranser per nät'!I$1,FALSE)
               +Andel_beroende_av_klimat*VLOOKUP($A48,Leveranser_per_nät,'Leveranser per nät'!I$1,FALSE)/VLOOKUP($B48,Korrigeringsfaktor_EI,'Korrigeringsfaktor EI'!I$1,FALSE),
"")</f>
        <v>16.589473684210525</v>
      </c>
      <c r="J48" s="18">
        <f>IFERROR(
                  Andel_oberoende_av_klimat*VLOOKUP($A48,Leveranser_per_nät,'Leveranser per nät'!J$1,FALSE)
               +Andel_beroende_av_klimat*VLOOKUP($A48,Leveranser_per_nät,'Leveranser per nät'!J$1,FALSE)/VLOOKUP($B48,Korrigeringsfaktor_EI,'Korrigeringsfaktor EI'!J$1,FALSE),
"")</f>
        <v>16.466666666666669</v>
      </c>
      <c r="K48" s="18">
        <f>IFERROR(
                  Andel_oberoende_av_klimat*VLOOKUP($A48,Leveranser_per_nät,'Leveranser per nät'!K$1,FALSE)
               +Andel_beroende_av_klimat*VLOOKUP($A48,Leveranser_per_nät,'Leveranser per nät'!K$1,FALSE)/VLOOKUP($B48,Korrigeringsfaktor_EI,'Korrigeringsfaktor EI'!K$1,FALSE),
"")</f>
        <v>16.493425000000002</v>
      </c>
      <c r="L48" s="18">
        <f>IFERROR(
                  Andel_oberoende_av_klimat*VLOOKUP($A48,Leveranser_per_nät,'Leveranser per nät'!L$1,FALSE)
               +Andel_beroende_av_klimat*VLOOKUP($A48,Leveranser_per_nät,'Leveranser per nät'!L$1,FALSE)/VLOOKUP($B48,Korrigeringsfaktor_EI,'Korrigeringsfaktor EI'!L$1,FALSE),
"")</f>
        <v>16.292842553191491</v>
      </c>
      <c r="M48" s="18">
        <f>IFERROR(
                  Andel_oberoende_av_klimat*VLOOKUP($A48,Leveranser_per_nät,'Leveranser per nät'!M$1,FALSE)
               +Andel_beroende_av_klimat*VLOOKUP($A48,Leveranser_per_nät,'Leveranser per nät'!M$1,FALSE)/VLOOKUP($B48,Korrigeringsfaktor_EI,'Korrigeringsfaktor EI'!M$1,FALSE),
"")</f>
        <v>12.855361538461537</v>
      </c>
      <c r="N48" s="18">
        <f>IFERROR(
                  Andel_oberoende_av_klimat*VLOOKUP($A48,Leveranser_per_nät,'Leveranser per nät'!N$1,FALSE)
               +Andel_beroende_av_klimat*VLOOKUP($A48,Leveranser_per_nät,'Leveranser per nät'!N$1,FALSE)/VLOOKUP($B48,Korrigeringsfaktor_EI,'Korrigeringsfaktor EI'!N$1,FALSE),
"")</f>
        <v>14.982368421052632</v>
      </c>
      <c r="O48" s="18">
        <f>IFERROR(
                  Andel_oberoende_av_klimat*VLOOKUP($A48,Leveranser_per_nät,'Leveranser per nät'!O$1,FALSE)
               +Andel_beroende_av_klimat*VLOOKUP($A48,Leveranser_per_nät,'Leveranser per nät'!O$1,FALSE)/VLOOKUP($B48,Korrigeringsfaktor_EI,'Korrigeringsfaktor EI'!O$1,FALSE),
"")</f>
        <v>14.982368421052632</v>
      </c>
      <c r="P48" s="18">
        <f>IFERROR(
                  Andel_oberoende_av_klimat*VLOOKUP($A48,Leveranser_per_nät,'Leveranser per nät'!P$1,FALSE)
               +Andel_beroende_av_klimat*VLOOKUP($A48,Leveranser_per_nät,'Leveranser per nät'!P$1,FALSE)/VLOOKUP($B48,Korrigeringsfaktor_EI,'Korrigeringsfaktor EI'!P$1,FALSE),
"")</f>
        <v>17</v>
      </c>
      <c r="Q48" s="18">
        <f>IFERROR(
                  Andel_oberoende_av_klimat*VLOOKUP($A48,Leveranser_per_nät,'Leveranser per nät'!Q$1,FALSE)
               +Andel_beroende_av_klimat*VLOOKUP($A48,Leveranser_per_nät,'Leveranser per nät'!Q$1,FALSE)/VLOOKUP($B48,Korrigeringsfaktor_EI,'Korrigeringsfaktor EI'!Q$1,FALSE),
"")</f>
        <v>16.372499999999999</v>
      </c>
      <c r="R48" s="18">
        <f>IFERROR(
                  Andel_oberoende_av_klimat*VLOOKUP($A48,Leveranser_per_nät,'Leveranser per nät'!R$1,FALSE)
               +Andel_beroende_av_klimat*VLOOKUP($A48,Leveranser_per_nät,'Leveranser per nät'!R$1,FALSE)/VLOOKUP($B48,Korrigeringsfaktor_EI,'Korrigeringsfaktor EI'!R$1,FALSE),
"")</f>
        <v>15.276521739130434</v>
      </c>
      <c r="S48" s="18">
        <f>IFERROR(
                  Andel_oberoende_av_klimat*VLOOKUP($A48,Leveranser_per_nät,'Leveranser per nät'!S$1,FALSE)
               +Andel_beroende_av_klimat*VLOOKUP($A48,Leveranser_per_nät,'Leveranser per nät'!S$1,FALSE)/VLOOKUP($B48,Korrigeringsfaktor_EI,'Korrigeringsfaktor EI'!S$1,FALSE),
"")</f>
        <v>16.5</v>
      </c>
      <c r="T48" s="18">
        <f>IFERROR(
                  Andel_oberoende_av_klimat*VLOOKUP($A48,Leveranser_per_nät,'Leveranser per nät'!T$1,FALSE)
               +Andel_beroende_av_klimat*VLOOKUP($A48,Leveranser_per_nät,'Leveranser per nät'!T$1,FALSE)/VLOOKUP($B48,Korrigeringsfaktor_EI,'Korrigeringsfaktor EI'!T$1,FALSE),
"")</f>
        <v>16.981250000000003</v>
      </c>
      <c r="U48" s="18">
        <f>IFERROR(
                  Andel_oberoende_av_klimat*VLOOKUP($A48,Leveranser_per_nät,'Leveranser per nät'!U$1,FALSE)
               +Andel_beroende_av_klimat*VLOOKUP($A48,Leveranser_per_nät,'Leveranser per nät'!U$1,FALSE)/VLOOKUP($B48,Korrigeringsfaktor_EI,'Korrigeringsfaktor EI'!U$1,FALSE),
"")</f>
        <v>15.627777777777776</v>
      </c>
      <c r="V48" s="18">
        <f>IFERROR(
                  Andel_oberoende_av_klimat*VLOOKUP($A48,Leveranser_per_nät,'Leveranser per nät'!V$1,FALSE)
               +Andel_beroende_av_klimat*VLOOKUP($A48,Leveranser_per_nät,'Leveranser per nät'!V$1,FALSE)/VLOOKUP($B48,Korrigeringsfaktor_EI,'Korrigeringsfaktor EI'!V$1,FALSE),
"")</f>
        <v>15.356808510638297</v>
      </c>
      <c r="W48" s="18">
        <f>IFERROR(
                  Andel_oberoende_av_klimat*VLOOKUP($A48,Leveranser_per_nät,'Leveranser per nät'!W$1,FALSE)
               +Andel_beroende_av_klimat*VLOOKUP($A48,Leveranser_per_nät,'Leveranser per nät'!W$1,FALSE)/VLOOKUP($B48,Korrigeringsfaktor_EI,'Korrigeringsfaktor EI'!W$1,FALSE),
"")</f>
        <v>16.672499999999999</v>
      </c>
      <c r="X48" s="18">
        <f>IFERROR(
                  Andel_oberoende_av_klimat*VLOOKUP($A48,Leveranser_per_nät,'Leveranser per nät'!X$1,FALSE)
               +Andel_beroende_av_klimat*VLOOKUP($A48,Leveranser_per_nät,'Leveranser per nät'!X$1,FALSE)/VLOOKUP($B48,Korrigeringsfaktor_EI,'Korrigeringsfaktor EI'!X$1,FALSE),
"")</f>
        <v>18.287525773195874</v>
      </c>
      <c r="Y48" s="18">
        <f>IFERROR(
                  Andel_oberoende_av_klimat*VLOOKUP($A48,Leveranser_per_nät,'Leveranser per nät'!Y$1,FALSE)
               +Andel_beroende_av_klimat*VLOOKUP($A48,Leveranser_per_nät,'Leveranser per nät'!Y$1,FALSE)/VLOOKUP($B48,Korrigeringsfaktor_EI,'Korrigeringsfaktor EI'!Y$1,FALSE),
"")</f>
        <v>18.730833333333333</v>
      </c>
      <c r="Z48" s="18">
        <f>IFERROR(
                  Andel_oberoende_av_klimat*VLOOKUP($A48,Leveranser_per_nät,'Leveranser per nät'!Z$1,FALSE)
               +Andel_beroende_av_klimat*VLOOKUP($A48,Leveranser_per_nät,'Leveranser per nät'!Z$1,FALSE)/VLOOKUP($B48,Korrigeringsfaktor_EI,'Korrigeringsfaktor EI'!Z$1,FALSE),
"")</f>
        <v>15.321415789473686</v>
      </c>
      <c r="AA48" s="18">
        <f>IFERROR(
                  Andel_oberoende_av_klimat*VLOOKUP($A48,Leveranser_per_nät,'Leveranser per nät'!AA$1,FALSE)
               +Andel_beroende_av_klimat*VLOOKUP($A48,Leveranser_per_nät,'Leveranser per nät'!AA$1,FALSE)/VLOOKUP($B48,Korrigeringsfaktor_EI,'Korrigeringsfaktor EI'!AA$1,FALSE),
"")</f>
        <v>18.4701517571885</v>
      </c>
      <c r="AB48" s="18">
        <f>IFERROR(
                  Andel_oberoende_av_klimat*VLOOKUP($A48,Leveranser_per_nät,'Leveranser per nät'!AB$1,FALSE)
               +Andel_beroende_av_klimat*VLOOKUP($A48,Leveranser_per_nät,'Leveranser per nät'!AB$1,FALSE)/VLOOKUP($B48,Korrigeringsfaktor_EI,'Korrigeringsfaktor EI'!AB$1,FALSE),
"")</f>
        <v>15.520006299212598</v>
      </c>
      <c r="AC48" s="18">
        <f>IFERROR(
                  Andel_oberoende_av_klimat*VLOOKUP($A48,Leveranser_per_nät,'Leveranser per nät'!AC$1,FALSE)
               +Andel_beroende_av_klimat*VLOOKUP($A48,Leveranser_per_nät,'Leveranser per nät'!AC$1,FALSE)/VLOOKUP($B48,Korrigeringsfaktor_EI,'Korrigeringsfaktor EI'!AC$1,FALSE),
"")</f>
        <v>14.821806444906446</v>
      </c>
      <c r="AD48">
        <v>21.763000000000002</v>
      </c>
    </row>
    <row r="49" spans="1:30" x14ac:dyDescent="0.25">
      <c r="A49" t="s">
        <v>250</v>
      </c>
      <c r="B49" t="s">
        <v>507</v>
      </c>
      <c r="C49" s="18">
        <f>IFERROR(
                  Andel_oberoende_av_klimat*VLOOKUP($A49,Leveranser_per_nät,'Leveranser per nät'!C$1,FALSE)
               +Andel_beroende_av_klimat*VLOOKUP($A49,Leveranser_per_nät,'Leveranser per nät'!C$1,FALSE)/VLOOKUP($B49,Korrigeringsfaktor_EI,'Korrigeringsfaktor EI'!C$1,FALSE),
"")</f>
        <v>0</v>
      </c>
      <c r="D49" s="18">
        <f>IFERROR(
                  Andel_oberoende_av_klimat*VLOOKUP($A49,Leveranser_per_nät,'Leveranser per nät'!D$1,FALSE)
               +Andel_beroende_av_klimat*VLOOKUP($A49,Leveranser_per_nät,'Leveranser per nät'!D$1,FALSE)/VLOOKUP($B49,Korrigeringsfaktor_EI,'Korrigeringsfaktor EI'!D$1,FALSE),
"")</f>
        <v>0</v>
      </c>
      <c r="E49" s="18">
        <f>IFERROR(
                  Andel_oberoende_av_klimat*VLOOKUP($A49,Leveranser_per_nät,'Leveranser per nät'!E$1,FALSE)
               +Andel_beroende_av_klimat*VLOOKUP($A49,Leveranser_per_nät,'Leveranser per nät'!E$1,FALSE)/VLOOKUP($B49,Korrigeringsfaktor_EI,'Korrigeringsfaktor EI'!E$1,FALSE),
"")</f>
        <v>0</v>
      </c>
      <c r="F49" s="18">
        <f>IFERROR(
                  Andel_oberoende_av_klimat*VLOOKUP($A49,Leveranser_per_nät,'Leveranser per nät'!F$1,FALSE)
               +Andel_beroende_av_klimat*VLOOKUP($A49,Leveranser_per_nät,'Leveranser per nät'!F$1,FALSE)/VLOOKUP($B49,Korrigeringsfaktor_EI,'Korrigeringsfaktor EI'!F$1,FALSE),
"")</f>
        <v>0</v>
      </c>
      <c r="G49" s="18">
        <f>IFERROR(
                  Andel_oberoende_av_klimat*VLOOKUP($A49,Leveranser_per_nät,'Leveranser per nät'!G$1,FALSE)
               +Andel_beroende_av_klimat*VLOOKUP($A49,Leveranser_per_nät,'Leveranser per nät'!G$1,FALSE)/VLOOKUP($B49,Korrigeringsfaktor_EI,'Korrigeringsfaktor EI'!G$1,FALSE),
"")</f>
        <v>0</v>
      </c>
      <c r="H49" s="18">
        <f>IFERROR(
                  Andel_oberoende_av_klimat*VLOOKUP($A49,Leveranser_per_nät,'Leveranser per nät'!H$1,FALSE)
               +Andel_beroende_av_klimat*VLOOKUP($A49,Leveranser_per_nät,'Leveranser per nät'!H$1,FALSE)/VLOOKUP($B49,Korrigeringsfaktor_EI,'Korrigeringsfaktor EI'!H$1,FALSE),
"")</f>
        <v>0</v>
      </c>
      <c r="I49" s="18">
        <f>IFERROR(
                  Andel_oberoende_av_klimat*VLOOKUP($A49,Leveranser_per_nät,'Leveranser per nät'!I$1,FALSE)
               +Andel_beroende_av_klimat*VLOOKUP($A49,Leveranser_per_nät,'Leveranser per nät'!I$1,FALSE)/VLOOKUP($B49,Korrigeringsfaktor_EI,'Korrigeringsfaktor EI'!I$1,FALSE),
"")</f>
        <v>0</v>
      </c>
      <c r="J49" s="18">
        <f>IFERROR(
                  Andel_oberoende_av_klimat*VLOOKUP($A49,Leveranser_per_nät,'Leveranser per nät'!J$1,FALSE)
               +Andel_beroende_av_klimat*VLOOKUP($A49,Leveranser_per_nät,'Leveranser per nät'!J$1,FALSE)/VLOOKUP($B49,Korrigeringsfaktor_EI,'Korrigeringsfaktor EI'!J$1,FALSE),
"")</f>
        <v>0</v>
      </c>
      <c r="K49" s="18">
        <f>IFERROR(
                  Andel_oberoende_av_klimat*VLOOKUP($A49,Leveranser_per_nät,'Leveranser per nät'!K$1,FALSE)
               +Andel_beroende_av_klimat*VLOOKUP($A49,Leveranser_per_nät,'Leveranser per nät'!K$1,FALSE)/VLOOKUP($B49,Korrigeringsfaktor_EI,'Korrigeringsfaktor EI'!K$1,FALSE),
"")</f>
        <v>0</v>
      </c>
      <c r="L49" s="18">
        <f>IFERROR(
                  Andel_oberoende_av_klimat*VLOOKUP($A49,Leveranser_per_nät,'Leveranser per nät'!L$1,FALSE)
               +Andel_beroende_av_klimat*VLOOKUP($A49,Leveranser_per_nät,'Leveranser per nät'!L$1,FALSE)/VLOOKUP($B49,Korrigeringsfaktor_EI,'Korrigeringsfaktor EI'!L$1,FALSE),
"")</f>
        <v>0</v>
      </c>
      <c r="M49" s="18">
        <f>IFERROR(
                  Andel_oberoende_av_klimat*VLOOKUP($A49,Leveranser_per_nät,'Leveranser per nät'!M$1,FALSE)
               +Andel_beroende_av_klimat*VLOOKUP($A49,Leveranser_per_nät,'Leveranser per nät'!M$1,FALSE)/VLOOKUP($B49,Korrigeringsfaktor_EI,'Korrigeringsfaktor EI'!M$1,FALSE),
"")</f>
        <v>30.253957446808514</v>
      </c>
      <c r="N49" s="18">
        <f>IFERROR(
                  Andel_oberoende_av_klimat*VLOOKUP($A49,Leveranser_per_nät,'Leveranser per nät'!N$1,FALSE)
               +Andel_beroende_av_klimat*VLOOKUP($A49,Leveranser_per_nät,'Leveranser per nät'!N$1,FALSE)/VLOOKUP($B49,Korrigeringsfaktor_EI,'Korrigeringsfaktor EI'!N$1,FALSE),
"")</f>
        <v>30.722782608695653</v>
      </c>
      <c r="O49" s="18">
        <f>IFERROR(
                  Andel_oberoende_av_klimat*VLOOKUP($A49,Leveranser_per_nät,'Leveranser per nät'!O$1,FALSE)
               +Andel_beroende_av_klimat*VLOOKUP($A49,Leveranser_per_nät,'Leveranser per nät'!O$1,FALSE)/VLOOKUP($B49,Korrigeringsfaktor_EI,'Korrigeringsfaktor EI'!O$1,FALSE),
"")</f>
        <v>30.580000000000002</v>
      </c>
      <c r="P49" s="18">
        <f>IFERROR(
                  Andel_oberoende_av_klimat*VLOOKUP($A49,Leveranser_per_nät,'Leveranser per nät'!P$1,FALSE)
               +Andel_beroende_av_klimat*VLOOKUP($A49,Leveranser_per_nät,'Leveranser per nät'!P$1,FALSE)/VLOOKUP($B49,Korrigeringsfaktor_EI,'Korrigeringsfaktor EI'!P$1,FALSE),
"")</f>
        <v>30.566250000000004</v>
      </c>
      <c r="Q49" s="18">
        <f>IFERROR(
                  Andel_oberoende_av_klimat*VLOOKUP($A49,Leveranser_per_nät,'Leveranser per nät'!Q$1,FALSE)
               +Andel_beroende_av_klimat*VLOOKUP($A49,Leveranser_per_nät,'Leveranser per nät'!Q$1,FALSE)/VLOOKUP($B49,Korrigeringsfaktor_EI,'Korrigeringsfaktor EI'!Q$1,FALSE),
"")</f>
        <v>33.037387387387383</v>
      </c>
      <c r="R49" s="18">
        <f>IFERROR(
                  Andel_oberoende_av_klimat*VLOOKUP($A49,Leveranser_per_nät,'Leveranser per nät'!R$1,FALSE)
               +Andel_beroende_av_klimat*VLOOKUP($A49,Leveranser_per_nät,'Leveranser per nät'!R$1,FALSE)/VLOOKUP($B49,Korrigeringsfaktor_EI,'Korrigeringsfaktor EI'!R$1,FALSE),
"")</f>
        <v>15.594782608695651</v>
      </c>
      <c r="S49" s="18">
        <f>IFERROR(
                  Andel_oberoende_av_klimat*VLOOKUP($A49,Leveranser_per_nät,'Leveranser per nät'!S$1,FALSE)
               +Andel_beroende_av_klimat*VLOOKUP($A49,Leveranser_per_nät,'Leveranser per nät'!S$1,FALSE)/VLOOKUP($B49,Korrigeringsfaktor_EI,'Korrigeringsfaktor EI'!S$1,FALSE),
"")</f>
        <v>14.60252525252525</v>
      </c>
      <c r="T49" s="18">
        <f>IFERROR(
                  Andel_oberoende_av_klimat*VLOOKUP($A49,Leveranser_per_nät,'Leveranser per nät'!T$1,FALSE)
               +Andel_beroende_av_klimat*VLOOKUP($A49,Leveranser_per_nät,'Leveranser per nät'!T$1,FALSE)/VLOOKUP($B49,Korrigeringsfaktor_EI,'Korrigeringsfaktor EI'!T$1,FALSE),
"")</f>
        <v>15.849166666666667</v>
      </c>
      <c r="U49" s="18">
        <f>IFERROR(
                  Andel_oberoende_av_klimat*VLOOKUP($A49,Leveranser_per_nät,'Leveranser per nät'!U$1,FALSE)
               +Andel_beroende_av_klimat*VLOOKUP($A49,Leveranser_per_nät,'Leveranser per nät'!U$1,FALSE)/VLOOKUP($B49,Korrigeringsfaktor_EI,'Korrigeringsfaktor EI'!U$1,FALSE),
"")</f>
        <v>14.580689655172414</v>
      </c>
      <c r="V49" s="18">
        <f>IFERROR(
                  Andel_oberoende_av_klimat*VLOOKUP($A49,Leveranser_per_nät,'Leveranser per nät'!V$1,FALSE)
               +Andel_beroende_av_klimat*VLOOKUP($A49,Leveranser_per_nät,'Leveranser per nät'!V$1,FALSE)/VLOOKUP($B49,Korrigeringsfaktor_EI,'Korrigeringsfaktor EI'!V$1,FALSE),
"")</f>
        <v>13.255505617977526</v>
      </c>
      <c r="W49" s="18">
        <f>IFERROR(
                  Andel_oberoende_av_klimat*VLOOKUP($A49,Leveranser_per_nät,'Leveranser per nät'!W$1,FALSE)
               +Andel_beroende_av_klimat*VLOOKUP($A49,Leveranser_per_nät,'Leveranser per nät'!W$1,FALSE)/VLOOKUP($B49,Korrigeringsfaktor_EI,'Korrigeringsfaktor EI'!W$1,FALSE),
"")</f>
        <v>14.826842105263159</v>
      </c>
      <c r="X49" s="18">
        <f>IFERROR(
                  Andel_oberoende_av_klimat*VLOOKUP($A49,Leveranser_per_nät,'Leveranser per nät'!X$1,FALSE)
               +Andel_beroende_av_klimat*VLOOKUP($A49,Leveranser_per_nät,'Leveranser per nät'!X$1,FALSE)/VLOOKUP($B49,Korrigeringsfaktor_EI,'Korrigeringsfaktor EI'!X$1,FALSE),
"")</f>
        <v>15.158709677419356</v>
      </c>
      <c r="Y49" s="18">
        <f>IFERROR(
                  Andel_oberoende_av_klimat*VLOOKUP($A49,Leveranser_per_nät,'Leveranser per nät'!Y$1,FALSE)
               +Andel_beroende_av_klimat*VLOOKUP($A49,Leveranser_per_nät,'Leveranser per nät'!Y$1,FALSE)/VLOOKUP($B49,Korrigeringsfaktor_EI,'Korrigeringsfaktor EI'!Y$1,FALSE),
"")</f>
        <v>15.735555555555555</v>
      </c>
      <c r="Z49" s="18">
        <f>IFERROR(
                  Andel_oberoende_av_klimat*VLOOKUP($A49,Leveranser_per_nät,'Leveranser per nät'!Z$1,FALSE)
               +Andel_beroende_av_klimat*VLOOKUP($A49,Leveranser_per_nät,'Leveranser per nät'!Z$1,FALSE)/VLOOKUP($B49,Korrigeringsfaktor_EI,'Korrigeringsfaktor EI'!Z$1,FALSE),
"")</f>
        <v>14.8016091954023</v>
      </c>
      <c r="AA49" s="18">
        <f>IFERROR(
                  Andel_oberoende_av_klimat*VLOOKUP($A49,Leveranser_per_nät,'Leveranser per nät'!AA$1,FALSE)
               +Andel_beroende_av_klimat*VLOOKUP($A49,Leveranser_per_nät,'Leveranser per nät'!AA$1,FALSE)/VLOOKUP($B49,Korrigeringsfaktor_EI,'Korrigeringsfaktor EI'!AA$1,FALSE),
"")</f>
        <v>14.590967741935483</v>
      </c>
      <c r="AB49" s="18">
        <f>IFERROR(
                  Andel_oberoende_av_klimat*VLOOKUP($A49,Leveranser_per_nät,'Leveranser per nät'!AB$1,FALSE)
               +Andel_beroende_av_klimat*VLOOKUP($A49,Leveranser_per_nät,'Leveranser per nät'!AB$1,FALSE)/VLOOKUP($B49,Korrigeringsfaktor_EI,'Korrigeringsfaktor EI'!AB$1,FALSE),
"")</f>
        <v>14.636850393700788</v>
      </c>
      <c r="AC49" s="18">
        <f>IFERROR(
                  Andel_oberoende_av_klimat*VLOOKUP($A49,Leveranser_per_nät,'Leveranser per nät'!AC$1,FALSE)
               +Andel_beroende_av_klimat*VLOOKUP($A49,Leveranser_per_nät,'Leveranser per nät'!AC$1,FALSE)/VLOOKUP($B49,Korrigeringsfaktor_EI,'Korrigeringsfaktor EI'!AC$1,FALSE),
"")</f>
        <v>13.904802981895633</v>
      </c>
      <c r="AD49" t="e">
        <v>#N/A</v>
      </c>
    </row>
    <row r="50" spans="1:30" x14ac:dyDescent="0.25">
      <c r="A50" t="s">
        <v>394</v>
      </c>
      <c r="B50" t="s">
        <v>160</v>
      </c>
      <c r="C50" s="18">
        <f>IFERROR(
                  Andel_oberoende_av_klimat*VLOOKUP($A50,Leveranser_per_nät,'Leveranser per nät'!C$1,FALSE)
               +Andel_beroende_av_klimat*VLOOKUP($A50,Leveranser_per_nät,'Leveranser per nät'!C$1,FALSE)/VLOOKUP($B50,Korrigeringsfaktor_EI,'Korrigeringsfaktor EI'!C$1,FALSE),
"")</f>
        <v>0</v>
      </c>
      <c r="D50" s="18">
        <f>IFERROR(
                  Andel_oberoende_av_klimat*VLOOKUP($A50,Leveranser_per_nät,'Leveranser per nät'!D$1,FALSE)
               +Andel_beroende_av_klimat*VLOOKUP($A50,Leveranser_per_nät,'Leveranser per nät'!D$1,FALSE)/VLOOKUP($B50,Korrigeringsfaktor_EI,'Korrigeringsfaktor EI'!D$1,FALSE),
"")</f>
        <v>3.18</v>
      </c>
      <c r="E50" s="18">
        <f>IFERROR(
                  Andel_oberoende_av_klimat*VLOOKUP($A50,Leveranser_per_nät,'Leveranser per nät'!E$1,FALSE)
               +Andel_beroende_av_klimat*VLOOKUP($A50,Leveranser_per_nät,'Leveranser per nät'!E$1,FALSE)/VLOOKUP($B50,Korrigeringsfaktor_EI,'Korrigeringsfaktor EI'!E$1,FALSE),
"")</f>
        <v>8.7557461538461538</v>
      </c>
      <c r="F50" s="18">
        <f>IFERROR(
                  Andel_oberoende_av_klimat*VLOOKUP($A50,Leveranser_per_nät,'Leveranser per nät'!F$1,FALSE)
               +Andel_beroende_av_klimat*VLOOKUP($A50,Leveranser_per_nät,'Leveranser per nät'!F$1,FALSE)/VLOOKUP($B50,Korrigeringsfaktor_EI,'Korrigeringsfaktor EI'!F$1,FALSE),
"")</f>
        <v>9.1948453608247434</v>
      </c>
      <c r="G50" s="18">
        <f>IFERROR(
                  Andel_oberoende_av_klimat*VLOOKUP($A50,Leveranser_per_nät,'Leveranser per nät'!G$1,FALSE)
               +Andel_beroende_av_klimat*VLOOKUP($A50,Leveranser_per_nät,'Leveranser per nät'!G$1,FALSE)/VLOOKUP($B50,Korrigeringsfaktor_EI,'Korrigeringsfaktor EI'!G$1,FALSE),
"")</f>
        <v>0</v>
      </c>
      <c r="H50" s="18">
        <f>IFERROR(
                  Andel_oberoende_av_klimat*VLOOKUP($A50,Leveranser_per_nät,'Leveranser per nät'!H$1,FALSE)
               +Andel_beroende_av_klimat*VLOOKUP($A50,Leveranser_per_nät,'Leveranser per nät'!H$1,FALSE)/VLOOKUP($B50,Korrigeringsfaktor_EI,'Korrigeringsfaktor EI'!H$1,FALSE),
"")</f>
        <v>0</v>
      </c>
      <c r="I50" s="18">
        <f>IFERROR(
                  Andel_oberoende_av_klimat*VLOOKUP($A50,Leveranser_per_nät,'Leveranser per nät'!I$1,FALSE)
               +Andel_beroende_av_klimat*VLOOKUP($A50,Leveranser_per_nät,'Leveranser per nät'!I$1,FALSE)/VLOOKUP($B50,Korrigeringsfaktor_EI,'Korrigeringsfaktor EI'!I$1,FALSE),
"")</f>
        <v>0</v>
      </c>
      <c r="J50" s="18">
        <f>IFERROR(
                  Andel_oberoende_av_klimat*VLOOKUP($A50,Leveranser_per_nät,'Leveranser per nät'!J$1,FALSE)
               +Andel_beroende_av_klimat*VLOOKUP($A50,Leveranser_per_nät,'Leveranser per nät'!J$1,FALSE)/VLOOKUP($B50,Korrigeringsfaktor_EI,'Korrigeringsfaktor EI'!J$1,FALSE),
"")</f>
        <v>0</v>
      </c>
      <c r="K50" s="18">
        <f>IFERROR(
                  Andel_oberoende_av_klimat*VLOOKUP($A50,Leveranser_per_nät,'Leveranser per nät'!K$1,FALSE)
               +Andel_beroende_av_klimat*VLOOKUP($A50,Leveranser_per_nät,'Leveranser per nät'!K$1,FALSE)/VLOOKUP($B50,Korrigeringsfaktor_EI,'Korrigeringsfaktor EI'!K$1,FALSE),
"")</f>
        <v>0</v>
      </c>
      <c r="L50" s="18">
        <f>IFERROR(
                  Andel_oberoende_av_klimat*VLOOKUP($A50,Leveranser_per_nät,'Leveranser per nät'!L$1,FALSE)
               +Andel_beroende_av_klimat*VLOOKUP($A50,Leveranser_per_nät,'Leveranser per nät'!L$1,FALSE)/VLOOKUP($B50,Korrigeringsfaktor_EI,'Korrigeringsfaktor EI'!L$1,FALSE),
"")</f>
        <v>0</v>
      </c>
      <c r="M50" s="18">
        <f>IFERROR(
                  Andel_oberoende_av_klimat*VLOOKUP($A50,Leveranser_per_nät,'Leveranser per nät'!M$1,FALSE)
               +Andel_beroende_av_klimat*VLOOKUP($A50,Leveranser_per_nät,'Leveranser per nät'!M$1,FALSE)/VLOOKUP($B50,Korrigeringsfaktor_EI,'Korrigeringsfaktor EI'!M$1,FALSE),
"")</f>
        <v>0</v>
      </c>
      <c r="N50" s="18">
        <f>IFERROR(
                  Andel_oberoende_av_klimat*VLOOKUP($A50,Leveranser_per_nät,'Leveranser per nät'!N$1,FALSE)
               +Andel_beroende_av_klimat*VLOOKUP($A50,Leveranser_per_nät,'Leveranser per nät'!N$1,FALSE)/VLOOKUP($B50,Korrigeringsfaktor_EI,'Korrigeringsfaktor EI'!N$1,FALSE),
"")</f>
        <v>0</v>
      </c>
      <c r="O50" s="18">
        <f>IFERROR(
                  Andel_oberoende_av_klimat*VLOOKUP($A50,Leveranser_per_nät,'Leveranser per nät'!O$1,FALSE)
               +Andel_beroende_av_klimat*VLOOKUP($A50,Leveranser_per_nät,'Leveranser per nät'!O$1,FALSE)/VLOOKUP($B50,Korrigeringsfaktor_EI,'Korrigeringsfaktor EI'!O$1,FALSE),
"")</f>
        <v>0</v>
      </c>
      <c r="P50" s="18">
        <f>IFERROR(
                  Andel_oberoende_av_klimat*VLOOKUP($A50,Leveranser_per_nät,'Leveranser per nät'!P$1,FALSE)
               +Andel_beroende_av_klimat*VLOOKUP($A50,Leveranser_per_nät,'Leveranser per nät'!P$1,FALSE)/VLOOKUP($B50,Korrigeringsfaktor_EI,'Korrigeringsfaktor EI'!P$1,FALSE),
"")</f>
        <v>0</v>
      </c>
      <c r="Q50" s="18">
        <f>IFERROR(
                  Andel_oberoende_av_klimat*VLOOKUP($A50,Leveranser_per_nät,'Leveranser per nät'!Q$1,FALSE)
               +Andel_beroende_av_klimat*VLOOKUP($A50,Leveranser_per_nät,'Leveranser per nät'!Q$1,FALSE)/VLOOKUP($B50,Korrigeringsfaktor_EI,'Korrigeringsfaktor EI'!Q$1,FALSE),
"")</f>
        <v>0</v>
      </c>
      <c r="R50" s="18">
        <f>IFERROR(
                  Andel_oberoende_av_klimat*VLOOKUP($A50,Leveranser_per_nät,'Leveranser per nät'!R$1,FALSE)
               +Andel_beroende_av_klimat*VLOOKUP($A50,Leveranser_per_nät,'Leveranser per nät'!R$1,FALSE)/VLOOKUP($B50,Korrigeringsfaktor_EI,'Korrigeringsfaktor EI'!R$1,FALSE),
"")</f>
        <v>0</v>
      </c>
      <c r="S50" s="18" t="str">
        <f>IFERROR(
                  Andel_oberoende_av_klimat*VLOOKUP($A50,Leveranser_per_nät,'Leveranser per nät'!S$1,FALSE)
               +Andel_beroende_av_klimat*VLOOKUP($A50,Leveranser_per_nät,'Leveranser per nät'!S$1,FALSE)/VLOOKUP($B50,Korrigeringsfaktor_EI,'Korrigeringsfaktor EI'!S$1,FALSE),
"")</f>
        <v/>
      </c>
      <c r="T50" s="18" t="str">
        <f>IFERROR(
                  Andel_oberoende_av_klimat*VLOOKUP($A50,Leveranser_per_nät,'Leveranser per nät'!T$1,FALSE)
               +Andel_beroende_av_klimat*VLOOKUP($A50,Leveranser_per_nät,'Leveranser per nät'!T$1,FALSE)/VLOOKUP($B50,Korrigeringsfaktor_EI,'Korrigeringsfaktor EI'!T$1,FALSE),
"")</f>
        <v/>
      </c>
      <c r="U50" s="18" t="str">
        <f>IFERROR(
                  Andel_oberoende_av_klimat*VLOOKUP($A50,Leveranser_per_nät,'Leveranser per nät'!U$1,FALSE)
               +Andel_beroende_av_klimat*VLOOKUP($A50,Leveranser_per_nät,'Leveranser per nät'!U$1,FALSE)/VLOOKUP($B50,Korrigeringsfaktor_EI,'Korrigeringsfaktor EI'!U$1,FALSE),
"")</f>
        <v/>
      </c>
      <c r="V50" s="18" t="str">
        <f>IFERROR(
                  Andel_oberoende_av_klimat*VLOOKUP($A50,Leveranser_per_nät,'Leveranser per nät'!V$1,FALSE)
               +Andel_beroende_av_klimat*VLOOKUP($A50,Leveranser_per_nät,'Leveranser per nät'!V$1,FALSE)/VLOOKUP($B50,Korrigeringsfaktor_EI,'Korrigeringsfaktor EI'!V$1,FALSE),
"")</f>
        <v/>
      </c>
      <c r="W50" s="18" t="str">
        <f>IFERROR(
                  Andel_oberoende_av_klimat*VLOOKUP($A50,Leveranser_per_nät,'Leveranser per nät'!W$1,FALSE)
               +Andel_beroende_av_klimat*VLOOKUP($A50,Leveranser_per_nät,'Leveranser per nät'!W$1,FALSE)/VLOOKUP($B50,Korrigeringsfaktor_EI,'Korrigeringsfaktor EI'!W$1,FALSE),
"")</f>
        <v/>
      </c>
      <c r="X50" s="18" t="str">
        <f>IFERROR(
                  Andel_oberoende_av_klimat*VLOOKUP($A50,Leveranser_per_nät,'Leveranser per nät'!X$1,FALSE)
               +Andel_beroende_av_klimat*VLOOKUP($A50,Leveranser_per_nät,'Leveranser per nät'!X$1,FALSE)/VLOOKUP($B50,Korrigeringsfaktor_EI,'Korrigeringsfaktor EI'!X$1,FALSE),
"")</f>
        <v/>
      </c>
      <c r="Y50" s="18" t="str">
        <f>IFERROR(
                  Andel_oberoende_av_klimat*VLOOKUP($A50,Leveranser_per_nät,'Leveranser per nät'!Y$1,FALSE)
               +Andel_beroende_av_klimat*VLOOKUP($A50,Leveranser_per_nät,'Leveranser per nät'!Y$1,FALSE)/VLOOKUP($B50,Korrigeringsfaktor_EI,'Korrigeringsfaktor EI'!Y$1,FALSE),
"")</f>
        <v/>
      </c>
      <c r="Z50" s="18">
        <f>IFERROR(
                  Andel_oberoende_av_klimat*VLOOKUP($A50,Leveranser_per_nät,'Leveranser per nät'!Z$1,FALSE)
               +Andel_beroende_av_klimat*VLOOKUP($A50,Leveranser_per_nät,'Leveranser per nät'!Z$1,FALSE)/VLOOKUP($B50,Korrigeringsfaktor_EI,'Korrigeringsfaktor EI'!Z$1,FALSE),
"")</f>
        <v>0</v>
      </c>
      <c r="AA50" s="18" t="str">
        <f>IFERROR(
                  Andel_oberoende_av_klimat*VLOOKUP($A50,Leveranser_per_nät,'Leveranser per nät'!AA$1,FALSE)
               +Andel_beroende_av_klimat*VLOOKUP($A50,Leveranser_per_nät,'Leveranser per nät'!AA$1,FALSE)/VLOOKUP($B50,Korrigeringsfaktor_EI,'Korrigeringsfaktor EI'!AA$1,FALSE),
"")</f>
        <v/>
      </c>
      <c r="AB50" s="18">
        <f>IFERROR(
                  Andel_oberoende_av_klimat*VLOOKUP($A50,Leveranser_per_nät,'Leveranser per nät'!AB$1,FALSE)
               +Andel_beroende_av_klimat*VLOOKUP($A50,Leveranser_per_nät,'Leveranser per nät'!AB$1,FALSE)/VLOOKUP($B50,Korrigeringsfaktor_EI,'Korrigeringsfaktor EI'!AB$1,FALSE),
"")</f>
        <v>0</v>
      </c>
      <c r="AC50" s="18">
        <f>IFERROR(
                  Andel_oberoende_av_klimat*VLOOKUP($A50,Leveranser_per_nät,'Leveranser per nät'!AC$1,FALSE)
               +Andel_beroende_av_klimat*VLOOKUP($A50,Leveranser_per_nät,'Leveranser per nät'!AC$1,FALSE)/VLOOKUP($B50,Korrigeringsfaktor_EI,'Korrigeringsfaktor EI'!AC$1,FALSE),
"")</f>
        <v>0</v>
      </c>
      <c r="AD50">
        <v>711.67200000000003</v>
      </c>
    </row>
    <row r="51" spans="1:30" x14ac:dyDescent="0.25">
      <c r="A51" t="s">
        <v>264</v>
      </c>
      <c r="B51" t="s">
        <v>261</v>
      </c>
      <c r="C51" s="18">
        <f>IFERROR(
                  Andel_oberoende_av_klimat*VLOOKUP($A51,Leveranser_per_nät,'Leveranser per nät'!C$1,FALSE)
               +Andel_beroende_av_klimat*VLOOKUP($A51,Leveranser_per_nät,'Leveranser per nät'!C$1,FALSE)/VLOOKUP($B51,Korrigeringsfaktor_EI,'Korrigeringsfaktor EI'!C$1,FALSE),
"")</f>
        <v>0</v>
      </c>
      <c r="D51" s="18">
        <f>IFERROR(
                  Andel_oberoende_av_klimat*VLOOKUP($A51,Leveranser_per_nät,'Leveranser per nät'!D$1,FALSE)
               +Andel_beroende_av_klimat*VLOOKUP($A51,Leveranser_per_nät,'Leveranser per nät'!D$1,FALSE)/VLOOKUP($B51,Korrigeringsfaktor_EI,'Korrigeringsfaktor EI'!D$1,FALSE),
"")</f>
        <v>0</v>
      </c>
      <c r="E51" s="18">
        <f>IFERROR(
                  Andel_oberoende_av_klimat*VLOOKUP($A51,Leveranser_per_nät,'Leveranser per nät'!E$1,FALSE)
               +Andel_beroende_av_klimat*VLOOKUP($A51,Leveranser_per_nät,'Leveranser per nät'!E$1,FALSE)/VLOOKUP($B51,Korrigeringsfaktor_EI,'Korrigeringsfaktor EI'!E$1,FALSE),
"")</f>
        <v>0</v>
      </c>
      <c r="F51" s="18">
        <f>IFERROR(
                  Andel_oberoende_av_klimat*VLOOKUP($A51,Leveranser_per_nät,'Leveranser per nät'!F$1,FALSE)
               +Andel_beroende_av_klimat*VLOOKUP($A51,Leveranser_per_nät,'Leveranser per nät'!F$1,FALSE)/VLOOKUP($B51,Korrigeringsfaktor_EI,'Korrigeringsfaktor EI'!F$1,FALSE),
"")</f>
        <v>5</v>
      </c>
      <c r="G51" s="18">
        <f>IFERROR(
                  Andel_oberoende_av_klimat*VLOOKUP($A51,Leveranser_per_nät,'Leveranser per nät'!G$1,FALSE)
               +Andel_beroende_av_klimat*VLOOKUP($A51,Leveranser_per_nät,'Leveranser per nät'!G$1,FALSE)/VLOOKUP($B51,Korrigeringsfaktor_EI,'Korrigeringsfaktor EI'!G$1,FALSE),
"")</f>
        <v>5.304347826086957</v>
      </c>
      <c r="H51" s="18">
        <f>IFERROR(
                  Andel_oberoende_av_klimat*VLOOKUP($A51,Leveranser_per_nät,'Leveranser per nät'!H$1,FALSE)
               +Andel_beroende_av_klimat*VLOOKUP($A51,Leveranser_per_nät,'Leveranser per nät'!H$1,FALSE)/VLOOKUP($B51,Korrigeringsfaktor_EI,'Korrigeringsfaktor EI'!H$1,FALSE),
"")</f>
        <v>6.3290000000000006</v>
      </c>
      <c r="I51" s="18">
        <f>IFERROR(
                  Andel_oberoende_av_klimat*VLOOKUP($A51,Leveranser_per_nät,'Leveranser per nät'!I$1,FALSE)
               +Andel_beroende_av_klimat*VLOOKUP($A51,Leveranser_per_nät,'Leveranser per nät'!I$1,FALSE)/VLOOKUP($B51,Korrigeringsfaktor_EI,'Korrigeringsfaktor EI'!I$1,FALSE),
"")</f>
        <v>6.1749999999999989</v>
      </c>
      <c r="J51" s="18">
        <f>IFERROR(
                  Andel_oberoende_av_klimat*VLOOKUP($A51,Leveranser_per_nät,'Leveranser per nät'!J$1,FALSE)
               +Andel_beroende_av_klimat*VLOOKUP($A51,Leveranser_per_nät,'Leveranser per nät'!J$1,FALSE)/VLOOKUP($B51,Korrigeringsfaktor_EI,'Korrigeringsfaktor EI'!J$1,FALSE),
"")</f>
        <v>6.2210526315789476</v>
      </c>
      <c r="K51" s="18">
        <f>IFERROR(
                  Andel_oberoende_av_klimat*VLOOKUP($A51,Leveranser_per_nät,'Leveranser per nät'!K$1,FALSE)
               +Andel_beroende_av_klimat*VLOOKUP($A51,Leveranser_per_nät,'Leveranser per nät'!K$1,FALSE)/VLOOKUP($B51,Korrigeringsfaktor_EI,'Korrigeringsfaktor EI'!K$1,FALSE),
"")</f>
        <v>6.2974971428571429</v>
      </c>
      <c r="L51" s="18">
        <f>IFERROR(
                  Andel_oberoende_av_klimat*VLOOKUP($A51,Leveranser_per_nät,'Leveranser per nät'!L$1,FALSE)
               +Andel_beroende_av_klimat*VLOOKUP($A51,Leveranser_per_nät,'Leveranser per nät'!L$1,FALSE)/VLOOKUP($B51,Korrigeringsfaktor_EI,'Korrigeringsfaktor EI'!L$1,FALSE),
"")</f>
        <v>6.019797311827956</v>
      </c>
      <c r="M51" s="18">
        <f>IFERROR(
                  Andel_oberoende_av_klimat*VLOOKUP($A51,Leveranser_per_nät,'Leveranser per nät'!M$1,FALSE)
               +Andel_beroende_av_klimat*VLOOKUP($A51,Leveranser_per_nät,'Leveranser per nät'!M$1,FALSE)/VLOOKUP($B51,Korrigeringsfaktor_EI,'Korrigeringsfaktor EI'!M$1,FALSE),
"")</f>
        <v>7.2531652173913042</v>
      </c>
      <c r="N51" s="18">
        <f>IFERROR(
                  Andel_oberoende_av_klimat*VLOOKUP($A51,Leveranser_per_nät,'Leveranser per nät'!N$1,FALSE)
               +Andel_beroende_av_klimat*VLOOKUP($A51,Leveranser_per_nät,'Leveranser per nät'!N$1,FALSE)/VLOOKUP($B51,Korrigeringsfaktor_EI,'Korrigeringsfaktor EI'!N$1,FALSE),
"")</f>
        <v>8.2111304347826088</v>
      </c>
      <c r="O51" s="18">
        <f>IFERROR(
                  Andel_oberoende_av_klimat*VLOOKUP($A51,Leveranser_per_nät,'Leveranser per nät'!O$1,FALSE)
               +Andel_beroende_av_klimat*VLOOKUP($A51,Leveranser_per_nät,'Leveranser per nät'!O$1,FALSE)/VLOOKUP($B51,Korrigeringsfaktor_EI,'Korrigeringsfaktor EI'!O$1,FALSE),
"")</f>
        <v>8.208862365591397</v>
      </c>
      <c r="P51" s="18">
        <f>IFERROR(
                  Andel_oberoende_av_klimat*VLOOKUP($A51,Leveranser_per_nät,'Leveranser per nät'!P$1,FALSE)
               +Andel_beroende_av_klimat*VLOOKUP($A51,Leveranser_per_nät,'Leveranser per nät'!P$1,FALSE)/VLOOKUP($B51,Korrigeringsfaktor_EI,'Korrigeringsfaktor EI'!P$1,FALSE),
"")</f>
        <v>8.1777583333333332</v>
      </c>
      <c r="Q51" s="18">
        <f>IFERROR(
                  Andel_oberoende_av_klimat*VLOOKUP($A51,Leveranser_per_nät,'Leveranser per nät'!Q$1,FALSE)
               +Andel_beroende_av_klimat*VLOOKUP($A51,Leveranser_per_nät,'Leveranser per nät'!Q$1,FALSE)/VLOOKUP($B51,Korrigeringsfaktor_EI,'Korrigeringsfaktor EI'!Q$1,FALSE),
"")</f>
        <v>8.4256355140186923</v>
      </c>
      <c r="R51" s="18">
        <f>IFERROR(
                  Andel_oberoende_av_klimat*VLOOKUP($A51,Leveranser_per_nät,'Leveranser per nät'!R$1,FALSE)
               +Andel_beroende_av_klimat*VLOOKUP($A51,Leveranser_per_nät,'Leveranser per nät'!R$1,FALSE)/VLOOKUP($B51,Korrigeringsfaktor_EI,'Korrigeringsfaktor EI'!R$1,FALSE),
"")</f>
        <v>8.3944292134831464</v>
      </c>
      <c r="S51" s="18">
        <f>IFERROR(
                  Andel_oberoende_av_klimat*VLOOKUP($A51,Leveranser_per_nät,'Leveranser per nät'!S$1,FALSE)
               +Andel_beroende_av_klimat*VLOOKUP($A51,Leveranser_per_nät,'Leveranser per nät'!S$1,FALSE)/VLOOKUP($B51,Korrigeringsfaktor_EI,'Korrigeringsfaktor EI'!S$1,FALSE),
"")</f>
        <v>8.3284747474747469</v>
      </c>
      <c r="T51" s="18">
        <f>IFERROR(
                  Andel_oberoende_av_klimat*VLOOKUP($A51,Leveranser_per_nät,'Leveranser per nät'!T$1,FALSE)
               +Andel_beroende_av_klimat*VLOOKUP($A51,Leveranser_per_nät,'Leveranser per nät'!T$1,FALSE)/VLOOKUP($B51,Korrigeringsfaktor_EI,'Korrigeringsfaktor EI'!T$1,FALSE),
"")</f>
        <v>8.3699426086956521</v>
      </c>
      <c r="U51" s="18">
        <f>IFERROR(
                  Andel_oberoende_av_klimat*VLOOKUP($A51,Leveranser_per_nät,'Leveranser per nät'!U$1,FALSE)
               +Andel_beroende_av_klimat*VLOOKUP($A51,Leveranser_per_nät,'Leveranser per nät'!U$1,FALSE)/VLOOKUP($B51,Korrigeringsfaktor_EI,'Korrigeringsfaktor EI'!U$1,FALSE),
"")</f>
        <v>8.1824888888888871</v>
      </c>
      <c r="V51" s="18">
        <f>IFERROR(
                  Andel_oberoende_av_klimat*VLOOKUP($A51,Leveranser_per_nät,'Leveranser per nät'!V$1,FALSE)
               +Andel_beroende_av_klimat*VLOOKUP($A51,Leveranser_per_nät,'Leveranser per nät'!V$1,FALSE)/VLOOKUP($B51,Korrigeringsfaktor_EI,'Korrigeringsfaktor EI'!V$1,FALSE),
"")</f>
        <v>7.7984597701149418</v>
      </c>
      <c r="W51" s="18">
        <f>IFERROR(
                  Andel_oberoende_av_klimat*VLOOKUP($A51,Leveranser_per_nät,'Leveranser per nät'!W$1,FALSE)
               +Andel_beroende_av_klimat*VLOOKUP($A51,Leveranser_per_nät,'Leveranser per nät'!W$1,FALSE)/VLOOKUP($B51,Korrigeringsfaktor_EI,'Korrigeringsfaktor EI'!W$1,FALSE),
"")</f>
        <v>8.0801105263157886</v>
      </c>
      <c r="X51" s="18">
        <f>IFERROR(
                  Andel_oberoende_av_klimat*VLOOKUP($A51,Leveranser_per_nät,'Leveranser per nät'!X$1,FALSE)
               +Andel_beroende_av_klimat*VLOOKUP($A51,Leveranser_per_nät,'Leveranser per nät'!X$1,FALSE)/VLOOKUP($B51,Korrigeringsfaktor_EI,'Korrigeringsfaktor EI'!X$1,FALSE),
"")</f>
        <v>8.2528874999999999</v>
      </c>
      <c r="Y51" s="18">
        <f>IFERROR(
                  Andel_oberoende_av_klimat*VLOOKUP($A51,Leveranser_per_nät,'Leveranser per nät'!Y$1,FALSE)
               +Andel_beroende_av_klimat*VLOOKUP($A51,Leveranser_per_nät,'Leveranser per nät'!Y$1,FALSE)/VLOOKUP($B51,Korrigeringsfaktor_EI,'Korrigeringsfaktor EI'!Y$1,FALSE),
"")</f>
        <v>8.2699182795698913</v>
      </c>
      <c r="Z51" s="18">
        <f>IFERROR(
                  Andel_oberoende_av_klimat*VLOOKUP($A51,Leveranser_per_nät,'Leveranser per nät'!Z$1,FALSE)
               +Andel_beroende_av_klimat*VLOOKUP($A51,Leveranser_per_nät,'Leveranser per nät'!Z$1,FALSE)/VLOOKUP($B51,Korrigeringsfaktor_EI,'Korrigeringsfaktor EI'!Z$1,FALSE),
"")</f>
        <v>8.1987371134020623</v>
      </c>
      <c r="AA51" s="18">
        <f>IFERROR(
                  Andel_oberoende_av_klimat*VLOOKUP($A51,Leveranser_per_nät,'Leveranser per nät'!AA$1,FALSE)
               +Andel_beroende_av_klimat*VLOOKUP($A51,Leveranser_per_nät,'Leveranser per nät'!AA$1,FALSE)/VLOOKUP($B51,Korrigeringsfaktor_EI,'Korrigeringsfaktor EI'!AA$1,FALSE),
"")</f>
        <v>7.6822477358490584</v>
      </c>
      <c r="AB51" s="18">
        <f>IFERROR(
                  Andel_oberoende_av_klimat*VLOOKUP($A51,Leveranser_per_nät,'Leveranser per nät'!AB$1,FALSE)
               +Andel_beroende_av_klimat*VLOOKUP($A51,Leveranser_per_nät,'Leveranser per nät'!AB$1,FALSE)/VLOOKUP($B51,Korrigeringsfaktor_EI,'Korrigeringsfaktor EI'!AB$1,FALSE),
"")</f>
        <v>7.706796220472441</v>
      </c>
      <c r="AC51" s="18">
        <f>IFERROR(
                  Andel_oberoende_av_klimat*VLOOKUP($A51,Leveranser_per_nät,'Leveranser per nät'!AC$1,FALSE)
               +Andel_beroende_av_klimat*VLOOKUP($A51,Leveranser_per_nät,'Leveranser per nät'!AC$1,FALSE)/VLOOKUP($B51,Korrigeringsfaktor_EI,'Korrigeringsfaktor EI'!AC$1,FALSE),
"")</f>
        <v>7.4907709548793289</v>
      </c>
      <c r="AD51">
        <v>351.95330000000001</v>
      </c>
    </row>
    <row r="52" spans="1:30" x14ac:dyDescent="0.25">
      <c r="A52" t="s">
        <v>265</v>
      </c>
      <c r="B52" t="s">
        <v>261</v>
      </c>
      <c r="C52" s="18">
        <f>IFERROR(
                  Andel_oberoende_av_klimat*VLOOKUP($A52,Leveranser_per_nät,'Leveranser per nät'!C$1,FALSE)
               +Andel_beroende_av_klimat*VLOOKUP($A52,Leveranser_per_nät,'Leveranser per nät'!C$1,FALSE)/VLOOKUP($B52,Korrigeringsfaktor_EI,'Korrigeringsfaktor EI'!C$1,FALSE),
"")</f>
        <v>0</v>
      </c>
      <c r="D52" s="18">
        <f>IFERROR(
                  Andel_oberoende_av_klimat*VLOOKUP($A52,Leveranser_per_nät,'Leveranser per nät'!D$1,FALSE)
               +Andel_beroende_av_klimat*VLOOKUP($A52,Leveranser_per_nät,'Leveranser per nät'!D$1,FALSE)/VLOOKUP($B52,Korrigeringsfaktor_EI,'Korrigeringsfaktor EI'!D$1,FALSE),
"")</f>
        <v>0</v>
      </c>
      <c r="E52" s="18">
        <f>IFERROR(
                  Andel_oberoende_av_klimat*VLOOKUP($A52,Leveranser_per_nät,'Leveranser per nät'!E$1,FALSE)
               +Andel_beroende_av_klimat*VLOOKUP($A52,Leveranser_per_nät,'Leveranser per nät'!E$1,FALSE)/VLOOKUP($B52,Korrigeringsfaktor_EI,'Korrigeringsfaktor EI'!E$1,FALSE),
"")</f>
        <v>0</v>
      </c>
      <c r="F52" s="18">
        <f>IFERROR(
                  Andel_oberoende_av_klimat*VLOOKUP($A52,Leveranser_per_nät,'Leveranser per nät'!F$1,FALSE)
               +Andel_beroende_av_klimat*VLOOKUP($A52,Leveranser_per_nät,'Leveranser per nät'!F$1,FALSE)/VLOOKUP($B52,Korrigeringsfaktor_EI,'Korrigeringsfaktor EI'!F$1,FALSE),
"")</f>
        <v>11</v>
      </c>
      <c r="G52" s="18">
        <f>IFERROR(
                  Andel_oberoende_av_klimat*VLOOKUP($A52,Leveranser_per_nät,'Leveranser per nät'!G$1,FALSE)
               +Andel_beroende_av_klimat*VLOOKUP($A52,Leveranser_per_nät,'Leveranser per nät'!G$1,FALSE)/VLOOKUP($B52,Korrigeringsfaktor_EI,'Korrigeringsfaktor EI'!G$1,FALSE),
"")</f>
        <v>11.669565217391304</v>
      </c>
      <c r="H52" s="18">
        <f>IFERROR(
                  Andel_oberoende_av_klimat*VLOOKUP($A52,Leveranser_per_nät,'Leveranser per nät'!H$1,FALSE)
               +Andel_beroende_av_klimat*VLOOKUP($A52,Leveranser_per_nät,'Leveranser per nät'!H$1,FALSE)/VLOOKUP($B52,Korrigeringsfaktor_EI,'Korrigeringsfaktor EI'!H$1,FALSE),
"")</f>
        <v>13.954000000000001</v>
      </c>
      <c r="I52" s="18">
        <f>IFERROR(
                  Andel_oberoende_av_klimat*VLOOKUP($A52,Leveranser_per_nät,'Leveranser per nät'!I$1,FALSE)
               +Andel_beroende_av_klimat*VLOOKUP($A52,Leveranser_per_nät,'Leveranser per nät'!I$1,FALSE)/VLOOKUP($B52,Korrigeringsfaktor_EI,'Korrigeringsfaktor EI'!I$1,FALSE),
"")</f>
        <v>13.379166666666666</v>
      </c>
      <c r="J52" s="18">
        <f>IFERROR(
                  Andel_oberoende_av_klimat*VLOOKUP($A52,Leveranser_per_nät,'Leveranser per nät'!J$1,FALSE)
               +Andel_beroende_av_klimat*VLOOKUP($A52,Leveranser_per_nät,'Leveranser per nät'!J$1,FALSE)/VLOOKUP($B52,Korrigeringsfaktor_EI,'Korrigeringsfaktor EI'!J$1,FALSE),
"")</f>
        <v>13.478947368421053</v>
      </c>
      <c r="K52" s="18">
        <f>IFERROR(
                  Andel_oberoende_av_klimat*VLOOKUP($A52,Leveranser_per_nät,'Leveranser per nät'!K$1,FALSE)
               +Andel_beroende_av_klimat*VLOOKUP($A52,Leveranser_per_nät,'Leveranser per nät'!K$1,FALSE)/VLOOKUP($B52,Korrigeringsfaktor_EI,'Korrigeringsfaktor EI'!K$1,FALSE),
"")</f>
        <v>13.44253142857143</v>
      </c>
      <c r="L52" s="18">
        <f>IFERROR(
                  Andel_oberoende_av_klimat*VLOOKUP($A52,Leveranser_per_nät,'Leveranser per nät'!L$1,FALSE)
               +Andel_beroende_av_klimat*VLOOKUP($A52,Leveranser_per_nät,'Leveranser per nät'!L$1,FALSE)/VLOOKUP($B52,Korrigeringsfaktor_EI,'Korrigeringsfaktor EI'!L$1,FALSE),
"")</f>
        <v>12.918905053763442</v>
      </c>
      <c r="M52" s="18">
        <f>IFERROR(
                  Andel_oberoende_av_klimat*VLOOKUP($A52,Leveranser_per_nät,'Leveranser per nät'!M$1,FALSE)
               +Andel_beroende_av_klimat*VLOOKUP($A52,Leveranser_per_nät,'Leveranser per nät'!M$1,FALSE)/VLOOKUP($B52,Korrigeringsfaktor_EI,'Korrigeringsfaktor EI'!M$1,FALSE),
"")</f>
        <v>14.425704347826088</v>
      </c>
      <c r="N52" s="18">
        <f>IFERROR(
                  Andel_oberoende_av_klimat*VLOOKUP($A52,Leveranser_per_nät,'Leveranser per nät'!N$1,FALSE)
               +Andel_beroende_av_klimat*VLOOKUP($A52,Leveranser_per_nät,'Leveranser per nät'!N$1,FALSE)/VLOOKUP($B52,Korrigeringsfaktor_EI,'Korrigeringsfaktor EI'!N$1,FALSE),
"")</f>
        <v>15.170434782608696</v>
      </c>
      <c r="O52" s="18">
        <f>IFERROR(
                  Andel_oberoende_av_klimat*VLOOKUP($A52,Leveranser_per_nät,'Leveranser per nät'!O$1,FALSE)
               +Andel_beroende_av_klimat*VLOOKUP($A52,Leveranser_per_nät,'Leveranser per nät'!O$1,FALSE)/VLOOKUP($B52,Korrigeringsfaktor_EI,'Korrigeringsfaktor EI'!O$1,FALSE),
"")</f>
        <v>14.95027741935484</v>
      </c>
      <c r="P52" s="18">
        <f>IFERROR(
                  Andel_oberoende_av_klimat*VLOOKUP($A52,Leveranser_per_nät,'Leveranser per nät'!P$1,FALSE)
               +Andel_beroende_av_klimat*VLOOKUP($A52,Leveranser_per_nät,'Leveranser per nät'!P$1,FALSE)/VLOOKUP($B52,Korrigeringsfaktor_EI,'Korrigeringsfaktor EI'!P$1,FALSE),
"")</f>
        <v>15.078320833333333</v>
      </c>
      <c r="Q52" s="18">
        <f>IFERROR(
                  Andel_oberoende_av_klimat*VLOOKUP($A52,Leveranser_per_nät,'Leveranser per nät'!Q$1,FALSE)
               +Andel_beroende_av_klimat*VLOOKUP($A52,Leveranser_per_nät,'Leveranser per nät'!Q$1,FALSE)/VLOOKUP($B52,Korrigeringsfaktor_EI,'Korrigeringsfaktor EI'!Q$1,FALSE),
"")</f>
        <v>14.886561682242991</v>
      </c>
      <c r="R52" s="18">
        <f>IFERROR(
                  Andel_oberoende_av_klimat*VLOOKUP($A52,Leveranser_per_nät,'Leveranser per nät'!R$1,FALSE)
               +Andel_beroende_av_klimat*VLOOKUP($A52,Leveranser_per_nät,'Leveranser per nät'!R$1,FALSE)/VLOOKUP($B52,Korrigeringsfaktor_EI,'Korrigeringsfaktor EI'!R$1,FALSE),
"")</f>
        <v>14.187737078651685</v>
      </c>
      <c r="S52" s="18">
        <f>IFERROR(
                  Andel_oberoende_av_klimat*VLOOKUP($A52,Leveranser_per_nät,'Leveranser per nät'!S$1,FALSE)
               +Andel_beroende_av_klimat*VLOOKUP($A52,Leveranser_per_nät,'Leveranser per nät'!S$1,FALSE)/VLOOKUP($B52,Korrigeringsfaktor_EI,'Korrigeringsfaktor EI'!S$1,FALSE),
"")</f>
        <v>14.743515151515153</v>
      </c>
      <c r="T52" s="18">
        <f>IFERROR(
                  Andel_oberoende_av_klimat*VLOOKUP($A52,Leveranser_per_nät,'Leveranser per nät'!T$1,FALSE)
               +Andel_beroende_av_klimat*VLOOKUP($A52,Leveranser_per_nät,'Leveranser per nät'!T$1,FALSE)/VLOOKUP($B52,Korrigeringsfaktor_EI,'Korrigeringsfaktor EI'!T$1,FALSE),
"")</f>
        <v>14.956139130434785</v>
      </c>
      <c r="U52" s="18">
        <f>IFERROR(
                  Andel_oberoende_av_klimat*VLOOKUP($A52,Leveranser_per_nät,'Leveranser per nät'!U$1,FALSE)
               +Andel_beroende_av_klimat*VLOOKUP($A52,Leveranser_per_nät,'Leveranser per nät'!U$1,FALSE)/VLOOKUP($B52,Korrigeringsfaktor_EI,'Korrigeringsfaktor EI'!U$1,FALSE),
"")</f>
        <v>14.921833333333334</v>
      </c>
      <c r="V52" s="18">
        <f>IFERROR(
                  Andel_oberoende_av_klimat*VLOOKUP($A52,Leveranser_per_nät,'Leveranser per nät'!V$1,FALSE)
               +Andel_beroende_av_klimat*VLOOKUP($A52,Leveranser_per_nät,'Leveranser per nät'!V$1,FALSE)/VLOOKUP($B52,Korrigeringsfaktor_EI,'Korrigeringsfaktor EI'!V$1,FALSE),
"")</f>
        <v>13.807471264367816</v>
      </c>
      <c r="W52" s="18">
        <f>IFERROR(
                  Andel_oberoende_av_klimat*VLOOKUP($A52,Leveranser_per_nät,'Leveranser per nät'!W$1,FALSE)
               +Andel_beroende_av_klimat*VLOOKUP($A52,Leveranser_per_nät,'Leveranser per nät'!W$1,FALSE)/VLOOKUP($B52,Korrigeringsfaktor_EI,'Korrigeringsfaktor EI'!W$1,FALSE),
"")</f>
        <v>14.895273684210526</v>
      </c>
      <c r="X52" s="18">
        <f>IFERROR(
                  Andel_oberoende_av_klimat*VLOOKUP($A52,Leveranser_per_nät,'Leveranser per nät'!X$1,FALSE)
               +Andel_beroende_av_klimat*VLOOKUP($A52,Leveranser_per_nät,'Leveranser per nät'!X$1,FALSE)/VLOOKUP($B52,Korrigeringsfaktor_EI,'Korrigeringsfaktor EI'!X$1,FALSE),
"")</f>
        <v>15.577466666666666</v>
      </c>
      <c r="Y52" s="18">
        <f>IFERROR(
                  Andel_oberoende_av_klimat*VLOOKUP($A52,Leveranser_per_nät,'Leveranser per nät'!Y$1,FALSE)
               +Andel_beroende_av_klimat*VLOOKUP($A52,Leveranser_per_nät,'Leveranser per nät'!Y$1,FALSE)/VLOOKUP($B52,Korrigeringsfaktor_EI,'Korrigeringsfaktor EI'!Y$1,FALSE),
"")</f>
        <v>16.316666666666666</v>
      </c>
      <c r="Z52" s="18">
        <f>IFERROR(
                  Andel_oberoende_av_klimat*VLOOKUP($A52,Leveranser_per_nät,'Leveranser per nät'!Z$1,FALSE)
               +Andel_beroende_av_klimat*VLOOKUP($A52,Leveranser_per_nät,'Leveranser per nät'!Z$1,FALSE)/VLOOKUP($B52,Korrigeringsfaktor_EI,'Korrigeringsfaktor EI'!Z$1,FALSE),
"")</f>
        <v>15.865194845360826</v>
      </c>
      <c r="AA52" s="18">
        <f>IFERROR(
                  Andel_oberoende_av_klimat*VLOOKUP($A52,Leveranser_per_nät,'Leveranser per nät'!AA$1,FALSE)
               +Andel_beroende_av_klimat*VLOOKUP($A52,Leveranser_per_nät,'Leveranser per nät'!AA$1,FALSE)/VLOOKUP($B52,Korrigeringsfaktor_EI,'Korrigeringsfaktor EI'!AA$1,FALSE),
"")</f>
        <v>14.824323349056606</v>
      </c>
      <c r="AB52" s="18">
        <f>IFERROR(
                  Andel_oberoende_av_klimat*VLOOKUP($A52,Leveranser_per_nät,'Leveranser per nät'!AB$1,FALSE)
               +Andel_beroende_av_klimat*VLOOKUP($A52,Leveranser_per_nät,'Leveranser per nät'!AB$1,FALSE)/VLOOKUP($B52,Korrigeringsfaktor_EI,'Korrigeringsfaktor EI'!AB$1,FALSE),
"")</f>
        <v>14.991200629921259</v>
      </c>
      <c r="AC52" s="18">
        <f>IFERROR(
                  Andel_oberoende_av_klimat*VLOOKUP($A52,Leveranser_per_nät,'Leveranser per nät'!AC$1,FALSE)
               +Andel_beroende_av_klimat*VLOOKUP($A52,Leveranser_per_nät,'Leveranser per nät'!AC$1,FALSE)/VLOOKUP($B52,Korrigeringsfaktor_EI,'Korrigeringsfaktor EI'!AC$1,FALSE),
"")</f>
        <v>14.465728961175238</v>
      </c>
      <c r="AD52">
        <v>351.95330000000001</v>
      </c>
    </row>
    <row r="53" spans="1:30" x14ac:dyDescent="0.25">
      <c r="A53" t="s">
        <v>266</v>
      </c>
      <c r="B53" t="s">
        <v>230</v>
      </c>
      <c r="C53" s="18">
        <f>IFERROR(
                  Andel_oberoende_av_klimat*VLOOKUP($A53,Leveranser_per_nät,'Leveranser per nät'!C$1,FALSE)
               +Andel_beroende_av_klimat*VLOOKUP($A53,Leveranser_per_nät,'Leveranser per nät'!C$1,FALSE)/VLOOKUP($B53,Korrigeringsfaktor_EI,'Korrigeringsfaktor EI'!C$1,FALSE),
"")</f>
        <v>0</v>
      </c>
      <c r="D53" s="18">
        <f>IFERROR(
                  Andel_oberoende_av_klimat*VLOOKUP($A53,Leveranser_per_nät,'Leveranser per nät'!D$1,FALSE)
               +Andel_beroende_av_klimat*VLOOKUP($A53,Leveranser_per_nät,'Leveranser per nät'!D$1,FALSE)/VLOOKUP($B53,Korrigeringsfaktor_EI,'Korrigeringsfaktor EI'!D$1,FALSE),
"")</f>
        <v>0</v>
      </c>
      <c r="E53" s="18">
        <f>IFERROR(
                  Andel_oberoende_av_klimat*VLOOKUP($A53,Leveranser_per_nät,'Leveranser per nät'!E$1,FALSE)
               +Andel_beroende_av_klimat*VLOOKUP($A53,Leveranser_per_nät,'Leveranser per nät'!E$1,FALSE)/VLOOKUP($B53,Korrigeringsfaktor_EI,'Korrigeringsfaktor EI'!E$1,FALSE),
"")</f>
        <v>0</v>
      </c>
      <c r="F53" s="18">
        <f>IFERROR(
                  Andel_oberoende_av_klimat*VLOOKUP($A53,Leveranser_per_nät,'Leveranser per nät'!F$1,FALSE)
               +Andel_beroende_av_klimat*VLOOKUP($A53,Leveranser_per_nät,'Leveranser per nät'!F$1,FALSE)/VLOOKUP($B53,Korrigeringsfaktor_EI,'Korrigeringsfaktor EI'!F$1,FALSE),
"")</f>
        <v>0</v>
      </c>
      <c r="G53" s="18">
        <f>IFERROR(
                  Andel_oberoende_av_klimat*VLOOKUP($A53,Leveranser_per_nät,'Leveranser per nät'!G$1,FALSE)
               +Andel_beroende_av_klimat*VLOOKUP($A53,Leveranser_per_nät,'Leveranser per nät'!G$1,FALSE)/VLOOKUP($B53,Korrigeringsfaktor_EI,'Korrigeringsfaktor EI'!G$1,FALSE),
"")</f>
        <v>0</v>
      </c>
      <c r="H53" s="18">
        <f>IFERROR(
                  Andel_oberoende_av_klimat*VLOOKUP($A53,Leveranser_per_nät,'Leveranser per nät'!H$1,FALSE)
               +Andel_beroende_av_klimat*VLOOKUP($A53,Leveranser_per_nät,'Leveranser per nät'!H$1,FALSE)/VLOOKUP($B53,Korrigeringsfaktor_EI,'Korrigeringsfaktor EI'!H$1,FALSE),
"")</f>
        <v>1.3029069306930694</v>
      </c>
      <c r="I53" s="18">
        <f>IFERROR(
                  Andel_oberoende_av_klimat*VLOOKUP($A53,Leveranser_per_nät,'Leveranser per nät'!I$1,FALSE)
               +Andel_beroende_av_klimat*VLOOKUP($A53,Leveranser_per_nät,'Leveranser per nät'!I$1,FALSE)/VLOOKUP($B53,Korrigeringsfaktor_EI,'Korrigeringsfaktor EI'!I$1,FALSE),
"")</f>
        <v>7.1</v>
      </c>
      <c r="J53" s="18">
        <f>IFERROR(
                  Andel_oberoende_av_klimat*VLOOKUP($A53,Leveranser_per_nät,'Leveranser per nät'!J$1,FALSE)
               +Andel_beroende_av_klimat*VLOOKUP($A53,Leveranser_per_nät,'Leveranser per nät'!J$1,FALSE)/VLOOKUP($B53,Korrigeringsfaktor_EI,'Korrigeringsfaktor EI'!J$1,FALSE),
"")</f>
        <v>8.2333333333333343</v>
      </c>
      <c r="K53" s="18">
        <f>IFERROR(
                  Andel_oberoende_av_klimat*VLOOKUP($A53,Leveranser_per_nät,'Leveranser per nät'!K$1,FALSE)
               +Andel_beroende_av_klimat*VLOOKUP($A53,Leveranser_per_nät,'Leveranser per nät'!K$1,FALSE)/VLOOKUP($B53,Korrigeringsfaktor_EI,'Korrigeringsfaktor EI'!K$1,FALSE),
"")</f>
        <v>8.4077999999999999</v>
      </c>
      <c r="L53" s="18">
        <f>IFERROR(
                  Andel_oberoende_av_klimat*VLOOKUP($A53,Leveranser_per_nät,'Leveranser per nät'!L$1,FALSE)
               +Andel_beroende_av_klimat*VLOOKUP($A53,Leveranser_per_nät,'Leveranser per nät'!L$1,FALSE)/VLOOKUP($B53,Korrigeringsfaktor_EI,'Korrigeringsfaktor EI'!L$1,FALSE),
"")</f>
        <v>8.3774002127659575</v>
      </c>
      <c r="M53" s="18">
        <f>IFERROR(
                  Andel_oberoende_av_klimat*VLOOKUP($A53,Leveranser_per_nät,'Leveranser per nät'!M$1,FALSE)
               +Andel_beroende_av_klimat*VLOOKUP($A53,Leveranser_per_nät,'Leveranser per nät'!M$1,FALSE)/VLOOKUP($B53,Korrigeringsfaktor_EI,'Korrigeringsfaktor EI'!M$1,FALSE),
"")</f>
        <v>8.7067838709677421</v>
      </c>
      <c r="N53" s="18">
        <f>IFERROR(
                  Andel_oberoende_av_klimat*VLOOKUP($A53,Leveranser_per_nät,'Leveranser per nät'!N$1,FALSE)
               +Andel_beroende_av_klimat*VLOOKUP($A53,Leveranser_per_nät,'Leveranser per nät'!N$1,FALSE)/VLOOKUP($B53,Korrigeringsfaktor_EI,'Korrigeringsfaktor EI'!N$1,FALSE),
"")</f>
        <v>8.8349315789473692</v>
      </c>
      <c r="O53" s="18">
        <f>IFERROR(
                  Andel_oberoende_av_klimat*VLOOKUP($A53,Leveranser_per_nät,'Leveranser per nät'!O$1,FALSE)
               +Andel_beroende_av_klimat*VLOOKUP($A53,Leveranser_per_nät,'Leveranser per nät'!O$1,FALSE)/VLOOKUP($B53,Korrigeringsfaktor_EI,'Korrigeringsfaktor EI'!O$1,FALSE),
"")</f>
        <v>8.8065791666666673</v>
      </c>
      <c r="P53" s="18">
        <f>IFERROR(
                  Andel_oberoende_av_klimat*VLOOKUP($A53,Leveranser_per_nät,'Leveranser per nät'!P$1,FALSE)
               +Andel_beroende_av_klimat*VLOOKUP($A53,Leveranser_per_nät,'Leveranser per nät'!P$1,FALSE)/VLOOKUP($B53,Korrigeringsfaktor_EI,'Korrigeringsfaktor EI'!P$1,FALSE),
"")</f>
        <v>9.400196907216495</v>
      </c>
      <c r="Q53" s="18">
        <f>IFERROR(
                  Andel_oberoende_av_klimat*VLOOKUP($A53,Leveranser_per_nät,'Leveranser per nät'!Q$1,FALSE)
               +Andel_beroende_av_klimat*VLOOKUP($A53,Leveranser_per_nät,'Leveranser per nät'!Q$1,FALSE)/VLOOKUP($B53,Korrigeringsfaktor_EI,'Korrigeringsfaktor EI'!Q$1,FALSE),
"")</f>
        <v>8.8274889908256871</v>
      </c>
      <c r="R53" s="18">
        <f>IFERROR(
                  Andel_oberoende_av_klimat*VLOOKUP($A53,Leveranser_per_nät,'Leveranser per nät'!R$1,FALSE)
               +Andel_beroende_av_klimat*VLOOKUP($A53,Leveranser_per_nät,'Leveranser per nät'!R$1,FALSE)/VLOOKUP($B53,Korrigeringsfaktor_EI,'Korrigeringsfaktor EI'!R$1,FALSE),
"")</f>
        <v>8.6948869565217386</v>
      </c>
      <c r="S53" s="18">
        <f>IFERROR(
                  Andel_oberoende_av_klimat*VLOOKUP($A53,Leveranser_per_nät,'Leveranser per nät'!S$1,FALSE)
               +Andel_beroende_av_klimat*VLOOKUP($A53,Leveranser_per_nät,'Leveranser per nät'!S$1,FALSE)/VLOOKUP($B53,Korrigeringsfaktor_EI,'Korrigeringsfaktor EI'!S$1,FALSE),
"")</f>
        <v>10.35</v>
      </c>
      <c r="T53" s="18">
        <f>IFERROR(
                  Andel_oberoende_av_klimat*VLOOKUP($A53,Leveranser_per_nät,'Leveranser per nät'!T$1,FALSE)
               +Andel_beroende_av_klimat*VLOOKUP($A53,Leveranser_per_nät,'Leveranser per nät'!T$1,FALSE)/VLOOKUP($B53,Korrigeringsfaktor_EI,'Korrigeringsfaktor EI'!T$1,FALSE),
"")</f>
        <v>10.239497849462365</v>
      </c>
      <c r="U53" s="18">
        <f>IFERROR(
                  Andel_oberoende_av_klimat*VLOOKUP($A53,Leveranser_per_nät,'Leveranser per nät'!U$1,FALSE)
               +Andel_beroende_av_klimat*VLOOKUP($A53,Leveranser_per_nät,'Leveranser per nät'!U$1,FALSE)/VLOOKUP($B53,Korrigeringsfaktor_EI,'Korrigeringsfaktor EI'!U$1,FALSE),
"")</f>
        <v>10.370469230769231</v>
      </c>
      <c r="V53" s="18">
        <f>IFERROR(
                  Andel_oberoende_av_klimat*VLOOKUP($A53,Leveranser_per_nät,'Leveranser per nät'!V$1,FALSE)
               +Andel_beroende_av_klimat*VLOOKUP($A53,Leveranser_per_nät,'Leveranser per nät'!V$1,FALSE)/VLOOKUP($B53,Korrigeringsfaktor_EI,'Korrigeringsfaktor EI'!V$1,FALSE),
"")</f>
        <v>10.503358426966292</v>
      </c>
      <c r="W53" s="18">
        <f>IFERROR(
                  Andel_oberoende_av_klimat*VLOOKUP($A53,Leveranser_per_nät,'Leveranser per nät'!W$1,FALSE)
               +Andel_beroende_av_klimat*VLOOKUP($A53,Leveranser_per_nät,'Leveranser per nät'!W$1,FALSE)/VLOOKUP($B53,Korrigeringsfaktor_EI,'Korrigeringsfaktor EI'!W$1,FALSE),
"")</f>
        <v>11.526342857142858</v>
      </c>
      <c r="X53" s="18">
        <f>IFERROR(
                  Andel_oberoende_av_klimat*VLOOKUP($A53,Leveranser_per_nät,'Leveranser per nät'!X$1,FALSE)
               +Andel_beroende_av_klimat*VLOOKUP($A53,Leveranser_per_nät,'Leveranser per nät'!X$1,FALSE)/VLOOKUP($B53,Korrigeringsfaktor_EI,'Korrigeringsfaktor EI'!X$1,FALSE),
"")</f>
        <v>10.886696907216496</v>
      </c>
      <c r="Y53" s="18">
        <f>IFERROR(
                  Andel_oberoende_av_klimat*VLOOKUP($A53,Leveranser_per_nät,'Leveranser per nät'!Y$1,FALSE)
               +Andel_beroende_av_klimat*VLOOKUP($A53,Leveranser_per_nät,'Leveranser per nät'!Y$1,FALSE)/VLOOKUP($B53,Korrigeringsfaktor_EI,'Korrigeringsfaktor EI'!Y$1,FALSE),
"")</f>
        <v>11.259083333333333</v>
      </c>
      <c r="Z53" s="18">
        <f>IFERROR(
                  Andel_oberoende_av_klimat*VLOOKUP($A53,Leveranser_per_nät,'Leveranser per nät'!Z$1,FALSE)
               +Andel_beroende_av_klimat*VLOOKUP($A53,Leveranser_per_nät,'Leveranser per nät'!Z$1,FALSE)/VLOOKUP($B53,Korrigeringsfaktor_EI,'Korrigeringsfaktor EI'!Z$1,FALSE),
"")</f>
        <v>10.903554545454545</v>
      </c>
      <c r="AA53" s="18">
        <f>IFERROR(
                  Andel_oberoende_av_klimat*VLOOKUP($A53,Leveranser_per_nät,'Leveranser per nät'!AA$1,FALSE)
               +Andel_beroende_av_klimat*VLOOKUP($A53,Leveranser_per_nät,'Leveranser per nät'!AA$1,FALSE)/VLOOKUP($B53,Korrigeringsfaktor_EI,'Korrigeringsfaktor EI'!AA$1,FALSE),
"")</f>
        <v>9.5712597648843385</v>
      </c>
      <c r="AB53" s="18">
        <f>IFERROR(
                  Andel_oberoende_av_klimat*VLOOKUP($A53,Leveranser_per_nät,'Leveranser per nät'!AB$1,FALSE)
               +Andel_beroende_av_klimat*VLOOKUP($A53,Leveranser_per_nät,'Leveranser per nät'!AB$1,FALSE)/VLOOKUP($B53,Korrigeringsfaktor_EI,'Korrigeringsfaktor EI'!AB$1,FALSE),
"")</f>
        <v>10.122950156249999</v>
      </c>
      <c r="AC53" s="18">
        <f>IFERROR(
                  Andel_oberoende_av_klimat*VLOOKUP($A53,Leveranser_per_nät,'Leveranser per nät'!AC$1,FALSE)
               +Andel_beroende_av_klimat*VLOOKUP($A53,Leveranser_per_nät,'Leveranser per nät'!AC$1,FALSE)/VLOOKUP($B53,Korrigeringsfaktor_EI,'Korrigeringsfaktor EI'!AC$1,FALSE),
"")</f>
        <v>9.8747214822546976</v>
      </c>
      <c r="AD53">
        <v>240.6</v>
      </c>
    </row>
    <row r="54" spans="1:30" x14ac:dyDescent="0.25">
      <c r="A54" t="s">
        <v>62</v>
      </c>
      <c r="B54" t="s">
        <v>441</v>
      </c>
      <c r="C54" s="18">
        <f>IFERROR(
                  Andel_oberoende_av_klimat*VLOOKUP($A54,Leveranser_per_nät,'Leveranser per nät'!C$1,FALSE)
               +Andel_beroende_av_klimat*VLOOKUP($A54,Leveranser_per_nät,'Leveranser per nät'!C$1,FALSE)/VLOOKUP($B54,Korrigeringsfaktor_EI,'Korrigeringsfaktor EI'!C$1,FALSE),
"")</f>
        <v>17.607111111111109</v>
      </c>
      <c r="D54" s="18">
        <f>IFERROR(
                  Andel_oberoende_av_klimat*VLOOKUP($A54,Leveranser_per_nät,'Leveranser per nät'!D$1,FALSE)
               +Andel_beroende_av_klimat*VLOOKUP($A54,Leveranser_per_nät,'Leveranser per nät'!D$1,FALSE)/VLOOKUP($B54,Korrigeringsfaktor_EI,'Korrigeringsfaktor EI'!D$1,FALSE),
"")</f>
        <v>19.550263636363638</v>
      </c>
      <c r="E54" s="18">
        <f>IFERROR(
                  Andel_oberoende_av_klimat*VLOOKUP($A54,Leveranser_per_nät,'Leveranser per nät'!E$1,FALSE)
               +Andel_beroende_av_klimat*VLOOKUP($A54,Leveranser_per_nät,'Leveranser per nät'!E$1,FALSE)/VLOOKUP($B54,Korrigeringsfaktor_EI,'Korrigeringsfaktor EI'!E$1,FALSE),
"")</f>
        <v>18.612621359223301</v>
      </c>
      <c r="F54" s="18">
        <f>IFERROR(
                  Andel_oberoende_av_klimat*VLOOKUP($A54,Leveranser_per_nät,'Leveranser per nät'!F$1,FALSE)
               +Andel_beroende_av_klimat*VLOOKUP($A54,Leveranser_per_nät,'Leveranser per nät'!F$1,FALSE)/VLOOKUP($B54,Korrigeringsfaktor_EI,'Korrigeringsfaktor EI'!F$1,FALSE),
"")</f>
        <v>17.764797872340427</v>
      </c>
      <c r="G54" s="18">
        <f>IFERROR(
                  Andel_oberoende_av_klimat*VLOOKUP($A54,Leveranser_per_nät,'Leveranser per nät'!G$1,FALSE)
               +Andel_beroende_av_klimat*VLOOKUP($A54,Leveranser_per_nät,'Leveranser per nät'!G$1,FALSE)/VLOOKUP($B54,Korrigeringsfaktor_EI,'Korrigeringsfaktor EI'!G$1,FALSE),
"")</f>
        <v>21.730337078651687</v>
      </c>
      <c r="H54" s="18">
        <f>IFERROR(
                  Andel_oberoende_av_klimat*VLOOKUP($A54,Leveranser_per_nät,'Leveranser per nät'!H$1,FALSE)
               +Andel_beroende_av_klimat*VLOOKUP($A54,Leveranser_per_nät,'Leveranser per nät'!H$1,FALSE)/VLOOKUP($B54,Korrigeringsfaktor_EI,'Korrigeringsfaktor EI'!H$1,FALSE),
"")</f>
        <v>20.285714285714288</v>
      </c>
      <c r="I54" s="18">
        <f>IFERROR(
                  Andel_oberoende_av_klimat*VLOOKUP($A54,Leveranser_per_nät,'Leveranser per nät'!I$1,FALSE)
               +Andel_beroende_av_klimat*VLOOKUP($A54,Leveranser_per_nät,'Leveranser per nät'!I$1,FALSE)/VLOOKUP($B54,Korrigeringsfaktor_EI,'Korrigeringsfaktor EI'!I$1,FALSE),
"")</f>
        <v>24.0825</v>
      </c>
      <c r="J54" s="18">
        <f>IFERROR(
                  Andel_oberoende_av_klimat*VLOOKUP($A54,Leveranser_per_nät,'Leveranser per nät'!J$1,FALSE)
               +Andel_beroende_av_klimat*VLOOKUP($A54,Leveranser_per_nät,'Leveranser per nät'!J$1,FALSE)/VLOOKUP($B54,Korrigeringsfaktor_EI,'Korrigeringsfaktor EI'!J$1,FALSE),
"")</f>
        <v>24.03857142857143</v>
      </c>
      <c r="K54" s="18">
        <f>IFERROR(
                  Andel_oberoende_av_klimat*VLOOKUP($A54,Leveranser_per_nät,'Leveranser per nät'!K$1,FALSE)
               +Andel_beroende_av_klimat*VLOOKUP($A54,Leveranser_per_nät,'Leveranser per nät'!K$1,FALSE)/VLOOKUP($B54,Korrigeringsfaktor_EI,'Korrigeringsfaktor EI'!K$1,FALSE),
"")</f>
        <v>29.343600000000002</v>
      </c>
      <c r="L54" s="18">
        <f>IFERROR(
                  Andel_oberoende_av_klimat*VLOOKUP($A54,Leveranser_per_nät,'Leveranser per nät'!L$1,FALSE)
               +Andel_beroende_av_klimat*VLOOKUP($A54,Leveranser_per_nät,'Leveranser per nät'!L$1,FALSE)/VLOOKUP($B54,Korrigeringsfaktor_EI,'Korrigeringsfaktor EI'!L$1,FALSE),
"")</f>
        <v>26.496499999999997</v>
      </c>
      <c r="M54" s="18">
        <f>IFERROR(
                  Andel_oberoende_av_klimat*VLOOKUP($A54,Leveranser_per_nät,'Leveranser per nät'!M$1,FALSE)
               +Andel_beroende_av_klimat*VLOOKUP($A54,Leveranser_per_nät,'Leveranser per nät'!M$1,FALSE)/VLOOKUP($B54,Korrigeringsfaktor_EI,'Korrigeringsfaktor EI'!M$1,FALSE),
"")</f>
        <v>23.975652173913044</v>
      </c>
      <c r="N54" s="18">
        <f>IFERROR(
                  Andel_oberoende_av_klimat*VLOOKUP($A54,Leveranser_per_nät,'Leveranser per nät'!N$1,FALSE)
               +Andel_beroende_av_klimat*VLOOKUP($A54,Leveranser_per_nät,'Leveranser per nät'!N$1,FALSE)/VLOOKUP($B54,Korrigeringsfaktor_EI,'Korrigeringsfaktor EI'!N$1,FALSE),
"")</f>
        <v>23.875923076923076</v>
      </c>
      <c r="O54" s="18">
        <f>IFERROR(
                  Andel_oberoende_av_klimat*VLOOKUP($A54,Leveranser_per_nät,'Leveranser per nät'!O$1,FALSE)
               +Andel_beroende_av_klimat*VLOOKUP($A54,Leveranser_per_nät,'Leveranser per nät'!O$1,FALSE)/VLOOKUP($B54,Korrigeringsfaktor_EI,'Korrigeringsfaktor EI'!O$1,FALSE),
"")</f>
        <v>28.992222222222221</v>
      </c>
      <c r="P54" s="18">
        <f>IFERROR(
                  Andel_oberoende_av_klimat*VLOOKUP($A54,Leveranser_per_nät,'Leveranser per nät'!P$1,FALSE)
               +Andel_beroende_av_klimat*VLOOKUP($A54,Leveranser_per_nät,'Leveranser per nät'!P$1,FALSE)/VLOOKUP($B54,Korrigeringsfaktor_EI,'Korrigeringsfaktor EI'!P$1,FALSE),
"")</f>
        <v>32.142105263157895</v>
      </c>
      <c r="Q54" s="18">
        <f>IFERROR(
                  Andel_oberoende_av_klimat*VLOOKUP($A54,Leveranser_per_nät,'Leveranser per nät'!Q$1,FALSE)
               +Andel_beroende_av_klimat*VLOOKUP($A54,Leveranser_per_nät,'Leveranser per nät'!Q$1,FALSE)/VLOOKUP($B54,Korrigeringsfaktor_EI,'Korrigeringsfaktor EI'!Q$1,FALSE),
"")</f>
        <v>34.898648648648646</v>
      </c>
      <c r="R54" s="18">
        <f>IFERROR(
                  Andel_oberoende_av_klimat*VLOOKUP($A54,Leveranser_per_nät,'Leveranser per nät'!R$1,FALSE)
               +Andel_beroende_av_klimat*VLOOKUP($A54,Leveranser_per_nät,'Leveranser per nät'!R$1,FALSE)/VLOOKUP($B54,Korrigeringsfaktor_EI,'Korrigeringsfaktor EI'!R$1,FALSE),
"")</f>
        <v>40.74438202247191</v>
      </c>
      <c r="S54" s="18">
        <f>IFERROR(
                  Andel_oberoende_av_klimat*VLOOKUP($A54,Leveranser_per_nät,'Leveranser per nät'!S$1,FALSE)
               +Andel_beroende_av_klimat*VLOOKUP($A54,Leveranser_per_nät,'Leveranser per nät'!S$1,FALSE)/VLOOKUP($B54,Korrigeringsfaktor_EI,'Korrigeringsfaktor EI'!S$1,FALSE),
"")</f>
        <v>34.240404040404037</v>
      </c>
      <c r="T54" s="18">
        <f>IFERROR(
                  Andel_oberoende_av_klimat*VLOOKUP($A54,Leveranser_per_nät,'Leveranser per nät'!T$1,FALSE)
               +Andel_beroende_av_klimat*VLOOKUP($A54,Leveranser_per_nät,'Leveranser per nät'!T$1,FALSE)/VLOOKUP($B54,Korrigeringsfaktor_EI,'Korrigeringsfaktor EI'!T$1,FALSE),
"")</f>
        <v>34.633440860215046</v>
      </c>
      <c r="U54" s="18">
        <f>IFERROR(
                  Andel_oberoende_av_klimat*VLOOKUP($A54,Leveranser_per_nät,'Leveranser per nät'!U$1,FALSE)
               +Andel_beroende_av_klimat*VLOOKUP($A54,Leveranser_per_nät,'Leveranser per nät'!U$1,FALSE)/VLOOKUP($B54,Korrigeringsfaktor_EI,'Korrigeringsfaktor EI'!U$1,FALSE),
"")</f>
        <v>28.345555555555556</v>
      </c>
      <c r="V54" s="18">
        <f>IFERROR(
                  Andel_oberoende_av_klimat*VLOOKUP($A54,Leveranser_per_nät,'Leveranser per nät'!V$1,FALSE)
               +Andel_beroende_av_klimat*VLOOKUP($A54,Leveranser_per_nät,'Leveranser per nät'!V$1,FALSE)/VLOOKUP($B54,Korrigeringsfaktor_EI,'Korrigeringsfaktor EI'!V$1,FALSE),
"")</f>
        <v>33.027471264367811</v>
      </c>
      <c r="W54" s="18">
        <f>IFERROR(
                  Andel_oberoende_av_klimat*VLOOKUP($A54,Leveranser_per_nät,'Leveranser per nät'!W$1,FALSE)
               +Andel_beroende_av_klimat*VLOOKUP($A54,Leveranser_per_nät,'Leveranser per nät'!W$1,FALSE)/VLOOKUP($B54,Korrigeringsfaktor_EI,'Korrigeringsfaktor EI'!W$1,FALSE),
"")</f>
        <v>33.638723404255323</v>
      </c>
      <c r="X54" s="18" t="str">
        <f>IFERROR(
                  Andel_oberoende_av_klimat*VLOOKUP($A54,Leveranser_per_nät,'Leveranser per nät'!X$1,FALSE)
               +Andel_beroende_av_klimat*VLOOKUP($A54,Leveranser_per_nät,'Leveranser per nät'!X$1,FALSE)/VLOOKUP($B54,Korrigeringsfaktor_EI,'Korrigeringsfaktor EI'!X$1,FALSE),
"")</f>
        <v/>
      </c>
      <c r="Y54" s="18" t="str">
        <f>IFERROR(
                  Andel_oberoende_av_klimat*VLOOKUP($A54,Leveranser_per_nät,'Leveranser per nät'!Y$1,FALSE)
               +Andel_beroende_av_klimat*VLOOKUP($A54,Leveranser_per_nät,'Leveranser per nät'!Y$1,FALSE)/VLOOKUP($B54,Korrigeringsfaktor_EI,'Korrigeringsfaktor EI'!Y$1,FALSE),
"")</f>
        <v/>
      </c>
      <c r="Z54" s="18">
        <f>IFERROR(
                  Andel_oberoende_av_klimat*VLOOKUP($A54,Leveranser_per_nät,'Leveranser per nät'!Z$1,FALSE)
               +Andel_beroende_av_klimat*VLOOKUP($A54,Leveranser_per_nät,'Leveranser per nät'!Z$1,FALSE)/VLOOKUP($B54,Korrigeringsfaktor_EI,'Korrigeringsfaktor EI'!Z$1,FALSE),
"")</f>
        <v>36.072359550561799</v>
      </c>
      <c r="AA54" s="18">
        <f>IFERROR(
                  Andel_oberoende_av_klimat*VLOOKUP($A54,Leveranser_per_nät,'Leveranser per nät'!AA$1,FALSE)
               +Andel_beroende_av_klimat*VLOOKUP($A54,Leveranser_per_nät,'Leveranser per nät'!AA$1,FALSE)/VLOOKUP($B54,Korrigeringsfaktor_EI,'Korrigeringsfaktor EI'!AA$1,FALSE),
"")</f>
        <v>34.661003236245953</v>
      </c>
      <c r="AB54" s="18">
        <f>IFERROR(
                  Andel_oberoende_av_klimat*VLOOKUP($A54,Leveranser_per_nät,'Leveranser per nät'!AB$1,FALSE)
               +Andel_beroende_av_klimat*VLOOKUP($A54,Leveranser_per_nät,'Leveranser per nät'!AB$1,FALSE)/VLOOKUP($B54,Korrigeringsfaktor_EI,'Korrigeringsfaktor EI'!AB$1,FALSE),
"")</f>
        <v>34.903669785575048</v>
      </c>
      <c r="AC54" s="18">
        <f>IFERROR(
                  Andel_oberoende_av_klimat*VLOOKUP($A54,Leveranser_per_nät,'Leveranser per nät'!AC$1,FALSE)
               +Andel_beroende_av_klimat*VLOOKUP($A54,Leveranser_per_nät,'Leveranser per nät'!AC$1,FALSE)/VLOOKUP($B54,Korrigeringsfaktor_EI,'Korrigeringsfaktor EI'!AC$1,FALSE),
"")</f>
        <v>34.52906444906445</v>
      </c>
      <c r="AD54" t="e">
        <v>#N/A</v>
      </c>
    </row>
    <row r="55" spans="1:30" x14ac:dyDescent="0.25">
      <c r="A55" t="s">
        <v>496</v>
      </c>
      <c r="B55" t="s">
        <v>126</v>
      </c>
      <c r="C55" s="18">
        <f>IFERROR(
                  Andel_oberoende_av_klimat*VLOOKUP($A55,Leveranser_per_nät,'Leveranser per nät'!C$1,FALSE)
               +Andel_beroende_av_klimat*VLOOKUP($A55,Leveranser_per_nät,'Leveranser per nät'!C$1,FALSE)/VLOOKUP($B55,Korrigeringsfaktor_EI,'Korrigeringsfaktor EI'!C$1,FALSE),
"")</f>
        <v>0</v>
      </c>
      <c r="D55" s="18">
        <f>IFERROR(
                  Andel_oberoende_av_klimat*VLOOKUP($A55,Leveranser_per_nät,'Leveranser per nät'!D$1,FALSE)
               +Andel_beroende_av_klimat*VLOOKUP($A55,Leveranser_per_nät,'Leveranser per nät'!D$1,FALSE)/VLOOKUP($B55,Korrigeringsfaktor_EI,'Korrigeringsfaktor EI'!D$1,FALSE),
"")</f>
        <v>0</v>
      </c>
      <c r="E55" s="18">
        <f>IFERROR(
                  Andel_oberoende_av_klimat*VLOOKUP($A55,Leveranser_per_nät,'Leveranser per nät'!E$1,FALSE)
               +Andel_beroende_av_klimat*VLOOKUP($A55,Leveranser_per_nät,'Leveranser per nät'!E$1,FALSE)/VLOOKUP($B55,Korrigeringsfaktor_EI,'Korrigeringsfaktor EI'!E$1,FALSE),
"")</f>
        <v>0</v>
      </c>
      <c r="F55" s="18">
        <f>IFERROR(
                  Andel_oberoende_av_klimat*VLOOKUP($A55,Leveranser_per_nät,'Leveranser per nät'!F$1,FALSE)
               +Andel_beroende_av_klimat*VLOOKUP($A55,Leveranser_per_nät,'Leveranser per nät'!F$1,FALSE)/VLOOKUP($B55,Korrigeringsfaktor_EI,'Korrigeringsfaktor EI'!F$1,FALSE),
"")</f>
        <v>0</v>
      </c>
      <c r="G55" s="18">
        <f>IFERROR(
                  Andel_oberoende_av_klimat*VLOOKUP($A55,Leveranser_per_nät,'Leveranser per nät'!G$1,FALSE)
               +Andel_beroende_av_klimat*VLOOKUP($A55,Leveranser_per_nät,'Leveranser per nät'!G$1,FALSE)/VLOOKUP($B55,Korrigeringsfaktor_EI,'Korrigeringsfaktor EI'!G$1,FALSE),
"")</f>
        <v>0</v>
      </c>
      <c r="H55" s="18">
        <f>IFERROR(
                  Andel_oberoende_av_klimat*VLOOKUP($A55,Leveranser_per_nät,'Leveranser per nät'!H$1,FALSE)
               +Andel_beroende_av_klimat*VLOOKUP($A55,Leveranser_per_nät,'Leveranser per nät'!H$1,FALSE)/VLOOKUP($B55,Korrigeringsfaktor_EI,'Korrigeringsfaktor EI'!H$1,FALSE),
"")</f>
        <v>0</v>
      </c>
      <c r="I55" s="18">
        <f>IFERROR(
                  Andel_oberoende_av_klimat*VLOOKUP($A55,Leveranser_per_nät,'Leveranser per nät'!I$1,FALSE)
               +Andel_beroende_av_klimat*VLOOKUP($A55,Leveranser_per_nät,'Leveranser per nät'!I$1,FALSE)/VLOOKUP($B55,Korrigeringsfaktor_EI,'Korrigeringsfaktor EI'!I$1,FALSE),
"")</f>
        <v>0</v>
      </c>
      <c r="J55" s="18">
        <f>IFERROR(
                  Andel_oberoende_av_klimat*VLOOKUP($A55,Leveranser_per_nät,'Leveranser per nät'!J$1,FALSE)
               +Andel_beroende_av_klimat*VLOOKUP($A55,Leveranser_per_nät,'Leveranser per nät'!J$1,FALSE)/VLOOKUP($B55,Korrigeringsfaktor_EI,'Korrigeringsfaktor EI'!J$1,FALSE),
"")</f>
        <v>0</v>
      </c>
      <c r="K55" s="18">
        <f>IFERROR(
                  Andel_oberoende_av_klimat*VLOOKUP($A55,Leveranser_per_nät,'Leveranser per nät'!K$1,FALSE)
               +Andel_beroende_av_klimat*VLOOKUP($A55,Leveranser_per_nät,'Leveranser per nät'!K$1,FALSE)/VLOOKUP($B55,Korrigeringsfaktor_EI,'Korrigeringsfaktor EI'!K$1,FALSE),
"")</f>
        <v>0</v>
      </c>
      <c r="L55" s="18">
        <f>IFERROR(
                  Andel_oberoende_av_klimat*VLOOKUP($A55,Leveranser_per_nät,'Leveranser per nät'!L$1,FALSE)
               +Andel_beroende_av_klimat*VLOOKUP($A55,Leveranser_per_nät,'Leveranser per nät'!L$1,FALSE)/VLOOKUP($B55,Korrigeringsfaktor_EI,'Korrigeringsfaktor EI'!L$1,FALSE),
"")</f>
        <v>0</v>
      </c>
      <c r="M55" s="18">
        <f>IFERROR(
                  Andel_oberoende_av_klimat*VLOOKUP($A55,Leveranser_per_nät,'Leveranser per nät'!M$1,FALSE)
               +Andel_beroende_av_klimat*VLOOKUP($A55,Leveranser_per_nät,'Leveranser per nät'!M$1,FALSE)/VLOOKUP($B55,Korrigeringsfaktor_EI,'Korrigeringsfaktor EI'!M$1,FALSE),
"")</f>
        <v>0</v>
      </c>
      <c r="N55" s="18">
        <f>IFERROR(
                  Andel_oberoende_av_klimat*VLOOKUP($A55,Leveranser_per_nät,'Leveranser per nät'!N$1,FALSE)
               +Andel_beroende_av_klimat*VLOOKUP($A55,Leveranser_per_nät,'Leveranser per nät'!N$1,FALSE)/VLOOKUP($B55,Korrigeringsfaktor_EI,'Korrigeringsfaktor EI'!N$1,FALSE),
"")</f>
        <v>0</v>
      </c>
      <c r="O55" s="18">
        <f>IFERROR(
                  Andel_oberoende_av_klimat*VLOOKUP($A55,Leveranser_per_nät,'Leveranser per nät'!O$1,FALSE)
               +Andel_beroende_av_klimat*VLOOKUP($A55,Leveranser_per_nät,'Leveranser per nät'!O$1,FALSE)/VLOOKUP($B55,Korrigeringsfaktor_EI,'Korrigeringsfaktor EI'!O$1,FALSE),
"")</f>
        <v>0</v>
      </c>
      <c r="P55" s="18">
        <f>IFERROR(
                  Andel_oberoende_av_klimat*VLOOKUP($A55,Leveranser_per_nät,'Leveranser per nät'!P$1,FALSE)
               +Andel_beroende_av_klimat*VLOOKUP($A55,Leveranser_per_nät,'Leveranser per nät'!P$1,FALSE)/VLOOKUP($B55,Korrigeringsfaktor_EI,'Korrigeringsfaktor EI'!P$1,FALSE),
"")</f>
        <v>0</v>
      </c>
      <c r="Q55" s="18">
        <f>IFERROR(
                  Andel_oberoende_av_klimat*VLOOKUP($A55,Leveranser_per_nät,'Leveranser per nät'!Q$1,FALSE)
               +Andel_beroende_av_klimat*VLOOKUP($A55,Leveranser_per_nät,'Leveranser per nät'!Q$1,FALSE)/VLOOKUP($B55,Korrigeringsfaktor_EI,'Korrigeringsfaktor EI'!Q$1,FALSE),
"")</f>
        <v>0</v>
      </c>
      <c r="R55" s="18">
        <f>IFERROR(
                  Andel_oberoende_av_klimat*VLOOKUP($A55,Leveranser_per_nät,'Leveranser per nät'!R$1,FALSE)
               +Andel_beroende_av_klimat*VLOOKUP($A55,Leveranser_per_nät,'Leveranser per nät'!R$1,FALSE)/VLOOKUP($B55,Korrigeringsfaktor_EI,'Korrigeringsfaktor EI'!R$1,FALSE),
"")</f>
        <v>2.0137924731182792</v>
      </c>
      <c r="S55" s="18">
        <f>IFERROR(
                  Andel_oberoende_av_klimat*VLOOKUP($A55,Leveranser_per_nät,'Leveranser per nät'!S$1,FALSE)
               +Andel_beroende_av_klimat*VLOOKUP($A55,Leveranser_per_nät,'Leveranser per nät'!S$1,FALSE)/VLOOKUP($B55,Korrigeringsfaktor_EI,'Korrigeringsfaktor EI'!S$1,FALSE),
"")</f>
        <v>2.0045384615384618</v>
      </c>
      <c r="T55" s="18">
        <f>IFERROR(
                  Andel_oberoende_av_klimat*VLOOKUP($A55,Leveranser_per_nät,'Leveranser per nät'!T$1,FALSE)
               +Andel_beroende_av_klimat*VLOOKUP($A55,Leveranser_per_nät,'Leveranser per nät'!T$1,FALSE)/VLOOKUP($B55,Korrigeringsfaktor_EI,'Korrigeringsfaktor EI'!T$1,FALSE),
"")</f>
        <v>2.0316142857142858</v>
      </c>
      <c r="U55" s="18">
        <f>IFERROR(
                  Andel_oberoende_av_klimat*VLOOKUP($A55,Leveranser_per_nät,'Leveranser per nät'!U$1,FALSE)
               +Andel_beroende_av_klimat*VLOOKUP($A55,Leveranser_per_nät,'Leveranser per nät'!U$1,FALSE)/VLOOKUP($B55,Korrigeringsfaktor_EI,'Korrigeringsfaktor EI'!U$1,FALSE),
"")</f>
        <v>2.2453838709677418</v>
      </c>
      <c r="V55" s="18">
        <f>IFERROR(
                  Andel_oberoende_av_klimat*VLOOKUP($A55,Leveranser_per_nät,'Leveranser per nät'!V$1,FALSE)
               +Andel_beroende_av_klimat*VLOOKUP($A55,Leveranser_per_nät,'Leveranser per nät'!V$1,FALSE)/VLOOKUP($B55,Korrigeringsfaktor_EI,'Korrigeringsfaktor EI'!V$1,FALSE),
"")</f>
        <v>2.6864578947368427</v>
      </c>
      <c r="W55" s="18">
        <f>IFERROR(
                  Andel_oberoende_av_klimat*VLOOKUP($A55,Leveranser_per_nät,'Leveranser per nät'!W$1,FALSE)
               +Andel_beroende_av_klimat*VLOOKUP($A55,Leveranser_per_nät,'Leveranser per nät'!W$1,FALSE)/VLOOKUP($B55,Korrigeringsfaktor_EI,'Korrigeringsfaktor EI'!W$1,FALSE),
"")</f>
        <v>2.6562886597938147</v>
      </c>
      <c r="X55" s="18">
        <f>IFERROR(
                  Andel_oberoende_av_klimat*VLOOKUP($A55,Leveranser_per_nät,'Leveranser per nät'!X$1,FALSE)
               +Andel_beroende_av_klimat*VLOOKUP($A55,Leveranser_per_nät,'Leveranser per nät'!X$1,FALSE)/VLOOKUP($B55,Korrigeringsfaktor_EI,'Korrigeringsfaktor EI'!X$1,FALSE),
"")</f>
        <v>2.3328571428571427</v>
      </c>
      <c r="Y55" s="18">
        <f>IFERROR(
                  Andel_oberoende_av_klimat*VLOOKUP($A55,Leveranser_per_nät,'Leveranser per nät'!Y$1,FALSE)
               +Andel_beroende_av_klimat*VLOOKUP($A55,Leveranser_per_nät,'Leveranser per nät'!Y$1,FALSE)/VLOOKUP($B55,Korrigeringsfaktor_EI,'Korrigeringsfaktor EI'!Y$1,FALSE),
"")</f>
        <v>2.5264516129032257</v>
      </c>
      <c r="Z55" s="18">
        <f>IFERROR(
                  Andel_oberoende_av_klimat*VLOOKUP($A55,Leveranser_per_nät,'Leveranser per nät'!Z$1,FALSE)
               +Andel_beroende_av_klimat*VLOOKUP($A55,Leveranser_per_nät,'Leveranser per nät'!Z$1,FALSE)/VLOOKUP($B55,Korrigeringsfaktor_EI,'Korrigeringsfaktor EI'!Z$1,FALSE),
"")</f>
        <v>2.6117021276595747</v>
      </c>
      <c r="AA55" s="18">
        <f>IFERROR(
                  Andel_oberoende_av_klimat*VLOOKUP($A55,Leveranser_per_nät,'Leveranser per nät'!AA$1,FALSE)
               +Andel_beroende_av_klimat*VLOOKUP($A55,Leveranser_per_nät,'Leveranser per nät'!AA$1,FALSE)/VLOOKUP($B55,Korrigeringsfaktor_EI,'Korrigeringsfaktor EI'!AA$1,FALSE),
"")</f>
        <v>2.2247941445562671</v>
      </c>
      <c r="AB55" s="18">
        <f>IFERROR(
                  Andel_oberoende_av_klimat*VLOOKUP($A55,Leveranser_per_nät,'Leveranser per nät'!AB$1,FALSE)
               +Andel_beroende_av_klimat*VLOOKUP($A55,Leveranser_per_nät,'Leveranser per nät'!AB$1,FALSE)/VLOOKUP($B55,Korrigeringsfaktor_EI,'Korrigeringsfaktor EI'!AB$1,FALSE),
"")</f>
        <v>1.7850592885375494</v>
      </c>
      <c r="AC55" s="18">
        <f>IFERROR(
                  Andel_oberoende_av_klimat*VLOOKUP($A55,Leveranser_per_nät,'Leveranser per nät'!AC$1,FALSE)
               +Andel_beroende_av_klimat*VLOOKUP($A55,Leveranser_per_nät,'Leveranser per nät'!AC$1,FALSE)/VLOOKUP($B55,Korrigeringsfaktor_EI,'Korrigeringsfaktor EI'!AC$1,FALSE),
"")</f>
        <v>1.7279322175732217</v>
      </c>
      <c r="AD55">
        <v>10.417</v>
      </c>
    </row>
    <row r="56" spans="1:30" x14ac:dyDescent="0.25">
      <c r="A56" t="s">
        <v>828</v>
      </c>
      <c r="B56" t="s">
        <v>335</v>
      </c>
      <c r="C56" s="18">
        <f>IFERROR(
                  Andel_oberoende_av_klimat*VLOOKUP($A56,Leveranser_per_nät,'Leveranser per nät'!C$1,FALSE)
               +Andel_beroende_av_klimat*VLOOKUP($A56,Leveranser_per_nät,'Leveranser per nät'!C$1,FALSE)/VLOOKUP($B56,Korrigeringsfaktor_EI,'Korrigeringsfaktor EI'!C$1,FALSE),
"")</f>
        <v>0</v>
      </c>
      <c r="D56" s="18">
        <f>IFERROR(
                  Andel_oberoende_av_klimat*VLOOKUP($A56,Leveranser_per_nät,'Leveranser per nät'!D$1,FALSE)
               +Andel_beroende_av_klimat*VLOOKUP($A56,Leveranser_per_nät,'Leveranser per nät'!D$1,FALSE)/VLOOKUP($B56,Korrigeringsfaktor_EI,'Korrigeringsfaktor EI'!D$1,FALSE),
"")</f>
        <v>0</v>
      </c>
      <c r="E56" s="18">
        <f>IFERROR(
                  Andel_oberoende_av_klimat*VLOOKUP($A56,Leveranser_per_nät,'Leveranser per nät'!E$1,FALSE)
               +Andel_beroende_av_klimat*VLOOKUP($A56,Leveranser_per_nät,'Leveranser per nät'!E$1,FALSE)/VLOOKUP($B56,Korrigeringsfaktor_EI,'Korrigeringsfaktor EI'!E$1,FALSE),
"")</f>
        <v>0</v>
      </c>
      <c r="F56" s="18">
        <f>IFERROR(
                  Andel_oberoende_av_klimat*VLOOKUP($A56,Leveranser_per_nät,'Leveranser per nät'!F$1,FALSE)
               +Andel_beroende_av_klimat*VLOOKUP($A56,Leveranser_per_nät,'Leveranser per nät'!F$1,FALSE)/VLOOKUP($B56,Korrigeringsfaktor_EI,'Korrigeringsfaktor EI'!F$1,FALSE),
"")</f>
        <v>0</v>
      </c>
      <c r="G56" s="18">
        <f>IFERROR(
                  Andel_oberoende_av_klimat*VLOOKUP($A56,Leveranser_per_nät,'Leveranser per nät'!G$1,FALSE)
               +Andel_beroende_av_klimat*VLOOKUP($A56,Leveranser_per_nät,'Leveranser per nät'!G$1,FALSE)/VLOOKUP($B56,Korrigeringsfaktor_EI,'Korrigeringsfaktor EI'!G$1,FALSE),
"")</f>
        <v>0</v>
      </c>
      <c r="H56" s="18">
        <f>IFERROR(
                  Andel_oberoende_av_klimat*VLOOKUP($A56,Leveranser_per_nät,'Leveranser per nät'!H$1,FALSE)
               +Andel_beroende_av_klimat*VLOOKUP($A56,Leveranser_per_nät,'Leveranser per nät'!H$1,FALSE)/VLOOKUP($B56,Korrigeringsfaktor_EI,'Korrigeringsfaktor EI'!H$1,FALSE),
"")</f>
        <v>0</v>
      </c>
      <c r="I56" s="18">
        <f>IFERROR(
                  Andel_oberoende_av_klimat*VLOOKUP($A56,Leveranser_per_nät,'Leveranser per nät'!I$1,FALSE)
               +Andel_beroende_av_klimat*VLOOKUP($A56,Leveranser_per_nät,'Leveranser per nät'!I$1,FALSE)/VLOOKUP($B56,Korrigeringsfaktor_EI,'Korrigeringsfaktor EI'!I$1,FALSE),
"")</f>
        <v>0</v>
      </c>
      <c r="J56" s="18">
        <f>IFERROR(
                  Andel_oberoende_av_klimat*VLOOKUP($A56,Leveranser_per_nät,'Leveranser per nät'!J$1,FALSE)
               +Andel_beroende_av_klimat*VLOOKUP($A56,Leveranser_per_nät,'Leveranser per nät'!J$1,FALSE)/VLOOKUP($B56,Korrigeringsfaktor_EI,'Korrigeringsfaktor EI'!J$1,FALSE),
"")</f>
        <v>0</v>
      </c>
      <c r="K56" s="18">
        <f>IFERROR(
                  Andel_oberoende_av_klimat*VLOOKUP($A56,Leveranser_per_nät,'Leveranser per nät'!K$1,FALSE)
               +Andel_beroende_av_klimat*VLOOKUP($A56,Leveranser_per_nät,'Leveranser per nät'!K$1,FALSE)/VLOOKUP($B56,Korrigeringsfaktor_EI,'Korrigeringsfaktor EI'!K$1,FALSE),
"")</f>
        <v>0</v>
      </c>
      <c r="L56" s="18">
        <f>IFERROR(
                  Andel_oberoende_av_klimat*VLOOKUP($A56,Leveranser_per_nät,'Leveranser per nät'!L$1,FALSE)
               +Andel_beroende_av_klimat*VLOOKUP($A56,Leveranser_per_nät,'Leveranser per nät'!L$1,FALSE)/VLOOKUP($B56,Korrigeringsfaktor_EI,'Korrigeringsfaktor EI'!L$1,FALSE),
"")</f>
        <v>0</v>
      </c>
      <c r="M56" s="18">
        <f>IFERROR(
                  Andel_oberoende_av_klimat*VLOOKUP($A56,Leveranser_per_nät,'Leveranser per nät'!M$1,FALSE)
               +Andel_beroende_av_klimat*VLOOKUP($A56,Leveranser_per_nät,'Leveranser per nät'!M$1,FALSE)/VLOOKUP($B56,Korrigeringsfaktor_EI,'Korrigeringsfaktor EI'!M$1,FALSE),
"")</f>
        <v>0</v>
      </c>
      <c r="N56" s="18">
        <f>IFERROR(
                  Andel_oberoende_av_klimat*VLOOKUP($A56,Leveranser_per_nät,'Leveranser per nät'!N$1,FALSE)
               +Andel_beroende_av_klimat*VLOOKUP($A56,Leveranser_per_nät,'Leveranser per nät'!N$1,FALSE)/VLOOKUP($B56,Korrigeringsfaktor_EI,'Korrigeringsfaktor EI'!N$1,FALSE),
"")</f>
        <v>0</v>
      </c>
      <c r="O56" s="18">
        <f>IFERROR(
                  Andel_oberoende_av_klimat*VLOOKUP($A56,Leveranser_per_nät,'Leveranser per nät'!O$1,FALSE)
               +Andel_beroende_av_klimat*VLOOKUP($A56,Leveranser_per_nät,'Leveranser per nät'!O$1,FALSE)/VLOOKUP($B56,Korrigeringsfaktor_EI,'Korrigeringsfaktor EI'!O$1,FALSE),
"")</f>
        <v>0</v>
      </c>
      <c r="P56" s="18">
        <f>IFERROR(
                  Andel_oberoende_av_klimat*VLOOKUP($A56,Leveranser_per_nät,'Leveranser per nät'!P$1,FALSE)
               +Andel_beroende_av_klimat*VLOOKUP($A56,Leveranser_per_nät,'Leveranser per nät'!P$1,FALSE)/VLOOKUP($B56,Korrigeringsfaktor_EI,'Korrigeringsfaktor EI'!P$1,FALSE),
"")</f>
        <v>0</v>
      </c>
      <c r="Q56" s="18">
        <f>IFERROR(
                  Andel_oberoende_av_klimat*VLOOKUP($A56,Leveranser_per_nät,'Leveranser per nät'!Q$1,FALSE)
               +Andel_beroende_av_klimat*VLOOKUP($A56,Leveranser_per_nät,'Leveranser per nät'!Q$1,FALSE)/VLOOKUP($B56,Korrigeringsfaktor_EI,'Korrigeringsfaktor EI'!Q$1,FALSE),
"")</f>
        <v>0</v>
      </c>
      <c r="R56" s="18">
        <f>IFERROR(
                  Andel_oberoende_av_klimat*VLOOKUP($A56,Leveranser_per_nät,'Leveranser per nät'!R$1,FALSE)
               +Andel_beroende_av_klimat*VLOOKUP($A56,Leveranser_per_nät,'Leveranser per nät'!R$1,FALSE)/VLOOKUP($B56,Korrigeringsfaktor_EI,'Korrigeringsfaktor EI'!R$1,FALSE),
"")</f>
        <v>0</v>
      </c>
      <c r="S56" s="18">
        <f>IFERROR(
                  Andel_oberoende_av_klimat*VLOOKUP($A56,Leveranser_per_nät,'Leveranser per nät'!S$1,FALSE)
               +Andel_beroende_av_klimat*VLOOKUP($A56,Leveranser_per_nät,'Leveranser per nät'!S$1,FALSE)/VLOOKUP($B56,Korrigeringsfaktor_EI,'Korrigeringsfaktor EI'!S$1,FALSE),
"")</f>
        <v>1.9861386138613861</v>
      </c>
      <c r="T56" s="18">
        <f>IFERROR(
                  Andel_oberoende_av_klimat*VLOOKUP($A56,Leveranser_per_nät,'Leveranser per nät'!T$1,FALSE)
               +Andel_beroende_av_klimat*VLOOKUP($A56,Leveranser_per_nät,'Leveranser per nät'!T$1,FALSE)/VLOOKUP($B56,Korrigeringsfaktor_EI,'Korrigeringsfaktor EI'!T$1,FALSE),
"")</f>
        <v>2.0583333333333336</v>
      </c>
      <c r="U56" s="18">
        <f>IFERROR(
                  Andel_oberoende_av_klimat*VLOOKUP($A56,Leveranser_per_nät,'Leveranser per nät'!U$1,FALSE)
               +Andel_beroende_av_klimat*VLOOKUP($A56,Leveranser_per_nät,'Leveranser per nät'!U$1,FALSE)/VLOOKUP($B56,Korrigeringsfaktor_EI,'Korrigeringsfaktor EI'!U$1,FALSE),
"")</f>
        <v>1.9960444444444445</v>
      </c>
      <c r="V56" s="18">
        <f>IFERROR(
                  Andel_oberoende_av_klimat*VLOOKUP($A56,Leveranser_per_nät,'Leveranser per nät'!V$1,FALSE)
               +Andel_beroende_av_klimat*VLOOKUP($A56,Leveranser_per_nät,'Leveranser per nät'!V$1,FALSE)/VLOOKUP($B56,Korrigeringsfaktor_EI,'Korrigeringsfaktor EI'!V$1,FALSE),
"")</f>
        <v>1.9915853932584269</v>
      </c>
      <c r="W56" s="18">
        <f>IFERROR(
                  Andel_oberoende_av_klimat*VLOOKUP($A56,Leveranser_per_nät,'Leveranser per nät'!W$1,FALSE)
               +Andel_beroende_av_klimat*VLOOKUP($A56,Leveranser_per_nät,'Leveranser per nät'!W$1,FALSE)/VLOOKUP($B56,Korrigeringsfaktor_EI,'Korrigeringsfaktor EI'!W$1,FALSE),
"")</f>
        <v>1.8302808510638298</v>
      </c>
      <c r="X56" s="18">
        <f>IFERROR(
                  Andel_oberoende_av_klimat*VLOOKUP($A56,Leveranser_per_nät,'Leveranser per nät'!X$1,FALSE)
               +Andel_beroende_av_klimat*VLOOKUP($A56,Leveranser_per_nät,'Leveranser per nät'!X$1,FALSE)/VLOOKUP($B56,Korrigeringsfaktor_EI,'Korrigeringsfaktor EI'!X$1,FALSE),
"")</f>
        <v>1.8804255319148937</v>
      </c>
      <c r="Y56" s="18">
        <f>IFERROR(
                  Andel_oberoende_av_klimat*VLOOKUP($A56,Leveranser_per_nät,'Leveranser per nät'!Y$1,FALSE)
               +Andel_beroende_av_klimat*VLOOKUP($A56,Leveranser_per_nät,'Leveranser per nät'!Y$1,FALSE)/VLOOKUP($B56,Korrigeringsfaktor_EI,'Korrigeringsfaktor EI'!Y$1,FALSE),
"")</f>
        <v>1.8176923076923075</v>
      </c>
      <c r="Z56" s="18">
        <f>IFERROR(
                  Andel_oberoende_av_klimat*VLOOKUP($A56,Leveranser_per_nät,'Leveranser per nät'!Z$1,FALSE)
               +Andel_beroende_av_klimat*VLOOKUP($A56,Leveranser_per_nät,'Leveranser per nät'!Z$1,FALSE)/VLOOKUP($B56,Korrigeringsfaktor_EI,'Korrigeringsfaktor EI'!Z$1,FALSE),
"")</f>
        <v>1.6038461538461535</v>
      </c>
      <c r="AA56" s="18">
        <f>IFERROR(
                  Andel_oberoende_av_klimat*VLOOKUP($A56,Leveranser_per_nät,'Leveranser per nät'!AA$1,FALSE)
               +Andel_beroende_av_klimat*VLOOKUP($A56,Leveranser_per_nät,'Leveranser per nät'!AA$1,FALSE)/VLOOKUP($B56,Korrigeringsfaktor_EI,'Korrigeringsfaktor EI'!AA$1,FALSE),
"")</f>
        <v>1.610728029121165</v>
      </c>
      <c r="AB56" s="18">
        <f>IFERROR(
                  Andel_oberoende_av_klimat*VLOOKUP($A56,Leveranser_per_nät,'Leveranser per nät'!AB$1,FALSE)
               +Andel_beroende_av_klimat*VLOOKUP($A56,Leveranser_per_nät,'Leveranser per nät'!AB$1,FALSE)/VLOOKUP($B56,Korrigeringsfaktor_EI,'Korrigeringsfaktor EI'!AB$1,FALSE),
"")</f>
        <v>1.7912413108242302</v>
      </c>
      <c r="AC56" s="18">
        <f>IFERROR(
                  Andel_oberoende_av_klimat*VLOOKUP($A56,Leveranser_per_nät,'Leveranser per nät'!AC$1,FALSE)
               +Andel_beroende_av_klimat*VLOOKUP($A56,Leveranser_per_nät,'Leveranser per nät'!AC$1,FALSE)/VLOOKUP($B56,Korrigeringsfaktor_EI,'Korrigeringsfaktor EI'!AC$1,FALSE),
"")</f>
        <v>1.7395812038014782</v>
      </c>
      <c r="AD56">
        <v>1157.2149999999999</v>
      </c>
    </row>
    <row r="57" spans="1:30" x14ac:dyDescent="0.25">
      <c r="A57" t="s">
        <v>828</v>
      </c>
      <c r="B57" t="s">
        <v>335</v>
      </c>
      <c r="C57" s="18">
        <f>IFERROR(
                  Andel_oberoende_av_klimat*VLOOKUP($A57,Leveranser_per_nät,'Leveranser per nät'!C$1,FALSE)
               +Andel_beroende_av_klimat*VLOOKUP($A57,Leveranser_per_nät,'Leveranser per nät'!C$1,FALSE)/VLOOKUP($B57,Korrigeringsfaktor_EI,'Korrigeringsfaktor EI'!C$1,FALSE),
"")</f>
        <v>0</v>
      </c>
      <c r="D57" s="18">
        <f>IFERROR(
                  Andel_oberoende_av_klimat*VLOOKUP($A57,Leveranser_per_nät,'Leveranser per nät'!D$1,FALSE)
               +Andel_beroende_av_klimat*VLOOKUP($A57,Leveranser_per_nät,'Leveranser per nät'!D$1,FALSE)/VLOOKUP($B57,Korrigeringsfaktor_EI,'Korrigeringsfaktor EI'!D$1,FALSE),
"")</f>
        <v>0</v>
      </c>
      <c r="E57" s="18">
        <f>IFERROR(
                  Andel_oberoende_av_klimat*VLOOKUP($A57,Leveranser_per_nät,'Leveranser per nät'!E$1,FALSE)
               +Andel_beroende_av_klimat*VLOOKUP($A57,Leveranser_per_nät,'Leveranser per nät'!E$1,FALSE)/VLOOKUP($B57,Korrigeringsfaktor_EI,'Korrigeringsfaktor EI'!E$1,FALSE),
"")</f>
        <v>0</v>
      </c>
      <c r="F57" s="18">
        <f>IFERROR(
                  Andel_oberoende_av_klimat*VLOOKUP($A57,Leveranser_per_nät,'Leveranser per nät'!F$1,FALSE)
               +Andel_beroende_av_klimat*VLOOKUP($A57,Leveranser_per_nät,'Leveranser per nät'!F$1,FALSE)/VLOOKUP($B57,Korrigeringsfaktor_EI,'Korrigeringsfaktor EI'!F$1,FALSE),
"")</f>
        <v>0</v>
      </c>
      <c r="G57" s="18">
        <f>IFERROR(
                  Andel_oberoende_av_klimat*VLOOKUP($A57,Leveranser_per_nät,'Leveranser per nät'!G$1,FALSE)
               +Andel_beroende_av_klimat*VLOOKUP($A57,Leveranser_per_nät,'Leveranser per nät'!G$1,FALSE)/VLOOKUP($B57,Korrigeringsfaktor_EI,'Korrigeringsfaktor EI'!G$1,FALSE),
"")</f>
        <v>0</v>
      </c>
      <c r="H57" s="18">
        <f>IFERROR(
                  Andel_oberoende_av_klimat*VLOOKUP($A57,Leveranser_per_nät,'Leveranser per nät'!H$1,FALSE)
               +Andel_beroende_av_klimat*VLOOKUP($A57,Leveranser_per_nät,'Leveranser per nät'!H$1,FALSE)/VLOOKUP($B57,Korrigeringsfaktor_EI,'Korrigeringsfaktor EI'!H$1,FALSE),
"")</f>
        <v>0</v>
      </c>
      <c r="I57" s="18">
        <f>IFERROR(
                  Andel_oberoende_av_klimat*VLOOKUP($A57,Leveranser_per_nät,'Leveranser per nät'!I$1,FALSE)
               +Andel_beroende_av_klimat*VLOOKUP($A57,Leveranser_per_nät,'Leveranser per nät'!I$1,FALSE)/VLOOKUP($B57,Korrigeringsfaktor_EI,'Korrigeringsfaktor EI'!I$1,FALSE),
"")</f>
        <v>0</v>
      </c>
      <c r="J57" s="18">
        <f>IFERROR(
                  Andel_oberoende_av_klimat*VLOOKUP($A57,Leveranser_per_nät,'Leveranser per nät'!J$1,FALSE)
               +Andel_beroende_av_klimat*VLOOKUP($A57,Leveranser_per_nät,'Leveranser per nät'!J$1,FALSE)/VLOOKUP($B57,Korrigeringsfaktor_EI,'Korrigeringsfaktor EI'!J$1,FALSE),
"")</f>
        <v>0</v>
      </c>
      <c r="K57" s="18">
        <f>IFERROR(
                  Andel_oberoende_av_klimat*VLOOKUP($A57,Leveranser_per_nät,'Leveranser per nät'!K$1,FALSE)
               +Andel_beroende_av_klimat*VLOOKUP($A57,Leveranser_per_nät,'Leveranser per nät'!K$1,FALSE)/VLOOKUP($B57,Korrigeringsfaktor_EI,'Korrigeringsfaktor EI'!K$1,FALSE),
"")</f>
        <v>0</v>
      </c>
      <c r="L57" s="18">
        <f>IFERROR(
                  Andel_oberoende_av_klimat*VLOOKUP($A57,Leveranser_per_nät,'Leveranser per nät'!L$1,FALSE)
               +Andel_beroende_av_klimat*VLOOKUP($A57,Leveranser_per_nät,'Leveranser per nät'!L$1,FALSE)/VLOOKUP($B57,Korrigeringsfaktor_EI,'Korrigeringsfaktor EI'!L$1,FALSE),
"")</f>
        <v>0</v>
      </c>
      <c r="M57" s="18">
        <f>IFERROR(
                  Andel_oberoende_av_klimat*VLOOKUP($A57,Leveranser_per_nät,'Leveranser per nät'!M$1,FALSE)
               +Andel_beroende_av_klimat*VLOOKUP($A57,Leveranser_per_nät,'Leveranser per nät'!M$1,FALSE)/VLOOKUP($B57,Korrigeringsfaktor_EI,'Korrigeringsfaktor EI'!M$1,FALSE),
"")</f>
        <v>0</v>
      </c>
      <c r="N57" s="18">
        <f>IFERROR(
                  Andel_oberoende_av_klimat*VLOOKUP($A57,Leveranser_per_nät,'Leveranser per nät'!N$1,FALSE)
               +Andel_beroende_av_klimat*VLOOKUP($A57,Leveranser_per_nät,'Leveranser per nät'!N$1,FALSE)/VLOOKUP($B57,Korrigeringsfaktor_EI,'Korrigeringsfaktor EI'!N$1,FALSE),
"")</f>
        <v>0</v>
      </c>
      <c r="O57" s="18">
        <f>IFERROR(
                  Andel_oberoende_av_klimat*VLOOKUP($A57,Leveranser_per_nät,'Leveranser per nät'!O$1,FALSE)
               +Andel_beroende_av_klimat*VLOOKUP($A57,Leveranser_per_nät,'Leveranser per nät'!O$1,FALSE)/VLOOKUP($B57,Korrigeringsfaktor_EI,'Korrigeringsfaktor EI'!O$1,FALSE),
"")</f>
        <v>0</v>
      </c>
      <c r="P57" s="18">
        <f>IFERROR(
                  Andel_oberoende_av_klimat*VLOOKUP($A57,Leveranser_per_nät,'Leveranser per nät'!P$1,FALSE)
               +Andel_beroende_av_klimat*VLOOKUP($A57,Leveranser_per_nät,'Leveranser per nät'!P$1,FALSE)/VLOOKUP($B57,Korrigeringsfaktor_EI,'Korrigeringsfaktor EI'!P$1,FALSE),
"")</f>
        <v>0</v>
      </c>
      <c r="Q57" s="18">
        <f>IFERROR(
                  Andel_oberoende_av_klimat*VLOOKUP($A57,Leveranser_per_nät,'Leveranser per nät'!Q$1,FALSE)
               +Andel_beroende_av_klimat*VLOOKUP($A57,Leveranser_per_nät,'Leveranser per nät'!Q$1,FALSE)/VLOOKUP($B57,Korrigeringsfaktor_EI,'Korrigeringsfaktor EI'!Q$1,FALSE),
"")</f>
        <v>0</v>
      </c>
      <c r="R57" s="18">
        <f>IFERROR(
                  Andel_oberoende_av_klimat*VLOOKUP($A57,Leveranser_per_nät,'Leveranser per nät'!R$1,FALSE)
               +Andel_beroende_av_klimat*VLOOKUP($A57,Leveranser_per_nät,'Leveranser per nät'!R$1,FALSE)/VLOOKUP($B57,Korrigeringsfaktor_EI,'Korrigeringsfaktor EI'!R$1,FALSE),
"")</f>
        <v>0</v>
      </c>
      <c r="S57" s="18">
        <f>IFERROR(
                  Andel_oberoende_av_klimat*VLOOKUP($A57,Leveranser_per_nät,'Leveranser per nät'!S$1,FALSE)
               +Andel_beroende_av_klimat*VLOOKUP($A57,Leveranser_per_nät,'Leveranser per nät'!S$1,FALSE)/VLOOKUP($B57,Korrigeringsfaktor_EI,'Korrigeringsfaktor EI'!S$1,FALSE),
"")</f>
        <v>1.9861386138613861</v>
      </c>
      <c r="T57" s="18">
        <f>IFERROR(
                  Andel_oberoende_av_klimat*VLOOKUP($A57,Leveranser_per_nät,'Leveranser per nät'!T$1,FALSE)
               +Andel_beroende_av_klimat*VLOOKUP($A57,Leveranser_per_nät,'Leveranser per nät'!T$1,FALSE)/VLOOKUP($B57,Korrigeringsfaktor_EI,'Korrigeringsfaktor EI'!T$1,FALSE),
"")</f>
        <v>2.0583333333333336</v>
      </c>
      <c r="U57" s="18">
        <f>IFERROR(
                  Andel_oberoende_av_klimat*VLOOKUP($A57,Leveranser_per_nät,'Leveranser per nät'!U$1,FALSE)
               +Andel_beroende_av_klimat*VLOOKUP($A57,Leveranser_per_nät,'Leveranser per nät'!U$1,FALSE)/VLOOKUP($B57,Korrigeringsfaktor_EI,'Korrigeringsfaktor EI'!U$1,FALSE),
"")</f>
        <v>1.9960444444444445</v>
      </c>
      <c r="V57" s="18">
        <f>IFERROR(
                  Andel_oberoende_av_klimat*VLOOKUP($A57,Leveranser_per_nät,'Leveranser per nät'!V$1,FALSE)
               +Andel_beroende_av_klimat*VLOOKUP($A57,Leveranser_per_nät,'Leveranser per nät'!V$1,FALSE)/VLOOKUP($B57,Korrigeringsfaktor_EI,'Korrigeringsfaktor EI'!V$1,FALSE),
"")</f>
        <v>1.9915853932584269</v>
      </c>
      <c r="W57" s="18">
        <f>IFERROR(
                  Andel_oberoende_av_klimat*VLOOKUP($A57,Leveranser_per_nät,'Leveranser per nät'!W$1,FALSE)
               +Andel_beroende_av_klimat*VLOOKUP($A57,Leveranser_per_nät,'Leveranser per nät'!W$1,FALSE)/VLOOKUP($B57,Korrigeringsfaktor_EI,'Korrigeringsfaktor EI'!W$1,FALSE),
"")</f>
        <v>1.8302808510638298</v>
      </c>
      <c r="X57" s="18">
        <f>IFERROR(
                  Andel_oberoende_av_klimat*VLOOKUP($A57,Leveranser_per_nät,'Leveranser per nät'!X$1,FALSE)
               +Andel_beroende_av_klimat*VLOOKUP($A57,Leveranser_per_nät,'Leveranser per nät'!X$1,FALSE)/VLOOKUP($B57,Korrigeringsfaktor_EI,'Korrigeringsfaktor EI'!X$1,FALSE),
"")</f>
        <v>1.8804255319148937</v>
      </c>
      <c r="Y57" s="18">
        <f>IFERROR(
                  Andel_oberoende_av_klimat*VLOOKUP($A57,Leveranser_per_nät,'Leveranser per nät'!Y$1,FALSE)
               +Andel_beroende_av_klimat*VLOOKUP($A57,Leveranser_per_nät,'Leveranser per nät'!Y$1,FALSE)/VLOOKUP($B57,Korrigeringsfaktor_EI,'Korrigeringsfaktor EI'!Y$1,FALSE),
"")</f>
        <v>1.8176923076923075</v>
      </c>
      <c r="Z57" s="18">
        <f>IFERROR(
                  Andel_oberoende_av_klimat*VLOOKUP($A57,Leveranser_per_nät,'Leveranser per nät'!Z$1,FALSE)
               +Andel_beroende_av_klimat*VLOOKUP($A57,Leveranser_per_nät,'Leveranser per nät'!Z$1,FALSE)/VLOOKUP($B57,Korrigeringsfaktor_EI,'Korrigeringsfaktor EI'!Z$1,FALSE),
"")</f>
        <v>1.6038461538461535</v>
      </c>
      <c r="AA57" s="18">
        <f>IFERROR(
                  Andel_oberoende_av_klimat*VLOOKUP($A57,Leveranser_per_nät,'Leveranser per nät'!AA$1,FALSE)
               +Andel_beroende_av_klimat*VLOOKUP($A57,Leveranser_per_nät,'Leveranser per nät'!AA$1,FALSE)/VLOOKUP($B57,Korrigeringsfaktor_EI,'Korrigeringsfaktor EI'!AA$1,FALSE),
"")</f>
        <v>1.610728029121165</v>
      </c>
      <c r="AB57" s="18">
        <f>IFERROR(
                  Andel_oberoende_av_klimat*VLOOKUP($A57,Leveranser_per_nät,'Leveranser per nät'!AB$1,FALSE)
               +Andel_beroende_av_klimat*VLOOKUP($A57,Leveranser_per_nät,'Leveranser per nät'!AB$1,FALSE)/VLOOKUP($B57,Korrigeringsfaktor_EI,'Korrigeringsfaktor EI'!AB$1,FALSE),
"")</f>
        <v>1.7912413108242302</v>
      </c>
      <c r="AC57" s="18">
        <f>IFERROR(
                  Andel_oberoende_av_klimat*VLOOKUP($A57,Leveranser_per_nät,'Leveranser per nät'!AC$1,FALSE)
               +Andel_beroende_av_klimat*VLOOKUP($A57,Leveranser_per_nät,'Leveranser per nät'!AC$1,FALSE)/VLOOKUP($B57,Korrigeringsfaktor_EI,'Korrigeringsfaktor EI'!AC$1,FALSE),
"")</f>
        <v>1.7395812038014782</v>
      </c>
      <c r="AD57">
        <v>1157.2149999999999</v>
      </c>
    </row>
    <row r="58" spans="1:30" x14ac:dyDescent="0.25">
      <c r="A58" t="s">
        <v>63</v>
      </c>
      <c r="B58" t="s">
        <v>126</v>
      </c>
      <c r="C58" s="18">
        <f>IFERROR(
                  Andel_oberoende_av_klimat*VLOOKUP($A58,Leveranser_per_nät,'Leveranser per nät'!C$1,FALSE)
               +Andel_beroende_av_klimat*VLOOKUP($A58,Leveranser_per_nät,'Leveranser per nät'!C$1,FALSE)/VLOOKUP($B58,Korrigeringsfaktor_EI,'Korrigeringsfaktor EI'!C$1,FALSE),
"")</f>
        <v>0</v>
      </c>
      <c r="D58" s="18">
        <f>IFERROR(
                  Andel_oberoende_av_klimat*VLOOKUP($A58,Leveranser_per_nät,'Leveranser per nät'!D$1,FALSE)
               +Andel_beroende_av_klimat*VLOOKUP($A58,Leveranser_per_nät,'Leveranser per nät'!D$1,FALSE)/VLOOKUP($B58,Korrigeringsfaktor_EI,'Korrigeringsfaktor EI'!D$1,FALSE),
"")</f>
        <v>0</v>
      </c>
      <c r="E58" s="18">
        <f>IFERROR(
                  Andel_oberoende_av_klimat*VLOOKUP($A58,Leveranser_per_nät,'Leveranser per nät'!E$1,FALSE)
               +Andel_beroende_av_klimat*VLOOKUP($A58,Leveranser_per_nät,'Leveranser per nät'!E$1,FALSE)/VLOOKUP($B58,Korrigeringsfaktor_EI,'Korrigeringsfaktor EI'!E$1,FALSE),
"")</f>
        <v>0</v>
      </c>
      <c r="F58" s="18">
        <f>IFERROR(
                  Andel_oberoende_av_klimat*VLOOKUP($A58,Leveranser_per_nät,'Leveranser per nät'!F$1,FALSE)
               +Andel_beroende_av_klimat*VLOOKUP($A58,Leveranser_per_nät,'Leveranser per nät'!F$1,FALSE)/VLOOKUP($B58,Korrigeringsfaktor_EI,'Korrigeringsfaktor EI'!F$1,FALSE),
"")</f>
        <v>0</v>
      </c>
      <c r="G58" s="18">
        <f>IFERROR(
                  Andel_oberoende_av_klimat*VLOOKUP($A58,Leveranser_per_nät,'Leveranser per nät'!G$1,FALSE)
               +Andel_beroende_av_klimat*VLOOKUP($A58,Leveranser_per_nät,'Leveranser per nät'!G$1,FALSE)/VLOOKUP($B58,Korrigeringsfaktor_EI,'Korrigeringsfaktor EI'!G$1,FALSE),
"")</f>
        <v>0</v>
      </c>
      <c r="H58" s="18">
        <f>IFERROR(
                  Andel_oberoende_av_klimat*VLOOKUP($A58,Leveranser_per_nät,'Leveranser per nät'!H$1,FALSE)
               +Andel_beroende_av_klimat*VLOOKUP($A58,Leveranser_per_nät,'Leveranser per nät'!H$1,FALSE)/VLOOKUP($B58,Korrigeringsfaktor_EI,'Korrigeringsfaktor EI'!H$1,FALSE),
"")</f>
        <v>0</v>
      </c>
      <c r="I58" s="18">
        <f>IFERROR(
                  Andel_oberoende_av_klimat*VLOOKUP($A58,Leveranser_per_nät,'Leveranser per nät'!I$1,FALSE)
               +Andel_beroende_av_klimat*VLOOKUP($A58,Leveranser_per_nät,'Leveranser per nät'!I$1,FALSE)/VLOOKUP($B58,Korrigeringsfaktor_EI,'Korrigeringsfaktor EI'!I$1,FALSE),
"")</f>
        <v>0</v>
      </c>
      <c r="J58" s="18">
        <f>IFERROR(
                  Andel_oberoende_av_klimat*VLOOKUP($A58,Leveranser_per_nät,'Leveranser per nät'!J$1,FALSE)
               +Andel_beroende_av_klimat*VLOOKUP($A58,Leveranser_per_nät,'Leveranser per nät'!J$1,FALSE)/VLOOKUP($B58,Korrigeringsfaktor_EI,'Korrigeringsfaktor EI'!J$1,FALSE),
"")</f>
        <v>0</v>
      </c>
      <c r="K58" s="18">
        <f>IFERROR(
                  Andel_oberoende_av_klimat*VLOOKUP($A58,Leveranser_per_nät,'Leveranser per nät'!K$1,FALSE)
               +Andel_beroende_av_klimat*VLOOKUP($A58,Leveranser_per_nät,'Leveranser per nät'!K$1,FALSE)/VLOOKUP($B58,Korrigeringsfaktor_EI,'Korrigeringsfaktor EI'!K$1,FALSE),
"")</f>
        <v>0</v>
      </c>
      <c r="L58" s="18">
        <f>IFERROR(
                  Andel_oberoende_av_klimat*VLOOKUP($A58,Leveranser_per_nät,'Leveranser per nät'!L$1,FALSE)
               +Andel_beroende_av_klimat*VLOOKUP($A58,Leveranser_per_nät,'Leveranser per nät'!L$1,FALSE)/VLOOKUP($B58,Korrigeringsfaktor_EI,'Korrigeringsfaktor EI'!L$1,FALSE),
"")</f>
        <v>0</v>
      </c>
      <c r="M58" s="18">
        <f>IFERROR(
                  Andel_oberoende_av_klimat*VLOOKUP($A58,Leveranser_per_nät,'Leveranser per nät'!M$1,FALSE)
               +Andel_beroende_av_klimat*VLOOKUP($A58,Leveranser_per_nät,'Leveranser per nät'!M$1,FALSE)/VLOOKUP($B58,Korrigeringsfaktor_EI,'Korrigeringsfaktor EI'!M$1,FALSE),
"")</f>
        <v>10.316344086021505</v>
      </c>
      <c r="N58" s="18">
        <f>IFERROR(
                  Andel_oberoende_av_klimat*VLOOKUP($A58,Leveranser_per_nät,'Leveranser per nät'!N$1,FALSE)
               +Andel_beroende_av_klimat*VLOOKUP($A58,Leveranser_per_nät,'Leveranser per nät'!N$1,FALSE)/VLOOKUP($B58,Korrigeringsfaktor_EI,'Korrigeringsfaktor EI'!N$1,FALSE),
"")</f>
        <v>9.0566666666666684</v>
      </c>
      <c r="O58" s="18">
        <f>IFERROR(
                  Andel_oberoende_av_klimat*VLOOKUP($A58,Leveranser_per_nät,'Leveranser per nät'!O$1,FALSE)
               +Andel_beroende_av_klimat*VLOOKUP($A58,Leveranser_per_nät,'Leveranser per nät'!O$1,FALSE)/VLOOKUP($B58,Korrigeringsfaktor_EI,'Korrigeringsfaktor EI'!O$1,FALSE),
"")</f>
        <v>8.6708510638297884</v>
      </c>
      <c r="P58" s="18">
        <f>IFERROR(
                  Andel_oberoende_av_klimat*VLOOKUP($A58,Leveranser_per_nät,'Leveranser per nät'!P$1,FALSE)
               +Andel_beroende_av_klimat*VLOOKUP($A58,Leveranser_per_nät,'Leveranser per nät'!P$1,FALSE)/VLOOKUP($B58,Korrigeringsfaktor_EI,'Korrigeringsfaktor EI'!P$1,FALSE),
"")</f>
        <v>0</v>
      </c>
      <c r="Q58" s="18">
        <f>IFERROR(
                  Andel_oberoende_av_klimat*VLOOKUP($A58,Leveranser_per_nät,'Leveranser per nät'!Q$1,FALSE)
               +Andel_beroende_av_klimat*VLOOKUP($A58,Leveranser_per_nät,'Leveranser per nät'!Q$1,FALSE)/VLOOKUP($B58,Korrigeringsfaktor_EI,'Korrigeringsfaktor EI'!Q$1,FALSE),
"")</f>
        <v>0</v>
      </c>
      <c r="R58" s="18">
        <f>IFERROR(
                  Andel_oberoende_av_klimat*VLOOKUP($A58,Leveranser_per_nät,'Leveranser per nät'!R$1,FALSE)
               +Andel_beroende_av_klimat*VLOOKUP($A58,Leveranser_per_nät,'Leveranser per nät'!R$1,FALSE)/VLOOKUP($B58,Korrigeringsfaktor_EI,'Korrigeringsfaktor EI'!R$1,FALSE),
"")</f>
        <v>0</v>
      </c>
      <c r="S58" s="18" t="str">
        <f>IFERROR(
                  Andel_oberoende_av_klimat*VLOOKUP($A58,Leveranser_per_nät,'Leveranser per nät'!S$1,FALSE)
               +Andel_beroende_av_klimat*VLOOKUP($A58,Leveranser_per_nät,'Leveranser per nät'!S$1,FALSE)/VLOOKUP($B58,Korrigeringsfaktor_EI,'Korrigeringsfaktor EI'!S$1,FALSE),
"")</f>
        <v/>
      </c>
      <c r="T58" s="18" t="str">
        <f>IFERROR(
                  Andel_oberoende_av_klimat*VLOOKUP($A58,Leveranser_per_nät,'Leveranser per nät'!T$1,FALSE)
               +Andel_beroende_av_klimat*VLOOKUP($A58,Leveranser_per_nät,'Leveranser per nät'!T$1,FALSE)/VLOOKUP($B58,Korrigeringsfaktor_EI,'Korrigeringsfaktor EI'!T$1,FALSE),
"")</f>
        <v/>
      </c>
      <c r="U58" s="18">
        <f>IFERROR(
                  Andel_oberoende_av_klimat*VLOOKUP($A58,Leveranser_per_nät,'Leveranser per nät'!U$1,FALSE)
               +Andel_beroende_av_klimat*VLOOKUP($A58,Leveranser_per_nät,'Leveranser per nät'!U$1,FALSE)/VLOOKUP($B58,Korrigeringsfaktor_EI,'Korrigeringsfaktor EI'!U$1,FALSE),
"")</f>
        <v>0</v>
      </c>
      <c r="V58" s="18" t="str">
        <f>IFERROR(
                  Andel_oberoende_av_klimat*VLOOKUP($A58,Leveranser_per_nät,'Leveranser per nät'!V$1,FALSE)
               +Andel_beroende_av_klimat*VLOOKUP($A58,Leveranser_per_nät,'Leveranser per nät'!V$1,FALSE)/VLOOKUP($B58,Korrigeringsfaktor_EI,'Korrigeringsfaktor EI'!V$1,FALSE),
"")</f>
        <v/>
      </c>
      <c r="W58" s="18" t="str">
        <f>IFERROR(
                  Andel_oberoende_av_klimat*VLOOKUP($A58,Leveranser_per_nät,'Leveranser per nät'!W$1,FALSE)
               +Andel_beroende_av_klimat*VLOOKUP($A58,Leveranser_per_nät,'Leveranser per nät'!W$1,FALSE)/VLOOKUP($B58,Korrigeringsfaktor_EI,'Korrigeringsfaktor EI'!W$1,FALSE),
"")</f>
        <v/>
      </c>
      <c r="X58" s="18" t="str">
        <f>IFERROR(
                  Andel_oberoende_av_klimat*VLOOKUP($A58,Leveranser_per_nät,'Leveranser per nät'!X$1,FALSE)
               +Andel_beroende_av_klimat*VLOOKUP($A58,Leveranser_per_nät,'Leveranser per nät'!X$1,FALSE)/VLOOKUP($B58,Korrigeringsfaktor_EI,'Korrigeringsfaktor EI'!X$1,FALSE),
"")</f>
        <v/>
      </c>
      <c r="Y58" s="18" t="str">
        <f>IFERROR(
                  Andel_oberoende_av_klimat*VLOOKUP($A58,Leveranser_per_nät,'Leveranser per nät'!Y$1,FALSE)
               +Andel_beroende_av_klimat*VLOOKUP($A58,Leveranser_per_nät,'Leveranser per nät'!Y$1,FALSE)/VLOOKUP($B58,Korrigeringsfaktor_EI,'Korrigeringsfaktor EI'!Y$1,FALSE),
"")</f>
        <v/>
      </c>
      <c r="Z58" s="18">
        <f>IFERROR(
                  Andel_oberoende_av_klimat*VLOOKUP($A58,Leveranser_per_nät,'Leveranser per nät'!Z$1,FALSE)
               +Andel_beroende_av_klimat*VLOOKUP($A58,Leveranser_per_nät,'Leveranser per nät'!Z$1,FALSE)/VLOOKUP($B58,Korrigeringsfaktor_EI,'Korrigeringsfaktor EI'!Z$1,FALSE),
"")</f>
        <v>0</v>
      </c>
      <c r="AA58" s="18" t="str">
        <f>IFERROR(
                  Andel_oberoende_av_klimat*VLOOKUP($A58,Leveranser_per_nät,'Leveranser per nät'!AA$1,FALSE)
               +Andel_beroende_av_klimat*VLOOKUP($A58,Leveranser_per_nät,'Leveranser per nät'!AA$1,FALSE)/VLOOKUP($B58,Korrigeringsfaktor_EI,'Korrigeringsfaktor EI'!AA$1,FALSE),
"")</f>
        <v/>
      </c>
      <c r="AB58" s="18">
        <f>IFERROR(
                  Andel_oberoende_av_klimat*VLOOKUP($A58,Leveranser_per_nät,'Leveranser per nät'!AB$1,FALSE)
               +Andel_beroende_av_klimat*VLOOKUP($A58,Leveranser_per_nät,'Leveranser per nät'!AB$1,FALSE)/VLOOKUP($B58,Korrigeringsfaktor_EI,'Korrigeringsfaktor EI'!AB$1,FALSE),
"")</f>
        <v>0</v>
      </c>
      <c r="AC58" s="18">
        <f>IFERROR(
                  Andel_oberoende_av_klimat*VLOOKUP($A58,Leveranser_per_nät,'Leveranser per nät'!AC$1,FALSE)
               +Andel_beroende_av_klimat*VLOOKUP($A58,Leveranser_per_nät,'Leveranser per nät'!AC$1,FALSE)/VLOOKUP($B58,Korrigeringsfaktor_EI,'Korrigeringsfaktor EI'!AC$1,FALSE),
"")</f>
        <v>0</v>
      </c>
      <c r="AD58">
        <v>10.417</v>
      </c>
    </row>
    <row r="59" spans="1:30" x14ac:dyDescent="0.25">
      <c r="A59" t="s">
        <v>395</v>
      </c>
      <c r="B59" t="s">
        <v>444</v>
      </c>
      <c r="C59" s="18">
        <f>IFERROR(
                  Andel_oberoende_av_klimat*VLOOKUP($A59,Leveranser_per_nät,'Leveranser per nät'!C$1,FALSE)
               +Andel_beroende_av_klimat*VLOOKUP($A59,Leveranser_per_nät,'Leveranser per nät'!C$1,FALSE)/VLOOKUP($B59,Korrigeringsfaktor_EI,'Korrigeringsfaktor EI'!C$1,FALSE),
"")</f>
        <v>4.8924444444444442</v>
      </c>
      <c r="D59" s="18">
        <f>IFERROR(
                  Andel_oberoende_av_klimat*VLOOKUP($A59,Leveranser_per_nät,'Leveranser per nät'!D$1,FALSE)
               +Andel_beroende_av_klimat*VLOOKUP($A59,Leveranser_per_nät,'Leveranser per nät'!D$1,FALSE)/VLOOKUP($B59,Korrigeringsfaktor_EI,'Korrigeringsfaktor EI'!D$1,FALSE),
"")</f>
        <v>5.0497574257425741</v>
      </c>
      <c r="E59" s="18">
        <f>IFERROR(
                  Andel_oberoende_av_klimat*VLOOKUP($A59,Leveranser_per_nät,'Leveranser per nät'!E$1,FALSE)
               +Andel_beroende_av_klimat*VLOOKUP($A59,Leveranser_per_nät,'Leveranser per nät'!E$1,FALSE)/VLOOKUP($B59,Korrigeringsfaktor_EI,'Korrigeringsfaktor EI'!E$1,FALSE),
"")</f>
        <v>5.8443000000000005</v>
      </c>
      <c r="F59" s="18">
        <f>IFERROR(
                  Andel_oberoende_av_klimat*VLOOKUP($A59,Leveranser_per_nät,'Leveranser per nät'!F$1,FALSE)
               +Andel_beroende_av_klimat*VLOOKUP($A59,Leveranser_per_nät,'Leveranser per nät'!F$1,FALSE)/VLOOKUP($B59,Korrigeringsfaktor_EI,'Korrigeringsfaktor EI'!F$1,FALSE),
"")</f>
        <v>5.2234042553191493</v>
      </c>
      <c r="G59" s="18">
        <f>IFERROR(
                  Andel_oberoende_av_klimat*VLOOKUP($A59,Leveranser_per_nät,'Leveranser per nät'!G$1,FALSE)
               +Andel_beroende_av_klimat*VLOOKUP($A59,Leveranser_per_nät,'Leveranser per nät'!G$1,FALSE)/VLOOKUP($B59,Korrigeringsfaktor_EI,'Korrigeringsfaktor EI'!G$1,FALSE),
"")</f>
        <v>8.6921348314606739</v>
      </c>
      <c r="H59" s="18">
        <f>IFERROR(
                  Andel_oberoende_av_klimat*VLOOKUP($A59,Leveranser_per_nät,'Leveranser per nät'!H$1,FALSE)
               +Andel_beroende_av_klimat*VLOOKUP($A59,Leveranser_per_nät,'Leveranser per nät'!H$1,FALSE)/VLOOKUP($B59,Korrigeringsfaktor_EI,'Korrigeringsfaktor EI'!H$1,FALSE),
"")</f>
        <v>8.2333333333333343</v>
      </c>
      <c r="I59" s="18">
        <f>IFERROR(
                  Andel_oberoende_av_klimat*VLOOKUP($A59,Leveranser_per_nät,'Leveranser per nät'!I$1,FALSE)
               +Andel_beroende_av_klimat*VLOOKUP($A59,Leveranser_per_nät,'Leveranser per nät'!I$1,FALSE)/VLOOKUP($B59,Korrigeringsfaktor_EI,'Korrigeringsfaktor EI'!I$1,FALSE),
"")</f>
        <v>0</v>
      </c>
      <c r="J59" s="18">
        <f>IFERROR(
                  Andel_oberoende_av_klimat*VLOOKUP($A59,Leveranser_per_nät,'Leveranser per nät'!J$1,FALSE)
               +Andel_beroende_av_klimat*VLOOKUP($A59,Leveranser_per_nät,'Leveranser per nät'!J$1,FALSE)/VLOOKUP($B59,Korrigeringsfaktor_EI,'Korrigeringsfaktor EI'!J$1,FALSE),
"")</f>
        <v>0</v>
      </c>
      <c r="K59" s="18">
        <f>IFERROR(
                  Andel_oberoende_av_klimat*VLOOKUP($A59,Leveranser_per_nät,'Leveranser per nät'!K$1,FALSE)
               +Andel_beroende_av_klimat*VLOOKUP($A59,Leveranser_per_nät,'Leveranser per nät'!K$1,FALSE)/VLOOKUP($B59,Korrigeringsfaktor_EI,'Korrigeringsfaktor EI'!K$1,FALSE),
"")</f>
        <v>0</v>
      </c>
      <c r="L59" s="18">
        <f>IFERROR(
                  Andel_oberoende_av_klimat*VLOOKUP($A59,Leveranser_per_nät,'Leveranser per nät'!L$1,FALSE)
               +Andel_beroende_av_klimat*VLOOKUP($A59,Leveranser_per_nät,'Leveranser per nät'!L$1,FALSE)/VLOOKUP($B59,Korrigeringsfaktor_EI,'Korrigeringsfaktor EI'!L$1,FALSE),
"")</f>
        <v>0</v>
      </c>
      <c r="M59" s="18">
        <f>IFERROR(
                  Andel_oberoende_av_klimat*VLOOKUP($A59,Leveranser_per_nät,'Leveranser per nät'!M$1,FALSE)
               +Andel_beroende_av_klimat*VLOOKUP($A59,Leveranser_per_nät,'Leveranser per nät'!M$1,FALSE)/VLOOKUP($B59,Korrigeringsfaktor_EI,'Korrigeringsfaktor EI'!M$1,FALSE),
"")</f>
        <v>0</v>
      </c>
      <c r="N59" s="18">
        <f>IFERROR(
                  Andel_oberoende_av_klimat*VLOOKUP($A59,Leveranser_per_nät,'Leveranser per nät'!N$1,FALSE)
               +Andel_beroende_av_klimat*VLOOKUP($A59,Leveranser_per_nät,'Leveranser per nät'!N$1,FALSE)/VLOOKUP($B59,Korrigeringsfaktor_EI,'Korrigeringsfaktor EI'!N$1,FALSE),
"")</f>
        <v>0</v>
      </c>
      <c r="O59" s="18">
        <f>IFERROR(
                  Andel_oberoende_av_klimat*VLOOKUP($A59,Leveranser_per_nät,'Leveranser per nät'!O$1,FALSE)
               +Andel_beroende_av_klimat*VLOOKUP($A59,Leveranser_per_nät,'Leveranser per nät'!O$1,FALSE)/VLOOKUP($B59,Korrigeringsfaktor_EI,'Korrigeringsfaktor EI'!O$1,FALSE),
"")</f>
        <v>0</v>
      </c>
      <c r="P59" s="18">
        <f>IFERROR(
                  Andel_oberoende_av_klimat*VLOOKUP($A59,Leveranser_per_nät,'Leveranser per nät'!P$1,FALSE)
               +Andel_beroende_av_klimat*VLOOKUP($A59,Leveranser_per_nät,'Leveranser per nät'!P$1,FALSE)/VLOOKUP($B59,Korrigeringsfaktor_EI,'Korrigeringsfaktor EI'!P$1,FALSE),
"")</f>
        <v>0</v>
      </c>
      <c r="Q59" s="18">
        <f>IFERROR(
                  Andel_oberoende_av_klimat*VLOOKUP($A59,Leveranser_per_nät,'Leveranser per nät'!Q$1,FALSE)
               +Andel_beroende_av_klimat*VLOOKUP($A59,Leveranser_per_nät,'Leveranser per nät'!Q$1,FALSE)/VLOOKUP($B59,Korrigeringsfaktor_EI,'Korrigeringsfaktor EI'!Q$1,FALSE),
"")</f>
        <v>0</v>
      </c>
      <c r="R59" s="18">
        <f>IFERROR(
                  Andel_oberoende_av_klimat*VLOOKUP($A59,Leveranser_per_nät,'Leveranser per nät'!R$1,FALSE)
               +Andel_beroende_av_klimat*VLOOKUP($A59,Leveranser_per_nät,'Leveranser per nät'!R$1,FALSE)/VLOOKUP($B59,Korrigeringsfaktor_EI,'Korrigeringsfaktor EI'!R$1,FALSE),
"")</f>
        <v>0</v>
      </c>
      <c r="S59" s="18" t="str">
        <f>IFERROR(
                  Andel_oberoende_av_klimat*VLOOKUP($A59,Leveranser_per_nät,'Leveranser per nät'!S$1,FALSE)
               +Andel_beroende_av_klimat*VLOOKUP($A59,Leveranser_per_nät,'Leveranser per nät'!S$1,FALSE)/VLOOKUP($B59,Korrigeringsfaktor_EI,'Korrigeringsfaktor EI'!S$1,FALSE),
"")</f>
        <v/>
      </c>
      <c r="T59" s="18" t="str">
        <f>IFERROR(
                  Andel_oberoende_av_klimat*VLOOKUP($A59,Leveranser_per_nät,'Leveranser per nät'!T$1,FALSE)
               +Andel_beroende_av_klimat*VLOOKUP($A59,Leveranser_per_nät,'Leveranser per nät'!T$1,FALSE)/VLOOKUP($B59,Korrigeringsfaktor_EI,'Korrigeringsfaktor EI'!T$1,FALSE),
"")</f>
        <v/>
      </c>
      <c r="U59" s="18" t="str">
        <f>IFERROR(
                  Andel_oberoende_av_klimat*VLOOKUP($A59,Leveranser_per_nät,'Leveranser per nät'!U$1,FALSE)
               +Andel_beroende_av_klimat*VLOOKUP($A59,Leveranser_per_nät,'Leveranser per nät'!U$1,FALSE)/VLOOKUP($B59,Korrigeringsfaktor_EI,'Korrigeringsfaktor EI'!U$1,FALSE),
"")</f>
        <v/>
      </c>
      <c r="V59" s="18" t="str">
        <f>IFERROR(
                  Andel_oberoende_av_klimat*VLOOKUP($A59,Leveranser_per_nät,'Leveranser per nät'!V$1,FALSE)
               +Andel_beroende_av_klimat*VLOOKUP($A59,Leveranser_per_nät,'Leveranser per nät'!V$1,FALSE)/VLOOKUP($B59,Korrigeringsfaktor_EI,'Korrigeringsfaktor EI'!V$1,FALSE),
"")</f>
        <v/>
      </c>
      <c r="W59" s="18" t="str">
        <f>IFERROR(
                  Andel_oberoende_av_klimat*VLOOKUP($A59,Leveranser_per_nät,'Leveranser per nät'!W$1,FALSE)
               +Andel_beroende_av_klimat*VLOOKUP($A59,Leveranser_per_nät,'Leveranser per nät'!W$1,FALSE)/VLOOKUP($B59,Korrigeringsfaktor_EI,'Korrigeringsfaktor EI'!W$1,FALSE),
"")</f>
        <v/>
      </c>
      <c r="X59" s="18" t="str">
        <f>IFERROR(
                  Andel_oberoende_av_klimat*VLOOKUP($A59,Leveranser_per_nät,'Leveranser per nät'!X$1,FALSE)
               +Andel_beroende_av_klimat*VLOOKUP($A59,Leveranser_per_nät,'Leveranser per nät'!X$1,FALSE)/VLOOKUP($B59,Korrigeringsfaktor_EI,'Korrigeringsfaktor EI'!X$1,FALSE),
"")</f>
        <v/>
      </c>
      <c r="Y59" s="18" t="str">
        <f>IFERROR(
                  Andel_oberoende_av_klimat*VLOOKUP($A59,Leveranser_per_nät,'Leveranser per nät'!Y$1,FALSE)
               +Andel_beroende_av_klimat*VLOOKUP($A59,Leveranser_per_nät,'Leveranser per nät'!Y$1,FALSE)/VLOOKUP($B59,Korrigeringsfaktor_EI,'Korrigeringsfaktor EI'!Y$1,FALSE),
"")</f>
        <v/>
      </c>
      <c r="Z59" s="18">
        <f>IFERROR(
                  Andel_oberoende_av_klimat*VLOOKUP($A59,Leveranser_per_nät,'Leveranser per nät'!Z$1,FALSE)
               +Andel_beroende_av_klimat*VLOOKUP($A59,Leveranser_per_nät,'Leveranser per nät'!Z$1,FALSE)/VLOOKUP($B59,Korrigeringsfaktor_EI,'Korrigeringsfaktor EI'!Z$1,FALSE),
"")</f>
        <v>0</v>
      </c>
      <c r="AA59" s="18" t="str">
        <f>IFERROR(
                  Andel_oberoende_av_klimat*VLOOKUP($A59,Leveranser_per_nät,'Leveranser per nät'!AA$1,FALSE)
               +Andel_beroende_av_klimat*VLOOKUP($A59,Leveranser_per_nät,'Leveranser per nät'!AA$1,FALSE)/VLOOKUP($B59,Korrigeringsfaktor_EI,'Korrigeringsfaktor EI'!AA$1,FALSE),
"")</f>
        <v/>
      </c>
      <c r="AB59" s="18">
        <f>IFERROR(
                  Andel_oberoende_av_klimat*VLOOKUP($A59,Leveranser_per_nät,'Leveranser per nät'!AB$1,FALSE)
               +Andel_beroende_av_klimat*VLOOKUP($A59,Leveranser_per_nät,'Leveranser per nät'!AB$1,FALSE)/VLOOKUP($B59,Korrigeringsfaktor_EI,'Korrigeringsfaktor EI'!AB$1,FALSE),
"")</f>
        <v>0</v>
      </c>
      <c r="AC59" s="18">
        <f>IFERROR(
                  Andel_oberoende_av_klimat*VLOOKUP($A59,Leveranser_per_nät,'Leveranser per nät'!AC$1,FALSE)
               +Andel_beroende_av_klimat*VLOOKUP($A59,Leveranser_per_nät,'Leveranser per nät'!AC$1,FALSE)/VLOOKUP($B59,Korrigeringsfaktor_EI,'Korrigeringsfaktor EI'!AC$1,FALSE),
"")</f>
        <v>0</v>
      </c>
      <c r="AD59" t="e">
        <v>#N/A</v>
      </c>
    </row>
    <row r="60" spans="1:30" x14ac:dyDescent="0.25">
      <c r="A60" t="s">
        <v>115</v>
      </c>
      <c r="B60" t="s">
        <v>115</v>
      </c>
      <c r="C60" s="18">
        <f>IFERROR(
                  Andel_oberoende_av_klimat*VLOOKUP($A60,Leveranser_per_nät,'Leveranser per nät'!C$1,FALSE)
               +Andel_beroende_av_klimat*VLOOKUP($A60,Leveranser_per_nät,'Leveranser per nät'!C$1,FALSE)/VLOOKUP($B60,Korrigeringsfaktor_EI,'Korrigeringsfaktor EI'!C$1,FALSE),
"")</f>
        <v>0</v>
      </c>
      <c r="D60" s="18">
        <f>IFERROR(
                  Andel_oberoende_av_klimat*VLOOKUP($A60,Leveranser_per_nät,'Leveranser per nät'!D$1,FALSE)
               +Andel_beroende_av_klimat*VLOOKUP($A60,Leveranser_per_nät,'Leveranser per nät'!D$1,FALSE)/VLOOKUP($B60,Korrigeringsfaktor_EI,'Korrigeringsfaktor EI'!D$1,FALSE),
"")</f>
        <v>0</v>
      </c>
      <c r="E60" s="18">
        <f>IFERROR(
                  Andel_oberoende_av_klimat*VLOOKUP($A60,Leveranser_per_nät,'Leveranser per nät'!E$1,FALSE)
               +Andel_beroende_av_klimat*VLOOKUP($A60,Leveranser_per_nät,'Leveranser per nät'!E$1,FALSE)/VLOOKUP($B60,Korrigeringsfaktor_EI,'Korrigeringsfaktor EI'!E$1,FALSE),
"")</f>
        <v>0</v>
      </c>
      <c r="F60" s="18">
        <f>IFERROR(
                  Andel_oberoende_av_klimat*VLOOKUP($A60,Leveranser_per_nät,'Leveranser per nät'!F$1,FALSE)
               +Andel_beroende_av_klimat*VLOOKUP($A60,Leveranser_per_nät,'Leveranser per nät'!F$1,FALSE)/VLOOKUP($B60,Korrigeringsfaktor_EI,'Korrigeringsfaktor EI'!F$1,FALSE),
"")</f>
        <v>0</v>
      </c>
      <c r="G60" s="18">
        <f>IFERROR(
                  Andel_oberoende_av_klimat*VLOOKUP($A60,Leveranser_per_nät,'Leveranser per nät'!G$1,FALSE)
               +Andel_beroende_av_klimat*VLOOKUP($A60,Leveranser_per_nät,'Leveranser per nät'!G$1,FALSE)/VLOOKUP($B60,Korrigeringsfaktor_EI,'Korrigeringsfaktor EI'!G$1,FALSE),
"")</f>
        <v>0</v>
      </c>
      <c r="H60" s="18">
        <f>IFERROR(
                  Andel_oberoende_av_klimat*VLOOKUP($A60,Leveranser_per_nät,'Leveranser per nät'!H$1,FALSE)
               +Andel_beroende_av_klimat*VLOOKUP($A60,Leveranser_per_nät,'Leveranser per nät'!H$1,FALSE)/VLOOKUP($B60,Korrigeringsfaktor_EI,'Korrigeringsfaktor EI'!H$1,FALSE),
"")</f>
        <v>0</v>
      </c>
      <c r="I60" s="18">
        <f>IFERROR(
                  Andel_oberoende_av_klimat*VLOOKUP($A60,Leveranser_per_nät,'Leveranser per nät'!I$1,FALSE)
               +Andel_beroende_av_klimat*VLOOKUP($A60,Leveranser_per_nät,'Leveranser per nät'!I$1,FALSE)/VLOOKUP($B60,Korrigeringsfaktor_EI,'Korrigeringsfaktor EI'!I$1,FALSE),
"")</f>
        <v>0</v>
      </c>
      <c r="J60" s="18">
        <f>IFERROR(
                  Andel_oberoende_av_klimat*VLOOKUP($A60,Leveranser_per_nät,'Leveranser per nät'!J$1,FALSE)
               +Andel_beroende_av_klimat*VLOOKUP($A60,Leveranser_per_nät,'Leveranser per nät'!J$1,FALSE)/VLOOKUP($B60,Korrigeringsfaktor_EI,'Korrigeringsfaktor EI'!J$1,FALSE),
"")</f>
        <v>0</v>
      </c>
      <c r="K60" s="18">
        <f>IFERROR(
                  Andel_oberoende_av_klimat*VLOOKUP($A60,Leveranser_per_nät,'Leveranser per nät'!K$1,FALSE)
               +Andel_beroende_av_klimat*VLOOKUP($A60,Leveranser_per_nät,'Leveranser per nät'!K$1,FALSE)/VLOOKUP($B60,Korrigeringsfaktor_EI,'Korrigeringsfaktor EI'!K$1,FALSE),
"")</f>
        <v>0</v>
      </c>
      <c r="L60" s="18">
        <f>IFERROR(
                  Andel_oberoende_av_klimat*VLOOKUP($A60,Leveranser_per_nät,'Leveranser per nät'!L$1,FALSE)
               +Andel_beroende_av_klimat*VLOOKUP($A60,Leveranser_per_nät,'Leveranser per nät'!L$1,FALSE)/VLOOKUP($B60,Korrigeringsfaktor_EI,'Korrigeringsfaktor EI'!L$1,FALSE),
"")</f>
        <v>0</v>
      </c>
      <c r="M60" s="18">
        <f>IFERROR(
                  Andel_oberoende_av_klimat*VLOOKUP($A60,Leveranser_per_nät,'Leveranser per nät'!M$1,FALSE)
               +Andel_beroende_av_klimat*VLOOKUP($A60,Leveranser_per_nät,'Leveranser per nät'!M$1,FALSE)/VLOOKUP($B60,Korrigeringsfaktor_EI,'Korrigeringsfaktor EI'!M$1,FALSE),
"")</f>
        <v>0</v>
      </c>
      <c r="N60" s="18">
        <f>IFERROR(
                  Andel_oberoende_av_klimat*VLOOKUP($A60,Leveranser_per_nät,'Leveranser per nät'!N$1,FALSE)
               +Andel_beroende_av_klimat*VLOOKUP($A60,Leveranser_per_nät,'Leveranser per nät'!N$1,FALSE)/VLOOKUP($B60,Korrigeringsfaktor_EI,'Korrigeringsfaktor EI'!N$1,FALSE),
"")</f>
        <v>0</v>
      </c>
      <c r="O60" s="18">
        <f>IFERROR(
                  Andel_oberoende_av_klimat*VLOOKUP($A60,Leveranser_per_nät,'Leveranser per nät'!O$1,FALSE)
               +Andel_beroende_av_klimat*VLOOKUP($A60,Leveranser_per_nät,'Leveranser per nät'!O$1,FALSE)/VLOOKUP($B60,Korrigeringsfaktor_EI,'Korrigeringsfaktor EI'!O$1,FALSE),
"")</f>
        <v>0</v>
      </c>
      <c r="P60" s="18">
        <f>IFERROR(
                  Andel_oberoende_av_klimat*VLOOKUP($A60,Leveranser_per_nät,'Leveranser per nät'!P$1,FALSE)
               +Andel_beroende_av_klimat*VLOOKUP($A60,Leveranser_per_nät,'Leveranser per nät'!P$1,FALSE)/VLOOKUP($B60,Korrigeringsfaktor_EI,'Korrigeringsfaktor EI'!P$1,FALSE),
"")</f>
        <v>14.808571428571428</v>
      </c>
      <c r="Q60" s="18">
        <f>IFERROR(
                  Andel_oberoende_av_klimat*VLOOKUP($A60,Leveranser_per_nät,'Leveranser per nät'!Q$1,FALSE)
               +Andel_beroende_av_klimat*VLOOKUP($A60,Leveranser_per_nät,'Leveranser per nät'!Q$1,FALSE)/VLOOKUP($B60,Korrigeringsfaktor_EI,'Korrigeringsfaktor EI'!Q$1,FALSE),
"")</f>
        <v>15.879474999999999</v>
      </c>
      <c r="R60" s="18">
        <f>IFERROR(
                  Andel_oberoende_av_klimat*VLOOKUP($A60,Leveranser_per_nät,'Leveranser per nät'!R$1,FALSE)
               +Andel_beroende_av_klimat*VLOOKUP($A60,Leveranser_per_nät,'Leveranser per nät'!R$1,FALSE)/VLOOKUP($B60,Korrigeringsfaktor_EI,'Korrigeringsfaktor EI'!R$1,FALSE),
"")</f>
        <v>14.886900000000001</v>
      </c>
      <c r="S60" s="18">
        <f>IFERROR(
                  Andel_oberoende_av_klimat*VLOOKUP($A60,Leveranser_per_nät,'Leveranser per nät'!S$1,FALSE)
               +Andel_beroende_av_klimat*VLOOKUP($A60,Leveranser_per_nät,'Leveranser per nät'!S$1,FALSE)/VLOOKUP($B60,Korrigeringsfaktor_EI,'Korrigeringsfaktor EI'!S$1,FALSE),
"")</f>
        <v>15.146343434343434</v>
      </c>
      <c r="T60" s="18">
        <f>IFERROR(
                  Andel_oberoende_av_klimat*VLOOKUP($A60,Leveranser_per_nät,'Leveranser per nät'!T$1,FALSE)
               +Andel_beroende_av_klimat*VLOOKUP($A60,Leveranser_per_nät,'Leveranser per nät'!T$1,FALSE)/VLOOKUP($B60,Korrigeringsfaktor_EI,'Korrigeringsfaktor EI'!T$1,FALSE),
"")</f>
        <v>15.034066666666668</v>
      </c>
      <c r="U60" s="18">
        <f>IFERROR(
                  Andel_oberoende_av_klimat*VLOOKUP($A60,Leveranser_per_nät,'Leveranser per nät'!U$1,FALSE)
               +Andel_beroende_av_klimat*VLOOKUP($A60,Leveranser_per_nät,'Leveranser per nät'!U$1,FALSE)/VLOOKUP($B60,Korrigeringsfaktor_EI,'Korrigeringsfaktor EI'!U$1,FALSE),
"")</f>
        <v>14.411559550561797</v>
      </c>
      <c r="V60" s="18">
        <f>IFERROR(
                  Andel_oberoende_av_klimat*VLOOKUP($A60,Leveranser_per_nät,'Leveranser per nät'!V$1,FALSE)
               +Andel_beroende_av_klimat*VLOOKUP($A60,Leveranser_per_nät,'Leveranser per nät'!V$1,FALSE)/VLOOKUP($B60,Korrigeringsfaktor_EI,'Korrigeringsfaktor EI'!V$1,FALSE),
"")</f>
        <v>14.561495652173914</v>
      </c>
      <c r="W60" s="18">
        <f>IFERROR(
                  Andel_oberoende_av_klimat*VLOOKUP($A60,Leveranser_per_nät,'Leveranser per nät'!W$1,FALSE)
               +Andel_beroende_av_klimat*VLOOKUP($A60,Leveranser_per_nät,'Leveranser per nät'!W$1,FALSE)/VLOOKUP($B60,Korrigeringsfaktor_EI,'Korrigeringsfaktor EI'!W$1,FALSE),
"")</f>
        <v>14.986991489361703</v>
      </c>
      <c r="X60" s="18">
        <f>IFERROR(
                  Andel_oberoende_av_klimat*VLOOKUP($A60,Leveranser_per_nät,'Leveranser per nät'!X$1,FALSE)
               +Andel_beroende_av_klimat*VLOOKUP($A60,Leveranser_per_nät,'Leveranser per nät'!X$1,FALSE)/VLOOKUP($B60,Korrigeringsfaktor_EI,'Korrigeringsfaktor EI'!X$1,FALSE),
"")</f>
        <v>14.917770833333332</v>
      </c>
      <c r="Y60" s="18">
        <f>IFERROR(
                  Andel_oberoende_av_klimat*VLOOKUP($A60,Leveranser_per_nät,'Leveranser per nät'!Y$1,FALSE)
               +Andel_beroende_av_klimat*VLOOKUP($A60,Leveranser_per_nät,'Leveranser per nät'!Y$1,FALSE)/VLOOKUP($B60,Korrigeringsfaktor_EI,'Korrigeringsfaktor EI'!Y$1,FALSE),
"")</f>
        <v>15.461276595744682</v>
      </c>
      <c r="Z60" s="18">
        <f>IFERROR(
                  Andel_oberoende_av_klimat*VLOOKUP($A60,Leveranser_per_nät,'Leveranser per nät'!Z$1,FALSE)
               +Andel_beroende_av_klimat*VLOOKUP($A60,Leveranser_per_nät,'Leveranser per nät'!Z$1,FALSE)/VLOOKUP($B60,Korrigeringsfaktor_EI,'Korrigeringsfaktor EI'!Z$1,FALSE),
"")</f>
        <v>15.461883870967743</v>
      </c>
      <c r="AA60" s="18">
        <f>IFERROR(
                  Andel_oberoende_av_klimat*VLOOKUP($A60,Leveranser_per_nät,'Leveranser per nät'!AA$1,FALSE)
               +Andel_beroende_av_klimat*VLOOKUP($A60,Leveranser_per_nät,'Leveranser per nät'!AA$1,FALSE)/VLOOKUP($B60,Korrigeringsfaktor_EI,'Korrigeringsfaktor EI'!AA$1,FALSE),
"")</f>
        <v>15.012386577181207</v>
      </c>
      <c r="AB60" s="18">
        <f>IFERROR(
                  Andel_oberoende_av_klimat*VLOOKUP($A60,Leveranser_per_nät,'Leveranser per nät'!AB$1,FALSE)
               +Andel_beroende_av_klimat*VLOOKUP($A60,Leveranser_per_nät,'Leveranser per nät'!AB$1,FALSE)/VLOOKUP($B60,Korrigeringsfaktor_EI,'Korrigeringsfaktor EI'!AB$1,FALSE),
"")</f>
        <v>15.12757833001988</v>
      </c>
      <c r="AC60" s="18">
        <f>IFERROR(
                  Andel_oberoende_av_klimat*VLOOKUP($A60,Leveranser_per_nät,'Leveranser per nät'!AC$1,FALSE)
               +Andel_beroende_av_klimat*VLOOKUP($A60,Leveranser_per_nät,'Leveranser per nät'!AC$1,FALSE)/VLOOKUP($B60,Korrigeringsfaktor_EI,'Korrigeringsfaktor EI'!AC$1,FALSE),
"")</f>
        <v>14.477287500000001</v>
      </c>
      <c r="AD60">
        <v>14.067</v>
      </c>
    </row>
    <row r="61" spans="1:30" x14ac:dyDescent="0.25">
      <c r="A61" t="s">
        <v>46</v>
      </c>
      <c r="B61" t="s">
        <v>46</v>
      </c>
      <c r="C61" s="18">
        <f>IFERROR(
                  Andel_oberoende_av_klimat*VLOOKUP($A61,Leveranser_per_nät,'Leveranser per nät'!C$1,FALSE)
               +Andel_beroende_av_klimat*VLOOKUP($A61,Leveranser_per_nät,'Leveranser per nät'!C$1,FALSE)/VLOOKUP($B61,Korrigeringsfaktor_EI,'Korrigeringsfaktor EI'!C$1,FALSE),
"")</f>
        <v>0</v>
      </c>
      <c r="D61" s="18">
        <f>IFERROR(
                  Andel_oberoende_av_klimat*VLOOKUP($A61,Leveranser_per_nät,'Leveranser per nät'!D$1,FALSE)
               +Andel_beroende_av_klimat*VLOOKUP($A61,Leveranser_per_nät,'Leveranser per nät'!D$1,FALSE)/VLOOKUP($B61,Korrigeringsfaktor_EI,'Korrigeringsfaktor EI'!D$1,FALSE),
"")</f>
        <v>9.784814285714285</v>
      </c>
      <c r="E61" s="18">
        <f>IFERROR(
                  Andel_oberoende_av_klimat*VLOOKUP($A61,Leveranser_per_nät,'Leveranser per nät'!E$1,FALSE)
               +Andel_beroende_av_klimat*VLOOKUP($A61,Leveranser_per_nät,'Leveranser per nät'!E$1,FALSE)/VLOOKUP($B61,Korrigeringsfaktor_EI,'Korrigeringsfaktor EI'!E$1,FALSE),
"")</f>
        <v>13.126796116504853</v>
      </c>
      <c r="F61" s="18">
        <f>IFERROR(
                  Andel_oberoende_av_klimat*VLOOKUP($A61,Leveranser_per_nät,'Leveranser per nät'!F$1,FALSE)
               +Andel_beroende_av_klimat*VLOOKUP($A61,Leveranser_per_nät,'Leveranser per nät'!F$1,FALSE)/VLOOKUP($B61,Korrigeringsfaktor_EI,'Korrigeringsfaktor EI'!F$1,FALSE),
"")</f>
        <v>11.164627450980392</v>
      </c>
      <c r="G61" s="18">
        <f>IFERROR(
                  Andel_oberoende_av_klimat*VLOOKUP($A61,Leveranser_per_nät,'Leveranser per nät'!G$1,FALSE)
               +Andel_beroende_av_klimat*VLOOKUP($A61,Leveranser_per_nät,'Leveranser per nät'!G$1,FALSE)/VLOOKUP($B61,Korrigeringsfaktor_EI,'Korrigeringsfaktor EI'!G$1,FALSE),
"")</f>
        <v>12.802833333333332</v>
      </c>
      <c r="H61" s="18">
        <f>IFERROR(
                  Andel_oberoende_av_klimat*VLOOKUP($A61,Leveranser_per_nät,'Leveranser per nät'!H$1,FALSE)
               +Andel_beroende_av_klimat*VLOOKUP($A61,Leveranser_per_nät,'Leveranser per nät'!H$1,FALSE)/VLOOKUP($B61,Korrigeringsfaktor_EI,'Korrigeringsfaktor EI'!H$1,FALSE),
"")</f>
        <v>13.807843137254903</v>
      </c>
      <c r="I61" s="18">
        <f>IFERROR(
                  Andel_oberoende_av_klimat*VLOOKUP($A61,Leveranser_per_nät,'Leveranser per nät'!I$1,FALSE)
               +Andel_beroende_av_klimat*VLOOKUP($A61,Leveranser_per_nät,'Leveranser per nät'!I$1,FALSE)/VLOOKUP($B61,Korrigeringsfaktor_EI,'Korrigeringsfaktor EI'!I$1,FALSE),
"")</f>
        <v>13.580851063829789</v>
      </c>
      <c r="J61" s="18">
        <f>IFERROR(
                  Andel_oberoende_av_klimat*VLOOKUP($A61,Leveranser_per_nät,'Leveranser per nät'!J$1,FALSE)
               +Andel_beroende_av_klimat*VLOOKUP($A61,Leveranser_per_nät,'Leveranser per nät'!J$1,FALSE)/VLOOKUP($B61,Korrigeringsfaktor_EI,'Korrigeringsfaktor EI'!J$1,FALSE),
"")</f>
        <v>13.179278350515464</v>
      </c>
      <c r="K61" s="18">
        <f>IFERROR(
                  Andel_oberoende_av_klimat*VLOOKUP($A61,Leveranser_per_nät,'Leveranser per nät'!K$1,FALSE)
               +Andel_beroende_av_klimat*VLOOKUP($A61,Leveranser_per_nät,'Leveranser per nät'!K$1,FALSE)/VLOOKUP($B61,Korrigeringsfaktor_EI,'Korrigeringsfaktor EI'!K$1,FALSE),
"")</f>
        <v>13.375263157894738</v>
      </c>
      <c r="L61" s="18">
        <f>IFERROR(
                  Andel_oberoende_av_klimat*VLOOKUP($A61,Leveranser_per_nät,'Leveranser per nät'!L$1,FALSE)
               +Andel_beroende_av_klimat*VLOOKUP($A61,Leveranser_per_nät,'Leveranser per nät'!L$1,FALSE)/VLOOKUP($B61,Korrigeringsfaktor_EI,'Korrigeringsfaktor EI'!L$1,FALSE),
"")</f>
        <v>21.003542059858585</v>
      </c>
      <c r="M61" s="18">
        <f>IFERROR(
                  Andel_oberoende_av_klimat*VLOOKUP($A61,Leveranser_per_nät,'Leveranser per nät'!M$1,FALSE)
               +Andel_beroende_av_klimat*VLOOKUP($A61,Leveranser_per_nät,'Leveranser per nät'!M$1,FALSE)/VLOOKUP($B61,Korrigeringsfaktor_EI,'Korrigeringsfaktor EI'!M$1,FALSE),
"")</f>
        <v>16.549565217391304</v>
      </c>
      <c r="N61" s="18">
        <f>IFERROR(
                  Andel_oberoende_av_klimat*VLOOKUP($A61,Leveranser_per_nät,'Leveranser per nät'!N$1,FALSE)
               +Andel_beroende_av_klimat*VLOOKUP($A61,Leveranser_per_nät,'Leveranser per nät'!N$1,FALSE)/VLOOKUP($B61,Korrigeringsfaktor_EI,'Korrigeringsfaktor EI'!N$1,FALSE),
"")</f>
        <v>17.004210526315788</v>
      </c>
      <c r="O61" s="18">
        <f>IFERROR(
                  Andel_oberoende_av_klimat*VLOOKUP($A61,Leveranser_per_nät,'Leveranser per nät'!O$1,FALSE)
               +Andel_beroende_av_klimat*VLOOKUP($A61,Leveranser_per_nät,'Leveranser per nät'!O$1,FALSE)/VLOOKUP($B61,Korrigeringsfaktor_EI,'Korrigeringsfaktor EI'!O$1,FALSE),
"")</f>
        <v>16.737741935483871</v>
      </c>
      <c r="P61" s="18">
        <f>IFERROR(
                  Andel_oberoende_av_klimat*VLOOKUP($A61,Leveranser_per_nät,'Leveranser per nät'!P$1,FALSE)
               +Andel_beroende_av_klimat*VLOOKUP($A61,Leveranser_per_nät,'Leveranser per nät'!P$1,FALSE)/VLOOKUP($B61,Korrigeringsfaktor_EI,'Korrigeringsfaktor EI'!P$1,FALSE),
"")</f>
        <v>17.120202020202019</v>
      </c>
      <c r="Q61" s="18">
        <f>IFERROR(
                  Andel_oberoende_av_klimat*VLOOKUP($A61,Leveranser_per_nät,'Leveranser per nät'!Q$1,FALSE)
               +Andel_beroende_av_klimat*VLOOKUP($A61,Leveranser_per_nät,'Leveranser per nät'!Q$1,FALSE)/VLOOKUP($B61,Korrigeringsfaktor_EI,'Korrigeringsfaktor EI'!Q$1,FALSE),
"")</f>
        <v>18.259090909090908</v>
      </c>
      <c r="R61" s="18">
        <f>IFERROR(
                  Andel_oberoende_av_klimat*VLOOKUP($A61,Leveranser_per_nät,'Leveranser per nät'!R$1,FALSE)
               +Andel_beroende_av_klimat*VLOOKUP($A61,Leveranser_per_nät,'Leveranser per nät'!R$1,FALSE)/VLOOKUP($B61,Korrigeringsfaktor_EI,'Korrigeringsfaktor EI'!R$1,FALSE),
"")</f>
        <v>17.375</v>
      </c>
      <c r="S61" s="18">
        <f>IFERROR(
                  Andel_oberoende_av_klimat*VLOOKUP($A61,Leveranser_per_nät,'Leveranser per nät'!S$1,FALSE)
               +Andel_beroende_av_klimat*VLOOKUP($A61,Leveranser_per_nät,'Leveranser per nät'!S$1,FALSE)/VLOOKUP($B61,Korrigeringsfaktor_EI,'Korrigeringsfaktor EI'!S$1,FALSE),
"")</f>
        <v>16.902039603960397</v>
      </c>
      <c r="T61" s="18">
        <f>IFERROR(
                  Andel_oberoende_av_klimat*VLOOKUP($A61,Leveranser_per_nät,'Leveranser per nät'!T$1,FALSE)
               +Andel_beroende_av_klimat*VLOOKUP($A61,Leveranser_per_nät,'Leveranser per nät'!T$1,FALSE)/VLOOKUP($B61,Korrigeringsfaktor_EI,'Korrigeringsfaktor EI'!T$1,FALSE),
"")</f>
        <v>16.775416666666668</v>
      </c>
      <c r="U61" s="18">
        <f>IFERROR(
                  Andel_oberoende_av_klimat*VLOOKUP($A61,Leveranser_per_nät,'Leveranser per nät'!U$1,FALSE)
               +Andel_beroende_av_klimat*VLOOKUP($A61,Leveranser_per_nät,'Leveranser per nät'!U$1,FALSE)/VLOOKUP($B61,Korrigeringsfaktor_EI,'Korrigeringsfaktor EI'!U$1,FALSE),
"")</f>
        <v>13.579999999999998</v>
      </c>
      <c r="V61" s="18">
        <f>IFERROR(
                  Andel_oberoende_av_klimat*VLOOKUP($A61,Leveranser_per_nät,'Leveranser per nät'!V$1,FALSE)
               +Andel_beroende_av_klimat*VLOOKUP($A61,Leveranser_per_nät,'Leveranser per nät'!V$1,FALSE)/VLOOKUP($B61,Korrigeringsfaktor_EI,'Korrigeringsfaktor EI'!V$1,FALSE),
"")</f>
        <v>16.843010752688173</v>
      </c>
      <c r="W61" s="18">
        <f>IFERROR(
                  Andel_oberoende_av_klimat*VLOOKUP($A61,Leveranser_per_nät,'Leveranser per nät'!W$1,FALSE)
               +Andel_beroende_av_klimat*VLOOKUP($A61,Leveranser_per_nät,'Leveranser per nät'!W$1,FALSE)/VLOOKUP($B61,Korrigeringsfaktor_EI,'Korrigeringsfaktor EI'!W$1,FALSE),
"")</f>
        <v>17.495833333333334</v>
      </c>
      <c r="X61" s="18">
        <f>IFERROR(
                  Andel_oberoende_av_klimat*VLOOKUP($A61,Leveranser_per_nät,'Leveranser per nät'!X$1,FALSE)
               +Andel_beroende_av_klimat*VLOOKUP($A61,Leveranser_per_nät,'Leveranser per nät'!X$1,FALSE)/VLOOKUP($B61,Korrigeringsfaktor_EI,'Korrigeringsfaktor EI'!X$1,FALSE),
"")</f>
        <v>17.470206185567012</v>
      </c>
      <c r="Y61" s="18">
        <f>IFERROR(
                  Andel_oberoende_av_klimat*VLOOKUP($A61,Leveranser_per_nät,'Leveranser per nät'!Y$1,FALSE)
               +Andel_beroende_av_klimat*VLOOKUP($A61,Leveranser_per_nät,'Leveranser per nät'!Y$1,FALSE)/VLOOKUP($B61,Korrigeringsfaktor_EI,'Korrigeringsfaktor EI'!Y$1,FALSE),
"")</f>
        <v>16.981250000000003</v>
      </c>
      <c r="Z61" s="18">
        <f>IFERROR(
                  Andel_oberoende_av_klimat*VLOOKUP($A61,Leveranser_per_nät,'Leveranser per nät'!Z$1,FALSE)
               +Andel_beroende_av_klimat*VLOOKUP($A61,Leveranser_per_nät,'Leveranser per nät'!Z$1,FALSE)/VLOOKUP($B61,Korrigeringsfaktor_EI,'Korrigeringsfaktor EI'!Z$1,FALSE),
"")</f>
        <v>17.084166666666668</v>
      </c>
      <c r="AA61" s="18">
        <f>IFERROR(
                  Andel_oberoende_av_klimat*VLOOKUP($A61,Leveranser_per_nät,'Leveranser per nät'!AA$1,FALSE)
               +Andel_beroende_av_klimat*VLOOKUP($A61,Leveranser_per_nät,'Leveranser per nät'!AA$1,FALSE)/VLOOKUP($B61,Korrigeringsfaktor_EI,'Korrigeringsfaktor EI'!AA$1,FALSE),
"")</f>
        <v>16.037868535031848</v>
      </c>
      <c r="AB61" s="18">
        <f>IFERROR(
                  Andel_oberoende_av_klimat*VLOOKUP($A61,Leveranser_per_nät,'Leveranser per nät'!AB$1,FALSE)
               +Andel_beroende_av_klimat*VLOOKUP($A61,Leveranser_per_nät,'Leveranser per nät'!AB$1,FALSE)/VLOOKUP($B61,Korrigeringsfaktor_EI,'Korrigeringsfaktor EI'!AB$1,FALSE),
"")</f>
        <v>16.366884872298623</v>
      </c>
      <c r="AC61" s="18">
        <f>IFERROR(
                  Andel_oberoende_av_klimat*VLOOKUP($A61,Leveranser_per_nät,'Leveranser per nät'!AC$1,FALSE)
               +Andel_beroende_av_klimat*VLOOKUP($A61,Leveranser_per_nät,'Leveranser per nät'!AC$1,FALSE)/VLOOKUP($B61,Korrigeringsfaktor_EI,'Korrigeringsfaktor EI'!AC$1,FALSE),
"")</f>
        <v>16.747396721311475</v>
      </c>
      <c r="AD61">
        <v>16.463999999999999</v>
      </c>
    </row>
    <row r="62" spans="1:30" x14ac:dyDescent="0.25">
      <c r="A62" t="s">
        <v>339</v>
      </c>
      <c r="B62" t="s">
        <v>808</v>
      </c>
      <c r="C62" s="18">
        <f>IFERROR(
                  Andel_oberoende_av_klimat*VLOOKUP($A62,Leveranser_per_nät,'Leveranser per nät'!C$1,FALSE)
               +Andel_beroende_av_klimat*VLOOKUP($A62,Leveranser_per_nät,'Leveranser per nät'!C$1,FALSE)/VLOOKUP($B62,Korrigeringsfaktor_EI,'Korrigeringsfaktor EI'!C$1,FALSE),
"")</f>
        <v>450.42522522522518</v>
      </c>
      <c r="D62" s="18">
        <f>IFERROR(
                  Andel_oberoende_av_klimat*VLOOKUP($A62,Leveranser_per_nät,'Leveranser per nät'!D$1,FALSE)
               +Andel_beroende_av_klimat*VLOOKUP($A62,Leveranser_per_nät,'Leveranser per nät'!D$1,FALSE)/VLOOKUP($B62,Korrigeringsfaktor_EI,'Korrigeringsfaktor EI'!D$1,FALSE),
"")</f>
        <v>438.80339215686269</v>
      </c>
      <c r="E62" s="18">
        <f>IFERROR(
                  Andel_oberoende_av_klimat*VLOOKUP($A62,Leveranser_per_nät,'Leveranser per nät'!E$1,FALSE)
               +Andel_beroende_av_klimat*VLOOKUP($A62,Leveranser_per_nät,'Leveranser per nät'!E$1,FALSE)/VLOOKUP($B62,Korrigeringsfaktor_EI,'Korrigeringsfaktor EI'!E$1,FALSE),
"")</f>
        <v>475.38679245283015</v>
      </c>
      <c r="F62" s="18">
        <f>IFERROR(
                  Andel_oberoende_av_klimat*VLOOKUP($A62,Leveranser_per_nät,'Leveranser per nät'!F$1,FALSE)
               +Andel_beroende_av_klimat*VLOOKUP($A62,Leveranser_per_nät,'Leveranser per nät'!F$1,FALSE)/VLOOKUP($B62,Korrigeringsfaktor_EI,'Korrigeringsfaktor EI'!F$1,FALSE),
"")</f>
        <v>449.52577319587635</v>
      </c>
      <c r="G62" s="18">
        <f>IFERROR(
                  Andel_oberoende_av_klimat*VLOOKUP($A62,Leveranser_per_nät,'Leveranser per nät'!G$1,FALSE)
               +Andel_beroende_av_klimat*VLOOKUP($A62,Leveranser_per_nät,'Leveranser per nät'!G$1,FALSE)/VLOOKUP($B62,Korrigeringsfaktor_EI,'Korrigeringsfaktor EI'!G$1,FALSE),
"")</f>
        <v>428.44408602150537</v>
      </c>
      <c r="H62" s="18">
        <f>IFERROR(
                  Andel_oberoende_av_klimat*VLOOKUP($A62,Leveranser_per_nät,'Leveranser per nät'!H$1,FALSE)
               +Andel_beroende_av_klimat*VLOOKUP($A62,Leveranser_per_nät,'Leveranser per nät'!H$1,FALSE)/VLOOKUP($B62,Korrigeringsfaktor_EI,'Korrigeringsfaktor EI'!H$1,FALSE),
"")</f>
        <v>482.38686868686864</v>
      </c>
      <c r="I62" s="18">
        <f>IFERROR(
                  Andel_oberoende_av_klimat*VLOOKUP($A62,Leveranser_per_nät,'Leveranser per nät'!I$1,FALSE)
               +Andel_beroende_av_klimat*VLOOKUP($A62,Leveranser_per_nät,'Leveranser per nät'!I$1,FALSE)/VLOOKUP($B62,Korrigeringsfaktor_EI,'Korrigeringsfaktor EI'!I$1,FALSE),
"")</f>
        <v>484.09118333333333</v>
      </c>
      <c r="J62" s="18">
        <f>IFERROR(
                  Andel_oberoende_av_klimat*VLOOKUP($A62,Leveranser_per_nät,'Leveranser per nät'!J$1,FALSE)
               +Andel_beroende_av_klimat*VLOOKUP($A62,Leveranser_per_nät,'Leveranser per nät'!J$1,FALSE)/VLOOKUP($B62,Korrigeringsfaktor_EI,'Korrigeringsfaktor EI'!J$1,FALSE),
"")</f>
        <v>481.78571428571433</v>
      </c>
      <c r="K62" s="18">
        <f>IFERROR(
                  Andel_oberoende_av_klimat*VLOOKUP($A62,Leveranser_per_nät,'Leveranser per nät'!K$1,FALSE)
               +Andel_beroende_av_klimat*VLOOKUP($A62,Leveranser_per_nät,'Leveranser per nät'!K$1,FALSE)/VLOOKUP($B62,Korrigeringsfaktor_EI,'Korrigeringsfaktor EI'!K$1,FALSE),
"")</f>
        <v>477.89148333333333</v>
      </c>
      <c r="L62" s="18">
        <f>IFERROR(
                  Andel_oberoende_av_klimat*VLOOKUP($A62,Leveranser_per_nät,'Leveranser per nät'!L$1,FALSE)
               +Andel_beroende_av_klimat*VLOOKUP($A62,Leveranser_per_nät,'Leveranser per nät'!L$1,FALSE)/VLOOKUP($B62,Korrigeringsfaktor_EI,'Korrigeringsfaktor EI'!L$1,FALSE),
"")</f>
        <v>440.9565180088797</v>
      </c>
      <c r="M62" s="18">
        <f>IFERROR(
                  Andel_oberoende_av_klimat*VLOOKUP($A62,Leveranser_per_nät,'Leveranser per nät'!M$1,FALSE)
               +Andel_beroende_av_klimat*VLOOKUP($A62,Leveranser_per_nät,'Leveranser per nät'!M$1,FALSE)/VLOOKUP($B62,Korrigeringsfaktor_EI,'Korrigeringsfaktor EI'!M$1,FALSE),
"")</f>
        <v>536.29621538461538</v>
      </c>
      <c r="N62" s="18">
        <f>IFERROR(
                  Andel_oberoende_av_klimat*VLOOKUP($A62,Leveranser_per_nät,'Leveranser per nät'!N$1,FALSE)
               +Andel_beroende_av_klimat*VLOOKUP($A62,Leveranser_per_nät,'Leveranser per nät'!N$1,FALSE)/VLOOKUP($B62,Korrigeringsfaktor_EI,'Korrigeringsfaktor EI'!N$1,FALSE),
"")</f>
        <v>488.53043478260867</v>
      </c>
      <c r="O62" s="18">
        <f>IFERROR(
                  Andel_oberoende_av_klimat*VLOOKUP($A62,Leveranser_per_nät,'Leveranser per nät'!O$1,FALSE)
               +Andel_beroende_av_klimat*VLOOKUP($A62,Leveranser_per_nät,'Leveranser per nät'!O$1,FALSE)/VLOOKUP($B62,Korrigeringsfaktor_EI,'Korrigeringsfaktor EI'!O$1,FALSE),
"")</f>
        <v>525.09333333333325</v>
      </c>
      <c r="P62" s="18">
        <f>IFERROR(
                  Andel_oberoende_av_klimat*VLOOKUP($A62,Leveranser_per_nät,'Leveranser per nät'!P$1,FALSE)
               +Andel_beroende_av_klimat*VLOOKUP($A62,Leveranser_per_nät,'Leveranser per nät'!P$1,FALSE)/VLOOKUP($B62,Korrigeringsfaktor_EI,'Korrigeringsfaktor EI'!P$1,FALSE),
"")</f>
        <v>482.78208333333339</v>
      </c>
      <c r="Q62" s="18">
        <f>IFERROR(
                  Andel_oberoende_av_klimat*VLOOKUP($A62,Leveranser_per_nät,'Leveranser per nät'!Q$1,FALSE)
               +Andel_beroende_av_klimat*VLOOKUP($A62,Leveranser_per_nät,'Leveranser per nät'!Q$1,FALSE)/VLOOKUP($B62,Korrigeringsfaktor_EI,'Korrigeringsfaktor EI'!Q$1,FALSE),
"")</f>
        <v>498.01999999999987</v>
      </c>
      <c r="R62" s="18">
        <f>IFERROR(
                  Andel_oberoende_av_klimat*VLOOKUP($A62,Leveranser_per_nät,'Leveranser per nät'!R$1,FALSE)
               +Andel_beroende_av_klimat*VLOOKUP($A62,Leveranser_per_nät,'Leveranser per nät'!R$1,FALSE)/VLOOKUP($B62,Korrigeringsfaktor_EI,'Korrigeringsfaktor EI'!R$1,FALSE),
"")</f>
        <v>481.36769230769232</v>
      </c>
      <c r="S62" s="18">
        <f>IFERROR(
                  Andel_oberoende_av_klimat*VLOOKUP($A62,Leveranser_per_nät,'Leveranser per nät'!S$1,FALSE)
               +Andel_beroende_av_klimat*VLOOKUP($A62,Leveranser_per_nät,'Leveranser per nät'!S$1,FALSE)/VLOOKUP($B62,Korrigeringsfaktor_EI,'Korrigeringsfaktor EI'!S$1,FALSE),
"")</f>
        <v>484</v>
      </c>
      <c r="T62" s="18">
        <f>IFERROR(
                  Andel_oberoende_av_klimat*VLOOKUP($A62,Leveranser_per_nät,'Leveranser per nät'!T$1,FALSE)
               +Andel_beroende_av_klimat*VLOOKUP($A62,Leveranser_per_nät,'Leveranser per nät'!T$1,FALSE)/VLOOKUP($B62,Korrigeringsfaktor_EI,'Korrigeringsfaktor EI'!T$1,FALSE),
"")</f>
        <v>500.70142105263164</v>
      </c>
      <c r="U62" s="18">
        <f>IFERROR(
                  Andel_oberoende_av_klimat*VLOOKUP($A62,Leveranser_per_nät,'Leveranser per nät'!U$1,FALSE)
               +Andel_beroende_av_klimat*VLOOKUP($A62,Leveranser_per_nät,'Leveranser per nät'!U$1,FALSE)/VLOOKUP($B62,Korrigeringsfaktor_EI,'Korrigeringsfaktor EI'!U$1,FALSE),
"")</f>
        <v>487.04777777777781</v>
      </c>
      <c r="V62" s="18">
        <f>IFERROR(
                  Andel_oberoende_av_klimat*VLOOKUP($A62,Leveranser_per_nät,'Leveranser per nät'!V$1,FALSE)
               +Andel_beroende_av_klimat*VLOOKUP($A62,Leveranser_per_nät,'Leveranser per nät'!V$1,FALSE)/VLOOKUP($B62,Korrigeringsfaktor_EI,'Korrigeringsfaktor EI'!V$1,FALSE),
"")</f>
        <v>485.23842696629214</v>
      </c>
      <c r="W62" s="18">
        <f>IFERROR(
                  Andel_oberoende_av_klimat*VLOOKUP($A62,Leveranser_per_nät,'Leveranser per nät'!W$1,FALSE)
               +Andel_beroende_av_klimat*VLOOKUP($A62,Leveranser_per_nät,'Leveranser per nät'!W$1,FALSE)/VLOOKUP($B62,Korrigeringsfaktor_EI,'Korrigeringsfaktor EI'!W$1,FALSE),
"")</f>
        <v>506.31060869565215</v>
      </c>
      <c r="X62" s="18">
        <f>IFERROR(
                  Andel_oberoende_av_klimat*VLOOKUP($A62,Leveranser_per_nät,'Leveranser per nät'!X$1,FALSE)
               +Andel_beroende_av_klimat*VLOOKUP($A62,Leveranser_per_nät,'Leveranser per nät'!X$1,FALSE)/VLOOKUP($B62,Korrigeringsfaktor_EI,'Korrigeringsfaktor EI'!X$1,FALSE),
"")</f>
        <v>511.41307692307691</v>
      </c>
      <c r="Y62" s="18">
        <f>IFERROR(
                  Andel_oberoende_av_klimat*VLOOKUP($A62,Leveranser_per_nät,'Leveranser per nät'!Y$1,FALSE)
               +Andel_beroende_av_klimat*VLOOKUP($A62,Leveranser_per_nät,'Leveranser per nät'!Y$1,FALSE)/VLOOKUP($B62,Korrigeringsfaktor_EI,'Korrigeringsfaktor EI'!Y$1,FALSE),
"")</f>
        <v>508.32473707865176</v>
      </c>
      <c r="Z62" s="18">
        <f>IFERROR(
                  Andel_oberoende_av_klimat*VLOOKUP($A62,Leveranser_per_nät,'Leveranser per nät'!Z$1,FALSE)
               +Andel_beroende_av_klimat*VLOOKUP($A62,Leveranser_per_nät,'Leveranser per nät'!Z$1,FALSE)/VLOOKUP($B62,Korrigeringsfaktor_EI,'Korrigeringsfaktor EI'!Z$1,FALSE),
"")</f>
        <v>495.67236818181817</v>
      </c>
      <c r="AA62" s="18">
        <f>IFERROR(
                  Andel_oberoende_av_klimat*VLOOKUP($A62,Leveranser_per_nät,'Leveranser per nät'!AA$1,FALSE)
               +Andel_beroende_av_klimat*VLOOKUP($A62,Leveranser_per_nät,'Leveranser per nät'!AA$1,FALSE)/VLOOKUP($B62,Korrigeringsfaktor_EI,'Korrigeringsfaktor EI'!AA$1,FALSE),
"")</f>
        <v>485.01486886843531</v>
      </c>
      <c r="AB62" s="18">
        <f>IFERROR(
                  Andel_oberoende_av_klimat*VLOOKUP($A62,Leveranser_per_nät,'Leveranser per nät'!AB$1,FALSE)
               +Andel_beroende_av_klimat*VLOOKUP($A62,Leveranser_per_nät,'Leveranser per nät'!AB$1,FALSE)/VLOOKUP($B62,Korrigeringsfaktor_EI,'Korrigeringsfaktor EI'!AB$1,FALSE),
"")</f>
        <v>472.06975892828677</v>
      </c>
      <c r="AC62" s="18">
        <f>IFERROR(
                  Andel_oberoende_av_klimat*VLOOKUP($A62,Leveranser_per_nät,'Leveranser per nät'!AC$1,FALSE)
               +Andel_beroende_av_klimat*VLOOKUP($A62,Leveranser_per_nät,'Leveranser per nät'!AC$1,FALSE)/VLOOKUP($B62,Korrigeringsfaktor_EI,'Korrigeringsfaktor EI'!AC$1,FALSE),
"")</f>
        <v>466.42727568710359</v>
      </c>
      <c r="AD62" t="e">
        <v>#N/A</v>
      </c>
    </row>
    <row r="63" spans="1:30" x14ac:dyDescent="0.25">
      <c r="A63" t="s">
        <v>396</v>
      </c>
      <c r="B63" t="s">
        <v>157</v>
      </c>
      <c r="C63" s="18">
        <f>IFERROR(
                  Andel_oberoende_av_klimat*VLOOKUP($A63,Leveranser_per_nät,'Leveranser per nät'!C$1,FALSE)
               +Andel_beroende_av_klimat*VLOOKUP($A63,Leveranser_per_nät,'Leveranser per nät'!C$1,FALSE)/VLOOKUP($B63,Korrigeringsfaktor_EI,'Korrigeringsfaktor EI'!C$1,FALSE),
"")</f>
        <v>0</v>
      </c>
      <c r="D63" s="18">
        <f>IFERROR(
                  Andel_oberoende_av_klimat*VLOOKUP($A63,Leveranser_per_nät,'Leveranser per nät'!D$1,FALSE)
               +Andel_beroende_av_klimat*VLOOKUP($A63,Leveranser_per_nät,'Leveranser per nät'!D$1,FALSE)/VLOOKUP($B63,Korrigeringsfaktor_EI,'Korrigeringsfaktor EI'!D$1,FALSE),
"")</f>
        <v>0</v>
      </c>
      <c r="E63" s="18">
        <f>IFERROR(
                  Andel_oberoende_av_klimat*VLOOKUP($A63,Leveranser_per_nät,'Leveranser per nät'!E$1,FALSE)
               +Andel_beroende_av_klimat*VLOOKUP($A63,Leveranser_per_nät,'Leveranser per nät'!E$1,FALSE)/VLOOKUP($B63,Korrigeringsfaktor_EI,'Korrigeringsfaktor EI'!E$1,FALSE),
"")</f>
        <v>0</v>
      </c>
      <c r="F63" s="18">
        <f>IFERROR(
                  Andel_oberoende_av_klimat*VLOOKUP($A63,Leveranser_per_nät,'Leveranser per nät'!F$1,FALSE)
               +Andel_beroende_av_klimat*VLOOKUP($A63,Leveranser_per_nät,'Leveranser per nät'!F$1,FALSE)/VLOOKUP($B63,Korrigeringsfaktor_EI,'Korrigeringsfaktor EI'!F$1,FALSE),
"")</f>
        <v>0</v>
      </c>
      <c r="G63" s="18">
        <f>IFERROR(
                  Andel_oberoende_av_klimat*VLOOKUP($A63,Leveranser_per_nät,'Leveranser per nät'!G$1,FALSE)
               +Andel_beroende_av_klimat*VLOOKUP($A63,Leveranser_per_nät,'Leveranser per nät'!G$1,FALSE)/VLOOKUP($B63,Korrigeringsfaktor_EI,'Korrigeringsfaktor EI'!G$1,FALSE),
"")</f>
        <v>0</v>
      </c>
      <c r="H63" s="18">
        <f>IFERROR(
                  Andel_oberoende_av_klimat*VLOOKUP($A63,Leveranser_per_nät,'Leveranser per nät'!H$1,FALSE)
               +Andel_beroende_av_klimat*VLOOKUP($A63,Leveranser_per_nät,'Leveranser per nät'!H$1,FALSE)/VLOOKUP($B63,Korrigeringsfaktor_EI,'Korrigeringsfaktor EI'!H$1,FALSE),
"")</f>
        <v>0</v>
      </c>
      <c r="I63" s="18">
        <f>IFERROR(
                  Andel_oberoende_av_klimat*VLOOKUP($A63,Leveranser_per_nät,'Leveranser per nät'!I$1,FALSE)
               +Andel_beroende_av_klimat*VLOOKUP($A63,Leveranser_per_nät,'Leveranser per nät'!I$1,FALSE)/VLOOKUP($B63,Korrigeringsfaktor_EI,'Korrigeringsfaktor EI'!I$1,FALSE),
"")</f>
        <v>0</v>
      </c>
      <c r="J63" s="18">
        <f>IFERROR(
                  Andel_oberoende_av_klimat*VLOOKUP($A63,Leveranser_per_nät,'Leveranser per nät'!J$1,FALSE)
               +Andel_beroende_av_klimat*VLOOKUP($A63,Leveranser_per_nät,'Leveranser per nät'!J$1,FALSE)/VLOOKUP($B63,Korrigeringsfaktor_EI,'Korrigeringsfaktor EI'!J$1,FALSE),
"")</f>
        <v>0</v>
      </c>
      <c r="K63" s="18">
        <f>IFERROR(
                  Andel_oberoende_av_klimat*VLOOKUP($A63,Leveranser_per_nät,'Leveranser per nät'!K$1,FALSE)
               +Andel_beroende_av_klimat*VLOOKUP($A63,Leveranser_per_nät,'Leveranser per nät'!K$1,FALSE)/VLOOKUP($B63,Korrigeringsfaktor_EI,'Korrigeringsfaktor EI'!K$1,FALSE),
"")</f>
        <v>0</v>
      </c>
      <c r="L63" s="18">
        <f>IFERROR(
                  Andel_oberoende_av_klimat*VLOOKUP($A63,Leveranser_per_nät,'Leveranser per nät'!L$1,FALSE)
               +Andel_beroende_av_klimat*VLOOKUP($A63,Leveranser_per_nät,'Leveranser per nät'!L$1,FALSE)/VLOOKUP($B63,Korrigeringsfaktor_EI,'Korrigeringsfaktor EI'!L$1,FALSE),
"")</f>
        <v>3.4828188172043011</v>
      </c>
      <c r="M63" s="18">
        <f>IFERROR(
                  Andel_oberoende_av_klimat*VLOOKUP($A63,Leveranser_per_nät,'Leveranser per nät'!M$1,FALSE)
               +Andel_beroende_av_klimat*VLOOKUP($A63,Leveranser_per_nät,'Leveranser per nät'!M$1,FALSE)/VLOOKUP($B63,Korrigeringsfaktor_EI,'Korrigeringsfaktor EI'!M$1,FALSE),
"")</f>
        <v>0</v>
      </c>
      <c r="N63" s="18">
        <f>IFERROR(
                  Andel_oberoende_av_klimat*VLOOKUP($A63,Leveranser_per_nät,'Leveranser per nät'!N$1,FALSE)
               +Andel_beroende_av_klimat*VLOOKUP($A63,Leveranser_per_nät,'Leveranser per nät'!N$1,FALSE)/VLOOKUP($B63,Korrigeringsfaktor_EI,'Korrigeringsfaktor EI'!N$1,FALSE),
"")</f>
        <v>0</v>
      </c>
      <c r="O63" s="18">
        <f>IFERROR(
                  Andel_oberoende_av_klimat*VLOOKUP($A63,Leveranser_per_nät,'Leveranser per nät'!O$1,FALSE)
               +Andel_beroende_av_klimat*VLOOKUP($A63,Leveranser_per_nät,'Leveranser per nät'!O$1,FALSE)/VLOOKUP($B63,Korrigeringsfaktor_EI,'Korrigeringsfaktor EI'!O$1,FALSE),
"")</f>
        <v>0</v>
      </c>
      <c r="P63" s="18">
        <f>IFERROR(
                  Andel_oberoende_av_klimat*VLOOKUP($A63,Leveranser_per_nät,'Leveranser per nät'!P$1,FALSE)
               +Andel_beroende_av_klimat*VLOOKUP($A63,Leveranser_per_nät,'Leveranser per nät'!P$1,FALSE)/VLOOKUP($B63,Korrigeringsfaktor_EI,'Korrigeringsfaktor EI'!P$1,FALSE),
"")</f>
        <v>0</v>
      </c>
      <c r="Q63" s="18">
        <f>IFERROR(
                  Andel_oberoende_av_klimat*VLOOKUP($A63,Leveranser_per_nät,'Leveranser per nät'!Q$1,FALSE)
               +Andel_beroende_av_klimat*VLOOKUP($A63,Leveranser_per_nät,'Leveranser per nät'!Q$1,FALSE)/VLOOKUP($B63,Korrigeringsfaktor_EI,'Korrigeringsfaktor EI'!Q$1,FALSE),
"")</f>
        <v>0</v>
      </c>
      <c r="R63" s="18">
        <f>IFERROR(
                  Andel_oberoende_av_klimat*VLOOKUP($A63,Leveranser_per_nät,'Leveranser per nät'!R$1,FALSE)
               +Andel_beroende_av_klimat*VLOOKUP($A63,Leveranser_per_nät,'Leveranser per nät'!R$1,FALSE)/VLOOKUP($B63,Korrigeringsfaktor_EI,'Korrigeringsfaktor EI'!R$1,FALSE),
"")</f>
        <v>0</v>
      </c>
      <c r="S63" s="18" t="str">
        <f>IFERROR(
                  Andel_oberoende_av_klimat*VLOOKUP($A63,Leveranser_per_nät,'Leveranser per nät'!S$1,FALSE)
               +Andel_beroende_av_klimat*VLOOKUP($A63,Leveranser_per_nät,'Leveranser per nät'!S$1,FALSE)/VLOOKUP($B63,Korrigeringsfaktor_EI,'Korrigeringsfaktor EI'!S$1,FALSE),
"")</f>
        <v/>
      </c>
      <c r="T63" s="18" t="str">
        <f>IFERROR(
                  Andel_oberoende_av_klimat*VLOOKUP($A63,Leveranser_per_nät,'Leveranser per nät'!T$1,FALSE)
               +Andel_beroende_av_klimat*VLOOKUP($A63,Leveranser_per_nät,'Leveranser per nät'!T$1,FALSE)/VLOOKUP($B63,Korrigeringsfaktor_EI,'Korrigeringsfaktor EI'!T$1,FALSE),
"")</f>
        <v/>
      </c>
      <c r="U63" s="18" t="str">
        <f>IFERROR(
                  Andel_oberoende_av_klimat*VLOOKUP($A63,Leveranser_per_nät,'Leveranser per nät'!U$1,FALSE)
               +Andel_beroende_av_klimat*VLOOKUP($A63,Leveranser_per_nät,'Leveranser per nät'!U$1,FALSE)/VLOOKUP($B63,Korrigeringsfaktor_EI,'Korrigeringsfaktor EI'!U$1,FALSE),
"")</f>
        <v/>
      </c>
      <c r="V63" s="18" t="str">
        <f>IFERROR(
                  Andel_oberoende_av_klimat*VLOOKUP($A63,Leveranser_per_nät,'Leveranser per nät'!V$1,FALSE)
               +Andel_beroende_av_klimat*VLOOKUP($A63,Leveranser_per_nät,'Leveranser per nät'!V$1,FALSE)/VLOOKUP($B63,Korrigeringsfaktor_EI,'Korrigeringsfaktor EI'!V$1,FALSE),
"")</f>
        <v/>
      </c>
      <c r="W63" s="18" t="str">
        <f>IFERROR(
                  Andel_oberoende_av_klimat*VLOOKUP($A63,Leveranser_per_nät,'Leveranser per nät'!W$1,FALSE)
               +Andel_beroende_av_klimat*VLOOKUP($A63,Leveranser_per_nät,'Leveranser per nät'!W$1,FALSE)/VLOOKUP($B63,Korrigeringsfaktor_EI,'Korrigeringsfaktor EI'!W$1,FALSE),
"")</f>
        <v/>
      </c>
      <c r="X63" s="18" t="str">
        <f>IFERROR(
                  Andel_oberoende_av_klimat*VLOOKUP($A63,Leveranser_per_nät,'Leveranser per nät'!X$1,FALSE)
               +Andel_beroende_av_klimat*VLOOKUP($A63,Leveranser_per_nät,'Leveranser per nät'!X$1,FALSE)/VLOOKUP($B63,Korrigeringsfaktor_EI,'Korrigeringsfaktor EI'!X$1,FALSE),
"")</f>
        <v/>
      </c>
      <c r="Y63" s="18" t="str">
        <f>IFERROR(
                  Andel_oberoende_av_klimat*VLOOKUP($A63,Leveranser_per_nät,'Leveranser per nät'!Y$1,FALSE)
               +Andel_beroende_av_klimat*VLOOKUP($A63,Leveranser_per_nät,'Leveranser per nät'!Y$1,FALSE)/VLOOKUP($B63,Korrigeringsfaktor_EI,'Korrigeringsfaktor EI'!Y$1,FALSE),
"")</f>
        <v/>
      </c>
      <c r="Z63" s="18">
        <f>IFERROR(
                  Andel_oberoende_av_klimat*VLOOKUP($A63,Leveranser_per_nät,'Leveranser per nät'!Z$1,FALSE)
               +Andel_beroende_av_klimat*VLOOKUP($A63,Leveranser_per_nät,'Leveranser per nät'!Z$1,FALSE)/VLOOKUP($B63,Korrigeringsfaktor_EI,'Korrigeringsfaktor EI'!Z$1,FALSE),
"")</f>
        <v>0</v>
      </c>
      <c r="AA63" s="18" t="str">
        <f>IFERROR(
                  Andel_oberoende_av_klimat*VLOOKUP($A63,Leveranser_per_nät,'Leveranser per nät'!AA$1,FALSE)
               +Andel_beroende_av_klimat*VLOOKUP($A63,Leveranser_per_nät,'Leveranser per nät'!AA$1,FALSE)/VLOOKUP($B63,Korrigeringsfaktor_EI,'Korrigeringsfaktor EI'!AA$1,FALSE),
"")</f>
        <v/>
      </c>
      <c r="AB63" s="18">
        <f>IFERROR(
                  Andel_oberoende_av_klimat*VLOOKUP($A63,Leveranser_per_nät,'Leveranser per nät'!AB$1,FALSE)
               +Andel_beroende_av_klimat*VLOOKUP($A63,Leveranser_per_nät,'Leveranser per nät'!AB$1,FALSE)/VLOOKUP($B63,Korrigeringsfaktor_EI,'Korrigeringsfaktor EI'!AB$1,FALSE),
"")</f>
        <v>0</v>
      </c>
      <c r="AC63" s="18">
        <f>IFERROR(
                  Andel_oberoende_av_klimat*VLOOKUP($A63,Leveranser_per_nät,'Leveranser per nät'!AC$1,FALSE)
               +Andel_beroende_av_klimat*VLOOKUP($A63,Leveranser_per_nät,'Leveranser per nät'!AC$1,FALSE)/VLOOKUP($B63,Korrigeringsfaktor_EI,'Korrigeringsfaktor EI'!AC$1,FALSE),
"")</f>
        <v>4.952</v>
      </c>
      <c r="AD63">
        <v>524.17999999999995</v>
      </c>
    </row>
    <row r="64" spans="1:30" x14ac:dyDescent="0.25">
      <c r="A64" t="s">
        <v>179</v>
      </c>
      <c r="B64" t="s">
        <v>520</v>
      </c>
      <c r="C64" s="18">
        <f>IFERROR(
                  Andel_oberoende_av_klimat*VLOOKUP($A64,Leveranser_per_nät,'Leveranser per nät'!C$1,FALSE)
               +Andel_beroende_av_klimat*VLOOKUP($A64,Leveranser_per_nät,'Leveranser per nät'!C$1,FALSE)/VLOOKUP($B64,Korrigeringsfaktor_EI,'Korrigeringsfaktor EI'!C$1,FALSE),
"")</f>
        <v>0</v>
      </c>
      <c r="D64" s="18">
        <f>IFERROR(
                  Andel_oberoende_av_klimat*VLOOKUP($A64,Leveranser_per_nät,'Leveranser per nät'!D$1,FALSE)
               +Andel_beroende_av_klimat*VLOOKUP($A64,Leveranser_per_nät,'Leveranser per nät'!D$1,FALSE)/VLOOKUP($B64,Korrigeringsfaktor_EI,'Korrigeringsfaktor EI'!D$1,FALSE),
"")</f>
        <v>0</v>
      </c>
      <c r="E64" s="18">
        <f>IFERROR(
                  Andel_oberoende_av_klimat*VLOOKUP($A64,Leveranser_per_nät,'Leveranser per nät'!E$1,FALSE)
               +Andel_beroende_av_klimat*VLOOKUP($A64,Leveranser_per_nät,'Leveranser per nät'!E$1,FALSE)/VLOOKUP($B64,Korrigeringsfaktor_EI,'Korrigeringsfaktor EI'!E$1,FALSE),
"")</f>
        <v>0</v>
      </c>
      <c r="F64" s="18">
        <f>IFERROR(
                  Andel_oberoende_av_klimat*VLOOKUP($A64,Leveranser_per_nät,'Leveranser per nät'!F$1,FALSE)
               +Andel_beroende_av_klimat*VLOOKUP($A64,Leveranser_per_nät,'Leveranser per nät'!F$1,FALSE)/VLOOKUP($B64,Korrigeringsfaktor_EI,'Korrigeringsfaktor EI'!F$1,FALSE),
"")</f>
        <v>0</v>
      </c>
      <c r="G64" s="18">
        <f>IFERROR(
                  Andel_oberoende_av_klimat*VLOOKUP($A64,Leveranser_per_nät,'Leveranser per nät'!G$1,FALSE)
               +Andel_beroende_av_klimat*VLOOKUP($A64,Leveranser_per_nät,'Leveranser per nät'!G$1,FALSE)/VLOOKUP($B64,Korrigeringsfaktor_EI,'Korrigeringsfaktor EI'!G$1,FALSE),
"")</f>
        <v>0</v>
      </c>
      <c r="H64" s="18">
        <f>IFERROR(
                  Andel_oberoende_av_klimat*VLOOKUP($A64,Leveranser_per_nät,'Leveranser per nät'!H$1,FALSE)
               +Andel_beroende_av_klimat*VLOOKUP($A64,Leveranser_per_nät,'Leveranser per nät'!H$1,FALSE)/VLOOKUP($B64,Korrigeringsfaktor_EI,'Korrigeringsfaktor EI'!H$1,FALSE),
"")</f>
        <v>0</v>
      </c>
      <c r="I64" s="18">
        <f>IFERROR(
                  Andel_oberoende_av_klimat*VLOOKUP($A64,Leveranser_per_nät,'Leveranser per nät'!I$1,FALSE)
               +Andel_beroende_av_klimat*VLOOKUP($A64,Leveranser_per_nät,'Leveranser per nät'!I$1,FALSE)/VLOOKUP($B64,Korrigeringsfaktor_EI,'Korrigeringsfaktor EI'!I$1,FALSE),
"")</f>
        <v>0</v>
      </c>
      <c r="J64" s="18">
        <f>IFERROR(
                  Andel_oberoende_av_klimat*VLOOKUP($A64,Leveranser_per_nät,'Leveranser per nät'!J$1,FALSE)
               +Andel_beroende_av_klimat*VLOOKUP($A64,Leveranser_per_nät,'Leveranser per nät'!J$1,FALSE)/VLOOKUP($B64,Korrigeringsfaktor_EI,'Korrigeringsfaktor EI'!J$1,FALSE),
"")</f>
        <v>0</v>
      </c>
      <c r="K64" s="18">
        <f>IFERROR(
                  Andel_oberoende_av_klimat*VLOOKUP($A64,Leveranser_per_nät,'Leveranser per nät'!K$1,FALSE)
               +Andel_beroende_av_klimat*VLOOKUP($A64,Leveranser_per_nät,'Leveranser per nät'!K$1,FALSE)/VLOOKUP($B64,Korrigeringsfaktor_EI,'Korrigeringsfaktor EI'!K$1,FALSE),
"")</f>
        <v>0</v>
      </c>
      <c r="L64" s="18">
        <f>IFERROR(
                  Andel_oberoende_av_klimat*VLOOKUP($A64,Leveranser_per_nät,'Leveranser per nät'!L$1,FALSE)
               +Andel_beroende_av_klimat*VLOOKUP($A64,Leveranser_per_nät,'Leveranser per nät'!L$1,FALSE)/VLOOKUP($B64,Korrigeringsfaktor_EI,'Korrigeringsfaktor EI'!L$1,FALSE),
"")</f>
        <v>0</v>
      </c>
      <c r="M64" s="18">
        <f>IFERROR(
                  Andel_oberoende_av_klimat*VLOOKUP($A64,Leveranser_per_nät,'Leveranser per nät'!M$1,FALSE)
               +Andel_beroende_av_klimat*VLOOKUP($A64,Leveranser_per_nät,'Leveranser per nät'!M$1,FALSE)/VLOOKUP($B64,Korrigeringsfaktor_EI,'Korrigeringsfaktor EI'!M$1,FALSE),
"")</f>
        <v>7.1767826086956514</v>
      </c>
      <c r="N64" s="18">
        <f>IFERROR(
                  Andel_oberoende_av_klimat*VLOOKUP($A64,Leveranser_per_nät,'Leveranser per nät'!N$1,FALSE)
               +Andel_beroende_av_klimat*VLOOKUP($A64,Leveranser_per_nät,'Leveranser per nät'!N$1,FALSE)/VLOOKUP($B64,Korrigeringsfaktor_EI,'Korrigeringsfaktor EI'!N$1,FALSE),
"")</f>
        <v>7.1767826086956514</v>
      </c>
      <c r="O64" s="18">
        <f>IFERROR(
                  Andel_oberoende_av_klimat*VLOOKUP($A64,Leveranser_per_nät,'Leveranser per nät'!O$1,FALSE)
               +Andel_beroende_av_klimat*VLOOKUP($A64,Leveranser_per_nät,'Leveranser per nät'!O$1,FALSE)/VLOOKUP($B64,Korrigeringsfaktor_EI,'Korrigeringsfaktor EI'!O$1,FALSE),
"")</f>
        <v>7.6737777777777767</v>
      </c>
      <c r="P64" s="18">
        <f>IFERROR(
                  Andel_oberoende_av_klimat*VLOOKUP($A64,Leveranser_per_nät,'Leveranser per nät'!P$1,FALSE)
               +Andel_beroende_av_klimat*VLOOKUP($A64,Leveranser_per_nät,'Leveranser per nät'!P$1,FALSE)/VLOOKUP($B64,Korrigeringsfaktor_EI,'Korrigeringsfaktor EI'!P$1,FALSE),
"")</f>
        <v>7.6930208333333319</v>
      </c>
      <c r="Q64" s="18">
        <f>IFERROR(
                  Andel_oberoende_av_klimat*VLOOKUP($A64,Leveranser_per_nät,'Leveranser per nät'!Q$1,FALSE)
               +Andel_beroende_av_klimat*VLOOKUP($A64,Leveranser_per_nät,'Leveranser per nät'!Q$1,FALSE)/VLOOKUP($B64,Korrigeringsfaktor_EI,'Korrigeringsfaktor EI'!Q$1,FALSE),
"")</f>
        <v>7.8163666666666654</v>
      </c>
      <c r="R64" s="18">
        <f>IFERROR(
                  Andel_oberoende_av_klimat*VLOOKUP($A64,Leveranser_per_nät,'Leveranser per nät'!R$1,FALSE)
               +Andel_beroende_av_klimat*VLOOKUP($A64,Leveranser_per_nät,'Leveranser per nät'!R$1,FALSE)/VLOOKUP($B64,Korrigeringsfaktor_EI,'Korrigeringsfaktor EI'!R$1,FALSE),
"")</f>
        <v>7.6543777777777784</v>
      </c>
      <c r="S64" s="18">
        <f>IFERROR(
                  Andel_oberoende_av_klimat*VLOOKUP($A64,Leveranser_per_nät,'Leveranser per nät'!S$1,FALSE)
               +Andel_beroende_av_klimat*VLOOKUP($A64,Leveranser_per_nät,'Leveranser per nät'!S$1,FALSE)/VLOOKUP($B64,Korrigeringsfaktor_EI,'Korrigeringsfaktor EI'!S$1,FALSE),
"")</f>
        <v>7.4825353535353534</v>
      </c>
      <c r="T64" s="18">
        <f>IFERROR(
                  Andel_oberoende_av_klimat*VLOOKUP($A64,Leveranser_per_nät,'Leveranser per nät'!T$1,FALSE)
               +Andel_beroende_av_klimat*VLOOKUP($A64,Leveranser_per_nät,'Leveranser per nät'!T$1,FALSE)/VLOOKUP($B64,Korrigeringsfaktor_EI,'Korrigeringsfaktor EI'!T$1,FALSE),
"")</f>
        <v>7.7228666666666665</v>
      </c>
      <c r="U64" s="18">
        <f>IFERROR(
                  Andel_oberoende_av_klimat*VLOOKUP($A64,Leveranser_per_nät,'Leveranser per nät'!U$1,FALSE)
               +Andel_beroende_av_klimat*VLOOKUP($A64,Leveranser_per_nät,'Leveranser per nät'!U$1,FALSE)/VLOOKUP($B64,Korrigeringsfaktor_EI,'Korrigeringsfaktor EI'!U$1,FALSE),
"")</f>
        <v>7.4748126436781615</v>
      </c>
      <c r="V64" s="18">
        <f>IFERROR(
                  Andel_oberoende_av_klimat*VLOOKUP($A64,Leveranser_per_nät,'Leveranser per nät'!V$1,FALSE)
               +Andel_beroende_av_klimat*VLOOKUP($A64,Leveranser_per_nät,'Leveranser per nät'!V$1,FALSE)/VLOOKUP($B64,Korrigeringsfaktor_EI,'Korrigeringsfaktor EI'!V$1,FALSE),
"")</f>
        <v>7.4846153846153847</v>
      </c>
      <c r="W64" s="18">
        <f>IFERROR(
                  Andel_oberoende_av_klimat*VLOOKUP($A64,Leveranser_per_nät,'Leveranser per nät'!W$1,FALSE)
               +Andel_beroende_av_klimat*VLOOKUP($A64,Leveranser_per_nät,'Leveranser per nät'!W$1,FALSE)/VLOOKUP($B64,Korrigeringsfaktor_EI,'Korrigeringsfaktor EI'!W$1,FALSE),
"")</f>
        <v>7.7576526315789476</v>
      </c>
      <c r="X64" s="18">
        <f>IFERROR(
                  Andel_oberoende_av_klimat*VLOOKUP($A64,Leveranser_per_nät,'Leveranser per nät'!X$1,FALSE)
               +Andel_beroende_av_klimat*VLOOKUP($A64,Leveranser_per_nät,'Leveranser per nät'!X$1,FALSE)/VLOOKUP($B64,Korrigeringsfaktor_EI,'Korrigeringsfaktor EI'!X$1,FALSE),
"")</f>
        <v>7.5540833333333346</v>
      </c>
      <c r="Y64" s="18">
        <f>IFERROR(
                  Andel_oberoende_av_klimat*VLOOKUP($A64,Leveranser_per_nät,'Leveranser per nät'!Y$1,FALSE)
               +Andel_beroende_av_klimat*VLOOKUP($A64,Leveranser_per_nät,'Leveranser per nät'!Y$1,FALSE)/VLOOKUP($B64,Korrigeringsfaktor_EI,'Korrigeringsfaktor EI'!Y$1,FALSE),
"")</f>
        <v>7.4048695652173917</v>
      </c>
      <c r="Z64" s="18">
        <f>IFERROR(
                  Andel_oberoende_av_klimat*VLOOKUP($A64,Leveranser_per_nät,'Leveranser per nät'!Z$1,FALSE)
               +Andel_beroende_av_klimat*VLOOKUP($A64,Leveranser_per_nät,'Leveranser per nät'!Z$1,FALSE)/VLOOKUP($B64,Korrigeringsfaktor_EI,'Korrigeringsfaktor EI'!Z$1,FALSE),
"")</f>
        <v>7.2214408602150542</v>
      </c>
      <c r="AA64" s="18">
        <f>IFERROR(
                  Andel_oberoende_av_klimat*VLOOKUP($A64,Leveranser_per_nät,'Leveranser per nät'!AA$1,FALSE)
               +Andel_beroende_av_klimat*VLOOKUP($A64,Leveranser_per_nät,'Leveranser per nät'!AA$1,FALSE)/VLOOKUP($B64,Korrigeringsfaktor_EI,'Korrigeringsfaktor EI'!AA$1,FALSE),
"")</f>
        <v>7.3768174474959611</v>
      </c>
      <c r="AB64" s="18">
        <f>IFERROR(
                  Andel_oberoende_av_klimat*VLOOKUP($A64,Leveranser_per_nät,'Leveranser per nät'!AB$1,FALSE)
               +Andel_beroende_av_klimat*VLOOKUP($A64,Leveranser_per_nät,'Leveranser per nät'!AB$1,FALSE)/VLOOKUP($B64,Korrigeringsfaktor_EI,'Korrigeringsfaktor EI'!AB$1,FALSE),
"")</f>
        <v>7.4825736894164203</v>
      </c>
      <c r="AC64" s="18">
        <f>IFERROR(
                  Andel_oberoende_av_klimat*VLOOKUP($A64,Leveranser_per_nät,'Leveranser per nät'!AC$1,FALSE)
               +Andel_beroende_av_klimat*VLOOKUP($A64,Leveranser_per_nät,'Leveranser per nät'!AC$1,FALSE)/VLOOKUP($B64,Korrigeringsfaktor_EI,'Korrigeringsfaktor EI'!AC$1,FALSE),
"")</f>
        <v>7.243555555555556</v>
      </c>
      <c r="AD64">
        <v>48.96</v>
      </c>
    </row>
    <row r="65" spans="1:30" x14ac:dyDescent="0.25">
      <c r="A65" s="3" t="s">
        <v>90</v>
      </c>
      <c r="B65" t="s">
        <v>119</v>
      </c>
      <c r="C65" s="18">
        <f>IFERROR(
                  Andel_oberoende_av_klimat*VLOOKUP($A65,Leveranser_per_nät,'Leveranser per nät'!C$1,FALSE)
               +Andel_beroende_av_klimat*VLOOKUP($A65,Leveranser_per_nät,'Leveranser per nät'!C$1,FALSE)/VLOOKUP($B65,Korrigeringsfaktor_EI,'Korrigeringsfaktor EI'!C$1,FALSE),
"")</f>
        <v>0</v>
      </c>
      <c r="D65" s="18">
        <f>IFERROR(
                  Andel_oberoende_av_klimat*VLOOKUP($A65,Leveranser_per_nät,'Leveranser per nät'!D$1,FALSE)
               +Andel_beroende_av_klimat*VLOOKUP($A65,Leveranser_per_nät,'Leveranser per nät'!D$1,FALSE)/VLOOKUP($B65,Korrigeringsfaktor_EI,'Korrigeringsfaktor EI'!D$1,FALSE),
"")</f>
        <v>0</v>
      </c>
      <c r="E65" s="18">
        <f>IFERROR(
                  Andel_oberoende_av_klimat*VLOOKUP($A65,Leveranser_per_nät,'Leveranser per nät'!E$1,FALSE)
               +Andel_beroende_av_klimat*VLOOKUP($A65,Leveranser_per_nät,'Leveranser per nät'!E$1,FALSE)/VLOOKUP($B65,Korrigeringsfaktor_EI,'Korrigeringsfaktor EI'!E$1,FALSE),
"")</f>
        <v>0</v>
      </c>
      <c r="F65" s="18">
        <f>IFERROR(
                  Andel_oberoende_av_klimat*VLOOKUP($A65,Leveranser_per_nät,'Leveranser per nät'!F$1,FALSE)
               +Andel_beroende_av_klimat*VLOOKUP($A65,Leveranser_per_nät,'Leveranser per nät'!F$1,FALSE)/VLOOKUP($B65,Korrigeringsfaktor_EI,'Korrigeringsfaktor EI'!F$1,FALSE),
"")</f>
        <v>0</v>
      </c>
      <c r="G65" s="18">
        <f>IFERROR(
                  Andel_oberoende_av_klimat*VLOOKUP($A65,Leveranser_per_nät,'Leveranser per nät'!G$1,FALSE)
               +Andel_beroende_av_klimat*VLOOKUP($A65,Leveranser_per_nät,'Leveranser per nät'!G$1,FALSE)/VLOOKUP($B65,Korrigeringsfaktor_EI,'Korrigeringsfaktor EI'!G$1,FALSE),
"")</f>
        <v>0</v>
      </c>
      <c r="H65" s="18">
        <f>IFERROR(
                  Andel_oberoende_av_klimat*VLOOKUP($A65,Leveranser_per_nät,'Leveranser per nät'!H$1,FALSE)
               +Andel_beroende_av_klimat*VLOOKUP($A65,Leveranser_per_nät,'Leveranser per nät'!H$1,FALSE)/VLOOKUP($B65,Korrigeringsfaktor_EI,'Korrigeringsfaktor EI'!H$1,FALSE),
"")</f>
        <v>0</v>
      </c>
      <c r="I65" s="18">
        <f>IFERROR(
                  Andel_oberoende_av_klimat*VLOOKUP($A65,Leveranser_per_nät,'Leveranser per nät'!I$1,FALSE)
               +Andel_beroende_av_klimat*VLOOKUP($A65,Leveranser_per_nät,'Leveranser per nät'!I$1,FALSE)/VLOOKUP($B65,Korrigeringsfaktor_EI,'Korrigeringsfaktor EI'!I$1,FALSE),
"")</f>
        <v>0</v>
      </c>
      <c r="J65" s="18">
        <f>IFERROR(
                  Andel_oberoende_av_klimat*VLOOKUP($A65,Leveranser_per_nät,'Leveranser per nät'!J$1,FALSE)
               +Andel_beroende_av_klimat*VLOOKUP($A65,Leveranser_per_nät,'Leveranser per nät'!J$1,FALSE)/VLOOKUP($B65,Korrigeringsfaktor_EI,'Korrigeringsfaktor EI'!J$1,FALSE),
"")</f>
        <v>0</v>
      </c>
      <c r="K65" s="18">
        <f>IFERROR(
                  Andel_oberoende_av_klimat*VLOOKUP($A65,Leveranser_per_nät,'Leveranser per nät'!K$1,FALSE)
               +Andel_beroende_av_klimat*VLOOKUP($A65,Leveranser_per_nät,'Leveranser per nät'!K$1,FALSE)/VLOOKUP($B65,Korrigeringsfaktor_EI,'Korrigeringsfaktor EI'!K$1,FALSE),
"")</f>
        <v>0</v>
      </c>
      <c r="L65" s="18">
        <f>IFERROR(
                  Andel_oberoende_av_klimat*VLOOKUP($A65,Leveranser_per_nät,'Leveranser per nät'!L$1,FALSE)
               +Andel_beroende_av_klimat*VLOOKUP($A65,Leveranser_per_nät,'Leveranser per nät'!L$1,FALSE)/VLOOKUP($B65,Korrigeringsfaktor_EI,'Korrigeringsfaktor EI'!L$1,FALSE),
"")</f>
        <v>0</v>
      </c>
      <c r="M65" s="18">
        <f>IFERROR(
                  Andel_oberoende_av_klimat*VLOOKUP($A65,Leveranser_per_nät,'Leveranser per nät'!M$1,FALSE)
               +Andel_beroende_av_klimat*VLOOKUP($A65,Leveranser_per_nät,'Leveranser per nät'!M$1,FALSE)/VLOOKUP($B65,Korrigeringsfaktor_EI,'Korrigeringsfaktor EI'!M$1,FALSE),
"")</f>
        <v>0</v>
      </c>
      <c r="N65" s="18">
        <f>IFERROR(
                  Andel_oberoende_av_klimat*VLOOKUP($A65,Leveranser_per_nät,'Leveranser per nät'!N$1,FALSE)
               +Andel_beroende_av_klimat*VLOOKUP($A65,Leveranser_per_nät,'Leveranser per nät'!N$1,FALSE)/VLOOKUP($B65,Korrigeringsfaktor_EI,'Korrigeringsfaktor EI'!N$1,FALSE),
"")</f>
        <v>0</v>
      </c>
      <c r="O65" s="18">
        <f>IFERROR(
                  Andel_oberoende_av_klimat*VLOOKUP($A65,Leveranser_per_nät,'Leveranser per nät'!O$1,FALSE)
               +Andel_beroende_av_klimat*VLOOKUP($A65,Leveranser_per_nät,'Leveranser per nät'!O$1,FALSE)/VLOOKUP($B65,Korrigeringsfaktor_EI,'Korrigeringsfaktor EI'!O$1,FALSE),
"")</f>
        <v>0</v>
      </c>
      <c r="P65" s="18">
        <f>IFERROR(
                  Andel_oberoende_av_klimat*VLOOKUP($A65,Leveranser_per_nät,'Leveranser per nät'!P$1,FALSE)
               +Andel_beroende_av_klimat*VLOOKUP($A65,Leveranser_per_nät,'Leveranser per nät'!P$1,FALSE)/VLOOKUP($B65,Korrigeringsfaktor_EI,'Korrigeringsfaktor EI'!P$1,FALSE),
"")</f>
        <v>0</v>
      </c>
      <c r="Q65" s="18">
        <f>IFERROR(
                  Andel_oberoende_av_klimat*VLOOKUP($A65,Leveranser_per_nät,'Leveranser per nät'!Q$1,FALSE)
               +Andel_beroende_av_klimat*VLOOKUP($A65,Leveranser_per_nät,'Leveranser per nät'!Q$1,FALSE)/VLOOKUP($B65,Korrigeringsfaktor_EI,'Korrigeringsfaktor EI'!Q$1,FALSE),
"")</f>
        <v>0</v>
      </c>
      <c r="R65" s="18">
        <f>IFERROR(
                  Andel_oberoende_av_klimat*VLOOKUP($A65,Leveranser_per_nät,'Leveranser per nät'!R$1,FALSE)
               +Andel_beroende_av_klimat*VLOOKUP($A65,Leveranser_per_nät,'Leveranser per nät'!R$1,FALSE)/VLOOKUP($B65,Korrigeringsfaktor_EI,'Korrigeringsfaktor EI'!R$1,FALSE),
"")</f>
        <v>0</v>
      </c>
      <c r="S65" s="18">
        <f>IFERROR(
                  Andel_oberoende_av_klimat*VLOOKUP($A65,Leveranser_per_nät,'Leveranser per nät'!S$1,FALSE)
               +Andel_beroende_av_klimat*VLOOKUP($A65,Leveranser_per_nät,'Leveranser per nät'!S$1,FALSE)/VLOOKUP($B65,Korrigeringsfaktor_EI,'Korrigeringsfaktor EI'!S$1,FALSE),
"")</f>
        <v>7.1</v>
      </c>
      <c r="T65" s="18">
        <f>IFERROR(
                  Andel_oberoende_av_klimat*VLOOKUP($A65,Leveranser_per_nät,'Leveranser per nät'!T$1,FALSE)
               +Andel_beroende_av_klimat*VLOOKUP($A65,Leveranser_per_nät,'Leveranser per nät'!T$1,FALSE)/VLOOKUP($B65,Korrigeringsfaktor_EI,'Korrigeringsfaktor EI'!T$1,FALSE),
"")</f>
        <v>7.88</v>
      </c>
      <c r="U65" s="18">
        <f>IFERROR(
                  Andel_oberoende_av_klimat*VLOOKUP($A65,Leveranser_per_nät,'Leveranser per nät'!U$1,FALSE)
               +Andel_beroende_av_klimat*VLOOKUP($A65,Leveranser_per_nät,'Leveranser per nät'!U$1,FALSE)/VLOOKUP($B65,Korrigeringsfaktor_EI,'Korrigeringsfaktor EI'!U$1,FALSE),
"")</f>
        <v>7.9770588235294113</v>
      </c>
      <c r="V65" s="18">
        <f>IFERROR(
                  Andel_oberoende_av_klimat*VLOOKUP($A65,Leveranser_per_nät,'Leveranser per nät'!V$1,FALSE)
               +Andel_beroende_av_klimat*VLOOKUP($A65,Leveranser_per_nät,'Leveranser per nät'!V$1,FALSE)/VLOOKUP($B65,Korrigeringsfaktor_EI,'Korrigeringsfaktor EI'!V$1,FALSE),
"")</f>
        <v>8.0614500000000007</v>
      </c>
      <c r="W65" s="18">
        <f>IFERROR(
                  Andel_oberoende_av_klimat*VLOOKUP($A65,Leveranser_per_nät,'Leveranser per nät'!W$1,FALSE)
               +Andel_beroende_av_klimat*VLOOKUP($A65,Leveranser_per_nät,'Leveranser per nät'!W$1,FALSE)/VLOOKUP($B65,Korrigeringsfaktor_EI,'Korrigeringsfaktor EI'!W$1,FALSE),
"")</f>
        <v>8.2529787234042562</v>
      </c>
      <c r="X65" s="18">
        <f>IFERROR(
                  Andel_oberoende_av_klimat*VLOOKUP($A65,Leveranser_per_nät,'Leveranser per nät'!X$1,FALSE)
               +Andel_beroende_av_klimat*VLOOKUP($A65,Leveranser_per_nät,'Leveranser per nät'!X$1,FALSE)/VLOOKUP($B65,Korrigeringsfaktor_EI,'Korrigeringsfaktor EI'!X$1,FALSE),
"")</f>
        <v>8.2529787234042562</v>
      </c>
      <c r="Y65" s="18">
        <f>IFERROR(
                  Andel_oberoende_av_klimat*VLOOKUP($A65,Leveranser_per_nät,'Leveranser per nät'!Y$1,FALSE)
               +Andel_beroende_av_klimat*VLOOKUP($A65,Leveranser_per_nät,'Leveranser per nät'!Y$1,FALSE)/VLOOKUP($B65,Korrigeringsfaktor_EI,'Korrigeringsfaktor EI'!Y$1,FALSE),
"")</f>
        <v>8.5003846153846148</v>
      </c>
      <c r="Z65" s="18">
        <f>IFERROR(
                  Andel_oberoende_av_klimat*VLOOKUP($A65,Leveranser_per_nät,'Leveranser per nät'!Z$1,FALSE)
               +Andel_beroende_av_klimat*VLOOKUP($A65,Leveranser_per_nät,'Leveranser per nät'!Z$1,FALSE)/VLOOKUP($B65,Korrigeringsfaktor_EI,'Korrigeringsfaktor EI'!Z$1,FALSE),
"")</f>
        <v>8.5538461538461537</v>
      </c>
      <c r="AA65" s="18">
        <f>IFERROR(
                  Andel_oberoende_av_klimat*VLOOKUP($A65,Leveranser_per_nät,'Leveranser per nät'!AA$1,FALSE)
               +Andel_beroende_av_klimat*VLOOKUP($A65,Leveranser_per_nät,'Leveranser per nät'!AA$1,FALSE)/VLOOKUP($B65,Korrigeringsfaktor_EI,'Korrigeringsfaktor EI'!AA$1,FALSE),
"")</f>
        <v>8.0283950617283946</v>
      </c>
      <c r="AB65" s="18">
        <f>IFERROR(
                  Andel_oberoende_av_klimat*VLOOKUP($A65,Leveranser_per_nät,'Leveranser per nät'!AB$1,FALSE)
               +Andel_beroende_av_klimat*VLOOKUP($A65,Leveranser_per_nät,'Leveranser per nät'!AB$1,FALSE)/VLOOKUP($B65,Korrigeringsfaktor_EI,'Korrigeringsfaktor EI'!AB$1,FALSE),
"")</f>
        <v>8.7149506903353071</v>
      </c>
      <c r="AC65" s="18">
        <f>IFERROR(
                  Andel_oberoende_av_klimat*VLOOKUP($A65,Leveranser_per_nät,'Leveranser per nät'!AC$1,FALSE)
               +Andel_beroende_av_klimat*VLOOKUP($A65,Leveranser_per_nät,'Leveranser per nät'!AC$1,FALSE)/VLOOKUP($B65,Korrigeringsfaktor_EI,'Korrigeringsfaktor EI'!AC$1,FALSE),
"")</f>
        <v>8.5110139534883711</v>
      </c>
      <c r="AD65">
        <v>103.6</v>
      </c>
    </row>
    <row r="66" spans="1:30" x14ac:dyDescent="0.25">
      <c r="A66" t="s">
        <v>96</v>
      </c>
      <c r="B66" t="s">
        <v>96</v>
      </c>
      <c r="C66" s="18">
        <f>IFERROR(
                  Andel_oberoende_av_klimat*VLOOKUP($A66,Leveranser_per_nät,'Leveranser per nät'!C$1,FALSE)
               +Andel_beroende_av_klimat*VLOOKUP($A66,Leveranser_per_nät,'Leveranser per nät'!C$1,FALSE)/VLOOKUP($B66,Korrigeringsfaktor_EI,'Korrigeringsfaktor EI'!C$1,FALSE),
"")</f>
        <v>16.959633027522933</v>
      </c>
      <c r="D66" s="18">
        <f>IFERROR(
                  Andel_oberoende_av_klimat*VLOOKUP($A66,Leveranser_per_nät,'Leveranser per nät'!D$1,FALSE)
               +Andel_beroende_av_klimat*VLOOKUP($A66,Leveranser_per_nät,'Leveranser per nät'!D$1,FALSE)/VLOOKUP($B66,Korrigeringsfaktor_EI,'Korrigeringsfaktor EI'!D$1,FALSE),
"")</f>
        <v>16.218428571428571</v>
      </c>
      <c r="E66" s="18">
        <f>IFERROR(
                  Andel_oberoende_av_klimat*VLOOKUP($A66,Leveranser_per_nät,'Leveranser per nät'!E$1,FALSE)
               +Andel_beroende_av_klimat*VLOOKUP($A66,Leveranser_per_nät,'Leveranser per nät'!E$1,FALSE)/VLOOKUP($B66,Korrigeringsfaktor_EI,'Korrigeringsfaktor EI'!E$1,FALSE),
"")</f>
        <v>16.882178217821782</v>
      </c>
      <c r="F66" s="18">
        <f>IFERROR(
                  Andel_oberoende_av_klimat*VLOOKUP($A66,Leveranser_per_nät,'Leveranser per nät'!F$1,FALSE)
               +Andel_beroende_av_klimat*VLOOKUP($A66,Leveranser_per_nät,'Leveranser per nät'!F$1,FALSE)/VLOOKUP($B66,Korrigeringsfaktor_EI,'Korrigeringsfaktor EI'!F$1,FALSE),
"")</f>
        <v>17</v>
      </c>
      <c r="G66" s="18">
        <f>IFERROR(
                  Andel_oberoende_av_klimat*VLOOKUP($A66,Leveranser_per_nät,'Leveranser per nät'!G$1,FALSE)
               +Andel_beroende_av_klimat*VLOOKUP($A66,Leveranser_per_nät,'Leveranser per nät'!G$1,FALSE)/VLOOKUP($B66,Korrigeringsfaktor_EI,'Korrigeringsfaktor EI'!G$1,FALSE),
"")</f>
        <v>17.759574468085106</v>
      </c>
      <c r="H66" s="18">
        <f>IFERROR(
                  Andel_oberoende_av_klimat*VLOOKUP($A66,Leveranser_per_nät,'Leveranser per nät'!H$1,FALSE)
               +Andel_beroende_av_klimat*VLOOKUP($A66,Leveranser_per_nät,'Leveranser per nät'!H$1,FALSE)/VLOOKUP($B66,Korrigeringsfaktor_EI,'Korrigeringsfaktor EI'!H$1,FALSE),
"")</f>
        <v>18.868316831683167</v>
      </c>
      <c r="I66" s="18">
        <f>IFERROR(
                  Andel_oberoende_av_klimat*VLOOKUP($A66,Leveranser_per_nät,'Leveranser per nät'!I$1,FALSE)
               +Andel_beroende_av_klimat*VLOOKUP($A66,Leveranser_per_nät,'Leveranser per nät'!I$1,FALSE)/VLOOKUP($B66,Korrigeringsfaktor_EI,'Korrigeringsfaktor EI'!I$1,FALSE),
"")</f>
        <v>20.432989690721651</v>
      </c>
      <c r="J66" s="18">
        <f>IFERROR(
                  Andel_oberoende_av_klimat*VLOOKUP($A66,Leveranser_per_nät,'Leveranser per nät'!J$1,FALSE)
               +Andel_beroende_av_klimat*VLOOKUP($A66,Leveranser_per_nät,'Leveranser per nät'!J$1,FALSE)/VLOOKUP($B66,Korrigeringsfaktor_EI,'Korrigeringsfaktor EI'!J$1,FALSE),
"")</f>
        <v>20.583333333333336</v>
      </c>
      <c r="K66" s="18">
        <f>IFERROR(
                  Andel_oberoende_av_klimat*VLOOKUP($A66,Leveranser_per_nät,'Leveranser per nät'!K$1,FALSE)
               +Andel_beroende_av_klimat*VLOOKUP($A66,Leveranser_per_nät,'Leveranser per nät'!K$1,FALSE)/VLOOKUP($B66,Korrigeringsfaktor_EI,'Korrigeringsfaktor EI'!K$1,FALSE),
"")</f>
        <v>35.808824999999999</v>
      </c>
      <c r="L66" s="18">
        <f>IFERROR(
                  Andel_oberoende_av_klimat*VLOOKUP($A66,Leveranser_per_nät,'Leveranser per nät'!L$1,FALSE)
               +Andel_beroende_av_klimat*VLOOKUP($A66,Leveranser_per_nät,'Leveranser per nät'!L$1,FALSE)/VLOOKUP($B66,Korrigeringsfaktor_EI,'Korrigeringsfaktor EI'!L$1,FALSE),
"")</f>
        <v>28.20280172653441</v>
      </c>
      <c r="M66" s="18">
        <f>IFERROR(
                  Andel_oberoende_av_klimat*VLOOKUP($A66,Leveranser_per_nät,'Leveranser per nät'!M$1,FALSE)
               +Andel_beroende_av_klimat*VLOOKUP($A66,Leveranser_per_nät,'Leveranser per nät'!M$1,FALSE)/VLOOKUP($B66,Korrigeringsfaktor_EI,'Korrigeringsfaktor EI'!M$1,FALSE),
"")</f>
        <v>31.952330434782606</v>
      </c>
      <c r="N66" s="18">
        <f>IFERROR(
                  Andel_oberoende_av_klimat*VLOOKUP($A66,Leveranser_per_nät,'Leveranser per nät'!N$1,FALSE)
               +Andel_beroende_av_klimat*VLOOKUP($A66,Leveranser_per_nät,'Leveranser per nät'!N$1,FALSE)/VLOOKUP($B66,Korrigeringsfaktor_EI,'Korrigeringsfaktor EI'!N$1,FALSE),
"")</f>
        <v>35.28618510638298</v>
      </c>
      <c r="O66" s="18">
        <f>IFERROR(
                  Andel_oberoende_av_klimat*VLOOKUP($A66,Leveranser_per_nät,'Leveranser per nät'!O$1,FALSE)
               +Andel_beroende_av_klimat*VLOOKUP($A66,Leveranser_per_nät,'Leveranser per nät'!O$1,FALSE)/VLOOKUP($B66,Korrigeringsfaktor_EI,'Korrigeringsfaktor EI'!O$1,FALSE),
"")</f>
        <v>33.867508510638295</v>
      </c>
      <c r="P66" s="18">
        <f>IFERROR(
                  Andel_oberoende_av_klimat*VLOOKUP($A66,Leveranser_per_nät,'Leveranser per nät'!P$1,FALSE)
               +Andel_beroende_av_klimat*VLOOKUP($A66,Leveranser_per_nät,'Leveranser per nät'!P$1,FALSE)/VLOOKUP($B66,Korrigeringsfaktor_EI,'Korrigeringsfaktor EI'!P$1,FALSE),
"")</f>
        <v>32.972502020202022</v>
      </c>
      <c r="Q66" s="18">
        <f>IFERROR(
                  Andel_oberoende_av_klimat*VLOOKUP($A66,Leveranser_per_nät,'Leveranser per nät'!Q$1,FALSE)
               +Andel_beroende_av_klimat*VLOOKUP($A66,Leveranser_per_nät,'Leveranser per nät'!Q$1,FALSE)/VLOOKUP($B66,Korrigeringsfaktor_EI,'Korrigeringsfaktor EI'!Q$1,FALSE),
"")</f>
        <v>35.057515044247793</v>
      </c>
      <c r="R66" s="18">
        <f>IFERROR(
                  Andel_oberoende_av_klimat*VLOOKUP($A66,Leveranser_per_nät,'Leveranser per nät'!R$1,FALSE)
               +Andel_beroende_av_klimat*VLOOKUP($A66,Leveranser_per_nät,'Leveranser per nät'!R$1,FALSE)/VLOOKUP($B66,Korrigeringsfaktor_EI,'Korrigeringsfaktor EI'!R$1,FALSE),
"")</f>
        <v>33.026991304347831</v>
      </c>
      <c r="S66" s="18">
        <f>IFERROR(
                  Andel_oberoende_av_klimat*VLOOKUP($A66,Leveranser_per_nät,'Leveranser per nät'!S$1,FALSE)
               +Andel_beroende_av_klimat*VLOOKUP($A66,Leveranser_per_nät,'Leveranser per nät'!S$1,FALSE)/VLOOKUP($B66,Korrigeringsfaktor_EI,'Korrigeringsfaktor EI'!S$1,FALSE),
"")</f>
        <v>32.771287128712871</v>
      </c>
      <c r="T66" s="18">
        <f>IFERROR(
                  Andel_oberoende_av_klimat*VLOOKUP($A66,Leveranser_per_nät,'Leveranser per nät'!T$1,FALSE)
               +Andel_beroende_av_klimat*VLOOKUP($A66,Leveranser_per_nät,'Leveranser per nät'!T$1,FALSE)/VLOOKUP($B66,Korrigeringsfaktor_EI,'Korrigeringsfaktor EI'!T$1,FALSE),
"")</f>
        <v>32.932871134020616</v>
      </c>
      <c r="U66" s="18">
        <f>IFERROR(
                  Andel_oberoende_av_klimat*VLOOKUP($A66,Leveranser_per_nät,'Leveranser per nät'!U$1,FALSE)
               +Andel_beroende_av_klimat*VLOOKUP($A66,Leveranser_per_nät,'Leveranser per nät'!U$1,FALSE)/VLOOKUP($B66,Korrigeringsfaktor_EI,'Korrigeringsfaktor EI'!U$1,FALSE),
"")</f>
        <v>31.853414606741573</v>
      </c>
      <c r="V66" s="18">
        <f>IFERROR(
                  Andel_oberoende_av_klimat*VLOOKUP($A66,Leveranser_per_nät,'Leveranser per nät'!V$1,FALSE)
               +Andel_beroende_av_klimat*VLOOKUP($A66,Leveranser_per_nät,'Leveranser per nät'!V$1,FALSE)/VLOOKUP($B66,Korrigeringsfaktor_EI,'Korrigeringsfaktor EI'!V$1,FALSE),
"")</f>
        <v>31.883373913043474</v>
      </c>
      <c r="W66" s="18">
        <f>IFERROR(
                  Andel_oberoende_av_klimat*VLOOKUP($A66,Leveranser_per_nät,'Leveranser per nät'!W$1,FALSE)
               +Andel_beroende_av_klimat*VLOOKUP($A66,Leveranser_per_nät,'Leveranser per nät'!W$1,FALSE)/VLOOKUP($B66,Korrigeringsfaktor_EI,'Korrigeringsfaktor EI'!W$1,FALSE),
"")</f>
        <v>32.776652631578948</v>
      </c>
      <c r="X66" s="18">
        <f>IFERROR(
                  Andel_oberoende_av_klimat*VLOOKUP($A66,Leveranser_per_nät,'Leveranser per nät'!X$1,FALSE)
               +Andel_beroende_av_klimat*VLOOKUP($A66,Leveranser_per_nät,'Leveranser per nät'!X$1,FALSE)/VLOOKUP($B66,Korrigeringsfaktor_EI,'Korrigeringsfaktor EI'!X$1,FALSE),
"")</f>
        <v>31.196067010309278</v>
      </c>
      <c r="Y66" s="18">
        <f>IFERROR(
                  Andel_oberoende_av_klimat*VLOOKUP($A66,Leveranser_per_nät,'Leveranser per nät'!Y$1,FALSE)
               +Andel_beroende_av_klimat*VLOOKUP($A66,Leveranser_per_nät,'Leveranser per nät'!Y$1,FALSE)/VLOOKUP($B66,Korrigeringsfaktor_EI,'Korrigeringsfaktor EI'!Y$1,FALSE),
"")</f>
        <v>33.743191489361699</v>
      </c>
      <c r="Z66" s="18">
        <f>IFERROR(
                  Andel_oberoende_av_klimat*VLOOKUP($A66,Leveranser_per_nät,'Leveranser per nät'!Z$1,FALSE)
               +Andel_beroende_av_klimat*VLOOKUP($A66,Leveranser_per_nät,'Leveranser per nät'!Z$1,FALSE)/VLOOKUP($B66,Korrigeringsfaktor_EI,'Korrigeringsfaktor EI'!Z$1,FALSE),
"")</f>
        <v>33.324274468085108</v>
      </c>
      <c r="AA66" s="18">
        <f>IFERROR(
                  Andel_oberoende_av_klimat*VLOOKUP($A66,Leveranser_per_nät,'Leveranser per nät'!AA$1,FALSE)
               +Andel_beroende_av_klimat*VLOOKUP($A66,Leveranser_per_nät,'Leveranser per nät'!AA$1,FALSE)/VLOOKUP($B66,Korrigeringsfaktor_EI,'Korrigeringsfaktor EI'!AA$1,FALSE),
"")</f>
        <v>32.700793372574665</v>
      </c>
      <c r="AB66" s="18">
        <f>IFERROR(
                  Andel_oberoende_av_klimat*VLOOKUP($A66,Leveranser_per_nät,'Leveranser per nät'!AB$1,FALSE)
               +Andel_beroende_av_klimat*VLOOKUP($A66,Leveranser_per_nät,'Leveranser per nät'!AB$1,FALSE)/VLOOKUP($B66,Korrigeringsfaktor_EI,'Korrigeringsfaktor EI'!AB$1,FALSE),
"")</f>
        <v>33.476363691073217</v>
      </c>
      <c r="AC66" s="18">
        <f>IFERROR(
                  Andel_oberoende_av_klimat*VLOOKUP($A66,Leveranser_per_nät,'Leveranser per nät'!AC$1,FALSE)
               +Andel_beroende_av_klimat*VLOOKUP($A66,Leveranser_per_nät,'Leveranser per nät'!AC$1,FALSE)/VLOOKUP($B66,Korrigeringsfaktor_EI,'Korrigeringsfaktor EI'!AC$1,FALSE),
"")</f>
        <v>32.458234042553194</v>
      </c>
      <c r="AD66">
        <v>31.07</v>
      </c>
    </row>
    <row r="67" spans="1:30" x14ac:dyDescent="0.25">
      <c r="A67" t="s">
        <v>586</v>
      </c>
      <c r="B67" t="s">
        <v>348</v>
      </c>
      <c r="C67" s="18">
        <f>IFERROR(
                  Andel_oberoende_av_klimat*VLOOKUP($A67,Leveranser_per_nät,'Leveranser per nät'!C$1,FALSE)
               +Andel_beroende_av_klimat*VLOOKUP($A67,Leveranser_per_nät,'Leveranser per nät'!C$1,FALSE)/VLOOKUP($B67,Korrigeringsfaktor_EI,'Korrigeringsfaktor EI'!C$1,FALSE),
"")</f>
        <v>0</v>
      </c>
      <c r="D67" s="18">
        <f>IFERROR(
                  Andel_oberoende_av_klimat*VLOOKUP($A67,Leveranser_per_nät,'Leveranser per nät'!D$1,FALSE)
               +Andel_beroende_av_klimat*VLOOKUP($A67,Leveranser_per_nät,'Leveranser per nät'!D$1,FALSE)/VLOOKUP($B67,Korrigeringsfaktor_EI,'Korrigeringsfaktor EI'!D$1,FALSE),
"")</f>
        <v>0</v>
      </c>
      <c r="E67" s="18">
        <f>IFERROR(
                  Andel_oberoende_av_klimat*VLOOKUP($A67,Leveranser_per_nät,'Leveranser per nät'!E$1,FALSE)
               +Andel_beroende_av_klimat*VLOOKUP($A67,Leveranser_per_nät,'Leveranser per nät'!E$1,FALSE)/VLOOKUP($B67,Korrigeringsfaktor_EI,'Korrigeringsfaktor EI'!E$1,FALSE),
"")</f>
        <v>0</v>
      </c>
      <c r="F67" s="18">
        <f>IFERROR(
                  Andel_oberoende_av_klimat*VLOOKUP($A67,Leveranser_per_nät,'Leveranser per nät'!F$1,FALSE)
               +Andel_beroende_av_klimat*VLOOKUP($A67,Leveranser_per_nät,'Leveranser per nät'!F$1,FALSE)/VLOOKUP($B67,Korrigeringsfaktor_EI,'Korrigeringsfaktor EI'!F$1,FALSE),
"")</f>
        <v>0</v>
      </c>
      <c r="G67" s="18">
        <f>IFERROR(
                  Andel_oberoende_av_klimat*VLOOKUP($A67,Leveranser_per_nät,'Leveranser per nät'!G$1,FALSE)
               +Andel_beroende_av_klimat*VLOOKUP($A67,Leveranser_per_nät,'Leveranser per nät'!G$1,FALSE)/VLOOKUP($B67,Korrigeringsfaktor_EI,'Korrigeringsfaktor EI'!G$1,FALSE),
"")</f>
        <v>0</v>
      </c>
      <c r="H67" s="18">
        <f>IFERROR(
                  Andel_oberoende_av_klimat*VLOOKUP($A67,Leveranser_per_nät,'Leveranser per nät'!H$1,FALSE)
               +Andel_beroende_av_klimat*VLOOKUP($A67,Leveranser_per_nät,'Leveranser per nät'!H$1,FALSE)/VLOOKUP($B67,Korrigeringsfaktor_EI,'Korrigeringsfaktor EI'!H$1,FALSE),
"")</f>
        <v>0</v>
      </c>
      <c r="I67" s="18">
        <f>IFERROR(
                  Andel_oberoende_av_klimat*VLOOKUP($A67,Leveranser_per_nät,'Leveranser per nät'!I$1,FALSE)
               +Andel_beroende_av_klimat*VLOOKUP($A67,Leveranser_per_nät,'Leveranser per nät'!I$1,FALSE)/VLOOKUP($B67,Korrigeringsfaktor_EI,'Korrigeringsfaktor EI'!I$1,FALSE),
"")</f>
        <v>0</v>
      </c>
      <c r="J67" s="18">
        <f>IFERROR(
                  Andel_oberoende_av_klimat*VLOOKUP($A67,Leveranser_per_nät,'Leveranser per nät'!J$1,FALSE)
               +Andel_beroende_av_klimat*VLOOKUP($A67,Leveranser_per_nät,'Leveranser per nät'!J$1,FALSE)/VLOOKUP($B67,Korrigeringsfaktor_EI,'Korrigeringsfaktor EI'!J$1,FALSE),
"")</f>
        <v>0</v>
      </c>
      <c r="K67" s="18">
        <f>IFERROR(
                  Andel_oberoende_av_klimat*VLOOKUP($A67,Leveranser_per_nät,'Leveranser per nät'!K$1,FALSE)
               +Andel_beroende_av_klimat*VLOOKUP($A67,Leveranser_per_nät,'Leveranser per nät'!K$1,FALSE)/VLOOKUP($B67,Korrigeringsfaktor_EI,'Korrigeringsfaktor EI'!K$1,FALSE),
"")</f>
        <v>0</v>
      </c>
      <c r="L67" s="18">
        <f>IFERROR(
                  Andel_oberoende_av_klimat*VLOOKUP($A67,Leveranser_per_nät,'Leveranser per nät'!L$1,FALSE)
               +Andel_beroende_av_klimat*VLOOKUP($A67,Leveranser_per_nät,'Leveranser per nät'!L$1,FALSE)/VLOOKUP($B67,Korrigeringsfaktor_EI,'Korrigeringsfaktor EI'!L$1,FALSE),
"")</f>
        <v>0</v>
      </c>
      <c r="M67" s="18">
        <f>IFERROR(
                  Andel_oberoende_av_klimat*VLOOKUP($A67,Leveranser_per_nät,'Leveranser per nät'!M$1,FALSE)
               +Andel_beroende_av_klimat*VLOOKUP($A67,Leveranser_per_nät,'Leveranser per nät'!M$1,FALSE)/VLOOKUP($B67,Korrigeringsfaktor_EI,'Korrigeringsfaktor EI'!M$1,FALSE),
"")</f>
        <v>0</v>
      </c>
      <c r="N67" s="18">
        <f>IFERROR(
                  Andel_oberoende_av_klimat*VLOOKUP($A67,Leveranser_per_nät,'Leveranser per nät'!N$1,FALSE)
               +Andel_beroende_av_klimat*VLOOKUP($A67,Leveranser_per_nät,'Leveranser per nät'!N$1,FALSE)/VLOOKUP($B67,Korrigeringsfaktor_EI,'Korrigeringsfaktor EI'!N$1,FALSE),
"")</f>
        <v>0</v>
      </c>
      <c r="O67" s="18">
        <f>IFERROR(
                  Andel_oberoende_av_klimat*VLOOKUP($A67,Leveranser_per_nät,'Leveranser per nät'!O$1,FALSE)
               +Andel_beroende_av_klimat*VLOOKUP($A67,Leveranser_per_nät,'Leveranser per nät'!O$1,FALSE)/VLOOKUP($B67,Korrigeringsfaktor_EI,'Korrigeringsfaktor EI'!O$1,FALSE),
"")</f>
        <v>0</v>
      </c>
      <c r="P67" s="18">
        <f>IFERROR(
                  Andel_oberoende_av_klimat*VLOOKUP($A67,Leveranser_per_nät,'Leveranser per nät'!P$1,FALSE)
               +Andel_beroende_av_klimat*VLOOKUP($A67,Leveranser_per_nät,'Leveranser per nät'!P$1,FALSE)/VLOOKUP($B67,Korrigeringsfaktor_EI,'Korrigeringsfaktor EI'!P$1,FALSE),
"")</f>
        <v>0.92625000000000002</v>
      </c>
      <c r="Q67" s="18">
        <f>IFERROR(
                  Andel_oberoende_av_klimat*VLOOKUP($A67,Leveranser_per_nät,'Leveranser per nät'!Q$1,FALSE)
               +Andel_beroende_av_klimat*VLOOKUP($A67,Leveranser_per_nät,'Leveranser per nät'!Q$1,FALSE)/VLOOKUP($B67,Korrigeringsfaktor_EI,'Korrigeringsfaktor EI'!Q$1,FALSE),
"")</f>
        <v>2.097641441441441</v>
      </c>
      <c r="R67" s="18">
        <f>IFERROR(
                  Andel_oberoende_av_klimat*VLOOKUP($A67,Leveranser_per_nät,'Leveranser per nät'!R$1,FALSE)
               +Andel_beroende_av_klimat*VLOOKUP($A67,Leveranser_per_nät,'Leveranser per nät'!R$1,FALSE)/VLOOKUP($B67,Korrigeringsfaktor_EI,'Korrigeringsfaktor EI'!R$1,FALSE),
"")</f>
        <v>1.9201739130434783</v>
      </c>
      <c r="S67" s="18">
        <f>IFERROR(
                  Andel_oberoende_av_klimat*VLOOKUP($A67,Leveranser_per_nät,'Leveranser per nät'!S$1,FALSE)
               +Andel_beroende_av_klimat*VLOOKUP($A67,Leveranser_per_nät,'Leveranser per nät'!S$1,FALSE)/VLOOKUP($B67,Korrigeringsfaktor_EI,'Korrigeringsfaktor EI'!S$1,FALSE),
"")</f>
        <v>1.9166237623762377</v>
      </c>
      <c r="T67" s="18">
        <f>IFERROR(
                  Andel_oberoende_av_klimat*VLOOKUP($A67,Leveranser_per_nät,'Leveranser per nät'!T$1,FALSE)
               +Andel_beroende_av_klimat*VLOOKUP($A67,Leveranser_per_nät,'Leveranser per nät'!T$1,FALSE)/VLOOKUP($B67,Korrigeringsfaktor_EI,'Korrigeringsfaktor EI'!T$1,FALSE),
"")</f>
        <v>2.6183838383838385</v>
      </c>
      <c r="U67" s="18">
        <f>IFERROR(
                  Andel_oberoende_av_klimat*VLOOKUP($A67,Leveranser_per_nät,'Leveranser per nät'!U$1,FALSE)
               +Andel_beroende_av_klimat*VLOOKUP($A67,Leveranser_per_nät,'Leveranser per nät'!U$1,FALSE)/VLOOKUP($B67,Korrigeringsfaktor_EI,'Korrigeringsfaktor EI'!U$1,FALSE),
"")</f>
        <v>4.2374157303370783</v>
      </c>
      <c r="V67" s="18">
        <f>IFERROR(
                  Andel_oberoende_av_klimat*VLOOKUP($A67,Leveranser_per_nät,'Leveranser per nät'!V$1,FALSE)
               +Andel_beroende_av_klimat*VLOOKUP($A67,Leveranser_per_nät,'Leveranser per nät'!V$1,FALSE)/VLOOKUP($B67,Korrigeringsfaktor_EI,'Korrigeringsfaktor EI'!V$1,FALSE),
"")</f>
        <v>5.1581720430107527</v>
      </c>
      <c r="W67" s="18" t="str">
        <f>IFERROR(
                  Andel_oberoende_av_klimat*VLOOKUP($A67,Leveranser_per_nät,'Leveranser per nät'!W$1,FALSE)
               +Andel_beroende_av_klimat*VLOOKUP($A67,Leveranser_per_nät,'Leveranser per nät'!W$1,FALSE)/VLOOKUP($B67,Korrigeringsfaktor_EI,'Korrigeringsfaktor EI'!W$1,FALSE),
"")</f>
        <v/>
      </c>
      <c r="X67" s="18" t="str">
        <f>IFERROR(
                  Andel_oberoende_av_klimat*VLOOKUP($A67,Leveranser_per_nät,'Leveranser per nät'!X$1,FALSE)
               +Andel_beroende_av_klimat*VLOOKUP($A67,Leveranser_per_nät,'Leveranser per nät'!X$1,FALSE)/VLOOKUP($B67,Korrigeringsfaktor_EI,'Korrigeringsfaktor EI'!X$1,FALSE),
"")</f>
        <v/>
      </c>
      <c r="Y67" s="18" t="str">
        <f>IFERROR(
                  Andel_oberoende_av_klimat*VLOOKUP($A67,Leveranser_per_nät,'Leveranser per nät'!Y$1,FALSE)
               +Andel_beroende_av_klimat*VLOOKUP($A67,Leveranser_per_nät,'Leveranser per nät'!Y$1,FALSE)/VLOOKUP($B67,Korrigeringsfaktor_EI,'Korrigeringsfaktor EI'!Y$1,FALSE),
"")</f>
        <v/>
      </c>
      <c r="Z67" s="18">
        <f>IFERROR(
                  Andel_oberoende_av_klimat*VLOOKUP($A67,Leveranser_per_nät,'Leveranser per nät'!Z$1,FALSE)
               +Andel_beroende_av_klimat*VLOOKUP($A67,Leveranser_per_nät,'Leveranser per nät'!Z$1,FALSE)/VLOOKUP($B67,Korrigeringsfaktor_EI,'Korrigeringsfaktor EI'!Z$1,FALSE),
"")</f>
        <v>0</v>
      </c>
      <c r="AA67" s="18" t="str">
        <f>IFERROR(
                  Andel_oberoende_av_klimat*VLOOKUP($A67,Leveranser_per_nät,'Leveranser per nät'!AA$1,FALSE)
               +Andel_beroende_av_klimat*VLOOKUP($A67,Leveranser_per_nät,'Leveranser per nät'!AA$1,FALSE)/VLOOKUP($B67,Korrigeringsfaktor_EI,'Korrigeringsfaktor EI'!AA$1,FALSE),
"")</f>
        <v/>
      </c>
      <c r="AB67" s="18">
        <f>IFERROR(
                  Andel_oberoende_av_klimat*VLOOKUP($A67,Leveranser_per_nät,'Leveranser per nät'!AB$1,FALSE)
               +Andel_beroende_av_klimat*VLOOKUP($A67,Leveranser_per_nät,'Leveranser per nät'!AB$1,FALSE)/VLOOKUP($B67,Korrigeringsfaktor_EI,'Korrigeringsfaktor EI'!AB$1,FALSE),
"")</f>
        <v>0</v>
      </c>
      <c r="AC67" s="18">
        <f>IFERROR(
                  Andel_oberoende_av_klimat*VLOOKUP($A67,Leveranser_per_nät,'Leveranser per nät'!AC$1,FALSE)
               +Andel_beroende_av_klimat*VLOOKUP($A67,Leveranser_per_nät,'Leveranser per nät'!AC$1,FALSE)/VLOOKUP($B67,Korrigeringsfaktor_EI,'Korrigeringsfaktor EI'!AC$1,FALSE),
"")</f>
        <v>0</v>
      </c>
      <c r="AD67">
        <v>122.64</v>
      </c>
    </row>
    <row r="68" spans="1:30" x14ac:dyDescent="0.25">
      <c r="A68" t="s">
        <v>905</v>
      </c>
      <c r="B68" t="s">
        <v>530</v>
      </c>
      <c r="C68" s="18" t="str">
        <f>IFERROR(
                  Andel_oberoende_av_klimat*VLOOKUP($A68,Leveranser_per_nät,'Leveranser per nät'!C$1,FALSE)
               +Andel_beroende_av_klimat*VLOOKUP($A68,Leveranser_per_nät,'Leveranser per nät'!C$1,FALSE)/VLOOKUP($B68,Korrigeringsfaktor_EI,'Korrigeringsfaktor EI'!C$1,FALSE),
"")</f>
        <v/>
      </c>
      <c r="D68" s="18" t="str">
        <f>IFERROR(
                  Andel_oberoende_av_klimat*VLOOKUP($A68,Leveranser_per_nät,'Leveranser per nät'!D$1,FALSE)
               +Andel_beroende_av_klimat*VLOOKUP($A68,Leveranser_per_nät,'Leveranser per nät'!D$1,FALSE)/VLOOKUP($B68,Korrigeringsfaktor_EI,'Korrigeringsfaktor EI'!D$1,FALSE),
"")</f>
        <v/>
      </c>
      <c r="E68" s="18" t="str">
        <f>IFERROR(
                  Andel_oberoende_av_klimat*VLOOKUP($A68,Leveranser_per_nät,'Leveranser per nät'!E$1,FALSE)
               +Andel_beroende_av_klimat*VLOOKUP($A68,Leveranser_per_nät,'Leveranser per nät'!E$1,FALSE)/VLOOKUP($B68,Korrigeringsfaktor_EI,'Korrigeringsfaktor EI'!E$1,FALSE),
"")</f>
        <v/>
      </c>
      <c r="F68" s="18" t="str">
        <f>IFERROR(
                  Andel_oberoende_av_klimat*VLOOKUP($A68,Leveranser_per_nät,'Leveranser per nät'!F$1,FALSE)
               +Andel_beroende_av_klimat*VLOOKUP($A68,Leveranser_per_nät,'Leveranser per nät'!F$1,FALSE)/VLOOKUP($B68,Korrigeringsfaktor_EI,'Korrigeringsfaktor EI'!F$1,FALSE),
"")</f>
        <v/>
      </c>
      <c r="G68" s="18" t="str">
        <f>IFERROR(
                  Andel_oberoende_av_klimat*VLOOKUP($A68,Leveranser_per_nät,'Leveranser per nät'!G$1,FALSE)
               +Andel_beroende_av_klimat*VLOOKUP($A68,Leveranser_per_nät,'Leveranser per nät'!G$1,FALSE)/VLOOKUP($B68,Korrigeringsfaktor_EI,'Korrigeringsfaktor EI'!G$1,FALSE),
"")</f>
        <v/>
      </c>
      <c r="H68" s="18" t="str">
        <f>IFERROR(
                  Andel_oberoende_av_klimat*VLOOKUP($A68,Leveranser_per_nät,'Leveranser per nät'!H$1,FALSE)
               +Andel_beroende_av_klimat*VLOOKUP($A68,Leveranser_per_nät,'Leveranser per nät'!H$1,FALSE)/VLOOKUP($B68,Korrigeringsfaktor_EI,'Korrigeringsfaktor EI'!H$1,FALSE),
"")</f>
        <v/>
      </c>
      <c r="I68" s="18" t="str">
        <f>IFERROR(
                  Andel_oberoende_av_klimat*VLOOKUP($A68,Leveranser_per_nät,'Leveranser per nät'!I$1,FALSE)
               +Andel_beroende_av_klimat*VLOOKUP($A68,Leveranser_per_nät,'Leveranser per nät'!I$1,FALSE)/VLOOKUP($B68,Korrigeringsfaktor_EI,'Korrigeringsfaktor EI'!I$1,FALSE),
"")</f>
        <v/>
      </c>
      <c r="J68" s="18" t="str">
        <f>IFERROR(
                  Andel_oberoende_av_klimat*VLOOKUP($A68,Leveranser_per_nät,'Leveranser per nät'!J$1,FALSE)
               +Andel_beroende_av_klimat*VLOOKUP($A68,Leveranser_per_nät,'Leveranser per nät'!J$1,FALSE)/VLOOKUP($B68,Korrigeringsfaktor_EI,'Korrigeringsfaktor EI'!J$1,FALSE),
"")</f>
        <v/>
      </c>
      <c r="K68" s="18" t="str">
        <f>IFERROR(
                  Andel_oberoende_av_klimat*VLOOKUP($A68,Leveranser_per_nät,'Leveranser per nät'!K$1,FALSE)
               +Andel_beroende_av_klimat*VLOOKUP($A68,Leveranser_per_nät,'Leveranser per nät'!K$1,FALSE)/VLOOKUP($B68,Korrigeringsfaktor_EI,'Korrigeringsfaktor EI'!K$1,FALSE),
"")</f>
        <v/>
      </c>
      <c r="L68" s="18" t="str">
        <f>IFERROR(
                  Andel_oberoende_av_klimat*VLOOKUP($A68,Leveranser_per_nät,'Leveranser per nät'!L$1,FALSE)
               +Andel_beroende_av_klimat*VLOOKUP($A68,Leveranser_per_nät,'Leveranser per nät'!L$1,FALSE)/VLOOKUP($B68,Korrigeringsfaktor_EI,'Korrigeringsfaktor EI'!L$1,FALSE),
"")</f>
        <v/>
      </c>
      <c r="M68" s="18" t="str">
        <f>IFERROR(
                  Andel_oberoende_av_klimat*VLOOKUP($A68,Leveranser_per_nät,'Leveranser per nät'!M$1,FALSE)
               +Andel_beroende_av_klimat*VLOOKUP($A68,Leveranser_per_nät,'Leveranser per nät'!M$1,FALSE)/VLOOKUP($B68,Korrigeringsfaktor_EI,'Korrigeringsfaktor EI'!M$1,FALSE),
"")</f>
        <v/>
      </c>
      <c r="N68" s="18" t="str">
        <f>IFERROR(
                  Andel_oberoende_av_klimat*VLOOKUP($A68,Leveranser_per_nät,'Leveranser per nät'!N$1,FALSE)
               +Andel_beroende_av_klimat*VLOOKUP($A68,Leveranser_per_nät,'Leveranser per nät'!N$1,FALSE)/VLOOKUP($B68,Korrigeringsfaktor_EI,'Korrigeringsfaktor EI'!N$1,FALSE),
"")</f>
        <v/>
      </c>
      <c r="O68" s="18" t="str">
        <f>IFERROR(
                  Andel_oberoende_av_klimat*VLOOKUP($A68,Leveranser_per_nät,'Leveranser per nät'!O$1,FALSE)
               +Andel_beroende_av_klimat*VLOOKUP($A68,Leveranser_per_nät,'Leveranser per nät'!O$1,FALSE)/VLOOKUP($B68,Korrigeringsfaktor_EI,'Korrigeringsfaktor EI'!O$1,FALSE),
"")</f>
        <v/>
      </c>
      <c r="P68" s="18" t="str">
        <f>IFERROR(
                  Andel_oberoende_av_klimat*VLOOKUP($A68,Leveranser_per_nät,'Leveranser per nät'!P$1,FALSE)
               +Andel_beroende_av_klimat*VLOOKUP($A68,Leveranser_per_nät,'Leveranser per nät'!P$1,FALSE)/VLOOKUP($B68,Korrigeringsfaktor_EI,'Korrigeringsfaktor EI'!P$1,FALSE),
"")</f>
        <v/>
      </c>
      <c r="Q68" s="18" t="str">
        <f>IFERROR(
                  Andel_oberoende_av_klimat*VLOOKUP($A68,Leveranser_per_nät,'Leveranser per nät'!Q$1,FALSE)
               +Andel_beroende_av_klimat*VLOOKUP($A68,Leveranser_per_nät,'Leveranser per nät'!Q$1,FALSE)/VLOOKUP($B68,Korrigeringsfaktor_EI,'Korrigeringsfaktor EI'!Q$1,FALSE),
"")</f>
        <v/>
      </c>
      <c r="R68" s="18" t="str">
        <f>IFERROR(
                  Andel_oberoende_av_klimat*VLOOKUP($A68,Leveranser_per_nät,'Leveranser per nät'!R$1,FALSE)
               +Andel_beroende_av_klimat*VLOOKUP($A68,Leveranser_per_nät,'Leveranser per nät'!R$1,FALSE)/VLOOKUP($B68,Korrigeringsfaktor_EI,'Korrigeringsfaktor EI'!R$1,FALSE),
"")</f>
        <v/>
      </c>
      <c r="S68" s="18" t="str">
        <f>IFERROR(
                  Andel_oberoende_av_klimat*VLOOKUP($A68,Leveranser_per_nät,'Leveranser per nät'!S$1,FALSE)
               +Andel_beroende_av_klimat*VLOOKUP($A68,Leveranser_per_nät,'Leveranser per nät'!S$1,FALSE)/VLOOKUP($B68,Korrigeringsfaktor_EI,'Korrigeringsfaktor EI'!S$1,FALSE),
"")</f>
        <v/>
      </c>
      <c r="T68" s="18" t="str">
        <f>IFERROR(
                  Andel_oberoende_av_klimat*VLOOKUP($A68,Leveranser_per_nät,'Leveranser per nät'!T$1,FALSE)
               +Andel_beroende_av_klimat*VLOOKUP($A68,Leveranser_per_nät,'Leveranser per nät'!T$1,FALSE)/VLOOKUP($B68,Korrigeringsfaktor_EI,'Korrigeringsfaktor EI'!T$1,FALSE),
"")</f>
        <v/>
      </c>
      <c r="U68" s="18" t="str">
        <f>IFERROR(
                  Andel_oberoende_av_klimat*VLOOKUP($A68,Leveranser_per_nät,'Leveranser per nät'!U$1,FALSE)
               +Andel_beroende_av_klimat*VLOOKUP($A68,Leveranser_per_nät,'Leveranser per nät'!U$1,FALSE)/VLOOKUP($B68,Korrigeringsfaktor_EI,'Korrigeringsfaktor EI'!U$1,FALSE),
"")</f>
        <v/>
      </c>
      <c r="V68" s="18" t="str">
        <f>IFERROR(
                  Andel_oberoende_av_klimat*VLOOKUP($A68,Leveranser_per_nät,'Leveranser per nät'!V$1,FALSE)
               +Andel_beroende_av_klimat*VLOOKUP($A68,Leveranser_per_nät,'Leveranser per nät'!V$1,FALSE)/VLOOKUP($B68,Korrigeringsfaktor_EI,'Korrigeringsfaktor EI'!V$1,FALSE),
"")</f>
        <v/>
      </c>
      <c r="W68" s="18" t="str">
        <f>IFERROR(
                  Andel_oberoende_av_klimat*VLOOKUP($A68,Leveranser_per_nät,'Leveranser per nät'!W$1,FALSE)
               +Andel_beroende_av_klimat*VLOOKUP($A68,Leveranser_per_nät,'Leveranser per nät'!W$1,FALSE)/VLOOKUP($B68,Korrigeringsfaktor_EI,'Korrigeringsfaktor EI'!W$1,FALSE),
"")</f>
        <v/>
      </c>
      <c r="X68" s="18" t="str">
        <f>IFERROR(
                  Andel_oberoende_av_klimat*VLOOKUP($A68,Leveranser_per_nät,'Leveranser per nät'!X$1,FALSE)
               +Andel_beroende_av_klimat*VLOOKUP($A68,Leveranser_per_nät,'Leveranser per nät'!X$1,FALSE)/VLOOKUP($B68,Korrigeringsfaktor_EI,'Korrigeringsfaktor EI'!X$1,FALSE),
"")</f>
        <v/>
      </c>
      <c r="Y68" s="18" t="str">
        <f>IFERROR(
                  Andel_oberoende_av_klimat*VLOOKUP($A68,Leveranser_per_nät,'Leveranser per nät'!Y$1,FALSE)
               +Andel_beroende_av_klimat*VLOOKUP($A68,Leveranser_per_nät,'Leveranser per nät'!Y$1,FALSE)/VLOOKUP($B68,Korrigeringsfaktor_EI,'Korrigeringsfaktor EI'!Y$1,FALSE),
"")</f>
        <v/>
      </c>
      <c r="Z68" s="18" t="str">
        <f>IFERROR(
                  Andel_oberoende_av_klimat*VLOOKUP($A68,Leveranser_per_nät,'Leveranser per nät'!Z$1,FALSE)
               +Andel_beroende_av_klimat*VLOOKUP($A68,Leveranser_per_nät,'Leveranser per nät'!Z$1,FALSE)/VLOOKUP($B68,Korrigeringsfaktor_EI,'Korrigeringsfaktor EI'!Z$1,FALSE),
"")</f>
        <v/>
      </c>
      <c r="AA68" s="18"/>
      <c r="AB68" s="18"/>
      <c r="AC68" s="18"/>
      <c r="AD68" t="e">
        <v>#N/A</v>
      </c>
    </row>
    <row r="69" spans="1:30" x14ac:dyDescent="0.25">
      <c r="A69" t="s">
        <v>588</v>
      </c>
      <c r="B69" t="s">
        <v>520</v>
      </c>
      <c r="C69" s="18">
        <f>IFERROR(
                  Andel_oberoende_av_klimat*VLOOKUP($A69,Leveranser_per_nät,'Leveranser per nät'!C$1,FALSE)
               +Andel_beroende_av_klimat*VLOOKUP($A69,Leveranser_per_nät,'Leveranser per nät'!C$1,FALSE)/VLOOKUP($B69,Korrigeringsfaktor_EI,'Korrigeringsfaktor EI'!C$1,FALSE),
"")</f>
        <v>0</v>
      </c>
      <c r="D69" s="18">
        <f>IFERROR(
                  Andel_oberoende_av_klimat*VLOOKUP($A69,Leveranser_per_nät,'Leveranser per nät'!D$1,FALSE)
               +Andel_beroende_av_klimat*VLOOKUP($A69,Leveranser_per_nät,'Leveranser per nät'!D$1,FALSE)/VLOOKUP($B69,Korrigeringsfaktor_EI,'Korrigeringsfaktor EI'!D$1,FALSE),
"")</f>
        <v>0</v>
      </c>
      <c r="E69" s="18">
        <f>IFERROR(
                  Andel_oberoende_av_klimat*VLOOKUP($A69,Leveranser_per_nät,'Leveranser per nät'!E$1,FALSE)
               +Andel_beroende_av_klimat*VLOOKUP($A69,Leveranser_per_nät,'Leveranser per nät'!E$1,FALSE)/VLOOKUP($B69,Korrigeringsfaktor_EI,'Korrigeringsfaktor EI'!E$1,FALSE),
"")</f>
        <v>0</v>
      </c>
      <c r="F69" s="18">
        <f>IFERROR(
                  Andel_oberoende_av_klimat*VLOOKUP($A69,Leveranser_per_nät,'Leveranser per nät'!F$1,FALSE)
               +Andel_beroende_av_klimat*VLOOKUP($A69,Leveranser_per_nät,'Leveranser per nät'!F$1,FALSE)/VLOOKUP($B69,Korrigeringsfaktor_EI,'Korrigeringsfaktor EI'!F$1,FALSE),
"")</f>
        <v>0</v>
      </c>
      <c r="G69" s="18">
        <f>IFERROR(
                  Andel_oberoende_av_klimat*VLOOKUP($A69,Leveranser_per_nät,'Leveranser per nät'!G$1,FALSE)
               +Andel_beroende_av_klimat*VLOOKUP($A69,Leveranser_per_nät,'Leveranser per nät'!G$1,FALSE)/VLOOKUP($B69,Korrigeringsfaktor_EI,'Korrigeringsfaktor EI'!G$1,FALSE),
"")</f>
        <v>0</v>
      </c>
      <c r="H69" s="18">
        <f>IFERROR(
                  Andel_oberoende_av_klimat*VLOOKUP($A69,Leveranser_per_nät,'Leveranser per nät'!H$1,FALSE)
               +Andel_beroende_av_klimat*VLOOKUP($A69,Leveranser_per_nät,'Leveranser per nät'!H$1,FALSE)/VLOOKUP($B69,Korrigeringsfaktor_EI,'Korrigeringsfaktor EI'!H$1,FALSE),
"")</f>
        <v>0</v>
      </c>
      <c r="I69" s="18">
        <f>IFERROR(
                  Andel_oberoende_av_klimat*VLOOKUP($A69,Leveranser_per_nät,'Leveranser per nät'!I$1,FALSE)
               +Andel_beroende_av_klimat*VLOOKUP($A69,Leveranser_per_nät,'Leveranser per nät'!I$1,FALSE)/VLOOKUP($B69,Korrigeringsfaktor_EI,'Korrigeringsfaktor EI'!I$1,FALSE),
"")</f>
        <v>0</v>
      </c>
      <c r="J69" s="18">
        <f>IFERROR(
                  Andel_oberoende_av_klimat*VLOOKUP($A69,Leveranser_per_nät,'Leveranser per nät'!J$1,FALSE)
               +Andel_beroende_av_klimat*VLOOKUP($A69,Leveranser_per_nät,'Leveranser per nät'!J$1,FALSE)/VLOOKUP($B69,Korrigeringsfaktor_EI,'Korrigeringsfaktor EI'!J$1,FALSE),
"")</f>
        <v>0</v>
      </c>
      <c r="K69" s="18">
        <f>IFERROR(
                  Andel_oberoende_av_klimat*VLOOKUP($A69,Leveranser_per_nät,'Leveranser per nät'!K$1,FALSE)
               +Andel_beroende_av_klimat*VLOOKUP($A69,Leveranser_per_nät,'Leveranser per nät'!K$1,FALSE)/VLOOKUP($B69,Korrigeringsfaktor_EI,'Korrigeringsfaktor EI'!K$1,FALSE),
"")</f>
        <v>0</v>
      </c>
      <c r="L69" s="18">
        <f>IFERROR(
                  Andel_oberoende_av_klimat*VLOOKUP($A69,Leveranser_per_nät,'Leveranser per nät'!L$1,FALSE)
               +Andel_beroende_av_klimat*VLOOKUP($A69,Leveranser_per_nät,'Leveranser per nät'!L$1,FALSE)/VLOOKUP($B69,Korrigeringsfaktor_EI,'Korrigeringsfaktor EI'!L$1,FALSE),
"")</f>
        <v>0</v>
      </c>
      <c r="M69" s="18">
        <f>IFERROR(
                  Andel_oberoende_av_klimat*VLOOKUP($A69,Leveranser_per_nät,'Leveranser per nät'!M$1,FALSE)
               +Andel_beroende_av_klimat*VLOOKUP($A69,Leveranser_per_nät,'Leveranser per nät'!M$1,FALSE)/VLOOKUP($B69,Korrigeringsfaktor_EI,'Korrigeringsfaktor EI'!M$1,FALSE),
"")</f>
        <v>0</v>
      </c>
      <c r="N69" s="18">
        <f>IFERROR(
                  Andel_oberoende_av_klimat*VLOOKUP($A69,Leveranser_per_nät,'Leveranser per nät'!N$1,FALSE)
               +Andel_beroende_av_klimat*VLOOKUP($A69,Leveranser_per_nät,'Leveranser per nät'!N$1,FALSE)/VLOOKUP($B69,Korrigeringsfaktor_EI,'Korrigeringsfaktor EI'!N$1,FALSE),
"")</f>
        <v>0</v>
      </c>
      <c r="O69" s="18">
        <f>IFERROR(
                  Andel_oberoende_av_klimat*VLOOKUP($A69,Leveranser_per_nät,'Leveranser per nät'!O$1,FALSE)
               +Andel_beroende_av_klimat*VLOOKUP($A69,Leveranser_per_nät,'Leveranser per nät'!O$1,FALSE)/VLOOKUP($B69,Korrigeringsfaktor_EI,'Korrigeringsfaktor EI'!O$1,FALSE),
"")</f>
        <v>0</v>
      </c>
      <c r="P69" s="18">
        <f>IFERROR(
                  Andel_oberoende_av_klimat*VLOOKUP($A69,Leveranser_per_nät,'Leveranser per nät'!P$1,FALSE)
               +Andel_beroende_av_klimat*VLOOKUP($A69,Leveranser_per_nät,'Leveranser per nät'!P$1,FALSE)/VLOOKUP($B69,Korrigeringsfaktor_EI,'Korrigeringsfaktor EI'!P$1,FALSE),
"")</f>
        <v>0</v>
      </c>
      <c r="Q69" s="18">
        <f>IFERROR(
                  Andel_oberoende_av_klimat*VLOOKUP($A69,Leveranser_per_nät,'Leveranser per nät'!Q$1,FALSE)
               +Andel_beroende_av_klimat*VLOOKUP($A69,Leveranser_per_nät,'Leveranser per nät'!Q$1,FALSE)/VLOOKUP($B69,Korrigeringsfaktor_EI,'Korrigeringsfaktor EI'!Q$1,FALSE),
"")</f>
        <v>0</v>
      </c>
      <c r="R69" s="18">
        <f>IFERROR(
                  Andel_oberoende_av_klimat*VLOOKUP($A69,Leveranser_per_nät,'Leveranser per nät'!R$1,FALSE)
               +Andel_beroende_av_klimat*VLOOKUP($A69,Leveranser_per_nät,'Leveranser per nät'!R$1,FALSE)/VLOOKUP($B69,Korrigeringsfaktor_EI,'Korrigeringsfaktor EI'!R$1,FALSE),
"")</f>
        <v>0</v>
      </c>
      <c r="S69" s="18" t="str">
        <f>IFERROR(
                  Andel_oberoende_av_klimat*VLOOKUP($A69,Leveranser_per_nät,'Leveranser per nät'!S$1,FALSE)
               +Andel_beroende_av_klimat*VLOOKUP($A69,Leveranser_per_nät,'Leveranser per nät'!S$1,FALSE)/VLOOKUP($B69,Korrigeringsfaktor_EI,'Korrigeringsfaktor EI'!S$1,FALSE),
"")</f>
        <v/>
      </c>
      <c r="T69" s="18">
        <f>IFERROR(
                  Andel_oberoende_av_klimat*VLOOKUP($A69,Leveranser_per_nät,'Leveranser per nät'!T$1,FALSE)
               +Andel_beroende_av_klimat*VLOOKUP($A69,Leveranser_per_nät,'Leveranser per nät'!T$1,FALSE)/VLOOKUP($B69,Korrigeringsfaktor_EI,'Korrigeringsfaktor EI'!T$1,FALSE),
"")</f>
        <v>11.615175000000001</v>
      </c>
      <c r="U69" s="18">
        <f>IFERROR(
                  Andel_oberoende_av_klimat*VLOOKUP($A69,Leveranser_per_nät,'Leveranser per nät'!U$1,FALSE)
               +Andel_beroende_av_klimat*VLOOKUP($A69,Leveranser_per_nät,'Leveranser per nät'!U$1,FALSE)/VLOOKUP($B69,Korrigeringsfaktor_EI,'Korrigeringsfaktor EI'!U$1,FALSE),
"")</f>
        <v>11.587229885057472</v>
      </c>
      <c r="V69" s="18">
        <f>IFERROR(
                  Andel_oberoende_av_klimat*VLOOKUP($A69,Leveranser_per_nät,'Leveranser per nät'!V$1,FALSE)
               +Andel_beroende_av_klimat*VLOOKUP($A69,Leveranser_per_nät,'Leveranser per nät'!V$1,FALSE)/VLOOKUP($B69,Korrigeringsfaktor_EI,'Korrigeringsfaktor EI'!V$1,FALSE),
"")</f>
        <v>12.242692307692307</v>
      </c>
      <c r="W69" s="18">
        <f>IFERROR(
                  Andel_oberoende_av_klimat*VLOOKUP($A69,Leveranser_per_nät,'Leveranser per nät'!W$1,FALSE)
               +Andel_beroende_av_klimat*VLOOKUP($A69,Leveranser_per_nät,'Leveranser per nät'!W$1,FALSE)/VLOOKUP($B69,Korrigeringsfaktor_EI,'Korrigeringsfaktor EI'!W$1,FALSE),
"")</f>
        <v>11.991078947368425</v>
      </c>
      <c r="X69" s="18">
        <f>IFERROR(
                  Andel_oberoende_av_klimat*VLOOKUP($A69,Leveranser_per_nät,'Leveranser per nät'!X$1,FALSE)
               +Andel_beroende_av_klimat*VLOOKUP($A69,Leveranser_per_nät,'Leveranser per nät'!X$1,FALSE)/VLOOKUP($B69,Korrigeringsfaktor_EI,'Korrigeringsfaktor EI'!X$1,FALSE),
"")</f>
        <v>12.411750000000001</v>
      </c>
      <c r="Y69" s="18">
        <f>IFERROR(
                  Andel_oberoende_av_klimat*VLOOKUP($A69,Leveranser_per_nät,'Leveranser per nät'!Y$1,FALSE)
               +Andel_beroende_av_klimat*VLOOKUP($A69,Leveranser_per_nät,'Leveranser per nät'!Y$1,FALSE)/VLOOKUP($B69,Korrigeringsfaktor_EI,'Korrigeringsfaktor EI'!Y$1,FALSE),
"")</f>
        <v>12.009043478260869</v>
      </c>
      <c r="Z69" s="18">
        <f>IFERROR(
                  Andel_oberoende_av_klimat*VLOOKUP($A69,Leveranser_per_nät,'Leveranser per nät'!Z$1,FALSE)
               +Andel_beroende_av_klimat*VLOOKUP($A69,Leveranser_per_nät,'Leveranser per nät'!Z$1,FALSE)/VLOOKUP($B69,Korrigeringsfaktor_EI,'Korrigeringsfaktor EI'!Z$1,FALSE),
"")</f>
        <v>11.537462365591397</v>
      </c>
      <c r="AA69" s="18">
        <f>IFERROR(
                  Andel_oberoende_av_klimat*VLOOKUP($A69,Leveranser_per_nät,'Leveranser per nät'!AA$1,FALSE)
               +Andel_beroende_av_klimat*VLOOKUP($A69,Leveranser_per_nät,'Leveranser per nät'!AA$1,FALSE)/VLOOKUP($B69,Korrigeringsfaktor_EI,'Korrigeringsfaktor EI'!AA$1,FALSE),
"")</f>
        <v>11.234325525040386</v>
      </c>
      <c r="AB69" s="18">
        <f>IFERROR(
                  Andel_oberoende_av_klimat*VLOOKUP($A69,Leveranser_per_nät,'Leveranser per nät'!AB$1,FALSE)
               +Andel_beroende_av_klimat*VLOOKUP($A69,Leveranser_per_nät,'Leveranser per nät'!AB$1,FALSE)/VLOOKUP($B69,Korrigeringsfaktor_EI,'Korrigeringsfaktor EI'!AB$1,FALSE),
"")</f>
        <v>11.094850642927796</v>
      </c>
      <c r="AC69" s="18">
        <f>IFERROR(
                  Andel_oberoende_av_klimat*VLOOKUP($A69,Leveranser_per_nät,'Leveranser per nät'!AC$1,FALSE)
               +Andel_beroende_av_klimat*VLOOKUP($A69,Leveranser_per_nät,'Leveranser per nät'!AC$1,FALSE)/VLOOKUP($B69,Korrigeringsfaktor_EI,'Korrigeringsfaktor EI'!AC$1,FALSE),
"")</f>
        <v>10.852844444444445</v>
      </c>
      <c r="AD69">
        <v>48.96</v>
      </c>
    </row>
    <row r="70" spans="1:30" x14ac:dyDescent="0.25">
      <c r="A70" t="s">
        <v>91</v>
      </c>
      <c r="B70" t="s">
        <v>91</v>
      </c>
      <c r="C70" s="18">
        <f>IFERROR(
                  Andel_oberoende_av_klimat*VLOOKUP($A70,Leveranser_per_nät,'Leveranser per nät'!C$1,FALSE)
               +Andel_beroende_av_klimat*VLOOKUP($A70,Leveranser_per_nät,'Leveranser per nät'!C$1,FALSE)/VLOOKUP($B70,Korrigeringsfaktor_EI,'Korrigeringsfaktor EI'!C$1,FALSE),
"")</f>
        <v>98.049999999999983</v>
      </c>
      <c r="D70" s="18">
        <f>IFERROR(
                  Andel_oberoende_av_klimat*VLOOKUP($A70,Leveranser_per_nät,'Leveranser per nät'!D$1,FALSE)
               +Andel_beroende_av_klimat*VLOOKUP($A70,Leveranser_per_nät,'Leveranser per nät'!D$1,FALSE)/VLOOKUP($B70,Korrigeringsfaktor_EI,'Korrigeringsfaktor EI'!D$1,FALSE),
"")</f>
        <v>95.433960396039595</v>
      </c>
      <c r="E70" s="18">
        <f>IFERROR(
                  Andel_oberoende_av_klimat*VLOOKUP($A70,Leveranser_per_nät,'Leveranser per nät'!E$1,FALSE)
               +Andel_beroende_av_klimat*VLOOKUP($A70,Leveranser_per_nät,'Leveranser per nät'!E$1,FALSE)/VLOOKUP($B70,Korrigeringsfaktor_EI,'Korrigeringsfaktor EI'!E$1,FALSE),
"")</f>
        <v>91.85145094339623</v>
      </c>
      <c r="F70" s="18">
        <f>IFERROR(
                  Andel_oberoende_av_klimat*VLOOKUP($A70,Leveranser_per_nät,'Leveranser per nät'!F$1,FALSE)
               +Andel_beroende_av_klimat*VLOOKUP($A70,Leveranser_per_nät,'Leveranser per nät'!F$1,FALSE)/VLOOKUP($B70,Korrigeringsfaktor_EI,'Korrigeringsfaktor EI'!F$1,FALSE),
"")</f>
        <v>104.6682</v>
      </c>
      <c r="G70" s="18">
        <f>IFERROR(
                  Andel_oberoende_av_klimat*VLOOKUP($A70,Leveranser_per_nät,'Leveranser per nät'!G$1,FALSE)
               +Andel_beroende_av_klimat*VLOOKUP($A70,Leveranser_per_nät,'Leveranser per nät'!G$1,FALSE)/VLOOKUP($B70,Korrigeringsfaktor_EI,'Korrigeringsfaktor EI'!G$1,FALSE),
"")</f>
        <v>96.539130434782606</v>
      </c>
      <c r="H70" s="18">
        <f>IFERROR(
                  Andel_oberoende_av_klimat*VLOOKUP($A70,Leveranser_per_nät,'Leveranser per nät'!H$1,FALSE)
               +Andel_beroende_av_klimat*VLOOKUP($A70,Leveranser_per_nät,'Leveranser per nät'!H$1,FALSE)/VLOOKUP($B70,Korrigeringsfaktor_EI,'Korrigeringsfaktor EI'!H$1,FALSE),
"")</f>
        <v>96.327722772277227</v>
      </c>
      <c r="I70" s="18">
        <f>IFERROR(
                  Andel_oberoende_av_klimat*VLOOKUP($A70,Leveranser_per_nät,'Leveranser per nät'!I$1,FALSE)
               +Andel_beroende_av_klimat*VLOOKUP($A70,Leveranser_per_nät,'Leveranser per nät'!I$1,FALSE)/VLOOKUP($B70,Korrigeringsfaktor_EI,'Korrigeringsfaktor EI'!I$1,FALSE),
"")</f>
        <v>100.57368421052632</v>
      </c>
      <c r="J70" s="18">
        <f>IFERROR(
                  Andel_oberoende_av_klimat*VLOOKUP($A70,Leveranser_per_nät,'Leveranser per nät'!J$1,FALSE)
               +Andel_beroende_av_klimat*VLOOKUP($A70,Leveranser_per_nät,'Leveranser per nät'!J$1,FALSE)/VLOOKUP($B70,Korrigeringsfaktor_EI,'Korrigeringsfaktor EI'!J$1,FALSE),
"")</f>
        <v>107.75656565656564</v>
      </c>
      <c r="K70" s="18">
        <f>IFERROR(
                  Andel_oberoende_av_klimat*VLOOKUP($A70,Leveranser_per_nät,'Leveranser per nät'!K$1,FALSE)
               +Andel_beroende_av_klimat*VLOOKUP($A70,Leveranser_per_nät,'Leveranser per nät'!K$1,FALSE)/VLOOKUP($B70,Korrigeringsfaktor_EI,'Korrigeringsfaktor EI'!K$1,FALSE),
"")</f>
        <v>101.97034257425743</v>
      </c>
      <c r="L70" s="18">
        <f>IFERROR(
                  Andel_oberoende_av_klimat*VLOOKUP($A70,Leveranser_per_nät,'Leveranser per nät'!L$1,FALSE)
               +Andel_beroende_av_klimat*VLOOKUP($A70,Leveranser_per_nät,'Leveranser per nät'!L$1,FALSE)/VLOOKUP($B70,Korrigeringsfaktor_EI,'Korrigeringsfaktor EI'!L$1,FALSE),
"")</f>
        <v>116.32595741217264</v>
      </c>
      <c r="M70" s="18">
        <f>IFERROR(
                  Andel_oberoende_av_klimat*VLOOKUP($A70,Leveranser_per_nät,'Leveranser per nät'!M$1,FALSE)
               +Andel_beroende_av_klimat*VLOOKUP($A70,Leveranser_per_nät,'Leveranser per nät'!M$1,FALSE)/VLOOKUP($B70,Korrigeringsfaktor_EI,'Korrigeringsfaktor EI'!M$1,FALSE),
"")</f>
        <v>98.942161290322574</v>
      </c>
      <c r="N70" s="18">
        <f>IFERROR(
                  Andel_oberoende_av_klimat*VLOOKUP($A70,Leveranser_per_nät,'Leveranser per nät'!N$1,FALSE)
               +Andel_beroende_av_klimat*VLOOKUP($A70,Leveranser_per_nät,'Leveranser per nät'!N$1,FALSE)/VLOOKUP($B70,Korrigeringsfaktor_EI,'Korrigeringsfaktor EI'!N$1,FALSE),
"")</f>
        <v>98.660869565217382</v>
      </c>
      <c r="O70" s="18">
        <f>IFERROR(
                  Andel_oberoende_av_klimat*VLOOKUP($A70,Leveranser_per_nät,'Leveranser per nät'!O$1,FALSE)
               +Andel_beroende_av_klimat*VLOOKUP($A70,Leveranser_per_nät,'Leveranser per nät'!O$1,FALSE)/VLOOKUP($B70,Korrigeringsfaktor_EI,'Korrigeringsfaktor EI'!O$1,FALSE),
"")</f>
        <v>105.85384615384615</v>
      </c>
      <c r="P70" s="18">
        <f>IFERROR(
                  Andel_oberoende_av_klimat*VLOOKUP($A70,Leveranser_per_nät,'Leveranser per nät'!P$1,FALSE)
               +Andel_beroende_av_klimat*VLOOKUP($A70,Leveranser_per_nät,'Leveranser per nät'!P$1,FALSE)/VLOOKUP($B70,Korrigeringsfaktor_EI,'Korrigeringsfaktor EI'!P$1,FALSE),
"")</f>
        <v>106.99216666666666</v>
      </c>
      <c r="Q70" s="18">
        <f>IFERROR(
                  Andel_oberoende_av_klimat*VLOOKUP($A70,Leveranser_per_nät,'Leveranser per nät'!Q$1,FALSE)
               +Andel_beroende_av_klimat*VLOOKUP($A70,Leveranser_per_nät,'Leveranser per nät'!Q$1,FALSE)/VLOOKUP($B70,Korrigeringsfaktor_EI,'Korrigeringsfaktor EI'!Q$1,FALSE),
"")</f>
        <v>111.62390909090908</v>
      </c>
      <c r="R70" s="18">
        <f>IFERROR(
                  Andel_oberoende_av_klimat*VLOOKUP($A70,Leveranser_per_nät,'Leveranser per nät'!R$1,FALSE)
               +Andel_beroende_av_klimat*VLOOKUP($A70,Leveranser_per_nät,'Leveranser per nät'!R$1,FALSE)/VLOOKUP($B70,Korrigeringsfaktor_EI,'Korrigeringsfaktor EI'!R$1,FALSE),
"")</f>
        <v>108.30238461538463</v>
      </c>
      <c r="S70" s="18">
        <f>IFERROR(
                  Andel_oberoende_av_klimat*VLOOKUP($A70,Leveranser_per_nät,'Leveranser per nät'!S$1,FALSE)
               +Andel_beroende_av_klimat*VLOOKUP($A70,Leveranser_per_nät,'Leveranser per nät'!S$1,FALSE)/VLOOKUP($B70,Korrigeringsfaktor_EI,'Korrigeringsfaktor EI'!S$1,FALSE),
"")</f>
        <v>106</v>
      </c>
      <c r="T70" s="18">
        <f>IFERROR(
                  Andel_oberoende_av_klimat*VLOOKUP($A70,Leveranser_per_nät,'Leveranser per nät'!T$1,FALSE)
               +Andel_beroende_av_klimat*VLOOKUP($A70,Leveranser_per_nät,'Leveranser per nät'!T$1,FALSE)/VLOOKUP($B70,Korrigeringsfaktor_EI,'Korrigeringsfaktor EI'!T$1,FALSE),
"")</f>
        <v>107.49197142857142</v>
      </c>
      <c r="U70" s="18">
        <f>IFERROR(
                  Andel_oberoende_av_klimat*VLOOKUP($A70,Leveranser_per_nät,'Leveranser per nät'!U$1,FALSE)
               +Andel_beroende_av_klimat*VLOOKUP($A70,Leveranser_per_nät,'Leveranser per nät'!U$1,FALSE)/VLOOKUP($B70,Korrigeringsfaktor_EI,'Korrigeringsfaktor EI'!U$1,FALSE),
"")</f>
        <v>107.44130561797752</v>
      </c>
      <c r="V70" s="18">
        <f>IFERROR(
                  Andel_oberoende_av_klimat*VLOOKUP($A70,Leveranser_per_nät,'Leveranser per nät'!V$1,FALSE)
               +Andel_beroende_av_klimat*VLOOKUP($A70,Leveranser_per_nät,'Leveranser per nät'!V$1,FALSE)/VLOOKUP($B70,Korrigeringsfaktor_EI,'Korrigeringsfaktor EI'!V$1,FALSE),
"")</f>
        <v>106.34255913978495</v>
      </c>
      <c r="W70" s="18">
        <f>IFERROR(
                  Andel_oberoende_av_klimat*VLOOKUP($A70,Leveranser_per_nät,'Leveranser per nät'!W$1,FALSE)
               +Andel_beroende_av_klimat*VLOOKUP($A70,Leveranser_per_nät,'Leveranser per nät'!W$1,FALSE)/VLOOKUP($B70,Korrigeringsfaktor_EI,'Korrigeringsfaktor EI'!W$1,FALSE),
"")</f>
        <v>109.44075789473685</v>
      </c>
      <c r="X70" s="18">
        <f>IFERROR(
                  Andel_oberoende_av_klimat*VLOOKUP($A70,Leveranser_per_nät,'Leveranser per nät'!X$1,FALSE)
               +Andel_beroende_av_klimat*VLOOKUP($A70,Leveranser_per_nät,'Leveranser per nät'!X$1,FALSE)/VLOOKUP($B70,Korrigeringsfaktor_EI,'Korrigeringsfaktor EI'!X$1,FALSE),
"")</f>
        <v>109.26034736842107</v>
      </c>
      <c r="Y70" s="18">
        <f>IFERROR(
                  Andel_oberoende_av_klimat*VLOOKUP($A70,Leveranser_per_nät,'Leveranser per nät'!Y$1,FALSE)
               +Andel_beroende_av_klimat*VLOOKUP($A70,Leveranser_per_nät,'Leveranser per nät'!Y$1,FALSE)/VLOOKUP($B70,Korrigeringsfaktor_EI,'Korrigeringsfaktor EI'!Y$1,FALSE),
"")</f>
        <v>114.99350000000001</v>
      </c>
      <c r="Z70" s="18">
        <f>IFERROR(
                  Andel_oberoende_av_klimat*VLOOKUP($A70,Leveranser_per_nät,'Leveranser per nät'!Z$1,FALSE)
               +Andel_beroende_av_klimat*VLOOKUP($A70,Leveranser_per_nät,'Leveranser per nät'!Z$1,FALSE)/VLOOKUP($B70,Korrigeringsfaktor_EI,'Korrigeringsfaktor EI'!Z$1,FALSE),
"")</f>
        <v>111.6091842696629</v>
      </c>
      <c r="AA70" s="18">
        <f>IFERROR(
                  Andel_oberoende_av_klimat*VLOOKUP($A70,Leveranser_per_nät,'Leveranser per nät'!AA$1,FALSE)
               +Andel_beroende_av_klimat*VLOOKUP($A70,Leveranser_per_nät,'Leveranser per nät'!AA$1,FALSE)/VLOOKUP($B70,Korrigeringsfaktor_EI,'Korrigeringsfaktor EI'!AA$1,FALSE),
"")</f>
        <v>115.23587362937236</v>
      </c>
      <c r="AB70" s="18">
        <f>IFERROR(
                  Andel_oberoende_av_klimat*VLOOKUP($A70,Leveranser_per_nät,'Leveranser per nät'!AB$1,FALSE)
               +Andel_beroende_av_klimat*VLOOKUP($A70,Leveranser_per_nät,'Leveranser per nät'!AB$1,FALSE)/VLOOKUP($B70,Korrigeringsfaktor_EI,'Korrigeringsfaktor EI'!AB$1,FALSE),
"")</f>
        <v>121.69184125874126</v>
      </c>
      <c r="AC70" s="18">
        <f>IFERROR(
                  Andel_oberoende_av_klimat*VLOOKUP($A70,Leveranser_per_nät,'Leveranser per nät'!AC$1,FALSE)
               +Andel_beroende_av_klimat*VLOOKUP($A70,Leveranser_per_nät,'Leveranser per nät'!AC$1,FALSE)/VLOOKUP($B70,Korrigeringsfaktor_EI,'Korrigeringsfaktor EI'!AC$1,FALSE),
"")</f>
        <v>121.32396695005315</v>
      </c>
      <c r="AD70">
        <v>116.223</v>
      </c>
    </row>
    <row r="71" spans="1:30" x14ac:dyDescent="0.25">
      <c r="A71" t="s">
        <v>94</v>
      </c>
      <c r="B71" t="s">
        <v>283</v>
      </c>
      <c r="C71" s="18">
        <f>IFERROR(
                  Andel_oberoende_av_klimat*VLOOKUP($A71,Leveranser_per_nät,'Leveranser per nät'!C$1,FALSE)
               +Andel_beroende_av_klimat*VLOOKUP($A71,Leveranser_per_nät,'Leveranser per nät'!C$1,FALSE)/VLOOKUP($B71,Korrigeringsfaktor_EI,'Korrigeringsfaktor EI'!C$1,FALSE),
"")</f>
        <v>0</v>
      </c>
      <c r="D71" s="18">
        <f>IFERROR(
                  Andel_oberoende_av_klimat*VLOOKUP($A71,Leveranser_per_nät,'Leveranser per nät'!D$1,FALSE)
               +Andel_beroende_av_klimat*VLOOKUP($A71,Leveranser_per_nät,'Leveranser per nät'!D$1,FALSE)/VLOOKUP($B71,Korrigeringsfaktor_EI,'Korrigeringsfaktor EI'!D$1,FALSE),
"")</f>
        <v>0</v>
      </c>
      <c r="E71" s="18">
        <f>IFERROR(
                  Andel_oberoende_av_klimat*VLOOKUP($A71,Leveranser_per_nät,'Leveranser per nät'!E$1,FALSE)
               +Andel_beroende_av_klimat*VLOOKUP($A71,Leveranser_per_nät,'Leveranser per nät'!E$1,FALSE)/VLOOKUP($B71,Korrigeringsfaktor_EI,'Korrigeringsfaktor EI'!E$1,FALSE),
"")</f>
        <v>0</v>
      </c>
      <c r="F71" s="18">
        <f>IFERROR(
                  Andel_oberoende_av_klimat*VLOOKUP($A71,Leveranser_per_nät,'Leveranser per nät'!F$1,FALSE)
               +Andel_beroende_av_klimat*VLOOKUP($A71,Leveranser_per_nät,'Leveranser per nät'!F$1,FALSE)/VLOOKUP($B71,Korrigeringsfaktor_EI,'Korrigeringsfaktor EI'!F$1,FALSE),
"")</f>
        <v>0</v>
      </c>
      <c r="G71" s="18">
        <f>IFERROR(
                  Andel_oberoende_av_klimat*VLOOKUP($A71,Leveranser_per_nät,'Leveranser per nät'!G$1,FALSE)
               +Andel_beroende_av_klimat*VLOOKUP($A71,Leveranser_per_nät,'Leveranser per nät'!G$1,FALSE)/VLOOKUP($B71,Korrigeringsfaktor_EI,'Korrigeringsfaktor EI'!G$1,FALSE),
"")</f>
        <v>0</v>
      </c>
      <c r="H71" s="18">
        <f>IFERROR(
                  Andel_oberoende_av_klimat*VLOOKUP($A71,Leveranser_per_nät,'Leveranser per nät'!H$1,FALSE)
               +Andel_beroende_av_klimat*VLOOKUP($A71,Leveranser_per_nät,'Leveranser per nät'!H$1,FALSE)/VLOOKUP($B71,Korrigeringsfaktor_EI,'Korrigeringsfaktor EI'!H$1,FALSE),
"")</f>
        <v>0</v>
      </c>
      <c r="I71" s="18">
        <f>IFERROR(
                  Andel_oberoende_av_klimat*VLOOKUP($A71,Leveranser_per_nät,'Leveranser per nät'!I$1,FALSE)
               +Andel_beroende_av_klimat*VLOOKUP($A71,Leveranser_per_nät,'Leveranser per nät'!I$1,FALSE)/VLOOKUP($B71,Korrigeringsfaktor_EI,'Korrigeringsfaktor EI'!I$1,FALSE),
"")</f>
        <v>0</v>
      </c>
      <c r="J71" s="18">
        <f>IFERROR(
                  Andel_oberoende_av_klimat*VLOOKUP($A71,Leveranser_per_nät,'Leveranser per nät'!J$1,FALSE)
               +Andel_beroende_av_klimat*VLOOKUP($A71,Leveranser_per_nät,'Leveranser per nät'!J$1,FALSE)/VLOOKUP($B71,Korrigeringsfaktor_EI,'Korrigeringsfaktor EI'!J$1,FALSE),
"")</f>
        <v>0</v>
      </c>
      <c r="K71" s="18">
        <f>IFERROR(
                  Andel_oberoende_av_klimat*VLOOKUP($A71,Leveranser_per_nät,'Leveranser per nät'!K$1,FALSE)
               +Andel_beroende_av_klimat*VLOOKUP($A71,Leveranser_per_nät,'Leveranser per nät'!K$1,FALSE)/VLOOKUP($B71,Korrigeringsfaktor_EI,'Korrigeringsfaktor EI'!K$1,FALSE),
"")</f>
        <v>0</v>
      </c>
      <c r="L71" s="18">
        <f>IFERROR(
                  Andel_oberoende_av_klimat*VLOOKUP($A71,Leveranser_per_nät,'Leveranser per nät'!L$1,FALSE)
               +Andel_beroende_av_klimat*VLOOKUP($A71,Leveranser_per_nät,'Leveranser per nät'!L$1,FALSE)/VLOOKUP($B71,Korrigeringsfaktor_EI,'Korrigeringsfaktor EI'!L$1,FALSE),
"")</f>
        <v>12.960526315789474</v>
      </c>
      <c r="M71" s="18">
        <f>IFERROR(
                  Andel_oberoende_av_klimat*VLOOKUP($A71,Leveranser_per_nät,'Leveranser per nät'!M$1,FALSE)
               +Andel_beroende_av_klimat*VLOOKUP($A71,Leveranser_per_nät,'Leveranser per nät'!M$1,FALSE)/VLOOKUP($B71,Korrigeringsfaktor_EI,'Korrigeringsfaktor EI'!M$1,FALSE),
"")</f>
        <v>28.120769230769231</v>
      </c>
      <c r="N71" s="18">
        <f>IFERROR(
                  Andel_oberoende_av_klimat*VLOOKUP($A71,Leveranser_per_nät,'Leveranser per nät'!N$1,FALSE)
               +Andel_beroende_av_klimat*VLOOKUP($A71,Leveranser_per_nät,'Leveranser per nät'!N$1,FALSE)/VLOOKUP($B71,Korrigeringsfaktor_EI,'Korrigeringsfaktor EI'!N$1,FALSE),
"")</f>
        <v>32.902989887640452</v>
      </c>
      <c r="O71" s="18">
        <f>IFERROR(
                  Andel_oberoende_av_klimat*VLOOKUP($A71,Leveranser_per_nät,'Leveranser per nät'!O$1,FALSE)
               +Andel_beroende_av_klimat*VLOOKUP($A71,Leveranser_per_nät,'Leveranser per nät'!O$1,FALSE)/VLOOKUP($B71,Korrigeringsfaktor_EI,'Korrigeringsfaktor EI'!O$1,FALSE),
"")</f>
        <v>27.386363636363637</v>
      </c>
      <c r="P71" s="18">
        <f>IFERROR(
                  Andel_oberoende_av_klimat*VLOOKUP($A71,Leveranser_per_nät,'Leveranser per nät'!P$1,FALSE)
               +Andel_beroende_av_klimat*VLOOKUP($A71,Leveranser_per_nät,'Leveranser per nät'!P$1,FALSE)/VLOOKUP($B71,Korrigeringsfaktor_EI,'Korrigeringsfaktor EI'!P$1,FALSE),
"")</f>
        <v>31.340425531914896</v>
      </c>
      <c r="Q71" s="18">
        <f>IFERROR(
                  Andel_oberoende_av_klimat*VLOOKUP($A71,Leveranser_per_nät,'Leveranser per nät'!Q$1,FALSE)
               +Andel_beroende_av_klimat*VLOOKUP($A71,Leveranser_per_nät,'Leveranser per nät'!Q$1,FALSE)/VLOOKUP($B71,Korrigeringsfaktor_EI,'Korrigeringsfaktor EI'!Q$1,FALSE),
"")</f>
        <v>29.877499999999994</v>
      </c>
      <c r="R71" s="18">
        <f>IFERROR(
                  Andel_oberoende_av_klimat*VLOOKUP($A71,Leveranser_per_nät,'Leveranser per nät'!R$1,FALSE)
               +Andel_beroende_av_klimat*VLOOKUP($A71,Leveranser_per_nät,'Leveranser per nät'!R$1,FALSE)/VLOOKUP($B71,Korrigeringsfaktor_EI,'Korrigeringsfaktor EI'!R$1,FALSE),
"")</f>
        <v>29.617692307692302</v>
      </c>
      <c r="S71" s="18">
        <f>IFERROR(
                  Andel_oberoende_av_klimat*VLOOKUP($A71,Leveranser_per_nät,'Leveranser per nät'!S$1,FALSE)
               +Andel_beroende_av_klimat*VLOOKUP($A71,Leveranser_per_nät,'Leveranser per nät'!S$1,FALSE)/VLOOKUP($B71,Korrigeringsfaktor_EI,'Korrigeringsfaktor EI'!S$1,FALSE),
"")</f>
        <v>32.870594059405938</v>
      </c>
      <c r="T71" s="18">
        <f>IFERROR(
                  Andel_oberoende_av_klimat*VLOOKUP($A71,Leveranser_per_nät,'Leveranser per nät'!T$1,FALSE)
               +Andel_beroende_av_klimat*VLOOKUP($A71,Leveranser_per_nät,'Leveranser per nät'!T$1,FALSE)/VLOOKUP($B71,Korrigeringsfaktor_EI,'Korrigeringsfaktor EI'!T$1,FALSE),
"")</f>
        <v>34.501103092783509</v>
      </c>
      <c r="U71" s="18">
        <f>IFERROR(
                  Andel_oberoende_av_klimat*VLOOKUP($A71,Leveranser_per_nät,'Leveranser per nät'!U$1,FALSE)
               +Andel_beroende_av_klimat*VLOOKUP($A71,Leveranser_per_nät,'Leveranser per nät'!U$1,FALSE)/VLOOKUP($B71,Korrigeringsfaktor_EI,'Korrigeringsfaktor EI'!U$1,FALSE),
"")</f>
        <v>18.320270588235296</v>
      </c>
      <c r="V71" s="18">
        <f>IFERROR(
                  Andel_oberoende_av_klimat*VLOOKUP($A71,Leveranser_per_nät,'Leveranser per nät'!V$1,FALSE)
               +Andel_beroende_av_klimat*VLOOKUP($A71,Leveranser_per_nät,'Leveranser per nät'!V$1,FALSE)/VLOOKUP($B71,Korrigeringsfaktor_EI,'Korrigeringsfaktor EI'!V$1,FALSE),
"")</f>
        <v>33.781866666666666</v>
      </c>
      <c r="W71" s="18">
        <f>IFERROR(
                  Andel_oberoende_av_klimat*VLOOKUP($A71,Leveranser_per_nät,'Leveranser per nät'!W$1,FALSE)
               +Andel_beroende_av_klimat*VLOOKUP($A71,Leveranser_per_nät,'Leveranser per nät'!W$1,FALSE)/VLOOKUP($B71,Korrigeringsfaktor_EI,'Korrigeringsfaktor EI'!W$1,FALSE),
"")</f>
        <v>31.370721276595745</v>
      </c>
      <c r="X71" s="18">
        <f>IFERROR(
                  Andel_oberoende_av_klimat*VLOOKUP($A71,Leveranser_per_nät,'Leveranser per nät'!X$1,FALSE)
               +Andel_beroende_av_klimat*VLOOKUP($A71,Leveranser_per_nät,'Leveranser per nät'!X$1,FALSE)/VLOOKUP($B71,Korrigeringsfaktor_EI,'Korrigeringsfaktor EI'!X$1,FALSE),
"")</f>
        <v>32.212258064516128</v>
      </c>
      <c r="Y71" s="18">
        <f>IFERROR(
                  Andel_oberoende_av_klimat*VLOOKUP($A71,Leveranser_per_nät,'Leveranser per nät'!Y$1,FALSE)
               +Andel_beroende_av_klimat*VLOOKUP($A71,Leveranser_per_nät,'Leveranser per nät'!Y$1,FALSE)/VLOOKUP($B71,Korrigeringsfaktor_EI,'Korrigeringsfaktor EI'!Y$1,FALSE),
"")</f>
        <v>32.441111111111113</v>
      </c>
      <c r="Z71" s="18">
        <f>IFERROR(
                  Andel_oberoende_av_klimat*VLOOKUP($A71,Leveranser_per_nät,'Leveranser per nät'!Z$1,FALSE)
               +Andel_beroende_av_klimat*VLOOKUP($A71,Leveranser_per_nät,'Leveranser per nät'!Z$1,FALSE)/VLOOKUP($B71,Korrigeringsfaktor_EI,'Korrigeringsfaktor EI'!Z$1,FALSE),
"")</f>
        <v>32.143793103448282</v>
      </c>
      <c r="AA71" s="18">
        <f>IFERROR(
                  Andel_oberoende_av_klimat*VLOOKUP($A71,Leveranser_per_nät,'Leveranser per nät'!AA$1,FALSE)
               +Andel_beroende_av_klimat*VLOOKUP($A71,Leveranser_per_nät,'Leveranser per nät'!AA$1,FALSE)/VLOOKUP($B71,Korrigeringsfaktor_EI,'Korrigeringsfaktor EI'!AA$1,FALSE),
"")</f>
        <v>32.393938091143596</v>
      </c>
      <c r="AB71" s="18">
        <f>IFERROR(
                  Andel_oberoende_av_klimat*VLOOKUP($A71,Leveranser_per_nät,'Leveranser per nät'!AB$1,FALSE)
               +Andel_beroende_av_klimat*VLOOKUP($A71,Leveranser_per_nät,'Leveranser per nät'!AB$1,FALSE)/VLOOKUP($B71,Korrigeringsfaktor_EI,'Korrigeringsfaktor EI'!AB$1,FALSE),
"")</f>
        <v>32.721998041136146</v>
      </c>
      <c r="AC71" s="18">
        <f>IFERROR(
                  Andel_oberoende_av_klimat*VLOOKUP($A71,Leveranser_per_nät,'Leveranser per nät'!AC$1,FALSE)
               +Andel_beroende_av_klimat*VLOOKUP($A71,Leveranser_per_nät,'Leveranser per nät'!AC$1,FALSE)/VLOOKUP($B71,Korrigeringsfaktor_EI,'Korrigeringsfaktor EI'!AC$1,FALSE),
"")</f>
        <v>32.329182070437568</v>
      </c>
      <c r="AD71">
        <v>117.44</v>
      </c>
    </row>
    <row r="72" spans="1:30" x14ac:dyDescent="0.25">
      <c r="A72" t="s">
        <v>874</v>
      </c>
      <c r="B72" t="s">
        <v>187</v>
      </c>
      <c r="C72" s="18" t="str">
        <f>IFERROR(
                  Andel_oberoende_av_klimat*VLOOKUP($A72,Leveranser_per_nät,'Leveranser per nät'!C$1,FALSE)
               +Andel_beroende_av_klimat*VLOOKUP($A72,Leveranser_per_nät,'Leveranser per nät'!C$1,FALSE)/VLOOKUP($B72,Korrigeringsfaktor_EI,'Korrigeringsfaktor EI'!C$1,FALSE),
"")</f>
        <v/>
      </c>
      <c r="D72" s="18" t="str">
        <f>IFERROR(
                  Andel_oberoende_av_klimat*VLOOKUP($A72,Leveranser_per_nät,'Leveranser per nät'!D$1,FALSE)
               +Andel_beroende_av_klimat*VLOOKUP($A72,Leveranser_per_nät,'Leveranser per nät'!D$1,FALSE)/VLOOKUP($B72,Korrigeringsfaktor_EI,'Korrigeringsfaktor EI'!D$1,FALSE),
"")</f>
        <v/>
      </c>
      <c r="E72" s="18" t="str">
        <f>IFERROR(
                  Andel_oberoende_av_klimat*VLOOKUP($A72,Leveranser_per_nät,'Leveranser per nät'!E$1,FALSE)
               +Andel_beroende_av_klimat*VLOOKUP($A72,Leveranser_per_nät,'Leveranser per nät'!E$1,FALSE)/VLOOKUP($B72,Korrigeringsfaktor_EI,'Korrigeringsfaktor EI'!E$1,FALSE),
"")</f>
        <v/>
      </c>
      <c r="F72" s="18" t="str">
        <f>IFERROR(
                  Andel_oberoende_av_klimat*VLOOKUP($A72,Leveranser_per_nät,'Leveranser per nät'!F$1,FALSE)
               +Andel_beroende_av_klimat*VLOOKUP($A72,Leveranser_per_nät,'Leveranser per nät'!F$1,FALSE)/VLOOKUP($B72,Korrigeringsfaktor_EI,'Korrigeringsfaktor EI'!F$1,FALSE),
"")</f>
        <v/>
      </c>
      <c r="G72" s="18" t="str">
        <f>IFERROR(
                  Andel_oberoende_av_klimat*VLOOKUP($A72,Leveranser_per_nät,'Leveranser per nät'!G$1,FALSE)
               +Andel_beroende_av_klimat*VLOOKUP($A72,Leveranser_per_nät,'Leveranser per nät'!G$1,FALSE)/VLOOKUP($B72,Korrigeringsfaktor_EI,'Korrigeringsfaktor EI'!G$1,FALSE),
"")</f>
        <v/>
      </c>
      <c r="H72" s="18" t="str">
        <f>IFERROR(
                  Andel_oberoende_av_klimat*VLOOKUP($A72,Leveranser_per_nät,'Leveranser per nät'!H$1,FALSE)
               +Andel_beroende_av_klimat*VLOOKUP($A72,Leveranser_per_nät,'Leveranser per nät'!H$1,FALSE)/VLOOKUP($B72,Korrigeringsfaktor_EI,'Korrigeringsfaktor EI'!H$1,FALSE),
"")</f>
        <v/>
      </c>
      <c r="I72" s="18" t="str">
        <f>IFERROR(
                  Andel_oberoende_av_klimat*VLOOKUP($A72,Leveranser_per_nät,'Leveranser per nät'!I$1,FALSE)
               +Andel_beroende_av_klimat*VLOOKUP($A72,Leveranser_per_nät,'Leveranser per nät'!I$1,FALSE)/VLOOKUP($B72,Korrigeringsfaktor_EI,'Korrigeringsfaktor EI'!I$1,FALSE),
"")</f>
        <v/>
      </c>
      <c r="J72" s="18" t="str">
        <f>IFERROR(
                  Andel_oberoende_av_klimat*VLOOKUP($A72,Leveranser_per_nät,'Leveranser per nät'!J$1,FALSE)
               +Andel_beroende_av_klimat*VLOOKUP($A72,Leveranser_per_nät,'Leveranser per nät'!J$1,FALSE)/VLOOKUP($B72,Korrigeringsfaktor_EI,'Korrigeringsfaktor EI'!J$1,FALSE),
"")</f>
        <v/>
      </c>
      <c r="K72" s="18" t="str">
        <f>IFERROR(
                  Andel_oberoende_av_klimat*VLOOKUP($A72,Leveranser_per_nät,'Leveranser per nät'!K$1,FALSE)
               +Andel_beroende_av_klimat*VLOOKUP($A72,Leveranser_per_nät,'Leveranser per nät'!K$1,FALSE)/VLOOKUP($B72,Korrigeringsfaktor_EI,'Korrigeringsfaktor EI'!K$1,FALSE),
"")</f>
        <v/>
      </c>
      <c r="L72" s="18" t="str">
        <f>IFERROR(
                  Andel_oberoende_av_klimat*VLOOKUP($A72,Leveranser_per_nät,'Leveranser per nät'!L$1,FALSE)
               +Andel_beroende_av_klimat*VLOOKUP($A72,Leveranser_per_nät,'Leveranser per nät'!L$1,FALSE)/VLOOKUP($B72,Korrigeringsfaktor_EI,'Korrigeringsfaktor EI'!L$1,FALSE),
"")</f>
        <v/>
      </c>
      <c r="M72" s="18" t="str">
        <f>IFERROR(
                  Andel_oberoende_av_klimat*VLOOKUP($A72,Leveranser_per_nät,'Leveranser per nät'!M$1,FALSE)
               +Andel_beroende_av_klimat*VLOOKUP($A72,Leveranser_per_nät,'Leveranser per nät'!M$1,FALSE)/VLOOKUP($B72,Korrigeringsfaktor_EI,'Korrigeringsfaktor EI'!M$1,FALSE),
"")</f>
        <v/>
      </c>
      <c r="N72" s="18" t="str">
        <f>IFERROR(
                  Andel_oberoende_av_klimat*VLOOKUP($A72,Leveranser_per_nät,'Leveranser per nät'!N$1,FALSE)
               +Andel_beroende_av_klimat*VLOOKUP($A72,Leveranser_per_nät,'Leveranser per nät'!N$1,FALSE)/VLOOKUP($B72,Korrigeringsfaktor_EI,'Korrigeringsfaktor EI'!N$1,FALSE),
"")</f>
        <v/>
      </c>
      <c r="O72" s="18" t="str">
        <f>IFERROR(
                  Andel_oberoende_av_klimat*VLOOKUP($A72,Leveranser_per_nät,'Leveranser per nät'!O$1,FALSE)
               +Andel_beroende_av_klimat*VLOOKUP($A72,Leveranser_per_nät,'Leveranser per nät'!O$1,FALSE)/VLOOKUP($B72,Korrigeringsfaktor_EI,'Korrigeringsfaktor EI'!O$1,FALSE),
"")</f>
        <v/>
      </c>
      <c r="P72" s="18" t="str">
        <f>IFERROR(
                  Andel_oberoende_av_klimat*VLOOKUP($A72,Leveranser_per_nät,'Leveranser per nät'!P$1,FALSE)
               +Andel_beroende_av_klimat*VLOOKUP($A72,Leveranser_per_nät,'Leveranser per nät'!P$1,FALSE)/VLOOKUP($B72,Korrigeringsfaktor_EI,'Korrigeringsfaktor EI'!P$1,FALSE),
"")</f>
        <v/>
      </c>
      <c r="Q72" s="18" t="str">
        <f>IFERROR(
                  Andel_oberoende_av_klimat*VLOOKUP($A72,Leveranser_per_nät,'Leveranser per nät'!Q$1,FALSE)
               +Andel_beroende_av_klimat*VLOOKUP($A72,Leveranser_per_nät,'Leveranser per nät'!Q$1,FALSE)/VLOOKUP($B72,Korrigeringsfaktor_EI,'Korrigeringsfaktor EI'!Q$1,FALSE),
"")</f>
        <v/>
      </c>
      <c r="R72" s="18" t="str">
        <f>IFERROR(
                  Andel_oberoende_av_klimat*VLOOKUP($A72,Leveranser_per_nät,'Leveranser per nät'!R$1,FALSE)
               +Andel_beroende_av_klimat*VLOOKUP($A72,Leveranser_per_nät,'Leveranser per nät'!R$1,FALSE)/VLOOKUP($B72,Korrigeringsfaktor_EI,'Korrigeringsfaktor EI'!R$1,FALSE),
"")</f>
        <v/>
      </c>
      <c r="S72" s="18" t="str">
        <f>IFERROR(
                  Andel_oberoende_av_klimat*VLOOKUP($A72,Leveranser_per_nät,'Leveranser per nät'!S$1,FALSE)
               +Andel_beroende_av_klimat*VLOOKUP($A72,Leveranser_per_nät,'Leveranser per nät'!S$1,FALSE)/VLOOKUP($B72,Korrigeringsfaktor_EI,'Korrigeringsfaktor EI'!S$1,FALSE),
"")</f>
        <v/>
      </c>
      <c r="T72" s="18" t="str">
        <f>IFERROR(
                  Andel_oberoende_av_klimat*VLOOKUP($A72,Leveranser_per_nät,'Leveranser per nät'!T$1,FALSE)
               +Andel_beroende_av_klimat*VLOOKUP($A72,Leveranser_per_nät,'Leveranser per nät'!T$1,FALSE)/VLOOKUP($B72,Korrigeringsfaktor_EI,'Korrigeringsfaktor EI'!T$1,FALSE),
"")</f>
        <v/>
      </c>
      <c r="U72" s="18" t="str">
        <f>IFERROR(
                  Andel_oberoende_av_klimat*VLOOKUP($A72,Leveranser_per_nät,'Leveranser per nät'!U$1,FALSE)
               +Andel_beroende_av_klimat*VLOOKUP($A72,Leveranser_per_nät,'Leveranser per nät'!U$1,FALSE)/VLOOKUP($B72,Korrigeringsfaktor_EI,'Korrigeringsfaktor EI'!U$1,FALSE),
"")</f>
        <v/>
      </c>
      <c r="V72" s="18" t="str">
        <f>IFERROR(
                  Andel_oberoende_av_klimat*VLOOKUP($A72,Leveranser_per_nät,'Leveranser per nät'!V$1,FALSE)
               +Andel_beroende_av_klimat*VLOOKUP($A72,Leveranser_per_nät,'Leveranser per nät'!V$1,FALSE)/VLOOKUP($B72,Korrigeringsfaktor_EI,'Korrigeringsfaktor EI'!V$1,FALSE),
"")</f>
        <v/>
      </c>
      <c r="W72" s="18" t="str">
        <f>IFERROR(
                  Andel_oberoende_av_klimat*VLOOKUP($A72,Leveranser_per_nät,'Leveranser per nät'!W$1,FALSE)
               +Andel_beroende_av_klimat*VLOOKUP($A72,Leveranser_per_nät,'Leveranser per nät'!W$1,FALSE)/VLOOKUP($B72,Korrigeringsfaktor_EI,'Korrigeringsfaktor EI'!W$1,FALSE),
"")</f>
        <v/>
      </c>
      <c r="X72" s="18" t="str">
        <f>IFERROR(
                  Andel_oberoende_av_klimat*VLOOKUP($A72,Leveranser_per_nät,'Leveranser per nät'!X$1,FALSE)
               +Andel_beroende_av_klimat*VLOOKUP($A72,Leveranser_per_nät,'Leveranser per nät'!X$1,FALSE)/VLOOKUP($B72,Korrigeringsfaktor_EI,'Korrigeringsfaktor EI'!X$1,FALSE),
"")</f>
        <v/>
      </c>
      <c r="Y72" s="18" t="str">
        <f>IFERROR(
                  Andel_oberoende_av_klimat*VLOOKUP($A72,Leveranser_per_nät,'Leveranser per nät'!Y$1,FALSE)
               +Andel_beroende_av_klimat*VLOOKUP($A72,Leveranser_per_nät,'Leveranser per nät'!Y$1,FALSE)/VLOOKUP($B72,Korrigeringsfaktor_EI,'Korrigeringsfaktor EI'!Y$1,FALSE),
"")</f>
        <v/>
      </c>
      <c r="Z72" s="18" t="str">
        <f>IFERROR(
                  Andel_oberoende_av_klimat*VLOOKUP($A72,Leveranser_per_nät,'Leveranser per nät'!Z$1,FALSE)
               +Andel_beroende_av_klimat*VLOOKUP($A72,Leveranser_per_nät,'Leveranser per nät'!Z$1,FALSE)/VLOOKUP($B72,Korrigeringsfaktor_EI,'Korrigeringsfaktor EI'!Z$1,FALSE),
"")</f>
        <v/>
      </c>
      <c r="AA72" s="18" t="str">
        <f>IFERROR(
                  Andel_oberoende_av_klimat*VLOOKUP($A72,Leveranser_per_nät,'Leveranser per nät'!AA$1,FALSE)
               +Andel_beroende_av_klimat*VLOOKUP($A72,Leveranser_per_nät,'Leveranser per nät'!AA$1,FALSE)/VLOOKUP($B72,Korrigeringsfaktor_EI,'Korrigeringsfaktor EI'!AA$1,FALSE),
"")</f>
        <v/>
      </c>
      <c r="AB72" s="18" t="str">
        <f>IFERROR(
                  Andel_oberoende_av_klimat*VLOOKUP($A72,Leveranser_per_nät,'Leveranser per nät'!AB$1,FALSE)
               +Andel_beroende_av_klimat*VLOOKUP($A72,Leveranser_per_nät,'Leveranser per nät'!AB$1,FALSE)/VLOOKUP($B72,Korrigeringsfaktor_EI,'Korrigeringsfaktor EI'!AB$1,FALSE),
"")</f>
        <v/>
      </c>
      <c r="AC72" s="18" t="str">
        <f>IFERROR(
                  Andel_oberoende_av_klimat*VLOOKUP($A72,Leveranser_per_nät,'Leveranser per nät'!AC$1,FALSE)
               +Andel_beroende_av_klimat*VLOOKUP($A72,Leveranser_per_nät,'Leveranser per nät'!AC$1,FALSE)/VLOOKUP($B72,Korrigeringsfaktor_EI,'Korrigeringsfaktor EI'!AC$1,FALSE),
"")</f>
        <v/>
      </c>
      <c r="AD72">
        <v>41.122999999999998</v>
      </c>
    </row>
    <row r="73" spans="1:30" x14ac:dyDescent="0.25">
      <c r="A73" t="s">
        <v>98</v>
      </c>
      <c r="B73" t="s">
        <v>98</v>
      </c>
      <c r="C73" s="18">
        <f>IFERROR(
                  Andel_oberoende_av_klimat*VLOOKUP($A73,Leveranser_per_nät,'Leveranser per nät'!C$1,FALSE)
               +Andel_beroende_av_klimat*VLOOKUP($A73,Leveranser_per_nät,'Leveranser per nät'!C$1,FALSE)/VLOOKUP("Nybro",Korrigeringsfaktor_EI,'Korrigeringsfaktor EI'!C$1,FALSE),
"")</f>
        <v>0</v>
      </c>
      <c r="D73" s="18">
        <f>IFERROR(
                  Andel_oberoende_av_klimat*VLOOKUP($A73,Leveranser_per_nät,'Leveranser per nät'!D$1,FALSE)
               +Andel_beroende_av_klimat*VLOOKUP($A73,Leveranser_per_nät,'Leveranser per nät'!D$1,FALSE)/VLOOKUP("Nybro",Korrigeringsfaktor_EI,'Korrigeringsfaktor EI'!D$1,FALSE),
"")</f>
        <v>0</v>
      </c>
      <c r="E73" s="18">
        <f>IFERROR(
                  Andel_oberoende_av_klimat*VLOOKUP($A73,Leveranser_per_nät,'Leveranser per nät'!E$1,FALSE)
               +Andel_beroende_av_klimat*VLOOKUP($A73,Leveranser_per_nät,'Leveranser per nät'!E$1,FALSE)/VLOOKUP("Nybro",Korrigeringsfaktor_EI,'Korrigeringsfaktor EI'!E$1,FALSE),
"")</f>
        <v>0</v>
      </c>
      <c r="F73" s="18">
        <f>IFERROR(
                  Andel_oberoende_av_klimat*VLOOKUP($A73,Leveranser_per_nät,'Leveranser per nät'!F$1,FALSE)
               +Andel_beroende_av_klimat*VLOOKUP($A73,Leveranser_per_nät,'Leveranser per nät'!F$1,FALSE)/VLOOKUP("Nybro",Korrigeringsfaktor_EI,'Korrigeringsfaktor EI'!F$1,FALSE),
"")</f>
        <v>0</v>
      </c>
      <c r="G73" s="18">
        <f>IFERROR(
                  Andel_oberoende_av_klimat*VLOOKUP($A73,Leveranser_per_nät,'Leveranser per nät'!G$1,FALSE)
               +Andel_beroende_av_klimat*VLOOKUP($A73,Leveranser_per_nät,'Leveranser per nät'!G$1,FALSE)/VLOOKUP("Nybro",Korrigeringsfaktor_EI,'Korrigeringsfaktor EI'!G$1,FALSE),
"")</f>
        <v>0</v>
      </c>
      <c r="H73" s="18">
        <f>IFERROR(
                  Andel_oberoende_av_klimat*VLOOKUP($A73,Leveranser_per_nät,'Leveranser per nät'!H$1,FALSE)
               +Andel_beroende_av_klimat*VLOOKUP($A73,Leveranser_per_nät,'Leveranser per nät'!H$1,FALSE)/VLOOKUP("Nybro",Korrigeringsfaktor_EI,'Korrigeringsfaktor EI'!H$1,FALSE),
"")</f>
        <v>0</v>
      </c>
      <c r="I73" s="18">
        <f>IFERROR(
                  Andel_oberoende_av_klimat*VLOOKUP($A73,Leveranser_per_nät,'Leveranser per nät'!I$1,FALSE)
               +Andel_beroende_av_klimat*VLOOKUP($A73,Leveranser_per_nät,'Leveranser per nät'!I$1,FALSE)/VLOOKUP("Nybro",Korrigeringsfaktor_EI,'Korrigeringsfaktor EI'!I$1,FALSE),
"")</f>
        <v>0</v>
      </c>
      <c r="J73" s="18">
        <f>IFERROR(
                  Andel_oberoende_av_klimat*VLOOKUP($A73,Leveranser_per_nät,'Leveranser per nät'!J$1,FALSE)
               +Andel_beroende_av_klimat*VLOOKUP($A73,Leveranser_per_nät,'Leveranser per nät'!J$1,FALSE)/VLOOKUP("Nybro",Korrigeringsfaktor_EI,'Korrigeringsfaktor EI'!J$1,FALSE),
"")</f>
        <v>0</v>
      </c>
      <c r="K73" s="18">
        <f>IFERROR(
                  Andel_oberoende_av_klimat*VLOOKUP($A73,Leveranser_per_nät,'Leveranser per nät'!K$1,FALSE)
               +Andel_beroende_av_klimat*VLOOKUP($A73,Leveranser_per_nät,'Leveranser per nät'!K$1,FALSE)/VLOOKUP("Nybro",Korrigeringsfaktor_EI,'Korrigeringsfaktor EI'!K$1,FALSE),
"")</f>
        <v>0</v>
      </c>
      <c r="L73" s="18">
        <f>IFERROR(
                  Andel_oberoende_av_klimat*VLOOKUP($A73,Leveranser_per_nät,'Leveranser per nät'!L$1,FALSE)
               +Andel_beroende_av_klimat*VLOOKUP($A73,Leveranser_per_nät,'Leveranser per nät'!L$1,FALSE)/VLOOKUP("Nybro",Korrigeringsfaktor_EI,'Korrigeringsfaktor EI'!L$1,FALSE),
"")</f>
        <v>0</v>
      </c>
      <c r="M73" s="18">
        <f>IFERROR(
                  Andel_oberoende_av_klimat*VLOOKUP($A73,Leveranser_per_nät,'Leveranser per nät'!M$1,FALSE)
               +Andel_beroende_av_klimat*VLOOKUP($A73,Leveranser_per_nät,'Leveranser per nät'!M$1,FALSE)/VLOOKUP("Nybro",Korrigeringsfaktor_EI,'Korrigeringsfaktor EI'!M$1,FALSE),
"")</f>
        <v>0</v>
      </c>
      <c r="N73" s="18">
        <f>IFERROR(
                  Andel_oberoende_av_klimat*VLOOKUP($A73,Leveranser_per_nät,'Leveranser per nät'!N$1,FALSE)
               +Andel_beroende_av_klimat*VLOOKUP($A73,Leveranser_per_nät,'Leveranser per nät'!N$1,FALSE)/VLOOKUP("Nybro",Korrigeringsfaktor_EI,'Korrigeringsfaktor EI'!N$1,FALSE),
"")</f>
        <v>0</v>
      </c>
      <c r="O73" s="18">
        <f>IFERROR(
                  Andel_oberoende_av_klimat*VLOOKUP($A73,Leveranser_per_nät,'Leveranser per nät'!O$1,FALSE)
               +Andel_beroende_av_klimat*VLOOKUP($A73,Leveranser_per_nät,'Leveranser per nät'!O$1,FALSE)/VLOOKUP("Nybro",Korrigeringsfaktor_EI,'Korrigeringsfaktor EI'!O$1,FALSE),
"")</f>
        <v>0</v>
      </c>
      <c r="P73" s="18">
        <f>IFERROR(
                  Andel_oberoende_av_klimat*VLOOKUP($A73,Leveranser_per_nät,'Leveranser per nät'!P$1,FALSE)
               +Andel_beroende_av_klimat*VLOOKUP($A73,Leveranser_per_nät,'Leveranser per nät'!P$1,FALSE)/VLOOKUP("Nybro",Korrigeringsfaktor_EI,'Korrigeringsfaktor EI'!P$1,FALSE),
"")</f>
        <v>54.162857142857142</v>
      </c>
      <c r="Q73" s="18">
        <f>IFERROR(
                  Andel_oberoende_av_klimat*VLOOKUP($A73,Leveranser_per_nät,'Leveranser per nät'!Q$1,FALSE)
               +Andel_beroende_av_klimat*VLOOKUP($A73,Leveranser_per_nät,'Leveranser per nät'!Q$1,FALSE)/VLOOKUP("Nybro",Korrigeringsfaktor_EI,'Korrigeringsfaktor EI'!Q$1,FALSE),
"")</f>
        <v>46.61999999999999</v>
      </c>
      <c r="R73" s="18">
        <f>IFERROR(
                  Andel_oberoende_av_klimat*VLOOKUP($A73,Leveranser_per_nät,'Leveranser per nät'!R$1,FALSE)
               +Andel_beroende_av_klimat*VLOOKUP($A73,Leveranser_per_nät,'Leveranser per nät'!R$1,FALSE)/VLOOKUP("Nybro",Korrigeringsfaktor_EI,'Korrigeringsfaktor EI'!R$1,FALSE),
"")</f>
        <v>49.792150537634413</v>
      </c>
      <c r="S73" s="18">
        <f>IFERROR(
                  Andel_oberoende_av_klimat*VLOOKUP($A73,Leveranser_per_nät,'Leveranser per nät'!S$1,FALSE)
               +Andel_beroende_av_klimat*VLOOKUP($A73,Leveranser_per_nät,'Leveranser per nät'!S$1,FALSE)/VLOOKUP("Nybro",Korrigeringsfaktor_EI,'Korrigeringsfaktor EI'!S$1,FALSE),
"")</f>
        <v>46.674257425742574</v>
      </c>
      <c r="T73" s="18">
        <f>IFERROR(
                  Andel_oberoende_av_klimat*VLOOKUP($A73,Leveranser_per_nät,'Leveranser per nät'!T$1,FALSE)
               +Andel_beroende_av_klimat*VLOOKUP($A73,Leveranser_per_nät,'Leveranser per nät'!T$1,FALSE)/VLOOKUP("Nybro",Korrigeringsfaktor_EI,'Korrigeringsfaktor EI'!T$1,FALSE),
"")</f>
        <v>47.735151515151514</v>
      </c>
      <c r="U73" s="18">
        <f>IFERROR(
                  Andel_oberoende_av_klimat*VLOOKUP($A73,Leveranser_per_nät,'Leveranser per nät'!U$1,FALSE)
               +Andel_beroende_av_klimat*VLOOKUP($A73,Leveranser_per_nät,'Leveranser per nät'!U$1,FALSE)/VLOOKUP("Nybro",Korrigeringsfaktor_EI,'Korrigeringsfaktor EI'!U$1,FALSE),
"")</f>
        <v>44.981797752808987</v>
      </c>
      <c r="V73" s="18">
        <f>IFERROR(
                  Andel_oberoende_av_klimat*VLOOKUP($A73,Leveranser_per_nät,'Leveranser per nät'!V$1,FALSE)
               +Andel_beroende_av_klimat*VLOOKUP($A73,Leveranser_per_nät,'Leveranser per nät'!V$1,FALSE)/VLOOKUP("Nybro",Korrigeringsfaktor_EI,'Korrigeringsfaktor EI'!V$1,FALSE),
"")</f>
        <v>46.344444444444449</v>
      </c>
      <c r="W73" s="18">
        <f>IFERROR(
                  Andel_oberoende_av_klimat*VLOOKUP($A73,Leveranser_per_nät,'Leveranser per nät'!W$1,FALSE)
               +Andel_beroende_av_klimat*VLOOKUP($A73,Leveranser_per_nät,'Leveranser per nät'!W$1,FALSE)/VLOOKUP("Nybro",Korrigeringsfaktor_EI,'Korrigeringsfaktor EI'!W$1,FALSE),
"")</f>
        <v>47.694736842105264</v>
      </c>
      <c r="X73" s="18">
        <f>IFERROR(
                  Andel_oberoende_av_klimat*VLOOKUP($A73,Leveranser_per_nät,'Leveranser per nät'!X$1,FALSE)
               +Andel_beroende_av_klimat*VLOOKUP($A73,Leveranser_per_nät,'Leveranser per nät'!X$1,FALSE)/VLOOKUP("Nybro",Korrigeringsfaktor_EI,'Korrigeringsfaktor EI'!X$1,FALSE),
"")</f>
        <v>48.423655913978493</v>
      </c>
      <c r="Y73" s="18">
        <f>IFERROR(
                  Andel_oberoende_av_klimat*VLOOKUP($A73,Leveranser_per_nät,'Leveranser per nät'!Y$1,FALSE)
               +Andel_beroende_av_klimat*VLOOKUP($A73,Leveranser_per_nät,'Leveranser per nät'!Y$1,FALSE)/VLOOKUP($B73,Korrigeringsfaktor_EI,'Korrigeringsfaktor EI'!Y$1,FALSE),
"")</f>
        <v>50.44</v>
      </c>
      <c r="Z73" s="18">
        <f>IFERROR(
                  Andel_oberoende_av_klimat*VLOOKUP($A73,Leveranser_per_nät,'Leveranser per nät'!Z$1,FALSE)
               +Andel_beroende_av_klimat*VLOOKUP($A73,Leveranser_per_nät,'Leveranser per nät'!Z$1,FALSE)/VLOOKUP($B73,Korrigeringsfaktor_EI,'Korrigeringsfaktor EI'!Z$1,FALSE),
"")</f>
        <v>46.176966292134829</v>
      </c>
      <c r="AA73" s="18">
        <f>IFERROR(
                  Andel_oberoende_av_klimat*VLOOKUP($A73,Leveranser_per_nät,'Leveranser per nät'!AA$1,FALSE)
               +Andel_beroende_av_klimat*VLOOKUP($A73,Leveranser_per_nät,'Leveranser per nät'!AA$1,FALSE)/VLOOKUP($B73,Korrigeringsfaktor_EI,'Korrigeringsfaktor EI'!AA$1,FALSE),
"")</f>
        <v>45.607771826459562</v>
      </c>
      <c r="AB73" s="18">
        <f>IFERROR(
                  Andel_oberoende_av_klimat*VLOOKUP($A73,Leveranser_per_nät,'Leveranser per nät'!AB$1,FALSE)
               +Andel_beroende_av_klimat*VLOOKUP($A73,Leveranser_per_nät,'Leveranser per nät'!AB$1,FALSE)/VLOOKUP($B73,Korrigeringsfaktor_EI,'Korrigeringsfaktor EI'!AB$1,FALSE),
"")</f>
        <v>47.601581027667976</v>
      </c>
      <c r="AC73" s="18">
        <f>IFERROR(
                  Andel_oberoende_av_klimat*VLOOKUP($A73,Leveranser_per_nät,'Leveranser per nät'!AC$1,FALSE)
               +Andel_beroende_av_klimat*VLOOKUP($A73,Leveranser_per_nät,'Leveranser per nät'!AC$1,FALSE)/VLOOKUP($B73,Korrigeringsfaktor_EI,'Korrigeringsfaktor EI'!AC$1,FALSE),
"")</f>
        <v>52.542869198312246</v>
      </c>
      <c r="AD73">
        <v>50.6</v>
      </c>
    </row>
    <row r="74" spans="1:30" x14ac:dyDescent="0.25">
      <c r="A74" t="s">
        <v>101</v>
      </c>
      <c r="B74" t="s">
        <v>101</v>
      </c>
      <c r="C74" s="18">
        <f>IFERROR(
                  Andel_oberoende_av_klimat*VLOOKUP($A74,Leveranser_per_nät,'Leveranser per nät'!C$1,FALSE)
               +Andel_beroende_av_klimat*VLOOKUP($A74,Leveranser_per_nät,'Leveranser per nät'!C$1,FALSE)/VLOOKUP($B74,Korrigeringsfaktor_EI,'Korrigeringsfaktor EI'!C$1,FALSE),
"")</f>
        <v>221.86666666666665</v>
      </c>
      <c r="D74" s="18">
        <f>IFERROR(
                  Andel_oberoende_av_klimat*VLOOKUP($A74,Leveranser_per_nät,'Leveranser per nät'!D$1,FALSE)
               +Andel_beroende_av_klimat*VLOOKUP($A74,Leveranser_per_nät,'Leveranser per nät'!D$1,FALSE)/VLOOKUP($B74,Korrigeringsfaktor_EI,'Korrigeringsfaktor EI'!D$1,FALSE),
"")</f>
        <v>212.49285714285713</v>
      </c>
      <c r="E74" s="18">
        <f>IFERROR(
                  Andel_oberoende_av_klimat*VLOOKUP($A74,Leveranser_per_nät,'Leveranser per nät'!E$1,FALSE)
               +Andel_beroende_av_klimat*VLOOKUP($A74,Leveranser_per_nät,'Leveranser per nät'!E$1,FALSE)/VLOOKUP($B74,Korrigeringsfaktor_EI,'Korrigeringsfaktor EI'!E$1,FALSE),
"")</f>
        <v>214.53495145631064</v>
      </c>
      <c r="F74" s="18">
        <f>IFERROR(
                  Andel_oberoende_av_klimat*VLOOKUP($A74,Leveranser_per_nät,'Leveranser per nät'!F$1,FALSE)
               +Andel_beroende_av_klimat*VLOOKUP($A74,Leveranser_per_nät,'Leveranser per nät'!F$1,FALSE)/VLOOKUP($B74,Korrigeringsfaktor_EI,'Korrigeringsfaktor EI'!F$1,FALSE),
"")</f>
        <v>209.44210526315788</v>
      </c>
      <c r="G74" s="18">
        <f>IFERROR(
                  Andel_oberoende_av_klimat*VLOOKUP($A74,Leveranser_per_nät,'Leveranser per nät'!G$1,FALSE)
               +Andel_beroende_av_klimat*VLOOKUP($A74,Leveranser_per_nät,'Leveranser per nät'!G$1,FALSE)/VLOOKUP($B74,Korrigeringsfaktor_EI,'Korrigeringsfaktor EI'!G$1,FALSE),
"")</f>
        <v>215.13033707865168</v>
      </c>
      <c r="H74" s="18">
        <f>IFERROR(
                  Andel_oberoende_av_klimat*VLOOKUP($A74,Leveranser_per_nät,'Leveranser per nät'!H$1,FALSE)
               +Andel_beroende_av_klimat*VLOOKUP($A74,Leveranser_per_nät,'Leveranser per nät'!H$1,FALSE)/VLOOKUP($B74,Korrigeringsfaktor_EI,'Korrigeringsfaktor EI'!H$1,FALSE),
"")</f>
        <v>215.02857142857141</v>
      </c>
      <c r="I74" s="18">
        <f>IFERROR(
                  Andel_oberoende_av_klimat*VLOOKUP($A74,Leveranser_per_nät,'Leveranser per nät'!I$1,FALSE)
               +Andel_beroende_av_klimat*VLOOKUP($A74,Leveranser_per_nät,'Leveranser per nät'!I$1,FALSE)/VLOOKUP($B74,Korrigeringsfaktor_EI,'Korrigeringsfaktor EI'!I$1,FALSE),
"")</f>
        <v>218.92639166666669</v>
      </c>
      <c r="J74" s="18">
        <f>IFERROR(
                  Andel_oberoende_av_klimat*VLOOKUP($A74,Leveranser_per_nät,'Leveranser per nät'!J$1,FALSE)
               +Andel_beroende_av_klimat*VLOOKUP($A74,Leveranser_per_nät,'Leveranser per nät'!J$1,FALSE)/VLOOKUP($B74,Korrigeringsfaktor_EI,'Korrigeringsfaktor EI'!J$1,FALSE),
"")</f>
        <v>216.04285714285714</v>
      </c>
      <c r="K74" s="18">
        <f>IFERROR(
                  Andel_oberoende_av_klimat*VLOOKUP($A74,Leveranser_per_nät,'Leveranser per nät'!K$1,FALSE)
               +Andel_beroende_av_klimat*VLOOKUP($A74,Leveranser_per_nät,'Leveranser per nät'!K$1,FALSE)/VLOOKUP($B74,Korrigeringsfaktor_EI,'Korrigeringsfaktor EI'!K$1,FALSE),
"")</f>
        <v>215.56804123711342</v>
      </c>
      <c r="L74" s="18">
        <f>IFERROR(
                  Andel_oberoende_av_klimat*VLOOKUP($A74,Leveranser_per_nät,'Leveranser per nät'!L$1,FALSE)
               +Andel_beroende_av_klimat*VLOOKUP($A74,Leveranser_per_nät,'Leveranser per nät'!L$1,FALSE)/VLOOKUP($B74,Korrigeringsfaktor_EI,'Korrigeringsfaktor EI'!L$1,FALSE),
"")</f>
        <v>215.20425531914896</v>
      </c>
      <c r="M74" s="18">
        <f>IFERROR(
                  Andel_oberoende_av_klimat*VLOOKUP($A74,Leveranser_per_nät,'Leveranser per nät'!M$1,FALSE)
               +Andel_beroende_av_klimat*VLOOKUP($A74,Leveranser_per_nät,'Leveranser per nät'!M$1,FALSE)/VLOOKUP($B74,Korrigeringsfaktor_EI,'Korrigeringsfaktor EI'!M$1,FALSE),
"")</f>
        <v>220.26153846153846</v>
      </c>
      <c r="N74" s="18">
        <f>IFERROR(
                  Andel_oberoende_av_klimat*VLOOKUP($A74,Leveranser_per_nät,'Leveranser per nät'!N$1,FALSE)
               +Andel_beroende_av_klimat*VLOOKUP($A74,Leveranser_per_nät,'Leveranser per nät'!N$1,FALSE)/VLOOKUP($B74,Korrigeringsfaktor_EI,'Korrigeringsfaktor EI'!N$1,FALSE),
"")</f>
        <v>219.59999999999997</v>
      </c>
      <c r="O74" s="18">
        <f>IFERROR(
                  Andel_oberoende_av_klimat*VLOOKUP($A74,Leveranser_per_nät,'Leveranser per nät'!O$1,FALSE)
               +Andel_beroende_av_klimat*VLOOKUP($A74,Leveranser_per_nät,'Leveranser per nät'!O$1,FALSE)/VLOOKUP($B74,Korrigeringsfaktor_EI,'Korrigeringsfaktor EI'!O$1,FALSE),
"")</f>
        <v>211.87078651685394</v>
      </c>
      <c r="P74" s="18">
        <f>IFERROR(
                  Andel_oberoende_av_klimat*VLOOKUP($A74,Leveranser_per_nät,'Leveranser per nät'!P$1,FALSE)
               +Andel_beroende_av_klimat*VLOOKUP($A74,Leveranser_per_nät,'Leveranser per nät'!P$1,FALSE)/VLOOKUP($B74,Korrigeringsfaktor_EI,'Korrigeringsfaktor EI'!P$1,FALSE),
"")</f>
        <v>209.43814432989691</v>
      </c>
      <c r="Q74" s="18">
        <f>IFERROR(
                  Andel_oberoende_av_klimat*VLOOKUP($A74,Leveranser_per_nät,'Leveranser per nät'!Q$1,FALSE)
               +Andel_beroende_av_klimat*VLOOKUP($A74,Leveranser_per_nät,'Leveranser per nät'!Q$1,FALSE)/VLOOKUP($B74,Korrigeringsfaktor_EI,'Korrigeringsfaktor EI'!Q$1,FALSE),
"")</f>
        <v>217.91415929203538</v>
      </c>
      <c r="R74" s="18">
        <f>IFERROR(
                  Andel_oberoende_av_klimat*VLOOKUP($A74,Leveranser_per_nät,'Leveranser per nät'!R$1,FALSE)
               +Andel_beroende_av_klimat*VLOOKUP($A74,Leveranser_per_nät,'Leveranser per nät'!R$1,FALSE)/VLOOKUP($B74,Korrigeringsfaktor_EI,'Korrigeringsfaktor EI'!R$1,FALSE),
"")</f>
        <v>210.16666666666666</v>
      </c>
      <c r="S74" s="18">
        <f>IFERROR(
                  Andel_oberoende_av_klimat*VLOOKUP($A74,Leveranser_per_nät,'Leveranser per nät'!S$1,FALSE)
               +Andel_beroende_av_klimat*VLOOKUP($A74,Leveranser_per_nät,'Leveranser per nät'!S$1,FALSE)/VLOOKUP($B74,Korrigeringsfaktor_EI,'Korrigeringsfaktor EI'!S$1,FALSE),
"")</f>
        <v>212.49191919191918</v>
      </c>
      <c r="T74" s="18">
        <f>IFERROR(
                  Andel_oberoende_av_klimat*VLOOKUP($A74,Leveranser_per_nät,'Leveranser per nät'!T$1,FALSE)
               +Andel_beroende_av_klimat*VLOOKUP($A74,Leveranser_per_nät,'Leveranser per nät'!T$1,FALSE)/VLOOKUP($B74,Korrigeringsfaktor_EI,'Korrigeringsfaktor EI'!T$1,FALSE),
"")</f>
        <v>215.66315789473686</v>
      </c>
      <c r="U74" s="18">
        <f>IFERROR(
                  Andel_oberoende_av_klimat*VLOOKUP($A74,Leveranser_per_nät,'Leveranser per nät'!U$1,FALSE)
               +Andel_beroende_av_klimat*VLOOKUP($A74,Leveranser_per_nät,'Leveranser per nät'!U$1,FALSE)/VLOOKUP($B74,Korrigeringsfaktor_EI,'Korrigeringsfaktor EI'!U$1,FALSE),
"")</f>
        <v>210.16666666666666</v>
      </c>
      <c r="V74" s="18">
        <f>IFERROR(
                  Andel_oberoende_av_klimat*VLOOKUP($A74,Leveranser_per_nät,'Leveranser per nät'!V$1,FALSE)
               +Andel_beroende_av_klimat*VLOOKUP($A74,Leveranser_per_nät,'Leveranser per nät'!V$1,FALSE)/VLOOKUP($B74,Korrigeringsfaktor_EI,'Korrigeringsfaktor EI'!V$1,FALSE),
"")</f>
        <v>212.32222222222219</v>
      </c>
      <c r="W74" s="18">
        <f>IFERROR(
                  Andel_oberoende_av_klimat*VLOOKUP($A74,Leveranser_per_nät,'Leveranser per nät'!W$1,FALSE)
               +Andel_beroende_av_klimat*VLOOKUP($A74,Leveranser_per_nät,'Leveranser per nät'!W$1,FALSE)/VLOOKUP($B74,Korrigeringsfaktor_EI,'Korrigeringsfaktor EI'!W$1,FALSE),
"")</f>
        <v>217.73684210526318</v>
      </c>
      <c r="X74" s="18">
        <f>IFERROR(
                  Andel_oberoende_av_klimat*VLOOKUP($A74,Leveranser_per_nät,'Leveranser per nät'!X$1,FALSE)
               +Andel_beroende_av_klimat*VLOOKUP($A74,Leveranser_per_nät,'Leveranser per nät'!X$1,FALSE)/VLOOKUP($B74,Korrigeringsfaktor_EI,'Korrigeringsfaktor EI'!X$1,FALSE),
"")</f>
        <v>221.47234042553191</v>
      </c>
      <c r="Y74" s="18">
        <f>IFERROR(
                  Andel_oberoende_av_klimat*VLOOKUP($A74,Leveranser_per_nät,'Leveranser per nät'!Y$1,FALSE)
               +Andel_beroende_av_klimat*VLOOKUP($A74,Leveranser_per_nät,'Leveranser per nät'!Y$1,FALSE)/VLOOKUP($B74,Korrigeringsfaktor_EI,'Korrigeringsfaktor EI'!Y$1,FALSE),
"")</f>
        <v>227.74615384615385</v>
      </c>
      <c r="Z74" s="18">
        <f>IFERROR(
                  Andel_oberoende_av_klimat*VLOOKUP($A74,Leveranser_per_nät,'Leveranser per nät'!Z$1,FALSE)
               +Andel_beroende_av_klimat*VLOOKUP($A74,Leveranser_per_nät,'Leveranser per nät'!Z$1,FALSE)/VLOOKUP($B74,Korrigeringsfaktor_EI,'Korrigeringsfaktor EI'!Z$1,FALSE),
"")</f>
        <v>227.74615384615385</v>
      </c>
      <c r="AA74" s="18">
        <f>IFERROR(
                  Andel_oberoende_av_klimat*VLOOKUP($A74,Leveranser_per_nät,'Leveranser per nät'!AA$1,FALSE)
               +Andel_beroende_av_klimat*VLOOKUP($A74,Leveranser_per_nät,'Leveranser per nät'!AA$1,FALSE)/VLOOKUP($B74,Korrigeringsfaktor_EI,'Korrigeringsfaktor EI'!AA$1,FALSE),
"")</f>
        <v>225.24442679375164</v>
      </c>
      <c r="AB74" s="18">
        <f>IFERROR(
                  Andel_oberoende_av_klimat*VLOOKUP($A74,Leveranser_per_nät,'Leveranser per nät'!AB$1,FALSE)
               +Andel_beroende_av_klimat*VLOOKUP($A74,Leveranser_per_nät,'Leveranser per nät'!AB$1,FALSE)/VLOOKUP($B74,Korrigeringsfaktor_EI,'Korrigeringsfaktor EI'!AB$1,FALSE),
"")</f>
        <v>222.44320625610951</v>
      </c>
      <c r="AC74" s="18">
        <f>IFERROR(
                  Andel_oberoende_av_klimat*VLOOKUP($A74,Leveranser_per_nät,'Leveranser per nät'!AC$1,FALSE)
               +Andel_beroende_av_klimat*VLOOKUP($A74,Leveranser_per_nät,'Leveranser per nät'!AC$1,FALSE)/VLOOKUP($B74,Korrigeringsfaktor_EI,'Korrigeringsfaktor EI'!AC$1,FALSE),
"")</f>
        <v>218.5680497925311</v>
      </c>
      <c r="AD74">
        <v>213</v>
      </c>
    </row>
    <row r="75" spans="1:30" x14ac:dyDescent="0.25">
      <c r="A75" t="s">
        <v>102</v>
      </c>
      <c r="B75" t="s">
        <v>518</v>
      </c>
      <c r="C75" s="18">
        <f>IFERROR(
                  Andel_oberoende_av_klimat*VLOOKUP($A75,Leveranser_per_nät,'Leveranser per nät'!C$1,FALSE)
               +Andel_beroende_av_klimat*VLOOKUP($A75,Leveranser_per_nät,'Leveranser per nät'!C$1,FALSE)/VLOOKUP($B75,Korrigeringsfaktor_EI,'Korrigeringsfaktor EI'!C$1,FALSE),
"")</f>
        <v>669.0046636363636</v>
      </c>
      <c r="D75" s="18">
        <f>IFERROR(
                  Andel_oberoende_av_klimat*VLOOKUP($A75,Leveranser_per_nät,'Leveranser per nät'!D$1,FALSE)
               +Andel_beroende_av_klimat*VLOOKUP($A75,Leveranser_per_nät,'Leveranser per nät'!D$1,FALSE)/VLOOKUP($B75,Korrigeringsfaktor_EI,'Korrigeringsfaktor EI'!D$1,FALSE),
"")</f>
        <v>672.92</v>
      </c>
      <c r="E75" s="18">
        <f>IFERROR(
                  Andel_oberoende_av_klimat*VLOOKUP($A75,Leveranser_per_nät,'Leveranser per nät'!E$1,FALSE)
               +Andel_beroende_av_klimat*VLOOKUP($A75,Leveranser_per_nät,'Leveranser per nät'!E$1,FALSE)/VLOOKUP($B75,Korrigeringsfaktor_EI,'Korrigeringsfaktor EI'!E$1,FALSE),
"")</f>
        <v>669.9</v>
      </c>
      <c r="F75" s="18">
        <f>IFERROR(
                  Andel_oberoende_av_klimat*VLOOKUP($A75,Leveranser_per_nät,'Leveranser per nät'!F$1,FALSE)
               +Andel_beroende_av_klimat*VLOOKUP($A75,Leveranser_per_nät,'Leveranser per nät'!F$1,FALSE)/VLOOKUP($B75,Korrigeringsfaktor_EI,'Korrigeringsfaktor EI'!F$1,FALSE),
"")</f>
        <v>644.66082474226812</v>
      </c>
      <c r="G75" s="18">
        <f>IFERROR(
                  Andel_oberoende_av_klimat*VLOOKUP($A75,Leveranser_per_nät,'Leveranser per nät'!G$1,FALSE)
               +Andel_beroende_av_klimat*VLOOKUP($A75,Leveranser_per_nät,'Leveranser per nät'!G$1,FALSE)/VLOOKUP($B75,Korrigeringsfaktor_EI,'Korrigeringsfaktor EI'!G$1,FALSE),
"")</f>
        <v>636.19230769230774</v>
      </c>
      <c r="H75" s="18">
        <f>IFERROR(
                  Andel_oberoende_av_klimat*VLOOKUP($A75,Leveranser_per_nät,'Leveranser per nät'!H$1,FALSE)
               +Andel_beroende_av_klimat*VLOOKUP($A75,Leveranser_per_nät,'Leveranser per nät'!H$1,FALSE)/VLOOKUP($B75,Korrigeringsfaktor_EI,'Korrigeringsfaktor EI'!H$1,FALSE),
"")</f>
        <v>675.51428571428573</v>
      </c>
      <c r="I75" s="18">
        <f>IFERROR(
                  Andel_oberoende_av_klimat*VLOOKUP($A75,Leveranser_per_nät,'Leveranser per nät'!I$1,FALSE)
               +Andel_beroende_av_klimat*VLOOKUP($A75,Leveranser_per_nät,'Leveranser per nät'!I$1,FALSE)/VLOOKUP($B75,Korrigeringsfaktor_EI,'Korrigeringsfaktor EI'!I$1,FALSE),
"")</f>
        <v>689.5</v>
      </c>
      <c r="J75" s="18">
        <f>IFERROR(
                  Andel_oberoende_av_klimat*VLOOKUP($A75,Leveranser_per_nät,'Leveranser per nät'!J$1,FALSE)
               +Andel_beroende_av_klimat*VLOOKUP($A75,Leveranser_per_nät,'Leveranser per nät'!J$1,FALSE)/VLOOKUP($B75,Korrigeringsfaktor_EI,'Korrigeringsfaktor EI'!J$1,FALSE),
"")</f>
        <v>688.59175257731954</v>
      </c>
      <c r="K75" s="18">
        <f>IFERROR(
                  Andel_oberoende_av_klimat*VLOOKUP($A75,Leveranser_per_nät,'Leveranser per nät'!K$1,FALSE)
               +Andel_beroende_av_klimat*VLOOKUP($A75,Leveranser_per_nät,'Leveranser per nät'!K$1,FALSE)/VLOOKUP($B75,Korrigeringsfaktor_EI,'Korrigeringsfaktor EI'!K$1,FALSE),
"")</f>
        <v>682.02050309278343</v>
      </c>
      <c r="L75" s="18">
        <f>IFERROR(
                  Andel_oberoende_av_klimat*VLOOKUP($A75,Leveranser_per_nät,'Leveranser per nät'!L$1,FALSE)
               +Andel_beroende_av_klimat*VLOOKUP($A75,Leveranser_per_nät,'Leveranser per nät'!L$1,FALSE)/VLOOKUP($B75,Korrigeringsfaktor_EI,'Korrigeringsfaktor EI'!L$1,FALSE),
"")</f>
        <v>683.48200752688172</v>
      </c>
      <c r="M75" s="18">
        <f>IFERROR(
                  Andel_oberoende_av_klimat*VLOOKUP($A75,Leveranser_per_nät,'Leveranser per nät'!M$1,FALSE)
               +Andel_beroende_av_klimat*VLOOKUP($A75,Leveranser_per_nät,'Leveranser per nät'!M$1,FALSE)/VLOOKUP($B75,Korrigeringsfaktor_EI,'Korrigeringsfaktor EI'!M$1,FALSE),
"")</f>
        <v>698.60544615384606</v>
      </c>
      <c r="N75" s="18">
        <f>IFERROR(
                  Andel_oberoende_av_klimat*VLOOKUP($A75,Leveranser_per_nät,'Leveranser per nät'!N$1,FALSE)
               +Andel_beroende_av_klimat*VLOOKUP($A75,Leveranser_per_nät,'Leveranser per nät'!N$1,FALSE)/VLOOKUP($B75,Korrigeringsfaktor_EI,'Korrigeringsfaktor EI'!N$1,FALSE),
"")</f>
        <v>727.05422608695642</v>
      </c>
      <c r="O75" s="18">
        <f>IFERROR(
                  Andel_oberoende_av_klimat*VLOOKUP($A75,Leveranser_per_nät,'Leveranser per nät'!O$1,FALSE)
               +Andel_beroende_av_klimat*VLOOKUP($A75,Leveranser_per_nät,'Leveranser per nät'!O$1,FALSE)/VLOOKUP($B75,Korrigeringsfaktor_EI,'Korrigeringsfaktor EI'!O$1,FALSE),
"")</f>
        <v>726.74396067415728</v>
      </c>
      <c r="P75" s="18">
        <f>IFERROR(
                  Andel_oberoende_av_klimat*VLOOKUP($A75,Leveranser_per_nät,'Leveranser per nät'!P$1,FALSE)
               +Andel_beroende_av_klimat*VLOOKUP($A75,Leveranser_per_nät,'Leveranser per nät'!P$1,FALSE)/VLOOKUP($B75,Korrigeringsfaktor_EI,'Korrigeringsfaktor EI'!P$1,FALSE),
"")</f>
        <v>738.75744583333335</v>
      </c>
      <c r="Q75" s="18">
        <f>IFERROR(
                  Andel_oberoende_av_klimat*VLOOKUP($A75,Leveranser_per_nät,'Leveranser per nät'!Q$1,FALSE)
               +Andel_beroende_av_klimat*VLOOKUP($A75,Leveranser_per_nät,'Leveranser per nät'!Q$1,FALSE)/VLOOKUP($B75,Korrigeringsfaktor_EI,'Korrigeringsfaktor EI'!Q$1,FALSE),
"")</f>
        <v>747.29661238938058</v>
      </c>
      <c r="R75" s="18">
        <f>IFERROR(
                  Andel_oberoende_av_klimat*VLOOKUP($A75,Leveranser_per_nät,'Leveranser per nät'!R$1,FALSE)
               +Andel_beroende_av_klimat*VLOOKUP($A75,Leveranser_per_nät,'Leveranser per nät'!R$1,FALSE)/VLOOKUP($B75,Korrigeringsfaktor_EI,'Korrigeringsfaktor EI'!R$1,FALSE),
"")</f>
        <v>811.95035555555557</v>
      </c>
      <c r="S75" s="18">
        <f>IFERROR(
                  Andel_oberoende_av_klimat*VLOOKUP($A75,Leveranser_per_nät,'Leveranser per nät'!S$1,FALSE)
               +Andel_beroende_av_klimat*VLOOKUP($A75,Leveranser_per_nät,'Leveranser per nät'!S$1,FALSE)/VLOOKUP($B75,Korrigeringsfaktor_EI,'Korrigeringsfaktor EI'!S$1,FALSE),
"")</f>
        <v>712</v>
      </c>
      <c r="T75" s="18">
        <f>IFERROR(
                  Andel_oberoende_av_klimat*VLOOKUP($A75,Leveranser_per_nät,'Leveranser per nät'!T$1,FALSE)
               +Andel_beroende_av_klimat*VLOOKUP($A75,Leveranser_per_nät,'Leveranser per nät'!T$1,FALSE)/VLOOKUP($B75,Korrigeringsfaktor_EI,'Korrigeringsfaktor EI'!T$1,FALSE),
"")</f>
        <v>700.90526315789475</v>
      </c>
      <c r="U75" s="18">
        <f>IFERROR(
                  Andel_oberoende_av_klimat*VLOOKUP($A75,Leveranser_per_nät,'Leveranser per nät'!U$1,FALSE)
               +Andel_beroende_av_klimat*VLOOKUP($A75,Leveranser_per_nät,'Leveranser per nät'!U$1,FALSE)/VLOOKUP($B75,Korrigeringsfaktor_EI,'Korrigeringsfaktor EI'!U$1,FALSE),
"")</f>
        <v>677.55191011235956</v>
      </c>
      <c r="V75" s="18">
        <f>IFERROR(
                  Andel_oberoende_av_klimat*VLOOKUP($A75,Leveranser_per_nät,'Leveranser per nät'!V$1,FALSE)
               +Andel_beroende_av_klimat*VLOOKUP($A75,Leveranser_per_nät,'Leveranser per nät'!V$1,FALSE)/VLOOKUP($B75,Korrigeringsfaktor_EI,'Korrigeringsfaktor EI'!V$1,FALSE),
"")</f>
        <v>656.10080786516846</v>
      </c>
      <c r="W75" s="18">
        <f>IFERROR(
                  Andel_oberoende_av_klimat*VLOOKUP($A75,Leveranser_per_nät,'Leveranser per nät'!W$1,FALSE)
               +Andel_beroende_av_klimat*VLOOKUP($A75,Leveranser_per_nät,'Leveranser per nät'!W$1,FALSE)/VLOOKUP($B75,Korrigeringsfaktor_EI,'Korrigeringsfaktor EI'!W$1,FALSE),
"")</f>
        <v>676.88633191489373</v>
      </c>
      <c r="X75" s="18">
        <f>IFERROR(
                  Andel_oberoende_av_klimat*VLOOKUP($A75,Leveranser_per_nät,'Leveranser per nät'!X$1,FALSE)
               +Andel_beroende_av_klimat*VLOOKUP($A75,Leveranser_per_nät,'Leveranser per nät'!X$1,FALSE)/VLOOKUP($B75,Korrigeringsfaktor_EI,'Korrigeringsfaktor EI'!X$1,FALSE),
"")</f>
        <v>679.72075268817207</v>
      </c>
      <c r="Y75" s="18">
        <f>IFERROR(
                  Andel_oberoende_av_klimat*VLOOKUP($A75,Leveranser_per_nät,'Leveranser per nät'!Y$1,FALSE)
               +Andel_beroende_av_klimat*VLOOKUP($A75,Leveranser_per_nät,'Leveranser per nät'!Y$1,FALSE)/VLOOKUP($B75,Korrigeringsfaktor_EI,'Korrigeringsfaktor EI'!Y$1,FALSE),
"")</f>
        <v>671.60950769230772</v>
      </c>
      <c r="Z75" s="18">
        <f>IFERROR(
                  Andel_oberoende_av_klimat*VLOOKUP($A75,Leveranser_per_nät,'Leveranser per nät'!Z$1,FALSE)
               +Andel_beroende_av_klimat*VLOOKUP($A75,Leveranser_per_nät,'Leveranser per nät'!Z$1,FALSE)/VLOOKUP($B75,Korrigeringsfaktor_EI,'Korrigeringsfaktor EI'!Z$1,FALSE),
"")</f>
        <v>690.1442222222222</v>
      </c>
      <c r="AA75" s="18">
        <f>IFERROR(
                  Andel_oberoende_av_klimat*VLOOKUP($A75,Leveranser_per_nät,'Leveranser per nät'!AA$1,FALSE)
               +Andel_beroende_av_klimat*VLOOKUP($A75,Leveranser_per_nät,'Leveranser per nät'!AA$1,FALSE)/VLOOKUP($B75,Korrigeringsfaktor_EI,'Korrigeringsfaktor EI'!AA$1,FALSE),
"")</f>
        <v>660.2222577540108</v>
      </c>
      <c r="AB75" s="18">
        <f>IFERROR(
                  Andel_oberoende_av_klimat*VLOOKUP($A75,Leveranser_per_nät,'Leveranser per nät'!AB$1,FALSE)
               +Andel_beroende_av_klimat*VLOOKUP($A75,Leveranser_per_nät,'Leveranser per nät'!AB$1,FALSE)/VLOOKUP($B75,Korrigeringsfaktor_EI,'Korrigeringsfaktor EI'!AB$1,FALSE),
"")</f>
        <v>675.78792910521133</v>
      </c>
      <c r="AC75" s="18">
        <f>IFERROR(
                  Andel_oberoende_av_klimat*VLOOKUP($A75,Leveranser_per_nät,'Leveranser per nät'!AC$1,FALSE)
               +Andel_beroende_av_klimat*VLOOKUP($A75,Leveranser_per_nät,'Leveranser per nät'!AC$1,FALSE)/VLOOKUP($B75,Korrigeringsfaktor_EI,'Korrigeringsfaktor EI'!AC$1,FALSE),
"")</f>
        <v>671.6080627408993</v>
      </c>
      <c r="AD75" t="e">
        <v>#N/A</v>
      </c>
    </row>
    <row r="76" spans="1:30" x14ac:dyDescent="0.25">
      <c r="A76" t="s">
        <v>198</v>
      </c>
      <c r="B76" t="s">
        <v>198</v>
      </c>
      <c r="C76" s="18">
        <f>IFERROR(
                  Andel_oberoende_av_klimat*VLOOKUP($A76,Leveranser_per_nät,'Leveranser per nät'!C$1,FALSE)
               +Andel_beroende_av_klimat*VLOOKUP($A76,Leveranser_per_nät,'Leveranser per nät'!C$1,FALSE)/VLOOKUP($B76,Korrigeringsfaktor_EI,'Korrigeringsfaktor EI'!C$1,FALSE),
"")</f>
        <v>68.449999999999989</v>
      </c>
      <c r="D76" s="18">
        <f>IFERROR(
                  Andel_oberoende_av_klimat*VLOOKUP($A76,Leveranser_per_nät,'Leveranser per nät'!D$1,FALSE)
               +Andel_beroende_av_klimat*VLOOKUP($A76,Leveranser_per_nät,'Leveranser per nät'!D$1,FALSE)/VLOOKUP($B76,Korrigeringsfaktor_EI,'Korrigeringsfaktor EI'!D$1,FALSE),
"")</f>
        <v>71.218882352941165</v>
      </c>
      <c r="E76" s="18">
        <f>IFERROR(
                  Andel_oberoende_av_klimat*VLOOKUP($A76,Leveranser_per_nät,'Leveranser per nät'!E$1,FALSE)
               +Andel_beroende_av_klimat*VLOOKUP($A76,Leveranser_per_nät,'Leveranser per nät'!E$1,FALSE)/VLOOKUP($B76,Korrigeringsfaktor_EI,'Korrigeringsfaktor EI'!E$1,FALSE),
"")</f>
        <v>72.984313725490196</v>
      </c>
      <c r="F76" s="18">
        <f>IFERROR(
                  Andel_oberoende_av_klimat*VLOOKUP($A76,Leveranser_per_nät,'Leveranser per nät'!F$1,FALSE)
               +Andel_beroende_av_klimat*VLOOKUP($A76,Leveranser_per_nät,'Leveranser per nät'!F$1,FALSE)/VLOOKUP($B76,Korrigeringsfaktor_EI,'Korrigeringsfaktor EI'!F$1,FALSE),
"")</f>
        <v>75.602061855670101</v>
      </c>
      <c r="G76" s="18">
        <f>IFERROR(
                  Andel_oberoende_av_klimat*VLOOKUP($A76,Leveranser_per_nät,'Leveranser per nät'!G$1,FALSE)
               +Andel_beroende_av_klimat*VLOOKUP($A76,Leveranser_per_nät,'Leveranser per nät'!G$1,FALSE)/VLOOKUP($B76,Korrigeringsfaktor_EI,'Korrigeringsfaktor EI'!G$1,FALSE),
"")</f>
        <v>85.9304347826087</v>
      </c>
      <c r="H76" s="18">
        <f>IFERROR(
                  Andel_oberoende_av_klimat*VLOOKUP($A76,Leveranser_per_nät,'Leveranser per nät'!H$1,FALSE)
               +Andel_beroende_av_klimat*VLOOKUP($A76,Leveranser_per_nät,'Leveranser per nät'!H$1,FALSE)/VLOOKUP($B76,Korrigeringsfaktor_EI,'Korrigeringsfaktor EI'!H$1,FALSE),
"")</f>
        <v>91.285714285714278</v>
      </c>
      <c r="I76" s="18">
        <f>IFERROR(
                  Andel_oberoende_av_klimat*VLOOKUP($A76,Leveranser_per_nät,'Leveranser per nät'!I$1,FALSE)
               +Andel_beroende_av_klimat*VLOOKUP($A76,Leveranser_per_nät,'Leveranser per nät'!I$1,FALSE)/VLOOKUP($B76,Korrigeringsfaktor_EI,'Korrigeringsfaktor EI'!I$1,FALSE),
"")</f>
        <v>95.794623655913966</v>
      </c>
      <c r="J76" s="18">
        <f>IFERROR(
                  Andel_oberoende_av_klimat*VLOOKUP($A76,Leveranser_per_nät,'Leveranser per nät'!J$1,FALSE)
               +Andel_beroende_av_klimat*VLOOKUP($A76,Leveranser_per_nät,'Leveranser per nät'!J$1,FALSE)/VLOOKUP($B76,Korrigeringsfaktor_EI,'Korrigeringsfaktor EI'!J$1,FALSE),
"")</f>
        <v>95.013402061855672</v>
      </c>
      <c r="K76" s="18">
        <f>IFERROR(
                  Andel_oberoende_av_klimat*VLOOKUP($A76,Leveranser_per_nät,'Leveranser per nät'!K$1,FALSE)
               +Andel_beroende_av_klimat*VLOOKUP($A76,Leveranser_per_nät,'Leveranser per nät'!K$1,FALSE)/VLOOKUP($B76,Korrigeringsfaktor_EI,'Korrigeringsfaktor EI'!K$1,FALSE),
"")</f>
        <v>93.096214285714282</v>
      </c>
      <c r="L76" s="18">
        <f>IFERROR(
                  Andel_oberoende_av_klimat*VLOOKUP($A76,Leveranser_per_nät,'Leveranser per nät'!L$1,FALSE)
               +Andel_beroende_av_klimat*VLOOKUP($A76,Leveranser_per_nät,'Leveranser per nät'!L$1,FALSE)/VLOOKUP($B76,Korrigeringsfaktor_EI,'Korrigeringsfaktor EI'!L$1,FALSE),
"")</f>
        <v>94.488457894736854</v>
      </c>
      <c r="M76" s="18">
        <f>IFERROR(
                  Andel_oberoende_av_klimat*VLOOKUP($A76,Leveranser_per_nät,'Leveranser per nät'!M$1,FALSE)
               +Andel_beroende_av_klimat*VLOOKUP($A76,Leveranser_per_nät,'Leveranser per nät'!M$1,FALSE)/VLOOKUP($B76,Korrigeringsfaktor_EI,'Korrigeringsfaktor EI'!M$1,FALSE),
"")</f>
        <v>94.167153846153838</v>
      </c>
      <c r="N76" s="18">
        <f>IFERROR(
                  Andel_oberoende_av_klimat*VLOOKUP($A76,Leveranser_per_nät,'Leveranser per nät'!N$1,FALSE)
               +Andel_beroende_av_klimat*VLOOKUP($A76,Leveranser_per_nät,'Leveranser per nät'!N$1,FALSE)/VLOOKUP($B76,Korrigeringsfaktor_EI,'Korrigeringsfaktor EI'!N$1,FALSE),
"")</f>
        <v>94.686046511627893</v>
      </c>
      <c r="O76" s="18">
        <f>IFERROR(
                  Andel_oberoende_av_klimat*VLOOKUP($A76,Leveranser_per_nät,'Leveranser per nät'!O$1,FALSE)
               +Andel_beroende_av_klimat*VLOOKUP($A76,Leveranser_per_nät,'Leveranser per nät'!O$1,FALSE)/VLOOKUP($B76,Korrigeringsfaktor_EI,'Korrigeringsfaktor EI'!O$1,FALSE),
"")</f>
        <v>97.756896551724139</v>
      </c>
      <c r="P76" s="18">
        <f>IFERROR(
                  Andel_oberoende_av_klimat*VLOOKUP($A76,Leveranser_per_nät,'Leveranser per nät'!P$1,FALSE)
               +Andel_beroende_av_klimat*VLOOKUP($A76,Leveranser_per_nät,'Leveranser per nät'!P$1,FALSE)/VLOOKUP($B76,Korrigeringsfaktor_EI,'Korrigeringsfaktor EI'!P$1,FALSE),
"")</f>
        <v>98.426344086021516</v>
      </c>
      <c r="Q76" s="18">
        <f>IFERROR(
                  Andel_oberoende_av_klimat*VLOOKUP($A76,Leveranser_per_nät,'Leveranser per nät'!Q$1,FALSE)
               +Andel_beroende_av_klimat*VLOOKUP($A76,Leveranser_per_nät,'Leveranser per nät'!Q$1,FALSE)/VLOOKUP($B76,Korrigeringsfaktor_EI,'Korrigeringsfaktor EI'!Q$1,FALSE),
"")</f>
        <v>0</v>
      </c>
      <c r="R76" s="18">
        <f>IFERROR(
                  Andel_oberoende_av_klimat*VLOOKUP($A76,Leveranser_per_nät,'Leveranser per nät'!R$1,FALSE)
               +Andel_beroende_av_klimat*VLOOKUP($A76,Leveranser_per_nät,'Leveranser per nät'!R$1,FALSE)/VLOOKUP($B76,Korrigeringsfaktor_EI,'Korrigeringsfaktor EI'!R$1,FALSE),
"")</f>
        <v>0</v>
      </c>
      <c r="S76" s="18" t="str">
        <f>IFERROR(
                  Andel_oberoende_av_klimat*VLOOKUP($A76,Leveranser_per_nät,'Leveranser per nät'!S$1,FALSE)
               +Andel_beroende_av_klimat*VLOOKUP($A76,Leveranser_per_nät,'Leveranser per nät'!S$1,FALSE)/VLOOKUP($B76,Korrigeringsfaktor_EI,'Korrigeringsfaktor EI'!S$1,FALSE),
"")</f>
        <v/>
      </c>
      <c r="T76" s="18" t="str">
        <f>IFERROR(
                  Andel_oberoende_av_klimat*VLOOKUP($A76,Leveranser_per_nät,'Leveranser per nät'!T$1,FALSE)
               +Andel_beroende_av_klimat*VLOOKUP($A76,Leveranser_per_nät,'Leveranser per nät'!T$1,FALSE)/VLOOKUP($B76,Korrigeringsfaktor_EI,'Korrigeringsfaktor EI'!T$1,FALSE),
"")</f>
        <v/>
      </c>
      <c r="U76" s="18" t="str">
        <f>IFERROR(
                  Andel_oberoende_av_klimat*VLOOKUP($A76,Leveranser_per_nät,'Leveranser per nät'!U$1,FALSE)
               +Andel_beroende_av_klimat*VLOOKUP($A76,Leveranser_per_nät,'Leveranser per nät'!U$1,FALSE)/VLOOKUP($B76,Korrigeringsfaktor_EI,'Korrigeringsfaktor EI'!U$1,FALSE),
"")</f>
        <v/>
      </c>
      <c r="V76" s="18" t="str">
        <f>IFERROR(
                  Andel_oberoende_av_klimat*VLOOKUP($A76,Leveranser_per_nät,'Leveranser per nät'!V$1,FALSE)
               +Andel_beroende_av_klimat*VLOOKUP($A76,Leveranser_per_nät,'Leveranser per nät'!V$1,FALSE)/VLOOKUP($B76,Korrigeringsfaktor_EI,'Korrigeringsfaktor EI'!V$1,FALSE),
"")</f>
        <v/>
      </c>
      <c r="W76" s="18" t="str">
        <f>IFERROR(
                  Andel_oberoende_av_klimat*VLOOKUP($A76,Leveranser_per_nät,'Leveranser per nät'!W$1,FALSE)
               +Andel_beroende_av_klimat*VLOOKUP($A76,Leveranser_per_nät,'Leveranser per nät'!W$1,FALSE)/VLOOKUP($B76,Korrigeringsfaktor_EI,'Korrigeringsfaktor EI'!W$1,FALSE),
"")</f>
        <v/>
      </c>
      <c r="X76" s="18" t="str">
        <f>IFERROR(
                  Andel_oberoende_av_klimat*VLOOKUP($A76,Leveranser_per_nät,'Leveranser per nät'!X$1,FALSE)
               +Andel_beroende_av_klimat*VLOOKUP($A76,Leveranser_per_nät,'Leveranser per nät'!X$1,FALSE)/VLOOKUP($B76,Korrigeringsfaktor_EI,'Korrigeringsfaktor EI'!X$1,FALSE),
"")</f>
        <v/>
      </c>
      <c r="Y76" s="18" t="str">
        <f>IFERROR(
                  Andel_oberoende_av_klimat*VLOOKUP($A76,Leveranser_per_nät,'Leveranser per nät'!Y$1,FALSE)
               +Andel_beroende_av_klimat*VLOOKUP($A76,Leveranser_per_nät,'Leveranser per nät'!Y$1,FALSE)/VLOOKUP($B76,Korrigeringsfaktor_EI,'Korrigeringsfaktor EI'!Y$1,FALSE),
"")</f>
        <v/>
      </c>
      <c r="Z76" s="18">
        <f>IFERROR(
                  Andel_oberoende_av_klimat*VLOOKUP($A76,Leveranser_per_nät,'Leveranser per nät'!Z$1,FALSE)
               +Andel_beroende_av_klimat*VLOOKUP($A76,Leveranser_per_nät,'Leveranser per nät'!Z$1,FALSE)/VLOOKUP($B76,Korrigeringsfaktor_EI,'Korrigeringsfaktor EI'!Z$1,FALSE),
"")</f>
        <v>0</v>
      </c>
      <c r="AA76" s="18" t="str">
        <f>IFERROR(
                  Andel_oberoende_av_klimat*VLOOKUP($A76,Leveranser_per_nät,'Leveranser per nät'!AA$1,FALSE)
               +Andel_beroende_av_klimat*VLOOKUP($A76,Leveranser_per_nät,'Leveranser per nät'!AA$1,FALSE)/VLOOKUP($B76,Korrigeringsfaktor_EI,'Korrigeringsfaktor EI'!AA$1,FALSE),
"")</f>
        <v/>
      </c>
      <c r="AB76" s="18">
        <f>IFERROR(
                  Andel_oberoende_av_klimat*VLOOKUP($A76,Leveranser_per_nät,'Leveranser per nät'!AB$1,FALSE)
               +Andel_beroende_av_klimat*VLOOKUP($A76,Leveranser_per_nät,'Leveranser per nät'!AB$1,FALSE)/VLOOKUP($B76,Korrigeringsfaktor_EI,'Korrigeringsfaktor EI'!AB$1,FALSE),
"")</f>
        <v>0</v>
      </c>
      <c r="AC76" s="18">
        <f>IFERROR(
                  Andel_oberoende_av_klimat*VLOOKUP($A76,Leveranser_per_nät,'Leveranser per nät'!AC$1,FALSE)
               +Andel_beroende_av_klimat*VLOOKUP($A76,Leveranser_per_nät,'Leveranser per nät'!AC$1,FALSE)/VLOOKUP($B76,Korrigeringsfaktor_EI,'Korrigeringsfaktor EI'!AC$1,FALSE),
"")</f>
        <v>0</v>
      </c>
      <c r="AD76" t="e">
        <v>#N/A</v>
      </c>
    </row>
    <row r="77" spans="1:30" x14ac:dyDescent="0.25">
      <c r="A77" t="s">
        <v>787</v>
      </c>
      <c r="B77" t="s">
        <v>594</v>
      </c>
      <c r="C77" s="18">
        <f>IFERROR(
                  Andel_oberoende_av_klimat*VLOOKUP($A77,Leveranser_per_nät,'Leveranser per nät'!C$1,FALSE)
               +Andel_beroende_av_klimat*VLOOKUP($A77,Leveranser_per_nät,'Leveranser per nät'!C$1,FALSE)/VLOOKUP($B77,Korrigeringsfaktor_EI,'Korrigeringsfaktor EI'!C$1,FALSE),
"")</f>
        <v>0</v>
      </c>
      <c r="D77" s="18">
        <f>IFERROR(
                  Andel_oberoende_av_klimat*VLOOKUP($A77,Leveranser_per_nät,'Leveranser per nät'!D$1,FALSE)
               +Andel_beroende_av_klimat*VLOOKUP($A77,Leveranser_per_nät,'Leveranser per nät'!D$1,FALSE)/VLOOKUP($B77,Korrigeringsfaktor_EI,'Korrigeringsfaktor EI'!D$1,FALSE),
"")</f>
        <v>0</v>
      </c>
      <c r="E77" s="18">
        <f>IFERROR(
                  Andel_oberoende_av_klimat*VLOOKUP($A77,Leveranser_per_nät,'Leveranser per nät'!E$1,FALSE)
               +Andel_beroende_av_klimat*VLOOKUP($A77,Leveranser_per_nät,'Leveranser per nät'!E$1,FALSE)/VLOOKUP($B77,Korrigeringsfaktor_EI,'Korrigeringsfaktor EI'!E$1,FALSE),
"")</f>
        <v>0</v>
      </c>
      <c r="F77" s="18">
        <f>IFERROR(
                  Andel_oberoende_av_klimat*VLOOKUP($A77,Leveranser_per_nät,'Leveranser per nät'!F$1,FALSE)
               +Andel_beroende_av_klimat*VLOOKUP($A77,Leveranser_per_nät,'Leveranser per nät'!F$1,FALSE)/VLOOKUP($B77,Korrigeringsfaktor_EI,'Korrigeringsfaktor EI'!F$1,FALSE),
"")</f>
        <v>0</v>
      </c>
      <c r="G77" s="18">
        <f>IFERROR(
                  Andel_oberoende_av_klimat*VLOOKUP($A77,Leveranser_per_nät,'Leveranser per nät'!G$1,FALSE)
               +Andel_beroende_av_klimat*VLOOKUP($A77,Leveranser_per_nät,'Leveranser per nät'!G$1,FALSE)/VLOOKUP($B77,Korrigeringsfaktor_EI,'Korrigeringsfaktor EI'!G$1,FALSE),
"")</f>
        <v>0</v>
      </c>
      <c r="H77" s="18">
        <f>IFERROR(
                  Andel_oberoende_av_klimat*VLOOKUP($A77,Leveranser_per_nät,'Leveranser per nät'!H$1,FALSE)
               +Andel_beroende_av_klimat*VLOOKUP($A77,Leveranser_per_nät,'Leveranser per nät'!H$1,FALSE)/VLOOKUP($B77,Korrigeringsfaktor_EI,'Korrigeringsfaktor EI'!H$1,FALSE),
"")</f>
        <v>0</v>
      </c>
      <c r="I77" s="18">
        <f>IFERROR(
                  Andel_oberoende_av_klimat*VLOOKUP($A77,Leveranser_per_nät,'Leveranser per nät'!I$1,FALSE)
               +Andel_beroende_av_klimat*VLOOKUP($A77,Leveranser_per_nät,'Leveranser per nät'!I$1,FALSE)/VLOOKUP($B77,Korrigeringsfaktor_EI,'Korrigeringsfaktor EI'!I$1,FALSE),
"")</f>
        <v>0</v>
      </c>
      <c r="J77" s="18">
        <f>IFERROR(
                  Andel_oberoende_av_klimat*VLOOKUP($A77,Leveranser_per_nät,'Leveranser per nät'!J$1,FALSE)
               +Andel_beroende_av_klimat*VLOOKUP($A77,Leveranser_per_nät,'Leveranser per nät'!J$1,FALSE)/VLOOKUP($B77,Korrigeringsfaktor_EI,'Korrigeringsfaktor EI'!J$1,FALSE),
"")</f>
        <v>0</v>
      </c>
      <c r="K77" s="18">
        <f>IFERROR(
                  Andel_oberoende_av_klimat*VLOOKUP($A77,Leveranser_per_nät,'Leveranser per nät'!K$1,FALSE)
               +Andel_beroende_av_klimat*VLOOKUP($A77,Leveranser_per_nät,'Leveranser per nät'!K$1,FALSE)/VLOOKUP($B77,Korrigeringsfaktor_EI,'Korrigeringsfaktor EI'!K$1,FALSE),
"")</f>
        <v>0</v>
      </c>
      <c r="L77" s="18">
        <f>IFERROR(
                  Andel_oberoende_av_klimat*VLOOKUP($A77,Leveranser_per_nät,'Leveranser per nät'!L$1,FALSE)
               +Andel_beroende_av_klimat*VLOOKUP($A77,Leveranser_per_nät,'Leveranser per nät'!L$1,FALSE)/VLOOKUP($B77,Korrigeringsfaktor_EI,'Korrigeringsfaktor EI'!L$1,FALSE),
"")</f>
        <v>0</v>
      </c>
      <c r="M77" s="18">
        <f>IFERROR(
                  Andel_oberoende_av_klimat*VLOOKUP($A77,Leveranser_per_nät,'Leveranser per nät'!M$1,FALSE)
               +Andel_beroende_av_klimat*VLOOKUP($A77,Leveranser_per_nät,'Leveranser per nät'!M$1,FALSE)/VLOOKUP($B77,Korrigeringsfaktor_EI,'Korrigeringsfaktor EI'!M$1,FALSE),
"")</f>
        <v>0</v>
      </c>
      <c r="N77" s="18">
        <f>IFERROR(
                  Andel_oberoende_av_klimat*VLOOKUP($A77,Leveranser_per_nät,'Leveranser per nät'!N$1,FALSE)
               +Andel_beroende_av_klimat*VLOOKUP($A77,Leveranser_per_nät,'Leveranser per nät'!N$1,FALSE)/VLOOKUP($B77,Korrigeringsfaktor_EI,'Korrigeringsfaktor EI'!N$1,FALSE),
"")</f>
        <v>0</v>
      </c>
      <c r="O77" s="18">
        <f>IFERROR(
                  Andel_oberoende_av_klimat*VLOOKUP($A77,Leveranser_per_nät,'Leveranser per nät'!O$1,FALSE)
               +Andel_beroende_av_klimat*VLOOKUP($A77,Leveranser_per_nät,'Leveranser per nät'!O$1,FALSE)/VLOOKUP($B77,Korrigeringsfaktor_EI,'Korrigeringsfaktor EI'!O$1,FALSE),
"")</f>
        <v>0</v>
      </c>
      <c r="P77" s="18">
        <f>IFERROR(
                  Andel_oberoende_av_klimat*VLOOKUP($A77,Leveranser_per_nät,'Leveranser per nät'!P$1,FALSE)
               +Andel_beroende_av_klimat*VLOOKUP($A77,Leveranser_per_nät,'Leveranser per nät'!P$1,FALSE)/VLOOKUP($B77,Korrigeringsfaktor_EI,'Korrigeringsfaktor EI'!P$1,FALSE),
"")</f>
        <v>0</v>
      </c>
      <c r="Q77" s="18">
        <f>IFERROR(
                  Andel_oberoende_av_klimat*VLOOKUP($A77,Leveranser_per_nät,'Leveranser per nät'!Q$1,FALSE)
               +Andel_beroende_av_klimat*VLOOKUP($A77,Leveranser_per_nät,'Leveranser per nät'!Q$1,FALSE)/VLOOKUP($B77,Korrigeringsfaktor_EI,'Korrigeringsfaktor EI'!Q$1,FALSE),
"")</f>
        <v>910.50897716894951</v>
      </c>
      <c r="R77" s="18">
        <f>IFERROR(
                  Andel_oberoende_av_klimat*VLOOKUP($A77,Leveranser_per_nät,'Leveranser per nät'!R$1,FALSE)
               +Andel_beroende_av_klimat*VLOOKUP($A77,Leveranser_per_nät,'Leveranser per nät'!R$1,FALSE)/VLOOKUP($B77,Korrigeringsfaktor_EI,'Korrigeringsfaktor EI'!R$1,FALSE),
"")</f>
        <v>911.92182320441987</v>
      </c>
      <c r="S77" s="18">
        <f>IFERROR(
                  Andel_oberoende_av_klimat*VLOOKUP($A77,Leveranser_per_nät,'Leveranser per nät'!S$1,FALSE)
               +Andel_beroende_av_klimat*VLOOKUP($A77,Leveranser_per_nät,'Leveranser per nät'!S$1,FALSE)/VLOOKUP($B77,Korrigeringsfaktor_EI,'Korrigeringsfaktor EI'!S$1,FALSE),
"")</f>
        <v>907.22474226804115</v>
      </c>
      <c r="T77" s="18">
        <f>IFERROR(
                  Andel_oberoende_av_klimat*VLOOKUP($A77,Leveranser_per_nät,'Leveranser per nät'!T$1,FALSE)
               +Andel_beroende_av_klimat*VLOOKUP($A77,Leveranser_per_nät,'Leveranser per nät'!T$1,FALSE)/VLOOKUP($B77,Korrigeringsfaktor_EI,'Korrigeringsfaktor EI'!T$1,FALSE),
"")</f>
        <v>868.87368421052633</v>
      </c>
      <c r="U77" s="18">
        <f>IFERROR(
                  Andel_oberoende_av_klimat*VLOOKUP($A77,Leveranser_per_nät,'Leveranser per nät'!U$1,FALSE)
               +Andel_beroende_av_klimat*VLOOKUP($A77,Leveranser_per_nät,'Leveranser per nät'!U$1,FALSE)/VLOOKUP($B77,Korrigeringsfaktor_EI,'Korrigeringsfaktor EI'!U$1,FALSE),
"")</f>
        <v>900.97831325301195</v>
      </c>
      <c r="V77" s="18">
        <f>IFERROR(
                  Andel_oberoende_av_klimat*VLOOKUP($A77,Leveranser_per_nät,'Leveranser per nät'!V$1,FALSE)
               +Andel_beroende_av_klimat*VLOOKUP($A77,Leveranser_per_nät,'Leveranser per nät'!V$1,FALSE)/VLOOKUP($B77,Korrigeringsfaktor_EI,'Korrigeringsfaktor EI'!V$1,FALSE),
"")</f>
        <v>907.24271186440683</v>
      </c>
      <c r="W77" s="18">
        <f>IFERROR(
                  Andel_oberoende_av_klimat*VLOOKUP($A77,Leveranser_per_nät,'Leveranser per nät'!W$1,FALSE)
               +Andel_beroende_av_klimat*VLOOKUP($A77,Leveranser_per_nät,'Leveranser per nät'!W$1,FALSE)/VLOOKUP($B77,Korrigeringsfaktor_EI,'Korrigeringsfaktor EI'!W$1,FALSE),
"")</f>
        <v>920.60769230769233</v>
      </c>
      <c r="X77" s="18">
        <f>IFERROR(
                  Andel_oberoende_av_klimat*VLOOKUP($A77,Leveranser_per_nät,'Leveranser per nät'!X$1,FALSE)
               +Andel_beroende_av_klimat*VLOOKUP($A77,Leveranser_per_nät,'Leveranser per nät'!X$1,FALSE)/VLOOKUP($B77,Korrigeringsfaktor_EI,'Korrigeringsfaktor EI'!X$1,FALSE),
"")</f>
        <v>912.72841530054643</v>
      </c>
      <c r="Y77" s="18">
        <f>IFERROR(
                  Andel_oberoende_av_klimat*VLOOKUP($A77,Leveranser_per_nät,'Leveranser per nät'!Y$1,FALSE)
               +Andel_beroende_av_klimat*VLOOKUP($A77,Leveranser_per_nät,'Leveranser per nät'!Y$1,FALSE)/VLOOKUP($B77,Korrigeringsfaktor_EI,'Korrigeringsfaktor EI'!Y$1,FALSE),
"")</f>
        <v>922.18307392996098</v>
      </c>
      <c r="Z77" s="18">
        <f>IFERROR(
                  Andel_oberoende_av_klimat*VLOOKUP($A77,Leveranser_per_nät,'Leveranser per nät'!Z$1,FALSE)
               +Andel_beroende_av_klimat*VLOOKUP($A77,Leveranser_per_nät,'Leveranser per nät'!Z$1,FALSE)/VLOOKUP($B77,Korrigeringsfaktor_EI,'Korrigeringsfaktor EI'!Z$1,FALSE),
"")</f>
        <v>892.97469879518076</v>
      </c>
      <c r="AA77" s="18">
        <f>IFERROR(
                  Andel_oberoende_av_klimat*VLOOKUP($A77,Leveranser_per_nät,'Leveranser per nät'!AA$1,FALSE)
               +Andel_beroende_av_klimat*VLOOKUP($A77,Leveranser_per_nät,'Leveranser per nät'!AA$1,FALSE)/VLOOKUP($B77,Korrigeringsfaktor_EI,'Korrigeringsfaktor EI'!AA$1,FALSE),
"")</f>
        <v>917.27307239723996</v>
      </c>
      <c r="AB77" s="18">
        <f>IFERROR(
                  Andel_oberoende_av_klimat*VLOOKUP($A77,Leveranser_per_nät,'Leveranser per nät'!AB$1,FALSE)
               +Andel_beroende_av_klimat*VLOOKUP($A77,Leveranser_per_nät,'Leveranser per nät'!AB$1,FALSE)/VLOOKUP($B77,Korrigeringsfaktor_EI,'Korrigeringsfaktor EI'!AB$1,FALSE),
"")</f>
        <v>879.60466846543</v>
      </c>
      <c r="AC77" s="18">
        <f>IFERROR(
                  Andel_oberoende_av_klimat*VLOOKUP($A77,Leveranser_per_nät,'Leveranser per nät'!AC$1,FALSE)
               +Andel_beroende_av_klimat*VLOOKUP($A77,Leveranser_per_nät,'Leveranser per nät'!AC$1,FALSE)/VLOOKUP($B77,Korrigeringsfaktor_EI,'Korrigeringsfaktor EI'!AC$1,FALSE),
"")</f>
        <v>874.34504842219792</v>
      </c>
      <c r="AD77" t="e">
        <v>#N/A</v>
      </c>
    </row>
    <row r="78" spans="1:30" x14ac:dyDescent="0.25">
      <c r="A78" t="s">
        <v>872</v>
      </c>
      <c r="B78" t="s">
        <v>872</v>
      </c>
      <c r="C78" s="18">
        <f>IFERROR(
                  Andel_oberoende_av_klimat*VLOOKUP($A78,Leveranser_per_nät,'Leveranser per nät'!C$1,FALSE)
               +Andel_beroende_av_klimat*VLOOKUP($A78,Leveranser_per_nät,'Leveranser per nät'!C$1,FALSE)/VLOOKUP("Herrljunga",Korrigeringsfaktor_EI,'Korrigeringsfaktor EI'!C$1,FALSE),
"")</f>
        <v>0</v>
      </c>
      <c r="D78" s="18">
        <f>IFERROR(
                  Andel_oberoende_av_klimat*VLOOKUP($A78,Leveranser_per_nät,'Leveranser per nät'!D$1,FALSE)
               +Andel_beroende_av_klimat*VLOOKUP($A78,Leveranser_per_nät,'Leveranser per nät'!D$1,FALSE)/VLOOKUP("Herrljunga",Korrigeringsfaktor_EI,'Korrigeringsfaktor EI'!D$1,FALSE),
"")</f>
        <v>0</v>
      </c>
      <c r="E78" s="18">
        <f>IFERROR(
                  Andel_oberoende_av_klimat*VLOOKUP($A78,Leveranser_per_nät,'Leveranser per nät'!E$1,FALSE)
               +Andel_beroende_av_klimat*VLOOKUP($A78,Leveranser_per_nät,'Leveranser per nät'!E$1,FALSE)/VLOOKUP("Herrljunga",Korrigeringsfaktor_EI,'Korrigeringsfaktor EI'!E$1,FALSE),
"")</f>
        <v>0</v>
      </c>
      <c r="F78" s="18">
        <f>IFERROR(
                  Andel_oberoende_av_klimat*VLOOKUP($A78,Leveranser_per_nät,'Leveranser per nät'!F$1,FALSE)
               +Andel_beroende_av_klimat*VLOOKUP($A78,Leveranser_per_nät,'Leveranser per nät'!F$1,FALSE)/VLOOKUP("Herrljunga",Korrigeringsfaktor_EI,'Korrigeringsfaktor EI'!F$1,FALSE),
"")</f>
        <v>0</v>
      </c>
      <c r="G78" s="18">
        <f>IFERROR(
                  Andel_oberoende_av_klimat*VLOOKUP($A78,Leveranser_per_nät,'Leveranser per nät'!G$1,FALSE)
               +Andel_beroende_av_klimat*VLOOKUP($A78,Leveranser_per_nät,'Leveranser per nät'!G$1,FALSE)/VLOOKUP("Herrljunga",Korrigeringsfaktor_EI,'Korrigeringsfaktor EI'!G$1,FALSE),
"")</f>
        <v>0</v>
      </c>
      <c r="H78" s="18">
        <f>IFERROR(
                  Andel_oberoende_av_klimat*VLOOKUP($A78,Leveranser_per_nät,'Leveranser per nät'!H$1,FALSE)
               +Andel_beroende_av_klimat*VLOOKUP($A78,Leveranser_per_nät,'Leveranser per nät'!H$1,FALSE)/VLOOKUP("Herrljunga",Korrigeringsfaktor_EI,'Korrigeringsfaktor EI'!H$1,FALSE),
"")</f>
        <v>0</v>
      </c>
      <c r="I78" s="18">
        <f>IFERROR(
                  Andel_oberoende_av_klimat*VLOOKUP($A78,Leveranser_per_nät,'Leveranser per nät'!I$1,FALSE)
               +Andel_beroende_av_klimat*VLOOKUP($A78,Leveranser_per_nät,'Leveranser per nät'!I$1,FALSE)/VLOOKUP("Herrljunga",Korrigeringsfaktor_EI,'Korrigeringsfaktor EI'!I$1,FALSE),
"")</f>
        <v>0</v>
      </c>
      <c r="J78" s="18">
        <f>IFERROR(
                  Andel_oberoende_av_klimat*VLOOKUP($A78,Leveranser_per_nät,'Leveranser per nät'!J$1,FALSE)
               +Andel_beroende_av_klimat*VLOOKUP($A78,Leveranser_per_nät,'Leveranser per nät'!J$1,FALSE)/VLOOKUP("Herrljunga",Korrigeringsfaktor_EI,'Korrigeringsfaktor EI'!J$1,FALSE),
"")</f>
        <v>0</v>
      </c>
      <c r="K78" s="18">
        <f>IFERROR(
                  Andel_oberoende_av_klimat*VLOOKUP($A78,Leveranser_per_nät,'Leveranser per nät'!K$1,FALSE)
               +Andel_beroende_av_klimat*VLOOKUP($A78,Leveranser_per_nät,'Leveranser per nät'!K$1,FALSE)/VLOOKUP("Herrljunga",Korrigeringsfaktor_EI,'Korrigeringsfaktor EI'!K$1,FALSE),
"")</f>
        <v>0</v>
      </c>
      <c r="L78" s="18">
        <f>IFERROR(
                  Andel_oberoende_av_klimat*VLOOKUP($A78,Leveranser_per_nät,'Leveranser per nät'!L$1,FALSE)
               +Andel_beroende_av_klimat*VLOOKUP($A78,Leveranser_per_nät,'Leveranser per nät'!L$1,FALSE)/VLOOKUP("Herrljunga",Korrigeringsfaktor_EI,'Korrigeringsfaktor EI'!L$1,FALSE),
"")</f>
        <v>0</v>
      </c>
      <c r="M78" s="18">
        <f>IFERROR(
                  Andel_oberoende_av_klimat*VLOOKUP($A78,Leveranser_per_nät,'Leveranser per nät'!M$1,FALSE)
               +Andel_beroende_av_klimat*VLOOKUP($A78,Leveranser_per_nät,'Leveranser per nät'!M$1,FALSE)/VLOOKUP("Herrljunga",Korrigeringsfaktor_EI,'Korrigeringsfaktor EI'!M$1,FALSE),
"")</f>
        <v>0</v>
      </c>
      <c r="N78" s="18">
        <f>IFERROR(
                  Andel_oberoende_av_klimat*VLOOKUP($A78,Leveranser_per_nät,'Leveranser per nät'!N$1,FALSE)
               +Andel_beroende_av_klimat*VLOOKUP($A78,Leveranser_per_nät,'Leveranser per nät'!N$1,FALSE)/VLOOKUP("Herrljunga",Korrigeringsfaktor_EI,'Korrigeringsfaktor EI'!N$1,FALSE),
"")</f>
        <v>0</v>
      </c>
      <c r="O78" s="18">
        <f>IFERROR(
                  Andel_oberoende_av_klimat*VLOOKUP($A78,Leveranser_per_nät,'Leveranser per nät'!O$1,FALSE)
               +Andel_beroende_av_klimat*VLOOKUP($A78,Leveranser_per_nät,'Leveranser per nät'!O$1,FALSE)/VLOOKUP("Herrljunga",Korrigeringsfaktor_EI,'Korrigeringsfaktor EI'!O$1,FALSE),
"")</f>
        <v>0</v>
      </c>
      <c r="P78" s="18">
        <f>IFERROR(
                  Andel_oberoende_av_klimat*VLOOKUP($A78,Leveranser_per_nät,'Leveranser per nät'!P$1,FALSE)
               +Andel_beroende_av_klimat*VLOOKUP($A78,Leveranser_per_nät,'Leveranser per nät'!P$1,FALSE)/VLOOKUP("Herrljunga",Korrigeringsfaktor_EI,'Korrigeringsfaktor EI'!P$1,FALSE),
"")</f>
        <v>0</v>
      </c>
      <c r="Q78" s="18">
        <f>IFERROR(
                  Andel_oberoende_av_klimat*VLOOKUP($A78,Leveranser_per_nät,'Leveranser per nät'!Q$1,FALSE)
               +Andel_beroende_av_klimat*VLOOKUP($A78,Leveranser_per_nät,'Leveranser per nät'!Q$1,FALSE)/VLOOKUP("Herrljunga",Korrigeringsfaktor_EI,'Korrigeringsfaktor EI'!Q$1,FALSE),
"")</f>
        <v>0</v>
      </c>
      <c r="R78" s="18">
        <f>IFERROR(
                  Andel_oberoende_av_klimat*VLOOKUP($A78,Leveranser_per_nät,'Leveranser per nät'!R$1,FALSE)
               +Andel_beroende_av_klimat*VLOOKUP($A78,Leveranser_per_nät,'Leveranser per nät'!R$1,FALSE)/VLOOKUP("Herrljunga",Korrigeringsfaktor_EI,'Korrigeringsfaktor EI'!R$1,FALSE),
"")</f>
        <v>0</v>
      </c>
      <c r="S78" s="18" t="str">
        <f>IFERROR(
                  Andel_oberoende_av_klimat*VLOOKUP($A78,Leveranser_per_nät,'Leveranser per nät'!S$1,FALSE)
               +Andel_beroende_av_klimat*VLOOKUP($A78,Leveranser_per_nät,'Leveranser per nät'!S$1,FALSE)/VLOOKUP("Herrljunga",Korrigeringsfaktor_EI,'Korrigeringsfaktor EI'!S$1,FALSE),
"")</f>
        <v/>
      </c>
      <c r="T78" s="18" t="str">
        <f>IFERROR(
                  Andel_oberoende_av_klimat*VLOOKUP($A78,Leveranser_per_nät,'Leveranser per nät'!T$1,FALSE)
               +Andel_beroende_av_klimat*VLOOKUP($A78,Leveranser_per_nät,'Leveranser per nät'!T$1,FALSE)/VLOOKUP("Herrljunga",Korrigeringsfaktor_EI,'Korrigeringsfaktor EI'!T$1,FALSE),
"")</f>
        <v/>
      </c>
      <c r="U78" s="18" t="str">
        <f>IFERROR(
                  Andel_oberoende_av_klimat*VLOOKUP($A78,Leveranser_per_nät,'Leveranser per nät'!U$1,FALSE)
               +Andel_beroende_av_klimat*VLOOKUP($A78,Leveranser_per_nät,'Leveranser per nät'!U$1,FALSE)/VLOOKUP("Herrljunga",Korrigeringsfaktor_EI,'Korrigeringsfaktor EI'!U$1,FALSE),
"")</f>
        <v/>
      </c>
      <c r="V78" s="18">
        <f>IFERROR(
                  Andel_oberoende_av_klimat*VLOOKUP($A78,Leveranser_per_nät,'Leveranser per nät'!V$1,FALSE)
               +Andel_beroende_av_klimat*VLOOKUP($A78,Leveranser_per_nät,'Leveranser per nät'!V$1,FALSE)/VLOOKUP("Herrljunga",Korrigeringsfaktor_EI,'Korrigeringsfaktor EI'!V$1,FALSE),
"")</f>
        <v>7.0530107526881718</v>
      </c>
      <c r="W78" s="18">
        <f>IFERROR(
                  Andel_oberoende_av_klimat*VLOOKUP($A78,Leveranser_per_nät,'Leveranser per nät'!W$1,FALSE)
               +Andel_beroende_av_klimat*VLOOKUP($A78,Leveranser_per_nät,'Leveranser per nät'!W$1,FALSE)/VLOOKUP("Herrljunga",Korrigeringsfaktor_EI,'Korrigeringsfaktor EI'!W$1,FALSE),
"")</f>
        <v>7.8216666666666663</v>
      </c>
      <c r="X78" s="18">
        <f>IFERROR(
                  Andel_oberoende_av_klimat*VLOOKUP($A78,Leveranser_per_nät,'Leveranser per nät'!X$1,FALSE)
               +Andel_beroende_av_klimat*VLOOKUP($A78,Leveranser_per_nät,'Leveranser per nät'!X$1,FALSE)/VLOOKUP("Herrljunga",Korrigeringsfaktor_EI,'Korrigeringsfaktor EI'!X$1,FALSE),
"")</f>
        <v>8.0440425531914901</v>
      </c>
      <c r="Y78" s="18">
        <f>IFERROR(
                  Andel_oberoende_av_klimat*VLOOKUP($A78,Leveranser_per_nät,'Leveranser per nät'!Y$1,FALSE)
               +Andel_beroende_av_klimat*VLOOKUP($A78,Leveranser_per_nät,'Leveranser per nät'!Y$1,FALSE)/VLOOKUP($B78,Korrigeringsfaktor_EI,'Korrigeringsfaktor EI'!Y$1,FALSE),
"")</f>
        <v>8.34</v>
      </c>
      <c r="Z78" s="18">
        <f>IFERROR(
                  Andel_oberoende_av_klimat*VLOOKUP($A78,Leveranser_per_nät,'Leveranser per nät'!Z$1,FALSE)
               +Andel_beroende_av_klimat*VLOOKUP($A78,Leveranser_per_nät,'Leveranser per nät'!Z$1,FALSE)/VLOOKUP($B78,Korrigeringsfaktor_EI,'Korrigeringsfaktor EI'!Z$1,FALSE),
"")</f>
        <v>8.5110769230769225</v>
      </c>
      <c r="AA78" s="18">
        <f>IFERROR(
                  Andel_oberoende_av_klimat*VLOOKUP($A78,Leveranser_per_nät,'Leveranser per nät'!AA$1,FALSE)
               +Andel_beroende_av_klimat*VLOOKUP($A78,Leveranser_per_nät,'Leveranser per nät'!AA$1,FALSE)/VLOOKUP($B78,Korrigeringsfaktor_EI,'Korrigeringsfaktor EI'!AA$1,FALSE),
"")</f>
        <v>8.5247240735803782</v>
      </c>
      <c r="AB78" s="18">
        <f>IFERROR(
                  Andel_oberoende_av_klimat*VLOOKUP($A78,Leveranser_per_nät,'Leveranser per nät'!AB$1,FALSE)
               +Andel_beroende_av_klimat*VLOOKUP($A78,Leveranser_per_nät,'Leveranser per nät'!AB$1,FALSE)/VLOOKUP($B78,Korrigeringsfaktor_EI,'Korrigeringsfaktor EI'!AB$1,FALSE),
"")</f>
        <v>8.8704211557296766</v>
      </c>
      <c r="AC78" s="18">
        <f>IFERROR(
                  Andel_oberoende_av_klimat*VLOOKUP($A78,Leveranser_per_nät,'Leveranser per nät'!AC$1,FALSE)
               +Andel_beroende_av_klimat*VLOOKUP($A78,Leveranser_per_nät,'Leveranser per nät'!AC$1,FALSE)/VLOOKUP($B78,Korrigeringsfaktor_EI,'Korrigeringsfaktor EI'!AC$1,FALSE),
"")</f>
        <v>8.7175677966101688</v>
      </c>
      <c r="AD78" t="e">
        <v>#N/A</v>
      </c>
    </row>
    <row r="79" spans="1:30" x14ac:dyDescent="0.25">
      <c r="A79" t="s">
        <v>357</v>
      </c>
      <c r="B79" t="s">
        <v>357</v>
      </c>
      <c r="C79" s="18">
        <f>IFERROR(
                  Andel_oberoende_av_klimat*VLOOKUP($A79,Leveranser_per_nät,'Leveranser per nät'!C$1,FALSE)
               +Andel_beroende_av_klimat*VLOOKUP($A79,Leveranser_per_nät,'Leveranser per nät'!C$1,FALSE)/VLOOKUP($B79,Korrigeringsfaktor_EI,'Korrigeringsfaktor EI'!C$1,FALSE),
"")</f>
        <v>96.711111111111109</v>
      </c>
      <c r="D79" s="18">
        <f>IFERROR(
                  Andel_oberoende_av_klimat*VLOOKUP($A79,Leveranser_per_nät,'Leveranser per nät'!D$1,FALSE)
               +Andel_beroende_av_klimat*VLOOKUP($A79,Leveranser_per_nät,'Leveranser per nät'!D$1,FALSE)/VLOOKUP($B79,Korrigeringsfaktor_EI,'Korrigeringsfaktor EI'!D$1,FALSE),
"")</f>
        <v>92.944041666666678</v>
      </c>
      <c r="E79" s="18">
        <f>IFERROR(
                  Andel_oberoende_av_klimat*VLOOKUP($A79,Leveranser_per_nät,'Leveranser per nät'!E$1,FALSE)
               +Andel_beroende_av_klimat*VLOOKUP($A79,Leveranser_per_nät,'Leveranser per nät'!E$1,FALSE)/VLOOKUP($B79,Korrigeringsfaktor_EI,'Korrigeringsfaktor EI'!E$1,FALSE),
"")</f>
        <v>97.961165048543691</v>
      </c>
      <c r="F79" s="18">
        <f>IFERROR(
                  Andel_oberoende_av_klimat*VLOOKUP($A79,Leveranser_per_nät,'Leveranser per nät'!F$1,FALSE)
               +Andel_beroende_av_klimat*VLOOKUP($A79,Leveranser_per_nät,'Leveranser per nät'!F$1,FALSE)/VLOOKUP($B79,Korrigeringsfaktor_EI,'Korrigeringsfaktor EI'!F$1,FALSE),
"")</f>
        <v>99.100000000000009</v>
      </c>
      <c r="G79" s="18">
        <f>IFERROR(
                  Andel_oberoende_av_klimat*VLOOKUP($A79,Leveranser_per_nät,'Leveranser per nät'!G$1,FALSE)
               +Andel_beroende_av_klimat*VLOOKUP($A79,Leveranser_per_nät,'Leveranser per nät'!G$1,FALSE)/VLOOKUP($B79,Korrigeringsfaktor_EI,'Korrigeringsfaktor EI'!G$1,FALSE),
"")</f>
        <v>104.54444444444444</v>
      </c>
      <c r="H79" s="18">
        <f>IFERROR(
                  Andel_oberoende_av_klimat*VLOOKUP($A79,Leveranser_per_nät,'Leveranser per nät'!H$1,FALSE)
               +Andel_beroende_av_klimat*VLOOKUP($A79,Leveranser_per_nät,'Leveranser per nät'!H$1,FALSE)/VLOOKUP($B79,Korrigeringsfaktor_EI,'Korrigeringsfaktor EI'!H$1,FALSE),
"")</f>
        <v>109.96708585858585</v>
      </c>
      <c r="I79" s="18">
        <f>IFERROR(
                  Andel_oberoende_av_klimat*VLOOKUP($A79,Leveranser_per_nät,'Leveranser per nät'!I$1,FALSE)
               +Andel_beroende_av_klimat*VLOOKUP($A79,Leveranser_per_nät,'Leveranser per nät'!I$1,FALSE)/VLOOKUP($B79,Korrigeringsfaktor_EI,'Korrigeringsfaktor EI'!I$1,FALSE),
"")</f>
        <v>103.94583333333333</v>
      </c>
      <c r="J79" s="18">
        <f>IFERROR(
                  Andel_oberoende_av_klimat*VLOOKUP($A79,Leveranser_per_nät,'Leveranser per nät'!J$1,FALSE)
               +Andel_beroende_av_klimat*VLOOKUP($A79,Leveranser_per_nät,'Leveranser per nät'!J$1,FALSE)/VLOOKUP($B79,Korrigeringsfaktor_EI,'Korrigeringsfaktor EI'!J$1,FALSE),
"")</f>
        <v>107.27319587628867</v>
      </c>
      <c r="K79" s="18">
        <f>IFERROR(
                  Andel_oberoende_av_klimat*VLOOKUP($A79,Leveranser_per_nät,'Leveranser per nät'!K$1,FALSE)
               +Andel_beroende_av_klimat*VLOOKUP($A79,Leveranser_per_nät,'Leveranser per nät'!K$1,FALSE)/VLOOKUP($B79,Korrigeringsfaktor_EI,'Korrigeringsfaktor EI'!K$1,FALSE),
"")</f>
        <v>101.09528144329897</v>
      </c>
      <c r="L79" s="18">
        <f>IFERROR(
                  Andel_oberoende_av_klimat*VLOOKUP($A79,Leveranser_per_nät,'Leveranser per nät'!L$1,FALSE)
               +Andel_beroende_av_klimat*VLOOKUP($A79,Leveranser_per_nät,'Leveranser per nät'!L$1,FALSE)/VLOOKUP($B79,Korrigeringsfaktor_EI,'Korrigeringsfaktor EI'!L$1,FALSE),
"")</f>
        <v>94.301911827956985</v>
      </c>
      <c r="M79" s="18">
        <f>IFERROR(
                  Andel_oberoende_av_klimat*VLOOKUP($A79,Leveranser_per_nät,'Leveranser per nät'!M$1,FALSE)
               +Andel_beroende_av_klimat*VLOOKUP($A79,Leveranser_per_nät,'Leveranser per nät'!M$1,FALSE)/VLOOKUP($B79,Korrigeringsfaktor_EI,'Korrigeringsfaktor EI'!M$1,FALSE),
"")</f>
        <v>100.23838260869564</v>
      </c>
      <c r="N79" s="18">
        <f>IFERROR(
                  Andel_oberoende_av_klimat*VLOOKUP($A79,Leveranser_per_nät,'Leveranser per nät'!N$1,FALSE)
               +Andel_beroende_av_klimat*VLOOKUP($A79,Leveranser_per_nät,'Leveranser per nät'!N$1,FALSE)/VLOOKUP($B79,Korrigeringsfaktor_EI,'Korrigeringsfaktor EI'!N$1,FALSE),
"")</f>
        <v>93.230768421052645</v>
      </c>
      <c r="O79" s="18">
        <f>IFERROR(
                  Andel_oberoende_av_klimat*VLOOKUP($A79,Leveranser_per_nät,'Leveranser per nät'!O$1,FALSE)
               +Andel_beroende_av_klimat*VLOOKUP($A79,Leveranser_per_nät,'Leveranser per nät'!O$1,FALSE)/VLOOKUP($B79,Korrigeringsfaktor_EI,'Korrigeringsfaktor EI'!O$1,FALSE),
"")</f>
        <v>94.005053763440856</v>
      </c>
      <c r="P79" s="18">
        <f>IFERROR(
                  Andel_oberoende_av_klimat*VLOOKUP($A79,Leveranser_per_nät,'Leveranser per nät'!P$1,FALSE)
               +Andel_beroende_av_klimat*VLOOKUP($A79,Leveranser_per_nät,'Leveranser per nät'!P$1,FALSE)/VLOOKUP($B79,Korrigeringsfaktor_EI,'Korrigeringsfaktor EI'!P$1,FALSE),
"")</f>
        <v>97.809728282828274</v>
      </c>
      <c r="Q79" s="18">
        <f>IFERROR(
                  Andel_oberoende_av_klimat*VLOOKUP($A79,Leveranser_per_nät,'Leveranser per nät'!Q$1,FALSE)
               +Andel_beroende_av_klimat*VLOOKUP($A79,Leveranser_per_nät,'Leveranser per nät'!Q$1,FALSE)/VLOOKUP($B79,Korrigeringsfaktor_EI,'Korrigeringsfaktor EI'!Q$1,FALSE),
"")</f>
        <v>103.37038584070798</v>
      </c>
      <c r="R79" s="18">
        <f>IFERROR(
                  Andel_oberoende_av_klimat*VLOOKUP($A79,Leveranser_per_nät,'Leveranser per nät'!R$1,FALSE)
               +Andel_beroende_av_klimat*VLOOKUP($A79,Leveranser_per_nät,'Leveranser per nät'!R$1,FALSE)/VLOOKUP($B79,Korrigeringsfaktor_EI,'Korrigeringsfaktor EI'!R$1,FALSE),
"")</f>
        <v>97.4599652173913</v>
      </c>
      <c r="S79" s="18">
        <f>IFERROR(
                  Andel_oberoende_av_klimat*VLOOKUP($A79,Leveranser_per_nät,'Leveranser per nät'!S$1,FALSE)
               +Andel_beroende_av_klimat*VLOOKUP($A79,Leveranser_per_nät,'Leveranser per nät'!S$1,FALSE)/VLOOKUP($B79,Korrigeringsfaktor_EI,'Korrigeringsfaktor EI'!S$1,FALSE),
"")</f>
        <v>100.29999999999998</v>
      </c>
      <c r="T79" s="18">
        <f>IFERROR(
                  Andel_oberoende_av_klimat*VLOOKUP($A79,Leveranser_per_nät,'Leveranser per nät'!T$1,FALSE)
               +Andel_beroende_av_klimat*VLOOKUP($A79,Leveranser_per_nät,'Leveranser per nät'!T$1,FALSE)/VLOOKUP($B79,Korrigeringsfaktor_EI,'Korrigeringsfaktor EI'!T$1,FALSE),
"")</f>
        <v>100.57117525773194</v>
      </c>
      <c r="U79" s="18">
        <f>IFERROR(
                  Andel_oberoende_av_klimat*VLOOKUP($A79,Leveranser_per_nät,'Leveranser per nät'!U$1,FALSE)
               +Andel_beroende_av_klimat*VLOOKUP($A79,Leveranser_per_nät,'Leveranser per nät'!U$1,FALSE)/VLOOKUP($B79,Korrigeringsfaktor_EI,'Korrigeringsfaktor EI'!U$1,FALSE),
"")</f>
        <v>95.73923478260869</v>
      </c>
      <c r="V79" s="18">
        <f>IFERROR(
                  Andel_oberoende_av_klimat*VLOOKUP($A79,Leveranser_per_nät,'Leveranser per nät'!V$1,FALSE)
               +Andel_beroende_av_klimat*VLOOKUP($A79,Leveranser_per_nät,'Leveranser per nät'!V$1,FALSE)/VLOOKUP($B79,Korrigeringsfaktor_EI,'Korrigeringsfaktor EI'!V$1,FALSE),
"")</f>
        <v>96.293008695652176</v>
      </c>
      <c r="W79" s="18">
        <f>IFERROR(
                  Andel_oberoende_av_klimat*VLOOKUP($A79,Leveranser_per_nät,'Leveranser per nät'!W$1,FALSE)
               +Andel_beroende_av_klimat*VLOOKUP($A79,Leveranser_per_nät,'Leveranser per nät'!W$1,FALSE)/VLOOKUP($B79,Korrigeringsfaktor_EI,'Korrigeringsfaktor EI'!W$1,FALSE),
"")</f>
        <v>97.317999999999998</v>
      </c>
      <c r="X79" s="18">
        <f>IFERROR(
                  Andel_oberoende_av_klimat*VLOOKUP($A79,Leveranser_per_nät,'Leveranser per nät'!X$1,FALSE)
               +Andel_beroende_av_klimat*VLOOKUP($A79,Leveranser_per_nät,'Leveranser per nät'!X$1,FALSE)/VLOOKUP($B79,Korrigeringsfaktor_EI,'Korrigeringsfaktor EI'!X$1,FALSE),
"")</f>
        <v>98.051655319148949</v>
      </c>
      <c r="Y79" s="18">
        <f>IFERROR(
                  Andel_oberoende_av_klimat*VLOOKUP($A79,Leveranser_per_nät,'Leveranser per nät'!Y$1,FALSE)
               +Andel_beroende_av_klimat*VLOOKUP($A79,Leveranser_per_nät,'Leveranser per nät'!Y$1,FALSE)/VLOOKUP($B79,Korrigeringsfaktor_EI,'Korrigeringsfaktor EI'!Y$1,FALSE),
"")</f>
        <v>100.74653913043477</v>
      </c>
      <c r="Z79" s="18">
        <f>IFERROR(
                  Andel_oberoende_av_klimat*VLOOKUP($A79,Leveranser_per_nät,'Leveranser per nät'!Z$1,FALSE)
               +Andel_beroende_av_klimat*VLOOKUP($A79,Leveranser_per_nät,'Leveranser per nät'!Z$1,FALSE)/VLOOKUP($B79,Korrigeringsfaktor_EI,'Korrigeringsfaktor EI'!Z$1,FALSE),
"")</f>
        <v>100.8167</v>
      </c>
      <c r="AA79" s="18">
        <f>IFERROR(
                  Andel_oberoende_av_klimat*VLOOKUP($A79,Leveranser_per_nät,'Leveranser per nät'!AA$1,FALSE)
               +Andel_beroende_av_klimat*VLOOKUP($A79,Leveranser_per_nät,'Leveranser per nät'!AA$1,FALSE)/VLOOKUP($B79,Korrigeringsfaktor_EI,'Korrigeringsfaktor EI'!AA$1,FALSE),
"")</f>
        <v>94.236091968658172</v>
      </c>
      <c r="AB79" s="18">
        <f>IFERROR(
                  Andel_oberoende_av_klimat*VLOOKUP($A79,Leveranser_per_nät,'Leveranser per nät'!AB$1,FALSE)
               +Andel_beroende_av_klimat*VLOOKUP($A79,Leveranser_per_nät,'Leveranser per nät'!AB$1,FALSE)/VLOOKUP($B79,Korrigeringsfaktor_EI,'Korrigeringsfaktor EI'!AB$1,FALSE),
"")</f>
        <v>95.598418026183282</v>
      </c>
      <c r="AC79" s="18">
        <f>IFERROR(
                  Andel_oberoende_av_klimat*VLOOKUP($A79,Leveranser_per_nät,'Leveranser per nät'!AC$1,FALSE)
               +Andel_beroende_av_klimat*VLOOKUP($A79,Leveranser_per_nät,'Leveranser per nät'!AC$1,FALSE)/VLOOKUP($B79,Korrigeringsfaktor_EI,'Korrigeringsfaktor EI'!AC$1,FALSE),
"")</f>
        <v>91.792781316348197</v>
      </c>
      <c r="AD79">
        <v>88</v>
      </c>
    </row>
    <row r="80" spans="1:30" x14ac:dyDescent="0.25">
      <c r="A80" t="s">
        <v>108</v>
      </c>
      <c r="B80" t="s">
        <v>108</v>
      </c>
      <c r="C80" s="18">
        <f>IFERROR(
                  Andel_oberoende_av_klimat*VLOOKUP($A80,Leveranser_per_nät,'Leveranser per nät'!C$1,FALSE)
               +Andel_beroende_av_klimat*VLOOKUP($A80,Leveranser_per_nät,'Leveranser per nät'!C$1,FALSE)/VLOOKUP($B80,Korrigeringsfaktor_EI,'Korrigeringsfaktor EI'!C$1,FALSE),
"")</f>
        <v>35.803669724770643</v>
      </c>
      <c r="D80" s="18">
        <f>IFERROR(
                  Andel_oberoende_av_klimat*VLOOKUP($A80,Leveranser_per_nät,'Leveranser per nät'!D$1,FALSE)
               +Andel_beroende_av_klimat*VLOOKUP($A80,Leveranser_per_nät,'Leveranser per nät'!D$1,FALSE)/VLOOKUP($B80,Korrigeringsfaktor_EI,'Korrigeringsfaktor EI'!D$1,FALSE),
"")</f>
        <v>35.752450980392162</v>
      </c>
      <c r="E80" s="18">
        <f>IFERROR(
                  Andel_oberoende_av_klimat*VLOOKUP($A80,Leveranser_per_nät,'Leveranser per nät'!E$1,FALSE)
               +Andel_beroende_av_klimat*VLOOKUP($A80,Leveranser_per_nät,'Leveranser per nät'!E$1,FALSE)/VLOOKUP($B80,Korrigeringsfaktor_EI,'Korrigeringsfaktor EI'!E$1,FALSE),
"")</f>
        <v>34.286407766990294</v>
      </c>
      <c r="F80" s="18">
        <f>IFERROR(
                  Andel_oberoende_av_klimat*VLOOKUP($A80,Leveranser_per_nät,'Leveranser per nät'!F$1,FALSE)
               +Andel_beroende_av_klimat*VLOOKUP($A80,Leveranser_per_nät,'Leveranser per nät'!F$1,FALSE)/VLOOKUP($B80,Korrigeringsfaktor_EI,'Korrigeringsfaktor EI'!F$1,FALSE),
"")</f>
        <v>30.875</v>
      </c>
      <c r="G80" s="18">
        <f>IFERROR(
                  Andel_oberoende_av_klimat*VLOOKUP($A80,Leveranser_per_nät,'Leveranser per nät'!G$1,FALSE)
               +Andel_beroende_av_klimat*VLOOKUP($A80,Leveranser_per_nät,'Leveranser per nät'!G$1,FALSE)/VLOOKUP($B80,Korrigeringsfaktor_EI,'Korrigeringsfaktor EI'!G$1,FALSE),
"")</f>
        <v>32.59550561797753</v>
      </c>
      <c r="H80" s="18">
        <f>IFERROR(
                  Andel_oberoende_av_klimat*VLOOKUP($A80,Leveranser_per_nät,'Leveranser per nät'!H$1,FALSE)
               +Andel_beroende_av_klimat*VLOOKUP($A80,Leveranser_per_nät,'Leveranser per nät'!H$1,FALSE)/VLOOKUP($B80,Korrigeringsfaktor_EI,'Korrigeringsfaktor EI'!H$1,FALSE),
"")</f>
        <v>38</v>
      </c>
      <c r="I80" s="18">
        <f>IFERROR(
                  Andel_oberoende_av_klimat*VLOOKUP($A80,Leveranser_per_nät,'Leveranser per nät'!I$1,FALSE)
               +Andel_beroende_av_klimat*VLOOKUP($A80,Leveranser_per_nät,'Leveranser per nät'!I$1,FALSE)/VLOOKUP($B80,Korrigeringsfaktor_EI,'Korrigeringsfaktor EI'!I$1,FALSE),
"")</f>
        <v>40.137499999999996</v>
      </c>
      <c r="J80" s="18">
        <f>IFERROR(
                  Andel_oberoende_av_klimat*VLOOKUP($A80,Leveranser_per_nät,'Leveranser per nät'!J$1,FALSE)
               +Andel_beroende_av_klimat*VLOOKUP($A80,Leveranser_per_nät,'Leveranser per nät'!J$1,FALSE)/VLOOKUP($B80,Korrigeringsfaktor_EI,'Korrigeringsfaktor EI'!J$1,FALSE),
"")</f>
        <v>45.309118181818178</v>
      </c>
      <c r="K80" s="18">
        <f>IFERROR(
                  Andel_oberoende_av_klimat*VLOOKUP($A80,Leveranser_per_nät,'Leveranser per nät'!K$1,FALSE)
               +Andel_beroende_av_klimat*VLOOKUP($A80,Leveranser_per_nät,'Leveranser per nät'!K$1,FALSE)/VLOOKUP($B80,Korrigeringsfaktor_EI,'Korrigeringsfaktor EI'!K$1,FALSE),
"")</f>
        <v>44.754342857142859</v>
      </c>
      <c r="L80" s="18">
        <f>IFERROR(
                  Andel_oberoende_av_klimat*VLOOKUP($A80,Leveranser_per_nät,'Leveranser per nät'!L$1,FALSE)
               +Andel_beroende_av_klimat*VLOOKUP($A80,Leveranser_per_nät,'Leveranser per nät'!L$1,FALSE)/VLOOKUP($B80,Korrigeringsfaktor_EI,'Korrigeringsfaktor EI'!L$1,FALSE),
"")</f>
        <v>52.933129166666667</v>
      </c>
      <c r="M80" s="18">
        <f>IFERROR(
                  Andel_oberoende_av_klimat*VLOOKUP($A80,Leveranser_per_nät,'Leveranser per nät'!M$1,FALSE)
               +Andel_beroende_av_klimat*VLOOKUP($A80,Leveranser_per_nät,'Leveranser per nät'!M$1,FALSE)/VLOOKUP($B80,Korrigeringsfaktor_EI,'Korrigeringsfaktor EI'!M$1,FALSE),
"")</f>
        <v>58.666086956521724</v>
      </c>
      <c r="N80" s="18">
        <f>IFERROR(
                  Andel_oberoende_av_klimat*VLOOKUP($A80,Leveranser_per_nät,'Leveranser per nät'!N$1,FALSE)
               +Andel_beroende_av_klimat*VLOOKUP($A80,Leveranser_per_nät,'Leveranser per nät'!N$1,FALSE)/VLOOKUP($B80,Korrigeringsfaktor_EI,'Korrigeringsfaktor EI'!N$1,FALSE),
"")</f>
        <v>57.246400000000001</v>
      </c>
      <c r="O80" s="18">
        <f>IFERROR(
                  Andel_oberoende_av_klimat*VLOOKUP($A80,Leveranser_per_nät,'Leveranser per nät'!O$1,FALSE)
               +Andel_beroende_av_klimat*VLOOKUP($A80,Leveranser_per_nät,'Leveranser per nät'!O$1,FALSE)/VLOOKUP($B80,Korrigeringsfaktor_EI,'Korrigeringsfaktor EI'!O$1,FALSE),
"")</f>
        <v>60.225629213483145</v>
      </c>
      <c r="P80" s="18">
        <f>IFERROR(
                  Andel_oberoende_av_klimat*VLOOKUP($A80,Leveranser_per_nät,'Leveranser per nät'!P$1,FALSE)
               +Andel_beroende_av_klimat*VLOOKUP($A80,Leveranser_per_nät,'Leveranser per nät'!P$1,FALSE)/VLOOKUP($B80,Korrigeringsfaktor_EI,'Korrigeringsfaktor EI'!P$1,FALSE),
"")</f>
        <v>66.190978723404257</v>
      </c>
      <c r="Q80" s="18">
        <f>IFERROR(
                  Andel_oberoende_av_klimat*VLOOKUP($A80,Leveranser_per_nät,'Leveranser per nät'!Q$1,FALSE)
               +Andel_beroende_av_klimat*VLOOKUP($A80,Leveranser_per_nät,'Leveranser per nät'!Q$1,FALSE)/VLOOKUP($B80,Korrigeringsfaktor_EI,'Korrigeringsfaktor EI'!Q$1,FALSE),
"")</f>
        <v>70.836813274336279</v>
      </c>
      <c r="R80" s="18">
        <f>IFERROR(
                  Andel_oberoende_av_klimat*VLOOKUP($A80,Leveranser_per_nät,'Leveranser per nät'!R$1,FALSE)
               +Andel_beroende_av_klimat*VLOOKUP($A80,Leveranser_per_nät,'Leveranser per nät'!R$1,FALSE)/VLOOKUP($B80,Korrigeringsfaktor_EI,'Korrigeringsfaktor EI'!R$1,FALSE),
"")</f>
        <v>67.285722580645157</v>
      </c>
      <c r="S80" s="18">
        <f>IFERROR(
                  Andel_oberoende_av_klimat*VLOOKUP($A80,Leveranser_per_nät,'Leveranser per nät'!S$1,FALSE)
               +Andel_beroende_av_klimat*VLOOKUP($A80,Leveranser_per_nät,'Leveranser per nät'!S$1,FALSE)/VLOOKUP($B80,Korrigeringsfaktor_EI,'Korrigeringsfaktor EI'!S$1,FALSE),
"")</f>
        <v>66.080392156862743</v>
      </c>
      <c r="T80" s="18">
        <f>IFERROR(
                  Andel_oberoende_av_klimat*VLOOKUP($A80,Leveranser_per_nät,'Leveranser per nät'!T$1,FALSE)
               +Andel_beroende_av_klimat*VLOOKUP($A80,Leveranser_per_nät,'Leveranser per nät'!T$1,FALSE)/VLOOKUP($B80,Korrigeringsfaktor_EI,'Korrigeringsfaktor EI'!T$1,FALSE),
"")</f>
        <v>65.386942857142841</v>
      </c>
      <c r="U80" s="18">
        <f>IFERROR(
                  Andel_oberoende_av_klimat*VLOOKUP($A80,Leveranser_per_nät,'Leveranser per nät'!U$1,FALSE)
               +Andel_beroende_av_klimat*VLOOKUP($A80,Leveranser_per_nät,'Leveranser per nät'!U$1,FALSE)/VLOOKUP($B80,Korrigeringsfaktor_EI,'Korrigeringsfaktor EI'!U$1,FALSE),
"")</f>
        <v>61.970346511627909</v>
      </c>
      <c r="V80" s="18">
        <f>IFERROR(
                  Andel_oberoende_av_klimat*VLOOKUP($A80,Leveranser_per_nät,'Leveranser per nät'!V$1,FALSE)
               +Andel_beroende_av_klimat*VLOOKUP($A80,Leveranser_per_nät,'Leveranser per nät'!V$1,FALSE)/VLOOKUP($B80,Korrigeringsfaktor_EI,'Korrigeringsfaktor EI'!V$1,FALSE),
"")</f>
        <v>62.012176923076922</v>
      </c>
      <c r="W80" s="18">
        <f>IFERROR(
                  Andel_oberoende_av_klimat*VLOOKUP($A80,Leveranser_per_nät,'Leveranser per nät'!W$1,FALSE)
               +Andel_beroende_av_klimat*VLOOKUP($A80,Leveranser_per_nät,'Leveranser per nät'!W$1,FALSE)/VLOOKUP($B80,Korrigeringsfaktor_EI,'Korrigeringsfaktor EI'!W$1,FALSE),
"")</f>
        <v>63.031312499999999</v>
      </c>
      <c r="X80" s="18">
        <f>IFERROR(
                  Andel_oberoende_av_klimat*VLOOKUP($A80,Leveranser_per_nät,'Leveranser per nät'!X$1,FALSE)
               +Andel_beroende_av_klimat*VLOOKUP($A80,Leveranser_per_nät,'Leveranser per nät'!X$1,FALSE)/VLOOKUP($B80,Korrigeringsfaktor_EI,'Korrigeringsfaktor EI'!X$1,FALSE),
"")</f>
        <v>63.516947368421057</v>
      </c>
      <c r="Y80" s="18">
        <f>IFERROR(
                  Andel_oberoende_av_klimat*VLOOKUP($A80,Leveranser_per_nät,'Leveranser per nät'!Y$1,FALSE)
               +Andel_beroende_av_klimat*VLOOKUP($A80,Leveranser_per_nät,'Leveranser per nät'!Y$1,FALSE)/VLOOKUP($B80,Korrigeringsfaktor_EI,'Korrigeringsfaktor EI'!Y$1,FALSE),
"")</f>
        <v>69.091606741573031</v>
      </c>
      <c r="Z80" s="18">
        <f>IFERROR(
                  Andel_oberoende_av_klimat*VLOOKUP($A80,Leveranser_per_nät,'Leveranser per nät'!Z$1,FALSE)
               +Andel_beroende_av_klimat*VLOOKUP($A80,Leveranser_per_nät,'Leveranser per nät'!Z$1,FALSE)/VLOOKUP($B80,Korrigeringsfaktor_EI,'Korrigeringsfaktor EI'!Z$1,FALSE),
"")</f>
        <v>70.267878160919537</v>
      </c>
      <c r="AA80" s="18">
        <f>IFERROR(
                  Andel_oberoende_av_klimat*VLOOKUP($A80,Leveranser_per_nät,'Leveranser per nät'!AA$1,FALSE)
               +Andel_beroende_av_klimat*VLOOKUP($A80,Leveranser_per_nät,'Leveranser per nät'!AA$1,FALSE)/VLOOKUP($B80,Korrigeringsfaktor_EI,'Korrigeringsfaktor EI'!AA$1,FALSE),
"")</f>
        <v>69.25361455696202</v>
      </c>
      <c r="AB80" s="18">
        <f>IFERROR(
                  Andel_oberoende_av_klimat*VLOOKUP($A80,Leveranser_per_nät,'Leveranser per nät'!AB$1,FALSE)
               +Andel_beroende_av_klimat*VLOOKUP($A80,Leveranser_per_nät,'Leveranser per nät'!AB$1,FALSE)/VLOOKUP($B80,Korrigeringsfaktor_EI,'Korrigeringsfaktor EI'!AB$1,FALSE),
"")</f>
        <v>73.009831034482758</v>
      </c>
      <c r="AC80" s="18">
        <f>IFERROR(
                  Andel_oberoende_av_klimat*VLOOKUP($A80,Leveranser_per_nät,'Leveranser per nät'!AC$1,FALSE)
               +Andel_beroende_av_klimat*VLOOKUP($A80,Leveranser_per_nät,'Leveranser per nät'!AC$1,FALSE)/VLOOKUP($B80,Korrigeringsfaktor_EI,'Korrigeringsfaktor EI'!AC$1,FALSE),
"")</f>
        <v>73.341838329764457</v>
      </c>
      <c r="AD80">
        <v>69.885000000000005</v>
      </c>
    </row>
    <row r="81" spans="1:30" x14ac:dyDescent="0.25">
      <c r="A81" t="s">
        <v>106</v>
      </c>
      <c r="B81" t="s">
        <v>106</v>
      </c>
      <c r="C81" s="18">
        <f>IFERROR(
                  Andel_oberoende_av_klimat*VLOOKUP($A81,Leveranser_per_nät,'Leveranser per nät'!C$1,FALSE)
               +Andel_beroende_av_klimat*VLOOKUP($A81,Leveranser_per_nät,'Leveranser per nät'!C$1,FALSE)/VLOOKUP($B81,Korrigeringsfaktor_EI,'Korrigeringsfaktor EI'!C$1,FALSE),
"")</f>
        <v>46.25</v>
      </c>
      <c r="D81" s="18">
        <f>IFERROR(
                  Andel_oberoende_av_klimat*VLOOKUP($A81,Leveranser_per_nät,'Leveranser per nät'!D$1,FALSE)
               +Andel_beroende_av_klimat*VLOOKUP($A81,Leveranser_per_nät,'Leveranser per nät'!D$1,FALSE)/VLOOKUP($B81,Korrigeringsfaktor_EI,'Korrigeringsfaktor EI'!D$1,FALSE),
"")</f>
        <v>43.844009900990102</v>
      </c>
      <c r="E81" s="18">
        <f>IFERROR(
                  Andel_oberoende_av_klimat*VLOOKUP($A81,Leveranser_per_nät,'Leveranser per nät'!E$1,FALSE)
               +Andel_beroende_av_klimat*VLOOKUP($A81,Leveranser_per_nät,'Leveranser per nät'!E$1,FALSE)/VLOOKUP($B81,Korrigeringsfaktor_EI,'Korrigeringsfaktor EI'!E$1,FALSE),
"")</f>
        <v>45.757969230769234</v>
      </c>
      <c r="F81" s="18">
        <f>IFERROR(
                  Andel_oberoende_av_klimat*VLOOKUP($A81,Leveranser_per_nät,'Leveranser per nät'!F$1,FALSE)
               +Andel_beroende_av_klimat*VLOOKUP($A81,Leveranser_per_nät,'Leveranser per nät'!F$1,FALSE)/VLOOKUP($B81,Korrigeringsfaktor_EI,'Korrigeringsfaktor EI'!F$1,FALSE),
"")</f>
        <v>48.685714285714283</v>
      </c>
      <c r="G81" s="18">
        <f>IFERROR(
                  Andel_oberoende_av_klimat*VLOOKUP($A81,Leveranser_per_nät,'Leveranser per nät'!G$1,FALSE)
               +Andel_beroende_av_klimat*VLOOKUP($A81,Leveranser_per_nät,'Leveranser per nät'!G$1,FALSE)/VLOOKUP($B81,Korrigeringsfaktor_EI,'Korrigeringsfaktor EI'!G$1,FALSE),
"")</f>
        <v>54.104347826086958</v>
      </c>
      <c r="H81" s="18">
        <f>IFERROR(
                  Andel_oberoende_av_klimat*VLOOKUP($A81,Leveranser_per_nät,'Leveranser per nät'!H$1,FALSE)
               +Andel_beroende_av_klimat*VLOOKUP($A81,Leveranser_per_nät,'Leveranser per nät'!H$1,FALSE)/VLOOKUP($B81,Korrigeringsfaktor_EI,'Korrigeringsfaktor EI'!H$1,FALSE),
"")</f>
        <v>65</v>
      </c>
      <c r="I81" s="18">
        <f>IFERROR(
                  Andel_oberoende_av_klimat*VLOOKUP($A81,Leveranser_per_nät,'Leveranser per nät'!I$1,FALSE)
               +Andel_beroende_av_klimat*VLOOKUP($A81,Leveranser_per_nät,'Leveranser per nät'!I$1,FALSE)/VLOOKUP($B81,Korrigeringsfaktor_EI,'Korrigeringsfaktor EI'!I$1,FALSE),
"")</f>
        <v>76.726315789473688</v>
      </c>
      <c r="J81" s="18">
        <f>IFERROR(
                  Andel_oberoende_av_klimat*VLOOKUP($A81,Leveranser_per_nät,'Leveranser per nät'!J$1,FALSE)
               +Andel_beroende_av_klimat*VLOOKUP($A81,Leveranser_per_nät,'Leveranser per nät'!J$1,FALSE)/VLOOKUP($B81,Korrigeringsfaktor_EI,'Korrigeringsfaktor EI'!J$1,FALSE),
"")</f>
        <v>83.171428571428578</v>
      </c>
      <c r="K81" s="18">
        <f>IFERROR(
                  Andel_oberoende_av_klimat*VLOOKUP($A81,Leveranser_per_nät,'Leveranser per nät'!K$1,FALSE)
               +Andel_beroende_av_klimat*VLOOKUP($A81,Leveranser_per_nät,'Leveranser per nät'!K$1,FALSE)/VLOOKUP($B81,Korrigeringsfaktor_EI,'Korrigeringsfaktor EI'!K$1,FALSE),
"")</f>
        <v>88.407716161616165</v>
      </c>
      <c r="L81" s="18">
        <f>IFERROR(
                  Andel_oberoende_av_klimat*VLOOKUP($A81,Leveranser_per_nät,'Leveranser per nät'!L$1,FALSE)
               +Andel_beroende_av_klimat*VLOOKUP($A81,Leveranser_per_nät,'Leveranser per nät'!L$1,FALSE)/VLOOKUP($B81,Korrigeringsfaktor_EI,'Korrigeringsfaktor EI'!L$1,FALSE),
"")</f>
        <v>91.499091666666672</v>
      </c>
      <c r="M81" s="18">
        <f>IFERROR(
                  Andel_oberoende_av_klimat*VLOOKUP($A81,Leveranser_per_nät,'Leveranser per nät'!M$1,FALSE)
               +Andel_beroende_av_klimat*VLOOKUP($A81,Leveranser_per_nät,'Leveranser per nät'!M$1,FALSE)/VLOOKUP($B81,Korrigeringsfaktor_EI,'Korrigeringsfaktor EI'!M$1,FALSE),
"")</f>
        <v>94.741935483870961</v>
      </c>
      <c r="N81" s="18">
        <f>IFERROR(
                  Andel_oberoende_av_klimat*VLOOKUP($A81,Leveranser_per_nät,'Leveranser per nät'!N$1,FALSE)
               +Andel_beroende_av_klimat*VLOOKUP($A81,Leveranser_per_nät,'Leveranser per nät'!N$1,FALSE)/VLOOKUP($B81,Korrigeringsfaktor_EI,'Korrigeringsfaktor EI'!N$1,FALSE),
"")</f>
        <v>108.20869565217392</v>
      </c>
      <c r="O81" s="18">
        <f>IFERROR(
                  Andel_oberoende_av_klimat*VLOOKUP($A81,Leveranser_per_nät,'Leveranser per nät'!O$1,FALSE)
               +Andel_beroende_av_klimat*VLOOKUP($A81,Leveranser_per_nät,'Leveranser per nät'!O$1,FALSE)/VLOOKUP($B81,Korrigeringsfaktor_EI,'Korrigeringsfaktor EI'!O$1,FALSE),
"")</f>
        <v>109.06153846153846</v>
      </c>
      <c r="P81" s="18">
        <f>IFERROR(
                  Andel_oberoende_av_klimat*VLOOKUP($A81,Leveranser_per_nät,'Leveranser per nät'!P$1,FALSE)
               +Andel_beroende_av_klimat*VLOOKUP($A81,Leveranser_per_nät,'Leveranser per nät'!P$1,FALSE)/VLOOKUP($B81,Korrigeringsfaktor_EI,'Korrigeringsfaktor EI'!P$1,FALSE),
"")</f>
        <v>109.09166666666667</v>
      </c>
      <c r="Q81" s="18">
        <f>IFERROR(
                  Andel_oberoende_av_klimat*VLOOKUP($A81,Leveranser_per_nät,'Leveranser per nät'!Q$1,FALSE)
               +Andel_beroende_av_klimat*VLOOKUP($A81,Leveranser_per_nät,'Leveranser per nät'!Q$1,FALSE)/VLOOKUP($B81,Korrigeringsfaktor_EI,'Korrigeringsfaktor EI'!Q$1,FALSE),
"")</f>
        <v>115.9395</v>
      </c>
      <c r="R81" s="18">
        <f>IFERROR(
                  Andel_oberoende_av_klimat*VLOOKUP($A81,Leveranser_per_nät,'Leveranser per nät'!R$1,FALSE)
               +Andel_beroende_av_klimat*VLOOKUP($A81,Leveranser_per_nät,'Leveranser per nät'!R$1,FALSE)/VLOOKUP($B81,Korrigeringsfaktor_EI,'Korrigeringsfaktor EI'!R$1,FALSE),
"")</f>
        <v>112.6855652173913</v>
      </c>
      <c r="S81" s="18">
        <f>IFERROR(
                  Andel_oberoende_av_klimat*VLOOKUP($A81,Leveranser_per_nät,'Leveranser per nät'!S$1,FALSE)
               +Andel_beroende_av_klimat*VLOOKUP($A81,Leveranser_per_nät,'Leveranser per nät'!S$1,FALSE)/VLOOKUP($B81,Korrigeringsfaktor_EI,'Korrigeringsfaktor EI'!S$1,FALSE),
"")</f>
        <v>115.20888888888889</v>
      </c>
      <c r="T81" s="18">
        <f>IFERROR(
                  Andel_oberoende_av_klimat*VLOOKUP($A81,Leveranser_per_nät,'Leveranser per nät'!T$1,FALSE)
               +Andel_beroende_av_klimat*VLOOKUP($A81,Leveranser_per_nät,'Leveranser per nät'!T$1,FALSE)/VLOOKUP($B81,Korrigeringsfaktor_EI,'Korrigeringsfaktor EI'!T$1,FALSE),
"")</f>
        <v>114.29499278350517</v>
      </c>
      <c r="U81" s="18">
        <f>IFERROR(
                  Andel_oberoende_av_klimat*VLOOKUP($A81,Leveranser_per_nät,'Leveranser per nät'!U$1,FALSE)
               +Andel_beroende_av_klimat*VLOOKUP($A81,Leveranser_per_nät,'Leveranser per nät'!U$1,FALSE)/VLOOKUP($B81,Korrigeringsfaktor_EI,'Korrigeringsfaktor EI'!U$1,FALSE),
"")</f>
        <v>109.98363636363636</v>
      </c>
      <c r="V81" s="18">
        <f>IFERROR(
                  Andel_oberoende_av_klimat*VLOOKUP($A81,Leveranser_per_nät,'Leveranser per nät'!V$1,FALSE)
               +Andel_beroende_av_klimat*VLOOKUP($A81,Leveranser_per_nät,'Leveranser per nät'!V$1,FALSE)/VLOOKUP($B81,Korrigeringsfaktor_EI,'Korrigeringsfaktor EI'!V$1,FALSE),
"")</f>
        <v>110.75478260869565</v>
      </c>
      <c r="W81" s="18">
        <f>IFERROR(
                  Andel_oberoende_av_klimat*VLOOKUP($A81,Leveranser_per_nät,'Leveranser per nät'!W$1,FALSE)
               +Andel_beroende_av_klimat*VLOOKUP($A81,Leveranser_per_nät,'Leveranser per nät'!W$1,FALSE)/VLOOKUP($B81,Korrigeringsfaktor_EI,'Korrigeringsfaktor EI'!W$1,FALSE),
"")</f>
        <v>108.22428571428571</v>
      </c>
      <c r="X81" s="18">
        <f>IFERROR(
                  Andel_oberoende_av_klimat*VLOOKUP($A81,Leveranser_per_nät,'Leveranser per nät'!X$1,FALSE)
               +Andel_beroende_av_klimat*VLOOKUP($A81,Leveranser_per_nät,'Leveranser per nät'!X$1,FALSE)/VLOOKUP($B81,Korrigeringsfaktor_EI,'Korrigeringsfaktor EI'!X$1,FALSE),
"")</f>
        <v>106.62166666666667</v>
      </c>
      <c r="Y81" s="18">
        <f>IFERROR(
                  Andel_oberoende_av_klimat*VLOOKUP($A81,Leveranser_per_nät,'Leveranser per nät'!Y$1,FALSE)
               +Andel_beroende_av_klimat*VLOOKUP($A81,Leveranser_per_nät,'Leveranser per nät'!Y$1,FALSE)/VLOOKUP($B81,Korrigeringsfaktor_EI,'Korrigeringsfaktor EI'!Y$1,FALSE),
"")</f>
        <v>109.69391304347826</v>
      </c>
      <c r="Z81" s="18">
        <f>IFERROR(
                  Andel_oberoende_av_klimat*VLOOKUP($A81,Leveranser_per_nät,'Leveranser per nät'!Z$1,FALSE)
               +Andel_beroende_av_klimat*VLOOKUP($A81,Leveranser_per_nät,'Leveranser per nät'!Z$1,FALSE)/VLOOKUP($B81,Korrigeringsfaktor_EI,'Korrigeringsfaktor EI'!Z$1,FALSE),
"")</f>
        <v>109.38230769230771</v>
      </c>
      <c r="AA81" s="18">
        <f>IFERROR(
                  Andel_oberoende_av_klimat*VLOOKUP($A81,Leveranser_per_nät,'Leveranser per nät'!AA$1,FALSE)
               +Andel_beroende_av_klimat*VLOOKUP($A81,Leveranser_per_nät,'Leveranser per nät'!AA$1,FALSE)/VLOOKUP($B81,Korrigeringsfaktor_EI,'Korrigeringsfaktor EI'!AA$1,FALSE),
"")</f>
        <v>106.14668575697212</v>
      </c>
      <c r="AB81" s="18">
        <f>IFERROR(
                  Andel_oberoende_av_klimat*VLOOKUP($A81,Leveranser_per_nät,'Leveranser per nät'!AB$1,FALSE)
               +Andel_beroende_av_klimat*VLOOKUP($A81,Leveranser_per_nät,'Leveranser per nät'!AB$1,FALSE)/VLOOKUP($B81,Korrigeringsfaktor_EI,'Korrigeringsfaktor EI'!AB$1,FALSE),
"")</f>
        <v>106.5820178041543</v>
      </c>
      <c r="AC81" s="18">
        <f>IFERROR(
                  Andel_oberoende_av_klimat*VLOOKUP($A81,Leveranser_per_nät,'Leveranser per nät'!AC$1,FALSE)
               +Andel_beroende_av_klimat*VLOOKUP($A81,Leveranser_per_nät,'Leveranser per nät'!AC$1,FALSE)/VLOOKUP($B81,Korrigeringsfaktor_EI,'Korrigeringsfaktor EI'!AC$1,FALSE),
"")</f>
        <v>102.17782290562036</v>
      </c>
      <c r="AD81">
        <v>98.03</v>
      </c>
    </row>
    <row r="82" spans="1:30" x14ac:dyDescent="0.25">
      <c r="A82" t="s">
        <v>110</v>
      </c>
      <c r="B82" t="s">
        <v>110</v>
      </c>
      <c r="C82" s="18">
        <f>IFERROR(
                  Andel_oberoende_av_klimat*VLOOKUP($A82,Leveranser_per_nät,'Leveranser per nät'!C$1,FALSE)
               +Andel_beroende_av_klimat*VLOOKUP($A82,Leveranser_per_nät,'Leveranser per nät'!C$1,FALSE)/VLOOKUP($B82,Korrigeringsfaktor_EI,'Korrigeringsfaktor EI'!C$1,FALSE),
"")</f>
        <v>135.4132075471698</v>
      </c>
      <c r="D82" s="18">
        <f>IFERROR(
                  Andel_oberoende_av_klimat*VLOOKUP($A82,Leveranser_per_nät,'Leveranser per nät'!D$1,FALSE)
               +Andel_beroende_av_klimat*VLOOKUP($A82,Leveranser_per_nät,'Leveranser per nät'!D$1,FALSE)/VLOOKUP($B82,Korrigeringsfaktor_EI,'Korrigeringsfaktor EI'!D$1,FALSE),
"")</f>
        <v>148.63131578947369</v>
      </c>
      <c r="E82" s="18">
        <f>IFERROR(
                  Andel_oberoende_av_klimat*VLOOKUP($A82,Leveranser_per_nät,'Leveranser per nät'!E$1,FALSE)
               +Andel_beroende_av_klimat*VLOOKUP($A82,Leveranser_per_nät,'Leveranser per nät'!E$1,FALSE)/VLOOKUP($B82,Korrigeringsfaktor_EI,'Korrigeringsfaktor EI'!E$1,FALSE),
"")</f>
        <v>170</v>
      </c>
      <c r="F82" s="18">
        <f>IFERROR(
                  Andel_oberoende_av_klimat*VLOOKUP($A82,Leveranser_per_nät,'Leveranser per nät'!F$1,FALSE)
               +Andel_beroende_av_klimat*VLOOKUP($A82,Leveranser_per_nät,'Leveranser per nät'!F$1,FALSE)/VLOOKUP($B82,Korrigeringsfaktor_EI,'Korrigeringsfaktor EI'!F$1,FALSE),
"")</f>
        <v>190.68571428571428</v>
      </c>
      <c r="G82" s="18">
        <f>IFERROR(
                  Andel_oberoende_av_klimat*VLOOKUP($A82,Leveranser_per_nät,'Leveranser per nät'!G$1,FALSE)
               +Andel_beroende_av_klimat*VLOOKUP($A82,Leveranser_per_nät,'Leveranser per nät'!G$1,FALSE)/VLOOKUP($B82,Korrigeringsfaktor_EI,'Korrigeringsfaktor EI'!G$1,FALSE),
"")</f>
        <v>192.01739130434783</v>
      </c>
      <c r="H82" s="18">
        <f>IFERROR(
                  Andel_oberoende_av_klimat*VLOOKUP($A82,Leveranser_per_nät,'Leveranser per nät'!H$1,FALSE)
               +Andel_beroende_av_klimat*VLOOKUP($A82,Leveranser_per_nät,'Leveranser per nät'!H$1,FALSE)/VLOOKUP($B82,Korrigeringsfaktor_EI,'Korrigeringsfaktor EI'!H$1,FALSE),
"")</f>
        <v>230</v>
      </c>
      <c r="I82" s="18">
        <f>IFERROR(
                  Andel_oberoende_av_klimat*VLOOKUP($A82,Leveranser_per_nät,'Leveranser per nät'!I$1,FALSE)
               +Andel_beroende_av_klimat*VLOOKUP($A82,Leveranser_per_nät,'Leveranser per nät'!I$1,FALSE)/VLOOKUP($B82,Korrigeringsfaktor_EI,'Korrigeringsfaktor EI'!I$1,FALSE),
"")</f>
        <v>249.4525041666667</v>
      </c>
      <c r="J82" s="18">
        <f>IFERROR(
                  Andel_oberoende_av_klimat*VLOOKUP($A82,Leveranser_per_nät,'Leveranser per nät'!J$1,FALSE)
               +Andel_beroende_av_klimat*VLOOKUP($A82,Leveranser_per_nät,'Leveranser per nät'!J$1,FALSE)/VLOOKUP($B82,Korrigeringsfaktor_EI,'Korrigeringsfaktor EI'!J$1,FALSE),
"")</f>
        <v>268.54210526315791</v>
      </c>
      <c r="K82" s="18">
        <f>IFERROR(
                  Andel_oberoende_av_klimat*VLOOKUP($A82,Leveranser_per_nät,'Leveranser per nät'!K$1,FALSE)
               +Andel_beroende_av_klimat*VLOOKUP($A82,Leveranser_per_nät,'Leveranser per nät'!K$1,FALSE)/VLOOKUP($B82,Korrigeringsfaktor_EI,'Korrigeringsfaktor EI'!K$1,FALSE),
"")</f>
        <v>274.47874999999999</v>
      </c>
      <c r="L82" s="18">
        <f>IFERROR(
                  Andel_oberoende_av_klimat*VLOOKUP($A82,Leveranser_per_nät,'Leveranser per nät'!L$1,FALSE)
               +Andel_beroende_av_klimat*VLOOKUP($A82,Leveranser_per_nät,'Leveranser per nät'!L$1,FALSE)/VLOOKUP($B82,Korrigeringsfaktor_EI,'Korrigeringsfaktor EI'!L$1,FALSE),
"")</f>
        <v>256.46220860215055</v>
      </c>
      <c r="M82" s="18">
        <f>IFERROR(
                  Andel_oberoende_av_klimat*VLOOKUP($A82,Leveranser_per_nät,'Leveranser per nät'!M$1,FALSE)
               +Andel_beroende_av_klimat*VLOOKUP($A82,Leveranser_per_nät,'Leveranser per nät'!M$1,FALSE)/VLOOKUP($B82,Korrigeringsfaktor_EI,'Korrigeringsfaktor EI'!M$1,FALSE),
"")</f>
        <v>270.34977777777777</v>
      </c>
      <c r="N82" s="18">
        <f>IFERROR(
                  Andel_oberoende_av_klimat*VLOOKUP($A82,Leveranser_per_nät,'Leveranser per nät'!N$1,FALSE)
               +Andel_beroende_av_klimat*VLOOKUP($A82,Leveranser_per_nät,'Leveranser per nät'!N$1,FALSE)/VLOOKUP($B82,Korrigeringsfaktor_EI,'Korrigeringsfaktor EI'!N$1,FALSE),
"")</f>
        <v>277.46538461538461</v>
      </c>
      <c r="O82" s="18">
        <f>IFERROR(
                  Andel_oberoende_av_klimat*VLOOKUP($A82,Leveranser_per_nät,'Leveranser per nät'!O$1,FALSE)
               +Andel_beroende_av_klimat*VLOOKUP($A82,Leveranser_per_nät,'Leveranser per nät'!O$1,FALSE)/VLOOKUP($B82,Korrigeringsfaktor_EI,'Korrigeringsfaktor EI'!O$1,FALSE),
"")</f>
        <v>274.29444444444442</v>
      </c>
      <c r="P82" s="18">
        <f>IFERROR(
                  Andel_oberoende_av_klimat*VLOOKUP($A82,Leveranser_per_nät,'Leveranser per nät'!P$1,FALSE)
               +Andel_beroende_av_klimat*VLOOKUP($A82,Leveranser_per_nät,'Leveranser per nät'!P$1,FALSE)/VLOOKUP($B82,Korrigeringsfaktor_EI,'Korrigeringsfaktor EI'!P$1,FALSE),
"")</f>
        <v>287.54916666666668</v>
      </c>
      <c r="Q82" s="18">
        <f>IFERROR(
                  Andel_oberoende_av_klimat*VLOOKUP($A82,Leveranser_per_nät,'Leveranser per nät'!Q$1,FALSE)
               +Andel_beroende_av_klimat*VLOOKUP($A82,Leveranser_per_nät,'Leveranser per nät'!Q$1,FALSE)/VLOOKUP($B82,Korrigeringsfaktor_EI,'Korrigeringsfaktor EI'!Q$1,FALSE),
"")</f>
        <v>318.73818181818177</v>
      </c>
      <c r="R82" s="18">
        <f>IFERROR(
                  Andel_oberoende_av_klimat*VLOOKUP($A82,Leveranser_per_nät,'Leveranser per nät'!R$1,FALSE)
               +Andel_beroende_av_klimat*VLOOKUP($A82,Leveranser_per_nät,'Leveranser per nät'!R$1,FALSE)/VLOOKUP($B82,Korrigeringsfaktor_EI,'Korrigeringsfaktor EI'!R$1,FALSE),
"")</f>
        <v>303.46415730337083</v>
      </c>
      <c r="S82" s="18">
        <f>IFERROR(
                  Andel_oberoende_av_klimat*VLOOKUP($A82,Leveranser_per_nät,'Leveranser per nät'!S$1,FALSE)
               +Andel_beroende_av_klimat*VLOOKUP($A82,Leveranser_per_nät,'Leveranser per nät'!S$1,FALSE)/VLOOKUP($B82,Korrigeringsfaktor_EI,'Korrigeringsfaktor EI'!S$1,FALSE),
"")</f>
        <v>288.95985714285712</v>
      </c>
      <c r="T82" s="18">
        <f>IFERROR(
                  Andel_oberoende_av_klimat*VLOOKUP($A82,Leveranser_per_nät,'Leveranser per nät'!T$1,FALSE)
               +Andel_beroende_av_klimat*VLOOKUP($A82,Leveranser_per_nät,'Leveranser per nät'!T$1,FALSE)/VLOOKUP($B82,Korrigeringsfaktor_EI,'Korrigeringsfaktor EI'!T$1,FALSE),
"")</f>
        <v>315.54292173913041</v>
      </c>
      <c r="U82" s="18">
        <f>IFERROR(
                  Andel_oberoende_av_klimat*VLOOKUP($A82,Leveranser_per_nät,'Leveranser per nät'!U$1,FALSE)
               +Andel_beroende_av_klimat*VLOOKUP($A82,Leveranser_per_nät,'Leveranser per nät'!U$1,FALSE)/VLOOKUP($B82,Korrigeringsfaktor_EI,'Korrigeringsfaktor EI'!U$1,FALSE),
"")</f>
        <v>297.50354545454547</v>
      </c>
      <c r="V82" s="18">
        <f>IFERROR(
                  Andel_oberoende_av_klimat*VLOOKUP($A82,Leveranser_per_nät,'Leveranser per nät'!V$1,FALSE)
               +Andel_beroende_av_klimat*VLOOKUP($A82,Leveranser_per_nät,'Leveranser per nät'!V$1,FALSE)/VLOOKUP($B82,Korrigeringsfaktor_EI,'Korrigeringsfaktor EI'!V$1,FALSE),
"")</f>
        <v>361.10387640449432</v>
      </c>
      <c r="W82" s="18">
        <f>IFERROR(
                  Andel_oberoende_av_klimat*VLOOKUP($A82,Leveranser_per_nät,'Leveranser per nät'!W$1,FALSE)
               +Andel_beroende_av_klimat*VLOOKUP($A82,Leveranser_per_nät,'Leveranser per nät'!W$1,FALSE)/VLOOKUP($B82,Korrigeringsfaktor_EI,'Korrigeringsfaktor EI'!W$1,FALSE),
"")</f>
        <v>362.71319148936169</v>
      </c>
      <c r="X82" s="18">
        <f>IFERROR(
                  Andel_oberoende_av_klimat*VLOOKUP($A82,Leveranser_per_nät,'Leveranser per nät'!X$1,FALSE)
               +Andel_beroende_av_klimat*VLOOKUP($A82,Leveranser_per_nät,'Leveranser per nät'!X$1,FALSE)/VLOOKUP($B82,Korrigeringsfaktor_EI,'Korrigeringsfaktor EI'!X$1,FALSE),
"")</f>
        <v>379.57752631578944</v>
      </c>
      <c r="Y82" s="18">
        <f>IFERROR(
                  Andel_oberoende_av_klimat*VLOOKUP($A82,Leveranser_per_nät,'Leveranser per nät'!Y$1,FALSE)
               +Andel_beroende_av_klimat*VLOOKUP($A82,Leveranser_per_nät,'Leveranser per nät'!Y$1,FALSE)/VLOOKUP($B82,Korrigeringsfaktor_EI,'Korrigeringsfaktor EI'!Y$1,FALSE),
"")</f>
        <v>373.40486956521738</v>
      </c>
      <c r="Z82" s="18">
        <f>IFERROR(
                  Andel_oberoende_av_klimat*VLOOKUP($A82,Leveranser_per_nät,'Leveranser per nät'!Z$1,FALSE)
               +Andel_beroende_av_klimat*VLOOKUP($A82,Leveranser_per_nät,'Leveranser per nät'!Z$1,FALSE)/VLOOKUP($B82,Korrigeringsfaktor_EI,'Korrigeringsfaktor EI'!Z$1,FALSE),
"")</f>
        <v>371.31495652173908</v>
      </c>
      <c r="AA82" s="18">
        <f>IFERROR(
                  Andel_oberoende_av_klimat*VLOOKUP($A82,Leveranser_per_nät,'Leveranser per nät'!AA$1,FALSE)
               +Andel_beroende_av_klimat*VLOOKUP($A82,Leveranser_per_nät,'Leveranser per nät'!AA$1,FALSE)/VLOOKUP($B82,Korrigeringsfaktor_EI,'Korrigeringsfaktor EI'!AA$1,FALSE),
"")</f>
        <v>349.65716989498253</v>
      </c>
      <c r="AB82" s="18">
        <f>IFERROR(
                  Andel_oberoende_av_klimat*VLOOKUP($A82,Leveranser_per_nät,'Leveranser per nät'!AB$1,FALSE)
               +Andel_beroende_av_klimat*VLOOKUP($A82,Leveranser_per_nät,'Leveranser per nät'!AB$1,FALSE)/VLOOKUP($B82,Korrigeringsfaktor_EI,'Korrigeringsfaktor EI'!AB$1,FALSE),
"")</f>
        <v>362.8656842105263</v>
      </c>
      <c r="AC82" s="18">
        <f>IFERROR(
                  Andel_oberoende_av_klimat*VLOOKUP($A82,Leveranser_per_nät,'Leveranser per nät'!AC$1,FALSE)
               +Andel_beroende_av_klimat*VLOOKUP($A82,Leveranser_per_nät,'Leveranser per nät'!AC$1,FALSE)/VLOOKUP($B82,Korrigeringsfaktor_EI,'Korrigeringsfaktor EI'!AC$1,FALSE),
"")</f>
        <v>361.58004049844243</v>
      </c>
      <c r="AD82">
        <v>374.2</v>
      </c>
    </row>
    <row r="83" spans="1:30" x14ac:dyDescent="0.25">
      <c r="A83" t="s">
        <v>246</v>
      </c>
      <c r="B83" t="s">
        <v>246</v>
      </c>
      <c r="C83" s="18">
        <f>IFERROR(
                  Andel_oberoende_av_klimat*VLOOKUP($A83,Leveranser_per_nät,'Leveranser per nät'!C$1,FALSE)
               +Andel_beroende_av_klimat*VLOOKUP($A83,Leveranser_per_nät,'Leveranser per nät'!C$1,FALSE)/VLOOKUP($B83,Korrigeringsfaktor_EI,'Korrigeringsfaktor EI'!C$1,FALSE),
"")</f>
        <v>0</v>
      </c>
      <c r="D83" s="18">
        <f>IFERROR(
                  Andel_oberoende_av_klimat*VLOOKUP($A83,Leveranser_per_nät,'Leveranser per nät'!D$1,FALSE)
               +Andel_beroende_av_klimat*VLOOKUP($A83,Leveranser_per_nät,'Leveranser per nät'!D$1,FALSE)/VLOOKUP($B83,Korrigeringsfaktor_EI,'Korrigeringsfaktor EI'!D$1,FALSE),
"")</f>
        <v>0</v>
      </c>
      <c r="E83" s="18">
        <f>IFERROR(
                  Andel_oberoende_av_klimat*VLOOKUP($A83,Leveranser_per_nät,'Leveranser per nät'!E$1,FALSE)
               +Andel_beroende_av_klimat*VLOOKUP($A83,Leveranser_per_nät,'Leveranser per nät'!E$1,FALSE)/VLOOKUP($B83,Korrigeringsfaktor_EI,'Korrigeringsfaktor EI'!E$1,FALSE),
"")</f>
        <v>0</v>
      </c>
      <c r="F83" s="18">
        <f>IFERROR(
                  Andel_oberoende_av_klimat*VLOOKUP($A83,Leveranser_per_nät,'Leveranser per nät'!F$1,FALSE)
               +Andel_beroende_av_klimat*VLOOKUP($A83,Leveranser_per_nät,'Leveranser per nät'!F$1,FALSE)/VLOOKUP($B83,Korrigeringsfaktor_EI,'Korrigeringsfaktor EI'!F$1,FALSE),
"")</f>
        <v>0</v>
      </c>
      <c r="G83" s="18">
        <f>IFERROR(
                  Andel_oberoende_av_klimat*VLOOKUP($A83,Leveranser_per_nät,'Leveranser per nät'!G$1,FALSE)
               +Andel_beroende_av_klimat*VLOOKUP($A83,Leveranser_per_nät,'Leveranser per nät'!G$1,FALSE)/VLOOKUP($B83,Korrigeringsfaktor_EI,'Korrigeringsfaktor EI'!G$1,FALSE),
"")</f>
        <v>0</v>
      </c>
      <c r="H83" s="18">
        <f>IFERROR(
                  Andel_oberoende_av_klimat*VLOOKUP($A83,Leveranser_per_nät,'Leveranser per nät'!H$1,FALSE)
               +Andel_beroende_av_klimat*VLOOKUP($A83,Leveranser_per_nät,'Leveranser per nät'!H$1,FALSE)/VLOOKUP($B83,Korrigeringsfaktor_EI,'Korrigeringsfaktor EI'!H$1,FALSE),
"")</f>
        <v>0</v>
      </c>
      <c r="I83" s="18">
        <f>IFERROR(
                  Andel_oberoende_av_klimat*VLOOKUP($A83,Leveranser_per_nät,'Leveranser per nät'!I$1,FALSE)
               +Andel_beroende_av_klimat*VLOOKUP($A83,Leveranser_per_nät,'Leveranser per nät'!I$1,FALSE)/VLOOKUP($B83,Korrigeringsfaktor_EI,'Korrigeringsfaktor EI'!I$1,FALSE),
"")</f>
        <v>38.822680412371135</v>
      </c>
      <c r="J83" s="18">
        <f>IFERROR(
                  Andel_oberoende_av_klimat*VLOOKUP($A83,Leveranser_per_nät,'Leveranser per nät'!J$1,FALSE)
               +Andel_beroende_av_klimat*VLOOKUP($A83,Leveranser_per_nät,'Leveranser per nät'!J$1,FALSE)/VLOOKUP($B83,Korrigeringsfaktor_EI,'Korrigeringsfaktor EI'!J$1,FALSE),
"")</f>
        <v>38.542857142857144</v>
      </c>
      <c r="K83" s="18">
        <f>IFERROR(
                  Andel_oberoende_av_klimat*VLOOKUP($A83,Leveranser_per_nät,'Leveranser per nät'!K$1,FALSE)
               +Andel_beroende_av_klimat*VLOOKUP($A83,Leveranser_per_nät,'Leveranser per nät'!K$1,FALSE)/VLOOKUP($B83,Korrigeringsfaktor_EI,'Korrigeringsfaktor EI'!K$1,FALSE),
"")</f>
        <v>37.870245833333328</v>
      </c>
      <c r="L83" s="18">
        <f>IFERROR(
                  Andel_oberoende_av_klimat*VLOOKUP($A83,Leveranser_per_nät,'Leveranser per nät'!L$1,FALSE)
               +Andel_beroende_av_klimat*VLOOKUP($A83,Leveranser_per_nät,'Leveranser per nät'!L$1,FALSE)/VLOOKUP($B83,Korrigeringsfaktor_EI,'Korrigeringsfaktor EI'!L$1,FALSE),
"")</f>
        <v>37.586572340425533</v>
      </c>
      <c r="M83" s="18">
        <f>IFERROR(
                  Andel_oberoende_av_klimat*VLOOKUP($A83,Leveranser_per_nät,'Leveranser per nät'!M$1,FALSE)
               +Andel_beroende_av_klimat*VLOOKUP($A83,Leveranser_per_nät,'Leveranser per nät'!M$1,FALSE)/VLOOKUP($B83,Korrigeringsfaktor_EI,'Korrigeringsfaktor EI'!M$1,FALSE),
"")</f>
        <v>41.161739130434782</v>
      </c>
      <c r="N83" s="18">
        <f>IFERROR(
                  Andel_oberoende_av_klimat*VLOOKUP($A83,Leveranser_per_nät,'Leveranser per nät'!N$1,FALSE)
               +Andel_beroende_av_klimat*VLOOKUP($A83,Leveranser_per_nät,'Leveranser per nät'!N$1,FALSE)/VLOOKUP($B83,Korrigeringsfaktor_EI,'Korrigeringsfaktor EI'!N$1,FALSE),
"")</f>
        <v>42.675978494623649</v>
      </c>
      <c r="O83" s="18">
        <f>IFERROR(
                  Andel_oberoende_av_klimat*VLOOKUP($A83,Leveranser_per_nät,'Leveranser per nät'!O$1,FALSE)
               +Andel_beroende_av_klimat*VLOOKUP($A83,Leveranser_per_nät,'Leveranser per nät'!O$1,FALSE)/VLOOKUP($B83,Korrigeringsfaktor_EI,'Korrigeringsfaktor EI'!O$1,FALSE),
"")</f>
        <v>42.082784615384611</v>
      </c>
      <c r="P83" s="18">
        <f>IFERROR(
                  Andel_oberoende_av_klimat*VLOOKUP($A83,Leveranser_per_nät,'Leveranser per nät'!P$1,FALSE)
               +Andel_beroende_av_klimat*VLOOKUP($A83,Leveranser_per_nät,'Leveranser per nät'!P$1,FALSE)/VLOOKUP($B83,Korrigeringsfaktor_EI,'Korrigeringsfaktor EI'!P$1,FALSE),
"")</f>
        <v>43.266855670103098</v>
      </c>
      <c r="Q83" s="18">
        <f>IFERROR(
                  Andel_oberoende_av_klimat*VLOOKUP($A83,Leveranser_per_nät,'Leveranser per nät'!Q$1,FALSE)
               +Andel_beroende_av_klimat*VLOOKUP($A83,Leveranser_per_nät,'Leveranser per nät'!Q$1,FALSE)/VLOOKUP($B83,Korrigeringsfaktor_EI,'Korrigeringsfaktor EI'!Q$1,FALSE),
"")</f>
        <v>45.800986486486487</v>
      </c>
      <c r="R83" s="18">
        <f>IFERROR(
                  Andel_oberoende_av_klimat*VLOOKUP($A83,Leveranser_per_nät,'Leveranser per nät'!R$1,FALSE)
               +Andel_beroende_av_klimat*VLOOKUP($A83,Leveranser_per_nät,'Leveranser per nät'!R$1,FALSE)/VLOOKUP($B83,Korrigeringsfaktor_EI,'Korrigeringsfaktor EI'!R$1,FALSE),
"")</f>
        <v>41.764153846153846</v>
      </c>
      <c r="S83" s="18">
        <f>IFERROR(
                  Andel_oberoende_av_klimat*VLOOKUP($A83,Leveranser_per_nät,'Leveranser per nät'!S$1,FALSE)
               +Andel_beroende_av_klimat*VLOOKUP($A83,Leveranser_per_nät,'Leveranser per nät'!S$1,FALSE)/VLOOKUP($B83,Korrigeringsfaktor_EI,'Korrigeringsfaktor EI'!S$1,FALSE),
"")</f>
        <v>42.701980198019797</v>
      </c>
      <c r="T83" s="18">
        <f>IFERROR(
                  Andel_oberoende_av_klimat*VLOOKUP($A83,Leveranser_per_nät,'Leveranser per nät'!T$1,FALSE)
               +Andel_beroende_av_klimat*VLOOKUP($A83,Leveranser_per_nät,'Leveranser per nät'!T$1,FALSE)/VLOOKUP($B83,Korrigeringsfaktor_EI,'Korrigeringsfaktor EI'!T$1,FALSE),
"")</f>
        <v>41.489825000000003</v>
      </c>
      <c r="U83" s="18">
        <f>IFERROR(
                  Andel_oberoende_av_klimat*VLOOKUP($A83,Leveranser_per_nät,'Leveranser per nät'!U$1,FALSE)
               +Andel_beroende_av_klimat*VLOOKUP($A83,Leveranser_per_nät,'Leveranser per nät'!U$1,FALSE)/VLOOKUP($B83,Korrigeringsfaktor_EI,'Korrigeringsfaktor EI'!U$1,FALSE),
"")</f>
        <v>42.235250000000001</v>
      </c>
      <c r="V83" s="18">
        <f>IFERROR(
                  Andel_oberoende_av_klimat*VLOOKUP($A83,Leveranser_per_nät,'Leveranser per nät'!V$1,FALSE)
               +Andel_beroende_av_klimat*VLOOKUP($A83,Leveranser_per_nät,'Leveranser per nät'!V$1,FALSE)/VLOOKUP($B83,Korrigeringsfaktor_EI,'Korrigeringsfaktor EI'!V$1,FALSE),
"")</f>
        <v>41.605182608695657</v>
      </c>
      <c r="W83" s="18">
        <f>IFERROR(
                  Andel_oberoende_av_klimat*VLOOKUP($A83,Leveranser_per_nät,'Leveranser per nät'!W$1,FALSE)
               +Andel_beroende_av_klimat*VLOOKUP($A83,Leveranser_per_nät,'Leveranser per nät'!W$1,FALSE)/VLOOKUP($B83,Korrigeringsfaktor_EI,'Korrigeringsfaktor EI'!W$1,FALSE),
"")</f>
        <v>57.026315789473685</v>
      </c>
      <c r="X83" s="18">
        <f>IFERROR(
                  Andel_oberoende_av_klimat*VLOOKUP($A83,Leveranser_per_nät,'Leveranser per nät'!X$1,FALSE)
               +Andel_beroende_av_klimat*VLOOKUP($A83,Leveranser_per_nät,'Leveranser per nät'!X$1,FALSE)/VLOOKUP($B83,Korrigeringsfaktor_EI,'Korrigeringsfaktor EI'!X$1,FALSE),
"")</f>
        <v>55.575000000000003</v>
      </c>
      <c r="Y83" s="18">
        <f>IFERROR(
                  Andel_oberoende_av_klimat*VLOOKUP($A83,Leveranser_per_nät,'Leveranser per nät'!Y$1,FALSE)
               +Andel_beroende_av_klimat*VLOOKUP($A83,Leveranser_per_nät,'Leveranser per nät'!Y$1,FALSE)/VLOOKUP($B83,Korrigeringsfaktor_EI,'Korrigeringsfaktor EI'!Y$1,FALSE),
"")</f>
        <v>56.544347826086948</v>
      </c>
      <c r="Z83" s="18">
        <f>IFERROR(
                  Andel_oberoende_av_klimat*VLOOKUP($A83,Leveranser_per_nät,'Leveranser per nät'!Z$1,FALSE)
               +Andel_beroende_av_klimat*VLOOKUP($A83,Leveranser_per_nät,'Leveranser per nät'!Z$1,FALSE)/VLOOKUP($B83,Korrigeringsfaktor_EI,'Korrigeringsfaktor EI'!Z$1,FALSE),
"")</f>
        <v>54.528695652173909</v>
      </c>
      <c r="AA83" s="18">
        <f>IFERROR(
                  Andel_oberoende_av_klimat*VLOOKUP($A83,Leveranser_per_nät,'Leveranser per nät'!AA$1,FALSE)
               +Andel_beroende_av_klimat*VLOOKUP($A83,Leveranser_per_nät,'Leveranser per nät'!AA$1,FALSE)/VLOOKUP($B83,Korrigeringsfaktor_EI,'Korrigeringsfaktor EI'!AA$1,FALSE),
"")</f>
        <v>53.558641509433961</v>
      </c>
      <c r="AB83" s="18">
        <f>IFERROR(
                  Andel_oberoende_av_klimat*VLOOKUP($A83,Leveranser_per_nät,'Leveranser per nät'!AB$1,FALSE)
               +Andel_beroende_av_klimat*VLOOKUP($A83,Leveranser_per_nät,'Leveranser per nät'!AB$1,FALSE)/VLOOKUP($B83,Korrigeringsfaktor_EI,'Korrigeringsfaktor EI'!AB$1,FALSE),
"")</f>
        <v>54.969542743538767</v>
      </c>
      <c r="AC83" s="18">
        <f>IFERROR(
                  Andel_oberoende_av_klimat*VLOOKUP($A83,Leveranser_per_nät,'Leveranser per nät'!AC$1,FALSE)
               +Andel_beroende_av_klimat*VLOOKUP($A83,Leveranser_per_nät,'Leveranser per nät'!AC$1,FALSE)/VLOOKUP($B83,Korrigeringsfaktor_EI,'Korrigeringsfaktor EI'!AC$1,FALSE),
"")</f>
        <v>53.267185669125389</v>
      </c>
      <c r="AD83" t="e">
        <v>#N/A</v>
      </c>
    </row>
    <row r="84" spans="1:30" x14ac:dyDescent="0.25">
      <c r="A84" t="s">
        <v>122</v>
      </c>
      <c r="B84" t="s">
        <v>420</v>
      </c>
      <c r="C84" s="18">
        <f>IFERROR(
                  Andel_oberoende_av_klimat*VLOOKUP($A84,Leveranser_per_nät,'Leveranser per nät'!C$1,FALSE)
               +Andel_beroende_av_klimat*VLOOKUP($A84,Leveranser_per_nät,'Leveranser per nät'!C$1,FALSE)/VLOOKUP($B84,Korrigeringsfaktor_EI,'Korrigeringsfaktor EI'!C$1,FALSE),
"")</f>
        <v>0</v>
      </c>
      <c r="D84" s="18">
        <f>IFERROR(
                  Andel_oberoende_av_klimat*VLOOKUP($A84,Leveranser_per_nät,'Leveranser per nät'!D$1,FALSE)
               +Andel_beroende_av_klimat*VLOOKUP($A84,Leveranser_per_nät,'Leveranser per nät'!D$1,FALSE)/VLOOKUP($B84,Korrigeringsfaktor_EI,'Korrigeringsfaktor EI'!D$1,FALSE),
"")</f>
        <v>0</v>
      </c>
      <c r="E84" s="18">
        <f>IFERROR(
                  Andel_oberoende_av_klimat*VLOOKUP($A84,Leveranser_per_nät,'Leveranser per nät'!E$1,FALSE)
               +Andel_beroende_av_klimat*VLOOKUP($A84,Leveranser_per_nät,'Leveranser per nät'!E$1,FALSE)/VLOOKUP($B84,Korrigeringsfaktor_EI,'Korrigeringsfaktor EI'!E$1,FALSE),
"")</f>
        <v>0</v>
      </c>
      <c r="F84" s="18">
        <f>IFERROR(
                  Andel_oberoende_av_klimat*VLOOKUP($A84,Leveranser_per_nät,'Leveranser per nät'!F$1,FALSE)
               +Andel_beroende_av_klimat*VLOOKUP($A84,Leveranser_per_nät,'Leveranser per nät'!F$1,FALSE)/VLOOKUP($B84,Korrigeringsfaktor_EI,'Korrigeringsfaktor EI'!F$1,FALSE),
"")</f>
        <v>0</v>
      </c>
      <c r="G84" s="18">
        <f>IFERROR(
                  Andel_oberoende_av_klimat*VLOOKUP($A84,Leveranser_per_nät,'Leveranser per nät'!G$1,FALSE)
               +Andel_beroende_av_klimat*VLOOKUP($A84,Leveranser_per_nät,'Leveranser per nät'!G$1,FALSE)/VLOOKUP($B84,Korrigeringsfaktor_EI,'Korrigeringsfaktor EI'!G$1,FALSE),
"")</f>
        <v>0</v>
      </c>
      <c r="H84" s="18">
        <f>IFERROR(
                  Andel_oberoende_av_klimat*VLOOKUP($A84,Leveranser_per_nät,'Leveranser per nät'!H$1,FALSE)
               +Andel_beroende_av_klimat*VLOOKUP($A84,Leveranser_per_nät,'Leveranser per nät'!H$1,FALSE)/VLOOKUP($B84,Korrigeringsfaktor_EI,'Korrigeringsfaktor EI'!H$1,FALSE),
"")</f>
        <v>0</v>
      </c>
      <c r="I84" s="18">
        <f>IFERROR(
                  Andel_oberoende_av_klimat*VLOOKUP($A84,Leveranser_per_nät,'Leveranser per nät'!I$1,FALSE)
               +Andel_beroende_av_klimat*VLOOKUP($A84,Leveranser_per_nät,'Leveranser per nät'!I$1,FALSE)/VLOOKUP($B84,Korrigeringsfaktor_EI,'Korrigeringsfaktor EI'!I$1,FALSE),
"")</f>
        <v>0</v>
      </c>
      <c r="J84" s="18">
        <f>IFERROR(
                  Andel_oberoende_av_klimat*VLOOKUP($A84,Leveranser_per_nät,'Leveranser per nät'!J$1,FALSE)
               +Andel_beroende_av_klimat*VLOOKUP($A84,Leveranser_per_nät,'Leveranser per nät'!J$1,FALSE)/VLOOKUP($B84,Korrigeringsfaktor_EI,'Korrigeringsfaktor EI'!J$1,FALSE),
"")</f>
        <v>0</v>
      </c>
      <c r="K84" s="18">
        <f>IFERROR(
                  Andel_oberoende_av_klimat*VLOOKUP($A84,Leveranser_per_nät,'Leveranser per nät'!K$1,FALSE)
               +Andel_beroende_av_klimat*VLOOKUP($A84,Leveranser_per_nät,'Leveranser per nät'!K$1,FALSE)/VLOOKUP($B84,Korrigeringsfaktor_EI,'Korrigeringsfaktor EI'!K$1,FALSE),
"")</f>
        <v>0</v>
      </c>
      <c r="L84" s="18">
        <f>IFERROR(
                  Andel_oberoende_av_klimat*VLOOKUP($A84,Leveranser_per_nät,'Leveranser per nät'!L$1,FALSE)
               +Andel_beroende_av_klimat*VLOOKUP($A84,Leveranser_per_nät,'Leveranser per nät'!L$1,FALSE)/VLOOKUP($B84,Korrigeringsfaktor_EI,'Korrigeringsfaktor EI'!L$1,FALSE),
"")</f>
        <v>0</v>
      </c>
      <c r="M84" s="18">
        <f>IFERROR(
                  Andel_oberoende_av_klimat*VLOOKUP($A84,Leveranser_per_nät,'Leveranser per nät'!M$1,FALSE)
               +Andel_beroende_av_klimat*VLOOKUP($A84,Leveranser_per_nät,'Leveranser per nät'!M$1,FALSE)/VLOOKUP($B84,Korrigeringsfaktor_EI,'Korrigeringsfaktor EI'!M$1,FALSE),
"")</f>
        <v>0</v>
      </c>
      <c r="N84" s="18">
        <f>IFERROR(
                  Andel_oberoende_av_klimat*VLOOKUP($A84,Leveranser_per_nät,'Leveranser per nät'!N$1,FALSE)
               +Andel_beroende_av_klimat*VLOOKUP($A84,Leveranser_per_nät,'Leveranser per nät'!N$1,FALSE)/VLOOKUP($B84,Korrigeringsfaktor_EI,'Korrigeringsfaktor EI'!N$1,FALSE),
"")</f>
        <v>7.9315730337078652</v>
      </c>
      <c r="O84" s="18">
        <f>IFERROR(
                  Andel_oberoende_av_klimat*VLOOKUP($A84,Leveranser_per_nät,'Leveranser per nät'!O$1,FALSE)
               +Andel_beroende_av_klimat*VLOOKUP($A84,Leveranser_per_nät,'Leveranser per nät'!O$1,FALSE)/VLOOKUP($B84,Korrigeringsfaktor_EI,'Korrigeringsfaktor EI'!O$1,FALSE),
"")</f>
        <v>0</v>
      </c>
      <c r="P84" s="18">
        <f>IFERROR(
                  Andel_oberoende_av_klimat*VLOOKUP($A84,Leveranser_per_nät,'Leveranser per nät'!P$1,FALSE)
               +Andel_beroende_av_klimat*VLOOKUP($A84,Leveranser_per_nät,'Leveranser per nät'!P$1,FALSE)/VLOOKUP($B84,Korrigeringsfaktor_EI,'Korrigeringsfaktor EI'!P$1,FALSE),
"")</f>
        <v>0</v>
      </c>
      <c r="Q84" s="18">
        <f>IFERROR(
                  Andel_oberoende_av_klimat*VLOOKUP($A84,Leveranser_per_nät,'Leveranser per nät'!Q$1,FALSE)
               +Andel_beroende_av_klimat*VLOOKUP($A84,Leveranser_per_nät,'Leveranser per nät'!Q$1,FALSE)/VLOOKUP($B84,Korrigeringsfaktor_EI,'Korrigeringsfaktor EI'!Q$1,FALSE),
"")</f>
        <v>0</v>
      </c>
      <c r="R84" s="18">
        <f>IFERROR(
                  Andel_oberoende_av_klimat*VLOOKUP($A84,Leveranser_per_nät,'Leveranser per nät'!R$1,FALSE)
               +Andel_beroende_av_klimat*VLOOKUP($A84,Leveranser_per_nät,'Leveranser per nät'!R$1,FALSE)/VLOOKUP($B84,Korrigeringsfaktor_EI,'Korrigeringsfaktor EI'!R$1,FALSE),
"")</f>
        <v>0</v>
      </c>
      <c r="S84" s="18" t="str">
        <f>IFERROR(
                  Andel_oberoende_av_klimat*VLOOKUP($A84,Leveranser_per_nät,'Leveranser per nät'!S$1,FALSE)
               +Andel_beroende_av_klimat*VLOOKUP($A84,Leveranser_per_nät,'Leveranser per nät'!S$1,FALSE)/VLOOKUP($B84,Korrigeringsfaktor_EI,'Korrigeringsfaktor EI'!S$1,FALSE),
"")</f>
        <v/>
      </c>
      <c r="T84" s="18" t="str">
        <f>IFERROR(
                  Andel_oberoende_av_klimat*VLOOKUP($A84,Leveranser_per_nät,'Leveranser per nät'!T$1,FALSE)
               +Andel_beroende_av_klimat*VLOOKUP($A84,Leveranser_per_nät,'Leveranser per nät'!T$1,FALSE)/VLOOKUP($B84,Korrigeringsfaktor_EI,'Korrigeringsfaktor EI'!T$1,FALSE),
"")</f>
        <v/>
      </c>
      <c r="U84" s="18" t="str">
        <f>IFERROR(
                  Andel_oberoende_av_klimat*VLOOKUP($A84,Leveranser_per_nät,'Leveranser per nät'!U$1,FALSE)
               +Andel_beroende_av_klimat*VLOOKUP($A84,Leveranser_per_nät,'Leveranser per nät'!U$1,FALSE)/VLOOKUP($B84,Korrigeringsfaktor_EI,'Korrigeringsfaktor EI'!U$1,FALSE),
"")</f>
        <v/>
      </c>
      <c r="V84" s="18" t="str">
        <f>IFERROR(
                  Andel_oberoende_av_klimat*VLOOKUP($A84,Leveranser_per_nät,'Leveranser per nät'!V$1,FALSE)
               +Andel_beroende_av_klimat*VLOOKUP($A84,Leveranser_per_nät,'Leveranser per nät'!V$1,FALSE)/VLOOKUP($B84,Korrigeringsfaktor_EI,'Korrigeringsfaktor EI'!V$1,FALSE),
"")</f>
        <v/>
      </c>
      <c r="W84" s="18" t="str">
        <f>IFERROR(
                  Andel_oberoende_av_klimat*VLOOKUP($A84,Leveranser_per_nät,'Leveranser per nät'!W$1,FALSE)
               +Andel_beroende_av_klimat*VLOOKUP($A84,Leveranser_per_nät,'Leveranser per nät'!W$1,FALSE)/VLOOKUP($B84,Korrigeringsfaktor_EI,'Korrigeringsfaktor EI'!W$1,FALSE),
"")</f>
        <v/>
      </c>
      <c r="X84" s="18" t="str">
        <f>IFERROR(
                  Andel_oberoende_av_klimat*VLOOKUP($A84,Leveranser_per_nät,'Leveranser per nät'!X$1,FALSE)
               +Andel_beroende_av_klimat*VLOOKUP($A84,Leveranser_per_nät,'Leveranser per nät'!X$1,FALSE)/VLOOKUP($B84,Korrigeringsfaktor_EI,'Korrigeringsfaktor EI'!X$1,FALSE),
"")</f>
        <v/>
      </c>
      <c r="Y84" s="18" t="str">
        <f>IFERROR(
                  Andel_oberoende_av_klimat*VLOOKUP($A84,Leveranser_per_nät,'Leveranser per nät'!Y$1,FALSE)
               +Andel_beroende_av_klimat*VLOOKUP($A84,Leveranser_per_nät,'Leveranser per nät'!Y$1,FALSE)/VLOOKUP($B84,Korrigeringsfaktor_EI,'Korrigeringsfaktor EI'!Y$1,FALSE),
"")</f>
        <v/>
      </c>
      <c r="Z84" s="18">
        <f>IFERROR(
                  Andel_oberoende_av_klimat*VLOOKUP($A84,Leveranser_per_nät,'Leveranser per nät'!Z$1,FALSE)
               +Andel_beroende_av_klimat*VLOOKUP($A84,Leveranser_per_nät,'Leveranser per nät'!Z$1,FALSE)/VLOOKUP($B84,Korrigeringsfaktor_EI,'Korrigeringsfaktor EI'!Z$1,FALSE),
"")</f>
        <v>0</v>
      </c>
      <c r="AA84" s="18" t="str">
        <f>IFERROR(
                  Andel_oberoende_av_klimat*VLOOKUP($A84,Leveranser_per_nät,'Leveranser per nät'!AA$1,FALSE)
               +Andel_beroende_av_klimat*VLOOKUP($A84,Leveranser_per_nät,'Leveranser per nät'!AA$1,FALSE)/VLOOKUP($B84,Korrigeringsfaktor_EI,'Korrigeringsfaktor EI'!AA$1,FALSE),
"")</f>
        <v/>
      </c>
      <c r="AB84" s="18">
        <f>IFERROR(
                  Andel_oberoende_av_klimat*VLOOKUP($A84,Leveranser_per_nät,'Leveranser per nät'!AB$1,FALSE)
               +Andel_beroende_av_klimat*VLOOKUP($A84,Leveranser_per_nät,'Leveranser per nät'!AB$1,FALSE)/VLOOKUP($B84,Korrigeringsfaktor_EI,'Korrigeringsfaktor EI'!AB$1,FALSE),
"")</f>
        <v>0</v>
      </c>
      <c r="AC84" s="18">
        <f>IFERROR(
                  Andel_oberoende_av_klimat*VLOOKUP($A84,Leveranser_per_nät,'Leveranser per nät'!AC$1,FALSE)
               +Andel_beroende_av_klimat*VLOOKUP($A84,Leveranser_per_nät,'Leveranser per nät'!AC$1,FALSE)/VLOOKUP($B84,Korrigeringsfaktor_EI,'Korrigeringsfaktor EI'!AC$1,FALSE),
"")</f>
        <v>0</v>
      </c>
      <c r="AD84">
        <v>7723.8890000000001</v>
      </c>
    </row>
    <row r="85" spans="1:30" x14ac:dyDescent="0.25">
      <c r="A85" t="s">
        <v>113</v>
      </c>
      <c r="B85" t="s">
        <v>113</v>
      </c>
      <c r="C85" s="18">
        <f>IFERROR(
                  Andel_oberoende_av_klimat*VLOOKUP($A85,Leveranser_per_nät,'Leveranser per nät'!C$1,FALSE)
               +Andel_beroende_av_klimat*VLOOKUP($A85,Leveranser_per_nät,'Leveranser per nät'!C$1,FALSE)/VLOOKUP($B85,Korrigeringsfaktor_EI,'Korrigeringsfaktor EI'!C$1,FALSE),
"")</f>
        <v>0</v>
      </c>
      <c r="D85" s="18">
        <f>IFERROR(
                  Andel_oberoende_av_klimat*VLOOKUP($A85,Leveranser_per_nät,'Leveranser per nät'!D$1,FALSE)
               +Andel_beroende_av_klimat*VLOOKUP($A85,Leveranser_per_nät,'Leveranser per nät'!D$1,FALSE)/VLOOKUP($B85,Korrigeringsfaktor_EI,'Korrigeringsfaktor EI'!D$1,FALSE),
"")</f>
        <v>0</v>
      </c>
      <c r="E85" s="18">
        <f>IFERROR(
                  Andel_oberoende_av_klimat*VLOOKUP($A85,Leveranser_per_nät,'Leveranser per nät'!E$1,FALSE)
               +Andel_beroende_av_klimat*VLOOKUP($A85,Leveranser_per_nät,'Leveranser per nät'!E$1,FALSE)/VLOOKUP($B85,Korrigeringsfaktor_EI,'Korrigeringsfaktor EI'!E$1,FALSE),
"")</f>
        <v>0</v>
      </c>
      <c r="F85" s="18">
        <f>IFERROR(
                  Andel_oberoende_av_klimat*VLOOKUP($A85,Leveranser_per_nät,'Leveranser per nät'!F$1,FALSE)
               +Andel_beroende_av_klimat*VLOOKUP($A85,Leveranser_per_nät,'Leveranser per nät'!F$1,FALSE)/VLOOKUP($B85,Korrigeringsfaktor_EI,'Korrigeringsfaktor EI'!F$1,FALSE),
"")</f>
        <v>0</v>
      </c>
      <c r="G85" s="18">
        <f>IFERROR(
                  Andel_oberoende_av_klimat*VLOOKUP($A85,Leveranser_per_nät,'Leveranser per nät'!G$1,FALSE)
               +Andel_beroende_av_klimat*VLOOKUP($A85,Leveranser_per_nät,'Leveranser per nät'!G$1,FALSE)/VLOOKUP($B85,Korrigeringsfaktor_EI,'Korrigeringsfaktor EI'!G$1,FALSE),
"")</f>
        <v>0</v>
      </c>
      <c r="H85" s="18">
        <f>IFERROR(
                  Andel_oberoende_av_klimat*VLOOKUP($A85,Leveranser_per_nät,'Leveranser per nät'!H$1,FALSE)
               +Andel_beroende_av_klimat*VLOOKUP($A85,Leveranser_per_nät,'Leveranser per nät'!H$1,FALSE)/VLOOKUP($B85,Korrigeringsfaktor_EI,'Korrigeringsfaktor EI'!H$1,FALSE),
"")</f>
        <v>0</v>
      </c>
      <c r="I85" s="18">
        <f>IFERROR(
                  Andel_oberoende_av_klimat*VLOOKUP($A85,Leveranser_per_nät,'Leveranser per nät'!I$1,FALSE)
               +Andel_beroende_av_klimat*VLOOKUP($A85,Leveranser_per_nät,'Leveranser per nät'!I$1,FALSE)/VLOOKUP($B85,Korrigeringsfaktor_EI,'Korrigeringsfaktor EI'!I$1,FALSE),
"")</f>
        <v>74.652631578947364</v>
      </c>
      <c r="J85" s="18">
        <f>IFERROR(
                  Andel_oberoende_av_klimat*VLOOKUP($A85,Leveranser_per_nät,'Leveranser per nät'!J$1,FALSE)
               +Andel_beroende_av_klimat*VLOOKUP($A85,Leveranser_per_nät,'Leveranser per nät'!J$1,FALSE)/VLOOKUP($B85,Korrigeringsfaktor_EI,'Korrigeringsfaktor EI'!J$1,FALSE),
"")</f>
        <v>80.436914285714295</v>
      </c>
      <c r="K85" s="18">
        <f>IFERROR(
                  Andel_oberoende_av_klimat*VLOOKUP($A85,Leveranser_per_nät,'Leveranser per nät'!K$1,FALSE)
               +Andel_beroende_av_klimat*VLOOKUP($A85,Leveranser_per_nät,'Leveranser per nät'!K$1,FALSE)/VLOOKUP($B85,Korrigeringsfaktor_EI,'Korrigeringsfaktor EI'!K$1,FALSE),
"")</f>
        <v>89.255385567010322</v>
      </c>
      <c r="L85" s="18">
        <f>IFERROR(
                  Andel_oberoende_av_klimat*VLOOKUP($A85,Leveranser_per_nät,'Leveranser per nät'!L$1,FALSE)
               +Andel_beroende_av_klimat*VLOOKUP($A85,Leveranser_per_nät,'Leveranser per nät'!L$1,FALSE)/VLOOKUP($B85,Korrigeringsfaktor_EI,'Korrigeringsfaktor EI'!L$1,FALSE),
"")</f>
        <v>104.65158421052632</v>
      </c>
      <c r="M85" s="18">
        <f>IFERROR(
                  Andel_oberoende_av_klimat*VLOOKUP($A85,Leveranser_per_nät,'Leveranser per nät'!M$1,FALSE)
               +Andel_beroende_av_klimat*VLOOKUP($A85,Leveranser_per_nät,'Leveranser per nät'!M$1,FALSE)/VLOOKUP($B85,Korrigeringsfaktor_EI,'Korrigeringsfaktor EI'!M$1,FALSE),
"")</f>
        <v>106.32150537634408</v>
      </c>
      <c r="N85" s="18">
        <f>IFERROR(
                  Andel_oberoende_av_klimat*VLOOKUP($A85,Leveranser_per_nät,'Leveranser per nät'!N$1,FALSE)
               +Andel_beroende_av_klimat*VLOOKUP($A85,Leveranser_per_nät,'Leveranser per nät'!N$1,FALSE)/VLOOKUP($B85,Korrigeringsfaktor_EI,'Korrigeringsfaktor EI'!N$1,FALSE),
"")</f>
        <v>109.47956989247311</v>
      </c>
      <c r="O85" s="18">
        <f>IFERROR(
                  Andel_oberoende_av_klimat*VLOOKUP($A85,Leveranser_per_nät,'Leveranser per nät'!O$1,FALSE)
               +Andel_beroende_av_klimat*VLOOKUP($A85,Leveranser_per_nät,'Leveranser per nät'!O$1,FALSE)/VLOOKUP($B85,Korrigeringsfaktor_EI,'Korrigeringsfaktor EI'!O$1,FALSE),
"")</f>
        <v>111.39130434782608</v>
      </c>
      <c r="P85" s="18">
        <f>IFERROR(
                  Andel_oberoende_av_klimat*VLOOKUP($A85,Leveranser_per_nät,'Leveranser per nät'!P$1,FALSE)
               +Andel_beroende_av_klimat*VLOOKUP($A85,Leveranser_per_nät,'Leveranser per nät'!P$1,FALSE)/VLOOKUP($B85,Korrigeringsfaktor_EI,'Korrigeringsfaktor EI'!P$1,FALSE),
"")</f>
        <v>124.75714285714285</v>
      </c>
      <c r="Q85" s="18">
        <f>IFERROR(
                  Andel_oberoende_av_klimat*VLOOKUP($A85,Leveranser_per_nät,'Leveranser per nät'!Q$1,FALSE)
               +Andel_beroende_av_klimat*VLOOKUP($A85,Leveranser_per_nät,'Leveranser per nät'!Q$1,FALSE)/VLOOKUP($B85,Korrigeringsfaktor_EI,'Korrigeringsfaktor EI'!Q$1,FALSE),
"")</f>
        <v>123.39473684210529</v>
      </c>
      <c r="R85" s="18">
        <f>IFERROR(
                  Andel_oberoende_av_klimat*VLOOKUP($A85,Leveranser_per_nät,'Leveranser per nät'!R$1,FALSE)
               +Andel_beroende_av_klimat*VLOOKUP($A85,Leveranser_per_nät,'Leveranser per nät'!R$1,FALSE)/VLOOKUP($B85,Korrigeringsfaktor_EI,'Korrigeringsfaktor EI'!R$1,FALSE),
"")</f>
        <v>115.47692307692307</v>
      </c>
      <c r="S85" s="18">
        <f>IFERROR(
                  Andel_oberoende_av_klimat*VLOOKUP($A85,Leveranser_per_nät,'Leveranser per nät'!S$1,FALSE)
               +Andel_beroende_av_klimat*VLOOKUP($A85,Leveranser_per_nät,'Leveranser per nät'!S$1,FALSE)/VLOOKUP($B85,Korrigeringsfaktor_EI,'Korrigeringsfaktor EI'!S$1,FALSE),
"")</f>
        <v>117</v>
      </c>
      <c r="T85" s="18">
        <f>IFERROR(
                  Andel_oberoende_av_klimat*VLOOKUP($A85,Leveranser_per_nät,'Leveranser per nät'!T$1,FALSE)
               +Andel_beroende_av_klimat*VLOOKUP($A85,Leveranser_per_nät,'Leveranser per nät'!T$1,FALSE)/VLOOKUP($B85,Korrigeringsfaktor_EI,'Korrigeringsfaktor EI'!T$1,FALSE),
"")</f>
        <v>117.48969072164948</v>
      </c>
      <c r="U85" s="18">
        <f>IFERROR(
                  Andel_oberoende_av_klimat*VLOOKUP($A85,Leveranser_per_nät,'Leveranser per nät'!U$1,FALSE)
               +Andel_beroende_av_klimat*VLOOKUP($A85,Leveranser_per_nät,'Leveranser per nät'!U$1,FALSE)/VLOOKUP($B85,Korrigeringsfaktor_EI,'Korrigeringsfaktor EI'!U$1,FALSE),
"")</f>
        <v>113.16666666666667</v>
      </c>
      <c r="V85" s="18">
        <f>IFERROR(
                  Andel_oberoende_av_klimat*VLOOKUP($A85,Leveranser_per_nät,'Leveranser per nät'!V$1,FALSE)
               +Andel_beroende_av_klimat*VLOOKUP($A85,Leveranser_per_nät,'Leveranser per nät'!V$1,FALSE)/VLOOKUP($B85,Korrigeringsfaktor_EI,'Korrigeringsfaktor EI'!V$1,FALSE),
"")</f>
        <v>111.91123595505618</v>
      </c>
      <c r="W85" s="18">
        <f>IFERROR(
                  Andel_oberoende_av_klimat*VLOOKUP($A85,Leveranser_per_nät,'Leveranser per nät'!W$1,FALSE)
               +Andel_beroende_av_klimat*VLOOKUP($A85,Leveranser_per_nät,'Leveranser per nät'!W$1,FALSE)/VLOOKUP($B85,Korrigeringsfaktor_EI,'Korrigeringsfaktor EI'!W$1,FALSE),
"")</f>
        <v>117.00425531914894</v>
      </c>
      <c r="X85" s="18">
        <f>IFERROR(
                  Andel_oberoende_av_klimat*VLOOKUP($A85,Leveranser_per_nät,'Leveranser per nät'!X$1,FALSE)
               +Andel_beroende_av_klimat*VLOOKUP($A85,Leveranser_per_nät,'Leveranser per nät'!X$1,FALSE)/VLOOKUP($B85,Korrigeringsfaktor_EI,'Korrigeringsfaktor EI'!X$1,FALSE),
"")</f>
        <v>111.78085106382977</v>
      </c>
      <c r="Y85" s="18">
        <f>IFERROR(
                  Andel_oberoende_av_klimat*VLOOKUP($A85,Leveranser_per_nät,'Leveranser per nät'!Y$1,FALSE)
               +Andel_beroende_av_klimat*VLOOKUP($A85,Leveranser_per_nät,'Leveranser per nät'!Y$1,FALSE)/VLOOKUP($B85,Korrigeringsfaktor_EI,'Korrigeringsfaktor EI'!Y$1,FALSE),
"")</f>
        <v>113.51304347826087</v>
      </c>
      <c r="Z85" s="18">
        <f>IFERROR(
                  Andel_oberoende_av_klimat*VLOOKUP($A85,Leveranser_per_nät,'Leveranser per nät'!Z$1,FALSE)
               +Andel_beroende_av_klimat*VLOOKUP($A85,Leveranser_per_nät,'Leveranser per nät'!Z$1,FALSE)/VLOOKUP($B85,Korrigeringsfaktor_EI,'Korrigeringsfaktor EI'!Z$1,FALSE),
"")</f>
        <v>118.55555555555557</v>
      </c>
      <c r="AA85" s="18">
        <f>IFERROR(
                  Andel_oberoende_av_klimat*VLOOKUP($A85,Leveranser_per_nät,'Leveranser per nät'!AA$1,FALSE)
               +Andel_beroende_av_klimat*VLOOKUP($A85,Leveranser_per_nät,'Leveranser per nät'!AA$1,FALSE)/VLOOKUP($B85,Korrigeringsfaktor_EI,'Korrigeringsfaktor EI'!AA$1,FALSE),
"")</f>
        <v>114.65335851092527</v>
      </c>
      <c r="AB85" s="18">
        <f>IFERROR(
                  Andel_oberoende_av_klimat*VLOOKUP($A85,Leveranser_per_nät,'Leveranser per nät'!AB$1,FALSE)
               +Andel_beroende_av_klimat*VLOOKUP($A85,Leveranser_per_nät,'Leveranser per nät'!AB$1,FALSE)/VLOOKUP($B85,Korrigeringsfaktor_EI,'Korrigeringsfaktor EI'!AB$1,FALSE),
"")</f>
        <v>115.47291462217859</v>
      </c>
      <c r="AC85" s="18">
        <f>IFERROR(
                  Andel_oberoende_av_klimat*VLOOKUP($A85,Leveranser_per_nät,'Leveranser per nät'!AC$1,FALSE)
               +Andel_beroende_av_klimat*VLOOKUP($A85,Leveranser_per_nät,'Leveranser per nät'!AC$1,FALSE)/VLOOKUP($B85,Korrigeringsfaktor_EI,'Korrigeringsfaktor EI'!AC$1,FALSE),
"")</f>
        <v>114.56779661016949</v>
      </c>
      <c r="AD85">
        <v>110</v>
      </c>
    </row>
    <row r="86" spans="1:30" x14ac:dyDescent="0.25">
      <c r="A86" t="s">
        <v>33</v>
      </c>
      <c r="B86" t="s">
        <v>34</v>
      </c>
      <c r="C86" s="18">
        <f>IFERROR(
                  Andel_oberoende_av_klimat*VLOOKUP($A86,Leveranser_per_nät,'Leveranser per nät'!C$1,FALSE)
               +Andel_beroende_av_klimat*VLOOKUP($A86,Leveranser_per_nät,'Leveranser per nät'!C$1,FALSE)/VLOOKUP($B86,Korrigeringsfaktor_EI,'Korrigeringsfaktor EI'!C$1,FALSE),
"")</f>
        <v>0</v>
      </c>
      <c r="D86" s="18">
        <f>IFERROR(
                  Andel_oberoende_av_klimat*VLOOKUP($A86,Leveranser_per_nät,'Leveranser per nät'!D$1,FALSE)
               +Andel_beroende_av_klimat*VLOOKUP($A86,Leveranser_per_nät,'Leveranser per nät'!D$1,FALSE)/VLOOKUP($B86,Korrigeringsfaktor_EI,'Korrigeringsfaktor EI'!D$1,FALSE),
"")</f>
        <v>0</v>
      </c>
      <c r="E86" s="18">
        <f>IFERROR(
                  Andel_oberoende_av_klimat*VLOOKUP($A86,Leveranser_per_nät,'Leveranser per nät'!E$1,FALSE)
               +Andel_beroende_av_klimat*VLOOKUP($A86,Leveranser_per_nät,'Leveranser per nät'!E$1,FALSE)/VLOOKUP($B86,Korrigeringsfaktor_EI,'Korrigeringsfaktor EI'!E$1,FALSE),
"")</f>
        <v>0</v>
      </c>
      <c r="F86" s="18">
        <f>IFERROR(
                  Andel_oberoende_av_klimat*VLOOKUP($A86,Leveranser_per_nät,'Leveranser per nät'!F$1,FALSE)
               +Andel_beroende_av_klimat*VLOOKUP($A86,Leveranser_per_nät,'Leveranser per nät'!F$1,FALSE)/VLOOKUP($B86,Korrigeringsfaktor_EI,'Korrigeringsfaktor EI'!F$1,FALSE),
"")</f>
        <v>0</v>
      </c>
      <c r="G86" s="18">
        <f>IFERROR(
                  Andel_oberoende_av_klimat*VLOOKUP($A86,Leveranser_per_nät,'Leveranser per nät'!G$1,FALSE)
               +Andel_beroende_av_klimat*VLOOKUP($A86,Leveranser_per_nät,'Leveranser per nät'!G$1,FALSE)/VLOOKUP($B86,Korrigeringsfaktor_EI,'Korrigeringsfaktor EI'!G$1,FALSE),
"")</f>
        <v>0</v>
      </c>
      <c r="H86" s="18">
        <f>IFERROR(
                  Andel_oberoende_av_klimat*VLOOKUP($A86,Leveranser_per_nät,'Leveranser per nät'!H$1,FALSE)
               +Andel_beroende_av_klimat*VLOOKUP($A86,Leveranser_per_nät,'Leveranser per nät'!H$1,FALSE)/VLOOKUP($B86,Korrigeringsfaktor_EI,'Korrigeringsfaktor EI'!H$1,FALSE),
"")</f>
        <v>0</v>
      </c>
      <c r="I86" s="18">
        <f>IFERROR(
                  Andel_oberoende_av_klimat*VLOOKUP($A86,Leveranser_per_nät,'Leveranser per nät'!I$1,FALSE)
               +Andel_beroende_av_klimat*VLOOKUP($A86,Leveranser_per_nät,'Leveranser per nät'!I$1,FALSE)/VLOOKUP($B86,Korrigeringsfaktor_EI,'Korrigeringsfaktor EI'!I$1,FALSE),
"")</f>
        <v>0</v>
      </c>
      <c r="J86" s="18">
        <f>IFERROR(
                  Andel_oberoende_av_klimat*VLOOKUP($A86,Leveranser_per_nät,'Leveranser per nät'!J$1,FALSE)
               +Andel_beroende_av_klimat*VLOOKUP($A86,Leveranser_per_nät,'Leveranser per nät'!J$1,FALSE)/VLOOKUP($B86,Korrigeringsfaktor_EI,'Korrigeringsfaktor EI'!J$1,FALSE),
"")</f>
        <v>0</v>
      </c>
      <c r="K86" s="18">
        <f>IFERROR(
                  Andel_oberoende_av_klimat*VLOOKUP($A86,Leveranser_per_nät,'Leveranser per nät'!K$1,FALSE)
               +Andel_beroende_av_klimat*VLOOKUP($A86,Leveranser_per_nät,'Leveranser per nät'!K$1,FALSE)/VLOOKUP($B86,Korrigeringsfaktor_EI,'Korrigeringsfaktor EI'!K$1,FALSE),
"")</f>
        <v>2.2108494845360824</v>
      </c>
      <c r="L86" s="18">
        <f>IFERROR(
                  Andel_oberoende_av_klimat*VLOOKUP($A86,Leveranser_per_nät,'Leveranser per nät'!L$1,FALSE)
               +Andel_beroende_av_klimat*VLOOKUP($A86,Leveranser_per_nät,'Leveranser per nät'!L$1,FALSE)/VLOOKUP($B86,Korrigeringsfaktor_EI,'Korrigeringsfaktor EI'!L$1,FALSE),
"")</f>
        <v>2.6107684210526312</v>
      </c>
      <c r="M86" s="18">
        <f>IFERROR(
                  Andel_oberoende_av_klimat*VLOOKUP($A86,Leveranser_per_nät,'Leveranser per nät'!M$1,FALSE)
               +Andel_beroende_av_klimat*VLOOKUP($A86,Leveranser_per_nät,'Leveranser per nät'!M$1,FALSE)/VLOOKUP($B86,Korrigeringsfaktor_EI,'Korrigeringsfaktor EI'!M$1,FALSE),
"")</f>
        <v>3.1600444444444449</v>
      </c>
      <c r="N86" s="18">
        <f>IFERROR(
                  Andel_oberoende_av_klimat*VLOOKUP($A86,Leveranser_per_nät,'Leveranser per nät'!N$1,FALSE)
               +Andel_beroende_av_klimat*VLOOKUP($A86,Leveranser_per_nät,'Leveranser per nät'!N$1,FALSE)/VLOOKUP($B86,Korrigeringsfaktor_EI,'Korrigeringsfaktor EI'!N$1,FALSE),
"")</f>
        <v>3.5325034482758619</v>
      </c>
      <c r="O86" s="18">
        <f>IFERROR(
                  Andel_oberoende_av_klimat*VLOOKUP($A86,Leveranser_per_nät,'Leveranser per nät'!O$1,FALSE)
               +Andel_beroende_av_klimat*VLOOKUP($A86,Leveranser_per_nät,'Leveranser per nät'!O$1,FALSE)/VLOOKUP($B86,Korrigeringsfaktor_EI,'Korrigeringsfaktor EI'!O$1,FALSE),
"")</f>
        <v>4.0107942528735627</v>
      </c>
      <c r="P86" s="18">
        <f>IFERROR(
                  Andel_oberoende_av_klimat*VLOOKUP($A86,Leveranser_per_nät,'Leveranser per nät'!P$1,FALSE)
               +Andel_beroende_av_klimat*VLOOKUP($A86,Leveranser_per_nät,'Leveranser per nät'!P$1,FALSE)/VLOOKUP($B86,Korrigeringsfaktor_EI,'Korrigeringsfaktor EI'!P$1,FALSE),
"")</f>
        <v>4.3219826086956523</v>
      </c>
      <c r="Q86" s="18">
        <f>IFERROR(
                  Andel_oberoende_av_klimat*VLOOKUP($A86,Leveranser_per_nät,'Leveranser per nät'!Q$1,FALSE)
               +Andel_beroende_av_klimat*VLOOKUP($A86,Leveranser_per_nät,'Leveranser per nät'!Q$1,FALSE)/VLOOKUP($B86,Korrigeringsfaktor_EI,'Korrigeringsfaktor EI'!Q$1,FALSE),
"")</f>
        <v>4.8137481481481474</v>
      </c>
      <c r="R86" s="18">
        <f>IFERROR(
                  Andel_oberoende_av_klimat*VLOOKUP($A86,Leveranser_per_nät,'Leveranser per nät'!R$1,FALSE)
               +Andel_beroende_av_klimat*VLOOKUP($A86,Leveranser_per_nät,'Leveranser per nät'!R$1,FALSE)/VLOOKUP($B86,Korrigeringsfaktor_EI,'Korrigeringsfaktor EI'!R$1,FALSE),
"")</f>
        <v>4.7947988764044949</v>
      </c>
      <c r="S86" s="18">
        <f>IFERROR(
                  Andel_oberoende_av_klimat*VLOOKUP($A86,Leveranser_per_nät,'Leveranser per nät'!S$1,FALSE)
               +Andel_beroende_av_klimat*VLOOKUP($A86,Leveranser_per_nät,'Leveranser per nät'!S$1,FALSE)/VLOOKUP($B86,Korrigeringsfaktor_EI,'Korrigeringsfaktor EI'!S$1,FALSE),
"")</f>
        <v>4.929708333333334</v>
      </c>
      <c r="T86" s="18">
        <f>IFERROR(
                  Andel_oberoende_av_klimat*VLOOKUP($A86,Leveranser_per_nät,'Leveranser per nät'!T$1,FALSE)
               +Andel_beroende_av_klimat*VLOOKUP($A86,Leveranser_per_nät,'Leveranser per nät'!T$1,FALSE)/VLOOKUP($B86,Korrigeringsfaktor_EI,'Korrigeringsfaktor EI'!T$1,FALSE),
"")</f>
        <v>4.7781516129032253</v>
      </c>
      <c r="U86" s="18">
        <f>IFERROR(
                  Andel_oberoende_av_klimat*VLOOKUP($A86,Leveranser_per_nät,'Leveranser per nät'!U$1,FALSE)
               +Andel_beroende_av_klimat*VLOOKUP($A86,Leveranser_per_nät,'Leveranser per nät'!U$1,FALSE)/VLOOKUP($B86,Korrigeringsfaktor_EI,'Korrigeringsfaktor EI'!U$1,FALSE),
"")</f>
        <v>4.5952180722891569</v>
      </c>
      <c r="V86" s="18">
        <f>IFERROR(
                  Andel_oberoende_av_klimat*VLOOKUP($A86,Leveranser_per_nät,'Leveranser per nät'!V$1,FALSE)
               +Andel_beroende_av_klimat*VLOOKUP($A86,Leveranser_per_nät,'Leveranser per nät'!V$1,FALSE)/VLOOKUP($B86,Korrigeringsfaktor_EI,'Korrigeringsfaktor EI'!V$1,FALSE),
"")</f>
        <v>4.689017241379311</v>
      </c>
      <c r="W86" s="18">
        <f>IFERROR(
                  Andel_oberoende_av_klimat*VLOOKUP($A86,Leveranser_per_nät,'Leveranser per nät'!W$1,FALSE)
               +Andel_beroende_av_klimat*VLOOKUP($A86,Leveranser_per_nät,'Leveranser per nät'!W$1,FALSE)/VLOOKUP($B86,Korrigeringsfaktor_EI,'Korrigeringsfaktor EI'!W$1,FALSE),
"")</f>
        <v>4.8789391304347829</v>
      </c>
      <c r="X86" s="18">
        <f>IFERROR(
                  Andel_oberoende_av_klimat*VLOOKUP($A86,Leveranser_per_nät,'Leveranser per nät'!X$1,FALSE)
               +Andel_beroende_av_klimat*VLOOKUP($A86,Leveranser_per_nät,'Leveranser per nät'!X$1,FALSE)/VLOOKUP($B86,Korrigeringsfaktor_EI,'Korrigeringsfaktor EI'!X$1,FALSE),
"")</f>
        <v>4.9462615384615383</v>
      </c>
      <c r="Y86" s="18">
        <f>IFERROR(
                  Andel_oberoende_av_klimat*VLOOKUP($A86,Leveranser_per_nät,'Leveranser per nät'!Y$1,FALSE)
               +Andel_beroende_av_klimat*VLOOKUP($A86,Leveranser_per_nät,'Leveranser per nät'!Y$1,FALSE)/VLOOKUP($B86,Korrigeringsfaktor_EI,'Korrigeringsfaktor EI'!Y$1,FALSE),
"")</f>
        <v>5.1052488372093023</v>
      </c>
      <c r="Z86" s="18">
        <f>IFERROR(
                  Andel_oberoende_av_klimat*VLOOKUP($A86,Leveranser_per_nät,'Leveranser per nät'!Z$1,FALSE)
               +Andel_beroende_av_klimat*VLOOKUP($A86,Leveranser_per_nät,'Leveranser per nät'!Z$1,FALSE)/VLOOKUP($B86,Korrigeringsfaktor_EI,'Korrigeringsfaktor EI'!Z$1,FALSE),
"")</f>
        <v>5.1200265060240966</v>
      </c>
      <c r="AA86" s="18">
        <f>IFERROR(
                  Andel_oberoende_av_klimat*VLOOKUP($A86,Leveranser_per_nät,'Leveranser per nät'!AA$1,FALSE)
               +Andel_beroende_av_klimat*VLOOKUP($A86,Leveranser_per_nät,'Leveranser per nät'!AA$1,FALSE)/VLOOKUP($B86,Korrigeringsfaktor_EI,'Korrigeringsfaktor EI'!AA$1,FALSE),
"")</f>
        <v>4.9847346176821983</v>
      </c>
      <c r="AB86" s="18">
        <f>IFERROR(
                  Andel_oberoende_av_klimat*VLOOKUP($A86,Leveranser_per_nät,'Leveranser per nät'!AB$1,FALSE)
               +Andel_beroende_av_klimat*VLOOKUP($A86,Leveranser_per_nät,'Leveranser per nät'!AB$1,FALSE)/VLOOKUP($B86,Korrigeringsfaktor_EI,'Korrigeringsfaktor EI'!AB$1,FALSE),
"")</f>
        <v>4.8047845849802373</v>
      </c>
      <c r="AC86" s="18">
        <f>IFERROR(
                  Andel_oberoende_av_klimat*VLOOKUP($A86,Leveranser_per_nät,'Leveranser per nät'!AC$1,FALSE)
               +Andel_beroende_av_klimat*VLOOKUP($A86,Leveranser_per_nät,'Leveranser per nät'!AC$1,FALSE)/VLOOKUP($B86,Korrigeringsfaktor_EI,'Korrigeringsfaktor EI'!AC$1,FALSE),
"")</f>
        <v>4.6772398078975446</v>
      </c>
      <c r="AD86">
        <v>333.59699999999998</v>
      </c>
    </row>
    <row r="87" spans="1:30" x14ac:dyDescent="0.25">
      <c r="A87" s="4" t="s">
        <v>497</v>
      </c>
      <c r="B87" t="s">
        <v>253</v>
      </c>
      <c r="C87" s="18">
        <f>IFERROR(
                  Andel_oberoende_av_klimat*VLOOKUP($A87,Leveranser_per_nät,'Leveranser per nät'!C$1,FALSE)
               +Andel_beroende_av_klimat*VLOOKUP($A87,Leveranser_per_nät,'Leveranser per nät'!C$1,FALSE)/VLOOKUP($B87,Korrigeringsfaktor_EI,'Korrigeringsfaktor EI'!C$1,FALSE),
"")</f>
        <v>0</v>
      </c>
      <c r="D87" s="18">
        <f>IFERROR(
                  Andel_oberoende_av_klimat*VLOOKUP($A87,Leveranser_per_nät,'Leveranser per nät'!D$1,FALSE)
               +Andel_beroende_av_klimat*VLOOKUP($A87,Leveranser_per_nät,'Leveranser per nät'!D$1,FALSE)/VLOOKUP($B87,Korrigeringsfaktor_EI,'Korrigeringsfaktor EI'!D$1,FALSE),
"")</f>
        <v>0</v>
      </c>
      <c r="E87" s="18">
        <f>IFERROR(
                  Andel_oberoende_av_klimat*VLOOKUP($A87,Leveranser_per_nät,'Leveranser per nät'!E$1,FALSE)
               +Andel_beroende_av_klimat*VLOOKUP($A87,Leveranser_per_nät,'Leveranser per nät'!E$1,FALSE)/VLOOKUP($B87,Korrigeringsfaktor_EI,'Korrigeringsfaktor EI'!E$1,FALSE),
"")</f>
        <v>0</v>
      </c>
      <c r="F87" s="18">
        <f>IFERROR(
                  Andel_oberoende_av_klimat*VLOOKUP($A87,Leveranser_per_nät,'Leveranser per nät'!F$1,FALSE)
               +Andel_beroende_av_klimat*VLOOKUP($A87,Leveranser_per_nät,'Leveranser per nät'!F$1,FALSE)/VLOOKUP($B87,Korrigeringsfaktor_EI,'Korrigeringsfaktor EI'!F$1,FALSE),
"")</f>
        <v>0</v>
      </c>
      <c r="G87" s="18">
        <f>IFERROR(
                  Andel_oberoende_av_klimat*VLOOKUP($A87,Leveranser_per_nät,'Leveranser per nät'!G$1,FALSE)
               +Andel_beroende_av_klimat*VLOOKUP($A87,Leveranser_per_nät,'Leveranser per nät'!G$1,FALSE)/VLOOKUP($B87,Korrigeringsfaktor_EI,'Korrigeringsfaktor EI'!G$1,FALSE),
"")</f>
        <v>0</v>
      </c>
      <c r="H87" s="18">
        <f>IFERROR(
                  Andel_oberoende_av_klimat*VLOOKUP($A87,Leveranser_per_nät,'Leveranser per nät'!H$1,FALSE)
               +Andel_beroende_av_klimat*VLOOKUP($A87,Leveranser_per_nät,'Leveranser per nät'!H$1,FALSE)/VLOOKUP($B87,Korrigeringsfaktor_EI,'Korrigeringsfaktor EI'!H$1,FALSE),
"")</f>
        <v>0</v>
      </c>
      <c r="I87" s="18">
        <f>IFERROR(
                  Andel_oberoende_av_klimat*VLOOKUP($A87,Leveranser_per_nät,'Leveranser per nät'!I$1,FALSE)
               +Andel_beroende_av_klimat*VLOOKUP($A87,Leveranser_per_nät,'Leveranser per nät'!I$1,FALSE)/VLOOKUP($B87,Korrigeringsfaktor_EI,'Korrigeringsfaktor EI'!I$1,FALSE),
"")</f>
        <v>0</v>
      </c>
      <c r="J87" s="18">
        <f>IFERROR(
                  Andel_oberoende_av_klimat*VLOOKUP($A87,Leveranser_per_nät,'Leveranser per nät'!J$1,FALSE)
               +Andel_beroende_av_klimat*VLOOKUP($A87,Leveranser_per_nät,'Leveranser per nät'!J$1,FALSE)/VLOOKUP($B87,Korrigeringsfaktor_EI,'Korrigeringsfaktor EI'!J$1,FALSE),
"")</f>
        <v>0</v>
      </c>
      <c r="K87" s="18">
        <f>IFERROR(
                  Andel_oberoende_av_klimat*VLOOKUP($A87,Leveranser_per_nät,'Leveranser per nät'!K$1,FALSE)
               +Andel_beroende_av_klimat*VLOOKUP($A87,Leveranser_per_nät,'Leveranser per nät'!K$1,FALSE)/VLOOKUP($B87,Korrigeringsfaktor_EI,'Korrigeringsfaktor EI'!K$1,FALSE),
"")</f>
        <v>0</v>
      </c>
      <c r="L87" s="18">
        <f>IFERROR(
                  Andel_oberoende_av_klimat*VLOOKUP($A87,Leveranser_per_nät,'Leveranser per nät'!L$1,FALSE)
               +Andel_beroende_av_klimat*VLOOKUP($A87,Leveranser_per_nät,'Leveranser per nät'!L$1,FALSE)/VLOOKUP($B87,Korrigeringsfaktor_EI,'Korrigeringsfaktor EI'!L$1,FALSE),
"")</f>
        <v>0</v>
      </c>
      <c r="M87" s="18">
        <f>IFERROR(
                  Andel_oberoende_av_klimat*VLOOKUP($A87,Leveranser_per_nät,'Leveranser per nät'!M$1,FALSE)
               +Andel_beroende_av_klimat*VLOOKUP($A87,Leveranser_per_nät,'Leveranser per nät'!M$1,FALSE)/VLOOKUP($B87,Korrigeringsfaktor_EI,'Korrigeringsfaktor EI'!M$1,FALSE),
"")</f>
        <v>0</v>
      </c>
      <c r="N87" s="18">
        <f>IFERROR(
                  Andel_oberoende_av_klimat*VLOOKUP($A87,Leveranser_per_nät,'Leveranser per nät'!N$1,FALSE)
               +Andel_beroende_av_klimat*VLOOKUP($A87,Leveranser_per_nät,'Leveranser per nät'!N$1,FALSE)/VLOOKUP($B87,Korrigeringsfaktor_EI,'Korrigeringsfaktor EI'!N$1,FALSE),
"")</f>
        <v>0</v>
      </c>
      <c r="O87" s="18">
        <f>IFERROR(
                  Andel_oberoende_av_klimat*VLOOKUP($A87,Leveranser_per_nät,'Leveranser per nät'!O$1,FALSE)
               +Andel_beroende_av_klimat*VLOOKUP($A87,Leveranser_per_nät,'Leveranser per nät'!O$1,FALSE)/VLOOKUP($B87,Korrigeringsfaktor_EI,'Korrigeringsfaktor EI'!O$1,FALSE),
"")</f>
        <v>0</v>
      </c>
      <c r="P87" s="18">
        <f>IFERROR(
                  Andel_oberoende_av_klimat*VLOOKUP($A87,Leveranser_per_nät,'Leveranser per nät'!P$1,FALSE)
               +Andel_beroende_av_klimat*VLOOKUP($A87,Leveranser_per_nät,'Leveranser per nät'!P$1,FALSE)/VLOOKUP($B87,Korrigeringsfaktor_EI,'Korrigeringsfaktor EI'!P$1,FALSE),
"")</f>
        <v>0</v>
      </c>
      <c r="Q87" s="18">
        <f>IFERROR(
                  Andel_oberoende_av_klimat*VLOOKUP($A87,Leveranser_per_nät,'Leveranser per nät'!Q$1,FALSE)
               +Andel_beroende_av_klimat*VLOOKUP($A87,Leveranser_per_nät,'Leveranser per nät'!Q$1,FALSE)/VLOOKUP($B87,Korrigeringsfaktor_EI,'Korrigeringsfaktor EI'!Q$1,FALSE),
"")</f>
        <v>2.2021283185840712</v>
      </c>
      <c r="R87" s="18">
        <f>IFERROR(
                  Andel_oberoende_av_klimat*VLOOKUP($A87,Leveranser_per_nät,'Leveranser per nät'!R$1,FALSE)
               +Andel_beroende_av_klimat*VLOOKUP($A87,Leveranser_per_nät,'Leveranser per nät'!R$1,FALSE)/VLOOKUP($B87,Korrigeringsfaktor_EI,'Korrigeringsfaktor EI'!R$1,FALSE),
"")</f>
        <v>1.9823538461538464</v>
      </c>
      <c r="S87" s="18" t="str">
        <f>IFERROR(
                  Andel_oberoende_av_klimat*VLOOKUP($A87,Leveranser_per_nät,'Leveranser per nät'!S$1,FALSE)
               +Andel_beroende_av_klimat*VLOOKUP($A87,Leveranser_per_nät,'Leveranser per nät'!S$1,FALSE)/VLOOKUP($B87,Korrigeringsfaktor_EI,'Korrigeringsfaktor EI'!S$1,FALSE),
"")</f>
        <v/>
      </c>
      <c r="T87" s="18" t="str">
        <f>IFERROR(
                  Andel_oberoende_av_klimat*VLOOKUP($A87,Leveranser_per_nät,'Leveranser per nät'!T$1,FALSE)
               +Andel_beroende_av_klimat*VLOOKUP($A87,Leveranser_per_nät,'Leveranser per nät'!T$1,FALSE)/VLOOKUP($B87,Korrigeringsfaktor_EI,'Korrigeringsfaktor EI'!T$1,FALSE),
"")</f>
        <v/>
      </c>
      <c r="U87" s="18" t="str">
        <f>IFERROR(
                  Andel_oberoende_av_klimat*VLOOKUP($A87,Leveranser_per_nät,'Leveranser per nät'!U$1,FALSE)
               +Andel_beroende_av_klimat*VLOOKUP($A87,Leveranser_per_nät,'Leveranser per nät'!U$1,FALSE)/VLOOKUP($B87,Korrigeringsfaktor_EI,'Korrigeringsfaktor EI'!U$1,FALSE),
"")</f>
        <v/>
      </c>
      <c r="V87" s="18" t="str">
        <f>IFERROR(
                  Andel_oberoende_av_klimat*VLOOKUP($A87,Leveranser_per_nät,'Leveranser per nät'!V$1,FALSE)
               +Andel_beroende_av_klimat*VLOOKUP($A87,Leveranser_per_nät,'Leveranser per nät'!V$1,FALSE)/VLOOKUP($B87,Korrigeringsfaktor_EI,'Korrigeringsfaktor EI'!V$1,FALSE),
"")</f>
        <v/>
      </c>
      <c r="W87" s="18" t="str">
        <f>IFERROR(
                  Andel_oberoende_av_klimat*VLOOKUP($A87,Leveranser_per_nät,'Leveranser per nät'!W$1,FALSE)
               +Andel_beroende_av_klimat*VLOOKUP($A87,Leveranser_per_nät,'Leveranser per nät'!W$1,FALSE)/VLOOKUP($B87,Korrigeringsfaktor_EI,'Korrigeringsfaktor EI'!W$1,FALSE),
"")</f>
        <v/>
      </c>
      <c r="X87" s="18" t="str">
        <f>IFERROR(
                  Andel_oberoende_av_klimat*VLOOKUP($A87,Leveranser_per_nät,'Leveranser per nät'!X$1,FALSE)
               +Andel_beroende_av_klimat*VLOOKUP($A87,Leveranser_per_nät,'Leveranser per nät'!X$1,FALSE)/VLOOKUP($B87,Korrigeringsfaktor_EI,'Korrigeringsfaktor EI'!X$1,FALSE),
"")</f>
        <v/>
      </c>
      <c r="Y87" s="18" t="str">
        <f>IFERROR(
                  Andel_oberoende_av_klimat*VLOOKUP($A87,Leveranser_per_nät,'Leveranser per nät'!Y$1,FALSE)
               +Andel_beroende_av_klimat*VLOOKUP($A87,Leveranser_per_nät,'Leveranser per nät'!Y$1,FALSE)/VLOOKUP($B87,Korrigeringsfaktor_EI,'Korrigeringsfaktor EI'!Y$1,FALSE),
"")</f>
        <v/>
      </c>
      <c r="Z87" s="18">
        <f>IFERROR(
                  Andel_oberoende_av_klimat*VLOOKUP($A87,Leveranser_per_nät,'Leveranser per nät'!Z$1,FALSE)
               +Andel_beroende_av_klimat*VLOOKUP($A87,Leveranser_per_nät,'Leveranser per nät'!Z$1,FALSE)/VLOOKUP($B87,Korrigeringsfaktor_EI,'Korrigeringsfaktor EI'!Z$1,FALSE),
"")</f>
        <v>0</v>
      </c>
      <c r="AA87" s="18" t="str">
        <f>IFERROR(
                  Andel_oberoende_av_klimat*VLOOKUP($A87,Leveranser_per_nät,'Leveranser per nät'!AA$1,FALSE)
               +Andel_beroende_av_klimat*VLOOKUP($A87,Leveranser_per_nät,'Leveranser per nät'!AA$1,FALSE)/VLOOKUP($B87,Korrigeringsfaktor_EI,'Korrigeringsfaktor EI'!AA$1,FALSE),
"")</f>
        <v/>
      </c>
      <c r="AB87" s="18">
        <f>IFERROR(
                  Andel_oberoende_av_klimat*VLOOKUP($A87,Leveranser_per_nät,'Leveranser per nät'!AB$1,FALSE)
               +Andel_beroende_av_klimat*VLOOKUP($A87,Leveranser_per_nät,'Leveranser per nät'!AB$1,FALSE)/VLOOKUP($B87,Korrigeringsfaktor_EI,'Korrigeringsfaktor EI'!AB$1,FALSE),
"")</f>
        <v>2.1385263681592037</v>
      </c>
      <c r="AC87" s="18">
        <f>IFERROR(
                  Andel_oberoende_av_klimat*VLOOKUP($A87,Leveranser_per_nät,'Leveranser per nät'!AC$1,FALSE)
               +Andel_beroende_av_klimat*VLOOKUP($A87,Leveranser_per_nät,'Leveranser per nät'!AC$1,FALSE)/VLOOKUP($B87,Korrigeringsfaktor_EI,'Korrigeringsfaktor EI'!AC$1,FALSE),
"")</f>
        <v>2.2126148148148146</v>
      </c>
      <c r="AD87" t="e">
        <v>#N/A</v>
      </c>
    </row>
    <row r="88" spans="1:30" x14ac:dyDescent="0.25">
      <c r="A88" t="s">
        <v>239</v>
      </c>
      <c r="B88" t="s">
        <v>239</v>
      </c>
      <c r="C88" s="18">
        <f>IFERROR(
                  Andel_oberoende_av_klimat*VLOOKUP($A88,Leveranser_per_nät,'Leveranser per nät'!C$1,FALSE)
               +Andel_beroende_av_klimat*VLOOKUP($A88,Leveranser_per_nät,'Leveranser per nät'!C$1,FALSE)/VLOOKUP($B88,Korrigeringsfaktor_EI,'Korrigeringsfaktor EI'!C$1,FALSE),
"")</f>
        <v>0</v>
      </c>
      <c r="D88" s="18">
        <f>IFERROR(
                  Andel_oberoende_av_klimat*VLOOKUP($A88,Leveranser_per_nät,'Leveranser per nät'!D$1,FALSE)
               +Andel_beroende_av_klimat*VLOOKUP($A88,Leveranser_per_nät,'Leveranser per nät'!D$1,FALSE)/VLOOKUP($B88,Korrigeringsfaktor_EI,'Korrigeringsfaktor EI'!D$1,FALSE),
"")</f>
        <v>0</v>
      </c>
      <c r="E88" s="18">
        <f>IFERROR(
                  Andel_oberoende_av_klimat*VLOOKUP($A88,Leveranser_per_nät,'Leveranser per nät'!E$1,FALSE)
               +Andel_beroende_av_klimat*VLOOKUP($A88,Leveranser_per_nät,'Leveranser per nät'!E$1,FALSE)/VLOOKUP($B88,Korrigeringsfaktor_EI,'Korrigeringsfaktor EI'!E$1,FALSE),
"")</f>
        <v>0</v>
      </c>
      <c r="F88" s="18">
        <f>IFERROR(
                  Andel_oberoende_av_klimat*VLOOKUP($A88,Leveranser_per_nät,'Leveranser per nät'!F$1,FALSE)
               +Andel_beroende_av_klimat*VLOOKUP($A88,Leveranser_per_nät,'Leveranser per nät'!F$1,FALSE)/VLOOKUP($B88,Korrigeringsfaktor_EI,'Korrigeringsfaktor EI'!F$1,FALSE),
"")</f>
        <v>0</v>
      </c>
      <c r="G88" s="18">
        <f>IFERROR(
                  Andel_oberoende_av_klimat*VLOOKUP($A88,Leveranser_per_nät,'Leveranser per nät'!G$1,FALSE)
               +Andel_beroende_av_klimat*VLOOKUP($A88,Leveranser_per_nät,'Leveranser per nät'!G$1,FALSE)/VLOOKUP($B88,Korrigeringsfaktor_EI,'Korrigeringsfaktor EI'!G$1,FALSE),
"")</f>
        <v>0</v>
      </c>
      <c r="H88" s="18">
        <f>IFERROR(
                  Andel_oberoende_av_klimat*VLOOKUP($A88,Leveranser_per_nät,'Leveranser per nät'!H$1,FALSE)
               +Andel_beroende_av_klimat*VLOOKUP($A88,Leveranser_per_nät,'Leveranser per nät'!H$1,FALSE)/VLOOKUP($B88,Korrigeringsfaktor_EI,'Korrigeringsfaktor EI'!H$1,FALSE),
"")</f>
        <v>0</v>
      </c>
      <c r="I88" s="18">
        <f>IFERROR(
                  Andel_oberoende_av_klimat*VLOOKUP($A88,Leveranser_per_nät,'Leveranser per nät'!I$1,FALSE)
               +Andel_beroende_av_klimat*VLOOKUP($A88,Leveranser_per_nät,'Leveranser per nät'!I$1,FALSE)/VLOOKUP($B88,Korrigeringsfaktor_EI,'Korrigeringsfaktor EI'!I$1,FALSE),
"")</f>
        <v>0</v>
      </c>
      <c r="J88" s="18">
        <f>IFERROR(
                  Andel_oberoende_av_klimat*VLOOKUP($A88,Leveranser_per_nät,'Leveranser per nät'!J$1,FALSE)
               +Andel_beroende_av_klimat*VLOOKUP($A88,Leveranser_per_nät,'Leveranser per nät'!J$1,FALSE)/VLOOKUP($B88,Korrigeringsfaktor_EI,'Korrigeringsfaktor EI'!J$1,FALSE),
"")</f>
        <v>0</v>
      </c>
      <c r="K88" s="18">
        <f>IFERROR(
                  Andel_oberoende_av_klimat*VLOOKUP($A88,Leveranser_per_nät,'Leveranser per nät'!K$1,FALSE)
               +Andel_beroende_av_klimat*VLOOKUP($A88,Leveranser_per_nät,'Leveranser per nät'!K$1,FALSE)/VLOOKUP($B88,Korrigeringsfaktor_EI,'Korrigeringsfaktor EI'!K$1,FALSE),
"")</f>
        <v>40.912228571428571</v>
      </c>
      <c r="L88" s="18">
        <f>IFERROR(
                  Andel_oberoende_av_klimat*VLOOKUP($A88,Leveranser_per_nät,'Leveranser per nät'!L$1,FALSE)
               +Andel_beroende_av_klimat*VLOOKUP($A88,Leveranser_per_nät,'Leveranser per nät'!L$1,FALSE)/VLOOKUP($B88,Korrigeringsfaktor_EI,'Korrigeringsfaktor EI'!L$1,FALSE),
"")</f>
        <v>41.52366</v>
      </c>
      <c r="M88" s="18">
        <f>IFERROR(
                  Andel_oberoende_av_klimat*VLOOKUP($A88,Leveranser_per_nät,'Leveranser per nät'!M$1,FALSE)
               +Andel_beroende_av_klimat*VLOOKUP($A88,Leveranser_per_nät,'Leveranser per nät'!M$1,FALSE)/VLOOKUP($B88,Korrigeringsfaktor_EI,'Korrigeringsfaktor EI'!M$1,FALSE),
"")</f>
        <v>47.203590322580645</v>
      </c>
      <c r="N88" s="18">
        <f>IFERROR(
                  Andel_oberoende_av_klimat*VLOOKUP($A88,Leveranser_per_nät,'Leveranser per nät'!N$1,FALSE)
               +Andel_beroende_av_klimat*VLOOKUP($A88,Leveranser_per_nät,'Leveranser per nät'!N$1,FALSE)/VLOOKUP($B88,Korrigeringsfaktor_EI,'Korrigeringsfaktor EI'!N$1,FALSE),
"")</f>
        <v>49.400452173913052</v>
      </c>
      <c r="O88" s="18">
        <f>IFERROR(
                  Andel_oberoende_av_klimat*VLOOKUP($A88,Leveranser_per_nät,'Leveranser per nät'!O$1,FALSE)
               +Andel_beroende_av_klimat*VLOOKUP($A88,Leveranser_per_nät,'Leveranser per nät'!O$1,FALSE)/VLOOKUP($B88,Korrigeringsfaktor_EI,'Korrigeringsfaktor EI'!O$1,FALSE),
"")</f>
        <v>50.077866666666665</v>
      </c>
      <c r="P88" s="18">
        <f>IFERROR(
                  Andel_oberoende_av_klimat*VLOOKUP($A88,Leveranser_per_nät,'Leveranser per nät'!P$1,FALSE)
               +Andel_beroende_av_klimat*VLOOKUP($A88,Leveranser_per_nät,'Leveranser per nät'!P$1,FALSE)/VLOOKUP($B88,Korrigeringsfaktor_EI,'Korrigeringsfaktor EI'!P$1,FALSE),
"")</f>
        <v>50.239800000000002</v>
      </c>
      <c r="Q88" s="18">
        <f>IFERROR(
                  Andel_oberoende_av_klimat*VLOOKUP($A88,Leveranser_per_nät,'Leveranser per nät'!Q$1,FALSE)
               +Andel_beroende_av_klimat*VLOOKUP($A88,Leveranser_per_nät,'Leveranser per nät'!Q$1,FALSE)/VLOOKUP($B88,Korrigeringsfaktor_EI,'Korrigeringsfaktor EI'!Q$1,FALSE),
"")</f>
        <v>50.594724999999997</v>
      </c>
      <c r="R88" s="18">
        <f>IFERROR(
                  Andel_oberoende_av_klimat*VLOOKUP($A88,Leveranser_per_nät,'Leveranser per nät'!R$1,FALSE)
               +Andel_beroende_av_klimat*VLOOKUP($A88,Leveranser_per_nät,'Leveranser per nät'!R$1,FALSE)/VLOOKUP($B88,Korrigeringsfaktor_EI,'Korrigeringsfaktor EI'!R$1,FALSE),
"")</f>
        <v>47.687692307692309</v>
      </c>
      <c r="S88" s="18">
        <f>IFERROR(
                  Andel_oberoende_av_klimat*VLOOKUP($A88,Leveranser_per_nät,'Leveranser per nät'!S$1,FALSE)
               +Andel_beroende_av_klimat*VLOOKUP($A88,Leveranser_per_nät,'Leveranser per nät'!S$1,FALSE)/VLOOKUP($B88,Korrigeringsfaktor_EI,'Korrigeringsfaktor EI'!S$1,FALSE),
"")</f>
        <v>48.66039603960396</v>
      </c>
      <c r="T88" s="18">
        <f>IFERROR(
                  Andel_oberoende_av_klimat*VLOOKUP($A88,Leveranser_per_nät,'Leveranser per nät'!T$1,FALSE)
               +Andel_beroende_av_klimat*VLOOKUP($A88,Leveranser_per_nät,'Leveranser per nät'!T$1,FALSE)/VLOOKUP($B88,Korrigeringsfaktor_EI,'Korrigeringsfaktor EI'!T$1,FALSE),
"")</f>
        <v>49.550000000000004</v>
      </c>
      <c r="U88" s="18">
        <f>IFERROR(
                  Andel_oberoende_av_klimat*VLOOKUP($A88,Leveranser_per_nät,'Leveranser per nät'!U$1,FALSE)
               +Andel_beroende_av_klimat*VLOOKUP($A88,Leveranser_per_nät,'Leveranser per nät'!U$1,FALSE)/VLOOKUP($B88,Korrigeringsfaktor_EI,'Korrigeringsfaktor EI'!U$1,FALSE),
"")</f>
        <v>49.327865168539319</v>
      </c>
      <c r="V88" s="18">
        <f>IFERROR(
                  Andel_oberoende_av_klimat*VLOOKUP($A88,Leveranser_per_nät,'Leveranser per nät'!V$1,FALSE)
               +Andel_beroende_av_klimat*VLOOKUP($A88,Leveranser_per_nät,'Leveranser per nät'!V$1,FALSE)/VLOOKUP($B88,Korrigeringsfaktor_EI,'Korrigeringsfaktor EI'!V$1,FALSE),
"")</f>
        <v>48.893258426966291</v>
      </c>
      <c r="W88" s="18">
        <f>IFERROR(
                  Andel_oberoende_av_klimat*VLOOKUP($A88,Leveranser_per_nät,'Leveranser per nät'!W$1,FALSE)
               +Andel_beroende_av_klimat*VLOOKUP($A88,Leveranser_per_nät,'Leveranser per nät'!W$1,FALSE)/VLOOKUP($B88,Korrigeringsfaktor_EI,'Korrigeringsfaktor EI'!W$1,FALSE),
"")</f>
        <v>49.768421052631581</v>
      </c>
      <c r="X88" s="18">
        <f>IFERROR(
                  Andel_oberoende_av_klimat*VLOOKUP($A88,Leveranser_per_nät,'Leveranser per nät'!X$1,FALSE)
               +Andel_beroende_av_klimat*VLOOKUP($A88,Leveranser_per_nät,'Leveranser per nät'!X$1,FALSE)/VLOOKUP($B88,Korrigeringsfaktor_EI,'Korrigeringsfaktor EI'!X$1,FALSE),
"")</f>
        <v>49.413404255319151</v>
      </c>
      <c r="Y88" s="18">
        <f>IFERROR(
                  Andel_oberoende_av_klimat*VLOOKUP($A88,Leveranser_per_nät,'Leveranser per nät'!Y$1,FALSE)
               +Andel_beroende_av_klimat*VLOOKUP($A88,Leveranser_per_nät,'Leveranser per nät'!Y$1,FALSE)/VLOOKUP($B88,Korrigeringsfaktor_EI,'Korrigeringsfaktor EI'!Y$1,FALSE),
"")</f>
        <v>50.497391304347829</v>
      </c>
      <c r="Z88" s="18">
        <f>IFERROR(
                  Andel_oberoende_av_klimat*VLOOKUP($A88,Leveranser_per_nät,'Leveranser per nät'!Z$1,FALSE)
               +Andel_beroende_av_klimat*VLOOKUP($A88,Leveranser_per_nät,'Leveranser per nät'!Z$1,FALSE)/VLOOKUP($B88,Korrigeringsfaktor_EI,'Korrigeringsfaktor EI'!Z$1,FALSE),
"")</f>
        <v>48.284444444444446</v>
      </c>
      <c r="AA88" s="18">
        <f>IFERROR(
                  Andel_oberoende_av_klimat*VLOOKUP($A88,Leveranser_per_nät,'Leveranser per nät'!AA$1,FALSE)
               +Andel_beroende_av_klimat*VLOOKUP($A88,Leveranser_per_nät,'Leveranser per nät'!AA$1,FALSE)/VLOOKUP($B88,Korrigeringsfaktor_EI,'Korrigeringsfaktor EI'!AA$1,FALSE),
"")</f>
        <v>45.878856226616783</v>
      </c>
      <c r="AB88" s="18">
        <f>IFERROR(
                  Andel_oberoende_av_klimat*VLOOKUP($A88,Leveranser_per_nät,'Leveranser per nät'!AB$1,FALSE)
               +Andel_beroende_av_klimat*VLOOKUP($A88,Leveranser_per_nät,'Leveranser per nät'!AB$1,FALSE)/VLOOKUP($B88,Korrigeringsfaktor_EI,'Korrigeringsfaktor EI'!AB$1,FALSE),
"")</f>
        <v>47.071485148514853</v>
      </c>
      <c r="AC88" s="18">
        <f>IFERROR(
                  Andel_oberoende_av_klimat*VLOOKUP($A88,Leveranser_per_nät,'Leveranser per nät'!AC$1,FALSE)
               +Andel_beroende_av_klimat*VLOOKUP($A88,Leveranser_per_nät,'Leveranser per nät'!AC$1,FALSE)/VLOOKUP($B88,Korrigeringsfaktor_EI,'Korrigeringsfaktor EI'!AC$1,FALSE),
"")</f>
        <v>45.100253431890174</v>
      </c>
      <c r="AD88">
        <v>43.4</v>
      </c>
    </row>
    <row r="89" spans="1:30" x14ac:dyDescent="0.25">
      <c r="A89" t="s">
        <v>486</v>
      </c>
      <c r="B89" t="s">
        <v>80</v>
      </c>
      <c r="C89" s="18">
        <f>IFERROR(
                  Andel_oberoende_av_klimat*VLOOKUP($A89,Leveranser_per_nät,'Leveranser per nät'!C$1,FALSE)
               +Andel_beroende_av_klimat*VLOOKUP($A89,Leveranser_per_nät,'Leveranser per nät'!C$1,FALSE)/VLOOKUP($B89,Korrigeringsfaktor_EI,'Korrigeringsfaktor EI'!C$1,FALSE),
"")</f>
        <v>0</v>
      </c>
      <c r="D89" s="18">
        <f>IFERROR(
                  Andel_oberoende_av_klimat*VLOOKUP($A89,Leveranser_per_nät,'Leveranser per nät'!D$1,FALSE)
               +Andel_beroende_av_klimat*VLOOKUP($A89,Leveranser_per_nät,'Leveranser per nät'!D$1,FALSE)/VLOOKUP($B89,Korrigeringsfaktor_EI,'Korrigeringsfaktor EI'!D$1,FALSE),
"")</f>
        <v>0</v>
      </c>
      <c r="E89" s="18">
        <f>IFERROR(
                  Andel_oberoende_av_klimat*VLOOKUP($A89,Leveranser_per_nät,'Leveranser per nät'!E$1,FALSE)
               +Andel_beroende_av_klimat*VLOOKUP($A89,Leveranser_per_nät,'Leveranser per nät'!E$1,FALSE)/VLOOKUP($B89,Korrigeringsfaktor_EI,'Korrigeringsfaktor EI'!E$1,FALSE),
"")</f>
        <v>0</v>
      </c>
      <c r="F89" s="18">
        <f>IFERROR(
                  Andel_oberoende_av_klimat*VLOOKUP($A89,Leveranser_per_nät,'Leveranser per nät'!F$1,FALSE)
               +Andel_beroende_av_klimat*VLOOKUP($A89,Leveranser_per_nät,'Leveranser per nät'!F$1,FALSE)/VLOOKUP($B89,Korrigeringsfaktor_EI,'Korrigeringsfaktor EI'!F$1,FALSE),
"")</f>
        <v>0</v>
      </c>
      <c r="G89" s="18">
        <f>IFERROR(
                  Andel_oberoende_av_klimat*VLOOKUP($A89,Leveranser_per_nät,'Leveranser per nät'!G$1,FALSE)
               +Andel_beroende_av_klimat*VLOOKUP($A89,Leveranser_per_nät,'Leveranser per nät'!G$1,FALSE)/VLOOKUP($B89,Korrigeringsfaktor_EI,'Korrigeringsfaktor EI'!G$1,FALSE),
"")</f>
        <v>0</v>
      </c>
      <c r="H89" s="18">
        <f>IFERROR(
                  Andel_oberoende_av_klimat*VLOOKUP($A89,Leveranser_per_nät,'Leveranser per nät'!H$1,FALSE)
               +Andel_beroende_av_klimat*VLOOKUP($A89,Leveranser_per_nät,'Leveranser per nät'!H$1,FALSE)/VLOOKUP($B89,Korrigeringsfaktor_EI,'Korrigeringsfaktor EI'!H$1,FALSE),
"")</f>
        <v>0</v>
      </c>
      <c r="I89" s="18">
        <f>IFERROR(
                  Andel_oberoende_av_klimat*VLOOKUP($A89,Leveranser_per_nät,'Leveranser per nät'!I$1,FALSE)
               +Andel_beroende_av_klimat*VLOOKUP($A89,Leveranser_per_nät,'Leveranser per nät'!I$1,FALSE)/VLOOKUP($B89,Korrigeringsfaktor_EI,'Korrigeringsfaktor EI'!I$1,FALSE),
"")</f>
        <v>0</v>
      </c>
      <c r="J89" s="18">
        <f>IFERROR(
                  Andel_oberoende_av_klimat*VLOOKUP($A89,Leveranser_per_nät,'Leveranser per nät'!J$1,FALSE)
               +Andel_beroende_av_klimat*VLOOKUP($A89,Leveranser_per_nät,'Leveranser per nät'!J$1,FALSE)/VLOOKUP($B89,Korrigeringsfaktor_EI,'Korrigeringsfaktor EI'!J$1,FALSE),
"")</f>
        <v>0</v>
      </c>
      <c r="K89" s="18">
        <f>IFERROR(
                  Andel_oberoende_av_klimat*VLOOKUP($A89,Leveranser_per_nät,'Leveranser per nät'!K$1,FALSE)
               +Andel_beroende_av_klimat*VLOOKUP($A89,Leveranser_per_nät,'Leveranser per nät'!K$1,FALSE)/VLOOKUP($B89,Korrigeringsfaktor_EI,'Korrigeringsfaktor EI'!K$1,FALSE),
"")</f>
        <v>0</v>
      </c>
      <c r="L89" s="18">
        <f>IFERROR(
                  Andel_oberoende_av_klimat*VLOOKUP($A89,Leveranser_per_nät,'Leveranser per nät'!L$1,FALSE)
               +Andel_beroende_av_klimat*VLOOKUP($A89,Leveranser_per_nät,'Leveranser per nät'!L$1,FALSE)/VLOOKUP($B89,Korrigeringsfaktor_EI,'Korrigeringsfaktor EI'!L$1,FALSE),
"")</f>
        <v>0</v>
      </c>
      <c r="M89" s="18">
        <f>IFERROR(
                  Andel_oberoende_av_klimat*VLOOKUP($A89,Leveranser_per_nät,'Leveranser per nät'!M$1,FALSE)
               +Andel_beroende_av_klimat*VLOOKUP($A89,Leveranser_per_nät,'Leveranser per nät'!M$1,FALSE)/VLOOKUP($B89,Korrigeringsfaktor_EI,'Korrigeringsfaktor EI'!M$1,FALSE),
"")</f>
        <v>0</v>
      </c>
      <c r="N89" s="18">
        <f>IFERROR(
                  Andel_oberoende_av_klimat*VLOOKUP($A89,Leveranser_per_nät,'Leveranser per nät'!N$1,FALSE)
               +Andel_beroende_av_klimat*VLOOKUP($A89,Leveranser_per_nät,'Leveranser per nät'!N$1,FALSE)/VLOOKUP($B89,Korrigeringsfaktor_EI,'Korrigeringsfaktor EI'!N$1,FALSE),
"")</f>
        <v>0</v>
      </c>
      <c r="O89" s="18">
        <f>IFERROR(
                  Andel_oberoende_av_klimat*VLOOKUP($A89,Leveranser_per_nät,'Leveranser per nät'!O$1,FALSE)
               +Andel_beroende_av_klimat*VLOOKUP($A89,Leveranser_per_nät,'Leveranser per nät'!O$1,FALSE)/VLOOKUP($B89,Korrigeringsfaktor_EI,'Korrigeringsfaktor EI'!O$1,FALSE),
"")</f>
        <v>0</v>
      </c>
      <c r="P89" s="18">
        <f>IFERROR(
                  Andel_oberoende_av_klimat*VLOOKUP($A89,Leveranser_per_nät,'Leveranser per nät'!P$1,FALSE)
               +Andel_beroende_av_klimat*VLOOKUP($A89,Leveranser_per_nät,'Leveranser per nät'!P$1,FALSE)/VLOOKUP($B89,Korrigeringsfaktor_EI,'Korrigeringsfaktor EI'!P$1,FALSE),
"")</f>
        <v>0</v>
      </c>
      <c r="Q89" s="18">
        <f>IFERROR(
                  Andel_oberoende_av_klimat*VLOOKUP($A89,Leveranser_per_nät,'Leveranser per nät'!Q$1,FALSE)
               +Andel_beroende_av_klimat*VLOOKUP($A89,Leveranser_per_nät,'Leveranser per nät'!Q$1,FALSE)/VLOOKUP($B89,Korrigeringsfaktor_EI,'Korrigeringsfaktor EI'!Q$1,FALSE),
"")</f>
        <v>1.7790909090909088</v>
      </c>
      <c r="R89" s="18">
        <f>IFERROR(
                  Andel_oberoende_av_klimat*VLOOKUP($A89,Leveranser_per_nät,'Leveranser per nät'!R$1,FALSE)
               +Andel_beroende_av_klimat*VLOOKUP($A89,Leveranser_per_nät,'Leveranser per nät'!R$1,FALSE)/VLOOKUP($B89,Korrigeringsfaktor_EI,'Korrigeringsfaktor EI'!R$1,FALSE),
"")</f>
        <v>1.5363517444444443</v>
      </c>
      <c r="S89" s="18">
        <f>IFERROR(
                  Andel_oberoende_av_klimat*VLOOKUP($A89,Leveranser_per_nät,'Leveranser per nät'!S$1,FALSE)
               +Andel_beroende_av_klimat*VLOOKUP($A89,Leveranser_per_nät,'Leveranser per nät'!S$1,FALSE)/VLOOKUP($B89,Korrigeringsfaktor_EI,'Korrigeringsfaktor EI'!S$1,FALSE),
"")</f>
        <v>1.6025714285714288</v>
      </c>
      <c r="T89" s="18">
        <f>IFERROR(
                  Andel_oberoende_av_klimat*VLOOKUP($A89,Leveranser_per_nät,'Leveranser per nät'!T$1,FALSE)
               +Andel_beroende_av_klimat*VLOOKUP($A89,Leveranser_per_nät,'Leveranser per nät'!T$1,FALSE)/VLOOKUP($B89,Korrigeringsfaktor_EI,'Korrigeringsfaktor EI'!T$1,FALSE),
"")</f>
        <v>1.6260833333333333</v>
      </c>
      <c r="U89" s="18">
        <f>IFERROR(
                  Andel_oberoende_av_klimat*VLOOKUP($A89,Leveranser_per_nät,'Leveranser per nät'!U$1,FALSE)
               +Andel_beroende_av_klimat*VLOOKUP($A89,Leveranser_per_nät,'Leveranser per nät'!U$1,FALSE)/VLOOKUP($B89,Korrigeringsfaktor_EI,'Korrigeringsfaktor EI'!U$1,FALSE),
"")</f>
        <v>0.33137931034482759</v>
      </c>
      <c r="V89" s="18">
        <f>IFERROR(
                  Andel_oberoende_av_klimat*VLOOKUP($A89,Leveranser_per_nät,'Leveranser per nät'!V$1,FALSE)
               +Andel_beroende_av_klimat*VLOOKUP($A89,Leveranser_per_nät,'Leveranser per nät'!V$1,FALSE)/VLOOKUP($B89,Korrigeringsfaktor_EI,'Korrigeringsfaktor EI'!V$1,FALSE),
"")</f>
        <v>1.7673563218390806</v>
      </c>
      <c r="W89" s="18">
        <f>IFERROR(
                  Andel_oberoende_av_klimat*VLOOKUP($A89,Leveranser_per_nät,'Leveranser per nät'!W$1,FALSE)
               +Andel_beroende_av_klimat*VLOOKUP($A89,Leveranser_per_nät,'Leveranser per nät'!W$1,FALSE)/VLOOKUP($B89,Korrigeringsfaktor_EI,'Korrigeringsfaktor EI'!W$1,FALSE),
"")</f>
        <v>1.5790322580645157</v>
      </c>
      <c r="X89" s="18">
        <f>IFERROR(
                  Andel_oberoende_av_klimat*VLOOKUP($A89,Leveranser_per_nät,'Leveranser per nät'!X$1,FALSE)
               +Andel_beroende_av_klimat*VLOOKUP($A89,Leveranser_per_nät,'Leveranser per nät'!X$1,FALSE)/VLOOKUP($B89,Korrigeringsfaktor_EI,'Korrigeringsfaktor EI'!X$1,FALSE),
"")</f>
        <v>1.6038461538461535</v>
      </c>
      <c r="Y89" s="18">
        <f>IFERROR(
                  Andel_oberoende_av_klimat*VLOOKUP($A89,Leveranser_per_nät,'Leveranser per nät'!Y$1,FALSE)
               +Andel_beroende_av_klimat*VLOOKUP($A89,Leveranser_per_nät,'Leveranser per nät'!Y$1,FALSE)/VLOOKUP($B89,Korrigeringsfaktor_EI,'Korrigeringsfaktor EI'!Y$1,FALSE),
"")</f>
        <v>1.5211235955056179</v>
      </c>
      <c r="Z89" s="18">
        <f>IFERROR(
                  Andel_oberoende_av_klimat*VLOOKUP($A89,Leveranser_per_nät,'Leveranser per nät'!Z$1,FALSE)
               +Andel_beroende_av_klimat*VLOOKUP($A89,Leveranser_per_nät,'Leveranser per nät'!Z$1,FALSE)/VLOOKUP($B89,Korrigeringsfaktor_EI,'Korrigeringsfaktor EI'!Z$1,FALSE),
"")</f>
        <v>1.55953488372093</v>
      </c>
      <c r="AA89" s="18">
        <f>IFERROR(
                  Andel_oberoende_av_klimat*VLOOKUP($A89,Leveranser_per_nät,'Leveranser per nät'!AA$1,FALSE)
               +Andel_beroende_av_klimat*VLOOKUP($A89,Leveranser_per_nät,'Leveranser per nät'!AA$1,FALSE)/VLOOKUP($B89,Korrigeringsfaktor_EI,'Korrigeringsfaktor EI'!AA$1,FALSE),
"")</f>
        <v>1.3964300202839757</v>
      </c>
      <c r="AB89" s="18">
        <f>IFERROR(
                  Andel_oberoende_av_klimat*VLOOKUP($A89,Leveranser_per_nät,'Leveranser per nät'!AB$1,FALSE)
               +Andel_beroende_av_klimat*VLOOKUP($A89,Leveranser_per_nät,'Leveranser per nät'!AB$1,FALSE)/VLOOKUP($B89,Korrigeringsfaktor_EI,'Korrigeringsfaktor EI'!AB$1,FALSE),
"")</f>
        <v>1.4906342913776012</v>
      </c>
      <c r="AC89" s="18">
        <f>IFERROR(
                  Andel_oberoende_av_klimat*VLOOKUP($A89,Leveranser_per_nät,'Leveranser per nät'!AC$1,FALSE)
               +Andel_beroende_av_klimat*VLOOKUP($A89,Leveranser_per_nät,'Leveranser per nät'!AC$1,FALSE)/VLOOKUP($B89,Korrigeringsfaktor_EI,'Korrigeringsfaktor EI'!AC$1,FALSE),
"")</f>
        <v>1.3674436090225564</v>
      </c>
      <c r="AD89">
        <v>46.6</v>
      </c>
    </row>
    <row r="90" spans="1:30" x14ac:dyDescent="0.25">
      <c r="A90" t="s">
        <v>107</v>
      </c>
      <c r="B90" t="s">
        <v>106</v>
      </c>
      <c r="C90" s="18">
        <f>IFERROR(
                  Andel_oberoende_av_klimat*VLOOKUP($A90,Leveranser_per_nät,'Leveranser per nät'!C$1,FALSE)
               +Andel_beroende_av_klimat*VLOOKUP($A90,Leveranser_per_nät,'Leveranser per nät'!C$1,FALSE)/VLOOKUP($B90,Korrigeringsfaktor_EI,'Korrigeringsfaktor EI'!C$1,FALSE),
"")</f>
        <v>7.3999999999999995</v>
      </c>
      <c r="D90" s="18">
        <f>IFERROR(
                  Andel_oberoende_av_klimat*VLOOKUP($A90,Leveranser_per_nät,'Leveranser per nät'!D$1,FALSE)
               +Andel_beroende_av_klimat*VLOOKUP($A90,Leveranser_per_nät,'Leveranser per nät'!D$1,FALSE)/VLOOKUP($B90,Korrigeringsfaktor_EI,'Korrigeringsfaktor EI'!D$1,FALSE),
"")</f>
        <v>5.6902871287128711</v>
      </c>
      <c r="E90" s="18">
        <f>IFERROR(
                  Andel_oberoende_av_klimat*VLOOKUP($A90,Leveranser_per_nät,'Leveranser per nät'!E$1,FALSE)
               +Andel_beroende_av_klimat*VLOOKUP($A90,Leveranser_per_nät,'Leveranser per nät'!E$1,FALSE)/VLOOKUP($B90,Korrigeringsfaktor_EI,'Korrigeringsfaktor EI'!E$1,FALSE),
"")</f>
        <v>6.8115384615384613</v>
      </c>
      <c r="F90" s="18">
        <f>IFERROR(
                  Andel_oberoende_av_klimat*VLOOKUP($A90,Leveranser_per_nät,'Leveranser per nät'!F$1,FALSE)
               +Andel_beroende_av_klimat*VLOOKUP($A90,Leveranser_per_nät,'Leveranser per nät'!F$1,FALSE)/VLOOKUP($B90,Korrigeringsfaktor_EI,'Korrigeringsfaktor EI'!F$1,FALSE),
"")</f>
        <v>7.1</v>
      </c>
      <c r="G90" s="18">
        <f>IFERROR(
                  Andel_oberoende_av_klimat*VLOOKUP($A90,Leveranser_per_nät,'Leveranser per nät'!G$1,FALSE)
               +Andel_beroende_av_klimat*VLOOKUP($A90,Leveranser_per_nät,'Leveranser per nät'!G$1,FALSE)/VLOOKUP($B90,Korrigeringsfaktor_EI,'Korrigeringsfaktor EI'!G$1,FALSE),
"")</f>
        <v>7.4260869565217389</v>
      </c>
      <c r="H90" s="18">
        <f>IFERROR(
                  Andel_oberoende_av_klimat*VLOOKUP($A90,Leveranser_per_nät,'Leveranser per nät'!H$1,FALSE)
               +Andel_beroende_av_klimat*VLOOKUP($A90,Leveranser_per_nät,'Leveranser per nät'!H$1,FALSE)/VLOOKUP($B90,Korrigeringsfaktor_EI,'Korrigeringsfaktor EI'!H$1,FALSE),
"")</f>
        <v>8</v>
      </c>
      <c r="I90" s="18">
        <f>IFERROR(
                  Andel_oberoende_av_klimat*VLOOKUP($A90,Leveranser_per_nät,'Leveranser per nät'!I$1,FALSE)
               +Andel_beroende_av_klimat*VLOOKUP($A90,Leveranser_per_nät,'Leveranser per nät'!I$1,FALSE)/VLOOKUP($B90,Korrigeringsfaktor_EI,'Korrigeringsfaktor EI'!I$1,FALSE),
"")</f>
        <v>8.2947368421052623</v>
      </c>
      <c r="J90" s="18">
        <f>IFERROR(
                  Andel_oberoende_av_klimat*VLOOKUP($A90,Leveranser_per_nät,'Leveranser per nät'!J$1,FALSE)
               +Andel_beroende_av_klimat*VLOOKUP($A90,Leveranser_per_nät,'Leveranser per nät'!J$1,FALSE)/VLOOKUP($B90,Korrigeringsfaktor_EI,'Korrigeringsfaktor EI'!J$1,FALSE),
"")</f>
        <v>8.1142857142857139</v>
      </c>
      <c r="K90" s="18">
        <f>IFERROR(
                  Andel_oberoende_av_klimat*VLOOKUP($A90,Leveranser_per_nät,'Leveranser per nät'!K$1,FALSE)
               +Andel_beroende_av_klimat*VLOOKUP($A90,Leveranser_per_nät,'Leveranser per nät'!K$1,FALSE)/VLOOKUP($B90,Korrigeringsfaktor_EI,'Korrigeringsfaktor EI'!K$1,FALSE),
"")</f>
        <v>7.9065121212121205</v>
      </c>
      <c r="L90" s="18">
        <f>IFERROR(
                  Andel_oberoende_av_klimat*VLOOKUP($A90,Leveranser_per_nät,'Leveranser per nät'!L$1,FALSE)
               +Andel_beroende_av_klimat*VLOOKUP($A90,Leveranser_per_nät,'Leveranser per nät'!L$1,FALSE)/VLOOKUP($B90,Korrigeringsfaktor_EI,'Korrigeringsfaktor EI'!L$1,FALSE),
"")</f>
        <v>8.2518583333333346</v>
      </c>
      <c r="M90" s="18">
        <f>IFERROR(
                  Andel_oberoende_av_klimat*VLOOKUP($A90,Leveranser_per_nät,'Leveranser per nät'!M$1,FALSE)
               +Andel_beroende_av_klimat*VLOOKUP($A90,Leveranser_per_nät,'Leveranser per nät'!M$1,FALSE)/VLOOKUP($B90,Korrigeringsfaktor_EI,'Korrigeringsfaktor EI'!M$1,FALSE),
"")</f>
        <v>8.9478494623655909</v>
      </c>
      <c r="N90" s="18">
        <f>IFERROR(
                  Andel_oberoende_av_klimat*VLOOKUP($A90,Leveranser_per_nät,'Leveranser per nät'!N$1,FALSE)
               +Andel_beroende_av_klimat*VLOOKUP($A90,Leveranser_per_nät,'Leveranser per nät'!N$1,FALSE)/VLOOKUP($B90,Korrigeringsfaktor_EI,'Korrigeringsfaktor EI'!N$1,FALSE),
"")</f>
        <v>11.351304347826087</v>
      </c>
      <c r="O90" s="18">
        <f>IFERROR(
                  Andel_oberoende_av_klimat*VLOOKUP($A90,Leveranser_per_nät,'Leveranser per nät'!O$1,FALSE)
               +Andel_beroende_av_klimat*VLOOKUP($A90,Leveranser_per_nät,'Leveranser per nät'!O$1,FALSE)/VLOOKUP($B90,Korrigeringsfaktor_EI,'Korrigeringsfaktor EI'!O$1,FALSE),
"")</f>
        <v>10.157692307692308</v>
      </c>
      <c r="P90" s="18">
        <f>IFERROR(
                  Andel_oberoende_av_klimat*VLOOKUP($A90,Leveranser_per_nät,'Leveranser per nät'!P$1,FALSE)
               +Andel_beroende_av_klimat*VLOOKUP($A90,Leveranser_per_nät,'Leveranser per nät'!P$1,FALSE)/VLOOKUP($B90,Korrigeringsfaktor_EI,'Korrigeringsfaktor EI'!P$1,FALSE),
"")</f>
        <v>11.217916666666667</v>
      </c>
      <c r="Q90" s="18">
        <f>IFERROR(
                  Andel_oberoende_av_klimat*VLOOKUP($A90,Leveranser_per_nät,'Leveranser per nät'!Q$1,FALSE)
               +Andel_beroende_av_klimat*VLOOKUP($A90,Leveranser_per_nät,'Leveranser per nät'!Q$1,FALSE)/VLOOKUP($B90,Korrigeringsfaktor_EI,'Korrigeringsfaktor EI'!Q$1,FALSE),
"")</f>
        <v>11.932499999999999</v>
      </c>
      <c r="R90" s="18">
        <f>IFERROR(
                  Andel_oberoende_av_klimat*VLOOKUP($A90,Leveranser_per_nät,'Leveranser per nät'!R$1,FALSE)
               +Andel_beroende_av_klimat*VLOOKUP($A90,Leveranser_per_nät,'Leveranser per nät'!R$1,FALSE)/VLOOKUP($B90,Korrigeringsfaktor_EI,'Korrigeringsfaktor EI'!R$1,FALSE),
"")</f>
        <v>11.308869565217391</v>
      </c>
      <c r="S90" s="18">
        <f>IFERROR(
                  Andel_oberoende_av_klimat*VLOOKUP($A90,Leveranser_per_nät,'Leveranser per nät'!S$1,FALSE)
               +Andel_beroende_av_klimat*VLOOKUP($A90,Leveranser_per_nät,'Leveranser per nät'!S$1,FALSE)/VLOOKUP($B90,Korrigeringsfaktor_EI,'Korrigeringsfaktor EI'!S$1,FALSE),
"")</f>
        <v>11.883434343434343</v>
      </c>
      <c r="T90" s="18">
        <f>IFERROR(
                  Andel_oberoende_av_klimat*VLOOKUP($A90,Leveranser_per_nät,'Leveranser per nät'!T$1,FALSE)
               +Andel_beroende_av_klimat*VLOOKUP($A90,Leveranser_per_nät,'Leveranser per nät'!T$1,FALSE)/VLOOKUP($B90,Korrigeringsfaktor_EI,'Korrigeringsfaktor EI'!T$1,FALSE),
"")</f>
        <v>11.924692783505158</v>
      </c>
      <c r="U90" s="18">
        <f>IFERROR(
                  Andel_oberoende_av_klimat*VLOOKUP($A90,Leveranser_per_nät,'Leveranser per nät'!U$1,FALSE)
               +Andel_beroende_av_klimat*VLOOKUP($A90,Leveranser_per_nät,'Leveranser per nät'!U$1,FALSE)/VLOOKUP($B90,Korrigeringsfaktor_EI,'Korrigeringsfaktor EI'!U$1,FALSE),
"")</f>
        <v>10.078181818181818</v>
      </c>
      <c r="V90" s="18">
        <f>IFERROR(
                  Andel_oberoende_av_klimat*VLOOKUP($A90,Leveranser_per_nät,'Leveranser per nät'!V$1,FALSE)
               +Andel_beroende_av_klimat*VLOOKUP($A90,Leveranser_per_nät,'Leveranser per nät'!V$1,FALSE)/VLOOKUP($B90,Korrigeringsfaktor_EI,'Korrigeringsfaktor EI'!V$1,FALSE),
"")</f>
        <v>10.290434782608695</v>
      </c>
      <c r="W90" s="18">
        <f>IFERROR(
                  Andel_oberoende_av_klimat*VLOOKUP($A90,Leveranser_per_nät,'Leveranser per nät'!W$1,FALSE)
               +Andel_beroende_av_klimat*VLOOKUP($A90,Leveranser_per_nät,'Leveranser per nät'!W$1,FALSE)/VLOOKUP($B90,Korrigeringsfaktor_EI,'Korrigeringsfaktor EI'!W$1,FALSE),
"")</f>
        <v>10.852857142857143</v>
      </c>
      <c r="X90" s="18">
        <f>IFERROR(
                  Andel_oberoende_av_klimat*VLOOKUP($A90,Leveranser_per_nät,'Leveranser per nät'!X$1,FALSE)
               +Andel_beroende_av_klimat*VLOOKUP($A90,Leveranser_per_nät,'Leveranser per nät'!X$1,FALSE)/VLOOKUP($B90,Korrigeringsfaktor_EI,'Korrigeringsfaktor EI'!X$1,FALSE),
"")</f>
        <v>10.394583333333333</v>
      </c>
      <c r="Y90" s="18">
        <f>IFERROR(
                  Andel_oberoende_av_klimat*VLOOKUP($A90,Leveranser_per_nät,'Leveranser per nät'!Y$1,FALSE)
               +Andel_beroende_av_klimat*VLOOKUP($A90,Leveranser_per_nät,'Leveranser per nät'!Y$1,FALSE)/VLOOKUP($B90,Korrigeringsfaktor_EI,'Korrigeringsfaktor EI'!Y$1,FALSE),
"")</f>
        <v>11.563478260869566</v>
      </c>
      <c r="Z90" s="18">
        <f>IFERROR(
                  Andel_oberoende_av_klimat*VLOOKUP($A90,Leveranser_per_nät,'Leveranser per nät'!Z$1,FALSE)
               +Andel_beroende_av_klimat*VLOOKUP($A90,Leveranser_per_nät,'Leveranser per nät'!Z$1,FALSE)/VLOOKUP($B90,Korrigeringsfaktor_EI,'Korrigeringsfaktor EI'!Z$1,FALSE),
"")</f>
        <v>9.73</v>
      </c>
      <c r="AA90" s="18">
        <f>IFERROR(
                  Andel_oberoende_av_klimat*VLOOKUP($A90,Leveranser_per_nät,'Leveranser per nät'!AA$1,FALSE)
               +Andel_beroende_av_klimat*VLOOKUP($A90,Leveranser_per_nät,'Leveranser per nät'!AA$1,FALSE)/VLOOKUP($B90,Korrigeringsfaktor_EI,'Korrigeringsfaktor EI'!AA$1,FALSE),
"")</f>
        <v>8.7440961155378485</v>
      </c>
      <c r="AB90" s="18">
        <f>IFERROR(
                  Andel_oberoende_av_klimat*VLOOKUP($A90,Leveranser_per_nät,'Leveranser per nät'!AB$1,FALSE)
               +Andel_beroende_av_klimat*VLOOKUP($A90,Leveranser_per_nät,'Leveranser per nät'!AB$1,FALSE)/VLOOKUP($B90,Korrigeringsfaktor_EI,'Korrigeringsfaktor EI'!AB$1,FALSE),
"")</f>
        <v>9.7253610286844729</v>
      </c>
      <c r="AC90" s="18">
        <f>IFERROR(
                  Andel_oberoende_av_klimat*VLOOKUP($A90,Leveranser_per_nät,'Leveranser per nät'!AC$1,FALSE)
               +Andel_beroende_av_klimat*VLOOKUP($A90,Leveranser_per_nät,'Leveranser per nät'!AC$1,FALSE)/VLOOKUP($B90,Korrigeringsfaktor_EI,'Korrigeringsfaktor EI'!AC$1,FALSE),
"")</f>
        <v>9.5267295864262991</v>
      </c>
      <c r="AD90">
        <v>98.03</v>
      </c>
    </row>
    <row r="91" spans="1:30" x14ac:dyDescent="0.25">
      <c r="A91" t="s">
        <v>397</v>
      </c>
      <c r="B91" t="s">
        <v>1</v>
      </c>
      <c r="C91" s="18">
        <f>IFERROR(
                  Andel_oberoende_av_klimat*VLOOKUP($A91,Leveranser_per_nät,'Leveranser per nät'!C$1,FALSE)
               +Andel_beroende_av_klimat*VLOOKUP($A91,Leveranser_per_nät,'Leveranser per nät'!C$1,FALSE)/VLOOKUP($B91,Korrigeringsfaktor_EI,'Korrigeringsfaktor EI'!C$1,FALSE),
"")</f>
        <v>0</v>
      </c>
      <c r="D91" s="18">
        <f>IFERROR(
                  Andel_oberoende_av_klimat*VLOOKUP($A91,Leveranser_per_nät,'Leveranser per nät'!D$1,FALSE)
               +Andel_beroende_av_klimat*VLOOKUP($A91,Leveranser_per_nät,'Leveranser per nät'!D$1,FALSE)/VLOOKUP($B91,Korrigeringsfaktor_EI,'Korrigeringsfaktor EI'!D$1,FALSE),
"")</f>
        <v>0</v>
      </c>
      <c r="E91" s="18">
        <f>IFERROR(
                  Andel_oberoende_av_klimat*VLOOKUP($A91,Leveranser_per_nät,'Leveranser per nät'!E$1,FALSE)
               +Andel_beroende_av_klimat*VLOOKUP($A91,Leveranser_per_nät,'Leveranser per nät'!E$1,FALSE)/VLOOKUP($B91,Korrigeringsfaktor_EI,'Korrigeringsfaktor EI'!E$1,FALSE),
"")</f>
        <v>0</v>
      </c>
      <c r="F91" s="18">
        <f>IFERROR(
                  Andel_oberoende_av_klimat*VLOOKUP($A91,Leveranser_per_nät,'Leveranser per nät'!F$1,FALSE)
               +Andel_beroende_av_klimat*VLOOKUP($A91,Leveranser_per_nät,'Leveranser per nät'!F$1,FALSE)/VLOOKUP($B91,Korrigeringsfaktor_EI,'Korrigeringsfaktor EI'!F$1,FALSE),
"")</f>
        <v>0</v>
      </c>
      <c r="G91" s="18">
        <f>IFERROR(
                  Andel_oberoende_av_klimat*VLOOKUP($A91,Leveranser_per_nät,'Leveranser per nät'!G$1,FALSE)
               +Andel_beroende_av_klimat*VLOOKUP($A91,Leveranser_per_nät,'Leveranser per nät'!G$1,FALSE)/VLOOKUP($B91,Korrigeringsfaktor_EI,'Korrigeringsfaktor EI'!G$1,FALSE),
"")</f>
        <v>0</v>
      </c>
      <c r="H91" s="18">
        <f>IFERROR(
                  Andel_oberoende_av_klimat*VLOOKUP($A91,Leveranser_per_nät,'Leveranser per nät'!H$1,FALSE)
               +Andel_beroende_av_klimat*VLOOKUP($A91,Leveranser_per_nät,'Leveranser per nät'!H$1,FALSE)/VLOOKUP($B91,Korrigeringsfaktor_EI,'Korrigeringsfaktor EI'!H$1,FALSE),
"")</f>
        <v>0</v>
      </c>
      <c r="I91" s="18">
        <f>IFERROR(
                  Andel_oberoende_av_klimat*VLOOKUP($A91,Leveranser_per_nät,'Leveranser per nät'!I$1,FALSE)
               +Andel_beroende_av_klimat*VLOOKUP($A91,Leveranser_per_nät,'Leveranser per nät'!I$1,FALSE)/VLOOKUP($B91,Korrigeringsfaktor_EI,'Korrigeringsfaktor EI'!I$1,FALSE),
"")</f>
        <v>0</v>
      </c>
      <c r="J91" s="18">
        <f>IFERROR(
                  Andel_oberoende_av_klimat*VLOOKUP($A91,Leveranser_per_nät,'Leveranser per nät'!J$1,FALSE)
               +Andel_beroende_av_klimat*VLOOKUP($A91,Leveranser_per_nät,'Leveranser per nät'!J$1,FALSE)/VLOOKUP($B91,Korrigeringsfaktor_EI,'Korrigeringsfaktor EI'!J$1,FALSE),
"")</f>
        <v>0</v>
      </c>
      <c r="K91" s="18">
        <f>IFERROR(
                  Andel_oberoende_av_klimat*VLOOKUP($A91,Leveranser_per_nät,'Leveranser per nät'!K$1,FALSE)
               +Andel_beroende_av_klimat*VLOOKUP($A91,Leveranser_per_nät,'Leveranser per nät'!K$1,FALSE)/VLOOKUP($B91,Korrigeringsfaktor_EI,'Korrigeringsfaktor EI'!K$1,FALSE),
"")</f>
        <v>0</v>
      </c>
      <c r="L91" s="18">
        <f>IFERROR(
                  Andel_oberoende_av_klimat*VLOOKUP($A91,Leveranser_per_nät,'Leveranser per nät'!L$1,FALSE)
               +Andel_beroende_av_klimat*VLOOKUP($A91,Leveranser_per_nät,'Leveranser per nät'!L$1,FALSE)/VLOOKUP($B91,Korrigeringsfaktor_EI,'Korrigeringsfaktor EI'!L$1,FALSE),
"")</f>
        <v>0</v>
      </c>
      <c r="M91" s="18">
        <f>IFERROR(
                  Andel_oberoende_av_klimat*VLOOKUP($A91,Leveranser_per_nät,'Leveranser per nät'!M$1,FALSE)
               +Andel_beroende_av_klimat*VLOOKUP($A91,Leveranser_per_nät,'Leveranser per nät'!M$1,FALSE)/VLOOKUP($B91,Korrigeringsfaktor_EI,'Korrigeringsfaktor EI'!M$1,FALSE),
"")</f>
        <v>0</v>
      </c>
      <c r="N91" s="18">
        <f>IFERROR(
                  Andel_oberoende_av_klimat*VLOOKUP($A91,Leveranser_per_nät,'Leveranser per nät'!N$1,FALSE)
               +Andel_beroende_av_klimat*VLOOKUP($A91,Leveranser_per_nät,'Leveranser per nät'!N$1,FALSE)/VLOOKUP($B91,Korrigeringsfaktor_EI,'Korrigeringsfaktor EI'!N$1,FALSE),
"")</f>
        <v>0</v>
      </c>
      <c r="O91" s="18">
        <f>IFERROR(
                  Andel_oberoende_av_klimat*VLOOKUP($A91,Leveranser_per_nät,'Leveranser per nät'!O$1,FALSE)
               +Andel_beroende_av_klimat*VLOOKUP($A91,Leveranser_per_nät,'Leveranser per nät'!O$1,FALSE)/VLOOKUP($B91,Korrigeringsfaktor_EI,'Korrigeringsfaktor EI'!O$1,FALSE),
"")</f>
        <v>0</v>
      </c>
      <c r="P91" s="18">
        <f>IFERROR(
                  Andel_oberoende_av_klimat*VLOOKUP($A91,Leveranser_per_nät,'Leveranser per nät'!P$1,FALSE)
               +Andel_beroende_av_klimat*VLOOKUP($A91,Leveranser_per_nät,'Leveranser per nät'!P$1,FALSE)/VLOOKUP($B91,Korrigeringsfaktor_EI,'Korrigeringsfaktor EI'!P$1,FALSE),
"")</f>
        <v>0</v>
      </c>
      <c r="Q91" s="18">
        <f>IFERROR(
                  Andel_oberoende_av_klimat*VLOOKUP($A91,Leveranser_per_nät,'Leveranser per nät'!Q$1,FALSE)
               +Andel_beroende_av_klimat*VLOOKUP($A91,Leveranser_per_nät,'Leveranser per nät'!Q$1,FALSE)/VLOOKUP($B91,Korrigeringsfaktor_EI,'Korrigeringsfaktor EI'!Q$1,FALSE),
"")</f>
        <v>7.2208771929824564</v>
      </c>
      <c r="R91" s="18">
        <f>IFERROR(
                  Andel_oberoende_av_klimat*VLOOKUP($A91,Leveranser_per_nät,'Leveranser per nät'!R$1,FALSE)
               +Andel_beroende_av_klimat*VLOOKUP($A91,Leveranser_per_nät,'Leveranser per nät'!R$1,FALSE)/VLOOKUP($B91,Korrigeringsfaktor_EI,'Korrigeringsfaktor EI'!R$1,FALSE),
"")</f>
        <v>6.8424731182795693</v>
      </c>
      <c r="S91" s="18">
        <f>IFERROR(
                  Andel_oberoende_av_klimat*VLOOKUP($A91,Leveranser_per_nät,'Leveranser per nät'!S$1,FALSE)
               +Andel_beroende_av_klimat*VLOOKUP($A91,Leveranser_per_nät,'Leveranser per nät'!S$1,FALSE)/VLOOKUP($B91,Korrigeringsfaktor_EI,'Korrigeringsfaktor EI'!S$1,FALSE),
"")</f>
        <v>7.4480198019801982</v>
      </c>
      <c r="T91" s="18">
        <f>IFERROR(
                  Andel_oberoende_av_klimat*VLOOKUP($A91,Leveranser_per_nät,'Leveranser per nät'!T$1,FALSE)
               +Andel_beroende_av_klimat*VLOOKUP($A91,Leveranser_per_nät,'Leveranser per nät'!T$1,FALSE)/VLOOKUP($B91,Korrigeringsfaktor_EI,'Korrigeringsfaktor EI'!T$1,FALSE),
"")</f>
        <v>8.862222222222222</v>
      </c>
      <c r="U91" s="18">
        <f>IFERROR(
                  Andel_oberoende_av_klimat*VLOOKUP($A91,Leveranser_per_nät,'Leveranser per nät'!U$1,FALSE)
               +Andel_beroende_av_klimat*VLOOKUP($A91,Leveranser_per_nät,'Leveranser per nät'!U$1,FALSE)/VLOOKUP($B91,Korrigeringsfaktor_EI,'Korrigeringsfaktor EI'!U$1,FALSE),
"")</f>
        <v>8.4350000000000005</v>
      </c>
      <c r="V91" s="18">
        <f>IFERROR(
                  Andel_oberoende_av_klimat*VLOOKUP($A91,Leveranser_per_nät,'Leveranser per nät'!V$1,FALSE)
               +Andel_beroende_av_klimat*VLOOKUP($A91,Leveranser_per_nät,'Leveranser per nät'!V$1,FALSE)/VLOOKUP($B91,Korrigeringsfaktor_EI,'Korrigeringsfaktor EI'!V$1,FALSE),
"")</f>
        <v>8.5267741935483858</v>
      </c>
      <c r="W91" s="18">
        <f>IFERROR(
                  Andel_oberoende_av_klimat*VLOOKUP($A91,Leveranser_per_nät,'Leveranser per nät'!W$1,FALSE)
               +Andel_beroende_av_klimat*VLOOKUP($A91,Leveranser_per_nät,'Leveranser per nät'!W$1,FALSE)/VLOOKUP($B91,Korrigeringsfaktor_EI,'Korrigeringsfaktor EI'!W$1,FALSE),
"")</f>
        <v>8.5420833333333341</v>
      </c>
      <c r="X91" s="18">
        <f>IFERROR(
                  Andel_oberoende_av_klimat*VLOOKUP($A91,Leveranser_per_nät,'Leveranser per nät'!X$1,FALSE)
               +Andel_beroende_av_klimat*VLOOKUP($A91,Leveranser_per_nät,'Leveranser per nät'!X$1,FALSE)/VLOOKUP($B91,Korrigeringsfaktor_EI,'Korrigeringsfaktor EI'!X$1,FALSE),
"")</f>
        <v>8.5663829787234036</v>
      </c>
      <c r="Y91" s="18">
        <f>IFERROR(
                  Andel_oberoende_av_klimat*VLOOKUP($A91,Leveranser_per_nät,'Leveranser per nät'!Y$1,FALSE)
               +Andel_beroende_av_klimat*VLOOKUP($A91,Leveranser_per_nät,'Leveranser per nät'!Y$1,FALSE)/VLOOKUP($B91,Korrigeringsfaktor_EI,'Korrigeringsfaktor EI'!Y$1,FALSE),
"")</f>
        <v>8.9455555555555559</v>
      </c>
      <c r="Z91" s="18">
        <f>IFERROR(
                  Andel_oberoende_av_klimat*VLOOKUP($A91,Leveranser_per_nät,'Leveranser per nät'!Z$1,FALSE)
               +Andel_beroende_av_klimat*VLOOKUP($A91,Leveranser_per_nät,'Leveranser per nät'!Z$1,FALSE)/VLOOKUP($B91,Korrigeringsfaktor_EI,'Korrigeringsfaktor EI'!Z$1,FALSE),
"")</f>
        <v>8.1830454545454536</v>
      </c>
      <c r="AA91" s="18">
        <f>IFERROR(
                  Andel_oberoende_av_klimat*VLOOKUP($A91,Leveranser_per_nät,'Leveranser per nät'!AA$1,FALSE)
               +Andel_beroende_av_klimat*VLOOKUP($A91,Leveranser_per_nät,'Leveranser per nät'!AA$1,FALSE)/VLOOKUP($B91,Korrigeringsfaktor_EI,'Korrigeringsfaktor EI'!AA$1,FALSE),
"")</f>
        <v>7.8720761194029851</v>
      </c>
      <c r="AB91" s="18">
        <f>IFERROR(
                  Andel_oberoende_av_klimat*VLOOKUP($A91,Leveranser_per_nät,'Leveranser per nät'!AB$1,FALSE)
               +Andel_beroende_av_klimat*VLOOKUP($A91,Leveranser_per_nät,'Leveranser per nät'!AB$1,FALSE)/VLOOKUP($B91,Korrigeringsfaktor_EI,'Korrigeringsfaktor EI'!AB$1,FALSE),
"")</f>
        <v>7.8625223880597019</v>
      </c>
      <c r="AC91" s="18">
        <f>IFERROR(
                  Andel_oberoende_av_klimat*VLOOKUP($A91,Leveranser_per_nät,'Leveranser per nät'!AC$1,FALSE)
               +Andel_beroende_av_klimat*VLOOKUP($A91,Leveranser_per_nät,'Leveranser per nät'!AC$1,FALSE)/VLOOKUP($B91,Korrigeringsfaktor_EI,'Korrigeringsfaktor EI'!AC$1,FALSE),
"")</f>
        <v>8.063054054054053</v>
      </c>
      <c r="AD91">
        <v>118.5</v>
      </c>
    </row>
    <row r="92" spans="1:30" x14ac:dyDescent="0.25">
      <c r="A92" s="5" t="s">
        <v>10</v>
      </c>
      <c r="B92" t="s">
        <v>138</v>
      </c>
      <c r="C92" s="18">
        <f>IFERROR(
                  Andel_oberoende_av_klimat*VLOOKUP($A92,Leveranser_per_nät,'Leveranser per nät'!C$1,FALSE)
               +Andel_beroende_av_klimat*VLOOKUP($A92,Leveranser_per_nät,'Leveranser per nät'!C$1,FALSE)/VLOOKUP($B92,Korrigeringsfaktor_EI,'Korrigeringsfaktor EI'!C$1,FALSE),
"")</f>
        <v>0</v>
      </c>
      <c r="D92" s="18">
        <f>IFERROR(
                  Andel_oberoende_av_klimat*VLOOKUP($A92,Leveranser_per_nät,'Leveranser per nät'!D$1,FALSE)
               +Andel_beroende_av_klimat*VLOOKUP($A92,Leveranser_per_nät,'Leveranser per nät'!D$1,FALSE)/VLOOKUP($B92,Korrigeringsfaktor_EI,'Korrigeringsfaktor EI'!D$1,FALSE),
"")</f>
        <v>7.8054020618556699</v>
      </c>
      <c r="E92" s="18">
        <f>IFERROR(
                  Andel_oberoende_av_klimat*VLOOKUP($A92,Leveranser_per_nät,'Leveranser per nät'!E$1,FALSE)
               +Andel_beroende_av_klimat*VLOOKUP($A92,Leveranser_per_nät,'Leveranser per nät'!E$1,FALSE)/VLOOKUP($B92,Korrigeringsfaktor_EI,'Korrigeringsfaktor EI'!E$1,FALSE),
"")</f>
        <v>7.7846153846153845</v>
      </c>
      <c r="F92" s="18">
        <f>IFERROR(
                  Andel_oberoende_av_klimat*VLOOKUP($A92,Leveranser_per_nät,'Leveranser per nät'!F$1,FALSE)
               +Andel_beroende_av_klimat*VLOOKUP($A92,Leveranser_per_nät,'Leveranser per nät'!F$1,FALSE)/VLOOKUP($B92,Korrigeringsfaktor_EI,'Korrigeringsfaktor EI'!F$1,FALSE),
"")</f>
        <v>0</v>
      </c>
      <c r="G92" s="18">
        <f>IFERROR(
                  Andel_oberoende_av_klimat*VLOOKUP($A92,Leveranser_per_nät,'Leveranser per nät'!G$1,FALSE)
               +Andel_beroende_av_klimat*VLOOKUP($A92,Leveranser_per_nät,'Leveranser per nät'!G$1,FALSE)/VLOOKUP($B92,Korrigeringsfaktor_EI,'Korrigeringsfaktor EI'!G$1,FALSE),
"")</f>
        <v>0</v>
      </c>
      <c r="H92" s="18">
        <f>IFERROR(
                  Andel_oberoende_av_klimat*VLOOKUP($A92,Leveranser_per_nät,'Leveranser per nät'!H$1,FALSE)
               +Andel_beroende_av_klimat*VLOOKUP($A92,Leveranser_per_nät,'Leveranser per nät'!H$1,FALSE)/VLOOKUP($B92,Korrigeringsfaktor_EI,'Korrigeringsfaktor EI'!H$1,FALSE),
"")</f>
        <v>0</v>
      </c>
      <c r="I92" s="18">
        <f>IFERROR(
                  Andel_oberoende_av_klimat*VLOOKUP($A92,Leveranser_per_nät,'Leveranser per nät'!I$1,FALSE)
               +Andel_beroende_av_klimat*VLOOKUP($A92,Leveranser_per_nät,'Leveranser per nät'!I$1,FALSE)/VLOOKUP($B92,Korrigeringsfaktor_EI,'Korrigeringsfaktor EI'!I$1,FALSE),
"")</f>
        <v>0</v>
      </c>
      <c r="J92" s="18">
        <f>IFERROR(
                  Andel_oberoende_av_klimat*VLOOKUP($A92,Leveranser_per_nät,'Leveranser per nät'!J$1,FALSE)
               +Andel_beroende_av_klimat*VLOOKUP($A92,Leveranser_per_nät,'Leveranser per nät'!J$1,FALSE)/VLOOKUP($B92,Korrigeringsfaktor_EI,'Korrigeringsfaktor EI'!J$1,FALSE),
"")</f>
        <v>0</v>
      </c>
      <c r="K92" s="18">
        <f>IFERROR(
                  Andel_oberoende_av_klimat*VLOOKUP($A92,Leveranser_per_nät,'Leveranser per nät'!K$1,FALSE)
               +Andel_beroende_av_klimat*VLOOKUP($A92,Leveranser_per_nät,'Leveranser per nät'!K$1,FALSE)/VLOOKUP($B92,Korrigeringsfaktor_EI,'Korrigeringsfaktor EI'!K$1,FALSE),
"")</f>
        <v>0</v>
      </c>
      <c r="L92" s="18">
        <f>IFERROR(
                  Andel_oberoende_av_klimat*VLOOKUP($A92,Leveranser_per_nät,'Leveranser per nät'!L$1,FALSE)
               +Andel_beroende_av_klimat*VLOOKUP($A92,Leveranser_per_nät,'Leveranser per nät'!L$1,FALSE)/VLOOKUP($B92,Korrigeringsfaktor_EI,'Korrigeringsfaktor EI'!L$1,FALSE),
"")</f>
        <v>0</v>
      </c>
      <c r="M92" s="18">
        <f>IFERROR(
                  Andel_oberoende_av_klimat*VLOOKUP($A92,Leveranser_per_nät,'Leveranser per nät'!M$1,FALSE)
               +Andel_beroende_av_klimat*VLOOKUP($A92,Leveranser_per_nät,'Leveranser per nät'!M$1,FALSE)/VLOOKUP($B92,Korrigeringsfaktor_EI,'Korrigeringsfaktor EI'!M$1,FALSE),
"")</f>
        <v>0</v>
      </c>
      <c r="N92" s="18">
        <f>IFERROR(
                  Andel_oberoende_av_klimat*VLOOKUP($A92,Leveranser_per_nät,'Leveranser per nät'!N$1,FALSE)
               +Andel_beroende_av_klimat*VLOOKUP($A92,Leveranser_per_nät,'Leveranser per nät'!N$1,FALSE)/VLOOKUP($B92,Korrigeringsfaktor_EI,'Korrigeringsfaktor EI'!N$1,FALSE),
"")</f>
        <v>0</v>
      </c>
      <c r="O92" s="18">
        <f>IFERROR(
                  Andel_oberoende_av_klimat*VLOOKUP($A92,Leveranser_per_nät,'Leveranser per nät'!O$1,FALSE)
               +Andel_beroende_av_klimat*VLOOKUP($A92,Leveranser_per_nät,'Leveranser per nät'!O$1,FALSE)/VLOOKUP($B92,Korrigeringsfaktor_EI,'Korrigeringsfaktor EI'!O$1,FALSE),
"")</f>
        <v>0</v>
      </c>
      <c r="P92" s="18">
        <f>IFERROR(
                  Andel_oberoende_av_klimat*VLOOKUP($A92,Leveranser_per_nät,'Leveranser per nät'!P$1,FALSE)
               +Andel_beroende_av_klimat*VLOOKUP($A92,Leveranser_per_nät,'Leveranser per nät'!P$1,FALSE)/VLOOKUP($B92,Korrigeringsfaktor_EI,'Korrigeringsfaktor EI'!P$1,FALSE),
"")</f>
        <v>10.522989690721651</v>
      </c>
      <c r="Q92" s="18">
        <f>IFERROR(
                  Andel_oberoende_av_klimat*VLOOKUP($A92,Leveranser_per_nät,'Leveranser per nät'!Q$1,FALSE)
               +Andel_beroende_av_klimat*VLOOKUP($A92,Leveranser_per_nät,'Leveranser per nät'!Q$1,FALSE)/VLOOKUP($B92,Korrigeringsfaktor_EI,'Korrigeringsfaktor EI'!Q$1,FALSE),
"")</f>
        <v>11.42543859649123</v>
      </c>
      <c r="R92" s="18">
        <f>IFERROR(
                  Andel_oberoende_av_klimat*VLOOKUP($A92,Leveranser_per_nät,'Leveranser per nät'!R$1,FALSE)
               +Andel_beroende_av_klimat*VLOOKUP($A92,Leveranser_per_nät,'Leveranser per nät'!R$1,FALSE)/VLOOKUP($B92,Korrigeringsfaktor_EI,'Korrigeringsfaktor EI'!R$1,FALSE),
"")</f>
        <v>8.1910526315789483</v>
      </c>
      <c r="S92" s="18">
        <f>IFERROR(
                  Andel_oberoende_av_klimat*VLOOKUP($A92,Leveranser_per_nät,'Leveranser per nät'!S$1,FALSE)
               +Andel_beroende_av_klimat*VLOOKUP($A92,Leveranser_per_nät,'Leveranser per nät'!S$1,FALSE)/VLOOKUP($B92,Korrigeringsfaktor_EI,'Korrigeringsfaktor EI'!S$1,FALSE),
"")</f>
        <v>8.5403960396039604</v>
      </c>
      <c r="T92" s="18">
        <f>IFERROR(
                  Andel_oberoende_av_klimat*VLOOKUP($A92,Leveranser_per_nät,'Leveranser per nät'!T$1,FALSE)
               +Andel_beroende_av_klimat*VLOOKUP($A92,Leveranser_per_nät,'Leveranser per nät'!T$1,FALSE)/VLOOKUP($B92,Korrigeringsfaktor_EI,'Korrigeringsfaktor EI'!T$1,FALSE),
"")</f>
        <v>8.3984210526315781</v>
      </c>
      <c r="U92" s="18">
        <f>IFERROR(
                  Andel_oberoende_av_klimat*VLOOKUP($A92,Leveranser_per_nät,'Leveranser per nät'!U$1,FALSE)
               +Andel_beroende_av_klimat*VLOOKUP($A92,Leveranser_per_nät,'Leveranser per nät'!U$1,FALSE)/VLOOKUP($B92,Korrigeringsfaktor_EI,'Korrigeringsfaktor EI'!U$1,FALSE),
"")</f>
        <v>7.8673999999999999</v>
      </c>
      <c r="V92" s="18">
        <f>IFERROR(
                  Andel_oberoende_av_klimat*VLOOKUP($A92,Leveranser_per_nät,'Leveranser per nät'!V$1,FALSE)
               +Andel_beroende_av_klimat*VLOOKUP($A92,Leveranser_per_nät,'Leveranser per nät'!V$1,FALSE)/VLOOKUP($B92,Korrigeringsfaktor_EI,'Korrigeringsfaktor EI'!V$1,FALSE),
"")</f>
        <v>7.923</v>
      </c>
      <c r="W92" s="18">
        <f>IFERROR(
                  Andel_oberoende_av_klimat*VLOOKUP($A92,Leveranser_per_nät,'Leveranser per nät'!W$1,FALSE)
               +Andel_beroende_av_klimat*VLOOKUP($A92,Leveranser_per_nät,'Leveranser per nät'!W$1,FALSE)/VLOOKUP($B92,Korrigeringsfaktor_EI,'Korrigeringsfaktor EI'!W$1,FALSE),
"")</f>
        <v>7.9441375000000001</v>
      </c>
      <c r="X92" s="18">
        <f>IFERROR(
                  Andel_oberoende_av_klimat*VLOOKUP($A92,Leveranser_per_nät,'Leveranser per nät'!X$1,FALSE)
               +Andel_beroende_av_klimat*VLOOKUP($A92,Leveranser_per_nät,'Leveranser per nät'!X$1,FALSE)/VLOOKUP($B92,Korrigeringsfaktor_EI,'Korrigeringsfaktor EI'!X$1,FALSE),
"")</f>
        <v>8.0873684210526324</v>
      </c>
      <c r="Y92" s="18">
        <f>IFERROR(
                  Andel_oberoende_av_klimat*VLOOKUP($A92,Leveranser_per_nät,'Leveranser per nät'!Y$1,FALSE)
               +Andel_beroende_av_klimat*VLOOKUP($A92,Leveranser_per_nät,'Leveranser per nät'!Y$1,FALSE)/VLOOKUP($B92,Korrigeringsfaktor_EI,'Korrigeringsfaktor EI'!Y$1,FALSE),
"")</f>
        <v>8.0192307692307701</v>
      </c>
      <c r="Z92" s="18">
        <f>IFERROR(
                  Andel_oberoende_av_klimat*VLOOKUP($A92,Leveranser_per_nät,'Leveranser per nät'!Z$1,FALSE)
               +Andel_beroende_av_klimat*VLOOKUP($A92,Leveranser_per_nät,'Leveranser per nät'!Z$1,FALSE)/VLOOKUP($B92,Korrigeringsfaktor_EI,'Korrigeringsfaktor EI'!Z$1,FALSE),
"")</f>
        <v>7.7898924731182797</v>
      </c>
      <c r="AA92" s="18">
        <f>IFERROR(
                  Andel_oberoende_av_klimat*VLOOKUP($A92,Leveranser_per_nät,'Leveranser per nät'!AA$1,FALSE)
               +Andel_beroende_av_klimat*VLOOKUP($A92,Leveranser_per_nät,'Leveranser per nät'!AA$1,FALSE)/VLOOKUP($B92,Korrigeringsfaktor_EI,'Korrigeringsfaktor EI'!AA$1,FALSE),
"")</f>
        <v>7.8033448787728847</v>
      </c>
      <c r="AB92" s="18">
        <f>IFERROR(
                  Andel_oberoende_av_klimat*VLOOKUP($A92,Leveranser_per_nät,'Leveranser per nät'!AB$1,FALSE)
               +Andel_beroende_av_klimat*VLOOKUP($A92,Leveranser_per_nät,'Leveranser per nät'!AB$1,FALSE)/VLOOKUP($B92,Korrigeringsfaktor_EI,'Korrigeringsfaktor EI'!AB$1,FALSE),
"")</f>
        <v>8.4774468085106385</v>
      </c>
      <c r="AC92" s="18">
        <f>IFERROR(
                  Andel_oberoende_av_klimat*VLOOKUP($A92,Leveranser_per_nät,'Leveranser per nät'!AC$1,FALSE)
               +Andel_beroende_av_klimat*VLOOKUP($A92,Leveranser_per_nät,'Leveranser per nät'!AC$1,FALSE)/VLOOKUP($B92,Korrigeringsfaktor_EI,'Korrigeringsfaktor EI'!AC$1,FALSE),
"")</f>
        <v>8.2046932475884233</v>
      </c>
      <c r="AD92">
        <v>662.10699999999997</v>
      </c>
    </row>
    <row r="93" spans="1:30" x14ac:dyDescent="0.25">
      <c r="A93" t="s">
        <v>838</v>
      </c>
      <c r="B93" t="s">
        <v>507</v>
      </c>
      <c r="C93" s="18">
        <f>IFERROR(
                  Andel_oberoende_av_klimat*VLOOKUP($A93,Leveranser_per_nät,'Leveranser per nät'!C$1,FALSE)
               +Andel_beroende_av_klimat*VLOOKUP($A93,Leveranser_per_nät,'Leveranser per nät'!C$1,FALSE)/VLOOKUP($B93,Korrigeringsfaktor_EI,'Korrigeringsfaktor EI'!C$1,FALSE),
"")</f>
        <v>0</v>
      </c>
      <c r="D93" s="18">
        <f>IFERROR(
                  Andel_oberoende_av_klimat*VLOOKUP($A93,Leveranser_per_nät,'Leveranser per nät'!D$1,FALSE)
               +Andel_beroende_av_klimat*VLOOKUP($A93,Leveranser_per_nät,'Leveranser per nät'!D$1,FALSE)/VLOOKUP($B93,Korrigeringsfaktor_EI,'Korrigeringsfaktor EI'!D$1,FALSE),
"")</f>
        <v>0</v>
      </c>
      <c r="E93" s="18">
        <f>IFERROR(
                  Andel_oberoende_av_klimat*VLOOKUP($A93,Leveranser_per_nät,'Leveranser per nät'!E$1,FALSE)
               +Andel_beroende_av_klimat*VLOOKUP($A93,Leveranser_per_nät,'Leveranser per nät'!E$1,FALSE)/VLOOKUP($B93,Korrigeringsfaktor_EI,'Korrigeringsfaktor EI'!E$1,FALSE),
"")</f>
        <v>0</v>
      </c>
      <c r="F93" s="18">
        <f>IFERROR(
                  Andel_oberoende_av_klimat*VLOOKUP($A93,Leveranser_per_nät,'Leveranser per nät'!F$1,FALSE)
               +Andel_beroende_av_klimat*VLOOKUP($A93,Leveranser_per_nät,'Leveranser per nät'!F$1,FALSE)/VLOOKUP($B93,Korrigeringsfaktor_EI,'Korrigeringsfaktor EI'!F$1,FALSE),
"")</f>
        <v>0</v>
      </c>
      <c r="G93" s="18">
        <f>IFERROR(
                  Andel_oberoende_av_klimat*VLOOKUP($A93,Leveranser_per_nät,'Leveranser per nät'!G$1,FALSE)
               +Andel_beroende_av_klimat*VLOOKUP($A93,Leveranser_per_nät,'Leveranser per nät'!G$1,FALSE)/VLOOKUP($B93,Korrigeringsfaktor_EI,'Korrigeringsfaktor EI'!G$1,FALSE),
"")</f>
        <v>0</v>
      </c>
      <c r="H93" s="18">
        <f>IFERROR(
                  Andel_oberoende_av_klimat*VLOOKUP($A93,Leveranser_per_nät,'Leveranser per nät'!H$1,FALSE)
               +Andel_beroende_av_klimat*VLOOKUP($A93,Leveranser_per_nät,'Leveranser per nät'!H$1,FALSE)/VLOOKUP($B93,Korrigeringsfaktor_EI,'Korrigeringsfaktor EI'!H$1,FALSE),
"")</f>
        <v>0</v>
      </c>
      <c r="I93" s="18">
        <f>IFERROR(
                  Andel_oberoende_av_klimat*VLOOKUP($A93,Leveranser_per_nät,'Leveranser per nät'!I$1,FALSE)
               +Andel_beroende_av_klimat*VLOOKUP($A93,Leveranser_per_nät,'Leveranser per nät'!I$1,FALSE)/VLOOKUP($B93,Korrigeringsfaktor_EI,'Korrigeringsfaktor EI'!I$1,FALSE),
"")</f>
        <v>0</v>
      </c>
      <c r="J93" s="18">
        <f>IFERROR(
                  Andel_oberoende_av_klimat*VLOOKUP($A93,Leveranser_per_nät,'Leveranser per nät'!J$1,FALSE)
               +Andel_beroende_av_klimat*VLOOKUP($A93,Leveranser_per_nät,'Leveranser per nät'!J$1,FALSE)/VLOOKUP($B93,Korrigeringsfaktor_EI,'Korrigeringsfaktor EI'!J$1,FALSE),
"")</f>
        <v>0</v>
      </c>
      <c r="K93" s="18">
        <f>IFERROR(
                  Andel_oberoende_av_klimat*VLOOKUP($A93,Leveranser_per_nät,'Leveranser per nät'!K$1,FALSE)
               +Andel_beroende_av_klimat*VLOOKUP($A93,Leveranser_per_nät,'Leveranser per nät'!K$1,FALSE)/VLOOKUP($B93,Korrigeringsfaktor_EI,'Korrigeringsfaktor EI'!K$1,FALSE),
"")</f>
        <v>0</v>
      </c>
      <c r="L93" s="18">
        <f>IFERROR(
                  Andel_oberoende_av_klimat*VLOOKUP($A93,Leveranser_per_nät,'Leveranser per nät'!L$1,FALSE)
               +Andel_beroende_av_klimat*VLOOKUP($A93,Leveranser_per_nät,'Leveranser per nät'!L$1,FALSE)/VLOOKUP($B93,Korrigeringsfaktor_EI,'Korrigeringsfaktor EI'!L$1,FALSE),
"")</f>
        <v>0</v>
      </c>
      <c r="M93" s="18">
        <f>IFERROR(
                  Andel_oberoende_av_klimat*VLOOKUP($A93,Leveranser_per_nät,'Leveranser per nät'!M$1,FALSE)
               +Andel_beroende_av_klimat*VLOOKUP($A93,Leveranser_per_nät,'Leveranser per nät'!M$1,FALSE)/VLOOKUP($B93,Korrigeringsfaktor_EI,'Korrigeringsfaktor EI'!M$1,FALSE),
"")</f>
        <v>0</v>
      </c>
      <c r="N93" s="18">
        <f>IFERROR(
                  Andel_oberoende_av_klimat*VLOOKUP($A93,Leveranser_per_nät,'Leveranser per nät'!N$1,FALSE)
               +Andel_beroende_av_klimat*VLOOKUP($A93,Leveranser_per_nät,'Leveranser per nät'!N$1,FALSE)/VLOOKUP($B93,Korrigeringsfaktor_EI,'Korrigeringsfaktor EI'!N$1,FALSE),
"")</f>
        <v>0</v>
      </c>
      <c r="O93" s="18">
        <f>IFERROR(
                  Andel_oberoende_av_klimat*VLOOKUP($A93,Leveranser_per_nät,'Leveranser per nät'!O$1,FALSE)
               +Andel_beroende_av_klimat*VLOOKUP($A93,Leveranser_per_nät,'Leveranser per nät'!O$1,FALSE)/VLOOKUP($B93,Korrigeringsfaktor_EI,'Korrigeringsfaktor EI'!O$1,FALSE),
"")</f>
        <v>0</v>
      </c>
      <c r="P93" s="18">
        <f>IFERROR(
                  Andel_oberoende_av_klimat*VLOOKUP($A93,Leveranser_per_nät,'Leveranser per nät'!P$1,FALSE)
               +Andel_beroende_av_klimat*VLOOKUP($A93,Leveranser_per_nät,'Leveranser per nät'!P$1,FALSE)/VLOOKUP($B93,Korrigeringsfaktor_EI,'Korrigeringsfaktor EI'!P$1,FALSE),
"")</f>
        <v>0</v>
      </c>
      <c r="Q93" s="18">
        <f>IFERROR(
                  Andel_oberoende_av_klimat*VLOOKUP($A93,Leveranser_per_nät,'Leveranser per nät'!Q$1,FALSE)
               +Andel_beroende_av_klimat*VLOOKUP($A93,Leveranser_per_nät,'Leveranser per nät'!Q$1,FALSE)/VLOOKUP($B93,Korrigeringsfaktor_EI,'Korrigeringsfaktor EI'!Q$1,FALSE),
"")</f>
        <v>0</v>
      </c>
      <c r="R93" s="18">
        <f>IFERROR(
                  Andel_oberoende_av_klimat*VLOOKUP($A93,Leveranser_per_nät,'Leveranser per nät'!R$1,FALSE)
               +Andel_beroende_av_klimat*VLOOKUP($A93,Leveranser_per_nät,'Leveranser per nät'!R$1,FALSE)/VLOOKUP($B93,Korrigeringsfaktor_EI,'Korrigeringsfaktor EI'!R$1,FALSE),
"")</f>
        <v>0</v>
      </c>
      <c r="S93" s="18" t="str">
        <f>IFERROR(
                  Andel_oberoende_av_klimat*VLOOKUP($A93,Leveranser_per_nät,'Leveranser per nät'!S$1,FALSE)
               +Andel_beroende_av_klimat*VLOOKUP($A93,Leveranser_per_nät,'Leveranser per nät'!S$1,FALSE)/VLOOKUP($B93,Korrigeringsfaktor_EI,'Korrigeringsfaktor EI'!S$1,FALSE),
"")</f>
        <v/>
      </c>
      <c r="T93" s="18" t="str">
        <f>IFERROR(
                  Andel_oberoende_av_klimat*VLOOKUP($A93,Leveranser_per_nät,'Leveranser per nät'!T$1,FALSE)
               +Andel_beroende_av_klimat*VLOOKUP($A93,Leveranser_per_nät,'Leveranser per nät'!T$1,FALSE)/VLOOKUP($B93,Korrigeringsfaktor_EI,'Korrigeringsfaktor EI'!T$1,FALSE),
"")</f>
        <v/>
      </c>
      <c r="U93" s="18" t="str">
        <f>IFERROR(
                  Andel_oberoende_av_klimat*VLOOKUP($A93,Leveranser_per_nät,'Leveranser per nät'!U$1,FALSE)
               +Andel_beroende_av_klimat*VLOOKUP($A93,Leveranser_per_nät,'Leveranser per nät'!U$1,FALSE)/VLOOKUP($B93,Korrigeringsfaktor_EI,'Korrigeringsfaktor EI'!U$1,FALSE),
"")</f>
        <v/>
      </c>
      <c r="V93" s="18" t="str">
        <f>IFERROR(
                  Andel_oberoende_av_klimat*VLOOKUP($A93,Leveranser_per_nät,'Leveranser per nät'!V$1,FALSE)
               +Andel_beroende_av_klimat*VLOOKUP($A93,Leveranser_per_nät,'Leveranser per nät'!V$1,FALSE)/VLOOKUP($B93,Korrigeringsfaktor_EI,'Korrigeringsfaktor EI'!V$1,FALSE),
"")</f>
        <v/>
      </c>
      <c r="W93" s="18">
        <f>IFERROR(
                  Andel_oberoende_av_klimat*VLOOKUP($A93,Leveranser_per_nät,'Leveranser per nät'!W$1,FALSE)
               +Andel_beroende_av_klimat*VLOOKUP($A93,Leveranser_per_nät,'Leveranser per nät'!W$1,FALSE)/VLOOKUP($B93,Korrigeringsfaktor_EI,'Korrigeringsfaktor EI'!W$1,FALSE),
"")</f>
        <v>0.35252631578947374</v>
      </c>
      <c r="X93" s="18">
        <f>IFERROR(
                  Andel_oberoende_av_klimat*VLOOKUP($A93,Leveranser_per_nät,'Leveranser per nät'!X$1,FALSE)
               +Andel_beroende_av_klimat*VLOOKUP($A93,Leveranser_per_nät,'Leveranser per nät'!X$1,FALSE)/VLOOKUP($B93,Korrigeringsfaktor_EI,'Korrigeringsfaktor EI'!X$1,FALSE),
"")</f>
        <v>0.38949462365591403</v>
      </c>
      <c r="Y93" s="18">
        <f>IFERROR(
                  Andel_oberoende_av_klimat*VLOOKUP($A93,Leveranser_per_nät,'Leveranser per nät'!Y$1,FALSE)
               +Andel_beroende_av_klimat*VLOOKUP($A93,Leveranser_per_nät,'Leveranser per nät'!Y$1,FALSE)/VLOOKUP($B93,Korrigeringsfaktor_EI,'Korrigeringsfaktor EI'!Y$1,FALSE),
"")</f>
        <v>0.40955555555555556</v>
      </c>
      <c r="Z93" s="18">
        <f>IFERROR(
                  Andel_oberoende_av_klimat*VLOOKUP($A93,Leveranser_per_nät,'Leveranser per nät'!Z$1,FALSE)
               +Andel_beroende_av_klimat*VLOOKUP($A93,Leveranser_per_nät,'Leveranser per nät'!Z$1,FALSE)/VLOOKUP($B93,Korrigeringsfaktor_EI,'Korrigeringsfaktor EI'!Z$1,FALSE),
"")</f>
        <v>0.43079310344827582</v>
      </c>
      <c r="AA93" s="18">
        <f>IFERROR(
                  Andel_oberoende_av_klimat*VLOOKUP($A93,Leveranser_per_nät,'Leveranser per nät'!AA$1,FALSE)
               +Andel_beroende_av_klimat*VLOOKUP($A93,Leveranser_per_nät,'Leveranser per nät'!AA$1,FALSE)/VLOOKUP($B93,Korrigeringsfaktor_EI,'Korrigeringsfaktor EI'!AA$1,FALSE),
"")</f>
        <v>0.44114879032258064</v>
      </c>
      <c r="AB93" s="18">
        <f>IFERROR(
                  Andel_oberoende_av_klimat*VLOOKUP($A93,Leveranser_per_nät,'Leveranser per nät'!AB$1,FALSE)
               +Andel_beroende_av_klimat*VLOOKUP($A93,Leveranser_per_nät,'Leveranser per nät'!AB$1,FALSE)/VLOOKUP($B93,Korrigeringsfaktor_EI,'Korrigeringsfaktor EI'!AB$1,FALSE),
"")</f>
        <v>0.42723779527559058</v>
      </c>
      <c r="AC93" s="18">
        <f>IFERROR(
                  Andel_oberoende_av_klimat*VLOOKUP($A93,Leveranser_per_nät,'Leveranser per nät'!AC$1,FALSE)
               +Andel_beroende_av_klimat*VLOOKUP($A93,Leveranser_per_nät,'Leveranser per nät'!AC$1,FALSE)/VLOOKUP($B93,Korrigeringsfaktor_EI,'Korrigeringsfaktor EI'!AC$1,FALSE),
"")</f>
        <v>0.38891629392971244</v>
      </c>
      <c r="AD93" t="e">
        <v>#N/A</v>
      </c>
    </row>
    <row r="94" spans="1:30" x14ac:dyDescent="0.25">
      <c r="A94" s="5" t="s">
        <v>603</v>
      </c>
      <c r="B94" t="s">
        <v>115</v>
      </c>
      <c r="C94" s="18">
        <f>IFERROR(
                  Andel_oberoende_av_klimat*VLOOKUP($A94,Leveranser_per_nät,'Leveranser per nät'!C$1,FALSE)
               +Andel_beroende_av_klimat*VLOOKUP($A94,Leveranser_per_nät,'Leveranser per nät'!C$1,FALSE)/VLOOKUP($B94,Korrigeringsfaktor_EI,'Korrigeringsfaktor EI'!C$1,FALSE),
"")</f>
        <v>0</v>
      </c>
      <c r="D94" s="18">
        <f>IFERROR(
                  Andel_oberoende_av_klimat*VLOOKUP($A94,Leveranser_per_nät,'Leveranser per nät'!D$1,FALSE)
               +Andel_beroende_av_klimat*VLOOKUP($A94,Leveranser_per_nät,'Leveranser per nät'!D$1,FALSE)/VLOOKUP($B94,Korrigeringsfaktor_EI,'Korrigeringsfaktor EI'!D$1,FALSE),
"")</f>
        <v>7.9214736842105271</v>
      </c>
      <c r="E94" s="18">
        <f>IFERROR(
                  Andel_oberoende_av_klimat*VLOOKUP($A94,Leveranser_per_nät,'Leveranser per nät'!E$1,FALSE)
               +Andel_beroende_av_klimat*VLOOKUP($A94,Leveranser_per_nät,'Leveranser per nät'!E$1,FALSE)/VLOOKUP($B94,Korrigeringsfaktor_EI,'Korrigeringsfaktor EI'!E$1,FALSE),
"")</f>
        <v>7.9445544554455445</v>
      </c>
      <c r="F94" s="18">
        <f>IFERROR(
                  Andel_oberoende_av_klimat*VLOOKUP($A94,Leveranser_per_nät,'Leveranser per nät'!F$1,FALSE)
               +Andel_beroende_av_klimat*VLOOKUP($A94,Leveranser_per_nät,'Leveranser per nät'!F$1,FALSE)/VLOOKUP($B94,Korrigeringsfaktor_EI,'Korrigeringsfaktor EI'!F$1,FALSE),
"")</f>
        <v>0</v>
      </c>
      <c r="G94" s="18">
        <f>IFERROR(
                  Andel_oberoende_av_klimat*VLOOKUP($A94,Leveranser_per_nät,'Leveranser per nät'!G$1,FALSE)
               +Andel_beroende_av_klimat*VLOOKUP($A94,Leveranser_per_nät,'Leveranser per nät'!G$1,FALSE)/VLOOKUP($B94,Korrigeringsfaktor_EI,'Korrigeringsfaktor EI'!G$1,FALSE),
"")</f>
        <v>0</v>
      </c>
      <c r="H94" s="18">
        <f>IFERROR(
                  Andel_oberoende_av_klimat*VLOOKUP($A94,Leveranser_per_nät,'Leveranser per nät'!H$1,FALSE)
               +Andel_beroende_av_klimat*VLOOKUP($A94,Leveranser_per_nät,'Leveranser per nät'!H$1,FALSE)/VLOOKUP($B94,Korrigeringsfaktor_EI,'Korrigeringsfaktor EI'!H$1,FALSE),
"")</f>
        <v>0</v>
      </c>
      <c r="I94" s="18">
        <f>IFERROR(
                  Andel_oberoende_av_klimat*VLOOKUP($A94,Leveranser_per_nät,'Leveranser per nät'!I$1,FALSE)
               +Andel_beroende_av_klimat*VLOOKUP($A94,Leveranser_per_nät,'Leveranser per nät'!I$1,FALSE)/VLOOKUP($B94,Korrigeringsfaktor_EI,'Korrigeringsfaktor EI'!I$1,FALSE),
"")</f>
        <v>0</v>
      </c>
      <c r="J94" s="18">
        <f>IFERROR(
                  Andel_oberoende_av_klimat*VLOOKUP($A94,Leveranser_per_nät,'Leveranser per nät'!J$1,FALSE)
               +Andel_beroende_av_klimat*VLOOKUP($A94,Leveranser_per_nät,'Leveranser per nät'!J$1,FALSE)/VLOOKUP($B94,Korrigeringsfaktor_EI,'Korrigeringsfaktor EI'!J$1,FALSE),
"")</f>
        <v>0</v>
      </c>
      <c r="K94" s="18">
        <f>IFERROR(
                  Andel_oberoende_av_klimat*VLOOKUP($A94,Leveranser_per_nät,'Leveranser per nät'!K$1,FALSE)
               +Andel_beroende_av_klimat*VLOOKUP($A94,Leveranser_per_nät,'Leveranser per nät'!K$1,FALSE)/VLOOKUP($B94,Korrigeringsfaktor_EI,'Korrigeringsfaktor EI'!K$1,FALSE),
"")</f>
        <v>0</v>
      </c>
      <c r="L94" s="18">
        <f>IFERROR(
                  Andel_oberoende_av_klimat*VLOOKUP($A94,Leveranser_per_nät,'Leveranser per nät'!L$1,FALSE)
               +Andel_beroende_av_klimat*VLOOKUP($A94,Leveranser_per_nät,'Leveranser per nät'!L$1,FALSE)/VLOOKUP($B94,Korrigeringsfaktor_EI,'Korrigeringsfaktor EI'!L$1,FALSE),
"")</f>
        <v>0</v>
      </c>
      <c r="M94" s="18">
        <f>IFERROR(
                  Andel_oberoende_av_klimat*VLOOKUP($A94,Leveranser_per_nät,'Leveranser per nät'!M$1,FALSE)
               +Andel_beroende_av_klimat*VLOOKUP($A94,Leveranser_per_nät,'Leveranser per nät'!M$1,FALSE)/VLOOKUP($B94,Korrigeringsfaktor_EI,'Korrigeringsfaktor EI'!M$1,FALSE),
"")</f>
        <v>0</v>
      </c>
      <c r="N94" s="18">
        <f>IFERROR(
                  Andel_oberoende_av_klimat*VLOOKUP($A94,Leveranser_per_nät,'Leveranser per nät'!N$1,FALSE)
               +Andel_beroende_av_klimat*VLOOKUP($A94,Leveranser_per_nät,'Leveranser per nät'!N$1,FALSE)/VLOOKUP($B94,Korrigeringsfaktor_EI,'Korrigeringsfaktor EI'!N$1,FALSE),
"")</f>
        <v>0</v>
      </c>
      <c r="O94" s="18">
        <f>IFERROR(
                  Andel_oberoende_av_klimat*VLOOKUP($A94,Leveranser_per_nät,'Leveranser per nät'!O$1,FALSE)
               +Andel_beroende_av_klimat*VLOOKUP($A94,Leveranser_per_nät,'Leveranser per nät'!O$1,FALSE)/VLOOKUP($B94,Korrigeringsfaktor_EI,'Korrigeringsfaktor EI'!O$1,FALSE),
"")</f>
        <v>0</v>
      </c>
      <c r="P94" s="18">
        <f>IFERROR(
                  Andel_oberoende_av_klimat*VLOOKUP($A94,Leveranser_per_nät,'Leveranser per nät'!P$1,FALSE)
               +Andel_beroende_av_klimat*VLOOKUP($A94,Leveranser_per_nät,'Leveranser per nät'!P$1,FALSE)/VLOOKUP($B94,Korrigeringsfaktor_EI,'Korrigeringsfaktor EI'!P$1,FALSE),
"")</f>
        <v>0</v>
      </c>
      <c r="Q94" s="18">
        <f>IFERROR(
                  Andel_oberoende_av_klimat*VLOOKUP($A94,Leveranser_per_nät,'Leveranser per nät'!Q$1,FALSE)
               +Andel_beroende_av_klimat*VLOOKUP($A94,Leveranser_per_nät,'Leveranser per nät'!Q$1,FALSE)/VLOOKUP($B94,Korrigeringsfaktor_EI,'Korrigeringsfaktor EI'!Q$1,FALSE),
"")</f>
        <v>11.5625</v>
      </c>
      <c r="R94" s="18">
        <f>IFERROR(
                  Andel_oberoende_av_klimat*VLOOKUP($A94,Leveranser_per_nät,'Leveranser per nät'!R$1,FALSE)
               +Andel_beroende_av_klimat*VLOOKUP($A94,Leveranser_per_nät,'Leveranser per nät'!R$1,FALSE)/VLOOKUP($B94,Korrigeringsfaktor_EI,'Korrigeringsfaktor EI'!R$1,FALSE),
"")</f>
        <v>8.4469230769230776</v>
      </c>
      <c r="S94" s="18">
        <f>IFERROR(
                  Andel_oberoende_av_klimat*VLOOKUP($A94,Leveranser_per_nät,'Leveranser per nät'!S$1,FALSE)
               +Andel_beroende_av_klimat*VLOOKUP($A94,Leveranser_per_nät,'Leveranser per nät'!S$1,FALSE)/VLOOKUP($B94,Korrigeringsfaktor_EI,'Korrigeringsfaktor EI'!S$1,FALSE),
"")</f>
        <v>3.3837575757575755</v>
      </c>
      <c r="T94" s="18">
        <f>IFERROR(
                  Andel_oberoende_av_klimat*VLOOKUP($A94,Leveranser_per_nät,'Leveranser per nät'!T$1,FALSE)
               +Andel_beroende_av_klimat*VLOOKUP($A94,Leveranser_per_nät,'Leveranser per nät'!T$1,FALSE)/VLOOKUP($B94,Korrigeringsfaktor_EI,'Korrigeringsfaktor EI'!T$1,FALSE),
"")</f>
        <v>3.3653750000000002</v>
      </c>
      <c r="U94" s="18">
        <f>IFERROR(
                  Andel_oberoende_av_klimat*VLOOKUP($A94,Leveranser_per_nät,'Leveranser per nät'!U$1,FALSE)
               +Andel_beroende_av_klimat*VLOOKUP($A94,Leveranser_per_nät,'Leveranser per nät'!U$1,FALSE)/VLOOKUP($B94,Korrigeringsfaktor_EI,'Korrigeringsfaktor EI'!U$1,FALSE),
"")</f>
        <v>3.6941573033707864</v>
      </c>
      <c r="V94" s="18">
        <f>IFERROR(
                  Andel_oberoende_av_klimat*VLOOKUP($A94,Leveranser_per_nät,'Leveranser per nät'!V$1,FALSE)
               +Andel_beroende_av_klimat*VLOOKUP($A94,Leveranser_per_nät,'Leveranser per nät'!V$1,FALSE)/VLOOKUP($B94,Korrigeringsfaktor_EI,'Korrigeringsfaktor EI'!V$1,FALSE),
"")</f>
        <v>3.3947826086956523</v>
      </c>
      <c r="W94" s="18">
        <f>IFERROR(
                  Andel_oberoende_av_klimat*VLOOKUP($A94,Leveranser_per_nät,'Leveranser per nät'!W$1,FALSE)
               +Andel_beroende_av_klimat*VLOOKUP($A94,Leveranser_per_nät,'Leveranser per nät'!W$1,FALSE)/VLOOKUP($B94,Korrigeringsfaktor_EI,'Korrigeringsfaktor EI'!W$1,FALSE),
"")</f>
        <v>3.4474468085106382</v>
      </c>
      <c r="X94" s="18">
        <f>IFERROR(
                  Andel_oberoende_av_klimat*VLOOKUP($A94,Leveranser_per_nät,'Leveranser per nät'!X$1,FALSE)
               +Andel_beroende_av_klimat*VLOOKUP($A94,Leveranser_per_nät,'Leveranser per nät'!X$1,FALSE)/VLOOKUP($B94,Korrigeringsfaktor_EI,'Korrigeringsfaktor EI'!X$1,FALSE),
"")</f>
        <v>3.3962499999999998</v>
      </c>
      <c r="Y94" s="18">
        <f>IFERROR(
                  Andel_oberoende_av_klimat*VLOOKUP($A94,Leveranser_per_nät,'Leveranser per nät'!Y$1,FALSE)
               +Andel_beroende_av_klimat*VLOOKUP($A94,Leveranser_per_nät,'Leveranser per nät'!Y$1,FALSE)/VLOOKUP($B94,Korrigeringsfaktor_EI,'Korrigeringsfaktor EI'!Y$1,FALSE),
"")</f>
        <v>3.6563829787234043</v>
      </c>
      <c r="Z94" s="18">
        <f>IFERROR(
                  Andel_oberoende_av_klimat*VLOOKUP($A94,Leveranser_per_nät,'Leveranser per nät'!Z$1,FALSE)
               +Andel_beroende_av_klimat*VLOOKUP($A94,Leveranser_per_nät,'Leveranser per nät'!Z$1,FALSE)/VLOOKUP($B94,Korrigeringsfaktor_EI,'Korrigeringsfaktor EI'!Z$1,FALSE),
"")</f>
        <v>4.4044473118279566</v>
      </c>
      <c r="AA94" s="18">
        <f>IFERROR(
                  Andel_oberoende_av_klimat*VLOOKUP($A94,Leveranser_per_nät,'Leveranser per nät'!AA$1,FALSE)
               +Andel_beroende_av_klimat*VLOOKUP($A94,Leveranser_per_nät,'Leveranser per nät'!AA$1,FALSE)/VLOOKUP($B94,Korrigeringsfaktor_EI,'Korrigeringsfaktor EI'!AA$1,FALSE),
"")</f>
        <v>4.6326930648769569</v>
      </c>
      <c r="AB94" s="18">
        <f>IFERROR(
                  Andel_oberoende_av_klimat*VLOOKUP($A94,Leveranser_per_nät,'Leveranser per nät'!AB$1,FALSE)
               +Andel_beroende_av_klimat*VLOOKUP($A94,Leveranser_per_nät,'Leveranser per nät'!AB$1,FALSE)/VLOOKUP($B94,Korrigeringsfaktor_EI,'Korrigeringsfaktor EI'!AB$1,FALSE),
"")</f>
        <v>5.3475805168986081</v>
      </c>
      <c r="AC94" s="18">
        <f>IFERROR(
                  Andel_oberoende_av_klimat*VLOOKUP($A94,Leveranser_per_nät,'Leveranser per nät'!AC$1,FALSE)
               +Andel_beroende_av_klimat*VLOOKUP($A94,Leveranser_per_nät,'Leveranser per nät'!AC$1,FALSE)/VLOOKUP($B94,Korrigeringsfaktor_EI,'Korrigeringsfaktor EI'!AC$1,FALSE),
"")</f>
        <v>4.7290208333333332</v>
      </c>
      <c r="AD94">
        <v>14.067</v>
      </c>
    </row>
    <row r="95" spans="1:30" x14ac:dyDescent="0.25">
      <c r="A95" s="4" t="s">
        <v>28</v>
      </c>
      <c r="B95" t="s">
        <v>29</v>
      </c>
      <c r="C95" s="18">
        <f>IFERROR(
                  Andel_oberoende_av_klimat*VLOOKUP($A95,Leveranser_per_nät,'Leveranser per nät'!C$1,FALSE)
               +Andel_beroende_av_klimat*VLOOKUP($A95,Leveranser_per_nät,'Leveranser per nät'!C$1,FALSE)/VLOOKUP($B95,Korrigeringsfaktor_EI,'Korrigeringsfaktor EI'!C$1,FALSE),
"")</f>
        <v>0</v>
      </c>
      <c r="D95" s="18">
        <f>IFERROR(
                  Andel_oberoende_av_klimat*VLOOKUP($A95,Leveranser_per_nät,'Leveranser per nät'!D$1,FALSE)
               +Andel_beroende_av_klimat*VLOOKUP($A95,Leveranser_per_nät,'Leveranser per nät'!D$1,FALSE)/VLOOKUP($B95,Korrigeringsfaktor_EI,'Korrigeringsfaktor EI'!D$1,FALSE),
"")</f>
        <v>0</v>
      </c>
      <c r="E95" s="18">
        <f>IFERROR(
                  Andel_oberoende_av_klimat*VLOOKUP($A95,Leveranser_per_nät,'Leveranser per nät'!E$1,FALSE)
               +Andel_beroende_av_klimat*VLOOKUP($A95,Leveranser_per_nät,'Leveranser per nät'!E$1,FALSE)/VLOOKUP($B95,Korrigeringsfaktor_EI,'Korrigeringsfaktor EI'!E$1,FALSE),
"")</f>
        <v>0</v>
      </c>
      <c r="F95" s="18">
        <f>IFERROR(
                  Andel_oberoende_av_klimat*VLOOKUP($A95,Leveranser_per_nät,'Leveranser per nät'!F$1,FALSE)
               +Andel_beroende_av_klimat*VLOOKUP($A95,Leveranser_per_nät,'Leveranser per nät'!F$1,FALSE)/VLOOKUP($B95,Korrigeringsfaktor_EI,'Korrigeringsfaktor EI'!F$1,FALSE),
"")</f>
        <v>0</v>
      </c>
      <c r="G95" s="18">
        <f>IFERROR(
                  Andel_oberoende_av_klimat*VLOOKUP($A95,Leveranser_per_nät,'Leveranser per nät'!G$1,FALSE)
               +Andel_beroende_av_klimat*VLOOKUP($A95,Leveranser_per_nät,'Leveranser per nät'!G$1,FALSE)/VLOOKUP($B95,Korrigeringsfaktor_EI,'Korrigeringsfaktor EI'!G$1,FALSE),
"")</f>
        <v>0</v>
      </c>
      <c r="H95" s="18">
        <f>IFERROR(
                  Andel_oberoende_av_klimat*VLOOKUP($A95,Leveranser_per_nät,'Leveranser per nät'!H$1,FALSE)
               +Andel_beroende_av_klimat*VLOOKUP($A95,Leveranser_per_nät,'Leveranser per nät'!H$1,FALSE)/VLOOKUP($B95,Korrigeringsfaktor_EI,'Korrigeringsfaktor EI'!H$1,FALSE),
"")</f>
        <v>0</v>
      </c>
      <c r="I95" s="18">
        <f>IFERROR(
                  Andel_oberoende_av_klimat*VLOOKUP($A95,Leveranser_per_nät,'Leveranser per nät'!I$1,FALSE)
               +Andel_beroende_av_klimat*VLOOKUP($A95,Leveranser_per_nät,'Leveranser per nät'!I$1,FALSE)/VLOOKUP($B95,Korrigeringsfaktor_EI,'Korrigeringsfaktor EI'!I$1,FALSE),
"")</f>
        <v>0</v>
      </c>
      <c r="J95" s="18">
        <f>IFERROR(
                  Andel_oberoende_av_klimat*VLOOKUP($A95,Leveranser_per_nät,'Leveranser per nät'!J$1,FALSE)
               +Andel_beroende_av_klimat*VLOOKUP($A95,Leveranser_per_nät,'Leveranser per nät'!J$1,FALSE)/VLOOKUP($B95,Korrigeringsfaktor_EI,'Korrigeringsfaktor EI'!J$1,FALSE),
"")</f>
        <v>0</v>
      </c>
      <c r="K95" s="18">
        <f>IFERROR(
                  Andel_oberoende_av_klimat*VLOOKUP($A95,Leveranser_per_nät,'Leveranser per nät'!K$1,FALSE)
               +Andel_beroende_av_klimat*VLOOKUP($A95,Leveranser_per_nät,'Leveranser per nät'!K$1,FALSE)/VLOOKUP($B95,Korrigeringsfaktor_EI,'Korrigeringsfaktor EI'!K$1,FALSE),
"")</f>
        <v>0</v>
      </c>
      <c r="L95" s="18">
        <f>IFERROR(
                  Andel_oberoende_av_klimat*VLOOKUP($A95,Leveranser_per_nät,'Leveranser per nät'!L$1,FALSE)
               +Andel_beroende_av_klimat*VLOOKUP($A95,Leveranser_per_nät,'Leveranser per nät'!L$1,FALSE)/VLOOKUP($B95,Korrigeringsfaktor_EI,'Korrigeringsfaktor EI'!L$1,FALSE),
"")</f>
        <v>0</v>
      </c>
      <c r="M95" s="18">
        <f>IFERROR(
                  Andel_oberoende_av_klimat*VLOOKUP($A95,Leveranser_per_nät,'Leveranser per nät'!M$1,FALSE)
               +Andel_beroende_av_klimat*VLOOKUP($A95,Leveranser_per_nät,'Leveranser per nät'!M$1,FALSE)/VLOOKUP($B95,Korrigeringsfaktor_EI,'Korrigeringsfaktor EI'!M$1,FALSE),
"")</f>
        <v>0</v>
      </c>
      <c r="N95" s="18">
        <f>IFERROR(
                  Andel_oberoende_av_klimat*VLOOKUP($A95,Leveranser_per_nät,'Leveranser per nät'!N$1,FALSE)
               +Andel_beroende_av_klimat*VLOOKUP($A95,Leveranser_per_nät,'Leveranser per nät'!N$1,FALSE)/VLOOKUP($B95,Korrigeringsfaktor_EI,'Korrigeringsfaktor EI'!N$1,FALSE),
"")</f>
        <v>0</v>
      </c>
      <c r="O95" s="18">
        <f>IFERROR(
                  Andel_oberoende_av_klimat*VLOOKUP($A95,Leveranser_per_nät,'Leveranser per nät'!O$1,FALSE)
               +Andel_beroende_av_klimat*VLOOKUP($A95,Leveranser_per_nät,'Leveranser per nät'!O$1,FALSE)/VLOOKUP($B95,Korrigeringsfaktor_EI,'Korrigeringsfaktor EI'!O$1,FALSE),
"")</f>
        <v>0</v>
      </c>
      <c r="P95" s="18">
        <f>IFERROR(
                  Andel_oberoende_av_klimat*VLOOKUP($A95,Leveranser_per_nät,'Leveranser per nät'!P$1,FALSE)
               +Andel_beroende_av_klimat*VLOOKUP($A95,Leveranser_per_nät,'Leveranser per nät'!P$1,FALSE)/VLOOKUP($B95,Korrigeringsfaktor_EI,'Korrigeringsfaktor EI'!P$1,FALSE),
"")</f>
        <v>0</v>
      </c>
      <c r="Q95" s="18">
        <f>IFERROR(
                  Andel_oberoende_av_klimat*VLOOKUP($A95,Leveranser_per_nät,'Leveranser per nät'!Q$1,FALSE)
               +Andel_beroende_av_klimat*VLOOKUP($A95,Leveranser_per_nät,'Leveranser per nät'!Q$1,FALSE)/VLOOKUP($B95,Korrigeringsfaktor_EI,'Korrigeringsfaktor EI'!Q$1,FALSE),
"")</f>
        <v>22.97753097345133</v>
      </c>
      <c r="R95" s="18">
        <f>IFERROR(
                  Andel_oberoende_av_klimat*VLOOKUP($A95,Leveranser_per_nät,'Leveranser per nät'!R$1,FALSE)
               +Andel_beroende_av_klimat*VLOOKUP($A95,Leveranser_per_nät,'Leveranser per nät'!R$1,FALSE)/VLOOKUP($B95,Korrigeringsfaktor_EI,'Korrigeringsfaktor EI'!R$1,FALSE),
"")</f>
        <v>22.700914893617021</v>
      </c>
      <c r="S95" s="18">
        <f>IFERROR(
                  Andel_oberoende_av_klimat*VLOOKUP($A95,Leveranser_per_nät,'Leveranser per nät'!S$1,FALSE)
               +Andel_beroende_av_klimat*VLOOKUP($A95,Leveranser_per_nät,'Leveranser per nät'!S$1,FALSE)/VLOOKUP($B95,Korrigeringsfaktor_EI,'Korrigeringsfaktor EI'!S$1,FALSE),
"")</f>
        <v>19.592233009708739</v>
      </c>
      <c r="T95" s="18">
        <f>IFERROR(
                  Andel_oberoende_av_klimat*VLOOKUP($A95,Leveranser_per_nät,'Leveranser per nät'!T$1,FALSE)
               +Andel_beroende_av_klimat*VLOOKUP($A95,Leveranser_per_nät,'Leveranser per nät'!T$1,FALSE)/VLOOKUP($B95,Korrigeringsfaktor_EI,'Korrigeringsfaktor EI'!T$1,FALSE),
"")</f>
        <v>19.848356565656566</v>
      </c>
      <c r="U95" s="18">
        <f>IFERROR(
                  Andel_oberoende_av_klimat*VLOOKUP($A95,Leveranser_per_nät,'Leveranser per nät'!U$1,FALSE)
               +Andel_beroende_av_klimat*VLOOKUP($A95,Leveranser_per_nät,'Leveranser per nät'!U$1,FALSE)/VLOOKUP($B95,Korrigeringsfaktor_EI,'Korrigeringsfaktor EI'!U$1,FALSE),
"")</f>
        <v>18.853240449438204</v>
      </c>
      <c r="V95" s="18">
        <f>IFERROR(
                  Andel_oberoende_av_klimat*VLOOKUP($A95,Leveranser_per_nät,'Leveranser per nät'!V$1,FALSE)
               +Andel_beroende_av_klimat*VLOOKUP($A95,Leveranser_per_nät,'Leveranser per nät'!V$1,FALSE)/VLOOKUP($B95,Korrigeringsfaktor_EI,'Korrigeringsfaktor EI'!V$1,FALSE),
"")</f>
        <v>19.111391489361701</v>
      </c>
      <c r="W95" s="18">
        <f>IFERROR(
                  Andel_oberoende_av_klimat*VLOOKUP($A95,Leveranser_per_nät,'Leveranser per nät'!W$1,FALSE)
               +Andel_beroende_av_klimat*VLOOKUP($A95,Leveranser_per_nät,'Leveranser per nät'!W$1,FALSE)/VLOOKUP($B95,Korrigeringsfaktor_EI,'Korrigeringsfaktor EI'!W$1,FALSE),
"")</f>
        <v>19.85371443298969</v>
      </c>
      <c r="X95" s="18">
        <f>IFERROR(
                  Andel_oberoende_av_klimat*VLOOKUP($A95,Leveranser_per_nät,'Leveranser per nät'!X$1,FALSE)
               +Andel_beroende_av_klimat*VLOOKUP($A95,Leveranser_per_nät,'Leveranser per nät'!X$1,FALSE)/VLOOKUP($B95,Korrigeringsfaktor_EI,'Korrigeringsfaktor EI'!X$1,FALSE),
"")</f>
        <v>18.708191666666668</v>
      </c>
      <c r="Y95" s="18">
        <f>IFERROR(
                  Andel_oberoende_av_klimat*VLOOKUP($A95,Leveranser_per_nät,'Leveranser per nät'!Y$1,FALSE)
               +Andel_beroende_av_klimat*VLOOKUP($A95,Leveranser_per_nät,'Leveranser per nät'!Y$1,FALSE)/VLOOKUP($B95,Korrigeringsfaktor_EI,'Korrigeringsfaktor EI'!Y$1,FALSE),
"")</f>
        <v>19.074434782608698</v>
      </c>
      <c r="Z95" s="18">
        <f>IFERROR(
                  Andel_oberoende_av_klimat*VLOOKUP($A95,Leveranser_per_nät,'Leveranser per nät'!Z$1,FALSE)
               +Andel_beroende_av_klimat*VLOOKUP($A95,Leveranser_per_nät,'Leveranser per nät'!Z$1,FALSE)/VLOOKUP($B95,Korrigeringsfaktor_EI,'Korrigeringsfaktor EI'!Z$1,FALSE),
"")</f>
        <v>0</v>
      </c>
      <c r="AA95" s="18">
        <f>IFERROR(
                  Andel_oberoende_av_klimat*VLOOKUP($A95,Leveranser_per_nät,'Leveranser per nät'!AA$1,FALSE)
               +Andel_beroende_av_klimat*VLOOKUP($A95,Leveranser_per_nät,'Leveranser per nät'!AA$1,FALSE)/VLOOKUP($B95,Korrigeringsfaktor_EI,'Korrigeringsfaktor EI'!AA$1,FALSE),
"")</f>
        <v>0</v>
      </c>
      <c r="AB95" s="18">
        <f>IFERROR(
                  Andel_oberoende_av_klimat*VLOOKUP($A95,Leveranser_per_nät,'Leveranser per nät'!AB$1,FALSE)
               +Andel_beroende_av_klimat*VLOOKUP($A95,Leveranser_per_nät,'Leveranser per nät'!AB$1,FALSE)/VLOOKUP($B95,Korrigeringsfaktor_EI,'Korrigeringsfaktor EI'!AB$1,FALSE),
"")</f>
        <v>0</v>
      </c>
      <c r="AC95" s="18">
        <f>IFERROR(
                  Andel_oberoende_av_klimat*VLOOKUP($A95,Leveranser_per_nät,'Leveranser per nät'!AC$1,FALSE)
               +Andel_beroende_av_klimat*VLOOKUP($A95,Leveranser_per_nät,'Leveranser per nät'!AC$1,FALSE)/VLOOKUP($B95,Korrigeringsfaktor_EI,'Korrigeringsfaktor EI'!AC$1,FALSE),
"")</f>
        <v>0</v>
      </c>
      <c r="AD95">
        <v>578.77</v>
      </c>
    </row>
    <row r="96" spans="1:30" x14ac:dyDescent="0.25">
      <c r="A96" t="s">
        <v>204</v>
      </c>
      <c r="B96" t="s">
        <v>203</v>
      </c>
      <c r="C96" s="18">
        <f>IFERROR(
                  Andel_oberoende_av_klimat*VLOOKUP($A96,Leveranser_per_nät,'Leveranser per nät'!C$1,FALSE)
               +Andel_beroende_av_klimat*VLOOKUP($A96,Leveranser_per_nät,'Leveranser per nät'!C$1,FALSE)/VLOOKUP($B96,Korrigeringsfaktor_EI,'Korrigeringsfaktor EI'!C$1,FALSE),
"")</f>
        <v>0</v>
      </c>
      <c r="D96" s="18">
        <f>IFERROR(
                  Andel_oberoende_av_klimat*VLOOKUP($A96,Leveranser_per_nät,'Leveranser per nät'!D$1,FALSE)
               +Andel_beroende_av_klimat*VLOOKUP($A96,Leveranser_per_nät,'Leveranser per nät'!D$1,FALSE)/VLOOKUP($B96,Korrigeringsfaktor_EI,'Korrigeringsfaktor EI'!D$1,FALSE),
"")</f>
        <v>0</v>
      </c>
      <c r="E96" s="18">
        <f>IFERROR(
                  Andel_oberoende_av_klimat*VLOOKUP($A96,Leveranser_per_nät,'Leveranser per nät'!E$1,FALSE)
               +Andel_beroende_av_klimat*VLOOKUP($A96,Leveranser_per_nät,'Leveranser per nät'!E$1,FALSE)/VLOOKUP($B96,Korrigeringsfaktor_EI,'Korrigeringsfaktor EI'!E$1,FALSE),
"")</f>
        <v>0</v>
      </c>
      <c r="F96" s="18">
        <f>IFERROR(
                  Andel_oberoende_av_klimat*VLOOKUP($A96,Leveranser_per_nät,'Leveranser per nät'!F$1,FALSE)
               +Andel_beroende_av_klimat*VLOOKUP($A96,Leveranser_per_nät,'Leveranser per nät'!F$1,FALSE)/VLOOKUP($B96,Korrigeringsfaktor_EI,'Korrigeringsfaktor EI'!F$1,FALSE),
"")</f>
        <v>0</v>
      </c>
      <c r="G96" s="18">
        <f>IFERROR(
                  Andel_oberoende_av_klimat*VLOOKUP($A96,Leveranser_per_nät,'Leveranser per nät'!G$1,FALSE)
               +Andel_beroende_av_klimat*VLOOKUP($A96,Leveranser_per_nät,'Leveranser per nät'!G$1,FALSE)/VLOOKUP($B96,Korrigeringsfaktor_EI,'Korrigeringsfaktor EI'!G$1,FALSE),
"")</f>
        <v>2.1555555555555554</v>
      </c>
      <c r="H96" s="18">
        <f>IFERROR(
                  Andel_oberoende_av_klimat*VLOOKUP($A96,Leveranser_per_nät,'Leveranser per nät'!H$1,FALSE)
               +Andel_beroende_av_klimat*VLOOKUP($A96,Leveranser_per_nät,'Leveranser per nät'!H$1,FALSE)/VLOOKUP($B96,Korrigeringsfaktor_EI,'Korrigeringsfaktor EI'!H$1,FALSE),
"")</f>
        <v>5.8776699029126203</v>
      </c>
      <c r="I96" s="18">
        <f>IFERROR(
                  Andel_oberoende_av_klimat*VLOOKUP($A96,Leveranser_per_nät,'Leveranser per nät'!I$1,FALSE)
               +Andel_beroende_av_klimat*VLOOKUP($A96,Leveranser_per_nät,'Leveranser per nät'!I$1,FALSE)/VLOOKUP($B96,Korrigeringsfaktor_EI,'Korrigeringsfaktor EI'!I$1,FALSE),
"")</f>
        <v>7.2041666666666666</v>
      </c>
      <c r="J96" s="18">
        <f>IFERROR(
                  Andel_oberoende_av_klimat*VLOOKUP($A96,Leveranser_per_nät,'Leveranser per nät'!J$1,FALSE)
               +Andel_beroende_av_klimat*VLOOKUP($A96,Leveranser_per_nät,'Leveranser per nät'!J$1,FALSE)/VLOOKUP($B96,Korrigeringsfaktor_EI,'Korrigeringsfaktor EI'!J$1,FALSE),
"")</f>
        <v>7.0494949494949495</v>
      </c>
      <c r="K96" s="18">
        <f>IFERROR(
                  Andel_oberoende_av_klimat*VLOOKUP($A96,Leveranser_per_nät,'Leveranser per nät'!K$1,FALSE)
               +Andel_beroende_av_klimat*VLOOKUP($A96,Leveranser_per_nät,'Leveranser per nät'!K$1,FALSE)/VLOOKUP($B96,Korrigeringsfaktor_EI,'Korrigeringsfaktor EI'!K$1,FALSE),
"")</f>
        <v>6.8409999999999993</v>
      </c>
      <c r="L96" s="18">
        <f>IFERROR(
                  Andel_oberoende_av_klimat*VLOOKUP($A96,Leveranser_per_nät,'Leveranser per nät'!L$1,FALSE)
               +Andel_beroende_av_klimat*VLOOKUP($A96,Leveranser_per_nät,'Leveranser per nät'!L$1,FALSE)/VLOOKUP($B96,Korrigeringsfaktor_EI,'Korrigeringsfaktor EI'!L$1,FALSE),
"")</f>
        <v>6.9387285714285714</v>
      </c>
      <c r="M96" s="18">
        <f>IFERROR(
                  Andel_oberoende_av_klimat*VLOOKUP($A96,Leveranser_per_nät,'Leveranser per nät'!M$1,FALSE)
               +Andel_beroende_av_klimat*VLOOKUP($A96,Leveranser_per_nät,'Leveranser per nät'!M$1,FALSE)/VLOOKUP($B96,Korrigeringsfaktor_EI,'Korrigeringsfaktor EI'!M$1,FALSE),
"")</f>
        <v>7.0881595744680848</v>
      </c>
      <c r="N96" s="18">
        <f>IFERROR(
                  Andel_oberoende_av_klimat*VLOOKUP($A96,Leveranser_per_nät,'Leveranser per nät'!N$1,FALSE)
               +Andel_beroende_av_klimat*VLOOKUP($A96,Leveranser_per_nät,'Leveranser per nät'!N$1,FALSE)/VLOOKUP($B96,Korrigeringsfaktor_EI,'Korrigeringsfaktor EI'!N$1,FALSE),
"")</f>
        <v>7.32</v>
      </c>
      <c r="O96" s="18">
        <f>IFERROR(
                  Andel_oberoende_av_klimat*VLOOKUP($A96,Leveranser_per_nät,'Leveranser per nät'!O$1,FALSE)
               +Andel_beroende_av_klimat*VLOOKUP($A96,Leveranser_per_nät,'Leveranser per nät'!O$1,FALSE)/VLOOKUP($B96,Korrigeringsfaktor_EI,'Korrigeringsfaktor EI'!O$1,FALSE),
"")</f>
        <v>7.1210769230769229</v>
      </c>
      <c r="P96" s="18">
        <f>IFERROR(
                  Andel_oberoende_av_klimat*VLOOKUP($A96,Leveranser_per_nät,'Leveranser per nät'!P$1,FALSE)
               +Andel_beroende_av_klimat*VLOOKUP($A96,Leveranser_per_nät,'Leveranser per nät'!P$1,FALSE)/VLOOKUP($B96,Korrigeringsfaktor_EI,'Korrigeringsfaktor EI'!P$1,FALSE),
"")</f>
        <v>7.1334736842105269</v>
      </c>
      <c r="Q96" s="18">
        <f>IFERROR(
                  Andel_oberoende_av_klimat*VLOOKUP($A96,Leveranser_per_nät,'Leveranser per nät'!Q$1,FALSE)
               +Andel_beroende_av_klimat*VLOOKUP($A96,Leveranser_per_nät,'Leveranser per nät'!Q$1,FALSE)/VLOOKUP($B96,Korrigeringsfaktor_EI,'Korrigeringsfaktor EI'!Q$1,FALSE),
"")</f>
        <v>8.0821327433628305</v>
      </c>
      <c r="R96" s="18">
        <f>IFERROR(
                  Andel_oberoende_av_klimat*VLOOKUP($A96,Leveranser_per_nät,'Leveranser per nät'!R$1,FALSE)
               +Andel_beroende_av_klimat*VLOOKUP($A96,Leveranser_per_nät,'Leveranser per nät'!R$1,FALSE)/VLOOKUP($B96,Korrigeringsfaktor_EI,'Korrigeringsfaktor EI'!R$1,FALSE),
"")</f>
        <v>7.8951612903225801</v>
      </c>
      <c r="S96" s="18">
        <f>IFERROR(
                  Andel_oberoende_av_klimat*VLOOKUP($A96,Leveranser_per_nät,'Leveranser per nät'!S$1,FALSE)
               +Andel_beroende_av_klimat*VLOOKUP($A96,Leveranser_per_nät,'Leveranser per nät'!S$1,FALSE)/VLOOKUP($B96,Korrigeringsfaktor_EI,'Korrigeringsfaktor EI'!S$1,FALSE),
"")</f>
        <v>8.3537450980392158</v>
      </c>
      <c r="T96" s="18">
        <f>IFERROR(
                  Andel_oberoende_av_klimat*VLOOKUP($A96,Leveranser_per_nät,'Leveranser per nät'!T$1,FALSE)
               +Andel_beroende_av_klimat*VLOOKUP($A96,Leveranser_per_nät,'Leveranser per nät'!T$1,FALSE)/VLOOKUP($B96,Korrigeringsfaktor_EI,'Korrigeringsfaktor EI'!T$1,FALSE),
"")</f>
        <v>8.1270606060606063</v>
      </c>
      <c r="U96" s="18">
        <f>IFERROR(
                  Andel_oberoende_av_klimat*VLOOKUP($A96,Leveranser_per_nät,'Leveranser per nät'!U$1,FALSE)
               +Andel_beroende_av_klimat*VLOOKUP($A96,Leveranser_per_nät,'Leveranser per nät'!U$1,FALSE)/VLOOKUP($B96,Korrigeringsfaktor_EI,'Korrigeringsfaktor EI'!U$1,FALSE),
"")</f>
        <v>7.8763181818181831</v>
      </c>
      <c r="V96" s="18">
        <f>IFERROR(
                  Andel_oberoende_av_klimat*VLOOKUP($A96,Leveranser_per_nät,'Leveranser per nät'!V$1,FALSE)
               +Andel_beroende_av_klimat*VLOOKUP($A96,Leveranser_per_nät,'Leveranser per nät'!V$1,FALSE)/VLOOKUP($B96,Korrigeringsfaktor_EI,'Korrigeringsfaktor EI'!V$1,FALSE),
"")</f>
        <v>8.0095652173913034</v>
      </c>
      <c r="W96" s="18">
        <f>IFERROR(
                  Andel_oberoende_av_klimat*VLOOKUP($A96,Leveranser_per_nät,'Leveranser per nät'!W$1,FALSE)
               +Andel_beroende_av_klimat*VLOOKUP($A96,Leveranser_per_nät,'Leveranser per nät'!W$1,FALSE)/VLOOKUP($B96,Korrigeringsfaktor_EI,'Korrigeringsfaktor EI'!W$1,FALSE),
"")</f>
        <v>8.2333333333333343</v>
      </c>
      <c r="X96" s="18" t="str">
        <f>IFERROR(
                  Andel_oberoende_av_klimat*VLOOKUP($A96,Leveranser_per_nät,'Leveranser per nät'!X$1,FALSE)
               +Andel_beroende_av_klimat*VLOOKUP($A96,Leveranser_per_nät,'Leveranser per nät'!X$1,FALSE)/VLOOKUP($B96,Korrigeringsfaktor_EI,'Korrigeringsfaktor EI'!X$1,FALSE),
"")</f>
        <v/>
      </c>
      <c r="Y96" s="18" t="str">
        <f>IFERROR(
                  Andel_oberoende_av_klimat*VLOOKUP($A96,Leveranser_per_nät,'Leveranser per nät'!Y$1,FALSE)
               +Andel_beroende_av_klimat*VLOOKUP($A96,Leveranser_per_nät,'Leveranser per nät'!Y$1,FALSE)/VLOOKUP($B96,Korrigeringsfaktor_EI,'Korrigeringsfaktor EI'!Y$1,FALSE),
"")</f>
        <v/>
      </c>
      <c r="Z96" s="18">
        <f>IFERROR(
                  Andel_oberoende_av_klimat*VLOOKUP($A96,Leveranser_per_nät,'Leveranser per nät'!Z$1,FALSE)
               +Andel_beroende_av_klimat*VLOOKUP($A96,Leveranser_per_nät,'Leveranser per nät'!Z$1,FALSE)/VLOOKUP($B96,Korrigeringsfaktor_EI,'Korrigeringsfaktor EI'!Z$1,FALSE),
"")</f>
        <v>0</v>
      </c>
      <c r="AA96" s="18" t="str">
        <f>IFERROR(
                  Andel_oberoende_av_klimat*VLOOKUP($A96,Leveranser_per_nät,'Leveranser per nät'!AA$1,FALSE)
               +Andel_beroende_av_klimat*VLOOKUP($A96,Leveranser_per_nät,'Leveranser per nät'!AA$1,FALSE)/VLOOKUP($B96,Korrigeringsfaktor_EI,'Korrigeringsfaktor EI'!AA$1,FALSE),
"")</f>
        <v/>
      </c>
      <c r="AB96" s="18">
        <f>IFERROR(
                  Andel_oberoende_av_klimat*VLOOKUP($A96,Leveranser_per_nät,'Leveranser per nät'!AB$1,FALSE)
               +Andel_beroende_av_klimat*VLOOKUP($A96,Leveranser_per_nät,'Leveranser per nät'!AB$1,FALSE)/VLOOKUP($B96,Korrigeringsfaktor_EI,'Korrigeringsfaktor EI'!AB$1,FALSE),
"")</f>
        <v>0</v>
      </c>
      <c r="AC96" s="18">
        <f>IFERROR(
                  Andel_oberoende_av_klimat*VLOOKUP($A96,Leveranser_per_nät,'Leveranser per nät'!AC$1,FALSE)
               +Andel_beroende_av_klimat*VLOOKUP($A96,Leveranser_per_nät,'Leveranser per nät'!AC$1,FALSE)/VLOOKUP($B96,Korrigeringsfaktor_EI,'Korrigeringsfaktor EI'!AC$1,FALSE),
"")</f>
        <v>0</v>
      </c>
      <c r="AD96" t="e">
        <v>#N/A</v>
      </c>
    </row>
    <row r="97" spans="1:30" x14ac:dyDescent="0.25">
      <c r="A97" t="s">
        <v>368</v>
      </c>
      <c r="B97" t="s">
        <v>370</v>
      </c>
      <c r="C97" s="18">
        <f>IFERROR(
                  Andel_oberoende_av_klimat*VLOOKUP($A97,Leveranser_per_nät,'Leveranser per nät'!C$1,FALSE)
               +Andel_beroende_av_klimat*VLOOKUP($A97,Leveranser_per_nät,'Leveranser per nät'!C$1,FALSE)/VLOOKUP($B97,Korrigeringsfaktor_EI,'Korrigeringsfaktor EI'!C$1,FALSE),
"")</f>
        <v>0</v>
      </c>
      <c r="D97" s="18">
        <f>IFERROR(
                  Andel_oberoende_av_klimat*VLOOKUP($A97,Leveranser_per_nät,'Leveranser per nät'!D$1,FALSE)
               +Andel_beroende_av_klimat*VLOOKUP($A97,Leveranser_per_nät,'Leveranser per nät'!D$1,FALSE)/VLOOKUP($B97,Korrigeringsfaktor_EI,'Korrigeringsfaktor EI'!D$1,FALSE),
"")</f>
        <v>0</v>
      </c>
      <c r="E97" s="18">
        <f>IFERROR(
                  Andel_oberoende_av_klimat*VLOOKUP($A97,Leveranser_per_nät,'Leveranser per nät'!E$1,FALSE)
               +Andel_beroende_av_klimat*VLOOKUP($A97,Leveranser_per_nät,'Leveranser per nät'!E$1,FALSE)/VLOOKUP($B97,Korrigeringsfaktor_EI,'Korrigeringsfaktor EI'!E$1,FALSE),
"")</f>
        <v>0</v>
      </c>
      <c r="F97" s="18">
        <f>IFERROR(
                  Andel_oberoende_av_klimat*VLOOKUP($A97,Leveranser_per_nät,'Leveranser per nät'!F$1,FALSE)
               +Andel_beroende_av_klimat*VLOOKUP($A97,Leveranser_per_nät,'Leveranser per nät'!F$1,FALSE)/VLOOKUP($B97,Korrigeringsfaktor_EI,'Korrigeringsfaktor EI'!F$1,FALSE),
"")</f>
        <v>0</v>
      </c>
      <c r="G97" s="18">
        <f>IFERROR(
                  Andel_oberoende_av_klimat*VLOOKUP($A97,Leveranser_per_nät,'Leveranser per nät'!G$1,FALSE)
               +Andel_beroende_av_klimat*VLOOKUP($A97,Leveranser_per_nät,'Leveranser per nät'!G$1,FALSE)/VLOOKUP($B97,Korrigeringsfaktor_EI,'Korrigeringsfaktor EI'!G$1,FALSE),
"")</f>
        <v>0</v>
      </c>
      <c r="H97" s="18">
        <f>IFERROR(
                  Andel_oberoende_av_klimat*VLOOKUP($A97,Leveranser_per_nät,'Leveranser per nät'!H$1,FALSE)
               +Andel_beroende_av_klimat*VLOOKUP($A97,Leveranser_per_nät,'Leveranser per nät'!H$1,FALSE)/VLOOKUP($B97,Korrigeringsfaktor_EI,'Korrigeringsfaktor EI'!H$1,FALSE),
"")</f>
        <v>0</v>
      </c>
      <c r="I97" s="18">
        <f>IFERROR(
                  Andel_oberoende_av_klimat*VLOOKUP($A97,Leveranser_per_nät,'Leveranser per nät'!I$1,FALSE)
               +Andel_beroende_av_klimat*VLOOKUP($A97,Leveranser_per_nät,'Leveranser per nät'!I$1,FALSE)/VLOOKUP($B97,Korrigeringsfaktor_EI,'Korrigeringsfaktor EI'!I$1,FALSE),
"")</f>
        <v>0</v>
      </c>
      <c r="J97" s="18">
        <f>IFERROR(
                  Andel_oberoende_av_klimat*VLOOKUP($A97,Leveranser_per_nät,'Leveranser per nät'!J$1,FALSE)
               +Andel_beroende_av_klimat*VLOOKUP($A97,Leveranser_per_nät,'Leveranser per nät'!J$1,FALSE)/VLOOKUP($B97,Korrigeringsfaktor_EI,'Korrigeringsfaktor EI'!J$1,FALSE),
"")</f>
        <v>0</v>
      </c>
      <c r="K97" s="18">
        <f>IFERROR(
                  Andel_oberoende_av_klimat*VLOOKUP($A97,Leveranser_per_nät,'Leveranser per nät'!K$1,FALSE)
               +Andel_beroende_av_klimat*VLOOKUP($A97,Leveranser_per_nät,'Leveranser per nät'!K$1,FALSE)/VLOOKUP($B97,Korrigeringsfaktor_EI,'Korrigeringsfaktor EI'!K$1,FALSE),
"")</f>
        <v>7.3348708333333335</v>
      </c>
      <c r="L97" s="18">
        <f>IFERROR(
                  Andel_oberoende_av_klimat*VLOOKUP($A97,Leveranser_per_nät,'Leveranser per nät'!L$1,FALSE)
               +Andel_beroende_av_klimat*VLOOKUP($A97,Leveranser_per_nät,'Leveranser per nät'!L$1,FALSE)/VLOOKUP($B97,Korrigeringsfaktor_EI,'Korrigeringsfaktor EI'!L$1,FALSE),
"")</f>
        <v>7.6136340425531923</v>
      </c>
      <c r="M97" s="18">
        <f>IFERROR(
                  Andel_oberoende_av_klimat*VLOOKUP($A97,Leveranser_per_nät,'Leveranser per nät'!M$1,FALSE)
               +Andel_beroende_av_klimat*VLOOKUP($A97,Leveranser_per_nät,'Leveranser per nät'!M$1,FALSE)/VLOOKUP($B97,Korrigeringsfaktor_EI,'Korrigeringsfaktor EI'!M$1,FALSE),
"")</f>
        <v>7.4846153846153847</v>
      </c>
      <c r="N97" s="18">
        <f>IFERROR(
                  Andel_oberoende_av_klimat*VLOOKUP($A97,Leveranser_per_nät,'Leveranser per nät'!N$1,FALSE)
               +Andel_beroende_av_klimat*VLOOKUP($A97,Leveranser_per_nät,'Leveranser per nät'!N$1,FALSE)/VLOOKUP($B97,Korrigeringsfaktor_EI,'Korrigeringsfaktor EI'!N$1,FALSE),
"")</f>
        <v>7.8343789473684211</v>
      </c>
      <c r="O97" s="18">
        <f>IFERROR(
                  Andel_oberoende_av_klimat*VLOOKUP($A97,Leveranser_per_nät,'Leveranser per nät'!O$1,FALSE)
               +Andel_beroende_av_klimat*VLOOKUP($A97,Leveranser_per_nät,'Leveranser per nät'!O$1,FALSE)/VLOOKUP($B97,Korrigeringsfaktor_EI,'Korrigeringsfaktor EI'!O$1,FALSE),
"")</f>
        <v>7.7732052631578945</v>
      </c>
      <c r="P97" s="18">
        <f>IFERROR(
                  Andel_oberoende_av_klimat*VLOOKUP($A97,Leveranser_per_nät,'Leveranser per nät'!P$1,FALSE)
               +Andel_beroende_av_klimat*VLOOKUP($A97,Leveranser_per_nät,'Leveranser per nät'!P$1,FALSE)/VLOOKUP($B97,Korrigeringsfaktor_EI,'Korrigeringsfaktor EI'!P$1,FALSE),
"")</f>
        <v>7.944</v>
      </c>
      <c r="Q97" s="18">
        <f>IFERROR(
                  Andel_oberoende_av_klimat*VLOOKUP($A97,Leveranser_per_nät,'Leveranser per nät'!Q$1,FALSE)
               +Andel_beroende_av_klimat*VLOOKUP($A97,Leveranser_per_nät,'Leveranser per nät'!Q$1,FALSE)/VLOOKUP($B97,Korrigeringsfaktor_EI,'Korrigeringsfaktor EI'!Q$1,FALSE),
"")</f>
        <v>7.6229249999999986</v>
      </c>
      <c r="R97" s="18">
        <f>IFERROR(
                  Andel_oberoende_av_klimat*VLOOKUP($A97,Leveranser_per_nät,'Leveranser per nät'!R$1,FALSE)
               +Andel_beroende_av_klimat*VLOOKUP($A97,Leveranser_per_nät,'Leveranser per nät'!R$1,FALSE)/VLOOKUP($B97,Korrigeringsfaktor_EI,'Korrigeringsfaktor EI'!R$1,FALSE),
"")</f>
        <v>7.638260869565217</v>
      </c>
      <c r="S97" s="18">
        <f>IFERROR(
                  Andel_oberoende_av_klimat*VLOOKUP($A97,Leveranser_per_nät,'Leveranser per nät'!S$1,FALSE)
               +Andel_beroende_av_klimat*VLOOKUP($A97,Leveranser_per_nät,'Leveranser per nät'!S$1,FALSE)/VLOOKUP($B97,Korrigeringsfaktor_EI,'Korrigeringsfaktor EI'!S$1,FALSE),
"")</f>
        <v>7.6</v>
      </c>
      <c r="T97" s="18">
        <f>IFERROR(
                  Andel_oberoende_av_klimat*VLOOKUP($A97,Leveranser_per_nät,'Leveranser per nät'!T$1,FALSE)
               +Andel_beroende_av_klimat*VLOOKUP($A97,Leveranser_per_nät,'Leveranser per nät'!T$1,FALSE)/VLOOKUP($B97,Korrigeringsfaktor_EI,'Korrigeringsfaktor EI'!T$1,FALSE),
"")</f>
        <v>7.3070833333333329</v>
      </c>
      <c r="U97" s="18">
        <f>IFERROR(
                  Andel_oberoende_av_klimat*VLOOKUP($A97,Leveranser_per_nät,'Leveranser per nät'!U$1,FALSE)
               +Andel_beroende_av_klimat*VLOOKUP($A97,Leveranser_per_nät,'Leveranser per nät'!U$1,FALSE)/VLOOKUP($B97,Korrigeringsfaktor_EI,'Korrigeringsfaktor EI'!U$1,FALSE),
"")</f>
        <v>7.3288888888888888</v>
      </c>
      <c r="V97" s="18">
        <f>IFERROR(
                  Andel_oberoende_av_klimat*VLOOKUP($A97,Leveranser_per_nät,'Leveranser per nät'!V$1,FALSE)
               +Andel_beroende_av_klimat*VLOOKUP($A97,Leveranser_per_nät,'Leveranser per nät'!V$1,FALSE)/VLOOKUP($B97,Korrigeringsfaktor_EI,'Korrigeringsfaktor EI'!V$1,FALSE),
"")</f>
        <v>6.8948936170212765</v>
      </c>
      <c r="W97" s="18">
        <f>IFERROR(
                  Andel_oberoende_av_klimat*VLOOKUP($A97,Leveranser_per_nät,'Leveranser per nät'!W$1,FALSE)
               +Andel_beroende_av_klimat*VLOOKUP($A97,Leveranser_per_nät,'Leveranser per nät'!W$1,FALSE)/VLOOKUP($B97,Korrigeringsfaktor_EI,'Korrigeringsfaktor EI'!W$1,FALSE),
"")</f>
        <v>7.1012500000000003</v>
      </c>
      <c r="X97" s="18">
        <f>IFERROR(
                  Andel_oberoende_av_klimat*VLOOKUP($A97,Leveranser_per_nät,'Leveranser per nät'!X$1,FALSE)
               +Andel_beroende_av_klimat*VLOOKUP($A97,Leveranser_per_nät,'Leveranser per nät'!X$1,FALSE)/VLOOKUP($B97,Korrigeringsfaktor_EI,'Korrigeringsfaktor EI'!X$1,FALSE),
"")</f>
        <v>6.9472164948453612</v>
      </c>
      <c r="Y97" s="18">
        <f>IFERROR(
                  Andel_oberoende_av_klimat*VLOOKUP($A97,Leveranser_per_nät,'Leveranser per nät'!Y$1,FALSE)
               +Andel_beroende_av_klimat*VLOOKUP($A97,Leveranser_per_nät,'Leveranser per nät'!Y$1,FALSE)/VLOOKUP($B97,Korrigeringsfaktor_EI,'Korrigeringsfaktor EI'!Y$1,FALSE),
"")</f>
        <v>6.8954166666666659</v>
      </c>
      <c r="Z97" s="18">
        <f>IFERROR(
                  Andel_oberoende_av_klimat*VLOOKUP($A97,Leveranser_per_nät,'Leveranser per nät'!Z$1,FALSE)
               +Andel_beroende_av_klimat*VLOOKUP($A97,Leveranser_per_nät,'Leveranser per nät'!Z$1,FALSE)/VLOOKUP($B97,Korrigeringsfaktor_EI,'Korrigeringsfaktor EI'!Z$1,FALSE),
"")</f>
        <v>6.6357894736842109</v>
      </c>
      <c r="AA97" s="18">
        <f>IFERROR(
                  Andel_oberoende_av_klimat*VLOOKUP($A97,Leveranser_per_nät,'Leveranser per nät'!AA$1,FALSE)
               +Andel_beroende_av_klimat*VLOOKUP($A97,Leveranser_per_nät,'Leveranser per nät'!AA$1,FALSE)/VLOOKUP($B97,Korrigeringsfaktor_EI,'Korrigeringsfaktor EI'!AA$1,FALSE),
"")</f>
        <v>6.3232453274760383</v>
      </c>
      <c r="AB97" s="18">
        <f>IFERROR(
                  Andel_oberoende_av_klimat*VLOOKUP($A97,Leveranser_per_nät,'Leveranser per nät'!AB$1,FALSE)
               +Andel_beroende_av_klimat*VLOOKUP($A97,Leveranser_per_nät,'Leveranser per nät'!AB$1,FALSE)/VLOOKUP($B97,Korrigeringsfaktor_EI,'Korrigeringsfaktor EI'!AB$1,FALSE),
"")</f>
        <v>7.4400692913385829</v>
      </c>
      <c r="AC97" s="18">
        <f>IFERROR(
                  Andel_oberoende_av_klimat*VLOOKUP($A97,Leveranser_per_nät,'Leveranser per nät'!AC$1,FALSE)
               +Andel_beroende_av_klimat*VLOOKUP($A97,Leveranser_per_nät,'Leveranser per nät'!AC$1,FALSE)/VLOOKUP($B97,Korrigeringsfaktor_EI,'Korrigeringsfaktor EI'!AC$1,FALSE),
"")</f>
        <v>8.0300627858627855</v>
      </c>
      <c r="AD97">
        <v>21.763000000000002</v>
      </c>
    </row>
    <row r="98" spans="1:30" x14ac:dyDescent="0.25">
      <c r="A98" t="s">
        <v>351</v>
      </c>
      <c r="B98" t="s">
        <v>350</v>
      </c>
      <c r="C98" s="18">
        <f>IFERROR(
                  Andel_oberoende_av_klimat*VLOOKUP($A98,Leveranser_per_nät,'Leveranser per nät'!C$1,FALSE)
               +Andel_beroende_av_klimat*VLOOKUP($A98,Leveranser_per_nät,'Leveranser per nät'!C$1,FALSE)/VLOOKUP($B98,Korrigeringsfaktor_EI,'Korrigeringsfaktor EI'!C$1,FALSE),
"")</f>
        <v>0</v>
      </c>
      <c r="D98" s="18">
        <f>IFERROR(
                  Andel_oberoende_av_klimat*VLOOKUP($A98,Leveranser_per_nät,'Leveranser per nät'!D$1,FALSE)
               +Andel_beroende_av_klimat*VLOOKUP($A98,Leveranser_per_nät,'Leveranser per nät'!D$1,FALSE)/VLOOKUP($B98,Korrigeringsfaktor_EI,'Korrigeringsfaktor EI'!D$1,FALSE),
"")</f>
        <v>0</v>
      </c>
      <c r="E98" s="18">
        <f>IFERROR(
                  Andel_oberoende_av_klimat*VLOOKUP($A98,Leveranser_per_nät,'Leveranser per nät'!E$1,FALSE)
               +Andel_beroende_av_klimat*VLOOKUP($A98,Leveranser_per_nät,'Leveranser per nät'!E$1,FALSE)/VLOOKUP($B98,Korrigeringsfaktor_EI,'Korrigeringsfaktor EI'!E$1,FALSE),
"")</f>
        <v>0</v>
      </c>
      <c r="F98" s="18">
        <f>IFERROR(
                  Andel_oberoende_av_klimat*VLOOKUP($A98,Leveranser_per_nät,'Leveranser per nät'!F$1,FALSE)
               +Andel_beroende_av_klimat*VLOOKUP($A98,Leveranser_per_nät,'Leveranser per nät'!F$1,FALSE)/VLOOKUP($B98,Korrigeringsfaktor_EI,'Korrigeringsfaktor EI'!F$1,FALSE),
"")</f>
        <v>0</v>
      </c>
      <c r="G98" s="18">
        <f>IFERROR(
                  Andel_oberoende_av_klimat*VLOOKUP($A98,Leveranser_per_nät,'Leveranser per nät'!G$1,FALSE)
               +Andel_beroende_av_klimat*VLOOKUP($A98,Leveranser_per_nät,'Leveranser per nät'!G$1,FALSE)/VLOOKUP($B98,Korrigeringsfaktor_EI,'Korrigeringsfaktor EI'!G$1,FALSE),
"")</f>
        <v>0</v>
      </c>
      <c r="H98" s="18">
        <f>IFERROR(
                  Andel_oberoende_av_klimat*VLOOKUP($A98,Leveranser_per_nät,'Leveranser per nät'!H$1,FALSE)
               +Andel_beroende_av_klimat*VLOOKUP($A98,Leveranser_per_nät,'Leveranser per nät'!H$1,FALSE)/VLOOKUP($B98,Korrigeringsfaktor_EI,'Korrigeringsfaktor EI'!H$1,FALSE),
"")</f>
        <v>0</v>
      </c>
      <c r="I98" s="18">
        <f>IFERROR(
                  Andel_oberoende_av_klimat*VLOOKUP($A98,Leveranser_per_nät,'Leveranser per nät'!I$1,FALSE)
               +Andel_beroende_av_klimat*VLOOKUP($A98,Leveranser_per_nät,'Leveranser per nät'!I$1,FALSE)/VLOOKUP($B98,Korrigeringsfaktor_EI,'Korrigeringsfaktor EI'!I$1,FALSE),
"")</f>
        <v>0</v>
      </c>
      <c r="J98" s="18">
        <f>IFERROR(
                  Andel_oberoende_av_klimat*VLOOKUP($A98,Leveranser_per_nät,'Leveranser per nät'!J$1,FALSE)
               +Andel_beroende_av_klimat*VLOOKUP($A98,Leveranser_per_nät,'Leveranser per nät'!J$1,FALSE)/VLOOKUP($B98,Korrigeringsfaktor_EI,'Korrigeringsfaktor EI'!J$1,FALSE),
"")</f>
        <v>0</v>
      </c>
      <c r="K98" s="18">
        <f>IFERROR(
                  Andel_oberoende_av_klimat*VLOOKUP($A98,Leveranser_per_nät,'Leveranser per nät'!K$1,FALSE)
               +Andel_beroende_av_klimat*VLOOKUP($A98,Leveranser_per_nät,'Leveranser per nät'!K$1,FALSE)/VLOOKUP($B98,Korrigeringsfaktor_EI,'Korrigeringsfaktor EI'!K$1,FALSE),
"")</f>
        <v>0</v>
      </c>
      <c r="L98" s="18">
        <f>IFERROR(
                  Andel_oberoende_av_klimat*VLOOKUP($A98,Leveranser_per_nät,'Leveranser per nät'!L$1,FALSE)
               +Andel_beroende_av_klimat*VLOOKUP($A98,Leveranser_per_nät,'Leveranser per nät'!L$1,FALSE)/VLOOKUP($B98,Korrigeringsfaktor_EI,'Korrigeringsfaktor EI'!L$1,FALSE),
"")</f>
        <v>0</v>
      </c>
      <c r="M98" s="18">
        <f>IFERROR(
                  Andel_oberoende_av_klimat*VLOOKUP($A98,Leveranser_per_nät,'Leveranser per nät'!M$1,FALSE)
               +Andel_beroende_av_klimat*VLOOKUP($A98,Leveranser_per_nät,'Leveranser per nät'!M$1,FALSE)/VLOOKUP($B98,Korrigeringsfaktor_EI,'Korrigeringsfaktor EI'!M$1,FALSE),
"")</f>
        <v>0</v>
      </c>
      <c r="N98" s="18">
        <f>IFERROR(
                  Andel_oberoende_av_klimat*VLOOKUP($A98,Leveranser_per_nät,'Leveranser per nät'!N$1,FALSE)
               +Andel_beroende_av_klimat*VLOOKUP($A98,Leveranser_per_nät,'Leveranser per nät'!N$1,FALSE)/VLOOKUP($B98,Korrigeringsfaktor_EI,'Korrigeringsfaktor EI'!N$1,FALSE),
"")</f>
        <v>0</v>
      </c>
      <c r="O98" s="18">
        <f>IFERROR(
                  Andel_oberoende_av_klimat*VLOOKUP($A98,Leveranser_per_nät,'Leveranser per nät'!O$1,FALSE)
               +Andel_beroende_av_klimat*VLOOKUP($A98,Leveranser_per_nät,'Leveranser per nät'!O$1,FALSE)/VLOOKUP($B98,Korrigeringsfaktor_EI,'Korrigeringsfaktor EI'!O$1,FALSE),
"")</f>
        <v>4.6318279569892473</v>
      </c>
      <c r="P98" s="18">
        <f>IFERROR(
                  Andel_oberoende_av_klimat*VLOOKUP($A98,Leveranser_per_nät,'Leveranser per nät'!P$1,FALSE)
               +Andel_beroende_av_klimat*VLOOKUP($A98,Leveranser_per_nät,'Leveranser per nät'!P$1,FALSE)/VLOOKUP($B98,Korrigeringsfaktor_EI,'Korrigeringsfaktor EI'!P$1,FALSE),
"")</f>
        <v>5.1728571428571426</v>
      </c>
      <c r="Q98" s="18">
        <f>IFERROR(
                  Andel_oberoende_av_klimat*VLOOKUP($A98,Leveranser_per_nät,'Leveranser per nät'!Q$1,FALSE)
               +Andel_beroende_av_klimat*VLOOKUP($A98,Leveranser_per_nät,'Leveranser per nät'!Q$1,FALSE)/VLOOKUP($B98,Korrigeringsfaktor_EI,'Korrigeringsfaktor EI'!Q$1,FALSE),
"")</f>
        <v>4.1100265486725664</v>
      </c>
      <c r="R98" s="18">
        <f>IFERROR(
                  Andel_oberoende_av_klimat*VLOOKUP($A98,Leveranser_per_nät,'Leveranser per nät'!R$1,FALSE)
               +Andel_beroende_av_klimat*VLOOKUP($A98,Leveranser_per_nät,'Leveranser per nät'!R$1,FALSE)/VLOOKUP($B98,Korrigeringsfaktor_EI,'Korrigeringsfaktor EI'!R$1,FALSE),
"")</f>
        <v>4.3813913043478259</v>
      </c>
      <c r="S98" s="18">
        <f>IFERROR(
                  Andel_oberoende_av_klimat*VLOOKUP($A98,Leveranser_per_nät,'Leveranser per nät'!S$1,FALSE)
               +Andel_beroende_av_klimat*VLOOKUP($A98,Leveranser_per_nät,'Leveranser per nät'!S$1,FALSE)/VLOOKUP($B98,Korrigeringsfaktor_EI,'Korrigeringsfaktor EI'!S$1,FALSE),
"")</f>
        <v>4.1535533980582526</v>
      </c>
      <c r="T98" s="18">
        <f>IFERROR(
                  Andel_oberoende_av_klimat*VLOOKUP($A98,Leveranser_per_nät,'Leveranser per nät'!T$1,FALSE)
               +Andel_beroende_av_klimat*VLOOKUP($A98,Leveranser_per_nät,'Leveranser per nät'!T$1,FALSE)/VLOOKUP($B98,Korrigeringsfaktor_EI,'Korrigeringsfaktor EI'!T$1,FALSE),
"")</f>
        <v>4.2720000000000002</v>
      </c>
      <c r="U98" s="18">
        <f>IFERROR(
                  Andel_oberoende_av_klimat*VLOOKUP($A98,Leveranser_per_nät,'Leveranser per nät'!U$1,FALSE)
               +Andel_beroende_av_klimat*VLOOKUP($A98,Leveranser_per_nät,'Leveranser per nät'!U$1,FALSE)/VLOOKUP($B98,Korrigeringsfaktor_EI,'Korrigeringsfaktor EI'!U$1,FALSE),
"")</f>
        <v>4.7411444444444442</v>
      </c>
      <c r="V98" s="18">
        <f>IFERROR(
                  Andel_oberoende_av_klimat*VLOOKUP($A98,Leveranser_per_nät,'Leveranser per nät'!V$1,FALSE)
               +Andel_beroende_av_klimat*VLOOKUP($A98,Leveranser_per_nät,'Leveranser per nät'!V$1,FALSE)/VLOOKUP($B98,Korrigeringsfaktor_EI,'Korrigeringsfaktor EI'!V$1,FALSE),
"")</f>
        <v>5.2392307692307698</v>
      </c>
      <c r="W98" s="18">
        <f>IFERROR(
                  Andel_oberoende_av_klimat*VLOOKUP($A98,Leveranser_per_nät,'Leveranser per nät'!W$1,FALSE)
               +Andel_beroende_av_klimat*VLOOKUP($A98,Leveranser_per_nät,'Leveranser per nät'!W$1,FALSE)/VLOOKUP($B98,Korrigeringsfaktor_EI,'Korrigeringsfaktor EI'!W$1,FALSE),
"")</f>
        <v>5.2339789473684206</v>
      </c>
      <c r="X98" s="18">
        <f>IFERROR(
                  Andel_oberoende_av_klimat*VLOOKUP($A98,Leveranser_per_nät,'Leveranser per nät'!X$1,FALSE)
               +Andel_beroende_av_klimat*VLOOKUP($A98,Leveranser_per_nät,'Leveranser per nät'!X$1,FALSE)/VLOOKUP($B98,Korrigeringsfaktor_EI,'Korrigeringsfaktor EI'!X$1,FALSE),
"")</f>
        <v>4.9528319148936175</v>
      </c>
      <c r="Y98" s="18">
        <f>IFERROR(
                  Andel_oberoende_av_klimat*VLOOKUP($A98,Leveranser_per_nät,'Leveranser per nät'!Y$1,FALSE)
               +Andel_beroende_av_klimat*VLOOKUP($A98,Leveranser_per_nät,'Leveranser per nät'!Y$1,FALSE)/VLOOKUP($B98,Korrigeringsfaktor_EI,'Korrigeringsfaktor EI'!Y$1,FALSE),
"")</f>
        <v>4.8361307692307687</v>
      </c>
      <c r="Z98" s="18">
        <f>IFERROR(
                  Andel_oberoende_av_klimat*VLOOKUP($A98,Leveranser_per_nät,'Leveranser per nät'!Z$1,FALSE)
               +Andel_beroende_av_klimat*VLOOKUP($A98,Leveranser_per_nät,'Leveranser per nät'!Z$1,FALSE)/VLOOKUP($B98,Korrigeringsfaktor_EI,'Korrigeringsfaktor EI'!Z$1,FALSE),
"")</f>
        <v>3.813674157303371</v>
      </c>
      <c r="AA98" s="18">
        <f>IFERROR(
                  Andel_oberoende_av_klimat*VLOOKUP($A98,Leveranser_per_nät,'Leveranser per nät'!AA$1,FALSE)
               +Andel_beroende_av_klimat*VLOOKUP($A98,Leveranser_per_nät,'Leveranser per nät'!AA$1,FALSE)/VLOOKUP($B98,Korrigeringsfaktor_EI,'Korrigeringsfaktor EI'!AA$1,FALSE),
"")</f>
        <v>3.5255014554114843</v>
      </c>
      <c r="AB98" s="18">
        <f>IFERROR(
                  Andel_oberoende_av_klimat*VLOOKUP($A98,Leveranser_per_nät,'Leveranser per nät'!AB$1,FALSE)
               +Andel_beroende_av_klimat*VLOOKUP($A98,Leveranser_per_nät,'Leveranser per nät'!AB$1,FALSE)/VLOOKUP($B98,Korrigeringsfaktor_EI,'Korrigeringsfaktor EI'!AB$1,FALSE),
"")</f>
        <v>3.4330405940594058</v>
      </c>
      <c r="AC98" s="18">
        <f>IFERROR(
                  Andel_oberoende_av_klimat*VLOOKUP($A98,Leveranser_per_nät,'Leveranser per nät'!AC$1,FALSE)
               +Andel_beroende_av_klimat*VLOOKUP($A98,Leveranser_per_nät,'Leveranser per nät'!AC$1,FALSE)/VLOOKUP($B98,Korrigeringsfaktor_EI,'Korrigeringsfaktor EI'!AC$1,FALSE),
"")</f>
        <v>3.2423865671641794</v>
      </c>
      <c r="AD98">
        <v>99.975999999999999</v>
      </c>
    </row>
    <row r="99" spans="1:30" x14ac:dyDescent="0.25">
      <c r="A99" t="s">
        <v>191</v>
      </c>
      <c r="B99" t="s">
        <v>190</v>
      </c>
      <c r="C99" s="18">
        <f>IFERROR(
                  Andel_oberoende_av_klimat*VLOOKUP($A99,Leveranser_per_nät,'Leveranser per nät'!C$1,FALSE)
               +Andel_beroende_av_klimat*VLOOKUP($A99,Leveranser_per_nät,'Leveranser per nät'!C$1,FALSE)/VLOOKUP($B99,Korrigeringsfaktor_EI,'Korrigeringsfaktor EI'!C$1,FALSE),
"")</f>
        <v>0</v>
      </c>
      <c r="D99" s="18">
        <f>IFERROR(
                  Andel_oberoende_av_klimat*VLOOKUP($A99,Leveranser_per_nät,'Leveranser per nät'!D$1,FALSE)
               +Andel_beroende_av_klimat*VLOOKUP($A99,Leveranser_per_nät,'Leveranser per nät'!D$1,FALSE)/VLOOKUP($B99,Korrigeringsfaktor_EI,'Korrigeringsfaktor EI'!D$1,FALSE),
"")</f>
        <v>0</v>
      </c>
      <c r="E99" s="18">
        <f>IFERROR(
                  Andel_oberoende_av_klimat*VLOOKUP($A99,Leveranser_per_nät,'Leveranser per nät'!E$1,FALSE)
               +Andel_beroende_av_klimat*VLOOKUP($A99,Leveranser_per_nät,'Leveranser per nät'!E$1,FALSE)/VLOOKUP($B99,Korrigeringsfaktor_EI,'Korrigeringsfaktor EI'!E$1,FALSE),
"")</f>
        <v>0</v>
      </c>
      <c r="F99" s="18">
        <f>IFERROR(
                  Andel_oberoende_av_klimat*VLOOKUP($A99,Leveranser_per_nät,'Leveranser per nät'!F$1,FALSE)
               +Andel_beroende_av_klimat*VLOOKUP($A99,Leveranser_per_nät,'Leveranser per nät'!F$1,FALSE)/VLOOKUP($B99,Korrigeringsfaktor_EI,'Korrigeringsfaktor EI'!F$1,FALSE),
"")</f>
        <v>0</v>
      </c>
      <c r="G99" s="18">
        <f>IFERROR(
                  Andel_oberoende_av_klimat*VLOOKUP($A99,Leveranser_per_nät,'Leveranser per nät'!G$1,FALSE)
               +Andel_beroende_av_klimat*VLOOKUP($A99,Leveranser_per_nät,'Leveranser per nät'!G$1,FALSE)/VLOOKUP($B99,Korrigeringsfaktor_EI,'Korrigeringsfaktor EI'!G$1,FALSE),
"")</f>
        <v>2.1730337078651685</v>
      </c>
      <c r="H99" s="18">
        <f>IFERROR(
                  Andel_oberoende_av_klimat*VLOOKUP($A99,Leveranser_per_nät,'Leveranser per nät'!H$1,FALSE)
               +Andel_beroende_av_klimat*VLOOKUP($A99,Leveranser_per_nät,'Leveranser per nät'!H$1,FALSE)/VLOOKUP($B99,Korrigeringsfaktor_EI,'Korrigeringsfaktor EI'!H$1,FALSE),
"")</f>
        <v>13</v>
      </c>
      <c r="I99" s="18">
        <f>IFERROR(
                  Andel_oberoende_av_klimat*VLOOKUP($A99,Leveranser_per_nät,'Leveranser per nät'!I$1,FALSE)
               +Andel_beroende_av_klimat*VLOOKUP($A99,Leveranser_per_nät,'Leveranser per nät'!I$1,FALSE)/VLOOKUP($B99,Korrigeringsfaktor_EI,'Korrigeringsfaktor EI'!I$1,FALSE),
"")</f>
        <v>13.281443298969073</v>
      </c>
      <c r="J99" s="18">
        <f>IFERROR(
                  Andel_oberoende_av_klimat*VLOOKUP($A99,Leveranser_per_nät,'Leveranser per nät'!J$1,FALSE)
               +Andel_beroende_av_klimat*VLOOKUP($A99,Leveranser_per_nät,'Leveranser per nät'!J$1,FALSE)/VLOOKUP($B99,Korrigeringsfaktor_EI,'Korrigeringsfaktor EI'!J$1,FALSE),
"")</f>
        <v>14.098989898989899</v>
      </c>
      <c r="K99" s="18">
        <f>IFERROR(
                  Andel_oberoende_av_klimat*VLOOKUP($A99,Leveranser_per_nät,'Leveranser per nät'!K$1,FALSE)
               +Andel_beroende_av_klimat*VLOOKUP($A99,Leveranser_per_nät,'Leveranser per nät'!K$1,FALSE)/VLOOKUP($B99,Korrigeringsfaktor_EI,'Korrigeringsfaktor EI'!K$1,FALSE),
"")</f>
        <v>20.197471428571429</v>
      </c>
      <c r="L99" s="18">
        <f>IFERROR(
                  Andel_oberoende_av_klimat*VLOOKUP($A99,Leveranser_per_nät,'Leveranser per nät'!L$1,FALSE)
               +Andel_beroende_av_klimat*VLOOKUP($A99,Leveranser_per_nät,'Leveranser per nät'!L$1,FALSE)/VLOOKUP($B99,Korrigeringsfaktor_EI,'Korrigeringsfaktor EI'!L$1,FALSE),
"")</f>
        <v>13.809700000000001</v>
      </c>
      <c r="M99" s="18">
        <f>IFERROR(
                  Andel_oberoende_av_klimat*VLOOKUP($A99,Leveranser_per_nät,'Leveranser per nät'!M$1,FALSE)
               +Andel_beroende_av_klimat*VLOOKUP($A99,Leveranser_per_nät,'Leveranser per nät'!M$1,FALSE)/VLOOKUP($B99,Korrigeringsfaktor_EI,'Korrigeringsfaktor EI'!M$1,FALSE),
"")</f>
        <v>13.818637634408603</v>
      </c>
      <c r="N99" s="18">
        <f>IFERROR(
                  Andel_oberoende_av_klimat*VLOOKUP($A99,Leveranser_per_nät,'Leveranser per nät'!N$1,FALSE)
               +Andel_beroende_av_klimat*VLOOKUP($A99,Leveranser_per_nät,'Leveranser per nät'!N$1,FALSE)/VLOOKUP($B99,Korrigeringsfaktor_EI,'Korrigeringsfaktor EI'!N$1,FALSE),
"")</f>
        <v>13.516080851063832</v>
      </c>
      <c r="O99" s="18">
        <f>IFERROR(
                  Andel_oberoende_av_klimat*VLOOKUP($A99,Leveranser_per_nät,'Leveranser per nät'!O$1,FALSE)
               +Andel_beroende_av_klimat*VLOOKUP($A99,Leveranser_per_nät,'Leveranser per nät'!O$1,FALSE)/VLOOKUP($B99,Korrigeringsfaktor_EI,'Korrigeringsfaktor EI'!O$1,FALSE),
"")</f>
        <v>13.422121739130434</v>
      </c>
      <c r="P99" s="18">
        <f>IFERROR(
                  Andel_oberoende_av_klimat*VLOOKUP($A99,Leveranser_per_nät,'Leveranser per nät'!P$1,FALSE)
               +Andel_beroende_av_klimat*VLOOKUP($A99,Leveranser_per_nät,'Leveranser per nät'!P$1,FALSE)/VLOOKUP($B99,Korrigeringsfaktor_EI,'Korrigeringsfaktor EI'!P$1,FALSE),
"")</f>
        <v>14.068113402061856</v>
      </c>
      <c r="Q99" s="18">
        <f>IFERROR(
                  Andel_oberoende_av_klimat*VLOOKUP($A99,Leveranser_per_nät,'Leveranser per nät'!Q$1,FALSE)
               +Andel_beroende_av_klimat*VLOOKUP($A99,Leveranser_per_nät,'Leveranser per nät'!Q$1,FALSE)/VLOOKUP($B99,Korrigeringsfaktor_EI,'Korrigeringsfaktor EI'!Q$1,FALSE),
"")</f>
        <v>14.457750000000001</v>
      </c>
      <c r="R99" s="18">
        <f>IFERROR(
                  Andel_oberoende_av_klimat*VLOOKUP($A99,Leveranser_per_nät,'Leveranser per nät'!R$1,FALSE)
               +Andel_beroende_av_klimat*VLOOKUP($A99,Leveranser_per_nät,'Leveranser per nät'!R$1,FALSE)/VLOOKUP($B99,Korrigeringsfaktor_EI,'Korrigeringsfaktor EI'!R$1,FALSE),
"")</f>
        <v>13.256666666666668</v>
      </c>
      <c r="S99" s="18">
        <f>IFERROR(
                  Andel_oberoende_av_klimat*VLOOKUP($A99,Leveranser_per_nät,'Leveranser per nät'!S$1,FALSE)
               +Andel_beroende_av_klimat*VLOOKUP($A99,Leveranser_per_nät,'Leveranser per nät'!S$1,FALSE)/VLOOKUP($B99,Korrigeringsfaktor_EI,'Korrigeringsfaktor EI'!S$1,FALSE),
"")</f>
        <v>14.199696969696969</v>
      </c>
      <c r="T99" s="18">
        <f>IFERROR(
                  Andel_oberoende_av_klimat*VLOOKUP($A99,Leveranser_per_nät,'Leveranser per nät'!T$1,FALSE)
               +Andel_beroende_av_klimat*VLOOKUP($A99,Leveranser_per_nät,'Leveranser per nät'!T$1,FALSE)/VLOOKUP($B99,Korrigeringsfaktor_EI,'Korrigeringsfaktor EI'!T$1,FALSE),
"")</f>
        <v>15.034210526315789</v>
      </c>
      <c r="U99" s="18">
        <f>IFERROR(
                  Andel_oberoende_av_klimat*VLOOKUP($A99,Leveranser_per_nät,'Leveranser per nät'!U$1,FALSE)
               +Andel_beroende_av_klimat*VLOOKUP($A99,Leveranser_per_nät,'Leveranser per nät'!U$1,FALSE)/VLOOKUP($B99,Korrigeringsfaktor_EI,'Korrigeringsfaktor EI'!U$1,FALSE),
"")</f>
        <v>14.327692307692306</v>
      </c>
      <c r="V99" s="18">
        <f>IFERROR(
                  Andel_oberoende_av_klimat*VLOOKUP($A99,Leveranser_per_nät,'Leveranser per nät'!V$1,FALSE)
               +Andel_beroende_av_klimat*VLOOKUP($A99,Leveranser_per_nät,'Leveranser per nät'!V$1,FALSE)/VLOOKUP($B99,Korrigeringsfaktor_EI,'Korrigeringsfaktor EI'!V$1,FALSE),
"")</f>
        <v>14.427826086956522</v>
      </c>
      <c r="W99" s="18">
        <f>IFERROR(
                  Andel_oberoende_av_klimat*VLOOKUP($A99,Leveranser_per_nät,'Leveranser per nät'!W$1,FALSE)
               +Andel_beroende_av_klimat*VLOOKUP($A99,Leveranser_per_nät,'Leveranser per nät'!W$1,FALSE)/VLOOKUP($B99,Korrigeringsfaktor_EI,'Korrigeringsfaktor EI'!W$1,FALSE),
"")</f>
        <v>14.871458333333333</v>
      </c>
      <c r="X99" s="18">
        <f>IFERROR(
                  Andel_oberoende_av_klimat*VLOOKUP($A99,Leveranser_per_nät,'Leveranser per nät'!X$1,FALSE)
               +Andel_beroende_av_klimat*VLOOKUP($A99,Leveranser_per_nät,'Leveranser per nät'!X$1,FALSE)/VLOOKUP($B99,Korrigeringsfaktor_EI,'Korrigeringsfaktor EI'!X$1,FALSE),
"")</f>
        <v>14.398041666666668</v>
      </c>
      <c r="Y99" s="18">
        <f>IFERROR(
                  Andel_oberoende_av_klimat*VLOOKUP($A99,Leveranser_per_nät,'Leveranser per nät'!Y$1,FALSE)
               +Andel_beroende_av_klimat*VLOOKUP($A99,Leveranser_per_nät,'Leveranser per nät'!Y$1,FALSE)/VLOOKUP($B99,Korrigeringsfaktor_EI,'Korrigeringsfaktor EI'!Y$1,FALSE),
"")</f>
        <v>14.842903225806451</v>
      </c>
      <c r="Z99" s="18">
        <f>IFERROR(
                  Andel_oberoende_av_klimat*VLOOKUP($A99,Leveranser_per_nät,'Leveranser per nät'!Z$1,FALSE)
               +Andel_beroende_av_klimat*VLOOKUP($A99,Leveranser_per_nät,'Leveranser per nät'!Z$1,FALSE)/VLOOKUP($B99,Korrigeringsfaktor_EI,'Korrigeringsfaktor EI'!Z$1,FALSE),
"")</f>
        <v>14.842903225806451</v>
      </c>
      <c r="AA99" s="18">
        <f>IFERROR(
                  Andel_oberoende_av_klimat*VLOOKUP($A99,Leveranser_per_nät,'Leveranser per nät'!AA$1,FALSE)
               +Andel_beroende_av_klimat*VLOOKUP($A99,Leveranser_per_nät,'Leveranser per nät'!AA$1,FALSE)/VLOOKUP($B99,Korrigeringsfaktor_EI,'Korrigeringsfaktor EI'!AA$1,FALSE),
"")</f>
        <v>14.461061466304614</v>
      </c>
      <c r="AB99" s="18">
        <f>IFERROR(
                  Andel_oberoende_av_klimat*VLOOKUP($A99,Leveranser_per_nät,'Leveranser per nät'!AB$1,FALSE)
               +Andel_beroende_av_klimat*VLOOKUP($A99,Leveranser_per_nät,'Leveranser per nät'!AB$1,FALSE)/VLOOKUP($B99,Korrigeringsfaktor_EI,'Korrigeringsfaktor EI'!AB$1,FALSE),
"")</f>
        <v>14.636850393700788</v>
      </c>
      <c r="AC99" s="18">
        <f>IFERROR(
                  Andel_oberoende_av_klimat*VLOOKUP($A99,Leveranser_per_nät,'Leveranser per nät'!AC$1,FALSE)
               +Andel_beroende_av_klimat*VLOOKUP($A99,Leveranser_per_nät,'Leveranser per nät'!AC$1,FALSE)/VLOOKUP($B99,Korrigeringsfaktor_EI,'Korrigeringsfaktor EI'!AC$1,FALSE),
"")</f>
        <v>14.326576200417538</v>
      </c>
      <c r="AD99">
        <v>79.8</v>
      </c>
    </row>
    <row r="100" spans="1:30" x14ac:dyDescent="0.25">
      <c r="A100" t="s">
        <v>607</v>
      </c>
      <c r="B100" t="s">
        <v>534</v>
      </c>
      <c r="C100" s="18">
        <f>IFERROR(
                  Andel_oberoende_av_klimat*VLOOKUP($A100,Leveranser_per_nät,'Leveranser per nät'!C$1,FALSE)
               +Andel_beroende_av_klimat*VLOOKUP($A100,Leveranser_per_nät,'Leveranser per nät'!C$1,FALSE)/VLOOKUP($B100,Korrigeringsfaktor_EI,'Korrigeringsfaktor EI'!C$1,FALSE),
"")</f>
        <v>0</v>
      </c>
      <c r="D100" s="18">
        <f>IFERROR(
                  Andel_oberoende_av_klimat*VLOOKUP($A100,Leveranser_per_nät,'Leveranser per nät'!D$1,FALSE)
               +Andel_beroende_av_klimat*VLOOKUP($A100,Leveranser_per_nät,'Leveranser per nät'!D$1,FALSE)/VLOOKUP($B100,Korrigeringsfaktor_EI,'Korrigeringsfaktor EI'!D$1,FALSE),
"")</f>
        <v>0</v>
      </c>
      <c r="E100" s="18">
        <f>IFERROR(
                  Andel_oberoende_av_klimat*VLOOKUP($A100,Leveranser_per_nät,'Leveranser per nät'!E$1,FALSE)
               +Andel_beroende_av_klimat*VLOOKUP($A100,Leveranser_per_nät,'Leveranser per nät'!E$1,FALSE)/VLOOKUP($B100,Korrigeringsfaktor_EI,'Korrigeringsfaktor EI'!E$1,FALSE),
"")</f>
        <v>0</v>
      </c>
      <c r="F100" s="18">
        <f>IFERROR(
                  Andel_oberoende_av_klimat*VLOOKUP($A100,Leveranser_per_nät,'Leveranser per nät'!F$1,FALSE)
               +Andel_beroende_av_klimat*VLOOKUP($A100,Leveranser_per_nät,'Leveranser per nät'!F$1,FALSE)/VLOOKUP($B100,Korrigeringsfaktor_EI,'Korrigeringsfaktor EI'!F$1,FALSE),
"")</f>
        <v>0</v>
      </c>
      <c r="G100" s="18">
        <f>IFERROR(
                  Andel_oberoende_av_klimat*VLOOKUP($A100,Leveranser_per_nät,'Leveranser per nät'!G$1,FALSE)
               +Andel_beroende_av_klimat*VLOOKUP($A100,Leveranser_per_nät,'Leveranser per nät'!G$1,FALSE)/VLOOKUP($B100,Korrigeringsfaktor_EI,'Korrigeringsfaktor EI'!G$1,FALSE),
"")</f>
        <v>0</v>
      </c>
      <c r="H100" s="18">
        <f>IFERROR(
                  Andel_oberoende_av_klimat*VLOOKUP($A100,Leveranser_per_nät,'Leveranser per nät'!H$1,FALSE)
               +Andel_beroende_av_klimat*VLOOKUP($A100,Leveranser_per_nät,'Leveranser per nät'!H$1,FALSE)/VLOOKUP($B100,Korrigeringsfaktor_EI,'Korrigeringsfaktor EI'!H$1,FALSE),
"")</f>
        <v>0</v>
      </c>
      <c r="I100" s="18">
        <f>IFERROR(
                  Andel_oberoende_av_klimat*VLOOKUP($A100,Leveranser_per_nät,'Leveranser per nät'!I$1,FALSE)
               +Andel_beroende_av_klimat*VLOOKUP($A100,Leveranser_per_nät,'Leveranser per nät'!I$1,FALSE)/VLOOKUP($B100,Korrigeringsfaktor_EI,'Korrigeringsfaktor EI'!I$1,FALSE),
"")</f>
        <v>0</v>
      </c>
      <c r="J100" s="18">
        <f>IFERROR(
                  Andel_oberoende_av_klimat*VLOOKUP($A100,Leveranser_per_nät,'Leveranser per nät'!J$1,FALSE)
               +Andel_beroende_av_klimat*VLOOKUP($A100,Leveranser_per_nät,'Leveranser per nät'!J$1,FALSE)/VLOOKUP($B100,Korrigeringsfaktor_EI,'Korrigeringsfaktor EI'!J$1,FALSE),
"")</f>
        <v>0</v>
      </c>
      <c r="K100" s="18">
        <f>IFERROR(
                  Andel_oberoende_av_klimat*VLOOKUP($A100,Leveranser_per_nät,'Leveranser per nät'!K$1,FALSE)
               +Andel_beroende_av_klimat*VLOOKUP($A100,Leveranser_per_nät,'Leveranser per nät'!K$1,FALSE)/VLOOKUP($B100,Korrigeringsfaktor_EI,'Korrigeringsfaktor EI'!K$1,FALSE),
"")</f>
        <v>0</v>
      </c>
      <c r="L100" s="18">
        <f>IFERROR(
                  Andel_oberoende_av_klimat*VLOOKUP($A100,Leveranser_per_nät,'Leveranser per nät'!L$1,FALSE)
               +Andel_beroende_av_klimat*VLOOKUP($A100,Leveranser_per_nät,'Leveranser per nät'!L$1,FALSE)/VLOOKUP($B100,Korrigeringsfaktor_EI,'Korrigeringsfaktor EI'!L$1,FALSE),
"")</f>
        <v>0</v>
      </c>
      <c r="M100" s="18">
        <f>IFERROR(
                  Andel_oberoende_av_klimat*VLOOKUP($A100,Leveranser_per_nät,'Leveranser per nät'!M$1,FALSE)
               +Andel_beroende_av_klimat*VLOOKUP($A100,Leveranser_per_nät,'Leveranser per nät'!M$1,FALSE)/VLOOKUP($B100,Korrigeringsfaktor_EI,'Korrigeringsfaktor EI'!M$1,FALSE),
"")</f>
        <v>0</v>
      </c>
      <c r="N100" s="18">
        <f>IFERROR(
                  Andel_oberoende_av_klimat*VLOOKUP($A100,Leveranser_per_nät,'Leveranser per nät'!N$1,FALSE)
               +Andel_beroende_av_klimat*VLOOKUP($A100,Leveranser_per_nät,'Leveranser per nät'!N$1,FALSE)/VLOOKUP($B100,Korrigeringsfaktor_EI,'Korrigeringsfaktor EI'!N$1,FALSE),
"")</f>
        <v>0</v>
      </c>
      <c r="O100" s="18">
        <f>IFERROR(
                  Andel_oberoende_av_klimat*VLOOKUP($A100,Leveranser_per_nät,'Leveranser per nät'!O$1,FALSE)
               +Andel_beroende_av_klimat*VLOOKUP($A100,Leveranser_per_nät,'Leveranser per nät'!O$1,FALSE)/VLOOKUP($B100,Korrigeringsfaktor_EI,'Korrigeringsfaktor EI'!O$1,FALSE),
"")</f>
        <v>0</v>
      </c>
      <c r="P100" s="18">
        <f>IFERROR(
                  Andel_oberoende_av_klimat*VLOOKUP($A100,Leveranser_per_nät,'Leveranser per nät'!P$1,FALSE)
               +Andel_beroende_av_klimat*VLOOKUP($A100,Leveranser_per_nät,'Leveranser per nät'!P$1,FALSE)/VLOOKUP($B100,Korrigeringsfaktor_EI,'Korrigeringsfaktor EI'!P$1,FALSE),
"")</f>
        <v>0</v>
      </c>
      <c r="Q100" s="18">
        <f>IFERROR(
                  Andel_oberoende_av_klimat*VLOOKUP($A100,Leveranser_per_nät,'Leveranser per nät'!Q$1,FALSE)
               +Andel_beroende_av_klimat*VLOOKUP($A100,Leveranser_per_nät,'Leveranser per nät'!Q$1,FALSE)/VLOOKUP($B100,Korrigeringsfaktor_EI,'Korrigeringsfaktor EI'!Q$1,FALSE),
"")</f>
        <v>0</v>
      </c>
      <c r="R100" s="18">
        <f>IFERROR(
                  Andel_oberoende_av_klimat*VLOOKUP($A100,Leveranser_per_nät,'Leveranser per nät'!R$1,FALSE)
               +Andel_beroende_av_klimat*VLOOKUP($A100,Leveranser_per_nät,'Leveranser per nät'!R$1,FALSE)/VLOOKUP($B100,Korrigeringsfaktor_EI,'Korrigeringsfaktor EI'!R$1,FALSE),
"")</f>
        <v>0</v>
      </c>
      <c r="S100" s="18">
        <f>IFERROR(
                  Andel_oberoende_av_klimat*VLOOKUP($A100,Leveranser_per_nät,'Leveranser per nät'!S$1,FALSE)
               +Andel_beroende_av_klimat*VLOOKUP($A100,Leveranser_per_nät,'Leveranser per nät'!S$1,FALSE)/VLOOKUP($B100,Korrigeringsfaktor_EI,'Korrigeringsfaktor EI'!S$1,FALSE),
"")</f>
        <v>5.1919417475728151</v>
      </c>
      <c r="T100" s="18">
        <f>IFERROR(
                  Andel_oberoende_av_klimat*VLOOKUP($A100,Leveranser_per_nät,'Leveranser per nät'!T$1,FALSE)
               +Andel_beroende_av_klimat*VLOOKUP($A100,Leveranser_per_nät,'Leveranser per nät'!T$1,FALSE)/VLOOKUP($B100,Korrigeringsfaktor_EI,'Korrigeringsfaktor EI'!T$1,FALSE),
"")</f>
        <v>5.0581865979381444</v>
      </c>
      <c r="U100" s="18">
        <f>IFERROR(
                  Andel_oberoende_av_klimat*VLOOKUP($A100,Leveranser_per_nät,'Leveranser per nät'!U$1,FALSE)
               +Andel_beroende_av_klimat*VLOOKUP($A100,Leveranser_per_nät,'Leveranser per nät'!U$1,FALSE)/VLOOKUP($B100,Korrigeringsfaktor_EI,'Korrigeringsfaktor EI'!U$1,FALSE),
"")</f>
        <v>5.092173913043478</v>
      </c>
      <c r="V100" s="18">
        <f>IFERROR(
                  Andel_oberoende_av_klimat*VLOOKUP($A100,Leveranser_per_nät,'Leveranser per nät'!V$1,FALSE)
               +Andel_beroende_av_klimat*VLOOKUP($A100,Leveranser_per_nät,'Leveranser per nät'!V$1,FALSE)/VLOOKUP($B100,Korrigeringsfaktor_EI,'Korrigeringsfaktor EI'!V$1,FALSE),
"")</f>
        <v>5.391578947368421</v>
      </c>
      <c r="W100" s="18">
        <f>IFERROR(
                  Andel_oberoende_av_klimat*VLOOKUP($A100,Leveranser_per_nät,'Leveranser per nät'!W$1,FALSE)
               +Andel_beroende_av_klimat*VLOOKUP($A100,Leveranser_per_nät,'Leveranser per nät'!W$1,FALSE)/VLOOKUP($B100,Korrigeringsfaktor_EI,'Korrigeringsfaktor EI'!W$1,FALSE),
"")</f>
        <v>5.9255670103092779</v>
      </c>
      <c r="X100" s="18">
        <f>IFERROR(
                  Andel_oberoende_av_klimat*VLOOKUP($A100,Leveranser_per_nät,'Leveranser per nät'!X$1,FALSE)
               +Andel_beroende_av_klimat*VLOOKUP($A100,Leveranser_per_nät,'Leveranser per nät'!X$1,FALSE)/VLOOKUP($B100,Korrigeringsfaktor_EI,'Korrigeringsfaktor EI'!X$1,FALSE),
"")</f>
        <v>5.7</v>
      </c>
      <c r="Y100" s="18">
        <f>IFERROR(
                  Andel_oberoende_av_klimat*VLOOKUP($A100,Leveranser_per_nät,'Leveranser per nät'!Y$1,FALSE)
               +Andel_beroende_av_klimat*VLOOKUP($A100,Leveranser_per_nät,'Leveranser per nät'!Y$1,FALSE)/VLOOKUP($B100,Korrigeringsfaktor_EI,'Korrigeringsfaktor EI'!Y$1,FALSE),
"")</f>
        <v>5.6412765957446807</v>
      </c>
      <c r="Z100" s="18">
        <f>IFERROR(
                  Andel_oberoende_av_klimat*VLOOKUP($A100,Leveranser_per_nät,'Leveranser per nät'!Z$1,FALSE)
               +Andel_beroende_av_klimat*VLOOKUP($A100,Leveranser_per_nät,'Leveranser per nät'!Z$1,FALSE)/VLOOKUP($B100,Korrigeringsfaktor_EI,'Korrigeringsfaktor EI'!Z$1,FALSE),
"")</f>
        <v>5.7099989690721653</v>
      </c>
      <c r="AA100" s="18">
        <f>IFERROR(
                  Andel_oberoende_av_klimat*VLOOKUP($A100,Leveranser_per_nät,'Leveranser per nät'!AA$1,FALSE)
               +Andel_beroende_av_klimat*VLOOKUP($A100,Leveranser_per_nät,'Leveranser per nät'!AA$1,FALSE)/VLOOKUP($B100,Korrigeringsfaktor_EI,'Korrigeringsfaktor EI'!AA$1,FALSE),
"")</f>
        <v>5.5570672509691557</v>
      </c>
      <c r="AB100" s="18">
        <f>IFERROR(
                  Andel_oberoende_av_klimat*VLOOKUP($A100,Leveranser_per_nät,'Leveranser per nät'!AB$1,FALSE)
               +Andel_beroende_av_klimat*VLOOKUP($A100,Leveranser_per_nät,'Leveranser per nät'!AB$1,FALSE)/VLOOKUP($B100,Korrigeringsfaktor_EI,'Korrigeringsfaktor EI'!AB$1,FALSE),
"")</f>
        <v>5.5488675273088379</v>
      </c>
      <c r="AC100" s="18">
        <f>IFERROR(
                  Andel_oberoende_av_klimat*VLOOKUP($A100,Leveranser_per_nät,'Leveranser per nät'!AC$1,FALSE)
               +Andel_beroende_av_klimat*VLOOKUP($A100,Leveranser_per_nät,'Leveranser per nät'!AC$1,FALSE)/VLOOKUP($B100,Korrigeringsfaktor_EI,'Korrigeringsfaktor EI'!AC$1,FALSE),
"")</f>
        <v>5.2186809968847347</v>
      </c>
      <c r="AD100" t="e">
        <v>#N/A</v>
      </c>
    </row>
    <row r="101" spans="1:30" x14ac:dyDescent="0.25">
      <c r="A101" t="s">
        <v>194</v>
      </c>
      <c r="B101" t="s">
        <v>193</v>
      </c>
      <c r="C101" s="18">
        <f>IFERROR(
                  Andel_oberoende_av_klimat*VLOOKUP($A101,Leveranser_per_nät,'Leveranser per nät'!C$1,FALSE)
               +Andel_beroende_av_klimat*VLOOKUP($A101,Leveranser_per_nät,'Leveranser per nät'!C$1,FALSE)/VLOOKUP($B101,Korrigeringsfaktor_EI,'Korrigeringsfaktor EI'!C$1,FALSE),
"")</f>
        <v>5.6888888888888882</v>
      </c>
      <c r="D101" s="18">
        <f>IFERROR(
                  Andel_oberoende_av_klimat*VLOOKUP($A101,Leveranser_per_nät,'Leveranser per nät'!D$1,FALSE)
               +Andel_beroende_av_klimat*VLOOKUP($A101,Leveranser_per_nät,'Leveranser per nät'!D$1,FALSE)/VLOOKUP($B101,Korrigeringsfaktor_EI,'Korrigeringsfaktor EI'!D$1,FALSE),
"")</f>
        <v>5.5060416666666665</v>
      </c>
      <c r="E101" s="18">
        <f>IFERROR(
                  Andel_oberoende_av_klimat*VLOOKUP($A101,Leveranser_per_nät,'Leveranser per nät'!E$1,FALSE)
               +Andel_beroende_av_klimat*VLOOKUP($A101,Leveranser_per_nät,'Leveranser per nät'!E$1,FALSE)/VLOOKUP($B101,Korrigeringsfaktor_EI,'Korrigeringsfaktor EI'!E$1,FALSE),
"")</f>
        <v>5.9584158415841575</v>
      </c>
      <c r="F101" s="18">
        <f>IFERROR(
                  Andel_oberoende_av_klimat*VLOOKUP($A101,Leveranser_per_nät,'Leveranser per nät'!F$1,FALSE)
               +Andel_beroende_av_klimat*VLOOKUP($A101,Leveranser_per_nät,'Leveranser per nät'!F$1,FALSE)/VLOOKUP($B101,Korrigeringsfaktor_EI,'Korrigeringsfaktor EI'!F$1,FALSE),
"")</f>
        <v>7.0494949494949495</v>
      </c>
      <c r="G101" s="18">
        <f>IFERROR(
                  Andel_oberoende_av_klimat*VLOOKUP($A101,Leveranser_per_nät,'Leveranser per nät'!G$1,FALSE)
               +Andel_beroende_av_klimat*VLOOKUP($A101,Leveranser_per_nät,'Leveranser per nät'!G$1,FALSE)/VLOOKUP($B101,Korrigeringsfaktor_EI,'Korrigeringsfaktor EI'!G$1,FALSE),
"")</f>
        <v>7.3688172043010747</v>
      </c>
      <c r="H101" s="18">
        <f>IFERROR(
                  Andel_oberoende_av_klimat*VLOOKUP($A101,Leveranser_per_nät,'Leveranser per nät'!H$1,FALSE)
               +Andel_beroende_av_klimat*VLOOKUP($A101,Leveranser_per_nät,'Leveranser per nät'!H$1,FALSE)/VLOOKUP($B101,Korrigeringsfaktor_EI,'Korrigeringsfaktor EI'!H$1,FALSE),
"")</f>
        <v>7.9445544554455445</v>
      </c>
      <c r="I101" s="18">
        <f>IFERROR(
                  Andel_oberoende_av_klimat*VLOOKUP($A101,Leveranser_per_nät,'Leveranser per nät'!I$1,FALSE)
               +Andel_beroende_av_klimat*VLOOKUP($A101,Leveranser_per_nät,'Leveranser per nät'!I$1,FALSE)/VLOOKUP($B101,Korrigeringsfaktor_EI,'Korrigeringsfaktor EI'!I$1,FALSE),
"")</f>
        <v>7.2041666666666666</v>
      </c>
      <c r="J101" s="18">
        <f>IFERROR(
                  Andel_oberoende_av_klimat*VLOOKUP($A101,Leveranser_per_nät,'Leveranser per nät'!J$1,FALSE)
               +Andel_beroende_av_klimat*VLOOKUP($A101,Leveranser_per_nät,'Leveranser per nät'!J$1,FALSE)/VLOOKUP($B101,Korrigeringsfaktor_EI,'Korrigeringsfaktor EI'!J$1,FALSE),
"")</f>
        <v>7.2041666666666666</v>
      </c>
      <c r="K101" s="18">
        <f>IFERROR(
                  Andel_oberoende_av_klimat*VLOOKUP($A101,Leveranser_per_nät,'Leveranser per nät'!K$1,FALSE)
               +Andel_beroende_av_klimat*VLOOKUP($A101,Leveranser_per_nät,'Leveranser per nät'!K$1,FALSE)/VLOOKUP($B101,Korrigeringsfaktor_EI,'Korrigeringsfaktor EI'!K$1,FALSE),
"")</f>
        <v>7.5917578947368423</v>
      </c>
      <c r="L101" s="18">
        <f>IFERROR(
                  Andel_oberoende_av_klimat*VLOOKUP($A101,Leveranser_per_nät,'Leveranser per nät'!L$1,FALSE)
               +Andel_beroende_av_klimat*VLOOKUP($A101,Leveranser_per_nät,'Leveranser per nät'!L$1,FALSE)/VLOOKUP($B101,Korrigeringsfaktor_EI,'Korrigeringsfaktor EI'!L$1,FALSE),
"")</f>
        <v>7.4235569892473112</v>
      </c>
      <c r="M101" s="18">
        <f>IFERROR(
                  Andel_oberoende_av_klimat*VLOOKUP($A101,Leveranser_per_nät,'Leveranser per nät'!M$1,FALSE)
               +Andel_beroende_av_klimat*VLOOKUP($A101,Leveranser_per_nät,'Leveranser per nät'!M$1,FALSE)/VLOOKUP($B101,Korrigeringsfaktor_EI,'Korrigeringsfaktor EI'!M$1,FALSE),
"")</f>
        <v>7.4771307692307705</v>
      </c>
      <c r="N101" s="18">
        <f>IFERROR(
                  Andel_oberoende_av_klimat*VLOOKUP($A101,Leveranser_per_nät,'Leveranser per nät'!N$1,FALSE)
               +Andel_beroende_av_klimat*VLOOKUP($A101,Leveranser_per_nät,'Leveranser per nät'!N$1,FALSE)/VLOOKUP($B101,Korrigeringsfaktor_EI,'Korrigeringsfaktor EI'!N$1,FALSE),
"")</f>
        <v>8.4368425531914895</v>
      </c>
      <c r="O101" s="18">
        <f>IFERROR(
                  Andel_oberoende_av_klimat*VLOOKUP($A101,Leveranser_per_nät,'Leveranser per nät'!O$1,FALSE)
               +Andel_beroende_av_klimat*VLOOKUP($A101,Leveranser_per_nät,'Leveranser per nät'!O$1,FALSE)/VLOOKUP($B101,Korrigeringsfaktor_EI,'Korrigeringsfaktor EI'!O$1,FALSE),
"")</f>
        <v>8.643689361702128</v>
      </c>
      <c r="P101" s="18">
        <f>IFERROR(
                  Andel_oberoende_av_klimat*VLOOKUP($A101,Leveranser_per_nät,'Leveranser per nät'!P$1,FALSE)
               +Andel_beroende_av_klimat*VLOOKUP($A101,Leveranser_per_nät,'Leveranser per nät'!P$1,FALSE)/VLOOKUP($B101,Korrigeringsfaktor_EI,'Korrigeringsfaktor EI'!P$1,FALSE),
"")</f>
        <v>8.531903030303031</v>
      </c>
      <c r="Q101" s="18">
        <f>IFERROR(
                  Andel_oberoende_av_klimat*VLOOKUP($A101,Leveranser_per_nät,'Leveranser per nät'!Q$1,FALSE)
               +Andel_beroende_av_klimat*VLOOKUP($A101,Leveranser_per_nät,'Leveranser per nät'!Q$1,FALSE)/VLOOKUP($B101,Korrigeringsfaktor_EI,'Korrigeringsfaktor EI'!Q$1,FALSE),
"")</f>
        <v>9.3418053097345144</v>
      </c>
      <c r="R101" s="18">
        <f>IFERROR(
                  Andel_oberoende_av_klimat*VLOOKUP($A101,Leveranser_per_nät,'Leveranser per nät'!R$1,FALSE)
               +Andel_beroende_av_klimat*VLOOKUP($A101,Leveranser_per_nät,'Leveranser per nät'!R$1,FALSE)/VLOOKUP($B101,Korrigeringsfaktor_EI,'Korrigeringsfaktor EI'!R$1,FALSE),
"")</f>
        <v>8.5251478260869558</v>
      </c>
      <c r="S101" s="18">
        <f>IFERROR(
                  Andel_oberoende_av_klimat*VLOOKUP($A101,Leveranser_per_nät,'Leveranser per nät'!S$1,FALSE)
               +Andel_beroende_av_klimat*VLOOKUP($A101,Leveranser_per_nät,'Leveranser per nät'!S$1,FALSE)/VLOOKUP($B101,Korrigeringsfaktor_EI,'Korrigeringsfaktor EI'!S$1,FALSE),
"")</f>
        <v>8.8000000000000007</v>
      </c>
      <c r="T101" s="18">
        <f>IFERROR(
                  Andel_oberoende_av_klimat*VLOOKUP($A101,Leveranser_per_nät,'Leveranser per nät'!T$1,FALSE)
               +Andel_beroende_av_klimat*VLOOKUP($A101,Leveranser_per_nät,'Leveranser per nät'!T$1,FALSE)/VLOOKUP($B101,Korrigeringsfaktor_EI,'Korrigeringsfaktor EI'!T$1,FALSE),
"")</f>
        <v>8.5420833333333341</v>
      </c>
      <c r="U101" s="18">
        <f>IFERROR(
                  Andel_oberoende_av_klimat*VLOOKUP($A101,Leveranser_per_nät,'Leveranser per nät'!U$1,FALSE)
               +Andel_beroende_av_klimat*VLOOKUP($A101,Leveranser_per_nät,'Leveranser per nät'!U$1,FALSE)/VLOOKUP($B101,Korrigeringsfaktor_EI,'Korrigeringsfaktor EI'!U$1,FALSE),
"")</f>
        <v>7.6056179775280901</v>
      </c>
      <c r="V101" s="18">
        <f>IFERROR(
                  Andel_oberoende_av_klimat*VLOOKUP($A101,Leveranser_per_nät,'Leveranser per nät'!V$1,FALSE)
               +Andel_beroende_av_klimat*VLOOKUP($A101,Leveranser_per_nät,'Leveranser per nät'!V$1,FALSE)/VLOOKUP($B101,Korrigeringsfaktor_EI,'Korrigeringsfaktor EI'!V$1,FALSE),
"")</f>
        <v>8.2747826086956522</v>
      </c>
      <c r="W101" s="18">
        <f>IFERROR(
                  Andel_oberoende_av_klimat*VLOOKUP($A101,Leveranser_per_nät,'Leveranser per nät'!W$1,FALSE)
               +Andel_beroende_av_klimat*VLOOKUP($A101,Leveranser_per_nät,'Leveranser per nät'!W$1,FALSE)/VLOOKUP($B101,Korrigeringsfaktor_EI,'Korrigeringsfaktor EI'!W$1,FALSE),
"")</f>
        <v>8.2947368421052623</v>
      </c>
      <c r="X101" s="18">
        <f>IFERROR(
                  Andel_oberoende_av_klimat*VLOOKUP($A101,Leveranser_per_nät,'Leveranser per nät'!X$1,FALSE)
               +Andel_beroende_av_klimat*VLOOKUP($A101,Leveranser_per_nät,'Leveranser per nät'!X$1,FALSE)/VLOOKUP($B101,Korrigeringsfaktor_EI,'Korrigeringsfaktor EI'!X$1,FALSE),
"")</f>
        <v>8.1731958762886592</v>
      </c>
      <c r="Y101" s="18">
        <f>IFERROR(
                  Andel_oberoende_av_klimat*VLOOKUP($A101,Leveranser_per_nät,'Leveranser per nät'!Y$1,FALSE)
               +Andel_beroende_av_klimat*VLOOKUP($A101,Leveranser_per_nät,'Leveranser per nät'!Y$1,FALSE)/VLOOKUP($B101,Korrigeringsfaktor_EI,'Korrigeringsfaktor EI'!Y$1,FALSE),
"")</f>
        <v>8.4619148936170205</v>
      </c>
      <c r="Z101" s="18">
        <f>IFERROR(
                  Andel_oberoende_av_klimat*VLOOKUP($A101,Leveranser_per_nät,'Leveranser per nät'!Z$1,FALSE)
               +Andel_beroende_av_klimat*VLOOKUP($A101,Leveranser_per_nät,'Leveranser per nät'!Z$1,FALSE)/VLOOKUP($B101,Korrigeringsfaktor_EI,'Korrigeringsfaktor EI'!Z$1,FALSE),
"")</f>
        <v>8.5267741935483858</v>
      </c>
      <c r="AA101" s="18">
        <f>IFERROR(
                  Andel_oberoende_av_klimat*VLOOKUP($A101,Leveranser_per_nät,'Leveranser per nät'!AA$1,FALSE)
               +Andel_beroende_av_klimat*VLOOKUP($A101,Leveranser_per_nät,'Leveranser per nät'!AA$1,FALSE)/VLOOKUP($B101,Korrigeringsfaktor_EI,'Korrigeringsfaktor EI'!AA$1,FALSE),
"")</f>
        <v>8.2789620637329282</v>
      </c>
      <c r="AB101" s="18">
        <f>IFERROR(
                  Andel_oberoende_av_klimat*VLOOKUP($A101,Leveranser_per_nät,'Leveranser per nät'!AB$1,FALSE)
               +Andel_beroende_av_klimat*VLOOKUP($A101,Leveranser_per_nät,'Leveranser per nät'!AB$1,FALSE)/VLOOKUP($B101,Korrigeringsfaktor_EI,'Korrigeringsfaktor EI'!AB$1,FALSE),
"")</f>
        <v>8.1016865671641796</v>
      </c>
      <c r="AC101" s="18">
        <f>IFERROR(
                  Andel_oberoende_av_klimat*VLOOKUP($A101,Leveranser_per_nät,'Leveranser per nät'!AC$1,FALSE)
               +Andel_beroende_av_klimat*VLOOKUP($A101,Leveranser_per_nät,'Leveranser per nät'!AC$1,FALSE)/VLOOKUP($B101,Korrigeringsfaktor_EI,'Korrigeringsfaktor EI'!AC$1,FALSE),
"")</f>
        <v>7.5032640998959419</v>
      </c>
      <c r="AD101">
        <v>59.915999999999997</v>
      </c>
    </row>
    <row r="102" spans="1:30" x14ac:dyDescent="0.25">
      <c r="A102" t="s">
        <v>398</v>
      </c>
      <c r="B102" t="s">
        <v>157</v>
      </c>
      <c r="C102" s="18">
        <f>IFERROR(
                  Andel_oberoende_av_klimat*VLOOKUP($A102,Leveranser_per_nät,'Leveranser per nät'!C$1,FALSE)
               +Andel_beroende_av_klimat*VLOOKUP($A102,Leveranser_per_nät,'Leveranser per nät'!C$1,FALSE)/VLOOKUP($B102,Korrigeringsfaktor_EI,'Korrigeringsfaktor EI'!C$1,FALSE),
"")</f>
        <v>0</v>
      </c>
      <c r="D102" s="18">
        <f>IFERROR(
                  Andel_oberoende_av_klimat*VLOOKUP($A102,Leveranser_per_nät,'Leveranser per nät'!D$1,FALSE)
               +Andel_beroende_av_klimat*VLOOKUP($A102,Leveranser_per_nät,'Leveranser per nät'!D$1,FALSE)/VLOOKUP($B102,Korrigeringsfaktor_EI,'Korrigeringsfaktor EI'!D$1,FALSE),
"")</f>
        <v>0</v>
      </c>
      <c r="E102" s="18">
        <f>IFERROR(
                  Andel_oberoende_av_klimat*VLOOKUP($A102,Leveranser_per_nät,'Leveranser per nät'!E$1,FALSE)
               +Andel_beroende_av_klimat*VLOOKUP($A102,Leveranser_per_nät,'Leveranser per nät'!E$1,FALSE)/VLOOKUP($B102,Korrigeringsfaktor_EI,'Korrigeringsfaktor EI'!E$1,FALSE),
"")</f>
        <v>0</v>
      </c>
      <c r="F102" s="18">
        <f>IFERROR(
                  Andel_oberoende_av_klimat*VLOOKUP($A102,Leveranser_per_nät,'Leveranser per nät'!F$1,FALSE)
               +Andel_beroende_av_klimat*VLOOKUP($A102,Leveranser_per_nät,'Leveranser per nät'!F$1,FALSE)/VLOOKUP($B102,Korrigeringsfaktor_EI,'Korrigeringsfaktor EI'!F$1,FALSE),
"")</f>
        <v>0</v>
      </c>
      <c r="G102" s="18">
        <f>IFERROR(
                  Andel_oberoende_av_klimat*VLOOKUP($A102,Leveranser_per_nät,'Leveranser per nät'!G$1,FALSE)
               +Andel_beroende_av_klimat*VLOOKUP($A102,Leveranser_per_nät,'Leveranser per nät'!G$1,FALSE)/VLOOKUP($B102,Korrigeringsfaktor_EI,'Korrigeringsfaktor EI'!G$1,FALSE),
"")</f>
        <v>0</v>
      </c>
      <c r="H102" s="18">
        <f>IFERROR(
                  Andel_oberoende_av_klimat*VLOOKUP($A102,Leveranser_per_nät,'Leveranser per nät'!H$1,FALSE)
               +Andel_beroende_av_klimat*VLOOKUP($A102,Leveranser_per_nät,'Leveranser per nät'!H$1,FALSE)/VLOOKUP($B102,Korrigeringsfaktor_EI,'Korrigeringsfaktor EI'!H$1,FALSE),
"")</f>
        <v>0</v>
      </c>
      <c r="I102" s="18">
        <f>IFERROR(
                  Andel_oberoende_av_klimat*VLOOKUP($A102,Leveranser_per_nät,'Leveranser per nät'!I$1,FALSE)
               +Andel_beroende_av_klimat*VLOOKUP($A102,Leveranser_per_nät,'Leveranser per nät'!I$1,FALSE)/VLOOKUP($B102,Korrigeringsfaktor_EI,'Korrigeringsfaktor EI'!I$1,FALSE),
"")</f>
        <v>0</v>
      </c>
      <c r="J102" s="18">
        <f>IFERROR(
                  Andel_oberoende_av_klimat*VLOOKUP($A102,Leveranser_per_nät,'Leveranser per nät'!J$1,FALSE)
               +Andel_beroende_av_klimat*VLOOKUP($A102,Leveranser_per_nät,'Leveranser per nät'!J$1,FALSE)/VLOOKUP($B102,Korrigeringsfaktor_EI,'Korrigeringsfaktor EI'!J$1,FALSE),
"")</f>
        <v>0</v>
      </c>
      <c r="K102" s="18">
        <f>IFERROR(
                  Andel_oberoende_av_klimat*VLOOKUP($A102,Leveranser_per_nät,'Leveranser per nät'!K$1,FALSE)
               +Andel_beroende_av_klimat*VLOOKUP($A102,Leveranser_per_nät,'Leveranser per nät'!K$1,FALSE)/VLOOKUP($B102,Korrigeringsfaktor_EI,'Korrigeringsfaktor EI'!K$1,FALSE),
"")</f>
        <v>0</v>
      </c>
      <c r="L102" s="18">
        <f>IFERROR(
                  Andel_oberoende_av_klimat*VLOOKUP($A102,Leveranser_per_nät,'Leveranser per nät'!L$1,FALSE)
               +Andel_beroende_av_klimat*VLOOKUP($A102,Leveranser_per_nät,'Leveranser per nät'!L$1,FALSE)/VLOOKUP($B102,Korrigeringsfaktor_EI,'Korrigeringsfaktor EI'!L$1,FALSE),
"")</f>
        <v>2.0502154838709679</v>
      </c>
      <c r="M102" s="18">
        <f>IFERROR(
                  Andel_oberoende_av_klimat*VLOOKUP($A102,Leveranser_per_nät,'Leveranser per nät'!M$1,FALSE)
               +Andel_beroende_av_klimat*VLOOKUP($A102,Leveranser_per_nät,'Leveranser per nät'!M$1,FALSE)/VLOOKUP($B102,Korrigeringsfaktor_EI,'Korrigeringsfaktor EI'!M$1,FALSE),
"")</f>
        <v>0</v>
      </c>
      <c r="N102" s="18">
        <f>IFERROR(
                  Andel_oberoende_av_klimat*VLOOKUP($A102,Leveranser_per_nät,'Leveranser per nät'!N$1,FALSE)
               +Andel_beroende_av_klimat*VLOOKUP($A102,Leveranser_per_nät,'Leveranser per nät'!N$1,FALSE)/VLOOKUP($B102,Korrigeringsfaktor_EI,'Korrigeringsfaktor EI'!N$1,FALSE),
"")</f>
        <v>0</v>
      </c>
      <c r="O102" s="18">
        <f>IFERROR(
                  Andel_oberoende_av_klimat*VLOOKUP($A102,Leveranser_per_nät,'Leveranser per nät'!O$1,FALSE)
               +Andel_beroende_av_klimat*VLOOKUP($A102,Leveranser_per_nät,'Leveranser per nät'!O$1,FALSE)/VLOOKUP($B102,Korrigeringsfaktor_EI,'Korrigeringsfaktor EI'!O$1,FALSE),
"")</f>
        <v>0</v>
      </c>
      <c r="P102" s="18">
        <f>IFERROR(
                  Andel_oberoende_av_klimat*VLOOKUP($A102,Leveranser_per_nät,'Leveranser per nät'!P$1,FALSE)
               +Andel_beroende_av_klimat*VLOOKUP($A102,Leveranser_per_nät,'Leveranser per nät'!P$1,FALSE)/VLOOKUP($B102,Korrigeringsfaktor_EI,'Korrigeringsfaktor EI'!P$1,FALSE),
"")</f>
        <v>0</v>
      </c>
      <c r="Q102" s="18">
        <f>IFERROR(
                  Andel_oberoende_av_klimat*VLOOKUP($A102,Leveranser_per_nät,'Leveranser per nät'!Q$1,FALSE)
               +Andel_beroende_av_klimat*VLOOKUP($A102,Leveranser_per_nät,'Leveranser per nät'!Q$1,FALSE)/VLOOKUP($B102,Korrigeringsfaktor_EI,'Korrigeringsfaktor EI'!Q$1,FALSE),
"")</f>
        <v>0</v>
      </c>
      <c r="R102" s="18">
        <f>IFERROR(
                  Andel_oberoende_av_klimat*VLOOKUP($A102,Leveranser_per_nät,'Leveranser per nät'!R$1,FALSE)
               +Andel_beroende_av_klimat*VLOOKUP($A102,Leveranser_per_nät,'Leveranser per nät'!R$1,FALSE)/VLOOKUP($B102,Korrigeringsfaktor_EI,'Korrigeringsfaktor EI'!R$1,FALSE),
"")</f>
        <v>0</v>
      </c>
      <c r="S102" s="18" t="str">
        <f>IFERROR(
                  Andel_oberoende_av_klimat*VLOOKUP($A102,Leveranser_per_nät,'Leveranser per nät'!S$1,FALSE)
               +Andel_beroende_av_klimat*VLOOKUP($A102,Leveranser_per_nät,'Leveranser per nät'!S$1,FALSE)/VLOOKUP($B102,Korrigeringsfaktor_EI,'Korrigeringsfaktor EI'!S$1,FALSE),
"")</f>
        <v/>
      </c>
      <c r="T102" s="18" t="str">
        <f>IFERROR(
                  Andel_oberoende_av_klimat*VLOOKUP($A102,Leveranser_per_nät,'Leveranser per nät'!T$1,FALSE)
               +Andel_beroende_av_klimat*VLOOKUP($A102,Leveranser_per_nät,'Leveranser per nät'!T$1,FALSE)/VLOOKUP($B102,Korrigeringsfaktor_EI,'Korrigeringsfaktor EI'!T$1,FALSE),
"")</f>
        <v/>
      </c>
      <c r="U102" s="18" t="str">
        <f>IFERROR(
                  Andel_oberoende_av_klimat*VLOOKUP($A102,Leveranser_per_nät,'Leveranser per nät'!U$1,FALSE)
               +Andel_beroende_av_klimat*VLOOKUP($A102,Leveranser_per_nät,'Leveranser per nät'!U$1,FALSE)/VLOOKUP($B102,Korrigeringsfaktor_EI,'Korrigeringsfaktor EI'!U$1,FALSE),
"")</f>
        <v/>
      </c>
      <c r="V102" s="18" t="str">
        <f>IFERROR(
                  Andel_oberoende_av_klimat*VLOOKUP($A102,Leveranser_per_nät,'Leveranser per nät'!V$1,FALSE)
               +Andel_beroende_av_klimat*VLOOKUP($A102,Leveranser_per_nät,'Leveranser per nät'!V$1,FALSE)/VLOOKUP($B102,Korrigeringsfaktor_EI,'Korrigeringsfaktor EI'!V$1,FALSE),
"")</f>
        <v/>
      </c>
      <c r="W102" s="18" t="str">
        <f>IFERROR(
                  Andel_oberoende_av_klimat*VLOOKUP($A102,Leveranser_per_nät,'Leveranser per nät'!W$1,FALSE)
               +Andel_beroende_av_klimat*VLOOKUP($A102,Leveranser_per_nät,'Leveranser per nät'!W$1,FALSE)/VLOOKUP($B102,Korrigeringsfaktor_EI,'Korrigeringsfaktor EI'!W$1,FALSE),
"")</f>
        <v/>
      </c>
      <c r="X102" s="18" t="str">
        <f>IFERROR(
                  Andel_oberoende_av_klimat*VLOOKUP($A102,Leveranser_per_nät,'Leveranser per nät'!X$1,FALSE)
               +Andel_beroende_av_klimat*VLOOKUP($A102,Leveranser_per_nät,'Leveranser per nät'!X$1,FALSE)/VLOOKUP($B102,Korrigeringsfaktor_EI,'Korrigeringsfaktor EI'!X$1,FALSE),
"")</f>
        <v/>
      </c>
      <c r="Y102" s="18" t="str">
        <f>IFERROR(
                  Andel_oberoende_av_klimat*VLOOKUP($A102,Leveranser_per_nät,'Leveranser per nät'!Y$1,FALSE)
               +Andel_beroende_av_klimat*VLOOKUP($A102,Leveranser_per_nät,'Leveranser per nät'!Y$1,FALSE)/VLOOKUP($B102,Korrigeringsfaktor_EI,'Korrigeringsfaktor EI'!Y$1,FALSE),
"")</f>
        <v/>
      </c>
      <c r="Z102" s="18">
        <f>IFERROR(
                  Andel_oberoende_av_klimat*VLOOKUP($A102,Leveranser_per_nät,'Leveranser per nät'!Z$1,FALSE)
               +Andel_beroende_av_klimat*VLOOKUP($A102,Leveranser_per_nät,'Leveranser per nät'!Z$1,FALSE)/VLOOKUP($B102,Korrigeringsfaktor_EI,'Korrigeringsfaktor EI'!Z$1,FALSE),
"")</f>
        <v>0</v>
      </c>
      <c r="AA102" s="18" t="str">
        <f>IFERROR(
                  Andel_oberoende_av_klimat*VLOOKUP($A102,Leveranser_per_nät,'Leveranser per nät'!AA$1,FALSE)
               +Andel_beroende_av_klimat*VLOOKUP($A102,Leveranser_per_nät,'Leveranser per nät'!AA$1,FALSE)/VLOOKUP($B102,Korrigeringsfaktor_EI,'Korrigeringsfaktor EI'!AA$1,FALSE),
"")</f>
        <v/>
      </c>
      <c r="AB102" s="18">
        <f>IFERROR(
                  Andel_oberoende_av_klimat*VLOOKUP($A102,Leveranser_per_nät,'Leveranser per nät'!AB$1,FALSE)
               +Andel_beroende_av_klimat*VLOOKUP($A102,Leveranser_per_nät,'Leveranser per nät'!AB$1,FALSE)/VLOOKUP($B102,Korrigeringsfaktor_EI,'Korrigeringsfaktor EI'!AB$1,FALSE),
"")</f>
        <v>0</v>
      </c>
      <c r="AC102" s="18">
        <f>IFERROR(
                  Andel_oberoende_av_klimat*VLOOKUP($A102,Leveranser_per_nät,'Leveranser per nät'!AC$1,FALSE)
               +Andel_beroende_av_klimat*VLOOKUP($A102,Leveranser_per_nät,'Leveranser per nät'!AC$1,FALSE)/VLOOKUP($B102,Korrigeringsfaktor_EI,'Korrigeringsfaktor EI'!AC$1,FALSE),
"")</f>
        <v>2.0391190082644632</v>
      </c>
      <c r="AD102">
        <v>524.17999999999995</v>
      </c>
    </row>
    <row r="103" spans="1:30" x14ac:dyDescent="0.25">
      <c r="A103" t="s">
        <v>361</v>
      </c>
      <c r="B103" t="s">
        <v>362</v>
      </c>
      <c r="C103" s="18">
        <f>IFERROR(
                  Andel_oberoende_av_klimat*VLOOKUP($A103,Leveranser_per_nät,'Leveranser per nät'!C$1,FALSE)
               +Andel_beroende_av_klimat*VLOOKUP($A103,Leveranser_per_nät,'Leveranser per nät'!C$1,FALSE)/VLOOKUP($B103,Korrigeringsfaktor_EI,'Korrigeringsfaktor EI'!C$1,FALSE),
"")</f>
        <v>0</v>
      </c>
      <c r="D103" s="18">
        <f>IFERROR(
                  Andel_oberoende_av_klimat*VLOOKUP($A103,Leveranser_per_nät,'Leveranser per nät'!D$1,FALSE)
               +Andel_beroende_av_klimat*VLOOKUP($A103,Leveranser_per_nät,'Leveranser per nät'!D$1,FALSE)/VLOOKUP($B103,Korrigeringsfaktor_EI,'Korrigeringsfaktor EI'!D$1,FALSE),
"")</f>
        <v>21.127711340206186</v>
      </c>
      <c r="E103" s="18">
        <f>IFERROR(
                  Andel_oberoende_av_klimat*VLOOKUP($A103,Leveranser_per_nät,'Leveranser per nät'!E$1,FALSE)
               +Andel_beroende_av_klimat*VLOOKUP($A103,Leveranser_per_nät,'Leveranser per nät'!E$1,FALSE)/VLOOKUP($B103,Korrigeringsfaktor_EI,'Korrigeringsfaktor EI'!E$1,FALSE),
"")</f>
        <v>21.847524752475248</v>
      </c>
      <c r="F103" s="18">
        <f>IFERROR(
                  Andel_oberoende_av_klimat*VLOOKUP($A103,Leveranser_per_nät,'Leveranser per nät'!F$1,FALSE)
               +Andel_beroende_av_klimat*VLOOKUP($A103,Leveranser_per_nät,'Leveranser per nät'!F$1,FALSE)/VLOOKUP($B103,Korrigeringsfaktor_EI,'Korrigeringsfaktor EI'!F$1,FALSE),
"")</f>
        <v>23.159139784946234</v>
      </c>
      <c r="G103" s="18">
        <f>IFERROR(
                  Andel_oberoende_av_klimat*VLOOKUP($A103,Leveranser_per_nät,'Leveranser per nät'!G$1,FALSE)
               +Andel_beroende_av_klimat*VLOOKUP($A103,Leveranser_per_nät,'Leveranser per nät'!G$1,FALSE)/VLOOKUP($B103,Korrigeringsfaktor_EI,'Korrigeringsfaktor EI'!G$1,FALSE),
"")</f>
        <v>23.393023255813954</v>
      </c>
      <c r="H103" s="18">
        <f>IFERROR(
                  Andel_oberoende_av_klimat*VLOOKUP($A103,Leveranser_per_nät,'Leveranser per nät'!H$1,FALSE)
               +Andel_beroende_av_klimat*VLOOKUP($A103,Leveranser_per_nät,'Leveranser per nät'!H$1,FALSE)/VLOOKUP($B103,Korrigeringsfaktor_EI,'Korrigeringsfaktor EI'!H$1,FALSE),
"")</f>
        <v>20.854455445544552</v>
      </c>
      <c r="I103" s="18">
        <f>IFERROR(
                  Andel_oberoende_av_klimat*VLOOKUP($A103,Leveranser_per_nät,'Leveranser per nät'!I$1,FALSE)
               +Andel_beroende_av_klimat*VLOOKUP($A103,Leveranser_per_nät,'Leveranser per nät'!I$1,FALSE)/VLOOKUP($B103,Korrigeringsfaktor_EI,'Korrigeringsfaktor EI'!I$1,FALSE),
"")</f>
        <v>24.699999999999996</v>
      </c>
      <c r="J103" s="18">
        <f>IFERROR(
                  Andel_oberoende_av_klimat*VLOOKUP($A103,Leveranser_per_nät,'Leveranser per nät'!J$1,FALSE)
               +Andel_beroende_av_klimat*VLOOKUP($A103,Leveranser_per_nät,'Leveranser per nät'!J$1,FALSE)/VLOOKUP($B103,Korrigeringsfaktor_EI,'Korrigeringsfaktor EI'!J$1,FALSE),
"")</f>
        <v>26</v>
      </c>
      <c r="K103" s="18">
        <f>IFERROR(
                  Andel_oberoende_av_klimat*VLOOKUP($A103,Leveranser_per_nät,'Leveranser per nät'!K$1,FALSE)
               +Andel_beroende_av_klimat*VLOOKUP($A103,Leveranser_per_nät,'Leveranser per nät'!K$1,FALSE)/VLOOKUP($B103,Korrigeringsfaktor_EI,'Korrigeringsfaktor EI'!K$1,FALSE),
"")</f>
        <v>17.085999999999999</v>
      </c>
      <c r="L103" s="18">
        <f>IFERROR(
                  Andel_oberoende_av_klimat*VLOOKUP($A103,Leveranser_per_nät,'Leveranser per nät'!L$1,FALSE)
               +Andel_beroende_av_klimat*VLOOKUP($A103,Leveranser_per_nät,'Leveranser per nät'!L$1,FALSE)/VLOOKUP($B103,Korrigeringsfaktor_EI,'Korrigeringsfaktor EI'!L$1,FALSE),
"")</f>
        <v>24.200857142857142</v>
      </c>
      <c r="M103" s="18">
        <f>IFERROR(
                  Andel_oberoende_av_klimat*VLOOKUP($A103,Leveranser_per_nät,'Leveranser per nät'!M$1,FALSE)
               +Andel_beroende_av_klimat*VLOOKUP($A103,Leveranser_per_nät,'Leveranser per nät'!M$1,FALSE)/VLOOKUP($B103,Korrigeringsfaktor_EI,'Korrigeringsfaktor EI'!M$1,FALSE),
"")</f>
        <v>24.032870967741932</v>
      </c>
      <c r="N103" s="18">
        <f>IFERROR(
                  Andel_oberoende_av_klimat*VLOOKUP($A103,Leveranser_per_nät,'Leveranser per nät'!N$1,FALSE)
               +Andel_beroende_av_klimat*VLOOKUP($A103,Leveranser_per_nät,'Leveranser per nät'!N$1,FALSE)/VLOOKUP($B103,Korrigeringsfaktor_EI,'Korrigeringsfaktor EI'!N$1,FALSE),
"")</f>
        <v>25.462421505376341</v>
      </c>
      <c r="O103" s="18">
        <f>IFERROR(
                  Andel_oberoende_av_klimat*VLOOKUP($A103,Leveranser_per_nät,'Leveranser per nät'!O$1,FALSE)
               +Andel_beroende_av_klimat*VLOOKUP($A103,Leveranser_per_nät,'Leveranser per nät'!O$1,FALSE)/VLOOKUP($B103,Korrigeringsfaktor_EI,'Korrigeringsfaktor EI'!O$1,FALSE),
"")</f>
        <v>24.941946153846153</v>
      </c>
      <c r="P103" s="18">
        <f>IFERROR(
                  Andel_oberoende_av_klimat*VLOOKUP($A103,Leveranser_per_nät,'Leveranser per nät'!P$1,FALSE)
               +Andel_beroende_av_klimat*VLOOKUP($A103,Leveranser_per_nät,'Leveranser per nät'!P$1,FALSE)/VLOOKUP($B103,Korrigeringsfaktor_EI,'Korrigeringsfaktor EI'!P$1,FALSE),
"")</f>
        <v>25.700444444444443</v>
      </c>
      <c r="Q103" s="18">
        <f>IFERROR(
                  Andel_oberoende_av_klimat*VLOOKUP($A103,Leveranser_per_nät,'Leveranser per nät'!Q$1,FALSE)
               +Andel_beroende_av_klimat*VLOOKUP($A103,Leveranser_per_nät,'Leveranser per nät'!Q$1,FALSE)/VLOOKUP($B103,Korrigeringsfaktor_EI,'Korrigeringsfaktor EI'!Q$1,FALSE),
"")</f>
        <v>27.538021739130436</v>
      </c>
      <c r="R103" s="18">
        <f>IFERROR(
                  Andel_oberoende_av_klimat*VLOOKUP($A103,Leveranser_per_nät,'Leveranser per nät'!R$1,FALSE)
               +Andel_beroende_av_klimat*VLOOKUP($A103,Leveranser_per_nät,'Leveranser per nät'!R$1,FALSE)/VLOOKUP($B103,Korrigeringsfaktor_EI,'Korrigeringsfaktor EI'!R$1,FALSE),
"")</f>
        <v>26.777259574468086</v>
      </c>
      <c r="S103" s="18">
        <f>IFERROR(
                  Andel_oberoende_av_klimat*VLOOKUP($A103,Leveranser_per_nät,'Leveranser per nät'!S$1,FALSE)
               +Andel_beroende_av_klimat*VLOOKUP($A103,Leveranser_per_nät,'Leveranser per nät'!S$1,FALSE)/VLOOKUP($B103,Korrigeringsfaktor_EI,'Korrigeringsfaktor EI'!S$1,FALSE),
"")</f>
        <v>26.449514563106796</v>
      </c>
      <c r="T103" s="18">
        <f>IFERROR(
                  Andel_oberoende_av_klimat*VLOOKUP($A103,Leveranser_per_nät,'Leveranser per nät'!T$1,FALSE)
               +Andel_beroende_av_klimat*VLOOKUP($A103,Leveranser_per_nät,'Leveranser per nät'!T$1,FALSE)/VLOOKUP($B103,Korrigeringsfaktor_EI,'Korrigeringsfaktor EI'!T$1,FALSE),
"")</f>
        <v>26.1</v>
      </c>
      <c r="U103" s="18">
        <f>IFERROR(
                  Andel_oberoende_av_klimat*VLOOKUP($A103,Leveranser_per_nät,'Leveranser per nät'!U$1,FALSE)
               +Andel_beroende_av_klimat*VLOOKUP($A103,Leveranser_per_nät,'Leveranser per nät'!U$1,FALSE)/VLOOKUP($B103,Korrigeringsfaktor_EI,'Korrigeringsfaktor EI'!U$1,FALSE),
"")</f>
        <v>25.758888888888887</v>
      </c>
      <c r="V103" s="18">
        <f>IFERROR(
                  Andel_oberoende_av_klimat*VLOOKUP($A103,Leveranser_per_nät,'Leveranser per nät'!V$1,FALSE)
               +Andel_beroende_av_klimat*VLOOKUP($A103,Leveranser_per_nät,'Leveranser per nät'!V$1,FALSE)/VLOOKUP($B103,Korrigeringsfaktor_EI,'Korrigeringsfaktor EI'!V$1,FALSE),
"")</f>
        <v>26.181363636363635</v>
      </c>
      <c r="W103" s="18">
        <f>IFERROR(
                  Andel_oberoende_av_klimat*VLOOKUP($A103,Leveranser_per_nät,'Leveranser per nät'!W$1,FALSE)
               +Andel_beroende_av_klimat*VLOOKUP($A103,Leveranser_per_nät,'Leveranser per nät'!W$1,FALSE)/VLOOKUP($B103,Korrigeringsfaktor_EI,'Korrigeringsfaktor EI'!W$1,FALSE),
"")</f>
        <v>26.112868421052632</v>
      </c>
      <c r="X103" s="18">
        <f>IFERROR(
                  Andel_oberoende_av_klimat*VLOOKUP($A103,Leveranser_per_nät,'Leveranser per nät'!X$1,FALSE)
               +Andel_beroende_av_klimat*VLOOKUP($A103,Leveranser_per_nät,'Leveranser per nät'!X$1,FALSE)/VLOOKUP($B103,Korrigeringsfaktor_EI,'Korrigeringsfaktor EI'!X$1,FALSE),
"")</f>
        <v>26.22148936170213</v>
      </c>
      <c r="Y103" s="18">
        <f>IFERROR(
                  Andel_oberoende_av_klimat*VLOOKUP($A103,Leveranser_per_nät,'Leveranser per nät'!Y$1,FALSE)
               +Andel_beroende_av_klimat*VLOOKUP($A103,Leveranser_per_nät,'Leveranser per nät'!Y$1,FALSE)/VLOOKUP($B103,Korrigeringsfaktor_EI,'Korrigeringsfaktor EI'!Y$1,FALSE),
"")</f>
        <v>26.097391304347827</v>
      </c>
      <c r="Z103" s="18">
        <f>IFERROR(
                  Andel_oberoende_av_klimat*VLOOKUP($A103,Leveranser_per_nät,'Leveranser per nät'!Z$1,FALSE)
               +Andel_beroende_av_klimat*VLOOKUP($A103,Leveranser_per_nät,'Leveranser per nät'!Z$1,FALSE)/VLOOKUP($B103,Korrigeringsfaktor_EI,'Korrigeringsfaktor EI'!Z$1,FALSE),
"")</f>
        <v>25.641797752808991</v>
      </c>
      <c r="AA103" s="18">
        <f>IFERROR(
                  Andel_oberoende_av_klimat*VLOOKUP($A103,Leveranser_per_nät,'Leveranser per nät'!AA$1,FALSE)
               +Andel_beroende_av_klimat*VLOOKUP($A103,Leveranser_per_nät,'Leveranser per nät'!AA$1,FALSE)/VLOOKUP($B103,Korrigeringsfaktor_EI,'Korrigeringsfaktor EI'!AA$1,FALSE),
"")</f>
        <v>25.051560989479668</v>
      </c>
      <c r="AB103" s="18">
        <f>IFERROR(
                  Andel_oberoende_av_klimat*VLOOKUP($A103,Leveranser_per_nät,'Leveranser per nät'!AB$1,FALSE)
               +Andel_beroende_av_klimat*VLOOKUP($A103,Leveranser_per_nät,'Leveranser per nät'!AB$1,FALSE)/VLOOKUP($B103,Korrigeringsfaktor_EI,'Korrigeringsfaktor EI'!AB$1,FALSE),
"")</f>
        <v>24.952538461538463</v>
      </c>
      <c r="AC103" s="18">
        <f>IFERROR(
                  Andel_oberoende_av_klimat*VLOOKUP($A103,Leveranser_per_nät,'Leveranser per nät'!AC$1,FALSE)
               +Andel_beroende_av_klimat*VLOOKUP($A103,Leveranser_per_nät,'Leveranser per nät'!AC$1,FALSE)/VLOOKUP($B103,Korrigeringsfaktor_EI,'Korrigeringsfaktor EI'!AC$1,FALSE),
"")</f>
        <v>25.129562433297757</v>
      </c>
      <c r="AD103">
        <v>167.4</v>
      </c>
    </row>
    <row r="104" spans="1:30" x14ac:dyDescent="0.25">
      <c r="A104" t="s">
        <v>1108</v>
      </c>
      <c r="B104" t="s">
        <v>168</v>
      </c>
      <c r="C104" s="18">
        <f>IFERROR(
                  Andel_oberoende_av_klimat*VLOOKUP($A104,Leveranser_per_nät,'Leveranser per nät'!C$1,FALSE)
               +Andel_beroende_av_klimat*VLOOKUP($A104,Leveranser_per_nät,'Leveranser per nät'!C$1,FALSE)/VLOOKUP($B104,Korrigeringsfaktor_EI,'Korrigeringsfaktor EI'!C$1,FALSE),
"")</f>
        <v>0</v>
      </c>
      <c r="D104" s="18">
        <f>IFERROR(
                  Andel_oberoende_av_klimat*VLOOKUP($A104,Leveranser_per_nät,'Leveranser per nät'!D$1,FALSE)
               +Andel_beroende_av_klimat*VLOOKUP($A104,Leveranser_per_nät,'Leveranser per nät'!D$1,FALSE)/VLOOKUP($B104,Korrigeringsfaktor_EI,'Korrigeringsfaktor EI'!D$1,FALSE),
"")</f>
        <v>0</v>
      </c>
      <c r="E104" s="18">
        <f>IFERROR(
                  Andel_oberoende_av_klimat*VLOOKUP($A104,Leveranser_per_nät,'Leveranser per nät'!E$1,FALSE)
               +Andel_beroende_av_klimat*VLOOKUP($A104,Leveranser_per_nät,'Leveranser per nät'!E$1,FALSE)/VLOOKUP($B104,Korrigeringsfaktor_EI,'Korrigeringsfaktor EI'!E$1,FALSE),
"")</f>
        <v>0</v>
      </c>
      <c r="F104" s="18">
        <f>IFERROR(
                  Andel_oberoende_av_klimat*VLOOKUP($A104,Leveranser_per_nät,'Leveranser per nät'!F$1,FALSE)
               +Andel_beroende_av_klimat*VLOOKUP($A104,Leveranser_per_nät,'Leveranser per nät'!F$1,FALSE)/VLOOKUP($B104,Korrigeringsfaktor_EI,'Korrigeringsfaktor EI'!F$1,FALSE),
"")</f>
        <v>0</v>
      </c>
      <c r="G104" s="18">
        <f>IFERROR(
                  Andel_oberoende_av_klimat*VLOOKUP($A104,Leveranser_per_nät,'Leveranser per nät'!G$1,FALSE)
               +Andel_beroende_av_klimat*VLOOKUP($A104,Leveranser_per_nät,'Leveranser per nät'!G$1,FALSE)/VLOOKUP($B104,Korrigeringsfaktor_EI,'Korrigeringsfaktor EI'!G$1,FALSE),
"")</f>
        <v>0</v>
      </c>
      <c r="H104" s="18">
        <f>IFERROR(
                  Andel_oberoende_av_klimat*VLOOKUP($A104,Leveranser_per_nät,'Leveranser per nät'!H$1,FALSE)
               +Andel_beroende_av_klimat*VLOOKUP($A104,Leveranser_per_nät,'Leveranser per nät'!H$1,FALSE)/VLOOKUP($B104,Korrigeringsfaktor_EI,'Korrigeringsfaktor EI'!H$1,FALSE),
"")</f>
        <v>0</v>
      </c>
      <c r="I104" s="18">
        <f>IFERROR(
                  Andel_oberoende_av_klimat*VLOOKUP($A104,Leveranser_per_nät,'Leveranser per nät'!I$1,FALSE)
               +Andel_beroende_av_klimat*VLOOKUP($A104,Leveranser_per_nät,'Leveranser per nät'!I$1,FALSE)/VLOOKUP($B104,Korrigeringsfaktor_EI,'Korrigeringsfaktor EI'!I$1,FALSE),
"")</f>
        <v>0</v>
      </c>
      <c r="J104" s="18">
        <f>IFERROR(
                  Andel_oberoende_av_klimat*VLOOKUP($A104,Leveranser_per_nät,'Leveranser per nät'!J$1,FALSE)
               +Andel_beroende_av_klimat*VLOOKUP($A104,Leveranser_per_nät,'Leveranser per nät'!J$1,FALSE)/VLOOKUP($B104,Korrigeringsfaktor_EI,'Korrigeringsfaktor EI'!J$1,FALSE),
"")</f>
        <v>0</v>
      </c>
      <c r="K104" s="18">
        <f>IFERROR(
                  Andel_oberoende_av_klimat*VLOOKUP($A104,Leveranser_per_nät,'Leveranser per nät'!K$1,FALSE)
               +Andel_beroende_av_klimat*VLOOKUP($A104,Leveranser_per_nät,'Leveranser per nät'!K$1,FALSE)/VLOOKUP($B104,Korrigeringsfaktor_EI,'Korrigeringsfaktor EI'!K$1,FALSE),
"")</f>
        <v>0</v>
      </c>
      <c r="L104" s="18">
        <f>IFERROR(
                  Andel_oberoende_av_klimat*VLOOKUP($A104,Leveranser_per_nät,'Leveranser per nät'!L$1,FALSE)
               +Andel_beroende_av_klimat*VLOOKUP($A104,Leveranser_per_nät,'Leveranser per nät'!L$1,FALSE)/VLOOKUP($B104,Korrigeringsfaktor_EI,'Korrigeringsfaktor EI'!L$1,FALSE),
"")</f>
        <v>0</v>
      </c>
      <c r="M104" s="18">
        <f>IFERROR(
                  Andel_oberoende_av_klimat*VLOOKUP($A104,Leveranser_per_nät,'Leveranser per nät'!M$1,FALSE)
               +Andel_beroende_av_klimat*VLOOKUP($A104,Leveranser_per_nät,'Leveranser per nät'!M$1,FALSE)/VLOOKUP($B104,Korrigeringsfaktor_EI,'Korrigeringsfaktor EI'!M$1,FALSE),
"")</f>
        <v>0</v>
      </c>
      <c r="N104" s="18">
        <f>IFERROR(
                  Andel_oberoende_av_klimat*VLOOKUP($A104,Leveranser_per_nät,'Leveranser per nät'!N$1,FALSE)
               +Andel_beroende_av_klimat*VLOOKUP($A104,Leveranser_per_nät,'Leveranser per nät'!N$1,FALSE)/VLOOKUP($B104,Korrigeringsfaktor_EI,'Korrigeringsfaktor EI'!N$1,FALSE),
"")</f>
        <v>0</v>
      </c>
      <c r="O104" s="18">
        <f>IFERROR(
                  Andel_oberoende_av_klimat*VLOOKUP($A104,Leveranser_per_nät,'Leveranser per nät'!O$1,FALSE)
               +Andel_beroende_av_klimat*VLOOKUP($A104,Leveranser_per_nät,'Leveranser per nät'!O$1,FALSE)/VLOOKUP($B104,Korrigeringsfaktor_EI,'Korrigeringsfaktor EI'!O$1,FALSE),
"")</f>
        <v>0</v>
      </c>
      <c r="P104" s="18">
        <f>IFERROR(
                  Andel_oberoende_av_klimat*VLOOKUP($A104,Leveranser_per_nät,'Leveranser per nät'!P$1,FALSE)
               +Andel_beroende_av_klimat*VLOOKUP($A104,Leveranser_per_nät,'Leveranser per nät'!P$1,FALSE)/VLOOKUP($B104,Korrigeringsfaktor_EI,'Korrigeringsfaktor EI'!P$1,FALSE),
"")</f>
        <v>0</v>
      </c>
      <c r="Q104" s="18">
        <f>IFERROR(
                  Andel_oberoende_av_klimat*VLOOKUP($A104,Leveranser_per_nät,'Leveranser per nät'!Q$1,FALSE)
               +Andel_beroende_av_klimat*VLOOKUP($A104,Leveranser_per_nät,'Leveranser per nät'!Q$1,FALSE)/VLOOKUP($B104,Korrigeringsfaktor_EI,'Korrigeringsfaktor EI'!Q$1,FALSE),
"")</f>
        <v>0</v>
      </c>
      <c r="R104" s="18">
        <f>IFERROR(
                  Andel_oberoende_av_klimat*VLOOKUP($A104,Leveranser_per_nät,'Leveranser per nät'!R$1,FALSE)
               +Andel_beroende_av_klimat*VLOOKUP($A104,Leveranser_per_nät,'Leveranser per nät'!R$1,FALSE)/VLOOKUP($B104,Korrigeringsfaktor_EI,'Korrigeringsfaktor EI'!R$1,FALSE),
"")</f>
        <v>0</v>
      </c>
      <c r="S104" s="18">
        <f>IFERROR(
                  Andel_oberoende_av_klimat*VLOOKUP($A104,Leveranser_per_nät,'Leveranser per nät'!S$1,FALSE)
               +Andel_beroende_av_klimat*VLOOKUP($A104,Leveranser_per_nät,'Leveranser per nät'!S$1,FALSE)/VLOOKUP($B104,Korrigeringsfaktor_EI,'Korrigeringsfaktor EI'!S$1,FALSE),
"")</f>
        <v>0</v>
      </c>
      <c r="T104" s="18">
        <f>IFERROR(
                  Andel_oberoende_av_klimat*VLOOKUP($A104,Leveranser_per_nät,'Leveranser per nät'!T$1,FALSE)
               +Andel_beroende_av_klimat*VLOOKUP($A104,Leveranser_per_nät,'Leveranser per nät'!T$1,FALSE)/VLOOKUP($B104,Korrigeringsfaktor_EI,'Korrigeringsfaktor EI'!T$1,FALSE),
"")</f>
        <v>0</v>
      </c>
      <c r="U104" s="18">
        <f>IFERROR(
                  Andel_oberoende_av_klimat*VLOOKUP($A104,Leveranser_per_nät,'Leveranser per nät'!U$1,FALSE)
               +Andel_beroende_av_klimat*VLOOKUP($A104,Leveranser_per_nät,'Leveranser per nät'!U$1,FALSE)/VLOOKUP($B104,Korrigeringsfaktor_EI,'Korrigeringsfaktor EI'!U$1,FALSE),
"")</f>
        <v>0</v>
      </c>
      <c r="V104" s="18">
        <f>IFERROR(
                  Andel_oberoende_av_klimat*VLOOKUP($A104,Leveranser_per_nät,'Leveranser per nät'!V$1,FALSE)
               +Andel_beroende_av_klimat*VLOOKUP($A104,Leveranser_per_nät,'Leveranser per nät'!V$1,FALSE)/VLOOKUP($B104,Korrigeringsfaktor_EI,'Korrigeringsfaktor EI'!V$1,FALSE),
"")</f>
        <v>6.0844943820224717</v>
      </c>
      <c r="W104" s="18">
        <f>IFERROR(
                  Andel_oberoende_av_klimat*VLOOKUP($A104,Leveranser_per_nät,'Leveranser per nät'!W$1,FALSE)
               +Andel_beroende_av_klimat*VLOOKUP($A104,Leveranser_per_nät,'Leveranser per nät'!W$1,FALSE)/VLOOKUP($B104,Korrigeringsfaktor_EI,'Korrigeringsfaktor EI'!W$1,FALSE),
"")</f>
        <v>4.596595744680851</v>
      </c>
      <c r="X104" s="18">
        <f>IFERROR(
                  Andel_oberoende_av_klimat*VLOOKUP($A104,Leveranser_per_nät,'Leveranser per nät'!X$1,FALSE)
               +Andel_beroende_av_klimat*VLOOKUP($A104,Leveranser_per_nät,'Leveranser per nät'!X$1,FALSE)/VLOOKUP($B104,Korrigeringsfaktor_EI,'Korrigeringsfaktor EI'!X$1,FALSE),
"")</f>
        <v>7.0530107526881718</v>
      </c>
      <c r="Y104" s="18">
        <f>IFERROR(
                  Andel_oberoende_av_klimat*VLOOKUP($A104,Leveranser_per_nät,'Leveranser per nät'!Y$1,FALSE)
               +Andel_beroende_av_klimat*VLOOKUP($A104,Leveranser_per_nät,'Leveranser per nät'!Y$1,FALSE)/VLOOKUP($B104,Korrigeringsfaktor_EI,'Korrigeringsfaktor EI'!Y$1,FALSE),
"")</f>
        <v>6.7361538461538455</v>
      </c>
      <c r="Z104" s="18">
        <f>IFERROR(
                  Andel_oberoende_av_klimat*VLOOKUP($A104,Leveranser_per_nät,'Leveranser per nät'!Z$1,FALSE)
               +Andel_beroende_av_klimat*VLOOKUP($A104,Leveranser_per_nät,'Leveranser per nät'!Z$1,FALSE)/VLOOKUP($B104,Korrigeringsfaktor_EI,'Korrigeringsfaktor EI'!Z$1,FALSE),
"")</f>
        <v>2.2816853932584271</v>
      </c>
      <c r="AA104" s="18">
        <f>IFERROR(
                  Andel_oberoende_av_klimat*VLOOKUP($A104,Leveranser_per_nät,'Leveranser per nät'!AA$1,FALSE)
               +Andel_beroende_av_klimat*VLOOKUP($A104,Leveranser_per_nät,'Leveranser per nät'!AA$1,FALSE)/VLOOKUP($B104,Korrigeringsfaktor_EI,'Korrigeringsfaktor EI'!AA$1,FALSE),
"")</f>
        <v>30.360599250936332</v>
      </c>
      <c r="AB104" s="18">
        <f>IFERROR(
                  Andel_oberoende_av_klimat*VLOOKUP($A104,Leveranser_per_nät,'Leveranser per nät'!AB$1,FALSE)
               +Andel_beroende_av_klimat*VLOOKUP($A104,Leveranser_per_nät,'Leveranser per nät'!AB$1,FALSE)/VLOOKUP($B104,Korrigeringsfaktor_EI,'Korrigeringsfaktor EI'!AB$1,FALSE),
"")</f>
        <v>24.005727810650882</v>
      </c>
      <c r="AC104" s="18">
        <f>IFERROR(
                  Andel_oberoende_av_klimat*VLOOKUP($A104,Leveranser_per_nät,'Leveranser per nät'!AC$1,FALSE)
               +Andel_beroende_av_klimat*VLOOKUP($A104,Leveranser_per_nät,'Leveranser per nät'!AC$1,FALSE)/VLOOKUP($B104,Korrigeringsfaktor_EI,'Korrigeringsfaktor EI'!AC$1,FALSE),
"")</f>
        <v>28.246169491525421</v>
      </c>
      <c r="AD104">
        <v>163.92</v>
      </c>
    </row>
    <row r="105" spans="1:30" x14ac:dyDescent="0.25">
      <c r="A105" t="s">
        <v>214</v>
      </c>
      <c r="B105" t="s">
        <v>447</v>
      </c>
      <c r="C105" s="18">
        <f>IFERROR(
                  Andel_oberoende_av_klimat*VLOOKUP($A105,Leveranser_per_nät,'Leveranser per nät'!C$1,FALSE)
               +Andel_beroende_av_klimat*VLOOKUP($A105,Leveranser_per_nät,'Leveranser per nät'!C$1,FALSE)/VLOOKUP($B105,Korrigeringsfaktor_EI,'Korrigeringsfaktor EI'!C$1,FALSE),
"")</f>
        <v>0</v>
      </c>
      <c r="D105" s="18">
        <f>IFERROR(
                  Andel_oberoende_av_klimat*VLOOKUP($A105,Leveranser_per_nät,'Leveranser per nät'!D$1,FALSE)
               +Andel_beroende_av_klimat*VLOOKUP($A105,Leveranser_per_nät,'Leveranser per nät'!D$1,FALSE)/VLOOKUP($B105,Korrigeringsfaktor_EI,'Korrigeringsfaktor EI'!D$1,FALSE),
"")</f>
        <v>0</v>
      </c>
      <c r="E105" s="18">
        <f>IFERROR(
                  Andel_oberoende_av_klimat*VLOOKUP($A105,Leveranser_per_nät,'Leveranser per nät'!E$1,FALSE)
               +Andel_beroende_av_klimat*VLOOKUP($A105,Leveranser_per_nät,'Leveranser per nät'!E$1,FALSE)/VLOOKUP($B105,Korrigeringsfaktor_EI,'Korrigeringsfaktor EI'!E$1,FALSE),
"")</f>
        <v>0</v>
      </c>
      <c r="F105" s="18">
        <f>IFERROR(
                  Andel_oberoende_av_klimat*VLOOKUP($A105,Leveranser_per_nät,'Leveranser per nät'!F$1,FALSE)
               +Andel_beroende_av_klimat*VLOOKUP($A105,Leveranser_per_nät,'Leveranser per nät'!F$1,FALSE)/VLOOKUP($B105,Korrigeringsfaktor_EI,'Korrigeringsfaktor EI'!F$1,FALSE),
"")</f>
        <v>0</v>
      </c>
      <c r="G105" s="18">
        <f>IFERROR(
                  Andel_oberoende_av_klimat*VLOOKUP($A105,Leveranser_per_nät,'Leveranser per nät'!G$1,FALSE)
               +Andel_beroende_av_klimat*VLOOKUP($A105,Leveranser_per_nät,'Leveranser per nät'!G$1,FALSE)/VLOOKUP($B105,Korrigeringsfaktor_EI,'Korrigeringsfaktor EI'!G$1,FALSE),
"")</f>
        <v>0</v>
      </c>
      <c r="H105" s="18">
        <f>IFERROR(
                  Andel_oberoende_av_klimat*VLOOKUP($A105,Leveranser_per_nät,'Leveranser per nät'!H$1,FALSE)
               +Andel_beroende_av_klimat*VLOOKUP($A105,Leveranser_per_nät,'Leveranser per nät'!H$1,FALSE)/VLOOKUP($B105,Korrigeringsfaktor_EI,'Korrigeringsfaktor EI'!H$1,FALSE),
"")</f>
        <v>0</v>
      </c>
      <c r="I105" s="18">
        <f>IFERROR(
                  Andel_oberoende_av_klimat*VLOOKUP($A105,Leveranser_per_nät,'Leveranser per nät'!I$1,FALSE)
               +Andel_beroende_av_klimat*VLOOKUP($A105,Leveranser_per_nät,'Leveranser per nät'!I$1,FALSE)/VLOOKUP($B105,Korrigeringsfaktor_EI,'Korrigeringsfaktor EI'!I$1,FALSE),
"")</f>
        <v>0</v>
      </c>
      <c r="J105" s="18">
        <f>IFERROR(
                  Andel_oberoende_av_klimat*VLOOKUP($A105,Leveranser_per_nät,'Leveranser per nät'!J$1,FALSE)
               +Andel_beroende_av_klimat*VLOOKUP($A105,Leveranser_per_nät,'Leveranser per nät'!J$1,FALSE)/VLOOKUP($B105,Korrigeringsfaktor_EI,'Korrigeringsfaktor EI'!J$1,FALSE),
"")</f>
        <v>0</v>
      </c>
      <c r="K105" s="18">
        <f>IFERROR(
                  Andel_oberoende_av_klimat*VLOOKUP($A105,Leveranser_per_nät,'Leveranser per nät'!K$1,FALSE)
               +Andel_beroende_av_klimat*VLOOKUP($A105,Leveranser_per_nät,'Leveranser per nät'!K$1,FALSE)/VLOOKUP($B105,Korrigeringsfaktor_EI,'Korrigeringsfaktor EI'!K$1,FALSE),
"")</f>
        <v>0</v>
      </c>
      <c r="L105" s="18">
        <f>IFERROR(
                  Andel_oberoende_av_klimat*VLOOKUP($A105,Leveranser_per_nät,'Leveranser per nät'!L$1,FALSE)
               +Andel_beroende_av_klimat*VLOOKUP($A105,Leveranser_per_nät,'Leveranser per nät'!L$1,FALSE)/VLOOKUP($B105,Korrigeringsfaktor_EI,'Korrigeringsfaktor EI'!L$1,FALSE),
"")</f>
        <v>9.2689850424340037</v>
      </c>
      <c r="M105" s="18">
        <f>IFERROR(
                  Andel_oberoende_av_klimat*VLOOKUP($A105,Leveranser_per_nät,'Leveranser per nät'!M$1,FALSE)
               +Andel_beroende_av_klimat*VLOOKUP($A105,Leveranser_per_nät,'Leveranser per nät'!M$1,FALSE)/VLOOKUP($B105,Korrigeringsfaktor_EI,'Korrigeringsfaktor EI'!M$1,FALSE),
"")</f>
        <v>13.325979569892473</v>
      </c>
      <c r="N105" s="18">
        <f>IFERROR(
                  Andel_oberoende_av_klimat*VLOOKUP($A105,Leveranser_per_nät,'Leveranser per nät'!N$1,FALSE)
               +Andel_beroende_av_klimat*VLOOKUP($A105,Leveranser_per_nät,'Leveranser per nät'!N$1,FALSE)/VLOOKUP($B105,Korrigeringsfaktor_EI,'Korrigeringsfaktor EI'!N$1,FALSE),
"")</f>
        <v>2.6957894736842105</v>
      </c>
      <c r="O105" s="18">
        <f>IFERROR(
                  Andel_oberoende_av_klimat*VLOOKUP($A105,Leveranser_per_nät,'Leveranser per nät'!O$1,FALSE)
               +Andel_beroende_av_klimat*VLOOKUP($A105,Leveranser_per_nät,'Leveranser per nät'!O$1,FALSE)/VLOOKUP($B105,Korrigeringsfaktor_EI,'Korrigeringsfaktor EI'!O$1,FALSE),
"")</f>
        <v>13.158602150537634</v>
      </c>
      <c r="P105" s="18">
        <f>IFERROR(
                  Andel_oberoende_av_klimat*VLOOKUP($A105,Leveranser_per_nät,'Leveranser per nät'!P$1,FALSE)
               +Andel_beroende_av_klimat*VLOOKUP($A105,Leveranser_per_nät,'Leveranser per nät'!P$1,FALSE)/VLOOKUP($B105,Korrigeringsfaktor_EI,'Korrigeringsfaktor EI'!P$1,FALSE),
"")</f>
        <v>12.157628865979381</v>
      </c>
      <c r="Q105" s="18">
        <f>IFERROR(
                  Andel_oberoende_av_klimat*VLOOKUP($A105,Leveranser_per_nät,'Leveranser per nät'!Q$1,FALSE)
               +Andel_beroende_av_klimat*VLOOKUP($A105,Leveranser_per_nät,'Leveranser per nät'!Q$1,FALSE)/VLOOKUP($B105,Korrigeringsfaktor_EI,'Korrigeringsfaktor EI'!Q$1,FALSE),
"")</f>
        <v>11.704840707964603</v>
      </c>
      <c r="R105" s="18">
        <f>IFERROR(
                  Andel_oberoende_av_klimat*VLOOKUP($A105,Leveranser_per_nät,'Leveranser per nät'!R$1,FALSE)
               +Andel_beroende_av_klimat*VLOOKUP($A105,Leveranser_per_nät,'Leveranser per nät'!R$1,FALSE)/VLOOKUP($B105,Korrigeringsfaktor_EI,'Korrigeringsfaktor EI'!R$1,FALSE),
"")</f>
        <v>12.030120430107527</v>
      </c>
      <c r="S105" s="18">
        <f>IFERROR(
                  Andel_oberoende_av_klimat*VLOOKUP($A105,Leveranser_per_nät,'Leveranser per nät'!S$1,FALSE)
               +Andel_beroende_av_klimat*VLOOKUP($A105,Leveranser_per_nät,'Leveranser per nät'!S$1,FALSE)/VLOOKUP($B105,Korrigeringsfaktor_EI,'Korrigeringsfaktor EI'!S$1,FALSE),
"")</f>
        <v>11.971612821108256</v>
      </c>
      <c r="T105" s="18">
        <f>IFERROR(
                  Andel_oberoende_av_klimat*VLOOKUP($A105,Leveranser_per_nät,'Leveranser per nät'!T$1,FALSE)
               +Andel_beroende_av_klimat*VLOOKUP($A105,Leveranser_per_nät,'Leveranser per nät'!T$1,FALSE)/VLOOKUP($B105,Korrigeringsfaktor_EI,'Korrigeringsfaktor EI'!T$1,FALSE),
"")</f>
        <v>14.78780561025129</v>
      </c>
      <c r="U105" s="18">
        <f>IFERROR(
                  Andel_oberoende_av_klimat*VLOOKUP($A105,Leveranser_per_nät,'Leveranser per nät'!U$1,FALSE)
               +Andel_beroende_av_klimat*VLOOKUP($A105,Leveranser_per_nät,'Leveranser per nät'!U$1,FALSE)/VLOOKUP($B105,Korrigeringsfaktor_EI,'Korrigeringsfaktor EI'!U$1,FALSE),
"")</f>
        <v>10.10458543444212</v>
      </c>
      <c r="V105" s="18">
        <f>IFERROR(
                  Andel_oberoende_av_klimat*VLOOKUP($A105,Leveranser_per_nät,'Leveranser per nät'!V$1,FALSE)
               +Andel_beroende_av_klimat*VLOOKUP($A105,Leveranser_per_nät,'Leveranser per nät'!V$1,FALSE)/VLOOKUP($B105,Korrigeringsfaktor_EI,'Korrigeringsfaktor EI'!V$1,FALSE),
"")</f>
        <v>10.264975679433267</v>
      </c>
      <c r="W105" s="18">
        <f>IFERROR(
                  Andel_oberoende_av_klimat*VLOOKUP($A105,Leveranser_per_nät,'Leveranser per nät'!W$1,FALSE)
               +Andel_beroende_av_klimat*VLOOKUP($A105,Leveranser_per_nät,'Leveranser per nät'!W$1,FALSE)/VLOOKUP($B105,Korrigeringsfaktor_EI,'Korrigeringsfaktor EI'!W$1,FALSE),
"")</f>
        <v>11.394601935886477</v>
      </c>
      <c r="X105" s="18">
        <f>IFERROR(
                  Andel_oberoende_av_klimat*VLOOKUP($A105,Leveranser_per_nät,'Leveranser per nät'!X$1,FALSE)
               +Andel_beroende_av_klimat*VLOOKUP($A105,Leveranser_per_nät,'Leveranser per nät'!X$1,FALSE)/VLOOKUP($B105,Korrigeringsfaktor_EI,'Korrigeringsfaktor EI'!X$1,FALSE),
"")</f>
        <v>12.030269016718643</v>
      </c>
      <c r="Y105" s="18">
        <f>IFERROR(
                  Andel_oberoende_av_klimat*VLOOKUP($A105,Leveranser_per_nät,'Leveranser per nät'!Y$1,FALSE)
               +Andel_beroende_av_klimat*VLOOKUP($A105,Leveranser_per_nät,'Leveranser per nät'!Y$1,FALSE)/VLOOKUP($B105,Korrigeringsfaktor_EI,'Korrigeringsfaktor EI'!Y$1,FALSE),
"")</f>
        <v>13.13649569892473</v>
      </c>
      <c r="Z105" s="18">
        <f>IFERROR(
                  Andel_oberoende_av_klimat*VLOOKUP($A105,Leveranser_per_nät,'Leveranser per nät'!Z$1,FALSE)
               +Andel_beroende_av_klimat*VLOOKUP($A105,Leveranser_per_nät,'Leveranser per nät'!Z$1,FALSE)/VLOOKUP($B105,Korrigeringsfaktor_EI,'Korrigeringsfaktor EI'!Z$1,FALSE),
"")</f>
        <v>16.297718279569892</v>
      </c>
      <c r="AA105" s="18">
        <f>IFERROR(
                  Andel_oberoende_av_klimat*VLOOKUP($A105,Leveranser_per_nät,'Leveranser per nät'!AA$1,FALSE)
               +Andel_beroende_av_klimat*VLOOKUP($A105,Leveranser_per_nät,'Leveranser per nät'!AA$1,FALSE)/VLOOKUP($B105,Korrigeringsfaktor_EI,'Korrigeringsfaktor EI'!AA$1,FALSE),
"")</f>
        <v>15.799329796222663</v>
      </c>
      <c r="AB105" s="18">
        <f>IFERROR(
                  Andel_oberoende_av_klimat*VLOOKUP($A105,Leveranser_per_nät,'Leveranser per nät'!AB$1,FALSE)
               +Andel_beroende_av_klimat*VLOOKUP($A105,Leveranser_per_nät,'Leveranser per nät'!AB$1,FALSE)/VLOOKUP($B105,Korrigeringsfaktor_EI,'Korrigeringsfaktor EI'!AB$1,FALSE),
"")</f>
        <v>17.161987624750498</v>
      </c>
      <c r="AC105" s="18">
        <f>IFERROR(
                  Andel_oberoende_av_klimat*VLOOKUP($A105,Leveranser_per_nät,'Leveranser per nät'!AC$1,FALSE)
               +Andel_beroende_av_klimat*VLOOKUP($A105,Leveranser_per_nät,'Leveranser per nät'!AC$1,FALSE)/VLOOKUP($B105,Korrigeringsfaktor_EI,'Korrigeringsfaktor EI'!AC$1,FALSE),
"")</f>
        <v>16.797079562043798</v>
      </c>
      <c r="AD105" t="e">
        <v>#N/A</v>
      </c>
    </row>
    <row r="106" spans="1:30" x14ac:dyDescent="0.25">
      <c r="A106" t="s">
        <v>443</v>
      </c>
      <c r="B106" t="s">
        <v>443</v>
      </c>
      <c r="C106" s="18">
        <f>IFERROR(
                  Andel_oberoende_av_klimat*VLOOKUP($A106,Leveranser_per_nät,'Leveranser per nät'!C$1,FALSE)
               +Andel_beroende_av_klimat*VLOOKUP($A106,Leveranser_per_nät,'Leveranser per nät'!C$1,FALSE)/VLOOKUP($B106,Korrigeringsfaktor_EI,'Korrigeringsfaktor EI'!C$1,FALSE),
"")</f>
        <v>0</v>
      </c>
      <c r="D106" s="18">
        <f>IFERROR(
                  Andel_oberoende_av_klimat*VLOOKUP($A106,Leveranser_per_nät,'Leveranser per nät'!D$1,FALSE)
               +Andel_beroende_av_klimat*VLOOKUP($A106,Leveranser_per_nät,'Leveranser per nät'!D$1,FALSE)/VLOOKUP($B106,Korrigeringsfaktor_EI,'Korrigeringsfaktor EI'!D$1,FALSE),
"")</f>
        <v>0</v>
      </c>
      <c r="E106" s="18">
        <f>IFERROR(
                  Andel_oberoende_av_klimat*VLOOKUP($A106,Leveranser_per_nät,'Leveranser per nät'!E$1,FALSE)
               +Andel_beroende_av_klimat*VLOOKUP($A106,Leveranser_per_nät,'Leveranser per nät'!E$1,FALSE)/VLOOKUP($B106,Korrigeringsfaktor_EI,'Korrigeringsfaktor EI'!E$1,FALSE),
"")</f>
        <v>0</v>
      </c>
      <c r="F106" s="18">
        <f>IFERROR(
                  Andel_oberoende_av_klimat*VLOOKUP($A106,Leveranser_per_nät,'Leveranser per nät'!F$1,FALSE)
               +Andel_beroende_av_klimat*VLOOKUP($A106,Leveranser_per_nät,'Leveranser per nät'!F$1,FALSE)/VLOOKUP($B106,Korrigeringsfaktor_EI,'Korrigeringsfaktor EI'!F$1,FALSE),
"")</f>
        <v>0</v>
      </c>
      <c r="G106" s="18">
        <f>IFERROR(
                  Andel_oberoende_av_klimat*VLOOKUP($A106,Leveranser_per_nät,'Leveranser per nät'!G$1,FALSE)
               +Andel_beroende_av_klimat*VLOOKUP($A106,Leveranser_per_nät,'Leveranser per nät'!G$1,FALSE)/VLOOKUP($B106,Korrigeringsfaktor_EI,'Korrigeringsfaktor EI'!G$1,FALSE),
"")</f>
        <v>0</v>
      </c>
      <c r="H106" s="18">
        <f>IFERROR(
                  Andel_oberoende_av_klimat*VLOOKUP($A106,Leveranser_per_nät,'Leveranser per nät'!H$1,FALSE)
               +Andel_beroende_av_klimat*VLOOKUP($A106,Leveranser_per_nät,'Leveranser per nät'!H$1,FALSE)/VLOOKUP($B106,Korrigeringsfaktor_EI,'Korrigeringsfaktor EI'!H$1,FALSE),
"")</f>
        <v>0</v>
      </c>
      <c r="I106" s="18">
        <f>IFERROR(
                  Andel_oberoende_av_klimat*VLOOKUP($A106,Leveranser_per_nät,'Leveranser per nät'!I$1,FALSE)
               +Andel_beroende_av_klimat*VLOOKUP($A106,Leveranser_per_nät,'Leveranser per nät'!I$1,FALSE)/VLOOKUP($B106,Korrigeringsfaktor_EI,'Korrigeringsfaktor EI'!I$1,FALSE),
"")</f>
        <v>0</v>
      </c>
      <c r="J106" s="18">
        <f>IFERROR(
                  Andel_oberoende_av_klimat*VLOOKUP($A106,Leveranser_per_nät,'Leveranser per nät'!J$1,FALSE)
               +Andel_beroende_av_klimat*VLOOKUP($A106,Leveranser_per_nät,'Leveranser per nät'!J$1,FALSE)/VLOOKUP($B106,Korrigeringsfaktor_EI,'Korrigeringsfaktor EI'!J$1,FALSE),
"")</f>
        <v>0</v>
      </c>
      <c r="K106" s="18">
        <f>IFERROR(
                  Andel_oberoende_av_klimat*VLOOKUP($A106,Leveranser_per_nät,'Leveranser per nät'!K$1,FALSE)
               +Andel_beroende_av_klimat*VLOOKUP($A106,Leveranser_per_nät,'Leveranser per nät'!K$1,FALSE)/VLOOKUP($B106,Korrigeringsfaktor_EI,'Korrigeringsfaktor EI'!K$1,FALSE),
"")</f>
        <v>0</v>
      </c>
      <c r="L106" s="18">
        <f>IFERROR(
                  Andel_oberoende_av_klimat*VLOOKUP($A106,Leveranser_per_nät,'Leveranser per nät'!L$1,FALSE)
               +Andel_beroende_av_klimat*VLOOKUP($A106,Leveranser_per_nät,'Leveranser per nät'!L$1,FALSE)/VLOOKUP($B106,Korrigeringsfaktor_EI,'Korrigeringsfaktor EI'!L$1,FALSE),
"")</f>
        <v>0</v>
      </c>
      <c r="M106" s="18">
        <f>IFERROR(
                  Andel_oberoende_av_klimat*VLOOKUP($A106,Leveranser_per_nät,'Leveranser per nät'!M$1,FALSE)
               +Andel_beroende_av_klimat*VLOOKUP($A106,Leveranser_per_nät,'Leveranser per nät'!M$1,FALSE)/VLOOKUP($B106,Korrigeringsfaktor_EI,'Korrigeringsfaktor EI'!M$1,FALSE),
"")</f>
        <v>0</v>
      </c>
      <c r="N106" s="18">
        <f>IFERROR(
                  Andel_oberoende_av_klimat*VLOOKUP($A106,Leveranser_per_nät,'Leveranser per nät'!N$1,FALSE)
               +Andel_beroende_av_klimat*VLOOKUP($A106,Leveranser_per_nät,'Leveranser per nät'!N$1,FALSE)/VLOOKUP($B106,Korrigeringsfaktor_EI,'Korrigeringsfaktor EI'!N$1,FALSE),
"")</f>
        <v>0</v>
      </c>
      <c r="O106" s="18">
        <f>IFERROR(
                  Andel_oberoende_av_klimat*VLOOKUP($A106,Leveranser_per_nät,'Leveranser per nät'!O$1,FALSE)
               +Andel_beroende_av_klimat*VLOOKUP($A106,Leveranser_per_nät,'Leveranser per nät'!O$1,FALSE)/VLOOKUP($B106,Korrigeringsfaktor_EI,'Korrigeringsfaktor EI'!O$1,FALSE),
"")</f>
        <v>0</v>
      </c>
      <c r="P106" s="18">
        <f>IFERROR(
                  Andel_oberoende_av_klimat*VLOOKUP($A106,Leveranser_per_nät,'Leveranser per nät'!P$1,FALSE)
               +Andel_beroende_av_klimat*VLOOKUP($A106,Leveranser_per_nät,'Leveranser per nät'!P$1,FALSE)/VLOOKUP($B106,Korrigeringsfaktor_EI,'Korrigeringsfaktor EI'!P$1,FALSE),
"")</f>
        <v>0</v>
      </c>
      <c r="Q106" s="18">
        <f>IFERROR(
                  Andel_oberoende_av_klimat*VLOOKUP($A106,Leveranser_per_nät,'Leveranser per nät'!Q$1,FALSE)
               +Andel_beroende_av_klimat*VLOOKUP($A106,Leveranser_per_nät,'Leveranser per nät'!Q$1,FALSE)/VLOOKUP($B106,Korrigeringsfaktor_EI,'Korrigeringsfaktor EI'!Q$1,FALSE),
"")</f>
        <v>0</v>
      </c>
      <c r="R106" s="18">
        <f>IFERROR(
                  Andel_oberoende_av_klimat*VLOOKUP($A106,Leveranser_per_nät,'Leveranser per nät'!R$1,FALSE)
               +Andel_beroende_av_klimat*VLOOKUP($A106,Leveranser_per_nät,'Leveranser per nät'!R$1,FALSE)/VLOOKUP($B106,Korrigeringsfaktor_EI,'Korrigeringsfaktor EI'!R$1,FALSE),
"")</f>
        <v>0</v>
      </c>
      <c r="S106" s="18">
        <f>IFERROR(
                  Andel_oberoende_av_klimat*VLOOKUP($A106,Leveranser_per_nät,'Leveranser per nät'!S$1,FALSE)
               +Andel_beroende_av_klimat*VLOOKUP($A106,Leveranser_per_nät,'Leveranser per nät'!S$1,FALSE)/VLOOKUP($B106,Korrigeringsfaktor_EI,'Korrigeringsfaktor EI'!S$1,FALSE),
"")</f>
        <v>0</v>
      </c>
      <c r="T106" s="18">
        <f>IFERROR(
                  Andel_oberoende_av_klimat*VLOOKUP($A106,Leveranser_per_nät,'Leveranser per nät'!T$1,FALSE)
               +Andel_beroende_av_klimat*VLOOKUP($A106,Leveranser_per_nät,'Leveranser per nät'!T$1,FALSE)/VLOOKUP($B106,Korrigeringsfaktor_EI,'Korrigeringsfaktor EI'!T$1,FALSE),
"")</f>
        <v>18.16453434343434</v>
      </c>
      <c r="U106" s="18">
        <f>IFERROR(
                  Andel_oberoende_av_klimat*VLOOKUP($A106,Leveranser_per_nät,'Leveranser per nät'!U$1,FALSE)
               +Andel_beroende_av_klimat*VLOOKUP($A106,Leveranser_per_nät,'Leveranser per nät'!U$1,FALSE)/VLOOKUP($B106,Korrigeringsfaktor_EI,'Korrigeringsfaktor EI'!U$1,FALSE),
"")</f>
        <v>23.369891011235953</v>
      </c>
      <c r="V106" s="18">
        <f>IFERROR(
                  Andel_oberoende_av_klimat*VLOOKUP($A106,Leveranser_per_nät,'Leveranser per nät'!V$1,FALSE)
               +Andel_beroende_av_klimat*VLOOKUP($A106,Leveranser_per_nät,'Leveranser per nät'!V$1,FALSE)/VLOOKUP($B106,Korrigeringsfaktor_EI,'Korrigeringsfaktor EI'!V$1,FALSE),
"")</f>
        <v>24.655009677419358</v>
      </c>
      <c r="W106" s="18">
        <f>IFERROR(
                  Andel_oberoende_av_klimat*VLOOKUP($A106,Leveranser_per_nät,'Leveranser per nät'!W$1,FALSE)
               +Andel_beroende_av_klimat*VLOOKUP($A106,Leveranser_per_nät,'Leveranser per nät'!W$1,FALSE)/VLOOKUP($B106,Korrigeringsfaktor_EI,'Korrigeringsfaktor EI'!W$1,FALSE),
"")</f>
        <v>26.897270833333337</v>
      </c>
      <c r="X106" s="18">
        <f>IFERROR(
                  Andel_oberoende_av_klimat*VLOOKUP($A106,Leveranser_per_nät,'Leveranser per nät'!X$1,FALSE)
               +Andel_beroende_av_klimat*VLOOKUP($A106,Leveranser_per_nät,'Leveranser per nät'!X$1,FALSE)/VLOOKUP($B106,Korrigeringsfaktor_EI,'Korrigeringsfaktor EI'!X$1,FALSE),
"")</f>
        <v>28.072499999999998</v>
      </c>
      <c r="Y106" s="18">
        <f>IFERROR(
                  Andel_oberoende_av_klimat*VLOOKUP($A106,Leveranser_per_nät,'Leveranser per nät'!Y$1,FALSE)
               +Andel_beroende_av_klimat*VLOOKUP($A106,Leveranser_per_nät,'Leveranser per nät'!Y$1,FALSE)/VLOOKUP($B106,Korrigeringsfaktor_EI,'Korrigeringsfaktor EI'!Y$1,FALSE),
"")</f>
        <v>36.046277777777782</v>
      </c>
      <c r="Z106" s="18">
        <f>IFERROR(
                  Andel_oberoende_av_klimat*VLOOKUP($A106,Leveranser_per_nät,'Leveranser per nät'!Z$1,FALSE)
               +Andel_beroende_av_klimat*VLOOKUP($A106,Leveranser_per_nät,'Leveranser per nät'!Z$1,FALSE)/VLOOKUP($B106,Korrigeringsfaktor_EI,'Korrigeringsfaktor EI'!Z$1,FALSE),
"")</f>
        <v>43.438059090909093</v>
      </c>
      <c r="AA106" s="18">
        <f>IFERROR(
                  Andel_oberoende_av_klimat*VLOOKUP($A106,Leveranser_per_nät,'Leveranser per nät'!AA$1,FALSE)
               +Andel_beroende_av_klimat*VLOOKUP($A106,Leveranser_per_nät,'Leveranser per nät'!AA$1,FALSE)/VLOOKUP($B106,Korrigeringsfaktor_EI,'Korrigeringsfaktor EI'!AA$1,FALSE),
"")</f>
        <v>43.326666666666668</v>
      </c>
      <c r="AB106" s="18">
        <f>IFERROR(
                  Andel_oberoende_av_klimat*VLOOKUP($A106,Leveranser_per_nät,'Leveranser per nät'!AB$1,FALSE)
               +Andel_beroende_av_klimat*VLOOKUP($A106,Leveranser_per_nät,'Leveranser per nät'!AB$1,FALSE)/VLOOKUP($B106,Korrigeringsfaktor_EI,'Korrigeringsfaktor EI'!AB$1,FALSE),
"")</f>
        <v>47.641665708622398</v>
      </c>
      <c r="AC106" s="18">
        <f>IFERROR(
                  Andel_oberoende_av_klimat*VLOOKUP($A106,Leveranser_per_nät,'Leveranser per nät'!AC$1,FALSE)
               +Andel_beroende_av_klimat*VLOOKUP($A106,Leveranser_per_nät,'Leveranser per nät'!AC$1,FALSE)/VLOOKUP($B106,Korrigeringsfaktor_EI,'Korrigeringsfaktor EI'!AC$1,FALSE),
"")</f>
        <v>46.282375949367093</v>
      </c>
      <c r="AD106">
        <v>44.570999999999998</v>
      </c>
    </row>
    <row r="107" spans="1:30" x14ac:dyDescent="0.25">
      <c r="A107" t="s">
        <v>473</v>
      </c>
      <c r="B107" t="s">
        <v>443</v>
      </c>
      <c r="C107" s="18">
        <f>IFERROR(
                  Andel_oberoende_av_klimat*VLOOKUP($A107,Leveranser_per_nät,'Leveranser per nät'!C$1,FALSE)
               +Andel_beroende_av_klimat*VLOOKUP($A107,Leveranser_per_nät,'Leveranser per nät'!C$1,FALSE)/VLOOKUP($B107,Korrigeringsfaktor_EI,'Korrigeringsfaktor EI'!C$1,FALSE),
"")</f>
        <v>0</v>
      </c>
      <c r="D107" s="18">
        <f>IFERROR(
                  Andel_oberoende_av_klimat*VLOOKUP($A107,Leveranser_per_nät,'Leveranser per nät'!D$1,FALSE)
               +Andel_beroende_av_klimat*VLOOKUP($A107,Leveranser_per_nät,'Leveranser per nät'!D$1,FALSE)/VLOOKUP($B107,Korrigeringsfaktor_EI,'Korrigeringsfaktor EI'!D$1,FALSE),
"")</f>
        <v>0</v>
      </c>
      <c r="E107" s="18">
        <f>IFERROR(
                  Andel_oberoende_av_klimat*VLOOKUP($A107,Leveranser_per_nät,'Leveranser per nät'!E$1,FALSE)
               +Andel_beroende_av_klimat*VLOOKUP($A107,Leveranser_per_nät,'Leveranser per nät'!E$1,FALSE)/VLOOKUP($B107,Korrigeringsfaktor_EI,'Korrigeringsfaktor EI'!E$1,FALSE),
"")</f>
        <v>0</v>
      </c>
      <c r="F107" s="18">
        <f>IFERROR(
                  Andel_oberoende_av_klimat*VLOOKUP($A107,Leveranser_per_nät,'Leveranser per nät'!F$1,FALSE)
               +Andel_beroende_av_klimat*VLOOKUP($A107,Leveranser_per_nät,'Leveranser per nät'!F$1,FALSE)/VLOOKUP($B107,Korrigeringsfaktor_EI,'Korrigeringsfaktor EI'!F$1,FALSE),
"")</f>
        <v>0</v>
      </c>
      <c r="G107" s="18">
        <f>IFERROR(
                  Andel_oberoende_av_klimat*VLOOKUP($A107,Leveranser_per_nät,'Leveranser per nät'!G$1,FALSE)
               +Andel_beroende_av_klimat*VLOOKUP($A107,Leveranser_per_nät,'Leveranser per nät'!G$1,FALSE)/VLOOKUP($B107,Korrigeringsfaktor_EI,'Korrigeringsfaktor EI'!G$1,FALSE),
"")</f>
        <v>0</v>
      </c>
      <c r="H107" s="18">
        <f>IFERROR(
                  Andel_oberoende_av_klimat*VLOOKUP($A107,Leveranser_per_nät,'Leveranser per nät'!H$1,FALSE)
               +Andel_beroende_av_klimat*VLOOKUP($A107,Leveranser_per_nät,'Leveranser per nät'!H$1,FALSE)/VLOOKUP($B107,Korrigeringsfaktor_EI,'Korrigeringsfaktor EI'!H$1,FALSE),
"")</f>
        <v>0</v>
      </c>
      <c r="I107" s="18">
        <f>IFERROR(
                  Andel_oberoende_av_klimat*VLOOKUP($A107,Leveranser_per_nät,'Leveranser per nät'!I$1,FALSE)
               +Andel_beroende_av_klimat*VLOOKUP($A107,Leveranser_per_nät,'Leveranser per nät'!I$1,FALSE)/VLOOKUP($B107,Korrigeringsfaktor_EI,'Korrigeringsfaktor EI'!I$1,FALSE),
"")</f>
        <v>0</v>
      </c>
      <c r="J107" s="18">
        <f>IFERROR(
                  Andel_oberoende_av_klimat*VLOOKUP($A107,Leveranser_per_nät,'Leveranser per nät'!J$1,FALSE)
               +Andel_beroende_av_klimat*VLOOKUP($A107,Leveranser_per_nät,'Leveranser per nät'!J$1,FALSE)/VLOOKUP($B107,Korrigeringsfaktor_EI,'Korrigeringsfaktor EI'!J$1,FALSE),
"")</f>
        <v>0</v>
      </c>
      <c r="K107" s="18">
        <f>IFERROR(
                  Andel_oberoende_av_klimat*VLOOKUP($A107,Leveranser_per_nät,'Leveranser per nät'!K$1,FALSE)
               +Andel_beroende_av_klimat*VLOOKUP($A107,Leveranser_per_nät,'Leveranser per nät'!K$1,FALSE)/VLOOKUP($B107,Korrigeringsfaktor_EI,'Korrigeringsfaktor EI'!K$1,FALSE),
"")</f>
        <v>0</v>
      </c>
      <c r="L107" s="18">
        <f>IFERROR(
                  Andel_oberoende_av_klimat*VLOOKUP($A107,Leveranser_per_nät,'Leveranser per nät'!L$1,FALSE)
               +Andel_beroende_av_klimat*VLOOKUP($A107,Leveranser_per_nät,'Leveranser per nät'!L$1,FALSE)/VLOOKUP($B107,Korrigeringsfaktor_EI,'Korrigeringsfaktor EI'!L$1,FALSE),
"")</f>
        <v>0</v>
      </c>
      <c r="M107" s="18">
        <f>IFERROR(
                  Andel_oberoende_av_klimat*VLOOKUP($A107,Leveranser_per_nät,'Leveranser per nät'!M$1,FALSE)
               +Andel_beroende_av_klimat*VLOOKUP($A107,Leveranser_per_nät,'Leveranser per nät'!M$1,FALSE)/VLOOKUP($B107,Korrigeringsfaktor_EI,'Korrigeringsfaktor EI'!M$1,FALSE),
"")</f>
        <v>0</v>
      </c>
      <c r="N107" s="18">
        <f>IFERROR(
                  Andel_oberoende_av_klimat*VLOOKUP($A107,Leveranser_per_nät,'Leveranser per nät'!N$1,FALSE)
               +Andel_beroende_av_klimat*VLOOKUP($A107,Leveranser_per_nät,'Leveranser per nät'!N$1,FALSE)/VLOOKUP($B107,Korrigeringsfaktor_EI,'Korrigeringsfaktor EI'!N$1,FALSE),
"")</f>
        <v>3.8716846153846154</v>
      </c>
      <c r="O107" s="18">
        <f>IFERROR(
                  Andel_oberoende_av_klimat*VLOOKUP($A107,Leveranser_per_nät,'Leveranser per nät'!O$1,FALSE)
               +Andel_beroende_av_klimat*VLOOKUP($A107,Leveranser_per_nät,'Leveranser per nät'!O$1,FALSE)/VLOOKUP($B107,Korrigeringsfaktor_EI,'Korrigeringsfaktor EI'!O$1,FALSE),
"")</f>
        <v>4.5193043478260861</v>
      </c>
      <c r="P107" s="18">
        <f>IFERROR(
                  Andel_oberoende_av_klimat*VLOOKUP($A107,Leveranser_per_nät,'Leveranser per nät'!P$1,FALSE)
               +Andel_beroende_av_klimat*VLOOKUP($A107,Leveranser_per_nät,'Leveranser per nät'!P$1,FALSE)/VLOOKUP($B107,Korrigeringsfaktor_EI,'Korrigeringsfaktor EI'!P$1,FALSE),
"")</f>
        <v>4.743429166666667</v>
      </c>
      <c r="Q107" s="18">
        <f>IFERROR(
                  Andel_oberoende_av_klimat*VLOOKUP($A107,Leveranser_per_nät,'Leveranser per nät'!Q$1,FALSE)
               +Andel_beroende_av_klimat*VLOOKUP($A107,Leveranser_per_nät,'Leveranser per nät'!Q$1,FALSE)/VLOOKUP($B107,Korrigeringsfaktor_EI,'Korrigeringsfaktor EI'!Q$1,FALSE),
"")</f>
        <v>4.8644063063063063</v>
      </c>
      <c r="R107" s="18">
        <f>IFERROR(
                  Andel_oberoende_av_klimat*VLOOKUP($A107,Leveranser_per_nät,'Leveranser per nät'!R$1,FALSE)
               +Andel_beroende_av_klimat*VLOOKUP($A107,Leveranser_per_nät,'Leveranser per nät'!R$1,FALSE)/VLOOKUP($B107,Korrigeringsfaktor_EI,'Korrigeringsfaktor EI'!R$1,FALSE),
"")</f>
        <v>5.2003826086956524</v>
      </c>
      <c r="S107" s="18">
        <f>IFERROR(
                  Andel_oberoende_av_klimat*VLOOKUP($A107,Leveranser_per_nät,'Leveranser per nät'!S$1,FALSE)
               +Andel_beroende_av_klimat*VLOOKUP($A107,Leveranser_per_nät,'Leveranser per nät'!S$1,FALSE)/VLOOKUP($B107,Korrigeringsfaktor_EI,'Korrigeringsfaktor EI'!S$1,FALSE),
"")</f>
        <v>11.657378640776699</v>
      </c>
      <c r="T107" s="18" t="str">
        <f>IFERROR(
                  Andel_oberoende_av_klimat*VLOOKUP($A107,Leveranser_per_nät,'Leveranser per nät'!T$1,FALSE)
               +Andel_beroende_av_klimat*VLOOKUP($A107,Leveranser_per_nät,'Leveranser per nät'!T$1,FALSE)/VLOOKUP($B107,Korrigeringsfaktor_EI,'Korrigeringsfaktor EI'!T$1,FALSE),
"")</f>
        <v/>
      </c>
      <c r="U107" s="18" t="str">
        <f>IFERROR(
                  Andel_oberoende_av_klimat*VLOOKUP($A107,Leveranser_per_nät,'Leveranser per nät'!U$1,FALSE)
               +Andel_beroende_av_klimat*VLOOKUP($A107,Leveranser_per_nät,'Leveranser per nät'!U$1,FALSE)/VLOOKUP($B107,Korrigeringsfaktor_EI,'Korrigeringsfaktor EI'!U$1,FALSE),
"")</f>
        <v/>
      </c>
      <c r="V107" s="18" t="str">
        <f>IFERROR(
                  Andel_oberoende_av_klimat*VLOOKUP($A107,Leveranser_per_nät,'Leveranser per nät'!V$1,FALSE)
               +Andel_beroende_av_klimat*VLOOKUP($A107,Leveranser_per_nät,'Leveranser per nät'!V$1,FALSE)/VLOOKUP($B107,Korrigeringsfaktor_EI,'Korrigeringsfaktor EI'!V$1,FALSE),
"")</f>
        <v/>
      </c>
      <c r="W107" s="18" t="str">
        <f>IFERROR(
                  Andel_oberoende_av_klimat*VLOOKUP($A107,Leveranser_per_nät,'Leveranser per nät'!W$1,FALSE)
               +Andel_beroende_av_klimat*VLOOKUP($A107,Leveranser_per_nät,'Leveranser per nät'!W$1,FALSE)/VLOOKUP($B107,Korrigeringsfaktor_EI,'Korrigeringsfaktor EI'!W$1,FALSE),
"")</f>
        <v/>
      </c>
      <c r="X107" s="18" t="str">
        <f>IFERROR(
                  Andel_oberoende_av_klimat*VLOOKUP($A107,Leveranser_per_nät,'Leveranser per nät'!X$1,FALSE)
               +Andel_beroende_av_klimat*VLOOKUP($A107,Leveranser_per_nät,'Leveranser per nät'!X$1,FALSE)/VLOOKUP($B107,Korrigeringsfaktor_EI,'Korrigeringsfaktor EI'!X$1,FALSE),
"")</f>
        <v/>
      </c>
      <c r="Y107" s="18" t="str">
        <f>IFERROR(
                  Andel_oberoende_av_klimat*VLOOKUP($A107,Leveranser_per_nät,'Leveranser per nät'!Y$1,FALSE)
               +Andel_beroende_av_klimat*VLOOKUP($A107,Leveranser_per_nät,'Leveranser per nät'!Y$1,FALSE)/VLOOKUP($B107,Korrigeringsfaktor_EI,'Korrigeringsfaktor EI'!Y$1,FALSE),
"")</f>
        <v/>
      </c>
      <c r="Z107" s="18">
        <f>IFERROR(
                  Andel_oberoende_av_klimat*VLOOKUP($A107,Leveranser_per_nät,'Leveranser per nät'!Z$1,FALSE)
               +Andel_beroende_av_klimat*VLOOKUP($A107,Leveranser_per_nät,'Leveranser per nät'!Z$1,FALSE)/VLOOKUP($B107,Korrigeringsfaktor_EI,'Korrigeringsfaktor EI'!Z$1,FALSE),
"")</f>
        <v>0</v>
      </c>
      <c r="AA107" s="18" t="str">
        <f>IFERROR(
                  Andel_oberoende_av_klimat*VLOOKUP($A107,Leveranser_per_nät,'Leveranser per nät'!AA$1,FALSE)
               +Andel_beroende_av_klimat*VLOOKUP($A107,Leveranser_per_nät,'Leveranser per nät'!AA$1,FALSE)/VLOOKUP($B107,Korrigeringsfaktor_EI,'Korrigeringsfaktor EI'!AA$1,FALSE),
"")</f>
        <v/>
      </c>
      <c r="AB107" s="18">
        <f>IFERROR(
                  Andel_oberoende_av_klimat*VLOOKUP($A107,Leveranser_per_nät,'Leveranser per nät'!AB$1,FALSE)
               +Andel_beroende_av_klimat*VLOOKUP($A107,Leveranser_per_nät,'Leveranser per nät'!AB$1,FALSE)/VLOOKUP($B107,Korrigeringsfaktor_EI,'Korrigeringsfaktor EI'!AB$1,FALSE),
"")</f>
        <v>0</v>
      </c>
      <c r="AC107" s="18">
        <f>IFERROR(
                  Andel_oberoende_av_klimat*VLOOKUP($A107,Leveranser_per_nät,'Leveranser per nät'!AC$1,FALSE)
               +Andel_beroende_av_klimat*VLOOKUP($A107,Leveranser_per_nät,'Leveranser per nät'!AC$1,FALSE)/VLOOKUP($B107,Korrigeringsfaktor_EI,'Korrigeringsfaktor EI'!AC$1,FALSE),
"")</f>
        <v>0</v>
      </c>
      <c r="AD107">
        <v>44.570999999999998</v>
      </c>
    </row>
    <row r="108" spans="1:30" x14ac:dyDescent="0.25">
      <c r="A108" t="s">
        <v>241</v>
      </c>
      <c r="B108" t="s">
        <v>241</v>
      </c>
      <c r="C108" s="18">
        <f>IFERROR(
                  Andel_oberoende_av_klimat*VLOOKUP($A108,Leveranser_per_nät,'Leveranser per nät'!C$1,FALSE)
               +Andel_beroende_av_klimat*VLOOKUP($A108,Leveranser_per_nät,'Leveranser per nät'!C$1,FALSE)/VLOOKUP($B108,Korrigeringsfaktor_EI,'Korrigeringsfaktor EI'!C$1,FALSE),
"")</f>
        <v>0</v>
      </c>
      <c r="D108" s="18">
        <f>IFERROR(
                  Andel_oberoende_av_klimat*VLOOKUP($A108,Leveranser_per_nät,'Leveranser per nät'!D$1,FALSE)
               +Andel_beroende_av_klimat*VLOOKUP($A108,Leveranser_per_nät,'Leveranser per nät'!D$1,FALSE)/VLOOKUP($B108,Korrigeringsfaktor_EI,'Korrigeringsfaktor EI'!D$1,FALSE),
"")</f>
        <v>17.489999999999998</v>
      </c>
      <c r="E108" s="18">
        <f>IFERROR(
                  Andel_oberoende_av_klimat*VLOOKUP($A108,Leveranser_per_nät,'Leveranser per nät'!E$1,FALSE)
               +Andel_beroende_av_klimat*VLOOKUP($A108,Leveranser_per_nät,'Leveranser per nät'!E$1,FALSE)/VLOOKUP($B108,Korrigeringsfaktor_EI,'Korrigeringsfaktor EI'!E$1,FALSE),
"")</f>
        <v>0</v>
      </c>
      <c r="F108" s="18">
        <f>IFERROR(
                  Andel_oberoende_av_klimat*VLOOKUP($A108,Leveranser_per_nät,'Leveranser per nät'!F$1,FALSE)
               +Andel_beroende_av_klimat*VLOOKUP($A108,Leveranser_per_nät,'Leveranser per nät'!F$1,FALSE)/VLOOKUP($B108,Korrigeringsfaktor_EI,'Korrigeringsfaktor EI'!F$1,FALSE),
"")</f>
        <v>0</v>
      </c>
      <c r="G108" s="18">
        <f>IFERROR(
                  Andel_oberoende_av_klimat*VLOOKUP($A108,Leveranser_per_nät,'Leveranser per nät'!G$1,FALSE)
               +Andel_beroende_av_klimat*VLOOKUP($A108,Leveranser_per_nät,'Leveranser per nät'!G$1,FALSE)/VLOOKUP($B108,Korrigeringsfaktor_EI,'Korrigeringsfaktor EI'!G$1,FALSE),
"")</f>
        <v>19.246153846153845</v>
      </c>
      <c r="H108" s="18">
        <f>IFERROR(
                  Andel_oberoende_av_klimat*VLOOKUP($A108,Leveranser_per_nät,'Leveranser per nät'!H$1,FALSE)
               +Andel_beroende_av_klimat*VLOOKUP($A108,Leveranser_per_nät,'Leveranser per nät'!H$1,FALSE)/VLOOKUP($B108,Korrigeringsfaktor_EI,'Korrigeringsfaktor EI'!H$1,FALSE),
"")</f>
        <v>19.597229702970299</v>
      </c>
      <c r="I108" s="18">
        <f>IFERROR(
                  Andel_oberoende_av_klimat*VLOOKUP($A108,Leveranser_per_nät,'Leveranser per nät'!I$1,FALSE)
               +Andel_beroende_av_klimat*VLOOKUP($A108,Leveranser_per_nät,'Leveranser per nät'!I$1,FALSE)/VLOOKUP($B108,Korrigeringsfaktor_EI,'Korrigeringsfaktor EI'!I$1,FALSE),
"")</f>
        <v>20.161230927835053</v>
      </c>
      <c r="J108" s="18">
        <f>IFERROR(
                  Andel_oberoende_av_klimat*VLOOKUP($A108,Leveranser_per_nät,'Leveranser per nät'!J$1,FALSE)
               +Andel_beroende_av_klimat*VLOOKUP($A108,Leveranser_per_nät,'Leveranser per nät'!J$1,FALSE)/VLOOKUP($B108,Korrigeringsfaktor_EI,'Korrigeringsfaktor EI'!J$1,FALSE),
"")</f>
        <v>19.873533333333334</v>
      </c>
      <c r="K108" s="18">
        <f>IFERROR(
                  Andel_oberoende_av_klimat*VLOOKUP($A108,Leveranser_per_nät,'Leveranser per nät'!K$1,FALSE)
               +Andel_beroende_av_klimat*VLOOKUP($A108,Leveranser_per_nät,'Leveranser per nät'!K$1,FALSE)/VLOOKUP($B108,Korrigeringsfaktor_EI,'Korrigeringsfaktor EI'!K$1,FALSE),
"")</f>
        <v>18.709359595959594</v>
      </c>
      <c r="L108" s="18">
        <f>IFERROR(
                  Andel_oberoende_av_klimat*VLOOKUP($A108,Leveranser_per_nät,'Leveranser per nät'!L$1,FALSE)
               +Andel_beroende_av_klimat*VLOOKUP($A108,Leveranser_per_nät,'Leveranser per nät'!L$1,FALSE)/VLOOKUP($B108,Korrigeringsfaktor_EI,'Korrigeringsfaktor EI'!L$1,FALSE),
"")</f>
        <v>19.932381443298972</v>
      </c>
      <c r="M108" s="18">
        <f>IFERROR(
                  Andel_oberoende_av_klimat*VLOOKUP($A108,Leveranser_per_nät,'Leveranser per nät'!M$1,FALSE)
               +Andel_beroende_av_klimat*VLOOKUP($A108,Leveranser_per_nät,'Leveranser per nät'!M$1,FALSE)/VLOOKUP($B108,Korrigeringsfaktor_EI,'Korrigeringsfaktor EI'!M$1,FALSE),
"")</f>
        <v>17.261980645161287</v>
      </c>
      <c r="N108" s="18">
        <f>IFERROR(
                  Andel_oberoende_av_klimat*VLOOKUP($A108,Leveranser_per_nät,'Leveranser per nät'!N$1,FALSE)
               +Andel_beroende_av_klimat*VLOOKUP($A108,Leveranser_per_nät,'Leveranser per nät'!N$1,FALSE)/VLOOKUP($B108,Korrigeringsfaktor_EI,'Korrigeringsfaktor EI'!N$1,FALSE),
"")</f>
        <v>18.594683870967742</v>
      </c>
      <c r="O108" s="18">
        <f>IFERROR(
                  Andel_oberoende_av_klimat*VLOOKUP($A108,Leveranser_per_nät,'Leveranser per nät'!O$1,FALSE)
               +Andel_beroende_av_klimat*VLOOKUP($A108,Leveranser_per_nät,'Leveranser per nät'!O$1,FALSE)/VLOOKUP($B108,Korrigeringsfaktor_EI,'Korrigeringsfaktor EI'!O$1,FALSE),
"")</f>
        <v>18.639899999999997</v>
      </c>
      <c r="P108" s="18">
        <f>IFERROR(
                  Andel_oberoende_av_klimat*VLOOKUP($A108,Leveranser_per_nät,'Leveranser per nät'!P$1,FALSE)
               +Andel_beroende_av_klimat*VLOOKUP($A108,Leveranser_per_nät,'Leveranser per nät'!P$1,FALSE)/VLOOKUP($B108,Korrigeringsfaktor_EI,'Korrigeringsfaktor EI'!P$1,FALSE),
"")</f>
        <v>19.019026804123712</v>
      </c>
      <c r="Q108" s="18">
        <f>IFERROR(
                  Andel_oberoende_av_klimat*VLOOKUP($A108,Leveranser_per_nät,'Leveranser per nät'!Q$1,FALSE)
               +Andel_beroende_av_klimat*VLOOKUP($A108,Leveranser_per_nät,'Leveranser per nät'!Q$1,FALSE)/VLOOKUP($B108,Korrigeringsfaktor_EI,'Korrigeringsfaktor EI'!Q$1,FALSE),
"")</f>
        <v>19.94236371681416</v>
      </c>
      <c r="R108" s="18">
        <f>IFERROR(
                  Andel_oberoende_av_klimat*VLOOKUP($A108,Leveranser_per_nät,'Leveranser per nät'!R$1,FALSE)
               +Andel_beroende_av_klimat*VLOOKUP($A108,Leveranser_per_nät,'Leveranser per nät'!R$1,FALSE)/VLOOKUP($B108,Korrigeringsfaktor_EI,'Korrigeringsfaktor EI'!R$1,FALSE),
"")</f>
        <v>18.565217391304348</v>
      </c>
      <c r="S108" s="18">
        <f>IFERROR(
                  Andel_oberoende_av_klimat*VLOOKUP($A108,Leveranser_per_nät,'Leveranser per nät'!S$1,FALSE)
               +Andel_beroende_av_klimat*VLOOKUP($A108,Leveranser_per_nät,'Leveranser per nät'!S$1,FALSE)/VLOOKUP($B108,Korrigeringsfaktor_EI,'Korrigeringsfaktor EI'!S$1,FALSE),
"")</f>
        <v>18.57039603960396</v>
      </c>
      <c r="T108" s="18">
        <f>IFERROR(
                  Andel_oberoende_av_klimat*VLOOKUP($A108,Leveranser_per_nät,'Leveranser per nät'!T$1,FALSE)
               +Andel_beroende_av_klimat*VLOOKUP($A108,Leveranser_per_nät,'Leveranser per nät'!T$1,FALSE)/VLOOKUP($B108,Korrigeringsfaktor_EI,'Korrigeringsfaktor EI'!T$1,FALSE),
"")</f>
        <v>18.46</v>
      </c>
      <c r="U108" s="18">
        <f>IFERROR(
                  Andel_oberoende_av_klimat*VLOOKUP($A108,Leveranser_per_nät,'Leveranser per nät'!U$1,FALSE)
               +Andel_beroende_av_klimat*VLOOKUP($A108,Leveranser_per_nät,'Leveranser per nät'!U$1,FALSE)/VLOOKUP($B108,Korrigeringsfaktor_EI,'Korrigeringsfaktor EI'!U$1,FALSE),
"")</f>
        <v>18.43</v>
      </c>
      <c r="V108" s="18">
        <f>IFERROR(
                  Andel_oberoende_av_klimat*VLOOKUP($A108,Leveranser_per_nät,'Leveranser per nät'!V$1,FALSE)
               +Andel_beroende_av_klimat*VLOOKUP($A108,Leveranser_per_nät,'Leveranser per nät'!V$1,FALSE)/VLOOKUP($B108,Korrigeringsfaktor_EI,'Korrigeringsfaktor EI'!V$1,FALSE),
"")</f>
        <v>18.322222222222219</v>
      </c>
      <c r="W108" s="18">
        <f>IFERROR(
                  Andel_oberoende_av_klimat*VLOOKUP($A108,Leveranser_per_nät,'Leveranser per nät'!W$1,FALSE)
               +Andel_beroende_av_klimat*VLOOKUP($A108,Leveranser_per_nät,'Leveranser per nät'!W$1,FALSE)/VLOOKUP($B108,Korrigeringsfaktor_EI,'Korrigeringsfaktor EI'!W$1,FALSE),
"")</f>
        <v>19.554166666666667</v>
      </c>
      <c r="X108" s="18">
        <f>IFERROR(
                  Andel_oberoende_av_klimat*VLOOKUP($A108,Leveranser_per_nät,'Leveranser per nät'!X$1,FALSE)
               +Andel_beroende_av_klimat*VLOOKUP($A108,Leveranser_per_nät,'Leveranser per nät'!X$1,FALSE)/VLOOKUP($B108,Korrigeringsfaktor_EI,'Korrigeringsfaktor EI'!X$1,FALSE),
"")</f>
        <v>19.80368421052632</v>
      </c>
      <c r="Y108" s="18">
        <f>IFERROR(
                  Andel_oberoende_av_klimat*VLOOKUP($A108,Leveranser_per_nät,'Leveranser per nät'!Y$1,FALSE)
               +Andel_beroende_av_klimat*VLOOKUP($A108,Leveranser_per_nät,'Leveranser per nät'!Y$1,FALSE)/VLOOKUP($B108,Korrigeringsfaktor_EI,'Korrigeringsfaktor EI'!Y$1,FALSE),
"")</f>
        <v>20.422150537634408</v>
      </c>
      <c r="Z108" s="18">
        <f>IFERROR(
                  Andel_oberoende_av_klimat*VLOOKUP($A108,Leveranser_per_nät,'Leveranser per nät'!Z$1,FALSE)
               +Andel_beroende_av_klimat*VLOOKUP($A108,Leveranser_per_nät,'Leveranser per nät'!Z$1,FALSE)/VLOOKUP($B108,Korrigeringsfaktor_EI,'Korrigeringsfaktor EI'!Z$1,FALSE),
"")</f>
        <v>21.170769230769231</v>
      </c>
      <c r="AA108" s="18">
        <f>IFERROR(
                  Andel_oberoende_av_klimat*VLOOKUP($A108,Leveranser_per_nät,'Leveranser per nät'!AA$1,FALSE)
               +Andel_beroende_av_klimat*VLOOKUP($A108,Leveranser_per_nät,'Leveranser per nät'!AA$1,FALSE)/VLOOKUP($B108,Korrigeringsfaktor_EI,'Korrigeringsfaktor EI'!AA$1,FALSE),
"")</f>
        <v>20.479318120805367</v>
      </c>
      <c r="AB108" s="18">
        <f>IFERROR(
                  Andel_oberoende_av_klimat*VLOOKUP($A108,Leveranser_per_nät,'Leveranser per nät'!AB$1,FALSE)
               +Andel_beroende_av_klimat*VLOOKUP($A108,Leveranser_per_nät,'Leveranser per nät'!AB$1,FALSE)/VLOOKUP($B108,Korrigeringsfaktor_EI,'Korrigeringsfaktor EI'!AB$1,FALSE),
"")</f>
        <v>20.388082191780821</v>
      </c>
      <c r="AC108" s="18">
        <f>IFERROR(
                  Andel_oberoende_av_klimat*VLOOKUP($A108,Leveranser_per_nät,'Leveranser per nät'!AC$1,FALSE)
               +Andel_beroende_av_klimat*VLOOKUP($A108,Leveranser_per_nät,'Leveranser per nät'!AC$1,FALSE)/VLOOKUP($B108,Korrigeringsfaktor_EI,'Korrigeringsfaktor EI'!AC$1,FALSE),
"")</f>
        <v>20.28956204379562</v>
      </c>
      <c r="AD108">
        <v>19.7</v>
      </c>
    </row>
    <row r="109" spans="1:30" x14ac:dyDescent="0.25">
      <c r="A109" t="s">
        <v>123</v>
      </c>
      <c r="B109" t="s">
        <v>123</v>
      </c>
      <c r="C109" s="18">
        <f>IFERROR(
                  Andel_oberoende_av_klimat*VLOOKUP($A109,Leveranser_per_nät,'Leveranser per nät'!C$1,FALSE)
               +Andel_beroende_av_klimat*VLOOKUP($A109,Leveranser_per_nät,'Leveranser per nät'!C$1,FALSE)/VLOOKUP("Karlstad",Korrigeringsfaktor_EI,'Korrigeringsfaktor EI'!C$1,FALSE),
"")</f>
        <v>0</v>
      </c>
      <c r="D109" s="18">
        <f>IFERROR(
                  Andel_oberoende_av_klimat*VLOOKUP($A109,Leveranser_per_nät,'Leveranser per nät'!D$1,FALSE)
               +Andel_beroende_av_klimat*VLOOKUP($A109,Leveranser_per_nät,'Leveranser per nät'!D$1,FALSE)/VLOOKUP("Karlstad",Korrigeringsfaktor_EI,'Korrigeringsfaktor EI'!D$1,FALSE),
"")</f>
        <v>0</v>
      </c>
      <c r="E109" s="18">
        <f>IFERROR(
                  Andel_oberoende_av_klimat*VLOOKUP($A109,Leveranser_per_nät,'Leveranser per nät'!E$1,FALSE)
               +Andel_beroende_av_klimat*VLOOKUP($A109,Leveranser_per_nät,'Leveranser per nät'!E$1,FALSE)/VLOOKUP("Karlstad",Korrigeringsfaktor_EI,'Korrigeringsfaktor EI'!E$1,FALSE),
"")</f>
        <v>0</v>
      </c>
      <c r="F109" s="18">
        <f>IFERROR(
                  Andel_oberoende_av_klimat*VLOOKUP($A109,Leveranser_per_nät,'Leveranser per nät'!F$1,FALSE)
               +Andel_beroende_av_klimat*VLOOKUP($A109,Leveranser_per_nät,'Leveranser per nät'!F$1,FALSE)/VLOOKUP("Karlstad",Korrigeringsfaktor_EI,'Korrigeringsfaktor EI'!F$1,FALSE),
"")</f>
        <v>0</v>
      </c>
      <c r="G109" s="18">
        <f>IFERROR(
                  Andel_oberoende_av_klimat*VLOOKUP($A109,Leveranser_per_nät,'Leveranser per nät'!G$1,FALSE)
               +Andel_beroende_av_klimat*VLOOKUP($A109,Leveranser_per_nät,'Leveranser per nät'!G$1,FALSE)/VLOOKUP("Karlstad",Korrigeringsfaktor_EI,'Korrigeringsfaktor EI'!G$1,FALSE),
"")</f>
        <v>0</v>
      </c>
      <c r="H109" s="18">
        <f>IFERROR(
                  Andel_oberoende_av_klimat*VLOOKUP($A109,Leveranser_per_nät,'Leveranser per nät'!H$1,FALSE)
               +Andel_beroende_av_klimat*VLOOKUP($A109,Leveranser_per_nät,'Leveranser per nät'!H$1,FALSE)/VLOOKUP("Karlstad",Korrigeringsfaktor_EI,'Korrigeringsfaktor EI'!H$1,FALSE),
"")</f>
        <v>0</v>
      </c>
      <c r="I109" s="18">
        <f>IFERROR(
                  Andel_oberoende_av_klimat*VLOOKUP($A109,Leveranser_per_nät,'Leveranser per nät'!I$1,FALSE)
               +Andel_beroende_av_klimat*VLOOKUP($A109,Leveranser_per_nät,'Leveranser per nät'!I$1,FALSE)/VLOOKUP("Karlstad",Korrigeringsfaktor_EI,'Korrigeringsfaktor EI'!I$1,FALSE),
"")</f>
        <v>0</v>
      </c>
      <c r="J109" s="18">
        <f>IFERROR(
                  Andel_oberoende_av_klimat*VLOOKUP($A109,Leveranser_per_nät,'Leveranser per nät'!J$1,FALSE)
               +Andel_beroende_av_klimat*VLOOKUP($A109,Leveranser_per_nät,'Leveranser per nät'!J$1,FALSE)/VLOOKUP("Karlstad",Korrigeringsfaktor_EI,'Korrigeringsfaktor EI'!J$1,FALSE),
"")</f>
        <v>19.554166666666667</v>
      </c>
      <c r="K109" s="18">
        <f>IFERROR(
                  Andel_oberoende_av_klimat*VLOOKUP($A109,Leveranser_per_nät,'Leveranser per nät'!K$1,FALSE)
               +Andel_beroende_av_klimat*VLOOKUP($A109,Leveranser_per_nät,'Leveranser per nät'!K$1,FALSE)/VLOOKUP("Karlstad",Korrigeringsfaktor_EI,'Korrigeringsfaktor EI'!K$1,FALSE),
"")</f>
        <v>0</v>
      </c>
      <c r="L109" s="18">
        <f>IFERROR(
                  Andel_oberoende_av_klimat*VLOOKUP($A109,Leveranser_per_nät,'Leveranser per nät'!L$1,FALSE)
               +Andel_beroende_av_klimat*VLOOKUP($A109,Leveranser_per_nät,'Leveranser per nät'!L$1,FALSE)/VLOOKUP("Karlstad",Korrigeringsfaktor_EI,'Korrigeringsfaktor EI'!L$1,FALSE),
"")</f>
        <v>0</v>
      </c>
      <c r="M109" s="18">
        <f>IFERROR(
                  Andel_oberoende_av_klimat*VLOOKUP($A109,Leveranser_per_nät,'Leveranser per nät'!M$1,FALSE)
               +Andel_beroende_av_klimat*VLOOKUP($A109,Leveranser_per_nät,'Leveranser per nät'!M$1,FALSE)/VLOOKUP("Karlstad",Korrigeringsfaktor_EI,'Korrigeringsfaktor EI'!M$1,FALSE),
"")</f>
        <v>0</v>
      </c>
      <c r="N109" s="18">
        <f>IFERROR(
                  Andel_oberoende_av_klimat*VLOOKUP($A109,Leveranser_per_nät,'Leveranser per nät'!N$1,FALSE)
               +Andel_beroende_av_klimat*VLOOKUP($A109,Leveranser_per_nät,'Leveranser per nät'!N$1,FALSE)/VLOOKUP("Karlstad",Korrigeringsfaktor_EI,'Korrigeringsfaktor EI'!N$1,FALSE),
"")</f>
        <v>0</v>
      </c>
      <c r="O109" s="18">
        <f>IFERROR(
                  Andel_oberoende_av_klimat*VLOOKUP($A109,Leveranser_per_nät,'Leveranser per nät'!O$1,FALSE)
               +Andel_beroende_av_klimat*VLOOKUP($A109,Leveranser_per_nät,'Leveranser per nät'!O$1,FALSE)/VLOOKUP("Karlstad",Korrigeringsfaktor_EI,'Korrigeringsfaktor EI'!O$1,FALSE),
"")</f>
        <v>0</v>
      </c>
      <c r="P109" s="18">
        <f>IFERROR(
                  Andel_oberoende_av_klimat*VLOOKUP($A109,Leveranser_per_nät,'Leveranser per nät'!P$1,FALSE)
               +Andel_beroende_av_klimat*VLOOKUP($A109,Leveranser_per_nät,'Leveranser per nät'!P$1,FALSE)/VLOOKUP("Karlstad",Korrigeringsfaktor_EI,'Korrigeringsfaktor EI'!P$1,FALSE),
"")</f>
        <v>26.256391752577318</v>
      </c>
      <c r="Q109" s="18">
        <f>IFERROR(
                  Andel_oberoende_av_klimat*VLOOKUP($A109,Leveranser_per_nät,'Leveranser per nät'!Q$1,FALSE)
               +Andel_beroende_av_klimat*VLOOKUP($A109,Leveranser_per_nät,'Leveranser per nät'!Q$1,FALSE)/VLOOKUP("Karlstad",Korrigeringsfaktor_EI,'Korrigeringsfaktor EI'!Q$1,FALSE),
"")</f>
        <v>26.386684824561403</v>
      </c>
      <c r="R109" s="18">
        <f>IFERROR(
                  Andel_oberoende_av_klimat*VLOOKUP($A109,Leveranser_per_nät,'Leveranser per nät'!R$1,FALSE)
               +Andel_beroende_av_klimat*VLOOKUP($A109,Leveranser_per_nät,'Leveranser per nät'!R$1,FALSE)/VLOOKUP("Karlstad",Korrigeringsfaktor_EI,'Korrigeringsfaktor EI'!R$1,FALSE),
"")</f>
        <v>24.989887640449439</v>
      </c>
      <c r="S109" s="18">
        <f>IFERROR(
                  Andel_oberoende_av_klimat*VLOOKUP($A109,Leveranser_per_nät,'Leveranser per nät'!S$1,FALSE)
               +Andel_beroende_av_klimat*VLOOKUP($A109,Leveranser_per_nät,'Leveranser per nät'!S$1,FALSE)/VLOOKUP("Karlstad",Korrigeringsfaktor_EI,'Korrigeringsfaktor EI'!S$1,FALSE),
"")</f>
        <v>28.606185567010311</v>
      </c>
      <c r="T109" s="18">
        <f>IFERROR(
                  Andel_oberoende_av_klimat*VLOOKUP($A109,Leveranser_per_nät,'Leveranser per nät'!T$1,FALSE)
               +Andel_beroende_av_klimat*VLOOKUP($A109,Leveranser_per_nät,'Leveranser per nät'!T$1,FALSE)/VLOOKUP("Karlstad",Korrigeringsfaktor_EI,'Korrigeringsfaktor EI'!T$1,FALSE),
"")</f>
        <v>24.319131578947367</v>
      </c>
      <c r="U109" s="18">
        <f>IFERROR(
                  Andel_oberoende_av_klimat*VLOOKUP($A109,Leveranser_per_nät,'Leveranser per nät'!U$1,FALSE)
               +Andel_beroende_av_klimat*VLOOKUP($A109,Leveranser_per_nät,'Leveranser per nät'!U$1,FALSE)/VLOOKUP("Karlstad",Korrigeringsfaktor_EI,'Korrigeringsfaktor EI'!U$1,FALSE),
"")</f>
        <v>23.815126436781608</v>
      </c>
      <c r="V109" s="18">
        <f>IFERROR(
                  Andel_oberoende_av_klimat*VLOOKUP($A109,Leveranser_per_nät,'Leveranser per nät'!V$1,FALSE)
               +Andel_beroende_av_klimat*VLOOKUP($A109,Leveranser_per_nät,'Leveranser per nät'!V$1,FALSE)/VLOOKUP("Karlstad",Korrigeringsfaktor_EI,'Korrigeringsfaktor EI'!V$1,FALSE),
"")</f>
        <v>23.415340909090908</v>
      </c>
      <c r="W109" s="18">
        <f>IFERROR(
                  Andel_oberoende_av_klimat*VLOOKUP($A109,Leveranser_per_nät,'Leveranser per nät'!W$1,FALSE)
               +Andel_beroende_av_klimat*VLOOKUP($A109,Leveranser_per_nät,'Leveranser per nät'!W$1,FALSE)/VLOOKUP("Karlstad",Korrigeringsfaktor_EI,'Korrigeringsfaktor EI'!W$1,FALSE),
"")</f>
        <v>23.577402127659575</v>
      </c>
      <c r="X109" s="18">
        <f>IFERROR(
                  Andel_oberoende_av_klimat*VLOOKUP($A109,Leveranser_per_nät,'Leveranser per nät'!X$1,FALSE)
               +Andel_beroende_av_klimat*VLOOKUP($A109,Leveranser_per_nät,'Leveranser per nät'!X$1,FALSE)/VLOOKUP("Karlstad",Korrigeringsfaktor_EI,'Korrigeringsfaktor EI'!X$1,FALSE),
"")</f>
        <v>22.957023655913979</v>
      </c>
      <c r="Y109" s="18">
        <f>IFERROR(
                  Andel_oberoende_av_klimat*VLOOKUP($A109,Leveranser_per_nät,'Leveranser per nät'!Y$1,FALSE)
               +Andel_beroende_av_klimat*VLOOKUP($A109,Leveranser_per_nät,'Leveranser per nät'!Y$1,FALSE)/VLOOKUP($B109,Korrigeringsfaktor_EI,'Korrigeringsfaktor EI'!Y$1,FALSE),
"")</f>
        <v>23.311547826086954</v>
      </c>
      <c r="Z109" s="18">
        <f>IFERROR(
                  Andel_oberoende_av_klimat*VLOOKUP($A109,Leveranser_per_nät,'Leveranser per nät'!Z$1,FALSE)
               +Andel_beroende_av_klimat*VLOOKUP($A109,Leveranser_per_nät,'Leveranser per nät'!Z$1,FALSE)/VLOOKUP($B109,Korrigeringsfaktor_EI,'Korrigeringsfaktor EI'!Z$1,FALSE),
"")</f>
        <v>24.429784615384616</v>
      </c>
      <c r="AA109" s="18">
        <f>IFERROR(
                  Andel_oberoende_av_klimat*VLOOKUP($A109,Leveranser_per_nät,'Leveranser per nät'!AA$1,FALSE)
               +Andel_beroende_av_klimat*VLOOKUP($A109,Leveranser_per_nät,'Leveranser per nät'!AA$1,FALSE)/VLOOKUP($B109,Korrigeringsfaktor_EI,'Korrigeringsfaktor EI'!AA$1,FALSE),
"")</f>
        <v>22.230452357384735</v>
      </c>
      <c r="AB109" s="18">
        <f>IFERROR(
                  Andel_oberoende_av_klimat*VLOOKUP($A109,Leveranser_per_nät,'Leveranser per nät'!AB$1,FALSE)
               +Andel_beroende_av_klimat*VLOOKUP($A109,Leveranser_per_nät,'Leveranser per nät'!AB$1,FALSE)/VLOOKUP($B109,Korrigeringsfaktor_EI,'Korrigeringsfaktor EI'!AB$1,FALSE),
"")</f>
        <v>22.785370646766168</v>
      </c>
      <c r="AC109" s="18">
        <f>IFERROR(
                  Andel_oberoende_av_klimat*VLOOKUP($A109,Leveranser_per_nät,'Leveranser per nät'!AC$1,FALSE)
               +Andel_beroende_av_klimat*VLOOKUP($A109,Leveranser_per_nät,'Leveranser per nät'!AC$1,FALSE)/VLOOKUP($B109,Korrigeringsfaktor_EI,'Korrigeringsfaktor EI'!AC$1,FALSE),
"")</f>
        <v>22.303074074074075</v>
      </c>
      <c r="AD109">
        <v>21.43</v>
      </c>
    </row>
    <row r="110" spans="1:30" x14ac:dyDescent="0.25">
      <c r="A110" t="s">
        <v>111</v>
      </c>
      <c r="B110" t="s">
        <v>110</v>
      </c>
      <c r="C110" s="18">
        <f>IFERROR(
                  Andel_oberoende_av_klimat*VLOOKUP($A110,Leveranser_per_nät,'Leveranser per nät'!C$1,FALSE)
               +Andel_beroende_av_klimat*VLOOKUP($A110,Leveranser_per_nät,'Leveranser per nät'!C$1,FALSE)/VLOOKUP($B110,Korrigeringsfaktor_EI,'Korrigeringsfaktor EI'!C$1,FALSE),
"")</f>
        <v>0</v>
      </c>
      <c r="D110" s="18">
        <f>IFERROR(
                  Andel_oberoende_av_klimat*VLOOKUP($A110,Leveranser_per_nät,'Leveranser per nät'!D$1,FALSE)
               +Andel_beroende_av_klimat*VLOOKUP($A110,Leveranser_per_nät,'Leveranser per nät'!D$1,FALSE)/VLOOKUP($B110,Korrigeringsfaktor_EI,'Korrigeringsfaktor EI'!D$1,FALSE),
"")</f>
        <v>0</v>
      </c>
      <c r="E110" s="18">
        <f>IFERROR(
                  Andel_oberoende_av_klimat*VLOOKUP($A110,Leveranser_per_nät,'Leveranser per nät'!E$1,FALSE)
               +Andel_beroende_av_klimat*VLOOKUP($A110,Leveranser_per_nät,'Leveranser per nät'!E$1,FALSE)/VLOOKUP($B110,Korrigeringsfaktor_EI,'Korrigeringsfaktor EI'!E$1,FALSE),
"")</f>
        <v>0</v>
      </c>
      <c r="F110" s="18">
        <f>IFERROR(
                  Andel_oberoende_av_klimat*VLOOKUP($A110,Leveranser_per_nät,'Leveranser per nät'!F$1,FALSE)
               +Andel_beroende_av_klimat*VLOOKUP($A110,Leveranser_per_nät,'Leveranser per nät'!F$1,FALSE)/VLOOKUP($B110,Korrigeringsfaktor_EI,'Korrigeringsfaktor EI'!F$1,FALSE),
"")</f>
        <v>0</v>
      </c>
      <c r="G110" s="18">
        <f>IFERROR(
                  Andel_oberoende_av_klimat*VLOOKUP($A110,Leveranser_per_nät,'Leveranser per nät'!G$1,FALSE)
               +Andel_beroende_av_klimat*VLOOKUP($A110,Leveranser_per_nät,'Leveranser per nät'!G$1,FALSE)/VLOOKUP($B110,Korrigeringsfaktor_EI,'Korrigeringsfaktor EI'!G$1,FALSE),
"")</f>
        <v>0</v>
      </c>
      <c r="H110" s="18">
        <f>IFERROR(
                  Andel_oberoende_av_klimat*VLOOKUP($A110,Leveranser_per_nät,'Leveranser per nät'!H$1,FALSE)
               +Andel_beroende_av_klimat*VLOOKUP($A110,Leveranser_per_nät,'Leveranser per nät'!H$1,FALSE)/VLOOKUP($B110,Korrigeringsfaktor_EI,'Korrigeringsfaktor EI'!H$1,FALSE),
"")</f>
        <v>0</v>
      </c>
      <c r="I110" s="18">
        <f>IFERROR(
                  Andel_oberoende_av_klimat*VLOOKUP($A110,Leveranser_per_nät,'Leveranser per nät'!I$1,FALSE)
               +Andel_beroende_av_klimat*VLOOKUP($A110,Leveranser_per_nät,'Leveranser per nät'!I$1,FALSE)/VLOOKUP($B110,Korrigeringsfaktor_EI,'Korrigeringsfaktor EI'!I$1,FALSE),
"")</f>
        <v>0</v>
      </c>
      <c r="J110" s="18">
        <f>IFERROR(
                  Andel_oberoende_av_klimat*VLOOKUP($A110,Leveranser_per_nät,'Leveranser per nät'!J$1,FALSE)
               +Andel_beroende_av_klimat*VLOOKUP($A110,Leveranser_per_nät,'Leveranser per nät'!J$1,FALSE)/VLOOKUP($B110,Korrigeringsfaktor_EI,'Korrigeringsfaktor EI'!J$1,FALSE),
"")</f>
        <v>0</v>
      </c>
      <c r="K110" s="18">
        <f>IFERROR(
                  Andel_oberoende_av_klimat*VLOOKUP($A110,Leveranser_per_nät,'Leveranser per nät'!K$1,FALSE)
               +Andel_beroende_av_klimat*VLOOKUP($A110,Leveranser_per_nät,'Leveranser per nät'!K$1,FALSE)/VLOOKUP($B110,Korrigeringsfaktor_EI,'Korrigeringsfaktor EI'!K$1,FALSE),
"")</f>
        <v>3.1574833333333334</v>
      </c>
      <c r="L110" s="18">
        <f>IFERROR(
                  Andel_oberoende_av_klimat*VLOOKUP($A110,Leveranser_per_nät,'Leveranser per nät'!L$1,FALSE)
               +Andel_beroende_av_klimat*VLOOKUP($A110,Leveranser_per_nät,'Leveranser per nät'!L$1,FALSE)/VLOOKUP($B110,Korrigeringsfaktor_EI,'Korrigeringsfaktor EI'!L$1,FALSE),
"")</f>
        <v>4.705516129032258</v>
      </c>
      <c r="M110" s="18">
        <f>IFERROR(
                  Andel_oberoende_av_klimat*VLOOKUP($A110,Leveranser_per_nät,'Leveranser per nät'!M$1,FALSE)
               +Andel_beroende_av_klimat*VLOOKUP($A110,Leveranser_per_nät,'Leveranser per nät'!M$1,FALSE)/VLOOKUP($B110,Korrigeringsfaktor_EI,'Korrigeringsfaktor EI'!M$1,FALSE),
"")</f>
        <v>5.2865000000000002</v>
      </c>
      <c r="N110" s="18">
        <f>IFERROR(
                  Andel_oberoende_av_klimat*VLOOKUP($A110,Leveranser_per_nät,'Leveranser per nät'!N$1,FALSE)
               +Andel_beroende_av_klimat*VLOOKUP($A110,Leveranser_per_nät,'Leveranser per nät'!N$1,FALSE)/VLOOKUP($B110,Korrigeringsfaktor_EI,'Korrigeringsfaktor EI'!N$1,FALSE),
"")</f>
        <v>5.261684615384616</v>
      </c>
      <c r="O110" s="18">
        <f>IFERROR(
                  Andel_oberoende_av_klimat*VLOOKUP($A110,Leveranser_per_nät,'Leveranser per nät'!O$1,FALSE)
               +Andel_beroende_av_klimat*VLOOKUP($A110,Leveranser_per_nät,'Leveranser per nät'!O$1,FALSE)/VLOOKUP($B110,Korrigeringsfaktor_EI,'Korrigeringsfaktor EI'!O$1,FALSE),
"")</f>
        <v>5.1679444444444442</v>
      </c>
      <c r="P110" s="18">
        <f>IFERROR(
                  Andel_oberoende_av_klimat*VLOOKUP($A110,Leveranser_per_nät,'Leveranser per nät'!P$1,FALSE)
               +Andel_beroende_av_klimat*VLOOKUP($A110,Leveranser_per_nät,'Leveranser per nät'!P$1,FALSE)/VLOOKUP($B110,Korrigeringsfaktor_EI,'Korrigeringsfaktor EI'!P$1,FALSE),
"")</f>
        <v>5.2487499999999994</v>
      </c>
      <c r="Q110" s="18">
        <f>IFERROR(
                  Andel_oberoende_av_klimat*VLOOKUP($A110,Leveranser_per_nät,'Leveranser per nät'!Q$1,FALSE)
               +Andel_beroende_av_klimat*VLOOKUP($A110,Leveranser_per_nät,'Leveranser per nät'!Q$1,FALSE)/VLOOKUP($B110,Korrigeringsfaktor_EI,'Korrigeringsfaktor EI'!Q$1,FALSE),
"")</f>
        <v>4.8737727272727271</v>
      </c>
      <c r="R110" s="18">
        <f>IFERROR(
                  Andel_oberoende_av_klimat*VLOOKUP($A110,Leveranser_per_nät,'Leveranser per nät'!R$1,FALSE)
               +Andel_beroende_av_klimat*VLOOKUP($A110,Leveranser_per_nät,'Leveranser per nät'!R$1,FALSE)/VLOOKUP($B110,Korrigeringsfaktor_EI,'Korrigeringsfaktor EI'!R$1,FALSE),
"")</f>
        <v>5.3597876404494382</v>
      </c>
      <c r="S110" s="18">
        <f>IFERROR(
                  Andel_oberoende_av_klimat*VLOOKUP($A110,Leveranser_per_nät,'Leveranser per nät'!S$1,FALSE)
               +Andel_beroende_av_klimat*VLOOKUP($A110,Leveranser_per_nät,'Leveranser per nät'!S$1,FALSE)/VLOOKUP($B110,Korrigeringsfaktor_EI,'Korrigeringsfaktor EI'!S$1,FALSE),
"")</f>
        <v>5.1221428571428564</v>
      </c>
      <c r="T110" s="18">
        <f>IFERROR(
                  Andel_oberoende_av_klimat*VLOOKUP($A110,Leveranser_per_nät,'Leveranser per nät'!T$1,FALSE)
               +Andel_beroende_av_klimat*VLOOKUP($A110,Leveranser_per_nät,'Leveranser per nät'!T$1,FALSE)/VLOOKUP($B110,Korrigeringsfaktor_EI,'Korrigeringsfaktor EI'!T$1,FALSE),
"")</f>
        <v>5.1950782608695656</v>
      </c>
      <c r="U110" s="18">
        <f>IFERROR(
                  Andel_oberoende_av_klimat*VLOOKUP($A110,Leveranser_per_nät,'Leveranser per nät'!U$1,FALSE)
               +Andel_beroende_av_klimat*VLOOKUP($A110,Leveranser_per_nät,'Leveranser per nät'!U$1,FALSE)/VLOOKUP($B110,Korrigeringsfaktor_EI,'Korrigeringsfaktor EI'!U$1,FALSE),
"")</f>
        <v>4.7104545454545459</v>
      </c>
      <c r="V110" s="18">
        <f>IFERROR(
                  Andel_oberoende_av_klimat*VLOOKUP($A110,Leveranser_per_nät,'Leveranser per nät'!V$1,FALSE)
               +Andel_beroende_av_klimat*VLOOKUP($A110,Leveranser_per_nät,'Leveranser per nät'!V$1,FALSE)/VLOOKUP($B110,Korrigeringsfaktor_EI,'Korrigeringsfaktor EI'!V$1,FALSE),
"")</f>
        <v>5.1066292134831466</v>
      </c>
      <c r="W110" s="18">
        <f>IFERROR(
                  Andel_oberoende_av_klimat*VLOOKUP($A110,Leveranser_per_nät,'Leveranser per nät'!W$1,FALSE)
               +Andel_beroende_av_klimat*VLOOKUP($A110,Leveranser_per_nät,'Leveranser per nät'!W$1,FALSE)/VLOOKUP($B110,Korrigeringsfaktor_EI,'Korrigeringsfaktor EI'!W$1,FALSE),
"")</f>
        <v>4.9517872340425537</v>
      </c>
      <c r="X110" s="18">
        <f>IFERROR(
                  Andel_oberoende_av_klimat*VLOOKUP($A110,Leveranser_per_nät,'Leveranser per nät'!X$1,FALSE)
               +Andel_beroende_av_klimat*VLOOKUP($A110,Leveranser_per_nät,'Leveranser per nät'!X$1,FALSE)/VLOOKUP($B110,Korrigeringsfaktor_EI,'Korrigeringsfaktor EI'!X$1,FALSE),
"")</f>
        <v>5.0390526315789481</v>
      </c>
      <c r="Y110" s="18">
        <f>IFERROR(
                  Andel_oberoende_av_klimat*VLOOKUP($A110,Leveranser_per_nät,'Leveranser per nät'!Y$1,FALSE)
               +Andel_beroende_av_klimat*VLOOKUP($A110,Leveranser_per_nät,'Leveranser per nät'!Y$1,FALSE)/VLOOKUP($B110,Korrigeringsfaktor_EI,'Korrigeringsfaktor EI'!Y$1,FALSE),
"")</f>
        <v>5.2300869565217383</v>
      </c>
      <c r="Z110" s="18">
        <f>IFERROR(
                  Andel_oberoende_av_klimat*VLOOKUP($A110,Leveranser_per_nät,'Leveranser per nät'!Z$1,FALSE)
               +Andel_beroende_av_klimat*VLOOKUP($A110,Leveranser_per_nät,'Leveranser per nät'!Z$1,FALSE)/VLOOKUP($B110,Korrigeringsfaktor_EI,'Korrigeringsfaktor EI'!Z$1,FALSE),
"")</f>
        <v>4.5299130434782597</v>
      </c>
      <c r="AA110" s="18">
        <f>IFERROR(
                  Andel_oberoende_av_klimat*VLOOKUP($A110,Leveranser_per_nät,'Leveranser per nät'!AA$1,FALSE)
               +Andel_beroende_av_klimat*VLOOKUP($A110,Leveranser_per_nät,'Leveranser per nät'!AA$1,FALSE)/VLOOKUP($B110,Korrigeringsfaktor_EI,'Korrigeringsfaktor EI'!AA$1,FALSE),
"")</f>
        <v>4.1275260210035007</v>
      </c>
      <c r="AB110" s="18">
        <f>IFERROR(
                  Andel_oberoende_av_klimat*VLOOKUP($A110,Leveranser_per_nät,'Leveranser per nät'!AB$1,FALSE)
               +Andel_beroende_av_klimat*VLOOKUP($A110,Leveranser_per_nät,'Leveranser per nät'!AB$1,FALSE)/VLOOKUP($B110,Korrigeringsfaktor_EI,'Korrigeringsfaktor EI'!AB$1,FALSE),
"")</f>
        <v>4.1696117179741812</v>
      </c>
      <c r="AC110" s="18">
        <f>IFERROR(
                  Andel_oberoende_av_klimat*VLOOKUP($A110,Leveranser_per_nät,'Leveranser per nät'!AC$1,FALSE)
               +Andel_beroende_av_klimat*VLOOKUP($A110,Leveranser_per_nät,'Leveranser per nät'!AC$1,FALSE)/VLOOKUP($B110,Korrigeringsfaktor_EI,'Korrigeringsfaktor EI'!AC$1,FALSE),
"")</f>
        <v>4.1281183800623049</v>
      </c>
      <c r="AD110">
        <v>374.2</v>
      </c>
    </row>
    <row r="111" spans="1:30" x14ac:dyDescent="0.25">
      <c r="A111" t="s">
        <v>124</v>
      </c>
      <c r="B111" t="s">
        <v>246</v>
      </c>
      <c r="C111" s="18">
        <f>IFERROR(
                  Andel_oberoende_av_klimat*VLOOKUP($A111,Leveranser_per_nät,'Leveranser per nät'!C$1,FALSE)
               +Andel_beroende_av_klimat*VLOOKUP($A111,Leveranser_per_nät,'Leveranser per nät'!C$1,FALSE)/VLOOKUP($B111,Korrigeringsfaktor_EI,'Korrigeringsfaktor EI'!C$1,FALSE),
"")</f>
        <v>0</v>
      </c>
      <c r="D111" s="18">
        <f>IFERROR(
                  Andel_oberoende_av_klimat*VLOOKUP($A111,Leveranser_per_nät,'Leveranser per nät'!D$1,FALSE)
               +Andel_beroende_av_klimat*VLOOKUP($A111,Leveranser_per_nät,'Leveranser per nät'!D$1,FALSE)/VLOOKUP($B111,Korrigeringsfaktor_EI,'Korrigeringsfaktor EI'!D$1,FALSE),
"")</f>
        <v>0</v>
      </c>
      <c r="E111" s="18">
        <f>IFERROR(
                  Andel_oberoende_av_klimat*VLOOKUP($A111,Leveranser_per_nät,'Leveranser per nät'!E$1,FALSE)
               +Andel_beroende_av_klimat*VLOOKUP($A111,Leveranser_per_nät,'Leveranser per nät'!E$1,FALSE)/VLOOKUP($B111,Korrigeringsfaktor_EI,'Korrigeringsfaktor EI'!E$1,FALSE),
"")</f>
        <v>0</v>
      </c>
      <c r="F111" s="18">
        <f>IFERROR(
                  Andel_oberoende_av_klimat*VLOOKUP($A111,Leveranser_per_nät,'Leveranser per nät'!F$1,FALSE)
               +Andel_beroende_av_klimat*VLOOKUP($A111,Leveranser_per_nät,'Leveranser per nät'!F$1,FALSE)/VLOOKUP($B111,Korrigeringsfaktor_EI,'Korrigeringsfaktor EI'!F$1,FALSE),
"")</f>
        <v>0</v>
      </c>
      <c r="G111" s="18">
        <f>IFERROR(
                  Andel_oberoende_av_klimat*VLOOKUP($A111,Leveranser_per_nät,'Leveranser per nät'!G$1,FALSE)
               +Andel_beroende_av_klimat*VLOOKUP($A111,Leveranser_per_nät,'Leveranser per nät'!G$1,FALSE)/VLOOKUP($B111,Korrigeringsfaktor_EI,'Korrigeringsfaktor EI'!G$1,FALSE),
"")</f>
        <v>0</v>
      </c>
      <c r="H111" s="18">
        <f>IFERROR(
                  Andel_oberoende_av_klimat*VLOOKUP($A111,Leveranser_per_nät,'Leveranser per nät'!H$1,FALSE)
               +Andel_beroende_av_klimat*VLOOKUP($A111,Leveranser_per_nät,'Leveranser per nät'!H$1,FALSE)/VLOOKUP($B111,Korrigeringsfaktor_EI,'Korrigeringsfaktor EI'!H$1,FALSE),
"")</f>
        <v>5.9584158415841575</v>
      </c>
      <c r="I111" s="18">
        <f>IFERROR(
                  Andel_oberoende_av_klimat*VLOOKUP($A111,Leveranser_per_nät,'Leveranser per nät'!I$1,FALSE)
               +Andel_beroende_av_klimat*VLOOKUP($A111,Leveranser_per_nät,'Leveranser per nät'!I$1,FALSE)/VLOOKUP($B111,Korrigeringsfaktor_EI,'Korrigeringsfaktor EI'!I$1,FALSE),
"")</f>
        <v>6.1298969072164944</v>
      </c>
      <c r="J111" s="18">
        <f>IFERROR(
                  Andel_oberoende_av_klimat*VLOOKUP($A111,Leveranser_per_nät,'Leveranser per nät'!J$1,FALSE)
               +Andel_beroende_av_klimat*VLOOKUP($A111,Leveranser_per_nät,'Leveranser per nät'!J$1,FALSE)/VLOOKUP($B111,Korrigeringsfaktor_EI,'Korrigeringsfaktor EI'!J$1,FALSE),
"")</f>
        <v>0</v>
      </c>
      <c r="K111" s="18">
        <f>IFERROR(
                  Andel_oberoende_av_klimat*VLOOKUP($A111,Leveranser_per_nät,'Leveranser per nät'!K$1,FALSE)
               +Andel_beroende_av_klimat*VLOOKUP($A111,Leveranser_per_nät,'Leveranser per nät'!K$1,FALSE)/VLOOKUP($B111,Korrigeringsfaktor_EI,'Korrigeringsfaktor EI'!K$1,FALSE),
"")</f>
        <v>0</v>
      </c>
      <c r="L111" s="18">
        <f>IFERROR(
                  Andel_oberoende_av_klimat*VLOOKUP($A111,Leveranser_per_nät,'Leveranser per nät'!L$1,FALSE)
               +Andel_beroende_av_klimat*VLOOKUP($A111,Leveranser_per_nät,'Leveranser per nät'!L$1,FALSE)/VLOOKUP($B111,Korrigeringsfaktor_EI,'Korrigeringsfaktor EI'!L$1,FALSE),
"")</f>
        <v>0</v>
      </c>
      <c r="M111" s="18">
        <f>IFERROR(
                  Andel_oberoende_av_klimat*VLOOKUP($A111,Leveranser_per_nät,'Leveranser per nät'!M$1,FALSE)
               +Andel_beroende_av_klimat*VLOOKUP($A111,Leveranser_per_nät,'Leveranser per nät'!M$1,FALSE)/VLOOKUP($B111,Korrigeringsfaktor_EI,'Korrigeringsfaktor EI'!M$1,FALSE),
"")</f>
        <v>0</v>
      </c>
      <c r="N111" s="18">
        <f>IFERROR(
                  Andel_oberoende_av_klimat*VLOOKUP($A111,Leveranser_per_nät,'Leveranser per nät'!N$1,FALSE)
               +Andel_beroende_av_klimat*VLOOKUP($A111,Leveranser_per_nät,'Leveranser per nät'!N$1,FALSE)/VLOOKUP($B111,Korrigeringsfaktor_EI,'Korrigeringsfaktor EI'!N$1,FALSE),
"")</f>
        <v>0</v>
      </c>
      <c r="O111" s="18">
        <f>IFERROR(
                  Andel_oberoende_av_klimat*VLOOKUP($A111,Leveranser_per_nät,'Leveranser per nät'!O$1,FALSE)
               +Andel_beroende_av_klimat*VLOOKUP($A111,Leveranser_per_nät,'Leveranser per nät'!O$1,FALSE)/VLOOKUP($B111,Korrigeringsfaktor_EI,'Korrigeringsfaktor EI'!O$1,FALSE),
"")</f>
        <v>0</v>
      </c>
      <c r="P111" s="18">
        <f>IFERROR(
                  Andel_oberoende_av_klimat*VLOOKUP($A111,Leveranser_per_nät,'Leveranser per nät'!P$1,FALSE)
               +Andel_beroende_av_klimat*VLOOKUP($A111,Leveranser_per_nät,'Leveranser per nät'!P$1,FALSE)/VLOOKUP($B111,Korrigeringsfaktor_EI,'Korrigeringsfaktor EI'!P$1,FALSE),
"")</f>
        <v>6.845051546391753</v>
      </c>
      <c r="Q111" s="18">
        <f>IFERROR(
                  Andel_oberoende_av_klimat*VLOOKUP($A111,Leveranser_per_nät,'Leveranser per nät'!Q$1,FALSE)
               +Andel_beroende_av_klimat*VLOOKUP($A111,Leveranser_per_nät,'Leveranser per nät'!Q$1,FALSE)/VLOOKUP($B111,Korrigeringsfaktor_EI,'Korrigeringsfaktor EI'!Q$1,FALSE),
"")</f>
        <v>6.7005405405405405</v>
      </c>
      <c r="R111" s="18">
        <f>IFERROR(
                  Andel_oberoende_av_klimat*VLOOKUP($A111,Leveranser_per_nät,'Leveranser per nät'!R$1,FALSE)
               +Andel_beroende_av_klimat*VLOOKUP($A111,Leveranser_per_nät,'Leveranser per nät'!R$1,FALSE)/VLOOKUP($B111,Korrigeringsfaktor_EI,'Korrigeringsfaktor EI'!R$1,FALSE),
"")</f>
        <v>5.3140769230769225</v>
      </c>
      <c r="S111" s="18">
        <f>IFERROR(
                  Andel_oberoende_av_klimat*VLOOKUP($A111,Leveranser_per_nät,'Leveranser per nät'!S$1,FALSE)
               +Andel_beroende_av_klimat*VLOOKUP($A111,Leveranser_per_nät,'Leveranser per nät'!S$1,FALSE)/VLOOKUP($B111,Korrigeringsfaktor_EI,'Korrigeringsfaktor EI'!S$1,FALSE),
"")</f>
        <v>6.6237722772277223</v>
      </c>
      <c r="T111" s="18">
        <f>IFERROR(
                  Andel_oberoende_av_klimat*VLOOKUP($A111,Leveranser_per_nät,'Leveranser per nät'!T$1,FALSE)
               +Andel_beroende_av_klimat*VLOOKUP($A111,Leveranser_per_nät,'Leveranser per nät'!T$1,FALSE)/VLOOKUP($B111,Korrigeringsfaktor_EI,'Korrigeringsfaktor EI'!T$1,FALSE),
"")</f>
        <v>6.3118791666666665</v>
      </c>
      <c r="U111" s="18">
        <f>IFERROR(
                  Andel_oberoende_av_klimat*VLOOKUP($A111,Leveranser_per_nät,'Leveranser per nät'!U$1,FALSE)
               +Andel_beroende_av_klimat*VLOOKUP($A111,Leveranser_per_nät,'Leveranser per nät'!U$1,FALSE)/VLOOKUP($B111,Korrigeringsfaktor_EI,'Korrigeringsfaktor EI'!U$1,FALSE),
"")</f>
        <v>6.2090363636363639</v>
      </c>
      <c r="V111" s="18">
        <f>IFERROR(
                  Andel_oberoende_av_klimat*VLOOKUP($A111,Leveranser_per_nät,'Leveranser per nät'!V$1,FALSE)
               +Andel_beroende_av_klimat*VLOOKUP($A111,Leveranser_per_nät,'Leveranser per nät'!V$1,FALSE)/VLOOKUP($B111,Korrigeringsfaktor_EI,'Korrigeringsfaktor EI'!V$1,FALSE),
"")</f>
        <v>5.8846434782608688</v>
      </c>
      <c r="W111" s="18">
        <f>IFERROR(
                  Andel_oberoende_av_klimat*VLOOKUP($A111,Leveranser_per_nät,'Leveranser per nät'!W$1,FALSE)
               +Andel_beroende_av_klimat*VLOOKUP($A111,Leveranser_per_nät,'Leveranser per nät'!W$1,FALSE)/VLOOKUP($B111,Korrigeringsfaktor_EI,'Korrigeringsfaktor EI'!W$1,FALSE),
"")</f>
        <v>5.5750999999999999</v>
      </c>
      <c r="X111" s="18">
        <f>IFERROR(
                  Andel_oberoende_av_klimat*VLOOKUP($A111,Leveranser_per_nät,'Leveranser per nät'!X$1,FALSE)
               +Andel_beroende_av_klimat*VLOOKUP($A111,Leveranser_per_nät,'Leveranser per nät'!X$1,FALSE)/VLOOKUP($B111,Korrigeringsfaktor_EI,'Korrigeringsfaktor EI'!X$1,FALSE),
"")</f>
        <v>6.1225125</v>
      </c>
      <c r="Y111" s="18">
        <f>IFERROR(
                  Andel_oberoende_av_klimat*VLOOKUP($A111,Leveranser_per_nät,'Leveranser per nät'!Y$1,FALSE)
               +Andel_beroende_av_klimat*VLOOKUP($A111,Leveranser_per_nät,'Leveranser per nät'!Y$1,FALSE)/VLOOKUP($B111,Korrigeringsfaktor_EI,'Korrigeringsfaktor EI'!Y$1,FALSE),
"")</f>
        <v>6.1530434782608694</v>
      </c>
      <c r="Z111" s="18">
        <f>IFERROR(
                  Andel_oberoende_av_klimat*VLOOKUP($A111,Leveranser_per_nät,'Leveranser per nät'!Z$1,FALSE)
               +Andel_beroende_av_klimat*VLOOKUP($A111,Leveranser_per_nät,'Leveranser per nät'!Z$1,FALSE)/VLOOKUP($B111,Korrigeringsfaktor_EI,'Korrigeringsfaktor EI'!Z$1,FALSE),
"")</f>
        <v>5.8697913043478263</v>
      </c>
      <c r="AA111" s="18">
        <f>IFERROR(
                  Andel_oberoende_av_klimat*VLOOKUP($A111,Leveranser_per_nät,'Leveranser per nät'!AA$1,FALSE)
               +Andel_beroende_av_klimat*VLOOKUP($A111,Leveranser_per_nät,'Leveranser per nät'!AA$1,FALSE)/VLOOKUP($B111,Korrigeringsfaktor_EI,'Korrigeringsfaktor EI'!AA$1,FALSE),
"")</f>
        <v>5.6259267924528302</v>
      </c>
      <c r="AB111" s="18">
        <f>IFERROR(
                  Andel_oberoende_av_klimat*VLOOKUP($A111,Leveranser_per_nät,'Leveranser per nät'!AB$1,FALSE)
               +Andel_beroende_av_klimat*VLOOKUP($A111,Leveranser_per_nät,'Leveranser per nät'!AB$1,FALSE)/VLOOKUP($B111,Korrigeringsfaktor_EI,'Korrigeringsfaktor EI'!AB$1,FALSE),
"")</f>
        <v>5.5676578528827037</v>
      </c>
      <c r="AC111" s="18">
        <f>IFERROR(
                  Andel_oberoende_av_klimat*VLOOKUP($A111,Leveranser_per_nät,'Leveranser per nät'!AC$1,FALSE)
               +Andel_beroende_av_klimat*VLOOKUP($A111,Leveranser_per_nät,'Leveranser per nät'!AC$1,FALSE)/VLOOKUP($B111,Korrigeringsfaktor_EI,'Korrigeringsfaktor EI'!AC$1,FALSE),
"")</f>
        <v>5.3115693361433083</v>
      </c>
      <c r="AD111" t="e">
        <v>#N/A</v>
      </c>
    </row>
    <row r="112" spans="1:30" x14ac:dyDescent="0.25">
      <c r="A112" t="s">
        <v>185</v>
      </c>
      <c r="B112" t="s">
        <v>1</v>
      </c>
      <c r="C112" s="18">
        <f>IFERROR(
                  Andel_oberoende_av_klimat*VLOOKUP($A112,Leveranser_per_nät,'Leveranser per nät'!C$1,FALSE)
               +Andel_beroende_av_klimat*VLOOKUP($A112,Leveranser_per_nät,'Leveranser per nät'!C$1,FALSE)/VLOOKUP($B112,Korrigeringsfaktor_EI,'Korrigeringsfaktor EI'!C$1,FALSE),
"")</f>
        <v>4.625</v>
      </c>
      <c r="D112" s="18">
        <f>IFERROR(
                  Andel_oberoende_av_klimat*VLOOKUP($A112,Leveranser_per_nät,'Leveranser per nät'!D$1,FALSE)
               +Andel_beroende_av_klimat*VLOOKUP($A112,Leveranser_per_nät,'Leveranser per nät'!D$1,FALSE)/VLOOKUP($B112,Korrigeringsfaktor_EI,'Korrigeringsfaktor EI'!D$1,FALSE),
"")</f>
        <v>4.8759702970297027</v>
      </c>
      <c r="E112" s="18">
        <f>IFERROR(
                  Andel_oberoende_av_klimat*VLOOKUP($A112,Leveranser_per_nät,'Leveranser per nät'!E$1,FALSE)
               +Andel_beroende_av_klimat*VLOOKUP($A112,Leveranser_per_nät,'Leveranser per nät'!E$1,FALSE)/VLOOKUP($B112,Korrigeringsfaktor_EI,'Korrigeringsfaktor EI'!E$1,FALSE),
"")</f>
        <v>4.8653846153846159</v>
      </c>
      <c r="F112" s="18">
        <f>IFERROR(
                  Andel_oberoende_av_klimat*VLOOKUP($A112,Leveranser_per_nät,'Leveranser per nät'!F$1,FALSE)
               +Andel_beroende_av_klimat*VLOOKUP($A112,Leveranser_per_nät,'Leveranser per nät'!F$1,FALSE)/VLOOKUP($B112,Korrigeringsfaktor_EI,'Korrigeringsfaktor EI'!F$1,FALSE),
"")</f>
        <v>5.0714285714285721</v>
      </c>
      <c r="G112" s="18">
        <f>IFERROR(
                  Andel_oberoende_av_klimat*VLOOKUP($A112,Leveranser_per_nät,'Leveranser per nät'!G$1,FALSE)
               +Andel_beroende_av_klimat*VLOOKUP($A112,Leveranser_per_nät,'Leveranser per nät'!G$1,FALSE)/VLOOKUP($B112,Korrigeringsfaktor_EI,'Korrigeringsfaktor EI'!G$1,FALSE),
"")</f>
        <v>5.3461538461538458</v>
      </c>
      <c r="H112" s="18">
        <f>IFERROR(
                  Andel_oberoende_av_klimat*VLOOKUP($A112,Leveranser_per_nät,'Leveranser per nät'!H$1,FALSE)
               +Andel_beroende_av_klimat*VLOOKUP($A112,Leveranser_per_nät,'Leveranser per nät'!H$1,FALSE)/VLOOKUP($B112,Korrigeringsfaktor_EI,'Korrigeringsfaktor EI'!H$1,FALSE),
"")</f>
        <v>6.0424242424242411</v>
      </c>
      <c r="I112" s="18">
        <f>IFERROR(
                  Andel_oberoende_av_klimat*VLOOKUP($A112,Leveranser_per_nät,'Leveranser per nät'!I$1,FALSE)
               +Andel_beroende_av_klimat*VLOOKUP($A112,Leveranser_per_nät,'Leveranser per nät'!I$1,FALSE)/VLOOKUP($B112,Korrigeringsfaktor_EI,'Korrigeringsfaktor EI'!I$1,FALSE),
"")</f>
        <v>5.2234042553191493</v>
      </c>
      <c r="J112" s="18">
        <f>IFERROR(
                  Andel_oberoende_av_klimat*VLOOKUP($A112,Leveranser_per_nät,'Leveranser per nät'!J$1,FALSE)
               +Andel_beroende_av_klimat*VLOOKUP($A112,Leveranser_per_nät,'Leveranser per nät'!J$1,FALSE)/VLOOKUP($B112,Korrigeringsfaktor_EI,'Korrigeringsfaktor EI'!J$1,FALSE),
"")</f>
        <v>7.1515463917525777</v>
      </c>
      <c r="K112" s="18">
        <f>IFERROR(
                  Andel_oberoende_av_klimat*VLOOKUP($A112,Leveranser_per_nät,'Leveranser per nät'!K$1,FALSE)
               +Andel_beroende_av_klimat*VLOOKUP($A112,Leveranser_per_nät,'Leveranser per nät'!K$1,FALSE)/VLOOKUP($B112,Korrigeringsfaktor_EI,'Korrigeringsfaktor EI'!K$1,FALSE),
"")</f>
        <v>7.8769428571428577</v>
      </c>
      <c r="L112" s="18">
        <f>IFERROR(
                  Andel_oberoende_av_klimat*VLOOKUP($A112,Leveranser_per_nät,'Leveranser per nät'!L$1,FALSE)
               +Andel_beroende_av_klimat*VLOOKUP($A112,Leveranser_per_nät,'Leveranser per nät'!L$1,FALSE)/VLOOKUP($B112,Korrigeringsfaktor_EI,'Korrigeringsfaktor EI'!L$1,FALSE),
"")</f>
        <v>9.4352631578947364</v>
      </c>
      <c r="M112" s="18">
        <f>IFERROR(
                  Andel_oberoende_av_klimat*VLOOKUP($A112,Leveranser_per_nät,'Leveranser per nät'!M$1,FALSE)
               +Andel_beroende_av_klimat*VLOOKUP($A112,Leveranser_per_nät,'Leveranser per nät'!M$1,FALSE)/VLOOKUP($B112,Korrigeringsfaktor_EI,'Korrigeringsfaktor EI'!M$1,FALSE),
"")</f>
        <v>9.8660869565217393</v>
      </c>
      <c r="N112" s="18">
        <f>IFERROR(
                  Andel_oberoende_av_klimat*VLOOKUP($A112,Leveranser_per_nät,'Leveranser per nät'!N$1,FALSE)
               +Andel_beroende_av_klimat*VLOOKUP($A112,Leveranser_per_nät,'Leveranser per nät'!N$1,FALSE)/VLOOKUP($B112,Korrigeringsfaktor_EI,'Korrigeringsfaktor EI'!N$1,FALSE),
"")</f>
        <v>9.8660869565217393</v>
      </c>
      <c r="O112" s="18">
        <f>IFERROR(
                  Andel_oberoende_av_klimat*VLOOKUP($A112,Leveranser_per_nät,'Leveranser per nät'!O$1,FALSE)
               +Andel_beroende_av_klimat*VLOOKUP($A112,Leveranser_per_nät,'Leveranser per nät'!O$1,FALSE)/VLOOKUP($B112,Korrigeringsfaktor_EI,'Korrigeringsfaktor EI'!O$1,FALSE),
"")</f>
        <v>8.7676923076923075</v>
      </c>
      <c r="P112" s="18">
        <f>IFERROR(
                  Andel_oberoende_av_klimat*VLOOKUP($A112,Leveranser_per_nät,'Leveranser per nät'!P$1,FALSE)
               +Andel_beroende_av_klimat*VLOOKUP($A112,Leveranser_per_nät,'Leveranser per nät'!P$1,FALSE)/VLOOKUP($B112,Korrigeringsfaktor_EI,'Korrigeringsfaktor EI'!P$1,FALSE),
"")</f>
        <v>9.2624999999999993</v>
      </c>
      <c r="Q112" s="18">
        <f>IFERROR(
                  Andel_oberoende_av_klimat*VLOOKUP($A112,Leveranser_per_nät,'Leveranser per nät'!Q$1,FALSE)
               +Andel_beroende_av_klimat*VLOOKUP($A112,Leveranser_per_nät,'Leveranser per nät'!Q$1,FALSE)/VLOOKUP($B112,Korrigeringsfaktor_EI,'Korrigeringsfaktor EI'!Q$1,FALSE),
"")</f>
        <v>10.145789473684211</v>
      </c>
      <c r="R112" s="18">
        <f>IFERROR(
                  Andel_oberoende_av_klimat*VLOOKUP($A112,Leveranser_per_nät,'Leveranser per nät'!R$1,FALSE)
               +Andel_beroende_av_klimat*VLOOKUP($A112,Leveranser_per_nät,'Leveranser per nät'!R$1,FALSE)/VLOOKUP($B112,Korrigeringsfaktor_EI,'Korrigeringsfaktor EI'!R$1,FALSE),
"")</f>
        <v>9.5794623655913966</v>
      </c>
      <c r="S112" s="18">
        <f>IFERROR(
                  Andel_oberoende_av_klimat*VLOOKUP($A112,Leveranser_per_nät,'Leveranser per nät'!S$1,FALSE)
               +Andel_beroende_av_klimat*VLOOKUP($A112,Leveranser_per_nät,'Leveranser per nät'!S$1,FALSE)/VLOOKUP($B112,Korrigeringsfaktor_EI,'Korrigeringsfaktor EI'!S$1,FALSE),
"")</f>
        <v>9.9306930693069315</v>
      </c>
      <c r="T112" s="18">
        <f>IFERROR(
                  Andel_oberoende_av_klimat*VLOOKUP($A112,Leveranser_per_nät,'Leveranser per nät'!T$1,FALSE)
               +Andel_beroende_av_klimat*VLOOKUP($A112,Leveranser_per_nät,'Leveranser per nät'!T$1,FALSE)/VLOOKUP($B112,Korrigeringsfaktor_EI,'Korrigeringsfaktor EI'!T$1,FALSE),
"")</f>
        <v>9.667878787878788</v>
      </c>
      <c r="U112" s="18">
        <f>IFERROR(
                  Andel_oberoende_av_klimat*VLOOKUP($A112,Leveranser_per_nät,'Leveranser per nät'!U$1,FALSE)
               +Andel_beroende_av_klimat*VLOOKUP($A112,Leveranser_per_nät,'Leveranser per nät'!U$1,FALSE)/VLOOKUP($B112,Korrigeringsfaktor_EI,'Korrigeringsfaktor EI'!U$1,FALSE),
"")</f>
        <v>9.8590909090909093</v>
      </c>
      <c r="V112" s="18">
        <f>IFERROR(
                  Andel_oberoende_av_klimat*VLOOKUP($A112,Leveranser_per_nät,'Leveranser per nät'!V$1,FALSE)
               +Andel_beroende_av_klimat*VLOOKUP($A112,Leveranser_per_nät,'Leveranser per nät'!V$1,FALSE)/VLOOKUP($B112,Korrigeringsfaktor_EI,'Korrigeringsfaktor EI'!V$1,FALSE),
"")</f>
        <v>9.5794623655913966</v>
      </c>
      <c r="W112" s="18">
        <f>IFERROR(
                  Andel_oberoende_av_klimat*VLOOKUP($A112,Leveranser_per_nät,'Leveranser per nät'!W$1,FALSE)
               +Andel_beroende_av_klimat*VLOOKUP($A112,Leveranser_per_nät,'Leveranser per nät'!W$1,FALSE)/VLOOKUP($B112,Korrigeringsfaktor_EI,'Korrigeringsfaktor EI'!W$1,FALSE),
"")</f>
        <v>9.8800000000000008</v>
      </c>
      <c r="X112" s="18">
        <f>IFERROR(
                  Andel_oberoende_av_klimat*VLOOKUP($A112,Leveranser_per_nät,'Leveranser per nät'!X$1,FALSE)
               +Andel_beroende_av_klimat*VLOOKUP($A112,Leveranser_per_nät,'Leveranser per nät'!X$1,FALSE)/VLOOKUP($B112,Korrigeringsfaktor_EI,'Korrigeringsfaktor EI'!X$1,FALSE),
"")</f>
        <v>10.446808510638299</v>
      </c>
      <c r="Y112" s="18">
        <f>IFERROR(
                  Andel_oberoende_av_klimat*VLOOKUP($A112,Leveranser_per_nät,'Leveranser per nät'!Y$1,FALSE)
               +Andel_beroende_av_klimat*VLOOKUP($A112,Leveranser_per_nät,'Leveranser per nät'!Y$1,FALSE)/VLOOKUP($B112,Korrigeringsfaktor_EI,'Korrigeringsfaktor EI'!Y$1,FALSE),
"")</f>
        <v>11.532222222222222</v>
      </c>
      <c r="Z112" s="18">
        <f>IFERROR(
                  Andel_oberoende_av_klimat*VLOOKUP($A112,Leveranser_per_nät,'Leveranser per nät'!Z$1,FALSE)
               +Andel_beroende_av_klimat*VLOOKUP($A112,Leveranser_per_nät,'Leveranser per nät'!Z$1,FALSE)/VLOOKUP($B112,Korrigeringsfaktor_EI,'Korrigeringsfaktor EI'!Z$1,FALSE),
"")</f>
        <v>11.655636363636363</v>
      </c>
      <c r="AA112" s="18">
        <f>IFERROR(
                  Andel_oberoende_av_klimat*VLOOKUP($A112,Leveranser_per_nät,'Leveranser per nät'!AA$1,FALSE)
               +Andel_beroende_av_klimat*VLOOKUP($A112,Leveranser_per_nät,'Leveranser per nät'!AA$1,FALSE)/VLOOKUP($B112,Korrigeringsfaktor_EI,'Korrigeringsfaktor EI'!AA$1,FALSE),
"")</f>
        <v>9.6517611940298504</v>
      </c>
      <c r="AB112" s="18">
        <f>IFERROR(
                  Andel_oberoende_av_klimat*VLOOKUP($A112,Leveranser_per_nät,'Leveranser per nät'!AB$1,FALSE)
               +Andel_beroende_av_klimat*VLOOKUP($A112,Leveranser_per_nät,'Leveranser per nät'!AB$1,FALSE)/VLOOKUP($B112,Korrigeringsfaktor_EI,'Korrigeringsfaktor EI'!AB$1,FALSE),
"")</f>
        <v>10.353815920398011</v>
      </c>
      <c r="AC112" s="18">
        <f>IFERROR(
                  Andel_oberoende_av_klimat*VLOOKUP($A112,Leveranser_per_nät,'Leveranser per nät'!AC$1,FALSE)
               +Andel_beroende_av_klimat*VLOOKUP($A112,Leveranser_per_nät,'Leveranser per nät'!AC$1,FALSE)/VLOOKUP($B112,Korrigeringsfaktor_EI,'Korrigeringsfaktor EI'!AC$1,FALSE),
"")</f>
        <v>9.817270270270269</v>
      </c>
      <c r="AD112">
        <v>118.5</v>
      </c>
    </row>
    <row r="113" spans="1:30" x14ac:dyDescent="0.25">
      <c r="A113" t="s">
        <v>358</v>
      </c>
      <c r="B113" t="s">
        <v>126</v>
      </c>
      <c r="C113" s="18">
        <f>IFERROR(
                  Andel_oberoende_av_klimat*VLOOKUP($A113,Leveranser_per_nät,'Leveranser per nät'!C$1,FALSE)
               +Andel_beroende_av_klimat*VLOOKUP($A113,Leveranser_per_nät,'Leveranser per nät'!C$1,FALSE)/VLOOKUP($B113,Korrigeringsfaktor_EI,'Korrigeringsfaktor EI'!C$1,FALSE),
"")</f>
        <v>1.908411214953271</v>
      </c>
      <c r="D113" s="18">
        <f>IFERROR(
                  Andel_oberoende_av_klimat*VLOOKUP($A113,Leveranser_per_nät,'Leveranser per nät'!D$1,FALSE)
               +Andel_beroende_av_klimat*VLOOKUP($A113,Leveranser_per_nät,'Leveranser per nät'!D$1,FALSE)/VLOOKUP($B113,Korrigeringsfaktor_EI,'Korrigeringsfaktor EI'!D$1,FALSE),
"")</f>
        <v>1.7289999999999999</v>
      </c>
      <c r="E113" s="18">
        <f>IFERROR(
                  Andel_oberoende_av_klimat*VLOOKUP($A113,Leveranser_per_nät,'Leveranser per nät'!E$1,FALSE)
               +Andel_beroende_av_klimat*VLOOKUP($A113,Leveranser_per_nät,'Leveranser per nät'!E$1,FALSE)/VLOOKUP($B113,Korrigeringsfaktor_EI,'Korrigeringsfaktor EI'!E$1,FALSE),
"")</f>
        <v>1.972549019607843</v>
      </c>
      <c r="F113" s="18">
        <f>IFERROR(
                  Andel_oberoende_av_klimat*VLOOKUP($A113,Leveranser_per_nät,'Leveranser per nät'!F$1,FALSE)
               +Andel_beroende_av_klimat*VLOOKUP($A113,Leveranser_per_nät,'Leveranser per nät'!F$1,FALSE)/VLOOKUP($B113,Korrigeringsfaktor_EI,'Korrigeringsfaktor EI'!F$1,FALSE),
"")</f>
        <v>2.0432989690721648</v>
      </c>
      <c r="G113" s="18">
        <f>IFERROR(
                  Andel_oberoende_av_klimat*VLOOKUP($A113,Leveranser_per_nät,'Leveranser per nät'!G$1,FALSE)
               +Andel_beroende_av_klimat*VLOOKUP($A113,Leveranser_per_nät,'Leveranser per nät'!G$1,FALSE)/VLOOKUP($B113,Korrigeringsfaktor_EI,'Korrigeringsfaktor EI'!G$1,FALSE),
"")</f>
        <v>2.1555555555555554</v>
      </c>
      <c r="H113" s="18">
        <f>IFERROR(
                  Andel_oberoende_av_klimat*VLOOKUP($A113,Leveranser_per_nät,'Leveranser per nät'!H$1,FALSE)
               +Andel_beroende_av_klimat*VLOOKUP($A113,Leveranser_per_nät,'Leveranser per nät'!H$1,FALSE)/VLOOKUP($B113,Korrigeringsfaktor_EI,'Korrigeringsfaktor EI'!H$1,FALSE),
"")</f>
        <v>5.0960803921568631</v>
      </c>
      <c r="I113" s="18">
        <f>IFERROR(
                  Andel_oberoende_av_klimat*VLOOKUP($A113,Leveranser_per_nät,'Leveranser per nät'!I$1,FALSE)
               +Andel_beroende_av_klimat*VLOOKUP($A113,Leveranser_per_nät,'Leveranser per nät'!I$1,FALSE)/VLOOKUP($B113,Korrigeringsfaktor_EI,'Korrigeringsfaktor EI'!I$1,FALSE),
"")</f>
        <v>10.216494845360826</v>
      </c>
      <c r="J113" s="18">
        <f>IFERROR(
                  Andel_oberoende_av_klimat*VLOOKUP($A113,Leveranser_per_nät,'Leveranser per nät'!J$1,FALSE)
               +Andel_beroende_av_klimat*VLOOKUP($A113,Leveranser_per_nät,'Leveranser per nät'!J$1,FALSE)/VLOOKUP($B113,Korrigeringsfaktor_EI,'Korrigeringsfaktor EI'!J$1,FALSE),
"")</f>
        <v>10.142857142857144</v>
      </c>
      <c r="K113" s="18">
        <f>IFERROR(
                  Andel_oberoende_av_klimat*VLOOKUP($A113,Leveranser_per_nät,'Leveranser per nät'!K$1,FALSE)
               +Andel_beroende_av_klimat*VLOOKUP($A113,Leveranser_per_nät,'Leveranser per nät'!K$1,FALSE)/VLOOKUP($B113,Korrigeringsfaktor_EI,'Korrigeringsfaktor EI'!K$1,FALSE),
"")</f>
        <v>10.652028571428573</v>
      </c>
      <c r="L113" s="18">
        <f>IFERROR(
                  Andel_oberoende_av_klimat*VLOOKUP($A113,Leveranser_per_nät,'Leveranser per nät'!L$1,FALSE)
               +Andel_beroende_av_klimat*VLOOKUP($A113,Leveranser_per_nät,'Leveranser per nät'!L$1,FALSE)/VLOOKUP($B113,Korrigeringsfaktor_EI,'Korrigeringsfaktor EI'!L$1,FALSE),
"")</f>
        <v>10.342499999999999</v>
      </c>
      <c r="M113" s="18">
        <f>IFERROR(
                  Andel_oberoende_av_klimat*VLOOKUP($A113,Leveranser_per_nät,'Leveranser per nät'!M$1,FALSE)
               +Andel_beroende_av_klimat*VLOOKUP($A113,Leveranser_per_nät,'Leveranser per nät'!M$1,FALSE)/VLOOKUP($B113,Korrigeringsfaktor_EI,'Korrigeringsfaktor EI'!M$1,FALSE),
"")</f>
        <v>10.472141935483871</v>
      </c>
      <c r="N113" s="18">
        <f>IFERROR(
                  Andel_oberoende_av_klimat*VLOOKUP($A113,Leveranser_per_nät,'Leveranser per nät'!N$1,FALSE)
               +Andel_beroende_av_klimat*VLOOKUP($A113,Leveranser_per_nät,'Leveranser per nät'!N$1,FALSE)/VLOOKUP($B113,Korrigeringsfaktor_EI,'Korrigeringsfaktor EI'!N$1,FALSE),
"")</f>
        <v>9.8789708333333337</v>
      </c>
      <c r="O113" s="18">
        <f>IFERROR(
                  Andel_oberoende_av_klimat*VLOOKUP($A113,Leveranser_per_nät,'Leveranser per nät'!O$1,FALSE)
               +Andel_beroende_av_klimat*VLOOKUP($A113,Leveranser_per_nät,'Leveranser per nät'!O$1,FALSE)/VLOOKUP($B113,Korrigeringsfaktor_EI,'Korrigeringsfaktor EI'!O$1,FALSE),
"")</f>
        <v>10.181459574468086</v>
      </c>
      <c r="P113" s="18">
        <f>IFERROR(
                  Andel_oberoende_av_klimat*VLOOKUP($A113,Leveranser_per_nät,'Leveranser per nät'!P$1,FALSE)
               +Andel_beroende_av_klimat*VLOOKUP($A113,Leveranser_per_nät,'Leveranser per nät'!P$1,FALSE)/VLOOKUP($B113,Korrigeringsfaktor_EI,'Korrigeringsfaktor EI'!P$1,FALSE),
"")</f>
        <v>10.093</v>
      </c>
      <c r="Q113" s="18">
        <f>IFERROR(
                  Andel_oberoende_av_klimat*VLOOKUP($A113,Leveranser_per_nät,'Leveranser per nät'!Q$1,FALSE)
               +Andel_beroende_av_klimat*VLOOKUP($A113,Leveranser_per_nät,'Leveranser per nät'!Q$1,FALSE)/VLOOKUP($B113,Korrigeringsfaktor_EI,'Korrigeringsfaktor EI'!Q$1,FALSE),
"")</f>
        <v>11.579792920353983</v>
      </c>
      <c r="R113" s="18">
        <f>IFERROR(
                  Andel_oberoende_av_klimat*VLOOKUP($A113,Leveranser_per_nät,'Leveranser per nät'!R$1,FALSE)
               +Andel_beroende_av_klimat*VLOOKUP($A113,Leveranser_per_nät,'Leveranser per nät'!R$1,FALSE)/VLOOKUP($B113,Korrigeringsfaktor_EI,'Korrigeringsfaktor EI'!R$1,FALSE),
"")</f>
        <v>12.040647311827957</v>
      </c>
      <c r="S113" s="18">
        <f>IFERROR(
                  Andel_oberoende_av_klimat*VLOOKUP($A113,Leveranser_per_nät,'Leveranser per nät'!S$1,FALSE)
               +Andel_beroende_av_klimat*VLOOKUP($A113,Leveranser_per_nät,'Leveranser per nät'!S$1,FALSE)/VLOOKUP($B113,Korrigeringsfaktor_EI,'Korrigeringsfaktor EI'!S$1,FALSE),
"")</f>
        <v>11.939653846153846</v>
      </c>
      <c r="T113" s="18">
        <f>IFERROR(
                  Andel_oberoende_av_klimat*VLOOKUP($A113,Leveranser_per_nät,'Leveranser per nät'!T$1,FALSE)
               +Andel_beroende_av_klimat*VLOOKUP($A113,Leveranser_per_nät,'Leveranser per nät'!T$1,FALSE)/VLOOKUP($B113,Korrigeringsfaktor_EI,'Korrigeringsfaktor EI'!T$1,FALSE),
"")</f>
        <v>11.986828571428571</v>
      </c>
      <c r="U113" s="18">
        <f>IFERROR(
                  Andel_oberoende_av_klimat*VLOOKUP($A113,Leveranser_per_nät,'Leveranser per nät'!U$1,FALSE)
               +Andel_beroende_av_klimat*VLOOKUP($A113,Leveranser_per_nät,'Leveranser per nät'!U$1,FALSE)/VLOOKUP($B113,Korrigeringsfaktor_EI,'Korrigeringsfaktor EI'!U$1,FALSE),
"")</f>
        <v>11.185864516129032</v>
      </c>
      <c r="V113" s="18">
        <f>IFERROR(
                  Andel_oberoende_av_klimat*VLOOKUP($A113,Leveranser_per_nät,'Leveranser per nät'!V$1,FALSE)
               +Andel_beroende_av_klimat*VLOOKUP($A113,Leveranser_per_nät,'Leveranser per nät'!V$1,FALSE)/VLOOKUP($B113,Korrigeringsfaktor_EI,'Korrigeringsfaktor EI'!V$1,FALSE),
"")</f>
        <v>10.842257894736843</v>
      </c>
      <c r="W113" s="18">
        <f>IFERROR(
                  Andel_oberoende_av_klimat*VLOOKUP($A113,Leveranser_per_nät,'Leveranser per nät'!W$1,FALSE)
               +Andel_beroende_av_klimat*VLOOKUP($A113,Leveranser_per_nät,'Leveranser per nät'!W$1,FALSE)/VLOOKUP($B113,Korrigeringsfaktor_EI,'Korrigeringsfaktor EI'!W$1,FALSE),
"")</f>
        <v>11.507859793814433</v>
      </c>
      <c r="X113" s="18">
        <f>IFERROR(
                  Andel_oberoende_av_klimat*VLOOKUP($A113,Leveranser_per_nät,'Leveranser per nät'!X$1,FALSE)
               +Andel_beroende_av_klimat*VLOOKUP($A113,Leveranser_per_nät,'Leveranser per nät'!X$1,FALSE)/VLOOKUP($B113,Korrigeringsfaktor_EI,'Korrigeringsfaktor EI'!X$1,FALSE),
"")</f>
        <v>12.07</v>
      </c>
      <c r="Y113" s="18">
        <f>IFERROR(
                  Andel_oberoende_av_klimat*VLOOKUP($A113,Leveranser_per_nät,'Leveranser per nät'!Y$1,FALSE)
               +Andel_beroende_av_klimat*VLOOKUP($A113,Leveranser_per_nät,'Leveranser per nät'!Y$1,FALSE)/VLOOKUP($B113,Korrigeringsfaktor_EI,'Korrigeringsfaktor EI'!Y$1,FALSE),
"")</f>
        <v>12.761738709677418</v>
      </c>
      <c r="Z113" s="18">
        <f>IFERROR(
                  Andel_oberoende_av_klimat*VLOOKUP($A113,Leveranser_per_nät,'Leveranser per nät'!Z$1,FALSE)
               +Andel_beroende_av_klimat*VLOOKUP($A113,Leveranser_per_nät,'Leveranser per nät'!Z$1,FALSE)/VLOOKUP($B113,Korrigeringsfaktor_EI,'Korrigeringsfaktor EI'!Z$1,FALSE),
"")</f>
        <v>13.258044680851064</v>
      </c>
      <c r="AA113" s="18">
        <f>IFERROR(
                  Andel_oberoende_av_klimat*VLOOKUP($A113,Leveranser_per_nät,'Leveranser per nät'!AA$1,FALSE)
               +Andel_beroende_av_klimat*VLOOKUP($A113,Leveranser_per_nät,'Leveranser per nät'!AA$1,FALSE)/VLOOKUP($B113,Korrigeringsfaktor_EI,'Korrigeringsfaktor EI'!AA$1,FALSE),
"")</f>
        <v>13.269784675205855</v>
      </c>
      <c r="AB113" s="18">
        <f>IFERROR(
                  Andel_oberoende_av_klimat*VLOOKUP($A113,Leveranser_per_nät,'Leveranser per nät'!AB$1,FALSE)
               +Andel_beroende_av_klimat*VLOOKUP($A113,Leveranser_per_nät,'Leveranser per nät'!AB$1,FALSE)/VLOOKUP($B113,Korrigeringsfaktor_EI,'Korrigeringsfaktor EI'!AB$1,FALSE),
"")</f>
        <v>13.252081818181818</v>
      </c>
      <c r="AC113" s="18">
        <f>IFERROR(
                  Andel_oberoende_av_klimat*VLOOKUP($A113,Leveranser_per_nät,'Leveranser per nät'!AC$1,FALSE)
               +Andel_beroende_av_klimat*VLOOKUP($A113,Leveranser_per_nät,'Leveranser per nät'!AC$1,FALSE)/VLOOKUP($B113,Korrigeringsfaktor_EI,'Korrigeringsfaktor EI'!AC$1,FALSE),
"")</f>
        <v>12.799497907949792</v>
      </c>
      <c r="AD113">
        <v>10.417</v>
      </c>
    </row>
    <row r="114" spans="1:30" x14ac:dyDescent="0.25">
      <c r="A114" t="s">
        <v>159</v>
      </c>
      <c r="B114" t="s">
        <v>160</v>
      </c>
      <c r="C114" s="18">
        <f>IFERROR(
                  Andel_oberoende_av_klimat*VLOOKUP($A114,Leveranser_per_nät,'Leveranser per nät'!C$1,FALSE)
               +Andel_beroende_av_klimat*VLOOKUP($A114,Leveranser_per_nät,'Leveranser per nät'!C$1,FALSE)/VLOOKUP($B114,Korrigeringsfaktor_EI,'Korrigeringsfaktor EI'!C$1,FALSE),
"")</f>
        <v>0</v>
      </c>
      <c r="D114" s="18">
        <f>IFERROR(
                  Andel_oberoende_av_klimat*VLOOKUP($A114,Leveranser_per_nät,'Leveranser per nät'!D$1,FALSE)
               +Andel_beroende_av_klimat*VLOOKUP($A114,Leveranser_per_nät,'Leveranser per nät'!D$1,FALSE)/VLOOKUP($B114,Korrigeringsfaktor_EI,'Korrigeringsfaktor EI'!D$1,FALSE),
"")</f>
        <v>0</v>
      </c>
      <c r="E114" s="18">
        <f>IFERROR(
                  Andel_oberoende_av_klimat*VLOOKUP($A114,Leveranser_per_nät,'Leveranser per nät'!E$1,FALSE)
               +Andel_beroende_av_klimat*VLOOKUP($A114,Leveranser_per_nät,'Leveranser per nät'!E$1,FALSE)/VLOOKUP($B114,Korrigeringsfaktor_EI,'Korrigeringsfaktor EI'!E$1,FALSE),
"")</f>
        <v>0</v>
      </c>
      <c r="F114" s="18">
        <f>IFERROR(
                  Andel_oberoende_av_klimat*VLOOKUP($A114,Leveranser_per_nät,'Leveranser per nät'!F$1,FALSE)
               +Andel_beroende_av_klimat*VLOOKUP($A114,Leveranser_per_nät,'Leveranser per nät'!F$1,FALSE)/VLOOKUP($B114,Korrigeringsfaktor_EI,'Korrigeringsfaktor EI'!F$1,FALSE),
"")</f>
        <v>0</v>
      </c>
      <c r="G114" s="18">
        <f>IFERROR(
                  Andel_oberoende_av_klimat*VLOOKUP($A114,Leveranser_per_nät,'Leveranser per nät'!G$1,FALSE)
               +Andel_beroende_av_klimat*VLOOKUP($A114,Leveranser_per_nät,'Leveranser per nät'!G$1,FALSE)/VLOOKUP($B114,Korrigeringsfaktor_EI,'Korrigeringsfaktor EI'!G$1,FALSE),
"")</f>
        <v>0</v>
      </c>
      <c r="H114" s="18">
        <f>IFERROR(
                  Andel_oberoende_av_klimat*VLOOKUP($A114,Leveranser_per_nät,'Leveranser per nät'!H$1,FALSE)
               +Andel_beroende_av_klimat*VLOOKUP($A114,Leveranser_per_nät,'Leveranser per nät'!H$1,FALSE)/VLOOKUP($B114,Korrigeringsfaktor_EI,'Korrigeringsfaktor EI'!H$1,FALSE),
"")</f>
        <v>0.99306930693069306</v>
      </c>
      <c r="I114" s="18">
        <f>IFERROR(
                  Andel_oberoende_av_klimat*VLOOKUP($A114,Leveranser_per_nät,'Leveranser per nät'!I$1,FALSE)
               +Andel_beroende_av_klimat*VLOOKUP($A114,Leveranser_per_nät,'Leveranser per nät'!I$1,FALSE)/VLOOKUP($B114,Korrigeringsfaktor_EI,'Korrigeringsfaktor EI'!I$1,FALSE),
"")</f>
        <v>7.2578947368421058</v>
      </c>
      <c r="J114" s="18">
        <f>IFERROR(
                  Andel_oberoende_av_klimat*VLOOKUP($A114,Leveranser_per_nät,'Leveranser per nät'!J$1,FALSE)
               +Andel_beroende_av_klimat*VLOOKUP($A114,Leveranser_per_nät,'Leveranser per nät'!J$1,FALSE)/VLOOKUP($B114,Korrigeringsfaktor_EI,'Korrigeringsfaktor EI'!J$1,FALSE),
"")</f>
        <v>10.216494845360826</v>
      </c>
      <c r="K114" s="18">
        <f>IFERROR(
                  Andel_oberoende_av_klimat*VLOOKUP($A114,Leveranser_per_nät,'Leveranser per nät'!K$1,FALSE)
               +Andel_beroende_av_klimat*VLOOKUP($A114,Leveranser_per_nät,'Leveranser per nät'!K$1,FALSE)/VLOOKUP($B114,Korrigeringsfaktor_EI,'Korrigeringsfaktor EI'!K$1,FALSE),
"")</f>
        <v>11.554122222222222</v>
      </c>
      <c r="L114" s="18">
        <f>IFERROR(
                  Andel_oberoende_av_klimat*VLOOKUP($A114,Leveranser_per_nät,'Leveranser per nät'!L$1,FALSE)
               +Andel_beroende_av_klimat*VLOOKUP($A114,Leveranser_per_nät,'Leveranser per nät'!L$1,FALSE)/VLOOKUP($B114,Korrigeringsfaktor_EI,'Korrigeringsfaktor EI'!L$1,FALSE),
"")</f>
        <v>11.763375</v>
      </c>
      <c r="M114" s="18">
        <f>IFERROR(
                  Andel_oberoende_av_klimat*VLOOKUP($A114,Leveranser_per_nät,'Leveranser per nät'!M$1,FALSE)
               +Andel_beroende_av_klimat*VLOOKUP($A114,Leveranser_per_nät,'Leveranser per nät'!M$1,FALSE)/VLOOKUP($B114,Korrigeringsfaktor_EI,'Korrigeringsfaktor EI'!M$1,FALSE),
"")</f>
        <v>12.2</v>
      </c>
      <c r="N114" s="18">
        <f>IFERROR(
                  Andel_oberoende_av_klimat*VLOOKUP($A114,Leveranser_per_nät,'Leveranser per nät'!N$1,FALSE)
               +Andel_beroende_av_klimat*VLOOKUP($A114,Leveranser_per_nät,'Leveranser per nät'!N$1,FALSE)/VLOOKUP($B114,Korrigeringsfaktor_EI,'Korrigeringsfaktor EI'!N$1,FALSE),
"")</f>
        <v>12.055991011235957</v>
      </c>
      <c r="O114" s="18">
        <f>IFERROR(
                  Andel_oberoende_av_klimat*VLOOKUP($A114,Leveranser_per_nät,'Leveranser per nät'!O$1,FALSE)
               +Andel_beroende_av_klimat*VLOOKUP($A114,Leveranser_per_nät,'Leveranser per nät'!O$1,FALSE)/VLOOKUP($B114,Korrigeringsfaktor_EI,'Korrigeringsfaktor EI'!O$1,FALSE),
"")</f>
        <v>11.655066292134833</v>
      </c>
      <c r="P114" s="18">
        <f>IFERROR(
                  Andel_oberoende_av_klimat*VLOOKUP($A114,Leveranser_per_nät,'Leveranser per nät'!P$1,FALSE)
               +Andel_beroende_av_klimat*VLOOKUP($A114,Leveranser_per_nät,'Leveranser per nät'!P$1,FALSE)/VLOOKUP($B114,Korrigeringsfaktor_EI,'Korrigeringsfaktor EI'!P$1,FALSE),
"")</f>
        <v>11.73852580645161</v>
      </c>
      <c r="Q114" s="18">
        <f>IFERROR(
                  Andel_oberoende_av_klimat*VLOOKUP($A114,Leveranser_per_nät,'Leveranser per nät'!Q$1,FALSE)
               +Andel_beroende_av_klimat*VLOOKUP($A114,Leveranser_per_nät,'Leveranser per nät'!Q$1,FALSE)/VLOOKUP($B114,Korrigeringsfaktor_EI,'Korrigeringsfaktor EI'!Q$1,FALSE),
"")</f>
        <v>12.459677064220182</v>
      </c>
      <c r="R114" s="18">
        <f>IFERROR(
                  Andel_oberoende_av_klimat*VLOOKUP($A114,Leveranser_per_nät,'Leveranser per nät'!R$1,FALSE)
               +Andel_beroende_av_klimat*VLOOKUP($A114,Leveranser_per_nät,'Leveranser per nät'!R$1,FALSE)/VLOOKUP($B114,Korrigeringsfaktor_EI,'Korrigeringsfaktor EI'!R$1,FALSE),
"")</f>
        <v>11.747777777777777</v>
      </c>
      <c r="S114" s="18">
        <f>IFERROR(
                  Andel_oberoende_av_klimat*VLOOKUP($A114,Leveranser_per_nät,'Leveranser per nät'!S$1,FALSE)
               +Andel_beroende_av_klimat*VLOOKUP($A114,Leveranser_per_nät,'Leveranser per nät'!S$1,FALSE)/VLOOKUP($B114,Korrigeringsfaktor_EI,'Korrigeringsfaktor EI'!S$1,FALSE),
"")</f>
        <v>12.272857142857143</v>
      </c>
      <c r="T114" s="18">
        <f>IFERROR(
                  Andel_oberoende_av_klimat*VLOOKUP($A114,Leveranser_per_nät,'Leveranser per nät'!T$1,FALSE)
               +Andel_beroende_av_klimat*VLOOKUP($A114,Leveranser_per_nät,'Leveranser per nät'!T$1,FALSE)/VLOOKUP($B114,Korrigeringsfaktor_EI,'Korrigeringsfaktor EI'!T$1,FALSE),
"")</f>
        <v>12.361958762886598</v>
      </c>
      <c r="U114" s="18">
        <f>IFERROR(
                  Andel_oberoende_av_klimat*VLOOKUP($A114,Leveranser_per_nät,'Leveranser per nät'!U$1,FALSE)
               +Andel_beroende_av_klimat*VLOOKUP($A114,Leveranser_per_nät,'Leveranser per nät'!U$1,FALSE)/VLOOKUP($B114,Korrigeringsfaktor_EI,'Korrigeringsfaktor EI'!U$1,FALSE),
"")</f>
        <v>12.945885057471266</v>
      </c>
      <c r="V114" s="18">
        <f>IFERROR(
                  Andel_oberoende_av_klimat*VLOOKUP($A114,Leveranser_per_nät,'Leveranser per nät'!V$1,FALSE)
               +Andel_beroende_av_klimat*VLOOKUP($A114,Leveranser_per_nät,'Leveranser per nät'!V$1,FALSE)/VLOOKUP($B114,Korrigeringsfaktor_EI,'Korrigeringsfaktor EI'!V$1,FALSE),
"")</f>
        <v>12.77743820224719</v>
      </c>
      <c r="W114" s="18">
        <f>IFERROR(
                  Andel_oberoende_av_klimat*VLOOKUP($A114,Leveranser_per_nät,'Leveranser per nät'!W$1,FALSE)
               +Andel_beroende_av_klimat*VLOOKUP($A114,Leveranser_per_nät,'Leveranser per nät'!W$1,FALSE)/VLOOKUP($B114,Korrigeringsfaktor_EI,'Korrigeringsfaktor EI'!W$1,FALSE),
"")</f>
        <v>12.798778947368421</v>
      </c>
      <c r="X114" s="18">
        <f>IFERROR(
                  Andel_oberoende_av_klimat*VLOOKUP($A114,Leveranser_per_nät,'Leveranser per nät'!X$1,FALSE)
               +Andel_beroende_av_klimat*VLOOKUP($A114,Leveranser_per_nät,'Leveranser per nät'!X$1,FALSE)/VLOOKUP($B114,Korrigeringsfaktor_EI,'Korrigeringsfaktor EI'!X$1,FALSE),
"")</f>
        <v>12.159601075268817</v>
      </c>
      <c r="Y114" s="18">
        <f>IFERROR(
                  Andel_oberoende_av_klimat*VLOOKUP($A114,Leveranser_per_nät,'Leveranser per nät'!Y$1,FALSE)
               +Andel_beroende_av_klimat*VLOOKUP($A114,Leveranser_per_nät,'Leveranser per nät'!Y$1,FALSE)/VLOOKUP($B114,Korrigeringsfaktor_EI,'Korrigeringsfaktor EI'!Y$1,FALSE),
"")</f>
        <v>12.712247191011235</v>
      </c>
      <c r="Z114" s="18">
        <f>IFERROR(
                  Andel_oberoende_av_klimat*VLOOKUP($A114,Leveranser_per_nät,'Leveranser per nät'!Z$1,FALSE)
               +Andel_beroende_av_klimat*VLOOKUP($A114,Leveranser_per_nät,'Leveranser per nät'!Z$1,FALSE)/VLOOKUP($B114,Korrigeringsfaktor_EI,'Korrigeringsfaktor EI'!Z$1,FALSE),
"")</f>
        <v>12.956931034482759</v>
      </c>
      <c r="AA114" s="18">
        <f>IFERROR(
                  Andel_oberoende_av_klimat*VLOOKUP($A114,Leveranser_per_nät,'Leveranser per nät'!AA$1,FALSE)
               +Andel_beroende_av_klimat*VLOOKUP($A114,Leveranser_per_nät,'Leveranser per nät'!AA$1,FALSE)/VLOOKUP($B114,Korrigeringsfaktor_EI,'Korrigeringsfaktor EI'!AA$1,FALSE),
"")</f>
        <v>12.946719465158136</v>
      </c>
      <c r="AB114" s="18">
        <f>IFERROR(
                  Andel_oberoende_av_klimat*VLOOKUP($A114,Leveranser_per_nät,'Leveranser per nät'!AB$1,FALSE)
               +Andel_beroende_av_klimat*VLOOKUP($A114,Leveranser_per_nät,'Leveranser per nät'!AB$1,FALSE)/VLOOKUP($B114,Korrigeringsfaktor_EI,'Korrigeringsfaktor EI'!AB$1,FALSE),
"")</f>
        <v>12.455450505050507</v>
      </c>
      <c r="AC114" s="18">
        <f>IFERROR(
                  Andel_oberoende_av_klimat*VLOOKUP($A114,Leveranser_per_nät,'Leveranser per nät'!AC$1,FALSE)
               +Andel_beroende_av_klimat*VLOOKUP($A114,Leveranser_per_nät,'Leveranser per nät'!AC$1,FALSE)/VLOOKUP($B114,Korrigeringsfaktor_EI,'Korrigeringsfaktor EI'!AC$1,FALSE),
"")</f>
        <v>12.237328802588998</v>
      </c>
      <c r="AD114">
        <v>711.67200000000003</v>
      </c>
    </row>
    <row r="115" spans="1:30" x14ac:dyDescent="0.25">
      <c r="A115" t="s">
        <v>180</v>
      </c>
      <c r="B115" t="s">
        <v>180</v>
      </c>
      <c r="C115" s="18">
        <f>IFERROR(
                  Andel_oberoende_av_klimat*VLOOKUP($A115,Leveranser_per_nät,'Leveranser per nät'!C$1,FALSE)
               +Andel_beroende_av_klimat*VLOOKUP($A115,Leveranser_per_nät,'Leveranser per nät'!C$1,FALSE)/VLOOKUP("Vänersborg",Korrigeringsfaktor_EI,'Korrigeringsfaktor EI'!C$1,FALSE),
"")</f>
        <v>6.5144144144144143</v>
      </c>
      <c r="D115" s="18"/>
      <c r="E115" s="18"/>
      <c r="F115" s="18"/>
      <c r="G115" s="18"/>
      <c r="H115" s="18"/>
      <c r="I115" s="18"/>
      <c r="J115" s="18"/>
      <c r="K115" s="18"/>
      <c r="L115" s="18"/>
      <c r="M115" s="18">
        <f>IFERROR(
                  Andel_oberoende_av_klimat*VLOOKUP($A115,Leveranser_per_nät,'Leveranser per nät'!M$1,FALSE)
               +Andel_beroende_av_klimat*VLOOKUP($A115,Leveranser_per_nät,'Leveranser per nät'!M$1,FALSE)/VLOOKUP("Vänersborg",Korrigeringsfaktor_EI,'Korrigeringsfaktor EI'!M$1,FALSE),
"")</f>
        <v>10.743426086956521</v>
      </c>
      <c r="N115" s="18">
        <f>IFERROR(
                  Andel_oberoende_av_klimat*VLOOKUP($A115,Leveranser_per_nät,'Leveranser per nät'!N$1,FALSE)
               +Andel_beroende_av_klimat*VLOOKUP($A115,Leveranser_per_nät,'Leveranser per nät'!N$1,FALSE)/VLOOKUP("Vänersborg",Korrigeringsfaktor_EI,'Korrigeringsfaktor EI'!N$1,FALSE),
"")</f>
        <v>10.914655555555555</v>
      </c>
      <c r="O115" s="18">
        <f>IFERROR(
                  Andel_oberoende_av_klimat*VLOOKUP($A115,Leveranser_per_nät,'Leveranser per nät'!O$1,FALSE)
               +Andel_beroende_av_klimat*VLOOKUP($A115,Leveranser_per_nät,'Leveranser per nät'!O$1,FALSE)/VLOOKUP("Vänersborg",Korrigeringsfaktor_EI,'Korrigeringsfaktor EI'!O$1,FALSE),
"")</f>
        <v>11.480137078651685</v>
      </c>
      <c r="P115" s="18">
        <f>IFERROR(
                  Andel_oberoende_av_klimat*VLOOKUP($A115,Leveranser_per_nät,'Leveranser per nät'!P$1,FALSE)
               +Andel_beroende_av_klimat*VLOOKUP($A115,Leveranser_per_nät,'Leveranser per nät'!P$1,FALSE)/VLOOKUP("Vänersborg",Korrigeringsfaktor_EI,'Korrigeringsfaktor EI'!P$1,FALSE),
"")</f>
        <v>11.325979166666668</v>
      </c>
      <c r="Q115" s="18">
        <f>IFERROR(
                  Andel_oberoende_av_klimat*VLOOKUP($A115,Leveranser_per_nät,'Leveranser per nät'!Q$1,FALSE)
               +Andel_beroende_av_klimat*VLOOKUP($A115,Leveranser_per_nät,'Leveranser per nät'!Q$1,FALSE)/VLOOKUP("Vänersborg",Korrigeringsfaktor_EI,'Korrigeringsfaktor EI'!Q$1,FALSE),
"")</f>
        <v>12.095615044247788</v>
      </c>
      <c r="R115" s="18">
        <f>IFERROR(
                  Andel_oberoende_av_klimat*VLOOKUP($A115,Leveranser_per_nät,'Leveranser per nät'!R$1,FALSE)
               +Andel_beroende_av_klimat*VLOOKUP($A115,Leveranser_per_nät,'Leveranser per nät'!R$1,FALSE)/VLOOKUP("Vänersborg",Korrigeringsfaktor_EI,'Korrigeringsfaktor EI'!R$1,FALSE),
"")</f>
        <v>11.790880898876406</v>
      </c>
      <c r="S115" s="18">
        <f>IFERROR(
                  Andel_oberoende_av_klimat*VLOOKUP($A115,Leveranser_per_nät,'Leveranser per nät'!S$1,FALSE)
               +Andel_beroende_av_klimat*VLOOKUP($A115,Leveranser_per_nät,'Leveranser per nät'!S$1,FALSE)/VLOOKUP("Vänersborg",Korrigeringsfaktor_EI,'Korrigeringsfaktor EI'!S$1,FALSE),
"")</f>
        <v>11.953298969072165</v>
      </c>
      <c r="T115" s="18">
        <f>IFERROR(
                  Andel_oberoende_av_klimat*VLOOKUP($A115,Leveranser_per_nät,'Leveranser per nät'!T$1,FALSE)
               +Andel_beroende_av_klimat*VLOOKUP($A115,Leveranser_per_nät,'Leveranser per nät'!T$1,FALSE)/VLOOKUP("Vänersborg",Korrigeringsfaktor_EI,'Korrigeringsfaktor EI'!T$1,FALSE),
"")</f>
        <v>12.187042105263156</v>
      </c>
      <c r="U115" s="18">
        <f>IFERROR(
                  Andel_oberoende_av_klimat*VLOOKUP($A115,Leveranser_per_nät,'Leveranser per nät'!U$1,FALSE)
               +Andel_beroende_av_klimat*VLOOKUP($A115,Leveranser_per_nät,'Leveranser per nät'!U$1,FALSE)/VLOOKUP("Vänersborg",Korrigeringsfaktor_EI,'Korrigeringsfaktor EI'!U$1,FALSE),
"")</f>
        <v>11.738635294117648</v>
      </c>
      <c r="V115" s="18">
        <f>IFERROR(
                  Andel_oberoende_av_klimat*VLOOKUP($A115,Leveranser_per_nät,'Leveranser per nät'!V$1,FALSE)
               +Andel_beroende_av_klimat*VLOOKUP($A115,Leveranser_per_nät,'Leveranser per nät'!V$1,FALSE)/VLOOKUP("Vänersborg",Korrigeringsfaktor_EI,'Korrigeringsfaktor EI'!V$1,FALSE),
"")</f>
        <v>11.384523595505616</v>
      </c>
      <c r="W115" s="18">
        <f>IFERROR(
                  Andel_oberoende_av_klimat*VLOOKUP($A115,Leveranser_per_nät,'Leveranser per nät'!W$1,FALSE)
               +Andel_beroende_av_klimat*VLOOKUP($A115,Leveranser_per_nät,'Leveranser per nät'!W$1,FALSE)/VLOOKUP("Vänersborg",Korrigeringsfaktor_EI,'Korrigeringsfaktor EI'!W$1,FALSE),
"")</f>
        <v>11.489247368421053</v>
      </c>
      <c r="X115" s="18">
        <f>IFERROR(
                  Andel_oberoende_av_klimat*VLOOKUP($A115,Leveranser_per_nät,'Leveranser per nät'!X$1,FALSE)
               +Andel_beroende_av_klimat*VLOOKUP($A115,Leveranser_per_nät,'Leveranser per nät'!X$1,FALSE)/VLOOKUP("Vänersborg",Korrigeringsfaktor_EI,'Korrigeringsfaktor EI'!X$1,FALSE),
"")</f>
        <v>11.074279569892472</v>
      </c>
      <c r="Y115" s="18">
        <f>IFERROR(
                  Andel_oberoende_av_klimat*VLOOKUP($A115,Leveranser_per_nät,'Leveranser per nät'!Y$1,FALSE)
               +Andel_beroende_av_klimat*VLOOKUP($A115,Leveranser_per_nät,'Leveranser per nät'!Y$1,FALSE)/VLOOKUP($B115,Korrigeringsfaktor_EI,'Korrigeringsfaktor EI'!Y$1,FALSE),
"")</f>
        <v>11.708076923076922</v>
      </c>
      <c r="Z115" s="18">
        <f>IFERROR(
                  Andel_oberoende_av_klimat*VLOOKUP($A115,Leveranser_per_nät,'Leveranser per nät'!Z$1,FALSE)
               +Andel_beroende_av_klimat*VLOOKUP($A115,Leveranser_per_nät,'Leveranser per nät'!Z$1,FALSE)/VLOOKUP($B115,Korrigeringsfaktor_EI,'Korrigeringsfaktor EI'!Z$1,FALSE),
"")</f>
        <v>11.650777777777778</v>
      </c>
      <c r="AA115" s="18">
        <f>IFERROR(
                  Andel_oberoende_av_klimat*VLOOKUP($A115,Leveranser_per_nät,'Leveranser per nät'!AA$1,FALSE)
               +Andel_beroende_av_klimat*VLOOKUP($A115,Leveranser_per_nät,'Leveranser per nät'!AA$1,FALSE)/VLOOKUP($B115,Korrigeringsfaktor_EI,'Korrigeringsfaktor EI'!AA$1,FALSE),
"")</f>
        <v>11.233323863636361</v>
      </c>
      <c r="AB115" s="18">
        <f>IFERROR(
                  Andel_oberoende_av_klimat*VLOOKUP($A115,Leveranser_per_nät,'Leveranser per nät'!AB$1,FALSE)
               +Andel_beroende_av_klimat*VLOOKUP($A115,Leveranser_per_nät,'Leveranser per nät'!AB$1,FALSE)/VLOOKUP($B115,Korrigeringsfaktor_EI,'Korrigeringsfaktor EI'!AB$1,FALSE),
"")</f>
        <v>10.974861629048085</v>
      </c>
      <c r="AC115" s="18">
        <f>IFERROR(
                  Andel_oberoende_av_klimat*VLOOKUP($A115,Leveranser_per_nät,'Leveranser per nät'!AC$1,FALSE)
               +Andel_beroende_av_klimat*VLOOKUP($A115,Leveranser_per_nät,'Leveranser per nät'!AC$1,FALSE)/VLOOKUP($B115,Korrigeringsfaktor_EI,'Korrigeringsfaktor EI'!AC$1,FALSE),
"")</f>
        <v>10.381555910543131</v>
      </c>
      <c r="AD115">
        <v>9.93</v>
      </c>
    </row>
    <row r="116" spans="1:30" x14ac:dyDescent="0.25">
      <c r="A116" t="s">
        <v>930</v>
      </c>
      <c r="B116" t="s">
        <v>190</v>
      </c>
      <c r="C116" s="18"/>
      <c r="D116" s="18"/>
      <c r="E116" s="18"/>
      <c r="F116" s="18"/>
      <c r="G116" s="18"/>
      <c r="H116" s="18"/>
      <c r="I116" s="18"/>
      <c r="J116" s="18"/>
      <c r="K116" s="18"/>
      <c r="L116" s="18"/>
      <c r="M116" s="18"/>
      <c r="N116" s="18"/>
      <c r="O116" s="18"/>
      <c r="P116" s="18"/>
      <c r="Q116" s="18"/>
      <c r="R116" s="18" t="str">
        <f>IFERROR(
                  Andel_oberoende_av_klimat*VLOOKUP($A116,Leveranser_per_nät,'Leveranser per nät'!R$1,FALSE)
               +Andel_beroende_av_klimat*VLOOKUP($A116,Leveranser_per_nät,'Leveranser per nät'!R$1,FALSE)/VLOOKUP($B116,Korrigeringsfaktor_EI,'Korrigeringsfaktor EI'!R$1,FALSE),
"")</f>
        <v/>
      </c>
      <c r="S116" s="18" t="str">
        <f>IFERROR(
                  Andel_oberoende_av_klimat*VLOOKUP($A116,Leveranser_per_nät,'Leveranser per nät'!S$1,FALSE)
               +Andel_beroende_av_klimat*VLOOKUP($A116,Leveranser_per_nät,'Leveranser per nät'!S$1,FALSE)/VLOOKUP($B116,Korrigeringsfaktor_EI,'Korrigeringsfaktor EI'!S$1,FALSE),
"")</f>
        <v/>
      </c>
      <c r="T116" s="18" t="str">
        <f>IFERROR(
                  Andel_oberoende_av_klimat*VLOOKUP($A116,Leveranser_per_nät,'Leveranser per nät'!T$1,FALSE)
               +Andel_beroende_av_klimat*VLOOKUP($A116,Leveranser_per_nät,'Leveranser per nät'!T$1,FALSE)/VLOOKUP($B116,Korrigeringsfaktor_EI,'Korrigeringsfaktor EI'!T$1,FALSE),
"")</f>
        <v/>
      </c>
      <c r="U116" s="18" t="str">
        <f>IFERROR(
                  Andel_oberoende_av_klimat*VLOOKUP($A116,Leveranser_per_nät,'Leveranser per nät'!U$1,FALSE)
               +Andel_beroende_av_klimat*VLOOKUP($A116,Leveranser_per_nät,'Leveranser per nät'!U$1,FALSE)/VLOOKUP($B116,Korrigeringsfaktor_EI,'Korrigeringsfaktor EI'!U$1,FALSE),
"")</f>
        <v/>
      </c>
      <c r="V116" s="18" t="str">
        <f>IFERROR(
                  Andel_oberoende_av_klimat*VLOOKUP($A116,Leveranser_per_nät,'Leveranser per nät'!V$1,FALSE)
               +Andel_beroende_av_klimat*VLOOKUP($A116,Leveranser_per_nät,'Leveranser per nät'!V$1,FALSE)/VLOOKUP($B116,Korrigeringsfaktor_EI,'Korrigeringsfaktor EI'!V$1,FALSE),
"")</f>
        <v/>
      </c>
      <c r="W116" s="18" t="str">
        <f>IFERROR(
                  Andel_oberoende_av_klimat*VLOOKUP($A116,Leveranser_per_nät,'Leveranser per nät'!W$1,FALSE)
               +Andel_beroende_av_klimat*VLOOKUP($A116,Leveranser_per_nät,'Leveranser per nät'!W$1,FALSE)/VLOOKUP($B116,Korrigeringsfaktor_EI,'Korrigeringsfaktor EI'!W$1,FALSE),
"")</f>
        <v/>
      </c>
      <c r="X116" s="18">
        <f>IFERROR(
                  Andel_oberoende_av_klimat*VLOOKUP($A116,Leveranser_per_nät,'Leveranser per nät'!X$1,FALSE)
               +Andel_beroende_av_klimat*VLOOKUP($A116,Leveranser_per_nät,'Leveranser per nät'!X$1,FALSE)/VLOOKUP($B116,Korrigeringsfaktor_EI,'Korrigeringsfaktor EI'!X$1,FALSE),
"")</f>
        <v>1.3379166666666666</v>
      </c>
      <c r="Y116" s="18">
        <f>IFERROR(
                  Andel_oberoende_av_klimat*VLOOKUP($A116,Leveranser_per_nät,'Leveranser per nät'!Y$1,FALSE)
               +Andel_beroende_av_klimat*VLOOKUP($A116,Leveranser_per_nät,'Leveranser per nät'!Y$1,FALSE)/VLOOKUP($B116,Korrigeringsfaktor_EI,'Korrigeringsfaktor EI'!Y$1,FALSE),
"")</f>
        <v>4.6318279569892473</v>
      </c>
      <c r="Z116" s="18">
        <f>IFERROR(
                  Andel_oberoende_av_klimat*VLOOKUP($A116,Leveranser_per_nät,'Leveranser per nät'!Z$1,FALSE)
               +Andel_beroende_av_klimat*VLOOKUP($A116,Leveranser_per_nät,'Leveranser per nät'!Z$1,FALSE)/VLOOKUP($B116,Korrigeringsfaktor_EI,'Korrigeringsfaktor EI'!Z$1,FALSE),
"")</f>
        <v>4.9476344086021511</v>
      </c>
      <c r="AA116" s="18"/>
      <c r="AB116" s="18"/>
      <c r="AC116" s="18"/>
      <c r="AD116">
        <v>79.8</v>
      </c>
    </row>
    <row r="117" spans="1:30" x14ac:dyDescent="0.25">
      <c r="A117" t="s">
        <v>352</v>
      </c>
      <c r="B117" t="s">
        <v>350</v>
      </c>
      <c r="C117" s="18"/>
      <c r="D117" s="18"/>
      <c r="E117" s="18"/>
      <c r="F117" s="18"/>
      <c r="G117" s="18"/>
      <c r="H117" s="18"/>
      <c r="I117" s="18"/>
      <c r="J117" s="18"/>
      <c r="K117" s="18"/>
      <c r="L117" s="18"/>
      <c r="M117" s="18"/>
      <c r="N117" s="18">
        <f>IFERROR(
                  Andel_oberoende_av_klimat*VLOOKUP($A117,Leveranser_per_nät,'Leveranser per nät'!N$1,FALSE)
               +Andel_beroende_av_klimat*VLOOKUP($A117,Leveranser_per_nät,'Leveranser per nät'!N$1,FALSE)/VLOOKUP($B117,Korrigeringsfaktor_EI,'Korrigeringsfaktor EI'!N$1,FALSE),
"")</f>
        <v>2.3657391304347826</v>
      </c>
      <c r="O117" s="18">
        <f>IFERROR(
                  Andel_oberoende_av_klimat*VLOOKUP($A117,Leveranser_per_nät,'Leveranser per nät'!O$1,FALSE)
               +Andel_beroende_av_klimat*VLOOKUP($A117,Leveranser_per_nät,'Leveranser per nät'!O$1,FALSE)/VLOOKUP($B117,Korrigeringsfaktor_EI,'Korrigeringsfaktor EI'!O$1,FALSE),
"")</f>
        <v>3.2633333333333332</v>
      </c>
      <c r="P117" s="18">
        <f>IFERROR(
                  Andel_oberoende_av_klimat*VLOOKUP($A117,Leveranser_per_nät,'Leveranser per nät'!P$1,FALSE)
               +Andel_beroende_av_klimat*VLOOKUP($A117,Leveranser_per_nät,'Leveranser per nät'!P$1,FALSE)/VLOOKUP($B117,Korrigeringsfaktor_EI,'Korrigeringsfaktor EI'!P$1,FALSE),
"")</f>
        <v>3.6514285714285721</v>
      </c>
      <c r="Q117" s="18">
        <f>IFERROR(
                  Andel_oberoende_av_klimat*VLOOKUP($A117,Leveranser_per_nät,'Leveranser per nät'!Q$1,FALSE)
               +Andel_beroende_av_klimat*VLOOKUP($A117,Leveranser_per_nät,'Leveranser per nät'!Q$1,FALSE)/VLOOKUP($B117,Korrigeringsfaktor_EI,'Korrigeringsfaktor EI'!Q$1,FALSE),
"")</f>
        <v>4.082442477876107</v>
      </c>
      <c r="R117" s="18">
        <f>IFERROR(
                  Andel_oberoende_av_klimat*VLOOKUP($A117,Leveranser_per_nät,'Leveranser per nät'!R$1,FALSE)
               +Andel_beroende_av_klimat*VLOOKUP($A117,Leveranser_per_nät,'Leveranser per nät'!R$1,FALSE)/VLOOKUP($B117,Korrigeringsfaktor_EI,'Korrigeringsfaktor EI'!R$1,FALSE),
"")</f>
        <v>4.1055652173913044</v>
      </c>
      <c r="S117" s="18">
        <f>IFERROR(
                  Andel_oberoende_av_klimat*VLOOKUP($A117,Leveranser_per_nät,'Leveranser per nät'!S$1,FALSE)
               +Andel_beroende_av_klimat*VLOOKUP($A117,Leveranser_per_nät,'Leveranser per nät'!S$1,FALSE)/VLOOKUP($B117,Korrigeringsfaktor_EI,'Korrigeringsfaktor EI'!S$1,FALSE),
"")</f>
        <v>4.1241650485436887</v>
      </c>
      <c r="T117" s="18">
        <f>IFERROR(
                  Andel_oberoende_av_klimat*VLOOKUP($A117,Leveranser_per_nät,'Leveranser per nät'!T$1,FALSE)
               +Andel_beroende_av_klimat*VLOOKUP($A117,Leveranser_per_nät,'Leveranser per nät'!T$1,FALSE)/VLOOKUP($B117,Korrigeringsfaktor_EI,'Korrigeringsfaktor EI'!T$1,FALSE),
"")</f>
        <v>4.3840000000000003</v>
      </c>
      <c r="U117" s="18">
        <f>IFERROR(
                  Andel_oberoende_av_klimat*VLOOKUP($A117,Leveranser_per_nät,'Leveranser per nät'!U$1,FALSE)
               +Andel_beroende_av_klimat*VLOOKUP($A117,Leveranser_per_nät,'Leveranser per nät'!U$1,FALSE)/VLOOKUP($B117,Korrigeringsfaktor_EI,'Korrigeringsfaktor EI'!U$1,FALSE),
"")</f>
        <v>4.5546888888888883</v>
      </c>
      <c r="V117" s="18">
        <f>IFERROR(
                  Andel_oberoende_av_klimat*VLOOKUP($A117,Leveranser_per_nät,'Leveranser per nät'!V$1,FALSE)
               +Andel_beroende_av_klimat*VLOOKUP($A117,Leveranser_per_nät,'Leveranser per nät'!V$1,FALSE)/VLOOKUP($B117,Korrigeringsfaktor_EI,'Korrigeringsfaktor EI'!V$1,FALSE),
"")</f>
        <v>4.0898076923076925</v>
      </c>
      <c r="W117" s="18">
        <f>IFERROR(
                  Andel_oberoende_av_klimat*VLOOKUP($A117,Leveranser_per_nät,'Leveranser per nät'!W$1,FALSE)
               +Andel_beroende_av_klimat*VLOOKUP($A117,Leveranser_per_nät,'Leveranser per nät'!W$1,FALSE)/VLOOKUP($B117,Korrigeringsfaktor_EI,'Korrigeringsfaktor EI'!W$1,FALSE),
"")</f>
        <v>4.2780105263157902</v>
      </c>
      <c r="X117" s="18">
        <f>IFERROR(
                  Andel_oberoende_av_klimat*VLOOKUP($A117,Leveranser_per_nät,'Leveranser per nät'!X$1,FALSE)
               +Andel_beroende_av_klimat*VLOOKUP($A117,Leveranser_per_nät,'Leveranser per nät'!X$1,FALSE)/VLOOKUP($B117,Korrigeringsfaktor_EI,'Korrigeringsfaktor EI'!X$1,FALSE),
"")</f>
        <v>4.1954382978723412</v>
      </c>
      <c r="Y117" s="18">
        <f>IFERROR(
                  Andel_oberoende_av_klimat*VLOOKUP($A117,Leveranser_per_nät,'Leveranser per nät'!Y$1,FALSE)
               +Andel_beroende_av_klimat*VLOOKUP($A117,Leveranser_per_nät,'Leveranser per nät'!Y$1,FALSE)/VLOOKUP($B117,Korrigeringsfaktor_EI,'Korrigeringsfaktor EI'!Y$1,FALSE),
"")</f>
        <v>4.3314538461538463</v>
      </c>
      <c r="Z117" s="18">
        <f>IFERROR(
                  Andel_oberoende_av_klimat*VLOOKUP($A117,Leveranser_per_nät,'Leveranser per nät'!Z$1,FALSE)
               +Andel_beroende_av_klimat*VLOOKUP($A117,Leveranser_per_nät,'Leveranser per nät'!Z$1,FALSE)/VLOOKUP($B117,Korrigeringsfaktor_EI,'Korrigeringsfaktor EI'!Z$1,FALSE),
"")</f>
        <v>4.1363696629213482</v>
      </c>
      <c r="AA117" s="18">
        <f>IFERROR(
                  Andel_oberoende_av_klimat*VLOOKUP($A117,Leveranser_per_nät,'Leveranser per nät'!AA$1,FALSE)
               +Andel_beroende_av_klimat*VLOOKUP($A117,Leveranser_per_nät,'Leveranser per nät'!AA$1,FALSE)/VLOOKUP($B117,Korrigeringsfaktor_EI,'Korrigeringsfaktor EI'!AA$1,FALSE),
"")</f>
        <v>4.3647982535062191</v>
      </c>
      <c r="AB117" s="18">
        <f>IFERROR(
                  Andel_oberoende_av_klimat*VLOOKUP($A117,Leveranser_per_nät,'Leveranser per nät'!AB$1,FALSE)
               +Andel_beroende_av_klimat*VLOOKUP($A117,Leveranser_per_nät,'Leveranser per nät'!AB$1,FALSE)/VLOOKUP($B117,Korrigeringsfaktor_EI,'Korrigeringsfaktor EI'!AB$1,FALSE),
"")</f>
        <v>4.5105207920792081</v>
      </c>
      <c r="AC117" s="18">
        <f>IFERROR(
                  Andel_oberoende_av_klimat*VLOOKUP($A117,Leveranser_per_nät,'Leveranser per nät'!AC$1,FALSE)
               +Andel_beroende_av_klimat*VLOOKUP($A117,Leveranser_per_nät,'Leveranser per nät'!AC$1,FALSE)/VLOOKUP($B117,Korrigeringsfaktor_EI,'Korrigeringsfaktor EI'!AC$1,FALSE),
"")</f>
        <v>4.2415731343283589</v>
      </c>
      <c r="AD117">
        <v>99.975999999999999</v>
      </c>
    </row>
    <row r="118" spans="1:30" x14ac:dyDescent="0.25">
      <c r="A118" t="s">
        <v>399</v>
      </c>
      <c r="B118" t="s">
        <v>524</v>
      </c>
      <c r="C118" s="18">
        <f>IFERROR(
                  Andel_oberoende_av_klimat*VLOOKUP($A118,Leveranser_per_nät,'Leveranser per nät'!C$1,FALSE)
               +Andel_beroende_av_klimat*VLOOKUP($A118,Leveranser_per_nät,'Leveranser per nät'!C$1,FALSE)/VLOOKUP($B118,Korrigeringsfaktor_EI,'Korrigeringsfaktor EI'!C$1,FALSE),
"")</f>
        <v>8.4798165137614667</v>
      </c>
      <c r="D118" s="18">
        <f>IFERROR(
                  Andel_oberoende_av_klimat*VLOOKUP($A118,Leveranser_per_nät,'Leveranser per nät'!D$1,FALSE)
               +Andel_beroende_av_klimat*VLOOKUP($A118,Leveranser_per_nät,'Leveranser per nät'!D$1,FALSE)/VLOOKUP($B118,Korrigeringsfaktor_EI,'Korrigeringsfaktor EI'!D$1,FALSE),
"")</f>
        <v>3.9151428571428575</v>
      </c>
      <c r="E118" s="18">
        <f>IFERROR(
                  Andel_oberoende_av_klimat*VLOOKUP($A118,Leveranser_per_nät,'Leveranser per nät'!E$1,FALSE)
               +Andel_beroende_av_klimat*VLOOKUP($A118,Leveranser_per_nät,'Leveranser per nät'!E$1,FALSE)/VLOOKUP($B118,Korrigeringsfaktor_EI,'Korrigeringsfaktor EI'!E$1,FALSE),
"")</f>
        <v>0</v>
      </c>
      <c r="F118" s="18">
        <f>IFERROR(
                  Andel_oberoende_av_klimat*VLOOKUP($A118,Leveranser_per_nät,'Leveranser per nät'!F$1,FALSE)
               +Andel_beroende_av_klimat*VLOOKUP($A118,Leveranser_per_nät,'Leveranser per nät'!F$1,FALSE)/VLOOKUP($B118,Korrigeringsfaktor_EI,'Korrigeringsfaktor EI'!F$1,FALSE),
"")</f>
        <v>4.2715164948453612</v>
      </c>
      <c r="G118" s="18">
        <f>IFERROR(
                  Andel_oberoende_av_klimat*VLOOKUP($A118,Leveranser_per_nät,'Leveranser per nät'!G$1,FALSE)
               +Andel_beroende_av_klimat*VLOOKUP($A118,Leveranser_per_nät,'Leveranser per nät'!G$1,FALSE)/VLOOKUP($B118,Korrigeringsfaktor_EI,'Korrigeringsfaktor EI'!G$1,FALSE),
"")</f>
        <v>4.4704538461538466</v>
      </c>
      <c r="H118" s="18">
        <f>IFERROR(
                  Andel_oberoende_av_klimat*VLOOKUP($A118,Leveranser_per_nät,'Leveranser per nät'!H$1,FALSE)
               +Andel_beroende_av_klimat*VLOOKUP($A118,Leveranser_per_nät,'Leveranser per nät'!H$1,FALSE)/VLOOKUP($B118,Korrigeringsfaktor_EI,'Korrigeringsfaktor EI'!H$1,FALSE),
"")</f>
        <v>0</v>
      </c>
      <c r="I118" s="18">
        <f>IFERROR(
                  Andel_oberoende_av_klimat*VLOOKUP($A118,Leveranser_per_nät,'Leveranser per nät'!I$1,FALSE)
               +Andel_beroende_av_klimat*VLOOKUP($A118,Leveranser_per_nät,'Leveranser per nät'!I$1,FALSE)/VLOOKUP($B118,Korrigeringsfaktor_EI,'Korrigeringsfaktor EI'!I$1,FALSE),
"")</f>
        <v>0</v>
      </c>
      <c r="J118" s="18">
        <f>IFERROR(
                  Andel_oberoende_av_klimat*VLOOKUP($A118,Leveranser_per_nät,'Leveranser per nät'!J$1,FALSE)
               +Andel_beroende_av_klimat*VLOOKUP($A118,Leveranser_per_nät,'Leveranser per nät'!J$1,FALSE)/VLOOKUP($B118,Korrigeringsfaktor_EI,'Korrigeringsfaktor EI'!J$1,FALSE),
"")</f>
        <v>4.240728571428571</v>
      </c>
      <c r="K118" s="18">
        <f>IFERROR(
                  Andel_oberoende_av_klimat*VLOOKUP($A118,Leveranser_per_nät,'Leveranser per nät'!K$1,FALSE)
               +Andel_beroende_av_klimat*VLOOKUP($A118,Leveranser_per_nät,'Leveranser per nät'!K$1,FALSE)/VLOOKUP($B118,Korrigeringsfaktor_EI,'Korrigeringsfaktor EI'!K$1,FALSE),
"")</f>
        <v>0</v>
      </c>
      <c r="L118" s="18">
        <f>IFERROR(
                  Andel_oberoende_av_klimat*VLOOKUP($A118,Leveranser_per_nät,'Leveranser per nät'!L$1,FALSE)
               +Andel_beroende_av_klimat*VLOOKUP($A118,Leveranser_per_nät,'Leveranser per nät'!L$1,FALSE)/VLOOKUP($B118,Korrigeringsfaktor_EI,'Korrigeringsfaktor EI'!L$1,FALSE),
"")</f>
        <v>0</v>
      </c>
      <c r="M118" s="18">
        <f>IFERROR(
                  Andel_oberoende_av_klimat*VLOOKUP($A118,Leveranser_per_nät,'Leveranser per nät'!M$1,FALSE)
               +Andel_beroende_av_klimat*VLOOKUP($A118,Leveranser_per_nät,'Leveranser per nät'!M$1,FALSE)/VLOOKUP($B118,Korrigeringsfaktor_EI,'Korrigeringsfaktor EI'!M$1,FALSE),
"")</f>
        <v>0</v>
      </c>
      <c r="N118" s="18">
        <f>IFERROR(
                  Andel_oberoende_av_klimat*VLOOKUP($A118,Leveranser_per_nät,'Leveranser per nät'!N$1,FALSE)
               +Andel_beroende_av_klimat*VLOOKUP($A118,Leveranser_per_nät,'Leveranser per nät'!N$1,FALSE)/VLOOKUP($B118,Korrigeringsfaktor_EI,'Korrigeringsfaktor EI'!N$1,FALSE),
"")</f>
        <v>0</v>
      </c>
      <c r="O118" s="18">
        <f>IFERROR(
                  Andel_oberoende_av_klimat*VLOOKUP($A118,Leveranser_per_nät,'Leveranser per nät'!O$1,FALSE)
               +Andel_beroende_av_klimat*VLOOKUP($A118,Leveranser_per_nät,'Leveranser per nät'!O$1,FALSE)/VLOOKUP($B118,Korrigeringsfaktor_EI,'Korrigeringsfaktor EI'!O$1,FALSE),
"")</f>
        <v>0</v>
      </c>
      <c r="P118" s="18">
        <f>IFERROR(
                  Andel_oberoende_av_klimat*VLOOKUP($A118,Leveranser_per_nät,'Leveranser per nät'!P$1,FALSE)
               +Andel_beroende_av_klimat*VLOOKUP($A118,Leveranser_per_nät,'Leveranser per nät'!P$1,FALSE)/VLOOKUP($B118,Korrigeringsfaktor_EI,'Korrigeringsfaktor EI'!P$1,FALSE),
"")</f>
        <v>0</v>
      </c>
      <c r="Q118" s="18">
        <f>IFERROR(
                  Andel_oberoende_av_klimat*VLOOKUP($A118,Leveranser_per_nät,'Leveranser per nät'!Q$1,FALSE)
               +Andel_beroende_av_klimat*VLOOKUP($A118,Leveranser_per_nät,'Leveranser per nät'!Q$1,FALSE)/VLOOKUP($B118,Korrigeringsfaktor_EI,'Korrigeringsfaktor EI'!Q$1,FALSE),
"")</f>
        <v>0</v>
      </c>
      <c r="R118" s="18">
        <f>IFERROR(
                  Andel_oberoende_av_klimat*VLOOKUP($A118,Leveranser_per_nät,'Leveranser per nät'!R$1,FALSE)
               +Andel_beroende_av_klimat*VLOOKUP($A118,Leveranser_per_nät,'Leveranser per nät'!R$1,FALSE)/VLOOKUP($B118,Korrigeringsfaktor_EI,'Korrigeringsfaktor EI'!R$1,FALSE),
"")</f>
        <v>3.7915478260869562</v>
      </c>
      <c r="S118" s="18">
        <f>IFERROR(
                  Andel_oberoende_av_klimat*VLOOKUP($A118,Leveranser_per_nät,'Leveranser per nät'!S$1,FALSE)
               +Andel_beroende_av_klimat*VLOOKUP($A118,Leveranser_per_nät,'Leveranser per nät'!S$1,FALSE)/VLOOKUP($B118,Korrigeringsfaktor_EI,'Korrigeringsfaktor EI'!S$1,FALSE),
"")</f>
        <v>3.5949108910891092</v>
      </c>
      <c r="T118" s="18">
        <f>IFERROR(
                  Andel_oberoende_av_klimat*VLOOKUP($A118,Leveranser_per_nät,'Leveranser per nät'!T$1,FALSE)
               +Andel_beroende_av_klimat*VLOOKUP($A118,Leveranser_per_nät,'Leveranser per nät'!T$1,FALSE)/VLOOKUP($B118,Korrigeringsfaktor_EI,'Korrigeringsfaktor EI'!T$1,FALSE),
"")</f>
        <v>3.6707000000000001</v>
      </c>
      <c r="U118" s="18">
        <f>IFERROR(
                  Andel_oberoende_av_klimat*VLOOKUP($A118,Leveranser_per_nät,'Leveranser per nät'!U$1,FALSE)
               +Andel_beroende_av_klimat*VLOOKUP($A118,Leveranser_per_nät,'Leveranser per nät'!U$1,FALSE)/VLOOKUP($B118,Korrigeringsfaktor_EI,'Korrigeringsfaktor EI'!U$1,FALSE),
"")</f>
        <v>2.0002775280898879</v>
      </c>
      <c r="V118" s="18" t="str">
        <f>IFERROR(
                  Andel_oberoende_av_klimat*VLOOKUP($A118,Leveranser_per_nät,'Leveranser per nät'!V$1,FALSE)
               +Andel_beroende_av_klimat*VLOOKUP($A118,Leveranser_per_nät,'Leveranser per nät'!V$1,FALSE)/VLOOKUP($B118,Korrigeringsfaktor_EI,'Korrigeringsfaktor EI'!V$1,FALSE),
"")</f>
        <v/>
      </c>
      <c r="W118" s="18" t="str">
        <f>IFERROR(
                  Andel_oberoende_av_klimat*VLOOKUP($A118,Leveranser_per_nät,'Leveranser per nät'!W$1,FALSE)
               +Andel_beroende_av_klimat*VLOOKUP($A118,Leveranser_per_nät,'Leveranser per nät'!W$1,FALSE)/VLOOKUP($B118,Korrigeringsfaktor_EI,'Korrigeringsfaktor EI'!W$1,FALSE),
"")</f>
        <v/>
      </c>
      <c r="X118" s="18" t="str">
        <f>IFERROR(
                  Andel_oberoende_av_klimat*VLOOKUP($A118,Leveranser_per_nät,'Leveranser per nät'!X$1,FALSE)
               +Andel_beroende_av_klimat*VLOOKUP($A118,Leveranser_per_nät,'Leveranser per nät'!X$1,FALSE)/VLOOKUP($B118,Korrigeringsfaktor_EI,'Korrigeringsfaktor EI'!X$1,FALSE),
"")</f>
        <v/>
      </c>
      <c r="Y118" s="18" t="str">
        <f>IFERROR(
                  Andel_oberoende_av_klimat*VLOOKUP($A118,Leveranser_per_nät,'Leveranser per nät'!Y$1,FALSE)
               +Andel_beroende_av_klimat*VLOOKUP($A118,Leveranser_per_nät,'Leveranser per nät'!Y$1,FALSE)/VLOOKUP($B118,Korrigeringsfaktor_EI,'Korrigeringsfaktor EI'!Y$1,FALSE),
"")</f>
        <v/>
      </c>
      <c r="Z118" s="18">
        <f>IFERROR(
                  Andel_oberoende_av_klimat*VLOOKUP($A118,Leveranser_per_nät,'Leveranser per nät'!Z$1,FALSE)
               +Andel_beroende_av_klimat*VLOOKUP($A118,Leveranser_per_nät,'Leveranser per nät'!Z$1,FALSE)/VLOOKUP($B118,Korrigeringsfaktor_EI,'Korrigeringsfaktor EI'!Z$1,FALSE),
"")</f>
        <v>0</v>
      </c>
      <c r="AA118" s="18" t="str">
        <f>IFERROR(
                  Andel_oberoende_av_klimat*VLOOKUP($A118,Leveranser_per_nät,'Leveranser per nät'!AA$1,FALSE)
               +Andel_beroende_av_klimat*VLOOKUP($A118,Leveranser_per_nät,'Leveranser per nät'!AA$1,FALSE)/VLOOKUP($B118,Korrigeringsfaktor_EI,'Korrigeringsfaktor EI'!AA$1,FALSE),
"")</f>
        <v/>
      </c>
      <c r="AB118" s="18">
        <f>IFERROR(
                  Andel_oberoende_av_klimat*VLOOKUP($A118,Leveranser_per_nät,'Leveranser per nät'!AB$1,FALSE)
               +Andel_beroende_av_klimat*VLOOKUP($A118,Leveranser_per_nät,'Leveranser per nät'!AB$1,FALSE)/VLOOKUP($B118,Korrigeringsfaktor_EI,'Korrigeringsfaktor EI'!AB$1,FALSE),
"")</f>
        <v>0</v>
      </c>
      <c r="AC118" s="18">
        <f>IFERROR(
                  Andel_oberoende_av_klimat*VLOOKUP($A118,Leveranser_per_nät,'Leveranser per nät'!AC$1,FALSE)
               +Andel_beroende_av_klimat*VLOOKUP($A118,Leveranser_per_nät,'Leveranser per nät'!AC$1,FALSE)/VLOOKUP($B118,Korrigeringsfaktor_EI,'Korrigeringsfaktor EI'!AC$1,FALSE),
"")</f>
        <v>0</v>
      </c>
      <c r="AD118" t="e">
        <v>#N/A</v>
      </c>
    </row>
    <row r="119" spans="1:30" x14ac:dyDescent="0.25">
      <c r="A119" t="s">
        <v>146</v>
      </c>
      <c r="B119" t="s">
        <v>144</v>
      </c>
      <c r="C119" s="18">
        <f>IFERROR(
                  Andel_oberoende_av_klimat*VLOOKUP($A119,Leveranser_per_nät,'Leveranser per nät'!C$1,FALSE)
               +Andel_beroende_av_klimat*VLOOKUP($A119,Leveranser_per_nät,'Leveranser per nät'!C$1,FALSE)/VLOOKUP($B119,Korrigeringsfaktor_EI,'Korrigeringsfaktor EI'!C$1,FALSE),
"")</f>
        <v>0.95420560747663552</v>
      </c>
      <c r="D119" s="18">
        <f>IFERROR(
                  Andel_oberoende_av_klimat*VLOOKUP($A119,Leveranser_per_nät,'Leveranser per nät'!D$1,FALSE)
               +Andel_beroende_av_klimat*VLOOKUP($A119,Leveranser_per_nät,'Leveranser per nät'!D$1,FALSE)/VLOOKUP($B119,Korrigeringsfaktor_EI,'Korrigeringsfaktor EI'!D$1,FALSE),
"")</f>
        <v>1.512875</v>
      </c>
      <c r="E119" s="18">
        <f>IFERROR(
                  Andel_oberoende_av_klimat*VLOOKUP($A119,Leveranser_per_nät,'Leveranser per nät'!E$1,FALSE)
               +Andel_beroende_av_klimat*VLOOKUP($A119,Leveranser_per_nät,'Leveranser per nät'!E$1,FALSE)/VLOOKUP($B119,Korrigeringsfaktor_EI,'Korrigeringsfaktor EI'!E$1,FALSE),
"")</f>
        <v>0</v>
      </c>
      <c r="F119" s="18">
        <f>IFERROR(
                  Andel_oberoende_av_klimat*VLOOKUP($A119,Leveranser_per_nät,'Leveranser per nät'!F$1,FALSE)
               +Andel_beroende_av_klimat*VLOOKUP($A119,Leveranser_per_nät,'Leveranser per nät'!F$1,FALSE)/VLOOKUP($B119,Korrigeringsfaktor_EI,'Korrigeringsfaktor EI'!F$1,FALSE),
"")</f>
        <v>0</v>
      </c>
      <c r="G119" s="18">
        <f>IFERROR(
                  Andel_oberoende_av_klimat*VLOOKUP($A119,Leveranser_per_nät,'Leveranser per nät'!G$1,FALSE)
               +Andel_beroende_av_klimat*VLOOKUP($A119,Leveranser_per_nät,'Leveranser per nät'!G$1,FALSE)/VLOOKUP($B119,Korrigeringsfaktor_EI,'Korrigeringsfaktor EI'!G$1,FALSE),
"")</f>
        <v>1.0608695652173914</v>
      </c>
      <c r="H119" s="18">
        <f>IFERROR(
                  Andel_oberoende_av_klimat*VLOOKUP($A119,Leveranser_per_nät,'Leveranser per nät'!H$1,FALSE)
               +Andel_beroende_av_klimat*VLOOKUP($A119,Leveranser_per_nät,'Leveranser per nät'!H$1,FALSE)/VLOOKUP($B119,Korrigeringsfaktor_EI,'Korrigeringsfaktor EI'!H$1,FALSE),
"")</f>
        <v>1.7290000000000001</v>
      </c>
      <c r="I119" s="18">
        <f>IFERROR(
                  Andel_oberoende_av_klimat*VLOOKUP($A119,Leveranser_per_nät,'Leveranser per nät'!I$1,FALSE)
               +Andel_beroende_av_klimat*VLOOKUP($A119,Leveranser_per_nät,'Leveranser per nät'!I$1,FALSE)/VLOOKUP($B119,Korrigeringsfaktor_EI,'Korrigeringsfaktor EI'!I$1,FALSE),
"")</f>
        <v>1.8051583333333334</v>
      </c>
      <c r="J119" s="18">
        <f>IFERROR(
                  Andel_oberoende_av_klimat*VLOOKUP($A119,Leveranser_per_nät,'Leveranser per nät'!J$1,FALSE)
               +Andel_beroende_av_klimat*VLOOKUP($A119,Leveranser_per_nät,'Leveranser per nät'!J$1,FALSE)/VLOOKUP($B119,Korrigeringsfaktor_EI,'Korrigeringsfaktor EI'!J$1,FALSE),
"")</f>
        <v>1.8051583333333334</v>
      </c>
      <c r="K119" s="18">
        <f>IFERROR(
                  Andel_oberoende_av_klimat*VLOOKUP($A119,Leveranser_per_nät,'Leveranser per nät'!K$1,FALSE)
               +Andel_beroende_av_klimat*VLOOKUP($A119,Leveranser_per_nät,'Leveranser per nät'!K$1,FALSE)/VLOOKUP($B119,Korrigeringsfaktor_EI,'Korrigeringsfaktor EI'!K$1,FALSE),
"")</f>
        <v>1.6466666666666665</v>
      </c>
      <c r="L119" s="18">
        <f>IFERROR(
                  Andel_oberoende_av_klimat*VLOOKUP($A119,Leveranser_per_nät,'Leveranser per nät'!L$1,FALSE)
               +Andel_beroende_av_klimat*VLOOKUP($A119,Leveranser_per_nät,'Leveranser per nät'!L$1,FALSE)/VLOOKUP($B119,Korrigeringsfaktor_EI,'Korrigeringsfaktor EI'!L$1,FALSE),
"")</f>
        <v>1.684301075268817</v>
      </c>
      <c r="M119" s="18">
        <f>IFERROR(
                  Andel_oberoende_av_klimat*VLOOKUP($A119,Leveranser_per_nät,'Leveranser per nät'!M$1,FALSE)
               +Andel_beroende_av_klimat*VLOOKUP($A119,Leveranser_per_nät,'Leveranser per nät'!M$1,FALSE)/VLOOKUP($B119,Korrigeringsfaktor_EI,'Korrigeringsfaktor EI'!M$1,FALSE),
"")</f>
        <v>1.1139130434782609</v>
      </c>
      <c r="N119" s="18">
        <f>IFERROR(
                  Andel_oberoende_av_klimat*VLOOKUP($A119,Leveranser_per_nät,'Leveranser per nät'!N$1,FALSE)
               +Andel_beroende_av_klimat*VLOOKUP($A119,Leveranser_per_nät,'Leveranser per nät'!N$1,FALSE)/VLOOKUP($B119,Korrigeringsfaktor_EI,'Korrigeringsfaktor EI'!N$1,FALSE),
"")</f>
        <v>0</v>
      </c>
      <c r="O119" s="18">
        <f>IFERROR(
                  Andel_oberoende_av_klimat*VLOOKUP($A119,Leveranser_per_nät,'Leveranser per nät'!O$1,FALSE)
               +Andel_beroende_av_klimat*VLOOKUP($A119,Leveranser_per_nät,'Leveranser per nät'!O$1,FALSE)/VLOOKUP($B119,Korrigeringsfaktor_EI,'Korrigeringsfaktor EI'!O$1,FALSE),
"")</f>
        <v>0</v>
      </c>
      <c r="P119" s="18">
        <f>IFERROR(
                  Andel_oberoende_av_klimat*VLOOKUP($A119,Leveranser_per_nät,'Leveranser per nät'!P$1,FALSE)
               +Andel_beroende_av_klimat*VLOOKUP($A119,Leveranser_per_nät,'Leveranser per nät'!P$1,FALSE)/VLOOKUP($B119,Korrigeringsfaktor_EI,'Korrigeringsfaktor EI'!P$1,FALSE),
"")</f>
        <v>0</v>
      </c>
      <c r="Q119" s="18">
        <f>IFERROR(
                  Andel_oberoende_av_klimat*VLOOKUP($A119,Leveranser_per_nät,'Leveranser per nät'!Q$1,FALSE)
               +Andel_beroende_av_klimat*VLOOKUP($A119,Leveranser_per_nät,'Leveranser per nät'!Q$1,FALSE)/VLOOKUP($B119,Korrigeringsfaktor_EI,'Korrigeringsfaktor EI'!Q$1,FALSE),
"")</f>
        <v>0</v>
      </c>
      <c r="R119" s="18">
        <f>IFERROR(
                  Andel_oberoende_av_klimat*VLOOKUP($A119,Leveranser_per_nät,'Leveranser per nät'!R$1,FALSE)
               +Andel_beroende_av_klimat*VLOOKUP($A119,Leveranser_per_nät,'Leveranser per nät'!R$1,FALSE)/VLOOKUP($B119,Korrigeringsfaktor_EI,'Korrigeringsfaktor EI'!R$1,FALSE),
"")</f>
        <v>0</v>
      </c>
      <c r="S119" s="18" t="str">
        <f>IFERROR(
                  Andel_oberoende_av_klimat*VLOOKUP($A119,Leveranser_per_nät,'Leveranser per nät'!S$1,FALSE)
               +Andel_beroende_av_klimat*VLOOKUP($A119,Leveranser_per_nät,'Leveranser per nät'!S$1,FALSE)/VLOOKUP($B119,Korrigeringsfaktor_EI,'Korrigeringsfaktor EI'!S$1,FALSE),
"")</f>
        <v/>
      </c>
      <c r="T119" s="18" t="str">
        <f>IFERROR(
                  Andel_oberoende_av_klimat*VLOOKUP($A119,Leveranser_per_nät,'Leveranser per nät'!T$1,FALSE)
               +Andel_beroende_av_klimat*VLOOKUP($A119,Leveranser_per_nät,'Leveranser per nät'!T$1,FALSE)/VLOOKUP($B119,Korrigeringsfaktor_EI,'Korrigeringsfaktor EI'!T$1,FALSE),
"")</f>
        <v/>
      </c>
      <c r="U119" s="18" t="str">
        <f>IFERROR(
                  Andel_oberoende_av_klimat*VLOOKUP($A119,Leveranser_per_nät,'Leveranser per nät'!U$1,FALSE)
               +Andel_beroende_av_klimat*VLOOKUP($A119,Leveranser_per_nät,'Leveranser per nät'!U$1,FALSE)/VLOOKUP($B119,Korrigeringsfaktor_EI,'Korrigeringsfaktor EI'!U$1,FALSE),
"")</f>
        <v/>
      </c>
      <c r="V119" s="18" t="str">
        <f>IFERROR(
                  Andel_oberoende_av_klimat*VLOOKUP($A119,Leveranser_per_nät,'Leveranser per nät'!V$1,FALSE)
               +Andel_beroende_av_klimat*VLOOKUP($A119,Leveranser_per_nät,'Leveranser per nät'!V$1,FALSE)/VLOOKUP($B119,Korrigeringsfaktor_EI,'Korrigeringsfaktor EI'!V$1,FALSE),
"")</f>
        <v/>
      </c>
      <c r="W119" s="18" t="str">
        <f>IFERROR(
                  Andel_oberoende_av_klimat*VLOOKUP($A119,Leveranser_per_nät,'Leveranser per nät'!W$1,FALSE)
               +Andel_beroende_av_klimat*VLOOKUP($A119,Leveranser_per_nät,'Leveranser per nät'!W$1,FALSE)/VLOOKUP($B119,Korrigeringsfaktor_EI,'Korrigeringsfaktor EI'!W$1,FALSE),
"")</f>
        <v/>
      </c>
      <c r="X119" s="18" t="str">
        <f>IFERROR(
                  Andel_oberoende_av_klimat*VLOOKUP($A119,Leveranser_per_nät,'Leveranser per nät'!X$1,FALSE)
               +Andel_beroende_av_klimat*VLOOKUP($A119,Leveranser_per_nät,'Leveranser per nät'!X$1,FALSE)/VLOOKUP($B119,Korrigeringsfaktor_EI,'Korrigeringsfaktor EI'!X$1,FALSE),
"")</f>
        <v/>
      </c>
      <c r="Y119" s="18" t="str">
        <f>IFERROR(
                  Andel_oberoende_av_klimat*VLOOKUP($A119,Leveranser_per_nät,'Leveranser per nät'!Y$1,FALSE)
               +Andel_beroende_av_klimat*VLOOKUP($A119,Leveranser_per_nät,'Leveranser per nät'!Y$1,FALSE)/VLOOKUP($B119,Korrigeringsfaktor_EI,'Korrigeringsfaktor EI'!Y$1,FALSE),
"")</f>
        <v/>
      </c>
      <c r="Z119" s="18">
        <f>IFERROR(
                  Andel_oberoende_av_klimat*VLOOKUP($A119,Leveranser_per_nät,'Leveranser per nät'!Z$1,FALSE)
               +Andel_beroende_av_klimat*VLOOKUP($A119,Leveranser_per_nät,'Leveranser per nät'!Z$1,FALSE)/VLOOKUP($B119,Korrigeringsfaktor_EI,'Korrigeringsfaktor EI'!Z$1,FALSE),
"")</f>
        <v>0</v>
      </c>
      <c r="AA119" s="18" t="str">
        <f>IFERROR(
                  Andel_oberoende_av_klimat*VLOOKUP($A119,Leveranser_per_nät,'Leveranser per nät'!AA$1,FALSE)
               +Andel_beroende_av_klimat*VLOOKUP($A119,Leveranser_per_nät,'Leveranser per nät'!AA$1,FALSE)/VLOOKUP($B119,Korrigeringsfaktor_EI,'Korrigeringsfaktor EI'!AA$1,FALSE),
"")</f>
        <v/>
      </c>
      <c r="AB119" s="18">
        <f>IFERROR(
                  Andel_oberoende_av_klimat*VLOOKUP($A119,Leveranser_per_nät,'Leveranser per nät'!AB$1,FALSE)
               +Andel_beroende_av_klimat*VLOOKUP($A119,Leveranser_per_nät,'Leveranser per nät'!AB$1,FALSE)/VLOOKUP($B119,Korrigeringsfaktor_EI,'Korrigeringsfaktor EI'!AB$1,FALSE),
"")</f>
        <v>0</v>
      </c>
      <c r="AC119" s="18">
        <f>IFERROR(
                  Andel_oberoende_av_klimat*VLOOKUP($A119,Leveranser_per_nät,'Leveranser per nät'!AC$1,FALSE)
               +Andel_beroende_av_klimat*VLOOKUP($A119,Leveranser_per_nät,'Leveranser per nät'!AC$1,FALSE)/VLOOKUP($B119,Korrigeringsfaktor_EI,'Korrigeringsfaktor EI'!AC$1,FALSE),
"")</f>
        <v>0</v>
      </c>
      <c r="AD119">
        <v>48.8</v>
      </c>
    </row>
    <row r="120" spans="1:30" x14ac:dyDescent="0.25">
      <c r="A120" t="s">
        <v>340</v>
      </c>
      <c r="B120" t="s">
        <v>420</v>
      </c>
      <c r="C120" s="18">
        <f>IFERROR(
                  Andel_oberoende_av_klimat*VLOOKUP($A120,Leveranser_per_nät,'Leveranser per nät'!C$1,FALSE)
               +Andel_beroende_av_klimat*VLOOKUP($A120,Leveranser_per_nät,'Leveranser per nät'!C$1,FALSE)/VLOOKUP($B120,Korrigeringsfaktor_EI,'Korrigeringsfaktor EI'!C$1,FALSE),
"")</f>
        <v>0</v>
      </c>
      <c r="D120" s="18">
        <f>IFERROR(
                  Andel_oberoende_av_klimat*VLOOKUP($A120,Leveranser_per_nät,'Leveranser per nät'!D$1,FALSE)
               +Andel_beroende_av_klimat*VLOOKUP($A120,Leveranser_per_nät,'Leveranser per nät'!D$1,FALSE)/VLOOKUP($B120,Korrigeringsfaktor_EI,'Korrigeringsfaktor EI'!D$1,FALSE),
"")</f>
        <v>0</v>
      </c>
      <c r="E120" s="18">
        <f>IFERROR(
                  Andel_oberoende_av_klimat*VLOOKUP($A120,Leveranser_per_nät,'Leveranser per nät'!E$1,FALSE)
               +Andel_beroende_av_klimat*VLOOKUP($A120,Leveranser_per_nät,'Leveranser per nät'!E$1,FALSE)/VLOOKUP($B120,Korrigeringsfaktor_EI,'Korrigeringsfaktor EI'!E$1,FALSE),
"")</f>
        <v>0</v>
      </c>
      <c r="F120" s="18">
        <f>IFERROR(
                  Andel_oberoende_av_klimat*VLOOKUP($A120,Leveranser_per_nät,'Leveranser per nät'!F$1,FALSE)
               +Andel_beroende_av_klimat*VLOOKUP($A120,Leveranser_per_nät,'Leveranser per nät'!F$1,FALSE)/VLOOKUP($B120,Korrigeringsfaktor_EI,'Korrigeringsfaktor EI'!F$1,FALSE),
"")</f>
        <v>0</v>
      </c>
      <c r="G120" s="18">
        <f>IFERROR(
                  Andel_oberoende_av_klimat*VLOOKUP($A120,Leveranser_per_nät,'Leveranser per nät'!G$1,FALSE)
               +Andel_beroende_av_klimat*VLOOKUP($A120,Leveranser_per_nät,'Leveranser per nät'!G$1,FALSE)/VLOOKUP($B120,Korrigeringsfaktor_EI,'Korrigeringsfaktor EI'!G$1,FALSE),
"")</f>
        <v>29.674361538461536</v>
      </c>
      <c r="H120" s="18">
        <f>IFERROR(
                  Andel_oberoende_av_klimat*VLOOKUP($A120,Leveranser_per_nät,'Leveranser per nät'!H$1,FALSE)
               +Andel_beroende_av_klimat*VLOOKUP($A120,Leveranser_per_nät,'Leveranser per nät'!H$1,FALSE)/VLOOKUP($B120,Korrigeringsfaktor_EI,'Korrigeringsfaktor EI'!H$1,FALSE),
"")</f>
        <v>0</v>
      </c>
      <c r="I120" s="18">
        <f>IFERROR(
                  Andel_oberoende_av_klimat*VLOOKUP($A120,Leveranser_per_nät,'Leveranser per nät'!I$1,FALSE)
               +Andel_beroende_av_klimat*VLOOKUP($A120,Leveranser_per_nät,'Leveranser per nät'!I$1,FALSE)/VLOOKUP($B120,Korrigeringsfaktor_EI,'Korrigeringsfaktor EI'!I$1,FALSE),
"")</f>
        <v>5.3276548387096767</v>
      </c>
      <c r="J120" s="18">
        <f>IFERROR(
                  Andel_oberoende_av_klimat*VLOOKUP($A120,Leveranser_per_nät,'Leveranser per nät'!J$1,FALSE)
               +Andel_beroende_av_klimat*VLOOKUP($A120,Leveranser_per_nät,'Leveranser per nät'!J$1,FALSE)/VLOOKUP($B120,Korrigeringsfaktor_EI,'Korrigeringsfaktor EI'!J$1,FALSE),
"")</f>
        <v>31.590423711340208</v>
      </c>
      <c r="K120" s="18">
        <f>IFERROR(
                  Andel_oberoende_av_klimat*VLOOKUP($A120,Leveranser_per_nät,'Leveranser per nät'!K$1,FALSE)
               +Andel_beroende_av_klimat*VLOOKUP($A120,Leveranser_per_nät,'Leveranser per nät'!K$1,FALSE)/VLOOKUP($B120,Korrigeringsfaktor_EI,'Korrigeringsfaktor EI'!K$1,FALSE),
"")</f>
        <v>0</v>
      </c>
      <c r="L120" s="18">
        <f>IFERROR(
                  Andel_oberoende_av_klimat*VLOOKUP($A120,Leveranser_per_nät,'Leveranser per nät'!L$1,FALSE)
               +Andel_beroende_av_klimat*VLOOKUP($A120,Leveranser_per_nät,'Leveranser per nät'!L$1,FALSE)/VLOOKUP($B120,Korrigeringsfaktor_EI,'Korrigeringsfaktor EI'!L$1,FALSE),
"")</f>
        <v>15.70544596631478</v>
      </c>
      <c r="M120" s="18">
        <f>IFERROR(
                  Andel_oberoende_av_klimat*VLOOKUP($A120,Leveranser_per_nät,'Leveranser per nät'!M$1,FALSE)
               +Andel_beroende_av_klimat*VLOOKUP($A120,Leveranser_per_nät,'Leveranser per nät'!M$1,FALSE)/VLOOKUP($B120,Korrigeringsfaktor_EI,'Korrigeringsfaktor EI'!M$1,FALSE),
"")</f>
        <v>43.351455555555553</v>
      </c>
      <c r="N120" s="18">
        <f>IFERROR(
                  Andel_oberoende_av_klimat*VLOOKUP($A120,Leveranser_per_nät,'Leveranser per nät'!N$1,FALSE)
               +Andel_beroende_av_klimat*VLOOKUP($A120,Leveranser_per_nät,'Leveranser per nät'!N$1,FALSE)/VLOOKUP($B120,Korrigeringsfaktor_EI,'Korrigeringsfaktor EI'!N$1,FALSE),
"")</f>
        <v>39.114606741573034</v>
      </c>
      <c r="O120" s="18">
        <f>IFERROR(
                  Andel_oberoende_av_klimat*VLOOKUP($A120,Leveranser_per_nät,'Leveranser per nät'!O$1,FALSE)
               +Andel_beroende_av_klimat*VLOOKUP($A120,Leveranser_per_nät,'Leveranser per nät'!O$1,FALSE)/VLOOKUP($B120,Korrigeringsfaktor_EI,'Korrigeringsfaktor EI'!O$1,FALSE),
"")</f>
        <v>40.641363636363636</v>
      </c>
      <c r="P120" s="18">
        <f>IFERROR(
                  Andel_oberoende_av_klimat*VLOOKUP($A120,Leveranser_per_nät,'Leveranser per nät'!P$1,FALSE)
               +Andel_beroende_av_klimat*VLOOKUP($A120,Leveranser_per_nät,'Leveranser per nät'!P$1,FALSE)/VLOOKUP($B120,Korrigeringsfaktor_EI,'Korrigeringsfaktor EI'!P$1,FALSE),
"")</f>
        <v>47.897311827956983</v>
      </c>
      <c r="Q120" s="18">
        <f>IFERROR(
                  Andel_oberoende_av_klimat*VLOOKUP($A120,Leveranser_per_nät,'Leveranser per nät'!Q$1,FALSE)
               +Andel_beroende_av_klimat*VLOOKUP($A120,Leveranser_per_nät,'Leveranser per nät'!Q$1,FALSE)/VLOOKUP($B120,Korrigeringsfaktor_EI,'Korrigeringsfaktor EI'!Q$1,FALSE),
"")</f>
        <v>50.784678899082564</v>
      </c>
      <c r="R120" s="18">
        <f>IFERROR(
                  Andel_oberoende_av_klimat*VLOOKUP($A120,Leveranser_per_nät,'Leveranser per nät'!R$1,FALSE)
               +Andel_beroende_av_klimat*VLOOKUP($A120,Leveranser_per_nät,'Leveranser per nät'!R$1,FALSE)/VLOOKUP($B120,Korrigeringsfaktor_EI,'Korrigeringsfaktor EI'!R$1,FALSE),
"")</f>
        <v>47.214090909090906</v>
      </c>
      <c r="S120" s="18">
        <f>IFERROR(
                  Andel_oberoende_av_klimat*VLOOKUP($A120,Leveranser_per_nät,'Leveranser per nät'!S$1,FALSE)
               +Andel_beroende_av_klimat*VLOOKUP($A120,Leveranser_per_nät,'Leveranser per nät'!S$1,FALSE)/VLOOKUP($B120,Korrigeringsfaktor_EI,'Korrigeringsfaktor EI'!S$1,FALSE),
"")</f>
        <v>51.458333333333336</v>
      </c>
      <c r="T120" s="18">
        <f>IFERROR(
                  Andel_oberoende_av_klimat*VLOOKUP($A120,Leveranser_per_nät,'Leveranser per nät'!T$1,FALSE)
               +Andel_beroende_av_klimat*VLOOKUP($A120,Leveranser_per_nät,'Leveranser per nät'!T$1,FALSE)/VLOOKUP($B120,Korrigeringsfaktor_EI,'Korrigeringsfaktor EI'!T$1,FALSE),
"")</f>
        <v>55.387999999999998</v>
      </c>
      <c r="U120" s="18">
        <f>IFERROR(
                  Andel_oberoende_av_klimat*VLOOKUP($A120,Leveranser_per_nät,'Leveranser per nät'!U$1,FALSE)
               +Andel_beroende_av_klimat*VLOOKUP($A120,Leveranser_per_nät,'Leveranser per nät'!U$1,FALSE)/VLOOKUP($B120,Korrigeringsfaktor_EI,'Korrigeringsfaktor EI'!U$1,FALSE),
"")</f>
        <v>54.334545454545456</v>
      </c>
      <c r="V120" s="18">
        <f>IFERROR(
                  Andel_oberoende_av_klimat*VLOOKUP($A120,Leveranser_per_nät,'Leveranser per nät'!V$1,FALSE)
               +Andel_beroende_av_klimat*VLOOKUP($A120,Leveranser_per_nät,'Leveranser per nät'!V$1,FALSE)/VLOOKUP($B120,Korrigeringsfaktor_EI,'Korrigeringsfaktor EI'!V$1,FALSE),
"")</f>
        <v>51.794705882352943</v>
      </c>
      <c r="W120" s="18">
        <f>IFERROR(
                  Andel_oberoende_av_klimat*VLOOKUP($A120,Leveranser_per_nät,'Leveranser per nät'!W$1,FALSE)
               +Andel_beroende_av_klimat*VLOOKUP($A120,Leveranser_per_nät,'Leveranser per nät'!W$1,FALSE)/VLOOKUP($B120,Korrigeringsfaktor_EI,'Korrigeringsfaktor EI'!W$1,FALSE),
"")</f>
        <v>59.160842696629217</v>
      </c>
      <c r="X120" s="18">
        <f>IFERROR(
                  Andel_oberoende_av_klimat*VLOOKUP($A120,Leveranser_per_nät,'Leveranser per nät'!X$1,FALSE)
               +Andel_beroende_av_klimat*VLOOKUP($A120,Leveranser_per_nät,'Leveranser per nät'!X$1,FALSE)/VLOOKUP($B120,Korrigeringsfaktor_EI,'Korrigeringsfaktor EI'!X$1,FALSE),
"")</f>
        <v>69.780454545454546</v>
      </c>
      <c r="Y120" s="18">
        <f>IFERROR(
                  Andel_oberoende_av_klimat*VLOOKUP($A120,Leveranser_per_nät,'Leveranser per nät'!Y$1,FALSE)
               +Andel_beroende_av_klimat*VLOOKUP($A120,Leveranser_per_nät,'Leveranser per nät'!Y$1,FALSE)/VLOOKUP($B120,Korrigeringsfaktor_EI,'Korrigeringsfaktor EI'!Y$1,FALSE),
"")</f>
        <v>75.470348837209301</v>
      </c>
      <c r="Z120" s="18">
        <f>IFERROR(
                  Andel_oberoende_av_klimat*VLOOKUP($A120,Leveranser_per_nät,'Leveranser per nät'!Z$1,FALSE)
               +Andel_beroende_av_klimat*VLOOKUP($A120,Leveranser_per_nät,'Leveranser per nät'!Z$1,FALSE)/VLOOKUP($B120,Korrigeringsfaktor_EI,'Korrigeringsfaktor EI'!Z$1,FALSE),
"")</f>
        <v>73.256364705882362</v>
      </c>
      <c r="AA120" s="18">
        <f>IFERROR(
                  Andel_oberoende_av_klimat*VLOOKUP($A120,Leveranser_per_nät,'Leveranser per nät'!AA$1,FALSE)
               +Andel_beroende_av_klimat*VLOOKUP($A120,Leveranser_per_nät,'Leveranser per nät'!AA$1,FALSE)/VLOOKUP($B120,Korrigeringsfaktor_EI,'Korrigeringsfaktor EI'!AA$1,FALSE),
"")</f>
        <v>72.306544456824525</v>
      </c>
      <c r="AB120" s="18">
        <f>IFERROR(
                  Andel_oberoende_av_klimat*VLOOKUP($A120,Leveranser_per_nät,'Leveranser per nät'!AB$1,FALSE)
               +Andel_beroende_av_klimat*VLOOKUP($A120,Leveranser_per_nät,'Leveranser per nät'!AB$1,FALSE)/VLOOKUP($B120,Korrigeringsfaktor_EI,'Korrigeringsfaktor EI'!AB$1,FALSE),
"")</f>
        <v>72.950929940119764</v>
      </c>
      <c r="AC120" s="18">
        <f>IFERROR(
                  Andel_oberoende_av_klimat*VLOOKUP($A120,Leveranser_per_nät,'Leveranser per nät'!AC$1,FALSE)
               +Andel_beroende_av_klimat*VLOOKUP($A120,Leveranser_per_nät,'Leveranser per nät'!AC$1,FALSE)/VLOOKUP($B120,Korrigeringsfaktor_EI,'Korrigeringsfaktor EI'!AC$1,FALSE),
"")</f>
        <v>72.009440298507471</v>
      </c>
      <c r="AD120">
        <v>7723.8890000000001</v>
      </c>
    </row>
    <row r="121" spans="1:30" x14ac:dyDescent="0.25">
      <c r="A121" t="s">
        <v>137</v>
      </c>
      <c r="B121" t="s">
        <v>504</v>
      </c>
      <c r="C121" s="18">
        <f>IFERROR(
                  Andel_oberoende_av_klimat*VLOOKUP($A121,Leveranser_per_nät,'Leveranser per nät'!C$1,FALSE)
               +Andel_beroende_av_klimat*VLOOKUP($A121,Leveranser_per_nät,'Leveranser per nät'!C$1,FALSE)/VLOOKUP($B121,Korrigeringsfaktor_EI,'Korrigeringsfaktor EI'!C$1,FALSE),
"")</f>
        <v>116.57378640776699</v>
      </c>
      <c r="D121" s="18">
        <f>IFERROR(
                  Andel_oberoende_av_klimat*VLOOKUP($A121,Leveranser_per_nät,'Leveranser per nät'!D$1,FALSE)
               +Andel_beroende_av_klimat*VLOOKUP($A121,Leveranser_per_nät,'Leveranser per nät'!D$1,FALSE)/VLOOKUP($B121,Korrigeringsfaktor_EI,'Korrigeringsfaktor EI'!D$1,FALSE),
"")</f>
        <v>120.26438383838384</v>
      </c>
      <c r="E121" s="18">
        <f>IFERROR(
                  Andel_oberoende_av_klimat*VLOOKUP($A121,Leveranser_per_nät,'Leveranser per nät'!E$1,FALSE)
               +Andel_beroende_av_klimat*VLOOKUP($A121,Leveranser_per_nät,'Leveranser per nät'!E$1,FALSE)/VLOOKUP($B121,Korrigeringsfaktor_EI,'Korrigeringsfaktor EI'!E$1,FALSE),
"")</f>
        <v>127.86355140186916</v>
      </c>
      <c r="F121" s="18">
        <f>IFERROR(
                  Andel_oberoende_av_klimat*VLOOKUP($A121,Leveranser_per_nät,'Leveranser per nät'!F$1,FALSE)
               +Andel_beroende_av_klimat*VLOOKUP($A121,Leveranser_per_nät,'Leveranser per nät'!F$1,FALSE)/VLOOKUP($B121,Korrigeringsfaktor_EI,'Korrigeringsfaktor EI'!F$1,FALSE),
"")</f>
        <v>128.1059405940594</v>
      </c>
      <c r="G121" s="18">
        <f>IFERROR(
                  Andel_oberoende_av_klimat*VLOOKUP($A121,Leveranser_per_nät,'Leveranser per nät'!G$1,FALSE)
               +Andel_beroende_av_klimat*VLOOKUP($A121,Leveranser_per_nät,'Leveranser per nät'!G$1,FALSE)/VLOOKUP($B121,Korrigeringsfaktor_EI,'Korrigeringsfaktor EI'!G$1,FALSE),
"")</f>
        <v>123.3842105263158</v>
      </c>
      <c r="H121" s="18">
        <f>IFERROR(
                  Andel_oberoende_av_klimat*VLOOKUP($A121,Leveranser_per_nät,'Leveranser per nät'!H$1,FALSE)
               +Andel_beroende_av_klimat*VLOOKUP($A121,Leveranser_per_nät,'Leveranser per nät'!H$1,FALSE)/VLOOKUP($B121,Korrigeringsfaktor_EI,'Korrigeringsfaktor EI'!H$1,FALSE),
"")</f>
        <v>125</v>
      </c>
      <c r="I121" s="18">
        <f>IFERROR(
                  Andel_oberoende_av_klimat*VLOOKUP($A121,Leveranser_per_nät,'Leveranser per nät'!I$1,FALSE)
               +Andel_beroende_av_klimat*VLOOKUP($A121,Leveranser_per_nät,'Leveranser per nät'!I$1,FALSE)/VLOOKUP($B121,Korrigeringsfaktor_EI,'Korrigeringsfaktor EI'!I$1,FALSE),
"")</f>
        <v>126.78571428571431</v>
      </c>
      <c r="J121" s="18">
        <f>IFERROR(
                  Andel_oberoende_av_klimat*VLOOKUP($A121,Leveranser_per_nät,'Leveranser per nät'!J$1,FALSE)
               +Andel_beroende_av_klimat*VLOOKUP($A121,Leveranser_per_nät,'Leveranser per nät'!J$1,FALSE)/VLOOKUP($B121,Korrigeringsfaktor_EI,'Korrigeringsfaktor EI'!J$1,FALSE),
"")</f>
        <v>131.79278350515466</v>
      </c>
      <c r="K121" s="18">
        <f>IFERROR(
                  Andel_oberoende_av_klimat*VLOOKUP($A121,Leveranser_per_nät,'Leveranser per nät'!K$1,FALSE)
               +Andel_beroende_av_klimat*VLOOKUP($A121,Leveranser_per_nät,'Leveranser per nät'!K$1,FALSE)/VLOOKUP($B121,Korrigeringsfaktor_EI,'Korrigeringsfaktor EI'!K$1,FALSE),
"")</f>
        <v>135.97</v>
      </c>
      <c r="L121" s="18">
        <f>IFERROR(
                  Andel_oberoende_av_klimat*VLOOKUP($A121,Leveranser_per_nät,'Leveranser per nät'!L$1,FALSE)
               +Andel_beroende_av_klimat*VLOOKUP($A121,Leveranser_per_nät,'Leveranser per nät'!L$1,FALSE)/VLOOKUP($B121,Korrigeringsfaktor_EI,'Korrigeringsfaktor EI'!L$1,FALSE),
"")</f>
        <v>140.97942105263158</v>
      </c>
      <c r="M121" s="18">
        <f>IFERROR(
                  Andel_oberoende_av_klimat*VLOOKUP($A121,Leveranser_per_nät,'Leveranser per nät'!M$1,FALSE)
               +Andel_beroende_av_klimat*VLOOKUP($A121,Leveranser_per_nät,'Leveranser per nät'!M$1,FALSE)/VLOOKUP($B121,Korrigeringsfaktor_EI,'Korrigeringsfaktor EI'!M$1,FALSE),
"")</f>
        <v>140.55431578947369</v>
      </c>
      <c r="N121" s="18">
        <f>IFERROR(
                  Andel_oberoende_av_klimat*VLOOKUP($A121,Leveranser_per_nät,'Leveranser per nät'!N$1,FALSE)
               +Andel_beroende_av_klimat*VLOOKUP($A121,Leveranser_per_nät,'Leveranser per nät'!N$1,FALSE)/VLOOKUP($B121,Korrigeringsfaktor_EI,'Korrigeringsfaktor EI'!N$1,FALSE),
"")</f>
        <v>139.25551250000001</v>
      </c>
      <c r="O121" s="18">
        <f>IFERROR(
                  Andel_oberoende_av_klimat*VLOOKUP($A121,Leveranser_per_nät,'Leveranser per nät'!O$1,FALSE)
               +Andel_beroende_av_klimat*VLOOKUP($A121,Leveranser_per_nät,'Leveranser per nät'!O$1,FALSE)/VLOOKUP($B121,Korrigeringsfaktor_EI,'Korrigeringsfaktor EI'!O$1,FALSE),
"")</f>
        <v>144.02857142857141</v>
      </c>
      <c r="P121" s="18">
        <f>IFERROR(
                  Andel_oberoende_av_klimat*VLOOKUP($A121,Leveranser_per_nät,'Leveranser per nät'!P$1,FALSE)
               +Andel_beroende_av_klimat*VLOOKUP($A121,Leveranser_per_nät,'Leveranser per nät'!P$1,FALSE)/VLOOKUP($B121,Korrigeringsfaktor_EI,'Korrigeringsfaktor EI'!P$1,FALSE),
"")</f>
        <v>151.2041237113402</v>
      </c>
      <c r="Q121" s="18">
        <f>IFERROR(
                  Andel_oberoende_av_klimat*VLOOKUP($A121,Leveranser_per_nät,'Leveranser per nät'!Q$1,FALSE)
               +Andel_beroende_av_klimat*VLOOKUP($A121,Leveranser_per_nät,'Leveranser per nät'!Q$1,FALSE)/VLOOKUP($B121,Korrigeringsfaktor_EI,'Korrigeringsfaktor EI'!Q$1,FALSE),
"")</f>
        <v>150.79999999999998</v>
      </c>
      <c r="R121" s="18">
        <f>IFERROR(
                  Andel_oberoende_av_klimat*VLOOKUP($A121,Leveranser_per_nät,'Leveranser per nät'!R$1,FALSE)
               +Andel_beroende_av_klimat*VLOOKUP($A121,Leveranser_per_nät,'Leveranser per nät'!R$1,FALSE)/VLOOKUP($B121,Korrigeringsfaktor_EI,'Korrigeringsfaktor EI'!R$1,FALSE),
"")</f>
        <v>157.00869565217391</v>
      </c>
      <c r="S121" s="18">
        <f>IFERROR(
                  Andel_oberoende_av_klimat*VLOOKUP($A121,Leveranser_per_nät,'Leveranser per nät'!S$1,FALSE)
               +Andel_beroende_av_klimat*VLOOKUP($A121,Leveranser_per_nät,'Leveranser per nät'!S$1,FALSE)/VLOOKUP($B121,Korrigeringsfaktor_EI,'Korrigeringsfaktor EI'!S$1,FALSE),
"")</f>
        <v>163.59514563106796</v>
      </c>
      <c r="T121" s="18">
        <f>IFERROR(
                  Andel_oberoende_av_klimat*VLOOKUP($A121,Leveranser_per_nät,'Leveranser per nät'!T$1,FALSE)
               +Andel_beroende_av_klimat*VLOOKUP($A121,Leveranser_per_nät,'Leveranser per nät'!T$1,FALSE)/VLOOKUP($B121,Korrigeringsfaktor_EI,'Korrigeringsfaktor EI'!T$1,FALSE),
"")</f>
        <v>159.88105263157894</v>
      </c>
      <c r="U121" s="18">
        <f>IFERROR(
                  Andel_oberoende_av_klimat*VLOOKUP($A121,Leveranser_per_nät,'Leveranser per nät'!U$1,FALSE)
               +Andel_beroende_av_klimat*VLOOKUP($A121,Leveranser_per_nät,'Leveranser per nät'!U$1,FALSE)/VLOOKUP($B121,Korrigeringsfaktor_EI,'Korrigeringsfaktor EI'!U$1,FALSE),
"")</f>
        <v>161.92553191489364</v>
      </c>
      <c r="V121" s="18">
        <f>IFERROR(
                  Andel_oberoende_av_klimat*VLOOKUP($A121,Leveranser_per_nät,'Leveranser per nät'!V$1,FALSE)
               +Andel_beroende_av_klimat*VLOOKUP($A121,Leveranser_per_nät,'Leveranser per nät'!V$1,FALSE)/VLOOKUP($B121,Korrigeringsfaktor_EI,'Korrigeringsfaktor EI'!V$1,FALSE),
"")</f>
        <v>160.85075268817207</v>
      </c>
      <c r="W121" s="18">
        <f>IFERROR(
                  Andel_oberoende_av_klimat*VLOOKUP($A121,Leveranser_per_nät,'Leveranser per nät'!W$1,FALSE)
               +Andel_beroende_av_klimat*VLOOKUP($A121,Leveranser_per_nät,'Leveranser per nät'!W$1,FALSE)/VLOOKUP($B121,Korrigeringsfaktor_EI,'Korrigeringsfaktor EI'!W$1,FALSE),
"")</f>
        <v>161.57916666666665</v>
      </c>
      <c r="X121" s="18">
        <f>IFERROR(
                  Andel_oberoende_av_klimat*VLOOKUP($A121,Leveranser_per_nät,'Leveranser per nät'!X$1,FALSE)
               +Andel_beroende_av_klimat*VLOOKUP($A121,Leveranser_per_nät,'Leveranser per nät'!X$1,FALSE)/VLOOKUP($B121,Korrigeringsfaktor_EI,'Korrigeringsfaktor EI'!X$1,FALSE),
"")</f>
        <v>161.6</v>
      </c>
      <c r="Y121" s="18">
        <f>IFERROR(
                  Andel_oberoende_av_klimat*VLOOKUP($A121,Leveranser_per_nät,'Leveranser per nät'!Y$1,FALSE)
               +Andel_beroende_av_klimat*VLOOKUP($A121,Leveranser_per_nät,'Leveranser per nät'!Y$1,FALSE)/VLOOKUP($B121,Korrigeringsfaktor_EI,'Korrigeringsfaktor EI'!Y$1,FALSE),
"")</f>
        <v>165.50721649484535</v>
      </c>
      <c r="Z121" s="18">
        <f>IFERROR(
                  Andel_oberoende_av_klimat*VLOOKUP($A121,Leveranser_per_nät,'Leveranser per nät'!Z$1,FALSE)
               +Andel_beroende_av_klimat*VLOOKUP($A121,Leveranser_per_nät,'Leveranser per nät'!Z$1,FALSE)/VLOOKUP($B121,Korrigeringsfaktor_EI,'Korrigeringsfaktor EI'!Z$1,FALSE),
"")</f>
        <v>165</v>
      </c>
      <c r="AA121" s="18">
        <f>IFERROR(
                  Andel_oberoende_av_klimat*VLOOKUP($A121,Leveranser_per_nät,'Leveranser per nät'!AA$1,FALSE)
               +Andel_beroende_av_klimat*VLOOKUP($A121,Leveranser_per_nät,'Leveranser per nät'!AA$1,FALSE)/VLOOKUP($B121,Korrigeringsfaktor_EI,'Korrigeringsfaktor EI'!AA$1,FALSE),
"")</f>
        <v>154.06054054054056</v>
      </c>
      <c r="AB121" s="18">
        <f>IFERROR(
                  Andel_oberoende_av_klimat*VLOOKUP($A121,Leveranser_per_nät,'Leveranser per nät'!AB$1,FALSE)
               +Andel_beroende_av_klimat*VLOOKUP($A121,Leveranser_per_nät,'Leveranser per nät'!AB$1,FALSE)/VLOOKUP($B121,Korrigeringsfaktor_EI,'Korrigeringsfaktor EI'!AB$1,FALSE),
"")</f>
        <v>151.67266666666666</v>
      </c>
      <c r="AC121" s="18">
        <f>IFERROR(
                  Andel_oberoende_av_klimat*VLOOKUP($A121,Leveranser_per_nät,'Leveranser per nät'!AC$1,FALSE)
               +Andel_beroende_av_klimat*VLOOKUP($A121,Leveranser_per_nät,'Leveranser per nät'!AC$1,FALSE)/VLOOKUP($B121,Korrigeringsfaktor_EI,'Korrigeringsfaktor EI'!AC$1,FALSE),
"")</f>
        <v>147.52182833505688</v>
      </c>
      <c r="AD121">
        <v>141.4</v>
      </c>
    </row>
    <row r="122" spans="1:30" x14ac:dyDescent="0.25">
      <c r="A122" t="s">
        <v>322</v>
      </c>
      <c r="B122" t="s">
        <v>321</v>
      </c>
      <c r="C122" s="18">
        <f>IFERROR(
                  Andel_oberoende_av_klimat*VLOOKUP($A122,Leveranser_per_nät,'Leveranser per nät'!C$1,FALSE)
               +Andel_beroende_av_klimat*VLOOKUP($A122,Leveranser_per_nät,'Leveranser per nät'!C$1,FALSE)/VLOOKUP($B122,Korrigeringsfaktor_EI,'Korrigeringsfaktor EI'!C$1,FALSE),
"")</f>
        <v>0</v>
      </c>
      <c r="D122" s="18">
        <f>IFERROR(
                  Andel_oberoende_av_klimat*VLOOKUP($A122,Leveranser_per_nät,'Leveranser per nät'!D$1,FALSE)
               +Andel_beroende_av_klimat*VLOOKUP($A122,Leveranser_per_nät,'Leveranser per nät'!D$1,FALSE)/VLOOKUP($B122,Korrigeringsfaktor_EI,'Korrigeringsfaktor EI'!D$1,FALSE),
"")</f>
        <v>0</v>
      </c>
      <c r="E122" s="18">
        <f>IFERROR(
                  Andel_oberoende_av_klimat*VLOOKUP($A122,Leveranser_per_nät,'Leveranser per nät'!E$1,FALSE)
               +Andel_beroende_av_klimat*VLOOKUP($A122,Leveranser_per_nät,'Leveranser per nät'!E$1,FALSE)/VLOOKUP($B122,Korrigeringsfaktor_EI,'Korrigeringsfaktor EI'!E$1,FALSE),
"")</f>
        <v>0</v>
      </c>
      <c r="F122" s="18">
        <f>IFERROR(
                  Andel_oberoende_av_klimat*VLOOKUP($A122,Leveranser_per_nät,'Leveranser per nät'!F$1,FALSE)
               +Andel_beroende_av_klimat*VLOOKUP($A122,Leveranser_per_nät,'Leveranser per nät'!F$1,FALSE)/VLOOKUP($B122,Korrigeringsfaktor_EI,'Korrigeringsfaktor EI'!F$1,FALSE),
"")</f>
        <v>0</v>
      </c>
      <c r="G122" s="18">
        <f>IFERROR(
                  Andel_oberoende_av_klimat*VLOOKUP($A122,Leveranser_per_nät,'Leveranser per nät'!G$1,FALSE)
               +Andel_beroende_av_klimat*VLOOKUP($A122,Leveranser_per_nät,'Leveranser per nät'!G$1,FALSE)/VLOOKUP($B122,Korrigeringsfaktor_EI,'Korrigeringsfaktor EI'!G$1,FALSE),
"")</f>
        <v>0</v>
      </c>
      <c r="H122" s="18">
        <f>IFERROR(
                  Andel_oberoende_av_klimat*VLOOKUP($A122,Leveranser_per_nät,'Leveranser per nät'!H$1,FALSE)
               +Andel_beroende_av_klimat*VLOOKUP($A122,Leveranser_per_nät,'Leveranser per nät'!H$1,FALSE)/VLOOKUP($B122,Korrigeringsfaktor_EI,'Korrigeringsfaktor EI'!H$1,FALSE),
"")</f>
        <v>0</v>
      </c>
      <c r="I122" s="18">
        <f>IFERROR(
                  Andel_oberoende_av_klimat*VLOOKUP($A122,Leveranser_per_nät,'Leveranser per nät'!I$1,FALSE)
               +Andel_beroende_av_klimat*VLOOKUP($A122,Leveranser_per_nät,'Leveranser per nät'!I$1,FALSE)/VLOOKUP($B122,Korrigeringsfaktor_EI,'Korrigeringsfaktor EI'!I$1,FALSE),
"")</f>
        <v>0</v>
      </c>
      <c r="J122" s="18">
        <f>IFERROR(
                  Andel_oberoende_av_klimat*VLOOKUP($A122,Leveranser_per_nät,'Leveranser per nät'!J$1,FALSE)
               +Andel_beroende_av_klimat*VLOOKUP($A122,Leveranser_per_nät,'Leveranser per nät'!J$1,FALSE)/VLOOKUP($B122,Korrigeringsfaktor_EI,'Korrigeringsfaktor EI'!J$1,FALSE),
"")</f>
        <v>0</v>
      </c>
      <c r="K122" s="18">
        <f>IFERROR(
                  Andel_oberoende_av_klimat*VLOOKUP($A122,Leveranser_per_nät,'Leveranser per nät'!K$1,FALSE)
               +Andel_beroende_av_klimat*VLOOKUP($A122,Leveranser_per_nät,'Leveranser per nät'!K$1,FALSE)/VLOOKUP($B122,Korrigeringsfaktor_EI,'Korrigeringsfaktor EI'!K$1,FALSE),
"")</f>
        <v>0</v>
      </c>
      <c r="L122" s="18">
        <f>IFERROR(
                  Andel_oberoende_av_klimat*VLOOKUP($A122,Leveranser_per_nät,'Leveranser per nät'!L$1,FALSE)
               +Andel_beroende_av_klimat*VLOOKUP($A122,Leveranser_per_nät,'Leveranser per nät'!L$1,FALSE)/VLOOKUP($B122,Korrigeringsfaktor_EI,'Korrigeringsfaktor EI'!L$1,FALSE),
"")</f>
        <v>2.2638857142857143</v>
      </c>
      <c r="M122" s="18">
        <f>IFERROR(
                  Andel_oberoende_av_klimat*VLOOKUP($A122,Leveranser_per_nät,'Leveranser per nät'!M$1,FALSE)
               +Andel_beroende_av_klimat*VLOOKUP($A122,Leveranser_per_nät,'Leveranser per nät'!M$1,FALSE)/VLOOKUP($B122,Korrigeringsfaktor_EI,'Korrigeringsfaktor EI'!M$1,FALSE),
"")</f>
        <v>2.093540425531915</v>
      </c>
      <c r="N122" s="18">
        <f>IFERROR(
                  Andel_oberoende_av_klimat*VLOOKUP($A122,Leveranser_per_nät,'Leveranser per nät'!N$1,FALSE)
               +Andel_beroende_av_klimat*VLOOKUP($A122,Leveranser_per_nät,'Leveranser per nät'!N$1,FALSE)/VLOOKUP($B122,Korrigeringsfaktor_EI,'Korrigeringsfaktor EI'!N$1,FALSE),
"")</f>
        <v>2.2554659574468086</v>
      </c>
      <c r="O122" s="18">
        <f>IFERROR(
                  Andel_oberoende_av_klimat*VLOOKUP($A122,Leveranser_per_nät,'Leveranser per nät'!O$1,FALSE)
               +Andel_beroende_av_klimat*VLOOKUP($A122,Leveranser_per_nät,'Leveranser per nät'!O$1,FALSE)/VLOOKUP($B122,Korrigeringsfaktor_EI,'Korrigeringsfaktor EI'!O$1,FALSE),
"")</f>
        <v>2.1102553191489362</v>
      </c>
      <c r="P122" s="18">
        <f>IFERROR(
                  Andel_oberoende_av_klimat*VLOOKUP($A122,Leveranser_per_nät,'Leveranser per nät'!P$1,FALSE)
               +Andel_beroende_av_klimat*VLOOKUP($A122,Leveranser_per_nät,'Leveranser per nät'!P$1,FALSE)/VLOOKUP($B122,Korrigeringsfaktor_EI,'Korrigeringsfaktor EI'!P$1,FALSE),
"")</f>
        <v>2.1766571428571426</v>
      </c>
      <c r="Q122" s="18">
        <f>IFERROR(
                  Andel_oberoende_av_klimat*VLOOKUP($A122,Leveranser_per_nät,'Leveranser per nät'!Q$1,FALSE)
               +Andel_beroende_av_klimat*VLOOKUP($A122,Leveranser_per_nät,'Leveranser per nät'!Q$1,FALSE)/VLOOKUP($B122,Korrigeringsfaktor_EI,'Korrigeringsfaktor EI'!Q$1,FALSE),
"")</f>
        <v>2.3445</v>
      </c>
      <c r="R122" s="18">
        <f>IFERROR(
                  Andel_oberoende_av_klimat*VLOOKUP($A122,Leveranser_per_nät,'Leveranser per nät'!R$1,FALSE)
               +Andel_beroende_av_klimat*VLOOKUP($A122,Leveranser_per_nät,'Leveranser per nät'!R$1,FALSE)/VLOOKUP($B122,Korrigeringsfaktor_EI,'Korrigeringsfaktor EI'!R$1,FALSE),
"")</f>
        <v>2.2219526315789473</v>
      </c>
      <c r="S122" s="18">
        <f>IFERROR(
                  Andel_oberoende_av_klimat*VLOOKUP($A122,Leveranser_per_nät,'Leveranser per nät'!S$1,FALSE)
               +Andel_beroende_av_klimat*VLOOKUP($A122,Leveranser_per_nät,'Leveranser per nät'!S$1,FALSE)/VLOOKUP($B122,Korrigeringsfaktor_EI,'Korrigeringsfaktor EI'!S$1,FALSE),
"")</f>
        <v>2.3216796116504854</v>
      </c>
      <c r="T122" s="18">
        <f>IFERROR(
                  Andel_oberoende_av_klimat*VLOOKUP($A122,Leveranser_per_nät,'Leveranser per nät'!T$1,FALSE)
               +Andel_beroende_av_klimat*VLOOKUP($A122,Leveranser_per_nät,'Leveranser per nät'!T$1,FALSE)/VLOOKUP($B122,Korrigeringsfaktor_EI,'Korrigeringsfaktor EI'!T$1,FALSE),
"")</f>
        <v>2.29</v>
      </c>
      <c r="U122" s="18">
        <f>IFERROR(
                  Andel_oberoende_av_klimat*VLOOKUP($A122,Leveranser_per_nät,'Leveranser per nät'!U$1,FALSE)
               +Andel_beroende_av_klimat*VLOOKUP($A122,Leveranser_per_nät,'Leveranser per nät'!U$1,FALSE)/VLOOKUP($B122,Korrigeringsfaktor_EI,'Korrigeringsfaktor EI'!U$1,FALSE),
"")</f>
        <v>2.3053666666666666</v>
      </c>
      <c r="V122" s="18">
        <f>IFERROR(
                  Andel_oberoende_av_klimat*VLOOKUP($A122,Leveranser_per_nät,'Leveranser per nät'!V$1,FALSE)
               +Andel_beroende_av_klimat*VLOOKUP($A122,Leveranser_per_nät,'Leveranser per nät'!V$1,FALSE)/VLOOKUP($B122,Korrigeringsfaktor_EI,'Korrigeringsfaktor EI'!V$1,FALSE),
"")</f>
        <v>2.3776936170212766</v>
      </c>
      <c r="W122" s="18">
        <f>IFERROR(
                  Andel_oberoende_av_klimat*VLOOKUP($A122,Leveranser_per_nät,'Leveranser per nät'!W$1,FALSE)
               +Andel_beroende_av_klimat*VLOOKUP($A122,Leveranser_per_nät,'Leveranser per nät'!W$1,FALSE)/VLOOKUP($B122,Korrigeringsfaktor_EI,'Korrigeringsfaktor EI'!W$1,FALSE),
"")</f>
        <v>2.3753350515463918</v>
      </c>
      <c r="X122" s="18">
        <f>IFERROR(
                  Andel_oberoende_av_klimat*VLOOKUP($A122,Leveranser_per_nät,'Leveranser per nät'!X$1,FALSE)
               +Andel_beroende_av_klimat*VLOOKUP($A122,Leveranser_per_nät,'Leveranser per nät'!X$1,FALSE)/VLOOKUP($B122,Korrigeringsfaktor_EI,'Korrigeringsfaktor EI'!X$1,FALSE),
"")</f>
        <v>2.3145958333333336</v>
      </c>
      <c r="Y122" s="18">
        <f>IFERROR(
                  Andel_oberoende_av_klimat*VLOOKUP($A122,Leveranser_per_nät,'Leveranser per nät'!Y$1,FALSE)
               +Andel_beroende_av_klimat*VLOOKUP($A122,Leveranser_per_nät,'Leveranser per nät'!Y$1,FALSE)/VLOOKUP($B122,Korrigeringsfaktor_EI,'Korrigeringsfaktor EI'!Y$1,FALSE),
"")</f>
        <v>2.3106076923076921</v>
      </c>
      <c r="Z122" s="18">
        <f>IFERROR(
                  Andel_oberoende_av_klimat*VLOOKUP($A122,Leveranser_per_nät,'Leveranser per nät'!Z$1,FALSE)
               +Andel_beroende_av_klimat*VLOOKUP($A122,Leveranser_per_nät,'Leveranser per nät'!Z$1,FALSE)/VLOOKUP($B122,Korrigeringsfaktor_EI,'Korrigeringsfaktor EI'!Z$1,FALSE),
"")</f>
        <v>2.2892000000000001</v>
      </c>
      <c r="AA122" s="18">
        <f>IFERROR(
                  Andel_oberoende_av_klimat*VLOOKUP($A122,Leveranser_per_nät,'Leveranser per nät'!AA$1,FALSE)
               +Andel_beroende_av_klimat*VLOOKUP($A122,Leveranser_per_nät,'Leveranser per nät'!AA$1,FALSE)/VLOOKUP($B122,Korrigeringsfaktor_EI,'Korrigeringsfaktor EI'!AA$1,FALSE),
"")</f>
        <v>2.255469512195122</v>
      </c>
      <c r="AB122" s="18">
        <f>IFERROR(
                  Andel_oberoende_av_klimat*VLOOKUP($A122,Leveranser_per_nät,'Leveranser per nät'!AB$1,FALSE)
               +Andel_beroende_av_klimat*VLOOKUP($A122,Leveranser_per_nät,'Leveranser per nät'!AB$1,FALSE)/VLOOKUP($B122,Korrigeringsfaktor_EI,'Korrigeringsfaktor EI'!AB$1,FALSE),
"")</f>
        <v>2.3650844930417492</v>
      </c>
      <c r="AC122" s="18">
        <f>IFERROR(
                  Andel_oberoende_av_klimat*VLOOKUP($A122,Leveranser_per_nät,'Leveranser per nät'!AC$1,FALSE)
               +Andel_beroende_av_klimat*VLOOKUP($A122,Leveranser_per_nät,'Leveranser per nät'!AC$1,FALSE)/VLOOKUP($B122,Korrigeringsfaktor_EI,'Korrigeringsfaktor EI'!AC$1,FALSE),
"")</f>
        <v>2.339456716417911</v>
      </c>
      <c r="AD122">
        <v>48.066000000000003</v>
      </c>
    </row>
    <row r="123" spans="1:30" x14ac:dyDescent="0.25">
      <c r="A123" t="s">
        <v>138</v>
      </c>
      <c r="B123" t="s">
        <v>138</v>
      </c>
      <c r="C123" s="18">
        <f>IFERROR(
                  Andel_oberoende_av_klimat*VLOOKUP($A123,Leveranser_per_nät,'Leveranser per nät'!C$1,FALSE)
               +Andel_beroende_av_klimat*VLOOKUP($A123,Leveranser_per_nät,'Leveranser per nät'!C$1,FALSE)/VLOOKUP($B123,Korrigeringsfaktor_EI,'Korrigeringsfaktor EI'!C$1,FALSE),
"")</f>
        <v>678.38532110091739</v>
      </c>
      <c r="D123" s="18">
        <f>IFERROR(
                  Andel_oberoende_av_klimat*VLOOKUP($A123,Leveranser_per_nät,'Leveranser per nät'!D$1,FALSE)
               +Andel_beroende_av_klimat*VLOOKUP($A123,Leveranser_per_nät,'Leveranser per nät'!D$1,FALSE)/VLOOKUP($B123,Korrigeringsfaktor_EI,'Korrigeringsfaktor EI'!D$1,FALSE),
"")</f>
        <v>616.69827835051547</v>
      </c>
      <c r="E123" s="18">
        <f>IFERROR(
                  Andel_oberoende_av_klimat*VLOOKUP($A123,Leveranser_per_nät,'Leveranser per nät'!E$1,FALSE)
               +Andel_beroende_av_klimat*VLOOKUP($A123,Leveranser_per_nät,'Leveranser per nät'!E$1,FALSE)/VLOOKUP($B123,Korrigeringsfaktor_EI,'Korrigeringsfaktor EI'!E$1,FALSE),
"")</f>
        <v>609.14615384615388</v>
      </c>
      <c r="F123" s="18">
        <f>IFERROR(
                  Andel_oberoende_av_klimat*VLOOKUP($A123,Leveranser_per_nät,'Leveranser per nät'!F$1,FALSE)
               +Andel_beroende_av_klimat*VLOOKUP($A123,Leveranser_per_nät,'Leveranser per nät'!F$1,FALSE)/VLOOKUP($B123,Korrigeringsfaktor_EI,'Korrigeringsfaktor EI'!F$1,FALSE),
"")</f>
        <v>670.44285714285718</v>
      </c>
      <c r="G123" s="18">
        <f>IFERROR(
                  Andel_oberoende_av_klimat*VLOOKUP($A123,Leveranser_per_nät,'Leveranser per nät'!G$1,FALSE)
               +Andel_beroende_av_klimat*VLOOKUP($A123,Leveranser_per_nät,'Leveranser per nät'!G$1,FALSE)/VLOOKUP($B123,Korrigeringsfaktor_EI,'Korrigeringsfaktor EI'!G$1,FALSE),
"")</f>
        <v>701.2347826086957</v>
      </c>
      <c r="H123" s="18">
        <f>IFERROR(
                  Andel_oberoende_av_klimat*VLOOKUP($A123,Leveranser_per_nät,'Leveranser per nät'!H$1,FALSE)
               +Andel_beroende_av_klimat*VLOOKUP($A123,Leveranser_per_nät,'Leveranser per nät'!H$1,FALSE)/VLOOKUP($B123,Korrigeringsfaktor_EI,'Korrigeringsfaktor EI'!H$1,FALSE),
"")</f>
        <v>682.00842424242421</v>
      </c>
      <c r="I123" s="18">
        <f>IFERROR(
                  Andel_oberoende_av_klimat*VLOOKUP($A123,Leveranser_per_nät,'Leveranser per nät'!I$1,FALSE)
               +Andel_beroende_av_klimat*VLOOKUP($A123,Leveranser_per_nät,'Leveranser per nät'!I$1,FALSE)/VLOOKUP($B123,Korrigeringsfaktor_EI,'Korrigeringsfaktor EI'!I$1,FALSE),
"")</f>
        <v>716.30000000000007</v>
      </c>
      <c r="J123" s="18">
        <f>IFERROR(
                  Andel_oberoende_av_klimat*VLOOKUP($A123,Leveranser_per_nät,'Leveranser per nät'!J$1,FALSE)
               +Andel_beroende_av_klimat*VLOOKUP($A123,Leveranser_per_nät,'Leveranser per nät'!J$1,FALSE)/VLOOKUP($B123,Korrigeringsfaktor_EI,'Korrigeringsfaktor EI'!J$1,FALSE),
"")</f>
        <v>726.00542857142852</v>
      </c>
      <c r="K123" s="18">
        <f>IFERROR(
                  Andel_oberoende_av_klimat*VLOOKUP($A123,Leveranser_per_nät,'Leveranser per nät'!K$1,FALSE)
               +Andel_beroende_av_klimat*VLOOKUP($A123,Leveranser_per_nät,'Leveranser per nät'!K$1,FALSE)/VLOOKUP($B123,Korrigeringsfaktor_EI,'Korrigeringsfaktor EI'!K$1,FALSE),
"")</f>
        <v>722.43224242424242</v>
      </c>
      <c r="L123" s="18">
        <f>IFERROR(
                  Andel_oberoende_av_klimat*VLOOKUP($A123,Leveranser_per_nät,'Leveranser per nät'!L$1,FALSE)
               +Andel_beroende_av_klimat*VLOOKUP($A123,Leveranser_per_nät,'Leveranser per nät'!L$1,FALSE)/VLOOKUP($B123,Korrigeringsfaktor_EI,'Korrigeringsfaktor EI'!L$1,FALSE),
"")</f>
        <v>711.61729166666669</v>
      </c>
      <c r="M123" s="18">
        <f>IFERROR(
                  Andel_oberoende_av_klimat*VLOOKUP($A123,Leveranser_per_nät,'Leveranser per nät'!M$1,FALSE)
               +Andel_beroende_av_klimat*VLOOKUP($A123,Leveranser_per_nät,'Leveranser per nät'!M$1,FALSE)/VLOOKUP($B123,Korrigeringsfaktor_EI,'Korrigeringsfaktor EI'!M$1,FALSE),
"")</f>
        <v>702.29565217391303</v>
      </c>
      <c r="N123" s="18">
        <f>IFERROR(
                  Andel_oberoende_av_klimat*VLOOKUP($A123,Leveranser_per_nät,'Leveranser per nät'!N$1,FALSE)
               +Andel_beroende_av_klimat*VLOOKUP($A123,Leveranser_per_nät,'Leveranser per nät'!N$1,FALSE)/VLOOKUP($B123,Korrigeringsfaktor_EI,'Korrigeringsfaktor EI'!N$1,FALSE),
"")</f>
        <v>707.2489361702128</v>
      </c>
      <c r="O123" s="18">
        <f>IFERROR(
                  Andel_oberoende_av_klimat*VLOOKUP($A123,Leveranser_per_nät,'Leveranser per nät'!O$1,FALSE)
               +Andel_beroende_av_klimat*VLOOKUP($A123,Leveranser_per_nät,'Leveranser per nät'!O$1,FALSE)/VLOOKUP($B123,Korrigeringsfaktor_EI,'Korrigeringsfaktor EI'!O$1,FALSE),
"")</f>
        <v>697.48276021505376</v>
      </c>
      <c r="P123" s="18">
        <f>IFERROR(
                  Andel_oberoende_av_klimat*VLOOKUP($A123,Leveranser_per_nät,'Leveranser per nät'!P$1,FALSE)
               +Andel_beroende_av_klimat*VLOOKUP($A123,Leveranser_per_nät,'Leveranser per nät'!P$1,FALSE)/VLOOKUP($B123,Korrigeringsfaktor_EI,'Korrigeringsfaktor EI'!P$1,FALSE),
"")</f>
        <v>715.15463917525767</v>
      </c>
      <c r="Q123" s="18">
        <f>IFERROR(
                  Andel_oberoende_av_klimat*VLOOKUP($A123,Leveranser_per_nät,'Leveranser per nät'!Q$1,FALSE)
               +Andel_beroende_av_klimat*VLOOKUP($A123,Leveranser_per_nät,'Leveranser per nät'!Q$1,FALSE)/VLOOKUP($B123,Korrigeringsfaktor_EI,'Korrigeringsfaktor EI'!Q$1,FALSE),
"")</f>
        <v>744.02456140350887</v>
      </c>
      <c r="R123" s="18">
        <f>IFERROR(
                  Andel_oberoende_av_klimat*VLOOKUP($A123,Leveranser_per_nät,'Leveranser per nät'!R$1,FALSE)
               +Andel_beroende_av_klimat*VLOOKUP($A123,Leveranser_per_nät,'Leveranser per nät'!R$1,FALSE)/VLOOKUP($B123,Korrigeringsfaktor_EI,'Korrigeringsfaktor EI'!R$1,FALSE),
"")</f>
        <v>698.62421052631578</v>
      </c>
      <c r="S123" s="18">
        <f>IFERROR(
                  Andel_oberoende_av_klimat*VLOOKUP($A123,Leveranser_per_nät,'Leveranser per nät'!S$1,FALSE)
               +Andel_beroende_av_klimat*VLOOKUP($A123,Leveranser_per_nät,'Leveranser per nät'!S$1,FALSE)/VLOOKUP($B123,Korrigeringsfaktor_EI,'Korrigeringsfaktor EI'!S$1,FALSE),
"")</f>
        <v>726.92673267326734</v>
      </c>
      <c r="T123" s="18">
        <f>IFERROR(
                  Andel_oberoende_av_klimat*VLOOKUP($A123,Leveranser_per_nät,'Leveranser per nät'!T$1,FALSE)
               +Andel_beroende_av_klimat*VLOOKUP($A123,Leveranser_per_nät,'Leveranser per nät'!T$1,FALSE)/VLOOKUP($B123,Korrigeringsfaktor_EI,'Korrigeringsfaktor EI'!T$1,FALSE),
"")</f>
        <v>727.96684210526314</v>
      </c>
      <c r="U123" s="18">
        <f>IFERROR(
                  Andel_oberoende_av_klimat*VLOOKUP($A123,Leveranser_per_nät,'Leveranser per nät'!U$1,FALSE)
               +Andel_beroende_av_klimat*VLOOKUP($A123,Leveranser_per_nät,'Leveranser per nät'!U$1,FALSE)/VLOOKUP($B123,Korrigeringsfaktor_EI,'Korrigeringsfaktor EI'!U$1,FALSE),
"")</f>
        <v>695.6415384615384</v>
      </c>
      <c r="V123" s="18">
        <f>IFERROR(
                  Andel_oberoende_av_klimat*VLOOKUP($A123,Leveranser_per_nät,'Leveranser per nät'!V$1,FALSE)
               +Andel_beroende_av_klimat*VLOOKUP($A123,Leveranser_per_nät,'Leveranser per nät'!V$1,FALSE)/VLOOKUP($B123,Korrigeringsfaktor_EI,'Korrigeringsfaktor EI'!V$1,FALSE),
"")</f>
        <v>692.54076923076923</v>
      </c>
      <c r="W123" s="18">
        <f>IFERROR(
                  Andel_oberoende_av_klimat*VLOOKUP($A123,Leveranser_per_nät,'Leveranser per nät'!W$1,FALSE)
               +Andel_beroende_av_klimat*VLOOKUP($A123,Leveranser_per_nät,'Leveranser per nät'!W$1,FALSE)/VLOOKUP($B123,Korrigeringsfaktor_EI,'Korrigeringsfaktor EI'!W$1,FALSE),
"")</f>
        <v>708.89</v>
      </c>
      <c r="X123" s="18">
        <f>IFERROR(
                  Andel_oberoende_av_klimat*VLOOKUP($A123,Leveranser_per_nät,'Leveranser per nät'!X$1,FALSE)
               +Andel_beroende_av_klimat*VLOOKUP($A123,Leveranser_per_nät,'Leveranser per nät'!X$1,FALSE)/VLOOKUP($B123,Korrigeringsfaktor_EI,'Korrigeringsfaktor EI'!X$1,FALSE),
"")</f>
        <v>710.02947368421053</v>
      </c>
      <c r="Y123" s="18">
        <f>IFERROR(
                  Andel_oberoende_av_klimat*VLOOKUP($A123,Leveranser_per_nät,'Leveranser per nät'!Y$1,FALSE)
               +Andel_beroende_av_klimat*VLOOKUP($A123,Leveranser_per_nät,'Leveranser per nät'!Y$1,FALSE)/VLOOKUP($B123,Korrigeringsfaktor_EI,'Korrigeringsfaktor EI'!Y$1,FALSE),
"")</f>
        <v>727.07692307692298</v>
      </c>
      <c r="Z123" s="18">
        <f>IFERROR(
                  Andel_oberoende_av_klimat*VLOOKUP($A123,Leveranser_per_nät,'Leveranser per nät'!Z$1,FALSE)
               +Andel_beroende_av_klimat*VLOOKUP($A123,Leveranser_per_nät,'Leveranser per nät'!Z$1,FALSE)/VLOOKUP($B123,Korrigeringsfaktor_EI,'Korrigeringsfaktor EI'!Z$1,FALSE),
"")</f>
        <v>721.09139784946228</v>
      </c>
      <c r="AA123" s="18">
        <f>IFERROR(
                  Andel_oberoende_av_klimat*VLOOKUP($A123,Leveranser_per_nät,'Leveranser per nät'!AA$1,FALSE)
               +Andel_beroende_av_klimat*VLOOKUP($A123,Leveranser_per_nät,'Leveranser per nät'!AA$1,FALSE)/VLOOKUP($B123,Korrigeringsfaktor_EI,'Korrigeringsfaktor EI'!AA$1,FALSE),
"")</f>
        <v>695.76</v>
      </c>
      <c r="AB123" s="18">
        <f>IFERROR(
                  Andel_oberoende_av_klimat*VLOOKUP($A123,Leveranser_per_nät,'Leveranser per nät'!AB$1,FALSE)
               +Andel_beroende_av_klimat*VLOOKUP($A123,Leveranser_per_nät,'Leveranser per nät'!AB$1,FALSE)/VLOOKUP($B123,Korrigeringsfaktor_EI,'Korrigeringsfaktor EI'!AB$1,FALSE),
"")</f>
        <v>718.86730496453902</v>
      </c>
      <c r="AC123" s="18">
        <f>IFERROR(
                  Andel_oberoende_av_klimat*VLOOKUP($A123,Leveranser_per_nät,'Leveranser per nät'!AC$1,FALSE)
               +Andel_beroende_av_klimat*VLOOKUP($A123,Leveranser_per_nät,'Leveranser per nät'!AC$1,FALSE)/VLOOKUP($B123,Korrigeringsfaktor_EI,'Korrigeringsfaktor EI'!AC$1,FALSE),
"")</f>
        <v>695.38976345123251</v>
      </c>
      <c r="AD123">
        <v>662.10699999999997</v>
      </c>
    </row>
    <row r="124" spans="1:30" x14ac:dyDescent="0.25">
      <c r="A124" t="s">
        <v>966</v>
      </c>
      <c r="B124" t="s">
        <v>510</v>
      </c>
      <c r="C124" s="18">
        <f>IFERROR(
                  Andel_oberoende_av_klimat*VLOOKUP($A124,Leveranser_per_nät,'Leveranser per nät'!C$1,FALSE)
               +Andel_beroende_av_klimat*VLOOKUP($A124,Leveranser_per_nät,'Leveranser per nät'!C$1,FALSE)/VLOOKUP($B124,Korrigeringsfaktor_EI,'Korrigeringsfaktor EI'!C$1,FALSE),
"")</f>
        <v>3492.7422018348616</v>
      </c>
      <c r="D124" s="18">
        <f>IFERROR(
                  Andel_oberoende_av_klimat*VLOOKUP($A124,Leveranser_per_nät,'Leveranser per nät'!D$1,FALSE)
               +Andel_beroende_av_klimat*VLOOKUP($A124,Leveranser_per_nät,'Leveranser per nät'!D$1,FALSE)/VLOOKUP($B124,Korrigeringsfaktor_EI,'Korrigeringsfaktor EI'!D$1,FALSE),
"")</f>
        <v>3729.9079191919191</v>
      </c>
      <c r="E124" s="18">
        <f>IFERROR(
                  Andel_oberoende_av_klimat*VLOOKUP($A124,Leveranser_per_nät,'Leveranser per nät'!E$1,FALSE)
               +Andel_beroende_av_klimat*VLOOKUP($A124,Leveranser_per_nät,'Leveranser per nät'!E$1,FALSE)/VLOOKUP($B124,Korrigeringsfaktor_EI,'Korrigeringsfaktor EI'!E$1,FALSE),
"")</f>
        <v>3626.8985009708736</v>
      </c>
      <c r="F124" s="18">
        <f>IFERROR(
                  Andel_oberoende_av_klimat*VLOOKUP($A124,Leveranser_per_nät,'Leveranser per nät'!F$1,FALSE)
               +Andel_beroende_av_klimat*VLOOKUP($A124,Leveranser_per_nät,'Leveranser per nät'!F$1,FALSE)/VLOOKUP($B124,Korrigeringsfaktor_EI,'Korrigeringsfaktor EI'!F$1,FALSE),
"")</f>
        <v>3936.5625</v>
      </c>
      <c r="G124" s="18">
        <f>IFERROR(
                  Andel_oberoende_av_klimat*VLOOKUP($A124,Leveranser_per_nät,'Leveranser per nät'!G$1,FALSE)
               +Andel_beroende_av_klimat*VLOOKUP($A124,Leveranser_per_nät,'Leveranser per nät'!G$1,FALSE)/VLOOKUP($B124,Korrigeringsfaktor_EI,'Korrigeringsfaktor EI'!G$1,FALSE),
"")</f>
        <v>4183.5409090909088</v>
      </c>
      <c r="H124" s="18">
        <f>IFERROR(
                  Andel_oberoende_av_klimat*VLOOKUP($A124,Leveranser_per_nät,'Leveranser per nät'!H$1,FALSE)
               +Andel_beroende_av_klimat*VLOOKUP($A124,Leveranser_per_nät,'Leveranser per nät'!H$1,FALSE)/VLOOKUP($B124,Korrigeringsfaktor_EI,'Korrigeringsfaktor EI'!H$1,FALSE),
"")</f>
        <v>3782.3627450980393</v>
      </c>
      <c r="I124" s="18">
        <f>IFERROR(
                  Andel_oberoende_av_klimat*VLOOKUP($A124,Leveranser_per_nät,'Leveranser per nät'!I$1,FALSE)
               +Andel_beroende_av_klimat*VLOOKUP($A124,Leveranser_per_nät,'Leveranser per nät'!I$1,FALSE)/VLOOKUP($B124,Korrigeringsfaktor_EI,'Korrigeringsfaktor EI'!I$1,FALSE),
"")</f>
        <v>3982.5105263157898</v>
      </c>
      <c r="J124" s="18">
        <f>IFERROR(
                  Andel_oberoende_av_klimat*VLOOKUP($A124,Leveranser_per_nät,'Leveranser per nät'!J$1,FALSE)
               +Andel_beroende_av_klimat*VLOOKUP($A124,Leveranser_per_nät,'Leveranser per nät'!J$1,FALSE)/VLOOKUP($B124,Korrigeringsfaktor_EI,'Korrigeringsfaktor EI'!J$1,FALSE),
"")</f>
        <v>3747.7857142857147</v>
      </c>
      <c r="K124" s="18">
        <f>IFERROR(
                  Andel_oberoende_av_klimat*VLOOKUP($A124,Leveranser_per_nät,'Leveranser per nät'!K$1,FALSE)
               +Andel_beroende_av_klimat*VLOOKUP($A124,Leveranser_per_nät,'Leveranser per nät'!K$1,FALSE)/VLOOKUP($B124,Korrigeringsfaktor_EI,'Korrigeringsfaktor EI'!K$1,FALSE),
"")</f>
        <v>3791.5455670103092</v>
      </c>
      <c r="L124" s="18">
        <f>IFERROR(
                  Andel_oberoende_av_klimat*VLOOKUP($A124,Leveranser_per_nät,'Leveranser per nät'!L$1,FALSE)
               +Andel_beroende_av_klimat*VLOOKUP($A124,Leveranser_per_nät,'Leveranser per nät'!L$1,FALSE)/VLOOKUP($B124,Korrigeringsfaktor_EI,'Korrigeringsfaktor EI'!L$1,FALSE),
"")</f>
        <v>3856.2273859805391</v>
      </c>
      <c r="M124" s="18">
        <f>IFERROR(
                  Andel_oberoende_av_klimat*VLOOKUP($A124,Leveranser_per_nät,'Leveranser per nät'!M$1,FALSE)
               +Andel_beroende_av_klimat*VLOOKUP($A124,Leveranser_per_nät,'Leveranser per nät'!M$1,FALSE)/VLOOKUP($B124,Korrigeringsfaktor_EI,'Korrigeringsfaktor EI'!M$1,FALSE),
"")</f>
        <v>3934.7652173913043</v>
      </c>
      <c r="N124" s="18">
        <f>IFERROR(
                  Andel_oberoende_av_klimat*VLOOKUP($A124,Leveranser_per_nät,'Leveranser per nät'!N$1,FALSE)
               +Andel_beroende_av_klimat*VLOOKUP($A124,Leveranser_per_nät,'Leveranser per nät'!N$1,FALSE)/VLOOKUP($B124,Korrigeringsfaktor_EI,'Korrigeringsfaktor EI'!N$1,FALSE),
"")</f>
        <v>3909.1076923076921</v>
      </c>
      <c r="O124" s="18">
        <f>IFERROR(
                  Andel_oberoende_av_klimat*VLOOKUP($A124,Leveranser_per_nät,'Leveranser per nät'!O$1,FALSE)
               +Andel_beroende_av_klimat*VLOOKUP($A124,Leveranser_per_nät,'Leveranser per nät'!O$1,FALSE)/VLOOKUP($B124,Korrigeringsfaktor_EI,'Korrigeringsfaktor EI'!O$1,FALSE),
"")</f>
        <v>3914.4538461538459</v>
      </c>
      <c r="P124" s="18">
        <f>IFERROR(
                  Andel_oberoende_av_klimat*VLOOKUP($A124,Leveranser_per_nät,'Leveranser per nät'!P$1,FALSE)
               +Andel_beroende_av_klimat*VLOOKUP($A124,Leveranser_per_nät,'Leveranser per nät'!P$1,FALSE)/VLOOKUP($B124,Korrigeringsfaktor_EI,'Korrigeringsfaktor EI'!P$1,FALSE),
"")</f>
        <v>3499.149484536083</v>
      </c>
      <c r="Q124" s="18">
        <f>IFERROR(
                  Andel_oberoende_av_klimat*VLOOKUP($A124,Leveranser_per_nät,'Leveranser per nät'!Q$1,FALSE)
               +Andel_beroende_av_klimat*VLOOKUP($A124,Leveranser_per_nät,'Leveranser per nät'!Q$1,FALSE)/VLOOKUP($B124,Korrigeringsfaktor_EI,'Korrigeringsfaktor EI'!Q$1,FALSE),
"")</f>
        <v>3604.7586206896558</v>
      </c>
      <c r="R124" s="18">
        <f>IFERROR(
                  Andel_oberoende_av_klimat*VLOOKUP($A124,Leveranser_per_nät,'Leveranser per nät'!R$1,FALSE)
               +Andel_beroende_av_klimat*VLOOKUP($A124,Leveranser_per_nät,'Leveranser per nät'!R$1,FALSE)/VLOOKUP($B124,Korrigeringsfaktor_EI,'Korrigeringsfaktor EI'!R$1,FALSE),
"")</f>
        <v>3836.0070033921852</v>
      </c>
      <c r="S124" s="18">
        <f>IFERROR(
                  Andel_oberoende_av_klimat*VLOOKUP($A124,Leveranser_per_nät,'Leveranser per nät'!S$1,FALSE)
               +Andel_beroende_av_klimat*VLOOKUP($A124,Leveranser_per_nät,'Leveranser per nät'!S$1,FALSE)/VLOOKUP($B124,Korrigeringsfaktor_EI,'Korrigeringsfaktor EI'!S$1,FALSE),
"")</f>
        <v>3629.1943137254893</v>
      </c>
      <c r="T124" s="18">
        <f>IFERROR(
                  Andel_oberoende_av_klimat*VLOOKUP($A124,Leveranser_per_nät,'Leveranser per nät'!T$1,FALSE)
               +Andel_beroende_av_klimat*VLOOKUP($A124,Leveranser_per_nät,'Leveranser per nät'!T$1,FALSE)/VLOOKUP($B124,Korrigeringsfaktor_EI,'Korrigeringsfaktor EI'!T$1,FALSE),
"")</f>
        <v>3558.9522284848481</v>
      </c>
      <c r="U124" s="18">
        <f>IFERROR(
                  Andel_oberoende_av_klimat*VLOOKUP($A124,Leveranser_per_nät,'Leveranser per nät'!U$1,FALSE)
               +Andel_beroende_av_klimat*VLOOKUP($A124,Leveranser_per_nät,'Leveranser per nät'!U$1,FALSE)/VLOOKUP($B124,Korrigeringsfaktor_EI,'Korrigeringsfaktor EI'!U$1,FALSE),
"")</f>
        <v>3422.533014942529</v>
      </c>
      <c r="V124" s="18">
        <f>IFERROR(
                  Andel_oberoende_av_klimat*VLOOKUP($A124,Leveranser_per_nät,'Leveranser per nät'!V$1,FALSE)
               +Andel_beroende_av_klimat*VLOOKUP($A124,Leveranser_per_nät,'Leveranser per nät'!V$1,FALSE)/VLOOKUP($B124,Korrigeringsfaktor_EI,'Korrigeringsfaktor EI'!V$1,FALSE),
"")</f>
        <v>3450.4039999999995</v>
      </c>
      <c r="W124" s="18">
        <f>IFERROR(
                  Andel_oberoende_av_klimat*VLOOKUP($A124,Leveranser_per_nät,'Leveranser per nät'!W$1,FALSE)
               +Andel_beroende_av_klimat*VLOOKUP($A124,Leveranser_per_nät,'Leveranser per nät'!W$1,FALSE)/VLOOKUP($B124,Korrigeringsfaktor_EI,'Korrigeringsfaktor EI'!W$1,FALSE),
"")</f>
        <v>3480.9810638297877</v>
      </c>
      <c r="X124" s="18">
        <f>IFERROR(
                  Andel_oberoende_av_klimat*VLOOKUP($A124,Leveranser_per_nät,'Leveranser per nät'!X$1,FALSE)
               +Andel_beroende_av_klimat*VLOOKUP($A124,Leveranser_per_nät,'Leveranser per nät'!X$1,FALSE)/VLOOKUP($B124,Korrigeringsfaktor_EI,'Korrigeringsfaktor EI'!X$1,FALSE),
"")</f>
        <v>3654.239478260869</v>
      </c>
      <c r="Y124" s="18">
        <f>IFERROR(
                  Andel_oberoende_av_klimat*VLOOKUP($A124,Leveranser_per_nät,'Leveranser per nät'!Y$1,FALSE)
               +Andel_beroende_av_klimat*VLOOKUP($A124,Leveranser_per_nät,'Leveranser per nät'!Y$1,FALSE)/VLOOKUP($B124,Korrigeringsfaktor_EI,'Korrigeringsfaktor EI'!Y$1,FALSE),
"")</f>
        <v>3382.5301111111112</v>
      </c>
      <c r="Z124" s="18">
        <f>IFERROR(
                  Andel_oberoende_av_klimat*VLOOKUP($A124,Leveranser_per_nät,'Leveranser per nät'!Z$1,FALSE)
               +Andel_beroende_av_klimat*VLOOKUP($A124,Leveranser_per_nät,'Leveranser per nät'!Z$1,FALSE)/VLOOKUP($B124,Korrigeringsfaktor_EI,'Korrigeringsfaktor EI'!Z$1,FALSE),
"")</f>
        <v>3246.2359080459773</v>
      </c>
      <c r="AA124" s="18">
        <f>IFERROR(
                  Andel_oberoende_av_klimat*VLOOKUP($A124,Leveranser_per_nät,'Leveranser per nät'!AA$1,FALSE)
               +Andel_beroende_av_klimat*VLOOKUP($A124,Leveranser_per_nät,'Leveranser per nät'!AA$1,FALSE)/VLOOKUP($B124,Korrigeringsfaktor_EI,'Korrigeringsfaktor EI'!AA$1,FALSE),
"")</f>
        <v>3343.7293404618513</v>
      </c>
      <c r="AB124" s="18">
        <f>IFERROR(
                  Andel_oberoende_av_klimat*VLOOKUP($A124,Leveranser_per_nät,'Leveranser per nät'!AB$1,FALSE)
               +Andel_beroende_av_klimat*VLOOKUP($A124,Leveranser_per_nät,'Leveranser per nät'!AB$1,FALSE)/VLOOKUP($B124,Korrigeringsfaktor_EI,'Korrigeringsfaktor EI'!AB$1,FALSE),
"")</f>
        <v>3412.7660910891091</v>
      </c>
      <c r="AC124" s="18">
        <f>IFERROR(
                  Andel_oberoende_av_klimat*VLOOKUP($A124,Leveranser_per_nät,'Leveranser per nät'!AC$1,FALSE)
               +Andel_beroende_av_klimat*VLOOKUP($A124,Leveranser_per_nät,'Leveranser per nät'!AC$1,FALSE)/VLOOKUP($B124,Korrigeringsfaktor_EI,'Korrigeringsfaktor EI'!AC$1,FALSE),
"")</f>
        <v>3295.0873913043479</v>
      </c>
      <c r="AD124">
        <v>3143.35</v>
      </c>
    </row>
    <row r="125" spans="1:30" x14ac:dyDescent="0.25">
      <c r="A125" t="s">
        <v>139</v>
      </c>
      <c r="B125" t="s">
        <v>139</v>
      </c>
      <c r="C125" s="18">
        <f>IFERROR(
                  Andel_oberoende_av_klimat*VLOOKUP($A125,Leveranser_per_nät,'Leveranser per nät'!C$1,FALSE)
               +Andel_beroende_av_klimat*VLOOKUP($A125,Leveranser_per_nät,'Leveranser per nät'!C$1,FALSE)/VLOOKUP($B125,Korrigeringsfaktor_EI,'Korrigeringsfaktor EI'!C$1,FALSE),
"")</f>
        <v>17.901834862385321</v>
      </c>
      <c r="D125" s="18">
        <f>IFERROR(
                  Andel_oberoende_av_klimat*VLOOKUP($A125,Leveranser_per_nät,'Leveranser per nät'!D$1,FALSE)
               +Andel_beroende_av_klimat*VLOOKUP($A125,Leveranser_per_nät,'Leveranser per nät'!D$1,FALSE)/VLOOKUP($B125,Korrigeringsfaktor_EI,'Korrigeringsfaktor EI'!D$1,FALSE),
"")</f>
        <v>16.979142857142854</v>
      </c>
      <c r="E125" s="18">
        <f>IFERROR(
                  Andel_oberoende_av_klimat*VLOOKUP($A125,Leveranser_per_nät,'Leveranser per nät'!E$1,FALSE)
               +Andel_beroende_av_klimat*VLOOKUP($A125,Leveranser_per_nät,'Leveranser per nät'!E$1,FALSE)/VLOOKUP($B125,Korrigeringsfaktor_EI,'Korrigeringsfaktor EI'!E$1,FALSE),
"")</f>
        <v>17.752941176470586</v>
      </c>
      <c r="F125" s="18">
        <f>IFERROR(
                  Andel_oberoende_av_klimat*VLOOKUP($A125,Leveranser_per_nät,'Leveranser per nät'!F$1,FALSE)
               +Andel_beroende_av_klimat*VLOOKUP($A125,Leveranser_per_nät,'Leveranser per nät'!F$1,FALSE)/VLOOKUP($B125,Korrigeringsfaktor_EI,'Korrigeringsfaktor EI'!F$1,FALSE),
"")</f>
        <v>15.9716375</v>
      </c>
      <c r="G125" s="18">
        <f>IFERROR(
                  Andel_oberoende_av_klimat*VLOOKUP($A125,Leveranser_per_nät,'Leveranser per nät'!G$1,FALSE)
               +Andel_beroende_av_klimat*VLOOKUP($A125,Leveranser_per_nät,'Leveranser per nät'!G$1,FALSE)/VLOOKUP($B125,Korrigeringsfaktor_EI,'Korrigeringsfaktor EI'!G$1,FALSE),
"")</f>
        <v>17.747766666666664</v>
      </c>
      <c r="H125" s="18">
        <f>IFERROR(
                  Andel_oberoende_av_klimat*VLOOKUP($A125,Leveranser_per_nät,'Leveranser per nät'!H$1,FALSE)
               +Andel_beroende_av_klimat*VLOOKUP($A125,Leveranser_per_nät,'Leveranser per nät'!H$1,FALSE)/VLOOKUP($B125,Korrigeringsfaktor_EI,'Korrigeringsfaktor EI'!H$1,FALSE),
"")</f>
        <v>19.487798039215686</v>
      </c>
      <c r="I125" s="18">
        <f>IFERROR(
                  Andel_oberoende_av_klimat*VLOOKUP($A125,Leveranser_per_nät,'Leveranser per nät'!I$1,FALSE)
               +Andel_beroende_av_klimat*VLOOKUP($A125,Leveranser_per_nät,'Leveranser per nät'!I$1,FALSE)/VLOOKUP($B125,Korrigeringsfaktor_EI,'Korrigeringsfaktor EI'!I$1,FALSE),
"")</f>
        <v>26.269479166666663</v>
      </c>
      <c r="J125" s="18">
        <f>IFERROR(
                  Andel_oberoende_av_klimat*VLOOKUP($A125,Leveranser_per_nät,'Leveranser per nät'!J$1,FALSE)
               +Andel_beroende_av_klimat*VLOOKUP($A125,Leveranser_per_nät,'Leveranser per nät'!J$1,FALSE)/VLOOKUP($B125,Korrigeringsfaktor_EI,'Korrigeringsfaktor EI'!J$1,FALSE),
"")</f>
        <v>23.497938144329897</v>
      </c>
      <c r="K125" s="18">
        <f>IFERROR(
                  Andel_oberoende_av_klimat*VLOOKUP($A125,Leveranser_per_nät,'Leveranser per nät'!K$1,FALSE)
               +Andel_beroende_av_klimat*VLOOKUP($A125,Leveranser_per_nät,'Leveranser per nät'!K$1,FALSE)/VLOOKUP($B125,Korrigeringsfaktor_EI,'Korrigeringsfaktor EI'!K$1,FALSE),
"")</f>
        <v>26.176703092783505</v>
      </c>
      <c r="L125" s="18">
        <f>IFERROR(
                  Andel_oberoende_av_klimat*VLOOKUP($A125,Leveranser_per_nät,'Leveranser per nät'!L$1,FALSE)
               +Andel_beroende_av_klimat*VLOOKUP($A125,Leveranser_per_nät,'Leveranser per nät'!L$1,FALSE)/VLOOKUP($B125,Korrigeringsfaktor_EI,'Korrigeringsfaktor EI'!L$1,FALSE),
"")</f>
        <v>29.392095744680859</v>
      </c>
      <c r="M125" s="18">
        <f>IFERROR(
                  Andel_oberoende_av_klimat*VLOOKUP($A125,Leveranser_per_nät,'Leveranser per nät'!M$1,FALSE)
               +Andel_beroende_av_klimat*VLOOKUP($A125,Leveranser_per_nät,'Leveranser per nät'!M$1,FALSE)/VLOOKUP($B125,Korrigeringsfaktor_EI,'Korrigeringsfaktor EI'!M$1,FALSE),
"")</f>
        <v>33.665634782608691</v>
      </c>
      <c r="N125" s="18">
        <f>IFERROR(
                  Andel_oberoende_av_klimat*VLOOKUP($A125,Leveranser_per_nät,'Leveranser per nät'!N$1,FALSE)
               +Andel_beroende_av_klimat*VLOOKUP($A125,Leveranser_per_nät,'Leveranser per nät'!N$1,FALSE)/VLOOKUP($B125,Korrigeringsfaktor_EI,'Korrigeringsfaktor EI'!N$1,FALSE),
"")</f>
        <v>32.363511111111109</v>
      </c>
      <c r="O125" s="18">
        <f>IFERROR(
                  Andel_oberoende_av_klimat*VLOOKUP($A125,Leveranser_per_nät,'Leveranser per nät'!O$1,FALSE)
               +Andel_beroende_av_klimat*VLOOKUP($A125,Leveranser_per_nät,'Leveranser per nät'!O$1,FALSE)/VLOOKUP($B125,Korrigeringsfaktor_EI,'Korrigeringsfaktor EI'!O$1,FALSE),
"")</f>
        <v>36.056061797752811</v>
      </c>
      <c r="P125" s="18">
        <f>IFERROR(
                  Andel_oberoende_av_klimat*VLOOKUP($A125,Leveranser_per_nät,'Leveranser per nät'!P$1,FALSE)
               +Andel_beroende_av_klimat*VLOOKUP($A125,Leveranser_per_nät,'Leveranser per nät'!P$1,FALSE)/VLOOKUP($B125,Korrigeringsfaktor_EI,'Korrigeringsfaktor EI'!P$1,FALSE),
"")</f>
        <v>35.104410638297871</v>
      </c>
      <c r="Q125" s="18">
        <f>IFERROR(
                  Andel_oberoende_av_klimat*VLOOKUP($A125,Leveranser_per_nät,'Leveranser per nät'!Q$1,FALSE)
               +Andel_beroende_av_klimat*VLOOKUP($A125,Leveranser_per_nät,'Leveranser per nät'!Q$1,FALSE)/VLOOKUP($B125,Korrigeringsfaktor_EI,'Korrigeringsfaktor EI'!Q$1,FALSE),
"")</f>
        <v>37.832499999999996</v>
      </c>
      <c r="R125" s="18">
        <f>IFERROR(
                  Andel_oberoende_av_klimat*VLOOKUP($A125,Leveranser_per_nät,'Leveranser per nät'!R$1,FALSE)
               +Andel_beroende_av_klimat*VLOOKUP($A125,Leveranser_per_nät,'Leveranser per nät'!R$1,FALSE)/VLOOKUP($B125,Korrigeringsfaktor_EI,'Korrigeringsfaktor EI'!R$1,FALSE),
"")</f>
        <v>35.898516853932584</v>
      </c>
      <c r="S125" s="18">
        <f>IFERROR(
                  Andel_oberoende_av_klimat*VLOOKUP($A125,Leveranser_per_nät,'Leveranser per nät'!S$1,FALSE)
               +Andel_beroende_av_klimat*VLOOKUP($A125,Leveranser_per_nät,'Leveranser per nät'!S$1,FALSE)/VLOOKUP($B125,Korrigeringsfaktor_EI,'Korrigeringsfaktor EI'!S$1,FALSE),
"")</f>
        <v>34.485714285714288</v>
      </c>
      <c r="T125" s="18">
        <f>IFERROR(
                  Andel_oberoende_av_klimat*VLOOKUP($A125,Leveranser_per_nät,'Leveranser per nät'!T$1,FALSE)
               +Andel_beroende_av_klimat*VLOOKUP($A125,Leveranser_per_nät,'Leveranser per nät'!T$1,FALSE)/VLOOKUP($B125,Korrigeringsfaktor_EI,'Korrigeringsfaktor EI'!T$1,FALSE),
"")</f>
        <v>34.252724999999998</v>
      </c>
      <c r="U125" s="18">
        <f>IFERROR(
                  Andel_oberoende_av_klimat*VLOOKUP($A125,Leveranser_per_nät,'Leveranser per nät'!U$1,FALSE)
               +Andel_beroende_av_klimat*VLOOKUP($A125,Leveranser_per_nät,'Leveranser per nät'!U$1,FALSE)/VLOOKUP($B125,Korrigeringsfaktor_EI,'Korrigeringsfaktor EI'!U$1,FALSE),
"")</f>
        <v>126.58689655172412</v>
      </c>
      <c r="V125" s="18">
        <f>IFERROR(
                  Andel_oberoende_av_klimat*VLOOKUP($A125,Leveranser_per_nät,'Leveranser per nät'!V$1,FALSE)
               +Andel_beroende_av_klimat*VLOOKUP($A125,Leveranser_per_nät,'Leveranser per nät'!V$1,FALSE)/VLOOKUP($B125,Korrigeringsfaktor_EI,'Korrigeringsfaktor EI'!V$1,FALSE),
"")</f>
        <v>126.1</v>
      </c>
      <c r="W125" s="18">
        <f>IFERROR(
                  Andel_oberoende_av_klimat*VLOOKUP($A125,Leveranser_per_nät,'Leveranser per nät'!W$1,FALSE)
               +Andel_beroende_av_klimat*VLOOKUP($A125,Leveranser_per_nät,'Leveranser per nät'!W$1,FALSE)/VLOOKUP($B125,Korrigeringsfaktor_EI,'Korrigeringsfaktor EI'!W$1,FALSE),
"")</f>
        <v>124.52595744680852</v>
      </c>
      <c r="X125" s="18">
        <f>IFERROR(
                  Andel_oberoende_av_klimat*VLOOKUP($A125,Leveranser_per_nät,'Leveranser per nät'!X$1,FALSE)
               +Andel_beroende_av_klimat*VLOOKUP($A125,Leveranser_per_nät,'Leveranser per nät'!X$1,FALSE)/VLOOKUP($B125,Korrigeringsfaktor_EI,'Korrigeringsfaktor EI'!X$1,FALSE),
"")</f>
        <v>124.75826086956521</v>
      </c>
      <c r="Y125" s="18">
        <f>IFERROR(
                  Andel_oberoende_av_klimat*VLOOKUP($A125,Leveranser_per_nät,'Leveranser per nät'!Y$1,FALSE)
               +Andel_beroende_av_klimat*VLOOKUP($A125,Leveranser_per_nät,'Leveranser per nät'!Y$1,FALSE)/VLOOKUP($B125,Korrigeringsfaktor_EI,'Korrigeringsfaktor EI'!Y$1,FALSE),
"")</f>
        <v>122.80307777777776</v>
      </c>
      <c r="Z125" s="18">
        <f>IFERROR(
                  Andel_oberoende_av_klimat*VLOOKUP($A125,Leveranser_per_nät,'Leveranser per nät'!Z$1,FALSE)
               +Andel_beroende_av_klimat*VLOOKUP($A125,Leveranser_per_nät,'Leveranser per nät'!Z$1,FALSE)/VLOOKUP($B125,Korrigeringsfaktor_EI,'Korrigeringsfaktor EI'!Z$1,FALSE),
"")</f>
        <v>107.43913258426966</v>
      </c>
      <c r="AA125" s="18">
        <f>IFERROR(
                  Andel_oberoende_av_klimat*VLOOKUP($A125,Leveranser_per_nät,'Leveranser per nät'!AA$1,FALSE)
               +Andel_beroende_av_klimat*VLOOKUP($A125,Leveranser_per_nät,'Leveranser per nät'!AA$1,FALSE)/VLOOKUP($B125,Korrigeringsfaktor_EI,'Korrigeringsfaktor EI'!AA$1,FALSE),
"")</f>
        <v>122.80638644067795</v>
      </c>
      <c r="AB125" s="18">
        <f>IFERROR(
                  Andel_oberoende_av_klimat*VLOOKUP($A125,Leveranser_per_nät,'Leveranser per nät'!AB$1,FALSE)
               +Andel_beroende_av_klimat*VLOOKUP($A125,Leveranser_per_nät,'Leveranser per nät'!AB$1,FALSE)/VLOOKUP($B125,Korrigeringsfaktor_EI,'Korrigeringsfaktor EI'!AB$1,FALSE),
"")</f>
        <v>112.49835586481113</v>
      </c>
      <c r="AC125" s="18">
        <f>IFERROR(
                  Andel_oberoende_av_klimat*VLOOKUP($A125,Leveranser_per_nät,'Leveranser per nät'!AC$1,FALSE)
               +Andel_beroende_av_klimat*VLOOKUP($A125,Leveranser_per_nät,'Leveranser per nät'!AC$1,FALSE)/VLOOKUP($B125,Korrigeringsfaktor_EI,'Korrigeringsfaktor EI'!AC$1,FALSE),
"")</f>
        <v>116.63784946236558</v>
      </c>
      <c r="AD125">
        <v>110.8</v>
      </c>
    </row>
    <row r="126" spans="1:30" x14ac:dyDescent="0.25">
      <c r="A126" t="s">
        <v>141</v>
      </c>
      <c r="B126" t="s">
        <v>141</v>
      </c>
      <c r="C126" s="18">
        <f>IFERROR(
                  Andel_oberoende_av_klimat*VLOOKUP($A126,Leveranser_per_nät,'Leveranser per nät'!C$1,FALSE)
               +Andel_beroende_av_klimat*VLOOKUP($A126,Leveranser_per_nät,'Leveranser per nät'!C$1,FALSE)/VLOOKUP("Jönköping",Korrigeringsfaktor_EI,'Korrigeringsfaktor EI'!C$1,FALSE),
"")</f>
        <v>0</v>
      </c>
      <c r="D126" s="18">
        <f>IFERROR(
                  Andel_oberoende_av_klimat*VLOOKUP($A126,Leveranser_per_nät,'Leveranser per nät'!D$1,FALSE)
               +Andel_beroende_av_klimat*VLOOKUP($A126,Leveranser_per_nät,'Leveranser per nät'!D$1,FALSE)/VLOOKUP("Jönköping",Korrigeringsfaktor_EI,'Korrigeringsfaktor EI'!D$1,FALSE),
"")</f>
        <v>5.63</v>
      </c>
      <c r="E126" s="18">
        <f>IFERROR(
                  Andel_oberoende_av_klimat*VLOOKUP($A126,Leveranser_per_nät,'Leveranser per nät'!E$1,FALSE)
               +Andel_beroende_av_klimat*VLOOKUP($A126,Leveranser_per_nät,'Leveranser per nät'!E$1,FALSE)/VLOOKUP("Jönköping",Korrigeringsfaktor_EI,'Korrigeringsfaktor EI'!E$1,FALSE),
"")</f>
        <v>0</v>
      </c>
      <c r="F126" s="18">
        <f>IFERROR(
                  Andel_oberoende_av_klimat*VLOOKUP($A126,Leveranser_per_nät,'Leveranser per nät'!F$1,FALSE)
               +Andel_beroende_av_klimat*VLOOKUP($A126,Leveranser_per_nät,'Leveranser per nät'!F$1,FALSE)/VLOOKUP("Jönköping",Korrigeringsfaktor_EI,'Korrigeringsfaktor EI'!F$1,FALSE),
"")</f>
        <v>0</v>
      </c>
      <c r="G126" s="18">
        <f>IFERROR(
                  Andel_oberoende_av_klimat*VLOOKUP($A126,Leveranser_per_nät,'Leveranser per nät'!G$1,FALSE)
               +Andel_beroende_av_klimat*VLOOKUP($A126,Leveranser_per_nät,'Leveranser per nät'!G$1,FALSE)/VLOOKUP("Jönköping",Korrigeringsfaktor_EI,'Korrigeringsfaktor EI'!G$1,FALSE),
"")</f>
        <v>9.6230769230769226</v>
      </c>
      <c r="H126" s="18">
        <f>IFERROR(
                  Andel_oberoende_av_klimat*VLOOKUP($A126,Leveranser_per_nät,'Leveranser per nät'!H$1,FALSE)
               +Andel_beroende_av_klimat*VLOOKUP($A126,Leveranser_per_nät,'Leveranser per nät'!H$1,FALSE)/VLOOKUP("Jönköping",Korrigeringsfaktor_EI,'Korrigeringsfaktor EI'!H$1,FALSE),
"")</f>
        <v>9.9306930693069315</v>
      </c>
      <c r="I126" s="18">
        <f>IFERROR(
                  Andel_oberoende_av_klimat*VLOOKUP($A126,Leveranser_per_nät,'Leveranser per nät'!I$1,FALSE)
               +Andel_beroende_av_klimat*VLOOKUP($A126,Leveranser_per_nät,'Leveranser per nät'!I$1,FALSE)/VLOOKUP("Jönköping",Korrigeringsfaktor_EI,'Korrigeringsfaktor EI'!I$1,FALSE),
"")</f>
        <v>10.368421052631581</v>
      </c>
      <c r="J126" s="18">
        <f>IFERROR(
                  Andel_oberoende_av_klimat*VLOOKUP($A126,Leveranser_per_nät,'Leveranser per nät'!J$1,FALSE)
               +Andel_beroende_av_klimat*VLOOKUP($A126,Leveranser_per_nät,'Leveranser per nät'!J$1,FALSE)/VLOOKUP("Jönköping",Korrigeringsfaktor_EI,'Korrigeringsfaktor EI'!J$1,FALSE),
"")</f>
        <v>12.485578350515464</v>
      </c>
      <c r="K126" s="18">
        <f>IFERROR(
                  Andel_oberoende_av_klimat*VLOOKUP($A126,Leveranser_per_nät,'Leveranser per nät'!K$1,FALSE)
               +Andel_beroende_av_klimat*VLOOKUP($A126,Leveranser_per_nät,'Leveranser per nät'!K$1,FALSE)/VLOOKUP("Jönköping",Korrigeringsfaktor_EI,'Korrigeringsfaktor EI'!K$1,FALSE),
"")</f>
        <v>12.437323232323232</v>
      </c>
      <c r="L126" s="18">
        <f>IFERROR(
                  Andel_oberoende_av_klimat*VLOOKUP($A126,Leveranser_per_nät,'Leveranser per nät'!L$1,FALSE)
               +Andel_beroende_av_klimat*VLOOKUP($A126,Leveranser_per_nät,'Leveranser per nät'!L$1,FALSE)/VLOOKUP("Jönköping",Korrigeringsfaktor_EI,'Korrigeringsfaktor EI'!L$1,FALSE),
"")</f>
        <v>14.084145833333334</v>
      </c>
      <c r="M126" s="18">
        <f>IFERROR(
                  Andel_oberoende_av_klimat*VLOOKUP($A126,Leveranser_per_nät,'Leveranser per nät'!M$1,FALSE)
               +Andel_beroende_av_klimat*VLOOKUP($A126,Leveranser_per_nät,'Leveranser per nät'!M$1,FALSE)/VLOOKUP("Jönköping",Korrigeringsfaktor_EI,'Korrigeringsfaktor EI'!M$1,FALSE),
"")</f>
        <v>15.657373913043479</v>
      </c>
      <c r="N126" s="18">
        <f>IFERROR(
                  Andel_oberoende_av_klimat*VLOOKUP($A126,Leveranser_per_nät,'Leveranser per nät'!N$1,FALSE)
               +Andel_beroende_av_klimat*VLOOKUP($A126,Leveranser_per_nät,'Leveranser per nät'!N$1,FALSE)/VLOOKUP("Jönköping",Korrigeringsfaktor_EI,'Korrigeringsfaktor EI'!N$1,FALSE),
"")</f>
        <v>16.59002584269663</v>
      </c>
      <c r="O126" s="18">
        <f>IFERROR(
                  Andel_oberoende_av_klimat*VLOOKUP($A126,Leveranser_per_nät,'Leveranser per nät'!O$1,FALSE)
               +Andel_beroende_av_klimat*VLOOKUP($A126,Leveranser_per_nät,'Leveranser per nät'!O$1,FALSE)/VLOOKUP("Jönköping",Korrigeringsfaktor_EI,'Korrigeringsfaktor EI'!O$1,FALSE),
"")</f>
        <v>16.658476404494383</v>
      </c>
      <c r="P126" s="18">
        <f>IFERROR(
                  Andel_oberoende_av_klimat*VLOOKUP($A126,Leveranser_per_nät,'Leveranser per nät'!P$1,FALSE)
               +Andel_beroende_av_klimat*VLOOKUP($A126,Leveranser_per_nät,'Leveranser per nät'!P$1,FALSE)/VLOOKUP("Jönköping",Korrigeringsfaktor_EI,'Korrigeringsfaktor EI'!P$1,FALSE),
"")</f>
        <v>17.206188172043007</v>
      </c>
      <c r="Q126" s="18">
        <f>IFERROR(
                  Andel_oberoende_av_klimat*VLOOKUP($A126,Leveranser_per_nät,'Leveranser per nät'!Q$1,FALSE)
               +Andel_beroende_av_klimat*VLOOKUP($A126,Leveranser_per_nät,'Leveranser per nät'!Q$1,FALSE)/VLOOKUP("Jönköping",Korrigeringsfaktor_EI,'Korrigeringsfaktor EI'!Q$1,FALSE),
"")</f>
        <v>20.163119266055045</v>
      </c>
      <c r="R126" s="18">
        <f>IFERROR(
                  Andel_oberoende_av_klimat*VLOOKUP($A126,Leveranser_per_nät,'Leveranser per nät'!R$1,FALSE)
               +Andel_beroende_av_klimat*VLOOKUP($A126,Leveranser_per_nät,'Leveranser per nät'!R$1,FALSE)/VLOOKUP("Jönköping",Korrigeringsfaktor_EI,'Korrigeringsfaktor EI'!R$1,FALSE),
"")</f>
        <v>17.244444444444444</v>
      </c>
      <c r="S126" s="18">
        <f>IFERROR(
                  Andel_oberoende_av_klimat*VLOOKUP($A126,Leveranser_per_nät,'Leveranser per nät'!S$1,FALSE)
               +Andel_beroende_av_klimat*VLOOKUP($A126,Leveranser_per_nät,'Leveranser per nät'!S$1,FALSE)/VLOOKUP("Jönköping",Korrigeringsfaktor_EI,'Korrigeringsfaktor EI'!S$1,FALSE),
"")</f>
        <v>16.938571428571429</v>
      </c>
      <c r="T126" s="18">
        <f>IFERROR(
                  Andel_oberoende_av_klimat*VLOOKUP($A126,Leveranser_per_nät,'Leveranser per nät'!T$1,FALSE)
               +Andel_beroende_av_klimat*VLOOKUP($A126,Leveranser_per_nät,'Leveranser per nät'!T$1,FALSE)/VLOOKUP("Jönköping",Korrigeringsfaktor_EI,'Korrigeringsfaktor EI'!T$1,FALSE),
"")</f>
        <v>17.776701030927832</v>
      </c>
      <c r="U126" s="18">
        <f>IFERROR(
                  Andel_oberoende_av_klimat*VLOOKUP($A126,Leveranser_per_nät,'Leveranser per nät'!U$1,FALSE)
               +Andel_beroende_av_klimat*VLOOKUP($A126,Leveranser_per_nät,'Leveranser per nät'!U$1,FALSE)/VLOOKUP("Jönköping",Korrigeringsfaktor_EI,'Korrigeringsfaktor EI'!U$1,FALSE),
"")</f>
        <v>20.766436781609197</v>
      </c>
      <c r="V126" s="18">
        <f>IFERROR(
                  Andel_oberoende_av_klimat*VLOOKUP($A126,Leveranser_per_nät,'Leveranser per nät'!V$1,FALSE)
               +Andel_beroende_av_klimat*VLOOKUP($A126,Leveranser_per_nät,'Leveranser per nät'!V$1,FALSE)/VLOOKUP("Jönköping",Korrigeringsfaktor_EI,'Korrigeringsfaktor EI'!V$1,FALSE),
"")</f>
        <v>21.730337078651687</v>
      </c>
      <c r="W126" s="18">
        <f>IFERROR(
                  Andel_oberoende_av_klimat*VLOOKUP($A126,Leveranser_per_nät,'Leveranser per nät'!W$1,FALSE)
               +Andel_beroende_av_klimat*VLOOKUP($A126,Leveranser_per_nät,'Leveranser per nät'!W$1,FALSE)/VLOOKUP("Jönköping",Korrigeringsfaktor_EI,'Korrigeringsfaktor EI'!W$1,FALSE),
"")</f>
        <v>20.944210526315789</v>
      </c>
      <c r="X126" s="18">
        <f>IFERROR(
                  Andel_oberoende_av_klimat*VLOOKUP($A126,Leveranser_per_nät,'Leveranser per nät'!X$1,FALSE)
               +Andel_beroende_av_klimat*VLOOKUP($A126,Leveranser_per_nät,'Leveranser per nät'!X$1,FALSE)/VLOOKUP("Jönköping",Korrigeringsfaktor_EI,'Korrigeringsfaktor EI'!X$1,FALSE),
"")</f>
        <v>21.895913978494622</v>
      </c>
      <c r="Y126" s="18">
        <f>IFERROR(
                  Andel_oberoende_av_klimat*VLOOKUP($A126,Leveranser_per_nät,'Leveranser per nät'!Y$1,FALSE)
               +Andel_beroende_av_klimat*VLOOKUP($A126,Leveranser_per_nät,'Leveranser per nät'!Y$1,FALSE)/VLOOKUP($B126,Korrigeringsfaktor_EI,'Korrigeringsfaktor EI'!Y$1,FALSE),
"")</f>
        <v>22.956666666666667</v>
      </c>
      <c r="Z126" s="18">
        <f>IFERROR(
                  Andel_oberoende_av_klimat*VLOOKUP($A126,Leveranser_per_nät,'Leveranser per nät'!Z$1,FALSE)
               +Andel_beroende_av_klimat*VLOOKUP($A126,Leveranser_per_nät,'Leveranser per nät'!Z$1,FALSE)/VLOOKUP($B126,Korrigeringsfaktor_EI,'Korrigeringsfaktor EI'!Z$1,FALSE),
"")</f>
        <v>23.223636363636359</v>
      </c>
      <c r="AA126" s="18">
        <f>IFERROR(
                  Andel_oberoende_av_klimat*VLOOKUP($A126,Leveranser_per_nät,'Leveranser per nät'!AA$1,FALSE)
               +Andel_beroende_av_klimat*VLOOKUP($A126,Leveranser_per_nät,'Leveranser per nät'!AA$1,FALSE)/VLOOKUP($B126,Korrigeringsfaktor_EI,'Korrigeringsfaktor EI'!AA$1,FALSE),
"")</f>
        <v>24.042112932604734</v>
      </c>
      <c r="AB126" s="18">
        <f>IFERROR(
                  Andel_oberoende_av_klimat*VLOOKUP($A126,Leveranser_per_nät,'Leveranser per nät'!AB$1,FALSE)
               +Andel_beroende_av_klimat*VLOOKUP($A126,Leveranser_per_nät,'Leveranser per nät'!AB$1,FALSE)/VLOOKUP($B126,Korrigeringsfaktor_EI,'Korrigeringsfaktor EI'!AB$1,FALSE),
"")</f>
        <v>21.059036144578315</v>
      </c>
      <c r="AC126" s="18">
        <f>IFERROR(
                  Andel_oberoende_av_klimat*VLOOKUP($A126,Leveranser_per_nät,'Leveranser per nät'!AC$1,FALSE)
               +Andel_beroende_av_klimat*VLOOKUP($A126,Leveranser_per_nät,'Leveranser per nät'!AC$1,FALSE)/VLOOKUP($B126,Korrigeringsfaktor_EI,'Korrigeringsfaktor EI'!AC$1,FALSE),
"")</f>
        <v>28.12565310492505</v>
      </c>
      <c r="AD126">
        <v>23.3</v>
      </c>
    </row>
    <row r="127" spans="1:30" x14ac:dyDescent="0.25">
      <c r="A127" t="s">
        <v>487</v>
      </c>
      <c r="B127" t="s">
        <v>138</v>
      </c>
      <c r="C127" s="18">
        <f>IFERROR(
                  Andel_oberoende_av_klimat*VLOOKUP($A127,Leveranser_per_nät,'Leveranser per nät'!C$1,FALSE)
               +Andel_beroende_av_klimat*VLOOKUP($A127,Leveranser_per_nät,'Leveranser per nät'!C$1,FALSE)/VLOOKUP($B127,Korrigeringsfaktor_EI,'Korrigeringsfaktor EI'!C$1,FALSE),
"")</f>
        <v>0</v>
      </c>
      <c r="D127" s="18">
        <f>IFERROR(
                  Andel_oberoende_av_klimat*VLOOKUP($A127,Leveranser_per_nät,'Leveranser per nät'!D$1,FALSE)
               +Andel_beroende_av_klimat*VLOOKUP($A127,Leveranser_per_nät,'Leveranser per nät'!D$1,FALSE)/VLOOKUP($B127,Korrigeringsfaktor_EI,'Korrigeringsfaktor EI'!D$1,FALSE),
"")</f>
        <v>0</v>
      </c>
      <c r="E127" s="18">
        <f>IFERROR(
                  Andel_oberoende_av_klimat*VLOOKUP($A127,Leveranser_per_nät,'Leveranser per nät'!E$1,FALSE)
               +Andel_beroende_av_klimat*VLOOKUP($A127,Leveranser_per_nät,'Leveranser per nät'!E$1,FALSE)/VLOOKUP($B127,Korrigeringsfaktor_EI,'Korrigeringsfaktor EI'!E$1,FALSE),
"")</f>
        <v>0</v>
      </c>
      <c r="F127" s="18">
        <f>IFERROR(
                  Andel_oberoende_av_klimat*VLOOKUP($A127,Leveranser_per_nät,'Leveranser per nät'!F$1,FALSE)
               +Andel_beroende_av_klimat*VLOOKUP($A127,Leveranser_per_nät,'Leveranser per nät'!F$1,FALSE)/VLOOKUP($B127,Korrigeringsfaktor_EI,'Korrigeringsfaktor EI'!F$1,FALSE),
"")</f>
        <v>0</v>
      </c>
      <c r="G127" s="18">
        <f>IFERROR(
                  Andel_oberoende_av_klimat*VLOOKUP($A127,Leveranser_per_nät,'Leveranser per nät'!G$1,FALSE)
               +Andel_beroende_av_klimat*VLOOKUP($A127,Leveranser_per_nät,'Leveranser per nät'!G$1,FALSE)/VLOOKUP($B127,Korrigeringsfaktor_EI,'Korrigeringsfaktor EI'!G$1,FALSE),
"")</f>
        <v>0</v>
      </c>
      <c r="H127" s="18">
        <f>IFERROR(
                  Andel_oberoende_av_klimat*VLOOKUP($A127,Leveranser_per_nät,'Leveranser per nät'!H$1,FALSE)
               +Andel_beroende_av_klimat*VLOOKUP($A127,Leveranser_per_nät,'Leveranser per nät'!H$1,FALSE)/VLOOKUP($B127,Korrigeringsfaktor_EI,'Korrigeringsfaktor EI'!H$1,FALSE),
"")</f>
        <v>0</v>
      </c>
      <c r="I127" s="18">
        <f>IFERROR(
                  Andel_oberoende_av_klimat*VLOOKUP($A127,Leveranser_per_nät,'Leveranser per nät'!I$1,FALSE)
               +Andel_beroende_av_klimat*VLOOKUP($A127,Leveranser_per_nät,'Leveranser per nät'!I$1,FALSE)/VLOOKUP($B127,Korrigeringsfaktor_EI,'Korrigeringsfaktor EI'!I$1,FALSE),
"")</f>
        <v>0</v>
      </c>
      <c r="J127" s="18">
        <f>IFERROR(
                  Andel_oberoende_av_klimat*VLOOKUP($A127,Leveranser_per_nät,'Leveranser per nät'!J$1,FALSE)
               +Andel_beroende_av_klimat*VLOOKUP($A127,Leveranser_per_nät,'Leveranser per nät'!J$1,FALSE)/VLOOKUP($B127,Korrigeringsfaktor_EI,'Korrigeringsfaktor EI'!J$1,FALSE),
"")</f>
        <v>0</v>
      </c>
      <c r="K127" s="18">
        <f>IFERROR(
                  Andel_oberoende_av_klimat*VLOOKUP($A127,Leveranser_per_nät,'Leveranser per nät'!K$1,FALSE)
               +Andel_beroende_av_klimat*VLOOKUP($A127,Leveranser_per_nät,'Leveranser per nät'!K$1,FALSE)/VLOOKUP($B127,Korrigeringsfaktor_EI,'Korrigeringsfaktor EI'!K$1,FALSE),
"")</f>
        <v>0</v>
      </c>
      <c r="L127" s="18">
        <f>IFERROR(
                  Andel_oberoende_av_klimat*VLOOKUP($A127,Leveranser_per_nät,'Leveranser per nät'!L$1,FALSE)
               +Andel_beroende_av_klimat*VLOOKUP($A127,Leveranser_per_nät,'Leveranser per nät'!L$1,FALSE)/VLOOKUP($B127,Korrigeringsfaktor_EI,'Korrigeringsfaktor EI'!L$1,FALSE),
"")</f>
        <v>1.1080008333333333</v>
      </c>
      <c r="M127" s="18">
        <f>IFERROR(
                  Andel_oberoende_av_klimat*VLOOKUP($A127,Leveranser_per_nät,'Leveranser per nät'!M$1,FALSE)
               +Andel_beroende_av_klimat*VLOOKUP($A127,Leveranser_per_nät,'Leveranser per nät'!M$1,FALSE)/VLOOKUP($B127,Korrigeringsfaktor_EI,'Korrigeringsfaktor EI'!M$1,FALSE),
"")</f>
        <v>0</v>
      </c>
      <c r="N127" s="18">
        <f>IFERROR(
                  Andel_oberoende_av_klimat*VLOOKUP($A127,Leveranser_per_nät,'Leveranser per nät'!N$1,FALSE)
               +Andel_beroende_av_klimat*VLOOKUP($A127,Leveranser_per_nät,'Leveranser per nät'!N$1,FALSE)/VLOOKUP($B127,Korrigeringsfaktor_EI,'Korrigeringsfaktor EI'!N$1,FALSE),
"")</f>
        <v>0</v>
      </c>
      <c r="O127" s="18">
        <f>IFERROR(
                  Andel_oberoende_av_klimat*VLOOKUP($A127,Leveranser_per_nät,'Leveranser per nät'!O$1,FALSE)
               +Andel_beroende_av_klimat*VLOOKUP($A127,Leveranser_per_nät,'Leveranser per nät'!O$1,FALSE)/VLOOKUP($B127,Korrigeringsfaktor_EI,'Korrigeringsfaktor EI'!O$1,FALSE),
"")</f>
        <v>0</v>
      </c>
      <c r="P127" s="18">
        <f>IFERROR(
                  Andel_oberoende_av_klimat*VLOOKUP($A127,Leveranser_per_nät,'Leveranser per nät'!P$1,FALSE)
               +Andel_beroende_av_klimat*VLOOKUP($A127,Leveranser_per_nät,'Leveranser per nät'!P$1,FALSE)/VLOOKUP($B127,Korrigeringsfaktor_EI,'Korrigeringsfaktor EI'!P$1,FALSE),
"")</f>
        <v>0</v>
      </c>
      <c r="Q127" s="18">
        <f>IFERROR(
                  Andel_oberoende_av_klimat*VLOOKUP($A127,Leveranser_per_nät,'Leveranser per nät'!Q$1,FALSE)
               +Andel_beroende_av_klimat*VLOOKUP($A127,Leveranser_per_nät,'Leveranser per nät'!Q$1,FALSE)/VLOOKUP($B127,Korrigeringsfaktor_EI,'Korrigeringsfaktor EI'!Q$1,FALSE),
"")</f>
        <v>0.45701754385964916</v>
      </c>
      <c r="R127" s="18">
        <f>IFERROR(
                  Andel_oberoende_av_klimat*VLOOKUP($A127,Leveranser_per_nät,'Leveranser per nät'!R$1,FALSE)
               +Andel_beroende_av_klimat*VLOOKUP($A127,Leveranser_per_nät,'Leveranser per nät'!R$1,FALSE)/VLOOKUP($B127,Korrigeringsfaktor_EI,'Korrigeringsfaktor EI'!R$1,FALSE),
"")</f>
        <v>0.41473684210526318</v>
      </c>
      <c r="S127" s="18">
        <f>IFERROR(
                  Andel_oberoende_av_klimat*VLOOKUP($A127,Leveranser_per_nät,'Leveranser per nät'!S$1,FALSE)
               +Andel_beroende_av_klimat*VLOOKUP($A127,Leveranser_per_nät,'Leveranser per nät'!S$1,FALSE)/VLOOKUP($B127,Korrigeringsfaktor_EI,'Korrigeringsfaktor EI'!S$1,FALSE),
"")</f>
        <v>0.39722772277227725</v>
      </c>
      <c r="T127" s="18" t="str">
        <f>IFERROR(
                  Andel_oberoende_av_klimat*VLOOKUP($A127,Leveranser_per_nät,'Leveranser per nät'!T$1,FALSE)
               +Andel_beroende_av_klimat*VLOOKUP($A127,Leveranser_per_nät,'Leveranser per nät'!T$1,FALSE)/VLOOKUP($B127,Korrigeringsfaktor_EI,'Korrigeringsfaktor EI'!T$1,FALSE),
"")</f>
        <v/>
      </c>
      <c r="U127" s="18" t="str">
        <f>IFERROR(
                  Andel_oberoende_av_klimat*VLOOKUP($A127,Leveranser_per_nät,'Leveranser per nät'!U$1,FALSE)
               +Andel_beroende_av_klimat*VLOOKUP($A127,Leveranser_per_nät,'Leveranser per nät'!U$1,FALSE)/VLOOKUP($B127,Korrigeringsfaktor_EI,'Korrigeringsfaktor EI'!U$1,FALSE),
"")</f>
        <v/>
      </c>
      <c r="V127" s="18" t="str">
        <f>IFERROR(
                  Andel_oberoende_av_klimat*VLOOKUP($A127,Leveranser_per_nät,'Leveranser per nät'!V$1,FALSE)
               +Andel_beroende_av_klimat*VLOOKUP($A127,Leveranser_per_nät,'Leveranser per nät'!V$1,FALSE)/VLOOKUP($B127,Korrigeringsfaktor_EI,'Korrigeringsfaktor EI'!V$1,FALSE),
"")</f>
        <v/>
      </c>
      <c r="W127" s="18" t="str">
        <f>IFERROR(
                  Andel_oberoende_av_klimat*VLOOKUP($A127,Leveranser_per_nät,'Leveranser per nät'!W$1,FALSE)
               +Andel_beroende_av_klimat*VLOOKUP($A127,Leveranser_per_nät,'Leveranser per nät'!W$1,FALSE)/VLOOKUP($B127,Korrigeringsfaktor_EI,'Korrigeringsfaktor EI'!W$1,FALSE),
"")</f>
        <v/>
      </c>
      <c r="X127" s="18" t="str">
        <f>IFERROR(
                  Andel_oberoende_av_klimat*VLOOKUP($A127,Leveranser_per_nät,'Leveranser per nät'!X$1,FALSE)
               +Andel_beroende_av_klimat*VLOOKUP($A127,Leveranser_per_nät,'Leveranser per nät'!X$1,FALSE)/VLOOKUP($B127,Korrigeringsfaktor_EI,'Korrigeringsfaktor EI'!X$1,FALSE),
"")</f>
        <v/>
      </c>
      <c r="Y127" s="18" t="str">
        <f>IFERROR(
                  Andel_oberoende_av_klimat*VLOOKUP($A127,Leveranser_per_nät,'Leveranser per nät'!Y$1,FALSE)
               +Andel_beroende_av_klimat*VLOOKUP($A127,Leveranser_per_nät,'Leveranser per nät'!Y$1,FALSE)/VLOOKUP($B127,Korrigeringsfaktor_EI,'Korrigeringsfaktor EI'!Y$1,FALSE),
"")</f>
        <v/>
      </c>
      <c r="Z127" s="18">
        <f>IFERROR(
                  Andel_oberoende_av_klimat*VLOOKUP($A127,Leveranser_per_nät,'Leveranser per nät'!Z$1,FALSE)
               +Andel_beroende_av_klimat*VLOOKUP($A127,Leveranser_per_nät,'Leveranser per nät'!Z$1,FALSE)/VLOOKUP($B127,Korrigeringsfaktor_EI,'Korrigeringsfaktor EI'!Z$1,FALSE),
"")</f>
        <v>0</v>
      </c>
      <c r="AA127" s="18" t="str">
        <f>IFERROR(
                  Andel_oberoende_av_klimat*VLOOKUP($A127,Leveranser_per_nät,'Leveranser per nät'!AA$1,FALSE)
               +Andel_beroende_av_klimat*VLOOKUP($A127,Leveranser_per_nät,'Leveranser per nät'!AA$1,FALSE)/VLOOKUP($B127,Korrigeringsfaktor_EI,'Korrigeringsfaktor EI'!AA$1,FALSE),
"")</f>
        <v/>
      </c>
      <c r="AB127" s="18">
        <f>IFERROR(
                  Andel_oberoende_av_klimat*VLOOKUP($A127,Leveranser_per_nät,'Leveranser per nät'!AB$1,FALSE)
               +Andel_beroende_av_klimat*VLOOKUP($A127,Leveranser_per_nät,'Leveranser per nät'!AB$1,FALSE)/VLOOKUP($B127,Korrigeringsfaktor_EI,'Korrigeringsfaktor EI'!AB$1,FALSE),
"")</f>
        <v>0</v>
      </c>
      <c r="AC127" s="18">
        <f>IFERROR(
                  Andel_oberoende_av_klimat*VLOOKUP($A127,Leveranser_per_nät,'Leveranser per nät'!AC$1,FALSE)
               +Andel_beroende_av_klimat*VLOOKUP($A127,Leveranser_per_nät,'Leveranser per nät'!AC$1,FALSE)/VLOOKUP($B127,Korrigeringsfaktor_EI,'Korrigeringsfaktor EI'!AC$1,FALSE),
"")</f>
        <v>0</v>
      </c>
      <c r="AD127">
        <v>662.10699999999997</v>
      </c>
    </row>
    <row r="128" spans="1:30" x14ac:dyDescent="0.25">
      <c r="A128" t="s">
        <v>520</v>
      </c>
      <c r="B128" t="s">
        <v>520</v>
      </c>
      <c r="C128" s="18">
        <f>IFERROR(
                  Andel_oberoende_av_klimat*VLOOKUP($A128,Leveranser_per_nät,'Leveranser per nät'!C$1,FALSE)
               +Andel_beroende_av_klimat*VLOOKUP($A128,Leveranser_per_nät,'Leveranser per nät'!C$1,FALSE)/VLOOKUP($B128,Korrigeringsfaktor_EI,'Korrigeringsfaktor EI'!C$1,FALSE),
"")</f>
        <v>0</v>
      </c>
      <c r="D128" s="18">
        <f>IFERROR(
                  Andel_oberoende_av_klimat*VLOOKUP($A128,Leveranser_per_nät,'Leveranser per nät'!D$1,FALSE)
               +Andel_beroende_av_klimat*VLOOKUP($A128,Leveranser_per_nät,'Leveranser per nät'!D$1,FALSE)/VLOOKUP($B128,Korrigeringsfaktor_EI,'Korrigeringsfaktor EI'!D$1,FALSE),
"")</f>
        <v>0</v>
      </c>
      <c r="E128" s="18">
        <f>IFERROR(
                  Andel_oberoende_av_klimat*VLOOKUP($A128,Leveranser_per_nät,'Leveranser per nät'!E$1,FALSE)
               +Andel_beroende_av_klimat*VLOOKUP($A128,Leveranser_per_nät,'Leveranser per nät'!E$1,FALSE)/VLOOKUP($B128,Korrigeringsfaktor_EI,'Korrigeringsfaktor EI'!E$1,FALSE),
"")</f>
        <v>0</v>
      </c>
      <c r="F128" s="18">
        <f>IFERROR(
                  Andel_oberoende_av_klimat*VLOOKUP($A128,Leveranser_per_nät,'Leveranser per nät'!F$1,FALSE)
               +Andel_beroende_av_klimat*VLOOKUP($A128,Leveranser_per_nät,'Leveranser per nät'!F$1,FALSE)/VLOOKUP($B128,Korrigeringsfaktor_EI,'Korrigeringsfaktor EI'!F$1,FALSE),
"")</f>
        <v>0</v>
      </c>
      <c r="G128" s="18">
        <f>IFERROR(
                  Andel_oberoende_av_klimat*VLOOKUP($A128,Leveranser_per_nät,'Leveranser per nät'!G$1,FALSE)
               +Andel_beroende_av_klimat*VLOOKUP($A128,Leveranser_per_nät,'Leveranser per nät'!G$1,FALSE)/VLOOKUP($B128,Korrigeringsfaktor_EI,'Korrigeringsfaktor EI'!G$1,FALSE),
"")</f>
        <v>0</v>
      </c>
      <c r="H128" s="18">
        <f>IFERROR(
                  Andel_oberoende_av_klimat*VLOOKUP($A128,Leveranser_per_nät,'Leveranser per nät'!H$1,FALSE)
               +Andel_beroende_av_klimat*VLOOKUP($A128,Leveranser_per_nät,'Leveranser per nät'!H$1,FALSE)/VLOOKUP($B128,Korrigeringsfaktor_EI,'Korrigeringsfaktor EI'!H$1,FALSE),
"")</f>
        <v>0</v>
      </c>
      <c r="I128" s="18">
        <f>IFERROR(
                  Andel_oberoende_av_klimat*VLOOKUP($A128,Leveranser_per_nät,'Leveranser per nät'!I$1,FALSE)
               +Andel_beroende_av_klimat*VLOOKUP($A128,Leveranser_per_nät,'Leveranser per nät'!I$1,FALSE)/VLOOKUP($B128,Korrigeringsfaktor_EI,'Korrigeringsfaktor EI'!I$1,FALSE),
"")</f>
        <v>0</v>
      </c>
      <c r="J128" s="18">
        <f>IFERROR(
                  Andel_oberoende_av_klimat*VLOOKUP($A128,Leveranser_per_nät,'Leveranser per nät'!J$1,FALSE)
               +Andel_beroende_av_klimat*VLOOKUP($A128,Leveranser_per_nät,'Leveranser per nät'!J$1,FALSE)/VLOOKUP($B128,Korrigeringsfaktor_EI,'Korrigeringsfaktor EI'!J$1,FALSE),
"")</f>
        <v>0</v>
      </c>
      <c r="K128" s="18">
        <f>IFERROR(
                  Andel_oberoende_av_klimat*VLOOKUP($A128,Leveranser_per_nät,'Leveranser per nät'!K$1,FALSE)
               +Andel_beroende_av_klimat*VLOOKUP($A128,Leveranser_per_nät,'Leveranser per nät'!K$1,FALSE)/VLOOKUP($B128,Korrigeringsfaktor_EI,'Korrigeringsfaktor EI'!K$1,FALSE),
"")</f>
        <v>0</v>
      </c>
      <c r="L128" s="18">
        <f>IFERROR(
                  Andel_oberoende_av_klimat*VLOOKUP($A128,Leveranser_per_nät,'Leveranser per nät'!L$1,FALSE)
               +Andel_beroende_av_klimat*VLOOKUP($A128,Leveranser_per_nät,'Leveranser per nät'!L$1,FALSE)/VLOOKUP($B128,Korrigeringsfaktor_EI,'Korrigeringsfaktor EI'!L$1,FALSE),
"")</f>
        <v>0</v>
      </c>
      <c r="M128" s="18">
        <f>IFERROR(
                  Andel_oberoende_av_klimat*VLOOKUP($A128,Leveranser_per_nät,'Leveranser per nät'!M$1,FALSE)
               +Andel_beroende_av_klimat*VLOOKUP($A128,Leveranser_per_nät,'Leveranser per nät'!M$1,FALSE)/VLOOKUP($B128,Korrigeringsfaktor_EI,'Korrigeringsfaktor EI'!M$1,FALSE),
"")</f>
        <v>0</v>
      </c>
      <c r="N128" s="18">
        <f>IFERROR(
                  Andel_oberoende_av_klimat*VLOOKUP($A128,Leveranser_per_nät,'Leveranser per nät'!N$1,FALSE)
               +Andel_beroende_av_klimat*VLOOKUP($A128,Leveranser_per_nät,'Leveranser per nät'!N$1,FALSE)/VLOOKUP($B128,Korrigeringsfaktor_EI,'Korrigeringsfaktor EI'!N$1,FALSE),
"")</f>
        <v>0</v>
      </c>
      <c r="O128" s="18">
        <f>IFERROR(
                  Andel_oberoende_av_klimat*VLOOKUP($A128,Leveranser_per_nät,'Leveranser per nät'!O$1,FALSE)
               +Andel_beroende_av_klimat*VLOOKUP($A128,Leveranser_per_nät,'Leveranser per nät'!O$1,FALSE)/VLOOKUP($B128,Korrigeringsfaktor_EI,'Korrigeringsfaktor EI'!O$1,FALSE),
"")</f>
        <v>0</v>
      </c>
      <c r="P128" s="18">
        <f>IFERROR(
                  Andel_oberoende_av_klimat*VLOOKUP($A128,Leveranser_per_nät,'Leveranser per nät'!P$1,FALSE)
               +Andel_beroende_av_klimat*VLOOKUP($A128,Leveranser_per_nät,'Leveranser per nät'!P$1,FALSE)/VLOOKUP($B128,Korrigeringsfaktor_EI,'Korrigeringsfaktor EI'!P$1,FALSE),
"")</f>
        <v>0</v>
      </c>
      <c r="Q128" s="18">
        <f>IFERROR(
                  Andel_oberoende_av_klimat*VLOOKUP($A128,Leveranser_per_nät,'Leveranser per nät'!Q$1,FALSE)
               +Andel_beroende_av_klimat*VLOOKUP($A128,Leveranser_per_nät,'Leveranser per nät'!Q$1,FALSE)/VLOOKUP($B128,Korrigeringsfaktor_EI,'Korrigeringsfaktor EI'!Q$1,FALSE),
"")</f>
        <v>0</v>
      </c>
      <c r="R128" s="18">
        <f>IFERROR(
                  Andel_oberoende_av_klimat*VLOOKUP($A128,Leveranser_per_nät,'Leveranser per nät'!R$1,FALSE)
               +Andel_beroende_av_klimat*VLOOKUP($A128,Leveranser_per_nät,'Leveranser per nät'!R$1,FALSE)/VLOOKUP($B128,Korrigeringsfaktor_EI,'Korrigeringsfaktor EI'!R$1,FALSE),
"")</f>
        <v>0</v>
      </c>
      <c r="S128" s="18" t="str">
        <f>IFERROR(
                  Andel_oberoende_av_klimat*VLOOKUP($A128,Leveranser_per_nät,'Leveranser per nät'!S$1,FALSE)
               +Andel_beroende_av_klimat*VLOOKUP($A128,Leveranser_per_nät,'Leveranser per nät'!S$1,FALSE)/VLOOKUP($B128,Korrigeringsfaktor_EI,'Korrigeringsfaktor EI'!S$1,FALSE),
"")</f>
        <v/>
      </c>
      <c r="T128" s="18">
        <f>IFERROR(
                  Andel_oberoende_av_klimat*VLOOKUP($A128,Leveranser_per_nät,'Leveranser per nät'!T$1,FALSE)
               +Andel_beroende_av_klimat*VLOOKUP($A128,Leveranser_per_nät,'Leveranser per nät'!T$1,FALSE)/VLOOKUP($B128,Korrigeringsfaktor_EI,'Korrigeringsfaktor EI'!T$1,FALSE),
"")</f>
        <v>52.075833333333335</v>
      </c>
      <c r="U128" s="18">
        <f>IFERROR(
                  Andel_oberoende_av_klimat*VLOOKUP($A128,Leveranser_per_nät,'Leveranser per nät'!U$1,FALSE)
               +Andel_beroende_av_klimat*VLOOKUP($A128,Leveranser_per_nät,'Leveranser per nät'!U$1,FALSE)/VLOOKUP($B128,Korrigeringsfaktor_EI,'Korrigeringsfaktor EI'!U$1,FALSE),
"")</f>
        <v>50.038275862068964</v>
      </c>
      <c r="V128" s="18">
        <f>IFERROR(
                  Andel_oberoende_av_klimat*VLOOKUP($A128,Leveranser_per_nät,'Leveranser per nät'!V$1,FALSE)
               +Andel_beroende_av_klimat*VLOOKUP($A128,Leveranser_per_nät,'Leveranser per nät'!V$1,FALSE)/VLOOKUP($B128,Korrigeringsfaktor_EI,'Korrigeringsfaktor EI'!V$1,FALSE),
"")</f>
        <v>50.948846153846148</v>
      </c>
      <c r="W128" s="18">
        <f>IFERROR(
                  Andel_oberoende_av_klimat*VLOOKUP($A128,Leveranser_per_nät,'Leveranser per nät'!W$1,FALSE)
               +Andel_beroende_av_klimat*VLOOKUP($A128,Leveranser_per_nät,'Leveranser per nät'!W$1,FALSE)/VLOOKUP($B128,Korrigeringsfaktor_EI,'Korrigeringsfaktor EI'!W$1,FALSE),
"")</f>
        <v>52.671578947368417</v>
      </c>
      <c r="X128" s="18">
        <f>IFERROR(
                  Andel_oberoende_av_klimat*VLOOKUP($A128,Leveranser_per_nät,'Leveranser per nät'!X$1,FALSE)
               +Andel_beroende_av_klimat*VLOOKUP($A128,Leveranser_per_nät,'Leveranser per nät'!X$1,FALSE)/VLOOKUP($B128,Korrigeringsfaktor_EI,'Korrigeringsfaktor EI'!X$1,FALSE),
"")</f>
        <v>52.497791666666657</v>
      </c>
      <c r="Y128" s="18">
        <f>IFERROR(
                  Andel_oberoende_av_klimat*VLOOKUP($A128,Leveranser_per_nät,'Leveranser per nät'!Y$1,FALSE)
               +Andel_beroende_av_klimat*VLOOKUP($A128,Leveranser_per_nät,'Leveranser per nät'!Y$1,FALSE)/VLOOKUP($B128,Korrigeringsfaktor_EI,'Korrigeringsfaktor EI'!Y$1,FALSE),
"")</f>
        <v>54.825739130434783</v>
      </c>
      <c r="Z128" s="18">
        <f>IFERROR(
                  Andel_oberoende_av_klimat*VLOOKUP($A128,Leveranser_per_nät,'Leveranser per nät'!Z$1,FALSE)
               +Andel_beroende_av_klimat*VLOOKUP($A128,Leveranser_per_nät,'Leveranser per nät'!Z$1,FALSE)/VLOOKUP($B128,Korrigeringsfaktor_EI,'Korrigeringsfaktor EI'!Z$1,FALSE),
"")</f>
        <v>53.676569892473118</v>
      </c>
      <c r="AA128" s="18">
        <f>IFERROR(
                  Andel_oberoende_av_klimat*VLOOKUP($A128,Leveranser_per_nät,'Leveranser per nät'!AA$1,FALSE)
               +Andel_beroende_av_klimat*VLOOKUP($A128,Leveranser_per_nät,'Leveranser per nät'!AA$1,FALSE)/VLOOKUP($B128,Korrigeringsfaktor_EI,'Korrigeringsfaktor EI'!AA$1,FALSE),
"")</f>
        <v>50.907984652665597</v>
      </c>
      <c r="AB128" s="18">
        <f>IFERROR(
                  Andel_oberoende_av_klimat*VLOOKUP($A128,Leveranser_per_nät,'Leveranser per nät'!AB$1,FALSE)
               +Andel_beroende_av_klimat*VLOOKUP($A128,Leveranser_per_nät,'Leveranser per nät'!AB$1,FALSE)/VLOOKUP($B128,Korrigeringsfaktor_EI,'Korrigeringsfaktor EI'!AB$1,FALSE),
"")</f>
        <v>52.219234421364987</v>
      </c>
      <c r="AC128" s="18">
        <f>IFERROR(
                  Andel_oberoende_av_klimat*VLOOKUP($A128,Leveranser_per_nät,'Leveranser per nät'!AC$1,FALSE)
               +Andel_beroende_av_klimat*VLOOKUP($A128,Leveranser_per_nät,'Leveranser per nät'!AC$1,FALSE)/VLOOKUP($B128,Korrigeringsfaktor_EI,'Korrigeringsfaktor EI'!AC$1,FALSE),
"")</f>
        <v>50.954666666666668</v>
      </c>
      <c r="AD128">
        <v>48.96</v>
      </c>
    </row>
    <row r="129" spans="1:30" x14ac:dyDescent="0.25">
      <c r="A129" t="s">
        <v>208</v>
      </c>
      <c r="B129" t="s">
        <v>207</v>
      </c>
      <c r="C129" s="18">
        <f>IFERROR(
                  Andel_oberoende_av_klimat*VLOOKUP($A129,Leveranser_per_nät,'Leveranser per nät'!C$1,FALSE)
               +Andel_beroende_av_klimat*VLOOKUP($A129,Leveranser_per_nät,'Leveranser per nät'!C$1,FALSE)/VLOOKUP($B129,Korrigeringsfaktor_EI,'Korrigeringsfaktor EI'!C$1,FALSE),
"")</f>
        <v>93.86666666666666</v>
      </c>
      <c r="D129" s="18">
        <f>IFERROR(
                  Andel_oberoende_av_klimat*VLOOKUP($A129,Leveranser_per_nät,'Leveranser per nät'!D$1,FALSE)
               +Andel_beroende_av_klimat*VLOOKUP($A129,Leveranser_per_nät,'Leveranser per nät'!D$1,FALSE)/VLOOKUP($B129,Korrigeringsfaktor_EI,'Korrigeringsfaktor EI'!D$1,FALSE),
"")</f>
        <v>93.831571428571436</v>
      </c>
      <c r="E129" s="18">
        <f>IFERROR(
                  Andel_oberoende_av_klimat*VLOOKUP($A129,Leveranser_per_nät,'Leveranser per nät'!E$1,FALSE)
               +Andel_beroende_av_klimat*VLOOKUP($A129,Leveranser_per_nät,'Leveranser per nät'!E$1,FALSE)/VLOOKUP($B129,Korrigeringsfaktor_EI,'Korrigeringsfaktor EI'!E$1,FALSE),
"")</f>
        <v>96.001941747572815</v>
      </c>
      <c r="F129" s="18">
        <f>IFERROR(
                  Andel_oberoende_av_klimat*VLOOKUP($A129,Leveranser_per_nät,'Leveranser per nät'!F$1,FALSE)
               +Andel_beroende_av_klimat*VLOOKUP($A129,Leveranser_per_nät,'Leveranser per nät'!F$1,FALSE)/VLOOKUP($B129,Korrigeringsfaktor_EI,'Korrigeringsfaktor EI'!F$1,FALSE),
"")</f>
        <v>98.5</v>
      </c>
      <c r="G129" s="18">
        <f>IFERROR(
                  Andel_oberoende_av_klimat*VLOOKUP($A129,Leveranser_per_nät,'Leveranser per nät'!G$1,FALSE)
               +Andel_beroende_av_klimat*VLOOKUP($A129,Leveranser_per_nät,'Leveranser per nät'!G$1,FALSE)/VLOOKUP($B129,Korrigeringsfaktor_EI,'Korrigeringsfaktor EI'!G$1,FALSE),
"")</f>
        <v>96.7</v>
      </c>
      <c r="H129" s="18">
        <f>IFERROR(
                  Andel_oberoende_av_klimat*VLOOKUP($A129,Leveranser_per_nät,'Leveranser per nät'!H$1,FALSE)
               +Andel_beroende_av_klimat*VLOOKUP($A129,Leveranser_per_nät,'Leveranser per nät'!H$1,FALSE)/VLOOKUP($B129,Korrigeringsfaktor_EI,'Korrigeringsfaktor EI'!H$1,FALSE),
"")</f>
        <v>100.70707070707071</v>
      </c>
      <c r="I129" s="18">
        <f>IFERROR(
                  Andel_oberoende_av_klimat*VLOOKUP($A129,Leveranser_per_nät,'Leveranser per nät'!I$1,FALSE)
               +Andel_beroende_av_klimat*VLOOKUP($A129,Leveranser_per_nät,'Leveranser per nät'!I$1,FALSE)/VLOOKUP($B129,Korrigeringsfaktor_EI,'Korrigeringsfaktor EI'!I$1,FALSE),
"")</f>
        <v>104.97500000000001</v>
      </c>
      <c r="J129" s="18">
        <f>IFERROR(
                  Andel_oberoende_av_klimat*VLOOKUP($A129,Leveranser_per_nät,'Leveranser per nät'!J$1,FALSE)
               +Andel_beroende_av_klimat*VLOOKUP($A129,Leveranser_per_nät,'Leveranser per nät'!J$1,FALSE)/VLOOKUP($B129,Korrigeringsfaktor_EI,'Korrigeringsfaktor EI'!J$1,FALSE),
"")</f>
        <v>98.385714285714286</v>
      </c>
      <c r="K129" s="18">
        <f>IFERROR(
                  Andel_oberoende_av_klimat*VLOOKUP($A129,Leveranser_per_nät,'Leveranser per nät'!K$1,FALSE)
               +Andel_beroende_av_klimat*VLOOKUP($A129,Leveranser_per_nät,'Leveranser per nät'!K$1,FALSE)/VLOOKUP($B129,Korrigeringsfaktor_EI,'Korrigeringsfaktor EI'!K$1,FALSE),
"")</f>
        <v>0</v>
      </c>
      <c r="L129" s="18">
        <f>IFERROR(
                  Andel_oberoende_av_klimat*VLOOKUP($A129,Leveranser_per_nät,'Leveranser per nät'!L$1,FALSE)
               +Andel_beroende_av_klimat*VLOOKUP($A129,Leveranser_per_nät,'Leveranser per nät'!L$1,FALSE)/VLOOKUP($B129,Korrigeringsfaktor_EI,'Korrigeringsfaktor EI'!L$1,FALSE),
"")</f>
        <v>0</v>
      </c>
      <c r="M129" s="18">
        <f>IFERROR(
                  Andel_oberoende_av_klimat*VLOOKUP($A129,Leveranser_per_nät,'Leveranser per nät'!M$1,FALSE)
               +Andel_beroende_av_klimat*VLOOKUP($A129,Leveranser_per_nät,'Leveranser per nät'!M$1,FALSE)/VLOOKUP($B129,Korrigeringsfaktor_EI,'Korrigeringsfaktor EI'!M$1,FALSE),
"")</f>
        <v>0</v>
      </c>
      <c r="N129" s="18">
        <f>IFERROR(
                  Andel_oberoende_av_klimat*VLOOKUP($A129,Leveranser_per_nät,'Leveranser per nät'!N$1,FALSE)
               +Andel_beroende_av_klimat*VLOOKUP($A129,Leveranser_per_nät,'Leveranser per nät'!N$1,FALSE)/VLOOKUP($B129,Korrigeringsfaktor_EI,'Korrigeringsfaktor EI'!N$1,FALSE),
"")</f>
        <v>118.81739130434782</v>
      </c>
      <c r="O129" s="18">
        <f>IFERROR(
                  Andel_oberoende_av_klimat*VLOOKUP($A129,Leveranser_per_nät,'Leveranser per nät'!O$1,FALSE)
               +Andel_beroende_av_klimat*VLOOKUP($A129,Leveranser_per_nät,'Leveranser per nät'!O$1,FALSE)/VLOOKUP($B129,Korrigeringsfaktor_EI,'Korrigeringsfaktor EI'!O$1,FALSE),
"")</f>
        <v>124.6234831460674</v>
      </c>
      <c r="P129" s="18">
        <f>IFERROR(
                  Andel_oberoende_av_klimat*VLOOKUP($A129,Leveranser_per_nät,'Leveranser per nät'!P$1,FALSE)
               +Andel_beroende_av_klimat*VLOOKUP($A129,Leveranser_per_nät,'Leveranser per nät'!P$1,FALSE)/VLOOKUP($B129,Korrigeringsfaktor_EI,'Korrigeringsfaktor EI'!P$1,FALSE),
"")</f>
        <v>108.0625</v>
      </c>
      <c r="Q129" s="18">
        <f>IFERROR(
                  Andel_oberoende_av_klimat*VLOOKUP($A129,Leveranser_per_nät,'Leveranser per nät'!Q$1,FALSE)
               +Andel_beroende_av_klimat*VLOOKUP($A129,Leveranser_per_nät,'Leveranser per nät'!Q$1,FALSE)/VLOOKUP($B129,Korrigeringsfaktor_EI,'Korrigeringsfaktor EI'!Q$1,FALSE),
"")</f>
        <v>0</v>
      </c>
      <c r="R129" s="18">
        <f>IFERROR(
                  Andel_oberoende_av_klimat*VLOOKUP($A129,Leveranser_per_nät,'Leveranser per nät'!R$1,FALSE)
               +Andel_beroende_av_klimat*VLOOKUP($A129,Leveranser_per_nät,'Leveranser per nät'!R$1,FALSE)/VLOOKUP($B129,Korrigeringsfaktor_EI,'Korrigeringsfaktor EI'!R$1,FALSE),
"")</f>
        <v>109.93333333333334</v>
      </c>
      <c r="S129" s="18" t="str">
        <f>IFERROR(
                  Andel_oberoende_av_klimat*VLOOKUP($A129,Leveranser_per_nät,'Leveranser per nät'!S$1,FALSE)
               +Andel_beroende_av_klimat*VLOOKUP($A129,Leveranser_per_nät,'Leveranser per nät'!S$1,FALSE)/VLOOKUP($B129,Korrigeringsfaktor_EI,'Korrigeringsfaktor EI'!S$1,FALSE),
"")</f>
        <v/>
      </c>
      <c r="T129" s="18" t="str">
        <f>IFERROR(
                  Andel_oberoende_av_klimat*VLOOKUP($A129,Leveranser_per_nät,'Leveranser per nät'!T$1,FALSE)
               +Andel_beroende_av_klimat*VLOOKUP($A129,Leveranser_per_nät,'Leveranser per nät'!T$1,FALSE)/VLOOKUP($B129,Korrigeringsfaktor_EI,'Korrigeringsfaktor EI'!T$1,FALSE),
"")</f>
        <v/>
      </c>
      <c r="U129" s="18" t="str">
        <f>IFERROR(
                  Andel_oberoende_av_klimat*VLOOKUP($A129,Leveranser_per_nät,'Leveranser per nät'!U$1,FALSE)
               +Andel_beroende_av_klimat*VLOOKUP($A129,Leveranser_per_nät,'Leveranser per nät'!U$1,FALSE)/VLOOKUP($B129,Korrigeringsfaktor_EI,'Korrigeringsfaktor EI'!U$1,FALSE),
"")</f>
        <v/>
      </c>
      <c r="V129" s="18" t="str">
        <f>IFERROR(
                  Andel_oberoende_av_klimat*VLOOKUP($A129,Leveranser_per_nät,'Leveranser per nät'!V$1,FALSE)
               +Andel_beroende_av_klimat*VLOOKUP($A129,Leveranser_per_nät,'Leveranser per nät'!V$1,FALSE)/VLOOKUP($B129,Korrigeringsfaktor_EI,'Korrigeringsfaktor EI'!V$1,FALSE),
"")</f>
        <v/>
      </c>
      <c r="W129" s="18" t="str">
        <f>IFERROR(
                  Andel_oberoende_av_klimat*VLOOKUP($A129,Leveranser_per_nät,'Leveranser per nät'!W$1,FALSE)
               +Andel_beroende_av_klimat*VLOOKUP($A129,Leveranser_per_nät,'Leveranser per nät'!W$1,FALSE)/VLOOKUP($B129,Korrigeringsfaktor_EI,'Korrigeringsfaktor EI'!W$1,FALSE),
"")</f>
        <v/>
      </c>
      <c r="X129" s="18" t="str">
        <f>IFERROR(
                  Andel_oberoende_av_klimat*VLOOKUP($A129,Leveranser_per_nät,'Leveranser per nät'!X$1,FALSE)
               +Andel_beroende_av_klimat*VLOOKUP($A129,Leveranser_per_nät,'Leveranser per nät'!X$1,FALSE)/VLOOKUP($B129,Korrigeringsfaktor_EI,'Korrigeringsfaktor EI'!X$1,FALSE),
"")</f>
        <v/>
      </c>
      <c r="Y129" s="18" t="str">
        <f>IFERROR(
                  Andel_oberoende_av_klimat*VLOOKUP($A129,Leveranser_per_nät,'Leveranser per nät'!Y$1,FALSE)
               +Andel_beroende_av_klimat*VLOOKUP($A129,Leveranser_per_nät,'Leveranser per nät'!Y$1,FALSE)/VLOOKUP($B129,Korrigeringsfaktor_EI,'Korrigeringsfaktor EI'!Y$1,FALSE),
"")</f>
        <v/>
      </c>
      <c r="Z129" s="18">
        <f>IFERROR(
                  Andel_oberoende_av_klimat*VLOOKUP($A129,Leveranser_per_nät,'Leveranser per nät'!Z$1,FALSE)
               +Andel_beroende_av_klimat*VLOOKUP($A129,Leveranser_per_nät,'Leveranser per nät'!Z$1,FALSE)/VLOOKUP($B129,Korrigeringsfaktor_EI,'Korrigeringsfaktor EI'!Z$1,FALSE),
"")</f>
        <v>0</v>
      </c>
      <c r="AA129" s="18" t="str">
        <f>IFERROR(
                  Andel_oberoende_av_klimat*VLOOKUP($A129,Leveranser_per_nät,'Leveranser per nät'!AA$1,FALSE)
               +Andel_beroende_av_klimat*VLOOKUP($A129,Leveranser_per_nät,'Leveranser per nät'!AA$1,FALSE)/VLOOKUP($B129,Korrigeringsfaktor_EI,'Korrigeringsfaktor EI'!AA$1,FALSE),
"")</f>
        <v/>
      </c>
      <c r="AB129" s="18">
        <f>IFERROR(
                  Andel_oberoende_av_klimat*VLOOKUP($A129,Leveranser_per_nät,'Leveranser per nät'!AB$1,FALSE)
               +Andel_beroende_av_klimat*VLOOKUP($A129,Leveranser_per_nät,'Leveranser per nät'!AB$1,FALSE)/VLOOKUP($B129,Korrigeringsfaktor_EI,'Korrigeringsfaktor EI'!AB$1,FALSE),
"")</f>
        <v>0</v>
      </c>
      <c r="AC129" s="18">
        <f>IFERROR(
                  Andel_oberoende_av_klimat*VLOOKUP($A129,Leveranser_per_nät,'Leveranser per nät'!AC$1,FALSE)
               +Andel_beroende_av_klimat*VLOOKUP($A129,Leveranser_per_nät,'Leveranser per nät'!AC$1,FALSE)/VLOOKUP($B129,Korrigeringsfaktor_EI,'Korrigeringsfaktor EI'!AC$1,FALSE),
"")</f>
        <v>0</v>
      </c>
      <c r="AD129">
        <v>1373.4</v>
      </c>
    </row>
    <row r="130" spans="1:30" x14ac:dyDescent="0.25">
      <c r="A130" t="s">
        <v>220</v>
      </c>
      <c r="B130" t="s">
        <v>221</v>
      </c>
      <c r="C130" s="18">
        <f>IFERROR(
                  Andel_oberoende_av_klimat*VLOOKUP($A130,Leveranser_per_nät,'Leveranser per nät'!C$1,FALSE)
               +Andel_beroende_av_klimat*VLOOKUP($A130,Leveranser_per_nät,'Leveranser per nät'!C$1,FALSE)/VLOOKUP($B130,Korrigeringsfaktor_EI,'Korrigeringsfaktor EI'!C$1,FALSE),
"")</f>
        <v>0</v>
      </c>
      <c r="D130" s="18">
        <f>IFERROR(
                  Andel_oberoende_av_klimat*VLOOKUP($A130,Leveranser_per_nät,'Leveranser per nät'!D$1,FALSE)
               +Andel_beroende_av_klimat*VLOOKUP($A130,Leveranser_per_nät,'Leveranser per nät'!D$1,FALSE)/VLOOKUP($B130,Korrigeringsfaktor_EI,'Korrigeringsfaktor EI'!D$1,FALSE),
"")</f>
        <v>0</v>
      </c>
      <c r="E130" s="18">
        <f>IFERROR(
                  Andel_oberoende_av_klimat*VLOOKUP($A130,Leveranser_per_nät,'Leveranser per nät'!E$1,FALSE)
               +Andel_beroende_av_klimat*VLOOKUP($A130,Leveranser_per_nät,'Leveranser per nät'!E$1,FALSE)/VLOOKUP($B130,Korrigeringsfaktor_EI,'Korrigeringsfaktor EI'!E$1,FALSE),
"")</f>
        <v>0</v>
      </c>
      <c r="F130" s="18">
        <f>IFERROR(
                  Andel_oberoende_av_klimat*VLOOKUP($A130,Leveranser_per_nät,'Leveranser per nät'!F$1,FALSE)
               +Andel_beroende_av_klimat*VLOOKUP($A130,Leveranser_per_nät,'Leveranser per nät'!F$1,FALSE)/VLOOKUP($B130,Korrigeringsfaktor_EI,'Korrigeringsfaktor EI'!F$1,FALSE),
"")</f>
        <v>14.625531914893617</v>
      </c>
      <c r="G130" s="18">
        <f>IFERROR(
                  Andel_oberoende_av_klimat*VLOOKUP($A130,Leveranser_per_nät,'Leveranser per nät'!G$1,FALSE)
               +Andel_beroende_av_klimat*VLOOKUP($A130,Leveranser_per_nät,'Leveranser per nät'!G$1,FALSE)/VLOOKUP($B130,Korrigeringsfaktor_EI,'Korrigeringsfaktor EI'!G$1,FALSE),
"")</f>
        <v>14.969230769230769</v>
      </c>
      <c r="H130" s="18">
        <f>IFERROR(
                  Andel_oberoende_av_klimat*VLOOKUP($A130,Leveranser_per_nät,'Leveranser per nät'!H$1,FALSE)
               +Andel_beroende_av_klimat*VLOOKUP($A130,Leveranser_per_nät,'Leveranser per nät'!H$1,FALSE)/VLOOKUP($B130,Korrigeringsfaktor_EI,'Korrigeringsfaktor EI'!H$1,FALSE),
"")</f>
        <v>15</v>
      </c>
      <c r="I130" s="18">
        <f>IFERROR(
                  Andel_oberoende_av_klimat*VLOOKUP($A130,Leveranser_per_nät,'Leveranser per nät'!I$1,FALSE)
               +Andel_beroende_av_klimat*VLOOKUP($A130,Leveranser_per_nät,'Leveranser per nät'!I$1,FALSE)/VLOOKUP($B130,Korrigeringsfaktor_EI,'Korrigeringsfaktor EI'!I$1,FALSE),
"")</f>
        <v>15.214285714285715</v>
      </c>
      <c r="J130" s="18">
        <f>IFERROR(
                  Andel_oberoende_av_klimat*VLOOKUP($A130,Leveranser_per_nät,'Leveranser per nät'!J$1,FALSE)
               +Andel_beroende_av_klimat*VLOOKUP($A130,Leveranser_per_nät,'Leveranser per nät'!J$1,FALSE)/VLOOKUP($B130,Korrigeringsfaktor_EI,'Korrigeringsfaktor EI'!J$1,FALSE),
"")</f>
        <v>15</v>
      </c>
      <c r="K130" s="18">
        <f>IFERROR(
                  Andel_oberoende_av_klimat*VLOOKUP($A130,Leveranser_per_nät,'Leveranser per nät'!K$1,FALSE)
               +Andel_beroende_av_klimat*VLOOKUP($A130,Leveranser_per_nät,'Leveranser per nät'!K$1,FALSE)/VLOOKUP($B130,Korrigeringsfaktor_EI,'Korrigeringsfaktor EI'!K$1,FALSE),
"")</f>
        <v>15.668647524752476</v>
      </c>
      <c r="L130" s="18">
        <f>IFERROR(
                  Andel_oberoende_av_klimat*VLOOKUP($A130,Leveranser_per_nät,'Leveranser per nät'!L$1,FALSE)
               +Andel_beroende_av_klimat*VLOOKUP($A130,Leveranser_per_nät,'Leveranser per nät'!L$1,FALSE)/VLOOKUP($B130,Korrigeringsfaktor_EI,'Korrigeringsfaktor EI'!L$1,FALSE),
"")</f>
        <v>15.882562886597938</v>
      </c>
      <c r="M130" s="18">
        <f>IFERROR(
                  Andel_oberoende_av_klimat*VLOOKUP($A130,Leveranser_per_nät,'Leveranser per nät'!M$1,FALSE)
               +Andel_beroende_av_klimat*VLOOKUP($A130,Leveranser_per_nät,'Leveranser per nät'!M$1,FALSE)/VLOOKUP($B130,Korrigeringsfaktor_EI,'Korrigeringsfaktor EI'!M$1,FALSE),
"")</f>
        <v>16.953543010752689</v>
      </c>
      <c r="N130" s="18">
        <f>IFERROR(
                  Andel_oberoende_av_klimat*VLOOKUP($A130,Leveranser_per_nät,'Leveranser per nät'!N$1,FALSE)
               +Andel_beroende_av_klimat*VLOOKUP($A130,Leveranser_per_nät,'Leveranser per nät'!N$1,FALSE)/VLOOKUP($B130,Korrigeringsfaktor_EI,'Korrigeringsfaktor EI'!N$1,FALSE),
"")</f>
        <v>16.614278260869565</v>
      </c>
      <c r="O130" s="18">
        <f>IFERROR(
                  Andel_oberoende_av_klimat*VLOOKUP($A130,Leveranser_per_nät,'Leveranser per nät'!O$1,FALSE)
               +Andel_beroende_av_klimat*VLOOKUP($A130,Leveranser_per_nät,'Leveranser per nät'!O$1,FALSE)/VLOOKUP($B130,Korrigeringsfaktor_EI,'Korrigeringsfaktor EI'!O$1,FALSE),
"")</f>
        <v>16.703523076923076</v>
      </c>
      <c r="P130" s="18">
        <f>IFERROR(
                  Andel_oberoende_av_klimat*VLOOKUP($A130,Leveranser_per_nät,'Leveranser per nät'!P$1,FALSE)
               +Andel_beroende_av_klimat*VLOOKUP($A130,Leveranser_per_nät,'Leveranser per nät'!P$1,FALSE)/VLOOKUP($B130,Korrigeringsfaktor_EI,'Korrigeringsfaktor EI'!P$1,FALSE),
"")</f>
        <v>15.1935875</v>
      </c>
      <c r="Q130" s="18">
        <f>IFERROR(
                  Andel_oberoende_av_klimat*VLOOKUP($A130,Leveranser_per_nät,'Leveranser per nät'!Q$1,FALSE)
               +Andel_beroende_av_klimat*VLOOKUP($A130,Leveranser_per_nät,'Leveranser per nät'!Q$1,FALSE)/VLOOKUP($B130,Korrigeringsfaktor_EI,'Korrigeringsfaktor EI'!Q$1,FALSE),
"")</f>
        <v>16.695325</v>
      </c>
      <c r="R130" s="18">
        <f>IFERROR(
                  Andel_oberoende_av_klimat*VLOOKUP($A130,Leveranser_per_nät,'Leveranser per nät'!R$1,FALSE)
               +Andel_beroende_av_klimat*VLOOKUP($A130,Leveranser_per_nät,'Leveranser per nät'!R$1,FALSE)/VLOOKUP($B130,Korrigeringsfaktor_EI,'Korrigeringsfaktor EI'!R$1,FALSE),
"")</f>
        <v>16.182504347826086</v>
      </c>
      <c r="S130" s="18">
        <f>IFERROR(
                  Andel_oberoende_av_klimat*VLOOKUP($A130,Leveranser_per_nät,'Leveranser per nät'!S$1,FALSE)
               +Andel_beroende_av_klimat*VLOOKUP($A130,Leveranser_per_nät,'Leveranser per nät'!S$1,FALSE)/VLOOKUP($B130,Korrigeringsfaktor_EI,'Korrigeringsfaktor EI'!S$1,FALSE),
"")</f>
        <v>16.27640594059406</v>
      </c>
      <c r="T130" s="18">
        <f>IFERROR(
                  Andel_oberoende_av_klimat*VLOOKUP($A130,Leveranser_per_nät,'Leveranser per nät'!T$1,FALSE)
               +Andel_beroende_av_klimat*VLOOKUP($A130,Leveranser_per_nät,'Leveranser per nät'!T$1,FALSE)/VLOOKUP($B130,Korrigeringsfaktor_EI,'Korrigeringsfaktor EI'!T$1,FALSE),
"")</f>
        <v>16.179529166666669</v>
      </c>
      <c r="U130" s="18">
        <f>IFERROR(
                  Andel_oberoende_av_klimat*VLOOKUP($A130,Leveranser_per_nät,'Leveranser per nät'!U$1,FALSE)
               +Andel_beroende_av_klimat*VLOOKUP($A130,Leveranser_per_nät,'Leveranser per nät'!U$1,FALSE)/VLOOKUP($B130,Korrigeringsfaktor_EI,'Korrigeringsfaktor EI'!U$1,FALSE),
"")</f>
        <v>15.927261538461536</v>
      </c>
      <c r="V130" s="18">
        <f>IFERROR(
                  Andel_oberoende_av_klimat*VLOOKUP($A130,Leveranser_per_nät,'Leveranser per nät'!V$1,FALSE)
               +Andel_beroende_av_klimat*VLOOKUP($A130,Leveranser_per_nät,'Leveranser per nät'!V$1,FALSE)/VLOOKUP($B130,Korrigeringsfaktor_EI,'Korrigeringsfaktor EI'!V$1,FALSE),
"")</f>
        <v>17.088166666666666</v>
      </c>
      <c r="W130" s="18">
        <f>IFERROR(
                  Andel_oberoende_av_klimat*VLOOKUP($A130,Leveranser_per_nät,'Leveranser per nät'!W$1,FALSE)
               +Andel_beroende_av_klimat*VLOOKUP($A130,Leveranser_per_nät,'Leveranser per nät'!W$1,FALSE)/VLOOKUP($B130,Korrigeringsfaktor_EI,'Korrigeringsfaktor EI'!W$1,FALSE),
"")</f>
        <v>17.504066666666667</v>
      </c>
      <c r="X130" s="18">
        <f>IFERROR(
                  Andel_oberoende_av_klimat*VLOOKUP($A130,Leveranser_per_nät,'Leveranser per nät'!X$1,FALSE)
               +Andel_beroende_av_klimat*VLOOKUP($A130,Leveranser_per_nät,'Leveranser per nät'!X$1,FALSE)/VLOOKUP($B130,Korrigeringsfaktor_EI,'Korrigeringsfaktor EI'!X$1,FALSE),
"")</f>
        <v>17.748663157894736</v>
      </c>
      <c r="Y130" s="18">
        <f>IFERROR(
                  Andel_oberoende_av_klimat*VLOOKUP($A130,Leveranser_per_nät,'Leveranser per nät'!Y$1,FALSE)
               +Andel_beroende_av_klimat*VLOOKUP($A130,Leveranser_per_nät,'Leveranser per nät'!Y$1,FALSE)/VLOOKUP($B130,Korrigeringsfaktor_EI,'Korrigeringsfaktor EI'!Y$1,FALSE),
"")</f>
        <v>17.51778387096774</v>
      </c>
      <c r="Z130" s="18">
        <f>IFERROR(
                  Andel_oberoende_av_klimat*VLOOKUP($A130,Leveranser_per_nät,'Leveranser per nät'!Z$1,FALSE)
               +Andel_beroende_av_klimat*VLOOKUP($A130,Leveranser_per_nät,'Leveranser per nät'!Z$1,FALSE)/VLOOKUP($B130,Korrigeringsfaktor_EI,'Korrigeringsfaktor EI'!Z$1,FALSE),
"")</f>
        <v>17.684695652173914</v>
      </c>
      <c r="AA130" s="18">
        <f>IFERROR(
                  Andel_oberoende_av_klimat*VLOOKUP($A130,Leveranser_per_nät,'Leveranser per nät'!AA$1,FALSE)
               +Andel_beroende_av_klimat*VLOOKUP($A130,Leveranser_per_nät,'Leveranser per nät'!AA$1,FALSE)/VLOOKUP($B130,Korrigeringsfaktor_EI,'Korrigeringsfaktor EI'!AA$1,FALSE),
"")</f>
        <v>17.094869492847856</v>
      </c>
      <c r="AB130" s="18">
        <f>IFERROR(
                  Andel_oberoende_av_klimat*VLOOKUP($A130,Leveranser_per_nät,'Leveranser per nät'!AB$1,FALSE)
               +Andel_beroende_av_klimat*VLOOKUP($A130,Leveranser_per_nät,'Leveranser per nät'!AB$1,FALSE)/VLOOKUP($B130,Korrigeringsfaktor_EI,'Korrigeringsfaktor EI'!AB$1,FALSE),
"")</f>
        <v>16.390162549800795</v>
      </c>
      <c r="AC130" s="18">
        <f>IFERROR(
                  Andel_oberoende_av_klimat*VLOOKUP($A130,Leveranser_per_nät,'Leveranser per nät'!AC$1,FALSE)
               +Andel_beroende_av_klimat*VLOOKUP($A130,Leveranser_per_nät,'Leveranser per nät'!AC$1,FALSE)/VLOOKUP($B130,Korrigeringsfaktor_EI,'Korrigeringsfaktor EI'!AC$1,FALSE),
"")</f>
        <v>15.922988284518828</v>
      </c>
      <c r="AD130">
        <v>128.52099999999999</v>
      </c>
    </row>
    <row r="131" spans="1:30" x14ac:dyDescent="0.25">
      <c r="A131" t="s">
        <v>142</v>
      </c>
      <c r="B131" t="s">
        <v>142</v>
      </c>
      <c r="C131" s="18">
        <f>IFERROR(
                  Andel_oberoende_av_klimat*VLOOKUP($A131,Leveranser_per_nät,'Leveranser per nät'!C$1,FALSE)
               +Andel_beroende_av_klimat*VLOOKUP($A131,Leveranser_per_nät,'Leveranser per nät'!C$1,FALSE)/VLOOKUP($B131,Korrigeringsfaktor_EI,'Korrigeringsfaktor EI'!C$1,FALSE),
"")</f>
        <v>315.63761467889907</v>
      </c>
      <c r="D131" s="18">
        <f>IFERROR(
                  Andel_oberoende_av_klimat*VLOOKUP($A131,Leveranser_per_nät,'Leveranser per nät'!D$1,FALSE)
               +Andel_beroende_av_klimat*VLOOKUP($A131,Leveranser_per_nät,'Leveranser per nät'!D$1,FALSE)/VLOOKUP($B131,Korrigeringsfaktor_EI,'Korrigeringsfaktor EI'!D$1,FALSE),
"")</f>
        <v>327.42488118811877</v>
      </c>
      <c r="E131" s="18">
        <f>IFERROR(
                  Andel_oberoende_av_klimat*VLOOKUP($A131,Leveranser_per_nät,'Leveranser per nät'!E$1,FALSE)
               +Andel_beroende_av_klimat*VLOOKUP($A131,Leveranser_per_nät,'Leveranser per nät'!E$1,FALSE)/VLOOKUP($B131,Korrigeringsfaktor_EI,'Korrigeringsfaktor EI'!E$1,FALSE),
"")</f>
        <v>328.42941176470589</v>
      </c>
      <c r="F131" s="18">
        <f>IFERROR(
                  Andel_oberoende_av_klimat*VLOOKUP($A131,Leveranser_per_nät,'Leveranser per nät'!F$1,FALSE)
               +Andel_beroende_av_klimat*VLOOKUP($A131,Leveranser_per_nät,'Leveranser per nät'!F$1,FALSE)/VLOOKUP($B131,Korrigeringsfaktor_EI,'Korrigeringsfaktor EI'!F$1,FALSE),
"")</f>
        <v>338.47659574468082</v>
      </c>
      <c r="G131" s="18">
        <f>IFERROR(
                  Andel_oberoende_av_klimat*VLOOKUP($A131,Leveranser_per_nät,'Leveranser per nät'!G$1,FALSE)
               +Andel_beroende_av_klimat*VLOOKUP($A131,Leveranser_per_nät,'Leveranser per nät'!G$1,FALSE)/VLOOKUP($B131,Korrigeringsfaktor_EI,'Korrigeringsfaktor EI'!G$1,FALSE),
"")</f>
        <v>340.75318636363636</v>
      </c>
      <c r="H131" s="18">
        <f>IFERROR(
                  Andel_oberoende_av_klimat*VLOOKUP($A131,Leveranser_per_nät,'Leveranser per nät'!H$1,FALSE)
               +Andel_beroende_av_klimat*VLOOKUP($A131,Leveranser_per_nät,'Leveranser per nät'!H$1,FALSE)/VLOOKUP($B131,Korrigeringsfaktor_EI,'Korrigeringsfaktor EI'!H$1,FALSE),
"")</f>
        <v>353</v>
      </c>
      <c r="I131" s="18">
        <f>IFERROR(
                  Andel_oberoende_av_klimat*VLOOKUP($A131,Leveranser_per_nät,'Leveranser per nät'!I$1,FALSE)
               +Andel_beroende_av_klimat*VLOOKUP($A131,Leveranser_per_nät,'Leveranser per nät'!I$1,FALSE)/VLOOKUP($B131,Korrigeringsfaktor_EI,'Korrigeringsfaktor EI'!I$1,FALSE),
"")</f>
        <v>374.3</v>
      </c>
      <c r="J131" s="18">
        <f>IFERROR(
                  Andel_oberoende_av_klimat*VLOOKUP($A131,Leveranser_per_nät,'Leveranser per nät'!J$1,FALSE)
               +Andel_beroende_av_klimat*VLOOKUP($A131,Leveranser_per_nät,'Leveranser per nät'!J$1,FALSE)/VLOOKUP($B131,Korrigeringsfaktor_EI,'Korrigeringsfaktor EI'!J$1,FALSE),
"")</f>
        <v>391.69888571428572</v>
      </c>
      <c r="K131" s="18">
        <f>IFERROR(
                  Andel_oberoende_av_klimat*VLOOKUP($A131,Leveranser_per_nät,'Leveranser per nät'!K$1,FALSE)
               +Andel_beroende_av_klimat*VLOOKUP($A131,Leveranser_per_nät,'Leveranser per nät'!K$1,FALSE)/VLOOKUP($B131,Korrigeringsfaktor_EI,'Korrigeringsfaktor EI'!K$1,FALSE),
"")</f>
        <v>425.14090000000004</v>
      </c>
      <c r="L131" s="18">
        <f>IFERROR(
                  Andel_oberoende_av_klimat*VLOOKUP($A131,Leveranser_per_nät,'Leveranser per nät'!L$1,FALSE)
               +Andel_beroende_av_klimat*VLOOKUP($A131,Leveranser_per_nät,'Leveranser per nät'!L$1,FALSE)/VLOOKUP($B131,Korrigeringsfaktor_EI,'Korrigeringsfaktor EI'!L$1,FALSE),
"")</f>
        <v>454.0343708333333</v>
      </c>
      <c r="M131" s="18">
        <f>IFERROR(
                  Andel_oberoende_av_klimat*VLOOKUP($A131,Leveranser_per_nät,'Leveranser per nät'!M$1,FALSE)
               +Andel_beroende_av_klimat*VLOOKUP($A131,Leveranser_per_nät,'Leveranser per nät'!M$1,FALSE)/VLOOKUP($B131,Korrigeringsfaktor_EI,'Korrigeringsfaktor EI'!M$1,FALSE),
"")</f>
        <v>521.94782608695652</v>
      </c>
      <c r="N131" s="18">
        <f>IFERROR(
                  Andel_oberoende_av_klimat*VLOOKUP($A131,Leveranser_per_nät,'Leveranser per nät'!N$1,FALSE)
               +Andel_beroende_av_klimat*VLOOKUP($A131,Leveranser_per_nät,'Leveranser per nät'!N$1,FALSE)/VLOOKUP($B131,Korrigeringsfaktor_EI,'Korrigeringsfaktor EI'!N$1,FALSE),
"")</f>
        <v>548.04999999999995</v>
      </c>
      <c r="O131" s="18">
        <f>IFERROR(
                  Andel_oberoende_av_klimat*VLOOKUP($A131,Leveranser_per_nät,'Leveranser per nät'!O$1,FALSE)
               +Andel_beroende_av_klimat*VLOOKUP($A131,Leveranser_per_nät,'Leveranser per nät'!O$1,FALSE)/VLOOKUP($B131,Korrigeringsfaktor_EI,'Korrigeringsfaktor EI'!O$1,FALSE),
"")</f>
        <v>552.36111111111109</v>
      </c>
      <c r="P131" s="18">
        <f>IFERROR(
                  Andel_oberoende_av_klimat*VLOOKUP($A131,Leveranser_per_nät,'Leveranser per nät'!P$1,FALSE)
               +Andel_beroende_av_klimat*VLOOKUP($A131,Leveranser_per_nät,'Leveranser per nät'!P$1,FALSE)/VLOOKUP($B131,Korrigeringsfaktor_EI,'Korrigeringsfaktor EI'!P$1,FALSE),
"")</f>
        <v>547.09936170212779</v>
      </c>
      <c r="Q131" s="18">
        <f>IFERROR(
                  Andel_oberoende_av_klimat*VLOOKUP($A131,Leveranser_per_nät,'Leveranser per nät'!Q$1,FALSE)
               +Andel_beroende_av_klimat*VLOOKUP($A131,Leveranser_per_nät,'Leveranser per nät'!Q$1,FALSE)/VLOOKUP($B131,Korrigeringsfaktor_EI,'Korrigeringsfaktor EI'!Q$1,FALSE),
"")</f>
        <v>559.03716814159293</v>
      </c>
      <c r="R131" s="18">
        <f>IFERROR(
                  Andel_oberoende_av_klimat*VLOOKUP($A131,Leveranser_per_nät,'Leveranser per nät'!R$1,FALSE)
               +Andel_beroende_av_klimat*VLOOKUP($A131,Leveranser_per_nät,'Leveranser per nät'!R$1,FALSE)/VLOOKUP($B131,Korrigeringsfaktor_EI,'Korrigeringsfaktor EI'!R$1,FALSE),
"")</f>
        <v>639.70434782608686</v>
      </c>
      <c r="S131" s="18">
        <f>IFERROR(
                  Andel_oberoende_av_klimat*VLOOKUP($A131,Leveranser_per_nät,'Leveranser per nät'!S$1,FALSE)
               +Andel_beroende_av_klimat*VLOOKUP($A131,Leveranser_per_nät,'Leveranser per nät'!S$1,FALSE)/VLOOKUP($B131,Korrigeringsfaktor_EI,'Korrigeringsfaktor EI'!S$1,FALSE),
"")</f>
        <v>565</v>
      </c>
      <c r="T131" s="18">
        <f>IFERROR(
                  Andel_oberoende_av_klimat*VLOOKUP($A131,Leveranser_per_nät,'Leveranser per nät'!T$1,FALSE)
               +Andel_beroende_av_klimat*VLOOKUP($A131,Leveranser_per_nät,'Leveranser per nät'!T$1,FALSE)/VLOOKUP($B131,Korrigeringsfaktor_EI,'Korrigeringsfaktor EI'!T$1,FALSE),
"")</f>
        <v>591.77083333333337</v>
      </c>
      <c r="U131" s="18">
        <f>IFERROR(
                  Andel_oberoende_av_klimat*VLOOKUP($A131,Leveranser_per_nät,'Leveranser per nät'!U$1,FALSE)
               +Andel_beroende_av_klimat*VLOOKUP($A131,Leveranser_per_nät,'Leveranser per nät'!U$1,FALSE)/VLOOKUP($B131,Korrigeringsfaktor_EI,'Korrigeringsfaktor EI'!U$1,FALSE),
"")</f>
        <v>588.7294117647059</v>
      </c>
      <c r="V131" s="18">
        <f>IFERROR(
                  Andel_oberoende_av_klimat*VLOOKUP($A131,Leveranser_per_nät,'Leveranser per nät'!V$1,FALSE)
               +Andel_beroende_av_klimat*VLOOKUP($A131,Leveranser_per_nät,'Leveranser per nät'!V$1,FALSE)/VLOOKUP($B131,Korrigeringsfaktor_EI,'Korrigeringsfaktor EI'!V$1,FALSE),
"")</f>
        <v>580.59230769230771</v>
      </c>
      <c r="W131" s="18">
        <f>IFERROR(
                  Andel_oberoende_av_klimat*VLOOKUP($A131,Leveranser_per_nät,'Leveranser per nät'!W$1,FALSE)
               +Andel_beroende_av_klimat*VLOOKUP($A131,Leveranser_per_nät,'Leveranser per nät'!W$1,FALSE)/VLOOKUP($B131,Korrigeringsfaktor_EI,'Korrigeringsfaktor EI'!W$1,FALSE),
"")</f>
        <v>593.07368421052638</v>
      </c>
      <c r="X131" s="18">
        <f>IFERROR(
                  Andel_oberoende_av_klimat*VLOOKUP($A131,Leveranser_per_nät,'Leveranser per nät'!X$1,FALSE)
               +Andel_beroende_av_klimat*VLOOKUP($A131,Leveranser_per_nät,'Leveranser per nät'!X$1,FALSE)/VLOOKUP($B131,Korrigeringsfaktor_EI,'Korrigeringsfaktor EI'!X$1,FALSE),
"")</f>
        <v>591.28936170212774</v>
      </c>
      <c r="Y131" s="18">
        <f>IFERROR(
                  Andel_oberoende_av_klimat*VLOOKUP($A131,Leveranser_per_nät,'Leveranser per nät'!Y$1,FALSE)
               +Andel_beroende_av_klimat*VLOOKUP($A131,Leveranser_per_nät,'Leveranser per nät'!Y$1,FALSE)/VLOOKUP($B131,Korrigeringsfaktor_EI,'Korrigeringsfaktor EI'!Y$1,FALSE),
"")</f>
        <v>635.14367816091954</v>
      </c>
      <c r="Z131" s="18">
        <f>IFERROR(
                  Andel_oberoende_av_klimat*VLOOKUP($A131,Leveranser_per_nät,'Leveranser per nät'!Z$1,FALSE)
               +Andel_beroende_av_klimat*VLOOKUP($A131,Leveranser_per_nät,'Leveranser per nät'!Z$1,FALSE)/VLOOKUP($B131,Korrigeringsfaktor_EI,'Korrigeringsfaktor EI'!Z$1,FALSE),
"")</f>
        <v>604.12176470588236</v>
      </c>
      <c r="AA131" s="18">
        <f>IFERROR(
                  Andel_oberoende_av_klimat*VLOOKUP($A131,Leveranser_per_nät,'Leveranser per nät'!AA$1,FALSE)
               +Andel_beroende_av_klimat*VLOOKUP($A131,Leveranser_per_nät,'Leveranser per nät'!AA$1,FALSE)/VLOOKUP($B131,Korrigeringsfaktor_EI,'Korrigeringsfaktor EI'!AA$1,FALSE),
"")</f>
        <v>578.6739326500732</v>
      </c>
      <c r="AB131" s="18">
        <f>IFERROR(
                  Andel_oberoende_av_klimat*VLOOKUP($A131,Leveranser_per_nät,'Leveranser per nät'!AB$1,FALSE)
               +Andel_beroende_av_klimat*VLOOKUP($A131,Leveranser_per_nät,'Leveranser per nät'!AB$1,FALSE)/VLOOKUP($B131,Korrigeringsfaktor_EI,'Korrigeringsfaktor EI'!AB$1,FALSE),
"")</f>
        <v>568.42057596822247</v>
      </c>
      <c r="AC131" s="18">
        <f>IFERROR(
                  Andel_oberoende_av_klimat*VLOOKUP($A131,Leveranser_per_nät,'Leveranser per nät'!AC$1,FALSE)
               +Andel_beroende_av_klimat*VLOOKUP($A131,Leveranser_per_nät,'Leveranser per nät'!AC$1,FALSE)/VLOOKUP($B131,Korrigeringsfaktor_EI,'Korrigeringsfaktor EI'!AC$1,FALSE),
"")</f>
        <v>580.8991891891892</v>
      </c>
      <c r="AD131" t="e">
        <v>#N/A</v>
      </c>
    </row>
    <row r="132" spans="1:30" x14ac:dyDescent="0.25">
      <c r="A132" t="s">
        <v>345</v>
      </c>
      <c r="B132" t="s">
        <v>345</v>
      </c>
      <c r="C132" s="18">
        <f>IFERROR(
                  Andel_oberoende_av_klimat*VLOOKUP($A132,Leveranser_per_nät,'Leveranser per nät'!C$1,FALSE)
               +Andel_beroende_av_klimat*VLOOKUP($A132,Leveranser_per_nät,'Leveranser per nät'!C$1,FALSE)/VLOOKUP($B132,Korrigeringsfaktor_EI,'Korrigeringsfaktor EI'!C$1,FALSE),
"")</f>
        <v>44.170999999999999</v>
      </c>
      <c r="D132" s="18">
        <f>IFERROR(
                  Andel_oberoende_av_klimat*VLOOKUP($A132,Leveranser_per_nät,'Leveranser per nät'!D$1,FALSE)
               +Andel_beroende_av_klimat*VLOOKUP($A132,Leveranser_per_nät,'Leveranser per nät'!D$1,FALSE)/VLOOKUP($B132,Korrigeringsfaktor_EI,'Korrigeringsfaktor EI'!D$1,FALSE),
"")</f>
        <v>42.744109090909092</v>
      </c>
      <c r="E132" s="18">
        <f>IFERROR(
                  Andel_oberoende_av_klimat*VLOOKUP($A132,Leveranser_per_nät,'Leveranser per nät'!E$1,FALSE)
               +Andel_beroende_av_klimat*VLOOKUP($A132,Leveranser_per_nät,'Leveranser per nät'!E$1,FALSE)/VLOOKUP($B132,Korrigeringsfaktor_EI,'Korrigeringsfaktor EI'!E$1,FALSE),
"")</f>
        <v>47.878033333333335</v>
      </c>
      <c r="F132" s="18">
        <f>IFERROR(
                  Andel_oberoende_av_klimat*VLOOKUP($A132,Leveranser_per_nät,'Leveranser per nät'!F$1,FALSE)
               +Andel_beroende_av_klimat*VLOOKUP($A132,Leveranser_per_nät,'Leveranser per nät'!F$1,FALSE)/VLOOKUP($B132,Korrigeringsfaktor_EI,'Korrigeringsfaktor EI'!F$1,FALSE),
"")</f>
        <v>49.372</v>
      </c>
      <c r="G132" s="18">
        <f>IFERROR(
                  Andel_oberoende_av_klimat*VLOOKUP($A132,Leveranser_per_nät,'Leveranser per nät'!G$1,FALSE)
               +Andel_beroende_av_klimat*VLOOKUP($A132,Leveranser_per_nät,'Leveranser per nät'!G$1,FALSE)/VLOOKUP($B132,Korrigeringsfaktor_EI,'Korrigeringsfaktor EI'!G$1,FALSE),
"")</f>
        <v>49.476344086021506</v>
      </c>
      <c r="H132" s="18">
        <f>IFERROR(
                  Andel_oberoende_av_klimat*VLOOKUP($A132,Leveranser_per_nät,'Leveranser per nät'!H$1,FALSE)
               +Andel_beroende_av_klimat*VLOOKUP($A132,Leveranser_per_nät,'Leveranser per nät'!H$1,FALSE)/VLOOKUP($B132,Korrigeringsfaktor_EI,'Korrigeringsfaktor EI'!H$1,FALSE),
"")</f>
        <v>50</v>
      </c>
      <c r="I132" s="18">
        <f>IFERROR(
                  Andel_oberoende_av_klimat*VLOOKUP($A132,Leveranser_per_nät,'Leveranser per nät'!I$1,FALSE)
               +Andel_beroende_av_klimat*VLOOKUP($A132,Leveranser_per_nät,'Leveranser per nät'!I$1,FALSE)/VLOOKUP($B132,Korrigeringsfaktor_EI,'Korrigeringsfaktor EI'!I$1,FALSE),
"")</f>
        <v>51.639603960396038</v>
      </c>
      <c r="J132" s="18">
        <f>IFERROR(
                  Andel_oberoende_av_klimat*VLOOKUP($A132,Leveranser_per_nät,'Leveranser per nät'!J$1,FALSE)
               +Andel_beroende_av_klimat*VLOOKUP($A132,Leveranser_per_nät,'Leveranser per nät'!J$1,FALSE)/VLOOKUP($B132,Korrigeringsfaktor_EI,'Korrigeringsfaktor EI'!J$1,FALSE),
"")</f>
        <v>45.4390303030303</v>
      </c>
      <c r="K132" s="18">
        <f>IFERROR(
                  Andel_oberoende_av_klimat*VLOOKUP($A132,Leveranser_per_nät,'Leveranser per nät'!K$1,FALSE)
               +Andel_beroende_av_klimat*VLOOKUP($A132,Leveranser_per_nät,'Leveranser per nät'!K$1,FALSE)/VLOOKUP($B132,Korrigeringsfaktor_EI,'Korrigeringsfaktor EI'!K$1,FALSE),
"")</f>
        <v>46.26885656565657</v>
      </c>
      <c r="L132" s="18">
        <f>IFERROR(
                  Andel_oberoende_av_klimat*VLOOKUP($A132,Leveranser_per_nät,'Leveranser per nät'!L$1,FALSE)
               +Andel_beroende_av_klimat*VLOOKUP($A132,Leveranser_per_nät,'Leveranser per nät'!L$1,FALSE)/VLOOKUP($B132,Korrigeringsfaktor_EI,'Korrigeringsfaktor EI'!L$1,FALSE),
"")</f>
        <v>47.996817021276598</v>
      </c>
      <c r="M132" s="18">
        <f>IFERROR(
                  Andel_oberoende_av_klimat*VLOOKUP($A132,Leveranser_per_nät,'Leveranser per nät'!M$1,FALSE)
               +Andel_beroende_av_klimat*VLOOKUP($A132,Leveranser_per_nät,'Leveranser per nät'!M$1,FALSE)/VLOOKUP($B132,Korrigeringsfaktor_EI,'Korrigeringsfaktor EI'!M$1,FALSE),
"")</f>
        <v>50.878144329896898</v>
      </c>
      <c r="N132" s="18">
        <f>IFERROR(
                  Andel_oberoende_av_klimat*VLOOKUP($A132,Leveranser_per_nät,'Leveranser per nät'!N$1,FALSE)
               +Andel_beroende_av_klimat*VLOOKUP($A132,Leveranser_per_nät,'Leveranser per nät'!N$1,FALSE)/VLOOKUP($B132,Korrigeringsfaktor_EI,'Korrigeringsfaktor EI'!N$1,FALSE),
"")</f>
        <v>55.47208333333333</v>
      </c>
      <c r="O132" s="18">
        <f>IFERROR(
                  Andel_oberoende_av_klimat*VLOOKUP($A132,Leveranser_per_nät,'Leveranser per nät'!O$1,FALSE)
               +Andel_beroende_av_klimat*VLOOKUP($A132,Leveranser_per_nät,'Leveranser per nät'!O$1,FALSE)/VLOOKUP($B132,Korrigeringsfaktor_EI,'Korrigeringsfaktor EI'!O$1,FALSE),
"")</f>
        <v>54.957500000000003</v>
      </c>
      <c r="P132" s="18">
        <f>IFERROR(
                  Andel_oberoende_av_klimat*VLOOKUP($A132,Leveranser_per_nät,'Leveranser per nät'!P$1,FALSE)
               +Andel_beroende_av_klimat*VLOOKUP($A132,Leveranser_per_nät,'Leveranser per nät'!P$1,FALSE)/VLOOKUP($B132,Korrigeringsfaktor_EI,'Korrigeringsfaktor EI'!P$1,FALSE),
"")</f>
        <v>57.41670103092784</v>
      </c>
      <c r="Q132" s="18">
        <f>IFERROR(
                  Andel_oberoende_av_klimat*VLOOKUP($A132,Leveranser_per_nät,'Leveranser per nät'!Q$1,FALSE)
               +Andel_beroende_av_klimat*VLOOKUP($A132,Leveranser_per_nät,'Leveranser per nät'!Q$1,FALSE)/VLOOKUP($B132,Korrigeringsfaktor_EI,'Korrigeringsfaktor EI'!Q$1,FALSE),
"")</f>
        <v>60.681481481481477</v>
      </c>
      <c r="R132" s="18">
        <f>IFERROR(
                  Andel_oberoende_av_klimat*VLOOKUP($A132,Leveranser_per_nät,'Leveranser per nät'!R$1,FALSE)
               +Andel_beroende_av_klimat*VLOOKUP($A132,Leveranser_per_nät,'Leveranser per nät'!R$1,FALSE)/VLOOKUP($B132,Korrigeringsfaktor_EI,'Korrigeringsfaktor EI'!R$1,FALSE),
"")</f>
        <v>58.606595744680845</v>
      </c>
      <c r="S132" s="18">
        <f>IFERROR(
                  Andel_oberoende_av_klimat*VLOOKUP($A132,Leveranser_per_nät,'Leveranser per nät'!S$1,FALSE)
               +Andel_beroende_av_klimat*VLOOKUP($A132,Leveranser_per_nät,'Leveranser per nät'!S$1,FALSE)/VLOOKUP($B132,Korrigeringsfaktor_EI,'Korrigeringsfaktor EI'!S$1,FALSE),
"")</f>
        <v>58.384615384615387</v>
      </c>
      <c r="T132" s="18">
        <f>IFERROR(
                  Andel_oberoende_av_klimat*VLOOKUP($A132,Leveranser_per_nät,'Leveranser per nät'!T$1,FALSE)
               +Andel_beroende_av_klimat*VLOOKUP($A132,Leveranser_per_nät,'Leveranser per nät'!T$1,FALSE)/VLOOKUP($B132,Korrigeringsfaktor_EI,'Korrigeringsfaktor EI'!T$1,FALSE),
"")</f>
        <v>57.441052631578941</v>
      </c>
      <c r="U132" s="18">
        <f>IFERROR(
                  Andel_oberoende_av_klimat*VLOOKUP($A132,Leveranser_per_nät,'Leveranser per nät'!U$1,FALSE)
               +Andel_beroende_av_klimat*VLOOKUP($A132,Leveranser_per_nät,'Leveranser per nät'!U$1,FALSE)/VLOOKUP($B132,Korrigeringsfaktor_EI,'Korrigeringsfaktor EI'!U$1,FALSE),
"")</f>
        <v>57.318782608695649</v>
      </c>
      <c r="V132" s="18">
        <f>IFERROR(
                  Andel_oberoende_av_klimat*VLOOKUP($A132,Leveranser_per_nät,'Leveranser per nät'!V$1,FALSE)
               +Andel_beroende_av_klimat*VLOOKUP($A132,Leveranser_per_nät,'Leveranser per nät'!V$1,FALSE)/VLOOKUP($B132,Korrigeringsfaktor_EI,'Korrigeringsfaktor EI'!V$1,FALSE),
"")</f>
        <v>56.367777777777775</v>
      </c>
      <c r="W132" s="18">
        <f>IFERROR(
                  Andel_oberoende_av_klimat*VLOOKUP($A132,Leveranser_per_nät,'Leveranser per nät'!W$1,FALSE)
               +Andel_beroende_av_klimat*VLOOKUP($A132,Leveranser_per_nät,'Leveranser per nät'!W$1,FALSE)/VLOOKUP($B132,Korrigeringsfaktor_EI,'Korrigeringsfaktor EI'!W$1,FALSE),
"")</f>
        <v>59.28</v>
      </c>
      <c r="X132" s="18">
        <f>IFERROR(
                  Andel_oberoende_av_klimat*VLOOKUP($A132,Leveranser_per_nät,'Leveranser per nät'!X$1,FALSE)
               +Andel_beroende_av_klimat*VLOOKUP($A132,Leveranser_per_nät,'Leveranser per nät'!X$1,FALSE)/VLOOKUP($B132,Korrigeringsfaktor_EI,'Korrigeringsfaktor EI'!X$1,FALSE),
"")</f>
        <v>56.7</v>
      </c>
      <c r="Y132" s="18">
        <f>IFERROR(
                  Andel_oberoende_av_klimat*VLOOKUP($A132,Leveranser_per_nät,'Leveranser per nät'!Y$1,FALSE)
               +Andel_beroende_av_klimat*VLOOKUP($A132,Leveranser_per_nät,'Leveranser per nät'!Y$1,FALSE)/VLOOKUP($B132,Korrigeringsfaktor_EI,'Korrigeringsfaktor EI'!Y$1,FALSE),
"")</f>
        <v>57.633333333333333</v>
      </c>
      <c r="Z132" s="18">
        <f>IFERROR(
                  Andel_oberoende_av_klimat*VLOOKUP($A132,Leveranser_per_nät,'Leveranser per nät'!Z$1,FALSE)
               +Andel_beroende_av_klimat*VLOOKUP($A132,Leveranser_per_nät,'Leveranser per nät'!Z$1,FALSE)/VLOOKUP($B132,Korrigeringsfaktor_EI,'Korrigeringsfaktor EI'!Z$1,FALSE),
"")</f>
        <v>57.686017171717168</v>
      </c>
      <c r="AA132" s="18">
        <f>IFERROR(
                  Andel_oberoende_av_klimat*VLOOKUP($A132,Leveranser_per_nät,'Leveranser per nät'!AA$1,FALSE)
               +Andel_beroende_av_klimat*VLOOKUP($A132,Leveranser_per_nät,'Leveranser per nät'!AA$1,FALSE)/VLOOKUP($B132,Korrigeringsfaktor_EI,'Korrigeringsfaktor EI'!AA$1,FALSE),
"")</f>
        <v>57.122395814209654</v>
      </c>
      <c r="AB132" s="18">
        <f>IFERROR(
                  Andel_oberoende_av_klimat*VLOOKUP($A132,Leveranser_per_nät,'Leveranser per nät'!AB$1,FALSE)
               +Andel_beroende_av_klimat*VLOOKUP($A132,Leveranser_per_nät,'Leveranser per nät'!AB$1,FALSE)/VLOOKUP($B132,Korrigeringsfaktor_EI,'Korrigeringsfaktor EI'!AB$1,FALSE),
"")</f>
        <v>58.657302504816954</v>
      </c>
      <c r="AC132" s="18">
        <f>IFERROR(
                  Andel_oberoende_av_klimat*VLOOKUP($A132,Leveranser_per_nät,'Leveranser per nät'!AC$1,FALSE)
               +Andel_beroende_av_klimat*VLOOKUP($A132,Leveranser_per_nät,'Leveranser per nät'!AC$1,FALSE)/VLOOKUP($B132,Korrigeringsfaktor_EI,'Korrigeringsfaktor EI'!AC$1,FALSE),
"")</f>
        <v>57.361286307053945</v>
      </c>
      <c r="AD132" t="e">
        <v>#N/A</v>
      </c>
    </row>
    <row r="133" spans="1:30" x14ac:dyDescent="0.25">
      <c r="A133" t="s">
        <v>254</v>
      </c>
      <c r="B133" t="s">
        <v>253</v>
      </c>
      <c r="C133" s="18">
        <f>IFERROR(
                  Andel_oberoende_av_klimat*VLOOKUP($A133,Leveranser_per_nät,'Leveranser per nät'!C$1,FALSE)
               +Andel_beroende_av_klimat*VLOOKUP($A133,Leveranser_per_nät,'Leveranser per nät'!C$1,FALSE)/VLOOKUP($B133,Korrigeringsfaktor_EI,'Korrigeringsfaktor EI'!C$1,FALSE),
"")</f>
        <v>0</v>
      </c>
      <c r="D133" s="18">
        <f>IFERROR(
                  Andel_oberoende_av_klimat*VLOOKUP($A133,Leveranser_per_nät,'Leveranser per nät'!D$1,FALSE)
               +Andel_beroende_av_klimat*VLOOKUP($A133,Leveranser_per_nät,'Leveranser per nät'!D$1,FALSE)/VLOOKUP($B133,Korrigeringsfaktor_EI,'Korrigeringsfaktor EI'!D$1,FALSE),
"")</f>
        <v>0</v>
      </c>
      <c r="E133" s="18">
        <f>IFERROR(
                  Andel_oberoende_av_klimat*VLOOKUP($A133,Leveranser_per_nät,'Leveranser per nät'!E$1,FALSE)
               +Andel_beroende_av_klimat*VLOOKUP($A133,Leveranser_per_nät,'Leveranser per nät'!E$1,FALSE)/VLOOKUP($B133,Korrigeringsfaktor_EI,'Korrigeringsfaktor EI'!E$1,FALSE),
"")</f>
        <v>0</v>
      </c>
      <c r="F133" s="18">
        <f>IFERROR(
                  Andel_oberoende_av_klimat*VLOOKUP($A133,Leveranser_per_nät,'Leveranser per nät'!F$1,FALSE)
               +Andel_beroende_av_klimat*VLOOKUP($A133,Leveranser_per_nät,'Leveranser per nät'!F$1,FALSE)/VLOOKUP($B133,Korrigeringsfaktor_EI,'Korrigeringsfaktor EI'!F$1,FALSE),
"")</f>
        <v>0</v>
      </c>
      <c r="G133" s="18">
        <f>IFERROR(
                  Andel_oberoende_av_klimat*VLOOKUP($A133,Leveranser_per_nät,'Leveranser per nät'!G$1,FALSE)
               +Andel_beroende_av_klimat*VLOOKUP($A133,Leveranser_per_nät,'Leveranser per nät'!G$1,FALSE)/VLOOKUP($B133,Korrigeringsfaktor_EI,'Korrigeringsfaktor EI'!G$1,FALSE),
"")</f>
        <v>0</v>
      </c>
      <c r="H133" s="18">
        <f>IFERROR(
                  Andel_oberoende_av_klimat*VLOOKUP($A133,Leveranser_per_nät,'Leveranser per nät'!H$1,FALSE)
               +Andel_beroende_av_klimat*VLOOKUP($A133,Leveranser_per_nät,'Leveranser per nät'!H$1,FALSE)/VLOOKUP($B133,Korrigeringsfaktor_EI,'Korrigeringsfaktor EI'!H$1,FALSE),
"")</f>
        <v>0</v>
      </c>
      <c r="I133" s="18">
        <f>IFERROR(
                  Andel_oberoende_av_klimat*VLOOKUP($A133,Leveranser_per_nät,'Leveranser per nät'!I$1,FALSE)
               +Andel_beroende_av_klimat*VLOOKUP($A133,Leveranser_per_nät,'Leveranser per nät'!I$1,FALSE)/VLOOKUP($B133,Korrigeringsfaktor_EI,'Korrigeringsfaktor EI'!I$1,FALSE),
"")</f>
        <v>0</v>
      </c>
      <c r="J133" s="18">
        <f>IFERROR(
                  Andel_oberoende_av_klimat*VLOOKUP($A133,Leveranser_per_nät,'Leveranser per nät'!J$1,FALSE)
               +Andel_beroende_av_klimat*VLOOKUP($A133,Leveranser_per_nät,'Leveranser per nät'!J$1,FALSE)/VLOOKUP($B133,Korrigeringsfaktor_EI,'Korrigeringsfaktor EI'!J$1,FALSE),
"")</f>
        <v>0</v>
      </c>
      <c r="K133" s="18">
        <f>IFERROR(
                  Andel_oberoende_av_klimat*VLOOKUP($A133,Leveranser_per_nät,'Leveranser per nät'!K$1,FALSE)
               +Andel_beroende_av_klimat*VLOOKUP($A133,Leveranser_per_nät,'Leveranser per nät'!K$1,FALSE)/VLOOKUP($B133,Korrigeringsfaktor_EI,'Korrigeringsfaktor EI'!K$1,FALSE),
"")</f>
        <v>0</v>
      </c>
      <c r="L133" s="18">
        <f>IFERROR(
                  Andel_oberoende_av_klimat*VLOOKUP($A133,Leveranser_per_nät,'Leveranser per nät'!L$1,FALSE)
               +Andel_beroende_av_klimat*VLOOKUP($A133,Leveranser_per_nät,'Leveranser per nät'!L$1,FALSE)/VLOOKUP($B133,Korrigeringsfaktor_EI,'Korrigeringsfaktor EI'!L$1,FALSE),
"")</f>
        <v>26.411621276595746</v>
      </c>
      <c r="M133" s="18">
        <f>IFERROR(
                  Andel_oberoende_av_klimat*VLOOKUP($A133,Leveranser_per_nät,'Leveranser per nät'!M$1,FALSE)
               +Andel_beroende_av_klimat*VLOOKUP($A133,Leveranser_per_nät,'Leveranser per nät'!M$1,FALSE)/VLOOKUP($B133,Korrigeringsfaktor_EI,'Korrigeringsfaktor EI'!M$1,FALSE),
"")</f>
        <v>8.3808695652173917</v>
      </c>
      <c r="N133" s="18">
        <f>IFERROR(
                  Andel_oberoende_av_klimat*VLOOKUP($A133,Leveranser_per_nät,'Leveranser per nät'!N$1,FALSE)
               +Andel_beroende_av_klimat*VLOOKUP($A133,Leveranser_per_nät,'Leveranser per nät'!N$1,FALSE)/VLOOKUP($B133,Korrigeringsfaktor_EI,'Korrigeringsfaktor EI'!N$1,FALSE),
"")</f>
        <v>25.500659574468088</v>
      </c>
      <c r="O133" s="18">
        <f>IFERROR(
                  Andel_oberoende_av_klimat*VLOOKUP($A133,Leveranser_per_nät,'Leveranser per nät'!O$1,FALSE)
               +Andel_beroende_av_klimat*VLOOKUP($A133,Leveranser_per_nät,'Leveranser per nät'!O$1,FALSE)/VLOOKUP($B133,Korrigeringsfaktor_EI,'Korrigeringsfaktor EI'!O$1,FALSE),
"")</f>
        <v>1.0608695652173914</v>
      </c>
      <c r="P133" s="18">
        <f>IFERROR(
                  Andel_oberoende_av_klimat*VLOOKUP($A133,Leveranser_per_nät,'Leveranser per nät'!P$1,FALSE)
               +Andel_beroende_av_klimat*VLOOKUP($A133,Leveranser_per_nät,'Leveranser per nät'!P$1,FALSE)/VLOOKUP($B133,Korrigeringsfaktor_EI,'Korrigeringsfaktor EI'!P$1,FALSE),
"")</f>
        <v>32.254285714285714</v>
      </c>
      <c r="Q133" s="18">
        <f>IFERROR(
                  Andel_oberoende_av_klimat*VLOOKUP($A133,Leveranser_per_nät,'Leveranser per nät'!Q$1,FALSE)
               +Andel_beroende_av_klimat*VLOOKUP($A133,Leveranser_per_nät,'Leveranser per nät'!Q$1,FALSE)/VLOOKUP($B133,Korrigeringsfaktor_EI,'Korrigeringsfaktor EI'!Q$1,FALSE),
"")</f>
        <v>24.034920353982304</v>
      </c>
      <c r="R133" s="18">
        <f>IFERROR(
                  Andel_oberoende_av_klimat*VLOOKUP($A133,Leveranser_per_nät,'Leveranser per nät'!R$1,FALSE)
               +Andel_beroende_av_klimat*VLOOKUP($A133,Leveranser_per_nät,'Leveranser per nät'!R$1,FALSE)/VLOOKUP($B133,Korrigeringsfaktor_EI,'Korrigeringsfaktor EI'!R$1,FALSE),
"")</f>
        <v>38.064615384615387</v>
      </c>
      <c r="S133" s="18" t="str">
        <f>IFERROR(
                  Andel_oberoende_av_klimat*VLOOKUP($A133,Leveranser_per_nät,'Leveranser per nät'!S$1,FALSE)
               +Andel_beroende_av_klimat*VLOOKUP($A133,Leveranser_per_nät,'Leveranser per nät'!S$1,FALSE)/VLOOKUP($B133,Korrigeringsfaktor_EI,'Korrigeringsfaktor EI'!S$1,FALSE),
"")</f>
        <v/>
      </c>
      <c r="T133" s="18" t="str">
        <f>IFERROR(
                  Andel_oberoende_av_klimat*VLOOKUP($A133,Leveranser_per_nät,'Leveranser per nät'!T$1,FALSE)
               +Andel_beroende_av_klimat*VLOOKUP($A133,Leveranser_per_nät,'Leveranser per nät'!T$1,FALSE)/VLOOKUP($B133,Korrigeringsfaktor_EI,'Korrigeringsfaktor EI'!T$1,FALSE),
"")</f>
        <v/>
      </c>
      <c r="U133" s="18" t="str">
        <f>IFERROR(
                  Andel_oberoende_av_klimat*VLOOKUP($A133,Leveranser_per_nät,'Leveranser per nät'!U$1,FALSE)
               +Andel_beroende_av_klimat*VLOOKUP($A133,Leveranser_per_nät,'Leveranser per nät'!U$1,FALSE)/VLOOKUP($B133,Korrigeringsfaktor_EI,'Korrigeringsfaktor EI'!U$1,FALSE),
"")</f>
        <v/>
      </c>
      <c r="V133" s="18" t="str">
        <f>IFERROR(
                  Andel_oberoende_av_klimat*VLOOKUP($A133,Leveranser_per_nät,'Leveranser per nät'!V$1,FALSE)
               +Andel_beroende_av_klimat*VLOOKUP($A133,Leveranser_per_nät,'Leveranser per nät'!V$1,FALSE)/VLOOKUP($B133,Korrigeringsfaktor_EI,'Korrigeringsfaktor EI'!V$1,FALSE),
"")</f>
        <v/>
      </c>
      <c r="W133" s="18" t="str">
        <f>IFERROR(
                  Andel_oberoende_av_klimat*VLOOKUP($A133,Leveranser_per_nät,'Leveranser per nät'!W$1,FALSE)
               +Andel_beroende_av_klimat*VLOOKUP($A133,Leveranser_per_nät,'Leveranser per nät'!W$1,FALSE)/VLOOKUP($B133,Korrigeringsfaktor_EI,'Korrigeringsfaktor EI'!W$1,FALSE),
"")</f>
        <v/>
      </c>
      <c r="X133" s="18" t="str">
        <f>IFERROR(
                  Andel_oberoende_av_klimat*VLOOKUP($A133,Leveranser_per_nät,'Leveranser per nät'!X$1,FALSE)
               +Andel_beroende_av_klimat*VLOOKUP($A133,Leveranser_per_nät,'Leveranser per nät'!X$1,FALSE)/VLOOKUP($B133,Korrigeringsfaktor_EI,'Korrigeringsfaktor EI'!X$1,FALSE),
"")</f>
        <v/>
      </c>
      <c r="Y133" s="18" t="str">
        <f>IFERROR(
                  Andel_oberoende_av_klimat*VLOOKUP($A133,Leveranser_per_nät,'Leveranser per nät'!Y$1,FALSE)
               +Andel_beroende_av_klimat*VLOOKUP($A133,Leveranser_per_nät,'Leveranser per nät'!Y$1,FALSE)/VLOOKUP($B133,Korrigeringsfaktor_EI,'Korrigeringsfaktor EI'!Y$1,FALSE),
"")</f>
        <v/>
      </c>
      <c r="Z133" s="18">
        <f>IFERROR(
                  Andel_oberoende_av_klimat*VLOOKUP($A133,Leveranser_per_nät,'Leveranser per nät'!Z$1,FALSE)
               +Andel_beroende_av_klimat*VLOOKUP($A133,Leveranser_per_nät,'Leveranser per nät'!Z$1,FALSE)/VLOOKUP($B133,Korrigeringsfaktor_EI,'Korrigeringsfaktor EI'!Z$1,FALSE),
"")</f>
        <v>0</v>
      </c>
      <c r="AA133" s="18" t="str">
        <f>IFERROR(
                  Andel_oberoende_av_klimat*VLOOKUP($A133,Leveranser_per_nät,'Leveranser per nät'!AA$1,FALSE)
               +Andel_beroende_av_klimat*VLOOKUP($A133,Leveranser_per_nät,'Leveranser per nät'!AA$1,FALSE)/VLOOKUP($B133,Korrigeringsfaktor_EI,'Korrigeringsfaktor EI'!AA$1,FALSE),
"")</f>
        <v/>
      </c>
      <c r="AB133" s="18">
        <f>IFERROR(
                  Andel_oberoende_av_klimat*VLOOKUP($A133,Leveranser_per_nät,'Leveranser per nät'!AB$1,FALSE)
               +Andel_beroende_av_klimat*VLOOKUP($A133,Leveranser_per_nät,'Leveranser per nät'!AB$1,FALSE)/VLOOKUP($B133,Korrigeringsfaktor_EI,'Korrigeringsfaktor EI'!AB$1,FALSE),
"")</f>
        <v>0</v>
      </c>
      <c r="AC133" s="18">
        <f>IFERROR(
                  Andel_oberoende_av_klimat*VLOOKUP($A133,Leveranser_per_nät,'Leveranser per nät'!AC$1,FALSE)
               +Andel_beroende_av_klimat*VLOOKUP($A133,Leveranser_per_nät,'Leveranser per nät'!AC$1,FALSE)/VLOOKUP($B133,Korrigeringsfaktor_EI,'Korrigeringsfaktor EI'!AC$1,FALSE),
"")</f>
        <v>0</v>
      </c>
      <c r="AD133" t="e">
        <v>#N/A</v>
      </c>
    </row>
    <row r="134" spans="1:30" x14ac:dyDescent="0.25">
      <c r="A134" t="s">
        <v>64</v>
      </c>
      <c r="B134" t="s">
        <v>48</v>
      </c>
      <c r="C134" s="18">
        <f>IFERROR(
                  Andel_oberoende_av_klimat*VLOOKUP($A134,Leveranser_per_nät,'Leveranser per nät'!C$1,FALSE)
               +Andel_beroende_av_klimat*VLOOKUP($A134,Leveranser_per_nät,'Leveranser per nät'!C$1,FALSE)/VLOOKUP($B134,Korrigeringsfaktor_EI,'Korrigeringsfaktor EI'!C$1,FALSE),
"")</f>
        <v>0</v>
      </c>
      <c r="D134" s="18">
        <f>IFERROR(
                  Andel_oberoende_av_klimat*VLOOKUP($A134,Leveranser_per_nät,'Leveranser per nät'!D$1,FALSE)
               +Andel_beroende_av_klimat*VLOOKUP($A134,Leveranser_per_nät,'Leveranser per nät'!D$1,FALSE)/VLOOKUP($B134,Korrigeringsfaktor_EI,'Korrigeringsfaktor EI'!D$1,FALSE),
"")</f>
        <v>0</v>
      </c>
      <c r="E134" s="18">
        <f>IFERROR(
                  Andel_oberoende_av_klimat*VLOOKUP($A134,Leveranser_per_nät,'Leveranser per nät'!E$1,FALSE)
               +Andel_beroende_av_klimat*VLOOKUP($A134,Leveranser_per_nät,'Leveranser per nät'!E$1,FALSE)/VLOOKUP($B134,Korrigeringsfaktor_EI,'Korrigeringsfaktor EI'!E$1,FALSE),
"")</f>
        <v>0</v>
      </c>
      <c r="F134" s="18">
        <f>IFERROR(
                  Andel_oberoende_av_klimat*VLOOKUP($A134,Leveranser_per_nät,'Leveranser per nät'!F$1,FALSE)
               +Andel_beroende_av_klimat*VLOOKUP($A134,Leveranser_per_nät,'Leveranser per nät'!F$1,FALSE)/VLOOKUP($B134,Korrigeringsfaktor_EI,'Korrigeringsfaktor EI'!F$1,FALSE),
"")</f>
        <v>6.1749999999999989</v>
      </c>
      <c r="G134" s="18">
        <f>IFERROR(
                  Andel_oberoende_av_klimat*VLOOKUP($A134,Leveranser_per_nät,'Leveranser per nät'!G$1,FALSE)
               +Andel_beroende_av_klimat*VLOOKUP($A134,Leveranser_per_nät,'Leveranser per nät'!G$1,FALSE)/VLOOKUP($B134,Korrigeringsfaktor_EI,'Korrigeringsfaktor EI'!G$1,FALSE),
"")</f>
        <v>6.3652173913043466</v>
      </c>
      <c r="H134" s="18">
        <f>IFERROR(
                  Andel_oberoende_av_klimat*VLOOKUP($A134,Leveranser_per_nät,'Leveranser per nät'!H$1,FALSE)
               +Andel_beroende_av_klimat*VLOOKUP($A134,Leveranser_per_nät,'Leveranser per nät'!H$1,FALSE)/VLOOKUP($B134,Korrigeringsfaktor_EI,'Korrigeringsfaktor EI'!H$1,FALSE),
"")</f>
        <v>5.9176470588235297</v>
      </c>
      <c r="I134" s="18">
        <f>IFERROR(
                  Andel_oberoende_av_klimat*VLOOKUP($A134,Leveranser_per_nät,'Leveranser per nät'!I$1,FALSE)
               +Andel_beroende_av_klimat*VLOOKUP($A134,Leveranser_per_nät,'Leveranser per nät'!I$1,FALSE)/VLOOKUP($B134,Korrigeringsfaktor_EI,'Korrigeringsfaktor EI'!I$1,FALSE),
"")</f>
        <v>6.7924999999999995</v>
      </c>
      <c r="J134" s="18">
        <f>IFERROR(
                  Andel_oberoende_av_klimat*VLOOKUP($A134,Leveranser_per_nät,'Leveranser per nät'!J$1,FALSE)
               +Andel_beroende_av_klimat*VLOOKUP($A134,Leveranser_per_nät,'Leveranser per nät'!J$1,FALSE)/VLOOKUP($B134,Korrigeringsfaktor_EI,'Korrigeringsfaktor EI'!J$1,FALSE),
"")</f>
        <v>6.9883157894736847</v>
      </c>
      <c r="K134" s="18">
        <f>IFERROR(
                  Andel_oberoende_av_klimat*VLOOKUP($A134,Leveranser_per_nät,'Leveranser per nät'!K$1,FALSE)
               +Andel_beroende_av_klimat*VLOOKUP($A134,Leveranser_per_nät,'Leveranser per nät'!K$1,FALSE)/VLOOKUP($B134,Korrigeringsfaktor_EI,'Korrigeringsfaktor EI'!K$1,FALSE),
"")</f>
        <v>4.690900426544812</v>
      </c>
      <c r="L134" s="18">
        <f>IFERROR(
                  Andel_oberoende_av_klimat*VLOOKUP($A134,Leveranser_per_nät,'Leveranser per nät'!L$1,FALSE)
               +Andel_beroende_av_klimat*VLOOKUP($A134,Leveranser_per_nät,'Leveranser per nät'!L$1,FALSE)/VLOOKUP($B134,Korrigeringsfaktor_EI,'Korrigeringsfaktor EI'!L$1,FALSE),
"")</f>
        <v>4.7263646267670971</v>
      </c>
      <c r="M134" s="18">
        <f>IFERROR(
                  Andel_oberoende_av_klimat*VLOOKUP($A134,Leveranser_per_nät,'Leveranser per nät'!M$1,FALSE)
               +Andel_beroende_av_klimat*VLOOKUP($A134,Leveranser_per_nät,'Leveranser per nät'!M$1,FALSE)/VLOOKUP($B134,Korrigeringsfaktor_EI,'Korrigeringsfaktor EI'!M$1,FALSE),
"")</f>
        <v>6.4581538461538459</v>
      </c>
      <c r="N134" s="18">
        <f>IFERROR(
                  Andel_oberoende_av_klimat*VLOOKUP($A134,Leveranser_per_nät,'Leveranser per nät'!N$1,FALSE)
               +Andel_beroende_av_klimat*VLOOKUP($A134,Leveranser_per_nät,'Leveranser per nät'!N$1,FALSE)/VLOOKUP($B134,Korrigeringsfaktor_EI,'Korrigeringsfaktor EI'!N$1,FALSE),
"")</f>
        <v>7.71875</v>
      </c>
      <c r="O134" s="18">
        <f>IFERROR(
                  Andel_oberoende_av_klimat*VLOOKUP($A134,Leveranser_per_nät,'Leveranser per nät'!O$1,FALSE)
               +Andel_beroende_av_klimat*VLOOKUP($A134,Leveranser_per_nät,'Leveranser per nät'!O$1,FALSE)/VLOOKUP($B134,Korrigeringsfaktor_EI,'Korrigeringsfaktor EI'!O$1,FALSE),
"")</f>
        <v>6.7924999999999995</v>
      </c>
      <c r="P134" s="18">
        <f>IFERROR(
                  Andel_oberoende_av_klimat*VLOOKUP($A134,Leveranser_per_nät,'Leveranser per nät'!P$1,FALSE)
               +Andel_beroende_av_klimat*VLOOKUP($A134,Leveranser_per_nät,'Leveranser per nät'!P$1,FALSE)/VLOOKUP($B134,Korrigeringsfaktor_EI,'Korrigeringsfaktor EI'!P$1,FALSE),
"")</f>
        <v>6.9514851485148519</v>
      </c>
      <c r="Q134" s="18">
        <f>IFERROR(
                  Andel_oberoende_av_klimat*VLOOKUP($A134,Leveranser_per_nät,'Leveranser per nät'!Q$1,FALSE)
               +Andel_beroende_av_klimat*VLOOKUP($A134,Leveranser_per_nät,'Leveranser per nät'!Q$1,FALSE)/VLOOKUP($B134,Korrigeringsfaktor_EI,'Korrigeringsfaktor EI'!Q$1,FALSE),
"")</f>
        <v>7.4036842105263148</v>
      </c>
      <c r="R134" s="18">
        <f>IFERROR(
                  Andel_oberoende_av_klimat*VLOOKUP($A134,Leveranser_per_nät,'Leveranser per nät'!R$1,FALSE)
               +Andel_beroende_av_klimat*VLOOKUP($A134,Leveranser_per_nät,'Leveranser per nät'!R$1,FALSE)/VLOOKUP($B134,Korrigeringsfaktor_EI,'Korrigeringsfaktor EI'!R$1,FALSE),
"")</f>
        <v>8.474139784946237</v>
      </c>
      <c r="S134" s="18">
        <f>IFERROR(
                  Andel_oberoende_av_klimat*VLOOKUP($A134,Leveranser_per_nät,'Leveranser per nät'!S$1,FALSE)
               +Andel_beroende_av_klimat*VLOOKUP($A134,Leveranser_per_nät,'Leveranser per nät'!S$1,FALSE)/VLOOKUP($B134,Korrigeringsfaktor_EI,'Korrigeringsfaktor EI'!S$1,FALSE),
"")</f>
        <v>7.8368932038834949</v>
      </c>
      <c r="T134" s="18">
        <f>IFERROR(
                  Andel_oberoende_av_klimat*VLOOKUP($A134,Leveranser_per_nät,'Leveranser per nät'!T$1,FALSE)
               +Andel_beroende_av_klimat*VLOOKUP($A134,Leveranser_per_nät,'Leveranser per nät'!T$1,FALSE)/VLOOKUP($B134,Korrigeringsfaktor_EI,'Korrigeringsfaktor EI'!T$1,FALSE),
"")</f>
        <v>7.6071428571428577</v>
      </c>
      <c r="U134" s="18">
        <f>IFERROR(
                  Andel_oberoende_av_klimat*VLOOKUP($A134,Leveranser_per_nät,'Leveranser per nät'!U$1,FALSE)
               +Andel_beroende_av_klimat*VLOOKUP($A134,Leveranser_per_nät,'Leveranser per nät'!U$1,FALSE)/VLOOKUP($B134,Korrigeringsfaktor_EI,'Korrigeringsfaktor EI'!U$1,FALSE),
"")</f>
        <v>7.8053846153846154</v>
      </c>
      <c r="V134" s="18">
        <f>IFERROR(
                  Andel_oberoende_av_klimat*VLOOKUP($A134,Leveranser_per_nät,'Leveranser per nät'!V$1,FALSE)
               +Andel_beroende_av_klimat*VLOOKUP($A134,Leveranser_per_nät,'Leveranser per nät'!V$1,FALSE)/VLOOKUP($B134,Korrigeringsfaktor_EI,'Korrigeringsfaktor EI'!V$1,FALSE),
"")</f>
        <v>7.6261702127659579</v>
      </c>
      <c r="W134" s="18">
        <f>IFERROR(
                  Andel_oberoende_av_klimat*VLOOKUP($A134,Leveranser_per_nät,'Leveranser per nät'!W$1,FALSE)
               +Andel_beroende_av_klimat*VLOOKUP($A134,Leveranser_per_nät,'Leveranser per nät'!W$1,FALSE)/VLOOKUP($B134,Korrigeringsfaktor_EI,'Korrigeringsfaktor EI'!W$1,FALSE),
"")</f>
        <v>7.7645360824742262</v>
      </c>
      <c r="X134" s="18">
        <f>IFERROR(
                  Andel_oberoende_av_klimat*VLOOKUP($A134,Leveranser_per_nät,'Leveranser per nät'!X$1,FALSE)
               +Andel_beroende_av_klimat*VLOOKUP($A134,Leveranser_per_nät,'Leveranser per nät'!X$1,FALSE)/VLOOKUP($B134,Korrigeringsfaktor_EI,'Korrigeringsfaktor EI'!X$1,FALSE),
"")</f>
        <v>7.7544444444444443</v>
      </c>
      <c r="Y134" s="18">
        <f>IFERROR(
                  Andel_oberoende_av_klimat*VLOOKUP($A134,Leveranser_per_nät,'Leveranser per nät'!Y$1,FALSE)
               +Andel_beroende_av_klimat*VLOOKUP($A134,Leveranser_per_nät,'Leveranser per nät'!Y$1,FALSE)/VLOOKUP($B134,Korrigeringsfaktor_EI,'Korrigeringsfaktor EI'!Y$1,FALSE),
"")</f>
        <v>7.9688659793814445</v>
      </c>
      <c r="Z134" s="18">
        <f>IFERROR(
                  Andel_oberoende_av_klimat*VLOOKUP($A134,Leveranser_per_nät,'Leveranser per nät'!Z$1,FALSE)
               +Andel_beroende_av_klimat*VLOOKUP($A134,Leveranser_per_nät,'Leveranser per nät'!Z$1,FALSE)/VLOOKUP($B134,Korrigeringsfaktor_EI,'Korrigeringsfaktor EI'!Z$1,FALSE),
"")</f>
        <v>7.8710666666666667</v>
      </c>
      <c r="AA134" s="18">
        <f>IFERROR(
                  Andel_oberoende_av_klimat*VLOOKUP($A134,Leveranser_per_nät,'Leveranser per nät'!AA$1,FALSE)
               +Andel_beroende_av_klimat*VLOOKUP($A134,Leveranser_per_nät,'Leveranser per nät'!AA$1,FALSE)/VLOOKUP($B134,Korrigeringsfaktor_EI,'Korrigeringsfaktor EI'!AA$1,FALSE),
"")</f>
        <v>7.352304769143073</v>
      </c>
      <c r="AB134" s="18">
        <f>IFERROR(
                  Andel_oberoende_av_klimat*VLOOKUP($A134,Leveranser_per_nät,'Leveranser per nät'!AB$1,FALSE)
               +Andel_beroende_av_klimat*VLOOKUP($A134,Leveranser_per_nät,'Leveranser per nät'!AB$1,FALSE)/VLOOKUP($B134,Korrigeringsfaktor_EI,'Korrigeringsfaktor EI'!AB$1,FALSE),
"")</f>
        <v>7.581492156862744</v>
      </c>
      <c r="AC134" s="18">
        <f>IFERROR(
                  Andel_oberoende_av_klimat*VLOOKUP($A134,Leveranser_per_nät,'Leveranser per nät'!AC$1,FALSE)
               +Andel_beroende_av_klimat*VLOOKUP($A134,Leveranser_per_nät,'Leveranser per nät'!AC$1,FALSE)/VLOOKUP($B134,Korrigeringsfaktor_EI,'Korrigeringsfaktor EI'!AC$1,FALSE),
"")</f>
        <v>7.2629061855670098</v>
      </c>
      <c r="AD134">
        <v>25.927</v>
      </c>
    </row>
    <row r="135" spans="1:30" x14ac:dyDescent="0.25">
      <c r="A135" t="s">
        <v>145</v>
      </c>
      <c r="B135" t="s">
        <v>145</v>
      </c>
      <c r="C135" s="18">
        <f>IFERROR(
                  Andel_oberoende_av_klimat*VLOOKUP($A135,Leveranser_per_nät,'Leveranser per nät'!C$1,FALSE)
               +Andel_beroende_av_klimat*VLOOKUP($A135,Leveranser_per_nät,'Leveranser per nät'!C$1,FALSE)/VLOOKUP($B135,Korrigeringsfaktor_EI,'Korrigeringsfaktor EI'!C$1,FALSE),
"")</f>
        <v>56.298130841121491</v>
      </c>
      <c r="D135" s="18">
        <f>IFERROR(
                  Andel_oberoende_av_klimat*VLOOKUP($A135,Leveranser_per_nät,'Leveranser per nät'!D$1,FALSE)
               +Andel_beroende_av_klimat*VLOOKUP($A135,Leveranser_per_nät,'Leveranser per nät'!D$1,FALSE)/VLOOKUP($B135,Korrigeringsfaktor_EI,'Korrigeringsfaktor EI'!D$1,FALSE),
"")</f>
        <v>56.549368421052634</v>
      </c>
      <c r="E135" s="18">
        <f>IFERROR(
                  Andel_oberoende_av_klimat*VLOOKUP($A135,Leveranser_per_nät,'Leveranser per nät'!E$1,FALSE)
               +Andel_beroende_av_klimat*VLOOKUP($A135,Leveranser_per_nät,'Leveranser per nät'!E$1,FALSE)/VLOOKUP($B135,Korrigeringsfaktor_EI,'Korrigeringsfaktor EI'!E$1,FALSE),
"")</f>
        <v>54.618811881188122</v>
      </c>
      <c r="F135" s="18">
        <f>IFERROR(
                  Andel_oberoende_av_klimat*VLOOKUP($A135,Leveranser_per_nät,'Leveranser per nät'!F$1,FALSE)
               +Andel_beroende_av_klimat*VLOOKUP($A135,Leveranser_per_nät,'Leveranser per nät'!F$1,FALSE)/VLOOKUP($B135,Korrigeringsfaktor_EI,'Korrigeringsfaktor EI'!F$1,FALSE),
"")</f>
        <v>61.298969072164951</v>
      </c>
      <c r="G135" s="18">
        <f>IFERROR(
                  Andel_oberoende_av_klimat*VLOOKUP($A135,Leveranser_per_nät,'Leveranser per nät'!G$1,FALSE)
               +Andel_beroende_av_klimat*VLOOKUP($A135,Leveranser_per_nät,'Leveranser per nät'!G$1,FALSE)/VLOOKUP($B135,Korrigeringsfaktor_EI,'Korrigeringsfaktor EI'!G$1,FALSE),
"")</f>
        <v>66.903594444444451</v>
      </c>
      <c r="H135" s="18">
        <f>IFERROR(
                  Andel_oberoende_av_klimat*VLOOKUP($A135,Leveranser_per_nät,'Leveranser per nät'!H$1,FALSE)
               +Andel_beroende_av_klimat*VLOOKUP($A135,Leveranser_per_nät,'Leveranser per nät'!H$1,FALSE)/VLOOKUP($B135,Korrigeringsfaktor_EI,'Korrigeringsfaktor EI'!H$1,FALSE),
"")</f>
        <v>64.150999999999996</v>
      </c>
      <c r="I135" s="18">
        <f>IFERROR(
                  Andel_oberoende_av_klimat*VLOOKUP($A135,Leveranser_per_nät,'Leveranser per nät'!I$1,FALSE)
               +Andel_beroende_av_klimat*VLOOKUP($A135,Leveranser_per_nät,'Leveranser per nät'!I$1,FALSE)/VLOOKUP($B135,Korrigeringsfaktor_EI,'Korrigeringsfaktor EI'!I$1,FALSE),
"")</f>
        <v>66.022070833333331</v>
      </c>
      <c r="J135" s="18">
        <f>IFERROR(
                  Andel_oberoende_av_klimat*VLOOKUP($A135,Leveranser_per_nät,'Leveranser per nät'!J$1,FALSE)
               +Andel_beroende_av_klimat*VLOOKUP($A135,Leveranser_per_nät,'Leveranser per nät'!J$1,FALSE)/VLOOKUP($B135,Korrigeringsfaktor_EI,'Korrigeringsfaktor EI'!J$1,FALSE),
"")</f>
        <v>64.363917525773189</v>
      </c>
      <c r="K135" s="18">
        <f>IFERROR(
                  Andel_oberoende_av_klimat*VLOOKUP($A135,Leveranser_per_nät,'Leveranser per nät'!K$1,FALSE)
               +Andel_beroende_av_klimat*VLOOKUP($A135,Leveranser_per_nät,'Leveranser per nät'!K$1,FALSE)/VLOOKUP($B135,Korrigeringsfaktor_EI,'Korrigeringsfaktor EI'!K$1,FALSE),
"")</f>
        <v>65.385567010309273</v>
      </c>
      <c r="L135" s="18">
        <f>IFERROR(
                  Andel_oberoende_av_klimat*VLOOKUP($A135,Leveranser_per_nät,'Leveranser per nät'!L$1,FALSE)
               +Andel_beroende_av_klimat*VLOOKUP($A135,Leveranser_per_nät,'Leveranser per nät'!L$1,FALSE)/VLOOKUP($B135,Korrigeringsfaktor_EI,'Korrigeringsfaktor EI'!L$1,FALSE),
"")</f>
        <v>59.337872340425534</v>
      </c>
      <c r="M135" s="18">
        <f>IFERROR(
                  Andel_oberoende_av_klimat*VLOOKUP($A135,Leveranser_per_nät,'Leveranser per nät'!M$1,FALSE)
               +Andel_beroende_av_klimat*VLOOKUP($A135,Leveranser_per_nät,'Leveranser per nät'!M$1,FALSE)/VLOOKUP($B135,Korrigeringsfaktor_EI,'Korrigeringsfaktor EI'!M$1,FALSE),
"")</f>
        <v>63.01565217391304</v>
      </c>
      <c r="N135" s="18">
        <f>IFERROR(
                  Andel_oberoende_av_klimat*VLOOKUP($A135,Leveranser_per_nät,'Leveranser per nät'!N$1,FALSE)
               +Andel_beroende_av_klimat*VLOOKUP($A135,Leveranser_per_nät,'Leveranser per nät'!N$1,FALSE)/VLOOKUP($B135,Korrigeringsfaktor_EI,'Korrigeringsfaktor EI'!N$1,FALSE),
"")</f>
        <v>63.485255319148948</v>
      </c>
      <c r="O135" s="18">
        <f>IFERROR(
                  Andel_oberoende_av_klimat*VLOOKUP($A135,Leveranser_per_nät,'Leveranser per nät'!O$1,FALSE)
               +Andel_beroende_av_klimat*VLOOKUP($A135,Leveranser_per_nät,'Leveranser per nät'!O$1,FALSE)/VLOOKUP($B135,Korrigeringsfaktor_EI,'Korrigeringsfaktor EI'!O$1,FALSE),
"")</f>
        <v>64.12638260869565</v>
      </c>
      <c r="P135" s="18">
        <f>IFERROR(
                  Andel_oberoende_av_klimat*VLOOKUP($A135,Leveranser_per_nät,'Leveranser per nät'!P$1,FALSE)
               +Andel_beroende_av_klimat*VLOOKUP($A135,Leveranser_per_nät,'Leveranser per nät'!P$1,FALSE)/VLOOKUP($B135,Korrigeringsfaktor_EI,'Korrigeringsfaktor EI'!P$1,FALSE),
"")</f>
        <v>66.618697938144322</v>
      </c>
      <c r="Q135" s="18">
        <f>IFERROR(
                  Andel_oberoende_av_klimat*VLOOKUP($A135,Leveranser_per_nät,'Leveranser per nät'!Q$1,FALSE)
               +Andel_beroende_av_klimat*VLOOKUP($A135,Leveranser_per_nät,'Leveranser per nät'!Q$1,FALSE)/VLOOKUP($B135,Korrigeringsfaktor_EI,'Korrigeringsfaktor EI'!Q$1,FALSE),
"")</f>
        <v>68.500442477876121</v>
      </c>
      <c r="R135" s="18">
        <f>IFERROR(
                  Andel_oberoende_av_klimat*VLOOKUP($A135,Leveranser_per_nät,'Leveranser per nät'!R$1,FALSE)
               +Andel_beroende_av_klimat*VLOOKUP($A135,Leveranser_per_nät,'Leveranser per nät'!R$1,FALSE)/VLOOKUP($B135,Korrigeringsfaktor_EI,'Korrigeringsfaktor EI'!R$1,FALSE),
"")</f>
        <v>64.47461538461539</v>
      </c>
      <c r="S135" s="18">
        <f>IFERROR(
                  Andel_oberoende_av_klimat*VLOOKUP($A135,Leveranser_per_nät,'Leveranser per nät'!S$1,FALSE)
               +Andel_beroende_av_klimat*VLOOKUP($A135,Leveranser_per_nät,'Leveranser per nät'!S$1,FALSE)/VLOOKUP($B135,Korrigeringsfaktor_EI,'Korrigeringsfaktor EI'!S$1,FALSE),
"")</f>
        <v>61</v>
      </c>
      <c r="T135" s="18">
        <f>IFERROR(
                  Andel_oberoende_av_klimat*VLOOKUP($A135,Leveranser_per_nät,'Leveranser per nät'!T$1,FALSE)
               +Andel_beroende_av_klimat*VLOOKUP($A135,Leveranser_per_nät,'Leveranser per nät'!T$1,FALSE)/VLOOKUP($B135,Korrigeringsfaktor_EI,'Korrigeringsfaktor EI'!T$1,FALSE),
"")</f>
        <v>64.076842105263154</v>
      </c>
      <c r="U135" s="18">
        <f>IFERROR(
                  Andel_oberoende_av_klimat*VLOOKUP($A135,Leveranser_per_nät,'Leveranser per nät'!U$1,FALSE)
               +Andel_beroende_av_klimat*VLOOKUP($A135,Leveranser_per_nät,'Leveranser per nät'!U$1,FALSE)/VLOOKUP($B135,Korrigeringsfaktor_EI,'Korrigeringsfaktor EI'!U$1,FALSE),
"")</f>
        <v>59.663076923076922</v>
      </c>
      <c r="V135" s="18">
        <f>IFERROR(
                  Andel_oberoende_av_klimat*VLOOKUP($A135,Leveranser_per_nät,'Leveranser per nät'!V$1,FALSE)
               +Andel_beroende_av_klimat*VLOOKUP($A135,Leveranser_per_nät,'Leveranser per nät'!V$1,FALSE)/VLOOKUP($B135,Korrigeringsfaktor_EI,'Korrigeringsfaktor EI'!V$1,FALSE),
"")</f>
        <v>59.833043478260869</v>
      </c>
      <c r="W135" s="18">
        <f>IFERROR(
                  Andel_oberoende_av_klimat*VLOOKUP($A135,Leveranser_per_nät,'Leveranser per nät'!W$1,FALSE)
               +Andel_beroende_av_klimat*VLOOKUP($A135,Leveranser_per_nät,'Leveranser per nät'!W$1,FALSE)/VLOOKUP($B135,Korrigeringsfaktor_EI,'Korrigeringsfaktor EI'!W$1,FALSE),
"")</f>
        <v>61.955833333333338</v>
      </c>
      <c r="X135" s="18">
        <f>IFERROR(
                  Andel_oberoende_av_klimat*VLOOKUP($A135,Leveranser_per_nät,'Leveranser per nät'!X$1,FALSE)
               +Andel_beroende_av_klimat*VLOOKUP($A135,Leveranser_per_nät,'Leveranser per nät'!X$1,FALSE)/VLOOKUP($B135,Korrigeringsfaktor_EI,'Korrigeringsfaktor EI'!X$1,FALSE),
"")</f>
        <v>59.618421052631589</v>
      </c>
      <c r="Y135" s="18">
        <f>IFERROR(
                  Andel_oberoende_av_klimat*VLOOKUP($A135,Leveranser_per_nät,'Leveranser per nät'!Y$1,FALSE)
               +Andel_beroende_av_klimat*VLOOKUP($A135,Leveranser_per_nät,'Leveranser per nät'!Y$1,FALSE)/VLOOKUP($B135,Korrigeringsfaktor_EI,'Korrigeringsfaktor EI'!Y$1,FALSE),
"")</f>
        <v>59.514782608695654</v>
      </c>
      <c r="Z135" s="18">
        <f>IFERROR(
                  Andel_oberoende_av_klimat*VLOOKUP($A135,Leveranser_per_nät,'Leveranser per nät'!Z$1,FALSE)
               +Andel_beroende_av_klimat*VLOOKUP($A135,Leveranser_per_nät,'Leveranser per nät'!Z$1,FALSE)/VLOOKUP($B135,Korrigeringsfaktor_EI,'Korrigeringsfaktor EI'!Z$1,FALSE),
"")</f>
        <v>59.302608695652168</v>
      </c>
      <c r="AA135" s="18">
        <f>IFERROR(
                  Andel_oberoende_av_klimat*VLOOKUP($A135,Leveranser_per_nät,'Leveranser per nät'!AA$1,FALSE)
               +Andel_beroende_av_klimat*VLOOKUP($A135,Leveranser_per_nät,'Leveranser per nät'!AA$1,FALSE)/VLOOKUP($B135,Korrigeringsfaktor_EI,'Korrigeringsfaktor EI'!AA$1,FALSE),
"")</f>
        <v>57.200009617696558</v>
      </c>
      <c r="AB135" s="18">
        <f>IFERROR(
                  Andel_oberoende_av_klimat*VLOOKUP($A135,Leveranser_per_nät,'Leveranser per nät'!AB$1,FALSE)
               +Andel_beroende_av_klimat*VLOOKUP($A135,Leveranser_per_nät,'Leveranser per nät'!AB$1,FALSE)/VLOOKUP($B135,Korrigeringsfaktor_EI,'Korrigeringsfaktor EI'!AB$1,FALSE),
"")</f>
        <v>58.564176706827311</v>
      </c>
      <c r="AC135" s="18">
        <f>IFERROR(
                  Andel_oberoende_av_klimat*VLOOKUP($A135,Leveranser_per_nät,'Leveranser per nät'!AC$1,FALSE)
               +Andel_beroende_av_klimat*VLOOKUP($A135,Leveranser_per_nät,'Leveranser per nät'!AC$1,FALSE)/VLOOKUP($B135,Korrigeringsfaktor_EI,'Korrigeringsfaktor EI'!AC$1,FALSE),
"")</f>
        <v>58.430617796610164</v>
      </c>
      <c r="AD135">
        <v>56.100999999999999</v>
      </c>
    </row>
    <row r="136" spans="1:30" x14ac:dyDescent="0.25">
      <c r="A136" s="3" t="s">
        <v>16</v>
      </c>
      <c r="B136" t="s">
        <v>527</v>
      </c>
      <c r="C136" s="18">
        <f>IFERROR(
                  Andel_oberoende_av_klimat*VLOOKUP($A136,Leveranser_per_nät,'Leveranser per nät'!C$1,FALSE)
               +Andel_beroende_av_klimat*VLOOKUP($A136,Leveranser_per_nät,'Leveranser per nät'!C$1,FALSE)/VLOOKUP($B136,Korrigeringsfaktor_EI,'Korrigeringsfaktor EI'!C$1,FALSE),
"")</f>
        <v>0</v>
      </c>
      <c r="D136" s="18">
        <f>IFERROR(
                  Andel_oberoende_av_klimat*VLOOKUP($A136,Leveranser_per_nät,'Leveranser per nät'!D$1,FALSE)
               +Andel_beroende_av_klimat*VLOOKUP($A136,Leveranser_per_nät,'Leveranser per nät'!D$1,FALSE)/VLOOKUP($B136,Korrigeringsfaktor_EI,'Korrigeringsfaktor EI'!D$1,FALSE),
"")</f>
        <v>3.4838247422680415</v>
      </c>
      <c r="E136" s="18">
        <f>IFERROR(
                  Andel_oberoende_av_klimat*VLOOKUP($A136,Leveranser_per_nät,'Leveranser per nät'!E$1,FALSE)
               +Andel_beroende_av_klimat*VLOOKUP($A136,Leveranser_per_nät,'Leveranser per nät'!E$1,FALSE)/VLOOKUP($B136,Korrigeringsfaktor_EI,'Korrigeringsfaktor EI'!E$1,FALSE),
"")</f>
        <v>3.9184466019417474</v>
      </c>
      <c r="F136" s="18">
        <f>IFERROR(
                  Andel_oberoende_av_klimat*VLOOKUP($A136,Leveranser_per_nät,'Leveranser per nät'!F$1,FALSE)
               +Andel_beroende_av_klimat*VLOOKUP($A136,Leveranser_per_nät,'Leveranser per nät'!F$1,FALSE)/VLOOKUP($B136,Korrigeringsfaktor_EI,'Korrigeringsfaktor EI'!F$1,FALSE),
"")</f>
        <v>0</v>
      </c>
      <c r="G136" s="18">
        <f>IFERROR(
                  Andel_oberoende_av_klimat*VLOOKUP($A136,Leveranser_per_nät,'Leveranser per nät'!G$1,FALSE)
               +Andel_beroende_av_klimat*VLOOKUP($A136,Leveranser_per_nät,'Leveranser per nät'!G$1,FALSE)/VLOOKUP($B136,Korrigeringsfaktor_EI,'Korrigeringsfaktor EI'!G$1,FALSE),
"")</f>
        <v>0</v>
      </c>
      <c r="H136" s="18">
        <f>IFERROR(
                  Andel_oberoende_av_klimat*VLOOKUP($A136,Leveranser_per_nät,'Leveranser per nät'!H$1,FALSE)
               +Andel_beroende_av_klimat*VLOOKUP($A136,Leveranser_per_nät,'Leveranser per nät'!H$1,FALSE)/VLOOKUP($B136,Korrigeringsfaktor_EI,'Korrigeringsfaktor EI'!H$1,FALSE),
"")</f>
        <v>0</v>
      </c>
      <c r="I136" s="18">
        <f>IFERROR(
                  Andel_oberoende_av_klimat*VLOOKUP($A136,Leveranser_per_nät,'Leveranser per nät'!I$1,FALSE)
               +Andel_beroende_av_klimat*VLOOKUP($A136,Leveranser_per_nät,'Leveranser per nät'!I$1,FALSE)/VLOOKUP($B136,Korrigeringsfaktor_EI,'Korrigeringsfaktor EI'!I$1,FALSE),
"")</f>
        <v>0</v>
      </c>
      <c r="J136" s="18">
        <f>IFERROR(
                  Andel_oberoende_av_klimat*VLOOKUP($A136,Leveranser_per_nät,'Leveranser per nät'!J$1,FALSE)
               +Andel_beroende_av_klimat*VLOOKUP($A136,Leveranser_per_nät,'Leveranser per nät'!J$1,FALSE)/VLOOKUP($B136,Korrigeringsfaktor_EI,'Korrigeringsfaktor EI'!J$1,FALSE),
"")</f>
        <v>0</v>
      </c>
      <c r="K136" s="18">
        <f>IFERROR(
                  Andel_oberoende_av_klimat*VLOOKUP($A136,Leveranser_per_nät,'Leveranser per nät'!K$1,FALSE)
               +Andel_beroende_av_klimat*VLOOKUP($A136,Leveranser_per_nät,'Leveranser per nät'!K$1,FALSE)/VLOOKUP($B136,Korrigeringsfaktor_EI,'Korrigeringsfaktor EI'!K$1,FALSE),
"")</f>
        <v>0</v>
      </c>
      <c r="L136" s="18">
        <f>IFERROR(
                  Andel_oberoende_av_klimat*VLOOKUP($A136,Leveranser_per_nät,'Leveranser per nät'!L$1,FALSE)
               +Andel_beroende_av_klimat*VLOOKUP($A136,Leveranser_per_nät,'Leveranser per nät'!L$1,FALSE)/VLOOKUP($B136,Korrigeringsfaktor_EI,'Korrigeringsfaktor EI'!L$1,FALSE),
"")</f>
        <v>0</v>
      </c>
      <c r="M136" s="18">
        <f>IFERROR(
                  Andel_oberoende_av_klimat*VLOOKUP($A136,Leveranser_per_nät,'Leveranser per nät'!M$1,FALSE)
               +Andel_beroende_av_klimat*VLOOKUP($A136,Leveranser_per_nät,'Leveranser per nät'!M$1,FALSE)/VLOOKUP($B136,Korrigeringsfaktor_EI,'Korrigeringsfaktor EI'!M$1,FALSE),
"")</f>
        <v>0</v>
      </c>
      <c r="N136" s="18">
        <f>IFERROR(
                  Andel_oberoende_av_klimat*VLOOKUP($A136,Leveranser_per_nät,'Leveranser per nät'!N$1,FALSE)
               +Andel_beroende_av_klimat*VLOOKUP($A136,Leveranser_per_nät,'Leveranser per nät'!N$1,FALSE)/VLOOKUP($B136,Korrigeringsfaktor_EI,'Korrigeringsfaktor EI'!N$1,FALSE),
"")</f>
        <v>0</v>
      </c>
      <c r="O136" s="18">
        <f>IFERROR(
                  Andel_oberoende_av_klimat*VLOOKUP($A136,Leveranser_per_nät,'Leveranser per nät'!O$1,FALSE)
               +Andel_beroende_av_klimat*VLOOKUP($A136,Leveranser_per_nät,'Leveranser per nät'!O$1,FALSE)/VLOOKUP($B136,Korrigeringsfaktor_EI,'Korrigeringsfaktor EI'!O$1,FALSE),
"")</f>
        <v>0</v>
      </c>
      <c r="P136" s="18">
        <f>IFERROR(
                  Andel_oberoende_av_klimat*VLOOKUP($A136,Leveranser_per_nät,'Leveranser per nät'!P$1,FALSE)
               +Andel_beroende_av_klimat*VLOOKUP($A136,Leveranser_per_nät,'Leveranser per nät'!P$1,FALSE)/VLOOKUP($B136,Korrigeringsfaktor_EI,'Korrigeringsfaktor EI'!P$1,FALSE),
"")</f>
        <v>0</v>
      </c>
      <c r="Q136" s="18">
        <f>IFERROR(
                  Andel_oberoende_av_klimat*VLOOKUP($A136,Leveranser_per_nät,'Leveranser per nät'!Q$1,FALSE)
               +Andel_beroende_av_klimat*VLOOKUP($A136,Leveranser_per_nät,'Leveranser per nät'!Q$1,FALSE)/VLOOKUP($B136,Korrigeringsfaktor_EI,'Korrigeringsfaktor EI'!Q$1,FALSE),
"")</f>
        <v>3.9774999999999996</v>
      </c>
      <c r="R136" s="18">
        <f>IFERROR(
                  Andel_oberoende_av_klimat*VLOOKUP($A136,Leveranser_per_nät,'Leveranser per nät'!R$1,FALSE)
               +Andel_beroende_av_klimat*VLOOKUP($A136,Leveranser_per_nät,'Leveranser per nät'!R$1,FALSE)/VLOOKUP($B136,Korrigeringsfaktor_EI,'Korrigeringsfaktor EI'!R$1,FALSE),
"")</f>
        <v>3.9114606741573033</v>
      </c>
      <c r="S136" s="18">
        <f>IFERROR(
                  Andel_oberoende_av_klimat*VLOOKUP($A136,Leveranser_per_nät,'Leveranser per nät'!S$1,FALSE)
               +Andel_beroende_av_klimat*VLOOKUP($A136,Leveranser_per_nät,'Leveranser per nät'!S$1,FALSE)/VLOOKUP($B136,Korrigeringsfaktor_EI,'Korrigeringsfaktor EI'!S$1,FALSE),
"")</f>
        <v>3.7736633663366335</v>
      </c>
      <c r="T136" s="18">
        <f>IFERROR(
                  Andel_oberoende_av_klimat*VLOOKUP($A136,Leveranser_per_nät,'Leveranser per nät'!T$1,FALSE)
               +Andel_beroende_av_klimat*VLOOKUP($A136,Leveranser_per_nät,'Leveranser per nät'!T$1,FALSE)/VLOOKUP($B136,Korrigeringsfaktor_EI,'Korrigeringsfaktor EI'!T$1,FALSE),
"")</f>
        <v>3.8363157894736846</v>
      </c>
      <c r="U136" s="18">
        <f>IFERROR(
                  Andel_oberoende_av_klimat*VLOOKUP($A136,Leveranser_per_nät,'Leveranser per nät'!U$1,FALSE)
               +Andel_beroende_av_klimat*VLOOKUP($A136,Leveranser_per_nät,'Leveranser per nät'!U$1,FALSE)/VLOOKUP($B136,Korrigeringsfaktor_EI,'Korrigeringsfaktor EI'!U$1,FALSE),
"")</f>
        <v>3.6567692307692301</v>
      </c>
      <c r="V136" s="18">
        <f>IFERROR(
                  Andel_oberoende_av_klimat*VLOOKUP($A136,Leveranser_per_nät,'Leveranser per nät'!V$1,FALSE)
               +Andel_beroende_av_klimat*VLOOKUP($A136,Leveranser_per_nät,'Leveranser per nät'!V$1,FALSE)/VLOOKUP($B136,Korrigeringsfaktor_EI,'Korrigeringsfaktor EI'!V$1,FALSE),
"")</f>
        <v>3.5793739130434785</v>
      </c>
      <c r="W136" s="18">
        <f>IFERROR(
                  Andel_oberoende_av_klimat*VLOOKUP($A136,Leveranser_per_nät,'Leveranser per nät'!W$1,FALSE)
               +Andel_beroende_av_klimat*VLOOKUP($A136,Leveranser_per_nät,'Leveranser per nät'!W$1,FALSE)/VLOOKUP($B136,Korrigeringsfaktor_EI,'Korrigeringsfaktor EI'!W$1,FALSE),
"")</f>
        <v>3.49505</v>
      </c>
      <c r="X136" s="18">
        <f>IFERROR(
                  Andel_oberoende_av_klimat*VLOOKUP($A136,Leveranser_per_nät,'Leveranser per nät'!X$1,FALSE)
               +Andel_beroende_av_klimat*VLOOKUP($A136,Leveranser_per_nät,'Leveranser per nät'!X$1,FALSE)/VLOOKUP($B136,Korrigeringsfaktor_EI,'Korrigeringsfaktor EI'!X$1,FALSE),
"")</f>
        <v>3.7050000000000001</v>
      </c>
      <c r="Y136" s="18">
        <f>IFERROR(
                  Andel_oberoende_av_klimat*VLOOKUP($A136,Leveranser_per_nät,'Leveranser per nät'!Y$1,FALSE)
               +Andel_beroende_av_klimat*VLOOKUP($A136,Leveranser_per_nät,'Leveranser per nät'!Y$1,FALSE)/VLOOKUP($B136,Korrigeringsfaktor_EI,'Korrigeringsfaktor EI'!Y$1,FALSE),
"")</f>
        <v>3.3947826086956523</v>
      </c>
      <c r="Z136" s="18">
        <f>IFERROR(
                  Andel_oberoende_av_klimat*VLOOKUP($A136,Leveranser_per_nät,'Leveranser per nät'!Z$1,FALSE)
               +Andel_beroende_av_klimat*VLOOKUP($A136,Leveranser_per_nät,'Leveranser per nät'!Z$1,FALSE)/VLOOKUP($B136,Korrigeringsfaktor_EI,'Korrigeringsfaktor EI'!Z$1,FALSE),
"")</f>
        <v>3.368602150537634</v>
      </c>
      <c r="AA136" s="18">
        <f>IFERROR(
                  Andel_oberoende_av_klimat*VLOOKUP($A136,Leveranser_per_nät,'Leveranser per nät'!AA$1,FALSE)
               +Andel_beroende_av_klimat*VLOOKUP($A136,Leveranser_per_nät,'Leveranser per nät'!AA$1,FALSE)/VLOOKUP($B136,Korrigeringsfaktor_EI,'Korrigeringsfaktor EI'!AA$1,FALSE),
"")</f>
        <v>3.2987409982617328</v>
      </c>
      <c r="AB136" s="18">
        <f>IFERROR(
                  Andel_oberoende_av_klimat*VLOOKUP($A136,Leveranser_per_nät,'Leveranser per nät'!AB$1,FALSE)
               +Andel_beroende_av_klimat*VLOOKUP($A136,Leveranser_per_nät,'Leveranser per nät'!AB$1,FALSE)/VLOOKUP($B136,Korrigeringsfaktor_EI,'Korrigeringsfaktor EI'!AB$1,FALSE),
"")</f>
        <v>3.2907968127490039</v>
      </c>
      <c r="AC136" s="18">
        <f>IFERROR(
                  Andel_oberoende_av_klimat*VLOOKUP($A136,Leveranser_per_nät,'Leveranser per nät'!AC$1,FALSE)
               +Andel_beroende_av_klimat*VLOOKUP($A136,Leveranser_per_nät,'Leveranser per nät'!AC$1,FALSE)/VLOOKUP($B136,Korrigeringsfaktor_EI,'Korrigeringsfaktor EI'!AC$1,FALSE),
"")</f>
        <v>3.1820684210526311</v>
      </c>
      <c r="AD136" t="e">
        <v>#N/A</v>
      </c>
    </row>
    <row r="137" spans="1:30" x14ac:dyDescent="0.25">
      <c r="A137" t="s">
        <v>373</v>
      </c>
      <c r="B137" t="s">
        <v>373</v>
      </c>
      <c r="C137" s="18">
        <f>IFERROR(
                  Andel_oberoende_av_klimat*VLOOKUP($A137,Leveranser_per_nät,'Leveranser per nät'!C$1,FALSE)
               +Andel_beroende_av_klimat*VLOOKUP($A137,Leveranser_per_nät,'Leveranser per nät'!C$1,FALSE)/VLOOKUP($B137,Korrigeringsfaktor_EI,'Korrigeringsfaktor EI'!C$1,FALSE),
"")</f>
        <v>951.10450450450446</v>
      </c>
      <c r="D137" s="18">
        <f>IFERROR(
                  Andel_oberoende_av_klimat*VLOOKUP($A137,Leveranser_per_nät,'Leveranser per nät'!D$1,FALSE)
               +Andel_beroende_av_klimat*VLOOKUP($A137,Leveranser_per_nät,'Leveranser per nät'!D$1,FALSE)/VLOOKUP($B137,Korrigeringsfaktor_EI,'Korrigeringsfaktor EI'!D$1,FALSE),
"")</f>
        <v>920.9923366336634</v>
      </c>
      <c r="E137" s="18">
        <f>IFERROR(
                  Andel_oberoende_av_klimat*VLOOKUP($A137,Leveranser_per_nät,'Leveranser per nät'!E$1,FALSE)
               +Andel_beroende_av_klimat*VLOOKUP($A137,Leveranser_per_nät,'Leveranser per nät'!E$1,FALSE)/VLOOKUP($B137,Korrigeringsfaktor_EI,'Korrigeringsfaktor EI'!E$1,FALSE),
"")</f>
        <v>905.39999999999986</v>
      </c>
      <c r="F137" s="18">
        <f>IFERROR(
                  Andel_oberoende_av_klimat*VLOOKUP($A137,Leveranser_per_nät,'Leveranser per nät'!F$1,FALSE)
               +Andel_beroende_av_klimat*VLOOKUP($A137,Leveranser_per_nät,'Leveranser per nät'!F$1,FALSE)/VLOOKUP($B137,Korrigeringsfaktor_EI,'Korrigeringsfaktor EI'!F$1,FALSE),
"")</f>
        <v>918.01666666666665</v>
      </c>
      <c r="G137" s="18">
        <f>IFERROR(
                  Andel_oberoende_av_klimat*VLOOKUP($A137,Leveranser_per_nät,'Leveranser per nät'!G$1,FALSE)
               +Andel_beroende_av_klimat*VLOOKUP($A137,Leveranser_per_nät,'Leveranser per nät'!G$1,FALSE)/VLOOKUP($B137,Korrigeringsfaktor_EI,'Korrigeringsfaktor EI'!G$1,FALSE),
"")</f>
        <v>905.63846153846157</v>
      </c>
      <c r="H137" s="18">
        <f>IFERROR(
                  Andel_oberoende_av_klimat*VLOOKUP($A137,Leveranser_per_nät,'Leveranser per nät'!H$1,FALSE)
               +Andel_beroende_av_klimat*VLOOKUP($A137,Leveranser_per_nät,'Leveranser per nät'!H$1,FALSE)/VLOOKUP($B137,Korrigeringsfaktor_EI,'Korrigeringsfaktor EI'!H$1,FALSE),
"")</f>
        <v>938.58989898989898</v>
      </c>
      <c r="I137" s="18">
        <f>IFERROR(
                  Andel_oberoende_av_klimat*VLOOKUP($A137,Leveranser_per_nät,'Leveranser per nät'!I$1,FALSE)
               +Andel_beroende_av_klimat*VLOOKUP($A137,Leveranser_per_nät,'Leveranser per nät'!I$1,FALSE)/VLOOKUP($B137,Korrigeringsfaktor_EI,'Korrigeringsfaktor EI'!I$1,FALSE),
"")</f>
        <v>955.04723404255333</v>
      </c>
      <c r="J137" s="18">
        <f>IFERROR(
                  Andel_oberoende_av_klimat*VLOOKUP($A137,Leveranser_per_nät,'Leveranser per nät'!J$1,FALSE)
               +Andel_beroende_av_klimat*VLOOKUP($A137,Leveranser_per_nät,'Leveranser per nät'!J$1,FALSE)/VLOOKUP($B137,Korrigeringsfaktor_EI,'Korrigeringsfaktor EI'!J$1,FALSE),
"")</f>
        <v>939.62916666666661</v>
      </c>
      <c r="K137" s="18">
        <f>IFERROR(
                  Andel_oberoende_av_klimat*VLOOKUP($A137,Leveranser_per_nät,'Leveranser per nät'!K$1,FALSE)
               +Andel_beroende_av_klimat*VLOOKUP($A137,Leveranser_per_nät,'Leveranser per nät'!K$1,FALSE)/VLOOKUP($B137,Korrigeringsfaktor_EI,'Korrigeringsfaktor EI'!K$1,FALSE),
"")</f>
        <v>918.80411752577311</v>
      </c>
      <c r="L137" s="18">
        <f>IFERROR(
                  Andel_oberoende_av_klimat*VLOOKUP($A137,Leveranser_per_nät,'Leveranser per nät'!L$1,FALSE)
               +Andel_beroende_av_klimat*VLOOKUP($A137,Leveranser_per_nät,'Leveranser per nät'!L$1,FALSE)/VLOOKUP($B137,Korrigeringsfaktor_EI,'Korrigeringsfaktor EI'!L$1,FALSE),
"")</f>
        <v>907.54789473684207</v>
      </c>
      <c r="M137" s="18">
        <f>IFERROR(
                  Andel_oberoende_av_klimat*VLOOKUP($A137,Leveranser_per_nät,'Leveranser per nät'!M$1,FALSE)
               +Andel_beroende_av_klimat*VLOOKUP($A137,Leveranser_per_nät,'Leveranser per nät'!M$1,FALSE)/VLOOKUP($B137,Korrigeringsfaktor_EI,'Korrigeringsfaktor EI'!M$1,FALSE),
"")</f>
        <v>897.25462307692305</v>
      </c>
      <c r="N137" s="18">
        <f>IFERROR(
                  Andel_oberoende_av_klimat*VLOOKUP($A137,Leveranser_per_nät,'Leveranser per nät'!N$1,FALSE)
               +Andel_beroende_av_klimat*VLOOKUP($A137,Leveranser_per_nät,'Leveranser per nät'!N$1,FALSE)/VLOOKUP($B137,Korrigeringsfaktor_EI,'Korrigeringsfaktor EI'!N$1,FALSE),
"")</f>
        <v>911.76039662921346</v>
      </c>
      <c r="O137" s="18">
        <f>IFERROR(
                  Andel_oberoende_av_klimat*VLOOKUP($A137,Leveranser_per_nät,'Leveranser per nät'!O$1,FALSE)
               +Andel_beroende_av_klimat*VLOOKUP($A137,Leveranser_per_nät,'Leveranser per nät'!O$1,FALSE)/VLOOKUP($B137,Korrigeringsfaktor_EI,'Korrigeringsfaktor EI'!O$1,FALSE),
"")</f>
        <v>916.98762921348316</v>
      </c>
      <c r="P137" s="18">
        <f>IFERROR(
                  Andel_oberoende_av_klimat*VLOOKUP($A137,Leveranser_per_nät,'Leveranser per nät'!P$1,FALSE)
               +Andel_beroende_av_klimat*VLOOKUP($A137,Leveranser_per_nät,'Leveranser per nät'!P$1,FALSE)/VLOOKUP($B137,Korrigeringsfaktor_EI,'Korrigeringsfaktor EI'!P$1,FALSE),
"")</f>
        <v>925.13394623655927</v>
      </c>
      <c r="Q137" s="18">
        <f>IFERROR(
                  Andel_oberoende_av_klimat*VLOOKUP($A137,Leveranser_per_nät,'Leveranser per nät'!Q$1,FALSE)
               +Andel_beroende_av_klimat*VLOOKUP($A137,Leveranser_per_nät,'Leveranser per nät'!Q$1,FALSE)/VLOOKUP($B137,Korrigeringsfaktor_EI,'Korrigeringsfaktor EI'!Q$1,FALSE),
"")</f>
        <v>958.82873873873859</v>
      </c>
      <c r="R137" s="18">
        <f>IFERROR(
                  Andel_oberoende_av_klimat*VLOOKUP($A137,Leveranser_per_nät,'Leveranser per nät'!R$1,FALSE)
               +Andel_beroende_av_klimat*VLOOKUP($A137,Leveranser_per_nät,'Leveranser per nät'!R$1,FALSE)/VLOOKUP($B137,Korrigeringsfaktor_EI,'Korrigeringsfaktor EI'!R$1,FALSE),
"")</f>
        <v>1052.5507692307692</v>
      </c>
      <c r="S137" s="18">
        <f>IFERROR(
                  Andel_oberoende_av_klimat*VLOOKUP($A137,Leveranser_per_nät,'Leveranser per nät'!S$1,FALSE)
               +Andel_beroende_av_klimat*VLOOKUP($A137,Leveranser_per_nät,'Leveranser per nät'!S$1,FALSE)/VLOOKUP($B137,Korrigeringsfaktor_EI,'Korrigeringsfaktor EI'!S$1,FALSE),
"")</f>
        <v>900</v>
      </c>
      <c r="T137" s="18">
        <f>IFERROR(
                  Andel_oberoende_av_klimat*VLOOKUP($A137,Leveranser_per_nät,'Leveranser per nät'!T$1,FALSE)
               +Andel_beroende_av_klimat*VLOOKUP($A137,Leveranser_per_nät,'Leveranser per nät'!T$1,FALSE)/VLOOKUP($B137,Korrigeringsfaktor_EI,'Korrigeringsfaktor EI'!T$1,FALSE),
"")</f>
        <v>906.71391752577324</v>
      </c>
      <c r="U137" s="18">
        <f>IFERROR(
                  Andel_oberoende_av_klimat*VLOOKUP($A137,Leveranser_per_nät,'Leveranser per nät'!U$1,FALSE)
               +Andel_beroende_av_klimat*VLOOKUP($A137,Leveranser_per_nät,'Leveranser per nät'!U$1,FALSE)/VLOOKUP($B137,Korrigeringsfaktor_EI,'Korrigeringsfaktor EI'!U$1,FALSE),
"")</f>
        <v>884.06934117647063</v>
      </c>
      <c r="V137" s="18">
        <f>IFERROR(
                  Andel_oberoende_av_klimat*VLOOKUP($A137,Leveranser_per_nät,'Leveranser per nät'!V$1,FALSE)
               +Andel_beroende_av_klimat*VLOOKUP($A137,Leveranser_per_nät,'Leveranser per nät'!V$1,FALSE)/VLOOKUP($B137,Korrigeringsfaktor_EI,'Korrigeringsfaktor EI'!V$1,FALSE),
"")</f>
        <v>888.46554615384605</v>
      </c>
      <c r="W137" s="18">
        <f>IFERROR(
                  Andel_oberoende_av_klimat*VLOOKUP($A137,Leveranser_per_nät,'Leveranser per nät'!W$1,FALSE)
               +Andel_beroende_av_klimat*VLOOKUP($A137,Leveranser_per_nät,'Leveranser per nät'!W$1,FALSE)/VLOOKUP($B137,Korrigeringsfaktor_EI,'Korrigeringsfaktor EI'!W$1,FALSE),
"")</f>
        <v>920.04946236559135</v>
      </c>
      <c r="X137" s="18">
        <f>IFERROR(
                  Andel_oberoende_av_klimat*VLOOKUP($A137,Leveranser_per_nät,'Leveranser per nät'!X$1,FALSE)
               +Andel_beroende_av_klimat*VLOOKUP($A137,Leveranser_per_nät,'Leveranser per nät'!X$1,FALSE)/VLOOKUP($B137,Korrigeringsfaktor_EI,'Korrigeringsfaktor EI'!X$1,FALSE),
"")</f>
        <v>933.97231612903215</v>
      </c>
      <c r="Y137" s="18">
        <f>IFERROR(
                  Andel_oberoende_av_klimat*VLOOKUP($A137,Leveranser_per_nät,'Leveranser per nät'!Y$1,FALSE)
               +Andel_beroende_av_klimat*VLOOKUP($A137,Leveranser_per_nät,'Leveranser per nät'!Y$1,FALSE)/VLOOKUP($B137,Korrigeringsfaktor_EI,'Korrigeringsfaktor EI'!Y$1,FALSE),
"")</f>
        <v>951.46800000000007</v>
      </c>
      <c r="Z137" s="18">
        <f>IFERROR(
                  Andel_oberoende_av_klimat*VLOOKUP($A137,Leveranser_per_nät,'Leveranser per nät'!Z$1,FALSE)
               +Andel_beroende_av_klimat*VLOOKUP($A137,Leveranser_per_nät,'Leveranser per nät'!Z$1,FALSE)/VLOOKUP($B137,Korrigeringsfaktor_EI,'Korrigeringsfaktor EI'!Z$1,FALSE),
"")</f>
        <v>959.49411764705883</v>
      </c>
      <c r="AA137" s="18">
        <f>IFERROR(
                  Andel_oberoende_av_klimat*VLOOKUP($A137,Leveranser_per_nät,'Leveranser per nät'!AA$1,FALSE)
               +Andel_beroende_av_klimat*VLOOKUP($A137,Leveranser_per_nät,'Leveranser per nät'!AA$1,FALSE)/VLOOKUP($B137,Korrigeringsfaktor_EI,'Korrigeringsfaktor EI'!AA$1,FALSE),
"")</f>
        <v>1070.2913644744929</v>
      </c>
      <c r="AB137" s="18">
        <f>IFERROR(
                  Andel_oberoende_av_klimat*VLOOKUP($A137,Leveranser_per_nät,'Leveranser per nät'!AB$1,FALSE)
               +Andel_beroende_av_klimat*VLOOKUP($A137,Leveranser_per_nät,'Leveranser per nät'!AB$1,FALSE)/VLOOKUP($B137,Korrigeringsfaktor_EI,'Korrigeringsfaktor EI'!AB$1,FALSE),
"")</f>
        <v>910.07552240251243</v>
      </c>
      <c r="AC137" s="18">
        <f>IFERROR(
                  Andel_oberoende_av_klimat*VLOOKUP($A137,Leveranser_per_nät,'Leveranser per nät'!AC$1,FALSE)
               +Andel_beroende_av_klimat*VLOOKUP($A137,Leveranser_per_nät,'Leveranser per nät'!AC$1,FALSE)/VLOOKUP($B137,Korrigeringsfaktor_EI,'Korrigeringsfaktor EI'!AC$1,FALSE),
"")</f>
        <v>967.62074298056154</v>
      </c>
      <c r="AD137">
        <v>1032.5409999999999</v>
      </c>
    </row>
    <row r="138" spans="1:30" x14ac:dyDescent="0.25">
      <c r="A138" t="s">
        <v>134</v>
      </c>
      <c r="B138" t="s">
        <v>133</v>
      </c>
      <c r="C138" s="18">
        <f>IFERROR(
                  Andel_oberoende_av_klimat*VLOOKUP($A138,Leveranser_per_nät,'Leveranser per nät'!C$1,FALSE)
               +Andel_beroende_av_klimat*VLOOKUP($A138,Leveranser_per_nät,'Leveranser per nät'!C$1,FALSE)/VLOOKUP($B138,Korrigeringsfaktor_EI,'Korrigeringsfaktor EI'!C$1,FALSE),
"")</f>
        <v>14.890090090090089</v>
      </c>
      <c r="D138" s="18">
        <f>IFERROR(
                  Andel_oberoende_av_klimat*VLOOKUP($A138,Leveranser_per_nät,'Leveranser per nät'!D$1,FALSE)
               +Andel_beroende_av_klimat*VLOOKUP($A138,Leveranser_per_nät,'Leveranser per nät'!D$1,FALSE)/VLOOKUP($B138,Korrigeringsfaktor_EI,'Korrigeringsfaktor EI'!D$1,FALSE),
"")</f>
        <v>14.76</v>
      </c>
      <c r="E138" s="18">
        <f>IFERROR(
                  Andel_oberoende_av_klimat*VLOOKUP($A138,Leveranser_per_nät,'Leveranser per nät'!E$1,FALSE)
               +Andel_beroende_av_klimat*VLOOKUP($A138,Leveranser_per_nät,'Leveranser per nät'!E$1,FALSE)/VLOOKUP($B138,Korrigeringsfaktor_EI,'Korrigeringsfaktor EI'!E$1,FALSE),
"")</f>
        <v>13.623076923076923</v>
      </c>
      <c r="F138" s="18">
        <f>IFERROR(
                  Andel_oberoende_av_klimat*VLOOKUP($A138,Leveranser_per_nät,'Leveranser per nät'!F$1,FALSE)
               +Andel_beroende_av_klimat*VLOOKUP($A138,Leveranser_per_nät,'Leveranser per nät'!F$1,FALSE)/VLOOKUP($B138,Korrigeringsfaktor_EI,'Korrigeringsfaktor EI'!F$1,FALSE),
"")</f>
        <v>13.478947368421053</v>
      </c>
      <c r="G138" s="18">
        <f>IFERROR(
                  Andel_oberoende_av_klimat*VLOOKUP($A138,Leveranser_per_nät,'Leveranser per nät'!G$1,FALSE)
               +Andel_beroende_av_klimat*VLOOKUP($A138,Leveranser_per_nät,'Leveranser per nät'!G$1,FALSE)/VLOOKUP($B138,Korrigeringsfaktor_EI,'Korrigeringsfaktor EI'!G$1,FALSE),
"")</f>
        <v>14.011111111111111</v>
      </c>
      <c r="H138" s="18">
        <f>IFERROR(
                  Andel_oberoende_av_klimat*VLOOKUP($A138,Leveranser_per_nät,'Leveranser per nät'!H$1,FALSE)
               +Andel_beroende_av_klimat*VLOOKUP($A138,Leveranser_per_nät,'Leveranser per nät'!H$1,FALSE)/VLOOKUP($B138,Korrigeringsfaktor_EI,'Korrigeringsfaktor EI'!H$1,FALSE),
"")</f>
        <v>13</v>
      </c>
      <c r="I138" s="18">
        <f>IFERROR(
                  Andel_oberoende_av_klimat*VLOOKUP($A138,Leveranser_per_nät,'Leveranser per nät'!I$1,FALSE)
               +Andel_beroende_av_klimat*VLOOKUP($A138,Leveranser_per_nät,'Leveranser per nät'!I$1,FALSE)/VLOOKUP($B138,Korrigeringsfaktor_EI,'Korrigeringsfaktor EI'!I$1,FALSE),
"")</f>
        <v>0</v>
      </c>
      <c r="J138" s="18">
        <f>IFERROR(
                  Andel_oberoende_av_klimat*VLOOKUP($A138,Leveranser_per_nät,'Leveranser per nät'!J$1,FALSE)
               +Andel_beroende_av_klimat*VLOOKUP($A138,Leveranser_per_nät,'Leveranser per nät'!J$1,FALSE)/VLOOKUP($B138,Korrigeringsfaktor_EI,'Korrigeringsfaktor EI'!J$1,FALSE),
"")</f>
        <v>0</v>
      </c>
      <c r="K138" s="18">
        <f>IFERROR(
                  Andel_oberoende_av_klimat*VLOOKUP($A138,Leveranser_per_nät,'Leveranser per nät'!K$1,FALSE)
               +Andel_beroende_av_klimat*VLOOKUP($A138,Leveranser_per_nät,'Leveranser per nät'!K$1,FALSE)/VLOOKUP($B138,Korrigeringsfaktor_EI,'Korrigeringsfaktor EI'!K$1,FALSE),
"")</f>
        <v>0</v>
      </c>
      <c r="L138" s="18">
        <f>IFERROR(
                  Andel_oberoende_av_klimat*VLOOKUP($A138,Leveranser_per_nät,'Leveranser per nät'!L$1,FALSE)
               +Andel_beroende_av_klimat*VLOOKUP($A138,Leveranser_per_nät,'Leveranser per nät'!L$1,FALSE)/VLOOKUP($B138,Korrigeringsfaktor_EI,'Korrigeringsfaktor EI'!L$1,FALSE),
"")</f>
        <v>13.429014455099828</v>
      </c>
      <c r="M138" s="18">
        <f>IFERROR(
                  Andel_oberoende_av_klimat*VLOOKUP($A138,Leveranser_per_nät,'Leveranser per nät'!M$1,FALSE)
               +Andel_beroende_av_klimat*VLOOKUP($A138,Leveranser_per_nät,'Leveranser per nät'!M$1,FALSE)/VLOOKUP($B138,Korrigeringsfaktor_EI,'Korrigeringsfaktor EI'!M$1,FALSE),
"")</f>
        <v>12.737526881720429</v>
      </c>
      <c r="N138" s="18">
        <f>IFERROR(
                  Andel_oberoende_av_klimat*VLOOKUP($A138,Leveranser_per_nät,'Leveranser per nät'!N$1,FALSE)
               +Andel_beroende_av_klimat*VLOOKUP($A138,Leveranser_per_nät,'Leveranser per nät'!N$1,FALSE)/VLOOKUP($B138,Korrigeringsfaktor_EI,'Korrigeringsfaktor EI'!N$1,FALSE),
"")</f>
        <v>12.948064516129033</v>
      </c>
      <c r="O138" s="18">
        <f>IFERROR(
                  Andel_oberoende_av_klimat*VLOOKUP($A138,Leveranser_per_nät,'Leveranser per nät'!O$1,FALSE)
               +Andel_beroende_av_klimat*VLOOKUP($A138,Leveranser_per_nät,'Leveranser per nät'!O$1,FALSE)/VLOOKUP($B138,Korrigeringsfaktor_EI,'Korrigeringsfaktor EI'!O$1,FALSE),
"")</f>
        <v>12.2</v>
      </c>
      <c r="P138" s="18">
        <f>IFERROR(
                  Andel_oberoende_av_klimat*VLOOKUP($A138,Leveranser_per_nät,'Leveranser per nät'!P$1,FALSE)
               +Andel_beroende_av_klimat*VLOOKUP($A138,Leveranser_per_nät,'Leveranser per nät'!P$1,FALSE)/VLOOKUP($B138,Korrigeringsfaktor_EI,'Korrigeringsfaktor EI'!P$1,FALSE),
"")</f>
        <v>13.591428571428573</v>
      </c>
      <c r="Q138" s="18">
        <f>IFERROR(
                  Andel_oberoende_av_klimat*VLOOKUP($A138,Leveranser_per_nät,'Leveranser per nät'!Q$1,FALSE)
               +Andel_beroende_av_klimat*VLOOKUP($A138,Leveranser_per_nät,'Leveranser per nät'!Q$1,FALSE)/VLOOKUP($B138,Korrigeringsfaktor_EI,'Korrigeringsfaktor EI'!Q$1,FALSE),
"")</f>
        <v>12.749639639639639</v>
      </c>
      <c r="R138" s="18">
        <f>IFERROR(
                  Andel_oberoende_av_klimat*VLOOKUP($A138,Leveranser_per_nät,'Leveranser per nät'!R$1,FALSE)
               +Andel_beroende_av_klimat*VLOOKUP($A138,Leveranser_per_nät,'Leveranser per nät'!R$1,FALSE)/VLOOKUP($B138,Korrigeringsfaktor_EI,'Korrigeringsfaktor EI'!R$1,FALSE),
"")</f>
        <v>12.452916666666667</v>
      </c>
      <c r="S138" s="18">
        <f>IFERROR(
                  Andel_oberoende_av_klimat*VLOOKUP($A138,Leveranser_per_nät,'Leveranser per nät'!S$1,FALSE)
               +Andel_beroende_av_klimat*VLOOKUP($A138,Leveranser_per_nät,'Leveranser per nät'!S$1,FALSE)/VLOOKUP($B138,Korrigeringsfaktor_EI,'Korrigeringsfaktor EI'!S$1,FALSE),
"")</f>
        <v>12.328431372549019</v>
      </c>
      <c r="T138" s="18">
        <f>IFERROR(
                  Andel_oberoende_av_klimat*VLOOKUP($A138,Leveranser_per_nät,'Leveranser per nät'!T$1,FALSE)
               +Andel_beroende_av_klimat*VLOOKUP($A138,Leveranser_per_nät,'Leveranser per nät'!T$1,FALSE)/VLOOKUP($B138,Korrigeringsfaktor_EI,'Korrigeringsfaktor EI'!T$1,FALSE),
"")</f>
        <v>12.475714285714286</v>
      </c>
      <c r="U138" s="18">
        <f>IFERROR(
                  Andel_oberoende_av_klimat*VLOOKUP($A138,Leveranser_per_nät,'Leveranser per nät'!U$1,FALSE)
               +Andel_beroende_av_klimat*VLOOKUP($A138,Leveranser_per_nät,'Leveranser per nät'!U$1,FALSE)/VLOOKUP($B138,Korrigeringsfaktor_EI,'Korrigeringsfaktor EI'!U$1,FALSE),
"")</f>
        <v>12.105913978494623</v>
      </c>
      <c r="V138" s="18">
        <f>IFERROR(
                  Andel_oberoende_av_klimat*VLOOKUP($A138,Leveranser_per_nät,'Leveranser per nät'!V$1,FALSE)
               +Andel_beroende_av_klimat*VLOOKUP($A138,Leveranser_per_nät,'Leveranser per nät'!V$1,FALSE)/VLOOKUP($B138,Korrigeringsfaktor_EI,'Korrigeringsfaktor EI'!V$1,FALSE),
"")</f>
        <v>12.286666666666665</v>
      </c>
      <c r="W138" s="18">
        <f>IFERROR(
                  Andel_oberoende_av_klimat*VLOOKUP($A138,Leveranser_per_nät,'Leveranser per nät'!W$1,FALSE)
               +Andel_beroende_av_klimat*VLOOKUP($A138,Leveranser_per_nät,'Leveranser per nät'!W$1,FALSE)/VLOOKUP($B138,Korrigeringsfaktor_EI,'Korrigeringsfaktor EI'!W$1,FALSE),
"")</f>
        <v>12.126979381443299</v>
      </c>
      <c r="X138" s="18">
        <f>IFERROR(
                  Andel_oberoende_av_klimat*VLOOKUP($A138,Leveranser_per_nät,'Leveranser per nät'!X$1,FALSE)
               +Andel_beroende_av_klimat*VLOOKUP($A138,Leveranser_per_nät,'Leveranser per nät'!X$1,FALSE)/VLOOKUP($B138,Korrigeringsfaktor_EI,'Korrigeringsfaktor EI'!X$1,FALSE),
"")</f>
        <v>12.347914285714285</v>
      </c>
      <c r="Y138" s="18">
        <f>IFERROR(
                  Andel_oberoende_av_klimat*VLOOKUP($A138,Leveranser_per_nät,'Leveranser per nät'!Y$1,FALSE)
               +Andel_beroende_av_klimat*VLOOKUP($A138,Leveranser_per_nät,'Leveranser per nät'!Y$1,FALSE)/VLOOKUP($B138,Korrigeringsfaktor_EI,'Korrigeringsfaktor EI'!Y$1,FALSE),
"")</f>
        <v>12.53841739130435</v>
      </c>
      <c r="Z138" s="18">
        <f>IFERROR(
                  Andel_oberoende_av_klimat*VLOOKUP($A138,Leveranser_per_nät,'Leveranser per nät'!Z$1,FALSE)
               +Andel_beroende_av_klimat*VLOOKUP($A138,Leveranser_per_nät,'Leveranser per nät'!Z$1,FALSE)/VLOOKUP($B138,Korrigeringsfaktor_EI,'Korrigeringsfaktor EI'!Z$1,FALSE),
"")</f>
        <v>11.604852173913043</v>
      </c>
      <c r="AA138" s="18">
        <f>IFERROR(
                  Andel_oberoende_av_klimat*VLOOKUP($A138,Leveranser_per_nät,'Leveranser per nät'!AA$1,FALSE)
               +Andel_beroende_av_klimat*VLOOKUP($A138,Leveranser_per_nät,'Leveranser per nät'!AA$1,FALSE)/VLOOKUP($B138,Korrigeringsfaktor_EI,'Korrigeringsfaktor EI'!AA$1,FALSE),
"")</f>
        <v>11.880922701070546</v>
      </c>
      <c r="AB138" s="18">
        <f>IFERROR(
                  Andel_oberoende_av_klimat*VLOOKUP($A138,Leveranser_per_nät,'Leveranser per nät'!AB$1,FALSE)
               +Andel_beroende_av_klimat*VLOOKUP($A138,Leveranser_per_nät,'Leveranser per nät'!AB$1,FALSE)/VLOOKUP($B138,Korrigeringsfaktor_EI,'Korrigeringsfaktor EI'!AB$1,FALSE),
"")</f>
        <v>12.268621126760562</v>
      </c>
      <c r="AC138" s="18">
        <f>IFERROR(
                  Andel_oberoende_av_klimat*VLOOKUP($A138,Leveranser_per_nät,'Leveranser per nät'!AC$1,FALSE)
               +Andel_beroende_av_klimat*VLOOKUP($A138,Leveranser_per_nät,'Leveranser per nät'!AC$1,FALSE)/VLOOKUP($B138,Korrigeringsfaktor_EI,'Korrigeringsfaktor EI'!AC$1,FALSE),
"")</f>
        <v>12.735730031612222</v>
      </c>
      <c r="AD138">
        <v>174.447</v>
      </c>
    </row>
    <row r="139" spans="1:30" x14ac:dyDescent="0.25">
      <c r="A139" t="s">
        <v>131</v>
      </c>
      <c r="B139" t="s">
        <v>443</v>
      </c>
      <c r="C139" s="18">
        <f>IFERROR(
                  Andel_oberoende_av_klimat*VLOOKUP($A139,Leveranser_per_nät,'Leveranser per nät'!C$1,FALSE)
               +Andel_beroende_av_klimat*VLOOKUP($A139,Leveranser_per_nät,'Leveranser per nät'!C$1,FALSE)/VLOOKUP($B139,Korrigeringsfaktor_EI,'Korrigeringsfaktor EI'!C$1,FALSE),
"")</f>
        <v>0</v>
      </c>
      <c r="D139" s="18">
        <f>IFERROR(
                  Andel_oberoende_av_klimat*VLOOKUP($A139,Leveranser_per_nät,'Leveranser per nät'!D$1,FALSE)
               +Andel_beroende_av_klimat*VLOOKUP($A139,Leveranser_per_nät,'Leveranser per nät'!D$1,FALSE)/VLOOKUP($B139,Korrigeringsfaktor_EI,'Korrigeringsfaktor EI'!D$1,FALSE),
"")</f>
        <v>0</v>
      </c>
      <c r="E139" s="18">
        <f>IFERROR(
                  Andel_oberoende_av_klimat*VLOOKUP($A139,Leveranser_per_nät,'Leveranser per nät'!E$1,FALSE)
               +Andel_beroende_av_klimat*VLOOKUP($A139,Leveranser_per_nät,'Leveranser per nät'!E$1,FALSE)/VLOOKUP($B139,Korrigeringsfaktor_EI,'Korrigeringsfaktor EI'!E$1,FALSE),
"")</f>
        <v>0</v>
      </c>
      <c r="F139" s="18">
        <f>IFERROR(
                  Andel_oberoende_av_klimat*VLOOKUP($A139,Leveranser_per_nät,'Leveranser per nät'!F$1,FALSE)
               +Andel_beroende_av_klimat*VLOOKUP($A139,Leveranser_per_nät,'Leveranser per nät'!F$1,FALSE)/VLOOKUP($B139,Korrigeringsfaktor_EI,'Korrigeringsfaktor EI'!F$1,FALSE),
"")</f>
        <v>0</v>
      </c>
      <c r="G139" s="18">
        <f>IFERROR(
                  Andel_oberoende_av_klimat*VLOOKUP($A139,Leveranser_per_nät,'Leveranser per nät'!G$1,FALSE)
               +Andel_beroende_av_klimat*VLOOKUP($A139,Leveranser_per_nät,'Leveranser per nät'!G$1,FALSE)/VLOOKUP($B139,Korrigeringsfaktor_EI,'Korrigeringsfaktor EI'!G$1,FALSE),
"")</f>
        <v>0</v>
      </c>
      <c r="H139" s="18">
        <f>IFERROR(
                  Andel_oberoende_av_klimat*VLOOKUP($A139,Leveranser_per_nät,'Leveranser per nät'!H$1,FALSE)
               +Andel_beroende_av_klimat*VLOOKUP($A139,Leveranser_per_nät,'Leveranser per nät'!H$1,FALSE)/VLOOKUP($B139,Korrigeringsfaktor_EI,'Korrigeringsfaktor EI'!H$1,FALSE),
"")</f>
        <v>0</v>
      </c>
      <c r="I139" s="18">
        <f>IFERROR(
                  Andel_oberoende_av_klimat*VLOOKUP($A139,Leveranser_per_nät,'Leveranser per nät'!I$1,FALSE)
               +Andel_beroende_av_klimat*VLOOKUP($A139,Leveranser_per_nät,'Leveranser per nät'!I$1,FALSE)/VLOOKUP($B139,Korrigeringsfaktor_EI,'Korrigeringsfaktor EI'!I$1,FALSE),
"")</f>
        <v>0</v>
      </c>
      <c r="J139" s="18">
        <f>IFERROR(
                  Andel_oberoende_av_klimat*VLOOKUP($A139,Leveranser_per_nät,'Leveranser per nät'!J$1,FALSE)
               +Andel_beroende_av_klimat*VLOOKUP($A139,Leveranser_per_nät,'Leveranser per nät'!J$1,FALSE)/VLOOKUP($B139,Korrigeringsfaktor_EI,'Korrigeringsfaktor EI'!J$1,FALSE),
"")</f>
        <v>0</v>
      </c>
      <c r="K139" s="18">
        <f>IFERROR(
                  Andel_oberoende_av_klimat*VLOOKUP($A139,Leveranser_per_nät,'Leveranser per nät'!K$1,FALSE)
               +Andel_beroende_av_klimat*VLOOKUP($A139,Leveranser_per_nät,'Leveranser per nät'!K$1,FALSE)/VLOOKUP($B139,Korrigeringsfaktor_EI,'Korrigeringsfaktor EI'!K$1,FALSE),
"")</f>
        <v>0</v>
      </c>
      <c r="L139" s="18">
        <f>IFERROR(
                  Andel_oberoende_av_klimat*VLOOKUP($A139,Leveranser_per_nät,'Leveranser per nät'!L$1,FALSE)
               +Andel_beroende_av_klimat*VLOOKUP($A139,Leveranser_per_nät,'Leveranser per nät'!L$1,FALSE)/VLOOKUP($B139,Korrigeringsfaktor_EI,'Korrigeringsfaktor EI'!L$1,FALSE),
"")</f>
        <v>0</v>
      </c>
      <c r="M139" s="18">
        <f>IFERROR(
                  Andel_oberoende_av_klimat*VLOOKUP($A139,Leveranser_per_nät,'Leveranser per nät'!M$1,FALSE)
               +Andel_beroende_av_klimat*VLOOKUP($A139,Leveranser_per_nät,'Leveranser per nät'!M$1,FALSE)/VLOOKUP($B139,Korrigeringsfaktor_EI,'Korrigeringsfaktor EI'!M$1,FALSE),
"")</f>
        <v>4.1054838709677419</v>
      </c>
      <c r="N139" s="18">
        <f>IFERROR(
                  Andel_oberoende_av_klimat*VLOOKUP($A139,Leveranser_per_nät,'Leveranser per nät'!N$1,FALSE)
               +Andel_beroende_av_klimat*VLOOKUP($A139,Leveranser_per_nät,'Leveranser per nät'!N$1,FALSE)/VLOOKUP($B139,Korrigeringsfaktor_EI,'Korrigeringsfaktor EI'!N$1,FALSE),
"")</f>
        <v>4.1379230769230775</v>
      </c>
      <c r="O139" s="18">
        <f>IFERROR(
                  Andel_oberoende_av_klimat*VLOOKUP($A139,Leveranser_per_nät,'Leveranser per nät'!O$1,FALSE)
               +Andel_beroende_av_klimat*VLOOKUP($A139,Leveranser_per_nät,'Leveranser per nät'!O$1,FALSE)/VLOOKUP($B139,Korrigeringsfaktor_EI,'Korrigeringsfaktor EI'!O$1,FALSE),
"")</f>
        <v>3.925217391304348</v>
      </c>
      <c r="P139" s="18">
        <f>IFERROR(
                  Andel_oberoende_av_klimat*VLOOKUP($A139,Leveranser_per_nät,'Leveranser per nät'!P$1,FALSE)
               +Andel_beroende_av_klimat*VLOOKUP($A139,Leveranser_per_nät,'Leveranser per nät'!P$1,FALSE)/VLOOKUP($B139,Korrigeringsfaktor_EI,'Korrigeringsfaktor EI'!P$1,FALSE),
"")</f>
        <v>4.1598916666666668</v>
      </c>
      <c r="Q139" s="18">
        <f>IFERROR(
                  Andel_oberoende_av_klimat*VLOOKUP($A139,Leveranser_per_nät,'Leveranser per nät'!Q$1,FALSE)
               +Andel_beroende_av_klimat*VLOOKUP($A139,Leveranser_per_nät,'Leveranser per nät'!Q$1,FALSE)/VLOOKUP($B139,Korrigeringsfaktor_EI,'Korrigeringsfaktor EI'!Q$1,FALSE),
"")</f>
        <v>4.3302243243243232</v>
      </c>
      <c r="R139" s="18">
        <f>IFERROR(
                  Andel_oberoende_av_klimat*VLOOKUP($A139,Leveranser_per_nät,'Leveranser per nät'!R$1,FALSE)
               +Andel_beroende_av_klimat*VLOOKUP($A139,Leveranser_per_nät,'Leveranser per nät'!R$1,FALSE)/VLOOKUP($B139,Korrigeringsfaktor_EI,'Korrigeringsfaktor EI'!R$1,FALSE),
"")</f>
        <v>4.544765217391304</v>
      </c>
      <c r="S139" s="18" t="str">
        <f>IFERROR(
                  Andel_oberoende_av_klimat*VLOOKUP($A139,Leveranser_per_nät,'Leveranser per nät'!S$1,FALSE)
               +Andel_beroende_av_klimat*VLOOKUP($A139,Leveranser_per_nät,'Leveranser per nät'!S$1,FALSE)/VLOOKUP($B139,Korrigeringsfaktor_EI,'Korrigeringsfaktor EI'!S$1,FALSE),
"")</f>
        <v/>
      </c>
      <c r="T139" s="18" t="str">
        <f>IFERROR(
                  Andel_oberoende_av_klimat*VLOOKUP($A139,Leveranser_per_nät,'Leveranser per nät'!T$1,FALSE)
               +Andel_beroende_av_klimat*VLOOKUP($A139,Leveranser_per_nät,'Leveranser per nät'!T$1,FALSE)/VLOOKUP($B139,Korrigeringsfaktor_EI,'Korrigeringsfaktor EI'!T$1,FALSE),
"")</f>
        <v/>
      </c>
      <c r="U139" s="18" t="str">
        <f>IFERROR(
                  Andel_oberoende_av_klimat*VLOOKUP($A139,Leveranser_per_nät,'Leveranser per nät'!U$1,FALSE)
               +Andel_beroende_av_klimat*VLOOKUP($A139,Leveranser_per_nät,'Leveranser per nät'!U$1,FALSE)/VLOOKUP($B139,Korrigeringsfaktor_EI,'Korrigeringsfaktor EI'!U$1,FALSE),
"")</f>
        <v/>
      </c>
      <c r="V139" s="18" t="str">
        <f>IFERROR(
                  Andel_oberoende_av_klimat*VLOOKUP($A139,Leveranser_per_nät,'Leveranser per nät'!V$1,FALSE)
               +Andel_beroende_av_klimat*VLOOKUP($A139,Leveranser_per_nät,'Leveranser per nät'!V$1,FALSE)/VLOOKUP($B139,Korrigeringsfaktor_EI,'Korrigeringsfaktor EI'!V$1,FALSE),
"")</f>
        <v/>
      </c>
      <c r="W139" s="18" t="str">
        <f>IFERROR(
                  Andel_oberoende_av_klimat*VLOOKUP($A139,Leveranser_per_nät,'Leveranser per nät'!W$1,FALSE)
               +Andel_beroende_av_klimat*VLOOKUP($A139,Leveranser_per_nät,'Leveranser per nät'!W$1,FALSE)/VLOOKUP($B139,Korrigeringsfaktor_EI,'Korrigeringsfaktor EI'!W$1,FALSE),
"")</f>
        <v/>
      </c>
      <c r="X139" s="18" t="str">
        <f>IFERROR(
                  Andel_oberoende_av_klimat*VLOOKUP($A139,Leveranser_per_nät,'Leveranser per nät'!X$1,FALSE)
               +Andel_beroende_av_klimat*VLOOKUP($A139,Leveranser_per_nät,'Leveranser per nät'!X$1,FALSE)/VLOOKUP($B139,Korrigeringsfaktor_EI,'Korrigeringsfaktor EI'!X$1,FALSE),
"")</f>
        <v/>
      </c>
      <c r="Y139" s="18" t="str">
        <f>IFERROR(
                  Andel_oberoende_av_klimat*VLOOKUP($A139,Leveranser_per_nät,'Leveranser per nät'!Y$1,FALSE)
               +Andel_beroende_av_klimat*VLOOKUP($A139,Leveranser_per_nät,'Leveranser per nät'!Y$1,FALSE)/VLOOKUP($B139,Korrigeringsfaktor_EI,'Korrigeringsfaktor EI'!Y$1,FALSE),
"")</f>
        <v/>
      </c>
      <c r="Z139" s="18">
        <f>IFERROR(
                  Andel_oberoende_av_klimat*VLOOKUP($A139,Leveranser_per_nät,'Leveranser per nät'!Z$1,FALSE)
               +Andel_beroende_av_klimat*VLOOKUP($A139,Leveranser_per_nät,'Leveranser per nät'!Z$1,FALSE)/VLOOKUP($B139,Korrigeringsfaktor_EI,'Korrigeringsfaktor EI'!Z$1,FALSE),
"")</f>
        <v>0</v>
      </c>
      <c r="AA139" s="18" t="str">
        <f>IFERROR(
                  Andel_oberoende_av_klimat*VLOOKUP($A139,Leveranser_per_nät,'Leveranser per nät'!AA$1,FALSE)
               +Andel_beroende_av_klimat*VLOOKUP($A139,Leveranser_per_nät,'Leveranser per nät'!AA$1,FALSE)/VLOOKUP($B139,Korrigeringsfaktor_EI,'Korrigeringsfaktor EI'!AA$1,FALSE),
"")</f>
        <v/>
      </c>
      <c r="AB139" s="18">
        <f>IFERROR(
                  Andel_oberoende_av_klimat*VLOOKUP($A139,Leveranser_per_nät,'Leveranser per nät'!AB$1,FALSE)
               +Andel_beroende_av_klimat*VLOOKUP($A139,Leveranser_per_nät,'Leveranser per nät'!AB$1,FALSE)/VLOOKUP($B139,Korrigeringsfaktor_EI,'Korrigeringsfaktor EI'!AB$1,FALSE),
"")</f>
        <v>0</v>
      </c>
      <c r="AC139" s="18">
        <f>IFERROR(
                  Andel_oberoende_av_klimat*VLOOKUP($A139,Leveranser_per_nät,'Leveranser per nät'!AC$1,FALSE)
               +Andel_beroende_av_klimat*VLOOKUP($A139,Leveranser_per_nät,'Leveranser per nät'!AC$1,FALSE)/VLOOKUP($B139,Korrigeringsfaktor_EI,'Korrigeringsfaktor EI'!AC$1,FALSE),
"")</f>
        <v>0</v>
      </c>
      <c r="AD139">
        <v>44.570999999999998</v>
      </c>
    </row>
    <row r="140" spans="1:30" x14ac:dyDescent="0.25">
      <c r="A140" t="s">
        <v>875</v>
      </c>
      <c r="B140" t="s">
        <v>187</v>
      </c>
      <c r="C140" s="18" t="str">
        <f>IFERROR(
                  Andel_oberoende_av_klimat*VLOOKUP($A140,Leveranser_per_nät,'Leveranser per nät'!C$1,FALSE)
               +Andel_beroende_av_klimat*VLOOKUP($A140,Leveranser_per_nät,'Leveranser per nät'!C$1,FALSE)/VLOOKUP($B140,Korrigeringsfaktor_EI,'Korrigeringsfaktor EI'!C$1,FALSE),
"")</f>
        <v/>
      </c>
      <c r="D140" s="18" t="str">
        <f>IFERROR(
                  Andel_oberoende_av_klimat*VLOOKUP($A140,Leveranser_per_nät,'Leveranser per nät'!D$1,FALSE)
               +Andel_beroende_av_klimat*VLOOKUP($A140,Leveranser_per_nät,'Leveranser per nät'!D$1,FALSE)/VLOOKUP($B140,Korrigeringsfaktor_EI,'Korrigeringsfaktor EI'!D$1,FALSE),
"")</f>
        <v/>
      </c>
      <c r="E140" s="18" t="str">
        <f>IFERROR(
                  Andel_oberoende_av_klimat*VLOOKUP($A140,Leveranser_per_nät,'Leveranser per nät'!E$1,FALSE)
               +Andel_beroende_av_klimat*VLOOKUP($A140,Leveranser_per_nät,'Leveranser per nät'!E$1,FALSE)/VLOOKUP($B140,Korrigeringsfaktor_EI,'Korrigeringsfaktor EI'!E$1,FALSE),
"")</f>
        <v/>
      </c>
      <c r="F140" s="18" t="str">
        <f>IFERROR(
                  Andel_oberoende_av_klimat*VLOOKUP($A140,Leveranser_per_nät,'Leveranser per nät'!F$1,FALSE)
               +Andel_beroende_av_klimat*VLOOKUP($A140,Leveranser_per_nät,'Leveranser per nät'!F$1,FALSE)/VLOOKUP($B140,Korrigeringsfaktor_EI,'Korrigeringsfaktor EI'!F$1,FALSE),
"")</f>
        <v/>
      </c>
      <c r="G140" s="18" t="str">
        <f>IFERROR(
                  Andel_oberoende_av_klimat*VLOOKUP($A140,Leveranser_per_nät,'Leveranser per nät'!G$1,FALSE)
               +Andel_beroende_av_klimat*VLOOKUP($A140,Leveranser_per_nät,'Leveranser per nät'!G$1,FALSE)/VLOOKUP($B140,Korrigeringsfaktor_EI,'Korrigeringsfaktor EI'!G$1,FALSE),
"")</f>
        <v/>
      </c>
      <c r="H140" s="18" t="str">
        <f>IFERROR(
                  Andel_oberoende_av_klimat*VLOOKUP($A140,Leveranser_per_nät,'Leveranser per nät'!H$1,FALSE)
               +Andel_beroende_av_klimat*VLOOKUP($A140,Leveranser_per_nät,'Leveranser per nät'!H$1,FALSE)/VLOOKUP($B140,Korrigeringsfaktor_EI,'Korrigeringsfaktor EI'!H$1,FALSE),
"")</f>
        <v/>
      </c>
      <c r="I140" s="18" t="str">
        <f>IFERROR(
                  Andel_oberoende_av_klimat*VLOOKUP($A140,Leveranser_per_nät,'Leveranser per nät'!I$1,FALSE)
               +Andel_beroende_av_klimat*VLOOKUP($A140,Leveranser_per_nät,'Leveranser per nät'!I$1,FALSE)/VLOOKUP($B140,Korrigeringsfaktor_EI,'Korrigeringsfaktor EI'!I$1,FALSE),
"")</f>
        <v/>
      </c>
      <c r="J140" s="18" t="str">
        <f>IFERROR(
                  Andel_oberoende_av_klimat*VLOOKUP($A140,Leveranser_per_nät,'Leveranser per nät'!J$1,FALSE)
               +Andel_beroende_av_klimat*VLOOKUP($A140,Leveranser_per_nät,'Leveranser per nät'!J$1,FALSE)/VLOOKUP($B140,Korrigeringsfaktor_EI,'Korrigeringsfaktor EI'!J$1,FALSE),
"")</f>
        <v/>
      </c>
      <c r="K140" s="18" t="str">
        <f>IFERROR(
                  Andel_oberoende_av_klimat*VLOOKUP($A140,Leveranser_per_nät,'Leveranser per nät'!K$1,FALSE)
               +Andel_beroende_av_klimat*VLOOKUP($A140,Leveranser_per_nät,'Leveranser per nät'!K$1,FALSE)/VLOOKUP($B140,Korrigeringsfaktor_EI,'Korrigeringsfaktor EI'!K$1,FALSE),
"")</f>
        <v/>
      </c>
      <c r="L140" s="18" t="str">
        <f>IFERROR(
                  Andel_oberoende_av_klimat*VLOOKUP($A140,Leveranser_per_nät,'Leveranser per nät'!L$1,FALSE)
               +Andel_beroende_av_klimat*VLOOKUP($A140,Leveranser_per_nät,'Leveranser per nät'!L$1,FALSE)/VLOOKUP($B140,Korrigeringsfaktor_EI,'Korrigeringsfaktor EI'!L$1,FALSE),
"")</f>
        <v/>
      </c>
      <c r="M140" s="18" t="str">
        <f>IFERROR(
                  Andel_oberoende_av_klimat*VLOOKUP($A140,Leveranser_per_nät,'Leveranser per nät'!M$1,FALSE)
               +Andel_beroende_av_klimat*VLOOKUP($A140,Leveranser_per_nät,'Leveranser per nät'!M$1,FALSE)/VLOOKUP($B140,Korrigeringsfaktor_EI,'Korrigeringsfaktor EI'!M$1,FALSE),
"")</f>
        <v/>
      </c>
      <c r="N140" s="18" t="str">
        <f>IFERROR(
                  Andel_oberoende_av_klimat*VLOOKUP($A140,Leveranser_per_nät,'Leveranser per nät'!N$1,FALSE)
               +Andel_beroende_av_klimat*VLOOKUP($A140,Leveranser_per_nät,'Leveranser per nät'!N$1,FALSE)/VLOOKUP($B140,Korrigeringsfaktor_EI,'Korrigeringsfaktor EI'!N$1,FALSE),
"")</f>
        <v/>
      </c>
      <c r="O140" s="18" t="str">
        <f>IFERROR(
                  Andel_oberoende_av_klimat*VLOOKUP($A140,Leveranser_per_nät,'Leveranser per nät'!O$1,FALSE)
               +Andel_beroende_av_klimat*VLOOKUP($A140,Leveranser_per_nät,'Leveranser per nät'!O$1,FALSE)/VLOOKUP($B140,Korrigeringsfaktor_EI,'Korrigeringsfaktor EI'!O$1,FALSE),
"")</f>
        <v/>
      </c>
      <c r="P140" s="18" t="str">
        <f>IFERROR(
                  Andel_oberoende_av_klimat*VLOOKUP($A140,Leveranser_per_nät,'Leveranser per nät'!P$1,FALSE)
               +Andel_beroende_av_klimat*VLOOKUP($A140,Leveranser_per_nät,'Leveranser per nät'!P$1,FALSE)/VLOOKUP($B140,Korrigeringsfaktor_EI,'Korrigeringsfaktor EI'!P$1,FALSE),
"")</f>
        <v/>
      </c>
      <c r="Q140" s="18" t="str">
        <f>IFERROR(
                  Andel_oberoende_av_klimat*VLOOKUP($A140,Leveranser_per_nät,'Leveranser per nät'!Q$1,FALSE)
               +Andel_beroende_av_klimat*VLOOKUP($A140,Leveranser_per_nät,'Leveranser per nät'!Q$1,FALSE)/VLOOKUP($B140,Korrigeringsfaktor_EI,'Korrigeringsfaktor EI'!Q$1,FALSE),
"")</f>
        <v/>
      </c>
      <c r="R140" s="18" t="str">
        <f>IFERROR(
                  Andel_oberoende_av_klimat*VLOOKUP($A140,Leveranser_per_nät,'Leveranser per nät'!R$1,FALSE)
               +Andel_beroende_av_klimat*VLOOKUP($A140,Leveranser_per_nät,'Leveranser per nät'!R$1,FALSE)/VLOOKUP($B140,Korrigeringsfaktor_EI,'Korrigeringsfaktor EI'!R$1,FALSE),
"")</f>
        <v/>
      </c>
      <c r="S140" s="18" t="str">
        <f>IFERROR(
                  Andel_oberoende_av_klimat*VLOOKUP($A140,Leveranser_per_nät,'Leveranser per nät'!S$1,FALSE)
               +Andel_beroende_av_klimat*VLOOKUP($A140,Leveranser_per_nät,'Leveranser per nät'!S$1,FALSE)/VLOOKUP($B140,Korrigeringsfaktor_EI,'Korrigeringsfaktor EI'!S$1,FALSE),
"")</f>
        <v/>
      </c>
      <c r="T140" s="18" t="str">
        <f>IFERROR(
                  Andel_oberoende_av_klimat*VLOOKUP($A140,Leveranser_per_nät,'Leveranser per nät'!T$1,FALSE)
               +Andel_beroende_av_klimat*VLOOKUP($A140,Leveranser_per_nät,'Leveranser per nät'!T$1,FALSE)/VLOOKUP($B140,Korrigeringsfaktor_EI,'Korrigeringsfaktor EI'!T$1,FALSE),
"")</f>
        <v/>
      </c>
      <c r="U140" s="18" t="str">
        <f>IFERROR(
                  Andel_oberoende_av_klimat*VLOOKUP($A140,Leveranser_per_nät,'Leveranser per nät'!U$1,FALSE)
               +Andel_beroende_av_klimat*VLOOKUP($A140,Leveranser_per_nät,'Leveranser per nät'!U$1,FALSE)/VLOOKUP($B140,Korrigeringsfaktor_EI,'Korrigeringsfaktor EI'!U$1,FALSE),
"")</f>
        <v/>
      </c>
      <c r="V140" s="18" t="str">
        <f>IFERROR(
                  Andel_oberoende_av_klimat*VLOOKUP($A140,Leveranser_per_nät,'Leveranser per nät'!V$1,FALSE)
               +Andel_beroende_av_klimat*VLOOKUP($A140,Leveranser_per_nät,'Leveranser per nät'!V$1,FALSE)/VLOOKUP($B140,Korrigeringsfaktor_EI,'Korrigeringsfaktor EI'!V$1,FALSE),
"")</f>
        <v/>
      </c>
      <c r="W140" s="18" t="str">
        <f>IFERROR(
                  Andel_oberoende_av_klimat*VLOOKUP($A140,Leveranser_per_nät,'Leveranser per nät'!W$1,FALSE)
               +Andel_beroende_av_klimat*VLOOKUP($A140,Leveranser_per_nät,'Leveranser per nät'!W$1,FALSE)/VLOOKUP($B140,Korrigeringsfaktor_EI,'Korrigeringsfaktor EI'!W$1,FALSE),
"")</f>
        <v/>
      </c>
      <c r="X140" s="18" t="str">
        <f>IFERROR(
                  Andel_oberoende_av_klimat*VLOOKUP($A140,Leveranser_per_nät,'Leveranser per nät'!X$1,FALSE)
               +Andel_beroende_av_klimat*VLOOKUP($A140,Leveranser_per_nät,'Leveranser per nät'!X$1,FALSE)/VLOOKUP($B140,Korrigeringsfaktor_EI,'Korrigeringsfaktor EI'!X$1,FALSE),
"")</f>
        <v/>
      </c>
      <c r="Y140" s="18" t="str">
        <f>IFERROR(
                  Andel_oberoende_av_klimat*VLOOKUP($A140,Leveranser_per_nät,'Leveranser per nät'!Y$1,FALSE)
               +Andel_beroende_av_klimat*VLOOKUP($A140,Leveranser_per_nät,'Leveranser per nät'!Y$1,FALSE)/VLOOKUP($B140,Korrigeringsfaktor_EI,'Korrigeringsfaktor EI'!Y$1,FALSE),
"")</f>
        <v/>
      </c>
      <c r="Z140" s="18" t="str">
        <f>IFERROR(
                  Andel_oberoende_av_klimat*VLOOKUP($A140,Leveranser_per_nät,'Leveranser per nät'!Z$1,FALSE)
               +Andel_beroende_av_klimat*VLOOKUP($A140,Leveranser_per_nät,'Leveranser per nät'!Z$1,FALSE)/VLOOKUP($B140,Korrigeringsfaktor_EI,'Korrigeringsfaktor EI'!Z$1,FALSE),
"")</f>
        <v/>
      </c>
      <c r="AA140" s="18" t="str">
        <f>IFERROR(
                  Andel_oberoende_av_klimat*VLOOKUP($A140,Leveranser_per_nät,'Leveranser per nät'!AA$1,FALSE)
               +Andel_beroende_av_klimat*VLOOKUP($A140,Leveranser_per_nät,'Leveranser per nät'!AA$1,FALSE)/VLOOKUP($B140,Korrigeringsfaktor_EI,'Korrigeringsfaktor EI'!AA$1,FALSE),
"")</f>
        <v/>
      </c>
      <c r="AB140" s="18" t="str">
        <f>IFERROR(
                  Andel_oberoende_av_klimat*VLOOKUP($A140,Leveranser_per_nät,'Leveranser per nät'!AB$1,FALSE)
               +Andel_beroende_av_klimat*VLOOKUP($A140,Leveranser_per_nät,'Leveranser per nät'!AB$1,FALSE)/VLOOKUP($B140,Korrigeringsfaktor_EI,'Korrigeringsfaktor EI'!AB$1,FALSE),
"")</f>
        <v/>
      </c>
      <c r="AC140" s="18" t="str">
        <f>IFERROR(
                  Andel_oberoende_av_klimat*VLOOKUP($A140,Leveranser_per_nät,'Leveranser per nät'!AC$1,FALSE)
               +Andel_beroende_av_klimat*VLOOKUP($A140,Leveranser_per_nät,'Leveranser per nät'!AC$1,FALSE)/VLOOKUP($B140,Korrigeringsfaktor_EI,'Korrigeringsfaktor EI'!AC$1,FALSE),
"")</f>
        <v/>
      </c>
      <c r="AD140">
        <v>41.122999999999998</v>
      </c>
    </row>
    <row r="141" spans="1:30" x14ac:dyDescent="0.25">
      <c r="A141" t="s">
        <v>132</v>
      </c>
      <c r="B141" t="s">
        <v>443</v>
      </c>
      <c r="C141" s="18">
        <f>IFERROR(
                  Andel_oberoende_av_klimat*VLOOKUP($A141,Leveranser_per_nät,'Leveranser per nät'!C$1,FALSE)
               +Andel_beroende_av_klimat*VLOOKUP($A141,Leveranser_per_nät,'Leveranser per nät'!C$1,FALSE)/VLOOKUP($B141,Korrigeringsfaktor_EI,'Korrigeringsfaktor EI'!C$1,FALSE),
"")</f>
        <v>0</v>
      </c>
      <c r="D141" s="18">
        <f>IFERROR(
                  Andel_oberoende_av_klimat*VLOOKUP($A141,Leveranser_per_nät,'Leveranser per nät'!D$1,FALSE)
               +Andel_beroende_av_klimat*VLOOKUP($A141,Leveranser_per_nät,'Leveranser per nät'!D$1,FALSE)/VLOOKUP($B141,Korrigeringsfaktor_EI,'Korrigeringsfaktor EI'!D$1,FALSE),
"")</f>
        <v>0</v>
      </c>
      <c r="E141" s="18">
        <f>IFERROR(
                  Andel_oberoende_av_klimat*VLOOKUP($A141,Leveranser_per_nät,'Leveranser per nät'!E$1,FALSE)
               +Andel_beroende_av_klimat*VLOOKUP($A141,Leveranser_per_nät,'Leveranser per nät'!E$1,FALSE)/VLOOKUP($B141,Korrigeringsfaktor_EI,'Korrigeringsfaktor EI'!E$1,FALSE),
"")</f>
        <v>0</v>
      </c>
      <c r="F141" s="18">
        <f>IFERROR(
                  Andel_oberoende_av_klimat*VLOOKUP($A141,Leveranser_per_nät,'Leveranser per nät'!F$1,FALSE)
               +Andel_beroende_av_klimat*VLOOKUP($A141,Leveranser_per_nät,'Leveranser per nät'!F$1,FALSE)/VLOOKUP($B141,Korrigeringsfaktor_EI,'Korrigeringsfaktor EI'!F$1,FALSE),
"")</f>
        <v>0</v>
      </c>
      <c r="G141" s="18">
        <f>IFERROR(
                  Andel_oberoende_av_klimat*VLOOKUP($A141,Leveranser_per_nät,'Leveranser per nät'!G$1,FALSE)
               +Andel_beroende_av_klimat*VLOOKUP($A141,Leveranser_per_nät,'Leveranser per nät'!G$1,FALSE)/VLOOKUP($B141,Korrigeringsfaktor_EI,'Korrigeringsfaktor EI'!G$1,FALSE),
"")</f>
        <v>0</v>
      </c>
      <c r="H141" s="18">
        <f>IFERROR(
                  Andel_oberoende_av_klimat*VLOOKUP($A141,Leveranser_per_nät,'Leveranser per nät'!H$1,FALSE)
               +Andel_beroende_av_klimat*VLOOKUP($A141,Leveranser_per_nät,'Leveranser per nät'!H$1,FALSE)/VLOOKUP($B141,Korrigeringsfaktor_EI,'Korrigeringsfaktor EI'!H$1,FALSE),
"")</f>
        <v>0</v>
      </c>
      <c r="I141" s="18">
        <f>IFERROR(
                  Andel_oberoende_av_klimat*VLOOKUP($A141,Leveranser_per_nät,'Leveranser per nät'!I$1,FALSE)
               +Andel_beroende_av_klimat*VLOOKUP($A141,Leveranser_per_nät,'Leveranser per nät'!I$1,FALSE)/VLOOKUP($B141,Korrigeringsfaktor_EI,'Korrigeringsfaktor EI'!I$1,FALSE),
"")</f>
        <v>0</v>
      </c>
      <c r="J141" s="18">
        <f>IFERROR(
                  Andel_oberoende_av_klimat*VLOOKUP($A141,Leveranser_per_nät,'Leveranser per nät'!J$1,FALSE)
               +Andel_beroende_av_klimat*VLOOKUP($A141,Leveranser_per_nät,'Leveranser per nät'!J$1,FALSE)/VLOOKUP($B141,Korrigeringsfaktor_EI,'Korrigeringsfaktor EI'!J$1,FALSE),
"")</f>
        <v>0</v>
      </c>
      <c r="K141" s="18">
        <f>IFERROR(
                  Andel_oberoende_av_klimat*VLOOKUP($A141,Leveranser_per_nät,'Leveranser per nät'!K$1,FALSE)
               +Andel_beroende_av_klimat*VLOOKUP($A141,Leveranser_per_nät,'Leveranser per nät'!K$1,FALSE)/VLOOKUP($B141,Korrigeringsfaktor_EI,'Korrigeringsfaktor EI'!K$1,FALSE),
"")</f>
        <v>0</v>
      </c>
      <c r="L141" s="18">
        <f>IFERROR(
                  Andel_oberoende_av_klimat*VLOOKUP($A141,Leveranser_per_nät,'Leveranser per nät'!L$1,FALSE)
               +Andel_beroende_av_klimat*VLOOKUP($A141,Leveranser_per_nät,'Leveranser per nät'!L$1,FALSE)/VLOOKUP($B141,Korrigeringsfaktor_EI,'Korrigeringsfaktor EI'!L$1,FALSE),
"")</f>
        <v>0</v>
      </c>
      <c r="M141" s="18">
        <f>IFERROR(
                  Andel_oberoende_av_klimat*VLOOKUP($A141,Leveranser_per_nät,'Leveranser per nät'!M$1,FALSE)
               +Andel_beroende_av_klimat*VLOOKUP($A141,Leveranser_per_nät,'Leveranser per nät'!M$1,FALSE)/VLOOKUP($B141,Korrigeringsfaktor_EI,'Korrigeringsfaktor EI'!M$1,FALSE),
"")</f>
        <v>2.0001075268817203</v>
      </c>
      <c r="N141" s="18">
        <f>IFERROR(
                  Andel_oberoende_av_klimat*VLOOKUP($A141,Leveranser_per_nät,'Leveranser per nät'!N$1,FALSE)
               +Andel_beroende_av_klimat*VLOOKUP($A141,Leveranser_per_nät,'Leveranser per nät'!N$1,FALSE)/VLOOKUP($B141,Korrigeringsfaktor_EI,'Korrigeringsfaktor EI'!N$1,FALSE),
"")</f>
        <v>1.9021615384615382</v>
      </c>
      <c r="O141" s="18">
        <f>IFERROR(
                  Andel_oberoende_av_klimat*VLOOKUP($A141,Leveranser_per_nät,'Leveranser per nät'!O$1,FALSE)
               +Andel_beroende_av_klimat*VLOOKUP($A141,Leveranser_per_nät,'Leveranser per nät'!O$1,FALSE)/VLOOKUP($B141,Korrigeringsfaktor_EI,'Korrigeringsfaktor EI'!O$1,FALSE),
"")</f>
        <v>3.7342608695652171</v>
      </c>
      <c r="P141" s="18">
        <f>IFERROR(
                  Andel_oberoende_av_klimat*VLOOKUP($A141,Leveranser_per_nät,'Leveranser per nät'!P$1,FALSE)
               +Andel_beroende_av_klimat*VLOOKUP($A141,Leveranser_per_nät,'Leveranser per nät'!P$1,FALSE)/VLOOKUP($B141,Korrigeringsfaktor_EI,'Korrigeringsfaktor EI'!P$1,FALSE),
"")</f>
        <v>4.6919708333333334</v>
      </c>
      <c r="Q141" s="18">
        <f>IFERROR(
                  Andel_oberoende_av_klimat*VLOOKUP($A141,Leveranser_per_nät,'Leveranser per nät'!Q$1,FALSE)
               +Andel_beroende_av_klimat*VLOOKUP($A141,Leveranser_per_nät,'Leveranser per nät'!Q$1,FALSE)/VLOOKUP($B141,Korrigeringsfaktor_EI,'Korrigeringsfaktor EI'!Q$1,FALSE),
"")</f>
        <v>4.8225279279279283</v>
      </c>
      <c r="R141" s="18">
        <f>IFERROR(
                  Andel_oberoende_av_klimat*VLOOKUP($A141,Leveranser_per_nät,'Leveranser per nät'!R$1,FALSE)
               +Andel_beroende_av_klimat*VLOOKUP($A141,Leveranser_per_nät,'Leveranser per nät'!R$1,FALSE)/VLOOKUP($B141,Korrigeringsfaktor_EI,'Korrigeringsfaktor EI'!R$1,FALSE),
"")</f>
        <v>5.2025043478260873</v>
      </c>
      <c r="S141" s="18">
        <f>IFERROR(
                  Andel_oberoende_av_klimat*VLOOKUP($A141,Leveranser_per_nät,'Leveranser per nät'!S$1,FALSE)
               +Andel_beroende_av_klimat*VLOOKUP($A141,Leveranser_per_nät,'Leveranser per nät'!S$1,FALSE)/VLOOKUP($B141,Korrigeringsfaktor_EI,'Korrigeringsfaktor EI'!S$1,FALSE),
"")</f>
        <v>4.5453980582524274</v>
      </c>
      <c r="T141" s="18">
        <f>IFERROR(
                  Andel_oberoende_av_klimat*VLOOKUP($A141,Leveranser_per_nät,'Leveranser per nät'!T$1,FALSE)
               +Andel_beroende_av_klimat*VLOOKUP($A141,Leveranser_per_nät,'Leveranser per nät'!T$1,FALSE)/VLOOKUP($B141,Korrigeringsfaktor_EI,'Korrigeringsfaktor EI'!T$1,FALSE),
"")</f>
        <v>4.5771363636363631</v>
      </c>
      <c r="U141" s="18">
        <f>IFERROR(
                  Andel_oberoende_av_klimat*VLOOKUP($A141,Leveranser_per_nät,'Leveranser per nät'!U$1,FALSE)
               +Andel_beroende_av_klimat*VLOOKUP($A141,Leveranser_per_nät,'Leveranser per nät'!U$1,FALSE)/VLOOKUP($B141,Korrigeringsfaktor_EI,'Korrigeringsfaktor EI'!U$1,FALSE),
"")</f>
        <v>4.3199910112359552</v>
      </c>
      <c r="V141" s="18">
        <f>IFERROR(
                  Andel_oberoende_av_klimat*VLOOKUP($A141,Leveranser_per_nät,'Leveranser per nät'!V$1,FALSE)
               +Andel_beroende_av_klimat*VLOOKUP($A141,Leveranser_per_nät,'Leveranser per nät'!V$1,FALSE)/VLOOKUP($B141,Korrigeringsfaktor_EI,'Korrigeringsfaktor EI'!V$1,FALSE),
"")</f>
        <v>4.1939096774193541</v>
      </c>
      <c r="W141" s="18">
        <f>IFERROR(
                  Andel_oberoende_av_klimat*VLOOKUP($A141,Leveranser_per_nät,'Leveranser per nät'!W$1,FALSE)
               +Andel_beroende_av_klimat*VLOOKUP($A141,Leveranser_per_nät,'Leveranser per nät'!W$1,FALSE)/VLOOKUP($B141,Korrigeringsfaktor_EI,'Korrigeringsfaktor EI'!W$1,FALSE),
"")</f>
        <v>4.4470291666666668</v>
      </c>
      <c r="X141" s="18">
        <f>IFERROR(
                  Andel_oberoende_av_klimat*VLOOKUP($A141,Leveranser_per_nät,'Leveranser per nät'!X$1,FALSE)
               +Andel_beroende_av_klimat*VLOOKUP($A141,Leveranser_per_nät,'Leveranser per nät'!X$1,FALSE)/VLOOKUP($B141,Korrigeringsfaktor_EI,'Korrigeringsfaktor EI'!X$1,FALSE),
"")</f>
        <v>4.3319263157894738</v>
      </c>
      <c r="Y141" s="18">
        <f>IFERROR(
                  Andel_oberoende_av_klimat*VLOOKUP($A141,Leveranser_per_nät,'Leveranser per nät'!Y$1,FALSE)
               +Andel_beroende_av_klimat*VLOOKUP($A141,Leveranser_per_nät,'Leveranser per nät'!Y$1,FALSE)/VLOOKUP($B141,Korrigeringsfaktor_EI,'Korrigeringsfaktor EI'!Y$1,FALSE),
"")</f>
        <v>4.7066555555555549</v>
      </c>
      <c r="Z141" s="18">
        <f>IFERROR(
                  Andel_oberoende_av_klimat*VLOOKUP($A141,Leveranser_per_nät,'Leveranser per nät'!Z$1,FALSE)
               +Andel_beroende_av_klimat*VLOOKUP($A141,Leveranser_per_nät,'Leveranser per nät'!Z$1,FALSE)/VLOOKUP($B141,Korrigeringsfaktor_EI,'Korrigeringsfaktor EI'!Z$1,FALSE),
"")</f>
        <v>4.5768090909090908</v>
      </c>
      <c r="AA141" s="18">
        <f>IFERROR(
                  Andel_oberoende_av_klimat*VLOOKUP($A141,Leveranser_per_nät,'Leveranser per nät'!AA$1,FALSE)
               +Andel_beroende_av_klimat*VLOOKUP($A141,Leveranser_per_nät,'Leveranser per nät'!AA$1,FALSE)/VLOOKUP($B141,Korrigeringsfaktor_EI,'Korrigeringsfaktor EI'!AA$1,FALSE),
"")</f>
        <v>4.3471833333333336</v>
      </c>
      <c r="AB141" s="18">
        <f>IFERROR(
                  Andel_oberoende_av_klimat*VLOOKUP($A141,Leveranser_per_nät,'Leveranser per nät'!AB$1,FALSE)
               +Andel_beroende_av_klimat*VLOOKUP($A141,Leveranser_per_nät,'Leveranser per nät'!AB$1,FALSE)/VLOOKUP($B141,Korrigeringsfaktor_EI,'Korrigeringsfaktor EI'!AB$1,FALSE),
"")</f>
        <v>4.5007218037661048</v>
      </c>
      <c r="AC141" s="18">
        <f>IFERROR(
                  Andel_oberoende_av_klimat*VLOOKUP($A141,Leveranser_per_nät,'Leveranser per nät'!AC$1,FALSE)
               +Andel_beroende_av_klimat*VLOOKUP($A141,Leveranser_per_nät,'Leveranser per nät'!AC$1,FALSE)/VLOOKUP($B141,Korrigeringsfaktor_EI,'Korrigeringsfaktor EI'!AC$1,FALSE),
"")</f>
        <v>4.4370687763713077</v>
      </c>
      <c r="AD141">
        <v>44.570999999999998</v>
      </c>
    </row>
    <row r="142" spans="1:30" x14ac:dyDescent="0.25">
      <c r="A142" t="s">
        <v>148</v>
      </c>
      <c r="B142" t="s">
        <v>148</v>
      </c>
      <c r="C142" s="18">
        <f>IFERROR(
                  Andel_oberoende_av_klimat*VLOOKUP($A142,Leveranser_per_nät,'Leveranser per nät'!C$1,FALSE)
               +Andel_beroende_av_klimat*VLOOKUP($A142,Leveranser_per_nät,'Leveranser per nät'!C$1,FALSE)/VLOOKUP($B142,Korrigeringsfaktor_EI,'Korrigeringsfaktor EI'!C$1,FALSE),
"")</f>
        <v>0</v>
      </c>
      <c r="D142" s="18">
        <f>IFERROR(
                  Andel_oberoende_av_klimat*VLOOKUP($A142,Leveranser_per_nät,'Leveranser per nät'!D$1,FALSE)
               +Andel_beroende_av_klimat*VLOOKUP($A142,Leveranser_per_nät,'Leveranser per nät'!D$1,FALSE)/VLOOKUP($B142,Korrigeringsfaktor_EI,'Korrigeringsfaktor EI'!D$1,FALSE),
"")</f>
        <v>0</v>
      </c>
      <c r="E142" s="18">
        <f>IFERROR(
                  Andel_oberoende_av_klimat*VLOOKUP($A142,Leveranser_per_nät,'Leveranser per nät'!E$1,FALSE)
               +Andel_beroende_av_klimat*VLOOKUP($A142,Leveranser_per_nät,'Leveranser per nät'!E$1,FALSE)/VLOOKUP($B142,Korrigeringsfaktor_EI,'Korrigeringsfaktor EI'!E$1,FALSE),
"")</f>
        <v>0</v>
      </c>
      <c r="F142" s="18">
        <f>IFERROR(
                  Andel_oberoende_av_klimat*VLOOKUP($A142,Leveranser_per_nät,'Leveranser per nät'!F$1,FALSE)
               +Andel_beroende_av_klimat*VLOOKUP($A142,Leveranser_per_nät,'Leveranser per nät'!F$1,FALSE)/VLOOKUP($B142,Korrigeringsfaktor_EI,'Korrigeringsfaktor EI'!F$1,FALSE),
"")</f>
        <v>2.0736842105263156</v>
      </c>
      <c r="G142" s="18">
        <f>IFERROR(
                  Andel_oberoende_av_klimat*VLOOKUP($A142,Leveranser_per_nät,'Leveranser per nät'!G$1,FALSE)
               +Andel_beroende_av_klimat*VLOOKUP($A142,Leveranser_per_nät,'Leveranser per nät'!G$1,FALSE)/VLOOKUP($B142,Korrigeringsfaktor_EI,'Korrigeringsfaktor EI'!G$1,FALSE),
"")</f>
        <v>11.855555555555556</v>
      </c>
      <c r="H142" s="18">
        <f>IFERROR(
                  Andel_oberoende_av_klimat*VLOOKUP($A142,Leveranser_per_nät,'Leveranser per nät'!H$1,FALSE)
               +Andel_beroende_av_klimat*VLOOKUP($A142,Leveranser_per_nät,'Leveranser per nät'!H$1,FALSE)/VLOOKUP($B142,Korrigeringsfaktor_EI,'Korrigeringsfaktor EI'!H$1,FALSE),
"")</f>
        <v>17.875247524752474</v>
      </c>
      <c r="I142" s="18">
        <f>IFERROR(
                  Andel_oberoende_av_klimat*VLOOKUP($A142,Leveranser_per_nät,'Leveranser per nät'!I$1,FALSE)
               +Andel_beroende_av_klimat*VLOOKUP($A142,Leveranser_per_nät,'Leveranser per nät'!I$1,FALSE)/VLOOKUP($B142,Korrigeringsfaktor_EI,'Korrigeringsfaktor EI'!I$1,FALSE),
"")</f>
        <v>20.239591666666669</v>
      </c>
      <c r="J142" s="18">
        <f>IFERROR(
                  Andel_oberoende_av_klimat*VLOOKUP($A142,Leveranser_per_nät,'Leveranser per nät'!J$1,FALSE)
               +Andel_beroende_av_klimat*VLOOKUP($A142,Leveranser_per_nät,'Leveranser per nät'!J$1,FALSE)/VLOOKUP($B142,Korrigeringsfaktor_EI,'Korrigeringsfaktor EI'!J$1,FALSE),
"")</f>
        <v>22.571914285714286</v>
      </c>
      <c r="K142" s="18">
        <f>IFERROR(
                  Andel_oberoende_av_klimat*VLOOKUP($A142,Leveranser_per_nät,'Leveranser per nät'!K$1,FALSE)
               +Andel_beroende_av_klimat*VLOOKUP($A142,Leveranser_per_nät,'Leveranser per nät'!K$1,FALSE)/VLOOKUP($B142,Korrigeringsfaktor_EI,'Korrigeringsfaktor EI'!K$1,FALSE),
"")</f>
        <v>24.513257142857142</v>
      </c>
      <c r="L142" s="18">
        <f>IFERROR(
                  Andel_oberoende_av_klimat*VLOOKUP($A142,Leveranser_per_nät,'Leveranser per nät'!L$1,FALSE)
               +Andel_beroende_av_klimat*VLOOKUP($A142,Leveranser_per_nät,'Leveranser per nät'!L$1,FALSE)/VLOOKUP($B142,Korrigeringsfaktor_EI,'Korrigeringsfaktor EI'!L$1,FALSE),
"")</f>
        <v>25.058399999999999</v>
      </c>
      <c r="M142" s="18">
        <f>IFERROR(
                  Andel_oberoende_av_klimat*VLOOKUP($A142,Leveranser_per_nät,'Leveranser per nät'!M$1,FALSE)
               +Andel_beroende_av_klimat*VLOOKUP($A142,Leveranser_per_nät,'Leveranser per nät'!M$1,FALSE)/VLOOKUP($B142,Korrigeringsfaktor_EI,'Korrigeringsfaktor EI'!M$1,FALSE),
"")</f>
        <v>27.517895652173912</v>
      </c>
      <c r="N142" s="18">
        <f>IFERROR(
                  Andel_oberoende_av_klimat*VLOOKUP($A142,Leveranser_per_nät,'Leveranser per nät'!N$1,FALSE)
               +Andel_beroende_av_klimat*VLOOKUP($A142,Leveranser_per_nät,'Leveranser per nät'!N$1,FALSE)/VLOOKUP($B142,Korrigeringsfaktor_EI,'Korrigeringsfaktor EI'!N$1,FALSE),
"")</f>
        <v>28.747338461538462</v>
      </c>
      <c r="O142" s="18">
        <f>IFERROR(
                  Andel_oberoende_av_klimat*VLOOKUP($A142,Leveranser_per_nät,'Leveranser per nät'!O$1,FALSE)
               +Andel_beroende_av_klimat*VLOOKUP($A142,Leveranser_per_nät,'Leveranser per nät'!O$1,FALSE)/VLOOKUP($B142,Korrigeringsfaktor_EI,'Korrigeringsfaktor EI'!O$1,FALSE),
"")</f>
        <v>29.036030769230763</v>
      </c>
      <c r="P142" s="18">
        <f>IFERROR(
                  Andel_oberoende_av_klimat*VLOOKUP($A142,Leveranser_per_nät,'Leveranser per nät'!P$1,FALSE)
               +Andel_beroende_av_klimat*VLOOKUP($A142,Leveranser_per_nät,'Leveranser per nät'!P$1,FALSE)/VLOOKUP($B142,Korrigeringsfaktor_EI,'Korrigeringsfaktor EI'!P$1,FALSE),
"")</f>
        <v>31.272194736842106</v>
      </c>
      <c r="Q142" s="18">
        <f>IFERROR(
                  Andel_oberoende_av_klimat*VLOOKUP($A142,Leveranser_per_nät,'Leveranser per nät'!Q$1,FALSE)
               +Andel_beroende_av_klimat*VLOOKUP($A142,Leveranser_per_nät,'Leveranser per nät'!Q$1,FALSE)/VLOOKUP($B142,Korrigeringsfaktor_EI,'Korrigeringsfaktor EI'!Q$1,FALSE),
"")</f>
        <v>33.433836036036041</v>
      </c>
      <c r="R142" s="18">
        <f>IFERROR(
                  Andel_oberoende_av_klimat*VLOOKUP($A142,Leveranser_per_nät,'Leveranser per nät'!R$1,FALSE)
               +Andel_beroende_av_klimat*VLOOKUP($A142,Leveranser_per_nät,'Leveranser per nät'!R$1,FALSE)/VLOOKUP($B142,Korrigeringsfaktor_EI,'Korrigeringsfaktor EI'!R$1,FALSE),
"")</f>
        <v>32.458318181818186</v>
      </c>
      <c r="S142" s="18">
        <f>IFERROR(
                  Andel_oberoende_av_klimat*VLOOKUP($A142,Leveranser_per_nät,'Leveranser per nät'!S$1,FALSE)
               +Andel_beroende_av_klimat*VLOOKUP($A142,Leveranser_per_nät,'Leveranser per nät'!S$1,FALSE)/VLOOKUP($B142,Korrigeringsfaktor_EI,'Korrigeringsfaktor EI'!S$1,FALSE),
"")</f>
        <v>32.692783505154637</v>
      </c>
      <c r="T142" s="18">
        <f>IFERROR(
                  Andel_oberoende_av_klimat*VLOOKUP($A142,Leveranser_per_nät,'Leveranser per nät'!T$1,FALSE)
               +Andel_beroende_av_klimat*VLOOKUP($A142,Leveranser_per_nät,'Leveranser per nät'!T$1,FALSE)/VLOOKUP($B142,Korrigeringsfaktor_EI,'Korrigeringsfaktor EI'!T$1,FALSE),
"")</f>
        <v>33.37441914893617</v>
      </c>
      <c r="U142" s="18">
        <f>IFERROR(
                  Andel_oberoende_av_klimat*VLOOKUP($A142,Leveranser_per_nät,'Leveranser per nät'!U$1,FALSE)
               +Andel_beroende_av_klimat*VLOOKUP($A142,Leveranser_per_nät,'Leveranser per nät'!U$1,FALSE)/VLOOKUP($B142,Korrigeringsfaktor_EI,'Korrigeringsfaktor EI'!U$1,FALSE),
"")</f>
        <v>33.786209302325581</v>
      </c>
      <c r="V142" s="18">
        <f>IFERROR(
                  Andel_oberoende_av_klimat*VLOOKUP($A142,Leveranser_per_nät,'Leveranser per nät'!V$1,FALSE)
               +Andel_beroende_av_klimat*VLOOKUP($A142,Leveranser_per_nät,'Leveranser per nät'!V$1,FALSE)/VLOOKUP($B142,Korrigeringsfaktor_EI,'Korrigeringsfaktor EI'!V$1,FALSE),
"")</f>
        <v>34.175990909090913</v>
      </c>
      <c r="W142" s="18">
        <f>IFERROR(
                  Andel_oberoende_av_klimat*VLOOKUP($A142,Leveranser_per_nät,'Leveranser per nät'!W$1,FALSE)
               +Andel_beroende_av_klimat*VLOOKUP($A142,Leveranser_per_nät,'Leveranser per nät'!W$1,FALSE)/VLOOKUP($B142,Korrigeringsfaktor_EI,'Korrigeringsfaktor EI'!W$1,FALSE),
"")</f>
        <v>35.016231578947369</v>
      </c>
      <c r="X142" s="18">
        <f>IFERROR(
                  Andel_oberoende_av_klimat*VLOOKUP($A142,Leveranser_per_nät,'Leveranser per nät'!X$1,FALSE)
               +Andel_beroende_av_klimat*VLOOKUP($A142,Leveranser_per_nät,'Leveranser per nät'!X$1,FALSE)/VLOOKUP($B142,Korrigeringsfaktor_EI,'Korrigeringsfaktor EI'!X$1,FALSE),
"")</f>
        <v>35.473182978723408</v>
      </c>
      <c r="Y142" s="18">
        <f>IFERROR(
                  Andel_oberoende_av_klimat*VLOOKUP($A142,Leveranser_per_nät,'Leveranser per nät'!Y$1,FALSE)
               +Andel_beroende_av_klimat*VLOOKUP($A142,Leveranser_per_nät,'Leveranser per nät'!Y$1,FALSE)/VLOOKUP($B142,Korrigeringsfaktor_EI,'Korrigeringsfaktor EI'!Y$1,FALSE),
"")</f>
        <v>35.993182608695648</v>
      </c>
      <c r="Z142" s="18">
        <f>IFERROR(
                  Andel_oberoende_av_klimat*VLOOKUP($A142,Leveranser_per_nät,'Leveranser per nät'!Z$1,FALSE)
               +Andel_beroende_av_klimat*VLOOKUP($A142,Leveranser_per_nät,'Leveranser per nät'!Z$1,FALSE)/VLOOKUP($B142,Korrigeringsfaktor_EI,'Korrigeringsfaktor EI'!Z$1,FALSE),
"")</f>
        <v>35.312884269662923</v>
      </c>
      <c r="AA142" s="18">
        <f>IFERROR(
                  Andel_oberoende_av_klimat*VLOOKUP($A142,Leveranser_per_nät,'Leveranser per nät'!AA$1,FALSE)
               +Andel_beroende_av_klimat*VLOOKUP($A142,Leveranser_per_nät,'Leveranser per nät'!AA$1,FALSE)/VLOOKUP($B142,Korrigeringsfaktor_EI,'Korrigeringsfaktor EI'!AA$1,FALSE),
"")</f>
        <v>34.219633685322066</v>
      </c>
      <c r="AB142" s="18">
        <f>IFERROR(
                  Andel_oberoende_av_klimat*VLOOKUP($A142,Leveranser_per_nät,'Leveranser per nät'!AB$1,FALSE)
               +Andel_beroende_av_klimat*VLOOKUP($A142,Leveranser_per_nät,'Leveranser per nät'!AB$1,FALSE)/VLOOKUP($B142,Korrigeringsfaktor_EI,'Korrigeringsfaktor EI'!AB$1,FALSE),
"")</f>
        <v>35.962000000000003</v>
      </c>
      <c r="AC142" s="18">
        <f>IFERROR(
                  Andel_oberoende_av_klimat*VLOOKUP($A142,Leveranser_per_nät,'Leveranser per nät'!AC$1,FALSE)
               +Andel_beroende_av_klimat*VLOOKUP($A142,Leveranser_per_nät,'Leveranser per nät'!AC$1,FALSE)/VLOOKUP($B142,Korrigeringsfaktor_EI,'Korrigeringsfaktor EI'!AC$1,FALSE),
"")</f>
        <v>35.243212526539274</v>
      </c>
      <c r="AD142">
        <v>33.786999999999999</v>
      </c>
    </row>
    <row r="143" spans="1:30" x14ac:dyDescent="0.25">
      <c r="A143" s="4" t="s">
        <v>400</v>
      </c>
      <c r="B143" t="s">
        <v>372</v>
      </c>
      <c r="C143" s="18">
        <f>IFERROR(
                  Andel_oberoende_av_klimat*VLOOKUP($A143,Leveranser_per_nät,'Leveranser per nät'!C$1,FALSE)
               +Andel_beroende_av_klimat*VLOOKUP($A143,Leveranser_per_nät,'Leveranser per nät'!C$1,FALSE)/VLOOKUP($B143,Korrigeringsfaktor_EI,'Korrigeringsfaktor EI'!C$1,FALSE),
"")</f>
        <v>1.7678545454545453</v>
      </c>
      <c r="D143" s="18">
        <f>IFERROR(
                  Andel_oberoende_av_klimat*VLOOKUP($A143,Leveranser_per_nät,'Leveranser per nät'!D$1,FALSE)
               +Andel_beroende_av_klimat*VLOOKUP($A143,Leveranser_per_nät,'Leveranser per nät'!D$1,FALSE)/VLOOKUP($B143,Korrigeringsfaktor_EI,'Korrigeringsfaktor EI'!D$1,FALSE),
"")</f>
        <v>0</v>
      </c>
      <c r="E143" s="18">
        <f>IFERROR(
                  Andel_oberoende_av_klimat*VLOOKUP($A143,Leveranser_per_nät,'Leveranser per nät'!E$1,FALSE)
               +Andel_beroende_av_klimat*VLOOKUP($A143,Leveranser_per_nät,'Leveranser per nät'!E$1,FALSE)/VLOOKUP($B143,Korrigeringsfaktor_EI,'Korrigeringsfaktor EI'!E$1,FALSE),
"")</f>
        <v>0</v>
      </c>
      <c r="F143" s="18">
        <f>IFERROR(
                  Andel_oberoende_av_klimat*VLOOKUP($A143,Leveranser_per_nät,'Leveranser per nät'!F$1,FALSE)
               +Andel_beroende_av_klimat*VLOOKUP($A143,Leveranser_per_nät,'Leveranser per nät'!F$1,FALSE)/VLOOKUP($B143,Korrigeringsfaktor_EI,'Korrigeringsfaktor EI'!F$1,FALSE),
"")</f>
        <v>0</v>
      </c>
      <c r="G143" s="18">
        <f>IFERROR(
                  Andel_oberoende_av_klimat*VLOOKUP($A143,Leveranser_per_nät,'Leveranser per nät'!G$1,FALSE)
               +Andel_beroende_av_klimat*VLOOKUP($A143,Leveranser_per_nät,'Leveranser per nät'!G$1,FALSE)/VLOOKUP($B143,Korrigeringsfaktor_EI,'Korrigeringsfaktor EI'!G$1,FALSE),
"")</f>
        <v>0</v>
      </c>
      <c r="H143" s="18">
        <f>IFERROR(
                  Andel_oberoende_av_klimat*VLOOKUP($A143,Leveranser_per_nät,'Leveranser per nät'!H$1,FALSE)
               +Andel_beroende_av_klimat*VLOOKUP($A143,Leveranser_per_nät,'Leveranser per nät'!H$1,FALSE)/VLOOKUP($B143,Korrigeringsfaktor_EI,'Korrigeringsfaktor EI'!H$1,FALSE),
"")</f>
        <v>0</v>
      </c>
      <c r="I143" s="18">
        <f>IFERROR(
                  Andel_oberoende_av_klimat*VLOOKUP($A143,Leveranser_per_nät,'Leveranser per nät'!I$1,FALSE)
               +Andel_beroende_av_klimat*VLOOKUP($A143,Leveranser_per_nät,'Leveranser per nät'!I$1,FALSE)/VLOOKUP($B143,Korrigeringsfaktor_EI,'Korrigeringsfaktor EI'!I$1,FALSE),
"")</f>
        <v>0</v>
      </c>
      <c r="J143" s="18">
        <f>IFERROR(
                  Andel_oberoende_av_klimat*VLOOKUP($A143,Leveranser_per_nät,'Leveranser per nät'!J$1,FALSE)
               +Andel_beroende_av_klimat*VLOOKUP($A143,Leveranser_per_nät,'Leveranser per nät'!J$1,FALSE)/VLOOKUP($B143,Korrigeringsfaktor_EI,'Korrigeringsfaktor EI'!J$1,FALSE),
"")</f>
        <v>0</v>
      </c>
      <c r="K143" s="18">
        <f>IFERROR(
                  Andel_oberoende_av_klimat*VLOOKUP($A143,Leveranser_per_nät,'Leveranser per nät'!K$1,FALSE)
               +Andel_beroende_av_klimat*VLOOKUP($A143,Leveranser_per_nät,'Leveranser per nät'!K$1,FALSE)/VLOOKUP($B143,Korrigeringsfaktor_EI,'Korrigeringsfaktor EI'!K$1,FALSE),
"")</f>
        <v>0</v>
      </c>
      <c r="L143" s="18">
        <f>IFERROR(
                  Andel_oberoende_av_klimat*VLOOKUP($A143,Leveranser_per_nät,'Leveranser per nät'!L$1,FALSE)
               +Andel_beroende_av_klimat*VLOOKUP($A143,Leveranser_per_nät,'Leveranser per nät'!L$1,FALSE)/VLOOKUP($B143,Korrigeringsfaktor_EI,'Korrigeringsfaktor EI'!L$1,FALSE),
"")</f>
        <v>0</v>
      </c>
      <c r="M143" s="18">
        <f>IFERROR(
                  Andel_oberoende_av_klimat*VLOOKUP($A143,Leveranser_per_nät,'Leveranser per nät'!M$1,FALSE)
               +Andel_beroende_av_klimat*VLOOKUP($A143,Leveranser_per_nät,'Leveranser per nät'!M$1,FALSE)/VLOOKUP($B143,Korrigeringsfaktor_EI,'Korrigeringsfaktor EI'!M$1,FALSE),
"")</f>
        <v>0</v>
      </c>
      <c r="N143" s="18">
        <f>IFERROR(
                  Andel_oberoende_av_klimat*VLOOKUP($A143,Leveranser_per_nät,'Leveranser per nät'!N$1,FALSE)
               +Andel_beroende_av_klimat*VLOOKUP($A143,Leveranser_per_nät,'Leveranser per nät'!N$1,FALSE)/VLOOKUP($B143,Korrigeringsfaktor_EI,'Korrigeringsfaktor EI'!N$1,FALSE),
"")</f>
        <v>0</v>
      </c>
      <c r="O143" s="18">
        <f>IFERROR(
                  Andel_oberoende_av_klimat*VLOOKUP($A143,Leveranser_per_nät,'Leveranser per nät'!O$1,FALSE)
               +Andel_beroende_av_klimat*VLOOKUP($A143,Leveranser_per_nät,'Leveranser per nät'!O$1,FALSE)/VLOOKUP($B143,Korrigeringsfaktor_EI,'Korrigeringsfaktor EI'!O$1,FALSE),
"")</f>
        <v>0</v>
      </c>
      <c r="P143" s="18">
        <f>IFERROR(
                  Andel_oberoende_av_klimat*VLOOKUP($A143,Leveranser_per_nät,'Leveranser per nät'!P$1,FALSE)
               +Andel_beroende_av_klimat*VLOOKUP($A143,Leveranser_per_nät,'Leveranser per nät'!P$1,FALSE)/VLOOKUP($B143,Korrigeringsfaktor_EI,'Korrigeringsfaktor EI'!P$1,FALSE),
"")</f>
        <v>0</v>
      </c>
      <c r="Q143" s="18">
        <f>IFERROR(
                  Andel_oberoende_av_klimat*VLOOKUP($A143,Leveranser_per_nät,'Leveranser per nät'!Q$1,FALSE)
               +Andel_beroende_av_klimat*VLOOKUP($A143,Leveranser_per_nät,'Leveranser per nät'!Q$1,FALSE)/VLOOKUP($B143,Korrigeringsfaktor_EI,'Korrigeringsfaktor EI'!Q$1,FALSE),
"")</f>
        <v>1.7463999999999997</v>
      </c>
      <c r="R143" s="18">
        <f>IFERROR(
                  Andel_oberoende_av_klimat*VLOOKUP($A143,Leveranser_per_nät,'Leveranser per nät'!R$1,FALSE)
               +Andel_beroende_av_klimat*VLOOKUP($A143,Leveranser_per_nät,'Leveranser per nät'!R$1,FALSE)/VLOOKUP($B143,Korrigeringsfaktor_EI,'Korrigeringsfaktor EI'!R$1,FALSE),
"")</f>
        <v>1.7898923076923077</v>
      </c>
      <c r="S143" s="18">
        <f>IFERROR(
                  Andel_oberoende_av_klimat*VLOOKUP($A143,Leveranser_per_nät,'Leveranser per nät'!S$1,FALSE)
               +Andel_beroende_av_klimat*VLOOKUP($A143,Leveranser_per_nät,'Leveranser per nät'!S$1,FALSE)/VLOOKUP($B143,Korrigeringsfaktor_EI,'Korrigeringsfaktor EI'!S$1,FALSE),
"")</f>
        <v>1.9</v>
      </c>
      <c r="T143" s="18">
        <f>IFERROR(
                  Andel_oberoende_av_klimat*VLOOKUP($A143,Leveranser_per_nät,'Leveranser per nät'!T$1,FALSE)
               +Andel_beroende_av_klimat*VLOOKUP($A143,Leveranser_per_nät,'Leveranser per nät'!T$1,FALSE)/VLOOKUP($B143,Korrigeringsfaktor_EI,'Korrigeringsfaktor EI'!T$1,FALSE),
"")</f>
        <v>1.8675752577319589</v>
      </c>
      <c r="U143" s="18">
        <f>IFERROR(
                  Andel_oberoende_av_klimat*VLOOKUP($A143,Leveranser_per_nät,'Leveranser per nät'!U$1,FALSE)
               +Andel_beroende_av_klimat*VLOOKUP($A143,Leveranser_per_nät,'Leveranser per nät'!U$1,FALSE)/VLOOKUP($B143,Korrigeringsfaktor_EI,'Korrigeringsfaktor EI'!U$1,FALSE),
"")</f>
        <v>1.7600465116279072</v>
      </c>
      <c r="V143" s="18">
        <f>IFERROR(
                  Andel_oberoende_av_klimat*VLOOKUP($A143,Leveranser_per_nät,'Leveranser per nät'!V$1,FALSE)
               +Andel_beroende_av_klimat*VLOOKUP($A143,Leveranser_per_nät,'Leveranser per nät'!V$1,FALSE)/VLOOKUP($B143,Korrigeringsfaktor_EI,'Korrigeringsfaktor EI'!V$1,FALSE),
"")</f>
        <v>1.8034782608695652</v>
      </c>
      <c r="W143" s="18">
        <f>IFERROR(
                  Andel_oberoende_av_klimat*VLOOKUP($A143,Leveranser_per_nät,'Leveranser per nät'!W$1,FALSE)
               +Andel_beroende_av_klimat*VLOOKUP($A143,Leveranser_per_nät,'Leveranser per nät'!W$1,FALSE)/VLOOKUP($B143,Korrigeringsfaktor_EI,'Korrigeringsfaktor EI'!W$1,FALSE),
"")</f>
        <v>1.8323702127659578</v>
      </c>
      <c r="X143" s="18">
        <f>IFERROR(
                  Andel_oberoende_av_klimat*VLOOKUP($A143,Leveranser_per_nät,'Leveranser per nät'!X$1,FALSE)
               +Andel_beroende_av_klimat*VLOOKUP($A143,Leveranser_per_nät,'Leveranser per nät'!X$1,FALSE)/VLOOKUP($B143,Korrigeringsfaktor_EI,'Korrigeringsfaktor EI'!X$1,FALSE),
"")</f>
        <v>1.8386382978723406</v>
      </c>
      <c r="Y143" s="18">
        <f>IFERROR(
                  Andel_oberoende_av_klimat*VLOOKUP($A143,Leveranser_per_nät,'Leveranser per nät'!Y$1,FALSE)
               +Andel_beroende_av_klimat*VLOOKUP($A143,Leveranser_per_nät,'Leveranser per nät'!Y$1,FALSE)/VLOOKUP($B143,Korrigeringsfaktor_EI,'Korrigeringsfaktor EI'!Y$1,FALSE),
"")</f>
        <v>1.81955</v>
      </c>
      <c r="Z143" s="18">
        <f>IFERROR(
                  Andel_oberoende_av_klimat*VLOOKUP($A143,Leveranser_per_nät,'Leveranser per nät'!Z$1,FALSE)
               +Andel_beroende_av_klimat*VLOOKUP($A143,Leveranser_per_nät,'Leveranser per nät'!Z$1,FALSE)/VLOOKUP($B143,Korrigeringsfaktor_EI,'Korrigeringsfaktor EI'!Z$1,FALSE),
"")</f>
        <v>0.78979302325581391</v>
      </c>
      <c r="AA143" s="18">
        <f>IFERROR(
                  Andel_oberoende_av_klimat*VLOOKUP($A143,Leveranser_per_nät,'Leveranser per nät'!AA$1,FALSE)
               +Andel_beroende_av_klimat*VLOOKUP($A143,Leveranser_per_nät,'Leveranser per nät'!AA$1,FALSE)/VLOOKUP($B143,Korrigeringsfaktor_EI,'Korrigeringsfaktor EI'!AA$1,FALSE),
"")</f>
        <v>1.8935069395017794</v>
      </c>
      <c r="AB143" s="18">
        <f>IFERROR(
                  Andel_oberoende_av_klimat*VLOOKUP($A143,Leveranser_per_nät,'Leveranser per nät'!AB$1,FALSE)
               +Andel_beroende_av_klimat*VLOOKUP($A143,Leveranser_per_nät,'Leveranser per nät'!AB$1,FALSE)/VLOOKUP($B143,Korrigeringsfaktor_EI,'Korrigeringsfaktor EI'!AB$1,FALSE),
"")</f>
        <v>1.9712425742574258</v>
      </c>
      <c r="AC143" s="18">
        <f>IFERROR(
                  Andel_oberoende_av_klimat*VLOOKUP($A143,Leveranser_per_nät,'Leveranser per nät'!AC$1,FALSE)
               +Andel_beroende_av_klimat*VLOOKUP($A143,Leveranser_per_nät,'Leveranser per nät'!AC$1,FALSE)/VLOOKUP($B143,Korrigeringsfaktor_EI,'Korrigeringsfaktor EI'!AC$1,FALSE),
"")</f>
        <v>2.0234835820895523</v>
      </c>
      <c r="AD143">
        <v>163.755</v>
      </c>
    </row>
    <row r="144" spans="1:30" x14ac:dyDescent="0.25">
      <c r="A144" t="s">
        <v>116</v>
      </c>
      <c r="B144" t="s">
        <v>116</v>
      </c>
      <c r="C144" s="18">
        <f>IFERROR(
                  Andel_oberoende_av_klimat*VLOOKUP($A144,Leveranser_per_nät,'Leveranser per nät'!C$1,FALSE)
               +Andel_beroende_av_klimat*VLOOKUP($A144,Leveranser_per_nät,'Leveranser per nät'!C$1,FALSE)/VLOOKUP($B144,Korrigeringsfaktor_EI,'Korrigeringsfaktor EI'!C$1,FALSE),
"")</f>
        <v>0</v>
      </c>
      <c r="D144" s="18">
        <f>IFERROR(
                  Andel_oberoende_av_klimat*VLOOKUP($A144,Leveranser_per_nät,'Leveranser per nät'!D$1,FALSE)
               +Andel_beroende_av_klimat*VLOOKUP($A144,Leveranser_per_nät,'Leveranser per nät'!D$1,FALSE)/VLOOKUP($B144,Korrigeringsfaktor_EI,'Korrigeringsfaktor EI'!D$1,FALSE),
"")</f>
        <v>0</v>
      </c>
      <c r="E144" s="18">
        <f>IFERROR(
                  Andel_oberoende_av_klimat*VLOOKUP($A144,Leveranser_per_nät,'Leveranser per nät'!E$1,FALSE)
               +Andel_beroende_av_klimat*VLOOKUP($A144,Leveranser_per_nät,'Leveranser per nät'!E$1,FALSE)/VLOOKUP($B144,Korrigeringsfaktor_EI,'Korrigeringsfaktor EI'!E$1,FALSE),
"")</f>
        <v>77.389320388349518</v>
      </c>
      <c r="F144" s="18">
        <f>IFERROR(
                  Andel_oberoende_av_klimat*VLOOKUP($A144,Leveranser_per_nät,'Leveranser per nät'!F$1,FALSE)
               +Andel_beroende_av_klimat*VLOOKUP($A144,Leveranser_per_nät,'Leveranser per nät'!F$1,FALSE)/VLOOKUP($B144,Korrigeringsfaktor_EI,'Korrigeringsfaktor EI'!F$1,FALSE),
"")</f>
        <v>71.502020202020205</v>
      </c>
      <c r="G144" s="18">
        <f>IFERROR(
                  Andel_oberoende_av_klimat*VLOOKUP($A144,Leveranser_per_nät,'Leveranser per nät'!G$1,FALSE)
               +Andel_beroende_av_klimat*VLOOKUP($A144,Leveranser_per_nät,'Leveranser per nät'!G$1,FALSE)/VLOOKUP($B144,Korrigeringsfaktor_EI,'Korrigeringsfaktor EI'!G$1,FALSE),
"")</f>
        <v>68.956521739130437</v>
      </c>
      <c r="H144" s="18">
        <f>IFERROR(
                  Andel_oberoende_av_klimat*VLOOKUP($A144,Leveranser_per_nät,'Leveranser per nät'!H$1,FALSE)
               +Andel_beroende_av_klimat*VLOOKUP($A144,Leveranser_per_nät,'Leveranser per nät'!H$1,FALSE)/VLOOKUP($B144,Korrigeringsfaktor_EI,'Korrigeringsfaktor EI'!H$1,FALSE),
"")</f>
        <v>82.579797979797988</v>
      </c>
      <c r="I144" s="18">
        <f>IFERROR(
                  Andel_oberoende_av_klimat*VLOOKUP($A144,Leveranser_per_nät,'Leveranser per nät'!I$1,FALSE)
               +Andel_beroende_av_klimat*VLOOKUP($A144,Leveranser_per_nät,'Leveranser per nät'!I$1,FALSE)/VLOOKUP($B144,Korrigeringsfaktor_EI,'Korrigeringsfaktor EI'!I$1,FALSE),
"")</f>
        <v>87.094736842105263</v>
      </c>
      <c r="J144" s="18">
        <f>IFERROR(
                  Andel_oberoende_av_klimat*VLOOKUP($A144,Leveranser_per_nät,'Leveranser per nät'!J$1,FALSE)
               +Andel_beroende_av_klimat*VLOOKUP($A144,Leveranser_per_nät,'Leveranser per nät'!J$1,FALSE)/VLOOKUP($B144,Korrigeringsfaktor_EI,'Korrigeringsfaktor EI'!J$1,FALSE),
"")</f>
        <v>88.286033333333336</v>
      </c>
      <c r="K144" s="18">
        <f>IFERROR(
                  Andel_oberoende_av_klimat*VLOOKUP($A144,Leveranser_per_nät,'Leveranser per nät'!K$1,FALSE)
               +Andel_beroende_av_klimat*VLOOKUP($A144,Leveranser_per_nät,'Leveranser per nät'!K$1,FALSE)/VLOOKUP($B144,Korrigeringsfaktor_EI,'Korrigeringsfaktor EI'!K$1,FALSE),
"")</f>
        <v>0</v>
      </c>
      <c r="L144" s="18">
        <f>IFERROR(
                  Andel_oberoende_av_klimat*VLOOKUP($A144,Leveranser_per_nät,'Leveranser per nät'!L$1,FALSE)
               +Andel_beroende_av_klimat*VLOOKUP($A144,Leveranser_per_nät,'Leveranser per nät'!L$1,FALSE)/VLOOKUP($B144,Korrigeringsfaktor_EI,'Korrigeringsfaktor EI'!L$1,FALSE),
"")</f>
        <v>127.08229148936172</v>
      </c>
      <c r="M144" s="18">
        <f>IFERROR(
                  Andel_oberoende_av_klimat*VLOOKUP($A144,Leveranser_per_nät,'Leveranser per nät'!M$1,FALSE)
               +Andel_beroende_av_klimat*VLOOKUP($A144,Leveranser_per_nät,'Leveranser per nät'!M$1,FALSE)/VLOOKUP($B144,Korrigeringsfaktor_EI,'Korrigeringsfaktor EI'!M$1,FALSE),
"")</f>
        <v>132.58461538461538</v>
      </c>
      <c r="N144" s="18">
        <f>IFERROR(
                  Andel_oberoende_av_klimat*VLOOKUP($A144,Leveranser_per_nät,'Leveranser per nät'!N$1,FALSE)
               +Andel_beroende_av_klimat*VLOOKUP($A144,Leveranser_per_nät,'Leveranser per nät'!N$1,FALSE)/VLOOKUP($B144,Korrigeringsfaktor_EI,'Korrigeringsfaktor EI'!N$1,FALSE),
"")</f>
        <v>134.68578947368422</v>
      </c>
      <c r="O144" s="18">
        <f>IFERROR(
                  Andel_oberoende_av_klimat*VLOOKUP($A144,Leveranser_per_nät,'Leveranser per nät'!O$1,FALSE)
               +Andel_beroende_av_klimat*VLOOKUP($A144,Leveranser_per_nät,'Leveranser per nät'!O$1,FALSE)/VLOOKUP($B144,Korrigeringsfaktor_EI,'Korrigeringsfaktor EI'!O$1,FALSE),
"")</f>
        <v>129.48064516129031</v>
      </c>
      <c r="P144" s="18">
        <f>IFERROR(
                  Andel_oberoende_av_klimat*VLOOKUP($A144,Leveranser_per_nät,'Leveranser per nät'!P$1,FALSE)
               +Andel_beroende_av_klimat*VLOOKUP($A144,Leveranser_per_nät,'Leveranser per nät'!P$1,FALSE)/VLOOKUP($B144,Korrigeringsfaktor_EI,'Korrigeringsfaktor EI'!P$1,FALSE),
"")</f>
        <v>137.94285714285715</v>
      </c>
      <c r="Q144" s="18">
        <f>IFERROR(
                  Andel_oberoende_av_klimat*VLOOKUP($A144,Leveranser_per_nät,'Leveranser per nät'!Q$1,FALSE)
               +Andel_beroende_av_klimat*VLOOKUP($A144,Leveranser_per_nät,'Leveranser per nät'!Q$1,FALSE)/VLOOKUP($B144,Korrigeringsfaktor_EI,'Korrigeringsfaktor EI'!Q$1,FALSE),
"")</f>
        <v>115.44</v>
      </c>
      <c r="R144" s="18">
        <f>IFERROR(
                  Andel_oberoende_av_klimat*VLOOKUP($A144,Leveranser_per_nät,'Leveranser per nät'!R$1,FALSE)
               +Andel_beroende_av_klimat*VLOOKUP($A144,Leveranser_per_nät,'Leveranser per nät'!R$1,FALSE)/VLOOKUP($B144,Korrigeringsfaktor_EI,'Korrigeringsfaktor EI'!R$1,FALSE),
"")</f>
        <v>67.657715384615386</v>
      </c>
      <c r="S144" s="18">
        <f>IFERROR(
                  Andel_oberoende_av_klimat*VLOOKUP($A144,Leveranser_per_nät,'Leveranser per nät'!S$1,FALSE)
               +Andel_beroende_av_klimat*VLOOKUP($A144,Leveranser_per_nät,'Leveranser per nät'!S$1,FALSE)/VLOOKUP($B144,Korrigeringsfaktor_EI,'Korrigeringsfaktor EI'!S$1,FALSE),
"")</f>
        <v>114.20297029702971</v>
      </c>
      <c r="T144" s="18">
        <f>IFERROR(
                  Andel_oberoende_av_klimat*VLOOKUP($A144,Leveranser_per_nät,'Leveranser per nät'!T$1,FALSE)
               +Andel_beroende_av_klimat*VLOOKUP($A144,Leveranser_per_nät,'Leveranser per nät'!T$1,FALSE)/VLOOKUP($B144,Korrigeringsfaktor_EI,'Korrigeringsfaktor EI'!T$1,FALSE),
"")</f>
        <v>110.24534736842106</v>
      </c>
      <c r="U144" s="18">
        <f>IFERROR(
                  Andel_oberoende_av_klimat*VLOOKUP($A144,Leveranser_per_nät,'Leveranser per nät'!U$1,FALSE)
               +Andel_beroende_av_klimat*VLOOKUP($A144,Leveranser_per_nät,'Leveranser per nät'!U$1,FALSE)/VLOOKUP($B144,Korrigeringsfaktor_EI,'Korrigeringsfaktor EI'!U$1,FALSE),
"")</f>
        <v>72.40296153846154</v>
      </c>
      <c r="V144" s="18">
        <f>IFERROR(
                  Andel_oberoende_av_klimat*VLOOKUP($A144,Leveranser_per_nät,'Leveranser per nät'!V$1,FALSE)
               +Andel_beroende_av_klimat*VLOOKUP($A144,Leveranser_per_nät,'Leveranser per nät'!V$1,FALSE)/VLOOKUP($B144,Korrigeringsfaktor_EI,'Korrigeringsfaktor EI'!V$1,FALSE),
"")</f>
        <v>68.452608695652188</v>
      </c>
      <c r="W144" s="18">
        <f>IFERROR(
                  Andel_oberoende_av_klimat*VLOOKUP($A144,Leveranser_per_nät,'Leveranser per nät'!W$1,FALSE)
               +Andel_beroende_av_klimat*VLOOKUP($A144,Leveranser_per_nät,'Leveranser per nät'!W$1,FALSE)/VLOOKUP($B144,Korrigeringsfaktor_EI,'Korrigeringsfaktor EI'!W$1,FALSE),
"")</f>
        <v>70.503189473684216</v>
      </c>
      <c r="X144" s="18">
        <f>IFERROR(
                  Andel_oberoende_av_klimat*VLOOKUP($A144,Leveranser_per_nät,'Leveranser per nät'!X$1,FALSE)
               +Andel_beroende_av_klimat*VLOOKUP($A144,Leveranser_per_nät,'Leveranser per nät'!X$1,FALSE)/VLOOKUP($B144,Korrigeringsfaktor_EI,'Korrigeringsfaktor EI'!X$1,FALSE),
"")</f>
        <v>68.734336842105265</v>
      </c>
      <c r="Y144" s="18">
        <f>IFERROR(
                  Andel_oberoende_av_klimat*VLOOKUP($A144,Leveranser_per_nät,'Leveranser per nät'!Y$1,FALSE)
               +Andel_beroende_av_klimat*VLOOKUP($A144,Leveranser_per_nät,'Leveranser per nät'!Y$1,FALSE)/VLOOKUP($B144,Korrigeringsfaktor_EI,'Korrigeringsfaktor EI'!Y$1,FALSE),
"")</f>
        <v>103.11652173913043</v>
      </c>
      <c r="Z144" s="18">
        <f>IFERROR(
                  Andel_oberoende_av_klimat*VLOOKUP($A144,Leveranser_per_nät,'Leveranser per nät'!Z$1,FALSE)
               +Andel_beroende_av_klimat*VLOOKUP($A144,Leveranser_per_nät,'Leveranser per nät'!Z$1,FALSE)/VLOOKUP($B144,Korrigeringsfaktor_EI,'Korrigeringsfaktor EI'!Z$1,FALSE),
"")</f>
        <v>96.426236559139781</v>
      </c>
      <c r="AA144" s="18">
        <f>IFERROR(
                  Andel_oberoende_av_klimat*VLOOKUP($A144,Leveranser_per_nät,'Leveranser per nät'!AA$1,FALSE)
               +Andel_beroende_av_klimat*VLOOKUP($A144,Leveranser_per_nät,'Leveranser per nät'!AA$1,FALSE)/VLOOKUP($B144,Korrigeringsfaktor_EI,'Korrigeringsfaktor EI'!AA$1,FALSE),
"")</f>
        <v>106.89954397394138</v>
      </c>
      <c r="AB144" s="18">
        <f>IFERROR(
                  Andel_oberoende_av_klimat*VLOOKUP($A144,Leveranser_per_nät,'Leveranser per nät'!AB$1,FALSE)
               +Andel_beroende_av_klimat*VLOOKUP($A144,Leveranser_per_nät,'Leveranser per nät'!AB$1,FALSE)/VLOOKUP($B144,Korrigeringsfaktor_EI,'Korrigeringsfaktor EI'!AB$1,FALSE),
"")</f>
        <v>42.344492532795158</v>
      </c>
      <c r="AC144" s="18">
        <f>IFERROR(
                  Andel_oberoende_av_klimat*VLOOKUP($A144,Leveranser_per_nät,'Leveranser per nät'!AC$1,FALSE)
               +Andel_beroende_av_klimat*VLOOKUP($A144,Leveranser_per_nät,'Leveranser per nät'!AC$1,FALSE)/VLOOKUP($B144,Korrigeringsfaktor_EI,'Korrigeringsfaktor EI'!AC$1,FALSE),
"")</f>
        <v>41.482873361522202</v>
      </c>
      <c r="AD144" t="e">
        <v>#N/A</v>
      </c>
    </row>
    <row r="145" spans="1:30" x14ac:dyDescent="0.25">
      <c r="A145" t="s">
        <v>325</v>
      </c>
      <c r="B145" t="s">
        <v>324</v>
      </c>
      <c r="C145" s="18">
        <f>IFERROR(
                  Andel_oberoende_av_klimat*VLOOKUP($A145,Leveranser_per_nät,'Leveranser per nät'!C$1,FALSE)
               +Andel_beroende_av_klimat*VLOOKUP($A145,Leveranser_per_nät,'Leveranser per nät'!C$1,FALSE)/VLOOKUP($B145,Korrigeringsfaktor_EI,'Korrigeringsfaktor EI'!C$1,FALSE),
"")</f>
        <v>0</v>
      </c>
      <c r="D145" s="18">
        <f>IFERROR(
                  Andel_oberoende_av_klimat*VLOOKUP($A145,Leveranser_per_nät,'Leveranser per nät'!D$1,FALSE)
               +Andel_beroende_av_klimat*VLOOKUP($A145,Leveranser_per_nät,'Leveranser per nät'!D$1,FALSE)/VLOOKUP($B145,Korrigeringsfaktor_EI,'Korrigeringsfaktor EI'!D$1,FALSE),
"")</f>
        <v>0</v>
      </c>
      <c r="E145" s="18">
        <f>IFERROR(
                  Andel_oberoende_av_klimat*VLOOKUP($A145,Leveranser_per_nät,'Leveranser per nät'!E$1,FALSE)
               +Andel_beroende_av_klimat*VLOOKUP($A145,Leveranser_per_nät,'Leveranser per nät'!E$1,FALSE)/VLOOKUP($B145,Korrigeringsfaktor_EI,'Korrigeringsfaktor EI'!E$1,FALSE),
"")</f>
        <v>0</v>
      </c>
      <c r="F145" s="18">
        <f>IFERROR(
                  Andel_oberoende_av_klimat*VLOOKUP($A145,Leveranser_per_nät,'Leveranser per nät'!F$1,FALSE)
               +Andel_beroende_av_klimat*VLOOKUP($A145,Leveranser_per_nät,'Leveranser per nät'!F$1,FALSE)/VLOOKUP($B145,Korrigeringsfaktor_EI,'Korrigeringsfaktor EI'!F$1,FALSE),
"")</f>
        <v>0</v>
      </c>
      <c r="G145" s="18">
        <f>IFERROR(
                  Andel_oberoende_av_klimat*VLOOKUP($A145,Leveranser_per_nät,'Leveranser per nät'!G$1,FALSE)
               +Andel_beroende_av_klimat*VLOOKUP($A145,Leveranser_per_nät,'Leveranser per nät'!G$1,FALSE)/VLOOKUP($B145,Korrigeringsfaktor_EI,'Korrigeringsfaktor EI'!G$1,FALSE),
"")</f>
        <v>0</v>
      </c>
      <c r="H145" s="18">
        <f>IFERROR(
                  Andel_oberoende_av_klimat*VLOOKUP($A145,Leveranser_per_nät,'Leveranser per nät'!H$1,FALSE)
               +Andel_beroende_av_klimat*VLOOKUP($A145,Leveranser_per_nät,'Leveranser per nät'!H$1,FALSE)/VLOOKUP($B145,Korrigeringsfaktor_EI,'Korrigeringsfaktor EI'!H$1,FALSE),
"")</f>
        <v>0</v>
      </c>
      <c r="I145" s="18">
        <f>IFERROR(
                  Andel_oberoende_av_klimat*VLOOKUP($A145,Leveranser_per_nät,'Leveranser per nät'!I$1,FALSE)
               +Andel_beroende_av_klimat*VLOOKUP($A145,Leveranser_per_nät,'Leveranser per nät'!I$1,FALSE)/VLOOKUP($B145,Korrigeringsfaktor_EI,'Korrigeringsfaktor EI'!I$1,FALSE),
"")</f>
        <v>0</v>
      </c>
      <c r="J145" s="18">
        <f>IFERROR(
                  Andel_oberoende_av_klimat*VLOOKUP($A145,Leveranser_per_nät,'Leveranser per nät'!J$1,FALSE)
               +Andel_beroende_av_klimat*VLOOKUP($A145,Leveranser_per_nät,'Leveranser per nät'!J$1,FALSE)/VLOOKUP($B145,Korrigeringsfaktor_EI,'Korrigeringsfaktor EI'!J$1,FALSE),
"")</f>
        <v>47.145037113402061</v>
      </c>
      <c r="K145" s="18">
        <f>IFERROR(
                  Andel_oberoende_av_klimat*VLOOKUP($A145,Leveranser_per_nät,'Leveranser per nät'!K$1,FALSE)
               +Andel_beroende_av_klimat*VLOOKUP($A145,Leveranser_per_nät,'Leveranser per nät'!K$1,FALSE)/VLOOKUP($B145,Korrigeringsfaktor_EI,'Korrigeringsfaktor EI'!K$1,FALSE),
"")</f>
        <v>50.524653608247419</v>
      </c>
      <c r="L145" s="18">
        <f>IFERROR(
                  Andel_oberoende_av_klimat*VLOOKUP($A145,Leveranser_per_nät,'Leveranser per nät'!L$1,FALSE)
               +Andel_beroende_av_klimat*VLOOKUP($A145,Leveranser_per_nät,'Leveranser per nät'!L$1,FALSE)/VLOOKUP($B145,Korrigeringsfaktor_EI,'Korrigeringsfaktor EI'!L$1,FALSE),
"")</f>
        <v>60.067439784946231</v>
      </c>
      <c r="M145" s="18">
        <f>IFERROR(
                  Andel_oberoende_av_klimat*VLOOKUP($A145,Leveranser_per_nät,'Leveranser per nät'!M$1,FALSE)
               +Andel_beroende_av_klimat*VLOOKUP($A145,Leveranser_per_nät,'Leveranser per nät'!M$1,FALSE)/VLOOKUP($B145,Korrigeringsfaktor_EI,'Korrigeringsfaktor EI'!M$1,FALSE),
"")</f>
        <v>55.155669565217387</v>
      </c>
      <c r="N145" s="18">
        <f>IFERROR(
                  Andel_oberoende_av_klimat*VLOOKUP($A145,Leveranser_per_nät,'Leveranser per nät'!N$1,FALSE)
               +Andel_beroende_av_klimat*VLOOKUP($A145,Leveranser_per_nät,'Leveranser per nät'!N$1,FALSE)/VLOOKUP($B145,Korrigeringsfaktor_EI,'Korrigeringsfaktor EI'!N$1,FALSE),
"")</f>
        <v>59.91366956521739</v>
      </c>
      <c r="O145" s="18">
        <f>IFERROR(
                  Andel_oberoende_av_klimat*VLOOKUP($A145,Leveranser_per_nät,'Leveranser per nät'!O$1,FALSE)
               +Andel_beroende_av_klimat*VLOOKUP($A145,Leveranser_per_nät,'Leveranser per nät'!O$1,FALSE)/VLOOKUP($B145,Korrigeringsfaktor_EI,'Korrigeringsfaktor EI'!O$1,FALSE),
"")</f>
        <v>54.653878260869561</v>
      </c>
      <c r="P145" s="18">
        <f>IFERROR(
                  Andel_oberoende_av_klimat*VLOOKUP($A145,Leveranser_per_nät,'Leveranser per nät'!P$1,FALSE)
               +Andel_beroende_av_klimat*VLOOKUP($A145,Leveranser_per_nät,'Leveranser per nät'!P$1,FALSE)/VLOOKUP($B145,Korrigeringsfaktor_EI,'Korrigeringsfaktor EI'!P$1,FALSE),
"")</f>
        <v>27.767411340206184</v>
      </c>
      <c r="Q145" s="18">
        <f>IFERROR(
                  Andel_oberoende_av_klimat*VLOOKUP($A145,Leveranser_per_nät,'Leveranser per nät'!Q$1,FALSE)
               +Andel_beroende_av_klimat*VLOOKUP($A145,Leveranser_per_nät,'Leveranser per nät'!Q$1,FALSE)/VLOOKUP($B145,Korrigeringsfaktor_EI,'Korrigeringsfaktor EI'!Q$1,FALSE),
"")</f>
        <v>0</v>
      </c>
      <c r="R145" s="18">
        <f>IFERROR(
                  Andel_oberoende_av_klimat*VLOOKUP($A145,Leveranser_per_nät,'Leveranser per nät'!R$1,FALSE)
               +Andel_beroende_av_klimat*VLOOKUP($A145,Leveranser_per_nät,'Leveranser per nät'!R$1,FALSE)/VLOOKUP($B145,Korrigeringsfaktor_EI,'Korrigeringsfaktor EI'!R$1,FALSE),
"")</f>
        <v>0</v>
      </c>
      <c r="S145" s="18" t="str">
        <f>IFERROR(
                  Andel_oberoende_av_klimat*VLOOKUP($A145,Leveranser_per_nät,'Leveranser per nät'!S$1,FALSE)
               +Andel_beroende_av_klimat*VLOOKUP($A145,Leveranser_per_nät,'Leveranser per nät'!S$1,FALSE)/VLOOKUP($B145,Korrigeringsfaktor_EI,'Korrigeringsfaktor EI'!S$1,FALSE),
"")</f>
        <v/>
      </c>
      <c r="T145" s="18" t="str">
        <f>IFERROR(
                  Andel_oberoende_av_klimat*VLOOKUP($A145,Leveranser_per_nät,'Leveranser per nät'!T$1,FALSE)
               +Andel_beroende_av_klimat*VLOOKUP($A145,Leveranser_per_nät,'Leveranser per nät'!T$1,FALSE)/VLOOKUP($B145,Korrigeringsfaktor_EI,'Korrigeringsfaktor EI'!T$1,FALSE),
"")</f>
        <v/>
      </c>
      <c r="U145" s="18" t="str">
        <f>IFERROR(
                  Andel_oberoende_av_klimat*VLOOKUP($A145,Leveranser_per_nät,'Leveranser per nät'!U$1,FALSE)
               +Andel_beroende_av_klimat*VLOOKUP($A145,Leveranser_per_nät,'Leveranser per nät'!U$1,FALSE)/VLOOKUP($B145,Korrigeringsfaktor_EI,'Korrigeringsfaktor EI'!U$1,FALSE),
"")</f>
        <v/>
      </c>
      <c r="V145" s="18" t="str">
        <f>IFERROR(
                  Andel_oberoende_av_klimat*VLOOKUP($A145,Leveranser_per_nät,'Leveranser per nät'!V$1,FALSE)
               +Andel_beroende_av_klimat*VLOOKUP($A145,Leveranser_per_nät,'Leveranser per nät'!V$1,FALSE)/VLOOKUP($B145,Korrigeringsfaktor_EI,'Korrigeringsfaktor EI'!V$1,FALSE),
"")</f>
        <v/>
      </c>
      <c r="W145" s="18" t="str">
        <f>IFERROR(
                  Andel_oberoende_av_klimat*VLOOKUP($A145,Leveranser_per_nät,'Leveranser per nät'!W$1,FALSE)
               +Andel_beroende_av_klimat*VLOOKUP($A145,Leveranser_per_nät,'Leveranser per nät'!W$1,FALSE)/VLOOKUP($B145,Korrigeringsfaktor_EI,'Korrigeringsfaktor EI'!W$1,FALSE),
"")</f>
        <v/>
      </c>
      <c r="X145" s="18" t="str">
        <f>IFERROR(
                  Andel_oberoende_av_klimat*VLOOKUP($A145,Leveranser_per_nät,'Leveranser per nät'!X$1,FALSE)
               +Andel_beroende_av_klimat*VLOOKUP($A145,Leveranser_per_nät,'Leveranser per nät'!X$1,FALSE)/VLOOKUP($B145,Korrigeringsfaktor_EI,'Korrigeringsfaktor EI'!X$1,FALSE),
"")</f>
        <v/>
      </c>
      <c r="Y145" s="18" t="str">
        <f>IFERROR(
                  Andel_oberoende_av_klimat*VLOOKUP($A145,Leveranser_per_nät,'Leveranser per nät'!Y$1,FALSE)
               +Andel_beroende_av_klimat*VLOOKUP($A145,Leveranser_per_nät,'Leveranser per nät'!Y$1,FALSE)/VLOOKUP($B145,Korrigeringsfaktor_EI,'Korrigeringsfaktor EI'!Y$1,FALSE),
"")</f>
        <v/>
      </c>
      <c r="Z145" s="18">
        <f>IFERROR(
                  Andel_oberoende_av_klimat*VLOOKUP($A145,Leveranser_per_nät,'Leveranser per nät'!Z$1,FALSE)
               +Andel_beroende_av_klimat*VLOOKUP($A145,Leveranser_per_nät,'Leveranser per nät'!Z$1,FALSE)/VLOOKUP($B145,Korrigeringsfaktor_EI,'Korrigeringsfaktor EI'!Z$1,FALSE),
"")</f>
        <v>0</v>
      </c>
      <c r="AA145" s="18" t="str">
        <f>IFERROR(
                  Andel_oberoende_av_klimat*VLOOKUP($A145,Leveranser_per_nät,'Leveranser per nät'!AA$1,FALSE)
               +Andel_beroende_av_klimat*VLOOKUP($A145,Leveranser_per_nät,'Leveranser per nät'!AA$1,FALSE)/VLOOKUP($B145,Korrigeringsfaktor_EI,'Korrigeringsfaktor EI'!AA$1,FALSE),
"")</f>
        <v/>
      </c>
      <c r="AB145" s="18">
        <f>IFERROR(
                  Andel_oberoende_av_klimat*VLOOKUP($A145,Leveranser_per_nät,'Leveranser per nät'!AB$1,FALSE)
               +Andel_beroende_av_klimat*VLOOKUP($A145,Leveranser_per_nät,'Leveranser per nät'!AB$1,FALSE)/VLOOKUP($B145,Korrigeringsfaktor_EI,'Korrigeringsfaktor EI'!AB$1,FALSE),
"")</f>
        <v>0</v>
      </c>
      <c r="AC145" s="18">
        <f>IFERROR(
                  Andel_oberoende_av_klimat*VLOOKUP($A145,Leveranser_per_nät,'Leveranser per nät'!AC$1,FALSE)
               +Andel_beroende_av_klimat*VLOOKUP($A145,Leveranser_per_nät,'Leveranser per nät'!AC$1,FALSE)/VLOOKUP($B145,Korrigeringsfaktor_EI,'Korrigeringsfaktor EI'!AC$1,FALSE),
"")</f>
        <v>0</v>
      </c>
      <c r="AD145">
        <v>823.99</v>
      </c>
    </row>
    <row r="146" spans="1:30" x14ac:dyDescent="0.25">
      <c r="A146" t="s">
        <v>349</v>
      </c>
      <c r="B146" t="s">
        <v>348</v>
      </c>
      <c r="C146" s="18">
        <f>IFERROR(
                  Andel_oberoende_av_klimat*VLOOKUP($A146,Leveranser_per_nät,'Leveranser per nät'!C$1,FALSE)
               +Andel_beroende_av_klimat*VLOOKUP($A146,Leveranser_per_nät,'Leveranser per nät'!C$1,FALSE)/VLOOKUP($B146,Korrigeringsfaktor_EI,'Korrigeringsfaktor EI'!C$1,FALSE),
"")</f>
        <v>0</v>
      </c>
      <c r="D146" s="18">
        <f>IFERROR(
                  Andel_oberoende_av_klimat*VLOOKUP($A146,Leveranser_per_nät,'Leveranser per nät'!D$1,FALSE)
               +Andel_beroende_av_klimat*VLOOKUP($A146,Leveranser_per_nät,'Leveranser per nät'!D$1,FALSE)/VLOOKUP($B146,Korrigeringsfaktor_EI,'Korrigeringsfaktor EI'!D$1,FALSE),
"")</f>
        <v>0</v>
      </c>
      <c r="E146" s="18">
        <f>IFERROR(
                  Andel_oberoende_av_klimat*VLOOKUP($A146,Leveranser_per_nät,'Leveranser per nät'!E$1,FALSE)
               +Andel_beroende_av_klimat*VLOOKUP($A146,Leveranser_per_nät,'Leveranser per nät'!E$1,FALSE)/VLOOKUP($B146,Korrigeringsfaktor_EI,'Korrigeringsfaktor EI'!E$1,FALSE),
"")</f>
        <v>0</v>
      </c>
      <c r="F146" s="18">
        <f>IFERROR(
                  Andel_oberoende_av_klimat*VLOOKUP($A146,Leveranser_per_nät,'Leveranser per nät'!F$1,FALSE)
               +Andel_beroende_av_klimat*VLOOKUP($A146,Leveranser_per_nät,'Leveranser per nät'!F$1,FALSE)/VLOOKUP($B146,Korrigeringsfaktor_EI,'Korrigeringsfaktor EI'!F$1,FALSE),
"")</f>
        <v>0</v>
      </c>
      <c r="G146" s="18">
        <f>IFERROR(
                  Andel_oberoende_av_klimat*VLOOKUP($A146,Leveranser_per_nät,'Leveranser per nät'!G$1,FALSE)
               +Andel_beroende_av_klimat*VLOOKUP($A146,Leveranser_per_nät,'Leveranser per nät'!G$1,FALSE)/VLOOKUP($B146,Korrigeringsfaktor_EI,'Korrigeringsfaktor EI'!G$1,FALSE),
"")</f>
        <v>0</v>
      </c>
      <c r="H146" s="18">
        <f>IFERROR(
                  Andel_oberoende_av_klimat*VLOOKUP($A146,Leveranser_per_nät,'Leveranser per nät'!H$1,FALSE)
               +Andel_beroende_av_klimat*VLOOKUP($A146,Leveranser_per_nät,'Leveranser per nät'!H$1,FALSE)/VLOOKUP($B146,Korrigeringsfaktor_EI,'Korrigeringsfaktor EI'!H$1,FALSE),
"")</f>
        <v>0</v>
      </c>
      <c r="I146" s="18">
        <f>IFERROR(
                  Andel_oberoende_av_klimat*VLOOKUP($A146,Leveranser_per_nät,'Leveranser per nät'!I$1,FALSE)
               +Andel_beroende_av_klimat*VLOOKUP($A146,Leveranser_per_nät,'Leveranser per nät'!I$1,FALSE)/VLOOKUP($B146,Korrigeringsfaktor_EI,'Korrigeringsfaktor EI'!I$1,FALSE),
"")</f>
        <v>0</v>
      </c>
      <c r="J146" s="18">
        <f>IFERROR(
                  Andel_oberoende_av_klimat*VLOOKUP($A146,Leveranser_per_nät,'Leveranser per nät'!J$1,FALSE)
               +Andel_beroende_av_klimat*VLOOKUP($A146,Leveranser_per_nät,'Leveranser per nät'!J$1,FALSE)/VLOOKUP($B146,Korrigeringsfaktor_EI,'Korrigeringsfaktor EI'!J$1,FALSE),
"")</f>
        <v>0</v>
      </c>
      <c r="K146" s="18">
        <f>IFERROR(
                  Andel_oberoende_av_klimat*VLOOKUP($A146,Leveranser_per_nät,'Leveranser per nät'!K$1,FALSE)
               +Andel_beroende_av_klimat*VLOOKUP($A146,Leveranser_per_nät,'Leveranser per nät'!K$1,FALSE)/VLOOKUP($B146,Korrigeringsfaktor_EI,'Korrigeringsfaktor EI'!K$1,FALSE),
"")</f>
        <v>0</v>
      </c>
      <c r="L146" s="18">
        <f>IFERROR(
                  Andel_oberoende_av_klimat*VLOOKUP($A146,Leveranser_per_nät,'Leveranser per nät'!L$1,FALSE)
               +Andel_beroende_av_klimat*VLOOKUP($A146,Leveranser_per_nät,'Leveranser per nät'!L$1,FALSE)/VLOOKUP($B146,Korrigeringsfaktor_EI,'Korrigeringsfaktor EI'!L$1,FALSE),
"")</f>
        <v>0</v>
      </c>
      <c r="M146" s="18">
        <f>IFERROR(
                  Andel_oberoende_av_klimat*VLOOKUP($A146,Leveranser_per_nät,'Leveranser per nät'!M$1,FALSE)
               +Andel_beroende_av_klimat*VLOOKUP($A146,Leveranser_per_nät,'Leveranser per nät'!M$1,FALSE)/VLOOKUP($B146,Korrigeringsfaktor_EI,'Korrigeringsfaktor EI'!M$1,FALSE),
"")</f>
        <v>3.1580645161290315</v>
      </c>
      <c r="N146" s="18">
        <f>IFERROR(
                  Andel_oberoende_av_klimat*VLOOKUP($A146,Leveranser_per_nät,'Leveranser per nät'!N$1,FALSE)
               +Andel_beroende_av_klimat*VLOOKUP($A146,Leveranser_per_nät,'Leveranser per nät'!N$1,FALSE)/VLOOKUP($B146,Korrigeringsfaktor_EI,'Korrigeringsfaktor EI'!N$1,FALSE),
"")</f>
        <v>3.138052173913044</v>
      </c>
      <c r="O146" s="18">
        <f>IFERROR(
                  Andel_oberoende_av_klimat*VLOOKUP($A146,Leveranser_per_nät,'Leveranser per nät'!O$1,FALSE)
               +Andel_beroende_av_klimat*VLOOKUP($A146,Leveranser_per_nät,'Leveranser per nät'!O$1,FALSE)/VLOOKUP($B146,Korrigeringsfaktor_EI,'Korrigeringsfaktor EI'!O$1,FALSE),
"")</f>
        <v>3.6844086021505373</v>
      </c>
      <c r="P146" s="18">
        <f>IFERROR(
                  Andel_oberoende_av_klimat*VLOOKUP($A146,Leveranser_per_nät,'Leveranser per nät'!P$1,FALSE)
               +Andel_beroende_av_klimat*VLOOKUP($A146,Leveranser_per_nät,'Leveranser per nät'!P$1,FALSE)/VLOOKUP($B146,Korrigeringsfaktor_EI,'Korrigeringsfaktor EI'!P$1,FALSE),
"")</f>
        <v>3.8459958333333337</v>
      </c>
      <c r="Q146" s="18">
        <f>IFERROR(
                  Andel_oberoende_av_klimat*VLOOKUP($A146,Leveranser_per_nät,'Leveranser per nät'!Q$1,FALSE)
               +Andel_beroende_av_klimat*VLOOKUP($A146,Leveranser_per_nät,'Leveranser per nät'!Q$1,FALSE)/VLOOKUP($B146,Korrigeringsfaktor_EI,'Korrigeringsfaktor EI'!Q$1,FALSE),
"")</f>
        <v>4.1301387387387383</v>
      </c>
      <c r="R146" s="18">
        <f>IFERROR(
                  Andel_oberoende_av_klimat*VLOOKUP($A146,Leveranser_per_nät,'Leveranser per nät'!R$1,FALSE)
               +Andel_beroende_av_klimat*VLOOKUP($A146,Leveranser_per_nät,'Leveranser per nät'!R$1,FALSE)/VLOOKUP($B146,Korrigeringsfaktor_EI,'Korrigeringsfaktor EI'!R$1,FALSE),
"")</f>
        <v>3.7915478260869562</v>
      </c>
      <c r="S146" s="18">
        <f>IFERROR(
                  Andel_oberoende_av_klimat*VLOOKUP($A146,Leveranser_per_nät,'Leveranser per nät'!S$1,FALSE)
               +Andel_beroende_av_klimat*VLOOKUP($A146,Leveranser_per_nät,'Leveranser per nät'!S$1,FALSE)/VLOOKUP($B146,Korrigeringsfaktor_EI,'Korrigeringsfaktor EI'!S$1,FALSE),
"")</f>
        <v>3.7140792079207925</v>
      </c>
      <c r="T146" s="18">
        <f>IFERROR(
                  Andel_oberoende_av_klimat*VLOOKUP($A146,Leveranser_per_nät,'Leveranser per nät'!T$1,FALSE)
               +Andel_beroende_av_klimat*VLOOKUP($A146,Leveranser_per_nät,'Leveranser per nät'!T$1,FALSE)/VLOOKUP($B146,Korrigeringsfaktor_EI,'Korrigeringsfaktor EI'!T$1,FALSE),
"")</f>
        <v>3.7261616161616162</v>
      </c>
      <c r="U146" s="18">
        <f>IFERROR(
                  Andel_oberoende_av_klimat*VLOOKUP($A146,Leveranser_per_nät,'Leveranser per nät'!U$1,FALSE)
               +Andel_beroende_av_klimat*VLOOKUP($A146,Leveranser_per_nät,'Leveranser per nät'!U$1,FALSE)/VLOOKUP($B146,Korrigeringsfaktor_EI,'Korrigeringsfaktor EI'!U$1,FALSE),
"")</f>
        <v>3.5855056179775278</v>
      </c>
      <c r="V146" s="18">
        <f>IFERROR(
                  Andel_oberoende_av_klimat*VLOOKUP($A146,Leveranser_per_nät,'Leveranser per nät'!V$1,FALSE)
               +Andel_beroende_av_klimat*VLOOKUP($A146,Leveranser_per_nät,'Leveranser per nät'!V$1,FALSE)/VLOOKUP($B146,Korrigeringsfaktor_EI,'Korrigeringsfaktor EI'!V$1,FALSE),
"")</f>
        <v>4.0002150537634407</v>
      </c>
      <c r="W146" s="18">
        <f>IFERROR(
                  Andel_oberoende_av_klimat*VLOOKUP($A146,Leveranser_per_nät,'Leveranser per nät'!W$1,FALSE)
               +Andel_beroende_av_klimat*VLOOKUP($A146,Leveranser_per_nät,'Leveranser per nät'!W$1,FALSE)/VLOOKUP($B146,Korrigeringsfaktor_EI,'Korrigeringsfaktor EI'!W$1,FALSE),
"")</f>
        <v>4.0436842105263162</v>
      </c>
      <c r="X146" s="18">
        <f>IFERROR(
                  Andel_oberoende_av_klimat*VLOOKUP($A146,Leveranser_per_nät,'Leveranser per nät'!X$1,FALSE)
               +Andel_beroende_av_klimat*VLOOKUP($A146,Leveranser_per_nät,'Leveranser per nät'!X$1,FALSE)/VLOOKUP($B146,Korrigeringsfaktor_EI,'Korrigeringsfaktor EI'!X$1,FALSE),
"")</f>
        <v>4.1473684210526311</v>
      </c>
      <c r="Y146" s="18">
        <f>IFERROR(
                  Andel_oberoende_av_klimat*VLOOKUP($A146,Leveranser_per_nät,'Leveranser per nät'!Y$1,FALSE)
               +Andel_beroende_av_klimat*VLOOKUP($A146,Leveranser_per_nät,'Leveranser per nät'!Y$1,FALSE)/VLOOKUP($B146,Korrigeringsfaktor_EI,'Korrigeringsfaktor EI'!Y$1,FALSE),
"")</f>
        <v>4.5266666666666673</v>
      </c>
      <c r="Z146" s="18">
        <f>IFERROR(
                  Andel_oberoende_av_klimat*VLOOKUP($A146,Leveranser_per_nät,'Leveranser per nät'!Z$1,FALSE)
               +Andel_beroende_av_klimat*VLOOKUP($A146,Leveranser_per_nät,'Leveranser per nät'!Z$1,FALSE)/VLOOKUP($B146,Korrigeringsfaktor_EI,'Korrigeringsfaktor EI'!Z$1,FALSE),
"")</f>
        <v>4.4695444444444448</v>
      </c>
      <c r="AA146" s="18">
        <f>IFERROR(
                  Andel_oberoende_av_klimat*VLOOKUP($A146,Leveranser_per_nät,'Leveranser per nät'!AA$1,FALSE)
               +Andel_beroende_av_klimat*VLOOKUP($A146,Leveranser_per_nät,'Leveranser per nät'!AA$1,FALSE)/VLOOKUP($B146,Korrigeringsfaktor_EI,'Korrigeringsfaktor EI'!AA$1,FALSE),
"")</f>
        <v>4.2083430436966349</v>
      </c>
      <c r="AB146" s="18">
        <f>IFERROR(
                  Andel_oberoende_av_klimat*VLOOKUP($A146,Leveranser_per_nät,'Leveranser per nät'!AB$1,FALSE)
               +Andel_beroende_av_klimat*VLOOKUP($A146,Leveranser_per_nät,'Leveranser per nät'!AB$1,FALSE)/VLOOKUP($B146,Korrigeringsfaktor_EI,'Korrigeringsfaktor EI'!AB$1,FALSE),
"")</f>
        <v>4.3856731343283588</v>
      </c>
      <c r="AC146" s="18">
        <f>IFERROR(
                  Andel_oberoende_av_klimat*VLOOKUP($A146,Leveranser_per_nät,'Leveranser per nät'!AC$1,FALSE)
               +Andel_beroende_av_klimat*VLOOKUP($A146,Leveranser_per_nät,'Leveranser per nät'!AC$1,FALSE)/VLOOKUP($B146,Korrigeringsfaktor_EI,'Korrigeringsfaktor EI'!AC$1,FALSE),
"")</f>
        <v>4.5123765327695562</v>
      </c>
      <c r="AD146">
        <v>122.64</v>
      </c>
    </row>
    <row r="147" spans="1:30" x14ac:dyDescent="0.25">
      <c r="A147" t="s">
        <v>18</v>
      </c>
      <c r="B147" t="s">
        <v>118</v>
      </c>
      <c r="C147" s="18">
        <f>IFERROR(
                  Andel_oberoende_av_klimat*VLOOKUP($A147,Leveranser_per_nät,'Leveranser per nät'!C$1,FALSE)
               +Andel_beroende_av_klimat*VLOOKUP($A147,Leveranser_per_nät,'Leveranser per nät'!C$1,FALSE)/VLOOKUP($B147,Korrigeringsfaktor_EI,'Korrigeringsfaktor EI'!C$1,FALSE),
"")</f>
        <v>0</v>
      </c>
      <c r="D147" s="18">
        <f>IFERROR(
                  Andel_oberoende_av_klimat*VLOOKUP($A147,Leveranser_per_nät,'Leveranser per nät'!D$1,FALSE)
               +Andel_beroende_av_klimat*VLOOKUP($A147,Leveranser_per_nät,'Leveranser per nät'!D$1,FALSE)/VLOOKUP($B147,Korrigeringsfaktor_EI,'Korrigeringsfaktor EI'!D$1,FALSE),
"")</f>
        <v>0</v>
      </c>
      <c r="E147" s="18">
        <f>IFERROR(
                  Andel_oberoende_av_klimat*VLOOKUP($A147,Leveranser_per_nät,'Leveranser per nät'!E$1,FALSE)
               +Andel_beroende_av_klimat*VLOOKUP($A147,Leveranser_per_nät,'Leveranser per nät'!E$1,FALSE)/VLOOKUP($B147,Korrigeringsfaktor_EI,'Korrigeringsfaktor EI'!E$1,FALSE),
"")</f>
        <v>0</v>
      </c>
      <c r="F147" s="18">
        <f>IFERROR(
                  Andel_oberoende_av_klimat*VLOOKUP($A147,Leveranser_per_nät,'Leveranser per nät'!F$1,FALSE)
               +Andel_beroende_av_klimat*VLOOKUP($A147,Leveranser_per_nät,'Leveranser per nät'!F$1,FALSE)/VLOOKUP($B147,Korrigeringsfaktor_EI,'Korrigeringsfaktor EI'!F$1,FALSE),
"")</f>
        <v>0</v>
      </c>
      <c r="G147" s="18">
        <f>IFERROR(
                  Andel_oberoende_av_klimat*VLOOKUP($A147,Leveranser_per_nät,'Leveranser per nät'!G$1,FALSE)
               +Andel_beroende_av_klimat*VLOOKUP($A147,Leveranser_per_nät,'Leveranser per nät'!G$1,FALSE)/VLOOKUP($B147,Korrigeringsfaktor_EI,'Korrigeringsfaktor EI'!G$1,FALSE),
"")</f>
        <v>0</v>
      </c>
      <c r="H147" s="18">
        <f>IFERROR(
                  Andel_oberoende_av_klimat*VLOOKUP($A147,Leveranser_per_nät,'Leveranser per nät'!H$1,FALSE)
               +Andel_beroende_av_klimat*VLOOKUP($A147,Leveranser_per_nät,'Leveranser per nät'!H$1,FALSE)/VLOOKUP($B147,Korrigeringsfaktor_EI,'Korrigeringsfaktor EI'!H$1,FALSE),
"")</f>
        <v>0</v>
      </c>
      <c r="I147" s="18">
        <f>IFERROR(
                  Andel_oberoende_av_klimat*VLOOKUP($A147,Leveranser_per_nät,'Leveranser per nät'!I$1,FALSE)
               +Andel_beroende_av_klimat*VLOOKUP($A147,Leveranser_per_nät,'Leveranser per nät'!I$1,FALSE)/VLOOKUP($B147,Korrigeringsfaktor_EI,'Korrigeringsfaktor EI'!I$1,FALSE),
"")</f>
        <v>0</v>
      </c>
      <c r="J147" s="18">
        <f>IFERROR(
                  Andel_oberoende_av_klimat*VLOOKUP($A147,Leveranser_per_nät,'Leveranser per nät'!J$1,FALSE)
               +Andel_beroende_av_klimat*VLOOKUP($A147,Leveranser_per_nät,'Leveranser per nät'!J$1,FALSE)/VLOOKUP($B147,Korrigeringsfaktor_EI,'Korrigeringsfaktor EI'!J$1,FALSE),
"")</f>
        <v>0</v>
      </c>
      <c r="K147" s="18">
        <f>IFERROR(
                  Andel_oberoende_av_klimat*VLOOKUP($A147,Leveranser_per_nät,'Leveranser per nät'!K$1,FALSE)
               +Andel_beroende_av_klimat*VLOOKUP($A147,Leveranser_per_nät,'Leveranser per nät'!K$1,FALSE)/VLOOKUP($B147,Korrigeringsfaktor_EI,'Korrigeringsfaktor EI'!K$1,FALSE),
"")</f>
        <v>0</v>
      </c>
      <c r="L147" s="18">
        <f>IFERROR(
                  Andel_oberoende_av_klimat*VLOOKUP($A147,Leveranser_per_nät,'Leveranser per nät'!L$1,FALSE)
               +Andel_beroende_av_klimat*VLOOKUP($A147,Leveranser_per_nät,'Leveranser per nät'!L$1,FALSE)/VLOOKUP($B147,Korrigeringsfaktor_EI,'Korrigeringsfaktor EI'!L$1,FALSE),
"")</f>
        <v>20.579482648138772</v>
      </c>
      <c r="M147" s="18">
        <f>IFERROR(
                  Andel_oberoende_av_klimat*VLOOKUP($A147,Leveranser_per_nät,'Leveranser per nät'!M$1,FALSE)
               +Andel_beroende_av_klimat*VLOOKUP($A147,Leveranser_per_nät,'Leveranser per nät'!M$1,FALSE)/VLOOKUP($B147,Korrigeringsfaktor_EI,'Korrigeringsfaktor EI'!M$1,FALSE),
"")</f>
        <v>35.977723655913977</v>
      </c>
      <c r="N147" s="18">
        <f>IFERROR(
                  Andel_oberoende_av_klimat*VLOOKUP($A147,Leveranser_per_nät,'Leveranser per nät'!N$1,FALSE)
               +Andel_beroende_av_klimat*VLOOKUP($A147,Leveranser_per_nät,'Leveranser per nät'!N$1,FALSE)/VLOOKUP($B147,Korrigeringsfaktor_EI,'Korrigeringsfaktor EI'!N$1,FALSE),
"")</f>
        <v>34.941578947368427</v>
      </c>
      <c r="O147" s="18">
        <f>IFERROR(
                  Andel_oberoende_av_klimat*VLOOKUP($A147,Leveranser_per_nät,'Leveranser per nät'!O$1,FALSE)
               +Andel_beroende_av_klimat*VLOOKUP($A147,Leveranser_per_nät,'Leveranser per nät'!O$1,FALSE)/VLOOKUP($B147,Korrigeringsfaktor_EI,'Korrigeringsfaktor EI'!O$1,FALSE),
"")</f>
        <v>0</v>
      </c>
      <c r="P147" s="18">
        <f>IFERROR(
                  Andel_oberoende_av_klimat*VLOOKUP($A147,Leveranser_per_nät,'Leveranser per nät'!P$1,FALSE)
               +Andel_beroende_av_klimat*VLOOKUP($A147,Leveranser_per_nät,'Leveranser per nät'!P$1,FALSE)/VLOOKUP($B147,Korrigeringsfaktor_EI,'Korrigeringsfaktor EI'!P$1,FALSE),
"")</f>
        <v>7.1111571428571434</v>
      </c>
      <c r="Q147" s="18">
        <f>IFERROR(
                  Andel_oberoende_av_klimat*VLOOKUP($A147,Leveranser_per_nät,'Leveranser per nät'!Q$1,FALSE)
               +Andel_beroende_av_klimat*VLOOKUP($A147,Leveranser_per_nät,'Leveranser per nät'!Q$1,FALSE)/VLOOKUP($B147,Korrigeringsfaktor_EI,'Korrigeringsfaktor EI'!Q$1,FALSE),
"")</f>
        <v>7.6315929203539845</v>
      </c>
      <c r="R147" s="18">
        <f>IFERROR(
                  Andel_oberoende_av_klimat*VLOOKUP($A147,Leveranser_per_nät,'Leveranser per nät'!R$1,FALSE)
               +Andel_beroende_av_klimat*VLOOKUP($A147,Leveranser_per_nät,'Leveranser per nät'!R$1,FALSE)/VLOOKUP($B147,Korrigeringsfaktor_EI,'Korrigeringsfaktor EI'!R$1,FALSE),
"")</f>
        <v>7.9123076923076923</v>
      </c>
      <c r="S147" s="18">
        <f>IFERROR(
                  Andel_oberoende_av_klimat*VLOOKUP($A147,Leveranser_per_nät,'Leveranser per nät'!S$1,FALSE)
               +Andel_beroende_av_klimat*VLOOKUP($A147,Leveranser_per_nät,'Leveranser per nät'!S$1,FALSE)/VLOOKUP($B147,Korrigeringsfaktor_EI,'Korrigeringsfaktor EI'!S$1,FALSE),
"")</f>
        <v>8.6999999999999993</v>
      </c>
      <c r="T147" s="18">
        <f>IFERROR(
                  Andel_oberoende_av_klimat*VLOOKUP($A147,Leveranser_per_nät,'Leveranser per nät'!T$1,FALSE)
               +Andel_beroende_av_klimat*VLOOKUP($A147,Leveranser_per_nät,'Leveranser per nät'!T$1,FALSE)/VLOOKUP($B147,Korrigeringsfaktor_EI,'Korrigeringsfaktor EI'!T$1,FALSE),
"")</f>
        <v>8.7479166666666668</v>
      </c>
      <c r="U147" s="18">
        <f>IFERROR(
                  Andel_oberoende_av_klimat*VLOOKUP($A147,Leveranser_per_nät,'Leveranser per nät'!U$1,FALSE)
               +Andel_beroende_av_klimat*VLOOKUP($A147,Leveranser_per_nät,'Leveranser per nät'!U$1,FALSE)/VLOOKUP($B147,Korrigeringsfaktor_EI,'Korrigeringsfaktor EI'!U$1,FALSE),
"")</f>
        <v>8.1686956521739127</v>
      </c>
      <c r="V147" s="18">
        <f>IFERROR(
                  Andel_oberoende_av_klimat*VLOOKUP($A147,Leveranser_per_nät,'Leveranser per nät'!V$1,FALSE)
               +Andel_beroende_av_klimat*VLOOKUP($A147,Leveranser_per_nät,'Leveranser per nät'!V$1,FALSE)/VLOOKUP($B147,Korrigeringsfaktor_EI,'Korrigeringsfaktor EI'!V$1,FALSE),
"")</f>
        <v>8.0626086956521732</v>
      </c>
      <c r="W147" s="18">
        <f>IFERROR(
                  Andel_oberoende_av_klimat*VLOOKUP($A147,Leveranser_per_nät,'Leveranser per nät'!W$1,FALSE)
               +Andel_beroende_av_klimat*VLOOKUP($A147,Leveranser_per_nät,'Leveranser per nät'!W$1,FALSE)/VLOOKUP($B147,Korrigeringsfaktor_EI,'Korrigeringsfaktor EI'!W$1,FALSE),
"")</f>
        <v>8.3362499999999997</v>
      </c>
      <c r="X147" s="18">
        <f>IFERROR(
                  Andel_oberoende_av_klimat*VLOOKUP($A147,Leveranser_per_nät,'Leveranser per nät'!X$1,FALSE)
               +Andel_beroende_av_klimat*VLOOKUP($A147,Leveranser_per_nät,'Leveranser per nät'!X$1,FALSE)/VLOOKUP($B147,Korrigeringsfaktor_EI,'Korrigeringsfaktor EI'!X$1,FALSE),
"")</f>
        <v>8.5021052631578939</v>
      </c>
      <c r="Y147" s="18">
        <f>IFERROR(
                  Andel_oberoende_av_klimat*VLOOKUP($A147,Leveranser_per_nät,'Leveranser per nät'!Y$1,FALSE)
               +Andel_beroende_av_klimat*VLOOKUP($A147,Leveranser_per_nät,'Leveranser per nät'!Y$1,FALSE)/VLOOKUP($B147,Korrigeringsfaktor_EI,'Korrigeringsfaktor EI'!Y$1,FALSE),
"")</f>
        <v>7.850434782608696</v>
      </c>
      <c r="Z147" s="18">
        <f>IFERROR(
                  Andel_oberoende_av_klimat*VLOOKUP($A147,Leveranser_per_nät,'Leveranser per nät'!Z$1,FALSE)
               +Andel_beroende_av_klimat*VLOOKUP($A147,Leveranser_per_nät,'Leveranser per nät'!Z$1,FALSE)/VLOOKUP($B147,Korrigeringsfaktor_EI,'Korrigeringsfaktor EI'!Z$1,FALSE),
"")</f>
        <v>8.4869565217391312</v>
      </c>
      <c r="AA147" s="18">
        <f>IFERROR(
                  Andel_oberoende_av_klimat*VLOOKUP($A147,Leveranser_per_nät,'Leveranser per nät'!AA$1,FALSE)
               +Andel_beroende_av_klimat*VLOOKUP($A147,Leveranser_per_nät,'Leveranser per nät'!AA$1,FALSE)/VLOOKUP($B147,Korrigeringsfaktor_EI,'Korrigeringsfaktor EI'!AA$1,FALSE),
"")</f>
        <v>8.7106709970530467</v>
      </c>
      <c r="AB147" s="18">
        <f>IFERROR(
                  Andel_oberoende_av_klimat*VLOOKUP($A147,Leveranser_per_nät,'Leveranser per nät'!AB$1,FALSE)
               +Andel_beroende_av_klimat*VLOOKUP($A147,Leveranser_per_nät,'Leveranser per nät'!AB$1,FALSE)/VLOOKUP($B147,Korrigeringsfaktor_EI,'Korrigeringsfaktor EI'!AB$1,FALSE),
"")</f>
        <v>8.3743542713567845</v>
      </c>
      <c r="AC147" s="18">
        <f>IFERROR(
                  Andel_oberoende_av_klimat*VLOOKUP($A147,Leveranser_per_nät,'Leveranser per nät'!AC$1,FALSE)
               +Andel_beroende_av_klimat*VLOOKUP($A147,Leveranser_per_nät,'Leveranser per nät'!AC$1,FALSE)/VLOOKUP($B147,Korrigeringsfaktor_EI,'Korrigeringsfaktor EI'!AC$1,FALSE),
"")</f>
        <v>7.9059347826086963</v>
      </c>
      <c r="AD147">
        <v>116.05800000000001</v>
      </c>
    </row>
    <row r="148" spans="1:30" x14ac:dyDescent="0.25">
      <c r="A148" t="s">
        <v>181</v>
      </c>
      <c r="B148" t="s">
        <v>203</v>
      </c>
      <c r="C148" s="18">
        <f>IFERROR(
                  Andel_oberoende_av_klimat*VLOOKUP($A148,Leveranser_per_nät,'Leveranser per nät'!C$1,FALSE)
               +Andel_beroende_av_klimat*VLOOKUP($A148,Leveranser_per_nät,'Leveranser per nät'!C$1,FALSE)/VLOOKUP($B148,Korrigeringsfaktor_EI,'Korrigeringsfaktor EI'!C$1,FALSE),
"")</f>
        <v>0</v>
      </c>
      <c r="D148" s="18">
        <f>IFERROR(
                  Andel_oberoende_av_klimat*VLOOKUP($A148,Leveranser_per_nät,'Leveranser per nät'!D$1,FALSE)
               +Andel_beroende_av_klimat*VLOOKUP($A148,Leveranser_per_nät,'Leveranser per nät'!D$1,FALSE)/VLOOKUP($B148,Korrigeringsfaktor_EI,'Korrigeringsfaktor EI'!D$1,FALSE),
"")</f>
        <v>0</v>
      </c>
      <c r="E148" s="18">
        <f>IFERROR(
                  Andel_oberoende_av_klimat*VLOOKUP($A148,Leveranser_per_nät,'Leveranser per nät'!E$1,FALSE)
               +Andel_beroende_av_klimat*VLOOKUP($A148,Leveranser_per_nät,'Leveranser per nät'!E$1,FALSE)/VLOOKUP($B148,Korrigeringsfaktor_EI,'Korrigeringsfaktor EI'!E$1,FALSE),
"")</f>
        <v>0</v>
      </c>
      <c r="F148" s="18">
        <f>IFERROR(
                  Andel_oberoende_av_klimat*VLOOKUP($A148,Leveranser_per_nät,'Leveranser per nät'!F$1,FALSE)
               +Andel_beroende_av_klimat*VLOOKUP($A148,Leveranser_per_nät,'Leveranser per nät'!F$1,FALSE)/VLOOKUP($B148,Korrigeringsfaktor_EI,'Korrigeringsfaktor EI'!F$1,FALSE),
"")</f>
        <v>0</v>
      </c>
      <c r="G148" s="18">
        <f>IFERROR(
                  Andel_oberoende_av_klimat*VLOOKUP($A148,Leveranser_per_nät,'Leveranser per nät'!G$1,FALSE)
               +Andel_beroende_av_klimat*VLOOKUP($A148,Leveranser_per_nät,'Leveranser per nät'!G$1,FALSE)/VLOOKUP($B148,Korrigeringsfaktor_EI,'Korrigeringsfaktor EI'!G$1,FALSE),
"")</f>
        <v>0</v>
      </c>
      <c r="H148" s="18">
        <f>IFERROR(
                  Andel_oberoende_av_klimat*VLOOKUP($A148,Leveranser_per_nät,'Leveranser per nät'!H$1,FALSE)
               +Andel_beroende_av_klimat*VLOOKUP($A148,Leveranser_per_nät,'Leveranser per nät'!H$1,FALSE)/VLOOKUP($B148,Korrigeringsfaktor_EI,'Korrigeringsfaktor EI'!H$1,FALSE),
"")</f>
        <v>0</v>
      </c>
      <c r="I148" s="18">
        <f>IFERROR(
                  Andel_oberoende_av_klimat*VLOOKUP($A148,Leveranser_per_nät,'Leveranser per nät'!I$1,FALSE)
               +Andel_beroende_av_klimat*VLOOKUP($A148,Leveranser_per_nät,'Leveranser per nät'!I$1,FALSE)/VLOOKUP($B148,Korrigeringsfaktor_EI,'Korrigeringsfaktor EI'!I$1,FALSE),
"")</f>
        <v>0</v>
      </c>
      <c r="J148" s="18">
        <f>IFERROR(
                  Andel_oberoende_av_klimat*VLOOKUP($A148,Leveranser_per_nät,'Leveranser per nät'!J$1,FALSE)
               +Andel_beroende_av_klimat*VLOOKUP($A148,Leveranser_per_nät,'Leveranser per nät'!J$1,FALSE)/VLOOKUP($B148,Korrigeringsfaktor_EI,'Korrigeringsfaktor EI'!J$1,FALSE),
"")</f>
        <v>0</v>
      </c>
      <c r="K148" s="18">
        <f>IFERROR(
                  Andel_oberoende_av_klimat*VLOOKUP($A148,Leveranser_per_nät,'Leveranser per nät'!K$1,FALSE)
               +Andel_beroende_av_klimat*VLOOKUP($A148,Leveranser_per_nät,'Leveranser per nät'!K$1,FALSE)/VLOOKUP($B148,Korrigeringsfaktor_EI,'Korrigeringsfaktor EI'!K$1,FALSE),
"")</f>
        <v>0</v>
      </c>
      <c r="L148" s="18">
        <f>IFERROR(
                  Andel_oberoende_av_klimat*VLOOKUP($A148,Leveranser_per_nät,'Leveranser per nät'!L$1,FALSE)
               +Andel_beroende_av_klimat*VLOOKUP($A148,Leveranser_per_nät,'Leveranser per nät'!L$1,FALSE)/VLOOKUP($B148,Korrigeringsfaktor_EI,'Korrigeringsfaktor EI'!L$1,FALSE),
"")</f>
        <v>0</v>
      </c>
      <c r="M148" s="18">
        <f>IFERROR(
                  Andel_oberoende_av_klimat*VLOOKUP($A148,Leveranser_per_nät,'Leveranser per nät'!M$1,FALSE)
               +Andel_beroende_av_klimat*VLOOKUP($A148,Leveranser_per_nät,'Leveranser per nät'!M$1,FALSE)/VLOOKUP($B148,Korrigeringsfaktor_EI,'Korrigeringsfaktor EI'!M$1,FALSE),
"")</f>
        <v>6.5888021276595747</v>
      </c>
      <c r="N148" s="18">
        <f>IFERROR(
                  Andel_oberoende_av_klimat*VLOOKUP($A148,Leveranser_per_nät,'Leveranser per nät'!N$1,FALSE)
               +Andel_beroende_av_klimat*VLOOKUP($A148,Leveranser_per_nät,'Leveranser per nät'!N$1,FALSE)/VLOOKUP($B148,Korrigeringsfaktor_EI,'Korrigeringsfaktor EI'!N$1,FALSE),
"")</f>
        <v>6.6909043478260868</v>
      </c>
      <c r="O148" s="18">
        <f>IFERROR(
                  Andel_oberoende_av_klimat*VLOOKUP($A148,Leveranser_per_nät,'Leveranser per nät'!O$1,FALSE)
               +Andel_beroende_av_klimat*VLOOKUP($A148,Leveranser_per_nät,'Leveranser per nät'!O$1,FALSE)/VLOOKUP($B148,Korrigeringsfaktor_EI,'Korrigeringsfaktor EI'!O$1,FALSE),
"")</f>
        <v>6.7436384615384615</v>
      </c>
      <c r="P148" s="18">
        <f>IFERROR(
                  Andel_oberoende_av_klimat*VLOOKUP($A148,Leveranser_per_nät,'Leveranser per nät'!P$1,FALSE)
               +Andel_beroende_av_klimat*VLOOKUP($A148,Leveranser_per_nät,'Leveranser per nät'!P$1,FALSE)/VLOOKUP($B148,Korrigeringsfaktor_EI,'Korrigeringsfaktor EI'!P$1,FALSE),
"")</f>
        <v>6.5393631578947371</v>
      </c>
      <c r="Q148" s="18">
        <f>IFERROR(
                  Andel_oberoende_av_klimat*VLOOKUP($A148,Leveranser_per_nät,'Leveranser per nät'!Q$1,FALSE)
               +Andel_beroende_av_klimat*VLOOKUP($A148,Leveranser_per_nät,'Leveranser per nät'!Q$1,FALSE)/VLOOKUP($B148,Korrigeringsfaktor_EI,'Korrigeringsfaktor EI'!Q$1,FALSE),
"")</f>
        <v>7.1516300884955752</v>
      </c>
      <c r="R148" s="18">
        <f>IFERROR(
                  Andel_oberoende_av_klimat*VLOOKUP($A148,Leveranser_per_nät,'Leveranser per nät'!R$1,FALSE)
               +Andel_beroende_av_klimat*VLOOKUP($A148,Leveranser_per_nät,'Leveranser per nät'!R$1,FALSE)/VLOOKUP($B148,Korrigeringsfaktor_EI,'Korrigeringsfaktor EI'!R$1,FALSE),
"")</f>
        <v>6.5003494623655911</v>
      </c>
      <c r="S148" s="18">
        <f>IFERROR(
                  Andel_oberoende_av_klimat*VLOOKUP($A148,Leveranser_per_nät,'Leveranser per nät'!S$1,FALSE)
               +Andel_beroende_av_klimat*VLOOKUP($A148,Leveranser_per_nät,'Leveranser per nät'!S$1,FALSE)/VLOOKUP($B148,Korrigeringsfaktor_EI,'Korrigeringsfaktor EI'!S$1,FALSE),
"")</f>
        <v>6.6770784313725482</v>
      </c>
      <c r="T148" s="18">
        <f>IFERROR(
                  Andel_oberoende_av_klimat*VLOOKUP($A148,Leveranser_per_nät,'Leveranser per nät'!T$1,FALSE)
               +Andel_beroende_av_klimat*VLOOKUP($A148,Leveranser_per_nät,'Leveranser per nät'!T$1,FALSE)/VLOOKUP($B148,Korrigeringsfaktor_EI,'Korrigeringsfaktor EI'!T$1,FALSE),
"")</f>
        <v>6.3052696969696971</v>
      </c>
      <c r="U148" s="18">
        <f>IFERROR(
                  Andel_oberoende_av_klimat*VLOOKUP($A148,Leveranser_per_nät,'Leveranser per nät'!U$1,FALSE)
               +Andel_beroende_av_klimat*VLOOKUP($A148,Leveranser_per_nät,'Leveranser per nät'!U$1,FALSE)/VLOOKUP($B148,Korrigeringsfaktor_EI,'Korrigeringsfaktor EI'!U$1,FALSE),
"")</f>
        <v>7.123740909090909</v>
      </c>
      <c r="V148" s="18">
        <f>IFERROR(
                  Andel_oberoende_av_klimat*VLOOKUP($A148,Leveranser_per_nät,'Leveranser per nät'!V$1,FALSE)
               +Andel_beroende_av_klimat*VLOOKUP($A148,Leveranser_per_nät,'Leveranser per nät'!V$1,FALSE)/VLOOKUP($B148,Korrigeringsfaktor_EI,'Korrigeringsfaktor EI'!V$1,FALSE),
"")</f>
        <v>6.0618086956521733</v>
      </c>
      <c r="W148" s="18">
        <f>IFERROR(
                  Andel_oberoende_av_klimat*VLOOKUP($A148,Leveranser_per_nät,'Leveranser per nät'!W$1,FALSE)
               +Andel_beroende_av_klimat*VLOOKUP($A148,Leveranser_per_nät,'Leveranser per nät'!W$1,FALSE)/VLOOKUP($B148,Korrigeringsfaktor_EI,'Korrigeringsfaktor EI'!W$1,FALSE),
"")</f>
        <v>6.0350333333333346</v>
      </c>
      <c r="X148" s="18">
        <f>IFERROR(
                  Andel_oberoende_av_klimat*VLOOKUP($A148,Leveranser_per_nät,'Leveranser per nät'!X$1,FALSE)
               +Andel_beroende_av_klimat*VLOOKUP($A148,Leveranser_per_nät,'Leveranser per nät'!X$1,FALSE)/VLOOKUP($B148,Korrigeringsfaktor_EI,'Korrigeringsfaktor EI'!X$1,FALSE),
"")</f>
        <v>5.8581578947368422</v>
      </c>
      <c r="Y148" s="18">
        <f>IFERROR(
                  Andel_oberoende_av_klimat*VLOOKUP($A148,Leveranser_per_nät,'Leveranser per nät'!Y$1,FALSE)
               +Andel_beroende_av_klimat*VLOOKUP($A148,Leveranser_per_nät,'Leveranser per nät'!Y$1,FALSE)/VLOOKUP($B148,Korrigeringsfaktor_EI,'Korrigeringsfaktor EI'!Y$1,FALSE),
"")</f>
        <v>5.8379999999999992</v>
      </c>
      <c r="Z148" s="18">
        <f>IFERROR(
                  Andel_oberoende_av_klimat*VLOOKUP($A148,Leveranser_per_nät,'Leveranser per nät'!Z$1,FALSE)
               +Andel_beroende_av_klimat*VLOOKUP($A148,Leveranser_per_nät,'Leveranser per nät'!Z$1,FALSE)/VLOOKUP($B148,Korrigeringsfaktor_EI,'Korrigeringsfaktor EI'!Z$1,FALSE),
"")</f>
        <v>5.6172921348314606</v>
      </c>
      <c r="AA148" s="18">
        <f>IFERROR(
                  Andel_oberoende_av_klimat*VLOOKUP($A148,Leveranser_per_nät,'Leveranser per nät'!AA$1,FALSE)
               +Andel_beroende_av_klimat*VLOOKUP($A148,Leveranser_per_nät,'Leveranser per nät'!AA$1,FALSE)/VLOOKUP($B148,Korrigeringsfaktor_EI,'Korrigeringsfaktor EI'!AA$1,FALSE),
"")</f>
        <v>5.6390088400750074</v>
      </c>
      <c r="AB148" s="18">
        <f>IFERROR(
                  Andel_oberoende_av_klimat*VLOOKUP($A148,Leveranser_per_nät,'Leveranser per nät'!AB$1,FALSE)
               +Andel_beroende_av_klimat*VLOOKUP($A148,Leveranser_per_nät,'Leveranser per nät'!AB$1,FALSE)/VLOOKUP($B148,Korrigeringsfaktor_EI,'Korrigeringsfaktor EI'!AB$1,FALSE),
"")</f>
        <v>6.1164246575342469</v>
      </c>
      <c r="AC148" s="18">
        <f>IFERROR(
                  Andel_oberoende_av_klimat*VLOOKUP($A148,Leveranser_per_nät,'Leveranser per nät'!AC$1,FALSE)
               +Andel_beroende_av_klimat*VLOOKUP($A148,Leveranser_per_nät,'Leveranser per nät'!AC$1,FALSE)/VLOOKUP($B148,Korrigeringsfaktor_EI,'Korrigeringsfaktor EI'!AC$1,FALSE),
"")</f>
        <v>5.6989682875264274</v>
      </c>
      <c r="AD148" t="e">
        <v>#N/A</v>
      </c>
    </row>
    <row r="149" spans="1:30" x14ac:dyDescent="0.25">
      <c r="A149" t="s">
        <v>231</v>
      </c>
      <c r="B149" t="s">
        <v>230</v>
      </c>
      <c r="C149" s="18">
        <f>IFERROR(
                  Andel_oberoende_av_klimat*VLOOKUP($A149,Leveranser_per_nät,'Leveranser per nät'!C$1,FALSE)
               +Andel_beroende_av_klimat*VLOOKUP($A149,Leveranser_per_nät,'Leveranser per nät'!C$1,FALSE)/VLOOKUP($B149,Korrigeringsfaktor_EI,'Korrigeringsfaktor EI'!C$1,FALSE),
"")</f>
        <v>7.9445544554455445</v>
      </c>
      <c r="D149" s="18">
        <f>IFERROR(
                  Andel_oberoende_av_klimat*VLOOKUP($A149,Leveranser_per_nät,'Leveranser per nät'!D$1,FALSE)
               +Andel_beroende_av_klimat*VLOOKUP($A149,Leveranser_per_nät,'Leveranser per nät'!D$1,FALSE)/VLOOKUP($B149,Korrigeringsfaktor_EI,'Korrigeringsfaktor EI'!D$1,FALSE),
"")</f>
        <v>7.214458333333333</v>
      </c>
      <c r="E149" s="18">
        <f>IFERROR(
                  Andel_oberoende_av_klimat*VLOOKUP($A149,Leveranser_per_nät,'Leveranser per nät'!E$1,FALSE)
               +Andel_beroende_av_klimat*VLOOKUP($A149,Leveranser_per_nät,'Leveranser per nät'!E$1,FALSE)/VLOOKUP($B149,Korrigeringsfaktor_EI,'Korrigeringsfaktor EI'!E$1,FALSE),
"")</f>
        <v>6.8115384615384613</v>
      </c>
      <c r="F149" s="18">
        <f>IFERROR(
                  Andel_oberoende_av_klimat*VLOOKUP($A149,Leveranser_per_nät,'Leveranser per nät'!F$1,FALSE)
               +Andel_beroende_av_klimat*VLOOKUP($A149,Leveranser_per_nät,'Leveranser per nät'!F$1,FALSE)/VLOOKUP($B149,Korrigeringsfaktor_EI,'Korrigeringsfaktor EI'!F$1,FALSE),
"")</f>
        <v>7</v>
      </c>
      <c r="G149" s="18">
        <f>IFERROR(
                  Andel_oberoende_av_klimat*VLOOKUP($A149,Leveranser_per_nät,'Leveranser per nät'!G$1,FALSE)
               +Andel_beroende_av_klimat*VLOOKUP($A149,Leveranser_per_nät,'Leveranser per nät'!G$1,FALSE)/VLOOKUP($B149,Korrigeringsfaktor_EI,'Korrigeringsfaktor EI'!G$1,FALSE),
"")</f>
        <v>0</v>
      </c>
      <c r="H149" s="18">
        <f>IFERROR(
                  Andel_oberoende_av_klimat*VLOOKUP($A149,Leveranser_per_nät,'Leveranser per nät'!H$1,FALSE)
               +Andel_beroende_av_klimat*VLOOKUP($A149,Leveranser_per_nät,'Leveranser per nät'!H$1,FALSE)/VLOOKUP($B149,Korrigeringsfaktor_EI,'Korrigeringsfaktor EI'!H$1,FALSE),
"")</f>
        <v>0</v>
      </c>
      <c r="I149" s="18">
        <f>IFERROR(
                  Andel_oberoende_av_klimat*VLOOKUP($A149,Leveranser_per_nät,'Leveranser per nät'!I$1,FALSE)
               +Andel_beroende_av_klimat*VLOOKUP($A149,Leveranser_per_nät,'Leveranser per nät'!I$1,FALSE)/VLOOKUP($B149,Korrigeringsfaktor_EI,'Korrigeringsfaktor EI'!I$1,FALSE),
"")</f>
        <v>0</v>
      </c>
      <c r="J149" s="18">
        <f>IFERROR(
                  Andel_oberoende_av_klimat*VLOOKUP($A149,Leveranser_per_nät,'Leveranser per nät'!J$1,FALSE)
               +Andel_beroende_av_klimat*VLOOKUP($A149,Leveranser_per_nät,'Leveranser per nät'!J$1,FALSE)/VLOOKUP($B149,Korrigeringsfaktor_EI,'Korrigeringsfaktor EI'!J$1,FALSE),
"")</f>
        <v>0</v>
      </c>
      <c r="K149" s="18">
        <f>IFERROR(
                  Andel_oberoende_av_klimat*VLOOKUP($A149,Leveranser_per_nät,'Leveranser per nät'!K$1,FALSE)
               +Andel_beroende_av_klimat*VLOOKUP($A149,Leveranser_per_nät,'Leveranser per nät'!K$1,FALSE)/VLOOKUP($B149,Korrigeringsfaktor_EI,'Korrigeringsfaktor EI'!K$1,FALSE),
"")</f>
        <v>0</v>
      </c>
      <c r="L149" s="18">
        <f>IFERROR(
                  Andel_oberoende_av_klimat*VLOOKUP($A149,Leveranser_per_nät,'Leveranser per nät'!L$1,FALSE)
               +Andel_beroende_av_klimat*VLOOKUP($A149,Leveranser_per_nät,'Leveranser per nät'!L$1,FALSE)/VLOOKUP($B149,Korrigeringsfaktor_EI,'Korrigeringsfaktor EI'!L$1,FALSE),
"")</f>
        <v>0</v>
      </c>
      <c r="M149" s="18">
        <f>IFERROR(
                  Andel_oberoende_av_klimat*VLOOKUP($A149,Leveranser_per_nät,'Leveranser per nät'!M$1,FALSE)
               +Andel_beroende_av_klimat*VLOOKUP($A149,Leveranser_per_nät,'Leveranser per nät'!M$1,FALSE)/VLOOKUP($B149,Korrigeringsfaktor_EI,'Korrigeringsfaktor EI'!M$1,FALSE),
"")</f>
        <v>0</v>
      </c>
      <c r="N149" s="18">
        <f>IFERROR(
                  Andel_oberoende_av_klimat*VLOOKUP($A149,Leveranser_per_nät,'Leveranser per nät'!N$1,FALSE)
               +Andel_beroende_av_klimat*VLOOKUP($A149,Leveranser_per_nät,'Leveranser per nät'!N$1,FALSE)/VLOOKUP($B149,Korrigeringsfaktor_EI,'Korrigeringsfaktor EI'!N$1,FALSE),
"")</f>
        <v>0</v>
      </c>
      <c r="O149" s="18">
        <f>IFERROR(
                  Andel_oberoende_av_klimat*VLOOKUP($A149,Leveranser_per_nät,'Leveranser per nät'!O$1,FALSE)
               +Andel_beroende_av_klimat*VLOOKUP($A149,Leveranser_per_nät,'Leveranser per nät'!O$1,FALSE)/VLOOKUP($B149,Korrigeringsfaktor_EI,'Korrigeringsfaktor EI'!O$1,FALSE),
"")</f>
        <v>0</v>
      </c>
      <c r="P149" s="18">
        <f>IFERROR(
                  Andel_oberoende_av_klimat*VLOOKUP($A149,Leveranser_per_nät,'Leveranser per nät'!P$1,FALSE)
               +Andel_beroende_av_klimat*VLOOKUP($A149,Leveranser_per_nät,'Leveranser per nät'!P$1,FALSE)/VLOOKUP($B149,Korrigeringsfaktor_EI,'Korrigeringsfaktor EI'!P$1,FALSE),
"")</f>
        <v>0</v>
      </c>
      <c r="Q149" s="18">
        <f>IFERROR(
                  Andel_oberoende_av_klimat*VLOOKUP($A149,Leveranser_per_nät,'Leveranser per nät'!Q$1,FALSE)
               +Andel_beroende_av_klimat*VLOOKUP($A149,Leveranser_per_nät,'Leveranser per nät'!Q$1,FALSE)/VLOOKUP($B149,Korrigeringsfaktor_EI,'Korrigeringsfaktor EI'!Q$1,FALSE),
"")</f>
        <v>0</v>
      </c>
      <c r="R149" s="18">
        <f>IFERROR(
                  Andel_oberoende_av_klimat*VLOOKUP($A149,Leveranser_per_nät,'Leveranser per nät'!R$1,FALSE)
               +Andel_beroende_av_klimat*VLOOKUP($A149,Leveranser_per_nät,'Leveranser per nät'!R$1,FALSE)/VLOOKUP($B149,Korrigeringsfaktor_EI,'Korrigeringsfaktor EI'!R$1,FALSE),
"")</f>
        <v>0</v>
      </c>
      <c r="S149" s="18" t="str">
        <f>IFERROR(
                  Andel_oberoende_av_klimat*VLOOKUP($A149,Leveranser_per_nät,'Leveranser per nät'!S$1,FALSE)
               +Andel_beroende_av_klimat*VLOOKUP($A149,Leveranser_per_nät,'Leveranser per nät'!S$1,FALSE)/VLOOKUP($B149,Korrigeringsfaktor_EI,'Korrigeringsfaktor EI'!S$1,FALSE),
"")</f>
        <v/>
      </c>
      <c r="T149" s="18" t="str">
        <f>IFERROR(
                  Andel_oberoende_av_klimat*VLOOKUP($A149,Leveranser_per_nät,'Leveranser per nät'!T$1,FALSE)
               +Andel_beroende_av_klimat*VLOOKUP($A149,Leveranser_per_nät,'Leveranser per nät'!T$1,FALSE)/VLOOKUP($B149,Korrigeringsfaktor_EI,'Korrigeringsfaktor EI'!T$1,FALSE),
"")</f>
        <v/>
      </c>
      <c r="U149" s="18" t="str">
        <f>IFERROR(
                  Andel_oberoende_av_klimat*VLOOKUP($A149,Leveranser_per_nät,'Leveranser per nät'!U$1,FALSE)
               +Andel_beroende_av_klimat*VLOOKUP($A149,Leveranser_per_nät,'Leveranser per nät'!U$1,FALSE)/VLOOKUP($B149,Korrigeringsfaktor_EI,'Korrigeringsfaktor EI'!U$1,FALSE),
"")</f>
        <v/>
      </c>
      <c r="V149" s="18" t="str">
        <f>IFERROR(
                  Andel_oberoende_av_klimat*VLOOKUP($A149,Leveranser_per_nät,'Leveranser per nät'!V$1,FALSE)
               +Andel_beroende_av_klimat*VLOOKUP($A149,Leveranser_per_nät,'Leveranser per nät'!V$1,FALSE)/VLOOKUP($B149,Korrigeringsfaktor_EI,'Korrigeringsfaktor EI'!V$1,FALSE),
"")</f>
        <v/>
      </c>
      <c r="W149" s="18" t="str">
        <f>IFERROR(
                  Andel_oberoende_av_klimat*VLOOKUP($A149,Leveranser_per_nät,'Leveranser per nät'!W$1,FALSE)
               +Andel_beroende_av_klimat*VLOOKUP($A149,Leveranser_per_nät,'Leveranser per nät'!W$1,FALSE)/VLOOKUP($B149,Korrigeringsfaktor_EI,'Korrigeringsfaktor EI'!W$1,FALSE),
"")</f>
        <v/>
      </c>
      <c r="X149" s="18" t="str">
        <f>IFERROR(
                  Andel_oberoende_av_klimat*VLOOKUP($A149,Leveranser_per_nät,'Leveranser per nät'!X$1,FALSE)
               +Andel_beroende_av_klimat*VLOOKUP($A149,Leveranser_per_nät,'Leveranser per nät'!X$1,FALSE)/VLOOKUP($B149,Korrigeringsfaktor_EI,'Korrigeringsfaktor EI'!X$1,FALSE),
"")</f>
        <v/>
      </c>
      <c r="Y149" s="18" t="str">
        <f>IFERROR(
                  Andel_oberoende_av_klimat*VLOOKUP($A149,Leveranser_per_nät,'Leveranser per nät'!Y$1,FALSE)
               +Andel_beroende_av_klimat*VLOOKUP($A149,Leveranser_per_nät,'Leveranser per nät'!Y$1,FALSE)/VLOOKUP($B149,Korrigeringsfaktor_EI,'Korrigeringsfaktor EI'!Y$1,FALSE),
"")</f>
        <v/>
      </c>
      <c r="Z149" s="18">
        <f>IFERROR(
                  Andel_oberoende_av_klimat*VLOOKUP($A149,Leveranser_per_nät,'Leveranser per nät'!Z$1,FALSE)
               +Andel_beroende_av_klimat*VLOOKUP($A149,Leveranser_per_nät,'Leveranser per nät'!Z$1,FALSE)/VLOOKUP($B149,Korrigeringsfaktor_EI,'Korrigeringsfaktor EI'!Z$1,FALSE),
"")</f>
        <v>0</v>
      </c>
      <c r="AA149" s="18" t="str">
        <f>IFERROR(
                  Andel_oberoende_av_klimat*VLOOKUP($A149,Leveranser_per_nät,'Leveranser per nät'!AA$1,FALSE)
               +Andel_beroende_av_klimat*VLOOKUP($A149,Leveranser_per_nät,'Leveranser per nät'!AA$1,FALSE)/VLOOKUP($B149,Korrigeringsfaktor_EI,'Korrigeringsfaktor EI'!AA$1,FALSE),
"")</f>
        <v/>
      </c>
      <c r="AB149" s="18">
        <f>IFERROR(
                  Andel_oberoende_av_klimat*VLOOKUP($A149,Leveranser_per_nät,'Leveranser per nät'!AB$1,FALSE)
               +Andel_beroende_av_klimat*VLOOKUP($A149,Leveranser_per_nät,'Leveranser per nät'!AB$1,FALSE)/VLOOKUP($B149,Korrigeringsfaktor_EI,'Korrigeringsfaktor EI'!AB$1,FALSE),
"")</f>
        <v>0</v>
      </c>
      <c r="AC149" s="18">
        <f>IFERROR(
                  Andel_oberoende_av_klimat*VLOOKUP($A149,Leveranser_per_nät,'Leveranser per nät'!AC$1,FALSE)
               +Andel_beroende_av_klimat*VLOOKUP($A149,Leveranser_per_nät,'Leveranser per nät'!AC$1,FALSE)/VLOOKUP($B149,Korrigeringsfaktor_EI,'Korrigeringsfaktor EI'!AC$1,FALSE),
"")</f>
        <v>0</v>
      </c>
      <c r="AD149">
        <v>240.6</v>
      </c>
    </row>
    <row r="150" spans="1:30" x14ac:dyDescent="0.25">
      <c r="A150" t="s">
        <v>401</v>
      </c>
      <c r="B150" t="s">
        <v>46</v>
      </c>
      <c r="C150" s="18">
        <f>IFERROR(
                  Andel_oberoende_av_klimat*VLOOKUP($A150,Leveranser_per_nät,'Leveranser per nät'!C$1,FALSE)
               +Andel_beroende_av_klimat*VLOOKUP($A150,Leveranser_per_nät,'Leveranser per nät'!C$1,FALSE)/VLOOKUP($B150,Korrigeringsfaktor_EI,'Korrigeringsfaktor EI'!C$1,FALSE),
"")</f>
        <v>0</v>
      </c>
      <c r="D150" s="18">
        <f>IFERROR(
                  Andel_oberoende_av_klimat*VLOOKUP($A150,Leveranser_per_nät,'Leveranser per nät'!D$1,FALSE)
               +Andel_beroende_av_klimat*VLOOKUP($A150,Leveranser_per_nät,'Leveranser per nät'!D$1,FALSE)/VLOOKUP($B150,Korrigeringsfaktor_EI,'Korrigeringsfaktor EI'!D$1,FALSE),
"")</f>
        <v>0</v>
      </c>
      <c r="E150" s="18">
        <f>IFERROR(
                  Andel_oberoende_av_klimat*VLOOKUP($A150,Leveranser_per_nät,'Leveranser per nät'!E$1,FALSE)
               +Andel_beroende_av_klimat*VLOOKUP($A150,Leveranser_per_nät,'Leveranser per nät'!E$1,FALSE)/VLOOKUP($B150,Korrigeringsfaktor_EI,'Korrigeringsfaktor EI'!E$1,FALSE),
"")</f>
        <v>4.8980582524271847</v>
      </c>
      <c r="F150" s="18">
        <f>IFERROR(
                  Andel_oberoende_av_klimat*VLOOKUP($A150,Leveranser_per_nät,'Leveranser per nät'!F$1,FALSE)
               +Andel_beroende_av_klimat*VLOOKUP($A150,Leveranser_per_nät,'Leveranser per nät'!F$1,FALSE)/VLOOKUP($B150,Korrigeringsfaktor_EI,'Korrigeringsfaktor EI'!F$1,FALSE),
"")</f>
        <v>4.4027294117647067</v>
      </c>
      <c r="G150" s="18">
        <f>IFERROR(
                  Andel_oberoende_av_klimat*VLOOKUP($A150,Leveranser_per_nät,'Leveranser per nät'!G$1,FALSE)
               +Andel_beroende_av_klimat*VLOOKUP($A150,Leveranser_per_nät,'Leveranser per nät'!G$1,FALSE)/VLOOKUP($B150,Korrigeringsfaktor_EI,'Korrigeringsfaktor EI'!G$1,FALSE),
"")</f>
        <v>4.5386249999999997</v>
      </c>
      <c r="H150" s="18">
        <f>IFERROR(
                  Andel_oberoende_av_klimat*VLOOKUP($A150,Leveranser_per_nät,'Leveranser per nät'!H$1,FALSE)
               +Andel_beroende_av_klimat*VLOOKUP($A150,Leveranser_per_nät,'Leveranser per nät'!H$1,FALSE)/VLOOKUP($B150,Korrigeringsfaktor_EI,'Korrigeringsfaktor EI'!H$1,FALSE),
"")</f>
        <v>4.9313725490196081</v>
      </c>
      <c r="I150" s="18">
        <f>IFERROR(
                  Andel_oberoende_av_klimat*VLOOKUP($A150,Leveranser_per_nät,'Leveranser per nät'!I$1,FALSE)
               +Andel_beroende_av_klimat*VLOOKUP($A150,Leveranser_per_nät,'Leveranser per nät'!I$1,FALSE)/VLOOKUP($B150,Korrigeringsfaktor_EI,'Korrigeringsfaktor EI'!I$1,FALSE),
"")</f>
        <v>4.1787234042553187</v>
      </c>
      <c r="J150" s="18">
        <f>IFERROR(
                  Andel_oberoende_av_klimat*VLOOKUP($A150,Leveranser_per_nät,'Leveranser per nät'!J$1,FALSE)
               +Andel_beroende_av_klimat*VLOOKUP($A150,Leveranser_per_nät,'Leveranser per nät'!J$1,FALSE)/VLOOKUP($B150,Korrigeringsfaktor_EI,'Korrigeringsfaktor EI'!J$1,FALSE),
"")</f>
        <v>4.0865979381443296</v>
      </c>
      <c r="K150" s="18">
        <f>IFERROR(
                  Andel_oberoende_av_klimat*VLOOKUP($A150,Leveranser_per_nät,'Leveranser per nät'!K$1,FALSE)
               +Andel_beroende_av_klimat*VLOOKUP($A150,Leveranser_per_nät,'Leveranser per nät'!K$1,FALSE)/VLOOKUP($B150,Korrigeringsfaktor_EI,'Korrigeringsfaktor EI'!K$1,FALSE),
"")</f>
        <v>6.7923967742522517</v>
      </c>
      <c r="L150" s="18">
        <f>IFERROR(
                  Andel_oberoende_av_klimat*VLOOKUP($A150,Leveranser_per_nät,'Leveranser per nät'!L$1,FALSE)
               +Andel_beroende_av_klimat*VLOOKUP($A150,Leveranser_per_nät,'Leveranser per nät'!L$1,FALSE)/VLOOKUP($B150,Korrigeringsfaktor_EI,'Korrigeringsfaktor EI'!L$1,FALSE),
"")</f>
        <v>6.8437487317204084</v>
      </c>
      <c r="M150" s="18">
        <f>IFERROR(
                  Andel_oberoende_av_klimat*VLOOKUP($A150,Leveranser_per_nät,'Leveranser per nät'!M$1,FALSE)
               +Andel_beroende_av_klimat*VLOOKUP($A150,Leveranser_per_nät,'Leveranser per nät'!M$1,FALSE)/VLOOKUP($B150,Korrigeringsfaktor_EI,'Korrigeringsfaktor EI'!M$1,FALSE),
"")</f>
        <v>0</v>
      </c>
      <c r="N150" s="18">
        <f>IFERROR(
                  Andel_oberoende_av_klimat*VLOOKUP($A150,Leveranser_per_nät,'Leveranser per nät'!N$1,FALSE)
               +Andel_beroende_av_klimat*VLOOKUP($A150,Leveranser_per_nät,'Leveranser per nät'!N$1,FALSE)/VLOOKUP($B150,Korrigeringsfaktor_EI,'Korrigeringsfaktor EI'!N$1,FALSE),
"")</f>
        <v>0</v>
      </c>
      <c r="O150" s="18">
        <f>IFERROR(
                  Andel_oberoende_av_klimat*VLOOKUP($A150,Leveranser_per_nät,'Leveranser per nät'!O$1,FALSE)
               +Andel_beroende_av_klimat*VLOOKUP($A150,Leveranser_per_nät,'Leveranser per nät'!O$1,FALSE)/VLOOKUP($B150,Korrigeringsfaktor_EI,'Korrigeringsfaktor EI'!O$1,FALSE),
"")</f>
        <v>0</v>
      </c>
      <c r="P150" s="18">
        <f>IFERROR(
                  Andel_oberoende_av_klimat*VLOOKUP($A150,Leveranser_per_nät,'Leveranser per nät'!P$1,FALSE)
               +Andel_beroende_av_klimat*VLOOKUP($A150,Leveranser_per_nät,'Leveranser per nät'!P$1,FALSE)/VLOOKUP($B150,Korrigeringsfaktor_EI,'Korrigeringsfaktor EI'!P$1,FALSE),
"")</f>
        <v>0</v>
      </c>
      <c r="Q150" s="18">
        <f>IFERROR(
                  Andel_oberoende_av_klimat*VLOOKUP($A150,Leveranser_per_nät,'Leveranser per nät'!Q$1,FALSE)
               +Andel_beroende_av_klimat*VLOOKUP($A150,Leveranser_per_nät,'Leveranser per nät'!Q$1,FALSE)/VLOOKUP($B150,Korrigeringsfaktor_EI,'Korrigeringsfaktor EI'!Q$1,FALSE),
"")</f>
        <v>0</v>
      </c>
      <c r="R150" s="18">
        <f>IFERROR(
                  Andel_oberoende_av_klimat*VLOOKUP($A150,Leveranser_per_nät,'Leveranser per nät'!R$1,FALSE)
               +Andel_beroende_av_klimat*VLOOKUP($A150,Leveranser_per_nät,'Leveranser per nät'!R$1,FALSE)/VLOOKUP($B150,Korrigeringsfaktor_EI,'Korrigeringsfaktor EI'!R$1,FALSE),
"")</f>
        <v>0</v>
      </c>
      <c r="S150" s="18">
        <f>IFERROR(
                  Andel_oberoende_av_klimat*VLOOKUP($A150,Leveranser_per_nät,'Leveranser per nät'!S$1,FALSE)
               +Andel_beroende_av_klimat*VLOOKUP($A150,Leveranser_per_nät,'Leveranser per nät'!S$1,FALSE)/VLOOKUP($B150,Korrigeringsfaktor_EI,'Korrigeringsfaktor EI'!S$1,FALSE),
"")</f>
        <v>5.1639603960396041</v>
      </c>
      <c r="T150" s="18">
        <f>IFERROR(
                  Andel_oberoende_av_klimat*VLOOKUP($A150,Leveranser_per_nät,'Leveranser per nät'!T$1,FALSE)
               +Andel_beroende_av_klimat*VLOOKUP($A150,Leveranser_per_nät,'Leveranser per nät'!T$1,FALSE)/VLOOKUP($B150,Korrigeringsfaktor_EI,'Korrigeringsfaktor EI'!T$1,FALSE),
"")</f>
        <v>5.0429166666666676</v>
      </c>
      <c r="U150" s="18">
        <f>IFERROR(
                  Andel_oberoende_av_klimat*VLOOKUP($A150,Leveranser_per_nät,'Leveranser per nät'!U$1,FALSE)
               +Andel_beroende_av_klimat*VLOOKUP($A150,Leveranser_per_nät,'Leveranser per nät'!U$1,FALSE)/VLOOKUP($B150,Korrigeringsfaktor_EI,'Korrigeringsfaktor EI'!U$1,FALSE),
"")</f>
        <v>4.8499999999999996</v>
      </c>
      <c r="V150" s="18">
        <f>IFERROR(
                  Andel_oberoende_av_klimat*VLOOKUP($A150,Leveranser_per_nät,'Leveranser per nät'!V$1,FALSE)
               +Andel_beroende_av_klimat*VLOOKUP($A150,Leveranser_per_nät,'Leveranser per nät'!V$1,FALSE)/VLOOKUP($B150,Korrigeringsfaktor_EI,'Korrigeringsfaktor EI'!V$1,FALSE),
"")</f>
        <v>5.579247311827956</v>
      </c>
      <c r="W150" s="18">
        <f>IFERROR(
                  Andel_oberoende_av_klimat*VLOOKUP($A150,Leveranser_per_nät,'Leveranser per nät'!W$1,FALSE)
               +Andel_beroende_av_klimat*VLOOKUP($A150,Leveranser_per_nät,'Leveranser per nät'!W$1,FALSE)/VLOOKUP($B150,Korrigeringsfaktor_EI,'Korrigeringsfaktor EI'!W$1,FALSE),
"")</f>
        <v>5.2487499999999994</v>
      </c>
      <c r="X150" s="18">
        <f>IFERROR(
                  Andel_oberoende_av_klimat*VLOOKUP($A150,Leveranser_per_nät,'Leveranser per nät'!X$1,FALSE)
               +Andel_beroende_av_klimat*VLOOKUP($A150,Leveranser_per_nät,'Leveranser per nät'!X$1,FALSE)/VLOOKUP($B150,Korrigeringsfaktor_EI,'Korrigeringsfaktor EI'!X$1,FALSE),
"")</f>
        <v>5.1082474226804129</v>
      </c>
      <c r="Y150" s="18">
        <f>IFERROR(
                  Andel_oberoende_av_klimat*VLOOKUP($A150,Leveranser_per_nät,'Leveranser per nät'!Y$1,FALSE)
               +Andel_beroende_av_klimat*VLOOKUP($A150,Leveranser_per_nät,'Leveranser per nät'!Y$1,FALSE)/VLOOKUP($B150,Korrigeringsfaktor_EI,'Korrigeringsfaktor EI'!Y$1,FALSE),
"")</f>
        <v>5.2487499999999994</v>
      </c>
      <c r="Z150" s="18">
        <f>IFERROR(
                  Andel_oberoende_av_klimat*VLOOKUP($A150,Leveranser_per_nät,'Leveranser per nät'!Z$1,FALSE)
               +Andel_beroende_av_klimat*VLOOKUP($A150,Leveranser_per_nät,'Leveranser per nät'!Z$1,FALSE)/VLOOKUP($B150,Korrigeringsfaktor_EI,'Korrigeringsfaktor EI'!Z$1,FALSE),
"")</f>
        <v>4.9400000000000004</v>
      </c>
      <c r="AA150" s="18">
        <f>IFERROR(
                  Andel_oberoende_av_klimat*VLOOKUP($A150,Leveranser_per_nät,'Leveranser per nät'!AA$1,FALSE)
               +Andel_beroende_av_klimat*VLOOKUP($A150,Leveranser_per_nät,'Leveranser per nät'!AA$1,FALSE)/VLOOKUP($B150,Korrigeringsfaktor_EI,'Korrigeringsfaktor EI'!AA$1,FALSE),
"")</f>
        <v>4.9717834394904461</v>
      </c>
      <c r="AB150" s="18">
        <f>IFERROR(
                  Andel_oberoende_av_klimat*VLOOKUP($A150,Leveranser_per_nät,'Leveranser per nät'!AB$1,FALSE)
               +Andel_beroende_av_klimat*VLOOKUP($A150,Leveranser_per_nät,'Leveranser per nät'!AB$1,FALSE)/VLOOKUP($B150,Korrigeringsfaktor_EI,'Korrigeringsfaktor EI'!AB$1,FALSE),
"")</f>
        <v>4.8393516699410615</v>
      </c>
      <c r="AC150" s="18">
        <f>IFERROR(
                  Andel_oberoende_av_klimat*VLOOKUP($A150,Leveranser_per_nät,'Leveranser per nät'!AC$1,FALSE)
               +Andel_beroende_av_klimat*VLOOKUP($A150,Leveranser_per_nät,'Leveranser per nät'!AC$1,FALSE)/VLOOKUP($B150,Korrigeringsfaktor_EI,'Korrigeringsfaktor EI'!AC$1,FALSE),
"")</f>
        <v>4.6354401639344269</v>
      </c>
      <c r="AD150">
        <v>16.463999999999999</v>
      </c>
    </row>
    <row r="151" spans="1:30" x14ac:dyDescent="0.25">
      <c r="A151" t="s">
        <v>488</v>
      </c>
      <c r="B151" t="s">
        <v>420</v>
      </c>
      <c r="C151" s="18">
        <f>IFERROR(
                  Andel_oberoende_av_klimat*VLOOKUP($A151,Leveranser_per_nät,'Leveranser per nät'!C$1,FALSE)
               +Andel_beroende_av_klimat*VLOOKUP($A151,Leveranser_per_nät,'Leveranser per nät'!C$1,FALSE)/VLOOKUP($B151,Korrigeringsfaktor_EI,'Korrigeringsfaktor EI'!C$1,FALSE),
"")</f>
        <v>0</v>
      </c>
      <c r="D151" s="18">
        <f>IFERROR(
                  Andel_oberoende_av_klimat*VLOOKUP($A151,Leveranser_per_nät,'Leveranser per nät'!D$1,FALSE)
               +Andel_beroende_av_klimat*VLOOKUP($A151,Leveranser_per_nät,'Leveranser per nät'!D$1,FALSE)/VLOOKUP($B151,Korrigeringsfaktor_EI,'Korrigeringsfaktor EI'!D$1,FALSE),
"")</f>
        <v>0</v>
      </c>
      <c r="E151" s="18">
        <f>IFERROR(
                  Andel_oberoende_av_klimat*VLOOKUP($A151,Leveranser_per_nät,'Leveranser per nät'!E$1,FALSE)
               +Andel_beroende_av_klimat*VLOOKUP($A151,Leveranser_per_nät,'Leveranser per nät'!E$1,FALSE)/VLOOKUP($B151,Korrigeringsfaktor_EI,'Korrigeringsfaktor EI'!E$1,FALSE),
"")</f>
        <v>0</v>
      </c>
      <c r="F151" s="18">
        <f>IFERROR(
                  Andel_oberoende_av_klimat*VLOOKUP($A151,Leveranser_per_nät,'Leveranser per nät'!F$1,FALSE)
               +Andel_beroende_av_klimat*VLOOKUP($A151,Leveranser_per_nät,'Leveranser per nät'!F$1,FALSE)/VLOOKUP($B151,Korrigeringsfaktor_EI,'Korrigeringsfaktor EI'!F$1,FALSE),
"")</f>
        <v>0</v>
      </c>
      <c r="G151" s="18">
        <f>IFERROR(
                  Andel_oberoende_av_klimat*VLOOKUP($A151,Leveranser_per_nät,'Leveranser per nät'!G$1,FALSE)
               +Andel_beroende_av_klimat*VLOOKUP($A151,Leveranser_per_nät,'Leveranser per nät'!G$1,FALSE)/VLOOKUP($B151,Korrigeringsfaktor_EI,'Korrigeringsfaktor EI'!G$1,FALSE),
"")</f>
        <v>0</v>
      </c>
      <c r="H151" s="18">
        <f>IFERROR(
                  Andel_oberoende_av_klimat*VLOOKUP($A151,Leveranser_per_nät,'Leveranser per nät'!H$1,FALSE)
               +Andel_beroende_av_klimat*VLOOKUP($A151,Leveranser_per_nät,'Leveranser per nät'!H$1,FALSE)/VLOOKUP($B151,Korrigeringsfaktor_EI,'Korrigeringsfaktor EI'!H$1,FALSE),
"")</f>
        <v>0</v>
      </c>
      <c r="I151" s="18">
        <f>IFERROR(
                  Andel_oberoende_av_klimat*VLOOKUP($A151,Leveranser_per_nät,'Leveranser per nät'!I$1,FALSE)
               +Andel_beroende_av_klimat*VLOOKUP($A151,Leveranser_per_nät,'Leveranser per nät'!I$1,FALSE)/VLOOKUP($B151,Korrigeringsfaktor_EI,'Korrigeringsfaktor EI'!I$1,FALSE),
"")</f>
        <v>0</v>
      </c>
      <c r="J151" s="18">
        <f>IFERROR(
                  Andel_oberoende_av_klimat*VLOOKUP($A151,Leveranser_per_nät,'Leveranser per nät'!J$1,FALSE)
               +Andel_beroende_av_klimat*VLOOKUP($A151,Leveranser_per_nät,'Leveranser per nät'!J$1,FALSE)/VLOOKUP($B151,Korrigeringsfaktor_EI,'Korrigeringsfaktor EI'!J$1,FALSE),
"")</f>
        <v>0</v>
      </c>
      <c r="K151" s="18">
        <f>IFERROR(
                  Andel_oberoende_av_klimat*VLOOKUP($A151,Leveranser_per_nät,'Leveranser per nät'!K$1,FALSE)
               +Andel_beroende_av_klimat*VLOOKUP($A151,Leveranser_per_nät,'Leveranser per nät'!K$1,FALSE)/VLOOKUP($B151,Korrigeringsfaktor_EI,'Korrigeringsfaktor EI'!K$1,FALSE),
"")</f>
        <v>0</v>
      </c>
      <c r="L151" s="18">
        <f>IFERROR(
                  Andel_oberoende_av_klimat*VLOOKUP($A151,Leveranser_per_nät,'Leveranser per nät'!L$1,FALSE)
               +Andel_beroende_av_klimat*VLOOKUP($A151,Leveranser_per_nät,'Leveranser per nät'!L$1,FALSE)/VLOOKUP($B151,Korrigeringsfaktor_EI,'Korrigeringsfaktor EI'!L$1,FALSE),
"")</f>
        <v>0</v>
      </c>
      <c r="M151" s="18">
        <f>IFERROR(
                  Andel_oberoende_av_klimat*VLOOKUP($A151,Leveranser_per_nät,'Leveranser per nät'!M$1,FALSE)
               +Andel_beroende_av_klimat*VLOOKUP($A151,Leveranser_per_nät,'Leveranser per nät'!M$1,FALSE)/VLOOKUP($B151,Korrigeringsfaktor_EI,'Korrigeringsfaktor EI'!M$1,FALSE),
"")</f>
        <v>0</v>
      </c>
      <c r="N151" s="18">
        <f>IFERROR(
                  Andel_oberoende_av_klimat*VLOOKUP($A151,Leveranser_per_nät,'Leveranser per nät'!N$1,FALSE)
               +Andel_beroende_av_klimat*VLOOKUP($A151,Leveranser_per_nät,'Leveranser per nät'!N$1,FALSE)/VLOOKUP($B151,Korrigeringsfaktor_EI,'Korrigeringsfaktor EI'!N$1,FALSE),
"")</f>
        <v>0</v>
      </c>
      <c r="O151" s="18">
        <f>IFERROR(
                  Andel_oberoende_av_klimat*VLOOKUP($A151,Leveranser_per_nät,'Leveranser per nät'!O$1,FALSE)
               +Andel_beroende_av_klimat*VLOOKUP($A151,Leveranser_per_nät,'Leveranser per nät'!O$1,FALSE)/VLOOKUP($B151,Korrigeringsfaktor_EI,'Korrigeringsfaktor EI'!O$1,FALSE),
"")</f>
        <v>0</v>
      </c>
      <c r="P151" s="18">
        <f>IFERROR(
                  Andel_oberoende_av_klimat*VLOOKUP($A151,Leveranser_per_nät,'Leveranser per nät'!P$1,FALSE)
               +Andel_beroende_av_klimat*VLOOKUP($A151,Leveranser_per_nät,'Leveranser per nät'!P$1,FALSE)/VLOOKUP($B151,Korrigeringsfaktor_EI,'Korrigeringsfaktor EI'!P$1,FALSE),
"")</f>
        <v>0</v>
      </c>
      <c r="Q151" s="18">
        <f>IFERROR(
                  Andel_oberoende_av_klimat*VLOOKUP($A151,Leveranser_per_nät,'Leveranser per nät'!Q$1,FALSE)
               +Andel_beroende_av_klimat*VLOOKUP($A151,Leveranser_per_nät,'Leveranser per nät'!Q$1,FALSE)/VLOOKUP($B151,Korrigeringsfaktor_EI,'Korrigeringsfaktor EI'!Q$1,FALSE),
"")</f>
        <v>569.18507064220182</v>
      </c>
      <c r="R151" s="18">
        <f>IFERROR(
                  Andel_oberoende_av_klimat*VLOOKUP($A151,Leveranser_per_nät,'Leveranser per nät'!R$1,FALSE)
               +Andel_beroende_av_klimat*VLOOKUP($A151,Leveranser_per_nät,'Leveranser per nät'!R$1,FALSE)/VLOOKUP($B151,Korrigeringsfaktor_EI,'Korrigeringsfaktor EI'!R$1,FALSE),
"")</f>
        <v>550.5677863636364</v>
      </c>
      <c r="S151" s="18">
        <f>IFERROR(
                  Andel_oberoende_av_klimat*VLOOKUP($A151,Leveranser_per_nät,'Leveranser per nät'!S$1,FALSE)
               +Andel_beroende_av_klimat*VLOOKUP($A151,Leveranser_per_nät,'Leveranser per nät'!S$1,FALSE)/VLOOKUP($B151,Korrigeringsfaktor_EI,'Korrigeringsfaktor EI'!S$1,FALSE),
"")</f>
        <v>548.54583333333335</v>
      </c>
      <c r="T151" s="18" t="str">
        <f>IFERROR(
                  Andel_oberoende_av_klimat*VLOOKUP($A151,Leveranser_per_nät,'Leveranser per nät'!T$1,FALSE)
               +Andel_beroende_av_klimat*VLOOKUP($A151,Leveranser_per_nät,'Leveranser per nät'!T$1,FALSE)/VLOOKUP($B151,Korrigeringsfaktor_EI,'Korrigeringsfaktor EI'!T$1,FALSE),
"")</f>
        <v/>
      </c>
      <c r="U151" s="18" t="str">
        <f>IFERROR(
                  Andel_oberoende_av_klimat*VLOOKUP($A151,Leveranser_per_nät,'Leveranser per nät'!U$1,FALSE)
               +Andel_beroende_av_klimat*VLOOKUP($A151,Leveranser_per_nät,'Leveranser per nät'!U$1,FALSE)/VLOOKUP($B151,Korrigeringsfaktor_EI,'Korrigeringsfaktor EI'!U$1,FALSE),
"")</f>
        <v/>
      </c>
      <c r="V151" s="18" t="str">
        <f>IFERROR(
                  Andel_oberoende_av_klimat*VLOOKUP($A151,Leveranser_per_nät,'Leveranser per nät'!V$1,FALSE)
               +Andel_beroende_av_klimat*VLOOKUP($A151,Leveranser_per_nät,'Leveranser per nät'!V$1,FALSE)/VLOOKUP($B151,Korrigeringsfaktor_EI,'Korrigeringsfaktor EI'!V$1,FALSE),
"")</f>
        <v/>
      </c>
      <c r="W151" s="18" t="str">
        <f>IFERROR(
                  Andel_oberoende_av_klimat*VLOOKUP($A151,Leveranser_per_nät,'Leveranser per nät'!W$1,FALSE)
               +Andel_beroende_av_klimat*VLOOKUP($A151,Leveranser_per_nät,'Leveranser per nät'!W$1,FALSE)/VLOOKUP($B151,Korrigeringsfaktor_EI,'Korrigeringsfaktor EI'!W$1,FALSE),
"")</f>
        <v/>
      </c>
      <c r="X151" s="18" t="str">
        <f>IFERROR(
                  Andel_oberoende_av_klimat*VLOOKUP($A151,Leveranser_per_nät,'Leveranser per nät'!X$1,FALSE)
               +Andel_beroende_av_klimat*VLOOKUP($A151,Leveranser_per_nät,'Leveranser per nät'!X$1,FALSE)/VLOOKUP($B151,Korrigeringsfaktor_EI,'Korrigeringsfaktor EI'!X$1,FALSE),
"")</f>
        <v/>
      </c>
      <c r="Y151" s="18" t="str">
        <f>IFERROR(
                  Andel_oberoende_av_klimat*VLOOKUP($A151,Leveranser_per_nät,'Leveranser per nät'!Y$1,FALSE)
               +Andel_beroende_av_klimat*VLOOKUP($A151,Leveranser_per_nät,'Leveranser per nät'!Y$1,FALSE)/VLOOKUP($B151,Korrigeringsfaktor_EI,'Korrigeringsfaktor EI'!Y$1,FALSE),
"")</f>
        <v/>
      </c>
      <c r="Z151" s="18">
        <f>IFERROR(
                  Andel_oberoende_av_klimat*VLOOKUP($A151,Leveranser_per_nät,'Leveranser per nät'!Z$1,FALSE)
               +Andel_beroende_av_klimat*VLOOKUP($A151,Leveranser_per_nät,'Leveranser per nät'!Z$1,FALSE)/VLOOKUP($B151,Korrigeringsfaktor_EI,'Korrigeringsfaktor EI'!Z$1,FALSE),
"")</f>
        <v>0</v>
      </c>
      <c r="AA151" s="18" t="str">
        <f>IFERROR(
                  Andel_oberoende_av_klimat*VLOOKUP($A151,Leveranser_per_nät,'Leveranser per nät'!AA$1,FALSE)
               +Andel_beroende_av_klimat*VLOOKUP($A151,Leveranser_per_nät,'Leveranser per nät'!AA$1,FALSE)/VLOOKUP($B151,Korrigeringsfaktor_EI,'Korrigeringsfaktor EI'!AA$1,FALSE),
"")</f>
        <v/>
      </c>
      <c r="AB151" s="18">
        <f>IFERROR(
                  Andel_oberoende_av_klimat*VLOOKUP($A151,Leveranser_per_nät,'Leveranser per nät'!AB$1,FALSE)
               +Andel_beroende_av_klimat*VLOOKUP($A151,Leveranser_per_nät,'Leveranser per nät'!AB$1,FALSE)/VLOOKUP($B151,Korrigeringsfaktor_EI,'Korrigeringsfaktor EI'!AB$1,FALSE),
"")</f>
        <v>0</v>
      </c>
      <c r="AC151" s="18">
        <f>IFERROR(
                  Andel_oberoende_av_klimat*VLOOKUP($A151,Leveranser_per_nät,'Leveranser per nät'!AC$1,FALSE)
               +Andel_beroende_av_klimat*VLOOKUP($A151,Leveranser_per_nät,'Leveranser per nät'!AC$1,FALSE)/VLOOKUP($B151,Korrigeringsfaktor_EI,'Korrigeringsfaktor EI'!AC$1,FALSE),
"")</f>
        <v>0</v>
      </c>
      <c r="AD151">
        <v>7723.8890000000001</v>
      </c>
    </row>
    <row r="152" spans="1:30" x14ac:dyDescent="0.25">
      <c r="A152" t="s">
        <v>117</v>
      </c>
      <c r="B152" t="s">
        <v>117</v>
      </c>
      <c r="C152" s="18">
        <f>IFERROR(
                  Andel_oberoende_av_klimat*VLOOKUP($A152,Leveranser_per_nät,'Leveranser per nät'!C$1,FALSE)
               +Andel_beroende_av_klimat*VLOOKUP($A152,Leveranser_per_nät,'Leveranser per nät'!C$1,FALSE)/VLOOKUP($B152,Korrigeringsfaktor_EI,'Korrigeringsfaktor EI'!C$1,FALSE),
"")</f>
        <v>152.67289719626169</v>
      </c>
      <c r="D152" s="18">
        <f>IFERROR(
                  Andel_oberoende_av_klimat*VLOOKUP($A152,Leveranser_per_nät,'Leveranser per nät'!D$1,FALSE)
               +Andel_beroende_av_klimat*VLOOKUP($A152,Leveranser_per_nät,'Leveranser per nät'!D$1,FALSE)/VLOOKUP($B152,Korrigeringsfaktor_EI,'Korrigeringsfaktor EI'!D$1,FALSE),
"")</f>
        <v>155.5263157894737</v>
      </c>
      <c r="E152" s="18">
        <f>IFERROR(
                  Andel_oberoende_av_klimat*VLOOKUP($A152,Leveranser_per_nät,'Leveranser per nät'!E$1,FALSE)
               +Andel_beroende_av_klimat*VLOOKUP($A152,Leveranser_per_nät,'Leveranser per nät'!E$1,FALSE)/VLOOKUP($B152,Korrigeringsfaktor_EI,'Korrigeringsfaktor EI'!E$1,FALSE),
"")</f>
        <v>162.73529411764704</v>
      </c>
      <c r="F152" s="18">
        <f>IFERROR(
                  Andel_oberoende_av_klimat*VLOOKUP($A152,Leveranser_per_nät,'Leveranser per nät'!F$1,FALSE)
               +Andel_beroende_av_klimat*VLOOKUP($A152,Leveranser_per_nät,'Leveranser per nät'!F$1,FALSE)/VLOOKUP($B152,Korrigeringsfaktor_EI,'Korrigeringsfaktor EI'!F$1,FALSE),
"")</f>
        <v>167.35714285714286</v>
      </c>
      <c r="G152" s="18">
        <f>IFERROR(
                  Andel_oberoende_av_klimat*VLOOKUP($A152,Leveranser_per_nät,'Leveranser per nät'!G$1,FALSE)
               +Andel_beroende_av_klimat*VLOOKUP($A152,Leveranser_per_nät,'Leveranser per nät'!G$1,FALSE)/VLOOKUP($B152,Korrigeringsfaktor_EI,'Korrigeringsfaktor EI'!G$1,FALSE),
"")</f>
        <v>165.27204301075267</v>
      </c>
      <c r="H152" s="18">
        <f>IFERROR(
                  Andel_oberoende_av_klimat*VLOOKUP($A152,Leveranser_per_nät,'Leveranser per nät'!H$1,FALSE)
               +Andel_beroende_av_klimat*VLOOKUP($A152,Leveranser_per_nät,'Leveranser per nät'!H$1,FALSE)/VLOOKUP($B152,Korrigeringsfaktor_EI,'Korrigeringsfaktor EI'!H$1,FALSE),
"")</f>
        <v>170</v>
      </c>
      <c r="I152" s="18">
        <f>IFERROR(
                  Andel_oberoende_av_klimat*VLOOKUP($A152,Leveranser_per_nät,'Leveranser per nät'!I$1,FALSE)
               +Andel_beroende_av_klimat*VLOOKUP($A152,Leveranser_per_nät,'Leveranser per nät'!I$1,FALSE)/VLOOKUP($B152,Korrigeringsfaktor_EI,'Korrigeringsfaktor EI'!I$1,FALSE),
"")</f>
        <v>174.18947368421053</v>
      </c>
      <c r="J152" s="18">
        <f>IFERROR(
                  Andel_oberoende_av_klimat*VLOOKUP($A152,Leveranser_per_nät,'Leveranser per nät'!J$1,FALSE)
               +Andel_beroende_av_klimat*VLOOKUP($A152,Leveranser_per_nät,'Leveranser per nät'!J$1,FALSE)/VLOOKUP($B152,Korrigeringsfaktor_EI,'Korrigeringsfaktor EI'!J$1,FALSE),
"")</f>
        <v>172.1157894736842</v>
      </c>
      <c r="K152" s="18">
        <f>IFERROR(
                  Andel_oberoende_av_klimat*VLOOKUP($A152,Leveranser_per_nät,'Leveranser per nät'!K$1,FALSE)
               +Andel_beroende_av_klimat*VLOOKUP($A152,Leveranser_per_nät,'Leveranser per nät'!K$1,FALSE)/VLOOKUP($B152,Korrigeringsfaktor_EI,'Korrigeringsfaktor EI'!K$1,FALSE),
"")</f>
        <v>0</v>
      </c>
      <c r="L152" s="18">
        <f>IFERROR(
                  Andel_oberoende_av_klimat*VLOOKUP($A152,Leveranser_per_nät,'Leveranser per nät'!L$1,FALSE)
               +Andel_beroende_av_klimat*VLOOKUP($A152,Leveranser_per_nät,'Leveranser per nät'!L$1,FALSE)/VLOOKUP($B152,Korrigeringsfaktor_EI,'Korrigeringsfaktor EI'!L$1,FALSE),
"")</f>
        <v>0</v>
      </c>
      <c r="M152" s="18">
        <f>IFERROR(
                  Andel_oberoende_av_klimat*VLOOKUP($A152,Leveranser_per_nät,'Leveranser per nät'!M$1,FALSE)
               +Andel_beroende_av_klimat*VLOOKUP($A152,Leveranser_per_nät,'Leveranser per nät'!M$1,FALSE)/VLOOKUP($B152,Korrigeringsfaktor_EI,'Korrigeringsfaktor EI'!M$1,FALSE),
"")</f>
        <v>0</v>
      </c>
      <c r="N152" s="18">
        <f>IFERROR(
                  Andel_oberoende_av_klimat*VLOOKUP($A152,Leveranser_per_nät,'Leveranser per nät'!N$1,FALSE)
               +Andel_beroende_av_klimat*VLOOKUP($A152,Leveranser_per_nät,'Leveranser per nät'!N$1,FALSE)/VLOOKUP($B152,Korrigeringsfaktor_EI,'Korrigeringsfaktor EI'!N$1,FALSE),
"")</f>
        <v>0</v>
      </c>
      <c r="O152" s="18">
        <f>IFERROR(
                  Andel_oberoende_av_klimat*VLOOKUP($A152,Leveranser_per_nät,'Leveranser per nät'!O$1,FALSE)
               +Andel_beroende_av_klimat*VLOOKUP($A152,Leveranser_per_nät,'Leveranser per nät'!O$1,FALSE)/VLOOKUP($B152,Korrigeringsfaktor_EI,'Korrigeringsfaktor EI'!O$1,FALSE),
"")</f>
        <v>144.2782608695652</v>
      </c>
      <c r="P152" s="18">
        <f>IFERROR(
                  Andel_oberoende_av_klimat*VLOOKUP($A152,Leveranser_per_nät,'Leveranser per nät'!P$1,FALSE)
               +Andel_beroende_av_klimat*VLOOKUP($A152,Leveranser_per_nät,'Leveranser per nät'!P$1,FALSE)/VLOOKUP($B152,Korrigeringsfaktor_EI,'Korrigeringsfaktor EI'!P$1,FALSE),
"")</f>
        <v>138.94432989690722</v>
      </c>
      <c r="Q152" s="18">
        <f>IFERROR(
                  Andel_oberoende_av_klimat*VLOOKUP($A152,Leveranser_per_nät,'Leveranser per nät'!Q$1,FALSE)
               +Andel_beroende_av_klimat*VLOOKUP($A152,Leveranser_per_nät,'Leveranser per nät'!Q$1,FALSE)/VLOOKUP($B152,Korrigeringsfaktor_EI,'Korrigeringsfaktor EI'!Q$1,FALSE),
"")</f>
        <v>148.7416979189189</v>
      </c>
      <c r="R152" s="18">
        <f>IFERROR(
                  Andel_oberoende_av_klimat*VLOOKUP($A152,Leveranser_per_nät,'Leveranser per nät'!R$1,FALSE)
               +Andel_beroende_av_klimat*VLOOKUP($A152,Leveranser_per_nät,'Leveranser per nät'!R$1,FALSE)/VLOOKUP($B152,Korrigeringsfaktor_EI,'Korrigeringsfaktor EI'!R$1,FALSE),
"")</f>
        <v>131.76156666666668</v>
      </c>
      <c r="S152" s="18">
        <f>IFERROR(
                  Andel_oberoende_av_klimat*VLOOKUP($A152,Leveranser_per_nät,'Leveranser per nät'!S$1,FALSE)
               +Andel_beroende_av_klimat*VLOOKUP($A152,Leveranser_per_nät,'Leveranser per nät'!S$1,FALSE)/VLOOKUP($B152,Korrigeringsfaktor_EI,'Korrigeringsfaktor EI'!S$1,FALSE),
"")</f>
        <v>129.91212121212121</v>
      </c>
      <c r="T152" s="18">
        <f>IFERROR(
                  Andel_oberoende_av_klimat*VLOOKUP($A152,Leveranser_per_nät,'Leveranser per nät'!T$1,FALSE)
               +Andel_beroende_av_klimat*VLOOKUP($A152,Leveranser_per_nät,'Leveranser per nät'!T$1,FALSE)/VLOOKUP($B152,Korrigeringsfaktor_EI,'Korrigeringsfaktor EI'!T$1,FALSE),
"")</f>
        <v>131.92571578947368</v>
      </c>
      <c r="U152" s="18">
        <f>IFERROR(
                  Andel_oberoende_av_klimat*VLOOKUP($A152,Leveranser_per_nät,'Leveranser per nät'!U$1,FALSE)
               +Andel_beroende_av_klimat*VLOOKUP($A152,Leveranser_per_nät,'Leveranser per nät'!U$1,FALSE)/VLOOKUP($B152,Korrigeringsfaktor_EI,'Korrigeringsfaktor EI'!U$1,FALSE),
"")</f>
        <v>127.33651573033708</v>
      </c>
      <c r="V152" s="18">
        <f>IFERROR(
                  Andel_oberoende_av_klimat*VLOOKUP($A152,Leveranser_per_nät,'Leveranser per nät'!V$1,FALSE)
               +Andel_beroende_av_klimat*VLOOKUP($A152,Leveranser_per_nät,'Leveranser per nät'!V$1,FALSE)/VLOOKUP($B152,Korrigeringsfaktor_EI,'Korrigeringsfaktor EI'!V$1,FALSE),
"")</f>
        <v>121.61967777777778</v>
      </c>
      <c r="W152" s="18">
        <f>IFERROR(
                  Andel_oberoende_av_klimat*VLOOKUP($A152,Leveranser_per_nät,'Leveranser per nät'!W$1,FALSE)
               +Andel_beroende_av_klimat*VLOOKUP($A152,Leveranser_per_nät,'Leveranser per nät'!W$1,FALSE)/VLOOKUP($B152,Korrigeringsfaktor_EI,'Korrigeringsfaktor EI'!W$1,FALSE),
"")</f>
        <v>125.01619462365591</v>
      </c>
      <c r="X152" s="18">
        <f>IFERROR(
                  Andel_oberoende_av_klimat*VLOOKUP($A152,Leveranser_per_nät,'Leveranser per nät'!X$1,FALSE)
               +Andel_beroende_av_klimat*VLOOKUP($A152,Leveranser_per_nät,'Leveranser per nät'!X$1,FALSE)/VLOOKUP($B152,Korrigeringsfaktor_EI,'Korrigeringsfaktor EI'!X$1,FALSE),
"")</f>
        <v>123.0414659574468</v>
      </c>
      <c r="Y152" s="18">
        <f>IFERROR(
                  Andel_oberoende_av_klimat*VLOOKUP($A152,Leveranser_per_nät,'Leveranser per nät'!Y$1,FALSE)
               +Andel_beroende_av_klimat*VLOOKUP($A152,Leveranser_per_nät,'Leveranser per nät'!Y$1,FALSE)/VLOOKUP($B152,Korrigeringsfaktor_EI,'Korrigeringsfaktor EI'!Y$1,FALSE),
"")</f>
        <v>127.27</v>
      </c>
      <c r="Z152" s="18">
        <f>IFERROR(
                  Andel_oberoende_av_klimat*VLOOKUP($A152,Leveranser_per_nät,'Leveranser per nät'!Z$1,FALSE)
               +Andel_beroende_av_klimat*VLOOKUP($A152,Leveranser_per_nät,'Leveranser per nät'!Z$1,FALSE)/VLOOKUP($B152,Korrigeringsfaktor_EI,'Korrigeringsfaktor EI'!Z$1,FALSE),
"")</f>
        <v>125.14672795698924</v>
      </c>
      <c r="AA152" s="18">
        <f>IFERROR(
                  Andel_oberoende_av_klimat*VLOOKUP($A152,Leveranser_per_nät,'Leveranser per nät'!AA$1,FALSE)
               +Andel_beroende_av_klimat*VLOOKUP($A152,Leveranser_per_nät,'Leveranser per nät'!AA$1,FALSE)/VLOOKUP($B152,Korrigeringsfaktor_EI,'Korrigeringsfaktor EI'!AA$1,FALSE),
"")</f>
        <v>119.79184068278806</v>
      </c>
      <c r="AB152" s="18">
        <f>IFERROR(
                  Andel_oberoende_av_klimat*VLOOKUP($A152,Leveranser_per_nät,'Leveranser per nät'!AB$1,FALSE)
               +Andel_beroende_av_klimat*VLOOKUP($A152,Leveranser_per_nät,'Leveranser per nät'!AB$1,FALSE)/VLOOKUP($B152,Korrigeringsfaktor_EI,'Korrigeringsfaktor EI'!AB$1,FALSE),
"")</f>
        <v>119.2575053053053</v>
      </c>
      <c r="AC152" s="18">
        <f>IFERROR(
                  Andel_oberoende_av_klimat*VLOOKUP($A152,Leveranser_per_nät,'Leveranser per nät'!AC$1,FALSE)
               +Andel_beroende_av_klimat*VLOOKUP($A152,Leveranser_per_nät,'Leveranser per nät'!AC$1,FALSE)/VLOOKUP($B152,Korrigeringsfaktor_EI,'Korrigeringsfaktor EI'!AC$1,FALSE),
"")</f>
        <v>114.65544382259768</v>
      </c>
      <c r="AD152">
        <v>110.333</v>
      </c>
    </row>
    <row r="153" spans="1:30" x14ac:dyDescent="0.25">
      <c r="A153" t="s">
        <v>215</v>
      </c>
      <c r="B153" t="s">
        <v>215</v>
      </c>
      <c r="C153" s="18">
        <f>IFERROR(
                  Andel_oberoende_av_klimat*VLOOKUP($A153,Leveranser_per_nät,'Leveranser per nät'!C$1,FALSE)
               +Andel_beroende_av_klimat*VLOOKUP($A153,Leveranser_per_nät,'Leveranser per nät'!C$1,FALSE)/VLOOKUP($B153,Korrigeringsfaktor_EI,'Korrigeringsfaktor EI'!C$1,FALSE),
"")</f>
        <v>0</v>
      </c>
      <c r="D153" s="18">
        <f>IFERROR(
                  Andel_oberoende_av_klimat*VLOOKUP($A153,Leveranser_per_nät,'Leveranser per nät'!D$1,FALSE)
               +Andel_beroende_av_klimat*VLOOKUP($A153,Leveranser_per_nät,'Leveranser per nät'!D$1,FALSE)/VLOOKUP($B153,Korrigeringsfaktor_EI,'Korrigeringsfaktor EI'!D$1,FALSE),
"")</f>
        <v>0</v>
      </c>
      <c r="E153" s="18">
        <f>IFERROR(
                  Andel_oberoende_av_klimat*VLOOKUP($A153,Leveranser_per_nät,'Leveranser per nät'!E$1,FALSE)
               +Andel_beroende_av_klimat*VLOOKUP($A153,Leveranser_per_nät,'Leveranser per nät'!E$1,FALSE)/VLOOKUP($B153,Korrigeringsfaktor_EI,'Korrigeringsfaktor EI'!E$1,FALSE),
"")</f>
        <v>0</v>
      </c>
      <c r="F153" s="18">
        <f>IFERROR(
                  Andel_oberoende_av_klimat*VLOOKUP($A153,Leveranser_per_nät,'Leveranser per nät'!F$1,FALSE)
               +Andel_beroende_av_klimat*VLOOKUP($A153,Leveranser_per_nät,'Leveranser per nät'!F$1,FALSE)/VLOOKUP($B153,Korrigeringsfaktor_EI,'Korrigeringsfaktor EI'!F$1,FALSE),
"")</f>
        <v>0</v>
      </c>
      <c r="G153" s="18">
        <f>IFERROR(
                  Andel_oberoende_av_klimat*VLOOKUP($A153,Leveranser_per_nät,'Leveranser per nät'!G$1,FALSE)
               +Andel_beroende_av_klimat*VLOOKUP($A153,Leveranser_per_nät,'Leveranser per nät'!G$1,FALSE)/VLOOKUP($B153,Korrigeringsfaktor_EI,'Korrigeringsfaktor EI'!G$1,FALSE),
"")</f>
        <v>0</v>
      </c>
      <c r="H153" s="18">
        <f>IFERROR(
                  Andel_oberoende_av_klimat*VLOOKUP($A153,Leveranser_per_nät,'Leveranser per nät'!H$1,FALSE)
               +Andel_beroende_av_klimat*VLOOKUP($A153,Leveranser_per_nät,'Leveranser per nät'!H$1,FALSE)/VLOOKUP($B153,Korrigeringsfaktor_EI,'Korrigeringsfaktor EI'!H$1,FALSE),
"")</f>
        <v>37.736633663366334</v>
      </c>
      <c r="I153" s="18">
        <f>IFERROR(
                  Andel_oberoende_av_klimat*VLOOKUP($A153,Leveranser_per_nät,'Leveranser per nät'!I$1,FALSE)
               +Andel_beroende_av_klimat*VLOOKUP($A153,Leveranser_per_nät,'Leveranser per nät'!I$1,FALSE)/VLOOKUP($B153,Korrigeringsfaktor_EI,'Korrigeringsfaktor EI'!I$1,FALSE),
"")</f>
        <v>39.102944736842097</v>
      </c>
      <c r="J153" s="18">
        <f>IFERROR(
                  Andel_oberoende_av_klimat*VLOOKUP($A153,Leveranser_per_nät,'Leveranser per nät'!J$1,FALSE)
               +Andel_beroende_av_klimat*VLOOKUP($A153,Leveranser_per_nät,'Leveranser per nät'!J$1,FALSE)/VLOOKUP($B153,Korrigeringsfaktor_EI,'Korrigeringsfaktor EI'!J$1,FALSE),
"")</f>
        <v>37.691635353535354</v>
      </c>
      <c r="K153" s="18">
        <f>IFERROR(
                  Andel_oberoende_av_klimat*VLOOKUP($A153,Leveranser_per_nät,'Leveranser per nät'!K$1,FALSE)
               +Andel_beroende_av_klimat*VLOOKUP($A153,Leveranser_per_nät,'Leveranser per nät'!K$1,FALSE)/VLOOKUP($B153,Korrigeringsfaktor_EI,'Korrigeringsfaktor EI'!K$1,FALSE),
"")</f>
        <v>41.763969789653338</v>
      </c>
      <c r="L153" s="18">
        <f>IFERROR(
                  Andel_oberoende_av_klimat*VLOOKUP($A153,Leveranser_per_nät,'Leveranser per nät'!L$1,FALSE)
               +Andel_beroende_av_klimat*VLOOKUP($A153,Leveranser_per_nät,'Leveranser per nät'!L$1,FALSE)/VLOOKUP($B153,Korrigeringsfaktor_EI,'Korrigeringsfaktor EI'!L$1,FALSE),
"")</f>
        <v>42.965921824384502</v>
      </c>
      <c r="M153" s="18">
        <f>IFERROR(
                  Andel_oberoende_av_klimat*VLOOKUP($A153,Leveranser_per_nät,'Leveranser per nät'!M$1,FALSE)
               +Andel_beroende_av_klimat*VLOOKUP($A153,Leveranser_per_nät,'Leveranser per nät'!M$1,FALSE)/VLOOKUP($B153,Korrigeringsfaktor_EI,'Korrigeringsfaktor EI'!M$1,FALSE),
"")</f>
        <v>35.923440425531922</v>
      </c>
      <c r="N153" s="18">
        <f>IFERROR(
                  Andel_oberoende_av_klimat*VLOOKUP($A153,Leveranser_per_nät,'Leveranser per nät'!N$1,FALSE)
               +Andel_beroende_av_klimat*VLOOKUP($A153,Leveranser_per_nät,'Leveranser per nät'!N$1,FALSE)/VLOOKUP($B153,Korrigeringsfaktor_EI,'Korrigeringsfaktor EI'!N$1,FALSE),
"")</f>
        <v>38.290495652173909</v>
      </c>
      <c r="O153" s="18">
        <f>IFERROR(
                  Andel_oberoende_av_klimat*VLOOKUP($A153,Leveranser_per_nät,'Leveranser per nät'!O$1,FALSE)
               +Andel_beroende_av_klimat*VLOOKUP($A153,Leveranser_per_nät,'Leveranser per nät'!O$1,FALSE)/VLOOKUP($B153,Korrigeringsfaktor_EI,'Korrigeringsfaktor EI'!O$1,FALSE),
"")</f>
        <v>40.100869565217387</v>
      </c>
      <c r="P153" s="18">
        <f>IFERROR(
                  Andel_oberoende_av_klimat*VLOOKUP($A153,Leveranser_per_nät,'Leveranser per nät'!P$1,FALSE)
               +Andel_beroende_av_klimat*VLOOKUP($A153,Leveranser_per_nät,'Leveranser per nät'!P$1,FALSE)/VLOOKUP($B153,Korrigeringsfaktor_EI,'Korrigeringsfaktor EI'!P$1,FALSE),
"")</f>
        <v>36.544714285714292</v>
      </c>
      <c r="Q153" s="18">
        <f>IFERROR(
                  Andel_oberoende_av_klimat*VLOOKUP($A153,Leveranser_per_nät,'Leveranser per nät'!Q$1,FALSE)
               +Andel_beroende_av_klimat*VLOOKUP($A153,Leveranser_per_nät,'Leveranser per nät'!Q$1,FALSE)/VLOOKUP($B153,Korrigeringsfaktor_EI,'Korrigeringsfaktor EI'!Q$1,FALSE),
"")</f>
        <v>39.377249999999997</v>
      </c>
      <c r="R153" s="18">
        <f>IFERROR(
                  Andel_oberoende_av_klimat*VLOOKUP($A153,Leveranser_per_nät,'Leveranser per nät'!R$1,FALSE)
               +Andel_beroende_av_klimat*VLOOKUP($A153,Leveranser_per_nät,'Leveranser per nät'!R$1,FALSE)/VLOOKUP($B153,Korrigeringsfaktor_EI,'Korrigeringsfaktor EI'!R$1,FALSE),
"")</f>
        <v>38.19130434782609</v>
      </c>
      <c r="S153" s="18">
        <f>IFERROR(
                  Andel_oberoende_av_klimat*VLOOKUP($A153,Leveranser_per_nät,'Leveranser per nät'!S$1,FALSE)
               +Andel_beroende_av_klimat*VLOOKUP($A153,Leveranser_per_nät,'Leveranser per nät'!S$1,FALSE)/VLOOKUP($B153,Korrigeringsfaktor_EI,'Korrigeringsfaktor EI'!S$1,FALSE),
"")</f>
        <v>50.3</v>
      </c>
      <c r="T153" s="18">
        <f>IFERROR(
                  Andel_oberoende_av_klimat*VLOOKUP($A153,Leveranser_per_nät,'Leveranser per nät'!T$1,FALSE)
               +Andel_beroende_av_klimat*VLOOKUP($A153,Leveranser_per_nät,'Leveranser per nät'!T$1,FALSE)/VLOOKUP($B153,Korrigeringsfaktor_EI,'Korrigeringsfaktor EI'!T$1,FALSE),
"")</f>
        <v>31.219191919191918</v>
      </c>
      <c r="U153" s="18">
        <f>IFERROR(
                  Andel_oberoende_av_klimat*VLOOKUP($A153,Leveranser_per_nät,'Leveranser per nät'!U$1,FALSE)
               +Andel_beroende_av_klimat*VLOOKUP($A153,Leveranser_per_nät,'Leveranser per nät'!U$1,FALSE)/VLOOKUP($B153,Korrigeringsfaktor_EI,'Korrigeringsfaktor EI'!U$1,FALSE),
"")</f>
        <v>33.682022471910116</v>
      </c>
      <c r="V153" s="18">
        <f>IFERROR(
                  Andel_oberoende_av_klimat*VLOOKUP($A153,Leveranser_per_nät,'Leveranser per nät'!V$1,FALSE)
               +Andel_beroende_av_klimat*VLOOKUP($A153,Leveranser_per_nät,'Leveranser per nät'!V$1,FALSE)/VLOOKUP($B153,Korrigeringsfaktor_EI,'Korrigeringsfaktor EI'!V$1,FALSE),
"")</f>
        <v>34.215384615384615</v>
      </c>
      <c r="W153" s="18">
        <f>IFERROR(
                  Andel_oberoende_av_klimat*VLOOKUP($A153,Leveranser_per_nät,'Leveranser per nät'!W$1,FALSE)
               +Andel_beroende_av_klimat*VLOOKUP($A153,Leveranser_per_nät,'Leveranser per nät'!W$1,FALSE)/VLOOKUP($B153,Korrigeringsfaktor_EI,'Korrigeringsfaktor EI'!W$1,FALSE),
"")</f>
        <v>34.215789473684211</v>
      </c>
      <c r="X153" s="18">
        <f>IFERROR(
                  Andel_oberoende_av_klimat*VLOOKUP($A153,Leveranser_per_nät,'Leveranser per nät'!X$1,FALSE)
               +Andel_beroende_av_klimat*VLOOKUP($A153,Leveranser_per_nät,'Leveranser per nät'!X$1,FALSE)/VLOOKUP($B153,Korrigeringsfaktor_EI,'Korrigeringsfaktor EI'!X$1,FALSE),
"")</f>
        <v>35.623617021276601</v>
      </c>
      <c r="Y153" s="18">
        <f>IFERROR(
                  Andel_oberoende_av_klimat*VLOOKUP($A153,Leveranser_per_nät,'Leveranser per nät'!Y$1,FALSE)
               +Andel_beroende_av_klimat*VLOOKUP($A153,Leveranser_per_nät,'Leveranser per nät'!Y$1,FALSE)/VLOOKUP($B153,Korrigeringsfaktor_EI,'Korrigeringsfaktor EI'!Y$1,FALSE),
"")</f>
        <v>35.128011111111114</v>
      </c>
      <c r="Z153" s="18">
        <f>IFERROR(
                  Andel_oberoende_av_klimat*VLOOKUP($A153,Leveranser_per_nät,'Leveranser per nät'!Z$1,FALSE)
               +Andel_beroende_av_klimat*VLOOKUP($A153,Leveranser_per_nät,'Leveranser per nät'!Z$1,FALSE)/VLOOKUP($B153,Korrigeringsfaktor_EI,'Korrigeringsfaktor EI'!Z$1,FALSE),
"")</f>
        <v>33.803712359550559</v>
      </c>
      <c r="AA153" s="18">
        <f>IFERROR(
                  Andel_oberoende_av_klimat*VLOOKUP($A153,Leveranser_per_nät,'Leveranser per nät'!AA$1,FALSE)
               +Andel_beroende_av_klimat*VLOOKUP($A153,Leveranser_per_nät,'Leveranser per nät'!AA$1,FALSE)/VLOOKUP($B153,Korrigeringsfaktor_EI,'Korrigeringsfaktor EI'!AA$1,FALSE),
"")</f>
        <v>32.829297206703913</v>
      </c>
      <c r="AB153" s="18">
        <f>IFERROR(
                  Andel_oberoende_av_klimat*VLOOKUP($A153,Leveranser_per_nät,'Leveranser per nät'!AB$1,FALSE)
               +Andel_beroende_av_klimat*VLOOKUP($A153,Leveranser_per_nät,'Leveranser per nät'!AB$1,FALSE)/VLOOKUP($B153,Korrigeringsfaktor_EI,'Korrigeringsfaktor EI'!AB$1,FALSE),
"")</f>
        <v>33.160852333664351</v>
      </c>
      <c r="AC153" s="18">
        <f>IFERROR(
                  Andel_oberoende_av_klimat*VLOOKUP($A153,Leveranser_per_nät,'Leveranser per nät'!AC$1,FALSE)
               +Andel_beroende_av_klimat*VLOOKUP($A153,Leveranser_per_nät,'Leveranser per nät'!AC$1,FALSE)/VLOOKUP($B153,Korrigeringsfaktor_EI,'Korrigeringsfaktor EI'!AC$1,FALSE),
"")</f>
        <v>31.435424812030078</v>
      </c>
      <c r="AD153">
        <v>29.885000000000002</v>
      </c>
    </row>
    <row r="154" spans="1:30" x14ac:dyDescent="0.25">
      <c r="A154" t="s">
        <v>379</v>
      </c>
      <c r="B154" t="s">
        <v>376</v>
      </c>
      <c r="C154" s="18">
        <f>IFERROR(
                  Andel_oberoende_av_klimat*VLOOKUP($A154,Leveranser_per_nät,'Leveranser per nät'!C$1,FALSE)
               +Andel_beroende_av_klimat*VLOOKUP($A154,Leveranser_per_nät,'Leveranser per nät'!C$1,FALSE)/VLOOKUP($B154,Korrigeringsfaktor_EI,'Korrigeringsfaktor EI'!C$1,FALSE),
"")</f>
        <v>0</v>
      </c>
      <c r="D154" s="18">
        <f>IFERROR(
                  Andel_oberoende_av_klimat*VLOOKUP($A154,Leveranser_per_nät,'Leveranser per nät'!D$1,FALSE)
               +Andel_beroende_av_klimat*VLOOKUP($A154,Leveranser_per_nät,'Leveranser per nät'!D$1,FALSE)/VLOOKUP($B154,Korrigeringsfaktor_EI,'Korrigeringsfaktor EI'!D$1,FALSE),
"")</f>
        <v>0</v>
      </c>
      <c r="E154" s="18">
        <f>IFERROR(
                  Andel_oberoende_av_klimat*VLOOKUP($A154,Leveranser_per_nät,'Leveranser per nät'!E$1,FALSE)
               +Andel_beroende_av_klimat*VLOOKUP($A154,Leveranser_per_nät,'Leveranser per nät'!E$1,FALSE)/VLOOKUP($B154,Korrigeringsfaktor_EI,'Korrigeringsfaktor EI'!E$1,FALSE),
"")</f>
        <v>0</v>
      </c>
      <c r="F154" s="18">
        <f>IFERROR(
                  Andel_oberoende_av_klimat*VLOOKUP($A154,Leveranser_per_nät,'Leveranser per nät'!F$1,FALSE)
               +Andel_beroende_av_klimat*VLOOKUP($A154,Leveranser_per_nät,'Leveranser per nät'!F$1,FALSE)/VLOOKUP($B154,Korrigeringsfaktor_EI,'Korrigeringsfaktor EI'!F$1,FALSE),
"")</f>
        <v>0</v>
      </c>
      <c r="G154" s="18">
        <f>IFERROR(
                  Andel_oberoende_av_klimat*VLOOKUP($A154,Leveranser_per_nät,'Leveranser per nät'!G$1,FALSE)
               +Andel_beroende_av_klimat*VLOOKUP($A154,Leveranser_per_nät,'Leveranser per nät'!G$1,FALSE)/VLOOKUP($B154,Korrigeringsfaktor_EI,'Korrigeringsfaktor EI'!G$1,FALSE),
"")</f>
        <v>0</v>
      </c>
      <c r="H154" s="18">
        <f>IFERROR(
                  Andel_oberoende_av_klimat*VLOOKUP($A154,Leveranser_per_nät,'Leveranser per nät'!H$1,FALSE)
               +Andel_beroende_av_klimat*VLOOKUP($A154,Leveranser_per_nät,'Leveranser per nät'!H$1,FALSE)/VLOOKUP($B154,Korrigeringsfaktor_EI,'Korrigeringsfaktor EI'!H$1,FALSE),
"")</f>
        <v>0</v>
      </c>
      <c r="I154" s="18">
        <f>IFERROR(
                  Andel_oberoende_av_klimat*VLOOKUP($A154,Leveranser_per_nät,'Leveranser per nät'!I$1,FALSE)
               +Andel_beroende_av_klimat*VLOOKUP($A154,Leveranser_per_nät,'Leveranser per nät'!I$1,FALSE)/VLOOKUP($B154,Korrigeringsfaktor_EI,'Korrigeringsfaktor EI'!I$1,FALSE),
"")</f>
        <v>0</v>
      </c>
      <c r="J154" s="18">
        <f>IFERROR(
                  Andel_oberoende_av_klimat*VLOOKUP($A154,Leveranser_per_nät,'Leveranser per nät'!J$1,FALSE)
               +Andel_beroende_av_klimat*VLOOKUP($A154,Leveranser_per_nät,'Leveranser per nät'!J$1,FALSE)/VLOOKUP($B154,Korrigeringsfaktor_EI,'Korrigeringsfaktor EI'!J$1,FALSE),
"")</f>
        <v>0</v>
      </c>
      <c r="K154" s="18">
        <f>IFERROR(
                  Andel_oberoende_av_klimat*VLOOKUP($A154,Leveranser_per_nät,'Leveranser per nät'!K$1,FALSE)
               +Andel_beroende_av_klimat*VLOOKUP($A154,Leveranser_per_nät,'Leveranser per nät'!K$1,FALSE)/VLOOKUP($B154,Korrigeringsfaktor_EI,'Korrigeringsfaktor EI'!K$1,FALSE),
"")</f>
        <v>0</v>
      </c>
      <c r="L154" s="18">
        <f>IFERROR(
                  Andel_oberoende_av_klimat*VLOOKUP($A154,Leveranser_per_nät,'Leveranser per nät'!L$1,FALSE)
               +Andel_beroende_av_klimat*VLOOKUP($A154,Leveranser_per_nät,'Leveranser per nät'!L$1,FALSE)/VLOOKUP($B154,Korrigeringsfaktor_EI,'Korrigeringsfaktor EI'!L$1,FALSE),
"")</f>
        <v>0</v>
      </c>
      <c r="M154" s="18">
        <f>IFERROR(
                  Andel_oberoende_av_klimat*VLOOKUP($A154,Leveranser_per_nät,'Leveranser per nät'!M$1,FALSE)
               +Andel_beroende_av_klimat*VLOOKUP($A154,Leveranser_per_nät,'Leveranser per nät'!M$1,FALSE)/VLOOKUP($B154,Korrigeringsfaktor_EI,'Korrigeringsfaktor EI'!M$1,FALSE),
"")</f>
        <v>8.6200666666666663</v>
      </c>
      <c r="N154" s="18">
        <f>IFERROR(
                  Andel_oberoende_av_klimat*VLOOKUP($A154,Leveranser_per_nät,'Leveranser per nät'!N$1,FALSE)
               +Andel_beroende_av_klimat*VLOOKUP($A154,Leveranser_per_nät,'Leveranser per nät'!N$1,FALSE)/VLOOKUP($B154,Korrigeringsfaktor_EI,'Korrigeringsfaktor EI'!N$1,FALSE),
"")</f>
        <v>8.0254782608695656</v>
      </c>
      <c r="O154" s="18">
        <f>IFERROR(
                  Andel_oberoende_av_klimat*VLOOKUP($A154,Leveranser_per_nät,'Leveranser per nät'!O$1,FALSE)
               +Andel_beroende_av_klimat*VLOOKUP($A154,Leveranser_per_nät,'Leveranser per nät'!O$1,FALSE)/VLOOKUP($B154,Korrigeringsfaktor_EI,'Korrigeringsfaktor EI'!O$1,FALSE),
"")</f>
        <v>7.6204076923076922</v>
      </c>
      <c r="P154" s="18">
        <f>IFERROR(
                  Andel_oberoende_av_klimat*VLOOKUP($A154,Leveranser_per_nät,'Leveranser per nät'!P$1,FALSE)
               +Andel_beroende_av_klimat*VLOOKUP($A154,Leveranser_per_nät,'Leveranser per nät'!P$1,FALSE)/VLOOKUP($B154,Korrigeringsfaktor_EI,'Korrigeringsfaktor EI'!P$1,FALSE),
"")</f>
        <v>7.8037179999999999</v>
      </c>
      <c r="Q154" s="18">
        <f>IFERROR(
                  Andel_oberoende_av_klimat*VLOOKUP($A154,Leveranser_per_nät,'Leveranser per nät'!Q$1,FALSE)
               +Andel_beroende_av_klimat*VLOOKUP($A154,Leveranser_per_nät,'Leveranser per nät'!Q$1,FALSE)/VLOOKUP($B154,Korrigeringsfaktor_EI,'Korrigeringsfaktor EI'!Q$1,FALSE),
"")</f>
        <v>8.1689542056074753</v>
      </c>
      <c r="R154" s="18">
        <f>IFERROR(
                  Andel_oberoende_av_klimat*VLOOKUP($A154,Leveranser_per_nät,'Leveranser per nät'!R$1,FALSE)
               +Andel_beroende_av_klimat*VLOOKUP($A154,Leveranser_per_nät,'Leveranser per nät'!R$1,FALSE)/VLOOKUP($B154,Korrigeringsfaktor_EI,'Korrigeringsfaktor EI'!R$1,FALSE),
"")</f>
        <v>7.6056179775280901</v>
      </c>
      <c r="S154" s="18">
        <f>IFERROR(
                  Andel_oberoende_av_klimat*VLOOKUP($A154,Leveranser_per_nät,'Leveranser per nät'!S$1,FALSE)
               +Andel_beroende_av_klimat*VLOOKUP($A154,Leveranser_per_nät,'Leveranser per nät'!S$1,FALSE)/VLOOKUP($B154,Korrigeringsfaktor_EI,'Korrigeringsfaktor EI'!S$1,FALSE),
"")</f>
        <v>7.6112886597938152</v>
      </c>
      <c r="T154" s="18">
        <f>IFERROR(
                  Andel_oberoende_av_klimat*VLOOKUP($A154,Leveranser_per_nät,'Leveranser per nät'!T$1,FALSE)
               +Andel_beroende_av_klimat*VLOOKUP($A154,Leveranser_per_nät,'Leveranser per nät'!T$1,FALSE)/VLOOKUP($B154,Korrigeringsfaktor_EI,'Korrigeringsfaktor EI'!T$1,FALSE),
"")</f>
        <v>7.1757217391304344</v>
      </c>
      <c r="U154" s="18">
        <f>IFERROR(
                  Andel_oberoende_av_klimat*VLOOKUP($A154,Leveranser_per_nät,'Leveranser per nät'!U$1,FALSE)
               +Andel_beroende_av_klimat*VLOOKUP($A154,Leveranser_per_nät,'Leveranser per nät'!U$1,FALSE)/VLOOKUP($B154,Korrigeringsfaktor_EI,'Korrigeringsfaktor EI'!U$1,FALSE),
"")</f>
        <v>6.6777325842696627</v>
      </c>
      <c r="V154" s="18">
        <f>IFERROR(
                  Andel_oberoende_av_klimat*VLOOKUP($A154,Leveranser_per_nät,'Leveranser per nät'!V$1,FALSE)
               +Andel_beroende_av_klimat*VLOOKUP($A154,Leveranser_per_nät,'Leveranser per nät'!V$1,FALSE)/VLOOKUP($B154,Korrigeringsfaktor_EI,'Korrigeringsfaktor EI'!V$1,FALSE),
"")</f>
        <v>6.830931460674158</v>
      </c>
      <c r="W154" s="18">
        <f>IFERROR(
                  Andel_oberoende_av_klimat*VLOOKUP($A154,Leveranser_per_nät,'Leveranser per nät'!W$1,FALSE)
               +Andel_beroende_av_klimat*VLOOKUP($A154,Leveranser_per_nät,'Leveranser per nät'!W$1,FALSE)/VLOOKUP($B154,Korrigeringsfaktor_EI,'Korrigeringsfaktor EI'!W$1,FALSE),
"")</f>
        <v>7.1331541666666674</v>
      </c>
      <c r="X154" s="18">
        <f>IFERROR(
                  Andel_oberoende_av_klimat*VLOOKUP($A154,Leveranser_per_nät,'Leveranser per nät'!X$1,FALSE)
               +Andel_beroende_av_klimat*VLOOKUP($A154,Leveranser_per_nät,'Leveranser per nät'!X$1,FALSE)/VLOOKUP($B154,Korrigeringsfaktor_EI,'Korrigeringsfaktor EI'!X$1,FALSE),
"")</f>
        <v>7.1208041666666668</v>
      </c>
      <c r="Y154" s="18">
        <f>IFERROR(
                  Andel_oberoende_av_klimat*VLOOKUP($A154,Leveranser_per_nät,'Leveranser per nät'!Y$1,FALSE)
               +Andel_beroende_av_klimat*VLOOKUP($A154,Leveranser_per_nät,'Leveranser per nät'!Y$1,FALSE)/VLOOKUP($B154,Korrigeringsfaktor_EI,'Korrigeringsfaktor EI'!Y$1,FALSE),
"")</f>
        <v>7.0505263157894733</v>
      </c>
      <c r="Z154" s="18">
        <f>IFERROR(
                  Andel_oberoende_av_klimat*VLOOKUP($A154,Leveranser_per_nät,'Leveranser per nät'!Z$1,FALSE)
               +Andel_beroende_av_klimat*VLOOKUP($A154,Leveranser_per_nät,'Leveranser per nät'!Z$1,FALSE)/VLOOKUP($B154,Korrigeringsfaktor_EI,'Korrigeringsfaktor EI'!Z$1,FALSE),
"")</f>
        <v>6.9261052631578934</v>
      </c>
      <c r="AA154" s="18">
        <f>IFERROR(
                  Andel_oberoende_av_klimat*VLOOKUP($A154,Leveranser_per_nät,'Leveranser per nät'!AA$1,FALSE)
               +Andel_beroende_av_klimat*VLOOKUP($A154,Leveranser_per_nät,'Leveranser per nät'!AA$1,FALSE)/VLOOKUP($B154,Korrigeringsfaktor_EI,'Korrigeringsfaktor EI'!AA$1,FALSE),
"")</f>
        <v>6.5944709677419349</v>
      </c>
      <c r="AB154" s="18">
        <f>IFERROR(
                  Andel_oberoende_av_klimat*VLOOKUP($A154,Leveranser_per_nät,'Leveranser per nät'!AB$1,FALSE)
               +Andel_beroende_av_klimat*VLOOKUP($A154,Leveranser_per_nät,'Leveranser per nät'!AB$1,FALSE)/VLOOKUP($B154,Korrigeringsfaktor_EI,'Korrigeringsfaktor EI'!AB$1,FALSE),
"")</f>
        <v>4.4041695568400767</v>
      </c>
      <c r="AC154" s="18">
        <f>IFERROR(
                  Andel_oberoende_av_klimat*VLOOKUP($A154,Leveranser_per_nät,'Leveranser per nät'!AC$1,FALSE)
               +Andel_beroende_av_klimat*VLOOKUP($A154,Leveranser_per_nät,'Leveranser per nät'!AC$1,FALSE)/VLOOKUP($B154,Korrigeringsfaktor_EI,'Korrigeringsfaktor EI'!AC$1,FALSE),
"")</f>
        <v>7.0746567926455564</v>
      </c>
      <c r="AD154">
        <v>223.7</v>
      </c>
    </row>
    <row r="155" spans="1:30" x14ac:dyDescent="0.25">
      <c r="A155" t="s">
        <v>631</v>
      </c>
      <c r="B155" t="s">
        <v>1035</v>
      </c>
      <c r="C155" s="18">
        <f>IFERROR(
                  Andel_oberoende_av_klimat*VLOOKUP($A155,Leveranser_per_nät,'Leveranser per nät'!C$1,FALSE)
               +Andel_beroende_av_klimat*VLOOKUP($A155,Leveranser_per_nät,'Leveranser per nät'!C$1,FALSE)/VLOOKUP("Karlskoga",Korrigeringsfaktor_EI,'Korrigeringsfaktor EI'!C$1,FALSE),
"")</f>
        <v>33.919266055045867</v>
      </c>
      <c r="D155" s="18">
        <f>IFERROR(
                  Andel_oberoende_av_klimat*VLOOKUP($A155,Leveranser_per_nät,'Leveranser per nät'!D$1,FALSE)
               +Andel_beroende_av_klimat*VLOOKUP($A155,Leveranser_per_nät,'Leveranser per nät'!D$1,FALSE)/VLOOKUP("Karlskoga",Korrigeringsfaktor_EI,'Korrigeringsfaktor EI'!D$1,FALSE),
"")</f>
        <v>30.71257142857143</v>
      </c>
      <c r="E155" s="18">
        <f>IFERROR(
                  Andel_oberoende_av_klimat*VLOOKUP($A155,Leveranser_per_nät,'Leveranser per nät'!E$1,FALSE)
               +Andel_beroende_av_klimat*VLOOKUP($A155,Leveranser_per_nät,'Leveranser per nät'!E$1,FALSE)/VLOOKUP("Karlskoga",Korrigeringsfaktor_EI,'Korrigeringsfaktor EI'!E$1,FALSE),
"")</f>
        <v>32.111538461538458</v>
      </c>
      <c r="F155" s="18">
        <f>IFERROR(
                  Andel_oberoende_av_klimat*VLOOKUP($A155,Leveranser_per_nät,'Leveranser per nät'!F$1,FALSE)
               +Andel_beroende_av_klimat*VLOOKUP($A155,Leveranser_per_nät,'Leveranser per nät'!F$1,FALSE)/VLOOKUP("Karlskoga",Korrigeringsfaktor_EI,'Korrigeringsfaktor EI'!F$1,FALSE),
"")</f>
        <v>32.457142857142856</v>
      </c>
      <c r="G155" s="18">
        <f>IFERROR(
                  Andel_oberoende_av_klimat*VLOOKUP($A155,Leveranser_per_nät,'Leveranser per nät'!G$1,FALSE)
               +Andel_beroende_av_klimat*VLOOKUP($A155,Leveranser_per_nät,'Leveranser per nät'!G$1,FALSE)/VLOOKUP("Karlskoga",Korrigeringsfaktor_EI,'Korrigeringsfaktor EI'!G$1,FALSE),
"")</f>
        <v>32.333333333333336</v>
      </c>
      <c r="H155" s="18">
        <f>IFERROR(
                  Andel_oberoende_av_klimat*VLOOKUP($A155,Leveranser_per_nät,'Leveranser per nät'!H$1,FALSE)
               +Andel_beroende_av_klimat*VLOOKUP($A155,Leveranser_per_nät,'Leveranser per nät'!H$1,FALSE)/VLOOKUP("Karlskoga",Korrigeringsfaktor_EI,'Korrigeringsfaktor EI'!H$1,FALSE),
"")</f>
        <v>34.519607843137258</v>
      </c>
      <c r="I155" s="18">
        <f>IFERROR(
                  Andel_oberoende_av_klimat*VLOOKUP($A155,Leveranser_per_nät,'Leveranser per nät'!I$1,FALSE)
               +Andel_beroende_av_klimat*VLOOKUP($A155,Leveranser_per_nät,'Leveranser per nät'!I$1,FALSE)/VLOOKUP("Karlskoga",Korrigeringsfaktor_EI,'Korrigeringsfaktor EI'!I$1,FALSE),
"")</f>
        <v>37.80103092783505</v>
      </c>
      <c r="J155" s="18">
        <f>IFERROR(
                  Andel_oberoende_av_klimat*VLOOKUP($A155,Leveranser_per_nät,'Leveranser per nät'!J$1,FALSE)
               +Andel_beroende_av_klimat*VLOOKUP($A155,Leveranser_per_nät,'Leveranser per nät'!J$1,FALSE)/VLOOKUP("Karlskoga",Korrigeringsfaktor_EI,'Korrigeringsfaktor EI'!J$1,FALSE),
"")</f>
        <v>39.275757575757574</v>
      </c>
      <c r="K155" s="18">
        <f>IFERROR(
                  Andel_oberoende_av_klimat*VLOOKUP($A155,Leveranser_per_nät,'Leveranser per nät'!K$1,FALSE)
               +Andel_beroende_av_klimat*VLOOKUP($A155,Leveranser_per_nät,'Leveranser per nät'!K$1,FALSE)/VLOOKUP("Karlskoga",Korrigeringsfaktor_EI,'Korrigeringsfaktor EI'!K$1,FALSE),
"")</f>
        <v>35.297142857142859</v>
      </c>
      <c r="L155" s="18">
        <f>IFERROR(
                  Andel_oberoende_av_klimat*VLOOKUP($A155,Leveranser_per_nät,'Leveranser per nät'!L$1,FALSE)
               +Andel_beroende_av_klimat*VLOOKUP($A155,Leveranser_per_nät,'Leveranser per nät'!L$1,FALSE)/VLOOKUP("Karlskoga",Korrigeringsfaktor_EI,'Korrigeringsfaktor EI'!L$1,FALSE),
"")</f>
        <v>37.027358333333339</v>
      </c>
      <c r="M155" s="18">
        <f>IFERROR(
                  Andel_oberoende_av_klimat*VLOOKUP($A155,Leveranser_per_nät,'Leveranser per nät'!M$1,FALSE)
               +Andel_beroende_av_klimat*VLOOKUP($A155,Leveranser_per_nät,'Leveranser per nät'!M$1,FALSE)/VLOOKUP("Karlskoga",Korrigeringsfaktor_EI,'Korrigeringsfaktor EI'!M$1,FALSE),
"")</f>
        <v>32.907446808510635</v>
      </c>
      <c r="N155" s="18">
        <f>IFERROR(
                  Andel_oberoende_av_klimat*VLOOKUP($A155,Leveranser_per_nät,'Leveranser per nät'!N$1,FALSE)
               +Andel_beroende_av_klimat*VLOOKUP($A155,Leveranser_per_nät,'Leveranser per nät'!N$1,FALSE)/VLOOKUP("Karlskoga",Korrigeringsfaktor_EI,'Korrigeringsfaktor EI'!N$1,FALSE),
"")</f>
        <v>34.734210526315792</v>
      </c>
      <c r="O155" s="18">
        <f>IFERROR(
                  Andel_oberoende_av_klimat*VLOOKUP($A155,Leveranser_per_nät,'Leveranser per nät'!O$1,FALSE)
               +Andel_beroende_av_klimat*VLOOKUP($A155,Leveranser_per_nät,'Leveranser per nät'!O$1,FALSE)/VLOOKUP("Karlskoga",Korrigeringsfaktor_EI,'Korrigeringsfaktor EI'!O$1,FALSE),
"")</f>
        <v>34.528172043010748</v>
      </c>
      <c r="P155" s="18">
        <f>IFERROR(
                  Andel_oberoende_av_klimat*VLOOKUP($A155,Leveranser_per_nät,'Leveranser per nät'!P$1,FALSE)
               +Andel_beroende_av_klimat*VLOOKUP($A155,Leveranser_per_nät,'Leveranser per nät'!P$1,FALSE)/VLOOKUP("Karlskoga",Korrigeringsfaktor_EI,'Korrigeringsfaktor EI'!P$1,FALSE),
"")</f>
        <v>34.658118811881188</v>
      </c>
      <c r="Q155" s="18">
        <f>IFERROR(
                  Andel_oberoende_av_klimat*VLOOKUP($A155,Leveranser_per_nät,'Leveranser per nät'!Q$1,FALSE)
               +Andel_beroende_av_klimat*VLOOKUP($A155,Leveranser_per_nät,'Leveranser per nät'!Q$1,FALSE)/VLOOKUP("Karlskoga",Korrigeringsfaktor_EI,'Korrigeringsfaktor EI'!Q$1,FALSE),
"")</f>
        <v>36.529565217391308</v>
      </c>
      <c r="R155" s="18">
        <f>IFERROR(
                  Andel_oberoende_av_klimat*VLOOKUP($A155,Leveranser_per_nät,'Leveranser per nät'!R$1,FALSE)
               +Andel_beroende_av_klimat*VLOOKUP($A155,Leveranser_per_nät,'Leveranser per nät'!R$1,FALSE)/VLOOKUP("Karlskoga",Korrigeringsfaktor_EI,'Korrigeringsfaktor EI'!R$1,FALSE),
"")</f>
        <v>32.907446808510635</v>
      </c>
      <c r="S155" s="18">
        <f>IFERROR(
                  Andel_oberoende_av_klimat*VLOOKUP($A155,Leveranser_per_nät,'Leveranser per nät'!S$1,FALSE)
               +Andel_beroende_av_klimat*VLOOKUP($A155,Leveranser_per_nät,'Leveranser per nät'!S$1,FALSE)/VLOOKUP("Karlskoga",Korrigeringsfaktor_EI,'Korrigeringsfaktor EI'!S$1,FALSE),
"")</f>
        <v>35.505882352941171</v>
      </c>
      <c r="T155" s="18">
        <f>IFERROR(
                  Andel_oberoende_av_klimat*VLOOKUP($A155,Leveranser_per_nät,'Leveranser per nät'!T$1,FALSE)
               +Andel_beroende_av_klimat*VLOOKUP($A155,Leveranser_per_nät,'Leveranser per nät'!T$1,FALSE)/VLOOKUP("Karlskoga",Korrigeringsfaktor_EI,'Korrigeringsfaktor EI'!T$1,FALSE),
"")</f>
        <v>35.155142857142849</v>
      </c>
      <c r="U155" s="18">
        <f>IFERROR(
                  Andel_oberoende_av_klimat*VLOOKUP($A155,Leveranser_per_nät,'Leveranser per nät'!U$1,FALSE)
               +Andel_beroende_av_klimat*VLOOKUP($A155,Leveranser_per_nät,'Leveranser per nät'!U$1,FALSE)/VLOOKUP("Karlskoga",Korrigeringsfaktor_EI,'Korrigeringsfaktor EI'!U$1,FALSE),
"")</f>
        <v>32.561269565217387</v>
      </c>
      <c r="V155" s="18">
        <f>IFERROR(
                  Andel_oberoende_av_klimat*VLOOKUP($A155,Leveranser_per_nät,'Leveranser per nät'!V$1,FALSE)
               +Andel_beroende_av_klimat*VLOOKUP($A155,Leveranser_per_nät,'Leveranser per nät'!V$1,FALSE)/VLOOKUP("Karlskoga",Korrigeringsfaktor_EI,'Korrigeringsfaktor EI'!V$1,FALSE),
"")</f>
        <v>32.978485106382976</v>
      </c>
      <c r="W155" s="18">
        <f>IFERROR(
                  Andel_oberoende_av_klimat*VLOOKUP($A155,Leveranser_per_nät,'Leveranser per nät'!W$1,FALSE)
               +Andel_beroende_av_klimat*VLOOKUP($A155,Leveranser_per_nät,'Leveranser per nät'!W$1,FALSE)/VLOOKUP("Karlskoga",Korrigeringsfaktor_EI,'Korrigeringsfaktor EI'!W$1,FALSE),
"")</f>
        <v>34.276340206185566</v>
      </c>
      <c r="X155" s="18">
        <f>IFERROR(
                  Andel_oberoende_av_klimat*VLOOKUP($A155,Leveranser_per_nät,'Leveranser per nät'!X$1,FALSE)
               +Andel_beroende_av_klimat*VLOOKUP($A155,Leveranser_per_nät,'Leveranser per nät'!X$1,FALSE)/VLOOKUP("Karlskoga",Korrigeringsfaktor_EI,'Korrigeringsfaktor EI'!X$1,FALSE),
"")</f>
        <v>34.024250000000002</v>
      </c>
      <c r="Y155" s="18">
        <f>IFERROR(
                  Andel_oberoende_av_klimat*VLOOKUP($A155,Leveranser_per_nät,'Leveranser per nät'!Y$1,FALSE)
               +Andel_beroende_av_klimat*VLOOKUP($A155,Leveranser_per_nät,'Leveranser per nät'!Y$1,FALSE)/VLOOKUP($B155,Korrigeringsfaktor_EI,'Korrigeringsfaktor EI'!Y$1,FALSE),
"")</f>
        <v>37.522956521739125</v>
      </c>
      <c r="Z155" s="18">
        <f>IFERROR(
                  Andel_oberoende_av_klimat*VLOOKUP($A155,Leveranser_per_nät,'Leveranser per nät'!Z$1,FALSE)
               +Andel_beroende_av_klimat*VLOOKUP($A155,Leveranser_per_nät,'Leveranser per nät'!Z$1,FALSE)/VLOOKUP($B155,Korrigeringsfaktor_EI,'Korrigeringsfaktor EI'!Z$1,FALSE),
"")</f>
        <v>38.139461538461539</v>
      </c>
      <c r="AA155" s="18">
        <f>IFERROR(
                  Andel_oberoende_av_klimat*VLOOKUP($A155,Leveranser_per_nät,'Leveranser per nät'!AA$1,FALSE)
               +Andel_beroende_av_klimat*VLOOKUP($A155,Leveranser_per_nät,'Leveranser per nät'!AA$1,FALSE)/VLOOKUP($B155,Korrigeringsfaktor_EI,'Korrigeringsfaktor EI'!AA$1,FALSE),
"")</f>
        <v>35.630502456140348</v>
      </c>
      <c r="AB155" s="18">
        <f>IFERROR(
                  Andel_oberoende_av_klimat*VLOOKUP($A155,Leveranser_per_nät,'Leveranser per nät'!AB$1,FALSE)
               +Andel_beroende_av_klimat*VLOOKUP($A155,Leveranser_per_nät,'Leveranser per nät'!AB$1,FALSE)/VLOOKUP($B155,Korrigeringsfaktor_EI,'Korrigeringsfaktor EI'!AB$1,FALSE),
"")</f>
        <v>37.980327433628318</v>
      </c>
      <c r="AC155" s="18">
        <f>IFERROR(
                  Andel_oberoende_av_klimat*VLOOKUP($A155,Leveranser_per_nät,'Leveranser per nät'!AC$1,FALSE)
               +Andel_beroende_av_klimat*VLOOKUP($A155,Leveranser_per_nät,'Leveranser per nät'!AC$1,FALSE)/VLOOKUP($B155,Korrigeringsfaktor_EI,'Korrigeringsfaktor EI'!AC$1,FALSE),
"")</f>
        <v>35.970179215270413</v>
      </c>
      <c r="AD155" t="e">
        <v>#N/A</v>
      </c>
    </row>
    <row r="156" spans="1:30" x14ac:dyDescent="0.25">
      <c r="A156" s="4" t="s">
        <v>385</v>
      </c>
      <c r="B156" t="s">
        <v>173</v>
      </c>
      <c r="C156" s="18">
        <f>IFERROR(
                  Andel_oberoende_av_klimat*VLOOKUP($A156,Leveranser_per_nät,'Leveranser per nät'!C$1,FALSE)
               +Andel_beroende_av_klimat*VLOOKUP($A156,Leveranser_per_nät,'Leveranser per nät'!C$1,FALSE)/VLOOKUP($B156,Korrigeringsfaktor_EI,'Korrigeringsfaktor EI'!C$1,FALSE),
"")</f>
        <v>0</v>
      </c>
      <c r="D156" s="18">
        <f>IFERROR(
                  Andel_oberoende_av_klimat*VLOOKUP($A156,Leveranser_per_nät,'Leveranser per nät'!D$1,FALSE)
               +Andel_beroende_av_klimat*VLOOKUP($A156,Leveranser_per_nät,'Leveranser per nät'!D$1,FALSE)/VLOOKUP($B156,Korrigeringsfaktor_EI,'Korrigeringsfaktor EI'!D$1,FALSE),
"")</f>
        <v>0</v>
      </c>
      <c r="E156" s="18">
        <f>IFERROR(
                  Andel_oberoende_av_klimat*VLOOKUP($A156,Leveranser_per_nät,'Leveranser per nät'!E$1,FALSE)
               +Andel_beroende_av_klimat*VLOOKUP($A156,Leveranser_per_nät,'Leveranser per nät'!E$1,FALSE)/VLOOKUP($B156,Korrigeringsfaktor_EI,'Korrigeringsfaktor EI'!E$1,FALSE),
"")</f>
        <v>0</v>
      </c>
      <c r="F156" s="18">
        <f>IFERROR(
                  Andel_oberoende_av_klimat*VLOOKUP($A156,Leveranser_per_nät,'Leveranser per nät'!F$1,FALSE)
               +Andel_beroende_av_klimat*VLOOKUP($A156,Leveranser_per_nät,'Leveranser per nät'!F$1,FALSE)/VLOOKUP($B156,Korrigeringsfaktor_EI,'Korrigeringsfaktor EI'!F$1,FALSE),
"")</f>
        <v>0</v>
      </c>
      <c r="G156" s="18">
        <f>IFERROR(
                  Andel_oberoende_av_klimat*VLOOKUP($A156,Leveranser_per_nät,'Leveranser per nät'!G$1,FALSE)
               +Andel_beroende_av_klimat*VLOOKUP($A156,Leveranser_per_nät,'Leveranser per nät'!G$1,FALSE)/VLOOKUP($B156,Korrigeringsfaktor_EI,'Korrigeringsfaktor EI'!G$1,FALSE),
"")</f>
        <v>0</v>
      </c>
      <c r="H156" s="18">
        <f>IFERROR(
                  Andel_oberoende_av_klimat*VLOOKUP($A156,Leveranser_per_nät,'Leveranser per nät'!H$1,FALSE)
               +Andel_beroende_av_klimat*VLOOKUP($A156,Leveranser_per_nät,'Leveranser per nät'!H$1,FALSE)/VLOOKUP($B156,Korrigeringsfaktor_EI,'Korrigeringsfaktor EI'!H$1,FALSE),
"")</f>
        <v>0</v>
      </c>
      <c r="I156" s="18">
        <f>IFERROR(
                  Andel_oberoende_av_klimat*VLOOKUP($A156,Leveranser_per_nät,'Leveranser per nät'!I$1,FALSE)
               +Andel_beroende_av_klimat*VLOOKUP($A156,Leveranser_per_nät,'Leveranser per nät'!I$1,FALSE)/VLOOKUP($B156,Korrigeringsfaktor_EI,'Korrigeringsfaktor EI'!I$1,FALSE),
"")</f>
        <v>0</v>
      </c>
      <c r="J156" s="18">
        <f>IFERROR(
                  Andel_oberoende_av_klimat*VLOOKUP($A156,Leveranser_per_nät,'Leveranser per nät'!J$1,FALSE)
               +Andel_beroende_av_klimat*VLOOKUP($A156,Leveranser_per_nät,'Leveranser per nät'!J$1,FALSE)/VLOOKUP($B156,Korrigeringsfaktor_EI,'Korrigeringsfaktor EI'!J$1,FALSE),
"")</f>
        <v>0</v>
      </c>
      <c r="K156" s="18">
        <f>IFERROR(
                  Andel_oberoende_av_klimat*VLOOKUP($A156,Leveranser_per_nät,'Leveranser per nät'!K$1,FALSE)
               +Andel_beroende_av_klimat*VLOOKUP($A156,Leveranser_per_nät,'Leveranser per nät'!K$1,FALSE)/VLOOKUP($B156,Korrigeringsfaktor_EI,'Korrigeringsfaktor EI'!K$1,FALSE),
"")</f>
        <v>0</v>
      </c>
      <c r="L156" s="18">
        <f>IFERROR(
                  Andel_oberoende_av_klimat*VLOOKUP($A156,Leveranser_per_nät,'Leveranser per nät'!L$1,FALSE)
               +Andel_beroende_av_klimat*VLOOKUP($A156,Leveranser_per_nät,'Leveranser per nät'!L$1,FALSE)/VLOOKUP($B156,Korrigeringsfaktor_EI,'Korrigeringsfaktor EI'!L$1,FALSE),
"")</f>
        <v>0.21879264889818348</v>
      </c>
      <c r="M156" s="18">
        <f>IFERROR(
                  Andel_oberoende_av_klimat*VLOOKUP($A156,Leveranser_per_nät,'Leveranser per nät'!M$1,FALSE)
               +Andel_beroende_av_klimat*VLOOKUP($A156,Leveranser_per_nät,'Leveranser per nät'!M$1,FALSE)/VLOOKUP($B156,Korrigeringsfaktor_EI,'Korrigeringsfaktor EI'!M$1,FALSE),
"")</f>
        <v>0.72807056433266693</v>
      </c>
      <c r="N156" s="18">
        <f>IFERROR(
                  Andel_oberoende_av_klimat*VLOOKUP($A156,Leveranser_per_nät,'Leveranser per nät'!N$1,FALSE)
               +Andel_beroende_av_klimat*VLOOKUP($A156,Leveranser_per_nät,'Leveranser per nät'!N$1,FALSE)/VLOOKUP($B156,Korrigeringsfaktor_EI,'Korrigeringsfaktor EI'!N$1,FALSE),
"")</f>
        <v>1.2502222222222221</v>
      </c>
      <c r="O156" s="18">
        <f>IFERROR(
                  Andel_oberoende_av_klimat*VLOOKUP($A156,Leveranser_per_nät,'Leveranser per nät'!O$1,FALSE)
               +Andel_beroende_av_klimat*VLOOKUP($A156,Leveranser_per_nät,'Leveranser per nät'!O$1,FALSE)/VLOOKUP($B156,Korrigeringsfaktor_EI,'Korrigeringsfaktor EI'!O$1,FALSE),
"")</f>
        <v>1.0234988764044943</v>
      </c>
      <c r="P156" s="18">
        <f>IFERROR(
                  Andel_oberoende_av_klimat*VLOOKUP($A156,Leveranser_per_nät,'Leveranser per nät'!P$1,FALSE)
               +Andel_beroende_av_klimat*VLOOKUP($A156,Leveranser_per_nät,'Leveranser per nät'!P$1,FALSE)/VLOOKUP($B156,Korrigeringsfaktor_EI,'Korrigeringsfaktor EI'!P$1,FALSE),
"")</f>
        <v>1.1460148936170214</v>
      </c>
      <c r="Q156" s="18">
        <f>IFERROR(
                  Andel_oberoende_av_klimat*VLOOKUP($A156,Leveranser_per_nät,'Leveranser per nät'!Q$1,FALSE)
               +Andel_beroende_av_klimat*VLOOKUP($A156,Leveranser_per_nät,'Leveranser per nät'!Q$1,FALSE)/VLOOKUP($B156,Korrigeringsfaktor_EI,'Korrigeringsfaktor EI'!Q$1,FALSE),
"")</f>
        <v>1.3672504424778762</v>
      </c>
      <c r="R156" s="18">
        <f>IFERROR(
                  Andel_oberoende_av_klimat*VLOOKUP($A156,Leveranser_per_nät,'Leveranser per nät'!R$1,FALSE)
               +Andel_beroende_av_klimat*VLOOKUP($A156,Leveranser_per_nät,'Leveranser per nät'!R$1,FALSE)/VLOOKUP($B156,Korrigeringsfaktor_EI,'Korrigeringsfaktor EI'!R$1,FALSE),
"")</f>
        <v>1.304111111111111</v>
      </c>
      <c r="S156" s="18">
        <f>IFERROR(
                  Andel_oberoende_av_klimat*VLOOKUP($A156,Leveranser_per_nät,'Leveranser per nät'!S$1,FALSE)
               +Andel_beroende_av_klimat*VLOOKUP($A156,Leveranser_per_nät,'Leveranser per nät'!S$1,FALSE)/VLOOKUP($B156,Korrigeringsfaktor_EI,'Korrigeringsfaktor EI'!S$1,FALSE),
"")</f>
        <v>1.3185714285714285</v>
      </c>
      <c r="T156" s="18">
        <f>IFERROR(
                  Andel_oberoende_av_klimat*VLOOKUP($A156,Leveranser_per_nät,'Leveranser per nät'!T$1,FALSE)
               +Andel_beroende_av_klimat*VLOOKUP($A156,Leveranser_per_nät,'Leveranser per nät'!T$1,FALSE)/VLOOKUP($B156,Korrigeringsfaktor_EI,'Korrigeringsfaktor EI'!T$1,FALSE),
"")</f>
        <v>1.389375</v>
      </c>
      <c r="U156" s="18">
        <f>IFERROR(
                  Andel_oberoende_av_klimat*VLOOKUP($A156,Leveranser_per_nät,'Leveranser per nät'!U$1,FALSE)
               +Andel_beroende_av_klimat*VLOOKUP($A156,Leveranser_per_nät,'Leveranser per nät'!U$1,FALSE)/VLOOKUP($B156,Korrigeringsfaktor_EI,'Korrigeringsfaktor EI'!U$1,FALSE),
"")</f>
        <v>1.292</v>
      </c>
      <c r="V156" s="18">
        <f>IFERROR(
                  Andel_oberoende_av_klimat*VLOOKUP($A156,Leveranser_per_nät,'Leveranser per nät'!V$1,FALSE)
               +Andel_beroende_av_klimat*VLOOKUP($A156,Leveranser_per_nät,'Leveranser per nät'!V$1,FALSE)/VLOOKUP($B156,Korrigeringsfaktor_EI,'Korrigeringsfaktor EI'!V$1,FALSE),
"")</f>
        <v>1.2609999999999999</v>
      </c>
      <c r="W156" s="18">
        <f>IFERROR(
                  Andel_oberoende_av_klimat*VLOOKUP($A156,Leveranser_per_nät,'Leveranser per nät'!W$1,FALSE)
               +Andel_beroende_av_klimat*VLOOKUP($A156,Leveranser_per_nät,'Leveranser per nät'!W$1,FALSE)/VLOOKUP($B156,Korrigeringsfaktor_EI,'Korrigeringsfaktor EI'!W$1,FALSE),
"")</f>
        <v>1.1835416666666667</v>
      </c>
      <c r="X156" s="18">
        <f>IFERROR(
                  Andel_oberoende_av_klimat*VLOOKUP($A156,Leveranser_per_nät,'Leveranser per nät'!X$1,FALSE)
               +Andel_beroende_av_klimat*VLOOKUP($A156,Leveranser_per_nät,'Leveranser per nät'!X$1,FALSE)/VLOOKUP($B156,Korrigeringsfaktor_EI,'Korrigeringsfaktor EI'!X$1,FALSE),
"")</f>
        <v>1.1158494623655915</v>
      </c>
      <c r="Y156" s="18">
        <f>IFERROR(
                  Andel_oberoende_av_klimat*VLOOKUP($A156,Leveranser_per_nät,'Leveranser per nät'!Y$1,FALSE)
               +Andel_beroende_av_klimat*VLOOKUP($A156,Leveranser_per_nät,'Leveranser per nät'!Y$1,FALSE)/VLOOKUP($B156,Korrigeringsfaktor_EI,'Korrigeringsfaktor EI'!Y$1,FALSE),
"")</f>
        <v>1.1788269230769231</v>
      </c>
      <c r="Z156" s="18">
        <f>IFERROR(
                  Andel_oberoende_av_klimat*VLOOKUP($A156,Leveranser_per_nät,'Leveranser per nät'!Z$1,FALSE)
               +Andel_beroende_av_klimat*VLOOKUP($A156,Leveranser_per_nät,'Leveranser per nät'!Z$1,FALSE)/VLOOKUP($B156,Korrigeringsfaktor_EI,'Korrigeringsfaktor EI'!Z$1,FALSE),
"")</f>
        <v>1.1897359550561797</v>
      </c>
      <c r="AA156" s="18">
        <f>IFERROR(
                  Andel_oberoende_av_klimat*VLOOKUP($A156,Leveranser_per_nät,'Leveranser per nät'!AA$1,FALSE)
               +Andel_beroende_av_klimat*VLOOKUP($A156,Leveranser_per_nät,'Leveranser per nät'!AA$1,FALSE)/VLOOKUP($B156,Korrigeringsfaktor_EI,'Korrigeringsfaktor EI'!AA$1,FALSE),
"")</f>
        <v>1.1897041916167665</v>
      </c>
      <c r="AB156" s="18">
        <f>IFERROR(
                  Andel_oberoende_av_klimat*VLOOKUP($A156,Leveranser_per_nät,'Leveranser per nät'!AB$1,FALSE)
               +Andel_beroende_av_klimat*VLOOKUP($A156,Leveranser_per_nät,'Leveranser per nät'!AB$1,FALSE)/VLOOKUP($B156,Korrigeringsfaktor_EI,'Korrigeringsfaktor EI'!AB$1,FALSE),
"")</f>
        <v>1.1131308666017523</v>
      </c>
      <c r="AC156" s="18">
        <f>IFERROR(
                  Andel_oberoende_av_klimat*VLOOKUP($A156,Leveranser_per_nät,'Leveranser per nät'!AC$1,FALSE)
               +Andel_beroende_av_klimat*VLOOKUP($A156,Leveranser_per_nät,'Leveranser per nät'!AC$1,FALSE)/VLOOKUP($B156,Korrigeringsfaktor_EI,'Korrigeringsfaktor EI'!AC$1,FALSE),
"")</f>
        <v>1.1021645161290321</v>
      </c>
      <c r="AD156" t="e">
        <v>#N/A</v>
      </c>
    </row>
    <row r="157" spans="1:30" x14ac:dyDescent="0.25">
      <c r="A157" s="4" t="s">
        <v>386</v>
      </c>
      <c r="B157" t="s">
        <v>173</v>
      </c>
      <c r="C157" s="18">
        <f>IFERROR(
                  Andel_oberoende_av_klimat*VLOOKUP($A157,Leveranser_per_nät,'Leveranser per nät'!C$1,FALSE)
               +Andel_beroende_av_klimat*VLOOKUP($A157,Leveranser_per_nät,'Leveranser per nät'!C$1,FALSE)/VLOOKUP($B157,Korrigeringsfaktor_EI,'Korrigeringsfaktor EI'!C$1,FALSE),
"")</f>
        <v>0</v>
      </c>
      <c r="D157" s="18">
        <f>IFERROR(
                  Andel_oberoende_av_klimat*VLOOKUP($A157,Leveranser_per_nät,'Leveranser per nät'!D$1,FALSE)
               +Andel_beroende_av_klimat*VLOOKUP($A157,Leveranser_per_nät,'Leveranser per nät'!D$1,FALSE)/VLOOKUP($B157,Korrigeringsfaktor_EI,'Korrigeringsfaktor EI'!D$1,FALSE),
"")</f>
        <v>0</v>
      </c>
      <c r="E157" s="18">
        <f>IFERROR(
                  Andel_oberoende_av_klimat*VLOOKUP($A157,Leveranser_per_nät,'Leveranser per nät'!E$1,FALSE)
               +Andel_beroende_av_klimat*VLOOKUP($A157,Leveranser_per_nät,'Leveranser per nät'!E$1,FALSE)/VLOOKUP($B157,Korrigeringsfaktor_EI,'Korrigeringsfaktor EI'!E$1,FALSE),
"")</f>
        <v>0</v>
      </c>
      <c r="F157" s="18">
        <f>IFERROR(
                  Andel_oberoende_av_klimat*VLOOKUP($A157,Leveranser_per_nät,'Leveranser per nät'!F$1,FALSE)
               +Andel_beroende_av_klimat*VLOOKUP($A157,Leveranser_per_nät,'Leveranser per nät'!F$1,FALSE)/VLOOKUP($B157,Korrigeringsfaktor_EI,'Korrigeringsfaktor EI'!F$1,FALSE),
"")</f>
        <v>0</v>
      </c>
      <c r="G157" s="18">
        <f>IFERROR(
                  Andel_oberoende_av_klimat*VLOOKUP($A157,Leveranser_per_nät,'Leveranser per nät'!G$1,FALSE)
               +Andel_beroende_av_klimat*VLOOKUP($A157,Leveranser_per_nät,'Leveranser per nät'!G$1,FALSE)/VLOOKUP($B157,Korrigeringsfaktor_EI,'Korrigeringsfaktor EI'!G$1,FALSE),
"")</f>
        <v>0</v>
      </c>
      <c r="H157" s="18">
        <f>IFERROR(
                  Andel_oberoende_av_klimat*VLOOKUP($A157,Leveranser_per_nät,'Leveranser per nät'!H$1,FALSE)
               +Andel_beroende_av_klimat*VLOOKUP($A157,Leveranser_per_nät,'Leveranser per nät'!H$1,FALSE)/VLOOKUP($B157,Korrigeringsfaktor_EI,'Korrigeringsfaktor EI'!H$1,FALSE),
"")</f>
        <v>0</v>
      </c>
      <c r="I157" s="18">
        <f>IFERROR(
                  Andel_oberoende_av_klimat*VLOOKUP($A157,Leveranser_per_nät,'Leveranser per nät'!I$1,FALSE)
               +Andel_beroende_av_klimat*VLOOKUP($A157,Leveranser_per_nät,'Leveranser per nät'!I$1,FALSE)/VLOOKUP($B157,Korrigeringsfaktor_EI,'Korrigeringsfaktor EI'!I$1,FALSE),
"")</f>
        <v>0</v>
      </c>
      <c r="J157" s="18">
        <f>IFERROR(
                  Andel_oberoende_av_klimat*VLOOKUP($A157,Leveranser_per_nät,'Leveranser per nät'!J$1,FALSE)
               +Andel_beroende_av_klimat*VLOOKUP($A157,Leveranser_per_nät,'Leveranser per nät'!J$1,FALSE)/VLOOKUP($B157,Korrigeringsfaktor_EI,'Korrigeringsfaktor EI'!J$1,FALSE),
"")</f>
        <v>1.0142857142857142</v>
      </c>
      <c r="K157" s="18">
        <f>IFERROR(
                  Andel_oberoende_av_klimat*VLOOKUP($A157,Leveranser_per_nät,'Leveranser per nät'!K$1,FALSE)
               +Andel_beroende_av_klimat*VLOOKUP($A157,Leveranser_per_nät,'Leveranser per nät'!K$1,FALSE)/VLOOKUP($B157,Korrigeringsfaktor_EI,'Korrigeringsfaktor EI'!K$1,FALSE),
"")</f>
        <v>1.2014459053574544</v>
      </c>
      <c r="L157" s="18">
        <f>IFERROR(
                  Andel_oberoende_av_klimat*VLOOKUP($A157,Leveranser_per_nät,'Leveranser per nät'!L$1,FALSE)
               +Andel_beroende_av_klimat*VLOOKUP($A157,Leveranser_per_nät,'Leveranser per nät'!L$1,FALSE)/VLOOKUP($B157,Korrigeringsfaktor_EI,'Korrigeringsfaktor EI'!L$1,FALSE),
"")</f>
        <v>1.4089788384542703</v>
      </c>
      <c r="M157" s="18">
        <f>IFERROR(
                  Andel_oberoende_av_klimat*VLOOKUP($A157,Leveranser_per_nät,'Leveranser per nät'!M$1,FALSE)
               +Andel_beroende_av_klimat*VLOOKUP($A157,Leveranser_per_nät,'Leveranser per nät'!M$1,FALSE)/VLOOKUP($B157,Korrigeringsfaktor_EI,'Korrigeringsfaktor EI'!M$1,FALSE),
"")</f>
        <v>1.226390818340803</v>
      </c>
      <c r="N157" s="18">
        <f>IFERROR(
                  Andel_oberoende_av_klimat*VLOOKUP($A157,Leveranser_per_nät,'Leveranser per nät'!N$1,FALSE)
               +Andel_beroende_av_klimat*VLOOKUP($A157,Leveranser_per_nät,'Leveranser per nät'!N$1,FALSE)/VLOOKUP($B157,Korrigeringsfaktor_EI,'Korrigeringsfaktor EI'!N$1,FALSE),
"")</f>
        <v>1.0163444444444445</v>
      </c>
      <c r="O157" s="18">
        <f>IFERROR(
                  Andel_oberoende_av_klimat*VLOOKUP($A157,Leveranser_per_nät,'Leveranser per nät'!O$1,FALSE)
               +Andel_beroende_av_klimat*VLOOKUP($A157,Leveranser_per_nät,'Leveranser per nät'!O$1,FALSE)/VLOOKUP($B157,Korrigeringsfaktor_EI,'Korrigeringsfaktor EI'!O$1,FALSE),
"")</f>
        <v>0.89963595505617966</v>
      </c>
      <c r="P157" s="18">
        <f>IFERROR(
                  Andel_oberoende_av_klimat*VLOOKUP($A157,Leveranser_per_nät,'Leveranser per nät'!P$1,FALSE)
               +Andel_beroende_av_klimat*VLOOKUP($A157,Leveranser_per_nät,'Leveranser per nät'!P$1,FALSE)/VLOOKUP($B157,Korrigeringsfaktor_EI,'Korrigeringsfaktor EI'!P$1,FALSE),
"")</f>
        <v>0.90051489361702131</v>
      </c>
      <c r="Q157" s="18">
        <f>IFERROR(
                  Andel_oberoende_av_klimat*VLOOKUP($A157,Leveranser_per_nät,'Leveranser per nät'!Q$1,FALSE)
               +Andel_beroende_av_klimat*VLOOKUP($A157,Leveranser_per_nät,'Leveranser per nät'!Q$1,FALSE)/VLOOKUP($B157,Korrigeringsfaktor_EI,'Korrigeringsfaktor EI'!Q$1,FALSE),
"")</f>
        <v>1.0334831858407081</v>
      </c>
      <c r="R157" s="18">
        <f>IFERROR(
                  Andel_oberoende_av_klimat*VLOOKUP($A157,Leveranser_per_nät,'Leveranser per nät'!R$1,FALSE)
               +Andel_beroende_av_klimat*VLOOKUP($A157,Leveranser_per_nät,'Leveranser per nät'!R$1,FALSE)/VLOOKUP($B157,Korrigeringsfaktor_EI,'Korrigeringsfaktor EI'!R$1,FALSE),
"")</f>
        <v>1.0131111111111111</v>
      </c>
      <c r="S157" s="18">
        <f>IFERROR(
                  Andel_oberoende_av_klimat*VLOOKUP($A157,Leveranser_per_nät,'Leveranser per nät'!S$1,FALSE)
               +Andel_beroende_av_klimat*VLOOKUP($A157,Leveranser_per_nät,'Leveranser per nät'!S$1,FALSE)/VLOOKUP($B157,Korrigeringsfaktor_EI,'Korrigeringsfaktor EI'!S$1,FALSE),
"")</f>
        <v>0.96357142857142852</v>
      </c>
      <c r="T157" s="18">
        <f>IFERROR(
                  Andel_oberoende_av_klimat*VLOOKUP($A157,Leveranser_per_nät,'Leveranser per nät'!T$1,FALSE)
               +Andel_beroende_av_klimat*VLOOKUP($A157,Leveranser_per_nät,'Leveranser per nät'!T$1,FALSE)/VLOOKUP($B157,Korrigeringsfaktor_EI,'Korrigeringsfaktor EI'!T$1,FALSE),
"")</f>
        <v>0.87479166666666663</v>
      </c>
      <c r="U157" s="18">
        <f>IFERROR(
                  Andel_oberoende_av_klimat*VLOOKUP($A157,Leveranser_per_nät,'Leveranser per nät'!U$1,FALSE)
               +Andel_beroende_av_klimat*VLOOKUP($A157,Leveranser_per_nät,'Leveranser per nät'!U$1,FALSE)/VLOOKUP($B157,Korrigeringsfaktor_EI,'Korrigeringsfaktor EI'!U$1,FALSE),
"")</f>
        <v>0.85680000000000001</v>
      </c>
      <c r="V157" s="18">
        <f>IFERROR(
                  Andel_oberoende_av_klimat*VLOOKUP($A157,Leveranser_per_nät,'Leveranser per nät'!V$1,FALSE)
               +Andel_beroende_av_klimat*VLOOKUP($A157,Leveranser_per_nät,'Leveranser per nät'!V$1,FALSE)/VLOOKUP($B157,Korrigeringsfaktor_EI,'Korrigeringsfaktor EI'!V$1,FALSE),
"")</f>
        <v>0.8298888888888889</v>
      </c>
      <c r="W157" s="18">
        <f>IFERROR(
                  Andel_oberoende_av_klimat*VLOOKUP($A157,Leveranser_per_nät,'Leveranser per nät'!W$1,FALSE)
               +Andel_beroende_av_klimat*VLOOKUP($A157,Leveranser_per_nät,'Leveranser per nät'!W$1,FALSE)/VLOOKUP($B157,Korrigeringsfaktor_EI,'Korrigeringsfaktor EI'!W$1,FALSE),
"")</f>
        <v>0.91595833333333343</v>
      </c>
      <c r="X157" s="18">
        <f>IFERROR(
                  Andel_oberoende_av_klimat*VLOOKUP($A157,Leveranser_per_nät,'Leveranser per nät'!X$1,FALSE)
               +Andel_beroende_av_klimat*VLOOKUP($A157,Leveranser_per_nät,'Leveranser per nät'!X$1,FALSE)/VLOOKUP($B157,Korrigeringsfaktor_EI,'Korrigeringsfaktor EI'!X$1,FALSE),
"")</f>
        <v>0.78951612903225787</v>
      </c>
      <c r="Y157" s="18">
        <f>IFERROR(
                  Andel_oberoende_av_klimat*VLOOKUP($A157,Leveranser_per_nät,'Leveranser per nät'!Y$1,FALSE)
               +Andel_beroende_av_klimat*VLOOKUP($A157,Leveranser_per_nät,'Leveranser per nät'!Y$1,FALSE)/VLOOKUP($B157,Korrigeringsfaktor_EI,'Korrigeringsfaktor EI'!Y$1,FALSE),
"")</f>
        <v>0.86703923076923073</v>
      </c>
      <c r="Z157" s="18">
        <f>IFERROR(
                  Andel_oberoende_av_klimat*VLOOKUP($A157,Leveranser_per_nät,'Leveranser per nät'!Z$1,FALSE)
               +Andel_beroende_av_klimat*VLOOKUP($A157,Leveranser_per_nät,'Leveranser per nät'!Z$1,FALSE)/VLOOKUP($B157,Korrigeringsfaktor_EI,'Korrigeringsfaktor EI'!Z$1,FALSE),
"")</f>
        <v>1.121285393258427</v>
      </c>
      <c r="AA157" s="18">
        <f>IFERROR(
                  Andel_oberoende_av_klimat*VLOOKUP($A157,Leveranser_per_nät,'Leveranser per nät'!AA$1,FALSE)
               +Andel_beroende_av_klimat*VLOOKUP($A157,Leveranser_per_nät,'Leveranser per nät'!AA$1,FALSE)/VLOOKUP($B157,Korrigeringsfaktor_EI,'Korrigeringsfaktor EI'!AA$1,FALSE),
"")</f>
        <v>1.1477413173652695</v>
      </c>
      <c r="AB157" s="18">
        <f>IFERROR(
                  Andel_oberoende_av_klimat*VLOOKUP($A157,Leveranser_per_nät,'Leveranser per nät'!AB$1,FALSE)
               +Andel_beroende_av_klimat*VLOOKUP($A157,Leveranser_per_nät,'Leveranser per nät'!AB$1,FALSE)/VLOOKUP($B157,Korrigeringsfaktor_EI,'Korrigeringsfaktor EI'!AB$1,FALSE),
"")</f>
        <v>1.1357075949367088</v>
      </c>
      <c r="AC157" s="18">
        <f>IFERROR(
                  Andel_oberoende_av_klimat*VLOOKUP($A157,Leveranser_per_nät,'Leveranser per nät'!AC$1,FALSE)
               +Andel_beroende_av_klimat*VLOOKUP($A157,Leveranser_per_nät,'Leveranser per nät'!AC$1,FALSE)/VLOOKUP($B157,Korrigeringsfaktor_EI,'Korrigeringsfaktor EI'!AC$1,FALSE),
"")</f>
        <v>1.2484881720430108</v>
      </c>
      <c r="AD157" t="e">
        <v>#N/A</v>
      </c>
    </row>
    <row r="158" spans="1:30" x14ac:dyDescent="0.25">
      <c r="A158" s="4" t="s">
        <v>387</v>
      </c>
      <c r="B158" t="s">
        <v>173</v>
      </c>
      <c r="C158" s="18">
        <f>IFERROR(
                  Andel_oberoende_av_klimat*VLOOKUP($A158,Leveranser_per_nät,'Leveranser per nät'!C$1,FALSE)
               +Andel_beroende_av_klimat*VLOOKUP($A158,Leveranser_per_nät,'Leveranser per nät'!C$1,FALSE)/VLOOKUP($B158,Korrigeringsfaktor_EI,'Korrigeringsfaktor EI'!C$1,FALSE),
"")</f>
        <v>0</v>
      </c>
      <c r="D158" s="18">
        <f>IFERROR(
                  Andel_oberoende_av_klimat*VLOOKUP($A158,Leveranser_per_nät,'Leveranser per nät'!D$1,FALSE)
               +Andel_beroende_av_klimat*VLOOKUP($A158,Leveranser_per_nät,'Leveranser per nät'!D$1,FALSE)/VLOOKUP($B158,Korrigeringsfaktor_EI,'Korrigeringsfaktor EI'!D$1,FALSE),
"")</f>
        <v>0</v>
      </c>
      <c r="E158" s="18">
        <f>IFERROR(
                  Andel_oberoende_av_klimat*VLOOKUP($A158,Leveranser_per_nät,'Leveranser per nät'!E$1,FALSE)
               +Andel_beroende_av_klimat*VLOOKUP($A158,Leveranser_per_nät,'Leveranser per nät'!E$1,FALSE)/VLOOKUP($B158,Korrigeringsfaktor_EI,'Korrigeringsfaktor EI'!E$1,FALSE),
"")</f>
        <v>0</v>
      </c>
      <c r="F158" s="18">
        <f>IFERROR(
                  Andel_oberoende_av_klimat*VLOOKUP($A158,Leveranser_per_nät,'Leveranser per nät'!F$1,FALSE)
               +Andel_beroende_av_klimat*VLOOKUP($A158,Leveranser_per_nät,'Leveranser per nät'!F$1,FALSE)/VLOOKUP($B158,Korrigeringsfaktor_EI,'Korrigeringsfaktor EI'!F$1,FALSE),
"")</f>
        <v>0</v>
      </c>
      <c r="G158" s="18">
        <f>IFERROR(
                  Andel_oberoende_av_klimat*VLOOKUP($A158,Leveranser_per_nät,'Leveranser per nät'!G$1,FALSE)
               +Andel_beroende_av_klimat*VLOOKUP($A158,Leveranser_per_nät,'Leveranser per nät'!G$1,FALSE)/VLOOKUP($B158,Korrigeringsfaktor_EI,'Korrigeringsfaktor EI'!G$1,FALSE),
"")</f>
        <v>0</v>
      </c>
      <c r="H158" s="18">
        <f>IFERROR(
                  Andel_oberoende_av_klimat*VLOOKUP($A158,Leveranser_per_nät,'Leveranser per nät'!H$1,FALSE)
               +Andel_beroende_av_klimat*VLOOKUP($A158,Leveranser_per_nät,'Leveranser per nät'!H$1,FALSE)/VLOOKUP($B158,Korrigeringsfaktor_EI,'Korrigeringsfaktor EI'!H$1,FALSE),
"")</f>
        <v>0</v>
      </c>
      <c r="I158" s="18">
        <f>IFERROR(
                  Andel_oberoende_av_klimat*VLOOKUP($A158,Leveranser_per_nät,'Leveranser per nät'!I$1,FALSE)
               +Andel_beroende_av_klimat*VLOOKUP($A158,Leveranser_per_nät,'Leveranser per nät'!I$1,FALSE)/VLOOKUP($B158,Korrigeringsfaktor_EI,'Korrigeringsfaktor EI'!I$1,FALSE),
"")</f>
        <v>2.0736842105263156</v>
      </c>
      <c r="J158" s="18">
        <f>IFERROR(
                  Andel_oberoende_av_klimat*VLOOKUP($A158,Leveranser_per_nät,'Leveranser per nät'!J$1,FALSE)
               +Andel_beroende_av_klimat*VLOOKUP($A158,Leveranser_per_nät,'Leveranser per nät'!J$1,FALSE)/VLOOKUP($B158,Korrigeringsfaktor_EI,'Korrigeringsfaktor EI'!J$1,FALSE),
"")</f>
        <v>2.0285714285714285</v>
      </c>
      <c r="K158" s="18">
        <f>IFERROR(
                  Andel_oberoende_av_klimat*VLOOKUP($A158,Leveranser_per_nät,'Leveranser per nät'!K$1,FALSE)
               +Andel_beroende_av_klimat*VLOOKUP($A158,Leveranser_per_nät,'Leveranser per nät'!K$1,FALSE)/VLOOKUP($B158,Korrigeringsfaktor_EI,'Korrigeringsfaktor EI'!K$1,FALSE),
"")</f>
        <v>2.5641142857142856</v>
      </c>
      <c r="L158" s="18">
        <f>IFERROR(
                  Andel_oberoende_av_klimat*VLOOKUP($A158,Leveranser_per_nät,'Leveranser per nät'!L$1,FALSE)
               +Andel_beroende_av_klimat*VLOOKUP($A158,Leveranser_per_nät,'Leveranser per nät'!L$1,FALSE)/VLOOKUP($B158,Korrigeringsfaktor_EI,'Korrigeringsfaktor EI'!L$1,FALSE),
"")</f>
        <v>3.1451333333333333</v>
      </c>
      <c r="M158" s="18">
        <f>IFERROR(
                  Andel_oberoende_av_klimat*VLOOKUP($A158,Leveranser_per_nät,'Leveranser per nät'!M$1,FALSE)
               +Andel_beroende_av_klimat*VLOOKUP($A158,Leveranser_per_nät,'Leveranser per nät'!M$1,FALSE)/VLOOKUP($B158,Korrigeringsfaktor_EI,'Korrigeringsfaktor EI'!M$1,FALSE),
"")</f>
        <v>2.9508086956521744</v>
      </c>
      <c r="N158" s="18">
        <f>IFERROR(
                  Andel_oberoende_av_klimat*VLOOKUP($A158,Leveranser_per_nät,'Leveranser per nät'!N$1,FALSE)
               +Andel_beroende_av_klimat*VLOOKUP($A158,Leveranser_per_nät,'Leveranser per nät'!N$1,FALSE)/VLOOKUP($B158,Korrigeringsfaktor_EI,'Korrigeringsfaktor EI'!N$1,FALSE),
"")</f>
        <v>2.7019888888888888</v>
      </c>
      <c r="O158" s="18">
        <f>IFERROR(
                  Andel_oberoende_av_klimat*VLOOKUP($A158,Leveranser_per_nät,'Leveranser per nät'!O$1,FALSE)
               +Andel_beroende_av_klimat*VLOOKUP($A158,Leveranser_per_nät,'Leveranser per nät'!O$1,FALSE)/VLOOKUP($B158,Korrigeringsfaktor_EI,'Korrigeringsfaktor EI'!O$1,FALSE),
"")</f>
        <v>2.3783853932584269</v>
      </c>
      <c r="P158" s="18">
        <f>IFERROR(
                  Andel_oberoende_av_klimat*VLOOKUP($A158,Leveranser_per_nät,'Leveranser per nät'!P$1,FALSE)
               +Andel_beroende_av_klimat*VLOOKUP($A158,Leveranser_per_nät,'Leveranser per nät'!P$1,FALSE)/VLOOKUP($B158,Korrigeringsfaktor_EI,'Korrigeringsfaktor EI'!P$1,FALSE),
"")</f>
        <v>2.5855851063829789</v>
      </c>
      <c r="Q158" s="18">
        <f>IFERROR(
                  Andel_oberoende_av_klimat*VLOOKUP($A158,Leveranser_per_nät,'Leveranser per nät'!Q$1,FALSE)
               +Andel_beroende_av_klimat*VLOOKUP($A158,Leveranser_per_nät,'Leveranser per nät'!Q$1,FALSE)/VLOOKUP($B158,Korrigeringsfaktor_EI,'Korrigeringsfaktor EI'!Q$1,FALSE),
"")</f>
        <v>2.7749575221238936</v>
      </c>
      <c r="R158" s="18">
        <f>IFERROR(
                  Andel_oberoende_av_klimat*VLOOKUP($A158,Leveranser_per_nät,'Leveranser per nät'!R$1,FALSE)
               +Andel_beroende_av_klimat*VLOOKUP($A158,Leveranser_per_nät,'Leveranser per nät'!R$1,FALSE)/VLOOKUP($B158,Korrigeringsfaktor_EI,'Korrigeringsfaktor EI'!R$1,FALSE),
"")</f>
        <v>2.8022222222222224</v>
      </c>
      <c r="S158" s="18">
        <f>IFERROR(
                  Andel_oberoende_av_klimat*VLOOKUP($A158,Leveranser_per_nät,'Leveranser per nät'!S$1,FALSE)
               +Andel_beroende_av_klimat*VLOOKUP($A158,Leveranser_per_nät,'Leveranser per nät'!S$1,FALSE)/VLOOKUP($B158,Korrigeringsfaktor_EI,'Korrigeringsfaktor EI'!S$1,FALSE),
"")</f>
        <v>3.1442857142857146</v>
      </c>
      <c r="T158" s="18">
        <f>IFERROR(
                  Andel_oberoende_av_klimat*VLOOKUP($A158,Leveranser_per_nät,'Leveranser per nät'!T$1,FALSE)
               +Andel_beroende_av_klimat*VLOOKUP($A158,Leveranser_per_nät,'Leveranser per nät'!T$1,FALSE)/VLOOKUP($B158,Korrigeringsfaktor_EI,'Korrigeringsfaktor EI'!T$1,FALSE),
"")</f>
        <v>3.0772083333333335</v>
      </c>
      <c r="U158" s="18">
        <f>IFERROR(
                  Andel_oberoende_av_klimat*VLOOKUP($A158,Leveranser_per_nät,'Leveranser per nät'!U$1,FALSE)
               +Andel_beroende_av_klimat*VLOOKUP($A158,Leveranser_per_nät,'Leveranser per nät'!U$1,FALSE)/VLOOKUP($B158,Korrigeringsfaktor_EI,'Korrigeringsfaktor EI'!U$1,FALSE),
"")</f>
        <v>3.1280000000000001</v>
      </c>
      <c r="V158" s="18">
        <f>IFERROR(
                  Andel_oberoende_av_klimat*VLOOKUP($A158,Leveranser_per_nät,'Leveranser per nät'!V$1,FALSE)
               +Andel_beroende_av_klimat*VLOOKUP($A158,Leveranser_per_nät,'Leveranser per nät'!V$1,FALSE)/VLOOKUP($B158,Korrigeringsfaktor_EI,'Korrigeringsfaktor EI'!V$1,FALSE),
"")</f>
        <v>3.0177777777777779</v>
      </c>
      <c r="W158" s="18">
        <f>IFERROR(
                  Andel_oberoende_av_klimat*VLOOKUP($A158,Leveranser_per_nät,'Leveranser per nät'!W$1,FALSE)
               +Andel_beroende_av_klimat*VLOOKUP($A158,Leveranser_per_nät,'Leveranser per nät'!W$1,FALSE)/VLOOKUP($B158,Korrigeringsfaktor_EI,'Korrigeringsfaktor EI'!W$1,FALSE),
"")</f>
        <v>2.9845833333333331</v>
      </c>
      <c r="X158" s="18">
        <f>IFERROR(
                  Andel_oberoende_av_klimat*VLOOKUP($A158,Leveranser_per_nät,'Leveranser per nät'!X$1,FALSE)
               +Andel_beroende_av_klimat*VLOOKUP($A158,Leveranser_per_nät,'Leveranser per nät'!X$1,FALSE)/VLOOKUP($B158,Korrigeringsfaktor_EI,'Korrigeringsfaktor EI'!X$1,FALSE),
"")</f>
        <v>3.0527956989247311</v>
      </c>
      <c r="Y158" s="18">
        <f>IFERROR(
                  Andel_oberoende_av_klimat*VLOOKUP($A158,Leveranser_per_nät,'Leveranser per nät'!Y$1,FALSE)
               +Andel_beroende_av_klimat*VLOOKUP($A158,Leveranser_per_nät,'Leveranser per nät'!Y$1,FALSE)/VLOOKUP($B158,Korrigeringsfaktor_EI,'Korrigeringsfaktor EI'!Y$1,FALSE),
"")</f>
        <v>3.207692307692307</v>
      </c>
      <c r="Z158" s="18">
        <f>IFERROR(
                  Andel_oberoende_av_klimat*VLOOKUP($A158,Leveranser_per_nät,'Leveranser per nät'!Z$1,FALSE)
               +Andel_beroende_av_klimat*VLOOKUP($A158,Leveranser_per_nät,'Leveranser per nät'!Z$1,FALSE)/VLOOKUP($B158,Korrigeringsfaktor_EI,'Korrigeringsfaktor EI'!Z$1,FALSE),
"")</f>
        <v>2.7706179775280897</v>
      </c>
      <c r="AA158" s="18">
        <f>IFERROR(
                  Andel_oberoende_av_klimat*VLOOKUP($A158,Leveranser_per_nät,'Leveranser per nät'!AA$1,FALSE)
               +Andel_beroende_av_klimat*VLOOKUP($A158,Leveranser_per_nät,'Leveranser per nät'!AA$1,FALSE)/VLOOKUP($B158,Korrigeringsfaktor_EI,'Korrigeringsfaktor EI'!AA$1,FALSE),
"")</f>
        <v>2.6992335329341319</v>
      </c>
      <c r="AB158" s="18">
        <f>IFERROR(
                  Andel_oberoende_av_klimat*VLOOKUP($A158,Leveranser_per_nät,'Leveranser per nät'!AB$1,FALSE)
               +Andel_beroende_av_klimat*VLOOKUP($A158,Leveranser_per_nät,'Leveranser per nät'!AB$1,FALSE)/VLOOKUP($B158,Korrigeringsfaktor_EI,'Korrigeringsfaktor EI'!AB$1,FALSE),
"")</f>
        <v>0</v>
      </c>
      <c r="AC158" s="18">
        <f>IFERROR(
                  Andel_oberoende_av_klimat*VLOOKUP($A158,Leveranser_per_nät,'Leveranser per nät'!AC$1,FALSE)
               +Andel_beroende_av_klimat*VLOOKUP($A158,Leveranser_per_nät,'Leveranser per nät'!AC$1,FALSE)/VLOOKUP($B158,Korrigeringsfaktor_EI,'Korrigeringsfaktor EI'!AC$1,FALSE),
"")</f>
        <v>0</v>
      </c>
      <c r="AD158" t="e">
        <v>#N/A</v>
      </c>
    </row>
    <row r="159" spans="1:30" x14ac:dyDescent="0.25">
      <c r="A159" s="4" t="s">
        <v>772</v>
      </c>
      <c r="B159" t="s">
        <v>510</v>
      </c>
      <c r="C159" s="18">
        <f>IFERROR(
                  Andel_oberoende_av_klimat*VLOOKUP($A159,Leveranser_per_nät,'Leveranser per nät'!C$1,FALSE)
               +Andel_beroende_av_klimat*VLOOKUP($A159,Leveranser_per_nät,'Leveranser per nät'!C$1,FALSE)/VLOOKUP($B159,Korrigeringsfaktor_EI,'Korrigeringsfaktor EI'!C$1,FALSE),
"")</f>
        <v>0</v>
      </c>
      <c r="D159" s="18">
        <f>IFERROR(
                  Andel_oberoende_av_klimat*VLOOKUP($A159,Leveranser_per_nät,'Leveranser per nät'!D$1,FALSE)
               +Andel_beroende_av_klimat*VLOOKUP($A159,Leveranser_per_nät,'Leveranser per nät'!D$1,FALSE)/VLOOKUP($B159,Korrigeringsfaktor_EI,'Korrigeringsfaktor EI'!D$1,FALSE),
"")</f>
        <v>0</v>
      </c>
      <c r="E159" s="18">
        <f>IFERROR(
                  Andel_oberoende_av_klimat*VLOOKUP($A159,Leveranser_per_nät,'Leveranser per nät'!E$1,FALSE)
               +Andel_beroende_av_klimat*VLOOKUP($A159,Leveranser_per_nät,'Leveranser per nät'!E$1,FALSE)/VLOOKUP($B159,Korrigeringsfaktor_EI,'Korrigeringsfaktor EI'!E$1,FALSE),
"")</f>
        <v>0</v>
      </c>
      <c r="F159" s="18">
        <f>IFERROR(
                  Andel_oberoende_av_klimat*VLOOKUP($A159,Leveranser_per_nät,'Leveranser per nät'!F$1,FALSE)
               +Andel_beroende_av_klimat*VLOOKUP($A159,Leveranser_per_nät,'Leveranser per nät'!F$1,FALSE)/VLOOKUP($B159,Korrigeringsfaktor_EI,'Korrigeringsfaktor EI'!F$1,FALSE),
"")</f>
        <v>0</v>
      </c>
      <c r="G159" s="18">
        <f>IFERROR(
                  Andel_oberoende_av_klimat*VLOOKUP($A159,Leveranser_per_nät,'Leveranser per nät'!G$1,FALSE)
               +Andel_beroende_av_klimat*VLOOKUP($A159,Leveranser_per_nät,'Leveranser per nät'!G$1,FALSE)/VLOOKUP($B159,Korrigeringsfaktor_EI,'Korrigeringsfaktor EI'!G$1,FALSE),
"")</f>
        <v>0</v>
      </c>
      <c r="H159" s="18">
        <f>IFERROR(
                  Andel_oberoende_av_klimat*VLOOKUP($A159,Leveranser_per_nät,'Leveranser per nät'!H$1,FALSE)
               +Andel_beroende_av_klimat*VLOOKUP($A159,Leveranser_per_nät,'Leveranser per nät'!H$1,FALSE)/VLOOKUP($B159,Korrigeringsfaktor_EI,'Korrigeringsfaktor EI'!H$1,FALSE),
"")</f>
        <v>0</v>
      </c>
      <c r="I159" s="18">
        <f>IFERROR(
                  Andel_oberoende_av_klimat*VLOOKUP($A159,Leveranser_per_nät,'Leveranser per nät'!I$1,FALSE)
               +Andel_beroende_av_klimat*VLOOKUP($A159,Leveranser_per_nät,'Leveranser per nät'!I$1,FALSE)/VLOOKUP($B159,Korrigeringsfaktor_EI,'Korrigeringsfaktor EI'!I$1,FALSE),
"")</f>
        <v>0</v>
      </c>
      <c r="J159" s="18">
        <f>IFERROR(
                  Andel_oberoende_av_klimat*VLOOKUP($A159,Leveranser_per_nät,'Leveranser per nät'!J$1,FALSE)
               +Andel_beroende_av_klimat*VLOOKUP($A159,Leveranser_per_nät,'Leveranser per nät'!J$1,FALSE)/VLOOKUP($B159,Korrigeringsfaktor_EI,'Korrigeringsfaktor EI'!J$1,FALSE),
"")</f>
        <v>0</v>
      </c>
      <c r="K159" s="18">
        <f>IFERROR(
                  Andel_oberoende_av_klimat*VLOOKUP($A159,Leveranser_per_nät,'Leveranser per nät'!K$1,FALSE)
               +Andel_beroende_av_klimat*VLOOKUP($A159,Leveranser_per_nät,'Leveranser per nät'!K$1,FALSE)/VLOOKUP($B159,Korrigeringsfaktor_EI,'Korrigeringsfaktor EI'!K$1,FALSE),
"")</f>
        <v>0</v>
      </c>
      <c r="L159" s="18">
        <f>IFERROR(
                  Andel_oberoende_av_klimat*VLOOKUP($A159,Leveranser_per_nät,'Leveranser per nät'!L$1,FALSE)
               +Andel_beroende_av_klimat*VLOOKUP($A159,Leveranser_per_nät,'Leveranser per nät'!L$1,FALSE)/VLOOKUP($B159,Korrigeringsfaktor_EI,'Korrigeringsfaktor EI'!L$1,FALSE),
"")</f>
        <v>0</v>
      </c>
      <c r="M159" s="18">
        <f>IFERROR(
                  Andel_oberoende_av_klimat*VLOOKUP($A159,Leveranser_per_nät,'Leveranser per nät'!M$1,FALSE)
               +Andel_beroende_av_klimat*VLOOKUP($A159,Leveranser_per_nät,'Leveranser per nät'!M$1,FALSE)/VLOOKUP($B159,Korrigeringsfaktor_EI,'Korrigeringsfaktor EI'!M$1,FALSE),
"")</f>
        <v>0</v>
      </c>
      <c r="N159" s="18">
        <f>IFERROR(
                  Andel_oberoende_av_klimat*VLOOKUP($A159,Leveranser_per_nät,'Leveranser per nät'!N$1,FALSE)
               +Andel_beroende_av_klimat*VLOOKUP($A159,Leveranser_per_nät,'Leveranser per nät'!N$1,FALSE)/VLOOKUP($B159,Korrigeringsfaktor_EI,'Korrigeringsfaktor EI'!N$1,FALSE),
"")</f>
        <v>0</v>
      </c>
      <c r="O159" s="18">
        <f>IFERROR(
                  Andel_oberoende_av_klimat*VLOOKUP($A159,Leveranser_per_nät,'Leveranser per nät'!O$1,FALSE)
               +Andel_beroende_av_klimat*VLOOKUP($A159,Leveranser_per_nät,'Leveranser per nät'!O$1,FALSE)/VLOOKUP($B159,Korrigeringsfaktor_EI,'Korrigeringsfaktor EI'!O$1,FALSE),
"")</f>
        <v>0</v>
      </c>
      <c r="P159" s="18">
        <f>IFERROR(
                  Andel_oberoende_av_klimat*VLOOKUP($A159,Leveranser_per_nät,'Leveranser per nät'!P$1,FALSE)
               +Andel_beroende_av_klimat*VLOOKUP($A159,Leveranser_per_nät,'Leveranser per nät'!P$1,FALSE)/VLOOKUP($B159,Korrigeringsfaktor_EI,'Korrigeringsfaktor EI'!P$1,FALSE),
"")</f>
        <v>0</v>
      </c>
      <c r="Q159" s="18">
        <f>IFERROR(
                  Andel_oberoende_av_klimat*VLOOKUP($A159,Leveranser_per_nät,'Leveranser per nät'!Q$1,FALSE)
               +Andel_beroende_av_klimat*VLOOKUP($A159,Leveranser_per_nät,'Leveranser per nät'!Q$1,FALSE)/VLOOKUP($B159,Korrigeringsfaktor_EI,'Korrigeringsfaktor EI'!Q$1,FALSE),
"")</f>
        <v>0</v>
      </c>
      <c r="R159" s="18">
        <f>IFERROR(
                  Andel_oberoende_av_klimat*VLOOKUP($A159,Leveranser_per_nät,'Leveranser per nät'!R$1,FALSE)
               +Andel_beroende_av_klimat*VLOOKUP($A159,Leveranser_per_nät,'Leveranser per nät'!R$1,FALSE)/VLOOKUP($B159,Korrigeringsfaktor_EI,'Korrigeringsfaktor EI'!R$1,FALSE),
"")</f>
        <v>0</v>
      </c>
      <c r="S159" s="18">
        <f>IFERROR(
                  Andel_oberoende_av_klimat*VLOOKUP($A159,Leveranser_per_nät,'Leveranser per nät'!S$1,FALSE)
               +Andel_beroende_av_klimat*VLOOKUP($A159,Leveranser_per_nät,'Leveranser per nät'!S$1,FALSE)/VLOOKUP($B159,Korrigeringsfaktor_EI,'Korrigeringsfaktor EI'!S$1,FALSE),
"")</f>
        <v>0.56217647058823528</v>
      </c>
      <c r="T159" s="18">
        <f>IFERROR(
                  Andel_oberoende_av_klimat*VLOOKUP($A159,Leveranser_per_nät,'Leveranser per nät'!T$1,FALSE)
               +Andel_beroende_av_klimat*VLOOKUP($A159,Leveranser_per_nät,'Leveranser per nät'!T$1,FALSE)/VLOOKUP($B159,Korrigeringsfaktor_EI,'Korrigeringsfaktor EI'!T$1,FALSE),
"")</f>
        <v>1.2245979797979798</v>
      </c>
      <c r="U159" s="18">
        <f>IFERROR(
                  Andel_oberoende_av_klimat*VLOOKUP($A159,Leveranser_per_nät,'Leveranser per nät'!U$1,FALSE)
               +Andel_beroende_av_klimat*VLOOKUP($A159,Leveranser_per_nät,'Leveranser per nät'!U$1,FALSE)/VLOOKUP($B159,Korrigeringsfaktor_EI,'Korrigeringsfaktor EI'!U$1,FALSE),
"")</f>
        <v>1.1653505747126436</v>
      </c>
      <c r="V159" s="18">
        <f>IFERROR(
                  Andel_oberoende_av_klimat*VLOOKUP($A159,Leveranser_per_nät,'Leveranser per nät'!V$1,FALSE)
               +Andel_beroende_av_klimat*VLOOKUP($A159,Leveranser_per_nät,'Leveranser per nät'!V$1,FALSE)/VLOOKUP($B159,Korrigeringsfaktor_EI,'Korrigeringsfaktor EI'!V$1,FALSE),
"")</f>
        <v>1.1436173913043479</v>
      </c>
      <c r="W159" s="18">
        <f>IFERROR(
                  Andel_oberoende_av_klimat*VLOOKUP($A159,Leveranser_per_nät,'Leveranser per nät'!W$1,FALSE)
               +Andel_beroende_av_klimat*VLOOKUP($A159,Leveranser_per_nät,'Leveranser per nät'!W$1,FALSE)/VLOOKUP($B159,Korrigeringsfaktor_EI,'Korrigeringsfaktor EI'!W$1,FALSE),
"")</f>
        <v>1.2849574468085108</v>
      </c>
      <c r="X159" s="18">
        <f>IFERROR(
                  Andel_oberoende_av_klimat*VLOOKUP($A159,Leveranser_per_nät,'Leveranser per nät'!X$1,FALSE)
               +Andel_beroende_av_klimat*VLOOKUP($A159,Leveranser_per_nät,'Leveranser per nät'!X$1,FALSE)/VLOOKUP($B159,Korrigeringsfaktor_EI,'Korrigeringsfaktor EI'!X$1,FALSE),
"")</f>
        <v>1.3027478260869565</v>
      </c>
      <c r="Y159" s="18">
        <f>IFERROR(
                  Andel_oberoende_av_klimat*VLOOKUP($A159,Leveranser_per_nät,'Leveranser per nät'!Y$1,FALSE)
               +Andel_beroende_av_klimat*VLOOKUP($A159,Leveranser_per_nät,'Leveranser per nät'!Y$1,FALSE)/VLOOKUP($B159,Korrigeringsfaktor_EI,'Korrigeringsfaktor EI'!Y$1,FALSE),
"")</f>
        <v>1.3213555555555556</v>
      </c>
      <c r="Z159" s="18">
        <f>IFERROR(
                  Andel_oberoende_av_klimat*VLOOKUP($A159,Leveranser_per_nät,'Leveranser per nät'!Z$1,FALSE)
               +Andel_beroende_av_klimat*VLOOKUP($A159,Leveranser_per_nät,'Leveranser per nät'!Z$1,FALSE)/VLOOKUP($B159,Korrigeringsfaktor_EI,'Korrigeringsfaktor EI'!Z$1,FALSE),
"")</f>
        <v>1.3597597701149426</v>
      </c>
      <c r="AA159" s="18">
        <f>IFERROR(
                  Andel_oberoende_av_klimat*VLOOKUP($A159,Leveranser_per_nät,'Leveranser per nät'!AA$1,FALSE)
               +Andel_beroende_av_klimat*VLOOKUP($A159,Leveranser_per_nät,'Leveranser per nät'!AA$1,FALSE)/VLOOKUP($B159,Korrigeringsfaktor_EI,'Korrigeringsfaktor EI'!AA$1,FALSE),
"")</f>
        <v>1.3278511169132579</v>
      </c>
      <c r="AB159" s="18">
        <f>IFERROR(
                  Andel_oberoende_av_klimat*VLOOKUP($A159,Leveranser_per_nät,'Leveranser per nät'!AB$1,FALSE)
               +Andel_beroende_av_klimat*VLOOKUP($A159,Leveranser_per_nät,'Leveranser per nät'!AB$1,FALSE)/VLOOKUP($B159,Korrigeringsfaktor_EI,'Korrigeringsfaktor EI'!AB$1,FALSE),
"")</f>
        <v>1.3158168316831682</v>
      </c>
      <c r="AC159" s="18">
        <f>IFERROR(
                  Andel_oberoende_av_klimat*VLOOKUP($A159,Leveranser_per_nät,'Leveranser per nät'!AC$1,FALSE)
               +Andel_beroende_av_klimat*VLOOKUP($A159,Leveranser_per_nät,'Leveranser per nät'!AC$1,FALSE)/VLOOKUP($B159,Korrigeringsfaktor_EI,'Korrigeringsfaktor EI'!AC$1,FALSE),
"")</f>
        <v>1.3122956521739131</v>
      </c>
      <c r="AD159">
        <v>3143.35</v>
      </c>
    </row>
    <row r="160" spans="1:30" x14ac:dyDescent="0.25">
      <c r="A160" t="s">
        <v>65</v>
      </c>
      <c r="B160" t="s">
        <v>442</v>
      </c>
      <c r="C160" s="18">
        <f>IFERROR(
                  Andel_oberoende_av_klimat*VLOOKUP($A160,Leveranser_per_nät,'Leveranser per nät'!C$1,FALSE)
               +Andel_beroende_av_klimat*VLOOKUP($A160,Leveranser_per_nät,'Leveranser per nät'!C$1,FALSE)/VLOOKUP($B160,Korrigeringsfaktor_EI,'Korrigeringsfaktor EI'!C$1,FALSE),
"")</f>
        <v>0</v>
      </c>
      <c r="D160" s="18">
        <f>IFERROR(
                  Andel_oberoende_av_klimat*VLOOKUP($A160,Leveranser_per_nät,'Leveranser per nät'!D$1,FALSE)
               +Andel_beroende_av_klimat*VLOOKUP($A160,Leveranser_per_nät,'Leveranser per nät'!D$1,FALSE)/VLOOKUP($B160,Korrigeringsfaktor_EI,'Korrigeringsfaktor EI'!D$1,FALSE),
"")</f>
        <v>0</v>
      </c>
      <c r="E160" s="18">
        <f>IFERROR(
                  Andel_oberoende_av_klimat*VLOOKUP($A160,Leveranser_per_nät,'Leveranser per nät'!E$1,FALSE)
               +Andel_beroende_av_klimat*VLOOKUP($A160,Leveranser_per_nät,'Leveranser per nät'!E$1,FALSE)/VLOOKUP($B160,Korrigeringsfaktor_EI,'Korrigeringsfaktor EI'!E$1,FALSE),
"")</f>
        <v>0</v>
      </c>
      <c r="F160" s="18">
        <f>IFERROR(
                  Andel_oberoende_av_klimat*VLOOKUP($A160,Leveranser_per_nät,'Leveranser per nät'!F$1,FALSE)
               +Andel_beroende_av_klimat*VLOOKUP($A160,Leveranser_per_nät,'Leveranser per nät'!F$1,FALSE)/VLOOKUP($B160,Korrigeringsfaktor_EI,'Korrigeringsfaktor EI'!F$1,FALSE),
"")</f>
        <v>0</v>
      </c>
      <c r="G160" s="18">
        <f>IFERROR(
                  Andel_oberoende_av_klimat*VLOOKUP($A160,Leveranser_per_nät,'Leveranser per nät'!G$1,FALSE)
               +Andel_beroende_av_klimat*VLOOKUP($A160,Leveranser_per_nät,'Leveranser per nät'!G$1,FALSE)/VLOOKUP($B160,Korrigeringsfaktor_EI,'Korrigeringsfaktor EI'!G$1,FALSE),
"")</f>
        <v>0</v>
      </c>
      <c r="H160" s="18">
        <f>IFERROR(
                  Andel_oberoende_av_klimat*VLOOKUP($A160,Leveranser_per_nät,'Leveranser per nät'!H$1,FALSE)
               +Andel_beroende_av_klimat*VLOOKUP($A160,Leveranser_per_nät,'Leveranser per nät'!H$1,FALSE)/VLOOKUP($B160,Korrigeringsfaktor_EI,'Korrigeringsfaktor EI'!H$1,FALSE),
"")</f>
        <v>0</v>
      </c>
      <c r="I160" s="18">
        <f>IFERROR(
                  Andel_oberoende_av_klimat*VLOOKUP($A160,Leveranser_per_nät,'Leveranser per nät'!I$1,FALSE)
               +Andel_beroende_av_klimat*VLOOKUP($A160,Leveranser_per_nät,'Leveranser per nät'!I$1,FALSE)/VLOOKUP($B160,Korrigeringsfaktor_EI,'Korrigeringsfaktor EI'!I$1,FALSE),
"")</f>
        <v>0</v>
      </c>
      <c r="J160" s="18">
        <f>IFERROR(
                  Andel_oberoende_av_klimat*VLOOKUP($A160,Leveranser_per_nät,'Leveranser per nät'!J$1,FALSE)
               +Andel_beroende_av_klimat*VLOOKUP($A160,Leveranser_per_nät,'Leveranser per nät'!J$1,FALSE)/VLOOKUP($B160,Korrigeringsfaktor_EI,'Korrigeringsfaktor EI'!J$1,FALSE),
"")</f>
        <v>0</v>
      </c>
      <c r="K160" s="18">
        <f>IFERROR(
                  Andel_oberoende_av_klimat*VLOOKUP($A160,Leveranser_per_nät,'Leveranser per nät'!K$1,FALSE)
               +Andel_beroende_av_klimat*VLOOKUP($A160,Leveranser_per_nät,'Leveranser per nät'!K$1,FALSE)/VLOOKUP($B160,Korrigeringsfaktor_EI,'Korrigeringsfaktor EI'!K$1,FALSE),
"")</f>
        <v>0</v>
      </c>
      <c r="L160" s="18">
        <f>IFERROR(
                  Andel_oberoende_av_klimat*VLOOKUP($A160,Leveranser_per_nät,'Leveranser per nät'!L$1,FALSE)
               +Andel_beroende_av_klimat*VLOOKUP($A160,Leveranser_per_nät,'Leveranser per nät'!L$1,FALSE)/VLOOKUP($B160,Korrigeringsfaktor_EI,'Korrigeringsfaktor EI'!L$1,FALSE),
"")</f>
        <v>0</v>
      </c>
      <c r="M160" s="18">
        <f>IFERROR(
                  Andel_oberoende_av_klimat*VLOOKUP($A160,Leveranser_per_nät,'Leveranser per nät'!M$1,FALSE)
               +Andel_beroende_av_klimat*VLOOKUP($A160,Leveranser_per_nät,'Leveranser per nät'!M$1,FALSE)/VLOOKUP($B160,Korrigeringsfaktor_EI,'Korrigeringsfaktor EI'!M$1,FALSE),
"")</f>
        <v>0</v>
      </c>
      <c r="N160" s="18">
        <f>IFERROR(
                  Andel_oberoende_av_klimat*VLOOKUP($A160,Leveranser_per_nät,'Leveranser per nät'!N$1,FALSE)
               +Andel_beroende_av_klimat*VLOOKUP($A160,Leveranser_per_nät,'Leveranser per nät'!N$1,FALSE)/VLOOKUP($B160,Korrigeringsfaktor_EI,'Korrigeringsfaktor EI'!N$1,FALSE),
"")</f>
        <v>0</v>
      </c>
      <c r="O160" s="18">
        <f>IFERROR(
                  Andel_oberoende_av_klimat*VLOOKUP($A160,Leveranser_per_nät,'Leveranser per nät'!O$1,FALSE)
               +Andel_beroende_av_klimat*VLOOKUP($A160,Leveranser_per_nät,'Leveranser per nät'!O$1,FALSE)/VLOOKUP($B160,Korrigeringsfaktor_EI,'Korrigeringsfaktor EI'!O$1,FALSE),
"")</f>
        <v>7.1798850574712647</v>
      </c>
      <c r="P160" s="18">
        <f>IFERROR(
                  Andel_oberoende_av_klimat*VLOOKUP($A160,Leveranser_per_nät,'Leveranser per nät'!P$1,FALSE)
               +Andel_beroende_av_klimat*VLOOKUP($A160,Leveranser_per_nät,'Leveranser per nät'!P$1,FALSE)/VLOOKUP($B160,Korrigeringsfaktor_EI,'Korrigeringsfaktor EI'!P$1,FALSE),
"")</f>
        <v>8.4215053763440864</v>
      </c>
      <c r="Q160" s="18">
        <f>IFERROR(
                  Andel_oberoende_av_klimat*VLOOKUP($A160,Leveranser_per_nät,'Leveranser per nät'!Q$1,FALSE)
               +Andel_beroende_av_klimat*VLOOKUP($A160,Leveranser_per_nät,'Leveranser per nät'!Q$1,FALSE)/VLOOKUP($B160,Korrigeringsfaktor_EI,'Korrigeringsfaktor EI'!Q$1,FALSE),
"")</f>
        <v>9.3866666666666667</v>
      </c>
      <c r="R160" s="18">
        <f>IFERROR(
                  Andel_oberoende_av_klimat*VLOOKUP($A160,Leveranser_per_nät,'Leveranser per nät'!R$1,FALSE)
               +Andel_beroende_av_klimat*VLOOKUP($A160,Leveranser_per_nät,'Leveranser per nät'!R$1,FALSE)/VLOOKUP($B160,Korrigeringsfaktor_EI,'Korrigeringsfaktor EI'!R$1,FALSE),
"")</f>
        <v>8.9827272727272707</v>
      </c>
      <c r="S160" s="18">
        <f>IFERROR(
                  Andel_oberoende_av_klimat*VLOOKUP($A160,Leveranser_per_nät,'Leveranser per nät'!S$1,FALSE)
               +Andel_beroende_av_klimat*VLOOKUP($A160,Leveranser_per_nät,'Leveranser per nät'!S$1,FALSE)/VLOOKUP($B160,Korrigeringsfaktor_EI,'Korrigeringsfaktor EI'!S$1,FALSE),
"")</f>
        <v>9.0566666666666684</v>
      </c>
      <c r="T160" s="18" t="str">
        <f>IFERROR(
                  Andel_oberoende_av_klimat*VLOOKUP($A160,Leveranser_per_nät,'Leveranser per nät'!T$1,FALSE)
               +Andel_beroende_av_klimat*VLOOKUP($A160,Leveranser_per_nät,'Leveranser per nät'!T$1,FALSE)/VLOOKUP($B160,Korrigeringsfaktor_EI,'Korrigeringsfaktor EI'!T$1,FALSE),
"")</f>
        <v/>
      </c>
      <c r="U160" s="18" t="str">
        <f>IFERROR(
                  Andel_oberoende_av_klimat*VLOOKUP($A160,Leveranser_per_nät,'Leveranser per nät'!U$1,FALSE)
               +Andel_beroende_av_klimat*VLOOKUP($A160,Leveranser_per_nät,'Leveranser per nät'!U$1,FALSE)/VLOOKUP($B160,Korrigeringsfaktor_EI,'Korrigeringsfaktor EI'!U$1,FALSE),
"")</f>
        <v/>
      </c>
      <c r="V160" s="18" t="str">
        <f>IFERROR(
                  Andel_oberoende_av_klimat*VLOOKUP($A160,Leveranser_per_nät,'Leveranser per nät'!V$1,FALSE)
               +Andel_beroende_av_klimat*VLOOKUP($A160,Leveranser_per_nät,'Leveranser per nät'!V$1,FALSE)/VLOOKUP($B160,Korrigeringsfaktor_EI,'Korrigeringsfaktor EI'!V$1,FALSE),
"")</f>
        <v/>
      </c>
      <c r="W160" s="18" t="str">
        <f>IFERROR(
                  Andel_oberoende_av_klimat*VLOOKUP($A160,Leveranser_per_nät,'Leveranser per nät'!W$1,FALSE)
               +Andel_beroende_av_klimat*VLOOKUP($A160,Leveranser_per_nät,'Leveranser per nät'!W$1,FALSE)/VLOOKUP($B160,Korrigeringsfaktor_EI,'Korrigeringsfaktor EI'!W$1,FALSE),
"")</f>
        <v/>
      </c>
      <c r="X160" s="18" t="str">
        <f>IFERROR(
                  Andel_oberoende_av_klimat*VLOOKUP($A160,Leveranser_per_nät,'Leveranser per nät'!X$1,FALSE)
               +Andel_beroende_av_klimat*VLOOKUP($A160,Leveranser_per_nät,'Leveranser per nät'!X$1,FALSE)/VLOOKUP($B160,Korrigeringsfaktor_EI,'Korrigeringsfaktor EI'!X$1,FALSE),
"")</f>
        <v/>
      </c>
      <c r="Y160" s="18" t="str">
        <f>IFERROR(
                  Andel_oberoende_av_klimat*VLOOKUP($A160,Leveranser_per_nät,'Leveranser per nät'!Y$1,FALSE)
               +Andel_beroende_av_klimat*VLOOKUP($A160,Leveranser_per_nät,'Leveranser per nät'!Y$1,FALSE)/VLOOKUP($B160,Korrigeringsfaktor_EI,'Korrigeringsfaktor EI'!Y$1,FALSE),
"")</f>
        <v/>
      </c>
      <c r="Z160" s="18">
        <f>IFERROR(
                  Andel_oberoende_av_klimat*VLOOKUP($A160,Leveranser_per_nät,'Leveranser per nät'!Z$1,FALSE)
               +Andel_beroende_av_klimat*VLOOKUP($A160,Leveranser_per_nät,'Leveranser per nät'!Z$1,FALSE)/VLOOKUP($B160,Korrigeringsfaktor_EI,'Korrigeringsfaktor EI'!Z$1,FALSE),
"")</f>
        <v>0</v>
      </c>
      <c r="AA160" s="18" t="str">
        <f>IFERROR(
                  Andel_oberoende_av_klimat*VLOOKUP($A160,Leveranser_per_nät,'Leveranser per nät'!AA$1,FALSE)
               +Andel_beroende_av_klimat*VLOOKUP($A160,Leveranser_per_nät,'Leveranser per nät'!AA$1,FALSE)/VLOOKUP($B160,Korrigeringsfaktor_EI,'Korrigeringsfaktor EI'!AA$1,FALSE),
"")</f>
        <v/>
      </c>
      <c r="AB160" s="18">
        <f>IFERROR(
                  Andel_oberoende_av_klimat*VLOOKUP($A160,Leveranser_per_nät,'Leveranser per nät'!AB$1,FALSE)
               +Andel_beroende_av_klimat*VLOOKUP($A160,Leveranser_per_nät,'Leveranser per nät'!AB$1,FALSE)/VLOOKUP($B160,Korrigeringsfaktor_EI,'Korrigeringsfaktor EI'!AB$1,FALSE),
"")</f>
        <v>0</v>
      </c>
      <c r="AC160" s="18">
        <f>IFERROR(
                  Andel_oberoende_av_klimat*VLOOKUP($A160,Leveranser_per_nät,'Leveranser per nät'!AC$1,FALSE)
               +Andel_beroende_av_klimat*VLOOKUP($A160,Leveranser_per_nät,'Leveranser per nät'!AC$1,FALSE)/VLOOKUP($B160,Korrigeringsfaktor_EI,'Korrigeringsfaktor EI'!AC$1,FALSE),
"")</f>
        <v>0</v>
      </c>
      <c r="AD160">
        <v>58.215000000000003</v>
      </c>
    </row>
    <row r="161" spans="1:30" x14ac:dyDescent="0.25">
      <c r="A161" s="4" t="s">
        <v>474</v>
      </c>
      <c r="B161" t="s">
        <v>176</v>
      </c>
      <c r="C161" s="18">
        <f>IFERROR(
                  Andel_oberoende_av_klimat*VLOOKUP($A161,Leveranser_per_nät,'Leveranser per nät'!C$1,FALSE)
               +Andel_beroende_av_klimat*VLOOKUP($A161,Leveranser_per_nät,'Leveranser per nät'!C$1,FALSE)/VLOOKUP($B161,Korrigeringsfaktor_EI,'Korrigeringsfaktor EI'!C$1,FALSE),
"")</f>
        <v>0</v>
      </c>
      <c r="D161" s="18">
        <f>IFERROR(
                  Andel_oberoende_av_klimat*VLOOKUP($A161,Leveranser_per_nät,'Leveranser per nät'!D$1,FALSE)
               +Andel_beroende_av_klimat*VLOOKUP($A161,Leveranser_per_nät,'Leveranser per nät'!D$1,FALSE)/VLOOKUP($B161,Korrigeringsfaktor_EI,'Korrigeringsfaktor EI'!D$1,FALSE),
"")</f>
        <v>0</v>
      </c>
      <c r="E161" s="18">
        <f>IFERROR(
                  Andel_oberoende_av_klimat*VLOOKUP($A161,Leveranser_per_nät,'Leveranser per nät'!E$1,FALSE)
               +Andel_beroende_av_klimat*VLOOKUP($A161,Leveranser_per_nät,'Leveranser per nät'!E$1,FALSE)/VLOOKUP($B161,Korrigeringsfaktor_EI,'Korrigeringsfaktor EI'!E$1,FALSE),
"")</f>
        <v>0</v>
      </c>
      <c r="F161" s="18">
        <f>IFERROR(
                  Andel_oberoende_av_klimat*VLOOKUP($A161,Leveranser_per_nät,'Leveranser per nät'!F$1,FALSE)
               +Andel_beroende_av_klimat*VLOOKUP($A161,Leveranser_per_nät,'Leveranser per nät'!F$1,FALSE)/VLOOKUP($B161,Korrigeringsfaktor_EI,'Korrigeringsfaktor EI'!F$1,FALSE),
"")</f>
        <v>0</v>
      </c>
      <c r="G161" s="18">
        <f>IFERROR(
                  Andel_oberoende_av_klimat*VLOOKUP($A161,Leveranser_per_nät,'Leveranser per nät'!G$1,FALSE)
               +Andel_beroende_av_klimat*VLOOKUP($A161,Leveranser_per_nät,'Leveranser per nät'!G$1,FALSE)/VLOOKUP($B161,Korrigeringsfaktor_EI,'Korrigeringsfaktor EI'!G$1,FALSE),
"")</f>
        <v>0</v>
      </c>
      <c r="H161" s="18">
        <f>IFERROR(
                  Andel_oberoende_av_klimat*VLOOKUP($A161,Leveranser_per_nät,'Leveranser per nät'!H$1,FALSE)
               +Andel_beroende_av_klimat*VLOOKUP($A161,Leveranser_per_nät,'Leveranser per nät'!H$1,FALSE)/VLOOKUP($B161,Korrigeringsfaktor_EI,'Korrigeringsfaktor EI'!H$1,FALSE),
"")</f>
        <v>0</v>
      </c>
      <c r="I161" s="18">
        <f>IFERROR(
                  Andel_oberoende_av_klimat*VLOOKUP($A161,Leveranser_per_nät,'Leveranser per nät'!I$1,FALSE)
               +Andel_beroende_av_klimat*VLOOKUP($A161,Leveranser_per_nät,'Leveranser per nät'!I$1,FALSE)/VLOOKUP($B161,Korrigeringsfaktor_EI,'Korrigeringsfaktor EI'!I$1,FALSE),
"")</f>
        <v>0</v>
      </c>
      <c r="J161" s="18">
        <f>IFERROR(
                  Andel_oberoende_av_klimat*VLOOKUP($A161,Leveranser_per_nät,'Leveranser per nät'!J$1,FALSE)
               +Andel_beroende_av_klimat*VLOOKUP($A161,Leveranser_per_nät,'Leveranser per nät'!J$1,FALSE)/VLOOKUP($B161,Korrigeringsfaktor_EI,'Korrigeringsfaktor EI'!J$1,FALSE),
"")</f>
        <v>0</v>
      </c>
      <c r="K161" s="18">
        <f>IFERROR(
                  Andel_oberoende_av_klimat*VLOOKUP($A161,Leveranser_per_nät,'Leveranser per nät'!K$1,FALSE)
               +Andel_beroende_av_klimat*VLOOKUP($A161,Leveranser_per_nät,'Leveranser per nät'!K$1,FALSE)/VLOOKUP($B161,Korrigeringsfaktor_EI,'Korrigeringsfaktor EI'!K$1,FALSE),
"")</f>
        <v>1.3455123711340207</v>
      </c>
      <c r="L161" s="18">
        <f>IFERROR(
                  Andel_oberoende_av_klimat*VLOOKUP($A161,Leveranser_per_nät,'Leveranser per nät'!L$1,FALSE)
               +Andel_beroende_av_klimat*VLOOKUP($A161,Leveranser_per_nät,'Leveranser per nät'!L$1,FALSE)/VLOOKUP($B161,Korrigeringsfaktor_EI,'Korrigeringsfaktor EI'!L$1,FALSE),
"")</f>
        <v>1.3319680851063829</v>
      </c>
      <c r="M161" s="18">
        <f>IFERROR(
                  Andel_oberoende_av_klimat*VLOOKUP($A161,Leveranser_per_nät,'Leveranser per nät'!M$1,FALSE)
               +Andel_beroende_av_klimat*VLOOKUP($A161,Leveranser_per_nät,'Leveranser per nät'!M$1,FALSE)/VLOOKUP($B161,Korrigeringsfaktor_EI,'Korrigeringsfaktor EI'!M$1,FALSE),
"")</f>
        <v>0</v>
      </c>
      <c r="N161" s="18">
        <f>IFERROR(
                  Andel_oberoende_av_klimat*VLOOKUP($A161,Leveranser_per_nät,'Leveranser per nät'!N$1,FALSE)
               +Andel_beroende_av_klimat*VLOOKUP($A161,Leveranser_per_nät,'Leveranser per nät'!N$1,FALSE)/VLOOKUP($B161,Korrigeringsfaktor_EI,'Korrigeringsfaktor EI'!N$1,FALSE),
"")</f>
        <v>0</v>
      </c>
      <c r="O161" s="18">
        <f>IFERROR(
                  Andel_oberoende_av_klimat*VLOOKUP($A161,Leveranser_per_nät,'Leveranser per nät'!O$1,FALSE)
               +Andel_beroende_av_klimat*VLOOKUP($A161,Leveranser_per_nät,'Leveranser per nät'!O$1,FALSE)/VLOOKUP($B161,Korrigeringsfaktor_EI,'Korrigeringsfaktor EI'!O$1,FALSE),
"")</f>
        <v>0</v>
      </c>
      <c r="P161" s="18">
        <f>IFERROR(
                  Andel_oberoende_av_klimat*VLOOKUP($A161,Leveranser_per_nät,'Leveranser per nät'!P$1,FALSE)
               +Andel_beroende_av_klimat*VLOOKUP($A161,Leveranser_per_nät,'Leveranser per nät'!P$1,FALSE)/VLOOKUP($B161,Korrigeringsfaktor_EI,'Korrigeringsfaktor EI'!P$1,FALSE),
"")</f>
        <v>0</v>
      </c>
      <c r="Q161" s="18">
        <f>IFERROR(
                  Andel_oberoende_av_klimat*VLOOKUP($A161,Leveranser_per_nät,'Leveranser per nät'!Q$1,FALSE)
               +Andel_beroende_av_klimat*VLOOKUP($A161,Leveranser_per_nät,'Leveranser per nät'!Q$1,FALSE)/VLOOKUP($B161,Korrigeringsfaktor_EI,'Korrigeringsfaktor EI'!Q$1,FALSE),
"")</f>
        <v>0</v>
      </c>
      <c r="R161" s="18">
        <f>IFERROR(
                  Andel_oberoende_av_klimat*VLOOKUP($A161,Leveranser_per_nät,'Leveranser per nät'!R$1,FALSE)
               +Andel_beroende_av_klimat*VLOOKUP($A161,Leveranser_per_nät,'Leveranser per nät'!R$1,FALSE)/VLOOKUP($B161,Korrigeringsfaktor_EI,'Korrigeringsfaktor EI'!R$1,FALSE),
"")</f>
        <v>0</v>
      </c>
      <c r="S161" s="18">
        <f>IFERROR(
                  Andel_oberoende_av_klimat*VLOOKUP($A161,Leveranser_per_nät,'Leveranser per nät'!S$1,FALSE)
               +Andel_beroende_av_klimat*VLOOKUP($A161,Leveranser_per_nät,'Leveranser per nät'!S$1,FALSE)/VLOOKUP($B161,Korrigeringsfaktor_EI,'Korrigeringsfaktor EI'!S$1,FALSE),
"")</f>
        <v>0</v>
      </c>
      <c r="T161" s="18" t="str">
        <f>IFERROR(
                  Andel_oberoende_av_klimat*VLOOKUP($A161,Leveranser_per_nät,'Leveranser per nät'!T$1,FALSE)
               +Andel_beroende_av_klimat*VLOOKUP($A161,Leveranser_per_nät,'Leveranser per nät'!T$1,FALSE)/VLOOKUP($B161,Korrigeringsfaktor_EI,'Korrigeringsfaktor EI'!T$1,FALSE),
"")</f>
        <v/>
      </c>
      <c r="U161" s="18" t="str">
        <f>IFERROR(
                  Andel_oberoende_av_klimat*VLOOKUP($A161,Leveranser_per_nät,'Leveranser per nät'!U$1,FALSE)
               +Andel_beroende_av_klimat*VLOOKUP($A161,Leveranser_per_nät,'Leveranser per nät'!U$1,FALSE)/VLOOKUP($B161,Korrigeringsfaktor_EI,'Korrigeringsfaktor EI'!U$1,FALSE),
"")</f>
        <v/>
      </c>
      <c r="V161" s="18" t="str">
        <f>IFERROR(
                  Andel_oberoende_av_klimat*VLOOKUP($A161,Leveranser_per_nät,'Leveranser per nät'!V$1,FALSE)
               +Andel_beroende_av_klimat*VLOOKUP($A161,Leveranser_per_nät,'Leveranser per nät'!V$1,FALSE)/VLOOKUP($B161,Korrigeringsfaktor_EI,'Korrigeringsfaktor EI'!V$1,FALSE),
"")</f>
        <v/>
      </c>
      <c r="W161" s="18" t="str">
        <f>IFERROR(
                  Andel_oberoende_av_klimat*VLOOKUP($A161,Leveranser_per_nät,'Leveranser per nät'!W$1,FALSE)
               +Andel_beroende_av_klimat*VLOOKUP($A161,Leveranser_per_nät,'Leveranser per nät'!W$1,FALSE)/VLOOKUP($B161,Korrigeringsfaktor_EI,'Korrigeringsfaktor EI'!W$1,FALSE),
"")</f>
        <v/>
      </c>
      <c r="X161" s="18" t="str">
        <f>IFERROR(
                  Andel_oberoende_av_klimat*VLOOKUP($A161,Leveranser_per_nät,'Leveranser per nät'!X$1,FALSE)
               +Andel_beroende_av_klimat*VLOOKUP($A161,Leveranser_per_nät,'Leveranser per nät'!X$1,FALSE)/VLOOKUP($B161,Korrigeringsfaktor_EI,'Korrigeringsfaktor EI'!X$1,FALSE),
"")</f>
        <v/>
      </c>
      <c r="Y161" s="18" t="str">
        <f>IFERROR(
                  Andel_oberoende_av_klimat*VLOOKUP($A161,Leveranser_per_nät,'Leveranser per nät'!Y$1,FALSE)
               +Andel_beroende_av_klimat*VLOOKUP($A161,Leveranser_per_nät,'Leveranser per nät'!Y$1,FALSE)/VLOOKUP($B161,Korrigeringsfaktor_EI,'Korrigeringsfaktor EI'!Y$1,FALSE),
"")</f>
        <v/>
      </c>
      <c r="Z161" s="18">
        <f>IFERROR(
                  Andel_oberoende_av_klimat*VLOOKUP($A161,Leveranser_per_nät,'Leveranser per nät'!Z$1,FALSE)
               +Andel_beroende_av_klimat*VLOOKUP($A161,Leveranser_per_nät,'Leveranser per nät'!Z$1,FALSE)/VLOOKUP($B161,Korrigeringsfaktor_EI,'Korrigeringsfaktor EI'!Z$1,FALSE),
"")</f>
        <v>0</v>
      </c>
      <c r="AA161" s="18" t="str">
        <f>IFERROR(
                  Andel_oberoende_av_klimat*VLOOKUP($A161,Leveranser_per_nät,'Leveranser per nät'!AA$1,FALSE)
               +Andel_beroende_av_klimat*VLOOKUP($A161,Leveranser_per_nät,'Leveranser per nät'!AA$1,FALSE)/VLOOKUP($B161,Korrigeringsfaktor_EI,'Korrigeringsfaktor EI'!AA$1,FALSE),
"")</f>
        <v/>
      </c>
      <c r="AB161" s="18">
        <f>IFERROR(
                  Andel_oberoende_av_klimat*VLOOKUP($A161,Leveranser_per_nät,'Leveranser per nät'!AB$1,FALSE)
               +Andel_beroende_av_klimat*VLOOKUP($A161,Leveranser_per_nät,'Leveranser per nät'!AB$1,FALSE)/VLOOKUP($B161,Korrigeringsfaktor_EI,'Korrigeringsfaktor EI'!AB$1,FALSE),
"")</f>
        <v>0</v>
      </c>
      <c r="AC161" s="18">
        <f>IFERROR(
                  Andel_oberoende_av_klimat*VLOOKUP($A161,Leveranser_per_nät,'Leveranser per nät'!AC$1,FALSE)
               +Andel_beroende_av_klimat*VLOOKUP($A161,Leveranser_per_nät,'Leveranser per nät'!AC$1,FALSE)/VLOOKUP($B161,Korrigeringsfaktor_EI,'Korrigeringsfaktor EI'!AC$1,FALSE),
"")</f>
        <v>0</v>
      </c>
      <c r="AD161">
        <v>310.774</v>
      </c>
    </row>
    <row r="162" spans="1:30" x14ac:dyDescent="0.25">
      <c r="A162" t="s">
        <v>103</v>
      </c>
      <c r="B162" t="s">
        <v>518</v>
      </c>
      <c r="C162" s="18">
        <f>IFERROR(
                  Andel_oberoende_av_klimat*VLOOKUP($A162,Leveranser_per_nät,'Leveranser per nät'!C$1,FALSE)
               +Andel_beroende_av_klimat*VLOOKUP($A162,Leveranser_per_nät,'Leveranser per nät'!C$1,FALSE)/VLOOKUP($B162,Korrigeringsfaktor_EI,'Korrigeringsfaktor EI'!C$1,FALSE),
"")</f>
        <v>23.40909090909091</v>
      </c>
      <c r="D162" s="18">
        <f>IFERROR(
                  Andel_oberoende_av_klimat*VLOOKUP($A162,Leveranser_per_nät,'Leveranser per nät'!D$1,FALSE)
               +Andel_beroende_av_klimat*VLOOKUP($A162,Leveranser_per_nät,'Leveranser per nät'!D$1,FALSE)/VLOOKUP($B162,Korrigeringsfaktor_EI,'Korrigeringsfaktor EI'!D$1,FALSE),
"")</f>
        <v>0</v>
      </c>
      <c r="E162" s="18">
        <f>IFERROR(
                  Andel_oberoende_av_klimat*VLOOKUP($A162,Leveranser_per_nät,'Leveranser per nät'!E$1,FALSE)
               +Andel_beroende_av_klimat*VLOOKUP($A162,Leveranser_per_nät,'Leveranser per nät'!E$1,FALSE)/VLOOKUP($B162,Korrigeringsfaktor_EI,'Korrigeringsfaktor EI'!E$1,FALSE),
"")</f>
        <v>0</v>
      </c>
      <c r="F162" s="18">
        <f>IFERROR(
                  Andel_oberoende_av_klimat*VLOOKUP($A162,Leveranser_per_nät,'Leveranser per nät'!F$1,FALSE)
               +Andel_beroende_av_klimat*VLOOKUP($A162,Leveranser_per_nät,'Leveranser per nät'!F$1,FALSE)/VLOOKUP($B162,Korrigeringsfaktor_EI,'Korrigeringsfaktor EI'!F$1,FALSE),
"")</f>
        <v>22.476288659793816</v>
      </c>
      <c r="G162" s="18">
        <f>IFERROR(
                  Andel_oberoende_av_klimat*VLOOKUP($A162,Leveranser_per_nät,'Leveranser per nät'!G$1,FALSE)
               +Andel_beroende_av_klimat*VLOOKUP($A162,Leveranser_per_nät,'Leveranser per nät'!G$1,FALSE)/VLOOKUP($B162,Korrigeringsfaktor_EI,'Korrigeringsfaktor EI'!G$1,FALSE),
"")</f>
        <v>23.523076923076921</v>
      </c>
      <c r="H162" s="18">
        <f>IFERROR(
                  Andel_oberoende_av_klimat*VLOOKUP($A162,Leveranser_per_nät,'Leveranser per nät'!H$1,FALSE)
               +Andel_beroende_av_klimat*VLOOKUP($A162,Leveranser_per_nät,'Leveranser per nät'!H$1,FALSE)/VLOOKUP($B162,Korrigeringsfaktor_EI,'Korrigeringsfaktor EI'!H$1,FALSE),
"")</f>
        <v>24.342857142857142</v>
      </c>
      <c r="I162" s="18">
        <f>IFERROR(
                  Andel_oberoende_av_klimat*VLOOKUP($A162,Leveranser_per_nät,'Leveranser per nät'!I$1,FALSE)
               +Andel_beroende_av_klimat*VLOOKUP($A162,Leveranser_per_nät,'Leveranser per nät'!I$1,FALSE)/VLOOKUP($B162,Korrigeringsfaktor_EI,'Korrigeringsfaktor EI'!I$1,FALSE),
"")</f>
        <v>23.847368421052632</v>
      </c>
      <c r="J162" s="18">
        <f>IFERROR(
                  Andel_oberoende_av_klimat*VLOOKUP($A162,Leveranser_per_nät,'Leveranser per nät'!J$1,FALSE)
               +Andel_beroende_av_klimat*VLOOKUP($A162,Leveranser_per_nät,'Leveranser per nät'!J$1,FALSE)/VLOOKUP($B162,Korrigeringsfaktor_EI,'Korrigeringsfaktor EI'!J$1,FALSE),
"")</f>
        <v>24.519587628865978</v>
      </c>
      <c r="K162" s="18">
        <f>IFERROR(
                  Andel_oberoende_av_klimat*VLOOKUP($A162,Leveranser_per_nät,'Leveranser per nät'!K$1,FALSE)
               +Andel_beroende_av_klimat*VLOOKUP($A162,Leveranser_per_nät,'Leveranser per nät'!K$1,FALSE)/VLOOKUP($B162,Korrigeringsfaktor_EI,'Korrigeringsfaktor EI'!K$1,FALSE),
"")</f>
        <v>12.52848762886598</v>
      </c>
      <c r="L162" s="18">
        <f>IFERROR(
                  Andel_oberoende_av_klimat*VLOOKUP($A162,Leveranser_per_nät,'Leveranser per nät'!L$1,FALSE)
               +Andel_beroende_av_klimat*VLOOKUP($A162,Leveranser_per_nät,'Leveranser per nät'!L$1,FALSE)/VLOOKUP($B162,Korrigeringsfaktor_EI,'Korrigeringsfaktor EI'!L$1,FALSE),
"")</f>
        <v>23.910759139784943</v>
      </c>
      <c r="M162" s="18">
        <f>IFERROR(
                  Andel_oberoende_av_klimat*VLOOKUP($A162,Leveranser_per_nät,'Leveranser per nät'!M$1,FALSE)
               +Andel_beroende_av_klimat*VLOOKUP($A162,Leveranser_per_nät,'Leveranser per nät'!M$1,FALSE)/VLOOKUP($B162,Korrigeringsfaktor_EI,'Korrigeringsfaktor EI'!M$1,FALSE),
"")</f>
        <v>24.949430769230773</v>
      </c>
      <c r="N162" s="18">
        <f>IFERROR(
                  Andel_oberoende_av_klimat*VLOOKUP($A162,Leveranser_per_nät,'Leveranser per nät'!N$1,FALSE)
               +Andel_beroende_av_klimat*VLOOKUP($A162,Leveranser_per_nät,'Leveranser per nät'!N$1,FALSE)/VLOOKUP($B162,Korrigeringsfaktor_EI,'Korrigeringsfaktor EI'!N$1,FALSE),
"")</f>
        <v>0</v>
      </c>
      <c r="O162" s="18">
        <f>IFERROR(
                  Andel_oberoende_av_klimat*VLOOKUP($A162,Leveranser_per_nät,'Leveranser per nät'!O$1,FALSE)
               +Andel_beroende_av_klimat*VLOOKUP($A162,Leveranser_per_nät,'Leveranser per nät'!O$1,FALSE)/VLOOKUP($B162,Korrigeringsfaktor_EI,'Korrigeringsfaktor EI'!O$1,FALSE),
"")</f>
        <v>0</v>
      </c>
      <c r="P162" s="18">
        <f>IFERROR(
                  Andel_oberoende_av_klimat*VLOOKUP($A162,Leveranser_per_nät,'Leveranser per nät'!P$1,FALSE)
               +Andel_beroende_av_klimat*VLOOKUP($A162,Leveranser_per_nät,'Leveranser per nät'!P$1,FALSE)/VLOOKUP($B162,Korrigeringsfaktor_EI,'Korrigeringsfaktor EI'!P$1,FALSE),
"")</f>
        <v>0</v>
      </c>
      <c r="Q162" s="18">
        <f>IFERROR(
                  Andel_oberoende_av_klimat*VLOOKUP($A162,Leveranser_per_nät,'Leveranser per nät'!Q$1,FALSE)
               +Andel_beroende_av_klimat*VLOOKUP($A162,Leveranser_per_nät,'Leveranser per nät'!Q$1,FALSE)/VLOOKUP($B162,Korrigeringsfaktor_EI,'Korrigeringsfaktor EI'!Q$1,FALSE),
"")</f>
        <v>0</v>
      </c>
      <c r="R162" s="18">
        <f>IFERROR(
                  Andel_oberoende_av_klimat*VLOOKUP($A162,Leveranser_per_nät,'Leveranser per nät'!R$1,FALSE)
               +Andel_beroende_av_klimat*VLOOKUP($A162,Leveranser_per_nät,'Leveranser per nät'!R$1,FALSE)/VLOOKUP($B162,Korrigeringsfaktor_EI,'Korrigeringsfaktor EI'!R$1,FALSE),
"")</f>
        <v>0</v>
      </c>
      <c r="S162" s="18">
        <f>IFERROR(
                  Andel_oberoende_av_klimat*VLOOKUP($A162,Leveranser_per_nät,'Leveranser per nät'!S$1,FALSE)
               +Andel_beroende_av_klimat*VLOOKUP($A162,Leveranser_per_nät,'Leveranser per nät'!S$1,FALSE)/VLOOKUP($B162,Korrigeringsfaktor_EI,'Korrigeringsfaktor EI'!S$1,FALSE),
"")</f>
        <v>0</v>
      </c>
      <c r="T162" s="18" t="str">
        <f>IFERROR(
                  Andel_oberoende_av_klimat*VLOOKUP($A162,Leveranser_per_nät,'Leveranser per nät'!T$1,FALSE)
               +Andel_beroende_av_klimat*VLOOKUP($A162,Leveranser_per_nät,'Leveranser per nät'!T$1,FALSE)/VLOOKUP($B162,Korrigeringsfaktor_EI,'Korrigeringsfaktor EI'!T$1,FALSE),
"")</f>
        <v/>
      </c>
      <c r="U162" s="18" t="str">
        <f>IFERROR(
                  Andel_oberoende_av_klimat*VLOOKUP($A162,Leveranser_per_nät,'Leveranser per nät'!U$1,FALSE)
               +Andel_beroende_av_klimat*VLOOKUP($A162,Leveranser_per_nät,'Leveranser per nät'!U$1,FALSE)/VLOOKUP($B162,Korrigeringsfaktor_EI,'Korrigeringsfaktor EI'!U$1,FALSE),
"")</f>
        <v/>
      </c>
      <c r="V162" s="18" t="str">
        <f>IFERROR(
                  Andel_oberoende_av_klimat*VLOOKUP($A162,Leveranser_per_nät,'Leveranser per nät'!V$1,FALSE)
               +Andel_beroende_av_klimat*VLOOKUP($A162,Leveranser_per_nät,'Leveranser per nät'!V$1,FALSE)/VLOOKUP($B162,Korrigeringsfaktor_EI,'Korrigeringsfaktor EI'!V$1,FALSE),
"")</f>
        <v/>
      </c>
      <c r="W162" s="18" t="str">
        <f>IFERROR(
                  Andel_oberoende_av_klimat*VLOOKUP($A162,Leveranser_per_nät,'Leveranser per nät'!W$1,FALSE)
               +Andel_beroende_av_klimat*VLOOKUP($A162,Leveranser_per_nät,'Leveranser per nät'!W$1,FALSE)/VLOOKUP($B162,Korrigeringsfaktor_EI,'Korrigeringsfaktor EI'!W$1,FALSE),
"")</f>
        <v/>
      </c>
      <c r="X162" s="18" t="str">
        <f>IFERROR(
                  Andel_oberoende_av_klimat*VLOOKUP($A162,Leveranser_per_nät,'Leveranser per nät'!X$1,FALSE)
               +Andel_beroende_av_klimat*VLOOKUP($A162,Leveranser_per_nät,'Leveranser per nät'!X$1,FALSE)/VLOOKUP($B162,Korrigeringsfaktor_EI,'Korrigeringsfaktor EI'!X$1,FALSE),
"")</f>
        <v/>
      </c>
      <c r="Y162" s="18" t="str">
        <f>IFERROR(
                  Andel_oberoende_av_klimat*VLOOKUP($A162,Leveranser_per_nät,'Leveranser per nät'!Y$1,FALSE)
               +Andel_beroende_av_klimat*VLOOKUP($A162,Leveranser_per_nät,'Leveranser per nät'!Y$1,FALSE)/VLOOKUP($B162,Korrigeringsfaktor_EI,'Korrigeringsfaktor EI'!Y$1,FALSE),
"")</f>
        <v/>
      </c>
      <c r="Z162" s="18">
        <f>IFERROR(
                  Andel_oberoende_av_klimat*VLOOKUP($A162,Leveranser_per_nät,'Leveranser per nät'!Z$1,FALSE)
               +Andel_beroende_av_klimat*VLOOKUP($A162,Leveranser_per_nät,'Leveranser per nät'!Z$1,FALSE)/VLOOKUP($B162,Korrigeringsfaktor_EI,'Korrigeringsfaktor EI'!Z$1,FALSE),
"")</f>
        <v>0</v>
      </c>
      <c r="AA162" s="18" t="str">
        <f>IFERROR(
                  Andel_oberoende_av_klimat*VLOOKUP($A162,Leveranser_per_nät,'Leveranser per nät'!AA$1,FALSE)
               +Andel_beroende_av_klimat*VLOOKUP($A162,Leveranser_per_nät,'Leveranser per nät'!AA$1,FALSE)/VLOOKUP($B162,Korrigeringsfaktor_EI,'Korrigeringsfaktor EI'!AA$1,FALSE),
"")</f>
        <v/>
      </c>
      <c r="AB162" s="18">
        <f>IFERROR(
                  Andel_oberoende_av_klimat*VLOOKUP($A162,Leveranser_per_nät,'Leveranser per nät'!AB$1,FALSE)
               +Andel_beroende_av_klimat*VLOOKUP($A162,Leveranser_per_nät,'Leveranser per nät'!AB$1,FALSE)/VLOOKUP($B162,Korrigeringsfaktor_EI,'Korrigeringsfaktor EI'!AB$1,FALSE),
"")</f>
        <v>0</v>
      </c>
      <c r="AC162" s="18">
        <f>IFERROR(
                  Andel_oberoende_av_klimat*VLOOKUP($A162,Leveranser_per_nät,'Leveranser per nät'!AC$1,FALSE)
               +Andel_beroende_av_klimat*VLOOKUP($A162,Leveranser_per_nät,'Leveranser per nät'!AC$1,FALSE)/VLOOKUP($B162,Korrigeringsfaktor_EI,'Korrigeringsfaktor EI'!AC$1,FALSE),
"")</f>
        <v>0</v>
      </c>
      <c r="AD162" t="e">
        <v>#N/A</v>
      </c>
    </row>
    <row r="163" spans="1:30" x14ac:dyDescent="0.25">
      <c r="A163" t="s">
        <v>125</v>
      </c>
      <c r="B163" t="s">
        <v>125</v>
      </c>
      <c r="C163" s="18">
        <f>IFERROR(
                  Andel_oberoende_av_klimat*VLOOKUP($A163,Leveranser_per_nät,'Leveranser per nät'!C$1,FALSE)
               +Andel_beroende_av_klimat*VLOOKUP($A163,Leveranser_per_nät,'Leveranser per nät'!C$1,FALSE)/VLOOKUP("Filipstad",Korrigeringsfaktor_EI,'Korrigeringsfaktor EI'!C$1,FALSE),
"")</f>
        <v>0</v>
      </c>
      <c r="D163" s="18">
        <f>IFERROR(
                  Andel_oberoende_av_klimat*VLOOKUP($A163,Leveranser_per_nät,'Leveranser per nät'!D$1,FALSE)
               +Andel_beroende_av_klimat*VLOOKUP($A163,Leveranser_per_nät,'Leveranser per nät'!D$1,FALSE)/VLOOKUP("Filipstad",Korrigeringsfaktor_EI,'Korrigeringsfaktor EI'!D$1,FALSE),
"")</f>
        <v>0</v>
      </c>
      <c r="E163" s="18">
        <f>IFERROR(
                  Andel_oberoende_av_klimat*VLOOKUP($A163,Leveranser_per_nät,'Leveranser per nät'!E$1,FALSE)
               +Andel_beroende_av_klimat*VLOOKUP($A163,Leveranser_per_nät,'Leveranser per nät'!E$1,FALSE)/VLOOKUP("Filipstad",Korrigeringsfaktor_EI,'Korrigeringsfaktor EI'!E$1,FALSE),
"")</f>
        <v>0</v>
      </c>
      <c r="F163" s="18">
        <f>IFERROR(
                  Andel_oberoende_av_klimat*VLOOKUP($A163,Leveranser_per_nät,'Leveranser per nät'!F$1,FALSE)
               +Andel_beroende_av_klimat*VLOOKUP($A163,Leveranser_per_nät,'Leveranser per nät'!F$1,FALSE)/VLOOKUP("Filipstad",Korrigeringsfaktor_EI,'Korrigeringsfaktor EI'!F$1,FALSE),
"")</f>
        <v>41.289898989898994</v>
      </c>
      <c r="G163" s="18">
        <f>IFERROR(
                  Andel_oberoende_av_klimat*VLOOKUP($A163,Leveranser_per_nät,'Leveranser per nät'!G$1,FALSE)
               +Andel_beroende_av_klimat*VLOOKUP($A163,Leveranser_per_nät,'Leveranser per nät'!G$1,FALSE)/VLOOKUP("Filipstad",Korrigeringsfaktor_EI,'Korrigeringsfaktor EI'!G$1,FALSE),
"")</f>
        <v>36.644444444444439</v>
      </c>
      <c r="H163" s="18">
        <f>IFERROR(
                  Andel_oberoende_av_klimat*VLOOKUP($A163,Leveranser_per_nät,'Leveranser per nät'!H$1,FALSE)
               +Andel_beroende_av_klimat*VLOOKUP($A163,Leveranser_per_nät,'Leveranser per nät'!H$1,FALSE)/VLOOKUP("Filipstad",Korrigeringsfaktor_EI,'Korrigeringsfaktor EI'!H$1,FALSE),
"")</f>
        <v>35.750495049504948</v>
      </c>
      <c r="I163" s="18">
        <f>IFERROR(
                  Andel_oberoende_av_klimat*VLOOKUP($A163,Leveranser_per_nät,'Leveranser per nät'!I$1,FALSE)
               +Andel_beroende_av_klimat*VLOOKUP($A163,Leveranser_per_nät,'Leveranser per nät'!I$1,FALSE)/VLOOKUP("Filipstad",Korrigeringsfaktor_EI,'Korrigeringsfaktor EI'!I$1,FALSE),
"")</f>
        <v>49.039175257731955</v>
      </c>
      <c r="J163" s="18">
        <f>IFERROR(
                  Andel_oberoende_av_klimat*VLOOKUP($A163,Leveranser_per_nät,'Leveranser per nät'!J$1,FALSE)
               +Andel_beroende_av_klimat*VLOOKUP($A163,Leveranser_per_nät,'Leveranser per nät'!J$1,FALSE)/VLOOKUP("Filipstad",Korrigeringsfaktor_EI,'Korrigeringsfaktor EI'!J$1,FALSE),
"")</f>
        <v>53.757142857142853</v>
      </c>
      <c r="K163" s="18">
        <f>IFERROR(
                  Andel_oberoende_av_klimat*VLOOKUP($A163,Leveranser_per_nät,'Leveranser per nät'!K$1,FALSE)
               +Andel_beroende_av_klimat*VLOOKUP($A163,Leveranser_per_nät,'Leveranser per nät'!K$1,FALSE)/VLOOKUP("Filipstad",Korrigeringsfaktor_EI,'Korrigeringsfaktor EI'!K$1,FALSE),
"")</f>
        <v>0</v>
      </c>
      <c r="L163" s="18">
        <f>IFERROR(
                  Andel_oberoende_av_klimat*VLOOKUP($A163,Leveranser_per_nät,'Leveranser per nät'!L$1,FALSE)
               +Andel_beroende_av_klimat*VLOOKUP($A163,Leveranser_per_nät,'Leveranser per nät'!L$1,FALSE)/VLOOKUP("Filipstad",Korrigeringsfaktor_EI,'Korrigeringsfaktor EI'!L$1,FALSE),
"")</f>
        <v>0</v>
      </c>
      <c r="M163" s="18">
        <f>IFERROR(
                  Andel_oberoende_av_klimat*VLOOKUP($A163,Leveranser_per_nät,'Leveranser per nät'!M$1,FALSE)
               +Andel_beroende_av_klimat*VLOOKUP($A163,Leveranser_per_nät,'Leveranser per nät'!M$1,FALSE)/VLOOKUP("Filipstad",Korrigeringsfaktor_EI,'Korrigeringsfaktor EI'!M$1,FALSE),
"")</f>
        <v>0</v>
      </c>
      <c r="N163" s="18">
        <f>IFERROR(
                  Andel_oberoende_av_klimat*VLOOKUP($A163,Leveranser_per_nät,'Leveranser per nät'!N$1,FALSE)
               +Andel_beroende_av_klimat*VLOOKUP($A163,Leveranser_per_nät,'Leveranser per nät'!N$1,FALSE)/VLOOKUP("Filipstad",Korrigeringsfaktor_EI,'Korrigeringsfaktor EI'!N$1,FALSE),
"")</f>
        <v>0</v>
      </c>
      <c r="O163" s="18">
        <f>IFERROR(
                  Andel_oberoende_av_klimat*VLOOKUP($A163,Leveranser_per_nät,'Leveranser per nät'!O$1,FALSE)
               +Andel_beroende_av_klimat*VLOOKUP($A163,Leveranser_per_nät,'Leveranser per nät'!O$1,FALSE)/VLOOKUP("Filipstad",Korrigeringsfaktor_EI,'Korrigeringsfaktor EI'!O$1,FALSE),
"")</f>
        <v>47.687692307692309</v>
      </c>
      <c r="P163" s="18">
        <f>IFERROR(
                  Andel_oberoende_av_klimat*VLOOKUP($A163,Leveranser_per_nät,'Leveranser per nät'!P$1,FALSE)
               +Andel_beroende_av_klimat*VLOOKUP($A163,Leveranser_per_nät,'Leveranser per nät'!P$1,FALSE)/VLOOKUP("Filipstad",Korrigeringsfaktor_EI,'Korrigeringsfaktor EI'!P$1,FALSE),
"")</f>
        <v>45.56556701030928</v>
      </c>
      <c r="Q163" s="18">
        <f>IFERROR(
                  Andel_oberoende_av_klimat*VLOOKUP($A163,Leveranser_per_nät,'Leveranser per nät'!Q$1,FALSE)
               +Andel_beroende_av_klimat*VLOOKUP($A163,Leveranser_per_nät,'Leveranser per nät'!Q$1,FALSE)/VLOOKUP("Filipstad",Korrigeringsfaktor_EI,'Korrigeringsfaktor EI'!Q$1,FALSE),
"")</f>
        <v>47.49659735675678</v>
      </c>
      <c r="R163" s="18">
        <f>IFERROR(
                  Andel_oberoende_av_klimat*VLOOKUP($A163,Leveranser_per_nät,'Leveranser per nät'!R$1,FALSE)
               +Andel_beroende_av_klimat*VLOOKUP($A163,Leveranser_per_nät,'Leveranser per nät'!R$1,FALSE)/VLOOKUP("Filipstad",Korrigeringsfaktor_EI,'Korrigeringsfaktor EI'!R$1,FALSE),
"")</f>
        <v>44.964361538461539</v>
      </c>
      <c r="S163" s="18">
        <f>IFERROR(
                  Andel_oberoende_av_klimat*VLOOKUP($A163,Leveranser_per_nät,'Leveranser per nät'!S$1,FALSE)
               +Andel_beroende_av_klimat*VLOOKUP($A163,Leveranser_per_nät,'Leveranser per nät'!S$1,FALSE)/VLOOKUP("Filipstad",Korrigeringsfaktor_EI,'Korrigeringsfaktor EI'!S$1,FALSE),
"")</f>
        <v>43.695049504950497</v>
      </c>
      <c r="T163" s="18">
        <f>IFERROR(
                  Andel_oberoende_av_klimat*VLOOKUP($A163,Leveranser_per_nät,'Leveranser per nät'!T$1,FALSE)
               +Andel_beroende_av_klimat*VLOOKUP($A163,Leveranser_per_nät,'Leveranser per nät'!T$1,FALSE)/VLOOKUP("Filipstad",Korrigeringsfaktor_EI,'Korrigeringsfaktor EI'!T$1,FALSE),
"")</f>
        <v>43.074741666666668</v>
      </c>
      <c r="U163" s="18">
        <f>IFERROR(
                  Andel_oberoende_av_klimat*VLOOKUP($A163,Leveranser_per_nät,'Leveranser per nät'!U$1,FALSE)
               +Andel_beroende_av_klimat*VLOOKUP($A163,Leveranser_per_nät,'Leveranser per nät'!U$1,FALSE)/VLOOKUP("Filipstad",Korrigeringsfaktor_EI,'Korrigeringsfaktor EI'!U$1,FALSE),
"")</f>
        <v>40.909750000000003</v>
      </c>
      <c r="V163" s="18">
        <f>IFERROR(
                  Andel_oberoende_av_klimat*VLOOKUP($A163,Leveranser_per_nät,'Leveranser per nät'!V$1,FALSE)
               +Andel_beroende_av_klimat*VLOOKUP($A163,Leveranser_per_nät,'Leveranser per nät'!V$1,FALSE)/VLOOKUP("Filipstad",Korrigeringsfaktor_EI,'Korrigeringsfaktor EI'!V$1,FALSE),
"")</f>
        <v>38.92542608695652</v>
      </c>
      <c r="W163" s="18">
        <f>IFERROR(
                  Andel_oberoende_av_klimat*VLOOKUP($A163,Leveranser_per_nät,'Leveranser per nät'!W$1,FALSE)
               +Andel_beroende_av_klimat*VLOOKUP($A163,Leveranser_per_nät,'Leveranser per nät'!W$1,FALSE)/VLOOKUP("Filipstad",Korrigeringsfaktor_EI,'Korrigeringsfaktor EI'!W$1,FALSE),
"")</f>
        <v>38.738494736842114</v>
      </c>
      <c r="X163" s="18">
        <f>IFERROR(
                  Andel_oberoende_av_klimat*VLOOKUP($A163,Leveranser_per_nät,'Leveranser per nät'!X$1,FALSE)
               +Andel_beroende_av_klimat*VLOOKUP($A163,Leveranser_per_nät,'Leveranser per nät'!X$1,FALSE)/VLOOKUP("Filipstad",Korrigeringsfaktor_EI,'Korrigeringsfaktor EI'!X$1,FALSE),
"")</f>
        <v>34.696295833333338</v>
      </c>
      <c r="Y163" s="18">
        <f>IFERROR(
                  Andel_oberoende_av_klimat*VLOOKUP($A163,Leveranser_per_nät,'Leveranser per nät'!Y$1,FALSE)
               +Andel_beroende_av_klimat*VLOOKUP($A163,Leveranser_per_nät,'Leveranser per nät'!Y$1,FALSE)/VLOOKUP($B163,Korrigeringsfaktor_EI,'Korrigeringsfaktor EI'!Y$1,FALSE),
"")</f>
        <v>35.475591397849463</v>
      </c>
      <c r="Z163" s="18">
        <f>IFERROR(
                  Andel_oberoende_av_klimat*VLOOKUP($A163,Leveranser_per_nät,'Leveranser per nät'!Z$1,FALSE)
               +Andel_beroende_av_klimat*VLOOKUP($A163,Leveranser_per_nät,'Leveranser per nät'!Z$1,FALSE)/VLOOKUP($B163,Korrigeringsfaktor_EI,'Korrigeringsfaktor EI'!Z$1,FALSE),
"")</f>
        <v>34.430272043010753</v>
      </c>
      <c r="AA163" s="18">
        <f>IFERROR(
                  Andel_oberoende_av_klimat*VLOOKUP($A163,Leveranser_per_nät,'Leveranser per nät'!AA$1,FALSE)
               +Andel_beroende_av_klimat*VLOOKUP($A163,Leveranser_per_nät,'Leveranser per nät'!AA$1,FALSE)/VLOOKUP($B163,Korrigeringsfaktor_EI,'Korrigeringsfaktor EI'!AA$1,FALSE),
"")</f>
        <v>27.237261903642775</v>
      </c>
      <c r="AB163" s="18">
        <f>IFERROR(
                  Andel_oberoende_av_klimat*VLOOKUP($A163,Leveranser_per_nät,'Leveranser per nät'!AB$1,FALSE)
               +Andel_beroende_av_klimat*VLOOKUP($A163,Leveranser_per_nät,'Leveranser per nät'!AB$1,FALSE)/VLOOKUP($B163,Korrigeringsfaktor_EI,'Korrigeringsfaktor EI'!AB$1,FALSE),
"")</f>
        <v>27.27173067729084</v>
      </c>
      <c r="AC163" s="18">
        <f>IFERROR(
                  Andel_oberoende_av_klimat*VLOOKUP($A163,Leveranser_per_nät,'Leveranser per nät'!AC$1,FALSE)
               +Andel_beroende_av_klimat*VLOOKUP($A163,Leveranser_per_nät,'Leveranser per nät'!AC$1,FALSE)/VLOOKUP($B163,Korrigeringsfaktor_EI,'Korrigeringsfaktor EI'!AC$1,FALSE),
"")</f>
        <v>32.670665153115095</v>
      </c>
      <c r="AD163">
        <v>31.439</v>
      </c>
    </row>
    <row r="164" spans="1:30" x14ac:dyDescent="0.25">
      <c r="A164" t="s">
        <v>140</v>
      </c>
      <c r="B164" t="s">
        <v>139</v>
      </c>
      <c r="C164" s="18">
        <f>IFERROR(
                  Andel_oberoende_av_klimat*VLOOKUP($A164,Leveranser_per_nät,'Leveranser per nät'!C$1,FALSE)
               +Andel_beroende_av_klimat*VLOOKUP($A164,Leveranser_per_nät,'Leveranser per nät'!C$1,FALSE)/VLOOKUP($B164,Korrigeringsfaktor_EI,'Korrigeringsfaktor EI'!C$1,FALSE),
"")</f>
        <v>0</v>
      </c>
      <c r="D164" s="18">
        <f>IFERROR(
                  Andel_oberoende_av_klimat*VLOOKUP($A164,Leveranser_per_nät,'Leveranser per nät'!D$1,FALSE)
               +Andel_beroende_av_klimat*VLOOKUP($A164,Leveranser_per_nät,'Leveranser per nät'!D$1,FALSE)/VLOOKUP($B164,Korrigeringsfaktor_EI,'Korrigeringsfaktor EI'!D$1,FALSE),
"")</f>
        <v>0</v>
      </c>
      <c r="E164" s="18">
        <f>IFERROR(
                  Andel_oberoende_av_klimat*VLOOKUP($A164,Leveranser_per_nät,'Leveranser per nät'!E$1,FALSE)
               +Andel_beroende_av_klimat*VLOOKUP($A164,Leveranser_per_nät,'Leveranser per nät'!E$1,FALSE)/VLOOKUP($B164,Korrigeringsfaktor_EI,'Korrigeringsfaktor EI'!E$1,FALSE),
"")</f>
        <v>2.9588235294117649</v>
      </c>
      <c r="F164" s="18">
        <f>IFERROR(
                  Andel_oberoende_av_klimat*VLOOKUP($A164,Leveranser_per_nät,'Leveranser per nät'!F$1,FALSE)
               +Andel_beroende_av_klimat*VLOOKUP($A164,Leveranser_per_nät,'Leveranser per nät'!F$1,FALSE)/VLOOKUP($B164,Korrigeringsfaktor_EI,'Korrigeringsfaktor EI'!F$1,FALSE),
"")</f>
        <v>2.5574791666666665</v>
      </c>
      <c r="G164" s="18">
        <f>IFERROR(
                  Andel_oberoende_av_klimat*VLOOKUP($A164,Leveranser_per_nät,'Leveranser per nät'!G$1,FALSE)
               +Andel_beroende_av_klimat*VLOOKUP($A164,Leveranser_per_nät,'Leveranser per nät'!G$1,FALSE)/VLOOKUP($B164,Korrigeringsfaktor_EI,'Korrigeringsfaktor EI'!G$1,FALSE),
"")</f>
        <v>2.3581777777777777</v>
      </c>
      <c r="H164" s="18">
        <f>IFERROR(
                  Andel_oberoende_av_klimat*VLOOKUP($A164,Leveranser_per_nät,'Leveranser per nät'!H$1,FALSE)
               +Andel_beroende_av_klimat*VLOOKUP($A164,Leveranser_per_nät,'Leveranser per nät'!H$1,FALSE)/VLOOKUP($B164,Korrigeringsfaktor_EI,'Korrigeringsfaktor EI'!H$1,FALSE),
"")</f>
        <v>2.6560372549019609</v>
      </c>
      <c r="I164" s="18">
        <f>IFERROR(
                  Andel_oberoende_av_klimat*VLOOKUP($A164,Leveranser_per_nät,'Leveranser per nät'!I$1,FALSE)
               +Andel_beroende_av_klimat*VLOOKUP($A164,Leveranser_per_nät,'Leveranser per nät'!I$1,FALSE)/VLOOKUP($B164,Korrigeringsfaktor_EI,'Korrigeringsfaktor EI'!I$1,FALSE),
"")</f>
        <v>2.9619416666666671</v>
      </c>
      <c r="J164" s="18">
        <f>IFERROR(
                  Andel_oberoende_av_klimat*VLOOKUP($A164,Leveranser_per_nät,'Leveranser per nät'!J$1,FALSE)
               +Andel_beroende_av_klimat*VLOOKUP($A164,Leveranser_per_nät,'Leveranser per nät'!J$1,FALSE)/VLOOKUP($B164,Korrigeringsfaktor_EI,'Korrigeringsfaktor EI'!J$1,FALSE),
"")</f>
        <v>3.0649484536082472</v>
      </c>
      <c r="K164" s="18">
        <f>IFERROR(
                  Andel_oberoende_av_klimat*VLOOKUP($A164,Leveranser_per_nät,'Leveranser per nät'!K$1,FALSE)
               +Andel_beroende_av_klimat*VLOOKUP($A164,Leveranser_per_nät,'Leveranser per nät'!K$1,FALSE)/VLOOKUP($B164,Korrigeringsfaktor_EI,'Korrigeringsfaktor EI'!K$1,FALSE),
"")</f>
        <v>2.9770865979381447</v>
      </c>
      <c r="L164" s="18">
        <f>IFERROR(
                  Andel_oberoende_av_klimat*VLOOKUP($A164,Leveranser_per_nät,'Leveranser per nät'!L$1,FALSE)
               +Andel_beroende_av_klimat*VLOOKUP($A164,Leveranser_per_nät,'Leveranser per nät'!L$1,FALSE)/VLOOKUP($B164,Korrigeringsfaktor_EI,'Korrigeringsfaktor EI'!L$1,FALSE),
"")</f>
        <v>3.0442000000000005</v>
      </c>
      <c r="M164" s="18">
        <f>IFERROR(
                  Andel_oberoende_av_klimat*VLOOKUP($A164,Leveranser_per_nät,'Leveranser per nät'!M$1,FALSE)
               +Andel_beroende_av_klimat*VLOOKUP($A164,Leveranser_per_nät,'Leveranser per nät'!M$1,FALSE)/VLOOKUP($B164,Korrigeringsfaktor_EI,'Korrigeringsfaktor EI'!M$1,FALSE),
"")</f>
        <v>3.0118086956521739</v>
      </c>
      <c r="N164" s="18">
        <f>IFERROR(
                  Andel_oberoende_av_klimat*VLOOKUP($A164,Leveranser_per_nät,'Leveranser per nät'!N$1,FALSE)
               +Andel_beroende_av_klimat*VLOOKUP($A164,Leveranser_per_nät,'Leveranser per nät'!N$1,FALSE)/VLOOKUP($B164,Korrigeringsfaktor_EI,'Korrigeringsfaktor EI'!N$1,FALSE),
"")</f>
        <v>3.0479555555555553</v>
      </c>
      <c r="O164" s="18">
        <f>IFERROR(
                  Andel_oberoende_av_klimat*VLOOKUP($A164,Leveranser_per_nät,'Leveranser per nät'!O$1,FALSE)
               +Andel_beroende_av_klimat*VLOOKUP($A164,Leveranser_per_nät,'Leveranser per nät'!O$1,FALSE)/VLOOKUP($B164,Korrigeringsfaktor_EI,'Korrigeringsfaktor EI'!O$1,FALSE),
"")</f>
        <v>3.1443797752808988</v>
      </c>
      <c r="P164" s="18">
        <f>IFERROR(
                  Andel_oberoende_av_klimat*VLOOKUP($A164,Leveranser_per_nät,'Leveranser per nät'!P$1,FALSE)
               +Andel_beroende_av_klimat*VLOOKUP($A164,Leveranser_per_nät,'Leveranser per nät'!P$1,FALSE)/VLOOKUP($B164,Korrigeringsfaktor_EI,'Korrigeringsfaktor EI'!P$1,FALSE),
"")</f>
        <v>3.0985234042553196</v>
      </c>
      <c r="Q164" s="18">
        <f>IFERROR(
                  Andel_oberoende_av_klimat*VLOOKUP($A164,Leveranser_per_nät,'Leveranser per nät'!Q$1,FALSE)
               +Andel_beroende_av_klimat*VLOOKUP($A164,Leveranser_per_nät,'Leveranser per nät'!Q$1,FALSE)/VLOOKUP($B164,Korrigeringsfaktor_EI,'Korrigeringsfaktor EI'!Q$1,FALSE),
"")</f>
        <v>3.1782999999999997</v>
      </c>
      <c r="R164" s="18">
        <f>IFERROR(
                  Andel_oberoende_av_klimat*VLOOKUP($A164,Leveranser_per_nät,'Leveranser per nät'!R$1,FALSE)
               +Andel_beroende_av_klimat*VLOOKUP($A164,Leveranser_per_nät,'Leveranser per nät'!R$1,FALSE)/VLOOKUP($B164,Korrigeringsfaktor_EI,'Korrigeringsfaktor EI'!R$1,FALSE),
"")</f>
        <v>3.0302955056179774</v>
      </c>
      <c r="S164" s="18">
        <f>IFERROR(
                  Andel_oberoende_av_klimat*VLOOKUP($A164,Leveranser_per_nät,'Leveranser per nät'!S$1,FALSE)
               +Andel_beroende_av_klimat*VLOOKUP($A164,Leveranser_per_nät,'Leveranser per nät'!S$1,FALSE)/VLOOKUP($B164,Korrigeringsfaktor_EI,'Korrigeringsfaktor EI'!S$1,FALSE),
"")</f>
        <v>2.971857142857143</v>
      </c>
      <c r="T164" s="18">
        <f>IFERROR(
                  Andel_oberoende_av_klimat*VLOOKUP($A164,Leveranser_per_nät,'Leveranser per nät'!T$1,FALSE)
               +Andel_beroende_av_klimat*VLOOKUP($A164,Leveranser_per_nät,'Leveranser per nät'!T$1,FALSE)/VLOOKUP($B164,Korrigeringsfaktor_EI,'Korrigeringsfaktor EI'!T$1,FALSE),
"")</f>
        <v>2.8497625000000002</v>
      </c>
      <c r="U164" s="18">
        <f>IFERROR(
                  Andel_oberoende_av_klimat*VLOOKUP($A164,Leveranser_per_nät,'Leveranser per nät'!U$1,FALSE)
               +Andel_beroende_av_klimat*VLOOKUP($A164,Leveranser_per_nät,'Leveranser per nät'!U$1,FALSE)/VLOOKUP($B164,Korrigeringsfaktor_EI,'Korrigeringsfaktor EI'!U$1,FALSE),
"")</f>
        <v>2.7614942528735633</v>
      </c>
      <c r="V164" s="18">
        <f>IFERROR(
                  Andel_oberoende_av_klimat*VLOOKUP($A164,Leveranser_per_nät,'Leveranser per nät'!V$1,FALSE)
               +Andel_beroende_av_klimat*VLOOKUP($A164,Leveranser_per_nät,'Leveranser per nät'!V$1,FALSE)/VLOOKUP($B164,Korrigeringsfaktor_EI,'Korrigeringsfaktor EI'!V$1,FALSE),
"")</f>
        <v>2.8022222222222224</v>
      </c>
      <c r="W164" s="18">
        <f>IFERROR(
                  Andel_oberoende_av_klimat*VLOOKUP($A164,Leveranser_per_nät,'Leveranser per nät'!W$1,FALSE)
               +Andel_beroende_av_klimat*VLOOKUP($A164,Leveranser_per_nät,'Leveranser per nät'!W$1,FALSE)/VLOOKUP($B164,Korrigeringsfaktor_EI,'Korrigeringsfaktor EI'!W$1,FALSE),
"")</f>
        <v>2.8206382978723403</v>
      </c>
      <c r="X164" s="18">
        <f>IFERROR(
                  Andel_oberoende_av_klimat*VLOOKUP($A164,Leveranser_per_nät,'Leveranser per nät'!X$1,FALSE)
               +Andel_beroende_av_klimat*VLOOKUP($A164,Leveranser_per_nät,'Leveranser per nät'!X$1,FALSE)/VLOOKUP($B164,Korrigeringsfaktor_EI,'Korrigeringsfaktor EI'!X$1,FALSE),
"")</f>
        <v>2.7582608695652171</v>
      </c>
      <c r="Y164" s="18">
        <f>IFERROR(
                  Andel_oberoende_av_klimat*VLOOKUP($A164,Leveranser_per_nät,'Leveranser per nät'!Y$1,FALSE)
               +Andel_beroende_av_klimat*VLOOKUP($A164,Leveranser_per_nät,'Leveranser per nät'!Y$1,FALSE)/VLOOKUP($B164,Korrigeringsfaktor_EI,'Korrigeringsfaktor EI'!Y$1,FALSE),
"")</f>
        <v>2.7192333333333334</v>
      </c>
      <c r="Z164" s="18">
        <f>IFERROR(
                  Andel_oberoende_av_klimat*VLOOKUP($A164,Leveranser_per_nät,'Leveranser per nät'!Z$1,FALSE)
               +Andel_beroende_av_klimat*VLOOKUP($A164,Leveranser_per_nät,'Leveranser per nät'!Z$1,FALSE)/VLOOKUP($B164,Korrigeringsfaktor_EI,'Korrigeringsfaktor EI'!Z$1,FALSE),
"")</f>
        <v>2.6087269662921346</v>
      </c>
      <c r="AA164" s="18">
        <f>IFERROR(
                  Andel_oberoende_av_klimat*VLOOKUP($A164,Leveranser_per_nät,'Leveranser per nät'!AA$1,FALSE)
               +Andel_beroende_av_klimat*VLOOKUP($A164,Leveranser_per_nät,'Leveranser per nät'!AA$1,FALSE)/VLOOKUP($B164,Korrigeringsfaktor_EI,'Korrigeringsfaktor EI'!AA$1,FALSE),
"")</f>
        <v>2.6093271186440674</v>
      </c>
      <c r="AB164" s="18">
        <f>IFERROR(
                  Andel_oberoende_av_klimat*VLOOKUP($A164,Leveranser_per_nät,'Leveranser per nät'!AB$1,FALSE)
               +Andel_beroende_av_klimat*VLOOKUP($A164,Leveranser_per_nät,'Leveranser per nät'!AB$1,FALSE)/VLOOKUP($B164,Korrigeringsfaktor_EI,'Korrigeringsfaktor EI'!AB$1,FALSE),
"")</f>
        <v>2.5692286282306163</v>
      </c>
      <c r="AC164" s="18">
        <f>IFERROR(
                  Andel_oberoende_av_klimat*VLOOKUP($A164,Leveranser_per_nät,'Leveranser per nät'!AC$1,FALSE)
               +Andel_beroende_av_klimat*VLOOKUP($A164,Leveranser_per_nät,'Leveranser per nät'!AC$1,FALSE)/VLOOKUP($B164,Korrigeringsfaktor_EI,'Korrigeringsfaktor EI'!AC$1,FALSE),
"")</f>
        <v>2.5053978494623657</v>
      </c>
      <c r="AD164">
        <v>110.8</v>
      </c>
    </row>
    <row r="165" spans="1:30" x14ac:dyDescent="0.25">
      <c r="A165" t="s">
        <v>150</v>
      </c>
      <c r="B165" t="s">
        <v>150</v>
      </c>
      <c r="C165" s="18">
        <f>IFERROR(
                  Andel_oberoende_av_klimat*VLOOKUP($A165,Leveranser_per_nät,'Leveranser per nät'!C$1,FALSE)
               +Andel_beroende_av_klimat*VLOOKUP($A165,Leveranser_per_nät,'Leveranser per nät'!C$1,FALSE)/VLOOKUP($B165,Korrigeringsfaktor_EI,'Korrigeringsfaktor EI'!C$1,FALSE),
"")</f>
        <v>145.96153846153845</v>
      </c>
      <c r="D165" s="18">
        <f>IFERROR(
                  Andel_oberoende_av_klimat*VLOOKUP($A165,Leveranser_per_nät,'Leveranser per nät'!D$1,FALSE)
               +Andel_beroende_av_klimat*VLOOKUP($A165,Leveranser_per_nät,'Leveranser per nät'!D$1,FALSE)/VLOOKUP($B165,Korrigeringsfaktor_EI,'Korrigeringsfaktor EI'!D$1,FALSE),
"")</f>
        <v>141.73631578947368</v>
      </c>
      <c r="E165" s="18">
        <f>IFERROR(
                  Andel_oberoende_av_klimat*VLOOKUP($A165,Leveranser_per_nät,'Leveranser per nät'!E$1,FALSE)
               +Andel_beroende_av_klimat*VLOOKUP($A165,Leveranser_per_nät,'Leveranser per nät'!E$1,FALSE)/VLOOKUP($B165,Korrigeringsfaktor_EI,'Korrigeringsfaktor EI'!E$1,FALSE),
"")</f>
        <v>140.02277227722772</v>
      </c>
      <c r="F165" s="18">
        <f>IFERROR(
                  Andel_oberoende_av_klimat*VLOOKUP($A165,Leveranser_per_nät,'Leveranser per nät'!F$1,FALSE)
               +Andel_beroende_av_klimat*VLOOKUP($A165,Leveranser_per_nät,'Leveranser per nät'!F$1,FALSE)/VLOOKUP($B165,Korrigeringsfaktor_EI,'Korrigeringsfaktor EI'!F$1,FALSE),
"")</f>
        <v>139.02814285714285</v>
      </c>
      <c r="G165" s="18">
        <f>IFERROR(
                  Andel_oberoende_av_klimat*VLOOKUP($A165,Leveranser_per_nät,'Leveranser per nät'!G$1,FALSE)
               +Andel_beroende_av_klimat*VLOOKUP($A165,Leveranser_per_nät,'Leveranser per nät'!G$1,FALSE)/VLOOKUP($B165,Korrigeringsfaktor_EI,'Korrigeringsfaktor EI'!G$1,FALSE),
"")</f>
        <v>140.06923076923076</v>
      </c>
      <c r="H165" s="18">
        <f>IFERROR(
                  Andel_oberoende_av_klimat*VLOOKUP($A165,Leveranser_per_nät,'Leveranser per nät'!H$1,FALSE)
               +Andel_beroende_av_klimat*VLOOKUP($A165,Leveranser_per_nät,'Leveranser per nät'!H$1,FALSE)/VLOOKUP($B165,Korrigeringsfaktor_EI,'Korrigeringsfaktor EI'!H$1,FALSE),
"")</f>
        <v>147.07142857142858</v>
      </c>
      <c r="I165" s="18">
        <f>IFERROR(
                  Andel_oberoende_av_klimat*VLOOKUP($A165,Leveranser_per_nät,'Leveranser per nät'!I$1,FALSE)
               +Andel_beroende_av_klimat*VLOOKUP($A165,Leveranser_per_nät,'Leveranser per nät'!I$1,FALSE)/VLOOKUP($B165,Korrigeringsfaktor_EI,'Korrigeringsfaktor EI'!I$1,FALSE),
"")</f>
        <v>144.16595744680853</v>
      </c>
      <c r="J165" s="18">
        <f>IFERROR(
                  Andel_oberoende_av_klimat*VLOOKUP($A165,Leveranser_per_nät,'Leveranser per nät'!J$1,FALSE)
               +Andel_beroende_av_klimat*VLOOKUP($A165,Leveranser_per_nät,'Leveranser per nät'!J$1,FALSE)/VLOOKUP($B165,Korrigeringsfaktor_EI,'Korrigeringsfaktor EI'!J$1,FALSE),
"")</f>
        <v>160.09099166666667</v>
      </c>
      <c r="K165" s="18">
        <f>IFERROR(
                  Andel_oberoende_av_klimat*VLOOKUP($A165,Leveranser_per_nät,'Leveranser per nät'!K$1,FALSE)
               +Andel_beroende_av_klimat*VLOOKUP($A165,Leveranser_per_nät,'Leveranser per nät'!K$1,FALSE)/VLOOKUP($B165,Korrigeringsfaktor_EI,'Korrigeringsfaktor EI'!K$1,FALSE),
"")</f>
        <v>145.33208421052632</v>
      </c>
      <c r="L165" s="18">
        <f>IFERROR(
                  Andel_oberoende_av_klimat*VLOOKUP($A165,Leveranser_per_nät,'Leveranser per nät'!L$1,FALSE)
               +Andel_beroende_av_klimat*VLOOKUP($A165,Leveranser_per_nät,'Leveranser per nät'!L$1,FALSE)/VLOOKUP($B165,Korrigeringsfaktor_EI,'Korrigeringsfaktor EI'!L$1,FALSE),
"")</f>
        <v>158.52927446808511</v>
      </c>
      <c r="M165" s="18">
        <f>IFERROR(
                  Andel_oberoende_av_klimat*VLOOKUP($A165,Leveranser_per_nät,'Leveranser per nät'!M$1,FALSE)
               +Andel_beroende_av_klimat*VLOOKUP($A165,Leveranser_per_nät,'Leveranser per nät'!M$1,FALSE)/VLOOKUP($B165,Korrigeringsfaktor_EI,'Korrigeringsfaktor EI'!M$1,FALSE),
"")</f>
        <v>161.55888888888887</v>
      </c>
      <c r="N165" s="18">
        <f>IFERROR(
                  Andel_oberoende_av_klimat*VLOOKUP($A165,Leveranser_per_nät,'Leveranser per nät'!N$1,FALSE)
               +Andel_beroende_av_klimat*VLOOKUP($A165,Leveranser_per_nät,'Leveranser per nät'!N$1,FALSE)/VLOOKUP($B165,Korrigeringsfaktor_EI,'Korrigeringsfaktor EI'!N$1,FALSE),
"")</f>
        <v>169.79384615384615</v>
      </c>
      <c r="O165" s="18">
        <f>IFERROR(
                  Andel_oberoende_av_klimat*VLOOKUP($A165,Leveranser_per_nät,'Leveranser per nät'!O$1,FALSE)
               +Andel_beroende_av_klimat*VLOOKUP($A165,Leveranser_per_nät,'Leveranser per nät'!O$1,FALSE)/VLOOKUP($B165,Korrigeringsfaktor_EI,'Korrigeringsfaktor EI'!O$1,FALSE),
"")</f>
        <v>167.05555555555557</v>
      </c>
      <c r="P165" s="18">
        <f>IFERROR(
                  Andel_oberoende_av_klimat*VLOOKUP($A165,Leveranser_per_nät,'Leveranser per nät'!P$1,FALSE)
               +Andel_beroende_av_klimat*VLOOKUP($A165,Leveranser_per_nät,'Leveranser per nät'!P$1,FALSE)/VLOOKUP($B165,Korrigeringsfaktor_EI,'Korrigeringsfaktor EI'!P$1,FALSE),
"")</f>
        <v>176.55106382978724</v>
      </c>
      <c r="Q165" s="18">
        <f>IFERROR(
                  Andel_oberoende_av_klimat*VLOOKUP($A165,Leveranser_per_nät,'Leveranser per nät'!Q$1,FALSE)
               +Andel_beroende_av_klimat*VLOOKUP($A165,Leveranser_per_nät,'Leveranser per nät'!Q$1,FALSE)/VLOOKUP($B165,Korrigeringsfaktor_EI,'Korrigeringsfaktor EI'!Q$1,FALSE),
"")</f>
        <v>188.11259259259259</v>
      </c>
      <c r="R165" s="18">
        <f>IFERROR(
                  Andel_oberoende_av_klimat*VLOOKUP($A165,Leveranser_per_nät,'Leveranser per nät'!R$1,FALSE)
               +Andel_beroende_av_klimat*VLOOKUP($A165,Leveranser_per_nät,'Leveranser per nät'!R$1,FALSE)/VLOOKUP($B165,Korrigeringsfaktor_EI,'Korrigeringsfaktor EI'!R$1,FALSE),
"")</f>
        <v>178.88772727272729</v>
      </c>
      <c r="S165" s="18">
        <f>IFERROR(
                  Andel_oberoende_av_klimat*VLOOKUP($A165,Leveranser_per_nät,'Leveranser per nät'!S$1,FALSE)
               +Andel_beroende_av_klimat*VLOOKUP($A165,Leveranser_per_nät,'Leveranser per nät'!S$1,FALSE)/VLOOKUP($B165,Korrigeringsfaktor_EI,'Korrigeringsfaktor EI'!S$1,FALSE),
"")</f>
        <v>181.85360824742267</v>
      </c>
      <c r="T165" s="18">
        <f>IFERROR(
                  Andel_oberoende_av_klimat*VLOOKUP($A165,Leveranser_per_nät,'Leveranser per nät'!T$1,FALSE)
               +Andel_beroende_av_klimat*VLOOKUP($A165,Leveranser_per_nät,'Leveranser per nät'!T$1,FALSE)/VLOOKUP($B165,Korrigeringsfaktor_EI,'Korrigeringsfaktor EI'!T$1,FALSE),
"")</f>
        <v>184.48521739130436</v>
      </c>
      <c r="U165" s="18">
        <f>IFERROR(
                  Andel_oberoende_av_klimat*VLOOKUP($A165,Leveranser_per_nät,'Leveranser per nät'!U$1,FALSE)
               +Andel_beroende_av_klimat*VLOOKUP($A165,Leveranser_per_nät,'Leveranser per nät'!U$1,FALSE)/VLOOKUP($B165,Korrigeringsfaktor_EI,'Korrigeringsfaktor EI'!U$1,FALSE),
"")</f>
        <v>181.15402298850577</v>
      </c>
      <c r="V165" s="18">
        <f>IFERROR(
                  Andel_oberoende_av_klimat*VLOOKUP($A165,Leveranser_per_nät,'Leveranser per nät'!V$1,FALSE)
               +Andel_beroende_av_klimat*VLOOKUP($A165,Leveranser_per_nät,'Leveranser per nät'!V$1,FALSE)/VLOOKUP($B165,Korrigeringsfaktor_EI,'Korrigeringsfaktor EI'!V$1,FALSE),
"")</f>
        <v>180.74999999999997</v>
      </c>
      <c r="W165" s="18">
        <f>IFERROR(
                  Andel_oberoende_av_klimat*VLOOKUP($A165,Leveranser_per_nät,'Leveranser per nät'!W$1,FALSE)
               +Andel_beroende_av_klimat*VLOOKUP($A165,Leveranser_per_nät,'Leveranser per nät'!W$1,FALSE)/VLOOKUP($B165,Korrigeringsfaktor_EI,'Korrigeringsfaktor EI'!W$1,FALSE),
"")</f>
        <v>184.49063829787235</v>
      </c>
      <c r="X165" s="18">
        <f>IFERROR(
                  Andel_oberoende_av_klimat*VLOOKUP($A165,Leveranser_per_nät,'Leveranser per nät'!X$1,FALSE)
               +Andel_beroende_av_klimat*VLOOKUP($A165,Leveranser_per_nät,'Leveranser per nät'!X$1,FALSE)/VLOOKUP($B165,Korrigeringsfaktor_EI,'Korrigeringsfaktor EI'!X$1,FALSE),
"")</f>
        <v>185.99497872340424</v>
      </c>
      <c r="Y165" s="18">
        <f>IFERROR(
                  Andel_oberoende_av_klimat*VLOOKUP($A165,Leveranser_per_nät,'Leveranser per nät'!Y$1,FALSE)
               +Andel_beroende_av_klimat*VLOOKUP($A165,Leveranser_per_nät,'Leveranser per nät'!Y$1,FALSE)/VLOOKUP($B165,Korrigeringsfaktor_EI,'Korrigeringsfaktor EI'!Y$1,FALSE),
"")</f>
        <v>190.43129032258065</v>
      </c>
      <c r="Z165" s="18">
        <f>IFERROR(
                  Andel_oberoende_av_klimat*VLOOKUP($A165,Leveranser_per_nät,'Leveranser per nät'!Z$1,FALSE)
               +Andel_beroende_av_klimat*VLOOKUP($A165,Leveranser_per_nät,'Leveranser per nät'!Z$1,FALSE)/VLOOKUP($B165,Korrigeringsfaktor_EI,'Korrigeringsfaktor EI'!Z$1,FALSE),
"")</f>
        <v>189.48387096774192</v>
      </c>
      <c r="AA165" s="18">
        <f>IFERROR(
                  Andel_oberoende_av_klimat*VLOOKUP($A165,Leveranser_per_nät,'Leveranser per nät'!AA$1,FALSE)
               +Andel_beroende_av_klimat*VLOOKUP($A165,Leveranser_per_nät,'Leveranser per nät'!AA$1,FALSE)/VLOOKUP($B165,Korrigeringsfaktor_EI,'Korrigeringsfaktor EI'!AA$1,FALSE),
"")</f>
        <v>182.96085905511808</v>
      </c>
      <c r="AB165" s="18">
        <f>IFERROR(
                  Andel_oberoende_av_klimat*VLOOKUP($A165,Leveranser_per_nät,'Leveranser per nät'!AB$1,FALSE)
               +Andel_beroende_av_klimat*VLOOKUP($A165,Leveranser_per_nät,'Leveranser per nät'!AB$1,FALSE)/VLOOKUP($B165,Korrigeringsfaktor_EI,'Korrigeringsfaktor EI'!AB$1,FALSE),
"")</f>
        <v>184.48292800397218</v>
      </c>
      <c r="AC165" s="18">
        <f>IFERROR(
                  Andel_oberoende_av_klimat*VLOOKUP($A165,Leveranser_per_nät,'Leveranser per nät'!AC$1,FALSE)
               +Andel_beroende_av_klimat*VLOOKUP($A165,Leveranser_per_nät,'Leveranser per nät'!AC$1,FALSE)/VLOOKUP($B165,Korrigeringsfaktor_EI,'Korrigeringsfaktor EI'!AC$1,FALSE),
"")</f>
        <v>173.72517807652534</v>
      </c>
      <c r="AD165">
        <v>169.672</v>
      </c>
    </row>
    <row r="166" spans="1:30" x14ac:dyDescent="0.25">
      <c r="A166" t="s">
        <v>151</v>
      </c>
      <c r="B166" t="s">
        <v>151</v>
      </c>
      <c r="C166" s="18">
        <f>IFERROR(
                  Andel_oberoende_av_klimat*VLOOKUP($A166,Leveranser_per_nät,'Leveranser per nät'!C$1,FALSE)
               +Andel_beroende_av_klimat*VLOOKUP($A166,Leveranser_per_nät,'Leveranser per nät'!C$1,FALSE)/VLOOKUP($B166,Korrigeringsfaktor_EI,'Korrigeringsfaktor EI'!C$1,FALSE),
"")</f>
        <v>132.0272727272727</v>
      </c>
      <c r="D166" s="18">
        <f>IFERROR(
                  Andel_oberoende_av_klimat*VLOOKUP($A166,Leveranser_per_nät,'Leveranser per nät'!D$1,FALSE)
               +Andel_beroende_av_klimat*VLOOKUP($A166,Leveranser_per_nät,'Leveranser per nät'!D$1,FALSE)/VLOOKUP($B166,Korrigeringsfaktor_EI,'Korrigeringsfaktor EI'!D$1,FALSE),
"")</f>
        <v>136.4377920792079</v>
      </c>
      <c r="E166" s="18">
        <f>IFERROR(
                  Andel_oberoende_av_klimat*VLOOKUP($A166,Leveranser_per_nät,'Leveranser per nät'!E$1,FALSE)
               +Andel_beroende_av_klimat*VLOOKUP($A166,Leveranser_per_nät,'Leveranser per nät'!E$1,FALSE)/VLOOKUP($B166,Korrigeringsfaktor_EI,'Korrigeringsfaktor EI'!E$1,FALSE),
"")</f>
        <v>137.0921568627451</v>
      </c>
      <c r="F166" s="18">
        <f>IFERROR(
                  Andel_oberoende_av_klimat*VLOOKUP($A166,Leveranser_per_nät,'Leveranser per nät'!F$1,FALSE)
               +Andel_beroende_av_klimat*VLOOKUP($A166,Leveranser_per_nät,'Leveranser per nät'!F$1,FALSE)/VLOOKUP($B166,Korrigeringsfaktor_EI,'Korrigeringsfaktor EI'!F$1,FALSE),
"")</f>
        <v>137.90833333333333</v>
      </c>
      <c r="G166" s="18">
        <f>IFERROR(
                  Andel_oberoende_av_klimat*VLOOKUP($A166,Leveranser_per_nät,'Leveranser per nät'!G$1,FALSE)
               +Andel_beroende_av_klimat*VLOOKUP($A166,Leveranser_per_nät,'Leveranser per nät'!G$1,FALSE)/VLOOKUP($B166,Korrigeringsfaktor_EI,'Korrigeringsfaktor EI'!G$1,FALSE),
"")</f>
        <v>139.03333333333333</v>
      </c>
      <c r="H166" s="18">
        <f>IFERROR(
                  Andel_oberoende_av_klimat*VLOOKUP($A166,Leveranser_per_nät,'Leveranser per nät'!H$1,FALSE)
               +Andel_beroende_av_klimat*VLOOKUP($A166,Leveranser_per_nät,'Leveranser per nät'!H$1,FALSE)/VLOOKUP($B166,Korrigeringsfaktor_EI,'Korrigeringsfaktor EI'!H$1,FALSE),
"")</f>
        <v>146.05714285714288</v>
      </c>
      <c r="I166" s="18">
        <f>IFERROR(
                  Andel_oberoende_av_klimat*VLOOKUP($A166,Leveranser_per_nät,'Leveranser per nät'!I$1,FALSE)
               +Andel_beroende_av_klimat*VLOOKUP($A166,Leveranser_per_nät,'Leveranser per nät'!I$1,FALSE)/VLOOKUP($B166,Korrigeringsfaktor_EI,'Korrigeringsfaktor EI'!I$1,FALSE),
"")</f>
        <v>151.47872340425533</v>
      </c>
      <c r="J166" s="18">
        <f>IFERROR(
                  Andel_oberoende_av_klimat*VLOOKUP($A166,Leveranser_per_nät,'Leveranser per nät'!J$1,FALSE)
               +Andel_beroende_av_klimat*VLOOKUP($A166,Leveranser_per_nät,'Leveranser per nät'!J$1,FALSE)/VLOOKUP($B166,Korrigeringsfaktor_EI,'Korrigeringsfaktor EI'!J$1,FALSE),
"")</f>
        <v>154.17142857142858</v>
      </c>
      <c r="K166" s="18">
        <f>IFERROR(
                  Andel_oberoende_av_klimat*VLOOKUP($A166,Leveranser_per_nät,'Leveranser per nät'!K$1,FALSE)
               +Andel_beroende_av_klimat*VLOOKUP($A166,Leveranser_per_nät,'Leveranser per nät'!K$1,FALSE)/VLOOKUP($B166,Korrigeringsfaktor_EI,'Korrigeringsfaktor EI'!K$1,FALSE),
"")</f>
        <v>159.97618571428575</v>
      </c>
      <c r="L166" s="18">
        <f>IFERROR(
                  Andel_oberoende_av_klimat*VLOOKUP($A166,Leveranser_per_nät,'Leveranser per nät'!L$1,FALSE)
               +Andel_beroende_av_klimat*VLOOKUP($A166,Leveranser_per_nät,'Leveranser per nät'!L$1,FALSE)/VLOOKUP($B166,Korrigeringsfaktor_EI,'Korrigeringsfaktor EI'!L$1,FALSE),
"")</f>
        <v>162.38397500000002</v>
      </c>
      <c r="M166" s="18">
        <f>IFERROR(
                  Andel_oberoende_av_klimat*VLOOKUP($A166,Leveranser_per_nät,'Leveranser per nät'!M$1,FALSE)
               +Andel_beroende_av_klimat*VLOOKUP($A166,Leveranser_per_nät,'Leveranser per nät'!M$1,FALSE)/VLOOKUP($B166,Korrigeringsfaktor_EI,'Korrigeringsfaktor EI'!M$1,FALSE),
"")</f>
        <v>169.53968695652176</v>
      </c>
      <c r="N166" s="18">
        <f>IFERROR(
                  Andel_oberoende_av_klimat*VLOOKUP($A166,Leveranser_per_nät,'Leveranser per nät'!N$1,FALSE)
               +Andel_beroende_av_klimat*VLOOKUP($A166,Leveranser_per_nät,'Leveranser per nät'!N$1,FALSE)/VLOOKUP($B166,Korrigeringsfaktor_EI,'Korrigeringsfaktor EI'!N$1,FALSE),
"")</f>
        <v>174.29822222222222</v>
      </c>
      <c r="O166" s="18">
        <f>IFERROR(
                  Andel_oberoende_av_klimat*VLOOKUP($A166,Leveranser_per_nät,'Leveranser per nät'!O$1,FALSE)
               +Andel_beroende_av_klimat*VLOOKUP($A166,Leveranser_per_nät,'Leveranser per nät'!O$1,FALSE)/VLOOKUP($B166,Korrigeringsfaktor_EI,'Korrigeringsfaktor EI'!O$1,FALSE),
"")</f>
        <v>180.41237692307692</v>
      </c>
      <c r="P166" s="18">
        <f>IFERROR(
                  Andel_oberoende_av_klimat*VLOOKUP($A166,Leveranser_per_nät,'Leveranser per nät'!P$1,FALSE)
               +Andel_beroende_av_klimat*VLOOKUP($A166,Leveranser_per_nät,'Leveranser per nät'!P$1,FALSE)/VLOOKUP($B166,Korrigeringsfaktor_EI,'Korrigeringsfaktor EI'!P$1,FALSE),
"")</f>
        <v>188.88152631578947</v>
      </c>
      <c r="Q166" s="18">
        <f>IFERROR(
                  Andel_oberoende_av_klimat*VLOOKUP($A166,Leveranser_per_nät,'Leveranser per nät'!Q$1,FALSE)
               +Andel_beroende_av_klimat*VLOOKUP($A166,Leveranser_per_nät,'Leveranser per nät'!Q$1,FALSE)/VLOOKUP($B166,Korrigeringsfaktor_EI,'Korrigeringsfaktor EI'!Q$1,FALSE),
"")</f>
        <v>198.57252499999998</v>
      </c>
      <c r="R166" s="18">
        <f>IFERROR(
                  Andel_oberoende_av_klimat*VLOOKUP($A166,Leveranser_per_nät,'Leveranser per nät'!R$1,FALSE)
               +Andel_beroende_av_klimat*VLOOKUP($A166,Leveranser_per_nät,'Leveranser per nät'!R$1,FALSE)/VLOOKUP($B166,Korrigeringsfaktor_EI,'Korrigeringsfaktor EI'!R$1,FALSE),
"")</f>
        <v>191.58924731182793</v>
      </c>
      <c r="S166" s="18">
        <f>IFERROR(
                  Andel_oberoende_av_klimat*VLOOKUP($A166,Leveranser_per_nät,'Leveranser per nät'!S$1,FALSE)
               +Andel_beroende_av_klimat*VLOOKUP($A166,Leveranser_per_nät,'Leveranser per nät'!S$1,FALSE)/VLOOKUP($B166,Korrigeringsfaktor_EI,'Korrigeringsfaktor EI'!S$1,FALSE),
"")</f>
        <v>190.35098039215686</v>
      </c>
      <c r="T166" s="18">
        <f>IFERROR(
                  Andel_oberoende_av_klimat*VLOOKUP($A166,Leveranser_per_nät,'Leveranser per nät'!T$1,FALSE)
               +Andel_beroende_av_klimat*VLOOKUP($A166,Leveranser_per_nät,'Leveranser per nät'!T$1,FALSE)/VLOOKUP($B166,Korrigeringsfaktor_EI,'Korrigeringsfaktor EI'!T$1,FALSE),
"")</f>
        <v>188.65714285714287</v>
      </c>
      <c r="U166" s="18">
        <f>IFERROR(
                  Andel_oberoende_av_klimat*VLOOKUP($A166,Leveranser_per_nät,'Leveranser per nät'!U$1,FALSE)
               +Andel_beroende_av_klimat*VLOOKUP($A166,Leveranser_per_nät,'Leveranser per nät'!U$1,FALSE)/VLOOKUP($B166,Korrigeringsfaktor_EI,'Korrigeringsfaktor EI'!U$1,FALSE),
"")</f>
        <v>180.74999999999997</v>
      </c>
      <c r="V166" s="18">
        <f>IFERROR(
                  Andel_oberoende_av_klimat*VLOOKUP($A166,Leveranser_per_nät,'Leveranser per nät'!V$1,FALSE)
               +Andel_beroende_av_klimat*VLOOKUP($A166,Leveranser_per_nät,'Leveranser per nät'!V$1,FALSE)/VLOOKUP($B166,Korrigeringsfaktor_EI,'Korrigeringsfaktor EI'!V$1,FALSE),
"")</f>
        <v>182.11505376344084</v>
      </c>
      <c r="W166" s="18">
        <f>IFERROR(
                  Andel_oberoende_av_klimat*VLOOKUP($A166,Leveranser_per_nät,'Leveranser per nät'!W$1,FALSE)
               +Andel_beroende_av_klimat*VLOOKUP($A166,Leveranser_per_nät,'Leveranser per nät'!W$1,FALSE)/VLOOKUP($B166,Korrigeringsfaktor_EI,'Korrigeringsfaktor EI'!W$1,FALSE),
"")</f>
        <v>190.34085106382977</v>
      </c>
      <c r="X166" s="18">
        <f>IFERROR(
                  Andel_oberoende_av_klimat*VLOOKUP($A166,Leveranser_per_nät,'Leveranser per nät'!X$1,FALSE)
               +Andel_beroende_av_klimat*VLOOKUP($A166,Leveranser_per_nät,'Leveranser per nät'!X$1,FALSE)/VLOOKUP($B166,Korrigeringsfaktor_EI,'Korrigeringsfaktor EI'!X$1,FALSE),
"")</f>
        <v>190.01021505376343</v>
      </c>
      <c r="Y166" s="18">
        <f>IFERROR(
                  Andel_oberoende_av_klimat*VLOOKUP($A166,Leveranser_per_nät,'Leveranser per nät'!Y$1,FALSE)
               +Andel_beroende_av_klimat*VLOOKUP($A166,Leveranser_per_nät,'Leveranser per nät'!Y$1,FALSE)/VLOOKUP($B166,Korrigeringsfaktor_EI,'Korrigeringsfaktor EI'!Y$1,FALSE),
"")</f>
        <v>195.02977528089889</v>
      </c>
      <c r="Z166" s="18">
        <f>IFERROR(
                  Andel_oberoende_av_klimat*VLOOKUP($A166,Leveranser_per_nät,'Leveranser per nät'!Z$1,FALSE)
               +Andel_beroende_av_klimat*VLOOKUP($A166,Leveranser_per_nät,'Leveranser per nät'!Z$1,FALSE)/VLOOKUP($B166,Korrigeringsfaktor_EI,'Korrigeringsfaktor EI'!Z$1,FALSE),
"")</f>
        <v>191.97908045977013</v>
      </c>
      <c r="AA166" s="18">
        <f>IFERROR(
                  Andel_oberoende_av_klimat*VLOOKUP($A166,Leveranser_per_nät,'Leveranser per nät'!AA$1,FALSE)
               +Andel_beroende_av_klimat*VLOOKUP($A166,Leveranser_per_nät,'Leveranser per nät'!AA$1,FALSE)/VLOOKUP($B166,Korrigeringsfaktor_EI,'Korrigeringsfaktor EI'!AA$1,FALSE),
"")</f>
        <v>185.38778682170542</v>
      </c>
      <c r="AB166" s="18">
        <f>IFERROR(
                  Andel_oberoende_av_klimat*VLOOKUP($A166,Leveranser_per_nät,'Leveranser per nät'!AB$1,FALSE)
               +Andel_beroende_av_klimat*VLOOKUP($A166,Leveranser_per_nät,'Leveranser per nät'!AB$1,FALSE)/VLOOKUP($B166,Korrigeringsfaktor_EI,'Korrigeringsfaktor EI'!AB$1,FALSE),
"")</f>
        <v>190.42054137931035</v>
      </c>
      <c r="AC166" s="18">
        <f>IFERROR(
                  Andel_oberoende_av_klimat*VLOOKUP($A166,Leveranser_per_nät,'Leveranser per nät'!AC$1,FALSE)
               +Andel_beroende_av_klimat*VLOOKUP($A166,Leveranser_per_nät,'Leveranser per nät'!AC$1,FALSE)/VLOOKUP($B166,Korrigeringsfaktor_EI,'Korrigeringsfaktor EI'!AC$1,FALSE),
"")</f>
        <v>184.64952441613588</v>
      </c>
      <c r="AD166">
        <v>177.02</v>
      </c>
    </row>
    <row r="167" spans="1:30" x14ac:dyDescent="0.25">
      <c r="A167" t="s">
        <v>153</v>
      </c>
      <c r="B167" t="s">
        <v>153</v>
      </c>
      <c r="C167" s="18">
        <f>IFERROR(
                  Andel_oberoende_av_klimat*VLOOKUP($A167,Leveranser_per_nät,'Leveranser per nät'!C$1,FALSE)
               +Andel_beroende_av_klimat*VLOOKUP($A167,Leveranser_per_nät,'Leveranser per nät'!C$1,FALSE)/VLOOKUP($B167,Korrigeringsfaktor_EI,'Korrigeringsfaktor EI'!C$1,FALSE),
"")</f>
        <v>0</v>
      </c>
      <c r="D167" s="18">
        <f>IFERROR(
                  Andel_oberoende_av_klimat*VLOOKUP($A167,Leveranser_per_nät,'Leveranser per nät'!D$1,FALSE)
               +Andel_beroende_av_klimat*VLOOKUP($A167,Leveranser_per_nät,'Leveranser per nät'!D$1,FALSE)/VLOOKUP($B167,Korrigeringsfaktor_EI,'Korrigeringsfaktor EI'!D$1,FALSE),
"")</f>
        <v>0</v>
      </c>
      <c r="E167" s="18">
        <f>IFERROR(
                  Andel_oberoende_av_klimat*VLOOKUP($A167,Leveranser_per_nät,'Leveranser per nät'!E$1,FALSE)
               +Andel_beroende_av_klimat*VLOOKUP($A167,Leveranser_per_nät,'Leveranser per nät'!E$1,FALSE)/VLOOKUP($B167,Korrigeringsfaktor_EI,'Korrigeringsfaktor EI'!E$1,FALSE),
"")</f>
        <v>0</v>
      </c>
      <c r="F167" s="18">
        <f>IFERROR(
                  Andel_oberoende_av_klimat*VLOOKUP($A167,Leveranser_per_nät,'Leveranser per nät'!F$1,FALSE)
               +Andel_beroende_av_klimat*VLOOKUP($A167,Leveranser_per_nät,'Leveranser per nät'!F$1,FALSE)/VLOOKUP($B167,Korrigeringsfaktor_EI,'Korrigeringsfaktor EI'!F$1,FALSE),
"")</f>
        <v>0</v>
      </c>
      <c r="G167" s="18">
        <f>IFERROR(
                  Andel_oberoende_av_klimat*VLOOKUP($A167,Leveranser_per_nät,'Leveranser per nät'!G$1,FALSE)
               +Andel_beroende_av_klimat*VLOOKUP($A167,Leveranser_per_nät,'Leveranser per nät'!G$1,FALSE)/VLOOKUP($B167,Korrigeringsfaktor_EI,'Korrigeringsfaktor EI'!G$1,FALSE),
"")</f>
        <v>0</v>
      </c>
      <c r="H167" s="18">
        <f>IFERROR(
                  Andel_oberoende_av_klimat*VLOOKUP($A167,Leveranser_per_nät,'Leveranser per nät'!H$1,FALSE)
               +Andel_beroende_av_klimat*VLOOKUP($A167,Leveranser_per_nät,'Leveranser per nät'!H$1,FALSE)/VLOOKUP($B167,Korrigeringsfaktor_EI,'Korrigeringsfaktor EI'!H$1,FALSE),
"")</f>
        <v>0</v>
      </c>
      <c r="I167" s="18">
        <f>IFERROR(
                  Andel_oberoende_av_klimat*VLOOKUP($A167,Leveranser_per_nät,'Leveranser per nät'!I$1,FALSE)
               +Andel_beroende_av_klimat*VLOOKUP($A167,Leveranser_per_nät,'Leveranser per nät'!I$1,FALSE)/VLOOKUP($B167,Korrigeringsfaktor_EI,'Korrigeringsfaktor EI'!I$1,FALSE),
"")</f>
        <v>0</v>
      </c>
      <c r="J167" s="18">
        <f>IFERROR(
                  Andel_oberoende_av_klimat*VLOOKUP($A167,Leveranser_per_nät,'Leveranser per nät'!J$1,FALSE)
               +Andel_beroende_av_klimat*VLOOKUP($A167,Leveranser_per_nät,'Leveranser per nät'!J$1,FALSE)/VLOOKUP($B167,Korrigeringsfaktor_EI,'Korrigeringsfaktor EI'!J$1,FALSE),
"")</f>
        <v>0</v>
      </c>
      <c r="K167" s="18">
        <f>IFERROR(
                  Andel_oberoende_av_klimat*VLOOKUP($A167,Leveranser_per_nät,'Leveranser per nät'!K$1,FALSE)
               +Andel_beroende_av_klimat*VLOOKUP($A167,Leveranser_per_nät,'Leveranser per nät'!K$1,FALSE)/VLOOKUP($B167,Korrigeringsfaktor_EI,'Korrigeringsfaktor EI'!K$1,FALSE),
"")</f>
        <v>0</v>
      </c>
      <c r="L167" s="18">
        <f>IFERROR(
                  Andel_oberoende_av_klimat*VLOOKUP($A167,Leveranser_per_nät,'Leveranser per nät'!L$1,FALSE)
               +Andel_beroende_av_klimat*VLOOKUP($A167,Leveranser_per_nät,'Leveranser per nät'!L$1,FALSE)/VLOOKUP($B167,Korrigeringsfaktor_EI,'Korrigeringsfaktor EI'!L$1,FALSE),
"")</f>
        <v>0</v>
      </c>
      <c r="M167" s="18">
        <f>IFERROR(
                  Andel_oberoende_av_klimat*VLOOKUP($A167,Leveranser_per_nät,'Leveranser per nät'!M$1,FALSE)
               +Andel_beroende_av_klimat*VLOOKUP($A167,Leveranser_per_nät,'Leveranser per nät'!M$1,FALSE)/VLOOKUP($B167,Korrigeringsfaktor_EI,'Korrigeringsfaktor EI'!M$1,FALSE),
"")</f>
        <v>0</v>
      </c>
      <c r="N167" s="18">
        <f>IFERROR(
                  Andel_oberoende_av_klimat*VLOOKUP($A167,Leveranser_per_nät,'Leveranser per nät'!N$1,FALSE)
               +Andel_beroende_av_klimat*VLOOKUP($A167,Leveranser_per_nät,'Leveranser per nät'!N$1,FALSE)/VLOOKUP($B167,Korrigeringsfaktor_EI,'Korrigeringsfaktor EI'!N$1,FALSE),
"")</f>
        <v>26.076404494382018</v>
      </c>
      <c r="O167" s="18">
        <f>IFERROR(
                  Andel_oberoende_av_klimat*VLOOKUP($A167,Leveranser_per_nät,'Leveranser per nät'!O$1,FALSE)
               +Andel_beroende_av_klimat*VLOOKUP($A167,Leveranser_per_nät,'Leveranser per nät'!O$1,FALSE)/VLOOKUP($B167,Korrigeringsfaktor_EI,'Korrigeringsfaktor EI'!O$1,FALSE),
"")</f>
        <v>41.627272727272725</v>
      </c>
      <c r="P167" s="18">
        <f>IFERROR(
                  Andel_oberoende_av_klimat*VLOOKUP($A167,Leveranser_per_nät,'Leveranser per nät'!P$1,FALSE)
               +Andel_beroende_av_klimat*VLOOKUP($A167,Leveranser_per_nät,'Leveranser per nät'!P$1,FALSE)/VLOOKUP($B167,Korrigeringsfaktor_EI,'Korrigeringsfaktor EI'!P$1,FALSE),
"")</f>
        <v>47.37096774193548</v>
      </c>
      <c r="Q167" s="18">
        <f>IFERROR(
                  Andel_oberoende_av_klimat*VLOOKUP($A167,Leveranser_per_nät,'Leveranser per nät'!Q$1,FALSE)
               +Andel_beroende_av_klimat*VLOOKUP($A167,Leveranser_per_nät,'Leveranser per nät'!Q$1,FALSE)/VLOOKUP($B167,Korrigeringsfaktor_EI,'Korrigeringsfaktor EI'!Q$1,FALSE),
"")</f>
        <v>49.323423423423421</v>
      </c>
      <c r="R167" s="18">
        <f>IFERROR(
                  Andel_oberoende_av_klimat*VLOOKUP($A167,Leveranser_per_nät,'Leveranser per nät'!R$1,FALSE)
               +Andel_beroende_av_klimat*VLOOKUP($A167,Leveranser_per_nät,'Leveranser per nät'!R$1,FALSE)/VLOOKUP($B167,Korrigeringsfaktor_EI,'Korrigeringsfaktor EI'!R$1,FALSE),
"")</f>
        <v>47.37096774193548</v>
      </c>
      <c r="S167" s="18">
        <f>IFERROR(
                  Andel_oberoende_av_klimat*VLOOKUP($A167,Leveranser_per_nät,'Leveranser per nät'!S$1,FALSE)
               +Andel_beroende_av_klimat*VLOOKUP($A167,Leveranser_per_nät,'Leveranser per nät'!S$1,FALSE)/VLOOKUP($B167,Korrigeringsfaktor_EI,'Korrigeringsfaktor EI'!S$1,FALSE),
"")</f>
        <v>46.674257425742574</v>
      </c>
      <c r="T167" s="18">
        <f>IFERROR(
                  Andel_oberoende_av_klimat*VLOOKUP($A167,Leveranser_per_nät,'Leveranser per nät'!T$1,FALSE)
               +Andel_beroende_av_klimat*VLOOKUP($A167,Leveranser_per_nät,'Leveranser per nät'!T$1,FALSE)/VLOOKUP($B167,Korrigeringsfaktor_EI,'Korrigeringsfaktor EI'!T$1,FALSE),
"")</f>
        <v>48.055326804123709</v>
      </c>
      <c r="U167" s="18">
        <f>IFERROR(
                  Andel_oberoende_av_klimat*VLOOKUP($A167,Leveranser_per_nät,'Leveranser per nät'!U$1,FALSE)
               +Andel_beroende_av_klimat*VLOOKUP($A167,Leveranser_per_nät,'Leveranser per nät'!U$1,FALSE)/VLOOKUP($B167,Korrigeringsfaktor_EI,'Korrigeringsfaktor EI'!U$1,FALSE),
"")</f>
        <v>46.829490697674416</v>
      </c>
      <c r="V167" s="18">
        <f>IFERROR(
                  Andel_oberoende_av_klimat*VLOOKUP($A167,Leveranser_per_nät,'Leveranser per nät'!V$1,FALSE)
               +Andel_beroende_av_klimat*VLOOKUP($A167,Leveranser_per_nät,'Leveranser per nät'!V$1,FALSE)/VLOOKUP($B167,Korrigeringsfaktor_EI,'Korrigeringsfaktor EI'!V$1,FALSE),
"")</f>
        <v>49.825084615384611</v>
      </c>
      <c r="W167" s="18">
        <f>IFERROR(
                  Andel_oberoende_av_klimat*VLOOKUP($A167,Leveranser_per_nät,'Leveranser per nät'!W$1,FALSE)
               +Andel_beroende_av_klimat*VLOOKUP($A167,Leveranser_per_nät,'Leveranser per nät'!W$1,FALSE)/VLOOKUP($B167,Korrigeringsfaktor_EI,'Korrigeringsfaktor EI'!W$1,FALSE),
"")</f>
        <v>41.067242105263162</v>
      </c>
      <c r="X167" s="18">
        <f>IFERROR(
                  Andel_oberoende_av_klimat*VLOOKUP($A167,Leveranser_per_nät,'Leveranser per nät'!X$1,FALSE)
               +Andel_beroende_av_klimat*VLOOKUP($A167,Leveranser_per_nät,'Leveranser per nät'!X$1,FALSE)/VLOOKUP($B167,Korrigeringsfaktor_EI,'Korrigeringsfaktor EI'!X$1,FALSE),
"")</f>
        <v>44.862084210526319</v>
      </c>
      <c r="Y167" s="18">
        <f>IFERROR(
                  Andel_oberoende_av_klimat*VLOOKUP($A167,Leveranser_per_nät,'Leveranser per nät'!Y$1,FALSE)
               +Andel_beroende_av_klimat*VLOOKUP($A167,Leveranser_per_nät,'Leveranser per nät'!Y$1,FALSE)/VLOOKUP($B167,Korrigeringsfaktor_EI,'Korrigeringsfaktor EI'!Y$1,FALSE),
"")</f>
        <v>46.084699999999998</v>
      </c>
      <c r="Z167" s="18">
        <f>IFERROR(
                  Andel_oberoende_av_klimat*VLOOKUP($A167,Leveranser_per_nät,'Leveranser per nät'!Z$1,FALSE)
               +Andel_beroende_av_klimat*VLOOKUP($A167,Leveranser_per_nät,'Leveranser per nät'!Z$1,FALSE)/VLOOKUP($B167,Korrigeringsfaktor_EI,'Korrigeringsfaktor EI'!Z$1,FALSE),
"")</f>
        <v>45.878360919540228</v>
      </c>
      <c r="AA167" s="18">
        <f>IFERROR(
                  Andel_oberoende_av_klimat*VLOOKUP($A167,Leveranser_per_nät,'Leveranser per nät'!AA$1,FALSE)
               +Andel_beroende_av_klimat*VLOOKUP($A167,Leveranser_per_nät,'Leveranser per nät'!AA$1,FALSE)/VLOOKUP($B167,Korrigeringsfaktor_EI,'Korrigeringsfaktor EI'!AA$1,FALSE),
"")</f>
        <v>45.263298665048545</v>
      </c>
      <c r="AB167" s="18">
        <f>IFERROR(
                  Andel_oberoende_av_klimat*VLOOKUP($A167,Leveranser_per_nät,'Leveranser per nät'!AB$1,FALSE)
               +Andel_beroende_av_klimat*VLOOKUP($A167,Leveranser_per_nät,'Leveranser per nät'!AB$1,FALSE)/VLOOKUP($B167,Korrigeringsfaktor_EI,'Korrigeringsfaktor EI'!AB$1,FALSE),
"")</f>
        <v>44.784547389558234</v>
      </c>
      <c r="AC167" s="18">
        <f>IFERROR(
                  Andel_oberoende_av_klimat*VLOOKUP($A167,Leveranser_per_nät,'Leveranser per nät'!AC$1,FALSE)
               +Andel_beroende_av_klimat*VLOOKUP($A167,Leveranser_per_nät,'Leveranser per nät'!AC$1,FALSE)/VLOOKUP($B167,Korrigeringsfaktor_EI,'Korrigeringsfaktor EI'!AC$1,FALSE),
"")</f>
        <v>44.156058064516124</v>
      </c>
      <c r="AD167">
        <v>41.945999999999998</v>
      </c>
    </row>
    <row r="168" spans="1:30" x14ac:dyDescent="0.25">
      <c r="A168" t="s">
        <v>1064</v>
      </c>
      <c r="B168" t="s">
        <v>1064</v>
      </c>
      <c r="C168" s="18">
        <f>IFERROR(
                  Andel_oberoende_av_klimat*VLOOKUP($A168,Leveranser_per_nät,'Leveranser per nät'!C$1,FALSE)
               +Andel_beroende_av_klimat*VLOOKUP($A168,Leveranser_per_nät,'Leveranser per nät'!C$1,FALSE)/VLOOKUP($B168,Korrigeringsfaktor_EI,'Korrigeringsfaktor EI'!C$1,FALSE),
"")</f>
        <v>1144.7752293577983</v>
      </c>
      <c r="D168" s="18">
        <f>IFERROR(
                  Andel_oberoende_av_klimat*VLOOKUP($A168,Leveranser_per_nät,'Leveranser per nät'!D$1,FALSE)
               +Andel_beroende_av_klimat*VLOOKUP($A168,Leveranser_per_nät,'Leveranser per nät'!D$1,FALSE)/VLOOKUP($B168,Korrigeringsfaktor_EI,'Korrigeringsfaktor EI'!D$1,FALSE),
"")</f>
        <v>1108.9591428571428</v>
      </c>
      <c r="E168" s="18">
        <f>IFERROR(
                  Andel_oberoende_av_klimat*VLOOKUP($A168,Leveranser_per_nät,'Leveranser per nät'!E$1,FALSE)
               +Andel_beroende_av_klimat*VLOOKUP($A168,Leveranser_per_nät,'Leveranser per nät'!E$1,FALSE)/VLOOKUP($B168,Korrigeringsfaktor_EI,'Korrigeringsfaktor EI'!E$1,FALSE),
"")</f>
        <v>1100.1038834951455</v>
      </c>
      <c r="F168" s="18">
        <f>IFERROR(
                  Andel_oberoende_av_klimat*VLOOKUP($A168,Leveranser_per_nät,'Leveranser per nät'!F$1,FALSE)
               +Andel_beroende_av_klimat*VLOOKUP($A168,Leveranser_per_nät,'Leveranser per nät'!F$1,FALSE)/VLOOKUP($B168,Korrigeringsfaktor_EI,'Korrigeringsfaktor EI'!F$1,FALSE),
"")</f>
        <v>1108.4124999999999</v>
      </c>
      <c r="G168" s="18">
        <f>IFERROR(
                  Andel_oberoende_av_klimat*VLOOKUP($A168,Leveranser_per_nät,'Leveranser per nät'!G$1,FALSE)
               +Andel_beroende_av_klimat*VLOOKUP($A168,Leveranser_per_nät,'Leveranser per nät'!G$1,FALSE)/VLOOKUP($B168,Korrigeringsfaktor_EI,'Korrigeringsfaktor EI'!G$1,FALSE),
"")</f>
        <v>1061.5269662921348</v>
      </c>
      <c r="H168" s="18">
        <f>IFERROR(
                  Andel_oberoende_av_klimat*VLOOKUP($A168,Leveranser_per_nät,'Leveranser per nät'!H$1,FALSE)
               +Andel_beroende_av_klimat*VLOOKUP($A168,Leveranser_per_nät,'Leveranser per nät'!H$1,FALSE)/VLOOKUP($B168,Korrigeringsfaktor_EI,'Korrigeringsfaktor EI'!H$1,FALSE),
"")</f>
        <v>1129.0542288557215</v>
      </c>
      <c r="I168" s="18">
        <f>IFERROR(
                  Andel_oberoende_av_klimat*VLOOKUP($A168,Leveranser_per_nät,'Leveranser per nät'!I$1,FALSE)
               +Andel_beroende_av_klimat*VLOOKUP($A168,Leveranser_per_nät,'Leveranser per nät'!I$1,FALSE)/VLOOKUP($B168,Korrigeringsfaktor_EI,'Korrigeringsfaktor EI'!I$1,FALSE),
"")</f>
        <v>1308.0708333333332</v>
      </c>
      <c r="J168" s="18">
        <f>IFERROR(
                  Andel_oberoende_av_klimat*VLOOKUP($A168,Leveranser_per_nät,'Leveranser per nät'!J$1,FALSE)
               +Andel_beroende_av_klimat*VLOOKUP($A168,Leveranser_per_nät,'Leveranser per nät'!J$1,FALSE)/VLOOKUP($B168,Korrigeringsfaktor_EI,'Korrigeringsfaktor EI'!J$1,FALSE),
"")</f>
        <v>1182.6571428571428</v>
      </c>
      <c r="K168" s="18">
        <f>IFERROR(
                  Andel_oberoende_av_klimat*VLOOKUP($A168,Leveranser_per_nät,'Leveranser per nät'!K$1,FALSE)
               +Andel_beroende_av_klimat*VLOOKUP($A168,Leveranser_per_nät,'Leveranser per nät'!K$1,FALSE)/VLOOKUP($B168,Korrigeringsfaktor_EI,'Korrigeringsfaktor EI'!K$1,FALSE),
"")</f>
        <v>1210.2725422680412</v>
      </c>
      <c r="L168" s="18">
        <f>IFERROR(
                  Andel_oberoende_av_klimat*VLOOKUP($A168,Leveranser_per_nät,'Leveranser per nät'!L$1,FALSE)
               +Andel_beroende_av_klimat*VLOOKUP($A168,Leveranser_per_nät,'Leveranser per nät'!L$1,FALSE)/VLOOKUP($B168,Korrigeringsfaktor_EI,'Korrigeringsfaktor EI'!L$1,FALSE),
"")</f>
        <v>1116.8548774313917</v>
      </c>
      <c r="M168" s="18">
        <f>IFERROR(
                  Andel_oberoende_av_klimat*VLOOKUP($A168,Leveranser_per_nät,'Leveranser per nät'!M$1,FALSE)
               +Andel_beroende_av_klimat*VLOOKUP($A168,Leveranser_per_nät,'Leveranser per nät'!M$1,FALSE)/VLOOKUP($B168,Korrigeringsfaktor_EI,'Korrigeringsfaktor EI'!M$1,FALSE),
"")</f>
        <v>1106.4869565217391</v>
      </c>
      <c r="N168" s="18">
        <f>IFERROR(
                  Andel_oberoende_av_klimat*VLOOKUP($A168,Leveranser_per_nät,'Leveranser per nät'!N$1,FALSE)
               +Andel_beroende_av_klimat*VLOOKUP($A168,Leveranser_per_nät,'Leveranser per nät'!N$1,FALSE)/VLOOKUP($B168,Korrigeringsfaktor_EI,'Korrigeringsfaktor EI'!N$1,FALSE),
"")</f>
        <v>1013.7690782608695</v>
      </c>
      <c r="O168" s="18">
        <f>IFERROR(
                  Andel_oberoende_av_klimat*VLOOKUP($A168,Leveranser_per_nät,'Leveranser per nät'!O$1,FALSE)
               +Andel_beroende_av_klimat*VLOOKUP($A168,Leveranser_per_nät,'Leveranser per nät'!O$1,FALSE)/VLOOKUP($B168,Korrigeringsfaktor_EI,'Korrigeringsfaktor EI'!O$1,FALSE),
"")</f>
        <v>1184.049171270718</v>
      </c>
      <c r="P168" s="18">
        <f>IFERROR(
                  Andel_oberoende_av_klimat*VLOOKUP($A168,Leveranser_per_nät,'Leveranser per nät'!P$1,FALSE)
               +Andel_beroende_av_klimat*VLOOKUP($A168,Leveranser_per_nät,'Leveranser per nät'!P$1,FALSE)/VLOOKUP($B168,Korrigeringsfaktor_EI,'Korrigeringsfaktor EI'!P$1,FALSE),
"")</f>
        <v>1124.8512953367876</v>
      </c>
      <c r="Q168" s="18">
        <f>IFERROR(
                  Andel_oberoende_av_klimat*VLOOKUP($A168,Leveranser_per_nät,'Leveranser per nät'!Q$1,FALSE)
               +Andel_beroende_av_klimat*VLOOKUP($A168,Leveranser_per_nät,'Leveranser per nät'!Q$1,FALSE)/VLOOKUP($B168,Korrigeringsfaktor_EI,'Korrigeringsfaktor EI'!Q$1,FALSE),
"")</f>
        <v>1116.8111111111111</v>
      </c>
      <c r="R168" s="18">
        <f>IFERROR(
                  Andel_oberoende_av_klimat*VLOOKUP($A168,Leveranser_per_nät,'Leveranser per nät'!R$1,FALSE)
               +Andel_beroende_av_klimat*VLOOKUP($A168,Leveranser_per_nät,'Leveranser per nät'!R$1,FALSE)/VLOOKUP($B168,Korrigeringsfaktor_EI,'Korrigeringsfaktor EI'!R$1,FALSE),
"")</f>
        <v>1090.022402234637</v>
      </c>
      <c r="S168" s="18">
        <f>IFERROR(
                  Andel_oberoende_av_klimat*VLOOKUP($A168,Leveranser_per_nät,'Leveranser per nät'!S$1,FALSE)
               +Andel_beroende_av_klimat*VLOOKUP($A168,Leveranser_per_nät,'Leveranser per nät'!S$1,FALSE)/VLOOKUP($B168,Korrigeringsfaktor_EI,'Korrigeringsfaktor EI'!S$1,FALSE),
"")</f>
        <v>1094.5446700507614</v>
      </c>
      <c r="T168" s="18">
        <f>IFERROR(
                  Andel_oberoende_av_klimat*VLOOKUP($A168,Leveranser_per_nät,'Leveranser per nät'!T$1,FALSE)
               +Andel_beroende_av_klimat*VLOOKUP($A168,Leveranser_per_nät,'Leveranser per nät'!T$1,FALSE)/VLOOKUP($B168,Korrigeringsfaktor_EI,'Korrigeringsfaktor EI'!T$1,FALSE),
"")</f>
        <v>1099.9099740740742</v>
      </c>
      <c r="U168" s="18">
        <f>IFERROR(
                  Andel_oberoende_av_klimat*VLOOKUP($A168,Leveranser_per_nät,'Leveranser per nät'!U$1,FALSE)
               +Andel_beroende_av_klimat*VLOOKUP($A168,Leveranser_per_nät,'Leveranser per nät'!U$1,FALSE)/VLOOKUP($B168,Korrigeringsfaktor_EI,'Korrigeringsfaktor EI'!U$1,FALSE),
"")</f>
        <v>1042.5270460674158</v>
      </c>
      <c r="V168" s="18">
        <f>IFERROR(
                  Andel_oberoende_av_klimat*VLOOKUP($A168,Leveranser_per_nät,'Leveranser per nät'!V$1,FALSE)
               +Andel_beroende_av_klimat*VLOOKUP($A168,Leveranser_per_nät,'Leveranser per nät'!V$1,FALSE)/VLOOKUP($B168,Korrigeringsfaktor_EI,'Korrigeringsfaktor EI'!V$1,FALSE),
"")</f>
        <v>1072.0205460674156</v>
      </c>
      <c r="W168" s="18">
        <f>IFERROR(
                  Andel_oberoende_av_klimat*VLOOKUP($A168,Leveranser_per_nät,'Leveranser per nät'!W$1,FALSE)
               +Andel_beroende_av_klimat*VLOOKUP($A168,Leveranser_per_nät,'Leveranser per nät'!W$1,FALSE)/VLOOKUP($B168,Korrigeringsfaktor_EI,'Korrigeringsfaktor EI'!W$1,FALSE),
"")</f>
        <v>1055.6607999999999</v>
      </c>
      <c r="X168" s="18">
        <f>IFERROR(
                  Andel_oberoende_av_klimat*VLOOKUP($A168,Leveranser_per_nät,'Leveranser per nät'!X$1,FALSE)
               +Andel_beroende_av_klimat*VLOOKUP($A168,Leveranser_per_nät,'Leveranser per nät'!X$1,FALSE)/VLOOKUP($B168,Korrigeringsfaktor_EI,'Korrigeringsfaktor EI'!X$1,FALSE),
"")</f>
        <v>1049.0961994652407</v>
      </c>
      <c r="Y168" s="18">
        <f>IFERROR(
                  Andel_oberoende_av_klimat*VLOOKUP($A168,Leveranser_per_nät,'Leveranser per nät'!Y$1,FALSE)
               +Andel_beroende_av_klimat*VLOOKUP($A168,Leveranser_per_nät,'Leveranser per nät'!Y$1,FALSE)/VLOOKUP($B168,Korrigeringsfaktor_EI,'Korrigeringsfaktor EI'!Y$1,FALSE),
"")</f>
        <v>1102.6817518248174</v>
      </c>
      <c r="Z168" s="18">
        <f>IFERROR(
                  Andel_oberoende_av_klimat*VLOOKUP($A168,Leveranser_per_nät,'Leveranser per nät'!Z$1,FALSE)
               +Andel_beroende_av_klimat*VLOOKUP($A168,Leveranser_per_nät,'Leveranser per nät'!Z$1,FALSE)/VLOOKUP($B168,Korrigeringsfaktor_EI,'Korrigeringsfaktor EI'!Z$1,FALSE),
"")</f>
        <v>1088.1397058823529</v>
      </c>
      <c r="AA168" s="18">
        <f>IFERROR(
                  Andel_oberoende_av_klimat*VLOOKUP($A168,Leveranser_per_nät,'Leveranser per nät'!AA$1,FALSE)
               +Andel_beroende_av_klimat*VLOOKUP($A168,Leveranser_per_nät,'Leveranser per nät'!AA$1,FALSE)/VLOOKUP($B168,Korrigeringsfaktor_EI,'Korrigeringsfaktor EI'!AA$1,FALSE),
"")</f>
        <v>1036.1374456516555</v>
      </c>
      <c r="AB168" s="18">
        <f>IFERROR(
                  Andel_oberoende_av_klimat*VLOOKUP($A168,Leveranser_per_nät,'Leveranser per nät'!AB$1,FALSE)
               +Andel_beroende_av_klimat*VLOOKUP($A168,Leveranser_per_nät,'Leveranser per nät'!AB$1,FALSE)/VLOOKUP($B168,Korrigeringsfaktor_EI,'Korrigeringsfaktor EI'!AB$1,FALSE),
"")</f>
        <v>1062.9188548812665</v>
      </c>
      <c r="AC168" s="18">
        <f>IFERROR(
                  Andel_oberoende_av_klimat*VLOOKUP($A168,Leveranser_per_nät,'Leveranser per nät'!AC$1,FALSE)
               +Andel_beroende_av_klimat*VLOOKUP($A168,Leveranser_per_nät,'Leveranser per nät'!AC$1,FALSE)/VLOOKUP($B168,Korrigeringsfaktor_EI,'Korrigeringsfaktor EI'!AC$1,FALSE),
"")</f>
        <v>985.48916180257515</v>
      </c>
      <c r="AD168" t="e">
        <v>#N/A</v>
      </c>
    </row>
    <row r="169" spans="1:30" x14ac:dyDescent="0.25">
      <c r="A169" t="s">
        <v>242</v>
      </c>
      <c r="B169" t="s">
        <v>508</v>
      </c>
      <c r="C169" s="18">
        <f>IFERROR(
                  Andel_oberoende_av_klimat*VLOOKUP($A169,Leveranser_per_nät,'Leveranser per nät'!C$1,FALSE)
               +Andel_beroende_av_klimat*VLOOKUP($A169,Leveranser_per_nät,'Leveranser per nät'!C$1,FALSE)/VLOOKUP($B169,Korrigeringsfaktor_EI,'Korrigeringsfaktor EI'!C$1,FALSE),
"")</f>
        <v>0</v>
      </c>
      <c r="D169" s="18">
        <f>IFERROR(
                  Andel_oberoende_av_klimat*VLOOKUP($A169,Leveranser_per_nät,'Leveranser per nät'!D$1,FALSE)
               +Andel_beroende_av_klimat*VLOOKUP($A169,Leveranser_per_nät,'Leveranser per nät'!D$1,FALSE)/VLOOKUP($B169,Korrigeringsfaktor_EI,'Korrigeringsfaktor EI'!D$1,FALSE),
"")</f>
        <v>0</v>
      </c>
      <c r="E169" s="18">
        <f>IFERROR(
                  Andel_oberoende_av_klimat*VLOOKUP($A169,Leveranser_per_nät,'Leveranser per nät'!E$1,FALSE)
               +Andel_beroende_av_klimat*VLOOKUP($A169,Leveranser_per_nät,'Leveranser per nät'!E$1,FALSE)/VLOOKUP($B169,Korrigeringsfaktor_EI,'Korrigeringsfaktor EI'!E$1,FALSE),
"")</f>
        <v>0</v>
      </c>
      <c r="F169" s="18">
        <f>IFERROR(
                  Andel_oberoende_av_klimat*VLOOKUP($A169,Leveranser_per_nät,'Leveranser per nät'!F$1,FALSE)
               +Andel_beroende_av_klimat*VLOOKUP($A169,Leveranser_per_nät,'Leveranser per nät'!F$1,FALSE)/VLOOKUP($B169,Korrigeringsfaktor_EI,'Korrigeringsfaktor EI'!F$1,FALSE),
"")</f>
        <v>0</v>
      </c>
      <c r="G169" s="18">
        <f>IFERROR(
                  Andel_oberoende_av_klimat*VLOOKUP($A169,Leveranser_per_nät,'Leveranser per nät'!G$1,FALSE)
               +Andel_beroende_av_klimat*VLOOKUP($A169,Leveranser_per_nät,'Leveranser per nät'!G$1,FALSE)/VLOOKUP($B169,Korrigeringsfaktor_EI,'Korrigeringsfaktor EI'!G$1,FALSE),
"")</f>
        <v>0</v>
      </c>
      <c r="H169" s="18">
        <f>IFERROR(
                  Andel_oberoende_av_klimat*VLOOKUP($A169,Leveranser_per_nät,'Leveranser per nät'!H$1,FALSE)
               +Andel_beroende_av_klimat*VLOOKUP($A169,Leveranser_per_nät,'Leveranser per nät'!H$1,FALSE)/VLOOKUP($B169,Korrigeringsfaktor_EI,'Korrigeringsfaktor EI'!H$1,FALSE),
"")</f>
        <v>0</v>
      </c>
      <c r="I169" s="18">
        <f>IFERROR(
                  Andel_oberoende_av_klimat*VLOOKUP($A169,Leveranser_per_nät,'Leveranser per nät'!I$1,FALSE)
               +Andel_beroende_av_klimat*VLOOKUP($A169,Leveranser_per_nät,'Leveranser per nät'!I$1,FALSE)/VLOOKUP($B169,Korrigeringsfaktor_EI,'Korrigeringsfaktor EI'!I$1,FALSE),
"")</f>
        <v>0</v>
      </c>
      <c r="J169" s="18">
        <f>IFERROR(
                  Andel_oberoende_av_klimat*VLOOKUP($A169,Leveranser_per_nät,'Leveranser per nät'!J$1,FALSE)
               +Andel_beroende_av_klimat*VLOOKUP($A169,Leveranser_per_nät,'Leveranser per nät'!J$1,FALSE)/VLOOKUP($B169,Korrigeringsfaktor_EI,'Korrigeringsfaktor EI'!J$1,FALSE),
"")</f>
        <v>0</v>
      </c>
      <c r="K169" s="18">
        <f>IFERROR(
                  Andel_oberoende_av_klimat*VLOOKUP($A169,Leveranser_per_nät,'Leveranser per nät'!K$1,FALSE)
               +Andel_beroende_av_klimat*VLOOKUP($A169,Leveranser_per_nät,'Leveranser per nät'!K$1,FALSE)/VLOOKUP($B169,Korrigeringsfaktor_EI,'Korrigeringsfaktor EI'!K$1,FALSE),
"")</f>
        <v>13.287142857142857</v>
      </c>
      <c r="L169" s="18">
        <f>IFERROR(
                  Andel_oberoende_av_klimat*VLOOKUP($A169,Leveranser_per_nät,'Leveranser per nät'!L$1,FALSE)
               +Andel_beroende_av_klimat*VLOOKUP($A169,Leveranser_per_nät,'Leveranser per nät'!L$1,FALSE)/VLOOKUP($B169,Korrigeringsfaktor_EI,'Korrigeringsfaktor EI'!L$1,FALSE),
"")</f>
        <v>17.991891666666668</v>
      </c>
      <c r="M169" s="18">
        <f>IFERROR(
                  Andel_oberoende_av_klimat*VLOOKUP($A169,Leveranser_per_nät,'Leveranser per nät'!M$1,FALSE)
               +Andel_beroende_av_klimat*VLOOKUP($A169,Leveranser_per_nät,'Leveranser per nät'!M$1,FALSE)/VLOOKUP($B169,Korrigeringsfaktor_EI,'Korrigeringsfaktor EI'!M$1,FALSE),
"")</f>
        <v>23.279721739130434</v>
      </c>
      <c r="N169" s="18">
        <f>IFERROR(
                  Andel_oberoende_av_klimat*VLOOKUP($A169,Leveranser_per_nät,'Leveranser per nät'!N$1,FALSE)
               +Andel_beroende_av_klimat*VLOOKUP($A169,Leveranser_per_nät,'Leveranser per nät'!N$1,FALSE)/VLOOKUP($B169,Korrigeringsfaktor_EI,'Korrigeringsfaktor EI'!N$1,FALSE),
"")</f>
        <v>23.650755555555556</v>
      </c>
      <c r="O169" s="18">
        <f>IFERROR(
                  Andel_oberoende_av_klimat*VLOOKUP($A169,Leveranser_per_nät,'Leveranser per nät'!O$1,FALSE)
               +Andel_beroende_av_klimat*VLOOKUP($A169,Leveranser_per_nät,'Leveranser per nät'!O$1,FALSE)/VLOOKUP($B169,Korrigeringsfaktor_EI,'Korrigeringsfaktor EI'!O$1,FALSE),
"")</f>
        <v>23.650755555555556</v>
      </c>
      <c r="P169" s="18">
        <f>IFERROR(
                  Andel_oberoende_av_klimat*VLOOKUP($A169,Leveranser_per_nät,'Leveranser per nät'!P$1,FALSE)
               +Andel_beroende_av_klimat*VLOOKUP($A169,Leveranser_per_nät,'Leveranser per nät'!P$1,FALSE)/VLOOKUP($B169,Korrigeringsfaktor_EI,'Korrigeringsfaktor EI'!P$1,FALSE),
"")</f>
        <v>26.121163157894742</v>
      </c>
      <c r="Q169" s="18">
        <f>IFERROR(
                  Andel_oberoende_av_klimat*VLOOKUP($A169,Leveranser_per_nät,'Leveranser per nät'!Q$1,FALSE)
               +Andel_beroende_av_klimat*VLOOKUP($A169,Leveranser_per_nät,'Leveranser per nät'!Q$1,FALSE)/VLOOKUP($B169,Korrigeringsfaktor_EI,'Korrigeringsfaktor EI'!Q$1,FALSE),
"")</f>
        <v>28.984490990990984</v>
      </c>
      <c r="R169" s="18">
        <f>IFERROR(
                  Andel_oberoende_av_klimat*VLOOKUP($A169,Leveranser_per_nät,'Leveranser per nät'!R$1,FALSE)
               +Andel_beroende_av_klimat*VLOOKUP($A169,Leveranser_per_nät,'Leveranser per nät'!R$1,FALSE)/VLOOKUP($B169,Korrigeringsfaktor_EI,'Korrigeringsfaktor EI'!R$1,FALSE),
"")</f>
        <v>28.763651612903228</v>
      </c>
      <c r="S169" s="18">
        <f>IFERROR(
                  Andel_oberoende_av_klimat*VLOOKUP($A169,Leveranser_per_nät,'Leveranser per nät'!S$1,FALSE)
               +Andel_beroende_av_klimat*VLOOKUP($A169,Leveranser_per_nät,'Leveranser per nät'!S$1,FALSE)/VLOOKUP($B169,Korrigeringsfaktor_EI,'Korrigeringsfaktor EI'!S$1,FALSE),
"")</f>
        <v>29</v>
      </c>
      <c r="T169" s="18">
        <f>IFERROR(
                  Andel_oberoende_av_klimat*VLOOKUP($A169,Leveranser_per_nät,'Leveranser per nät'!T$1,FALSE)
               +Andel_beroende_av_klimat*VLOOKUP($A169,Leveranser_per_nät,'Leveranser per nät'!T$1,FALSE)/VLOOKUP($B169,Korrigeringsfaktor_EI,'Korrigeringsfaktor EI'!T$1,FALSE),
"")</f>
        <v>29.627835051546391</v>
      </c>
      <c r="U169" s="18">
        <f>IFERROR(
                  Andel_oberoende_av_klimat*VLOOKUP($A169,Leveranser_per_nät,'Leveranser per nät'!U$1,FALSE)
               +Andel_beroende_av_klimat*VLOOKUP($A169,Leveranser_per_nät,'Leveranser per nät'!U$1,FALSE)/VLOOKUP($B169,Korrigeringsfaktor_EI,'Korrigeringsfaktor EI'!U$1,FALSE),
"")</f>
        <v>28.183023255813957</v>
      </c>
      <c r="V169" s="18">
        <f>IFERROR(
                  Andel_oberoende_av_klimat*VLOOKUP($A169,Leveranser_per_nät,'Leveranser per nät'!V$1,FALSE)
               +Andel_beroende_av_klimat*VLOOKUP($A169,Leveranser_per_nät,'Leveranser per nät'!V$1,FALSE)/VLOOKUP($B169,Korrigeringsfaktor_EI,'Korrigeringsfaktor EI'!V$1,FALSE),
"")</f>
        <v>28.227692307692305</v>
      </c>
      <c r="W169" s="18">
        <f>IFERROR(
                  Andel_oberoende_av_klimat*VLOOKUP($A169,Leveranser_per_nät,'Leveranser per nät'!W$1,FALSE)
               +Andel_beroende_av_klimat*VLOOKUP($A169,Leveranser_per_nät,'Leveranser per nät'!W$1,FALSE)/VLOOKUP($B169,Korrigeringsfaktor_EI,'Korrigeringsfaktor EI'!W$1,FALSE),
"")</f>
        <v>28.317311827956985</v>
      </c>
      <c r="X169" s="18">
        <f>IFERROR(
                  Andel_oberoende_av_klimat*VLOOKUP($A169,Leveranser_per_nät,'Leveranser per nät'!X$1,FALSE)
               +Andel_beroende_av_klimat*VLOOKUP($A169,Leveranser_per_nät,'Leveranser per nät'!X$1,FALSE)/VLOOKUP($B169,Korrigeringsfaktor_EI,'Korrigeringsfaktor EI'!X$1,FALSE),
"")</f>
        <v>27.788510638297875</v>
      </c>
      <c r="Y169" s="18">
        <f>IFERROR(
                  Andel_oberoende_av_klimat*VLOOKUP($A169,Leveranser_per_nät,'Leveranser per nät'!Y$1,FALSE)
               +Andel_beroende_av_klimat*VLOOKUP($A169,Leveranser_per_nät,'Leveranser per nät'!Y$1,FALSE)/VLOOKUP($B169,Korrigeringsfaktor_EI,'Korrigeringsfaktor EI'!Y$1,FALSE),
"")</f>
        <v>28.810454545454547</v>
      </c>
      <c r="Z169" s="18">
        <f>IFERROR(
                  Andel_oberoende_av_klimat*VLOOKUP($A169,Leveranser_per_nät,'Leveranser per nät'!Z$1,FALSE)
               +Andel_beroende_av_klimat*VLOOKUP($A169,Leveranser_per_nät,'Leveranser per nät'!Z$1,FALSE)/VLOOKUP($B169,Korrigeringsfaktor_EI,'Korrigeringsfaktor EI'!Z$1,FALSE),
"")</f>
        <v>27.283563218390803</v>
      </c>
      <c r="AA169" s="18">
        <f>IFERROR(
                  Andel_oberoende_av_klimat*VLOOKUP($A169,Leveranser_per_nät,'Leveranser per nät'!AA$1,FALSE)
               +Andel_beroende_av_klimat*VLOOKUP($A169,Leveranser_per_nät,'Leveranser per nät'!AA$1,FALSE)/VLOOKUP($B169,Korrigeringsfaktor_EI,'Korrigeringsfaktor EI'!AA$1,FALSE),
"")</f>
        <v>26.524335586481111</v>
      </c>
      <c r="AB169" s="18">
        <f>IFERROR(
                  Andel_oberoende_av_klimat*VLOOKUP($A169,Leveranser_per_nät,'Leveranser per nät'!AB$1,FALSE)
               +Andel_beroende_av_klimat*VLOOKUP($A169,Leveranser_per_nät,'Leveranser per nät'!AB$1,FALSE)/VLOOKUP($B169,Korrigeringsfaktor_EI,'Korrigeringsfaktor EI'!AB$1,FALSE),
"")</f>
        <v>26.136613226452909</v>
      </c>
      <c r="AC169" s="18">
        <f>IFERROR(
                  Andel_oberoende_av_klimat*VLOOKUP($A169,Leveranser_per_nät,'Leveranser per nät'!AC$1,FALSE)
               +Andel_beroende_av_klimat*VLOOKUP($A169,Leveranser_per_nät,'Leveranser per nät'!AC$1,FALSE)/VLOOKUP($B169,Korrigeringsfaktor_EI,'Korrigeringsfaktor EI'!AC$1,FALSE),
"")</f>
        <v>24.834358974358977</v>
      </c>
      <c r="AD169" t="e">
        <v>#N/A</v>
      </c>
    </row>
    <row r="170" spans="1:30" x14ac:dyDescent="0.25">
      <c r="A170" t="s">
        <v>326</v>
      </c>
      <c r="B170" t="s">
        <v>324</v>
      </c>
      <c r="C170" s="18">
        <f>IFERROR(
                  Andel_oberoende_av_klimat*VLOOKUP($A170,Leveranser_per_nät,'Leveranser per nät'!C$1,FALSE)
               +Andel_beroende_av_klimat*VLOOKUP($A170,Leveranser_per_nät,'Leveranser per nät'!C$1,FALSE)/VLOOKUP($B170,Korrigeringsfaktor_EI,'Korrigeringsfaktor EI'!C$1,FALSE),
"")</f>
        <v>0</v>
      </c>
      <c r="D170" s="18">
        <f>IFERROR(
                  Andel_oberoende_av_klimat*VLOOKUP($A170,Leveranser_per_nät,'Leveranser per nät'!D$1,FALSE)
               +Andel_beroende_av_klimat*VLOOKUP($A170,Leveranser_per_nät,'Leveranser per nät'!D$1,FALSE)/VLOOKUP($B170,Korrigeringsfaktor_EI,'Korrigeringsfaktor EI'!D$1,FALSE),
"")</f>
        <v>0</v>
      </c>
      <c r="E170" s="18">
        <f>IFERROR(
                  Andel_oberoende_av_klimat*VLOOKUP($A170,Leveranser_per_nät,'Leveranser per nät'!E$1,FALSE)
               +Andel_beroende_av_klimat*VLOOKUP($A170,Leveranser_per_nät,'Leveranser per nät'!E$1,FALSE)/VLOOKUP($B170,Korrigeringsfaktor_EI,'Korrigeringsfaktor EI'!E$1,FALSE),
"")</f>
        <v>0</v>
      </c>
      <c r="F170" s="18">
        <f>IFERROR(
                  Andel_oberoende_av_klimat*VLOOKUP($A170,Leveranser_per_nät,'Leveranser per nät'!F$1,FALSE)
               +Andel_beroende_av_klimat*VLOOKUP($A170,Leveranser_per_nät,'Leveranser per nät'!F$1,FALSE)/VLOOKUP($B170,Korrigeringsfaktor_EI,'Korrigeringsfaktor EI'!F$1,FALSE),
"")</f>
        <v>0</v>
      </c>
      <c r="G170" s="18">
        <f>IFERROR(
                  Andel_oberoende_av_klimat*VLOOKUP($A170,Leveranser_per_nät,'Leveranser per nät'!G$1,FALSE)
               +Andel_beroende_av_klimat*VLOOKUP($A170,Leveranser_per_nät,'Leveranser per nät'!G$1,FALSE)/VLOOKUP($B170,Korrigeringsfaktor_EI,'Korrigeringsfaktor EI'!G$1,FALSE),
"")</f>
        <v>0</v>
      </c>
      <c r="H170" s="18">
        <f>IFERROR(
                  Andel_oberoende_av_klimat*VLOOKUP($A170,Leveranser_per_nät,'Leveranser per nät'!H$1,FALSE)
               +Andel_beroende_av_klimat*VLOOKUP($A170,Leveranser_per_nät,'Leveranser per nät'!H$1,FALSE)/VLOOKUP($B170,Korrigeringsfaktor_EI,'Korrigeringsfaktor EI'!H$1,FALSE),
"")</f>
        <v>0</v>
      </c>
      <c r="I170" s="18">
        <f>IFERROR(
                  Andel_oberoende_av_klimat*VLOOKUP($A170,Leveranser_per_nät,'Leveranser per nät'!I$1,FALSE)
               +Andel_beroende_av_klimat*VLOOKUP($A170,Leveranser_per_nät,'Leveranser per nät'!I$1,FALSE)/VLOOKUP($B170,Korrigeringsfaktor_EI,'Korrigeringsfaktor EI'!I$1,FALSE),
"")</f>
        <v>0</v>
      </c>
      <c r="J170" s="18">
        <f>IFERROR(
                  Andel_oberoende_av_klimat*VLOOKUP($A170,Leveranser_per_nät,'Leveranser per nät'!J$1,FALSE)
               +Andel_beroende_av_klimat*VLOOKUP($A170,Leveranser_per_nät,'Leveranser per nät'!J$1,FALSE)/VLOOKUP($B170,Korrigeringsfaktor_EI,'Korrigeringsfaktor EI'!J$1,FALSE),
"")</f>
        <v>5.0816845360824745</v>
      </c>
      <c r="K170" s="18">
        <f>IFERROR(
                  Andel_oberoende_av_klimat*VLOOKUP($A170,Leveranser_per_nät,'Leveranser per nät'!K$1,FALSE)
               +Andel_beroende_av_klimat*VLOOKUP($A170,Leveranser_per_nät,'Leveranser per nät'!K$1,FALSE)/VLOOKUP($B170,Korrigeringsfaktor_EI,'Korrigeringsfaktor EI'!K$1,FALSE),
"")</f>
        <v>0</v>
      </c>
      <c r="L170" s="18">
        <f>IFERROR(
                  Andel_oberoende_av_klimat*VLOOKUP($A170,Leveranser_per_nät,'Leveranser per nät'!L$1,FALSE)
               +Andel_beroende_av_klimat*VLOOKUP($A170,Leveranser_per_nät,'Leveranser per nät'!L$1,FALSE)/VLOOKUP($B170,Korrigeringsfaktor_EI,'Korrigeringsfaktor EI'!L$1,FALSE),
"")</f>
        <v>0</v>
      </c>
      <c r="M170" s="18">
        <f>IFERROR(
                  Andel_oberoende_av_klimat*VLOOKUP($A170,Leveranser_per_nät,'Leveranser per nät'!M$1,FALSE)
               +Andel_beroende_av_klimat*VLOOKUP($A170,Leveranser_per_nät,'Leveranser per nät'!M$1,FALSE)/VLOOKUP($B170,Korrigeringsfaktor_EI,'Korrigeringsfaktor EI'!M$1,FALSE),
"")</f>
        <v>0</v>
      </c>
      <c r="N170" s="18">
        <f>IFERROR(
                  Andel_oberoende_av_klimat*VLOOKUP($A170,Leveranser_per_nät,'Leveranser per nät'!N$1,FALSE)
               +Andel_beroende_av_klimat*VLOOKUP($A170,Leveranser_per_nät,'Leveranser per nät'!N$1,FALSE)/VLOOKUP($B170,Korrigeringsfaktor_EI,'Korrigeringsfaktor EI'!N$1,FALSE),
"")</f>
        <v>7.9798608695652176</v>
      </c>
      <c r="O170" s="18">
        <f>IFERROR(
                  Andel_oberoende_av_klimat*VLOOKUP($A170,Leveranser_per_nät,'Leveranser per nät'!O$1,FALSE)
               +Andel_beroende_av_klimat*VLOOKUP($A170,Leveranser_per_nät,'Leveranser per nät'!O$1,FALSE)/VLOOKUP($B170,Korrigeringsfaktor_EI,'Korrigeringsfaktor EI'!O$1,FALSE),
"")</f>
        <v>9.2051652173913041</v>
      </c>
      <c r="P170" s="18">
        <f>IFERROR(
                  Andel_oberoende_av_klimat*VLOOKUP($A170,Leveranser_per_nät,'Leveranser per nät'!P$1,FALSE)
               +Andel_beroende_av_klimat*VLOOKUP($A170,Leveranser_per_nät,'Leveranser per nät'!P$1,FALSE)/VLOOKUP($B170,Korrigeringsfaktor_EI,'Korrigeringsfaktor EI'!P$1,FALSE),
"")</f>
        <v>9.8599391752577308</v>
      </c>
      <c r="Q170" s="18">
        <f>IFERROR(
                  Andel_oberoende_av_klimat*VLOOKUP($A170,Leveranser_per_nät,'Leveranser per nät'!Q$1,FALSE)
               +Andel_beroende_av_klimat*VLOOKUP($A170,Leveranser_per_nät,'Leveranser per nät'!Q$1,FALSE)/VLOOKUP($B170,Korrigeringsfaktor_EI,'Korrigeringsfaktor EI'!Q$1,FALSE),
"")</f>
        <v>9.3120925233644858</v>
      </c>
      <c r="R170" s="18">
        <f>IFERROR(
                  Andel_oberoende_av_klimat*VLOOKUP($A170,Leveranser_per_nät,'Leveranser per nät'!R$1,FALSE)
               +Andel_beroende_av_klimat*VLOOKUP($A170,Leveranser_per_nät,'Leveranser per nät'!R$1,FALSE)/VLOOKUP($B170,Korrigeringsfaktor_EI,'Korrigeringsfaktor EI'!R$1,FALSE),
"")</f>
        <v>9.0456923076923097</v>
      </c>
      <c r="S170" s="18">
        <f>IFERROR(
                  Andel_oberoende_av_klimat*VLOOKUP($A170,Leveranser_per_nät,'Leveranser per nät'!S$1,FALSE)
               +Andel_beroende_av_klimat*VLOOKUP($A170,Leveranser_per_nät,'Leveranser per nät'!S$1,FALSE)/VLOOKUP($B170,Korrigeringsfaktor_EI,'Korrigeringsfaktor EI'!S$1,FALSE),
"")</f>
        <v>8.73</v>
      </c>
      <c r="T170" s="18">
        <f>IFERROR(
                  Andel_oberoende_av_klimat*VLOOKUP($A170,Leveranser_per_nät,'Leveranser per nät'!T$1,FALSE)
               +Andel_beroende_av_klimat*VLOOKUP($A170,Leveranser_per_nät,'Leveranser per nät'!T$1,FALSE)/VLOOKUP($B170,Korrigeringsfaktor_EI,'Korrigeringsfaktor EI'!T$1,FALSE),
"")</f>
        <v>8.7215215053763444</v>
      </c>
      <c r="U170" s="18">
        <f>IFERROR(
                  Andel_oberoende_av_klimat*VLOOKUP($A170,Leveranser_per_nät,'Leveranser per nät'!U$1,FALSE)
               +Andel_beroende_av_klimat*VLOOKUP($A170,Leveranser_per_nät,'Leveranser per nät'!U$1,FALSE)/VLOOKUP($B170,Korrigeringsfaktor_EI,'Korrigeringsfaktor EI'!U$1,FALSE),
"")</f>
        <v>8.3161333333333332</v>
      </c>
      <c r="V170" s="18">
        <f>IFERROR(
                  Andel_oberoende_av_klimat*VLOOKUP($A170,Leveranser_per_nät,'Leveranser per nät'!V$1,FALSE)
               +Andel_beroende_av_klimat*VLOOKUP($A170,Leveranser_per_nät,'Leveranser per nät'!V$1,FALSE)/VLOOKUP($B170,Korrigeringsfaktor_EI,'Korrigeringsfaktor EI'!V$1,FALSE),
"")</f>
        <v>7.2481539325842697</v>
      </c>
      <c r="W170" s="18">
        <f>IFERROR(
                  Andel_oberoende_av_klimat*VLOOKUP($A170,Leveranser_per_nät,'Leveranser per nät'!W$1,FALSE)
               +Andel_beroende_av_klimat*VLOOKUP($A170,Leveranser_per_nät,'Leveranser per nät'!W$1,FALSE)/VLOOKUP($B170,Korrigeringsfaktor_EI,'Korrigeringsfaktor EI'!W$1,FALSE),
"")</f>
        <v>7.4182333333333332</v>
      </c>
      <c r="X170" s="18">
        <f>IFERROR(
                  Andel_oberoende_av_klimat*VLOOKUP($A170,Leveranser_per_nät,'Leveranser per nät'!X$1,FALSE)
               +Andel_beroende_av_klimat*VLOOKUP($A170,Leveranser_per_nät,'Leveranser per nät'!X$1,FALSE)/VLOOKUP($B170,Korrigeringsfaktor_EI,'Korrigeringsfaktor EI'!X$1,FALSE),
"")</f>
        <v>7.5952500000000001</v>
      </c>
      <c r="Y170" s="18">
        <f>IFERROR(
                  Andel_oberoende_av_klimat*VLOOKUP($A170,Leveranser_per_nät,'Leveranser per nät'!Y$1,FALSE)
               +Andel_beroende_av_klimat*VLOOKUP($A170,Leveranser_per_nät,'Leveranser per nät'!Y$1,FALSE)/VLOOKUP($B170,Korrigeringsfaktor_EI,'Korrigeringsfaktor EI'!Y$1,FALSE),
"")</f>
        <v>7.7410851063829789</v>
      </c>
      <c r="Z170" s="18">
        <f>IFERROR(
                  Andel_oberoende_av_klimat*VLOOKUP($A170,Leveranser_per_nät,'Leveranser per nät'!Z$1,FALSE)
               +Andel_beroende_av_klimat*VLOOKUP($A170,Leveranser_per_nät,'Leveranser per nät'!Z$1,FALSE)/VLOOKUP($B170,Korrigeringsfaktor_EI,'Korrigeringsfaktor EI'!Z$1,FALSE),
"")</f>
        <v>7.5952500000000001</v>
      </c>
      <c r="AA170" s="18">
        <f>IFERROR(
                  Andel_oberoende_av_klimat*VLOOKUP($A170,Leveranser_per_nät,'Leveranser per nät'!AA$1,FALSE)
               +Andel_beroende_av_klimat*VLOOKUP($A170,Leveranser_per_nät,'Leveranser per nät'!AA$1,FALSE)/VLOOKUP($B170,Korrigeringsfaktor_EI,'Korrigeringsfaktor EI'!AA$1,FALSE),
"")</f>
        <v>7.3576272019664062</v>
      </c>
      <c r="AB170" s="18">
        <f>IFERROR(
                  Andel_oberoende_av_klimat*VLOOKUP($A170,Leveranser_per_nät,'Leveranser per nät'!AB$1,FALSE)
               +Andel_beroende_av_klimat*VLOOKUP($A170,Leveranser_per_nät,'Leveranser per nät'!AB$1,FALSE)/VLOOKUP($B170,Korrigeringsfaktor_EI,'Korrigeringsfaktor EI'!AB$1,FALSE),
"")</f>
        <v>7.5817829457364336</v>
      </c>
      <c r="AC170" s="18">
        <f>IFERROR(
                  Andel_oberoende_av_klimat*VLOOKUP($A170,Leveranser_per_nät,'Leveranser per nät'!AC$1,FALSE)
               +Andel_beroende_av_klimat*VLOOKUP($A170,Leveranser_per_nät,'Leveranser per nät'!AC$1,FALSE)/VLOOKUP($B170,Korrigeringsfaktor_EI,'Korrigeringsfaktor EI'!AC$1,FALSE),
"")</f>
        <v>7.5641294964028774</v>
      </c>
      <c r="AD170">
        <v>823.99</v>
      </c>
    </row>
    <row r="171" spans="1:30" x14ac:dyDescent="0.25">
      <c r="A171" t="s">
        <v>243</v>
      </c>
      <c r="B171" t="s">
        <v>243</v>
      </c>
      <c r="C171" s="18">
        <f>IFERROR(
                  Andel_oberoende_av_klimat*VLOOKUP($A171,Leveranser_per_nät,'Leveranser per nät'!C$1,FALSE)
               +Andel_beroende_av_klimat*VLOOKUP($A171,Leveranser_per_nät,'Leveranser per nät'!C$1,FALSE)/VLOOKUP($B171,Korrigeringsfaktor_EI,'Korrigeringsfaktor EI'!C$1,FALSE),
"")</f>
        <v>14.799999999999999</v>
      </c>
      <c r="D171" s="18">
        <f>IFERROR(
                  Andel_oberoende_av_klimat*VLOOKUP($A171,Leveranser_per_nät,'Leveranser per nät'!D$1,FALSE)
               +Andel_beroende_av_klimat*VLOOKUP($A171,Leveranser_per_nät,'Leveranser per nät'!D$1,FALSE)/VLOOKUP($B171,Korrigeringsfaktor_EI,'Korrigeringsfaktor EI'!D$1,FALSE),
"")</f>
        <v>14.162901960784314</v>
      </c>
      <c r="E171" s="18">
        <f>IFERROR(
                  Andel_oberoende_av_klimat*VLOOKUP($A171,Leveranser_per_nät,'Leveranser per nät'!E$1,FALSE)
               +Andel_beroende_av_klimat*VLOOKUP($A171,Leveranser_per_nät,'Leveranser per nät'!E$1,FALSE)/VLOOKUP($B171,Korrigeringsfaktor_EI,'Korrigeringsfaktor EI'!E$1,FALSE),
"")</f>
        <v>14.694174757281555</v>
      </c>
      <c r="F171" s="18">
        <f>IFERROR(
                  Andel_oberoende_av_klimat*VLOOKUP($A171,Leveranser_per_nät,'Leveranser per nät'!F$1,FALSE)
               +Andel_beroende_av_klimat*VLOOKUP($A171,Leveranser_per_nät,'Leveranser per nät'!F$1,FALSE)/VLOOKUP($B171,Korrigeringsfaktor_EI,'Korrigeringsfaktor EI'!F$1,FALSE),
"")</f>
        <v>14.303092783505155</v>
      </c>
      <c r="G171" s="18">
        <f>IFERROR(
                  Andel_oberoende_av_klimat*VLOOKUP($A171,Leveranser_per_nät,'Leveranser per nät'!G$1,FALSE)
               +Andel_beroende_av_klimat*VLOOKUP($A171,Leveranser_per_nät,'Leveranser per nät'!G$1,FALSE)/VLOOKUP($B171,Korrigeringsfaktor_EI,'Korrigeringsfaktor EI'!G$1,FALSE),
"")</f>
        <v>13.9</v>
      </c>
      <c r="H171" s="18">
        <f>IFERROR(
                  Andel_oberoende_av_klimat*VLOOKUP($A171,Leveranser_per_nät,'Leveranser per nät'!H$1,FALSE)
               +Andel_beroende_av_klimat*VLOOKUP($A171,Leveranser_per_nät,'Leveranser per nät'!H$1,FALSE)/VLOOKUP($B171,Korrigeringsfaktor_EI,'Korrigeringsfaktor EI'!H$1,FALSE),
"")</f>
        <v>16.228571428571428</v>
      </c>
      <c r="I171" s="18">
        <f>IFERROR(
                  Andel_oberoende_av_klimat*VLOOKUP($A171,Leveranser_per_nät,'Leveranser per nät'!I$1,FALSE)
               +Andel_beroende_av_klimat*VLOOKUP($A171,Leveranser_per_nät,'Leveranser per nät'!I$1,FALSE)/VLOOKUP($B171,Korrigeringsfaktor_EI,'Korrigeringsfaktor EI'!I$1,FALSE),
"")</f>
        <v>0</v>
      </c>
      <c r="J171" s="18">
        <f>IFERROR(
                  Andel_oberoende_av_klimat*VLOOKUP($A171,Leveranser_per_nät,'Leveranser per nät'!J$1,FALSE)
               +Andel_beroende_av_klimat*VLOOKUP($A171,Leveranser_per_nät,'Leveranser per nät'!J$1,FALSE)/VLOOKUP($B171,Korrigeringsfaktor_EI,'Korrigeringsfaktor EI'!J$1,FALSE),
"")</f>
        <v>0</v>
      </c>
      <c r="K171" s="18">
        <f>IFERROR(
                  Andel_oberoende_av_klimat*VLOOKUP($A171,Leveranser_per_nät,'Leveranser per nät'!K$1,FALSE)
               +Andel_beroende_av_klimat*VLOOKUP($A171,Leveranser_per_nät,'Leveranser per nät'!K$1,FALSE)/VLOOKUP($B171,Korrigeringsfaktor_EI,'Korrigeringsfaktor EI'!K$1,FALSE),
"")</f>
        <v>22.568454545454546</v>
      </c>
      <c r="L171" s="18">
        <f>IFERROR(
                  Andel_oberoende_av_klimat*VLOOKUP($A171,Leveranser_per_nät,'Leveranser per nät'!L$1,FALSE)
               +Andel_beroende_av_klimat*VLOOKUP($A171,Leveranser_per_nät,'Leveranser per nät'!L$1,FALSE)/VLOOKUP($B171,Korrigeringsfaktor_EI,'Korrigeringsfaktor EI'!L$1,FALSE),
"")</f>
        <v>21.756583333333335</v>
      </c>
      <c r="M171" s="18">
        <f>IFERROR(
                  Andel_oberoende_av_klimat*VLOOKUP($A171,Leveranser_per_nät,'Leveranser per nät'!M$1,FALSE)
               +Andel_beroende_av_klimat*VLOOKUP($A171,Leveranser_per_nät,'Leveranser per nät'!M$1,FALSE)/VLOOKUP($B171,Korrigeringsfaktor_EI,'Korrigeringsfaktor EI'!M$1,FALSE),
"")</f>
        <v>23.442034782608697</v>
      </c>
      <c r="N171" s="18">
        <f>IFERROR(
                  Andel_oberoende_av_klimat*VLOOKUP($A171,Leveranser_per_nät,'Leveranser per nät'!N$1,FALSE)
               +Andel_beroende_av_klimat*VLOOKUP($A171,Leveranser_per_nät,'Leveranser per nät'!N$1,FALSE)/VLOOKUP($B171,Korrigeringsfaktor_EI,'Korrigeringsfaktor EI'!N$1,FALSE),
"")</f>
        <v>24.008762921348314</v>
      </c>
      <c r="O171" s="18">
        <f>IFERROR(
                  Andel_oberoende_av_klimat*VLOOKUP($A171,Leveranser_per_nät,'Leveranser per nät'!O$1,FALSE)
               +Andel_beroende_av_klimat*VLOOKUP($A171,Leveranser_per_nät,'Leveranser per nät'!O$1,FALSE)/VLOOKUP($B171,Korrigeringsfaktor_EI,'Korrigeringsfaktor EI'!O$1,FALSE),
"")</f>
        <v>21.6601</v>
      </c>
      <c r="P171" s="18">
        <f>IFERROR(
                  Andel_oberoende_av_klimat*VLOOKUP($A171,Leveranser_per_nät,'Leveranser per nät'!P$1,FALSE)
               +Andel_beroende_av_klimat*VLOOKUP($A171,Leveranser_per_nät,'Leveranser per nät'!P$1,FALSE)/VLOOKUP($B171,Korrigeringsfaktor_EI,'Korrigeringsfaktor EI'!P$1,FALSE),
"")</f>
        <v>24.805410526315789</v>
      </c>
      <c r="Q171" s="18">
        <f>IFERROR(
                  Andel_oberoende_av_klimat*VLOOKUP($A171,Leveranser_per_nät,'Leveranser per nät'!Q$1,FALSE)
               +Andel_beroende_av_klimat*VLOOKUP($A171,Leveranser_per_nät,'Leveranser per nät'!Q$1,FALSE)/VLOOKUP($B171,Korrigeringsfaktor_EI,'Korrigeringsfaktor EI'!Q$1,FALSE),
"")</f>
        <v>26.713999999999999</v>
      </c>
      <c r="R171" s="18">
        <f>IFERROR(
                  Andel_oberoende_av_klimat*VLOOKUP($A171,Leveranser_per_nät,'Leveranser per nät'!R$1,FALSE)
               +Andel_beroende_av_klimat*VLOOKUP($A171,Leveranser_per_nät,'Leveranser per nät'!R$1,FALSE)/VLOOKUP($B171,Korrigeringsfaktor_EI,'Korrigeringsfaktor EI'!R$1,FALSE),
"")</f>
        <v>26.496278260869559</v>
      </c>
      <c r="S171" s="18">
        <f>IFERROR(
                  Andel_oberoende_av_klimat*VLOOKUP($A171,Leveranser_per_nät,'Leveranser per nät'!S$1,FALSE)
               +Andel_beroende_av_klimat*VLOOKUP($A171,Leveranser_per_nät,'Leveranser per nät'!S$1,FALSE)/VLOOKUP($B171,Korrigeringsfaktor_EI,'Korrigeringsfaktor EI'!S$1,FALSE),
"")</f>
        <v>26</v>
      </c>
      <c r="T171" s="18">
        <f>IFERROR(
                  Andel_oberoende_av_klimat*VLOOKUP($A171,Leveranser_per_nät,'Leveranser per nät'!T$1,FALSE)
               +Andel_beroende_av_klimat*VLOOKUP($A171,Leveranser_per_nät,'Leveranser per nät'!T$1,FALSE)/VLOOKUP($B171,Korrigeringsfaktor_EI,'Korrigeringsfaktor EI'!T$1,FALSE),
"")</f>
        <v>25.154285714285717</v>
      </c>
      <c r="U171" s="18">
        <f>IFERROR(
                  Andel_oberoende_av_klimat*VLOOKUP($A171,Leveranser_per_nät,'Leveranser per nät'!U$1,FALSE)
               +Andel_beroende_av_klimat*VLOOKUP($A171,Leveranser_per_nät,'Leveranser per nät'!U$1,FALSE)/VLOOKUP($B171,Korrigeringsfaktor_EI,'Korrigeringsfaktor EI'!U$1,FALSE),
"")</f>
        <v>23.281627906976741</v>
      </c>
      <c r="V171" s="18">
        <f>IFERROR(
                  Andel_oberoende_av_klimat*VLOOKUP($A171,Leveranser_per_nät,'Leveranser per nät'!V$1,FALSE)
               +Andel_beroende_av_klimat*VLOOKUP($A171,Leveranser_per_nät,'Leveranser per nät'!V$1,FALSE)/VLOOKUP($B171,Korrigeringsfaktor_EI,'Korrigeringsfaktor EI'!V$1,FALSE),
"")</f>
        <v>23.763478260869562</v>
      </c>
      <c r="W171" s="18">
        <f>IFERROR(
                  Andel_oberoende_av_klimat*VLOOKUP($A171,Leveranser_per_nät,'Leveranser per nät'!W$1,FALSE)
               +Andel_beroende_av_klimat*VLOOKUP($A171,Leveranser_per_nät,'Leveranser per nät'!W$1,FALSE)/VLOOKUP($B171,Korrigeringsfaktor_EI,'Korrigeringsfaktor EI'!W$1,FALSE),
"")</f>
        <v>24.001290322580644</v>
      </c>
      <c r="X171" s="18">
        <f>IFERROR(
                  Andel_oberoende_av_klimat*VLOOKUP($A171,Leveranser_per_nät,'Leveranser per nät'!X$1,FALSE)
               +Andel_beroende_av_klimat*VLOOKUP($A171,Leveranser_per_nät,'Leveranser per nät'!X$1,FALSE)/VLOOKUP($B171,Korrigeringsfaktor_EI,'Korrigeringsfaktor EI'!X$1,FALSE),
"")</f>
        <v>22.84333333333333</v>
      </c>
      <c r="Y171" s="18">
        <f>IFERROR(
                  Andel_oberoende_av_klimat*VLOOKUP($A171,Leveranser_per_nät,'Leveranser per nät'!Y$1,FALSE)
               +Andel_beroende_av_klimat*VLOOKUP($A171,Leveranser_per_nät,'Leveranser per nät'!Y$1,FALSE)/VLOOKUP($B171,Korrigeringsfaktor_EI,'Korrigeringsfaktor EI'!Y$1,FALSE),
"")</f>
        <v>23.527931034482759</v>
      </c>
      <c r="Z171" s="18">
        <f>IFERROR(
                  Andel_oberoende_av_klimat*VLOOKUP($A171,Leveranser_per_nät,'Leveranser per nät'!Z$1,FALSE)
               +Andel_beroende_av_klimat*VLOOKUP($A171,Leveranser_per_nät,'Leveranser per nät'!Z$1,FALSE)/VLOOKUP($B171,Korrigeringsfaktor_EI,'Korrigeringsfaktor EI'!Z$1,FALSE),
"")</f>
        <v>23.281627906976741</v>
      </c>
      <c r="AA171" s="18">
        <f>IFERROR(
                  Andel_oberoende_av_klimat*VLOOKUP($A171,Leveranser_per_nät,'Leveranser per nät'!AA$1,FALSE)
               +Andel_beroende_av_klimat*VLOOKUP($A171,Leveranser_per_nät,'Leveranser per nät'!AA$1,FALSE)/VLOOKUP($B171,Korrigeringsfaktor_EI,'Korrigeringsfaktor EI'!AA$1,FALSE),
"")</f>
        <v>23.147868181818183</v>
      </c>
      <c r="AB171" s="18">
        <f>IFERROR(
                  Andel_oberoende_av_klimat*VLOOKUP($A171,Leveranser_per_nät,'Leveranser per nät'!AB$1,FALSE)
               +Andel_beroende_av_klimat*VLOOKUP($A171,Leveranser_per_nät,'Leveranser per nät'!AB$1,FALSE)/VLOOKUP($B171,Korrigeringsfaktor_EI,'Korrigeringsfaktor EI'!AB$1,FALSE),
"")</f>
        <v>22.836135458167327</v>
      </c>
      <c r="AC171" s="18">
        <f>IFERROR(
                  Andel_oberoende_av_klimat*VLOOKUP($A171,Leveranser_per_nät,'Leveranser per nät'!AC$1,FALSE)
               +Andel_beroende_av_klimat*VLOOKUP($A171,Leveranser_per_nät,'Leveranser per nät'!AC$1,FALSE)/VLOOKUP($B171,Korrigeringsfaktor_EI,'Korrigeringsfaktor EI'!AC$1,FALSE),
"")</f>
        <v>22.407193169690501</v>
      </c>
      <c r="AD171">
        <v>21.4</v>
      </c>
    </row>
    <row r="172" spans="1:30" x14ac:dyDescent="0.25">
      <c r="A172" t="s">
        <v>489</v>
      </c>
      <c r="B172" t="s">
        <v>117</v>
      </c>
      <c r="C172" s="18">
        <f>IFERROR(
                  Andel_oberoende_av_klimat*VLOOKUP($A172,Leveranser_per_nät,'Leveranser per nät'!C$1,FALSE)
               +Andel_beroende_av_klimat*VLOOKUP($A172,Leveranser_per_nät,'Leveranser per nät'!C$1,FALSE)/VLOOKUP($B172,Korrigeringsfaktor_EI,'Korrigeringsfaktor EI'!C$1,FALSE),
"")</f>
        <v>0</v>
      </c>
      <c r="D172" s="18">
        <f>IFERROR(
                  Andel_oberoende_av_klimat*VLOOKUP($A172,Leveranser_per_nät,'Leveranser per nät'!D$1,FALSE)
               +Andel_beroende_av_klimat*VLOOKUP($A172,Leveranser_per_nät,'Leveranser per nät'!D$1,FALSE)/VLOOKUP($B172,Korrigeringsfaktor_EI,'Korrigeringsfaktor EI'!D$1,FALSE),
"")</f>
        <v>0</v>
      </c>
      <c r="E172" s="18">
        <f>IFERROR(
                  Andel_oberoende_av_klimat*VLOOKUP($A172,Leveranser_per_nät,'Leveranser per nät'!E$1,FALSE)
               +Andel_beroende_av_klimat*VLOOKUP($A172,Leveranser_per_nät,'Leveranser per nät'!E$1,FALSE)/VLOOKUP($B172,Korrigeringsfaktor_EI,'Korrigeringsfaktor EI'!E$1,FALSE),
"")</f>
        <v>0</v>
      </c>
      <c r="F172" s="18">
        <f>IFERROR(
                  Andel_oberoende_av_klimat*VLOOKUP($A172,Leveranser_per_nät,'Leveranser per nät'!F$1,FALSE)
               +Andel_beroende_av_klimat*VLOOKUP($A172,Leveranser_per_nät,'Leveranser per nät'!F$1,FALSE)/VLOOKUP($B172,Korrigeringsfaktor_EI,'Korrigeringsfaktor EI'!F$1,FALSE),
"")</f>
        <v>0</v>
      </c>
      <c r="G172" s="18">
        <f>IFERROR(
                  Andel_oberoende_av_klimat*VLOOKUP($A172,Leveranser_per_nät,'Leveranser per nät'!G$1,FALSE)
               +Andel_beroende_av_klimat*VLOOKUP($A172,Leveranser_per_nät,'Leveranser per nät'!G$1,FALSE)/VLOOKUP($B172,Korrigeringsfaktor_EI,'Korrigeringsfaktor EI'!G$1,FALSE),
"")</f>
        <v>0</v>
      </c>
      <c r="H172" s="18">
        <f>IFERROR(
                  Andel_oberoende_av_klimat*VLOOKUP($A172,Leveranser_per_nät,'Leveranser per nät'!H$1,FALSE)
               +Andel_beroende_av_klimat*VLOOKUP($A172,Leveranser_per_nät,'Leveranser per nät'!H$1,FALSE)/VLOOKUP($B172,Korrigeringsfaktor_EI,'Korrigeringsfaktor EI'!H$1,FALSE),
"")</f>
        <v>0</v>
      </c>
      <c r="I172" s="18">
        <f>IFERROR(
                  Andel_oberoende_av_klimat*VLOOKUP($A172,Leveranser_per_nät,'Leveranser per nät'!I$1,FALSE)
               +Andel_beroende_av_klimat*VLOOKUP($A172,Leveranser_per_nät,'Leveranser per nät'!I$1,FALSE)/VLOOKUP($B172,Korrigeringsfaktor_EI,'Korrigeringsfaktor EI'!I$1,FALSE),
"")</f>
        <v>0</v>
      </c>
      <c r="J172" s="18">
        <f>IFERROR(
                  Andel_oberoende_av_klimat*VLOOKUP($A172,Leveranser_per_nät,'Leveranser per nät'!J$1,FALSE)
               +Andel_beroende_av_klimat*VLOOKUP($A172,Leveranser_per_nät,'Leveranser per nät'!J$1,FALSE)/VLOOKUP($B172,Korrigeringsfaktor_EI,'Korrigeringsfaktor EI'!J$1,FALSE),
"")</f>
        <v>0</v>
      </c>
      <c r="K172" s="18">
        <f>IFERROR(
                  Andel_oberoende_av_klimat*VLOOKUP($A172,Leveranser_per_nät,'Leveranser per nät'!K$1,FALSE)
               +Andel_beroende_av_klimat*VLOOKUP($A172,Leveranser_per_nät,'Leveranser per nät'!K$1,FALSE)/VLOOKUP($B172,Korrigeringsfaktor_EI,'Korrigeringsfaktor EI'!K$1,FALSE),
"")</f>
        <v>0</v>
      </c>
      <c r="L172" s="18">
        <f>IFERROR(
                  Andel_oberoende_av_klimat*VLOOKUP($A172,Leveranser_per_nät,'Leveranser per nät'!L$1,FALSE)
               +Andel_beroende_av_klimat*VLOOKUP($A172,Leveranser_per_nät,'Leveranser per nät'!L$1,FALSE)/VLOOKUP($B172,Korrigeringsfaktor_EI,'Korrigeringsfaktor EI'!L$1,FALSE),
"")</f>
        <v>0</v>
      </c>
      <c r="M172" s="18">
        <f>IFERROR(
                  Andel_oberoende_av_klimat*VLOOKUP($A172,Leveranser_per_nät,'Leveranser per nät'!M$1,FALSE)
               +Andel_beroende_av_klimat*VLOOKUP($A172,Leveranser_per_nät,'Leveranser per nät'!M$1,FALSE)/VLOOKUP($B172,Korrigeringsfaktor_EI,'Korrigeringsfaktor EI'!M$1,FALSE),
"")</f>
        <v>0</v>
      </c>
      <c r="N172" s="18">
        <f>IFERROR(
                  Andel_oberoende_av_klimat*VLOOKUP($A172,Leveranser_per_nät,'Leveranser per nät'!N$1,FALSE)
               +Andel_beroende_av_klimat*VLOOKUP($A172,Leveranser_per_nät,'Leveranser per nät'!N$1,FALSE)/VLOOKUP($B172,Korrigeringsfaktor_EI,'Korrigeringsfaktor EI'!N$1,FALSE),
"")</f>
        <v>0</v>
      </c>
      <c r="O172" s="18">
        <f>IFERROR(
                  Andel_oberoende_av_klimat*VLOOKUP($A172,Leveranser_per_nät,'Leveranser per nät'!O$1,FALSE)
               +Andel_beroende_av_klimat*VLOOKUP($A172,Leveranser_per_nät,'Leveranser per nät'!O$1,FALSE)/VLOOKUP($B172,Korrigeringsfaktor_EI,'Korrigeringsfaktor EI'!O$1,FALSE),
"")</f>
        <v>0</v>
      </c>
      <c r="P172" s="18">
        <f>IFERROR(
                  Andel_oberoende_av_klimat*VLOOKUP($A172,Leveranser_per_nät,'Leveranser per nät'!P$1,FALSE)
               +Andel_beroende_av_klimat*VLOOKUP($A172,Leveranser_per_nät,'Leveranser per nät'!P$1,FALSE)/VLOOKUP($B172,Korrigeringsfaktor_EI,'Korrigeringsfaktor EI'!P$1,FALSE),
"")</f>
        <v>0</v>
      </c>
      <c r="Q172" s="18">
        <f>IFERROR(
                  Andel_oberoende_av_klimat*VLOOKUP($A172,Leveranser_per_nät,'Leveranser per nät'!Q$1,FALSE)
               +Andel_beroende_av_klimat*VLOOKUP($A172,Leveranser_per_nät,'Leveranser per nät'!Q$1,FALSE)/VLOOKUP($B172,Korrigeringsfaktor_EI,'Korrigeringsfaktor EI'!Q$1,FALSE),
"")</f>
        <v>20.874876098198193</v>
      </c>
      <c r="R172" s="18">
        <f>IFERROR(
                  Andel_oberoende_av_klimat*VLOOKUP($A172,Leveranser_per_nät,'Leveranser per nät'!R$1,FALSE)
               +Andel_beroende_av_klimat*VLOOKUP($A172,Leveranser_per_nät,'Leveranser per nät'!R$1,FALSE)/VLOOKUP($B172,Korrigeringsfaktor_EI,'Korrigeringsfaktor EI'!R$1,FALSE),
"")</f>
        <v>18.136844444444442</v>
      </c>
      <c r="S172" s="18">
        <f>IFERROR(
                  Andel_oberoende_av_klimat*VLOOKUP($A172,Leveranser_per_nät,'Leveranser per nät'!S$1,FALSE)
               +Andel_beroende_av_klimat*VLOOKUP($A172,Leveranser_per_nät,'Leveranser per nät'!S$1,FALSE)/VLOOKUP($B172,Korrigeringsfaktor_EI,'Korrigeringsfaktor EI'!S$1,FALSE),
"")</f>
        <v>17.110131313131312</v>
      </c>
      <c r="T172" s="18">
        <f>IFERROR(
                  Andel_oberoende_av_klimat*VLOOKUP($A172,Leveranser_per_nät,'Leveranser per nät'!T$1,FALSE)
               +Andel_beroende_av_klimat*VLOOKUP($A172,Leveranser_per_nät,'Leveranser per nät'!T$1,FALSE)/VLOOKUP($B172,Korrigeringsfaktor_EI,'Korrigeringsfaktor EI'!T$1,FALSE),
"")</f>
        <v>17.722742105263158</v>
      </c>
      <c r="U172" s="18">
        <f>IFERROR(
                  Andel_oberoende_av_klimat*VLOOKUP($A172,Leveranser_per_nät,'Leveranser per nät'!U$1,FALSE)
               +Andel_beroende_av_klimat*VLOOKUP($A172,Leveranser_per_nät,'Leveranser per nät'!U$1,FALSE)/VLOOKUP($B172,Korrigeringsfaktor_EI,'Korrigeringsfaktor EI'!U$1,FALSE),
"")</f>
        <v>16.612842696629212</v>
      </c>
      <c r="V172" s="18">
        <f>IFERROR(
                  Andel_oberoende_av_klimat*VLOOKUP($A172,Leveranser_per_nät,'Leveranser per nät'!V$1,FALSE)
               +Andel_beroende_av_klimat*VLOOKUP($A172,Leveranser_per_nät,'Leveranser per nät'!V$1,FALSE)/VLOOKUP($B172,Korrigeringsfaktor_EI,'Korrigeringsfaktor EI'!V$1,FALSE),
"")</f>
        <v>17.031044444444444</v>
      </c>
      <c r="W172" s="18">
        <f>IFERROR(
                  Andel_oberoende_av_klimat*VLOOKUP($A172,Leveranser_per_nät,'Leveranser per nät'!W$1,FALSE)
               +Andel_beroende_av_klimat*VLOOKUP($A172,Leveranser_per_nät,'Leveranser per nät'!W$1,FALSE)/VLOOKUP($B172,Korrigeringsfaktor_EI,'Korrigeringsfaktor EI'!W$1,FALSE),
"")</f>
        <v>16.773533333333333</v>
      </c>
      <c r="X172" s="18">
        <f>IFERROR(
                  Andel_oberoende_av_klimat*VLOOKUP($A172,Leveranser_per_nät,'Leveranser per nät'!X$1,FALSE)
               +Andel_beroende_av_klimat*VLOOKUP($A172,Leveranser_per_nät,'Leveranser per nät'!X$1,FALSE)/VLOOKUP($B172,Korrigeringsfaktor_EI,'Korrigeringsfaktor EI'!X$1,FALSE),
"")</f>
        <v>18.023878723404255</v>
      </c>
      <c r="Y172" s="18">
        <f>IFERROR(
                  Andel_oberoende_av_klimat*VLOOKUP($A172,Leveranser_per_nät,'Leveranser per nät'!Y$1,FALSE)
               +Andel_beroende_av_klimat*VLOOKUP($A172,Leveranser_per_nät,'Leveranser per nät'!Y$1,FALSE)/VLOOKUP($B172,Korrigeringsfaktor_EI,'Korrigeringsfaktor EI'!Y$1,FALSE),
"")</f>
        <v>17.158817204301073</v>
      </c>
      <c r="Z172" s="18">
        <f>IFERROR(
                  Andel_oberoende_av_klimat*VLOOKUP($A172,Leveranser_per_nät,'Leveranser per nät'!Z$1,FALSE)
               +Andel_beroende_av_klimat*VLOOKUP($A172,Leveranser_per_nät,'Leveranser per nät'!Z$1,FALSE)/VLOOKUP($B172,Korrigeringsfaktor_EI,'Korrigeringsfaktor EI'!Z$1,FALSE),
"")</f>
        <v>16.497729032258064</v>
      </c>
      <c r="AA172" s="18">
        <f>IFERROR(
                  Andel_oberoende_av_klimat*VLOOKUP($A172,Leveranser_per_nät,'Leveranser per nät'!AA$1,FALSE)
               +Andel_beroende_av_klimat*VLOOKUP($A172,Leveranser_per_nät,'Leveranser per nät'!AA$1,FALSE)/VLOOKUP($B172,Korrigeringsfaktor_EI,'Korrigeringsfaktor EI'!AA$1,FALSE),
"")</f>
        <v>15.577844238975818</v>
      </c>
      <c r="AB172" s="18">
        <f>IFERROR(
                  Andel_oberoende_av_klimat*VLOOKUP($A172,Leveranser_per_nät,'Leveranser per nät'!AB$1,FALSE)
               +Andel_beroende_av_klimat*VLOOKUP($A172,Leveranser_per_nät,'Leveranser per nät'!AB$1,FALSE)/VLOOKUP($B172,Korrigeringsfaktor_EI,'Korrigeringsfaktor EI'!AB$1,FALSE),
"")</f>
        <v>12.883020820820821</v>
      </c>
      <c r="AC172" s="18">
        <f>IFERROR(
                  Andel_oberoende_av_klimat*VLOOKUP($A172,Leveranser_per_nät,'Leveranser per nät'!AC$1,FALSE)
               +Andel_beroende_av_klimat*VLOOKUP($A172,Leveranser_per_nät,'Leveranser per nät'!AC$1,FALSE)/VLOOKUP($B172,Korrigeringsfaktor_EI,'Korrigeringsfaktor EI'!AC$1,FALSE),
"")</f>
        <v>15.006745617740233</v>
      </c>
      <c r="AD172">
        <v>110.333</v>
      </c>
    </row>
    <row r="173" spans="1:30" x14ac:dyDescent="0.25">
      <c r="A173" t="s">
        <v>289</v>
      </c>
      <c r="B173" t="s">
        <v>288</v>
      </c>
      <c r="C173" s="18">
        <f>IFERROR(
                  Andel_oberoende_av_klimat*VLOOKUP($A173,Leveranser_per_nät,'Leveranser per nät'!C$1,FALSE)
               +Andel_beroende_av_klimat*VLOOKUP($A173,Leveranser_per_nät,'Leveranser per nät'!C$1,FALSE)/VLOOKUP($B173,Korrigeringsfaktor_EI,'Korrigeringsfaktor EI'!C$1,FALSE),
"")</f>
        <v>0</v>
      </c>
      <c r="D173" s="18">
        <f>IFERROR(
                  Andel_oberoende_av_klimat*VLOOKUP($A173,Leveranser_per_nät,'Leveranser per nät'!D$1,FALSE)
               +Andel_beroende_av_klimat*VLOOKUP($A173,Leveranser_per_nät,'Leveranser per nät'!D$1,FALSE)/VLOOKUP($B173,Korrigeringsfaktor_EI,'Korrigeringsfaktor EI'!D$1,FALSE),
"")</f>
        <v>0</v>
      </c>
      <c r="E173" s="18">
        <f>IFERROR(
                  Andel_oberoende_av_klimat*VLOOKUP($A173,Leveranser_per_nät,'Leveranser per nät'!E$1,FALSE)
               +Andel_beroende_av_klimat*VLOOKUP($A173,Leveranser_per_nät,'Leveranser per nät'!E$1,FALSE)/VLOOKUP($B173,Korrigeringsfaktor_EI,'Korrigeringsfaktor EI'!E$1,FALSE),
"")</f>
        <v>0</v>
      </c>
      <c r="F173" s="18">
        <f>IFERROR(
                  Andel_oberoende_av_klimat*VLOOKUP($A173,Leveranser_per_nät,'Leveranser per nät'!F$1,FALSE)
               +Andel_beroende_av_klimat*VLOOKUP($A173,Leveranser_per_nät,'Leveranser per nät'!F$1,FALSE)/VLOOKUP($B173,Korrigeringsfaktor_EI,'Korrigeringsfaktor EI'!F$1,FALSE),
"")</f>
        <v>0</v>
      </c>
      <c r="G173" s="18">
        <f>IFERROR(
                  Andel_oberoende_av_klimat*VLOOKUP($A173,Leveranser_per_nät,'Leveranser per nät'!G$1,FALSE)
               +Andel_beroende_av_klimat*VLOOKUP($A173,Leveranser_per_nät,'Leveranser per nät'!G$1,FALSE)/VLOOKUP($B173,Korrigeringsfaktor_EI,'Korrigeringsfaktor EI'!G$1,FALSE),
"")</f>
        <v>0</v>
      </c>
      <c r="H173" s="18">
        <f>IFERROR(
                  Andel_oberoende_av_klimat*VLOOKUP($A173,Leveranser_per_nät,'Leveranser per nät'!H$1,FALSE)
               +Andel_beroende_av_klimat*VLOOKUP($A173,Leveranser_per_nät,'Leveranser per nät'!H$1,FALSE)/VLOOKUP($B173,Korrigeringsfaktor_EI,'Korrigeringsfaktor EI'!H$1,FALSE),
"")</f>
        <v>0</v>
      </c>
      <c r="I173" s="18">
        <f>IFERROR(
                  Andel_oberoende_av_klimat*VLOOKUP($A173,Leveranser_per_nät,'Leveranser per nät'!I$1,FALSE)
               +Andel_beroende_av_klimat*VLOOKUP($A173,Leveranser_per_nät,'Leveranser per nät'!I$1,FALSE)/VLOOKUP($B173,Korrigeringsfaktor_EI,'Korrigeringsfaktor EI'!I$1,FALSE),
"")</f>
        <v>0</v>
      </c>
      <c r="J173" s="18">
        <f>IFERROR(
                  Andel_oberoende_av_klimat*VLOOKUP($A173,Leveranser_per_nät,'Leveranser per nät'!J$1,FALSE)
               +Andel_beroende_av_klimat*VLOOKUP($A173,Leveranser_per_nät,'Leveranser per nät'!J$1,FALSE)/VLOOKUP($B173,Korrigeringsfaktor_EI,'Korrigeringsfaktor EI'!J$1,FALSE),
"")</f>
        <v>0</v>
      </c>
      <c r="K173" s="18">
        <f>IFERROR(
                  Andel_oberoende_av_klimat*VLOOKUP($A173,Leveranser_per_nät,'Leveranser per nät'!K$1,FALSE)
               +Andel_beroende_av_klimat*VLOOKUP($A173,Leveranser_per_nät,'Leveranser per nät'!K$1,FALSE)/VLOOKUP($B173,Korrigeringsfaktor_EI,'Korrigeringsfaktor EI'!K$1,FALSE),
"")</f>
        <v>0</v>
      </c>
      <c r="L173" s="18">
        <f>IFERROR(
                  Andel_oberoende_av_klimat*VLOOKUP($A173,Leveranser_per_nät,'Leveranser per nät'!L$1,FALSE)
               +Andel_beroende_av_klimat*VLOOKUP($A173,Leveranser_per_nät,'Leveranser per nät'!L$1,FALSE)/VLOOKUP($B173,Korrigeringsfaktor_EI,'Korrigeringsfaktor EI'!L$1,FALSE),
"")</f>
        <v>0</v>
      </c>
      <c r="M173" s="18">
        <f>IFERROR(
                  Andel_oberoende_av_klimat*VLOOKUP($A173,Leveranser_per_nät,'Leveranser per nät'!M$1,FALSE)
               +Andel_beroende_av_klimat*VLOOKUP($A173,Leveranser_per_nät,'Leveranser per nät'!M$1,FALSE)/VLOOKUP($B173,Korrigeringsfaktor_EI,'Korrigeringsfaktor EI'!M$1,FALSE),
"")</f>
        <v>0.76953333333333329</v>
      </c>
      <c r="N173" s="18">
        <f>IFERROR(
                  Andel_oberoende_av_klimat*VLOOKUP($A173,Leveranser_per_nät,'Leveranser per nät'!N$1,FALSE)
               +Andel_beroende_av_klimat*VLOOKUP($A173,Leveranser_per_nät,'Leveranser per nät'!N$1,FALSE)/VLOOKUP($B173,Korrigeringsfaktor_EI,'Korrigeringsfaktor EI'!N$1,FALSE),
"")</f>
        <v>0.78160769230769223</v>
      </c>
      <c r="O173" s="18">
        <f>IFERROR(
                  Andel_oberoende_av_klimat*VLOOKUP($A173,Leveranser_per_nät,'Leveranser per nät'!O$1,FALSE)
               +Andel_beroende_av_klimat*VLOOKUP($A173,Leveranser_per_nät,'Leveranser per nät'!O$1,FALSE)/VLOOKUP($B173,Korrigeringsfaktor_EI,'Korrigeringsfaktor EI'!O$1,FALSE),
"")</f>
        <v>1.3140846153846155</v>
      </c>
      <c r="P173" s="18">
        <f>IFERROR(
                  Andel_oberoende_av_klimat*VLOOKUP($A173,Leveranser_per_nät,'Leveranser per nät'!P$1,FALSE)
               +Andel_beroende_av_klimat*VLOOKUP($A173,Leveranser_per_nät,'Leveranser per nät'!P$1,FALSE)/VLOOKUP($B173,Korrigeringsfaktor_EI,'Korrigeringsfaktor EI'!P$1,FALSE),
"")</f>
        <v>2.5091083333333337</v>
      </c>
      <c r="Q173" s="18">
        <f>IFERROR(
                  Andel_oberoende_av_klimat*VLOOKUP($A173,Leveranser_per_nät,'Leveranser per nät'!Q$1,FALSE)
               +Andel_beroende_av_klimat*VLOOKUP($A173,Leveranser_per_nät,'Leveranser per nät'!Q$1,FALSE)/VLOOKUP($B173,Korrigeringsfaktor_EI,'Korrigeringsfaktor EI'!Q$1,FALSE),
"")</f>
        <v>0</v>
      </c>
      <c r="R173" s="18">
        <f>IFERROR(
                  Andel_oberoende_av_klimat*VLOOKUP($A173,Leveranser_per_nät,'Leveranser per nät'!R$1,FALSE)
               +Andel_beroende_av_klimat*VLOOKUP($A173,Leveranser_per_nät,'Leveranser per nät'!R$1,FALSE)/VLOOKUP($B173,Korrigeringsfaktor_EI,'Korrigeringsfaktor EI'!R$1,FALSE),
"")</f>
        <v>0</v>
      </c>
      <c r="S173" s="18" t="str">
        <f>IFERROR(
                  Andel_oberoende_av_klimat*VLOOKUP($A173,Leveranser_per_nät,'Leveranser per nät'!S$1,FALSE)
               +Andel_beroende_av_klimat*VLOOKUP($A173,Leveranser_per_nät,'Leveranser per nät'!S$1,FALSE)/VLOOKUP($B173,Korrigeringsfaktor_EI,'Korrigeringsfaktor EI'!S$1,FALSE),
"")</f>
        <v/>
      </c>
      <c r="T173" s="18" t="str">
        <f>IFERROR(
                  Andel_oberoende_av_klimat*VLOOKUP($A173,Leveranser_per_nät,'Leveranser per nät'!T$1,FALSE)
               +Andel_beroende_av_klimat*VLOOKUP($A173,Leveranser_per_nät,'Leveranser per nät'!T$1,FALSE)/VLOOKUP($B173,Korrigeringsfaktor_EI,'Korrigeringsfaktor EI'!T$1,FALSE),
"")</f>
        <v/>
      </c>
      <c r="U173" s="18" t="str">
        <f>IFERROR(
                  Andel_oberoende_av_klimat*VLOOKUP($A173,Leveranser_per_nät,'Leveranser per nät'!U$1,FALSE)
               +Andel_beroende_av_klimat*VLOOKUP($A173,Leveranser_per_nät,'Leveranser per nät'!U$1,FALSE)/VLOOKUP($B173,Korrigeringsfaktor_EI,'Korrigeringsfaktor EI'!U$1,FALSE),
"")</f>
        <v/>
      </c>
      <c r="V173" s="18" t="str">
        <f>IFERROR(
                  Andel_oberoende_av_klimat*VLOOKUP($A173,Leveranser_per_nät,'Leveranser per nät'!V$1,FALSE)
               +Andel_beroende_av_klimat*VLOOKUP($A173,Leveranser_per_nät,'Leveranser per nät'!V$1,FALSE)/VLOOKUP($B173,Korrigeringsfaktor_EI,'Korrigeringsfaktor EI'!V$1,FALSE),
"")</f>
        <v/>
      </c>
      <c r="W173" s="18" t="str">
        <f>IFERROR(
                  Andel_oberoende_av_klimat*VLOOKUP($A173,Leveranser_per_nät,'Leveranser per nät'!W$1,FALSE)
               +Andel_beroende_av_klimat*VLOOKUP($A173,Leveranser_per_nät,'Leveranser per nät'!W$1,FALSE)/VLOOKUP($B173,Korrigeringsfaktor_EI,'Korrigeringsfaktor EI'!W$1,FALSE),
"")</f>
        <v/>
      </c>
      <c r="X173" s="18" t="str">
        <f>IFERROR(
                  Andel_oberoende_av_klimat*VLOOKUP($A173,Leveranser_per_nät,'Leveranser per nät'!X$1,FALSE)
               +Andel_beroende_av_klimat*VLOOKUP($A173,Leveranser_per_nät,'Leveranser per nät'!X$1,FALSE)/VLOOKUP($B173,Korrigeringsfaktor_EI,'Korrigeringsfaktor EI'!X$1,FALSE),
"")</f>
        <v/>
      </c>
      <c r="Y173" s="18" t="str">
        <f>IFERROR(
                  Andel_oberoende_av_klimat*VLOOKUP($A173,Leveranser_per_nät,'Leveranser per nät'!Y$1,FALSE)
               +Andel_beroende_av_klimat*VLOOKUP($A173,Leveranser_per_nät,'Leveranser per nät'!Y$1,FALSE)/VLOOKUP($B173,Korrigeringsfaktor_EI,'Korrigeringsfaktor EI'!Y$1,FALSE),
"")</f>
        <v/>
      </c>
      <c r="Z173" s="18">
        <f>IFERROR(
                  Andel_oberoende_av_klimat*VLOOKUP($A173,Leveranser_per_nät,'Leveranser per nät'!Z$1,FALSE)
               +Andel_beroende_av_klimat*VLOOKUP($A173,Leveranser_per_nät,'Leveranser per nät'!Z$1,FALSE)/VLOOKUP($B173,Korrigeringsfaktor_EI,'Korrigeringsfaktor EI'!Z$1,FALSE),
"")</f>
        <v>0</v>
      </c>
      <c r="AA173" s="18" t="str">
        <f>IFERROR(
                  Andel_oberoende_av_klimat*VLOOKUP($A173,Leveranser_per_nät,'Leveranser per nät'!AA$1,FALSE)
               +Andel_beroende_av_klimat*VLOOKUP($A173,Leveranser_per_nät,'Leveranser per nät'!AA$1,FALSE)/VLOOKUP($B173,Korrigeringsfaktor_EI,'Korrigeringsfaktor EI'!AA$1,FALSE),
"")</f>
        <v/>
      </c>
      <c r="AB173" s="18">
        <f>IFERROR(
                  Andel_oberoende_av_klimat*VLOOKUP($A173,Leveranser_per_nät,'Leveranser per nät'!AB$1,FALSE)
               +Andel_beroende_av_klimat*VLOOKUP($A173,Leveranser_per_nät,'Leveranser per nät'!AB$1,FALSE)/VLOOKUP($B173,Korrigeringsfaktor_EI,'Korrigeringsfaktor EI'!AB$1,FALSE),
"")</f>
        <v>0</v>
      </c>
      <c r="AC173" s="18">
        <f>IFERROR(
                  Andel_oberoende_av_klimat*VLOOKUP($A173,Leveranser_per_nät,'Leveranser per nät'!AC$1,FALSE)
               +Andel_beroende_av_klimat*VLOOKUP($A173,Leveranser_per_nät,'Leveranser per nät'!AC$1,FALSE)/VLOOKUP($B173,Korrigeringsfaktor_EI,'Korrigeringsfaktor EI'!AC$1,FALSE),
"")</f>
        <v>0</v>
      </c>
      <c r="AD173">
        <v>513.26678000000004</v>
      </c>
    </row>
    <row r="174" spans="1:30" x14ac:dyDescent="0.25">
      <c r="A174" t="s">
        <v>92</v>
      </c>
      <c r="B174" t="s">
        <v>91</v>
      </c>
      <c r="C174" s="18">
        <f>IFERROR(
                  Andel_oberoende_av_klimat*VLOOKUP($A174,Leveranser_per_nät,'Leveranser per nät'!C$1,FALSE)
               +Andel_beroende_av_klimat*VLOOKUP($A174,Leveranser_per_nät,'Leveranser per nät'!C$1,FALSE)/VLOOKUP($B174,Korrigeringsfaktor_EI,'Korrigeringsfaktor EI'!C$1,FALSE),
"")</f>
        <v>0</v>
      </c>
      <c r="D174" s="18">
        <f>IFERROR(
                  Andel_oberoende_av_klimat*VLOOKUP($A174,Leveranser_per_nät,'Leveranser per nät'!D$1,FALSE)
               +Andel_beroende_av_klimat*VLOOKUP($A174,Leveranser_per_nät,'Leveranser per nät'!D$1,FALSE)/VLOOKUP($B174,Korrigeringsfaktor_EI,'Korrigeringsfaktor EI'!D$1,FALSE),
"")</f>
        <v>0</v>
      </c>
      <c r="E174" s="18">
        <f>IFERROR(
                  Andel_oberoende_av_klimat*VLOOKUP($A174,Leveranser_per_nät,'Leveranser per nät'!E$1,FALSE)
               +Andel_beroende_av_klimat*VLOOKUP($A174,Leveranser_per_nät,'Leveranser per nät'!E$1,FALSE)/VLOOKUP($B174,Korrigeringsfaktor_EI,'Korrigeringsfaktor EI'!E$1,FALSE),
"")</f>
        <v>0</v>
      </c>
      <c r="F174" s="18">
        <f>IFERROR(
                  Andel_oberoende_av_klimat*VLOOKUP($A174,Leveranser_per_nät,'Leveranser per nät'!F$1,FALSE)
               +Andel_beroende_av_klimat*VLOOKUP($A174,Leveranser_per_nät,'Leveranser per nät'!F$1,FALSE)/VLOOKUP($B174,Korrigeringsfaktor_EI,'Korrigeringsfaktor EI'!F$1,FALSE),
"")</f>
        <v>0</v>
      </c>
      <c r="G174" s="18">
        <f>IFERROR(
                  Andel_oberoende_av_klimat*VLOOKUP($A174,Leveranser_per_nät,'Leveranser per nät'!G$1,FALSE)
               +Andel_beroende_av_klimat*VLOOKUP($A174,Leveranser_per_nät,'Leveranser per nät'!G$1,FALSE)/VLOOKUP($B174,Korrigeringsfaktor_EI,'Korrigeringsfaktor EI'!G$1,FALSE),
"")</f>
        <v>0</v>
      </c>
      <c r="H174" s="18">
        <f>IFERROR(
                  Andel_oberoende_av_klimat*VLOOKUP($A174,Leveranser_per_nät,'Leveranser per nät'!H$1,FALSE)
               +Andel_beroende_av_klimat*VLOOKUP($A174,Leveranser_per_nät,'Leveranser per nät'!H$1,FALSE)/VLOOKUP($B174,Korrigeringsfaktor_EI,'Korrigeringsfaktor EI'!H$1,FALSE),
"")</f>
        <v>0</v>
      </c>
      <c r="I174" s="18">
        <f>IFERROR(
                  Andel_oberoende_av_klimat*VLOOKUP($A174,Leveranser_per_nät,'Leveranser per nät'!I$1,FALSE)
               +Andel_beroende_av_klimat*VLOOKUP($A174,Leveranser_per_nät,'Leveranser per nät'!I$1,FALSE)/VLOOKUP($B174,Korrigeringsfaktor_EI,'Korrigeringsfaktor EI'!I$1,FALSE),
"")</f>
        <v>0</v>
      </c>
      <c r="J174" s="18">
        <f>IFERROR(
                  Andel_oberoende_av_klimat*VLOOKUP($A174,Leveranser_per_nät,'Leveranser per nät'!J$1,FALSE)
               +Andel_beroende_av_klimat*VLOOKUP($A174,Leveranser_per_nät,'Leveranser per nät'!J$1,FALSE)/VLOOKUP($B174,Korrigeringsfaktor_EI,'Korrigeringsfaktor EI'!J$1,FALSE),
"")</f>
        <v>2.014141414141414</v>
      </c>
      <c r="K174" s="18">
        <f>IFERROR(
                  Andel_oberoende_av_klimat*VLOOKUP($A174,Leveranser_per_nät,'Leveranser per nät'!K$1,FALSE)
               +Andel_beroende_av_klimat*VLOOKUP($A174,Leveranser_per_nät,'Leveranser per nät'!K$1,FALSE)/VLOOKUP($B174,Korrigeringsfaktor_EI,'Korrigeringsfaktor EI'!K$1,FALSE),
"")</f>
        <v>1.8024207920792081</v>
      </c>
      <c r="L174" s="18">
        <f>IFERROR(
                  Andel_oberoende_av_klimat*VLOOKUP($A174,Leveranser_per_nät,'Leveranser per nät'!L$1,FALSE)
               +Andel_beroende_av_klimat*VLOOKUP($A174,Leveranser_per_nät,'Leveranser per nät'!L$1,FALSE)/VLOOKUP($B174,Korrigeringsfaktor_EI,'Korrigeringsfaktor EI'!L$1,FALSE),
"")</f>
        <v>3.5737756135491781</v>
      </c>
      <c r="M174" s="18">
        <f>IFERROR(
                  Andel_oberoende_av_klimat*VLOOKUP($A174,Leveranser_per_nät,'Leveranser per nät'!M$1,FALSE)
               +Andel_beroende_av_klimat*VLOOKUP($A174,Leveranser_per_nät,'Leveranser per nät'!M$1,FALSE)/VLOOKUP($B174,Korrigeringsfaktor_EI,'Korrigeringsfaktor EI'!M$1,FALSE),
"")</f>
        <v>2.5454000000000003</v>
      </c>
      <c r="N174" s="18">
        <f>IFERROR(
                  Andel_oberoende_av_klimat*VLOOKUP($A174,Leveranser_per_nät,'Leveranser per nät'!N$1,FALSE)
               +Andel_beroende_av_klimat*VLOOKUP($A174,Leveranser_per_nät,'Leveranser per nät'!N$1,FALSE)/VLOOKUP($B174,Korrigeringsfaktor_EI,'Korrigeringsfaktor EI'!N$1,FALSE),
"")</f>
        <v>2.1217391304347828</v>
      </c>
      <c r="O174" s="18">
        <f>IFERROR(
                  Andel_oberoende_av_klimat*VLOOKUP($A174,Leveranser_per_nät,'Leveranser per nät'!O$1,FALSE)
               +Andel_beroende_av_klimat*VLOOKUP($A174,Leveranser_per_nät,'Leveranser per nät'!O$1,FALSE)/VLOOKUP($B174,Korrigeringsfaktor_EI,'Korrigeringsfaktor EI'!O$1,FALSE),
"")</f>
        <v>2.1384615384615384</v>
      </c>
      <c r="P174" s="18">
        <f>IFERROR(
                  Andel_oberoende_av_klimat*VLOOKUP($A174,Leveranser_per_nät,'Leveranser per nät'!P$1,FALSE)
               +Andel_beroende_av_klimat*VLOOKUP($A174,Leveranser_per_nät,'Leveranser per nät'!P$1,FALSE)/VLOOKUP($B174,Korrigeringsfaktor_EI,'Korrigeringsfaktor EI'!P$1,FALSE),
"")</f>
        <v>2.9125416666666668</v>
      </c>
      <c r="Q174" s="18">
        <f>IFERROR(
                  Andel_oberoende_av_klimat*VLOOKUP($A174,Leveranser_per_nät,'Leveranser per nät'!Q$1,FALSE)
               +Andel_beroende_av_klimat*VLOOKUP($A174,Leveranser_per_nät,'Leveranser per nät'!Q$1,FALSE)/VLOOKUP($B174,Korrigeringsfaktor_EI,'Korrigeringsfaktor EI'!Q$1,FALSE),
"")</f>
        <v>3.043181818181818</v>
      </c>
      <c r="R174" s="18">
        <f>IFERROR(
                  Andel_oberoende_av_klimat*VLOOKUP($A174,Leveranser_per_nät,'Leveranser per nät'!R$1,FALSE)
               +Andel_beroende_av_klimat*VLOOKUP($A174,Leveranser_per_nät,'Leveranser per nät'!R$1,FALSE)/VLOOKUP($B174,Korrigeringsfaktor_EI,'Korrigeringsfaktor EI'!R$1,FALSE),
"")</f>
        <v>2.8644692307692305</v>
      </c>
      <c r="S174" s="18">
        <f>IFERROR(
                  Andel_oberoende_av_klimat*VLOOKUP($A174,Leveranser_per_nät,'Leveranser per nät'!S$1,FALSE)
               +Andel_beroende_av_klimat*VLOOKUP($A174,Leveranser_per_nät,'Leveranser per nät'!S$1,FALSE)/VLOOKUP($B174,Korrigeringsfaktor_EI,'Korrigeringsfaktor EI'!S$1,FALSE),
"")</f>
        <v>2.96</v>
      </c>
      <c r="T174" s="18">
        <f>IFERROR(
                  Andel_oberoende_av_klimat*VLOOKUP($A174,Leveranser_per_nät,'Leveranser per nät'!T$1,FALSE)
               +Andel_beroende_av_klimat*VLOOKUP($A174,Leveranser_per_nät,'Leveranser per nät'!T$1,FALSE)/VLOOKUP($B174,Korrigeringsfaktor_EI,'Korrigeringsfaktor EI'!T$1,FALSE),
"")</f>
        <v>3.0022857142857147</v>
      </c>
      <c r="U174" s="18">
        <f>IFERROR(
                  Andel_oberoende_av_klimat*VLOOKUP($A174,Leveranser_per_nät,'Leveranser per nät'!U$1,FALSE)
               +Andel_beroende_av_klimat*VLOOKUP($A174,Leveranser_per_nät,'Leveranser per nät'!U$1,FALSE)/VLOOKUP($B174,Korrigeringsfaktor_EI,'Korrigeringsfaktor EI'!U$1,FALSE),
"")</f>
        <v>2.8651449438202246</v>
      </c>
      <c r="V174" s="18">
        <f>IFERROR(
                  Andel_oberoende_av_klimat*VLOOKUP($A174,Leveranser_per_nät,'Leveranser per nät'!V$1,FALSE)
               +Andel_beroende_av_klimat*VLOOKUP($A174,Leveranser_per_nät,'Leveranser per nät'!V$1,FALSE)/VLOOKUP($B174,Korrigeringsfaktor_EI,'Korrigeringsfaktor EI'!V$1,FALSE),
"")</f>
        <v>2.9233150537634405</v>
      </c>
      <c r="W174" s="18">
        <f>IFERROR(
                  Andel_oberoende_av_klimat*VLOOKUP($A174,Leveranser_per_nät,'Leveranser per nät'!W$1,FALSE)
               +Andel_beroende_av_klimat*VLOOKUP($A174,Leveranser_per_nät,'Leveranser per nät'!W$1,FALSE)/VLOOKUP($B174,Korrigeringsfaktor_EI,'Korrigeringsfaktor EI'!W$1,FALSE),
"")</f>
        <v>2.9964736842105264</v>
      </c>
      <c r="X174" s="18">
        <f>IFERROR(
                  Andel_oberoende_av_klimat*VLOOKUP($A174,Leveranser_per_nät,'Leveranser per nät'!X$1,FALSE)
               +Andel_beroende_av_klimat*VLOOKUP($A174,Leveranser_per_nät,'Leveranser per nät'!X$1,FALSE)/VLOOKUP($B174,Korrigeringsfaktor_EI,'Korrigeringsfaktor EI'!X$1,FALSE),
"")</f>
        <v>2.9985473684210531</v>
      </c>
      <c r="Y174" s="18">
        <f>IFERROR(
                  Andel_oberoende_av_klimat*VLOOKUP($A174,Leveranser_per_nät,'Leveranser per nät'!Y$1,FALSE)
               +Andel_beroende_av_klimat*VLOOKUP($A174,Leveranser_per_nät,'Leveranser per nät'!Y$1,FALSE)/VLOOKUP($B174,Korrigeringsfaktor_EI,'Korrigeringsfaktor EI'!Y$1,FALSE),
"")</f>
        <v>3.1438777777777775</v>
      </c>
      <c r="Z174" s="18">
        <f>IFERROR(
                  Andel_oberoende_av_klimat*VLOOKUP($A174,Leveranser_per_nät,'Leveranser per nät'!Z$1,FALSE)
               +Andel_beroende_av_klimat*VLOOKUP($A174,Leveranser_per_nät,'Leveranser per nät'!Z$1,FALSE)/VLOOKUP($B174,Korrigeringsfaktor_EI,'Korrigeringsfaktor EI'!Z$1,FALSE),
"")</f>
        <v>3.0781022471910116</v>
      </c>
      <c r="AA174" s="18">
        <f>IFERROR(
                  Andel_oberoende_av_klimat*VLOOKUP($A174,Leveranser_per_nät,'Leveranser per nät'!AA$1,FALSE)
               +Andel_beroende_av_klimat*VLOOKUP($A174,Leveranser_per_nät,'Leveranser per nät'!AA$1,FALSE)/VLOOKUP($B174,Korrigeringsfaktor_EI,'Korrigeringsfaktor EI'!AA$1,FALSE),
"")</f>
        <v>2.9965318035226991</v>
      </c>
      <c r="AB174" s="18">
        <f>IFERROR(
                  Andel_oberoende_av_klimat*VLOOKUP($A174,Leveranser_per_nät,'Leveranser per nät'!AB$1,FALSE)
               +Andel_beroende_av_klimat*VLOOKUP($A174,Leveranser_per_nät,'Leveranser per nät'!AB$1,FALSE)/VLOOKUP($B174,Korrigeringsfaktor_EI,'Korrigeringsfaktor EI'!AB$1,FALSE),
"")</f>
        <v>3.0438699300699303</v>
      </c>
      <c r="AC174" s="18">
        <f>IFERROR(
                  Andel_oberoende_av_klimat*VLOOKUP($A174,Leveranser_per_nät,'Leveranser per nät'!AC$1,FALSE)
               +Andel_beroende_av_klimat*VLOOKUP($A174,Leveranser_per_nät,'Leveranser per nät'!AC$1,FALSE)/VLOOKUP($B174,Korrigeringsfaktor_EI,'Korrigeringsfaktor EI'!AC$1,FALSE),
"")</f>
        <v>3.1400195536663125</v>
      </c>
      <c r="AD174">
        <v>116.223</v>
      </c>
    </row>
    <row r="175" spans="1:30" x14ac:dyDescent="0.25">
      <c r="A175" t="s">
        <v>365</v>
      </c>
      <c r="B175" t="s">
        <v>363</v>
      </c>
      <c r="C175" s="18">
        <f>IFERROR(
                  Andel_oberoende_av_klimat*VLOOKUP($A175,Leveranser_per_nät,'Leveranser per nät'!C$1,FALSE)
               +Andel_beroende_av_klimat*VLOOKUP($A175,Leveranser_per_nät,'Leveranser per nät'!C$1,FALSE)/VLOOKUP($B175,Korrigeringsfaktor_EI,'Korrigeringsfaktor EI'!C$1,FALSE),
"")</f>
        <v>0</v>
      </c>
      <c r="D175" s="18">
        <f>IFERROR(
                  Andel_oberoende_av_klimat*VLOOKUP($A175,Leveranser_per_nät,'Leveranser per nät'!D$1,FALSE)
               +Andel_beroende_av_klimat*VLOOKUP($A175,Leveranser_per_nät,'Leveranser per nät'!D$1,FALSE)/VLOOKUP($B175,Korrigeringsfaktor_EI,'Korrigeringsfaktor EI'!D$1,FALSE),
"")</f>
        <v>0</v>
      </c>
      <c r="E175" s="18">
        <f>IFERROR(
                  Andel_oberoende_av_klimat*VLOOKUP($A175,Leveranser_per_nät,'Leveranser per nät'!E$1,FALSE)
               +Andel_beroende_av_klimat*VLOOKUP($A175,Leveranser_per_nät,'Leveranser per nät'!E$1,FALSE)/VLOOKUP($B175,Korrigeringsfaktor_EI,'Korrigeringsfaktor EI'!E$1,FALSE),
"")</f>
        <v>3.8923076923076922</v>
      </c>
      <c r="F175" s="18">
        <f>IFERROR(
                  Andel_oberoende_av_klimat*VLOOKUP($A175,Leveranser_per_nät,'Leveranser per nät'!F$1,FALSE)
               +Andel_beroende_av_klimat*VLOOKUP($A175,Leveranser_per_nät,'Leveranser per nät'!F$1,FALSE)/VLOOKUP($B175,Korrigeringsfaktor_EI,'Korrigeringsfaktor EI'!F$1,FALSE),
"")</f>
        <v>4.0865979381443296</v>
      </c>
      <c r="G175" s="18">
        <f>IFERROR(
                  Andel_oberoende_av_klimat*VLOOKUP($A175,Leveranser_per_nät,'Leveranser per nät'!G$1,FALSE)
               +Andel_beroende_av_klimat*VLOOKUP($A175,Leveranser_per_nät,'Leveranser per nät'!G$1,FALSE)/VLOOKUP($B175,Korrigeringsfaktor_EI,'Korrigeringsfaktor EI'!G$1,FALSE),
"")</f>
        <v>3.207692307692307</v>
      </c>
      <c r="H175" s="18">
        <f>IFERROR(
                  Andel_oberoende_av_klimat*VLOOKUP($A175,Leveranser_per_nät,'Leveranser per nät'!H$1,FALSE)
               +Andel_beroende_av_klimat*VLOOKUP($A175,Leveranser_per_nät,'Leveranser per nät'!H$1,FALSE)/VLOOKUP($B175,Korrigeringsfaktor_EI,'Korrigeringsfaktor EI'!H$1,FALSE),
"")</f>
        <v>3.9698727272727274</v>
      </c>
      <c r="I175" s="18">
        <f>IFERROR(
                  Andel_oberoende_av_klimat*VLOOKUP($A175,Leveranser_per_nät,'Leveranser per nät'!I$1,FALSE)
               +Andel_beroende_av_klimat*VLOOKUP($A175,Leveranser_per_nät,'Leveranser per nät'!I$1,FALSE)/VLOOKUP($B175,Korrigeringsfaktor_EI,'Korrigeringsfaktor EI'!I$1,FALSE),
"")</f>
        <v>4.1787234042553187</v>
      </c>
      <c r="J175" s="18">
        <f>IFERROR(
                  Andel_oberoende_av_klimat*VLOOKUP($A175,Leveranser_per_nät,'Leveranser per nät'!J$1,FALSE)
               +Andel_beroende_av_klimat*VLOOKUP($A175,Leveranser_per_nät,'Leveranser per nät'!J$1,FALSE)/VLOOKUP($B175,Korrigeringsfaktor_EI,'Korrigeringsfaktor EI'!J$1,FALSE),
"")</f>
        <v>5.1082474226804129</v>
      </c>
      <c r="K175" s="18">
        <f>IFERROR(
                  Andel_oberoende_av_klimat*VLOOKUP($A175,Leveranser_per_nät,'Leveranser per nät'!K$1,FALSE)
               +Andel_beroende_av_klimat*VLOOKUP($A175,Leveranser_per_nät,'Leveranser per nät'!K$1,FALSE)/VLOOKUP($B175,Korrigeringsfaktor_EI,'Korrigeringsfaktor EI'!K$1,FALSE),
"")</f>
        <v>4.863144444444444</v>
      </c>
      <c r="L175" s="18">
        <f>IFERROR(
                  Andel_oberoende_av_klimat*VLOOKUP($A175,Leveranser_per_nät,'Leveranser per nät'!L$1,FALSE)
               +Andel_beroende_av_klimat*VLOOKUP($A175,Leveranser_per_nät,'Leveranser per nät'!L$1,FALSE)/VLOOKUP($B175,Korrigeringsfaktor_EI,'Korrigeringsfaktor EI'!L$1,FALSE),
"")</f>
        <v>5.6601210526315793</v>
      </c>
      <c r="M175" s="18">
        <f>IFERROR(
                  Andel_oberoende_av_klimat*VLOOKUP($A175,Leveranser_per_nät,'Leveranser per nät'!M$1,FALSE)
               +Andel_beroende_av_klimat*VLOOKUP($A175,Leveranser_per_nät,'Leveranser per nät'!M$1,FALSE)/VLOOKUP($B175,Korrigeringsfaktor_EI,'Korrigeringsfaktor EI'!M$1,FALSE),
"")</f>
        <v>6.9617615384615386</v>
      </c>
      <c r="N175" s="18">
        <f>IFERROR(
                  Andel_oberoende_av_klimat*VLOOKUP($A175,Leveranser_per_nät,'Leveranser per nät'!N$1,FALSE)
               +Andel_beroende_av_klimat*VLOOKUP($A175,Leveranser_per_nät,'Leveranser per nät'!N$1,FALSE)/VLOOKUP($B175,Korrigeringsfaktor_EI,'Korrigeringsfaktor EI'!N$1,FALSE),
"")</f>
        <v>7.0174111111111115</v>
      </c>
      <c r="O175" s="18">
        <f>IFERROR(
                  Andel_oberoende_av_klimat*VLOOKUP($A175,Leveranser_per_nät,'Leveranser per nät'!O$1,FALSE)
               +Andel_beroende_av_klimat*VLOOKUP($A175,Leveranser_per_nät,'Leveranser per nät'!O$1,FALSE)/VLOOKUP($B175,Korrigeringsfaktor_EI,'Korrigeringsfaktor EI'!O$1,FALSE),
"")</f>
        <v>7.5637384615384615</v>
      </c>
      <c r="P175" s="18">
        <f>IFERROR(
                  Andel_oberoende_av_klimat*VLOOKUP($A175,Leveranser_per_nät,'Leveranser per nät'!P$1,FALSE)
               +Andel_beroende_av_klimat*VLOOKUP($A175,Leveranser_per_nät,'Leveranser per nät'!P$1,FALSE)/VLOOKUP($B175,Korrigeringsfaktor_EI,'Korrigeringsfaktor EI'!P$1,FALSE),
"")</f>
        <v>7.9111052631578946</v>
      </c>
      <c r="Q175" s="18">
        <f>IFERROR(
                  Andel_oberoende_av_klimat*VLOOKUP($A175,Leveranser_per_nät,'Leveranser per nät'!Q$1,FALSE)
               +Andel_beroende_av_klimat*VLOOKUP($A175,Leveranser_per_nät,'Leveranser per nät'!Q$1,FALSE)/VLOOKUP($B175,Korrigeringsfaktor_EI,'Korrigeringsfaktor EI'!Q$1,FALSE),
"")</f>
        <v>7.8560909090909092</v>
      </c>
      <c r="R175" s="18">
        <f>IFERROR(
                  Andel_oberoende_av_klimat*VLOOKUP($A175,Leveranser_per_nät,'Leveranser per nät'!R$1,FALSE)
               +Andel_beroende_av_klimat*VLOOKUP($A175,Leveranser_per_nät,'Leveranser per nät'!R$1,FALSE)/VLOOKUP($B175,Korrigeringsfaktor_EI,'Korrigeringsfaktor EI'!R$1,FALSE),
"")</f>
        <v>9.7345391304347828</v>
      </c>
      <c r="S175" s="18">
        <f>IFERROR(
                  Andel_oberoende_av_klimat*VLOOKUP($A175,Leveranser_per_nät,'Leveranser per nät'!S$1,FALSE)
               +Andel_beroende_av_klimat*VLOOKUP($A175,Leveranser_per_nät,'Leveranser per nät'!S$1,FALSE)/VLOOKUP($B175,Korrigeringsfaktor_EI,'Korrigeringsfaktor EI'!S$1,FALSE),
"")</f>
        <v>7.7544444444444443</v>
      </c>
      <c r="T175" s="18">
        <f>IFERROR(
                  Andel_oberoende_av_klimat*VLOOKUP($A175,Leveranser_per_nät,'Leveranser per nät'!T$1,FALSE)
               +Andel_beroende_av_klimat*VLOOKUP($A175,Leveranser_per_nät,'Leveranser per nät'!T$1,FALSE)/VLOOKUP($B175,Korrigeringsfaktor_EI,'Korrigeringsfaktor EI'!T$1,FALSE),
"")</f>
        <v>8.307031958762888</v>
      </c>
      <c r="U175" s="18">
        <f>IFERROR(
                  Andel_oberoende_av_klimat*VLOOKUP($A175,Leveranser_per_nät,'Leveranser per nät'!U$1,FALSE)
               +Andel_beroende_av_klimat*VLOOKUP($A175,Leveranser_per_nät,'Leveranser per nät'!U$1,FALSE)/VLOOKUP($B175,Korrigeringsfaktor_EI,'Korrigeringsfaktor EI'!U$1,FALSE),
"")</f>
        <v>8.3783735632183909</v>
      </c>
      <c r="V175" s="18">
        <f>IFERROR(
                  Andel_oberoende_av_klimat*VLOOKUP($A175,Leveranser_per_nät,'Leveranser per nät'!V$1,FALSE)
               +Andel_beroende_av_klimat*VLOOKUP($A175,Leveranser_per_nät,'Leveranser per nät'!V$1,FALSE)/VLOOKUP($B175,Korrigeringsfaktor_EI,'Korrigeringsfaktor EI'!V$1,FALSE),
"")</f>
        <v>7.9422461538461526</v>
      </c>
      <c r="W175" s="18">
        <f>IFERROR(
                  Andel_oberoende_av_klimat*VLOOKUP($A175,Leveranser_per_nät,'Leveranser per nät'!W$1,FALSE)
               +Andel_beroende_av_klimat*VLOOKUP($A175,Leveranser_per_nät,'Leveranser per nät'!W$1,FALSE)/VLOOKUP($B175,Korrigeringsfaktor_EI,'Korrigeringsfaktor EI'!W$1,FALSE),
"")</f>
        <v>7.9971631578947369</v>
      </c>
      <c r="X175" s="18">
        <f>IFERROR(
                  Andel_oberoende_av_klimat*VLOOKUP($A175,Leveranser_per_nät,'Leveranser per nät'!X$1,FALSE)
               +Andel_beroende_av_klimat*VLOOKUP($A175,Leveranser_per_nät,'Leveranser per nät'!X$1,FALSE)/VLOOKUP($B175,Korrigeringsfaktor_EI,'Korrigeringsfaktor EI'!X$1,FALSE),
"")</f>
        <v>8.106751612903226</v>
      </c>
      <c r="Y175" s="18">
        <f>IFERROR(
                  Andel_oberoende_av_klimat*VLOOKUP($A175,Leveranser_per_nät,'Leveranser per nät'!Y$1,FALSE)
               +Andel_beroende_av_klimat*VLOOKUP($A175,Leveranser_per_nät,'Leveranser per nät'!Y$1,FALSE)/VLOOKUP($B175,Korrigeringsfaktor_EI,'Korrigeringsfaktor EI'!Y$1,FALSE),
"")</f>
        <v>8.4393818181818183</v>
      </c>
      <c r="Z175" s="18">
        <f>IFERROR(
                  Andel_oberoende_av_klimat*VLOOKUP($A175,Leveranser_per_nät,'Leveranser per nät'!Z$1,FALSE)
               +Andel_beroende_av_klimat*VLOOKUP($A175,Leveranser_per_nät,'Leveranser per nät'!Z$1,FALSE)/VLOOKUP($B175,Korrigeringsfaktor_EI,'Korrigeringsfaktor EI'!Z$1,FALSE),
"")</f>
        <v>8.3651183908045983</v>
      </c>
      <c r="AA175" s="18">
        <f>IFERROR(
                  Andel_oberoende_av_klimat*VLOOKUP($A175,Leveranser_per_nät,'Leveranser per nät'!AA$1,FALSE)
               +Andel_beroende_av_klimat*VLOOKUP($A175,Leveranser_per_nät,'Leveranser per nät'!AA$1,FALSE)/VLOOKUP($B175,Korrigeringsfaktor_EI,'Korrigeringsfaktor EI'!AA$1,FALSE),
"")</f>
        <v>8.3120508196721321</v>
      </c>
      <c r="AB175" s="18">
        <f>IFERROR(
                  Andel_oberoende_av_klimat*VLOOKUP($A175,Leveranser_per_nät,'Leveranser per nät'!AB$1,FALSE)
               +Andel_beroende_av_klimat*VLOOKUP($A175,Leveranser_per_nät,'Leveranser per nät'!AB$1,FALSE)/VLOOKUP($B175,Korrigeringsfaktor_EI,'Korrigeringsfaktor EI'!AB$1,FALSE),
"")</f>
        <v>8.1927357354392889</v>
      </c>
      <c r="AC175" s="18">
        <f>IFERROR(
                  Andel_oberoende_av_klimat*VLOOKUP($A175,Leveranser_per_nät,'Leveranser per nät'!AC$1,FALSE)
               +Andel_beroende_av_klimat*VLOOKUP($A175,Leveranser_per_nät,'Leveranser per nät'!AC$1,FALSE)/VLOOKUP($B175,Korrigeringsfaktor_EI,'Korrigeringsfaktor EI'!AC$1,FALSE),
"")</f>
        <v>8.0422993630573245</v>
      </c>
      <c r="AD175" t="e">
        <v>#N/A</v>
      </c>
    </row>
    <row r="176" spans="1:30" x14ac:dyDescent="0.25">
      <c r="A176" t="s">
        <v>37</v>
      </c>
      <c r="B176" t="s">
        <v>38</v>
      </c>
      <c r="C176" s="18">
        <f>IFERROR(
                  Andel_oberoende_av_klimat*VLOOKUP($A176,Leveranser_per_nät,'Leveranser per nät'!C$1,FALSE)
               +Andel_beroende_av_klimat*VLOOKUP($A176,Leveranser_per_nät,'Leveranser per nät'!C$1,FALSE)/VLOOKUP($B176,Korrigeringsfaktor_EI,'Korrigeringsfaktor EI'!C$1,FALSE),
"")</f>
        <v>0</v>
      </c>
      <c r="D176" s="18">
        <f>IFERROR(
                  Andel_oberoende_av_klimat*VLOOKUP($A176,Leveranser_per_nät,'Leveranser per nät'!D$1,FALSE)
               +Andel_beroende_av_klimat*VLOOKUP($A176,Leveranser_per_nät,'Leveranser per nät'!D$1,FALSE)/VLOOKUP($B176,Korrigeringsfaktor_EI,'Korrigeringsfaktor EI'!D$1,FALSE),
"")</f>
        <v>0</v>
      </c>
      <c r="E176" s="18">
        <f>IFERROR(
                  Andel_oberoende_av_klimat*VLOOKUP($A176,Leveranser_per_nät,'Leveranser per nät'!E$1,FALSE)
               +Andel_beroende_av_klimat*VLOOKUP($A176,Leveranser_per_nät,'Leveranser per nät'!E$1,FALSE)/VLOOKUP($B176,Korrigeringsfaktor_EI,'Korrigeringsfaktor EI'!E$1,FALSE),
"")</f>
        <v>0</v>
      </c>
      <c r="F176" s="18">
        <f>IFERROR(
                  Andel_oberoende_av_klimat*VLOOKUP($A176,Leveranser_per_nät,'Leveranser per nät'!F$1,FALSE)
               +Andel_beroende_av_klimat*VLOOKUP($A176,Leveranser_per_nät,'Leveranser per nät'!F$1,FALSE)/VLOOKUP($B176,Korrigeringsfaktor_EI,'Korrigeringsfaktor EI'!F$1,FALSE),
"")</f>
        <v>0</v>
      </c>
      <c r="G176" s="18">
        <f>IFERROR(
                  Andel_oberoende_av_klimat*VLOOKUP($A176,Leveranser_per_nät,'Leveranser per nät'!G$1,FALSE)
               +Andel_beroende_av_klimat*VLOOKUP($A176,Leveranser_per_nät,'Leveranser per nät'!G$1,FALSE)/VLOOKUP($B176,Korrigeringsfaktor_EI,'Korrigeringsfaktor EI'!G$1,FALSE),
"")</f>
        <v>0</v>
      </c>
      <c r="H176" s="18">
        <f>IFERROR(
                  Andel_oberoende_av_klimat*VLOOKUP($A176,Leveranser_per_nät,'Leveranser per nät'!H$1,FALSE)
               +Andel_beroende_av_klimat*VLOOKUP($A176,Leveranser_per_nät,'Leveranser per nät'!H$1,FALSE)/VLOOKUP($B176,Korrigeringsfaktor_EI,'Korrigeringsfaktor EI'!H$1,FALSE),
"")</f>
        <v>0</v>
      </c>
      <c r="I176" s="18">
        <f>IFERROR(
                  Andel_oberoende_av_klimat*VLOOKUP($A176,Leveranser_per_nät,'Leveranser per nät'!I$1,FALSE)
               +Andel_beroende_av_klimat*VLOOKUP($A176,Leveranser_per_nät,'Leveranser per nät'!I$1,FALSE)/VLOOKUP($B176,Korrigeringsfaktor_EI,'Korrigeringsfaktor EI'!I$1,FALSE),
"")</f>
        <v>0</v>
      </c>
      <c r="J176" s="18">
        <f>IFERROR(
                  Andel_oberoende_av_klimat*VLOOKUP($A176,Leveranser_per_nät,'Leveranser per nät'!J$1,FALSE)
               +Andel_beroende_av_klimat*VLOOKUP($A176,Leveranser_per_nät,'Leveranser per nät'!J$1,FALSE)/VLOOKUP($B176,Korrigeringsfaktor_EI,'Korrigeringsfaktor EI'!J$1,FALSE),
"")</f>
        <v>0</v>
      </c>
      <c r="K176" s="18">
        <f>IFERROR(
                  Andel_oberoende_av_klimat*VLOOKUP($A176,Leveranser_per_nät,'Leveranser per nät'!K$1,FALSE)
               +Andel_beroende_av_klimat*VLOOKUP($A176,Leveranser_per_nät,'Leveranser per nät'!K$1,FALSE)/VLOOKUP($B176,Korrigeringsfaktor_EI,'Korrigeringsfaktor EI'!K$1,FALSE),
"")</f>
        <v>0</v>
      </c>
      <c r="L176" s="18">
        <f>IFERROR(
                  Andel_oberoende_av_klimat*VLOOKUP($A176,Leveranser_per_nät,'Leveranser per nät'!L$1,FALSE)
               +Andel_beroende_av_klimat*VLOOKUP($A176,Leveranser_per_nät,'Leveranser per nät'!L$1,FALSE)/VLOOKUP($B176,Korrigeringsfaktor_EI,'Korrigeringsfaktor EI'!L$1,FALSE),
"")</f>
        <v>0.80004301075268813</v>
      </c>
      <c r="M176" s="18">
        <f>IFERROR(
                  Andel_oberoende_av_klimat*VLOOKUP($A176,Leveranser_per_nät,'Leveranser per nät'!M$1,FALSE)
               +Andel_beroende_av_klimat*VLOOKUP($A176,Leveranser_per_nät,'Leveranser per nät'!M$1,FALSE)/VLOOKUP($B176,Korrigeringsfaktor_EI,'Korrigeringsfaktor EI'!M$1,FALSE),
"")</f>
        <v>4.6344444444444441</v>
      </c>
      <c r="N176" s="18">
        <f>IFERROR(
                  Andel_oberoende_av_klimat*VLOOKUP($A176,Leveranser_per_nät,'Leveranser per nät'!N$1,FALSE)
               +Andel_beroende_av_klimat*VLOOKUP($A176,Leveranser_per_nät,'Leveranser per nät'!N$1,FALSE)/VLOOKUP($B176,Korrigeringsfaktor_EI,'Korrigeringsfaktor EI'!N$1,FALSE),
"")</f>
        <v>4.5617391304347823</v>
      </c>
      <c r="O176" s="18">
        <f>IFERROR(
                  Andel_oberoende_av_klimat*VLOOKUP($A176,Leveranser_per_nät,'Leveranser per nät'!O$1,FALSE)
               +Andel_beroende_av_klimat*VLOOKUP($A176,Leveranser_per_nät,'Leveranser per nät'!O$1,FALSE)/VLOOKUP($B176,Korrigeringsfaktor_EI,'Korrigeringsfaktor EI'!O$1,FALSE),
"")</f>
        <v>4.5976923076923075</v>
      </c>
      <c r="P176" s="18">
        <f>IFERROR(
                  Andel_oberoende_av_klimat*VLOOKUP($A176,Leveranser_per_nät,'Leveranser per nät'!P$1,FALSE)
               +Andel_beroende_av_klimat*VLOOKUP($A176,Leveranser_per_nät,'Leveranser per nät'!P$1,FALSE)/VLOOKUP($B176,Korrigeringsfaktor_EI,'Korrigeringsfaktor EI'!P$1,FALSE),
"")</f>
        <v>8.7602666666666664</v>
      </c>
      <c r="Q176" s="18">
        <f>IFERROR(
                  Andel_oberoende_av_klimat*VLOOKUP($A176,Leveranser_per_nät,'Leveranser per nät'!Q$1,FALSE)
               +Andel_beroende_av_klimat*VLOOKUP($A176,Leveranser_per_nät,'Leveranser per nät'!Q$1,FALSE)/VLOOKUP($B176,Korrigeringsfaktor_EI,'Korrigeringsfaktor EI'!Q$1,FALSE),
"")</f>
        <v>10.206363636363637</v>
      </c>
      <c r="R176" s="18">
        <f>IFERROR(
                  Andel_oberoende_av_klimat*VLOOKUP($A176,Leveranser_per_nät,'Leveranser per nät'!R$1,FALSE)
               +Andel_beroende_av_klimat*VLOOKUP($A176,Leveranser_per_nät,'Leveranser per nät'!R$1,FALSE)/VLOOKUP($B176,Korrigeringsfaktor_EI,'Korrigeringsfaktor EI'!R$1,FALSE),
"")</f>
        <v>9.4744269662921354</v>
      </c>
      <c r="S176" s="18">
        <f>IFERROR(
                  Andel_oberoende_av_klimat*VLOOKUP($A176,Leveranser_per_nät,'Leveranser per nät'!S$1,FALSE)
               +Andel_beroende_av_klimat*VLOOKUP($A176,Leveranser_per_nät,'Leveranser per nät'!S$1,FALSE)/VLOOKUP($B176,Korrigeringsfaktor_EI,'Korrigeringsfaktor EI'!S$1,FALSE),
"")</f>
        <v>9.3000000000000007</v>
      </c>
      <c r="T176" s="18">
        <f>IFERROR(
                  Andel_oberoende_av_klimat*VLOOKUP($A176,Leveranser_per_nät,'Leveranser per nät'!T$1,FALSE)
               +Andel_beroende_av_klimat*VLOOKUP($A176,Leveranser_per_nät,'Leveranser per nät'!T$1,FALSE)/VLOOKUP($B176,Korrigeringsfaktor_EI,'Korrigeringsfaktor EI'!T$1,FALSE),
"")</f>
        <v>9.4386914893617018</v>
      </c>
      <c r="U176" s="18">
        <f>IFERROR(
                  Andel_oberoende_av_klimat*VLOOKUP($A176,Leveranser_per_nät,'Leveranser per nät'!U$1,FALSE)
               +Andel_beroende_av_klimat*VLOOKUP($A176,Leveranser_per_nät,'Leveranser per nät'!U$1,FALSE)/VLOOKUP($B176,Korrigeringsfaktor_EI,'Korrigeringsfaktor EI'!U$1,FALSE),
"")</f>
        <v>9.0331181818181818</v>
      </c>
      <c r="V176" s="18">
        <f>IFERROR(
                  Andel_oberoende_av_klimat*VLOOKUP($A176,Leveranser_per_nät,'Leveranser per nät'!V$1,FALSE)
               +Andel_beroende_av_klimat*VLOOKUP($A176,Leveranser_per_nät,'Leveranser per nät'!V$1,FALSE)/VLOOKUP($B176,Korrigeringsfaktor_EI,'Korrigeringsfaktor EI'!V$1,FALSE),
"")</f>
        <v>8.6782666666666657</v>
      </c>
      <c r="W176" s="18">
        <f>IFERROR(
                  Andel_oberoende_av_klimat*VLOOKUP($A176,Leveranser_per_nät,'Leveranser per nät'!W$1,FALSE)
               +Andel_beroende_av_klimat*VLOOKUP($A176,Leveranser_per_nät,'Leveranser per nät'!W$1,FALSE)/VLOOKUP($B176,Korrigeringsfaktor_EI,'Korrigeringsfaktor EI'!W$1,FALSE),
"")</f>
        <v>8.9344684210526317</v>
      </c>
      <c r="X176" s="18">
        <f>IFERROR(
                  Andel_oberoende_av_klimat*VLOOKUP($A176,Leveranser_per_nät,'Leveranser per nät'!X$1,FALSE)
               +Andel_beroende_av_klimat*VLOOKUP($A176,Leveranser_per_nät,'Leveranser per nät'!X$1,FALSE)/VLOOKUP($B176,Korrigeringsfaktor_EI,'Korrigeringsfaktor EI'!X$1,FALSE),
"")</f>
        <v>9.1791374999999995</v>
      </c>
      <c r="Y176" s="18">
        <f>IFERROR(
                  Andel_oberoende_av_klimat*VLOOKUP($A176,Leveranser_per_nät,'Leveranser per nät'!Y$1,FALSE)
               +Andel_beroende_av_klimat*VLOOKUP($A176,Leveranser_per_nät,'Leveranser per nät'!Y$1,FALSE)/VLOOKUP($B176,Korrigeringsfaktor_EI,'Korrigeringsfaktor EI'!Y$1,FALSE),
"")</f>
        <v>11.236393548387095</v>
      </c>
      <c r="Z176" s="18">
        <f>IFERROR(
                  Andel_oberoende_av_klimat*VLOOKUP($A176,Leveranser_per_nät,'Leveranser per nät'!Z$1,FALSE)
               +Andel_beroende_av_klimat*VLOOKUP($A176,Leveranser_per_nät,'Leveranser per nät'!Z$1,FALSE)/VLOOKUP($B176,Korrigeringsfaktor_EI,'Korrigeringsfaktor EI'!Z$1,FALSE),
"")</f>
        <v>9.5457763440860202</v>
      </c>
      <c r="AA176" s="18">
        <f>IFERROR(
                  Andel_oberoende_av_klimat*VLOOKUP($A176,Leveranser_per_nät,'Leveranser per nät'!AA$1,FALSE)
               +Andel_beroende_av_klimat*VLOOKUP($A176,Leveranser_per_nät,'Leveranser per nät'!AA$1,FALSE)/VLOOKUP($B176,Korrigeringsfaktor_EI,'Korrigeringsfaktor EI'!AA$1,FALSE),
"")</f>
        <v>9.2948502566391422</v>
      </c>
      <c r="AB176" s="18">
        <f>IFERROR(
                  Andel_oberoende_av_klimat*VLOOKUP($A176,Leveranser_per_nät,'Leveranser per nät'!AB$1,FALSE)
               +Andel_beroende_av_klimat*VLOOKUP($A176,Leveranser_per_nät,'Leveranser per nät'!AB$1,FALSE)/VLOOKUP($B176,Korrigeringsfaktor_EI,'Korrigeringsfaktor EI'!AB$1,FALSE),
"")</f>
        <v>10.475322924901185</v>
      </c>
      <c r="AC176" s="18">
        <f>IFERROR(
                  Andel_oberoende_av_klimat*VLOOKUP($A176,Leveranser_per_nät,'Leveranser per nät'!AC$1,FALSE)
               +Andel_beroende_av_klimat*VLOOKUP($A176,Leveranser_per_nät,'Leveranser per nät'!AC$1,FALSE)/VLOOKUP($B176,Korrigeringsfaktor_EI,'Korrigeringsfaktor EI'!AC$1,FALSE),
"")</f>
        <v>10.19764132231405</v>
      </c>
      <c r="AD176">
        <v>32.401000000000003</v>
      </c>
    </row>
    <row r="177" spans="1:30" x14ac:dyDescent="0.25">
      <c r="A177" t="s">
        <v>154</v>
      </c>
      <c r="B177" t="s">
        <v>154</v>
      </c>
      <c r="C177" s="18">
        <f>IFERROR(
                  Andel_oberoende_av_klimat*VLOOKUP($A177,Leveranser_per_nät,'Leveranser per nät'!C$1,FALSE)
               +Andel_beroende_av_klimat*VLOOKUP($A177,Leveranser_per_nät,'Leveranser per nät'!C$1,FALSE)/VLOOKUP($B177,Korrigeringsfaktor_EI,'Korrigeringsfaktor EI'!C$1,FALSE),
"")</f>
        <v>36.003846153846155</v>
      </c>
      <c r="D177" s="18">
        <f>IFERROR(
                  Andel_oberoende_av_klimat*VLOOKUP($A177,Leveranser_per_nät,'Leveranser per nät'!D$1,FALSE)
               +Andel_beroende_av_klimat*VLOOKUP($A177,Leveranser_per_nät,'Leveranser per nät'!D$1,FALSE)/VLOOKUP($B177,Korrigeringsfaktor_EI,'Korrigeringsfaktor EI'!D$1,FALSE),
"")</f>
        <v>35.861787878787879</v>
      </c>
      <c r="E177" s="18">
        <f>IFERROR(
                  Andel_oberoende_av_klimat*VLOOKUP($A177,Leveranser_per_nät,'Leveranser per nät'!E$1,FALSE)
               +Andel_beroende_av_klimat*VLOOKUP($A177,Leveranser_per_nät,'Leveranser per nät'!E$1,FALSE)/VLOOKUP($B177,Korrigeringsfaktor_EI,'Korrigeringsfaktor EI'!E$1,FALSE),
"")</f>
        <v>41.030841121495328</v>
      </c>
      <c r="F177" s="18">
        <f>IFERROR(
                  Andel_oberoende_av_klimat*VLOOKUP($A177,Leveranser_per_nät,'Leveranser per nät'!F$1,FALSE)
               +Andel_beroende_av_klimat*VLOOKUP($A177,Leveranser_per_nät,'Leveranser per nät'!F$1,FALSE)/VLOOKUP($B177,Korrigeringsfaktor_EI,'Korrigeringsfaktor EI'!F$1,FALSE),
"")</f>
        <v>43</v>
      </c>
      <c r="G177" s="18">
        <f>IFERROR(
                  Andel_oberoende_av_klimat*VLOOKUP($A177,Leveranser_per_nät,'Leveranser per nät'!G$1,FALSE)
               +Andel_beroende_av_klimat*VLOOKUP($A177,Leveranser_per_nät,'Leveranser per nät'!G$1,FALSE)/VLOOKUP($B177,Korrigeringsfaktor_EI,'Korrigeringsfaktor EI'!G$1,FALSE),
"")</f>
        <v>34.011674468085111</v>
      </c>
      <c r="H177" s="18">
        <f>IFERROR(
                  Andel_oberoende_av_klimat*VLOOKUP($A177,Leveranser_per_nät,'Leveranser per nät'!H$1,FALSE)
               +Andel_beroende_av_klimat*VLOOKUP($A177,Leveranser_per_nät,'Leveranser per nät'!H$1,FALSE)/VLOOKUP($B177,Korrigeringsfaktor_EI,'Korrigeringsfaktor EI'!H$1,FALSE),
"")</f>
        <v>36.743564356435641</v>
      </c>
      <c r="I177" s="18">
        <f>IFERROR(
                  Andel_oberoende_av_klimat*VLOOKUP($A177,Leveranser_per_nät,'Leveranser per nät'!I$1,FALSE)
               +Andel_beroende_av_klimat*VLOOKUP($A177,Leveranser_per_nät,'Leveranser per nät'!I$1,FALSE)/VLOOKUP($B177,Korrigeringsfaktor_EI,'Korrigeringsfaktor EI'!I$1,FALSE),
"")</f>
        <v>38.822680412371135</v>
      </c>
      <c r="J177" s="18">
        <f>IFERROR(
                  Andel_oberoende_av_klimat*VLOOKUP($A177,Leveranser_per_nät,'Leveranser per nät'!J$1,FALSE)
               +Andel_beroende_av_klimat*VLOOKUP($A177,Leveranser_per_nät,'Leveranser per nät'!J$1,FALSE)/VLOOKUP($B177,Korrigeringsfaktor_EI,'Korrigeringsfaktor EI'!J$1,FALSE),
"")</f>
        <v>38.134015789473693</v>
      </c>
      <c r="K177" s="18">
        <f>IFERROR(
                  Andel_oberoende_av_klimat*VLOOKUP($A177,Leveranser_per_nät,'Leveranser per nät'!K$1,FALSE)
               +Andel_beroende_av_klimat*VLOOKUP($A177,Leveranser_per_nät,'Leveranser per nät'!K$1,FALSE)/VLOOKUP($B177,Korrigeringsfaktor_EI,'Korrigeringsfaktor EI'!K$1,FALSE),
"")</f>
        <v>37.31</v>
      </c>
      <c r="L177" s="18">
        <f>IFERROR(
                  Andel_oberoende_av_klimat*VLOOKUP($A177,Leveranser_per_nät,'Leveranser per nät'!L$1,FALSE)
               +Andel_beroende_av_klimat*VLOOKUP($A177,Leveranser_per_nät,'Leveranser per nät'!L$1,FALSE)/VLOOKUP($B177,Korrigeringsfaktor_EI,'Korrigeringsfaktor EI'!L$1,FALSE),
"")</f>
        <v>37.730738297872335</v>
      </c>
      <c r="M177" s="18">
        <f>IFERROR(
                  Andel_oberoende_av_klimat*VLOOKUP($A177,Leveranser_per_nät,'Leveranser per nät'!M$1,FALSE)
               +Andel_beroende_av_klimat*VLOOKUP($A177,Leveranser_per_nät,'Leveranser per nät'!M$1,FALSE)/VLOOKUP($B177,Korrigeringsfaktor_EI,'Korrigeringsfaktor EI'!M$1,FALSE),
"")</f>
        <v>39.581075268817209</v>
      </c>
      <c r="N177" s="18">
        <f>IFERROR(
                  Andel_oberoende_av_klimat*VLOOKUP($A177,Leveranser_per_nät,'Leveranser per nät'!N$1,FALSE)
               +Andel_beroende_av_klimat*VLOOKUP($A177,Leveranser_per_nät,'Leveranser per nät'!N$1,FALSE)/VLOOKUP($B177,Korrigeringsfaktor_EI,'Korrigeringsfaktor EI'!N$1,FALSE),
"")</f>
        <v>39.280000000000008</v>
      </c>
      <c r="O177" s="18">
        <f>IFERROR(
                  Andel_oberoende_av_klimat*VLOOKUP($A177,Leveranser_per_nät,'Leveranser per nät'!O$1,FALSE)
               +Andel_beroende_av_klimat*VLOOKUP($A177,Leveranser_per_nät,'Leveranser per nät'!O$1,FALSE)/VLOOKUP($B177,Korrigeringsfaktor_EI,'Korrigeringsfaktor EI'!O$1,FALSE),
"")</f>
        <v>38.19311578947368</v>
      </c>
      <c r="P177" s="18">
        <f>IFERROR(
                  Andel_oberoende_av_klimat*VLOOKUP($A177,Leveranser_per_nät,'Leveranser per nät'!P$1,FALSE)
               +Andel_beroende_av_klimat*VLOOKUP($A177,Leveranser_per_nät,'Leveranser per nät'!P$1,FALSE)/VLOOKUP($B177,Korrigeringsfaktor_EI,'Korrigeringsfaktor EI'!P$1,FALSE),
"")</f>
        <v>37.954637499999997</v>
      </c>
      <c r="Q177" s="18">
        <f>IFERROR(
                  Andel_oberoende_av_klimat*VLOOKUP($A177,Leveranser_per_nät,'Leveranser per nät'!Q$1,FALSE)
               +Andel_beroende_av_klimat*VLOOKUP($A177,Leveranser_per_nät,'Leveranser per nät'!Q$1,FALSE)/VLOOKUP($B177,Korrigeringsfaktor_EI,'Korrigeringsfaktor EI'!Q$1,FALSE),
"")</f>
        <v>38.18730841121495</v>
      </c>
      <c r="R177" s="18">
        <f>IFERROR(
                  Andel_oberoende_av_klimat*VLOOKUP($A177,Leveranser_per_nät,'Leveranser per nät'!R$1,FALSE)
               +Andel_beroende_av_klimat*VLOOKUP($A177,Leveranser_per_nät,'Leveranser per nät'!R$1,FALSE)/VLOOKUP($B177,Korrigeringsfaktor_EI,'Korrigeringsfaktor EI'!R$1,FALSE),
"")</f>
        <v>35.625060869565225</v>
      </c>
      <c r="S177" s="18">
        <f>IFERROR(
                  Andel_oberoende_av_klimat*VLOOKUP($A177,Leveranser_per_nät,'Leveranser per nät'!S$1,FALSE)
               +Andel_beroende_av_klimat*VLOOKUP($A177,Leveranser_per_nät,'Leveranser per nät'!S$1,FALSE)/VLOOKUP($B177,Korrigeringsfaktor_EI,'Korrigeringsfaktor EI'!S$1,FALSE),
"")</f>
        <v>36.245631067961163</v>
      </c>
      <c r="T177" s="18">
        <f>IFERROR(
                  Andel_oberoende_av_klimat*VLOOKUP($A177,Leveranser_per_nät,'Leveranser per nät'!T$1,FALSE)
               +Andel_beroende_av_klimat*VLOOKUP($A177,Leveranser_per_nät,'Leveranser per nät'!T$1,FALSE)/VLOOKUP($B177,Korrigeringsfaktor_EI,'Korrigeringsfaktor EI'!T$1,FALSE),
"")</f>
        <v>36.020833333333336</v>
      </c>
      <c r="U177" s="18">
        <f>IFERROR(
                  Andel_oberoende_av_klimat*VLOOKUP($A177,Leveranser_per_nät,'Leveranser per nät'!U$1,FALSE)
               +Andel_beroende_av_klimat*VLOOKUP($A177,Leveranser_per_nät,'Leveranser per nät'!U$1,FALSE)/VLOOKUP($B177,Korrigeringsfaktor_EI,'Korrigeringsfaktor EI'!U$1,FALSE),
"")</f>
        <v>35.791397849462363</v>
      </c>
      <c r="V177" s="18">
        <f>IFERROR(
                  Andel_oberoende_av_klimat*VLOOKUP($A177,Leveranser_per_nät,'Leveranser per nät'!V$1,FALSE)
               +Andel_beroende_av_klimat*VLOOKUP($A177,Leveranser_per_nät,'Leveranser per nät'!V$1,FALSE)/VLOOKUP($B177,Korrigeringsfaktor_EI,'Korrigeringsfaktor EI'!V$1,FALSE),
"")</f>
        <v>33.949999999999996</v>
      </c>
      <c r="W177" s="18">
        <f>IFERROR(
                  Andel_oberoende_av_klimat*VLOOKUP($A177,Leveranser_per_nät,'Leveranser per nät'!W$1,FALSE)
               +Andel_beroende_av_klimat*VLOOKUP($A177,Leveranser_per_nät,'Leveranser per nät'!W$1,FALSE)/VLOOKUP($B177,Korrigeringsfaktor_EI,'Korrigeringsfaktor EI'!W$1,FALSE),
"")</f>
        <v>34.991666666666667</v>
      </c>
      <c r="X177" s="18">
        <f>IFERROR(
                  Andel_oberoende_av_klimat*VLOOKUP($A177,Leveranser_per_nät,'Leveranser per nät'!X$1,FALSE)
               +Andel_beroende_av_klimat*VLOOKUP($A177,Leveranser_per_nät,'Leveranser per nät'!X$1,FALSE)/VLOOKUP($B177,Korrigeringsfaktor_EI,'Korrigeringsfaktor EI'!X$1,FALSE),
"")</f>
        <v>34.485714285714288</v>
      </c>
      <c r="Y177" s="18">
        <f>IFERROR(
                  Andel_oberoende_av_klimat*VLOOKUP($A177,Leveranser_per_nät,'Leveranser per nät'!Y$1,FALSE)
               +Andel_beroende_av_klimat*VLOOKUP($A177,Leveranser_per_nät,'Leveranser per nät'!Y$1,FALSE)/VLOOKUP($B177,Korrigeringsfaktor_EI,'Korrigeringsfaktor EI'!Y$1,FALSE),
"")</f>
        <v>35.553402061855664</v>
      </c>
      <c r="Z177" s="18">
        <f>IFERROR(
                  Andel_oberoende_av_klimat*VLOOKUP($A177,Leveranser_per_nät,'Leveranser per nät'!Z$1,FALSE)
               +Andel_beroende_av_klimat*VLOOKUP($A177,Leveranser_per_nät,'Leveranser per nät'!Z$1,FALSE)/VLOOKUP($B177,Korrigeringsfaktor_EI,'Korrigeringsfaktor EI'!Z$1,FALSE),
"")</f>
        <v>36.75</v>
      </c>
      <c r="AA177" s="18">
        <f>IFERROR(
                  Andel_oberoende_av_klimat*VLOOKUP($A177,Leveranser_per_nät,'Leveranser per nät'!AA$1,FALSE)
               +Andel_beroende_av_klimat*VLOOKUP($A177,Leveranser_per_nät,'Leveranser per nät'!AA$1,FALSE)/VLOOKUP($B177,Korrigeringsfaktor_EI,'Korrigeringsfaktor EI'!AA$1,FALSE),
"")</f>
        <v>33.448445412844038</v>
      </c>
      <c r="AB177" s="18">
        <f>IFERROR(
                  Andel_oberoende_av_klimat*VLOOKUP($A177,Leveranser_per_nät,'Leveranser per nät'!AB$1,FALSE)
               +Andel_beroende_av_klimat*VLOOKUP($A177,Leveranser_per_nät,'Leveranser per nät'!AB$1,FALSE)/VLOOKUP($B177,Korrigeringsfaktor_EI,'Korrigeringsfaktor EI'!AB$1,FALSE),
"")</f>
        <v>34.237240356083092</v>
      </c>
      <c r="AC177" s="18">
        <f>IFERROR(
                  Andel_oberoende_av_klimat*VLOOKUP($A177,Leveranser_per_nät,'Leveranser per nät'!AC$1,FALSE)
               +Andel_beroende_av_klimat*VLOOKUP($A177,Leveranser_per_nät,'Leveranser per nät'!AC$1,FALSE)/VLOOKUP($B177,Korrigeringsfaktor_EI,'Korrigeringsfaktor EI'!AC$1,FALSE),
"")</f>
        <v>33.750588235294117</v>
      </c>
      <c r="AD177">
        <v>32.6</v>
      </c>
    </row>
    <row r="178" spans="1:30" x14ac:dyDescent="0.25">
      <c r="A178" t="s">
        <v>47</v>
      </c>
      <c r="B178" t="s">
        <v>47</v>
      </c>
      <c r="C178" s="18">
        <f>IFERROR(
                  Andel_oberoende_av_klimat*VLOOKUP($A178,Leveranser_per_nät,'Leveranser per nät'!C$1,FALSE)
               +Andel_beroende_av_klimat*VLOOKUP($A178,Leveranser_per_nät,'Leveranser per nät'!C$1,FALSE)/VLOOKUP($B178,Korrigeringsfaktor_EI,'Korrigeringsfaktor EI'!C$1,FALSE),
"")</f>
        <v>0</v>
      </c>
      <c r="D178" s="18">
        <f>IFERROR(
                  Andel_oberoende_av_klimat*VLOOKUP($A178,Leveranser_per_nät,'Leveranser per nät'!D$1,FALSE)
               +Andel_beroende_av_klimat*VLOOKUP($A178,Leveranser_per_nät,'Leveranser per nät'!D$1,FALSE)/VLOOKUP($B178,Korrigeringsfaktor_EI,'Korrigeringsfaktor EI'!D$1,FALSE),
"")</f>
        <v>0</v>
      </c>
      <c r="E178" s="18">
        <f>IFERROR(
                  Andel_oberoende_av_klimat*VLOOKUP($A178,Leveranser_per_nät,'Leveranser per nät'!E$1,FALSE)
               +Andel_beroende_av_klimat*VLOOKUP($A178,Leveranser_per_nät,'Leveranser per nät'!E$1,FALSE)/VLOOKUP($B178,Korrigeringsfaktor_EI,'Korrigeringsfaktor EI'!E$1,FALSE),
"")</f>
        <v>0</v>
      </c>
      <c r="F178" s="18">
        <f>IFERROR(
                  Andel_oberoende_av_klimat*VLOOKUP($A178,Leveranser_per_nät,'Leveranser per nät'!F$1,FALSE)
               +Andel_beroende_av_klimat*VLOOKUP($A178,Leveranser_per_nät,'Leveranser per nät'!F$1,FALSE)/VLOOKUP($B178,Korrigeringsfaktor_EI,'Korrigeringsfaktor EI'!F$1,FALSE),
"")</f>
        <v>0</v>
      </c>
      <c r="G178" s="18">
        <f>IFERROR(
                  Andel_oberoende_av_klimat*VLOOKUP($A178,Leveranser_per_nät,'Leveranser per nät'!G$1,FALSE)
               +Andel_beroende_av_klimat*VLOOKUP($A178,Leveranser_per_nät,'Leveranser per nät'!G$1,FALSE)/VLOOKUP($B178,Korrigeringsfaktor_EI,'Korrigeringsfaktor EI'!G$1,FALSE),
"")</f>
        <v>0</v>
      </c>
      <c r="H178" s="18">
        <f>IFERROR(
                  Andel_oberoende_av_klimat*VLOOKUP($A178,Leveranser_per_nät,'Leveranser per nät'!H$1,FALSE)
               +Andel_beroende_av_klimat*VLOOKUP($A178,Leveranser_per_nät,'Leveranser per nät'!H$1,FALSE)/VLOOKUP($B178,Korrigeringsfaktor_EI,'Korrigeringsfaktor EI'!H$1,FALSE),
"")</f>
        <v>0</v>
      </c>
      <c r="I178" s="18">
        <f>IFERROR(
                  Andel_oberoende_av_klimat*VLOOKUP($A178,Leveranser_per_nät,'Leveranser per nät'!I$1,FALSE)
               +Andel_beroende_av_klimat*VLOOKUP($A178,Leveranser_per_nät,'Leveranser per nät'!I$1,FALSE)/VLOOKUP($B178,Korrigeringsfaktor_EI,'Korrigeringsfaktor EI'!I$1,FALSE),
"")</f>
        <v>0</v>
      </c>
      <c r="J178" s="18">
        <f>IFERROR(
                  Andel_oberoende_av_klimat*VLOOKUP($A178,Leveranser_per_nät,'Leveranser per nät'!J$1,FALSE)
               +Andel_beroende_av_klimat*VLOOKUP($A178,Leveranser_per_nät,'Leveranser per nät'!J$1,FALSE)/VLOOKUP($B178,Korrigeringsfaktor_EI,'Korrigeringsfaktor EI'!J$1,FALSE),
"")</f>
        <v>0</v>
      </c>
      <c r="K178" s="18">
        <f>IFERROR(
                  Andel_oberoende_av_klimat*VLOOKUP($A178,Leveranser_per_nät,'Leveranser per nät'!K$1,FALSE)
               +Andel_beroende_av_klimat*VLOOKUP($A178,Leveranser_per_nät,'Leveranser per nät'!K$1,FALSE)/VLOOKUP($B178,Korrigeringsfaktor_EI,'Korrigeringsfaktor EI'!K$1,FALSE),
"")</f>
        <v>0</v>
      </c>
      <c r="L178" s="18">
        <f>IFERROR(
                  Andel_oberoende_av_klimat*VLOOKUP($A178,Leveranser_per_nät,'Leveranser per nät'!L$1,FALSE)
               +Andel_beroende_av_klimat*VLOOKUP($A178,Leveranser_per_nät,'Leveranser per nät'!L$1,FALSE)/VLOOKUP($B178,Korrigeringsfaktor_EI,'Korrigeringsfaktor EI'!L$1,FALSE),
"")</f>
        <v>0</v>
      </c>
      <c r="M178" s="18">
        <f>IFERROR(
                  Andel_oberoende_av_klimat*VLOOKUP($A178,Leveranser_per_nät,'Leveranser per nät'!M$1,FALSE)
               +Andel_beroende_av_klimat*VLOOKUP($A178,Leveranser_per_nät,'Leveranser per nät'!M$1,FALSE)/VLOOKUP($B178,Korrigeringsfaktor_EI,'Korrigeringsfaktor EI'!M$1,FALSE),
"")</f>
        <v>0</v>
      </c>
      <c r="N178" s="18">
        <f>IFERROR(
                  Andel_oberoende_av_klimat*VLOOKUP($A178,Leveranser_per_nät,'Leveranser per nät'!N$1,FALSE)
               +Andel_beroende_av_klimat*VLOOKUP($A178,Leveranser_per_nät,'Leveranser per nät'!N$1,FALSE)/VLOOKUP($B178,Korrigeringsfaktor_EI,'Korrigeringsfaktor EI'!N$1,FALSE),
"")</f>
        <v>0</v>
      </c>
      <c r="O178" s="18">
        <f>IFERROR(
                  Andel_oberoende_av_klimat*VLOOKUP($A178,Leveranser_per_nät,'Leveranser per nät'!O$1,FALSE)
               +Andel_beroende_av_klimat*VLOOKUP($A178,Leveranser_per_nät,'Leveranser per nät'!O$1,FALSE)/VLOOKUP($B178,Korrigeringsfaktor_EI,'Korrigeringsfaktor EI'!O$1,FALSE),
"")</f>
        <v>0</v>
      </c>
      <c r="P178" s="18">
        <f>IFERROR(
                  Andel_oberoende_av_klimat*VLOOKUP($A178,Leveranser_per_nät,'Leveranser per nät'!P$1,FALSE)
               +Andel_beroende_av_klimat*VLOOKUP($A178,Leveranser_per_nät,'Leveranser per nät'!P$1,FALSE)/VLOOKUP($B178,Korrigeringsfaktor_EI,'Korrigeringsfaktor EI'!P$1,FALSE),
"")</f>
        <v>2.014141414141414</v>
      </c>
      <c r="Q178" s="18">
        <f>IFERROR(
                  Andel_oberoende_av_klimat*VLOOKUP($A178,Leveranser_per_nät,'Leveranser per nät'!Q$1,FALSE)
               +Andel_beroende_av_klimat*VLOOKUP($A178,Leveranser_per_nät,'Leveranser per nät'!Q$1,FALSE)/VLOOKUP($B178,Korrigeringsfaktor_EI,'Korrigeringsfaktor EI'!Q$1,FALSE),
"")</f>
        <v>2.0350000000000001</v>
      </c>
      <c r="R178" s="18">
        <f>IFERROR(
                  Andel_oberoende_av_klimat*VLOOKUP($A178,Leveranser_per_nät,'Leveranser per nät'!R$1,FALSE)
               +Andel_beroende_av_klimat*VLOOKUP($A178,Leveranser_per_nät,'Leveranser per nät'!R$1,FALSE)/VLOOKUP($B178,Korrigeringsfaktor_EI,'Korrigeringsfaktor EI'!R$1,FALSE),
"")</f>
        <v>0</v>
      </c>
      <c r="S178" s="18" t="str">
        <f>IFERROR(
                  Andel_oberoende_av_klimat*VLOOKUP($A178,Leveranser_per_nät,'Leveranser per nät'!S$1,FALSE)
               +Andel_beroende_av_klimat*VLOOKUP($A178,Leveranser_per_nät,'Leveranser per nät'!S$1,FALSE)/VLOOKUP($B178,Korrigeringsfaktor_EI,'Korrigeringsfaktor EI'!S$1,FALSE),
"")</f>
        <v/>
      </c>
      <c r="T178" s="18" t="str">
        <f>IFERROR(
                  Andel_oberoende_av_klimat*VLOOKUP($A178,Leveranser_per_nät,'Leveranser per nät'!T$1,FALSE)
               +Andel_beroende_av_klimat*VLOOKUP($A178,Leveranser_per_nät,'Leveranser per nät'!T$1,FALSE)/VLOOKUP($B178,Korrigeringsfaktor_EI,'Korrigeringsfaktor EI'!T$1,FALSE),
"")</f>
        <v/>
      </c>
      <c r="U178" s="18" t="str">
        <f>IFERROR(
                  Andel_oberoende_av_klimat*VLOOKUP($A178,Leveranser_per_nät,'Leveranser per nät'!U$1,FALSE)
               +Andel_beroende_av_klimat*VLOOKUP($A178,Leveranser_per_nät,'Leveranser per nät'!U$1,FALSE)/VLOOKUP($B178,Korrigeringsfaktor_EI,'Korrigeringsfaktor EI'!U$1,FALSE),
"")</f>
        <v/>
      </c>
      <c r="V178" s="18" t="str">
        <f>IFERROR(
                  Andel_oberoende_av_klimat*VLOOKUP($A178,Leveranser_per_nät,'Leveranser per nät'!V$1,FALSE)
               +Andel_beroende_av_klimat*VLOOKUP($A178,Leveranser_per_nät,'Leveranser per nät'!V$1,FALSE)/VLOOKUP($B178,Korrigeringsfaktor_EI,'Korrigeringsfaktor EI'!V$1,FALSE),
"")</f>
        <v/>
      </c>
      <c r="W178" s="18" t="str">
        <f>IFERROR(
                  Andel_oberoende_av_klimat*VLOOKUP($A178,Leveranser_per_nät,'Leveranser per nät'!W$1,FALSE)
               +Andel_beroende_av_klimat*VLOOKUP($A178,Leveranser_per_nät,'Leveranser per nät'!W$1,FALSE)/VLOOKUP($B178,Korrigeringsfaktor_EI,'Korrigeringsfaktor EI'!W$1,FALSE),
"")</f>
        <v/>
      </c>
      <c r="X178" s="18" t="str">
        <f>IFERROR(
                  Andel_oberoende_av_klimat*VLOOKUP($A178,Leveranser_per_nät,'Leveranser per nät'!X$1,FALSE)
               +Andel_beroende_av_klimat*VLOOKUP($A178,Leveranser_per_nät,'Leveranser per nät'!X$1,FALSE)/VLOOKUP($B178,Korrigeringsfaktor_EI,'Korrigeringsfaktor EI'!X$1,FALSE),
"")</f>
        <v/>
      </c>
      <c r="Y178" s="18" t="str">
        <f>IFERROR(
                  Andel_oberoende_av_klimat*VLOOKUP($A178,Leveranser_per_nät,'Leveranser per nät'!Y$1,FALSE)
               +Andel_beroende_av_klimat*VLOOKUP($A178,Leveranser_per_nät,'Leveranser per nät'!Y$1,FALSE)/VLOOKUP($B178,Korrigeringsfaktor_EI,'Korrigeringsfaktor EI'!Y$1,FALSE),
"")</f>
        <v/>
      </c>
      <c r="Z178" s="18">
        <f>IFERROR(
                  Andel_oberoende_av_klimat*VLOOKUP($A178,Leveranser_per_nät,'Leveranser per nät'!Z$1,FALSE)
               +Andel_beroende_av_klimat*VLOOKUP($A178,Leveranser_per_nät,'Leveranser per nät'!Z$1,FALSE)/VLOOKUP($B178,Korrigeringsfaktor_EI,'Korrigeringsfaktor EI'!Z$1,FALSE),
"")</f>
        <v>0</v>
      </c>
      <c r="AA178" s="18" t="str">
        <f>IFERROR(
                  Andel_oberoende_av_klimat*VLOOKUP($A178,Leveranser_per_nät,'Leveranser per nät'!AA$1,FALSE)
               +Andel_beroende_av_klimat*VLOOKUP($A178,Leveranser_per_nät,'Leveranser per nät'!AA$1,FALSE)/VLOOKUP($B178,Korrigeringsfaktor_EI,'Korrigeringsfaktor EI'!AA$1,FALSE),
"")</f>
        <v/>
      </c>
      <c r="AB178" s="18">
        <f>IFERROR(
                  Andel_oberoende_av_klimat*VLOOKUP($A178,Leveranser_per_nät,'Leveranser per nät'!AB$1,FALSE)
               +Andel_beroende_av_klimat*VLOOKUP($A178,Leveranser_per_nät,'Leveranser per nät'!AB$1,FALSE)/VLOOKUP($B178,Korrigeringsfaktor_EI,'Korrigeringsfaktor EI'!AB$1,FALSE),
"")</f>
        <v>0</v>
      </c>
      <c r="AC178" s="18">
        <f>IFERROR(
                  Andel_oberoende_av_klimat*VLOOKUP($A178,Leveranser_per_nät,'Leveranser per nät'!AC$1,FALSE)
               +Andel_beroende_av_klimat*VLOOKUP($A178,Leveranser_per_nät,'Leveranser per nät'!AC$1,FALSE)/VLOOKUP($B178,Korrigeringsfaktor_EI,'Korrigeringsfaktor EI'!AC$1,FALSE),
"")</f>
        <v>0</v>
      </c>
      <c r="AD178" t="e">
        <v>#N/A</v>
      </c>
    </row>
    <row r="179" spans="1:30" x14ac:dyDescent="0.25">
      <c r="A179" t="s">
        <v>640</v>
      </c>
      <c r="B179" t="s">
        <v>0</v>
      </c>
      <c r="C179" s="18">
        <f>IFERROR(
                  Andel_oberoende_av_klimat*VLOOKUP($A179,Leveranser_per_nät,'Leveranser per nät'!C$1,FALSE)
               +Andel_beroende_av_klimat*VLOOKUP($A179,Leveranser_per_nät,'Leveranser per nät'!C$1,FALSE)/VLOOKUP($B179,Korrigeringsfaktor_EI,'Korrigeringsfaktor EI'!C$1,FALSE),
"")</f>
        <v>0</v>
      </c>
      <c r="D179" s="18">
        <f>IFERROR(
                  Andel_oberoende_av_klimat*VLOOKUP($A179,Leveranser_per_nät,'Leveranser per nät'!D$1,FALSE)
               +Andel_beroende_av_klimat*VLOOKUP($A179,Leveranser_per_nät,'Leveranser per nät'!D$1,FALSE)/VLOOKUP($B179,Korrigeringsfaktor_EI,'Korrigeringsfaktor EI'!D$1,FALSE),
"")</f>
        <v>0</v>
      </c>
      <c r="E179" s="18">
        <f>IFERROR(
                  Andel_oberoende_av_klimat*VLOOKUP($A179,Leveranser_per_nät,'Leveranser per nät'!E$1,FALSE)
               +Andel_beroende_av_klimat*VLOOKUP($A179,Leveranser_per_nät,'Leveranser per nät'!E$1,FALSE)/VLOOKUP($B179,Korrigeringsfaktor_EI,'Korrigeringsfaktor EI'!E$1,FALSE),
"")</f>
        <v>0</v>
      </c>
      <c r="F179" s="18">
        <f>IFERROR(
                  Andel_oberoende_av_klimat*VLOOKUP($A179,Leveranser_per_nät,'Leveranser per nät'!F$1,FALSE)
               +Andel_beroende_av_klimat*VLOOKUP($A179,Leveranser_per_nät,'Leveranser per nät'!F$1,FALSE)/VLOOKUP($B179,Korrigeringsfaktor_EI,'Korrigeringsfaktor EI'!F$1,FALSE),
"")</f>
        <v>0</v>
      </c>
      <c r="G179" s="18">
        <f>IFERROR(
                  Andel_oberoende_av_klimat*VLOOKUP($A179,Leveranser_per_nät,'Leveranser per nät'!G$1,FALSE)
               +Andel_beroende_av_klimat*VLOOKUP($A179,Leveranser_per_nät,'Leveranser per nät'!G$1,FALSE)/VLOOKUP($B179,Korrigeringsfaktor_EI,'Korrigeringsfaktor EI'!G$1,FALSE),
"")</f>
        <v>0</v>
      </c>
      <c r="H179" s="18">
        <f>IFERROR(
                  Andel_oberoende_av_klimat*VLOOKUP($A179,Leveranser_per_nät,'Leveranser per nät'!H$1,FALSE)
               +Andel_beroende_av_klimat*VLOOKUP($A179,Leveranser_per_nät,'Leveranser per nät'!H$1,FALSE)/VLOOKUP($B179,Korrigeringsfaktor_EI,'Korrigeringsfaktor EI'!H$1,FALSE),
"")</f>
        <v>0</v>
      </c>
      <c r="I179" s="18">
        <f>IFERROR(
                  Andel_oberoende_av_klimat*VLOOKUP($A179,Leveranser_per_nät,'Leveranser per nät'!I$1,FALSE)
               +Andel_beroende_av_klimat*VLOOKUP($A179,Leveranser_per_nät,'Leveranser per nät'!I$1,FALSE)/VLOOKUP($B179,Korrigeringsfaktor_EI,'Korrigeringsfaktor EI'!I$1,FALSE),
"")</f>
        <v>0</v>
      </c>
      <c r="J179" s="18">
        <f>IFERROR(
                  Andel_oberoende_av_klimat*VLOOKUP($A179,Leveranser_per_nät,'Leveranser per nät'!J$1,FALSE)
               +Andel_beroende_av_klimat*VLOOKUP($A179,Leveranser_per_nät,'Leveranser per nät'!J$1,FALSE)/VLOOKUP($B179,Korrigeringsfaktor_EI,'Korrigeringsfaktor EI'!J$1,FALSE),
"")</f>
        <v>0</v>
      </c>
      <c r="K179" s="18">
        <f>IFERROR(
                  Andel_oberoende_av_klimat*VLOOKUP($A179,Leveranser_per_nät,'Leveranser per nät'!K$1,FALSE)
               +Andel_beroende_av_klimat*VLOOKUP($A179,Leveranser_per_nät,'Leveranser per nät'!K$1,FALSE)/VLOOKUP($B179,Korrigeringsfaktor_EI,'Korrigeringsfaktor EI'!K$1,FALSE),
"")</f>
        <v>0</v>
      </c>
      <c r="L179" s="18">
        <f>IFERROR(
                  Andel_oberoende_av_klimat*VLOOKUP($A179,Leveranser_per_nät,'Leveranser per nät'!L$1,FALSE)
               +Andel_beroende_av_klimat*VLOOKUP($A179,Leveranser_per_nät,'Leveranser per nät'!L$1,FALSE)/VLOOKUP($B179,Korrigeringsfaktor_EI,'Korrigeringsfaktor EI'!L$1,FALSE),
"")</f>
        <v>0</v>
      </c>
      <c r="M179" s="18">
        <f>IFERROR(
                  Andel_oberoende_av_klimat*VLOOKUP($A179,Leveranser_per_nät,'Leveranser per nät'!M$1,FALSE)
               +Andel_beroende_av_klimat*VLOOKUP($A179,Leveranser_per_nät,'Leveranser per nät'!M$1,FALSE)/VLOOKUP($B179,Korrigeringsfaktor_EI,'Korrigeringsfaktor EI'!M$1,FALSE),
"")</f>
        <v>0</v>
      </c>
      <c r="N179" s="18">
        <f>IFERROR(
                  Andel_oberoende_av_klimat*VLOOKUP($A179,Leveranser_per_nät,'Leveranser per nät'!N$1,FALSE)
               +Andel_beroende_av_klimat*VLOOKUP($A179,Leveranser_per_nät,'Leveranser per nät'!N$1,FALSE)/VLOOKUP($B179,Korrigeringsfaktor_EI,'Korrigeringsfaktor EI'!N$1,FALSE),
"")</f>
        <v>0</v>
      </c>
      <c r="O179" s="18">
        <f>IFERROR(
                  Andel_oberoende_av_klimat*VLOOKUP($A179,Leveranser_per_nät,'Leveranser per nät'!O$1,FALSE)
               +Andel_beroende_av_klimat*VLOOKUP($A179,Leveranser_per_nät,'Leveranser per nät'!O$1,FALSE)/VLOOKUP($B179,Korrigeringsfaktor_EI,'Korrigeringsfaktor EI'!O$1,FALSE),
"")</f>
        <v>0</v>
      </c>
      <c r="P179" s="18">
        <f>IFERROR(
                  Andel_oberoende_av_klimat*VLOOKUP($A179,Leveranser_per_nät,'Leveranser per nät'!P$1,FALSE)
               +Andel_beroende_av_klimat*VLOOKUP($A179,Leveranser_per_nät,'Leveranser per nät'!P$1,FALSE)/VLOOKUP($B179,Korrigeringsfaktor_EI,'Korrigeringsfaktor EI'!P$1,FALSE),
"")</f>
        <v>0</v>
      </c>
      <c r="Q179" s="18">
        <f>IFERROR(
                  Andel_oberoende_av_klimat*VLOOKUP($A179,Leveranser_per_nät,'Leveranser per nät'!Q$1,FALSE)
               +Andel_beroende_av_klimat*VLOOKUP($A179,Leveranser_per_nät,'Leveranser per nät'!Q$1,FALSE)/VLOOKUP($B179,Korrigeringsfaktor_EI,'Korrigeringsfaktor EI'!Q$1,FALSE),
"")</f>
        <v>0</v>
      </c>
      <c r="R179" s="18">
        <f>IFERROR(
                  Andel_oberoende_av_klimat*VLOOKUP($A179,Leveranser_per_nät,'Leveranser per nät'!R$1,FALSE)
               +Andel_beroende_av_klimat*VLOOKUP($A179,Leveranser_per_nät,'Leveranser per nät'!R$1,FALSE)/VLOOKUP($B179,Korrigeringsfaktor_EI,'Korrigeringsfaktor EI'!R$1,FALSE),
"")</f>
        <v>0</v>
      </c>
      <c r="S179" s="18">
        <f>IFERROR(
                  Andel_oberoende_av_klimat*VLOOKUP($A179,Leveranser_per_nät,'Leveranser per nät'!S$1,FALSE)
               +Andel_beroende_av_klimat*VLOOKUP($A179,Leveranser_per_nät,'Leveranser per nät'!S$1,FALSE)/VLOOKUP($B179,Korrigeringsfaktor_EI,'Korrigeringsfaktor EI'!S$1,FALSE),
"")</f>
        <v>0.36254545454545462</v>
      </c>
      <c r="T179" s="18">
        <f>IFERROR(
                  Andel_oberoende_av_klimat*VLOOKUP($A179,Leveranser_per_nät,'Leveranser per nät'!T$1,FALSE)
               +Andel_beroende_av_klimat*VLOOKUP($A179,Leveranser_per_nät,'Leveranser per nät'!T$1,FALSE)/VLOOKUP($B179,Korrigeringsfaktor_EI,'Korrigeringsfaktor EI'!T$1,FALSE),
"")</f>
        <v>0.38079166666666675</v>
      </c>
      <c r="U179" s="18">
        <f>IFERROR(
                  Andel_oberoende_av_klimat*VLOOKUP($A179,Leveranser_per_nät,'Leveranser per nät'!U$1,FALSE)
               +Andel_beroende_av_klimat*VLOOKUP($A179,Leveranser_per_nät,'Leveranser per nät'!U$1,FALSE)/VLOOKUP($B179,Korrigeringsfaktor_EI,'Korrigeringsfaktor EI'!U$1,FALSE),
"")</f>
        <v>0.40102325581395348</v>
      </c>
      <c r="V179" s="18">
        <f>IFERROR(
                  Andel_oberoende_av_klimat*VLOOKUP($A179,Leveranser_per_nät,'Leveranser per nät'!V$1,FALSE)
               +Andel_beroende_av_klimat*VLOOKUP($A179,Leveranser_per_nät,'Leveranser per nät'!V$1,FALSE)/VLOOKUP($B179,Korrigeringsfaktor_EI,'Korrigeringsfaktor EI'!V$1,FALSE),
"")</f>
        <v>2.4989887640449435</v>
      </c>
      <c r="W179" s="18">
        <f>IFERROR(
                  Andel_oberoende_av_klimat*VLOOKUP($A179,Leveranser_per_nät,'Leveranser per nät'!W$1,FALSE)
               +Andel_beroende_av_klimat*VLOOKUP($A179,Leveranser_per_nät,'Leveranser per nät'!W$1,FALSE)/VLOOKUP($B179,Korrigeringsfaktor_EI,'Korrigeringsfaktor EI'!W$1,FALSE),
"")</f>
        <v>4.8423655913978489</v>
      </c>
      <c r="X179" s="18">
        <f>IFERROR(
                  Andel_oberoende_av_klimat*VLOOKUP($A179,Leveranser_per_nät,'Leveranser per nät'!X$1,FALSE)
               +Andel_beroende_av_klimat*VLOOKUP($A179,Leveranser_per_nät,'Leveranser per nät'!X$1,FALSE)/VLOOKUP($B179,Korrigeringsfaktor_EI,'Korrigeringsfaktor EI'!X$1,FALSE),
"")</f>
        <v>5.304347826086957</v>
      </c>
      <c r="Y179" s="18">
        <f>IFERROR(
                  Andel_oberoende_av_klimat*VLOOKUP($A179,Leveranser_per_nät,'Leveranser per nät'!Y$1,FALSE)
               +Andel_beroende_av_klimat*VLOOKUP($A179,Leveranser_per_nät,'Leveranser per nät'!Y$1,FALSE)/VLOOKUP($B179,Korrigeringsfaktor_EI,'Korrigeringsfaktor EI'!Y$1,FALSE),
"")</f>
        <v>5.3782584269662923</v>
      </c>
      <c r="Z179" s="18">
        <f>IFERROR(
                  Andel_oberoende_av_klimat*VLOOKUP($A179,Leveranser_per_nät,'Leveranser per nät'!Z$1,FALSE)
               +Andel_beroende_av_klimat*VLOOKUP($A179,Leveranser_per_nät,'Leveranser per nät'!Z$1,FALSE)/VLOOKUP($B179,Korrigeringsfaktor_EI,'Korrigeringsfaktor EI'!Z$1,FALSE),
"")</f>
        <v>5.5697674418604652</v>
      </c>
      <c r="AA179" s="18">
        <f>IFERROR(
                  Andel_oberoende_av_klimat*VLOOKUP($A179,Leveranser_per_nät,'Leveranser per nät'!AA$1,FALSE)
               +Andel_beroende_av_klimat*VLOOKUP($A179,Leveranser_per_nät,'Leveranser per nät'!AA$1,FALSE)/VLOOKUP($B179,Korrigeringsfaktor_EI,'Korrigeringsfaktor EI'!AA$1,FALSE),
"")</f>
        <v>5.54415663507109</v>
      </c>
      <c r="AB179" s="18">
        <f>IFERROR(
                  Andel_oberoende_av_klimat*VLOOKUP($A179,Leveranser_per_nät,'Leveranser per nät'!AB$1,FALSE)
               +Andel_beroende_av_klimat*VLOOKUP($A179,Leveranser_per_nät,'Leveranser per nät'!AB$1,FALSE)/VLOOKUP($B179,Korrigeringsfaktor_EI,'Korrigeringsfaktor EI'!AB$1,FALSE),
"")</f>
        <v>5.7628601990049759</v>
      </c>
      <c r="AC179" s="18">
        <f>IFERROR(
                  Andel_oberoende_av_klimat*VLOOKUP($A179,Leveranser_per_nät,'Leveranser per nät'!AC$1,FALSE)
               +Andel_beroende_av_klimat*VLOOKUP($A179,Leveranser_per_nät,'Leveranser per nät'!AC$1,FALSE)/VLOOKUP($B179,Korrigeringsfaktor_EI,'Korrigeringsfaktor EI'!AC$1,FALSE),
"")</f>
        <v>5.5529301075268815</v>
      </c>
      <c r="AD179">
        <v>240.09800000000001</v>
      </c>
    </row>
    <row r="180" spans="1:30" x14ac:dyDescent="0.25">
      <c r="A180" t="s">
        <v>475</v>
      </c>
      <c r="B180" t="s">
        <v>255</v>
      </c>
      <c r="C180" s="18">
        <f>IFERROR(
                  Andel_oberoende_av_klimat*VLOOKUP($A180,Leveranser_per_nät,'Leveranser per nät'!C$1,FALSE)
               +Andel_beroende_av_klimat*VLOOKUP($A180,Leveranser_per_nät,'Leveranser per nät'!C$1,FALSE)/VLOOKUP($B180,Korrigeringsfaktor_EI,'Korrigeringsfaktor EI'!C$1,FALSE),
"")</f>
        <v>0</v>
      </c>
      <c r="D180" s="18">
        <f>IFERROR(
                  Andel_oberoende_av_klimat*VLOOKUP($A180,Leveranser_per_nät,'Leveranser per nät'!D$1,FALSE)
               +Andel_beroende_av_klimat*VLOOKUP($A180,Leveranser_per_nät,'Leveranser per nät'!D$1,FALSE)/VLOOKUP($B180,Korrigeringsfaktor_EI,'Korrigeringsfaktor EI'!D$1,FALSE),
"")</f>
        <v>0</v>
      </c>
      <c r="E180" s="18">
        <f>IFERROR(
                  Andel_oberoende_av_klimat*VLOOKUP($A180,Leveranser_per_nät,'Leveranser per nät'!E$1,FALSE)
               +Andel_beroende_av_klimat*VLOOKUP($A180,Leveranser_per_nät,'Leveranser per nät'!E$1,FALSE)/VLOOKUP($B180,Korrigeringsfaktor_EI,'Korrigeringsfaktor EI'!E$1,FALSE),
"")</f>
        <v>0</v>
      </c>
      <c r="F180" s="18">
        <f>IFERROR(
                  Andel_oberoende_av_klimat*VLOOKUP($A180,Leveranser_per_nät,'Leveranser per nät'!F$1,FALSE)
               +Andel_beroende_av_klimat*VLOOKUP($A180,Leveranser_per_nät,'Leveranser per nät'!F$1,FALSE)/VLOOKUP($B180,Korrigeringsfaktor_EI,'Korrigeringsfaktor EI'!F$1,FALSE),
"")</f>
        <v>0</v>
      </c>
      <c r="G180" s="18">
        <f>IFERROR(
                  Andel_oberoende_av_klimat*VLOOKUP($A180,Leveranser_per_nät,'Leveranser per nät'!G$1,FALSE)
               +Andel_beroende_av_klimat*VLOOKUP($A180,Leveranser_per_nät,'Leveranser per nät'!G$1,FALSE)/VLOOKUP($B180,Korrigeringsfaktor_EI,'Korrigeringsfaktor EI'!G$1,FALSE),
"")</f>
        <v>0</v>
      </c>
      <c r="H180" s="18">
        <f>IFERROR(
                  Andel_oberoende_av_klimat*VLOOKUP($A180,Leveranser_per_nät,'Leveranser per nät'!H$1,FALSE)
               +Andel_beroende_av_klimat*VLOOKUP($A180,Leveranser_per_nät,'Leveranser per nät'!H$1,FALSE)/VLOOKUP($B180,Korrigeringsfaktor_EI,'Korrigeringsfaktor EI'!H$1,FALSE),
"")</f>
        <v>0</v>
      </c>
      <c r="I180" s="18">
        <f>IFERROR(
                  Andel_oberoende_av_klimat*VLOOKUP($A180,Leveranser_per_nät,'Leveranser per nät'!I$1,FALSE)
               +Andel_beroende_av_klimat*VLOOKUP($A180,Leveranser_per_nät,'Leveranser per nät'!I$1,FALSE)/VLOOKUP($B180,Korrigeringsfaktor_EI,'Korrigeringsfaktor EI'!I$1,FALSE),
"")</f>
        <v>0</v>
      </c>
      <c r="J180" s="18">
        <f>IFERROR(
                  Andel_oberoende_av_klimat*VLOOKUP($A180,Leveranser_per_nät,'Leveranser per nät'!J$1,FALSE)
               +Andel_beroende_av_klimat*VLOOKUP($A180,Leveranser_per_nät,'Leveranser per nät'!J$1,FALSE)/VLOOKUP($B180,Korrigeringsfaktor_EI,'Korrigeringsfaktor EI'!J$1,FALSE),
"")</f>
        <v>0</v>
      </c>
      <c r="K180" s="18">
        <f>IFERROR(
                  Andel_oberoende_av_klimat*VLOOKUP($A180,Leveranser_per_nät,'Leveranser per nät'!K$1,FALSE)
               +Andel_beroende_av_klimat*VLOOKUP($A180,Leveranser_per_nät,'Leveranser per nät'!K$1,FALSE)/VLOOKUP($B180,Korrigeringsfaktor_EI,'Korrigeringsfaktor EI'!K$1,FALSE),
"")</f>
        <v>0</v>
      </c>
      <c r="L180" s="18">
        <f>IFERROR(
                  Andel_oberoende_av_klimat*VLOOKUP($A180,Leveranser_per_nät,'Leveranser per nät'!L$1,FALSE)
               +Andel_beroende_av_klimat*VLOOKUP($A180,Leveranser_per_nät,'Leveranser per nät'!L$1,FALSE)/VLOOKUP($B180,Korrigeringsfaktor_EI,'Korrigeringsfaktor EI'!L$1,FALSE),
"")</f>
        <v>3.153036842105263</v>
      </c>
      <c r="M180" s="18">
        <f>IFERROR(
                  Andel_oberoende_av_klimat*VLOOKUP($A180,Leveranser_per_nät,'Leveranser per nät'!M$1,FALSE)
               +Andel_beroende_av_klimat*VLOOKUP($A180,Leveranser_per_nät,'Leveranser per nät'!M$1,FALSE)/VLOOKUP($B180,Korrigeringsfaktor_EI,'Korrigeringsfaktor EI'!M$1,FALSE),
"")</f>
        <v>0</v>
      </c>
      <c r="N180" s="18">
        <f>IFERROR(
                  Andel_oberoende_av_klimat*VLOOKUP($A180,Leveranser_per_nät,'Leveranser per nät'!N$1,FALSE)
               +Andel_beroende_av_klimat*VLOOKUP($A180,Leveranser_per_nät,'Leveranser per nät'!N$1,FALSE)/VLOOKUP($B180,Korrigeringsfaktor_EI,'Korrigeringsfaktor EI'!N$1,FALSE),
"")</f>
        <v>0</v>
      </c>
      <c r="O180" s="18">
        <f>IFERROR(
                  Andel_oberoende_av_klimat*VLOOKUP($A180,Leveranser_per_nät,'Leveranser per nät'!O$1,FALSE)
               +Andel_beroende_av_klimat*VLOOKUP($A180,Leveranser_per_nät,'Leveranser per nät'!O$1,FALSE)/VLOOKUP($B180,Korrigeringsfaktor_EI,'Korrigeringsfaktor EI'!O$1,FALSE),
"")</f>
        <v>0</v>
      </c>
      <c r="P180" s="18">
        <f>IFERROR(
                  Andel_oberoende_av_klimat*VLOOKUP($A180,Leveranser_per_nät,'Leveranser per nät'!P$1,FALSE)
               +Andel_beroende_av_klimat*VLOOKUP($A180,Leveranser_per_nät,'Leveranser per nät'!P$1,FALSE)/VLOOKUP($B180,Korrigeringsfaktor_EI,'Korrigeringsfaktor EI'!P$1,FALSE),
"")</f>
        <v>0</v>
      </c>
      <c r="Q180" s="18">
        <f>IFERROR(
                  Andel_oberoende_av_klimat*VLOOKUP($A180,Leveranser_per_nät,'Leveranser per nät'!Q$1,FALSE)
               +Andel_beroende_av_klimat*VLOOKUP($A180,Leveranser_per_nät,'Leveranser per nät'!Q$1,FALSE)/VLOOKUP($B180,Korrigeringsfaktor_EI,'Korrigeringsfaktor EI'!Q$1,FALSE),
"")</f>
        <v>0</v>
      </c>
      <c r="R180" s="18">
        <f>IFERROR(
                  Andel_oberoende_av_klimat*VLOOKUP($A180,Leveranser_per_nät,'Leveranser per nät'!R$1,FALSE)
               +Andel_beroende_av_klimat*VLOOKUP($A180,Leveranser_per_nät,'Leveranser per nät'!R$1,FALSE)/VLOOKUP($B180,Korrigeringsfaktor_EI,'Korrigeringsfaktor EI'!R$1,FALSE),
"")</f>
        <v>0</v>
      </c>
      <c r="S180" s="18" t="str">
        <f>IFERROR(
                  Andel_oberoende_av_klimat*VLOOKUP($A180,Leveranser_per_nät,'Leveranser per nät'!S$1,FALSE)
               +Andel_beroende_av_klimat*VLOOKUP($A180,Leveranser_per_nät,'Leveranser per nät'!S$1,FALSE)/VLOOKUP($B180,Korrigeringsfaktor_EI,'Korrigeringsfaktor EI'!S$1,FALSE),
"")</f>
        <v/>
      </c>
      <c r="T180" s="18" t="str">
        <f>IFERROR(
                  Andel_oberoende_av_klimat*VLOOKUP($A180,Leveranser_per_nät,'Leveranser per nät'!T$1,FALSE)
               +Andel_beroende_av_klimat*VLOOKUP($A180,Leveranser_per_nät,'Leveranser per nät'!T$1,FALSE)/VLOOKUP($B180,Korrigeringsfaktor_EI,'Korrigeringsfaktor EI'!T$1,FALSE),
"")</f>
        <v/>
      </c>
      <c r="U180" s="18" t="str">
        <f>IFERROR(
                  Andel_oberoende_av_klimat*VLOOKUP($A180,Leveranser_per_nät,'Leveranser per nät'!U$1,FALSE)
               +Andel_beroende_av_klimat*VLOOKUP($A180,Leveranser_per_nät,'Leveranser per nät'!U$1,FALSE)/VLOOKUP($B180,Korrigeringsfaktor_EI,'Korrigeringsfaktor EI'!U$1,FALSE),
"")</f>
        <v/>
      </c>
      <c r="V180" s="18" t="str">
        <f>IFERROR(
                  Andel_oberoende_av_klimat*VLOOKUP($A180,Leveranser_per_nät,'Leveranser per nät'!V$1,FALSE)
               +Andel_beroende_av_klimat*VLOOKUP($A180,Leveranser_per_nät,'Leveranser per nät'!V$1,FALSE)/VLOOKUP($B180,Korrigeringsfaktor_EI,'Korrigeringsfaktor EI'!V$1,FALSE),
"")</f>
        <v/>
      </c>
      <c r="W180" s="18" t="str">
        <f>IFERROR(
                  Andel_oberoende_av_klimat*VLOOKUP($A180,Leveranser_per_nät,'Leveranser per nät'!W$1,FALSE)
               +Andel_beroende_av_klimat*VLOOKUP($A180,Leveranser_per_nät,'Leveranser per nät'!W$1,FALSE)/VLOOKUP($B180,Korrigeringsfaktor_EI,'Korrigeringsfaktor EI'!W$1,FALSE),
"")</f>
        <v/>
      </c>
      <c r="X180" s="18" t="str">
        <f>IFERROR(
                  Andel_oberoende_av_klimat*VLOOKUP($A180,Leveranser_per_nät,'Leveranser per nät'!X$1,FALSE)
               +Andel_beroende_av_klimat*VLOOKUP($A180,Leveranser_per_nät,'Leveranser per nät'!X$1,FALSE)/VLOOKUP($B180,Korrigeringsfaktor_EI,'Korrigeringsfaktor EI'!X$1,FALSE),
"")</f>
        <v/>
      </c>
      <c r="Y180" s="18" t="str">
        <f>IFERROR(
                  Andel_oberoende_av_klimat*VLOOKUP($A180,Leveranser_per_nät,'Leveranser per nät'!Y$1,FALSE)
               +Andel_beroende_av_klimat*VLOOKUP($A180,Leveranser_per_nät,'Leveranser per nät'!Y$1,FALSE)/VLOOKUP($B180,Korrigeringsfaktor_EI,'Korrigeringsfaktor EI'!Y$1,FALSE),
"")</f>
        <v/>
      </c>
      <c r="Z180" s="18">
        <f>IFERROR(
                  Andel_oberoende_av_klimat*VLOOKUP($A180,Leveranser_per_nät,'Leveranser per nät'!Z$1,FALSE)
               +Andel_beroende_av_klimat*VLOOKUP($A180,Leveranser_per_nät,'Leveranser per nät'!Z$1,FALSE)/VLOOKUP($B180,Korrigeringsfaktor_EI,'Korrigeringsfaktor EI'!Z$1,FALSE),
"")</f>
        <v>0</v>
      </c>
      <c r="AA180" s="18" t="str">
        <f>IFERROR(
                  Andel_oberoende_av_klimat*VLOOKUP($A180,Leveranser_per_nät,'Leveranser per nät'!AA$1,FALSE)
               +Andel_beroende_av_klimat*VLOOKUP($A180,Leveranser_per_nät,'Leveranser per nät'!AA$1,FALSE)/VLOOKUP($B180,Korrigeringsfaktor_EI,'Korrigeringsfaktor EI'!AA$1,FALSE),
"")</f>
        <v/>
      </c>
      <c r="AB180" s="18">
        <f>IFERROR(
                  Andel_oberoende_av_klimat*VLOOKUP($A180,Leveranser_per_nät,'Leveranser per nät'!AB$1,FALSE)
               +Andel_beroende_av_klimat*VLOOKUP($A180,Leveranser_per_nät,'Leveranser per nät'!AB$1,FALSE)/VLOOKUP($B180,Korrigeringsfaktor_EI,'Korrigeringsfaktor EI'!AB$1,FALSE),
"")</f>
        <v>0</v>
      </c>
      <c r="AC180" s="18">
        <f>IFERROR(
                  Andel_oberoende_av_klimat*VLOOKUP($A180,Leveranser_per_nät,'Leveranser per nät'!AC$1,FALSE)
               +Andel_beroende_av_klimat*VLOOKUP($A180,Leveranser_per_nät,'Leveranser per nät'!AC$1,FALSE)/VLOOKUP($B180,Korrigeringsfaktor_EI,'Korrigeringsfaktor EI'!AC$1,FALSE),
"")</f>
        <v>0</v>
      </c>
      <c r="AD180">
        <v>216.8</v>
      </c>
    </row>
    <row r="181" spans="1:30" x14ac:dyDescent="0.25">
      <c r="A181" t="s">
        <v>66</v>
      </c>
      <c r="B181" t="s">
        <v>441</v>
      </c>
      <c r="C181" s="18">
        <f>IFERROR(
                  Andel_oberoende_av_klimat*VLOOKUP($A181,Leveranser_per_nät,'Leveranser per nät'!C$1,FALSE)
               +Andel_beroende_av_klimat*VLOOKUP($A181,Leveranser_per_nät,'Leveranser per nät'!C$1,FALSE)/VLOOKUP($B181,Korrigeringsfaktor_EI,'Korrigeringsfaktor EI'!C$1,FALSE),
"")</f>
        <v>256</v>
      </c>
      <c r="D181" s="18">
        <f>IFERROR(
                  Andel_oberoende_av_klimat*VLOOKUP($A181,Leveranser_per_nät,'Leveranser per nät'!D$1,FALSE)
               +Andel_beroende_av_klimat*VLOOKUP($A181,Leveranser_per_nät,'Leveranser per nät'!D$1,FALSE)/VLOOKUP($B181,Korrigeringsfaktor_EI,'Korrigeringsfaktor EI'!D$1,FALSE),
"")</f>
        <v>237.64048888888891</v>
      </c>
      <c r="E181" s="18">
        <f>IFERROR(
                  Andel_oberoende_av_klimat*VLOOKUP($A181,Leveranser_per_nät,'Leveranser per nät'!E$1,FALSE)
               +Andel_beroende_av_klimat*VLOOKUP($A181,Leveranser_per_nät,'Leveranser per nät'!E$1,FALSE)/VLOOKUP($B181,Korrigeringsfaktor_EI,'Korrigeringsfaktor EI'!E$1,FALSE),
"")</f>
        <v>245.88252427184466</v>
      </c>
      <c r="F181" s="18">
        <f>IFERROR(
                  Andel_oberoende_av_klimat*VLOOKUP($A181,Leveranser_per_nät,'Leveranser per nät'!F$1,FALSE)
               +Andel_beroende_av_klimat*VLOOKUP($A181,Leveranser_per_nät,'Leveranser per nät'!F$1,FALSE)/VLOOKUP($B181,Korrigeringsfaktor_EI,'Korrigeringsfaktor EI'!F$1,FALSE),
"")</f>
        <v>238.1872340425532</v>
      </c>
      <c r="G181" s="18">
        <f>IFERROR(
                  Andel_oberoende_av_klimat*VLOOKUP($A181,Leveranser_per_nät,'Leveranser per nät'!G$1,FALSE)
               +Andel_beroende_av_klimat*VLOOKUP($A181,Leveranser_per_nät,'Leveranser per nät'!G$1,FALSE)/VLOOKUP($B181,Korrigeringsfaktor_EI,'Korrigeringsfaktor EI'!G$1,FALSE),
"")</f>
        <v>254.24494382022471</v>
      </c>
      <c r="H181" s="18">
        <f>IFERROR(
                  Andel_oberoende_av_klimat*VLOOKUP($A181,Leveranser_per_nät,'Leveranser per nät'!H$1,FALSE)
               +Andel_beroende_av_klimat*VLOOKUP($A181,Leveranser_per_nät,'Leveranser per nät'!H$1,FALSE)/VLOOKUP($B181,Korrigeringsfaktor_EI,'Korrigeringsfaktor EI'!H$1,FALSE),
"")</f>
        <v>253.57142857142861</v>
      </c>
      <c r="I181" s="18">
        <f>IFERROR(
                  Andel_oberoende_av_klimat*VLOOKUP($A181,Leveranser_per_nät,'Leveranser per nät'!I$1,FALSE)
               +Andel_beroende_av_klimat*VLOOKUP($A181,Leveranser_per_nät,'Leveranser per nät'!I$1,FALSE)/VLOOKUP($B181,Korrigeringsfaktor_EI,'Korrigeringsfaktor EI'!I$1,FALSE),
"")</f>
        <v>313.69</v>
      </c>
      <c r="J181" s="18">
        <f>IFERROR(
                  Andel_oberoende_av_klimat*VLOOKUP($A181,Leveranser_per_nät,'Leveranser per nät'!J$1,FALSE)
               +Andel_beroende_av_klimat*VLOOKUP($A181,Leveranser_per_nät,'Leveranser per nät'!J$1,FALSE)/VLOOKUP($B181,Korrigeringsfaktor_EI,'Korrigeringsfaktor EI'!J$1,FALSE),
"")</f>
        <v>301.24285714285713</v>
      </c>
      <c r="K181" s="18">
        <f>IFERROR(
                  Andel_oberoende_av_klimat*VLOOKUP($A181,Leveranser_per_nät,'Leveranser per nät'!K$1,FALSE)
               +Andel_beroende_av_klimat*VLOOKUP($A181,Leveranser_per_nät,'Leveranser per nät'!K$1,FALSE)/VLOOKUP($B181,Korrigeringsfaktor_EI,'Korrigeringsfaktor EI'!K$1,FALSE),
"")</f>
        <v>405.20967499999995</v>
      </c>
      <c r="L181" s="18">
        <f>IFERROR(
                  Andel_oberoende_av_klimat*VLOOKUP($A181,Leveranser_per_nät,'Leveranser per nät'!L$1,FALSE)
               +Andel_beroende_av_klimat*VLOOKUP($A181,Leveranser_per_nät,'Leveranser per nät'!L$1,FALSE)/VLOOKUP($B181,Korrigeringsfaktor_EI,'Korrigeringsfaktor EI'!L$1,FALSE),
"")</f>
        <v>265.54575458092802</v>
      </c>
      <c r="M181" s="18">
        <f>IFERROR(
                  Andel_oberoende_av_klimat*VLOOKUP($A181,Leveranser_per_nät,'Leveranser per nät'!M$1,FALSE)
               +Andel_beroende_av_klimat*VLOOKUP($A181,Leveranser_per_nät,'Leveranser per nät'!M$1,FALSE)/VLOOKUP($B181,Korrigeringsfaktor_EI,'Korrigeringsfaktor EI'!M$1,FALSE),
"")</f>
        <v>305</v>
      </c>
      <c r="N181" s="18">
        <f>IFERROR(
                  Andel_oberoende_av_klimat*VLOOKUP($A181,Leveranser_per_nät,'Leveranser per nät'!N$1,FALSE)
               +Andel_beroende_av_klimat*VLOOKUP($A181,Leveranser_per_nät,'Leveranser per nät'!N$1,FALSE)/VLOOKUP($B181,Korrigeringsfaktor_EI,'Korrigeringsfaktor EI'!N$1,FALSE),
"")</f>
        <v>292.96923076923076</v>
      </c>
      <c r="O181" s="18">
        <f>IFERROR(
                  Andel_oberoende_av_klimat*VLOOKUP($A181,Leveranser_per_nät,'Leveranser per nät'!O$1,FALSE)
               +Andel_beroende_av_klimat*VLOOKUP($A181,Leveranser_per_nät,'Leveranser per nät'!O$1,FALSE)/VLOOKUP($B181,Korrigeringsfaktor_EI,'Korrigeringsfaktor EI'!O$1,FALSE),
"")</f>
        <v>300.59222222222218</v>
      </c>
      <c r="P181" s="18">
        <f>IFERROR(
                  Andel_oberoende_av_klimat*VLOOKUP($A181,Leveranser_per_nät,'Leveranser per nät'!P$1,FALSE)
               +Andel_beroende_av_klimat*VLOOKUP($A181,Leveranser_per_nät,'Leveranser per nät'!P$1,FALSE)/VLOOKUP($B181,Korrigeringsfaktor_EI,'Korrigeringsfaktor EI'!P$1,FALSE),
"")</f>
        <v>312.08947368421053</v>
      </c>
      <c r="Q181" s="18">
        <f>IFERROR(
                  Andel_oberoende_av_klimat*VLOOKUP($A181,Leveranser_per_nät,'Leveranser per nät'!Q$1,FALSE)
               +Andel_beroende_av_klimat*VLOOKUP($A181,Leveranser_per_nät,'Leveranser per nät'!Q$1,FALSE)/VLOOKUP($B181,Korrigeringsfaktor_EI,'Korrigeringsfaktor EI'!Q$1,FALSE),
"")</f>
        <v>323.85945945945946</v>
      </c>
      <c r="R181" s="18">
        <f>IFERROR(
                  Andel_oberoende_av_klimat*VLOOKUP($A181,Leveranser_per_nät,'Leveranser per nät'!R$1,FALSE)
               +Andel_beroende_av_klimat*VLOOKUP($A181,Leveranser_per_nät,'Leveranser per nät'!R$1,FALSE)/VLOOKUP($B181,Korrigeringsfaktor_EI,'Korrigeringsfaktor EI'!R$1,FALSE),
"")</f>
        <v>312.42792134831461</v>
      </c>
      <c r="S181" s="18">
        <f>IFERROR(
                  Andel_oberoende_av_klimat*VLOOKUP($A181,Leveranser_per_nät,'Leveranser per nät'!S$1,FALSE)
               +Andel_beroende_av_klimat*VLOOKUP($A181,Leveranser_per_nät,'Leveranser per nät'!S$1,FALSE)/VLOOKUP($B181,Korrigeringsfaktor_EI,'Korrigeringsfaktor EI'!S$1,FALSE),
"")</f>
        <v>310.17777777777781</v>
      </c>
      <c r="T181" s="18">
        <f>IFERROR(
                  Andel_oberoende_av_klimat*VLOOKUP($A181,Leveranser_per_nät,'Leveranser per nät'!T$1,FALSE)
               +Andel_beroende_av_klimat*VLOOKUP($A181,Leveranser_per_nät,'Leveranser per nät'!T$1,FALSE)/VLOOKUP($B181,Korrigeringsfaktor_EI,'Korrigeringsfaktor EI'!T$1,FALSE),
"")</f>
        <v>290.54193548387093</v>
      </c>
      <c r="U181" s="18">
        <f>IFERROR(
                  Andel_oberoende_av_klimat*VLOOKUP($A181,Leveranser_per_nät,'Leveranser per nät'!U$1,FALSE)
               +Andel_beroende_av_klimat*VLOOKUP($A181,Leveranser_per_nät,'Leveranser per nät'!U$1,FALSE)/VLOOKUP($B181,Korrigeringsfaktor_EI,'Korrigeringsfaktor EI'!U$1,FALSE),
"")</f>
        <v>279.25222222222226</v>
      </c>
      <c r="V181" s="18">
        <f>IFERROR(
                  Andel_oberoende_av_klimat*VLOOKUP($A181,Leveranser_per_nät,'Leveranser per nät'!V$1,FALSE)
               +Andel_beroende_av_klimat*VLOOKUP($A181,Leveranser_per_nät,'Leveranser per nät'!V$1,FALSE)/VLOOKUP($B181,Korrigeringsfaktor_EI,'Korrigeringsfaktor EI'!V$1,FALSE),
"")</f>
        <v>279.26218160919541</v>
      </c>
      <c r="W181" s="18">
        <f>IFERROR(
                  Andel_oberoende_av_klimat*VLOOKUP($A181,Leveranser_per_nät,'Leveranser per nät'!W$1,FALSE)
               +Andel_beroende_av_klimat*VLOOKUP($A181,Leveranser_per_nät,'Leveranser per nät'!W$1,FALSE)/VLOOKUP($B181,Korrigeringsfaktor_EI,'Korrigeringsfaktor EI'!W$1,FALSE),
"")</f>
        <v>274.54212765957442</v>
      </c>
      <c r="X181" s="18">
        <f>IFERROR(
                  Andel_oberoende_av_klimat*VLOOKUP($A181,Leveranser_per_nät,'Leveranser per nät'!X$1,FALSE)
               +Andel_beroende_av_klimat*VLOOKUP($A181,Leveranser_per_nät,'Leveranser per nät'!X$1,FALSE)/VLOOKUP($B181,Korrigeringsfaktor_EI,'Korrigeringsfaktor EI'!X$1,FALSE),
"")</f>
        <v>288.64531914893615</v>
      </c>
      <c r="Y181" s="18">
        <f>IFERROR(
                  Andel_oberoende_av_klimat*VLOOKUP($A181,Leveranser_per_nät,'Leveranser per nät'!Y$1,FALSE)
               +Andel_beroende_av_klimat*VLOOKUP($A181,Leveranser_per_nät,'Leveranser per nät'!Y$1,FALSE)/VLOOKUP($B181,Korrigeringsfaktor_EI,'Korrigeringsfaktor EI'!Y$1,FALSE),
"")</f>
        <v>314.71111111111111</v>
      </c>
      <c r="Z181" s="18">
        <f>IFERROR(
                  Andel_oberoende_av_klimat*VLOOKUP($A181,Leveranser_per_nät,'Leveranser per nät'!Z$1,FALSE)
               +Andel_beroende_av_klimat*VLOOKUP($A181,Leveranser_per_nät,'Leveranser per nät'!Z$1,FALSE)/VLOOKUP($B181,Korrigeringsfaktor_EI,'Korrigeringsfaktor EI'!Z$1,FALSE),
"")</f>
        <v>412.87640449438203</v>
      </c>
      <c r="AA181" s="18">
        <f>IFERROR(
                  Andel_oberoende_av_klimat*VLOOKUP($A181,Leveranser_per_nät,'Leveranser per nät'!AA$1,FALSE)
               +Andel_beroende_av_klimat*VLOOKUP($A181,Leveranser_per_nät,'Leveranser per nät'!AA$1,FALSE)/VLOOKUP($B181,Korrigeringsfaktor_EI,'Korrigeringsfaktor EI'!AA$1,FALSE),
"")</f>
        <v>436.61310409924482</v>
      </c>
      <c r="AB181" s="18">
        <f>IFERROR(
                  Andel_oberoende_av_klimat*VLOOKUP($A181,Leveranser_per_nät,'Leveranser per nät'!AB$1,FALSE)
               +Andel_beroende_av_klimat*VLOOKUP($A181,Leveranser_per_nät,'Leveranser per nät'!AB$1,FALSE)/VLOOKUP($B181,Korrigeringsfaktor_EI,'Korrigeringsfaktor EI'!AB$1,FALSE),
"")</f>
        <v>0</v>
      </c>
      <c r="AC181" s="18">
        <f>IFERROR(
                  Andel_oberoende_av_klimat*VLOOKUP($A181,Leveranser_per_nät,'Leveranser per nät'!AC$1,FALSE)
               +Andel_beroende_av_klimat*VLOOKUP($A181,Leveranser_per_nät,'Leveranser per nät'!AC$1,FALSE)/VLOOKUP($B181,Korrigeringsfaktor_EI,'Korrigeringsfaktor EI'!AC$1,FALSE),
"")</f>
        <v>0</v>
      </c>
      <c r="AD181" t="e">
        <v>#N/A</v>
      </c>
    </row>
    <row r="182" spans="1:30" x14ac:dyDescent="0.25">
      <c r="A182" t="s">
        <v>1104</v>
      </c>
      <c r="B182" t="s">
        <v>441</v>
      </c>
      <c r="C182" s="18">
        <f>IFERROR(
                  Andel_oberoende_av_klimat*VLOOKUP($A182,Leveranser_per_nät,'Leveranser per nät'!C$1,FALSE)
               +Andel_beroende_av_klimat*VLOOKUP($A182,Leveranser_per_nät,'Leveranser per nät'!C$1,FALSE)/VLOOKUP($B182,Korrigeringsfaktor_EI,'Korrigeringsfaktor EI'!C$1,FALSE),
"")</f>
        <v>0</v>
      </c>
      <c r="D182" s="18">
        <f>IFERROR(
                  Andel_oberoende_av_klimat*VLOOKUP($A182,Leveranser_per_nät,'Leveranser per nät'!D$1,FALSE)
               +Andel_beroende_av_klimat*VLOOKUP($A182,Leveranser_per_nät,'Leveranser per nät'!D$1,FALSE)/VLOOKUP($B182,Korrigeringsfaktor_EI,'Korrigeringsfaktor EI'!D$1,FALSE),
"")</f>
        <v>0</v>
      </c>
      <c r="E182" s="18">
        <f>IFERROR(
                  Andel_oberoende_av_klimat*VLOOKUP($A182,Leveranser_per_nät,'Leveranser per nät'!E$1,FALSE)
               +Andel_beroende_av_klimat*VLOOKUP($A182,Leveranser_per_nät,'Leveranser per nät'!E$1,FALSE)/VLOOKUP($B182,Korrigeringsfaktor_EI,'Korrigeringsfaktor EI'!E$1,FALSE),
"")</f>
        <v>0</v>
      </c>
      <c r="F182" s="18">
        <f>IFERROR(
                  Andel_oberoende_av_klimat*VLOOKUP($A182,Leveranser_per_nät,'Leveranser per nät'!F$1,FALSE)
               +Andel_beroende_av_klimat*VLOOKUP($A182,Leveranser_per_nät,'Leveranser per nät'!F$1,FALSE)/VLOOKUP($B182,Korrigeringsfaktor_EI,'Korrigeringsfaktor EI'!F$1,FALSE),
"")</f>
        <v>0</v>
      </c>
      <c r="G182" s="18">
        <f>IFERROR(
                  Andel_oberoende_av_klimat*VLOOKUP($A182,Leveranser_per_nät,'Leveranser per nät'!G$1,FALSE)
               +Andel_beroende_av_klimat*VLOOKUP($A182,Leveranser_per_nät,'Leveranser per nät'!G$1,FALSE)/VLOOKUP($B182,Korrigeringsfaktor_EI,'Korrigeringsfaktor EI'!G$1,FALSE),
"")</f>
        <v>0</v>
      </c>
      <c r="H182" s="18">
        <f>IFERROR(
                  Andel_oberoende_av_klimat*VLOOKUP($A182,Leveranser_per_nät,'Leveranser per nät'!H$1,FALSE)
               +Andel_beroende_av_klimat*VLOOKUP($A182,Leveranser_per_nät,'Leveranser per nät'!H$1,FALSE)/VLOOKUP($B182,Korrigeringsfaktor_EI,'Korrigeringsfaktor EI'!H$1,FALSE),
"")</f>
        <v>0</v>
      </c>
      <c r="I182" s="18">
        <f>IFERROR(
                  Andel_oberoende_av_klimat*VLOOKUP($A182,Leveranser_per_nät,'Leveranser per nät'!I$1,FALSE)
               +Andel_beroende_av_klimat*VLOOKUP($A182,Leveranser_per_nät,'Leveranser per nät'!I$1,FALSE)/VLOOKUP($B182,Korrigeringsfaktor_EI,'Korrigeringsfaktor EI'!I$1,FALSE),
"")</f>
        <v>0</v>
      </c>
      <c r="J182" s="18">
        <f>IFERROR(
                  Andel_oberoende_av_klimat*VLOOKUP($A182,Leveranser_per_nät,'Leveranser per nät'!J$1,FALSE)
               +Andel_beroende_av_klimat*VLOOKUP($A182,Leveranser_per_nät,'Leveranser per nät'!J$1,FALSE)/VLOOKUP($B182,Korrigeringsfaktor_EI,'Korrigeringsfaktor EI'!J$1,FALSE),
"")</f>
        <v>0</v>
      </c>
      <c r="K182" s="18">
        <f>IFERROR(
                  Andel_oberoende_av_klimat*VLOOKUP($A182,Leveranser_per_nät,'Leveranser per nät'!K$1,FALSE)
               +Andel_beroende_av_klimat*VLOOKUP($A182,Leveranser_per_nät,'Leveranser per nät'!K$1,FALSE)/VLOOKUP($B182,Korrigeringsfaktor_EI,'Korrigeringsfaktor EI'!K$1,FALSE),
"")</f>
        <v>0</v>
      </c>
      <c r="L182" s="18">
        <f>IFERROR(
                  Andel_oberoende_av_klimat*VLOOKUP($A182,Leveranser_per_nät,'Leveranser per nät'!L$1,FALSE)
               +Andel_beroende_av_klimat*VLOOKUP($A182,Leveranser_per_nät,'Leveranser per nät'!L$1,FALSE)/VLOOKUP($B182,Korrigeringsfaktor_EI,'Korrigeringsfaktor EI'!L$1,FALSE),
"")</f>
        <v>0</v>
      </c>
      <c r="M182" s="18">
        <f>IFERROR(
                  Andel_oberoende_av_klimat*VLOOKUP($A182,Leveranser_per_nät,'Leveranser per nät'!M$1,FALSE)
               +Andel_beroende_av_klimat*VLOOKUP($A182,Leveranser_per_nät,'Leveranser per nät'!M$1,FALSE)/VLOOKUP($B182,Korrigeringsfaktor_EI,'Korrigeringsfaktor EI'!M$1,FALSE),
"")</f>
        <v>0</v>
      </c>
      <c r="N182" s="18">
        <f>IFERROR(
                  Andel_oberoende_av_klimat*VLOOKUP($A182,Leveranser_per_nät,'Leveranser per nät'!N$1,FALSE)
               +Andel_beroende_av_klimat*VLOOKUP($A182,Leveranser_per_nät,'Leveranser per nät'!N$1,FALSE)/VLOOKUP($B182,Korrigeringsfaktor_EI,'Korrigeringsfaktor EI'!N$1,FALSE),
"")</f>
        <v>0</v>
      </c>
      <c r="O182" s="18">
        <f>IFERROR(
                  Andel_oberoende_av_klimat*VLOOKUP($A182,Leveranser_per_nät,'Leveranser per nät'!O$1,FALSE)
               +Andel_beroende_av_klimat*VLOOKUP($A182,Leveranser_per_nät,'Leveranser per nät'!O$1,FALSE)/VLOOKUP($B182,Korrigeringsfaktor_EI,'Korrigeringsfaktor EI'!O$1,FALSE),
"")</f>
        <v>0</v>
      </c>
      <c r="P182" s="18">
        <f>IFERROR(
                  Andel_oberoende_av_klimat*VLOOKUP($A182,Leveranser_per_nät,'Leveranser per nät'!P$1,FALSE)
               +Andel_beroende_av_klimat*VLOOKUP($A182,Leveranser_per_nät,'Leveranser per nät'!P$1,FALSE)/VLOOKUP($B182,Korrigeringsfaktor_EI,'Korrigeringsfaktor EI'!P$1,FALSE),
"")</f>
        <v>0</v>
      </c>
      <c r="Q182" s="18">
        <f>IFERROR(
                  Andel_oberoende_av_klimat*VLOOKUP($A182,Leveranser_per_nät,'Leveranser per nät'!Q$1,FALSE)
               +Andel_beroende_av_klimat*VLOOKUP($A182,Leveranser_per_nät,'Leveranser per nät'!Q$1,FALSE)/VLOOKUP($B182,Korrigeringsfaktor_EI,'Korrigeringsfaktor EI'!Q$1,FALSE),
"")</f>
        <v>0</v>
      </c>
      <c r="R182" s="18">
        <f>IFERROR(
                  Andel_oberoende_av_klimat*VLOOKUP($A182,Leveranser_per_nät,'Leveranser per nät'!R$1,FALSE)
               +Andel_beroende_av_klimat*VLOOKUP($A182,Leveranser_per_nät,'Leveranser per nät'!R$1,FALSE)/VLOOKUP($B182,Korrigeringsfaktor_EI,'Korrigeringsfaktor EI'!R$1,FALSE),
"")</f>
        <v>0</v>
      </c>
      <c r="S182" s="18">
        <f>IFERROR(
                  Andel_oberoende_av_klimat*VLOOKUP($A182,Leveranser_per_nät,'Leveranser per nät'!S$1,FALSE)
               +Andel_beroende_av_klimat*VLOOKUP($A182,Leveranser_per_nät,'Leveranser per nät'!S$1,FALSE)/VLOOKUP($B182,Korrigeringsfaktor_EI,'Korrigeringsfaktor EI'!S$1,FALSE),
"")</f>
        <v>0</v>
      </c>
      <c r="T182" s="18">
        <f>IFERROR(
                  Andel_oberoende_av_klimat*VLOOKUP($A182,Leveranser_per_nät,'Leveranser per nät'!T$1,FALSE)
               +Andel_beroende_av_klimat*VLOOKUP($A182,Leveranser_per_nät,'Leveranser per nät'!T$1,FALSE)/VLOOKUP($B182,Korrigeringsfaktor_EI,'Korrigeringsfaktor EI'!T$1,FALSE),
"")</f>
        <v>0</v>
      </c>
      <c r="U182" s="18">
        <f>IFERROR(
                  Andel_oberoende_av_klimat*VLOOKUP($A182,Leveranser_per_nät,'Leveranser per nät'!U$1,FALSE)
               +Andel_beroende_av_klimat*VLOOKUP($A182,Leveranser_per_nät,'Leveranser per nät'!U$1,FALSE)/VLOOKUP($B182,Korrigeringsfaktor_EI,'Korrigeringsfaktor EI'!U$1,FALSE),
"")</f>
        <v>0</v>
      </c>
      <c r="V182" s="18">
        <f>IFERROR(
                  Andel_oberoende_av_klimat*VLOOKUP($A182,Leveranser_per_nät,'Leveranser per nät'!V$1,FALSE)
               +Andel_beroende_av_klimat*VLOOKUP($A182,Leveranser_per_nät,'Leveranser per nät'!V$1,FALSE)/VLOOKUP($B182,Korrigeringsfaktor_EI,'Korrigeringsfaktor EI'!V$1,FALSE),
"")</f>
        <v>0</v>
      </c>
      <c r="W182" s="18">
        <f>IFERROR(
                  Andel_oberoende_av_klimat*VLOOKUP($A182,Leveranser_per_nät,'Leveranser per nät'!W$1,FALSE)
               +Andel_beroende_av_klimat*VLOOKUP($A182,Leveranser_per_nät,'Leveranser per nät'!W$1,FALSE)/VLOOKUP($B182,Korrigeringsfaktor_EI,'Korrigeringsfaktor EI'!W$1,FALSE),
"")</f>
        <v>0</v>
      </c>
      <c r="X182" s="18">
        <f>IFERROR(
                  Andel_oberoende_av_klimat*VLOOKUP($A182,Leveranser_per_nät,'Leveranser per nät'!X$1,FALSE)
               +Andel_beroende_av_klimat*VLOOKUP($A182,Leveranser_per_nät,'Leveranser per nät'!X$1,FALSE)/VLOOKUP($B182,Korrigeringsfaktor_EI,'Korrigeringsfaktor EI'!X$1,FALSE),
"")</f>
        <v>0</v>
      </c>
      <c r="Y182" s="18">
        <f>IFERROR(
                  Andel_oberoende_av_klimat*VLOOKUP($A182,Leveranser_per_nät,'Leveranser per nät'!Y$1,FALSE)
               +Andel_beroende_av_klimat*VLOOKUP($A182,Leveranser_per_nät,'Leveranser per nät'!Y$1,FALSE)/VLOOKUP($B182,Korrigeringsfaktor_EI,'Korrigeringsfaktor EI'!Y$1,FALSE),
"")</f>
        <v>0</v>
      </c>
      <c r="Z182" s="18">
        <f>IFERROR(
                  Andel_oberoende_av_klimat*VLOOKUP($A182,Leveranser_per_nät,'Leveranser per nät'!Z$1,FALSE)
               +Andel_beroende_av_klimat*VLOOKUP($A182,Leveranser_per_nät,'Leveranser per nät'!Z$1,FALSE)/VLOOKUP($B182,Korrigeringsfaktor_EI,'Korrigeringsfaktor EI'!Z$1,FALSE),
"")</f>
        <v>0</v>
      </c>
      <c r="AA182" s="18">
        <f>IFERROR(
                  Andel_oberoende_av_klimat*VLOOKUP($A182,Leveranser_per_nät,'Leveranser per nät'!AA$1,FALSE)
               +Andel_beroende_av_klimat*VLOOKUP($A182,Leveranser_per_nät,'Leveranser per nät'!AA$1,FALSE)/VLOOKUP($B182,Korrigeringsfaktor_EI,'Korrigeringsfaktor EI'!AA$1,FALSE),
"")</f>
        <v>0</v>
      </c>
      <c r="AB182" s="18">
        <f>IFERROR(
                  Andel_oberoende_av_klimat*VLOOKUP($A182,Leveranser_per_nät,'Leveranser per nät'!AB$1,FALSE)
               +Andel_beroende_av_klimat*VLOOKUP($A182,Leveranser_per_nät,'Leveranser per nät'!AB$1,FALSE)/VLOOKUP($B182,Korrigeringsfaktor_EI,'Korrigeringsfaktor EI'!AB$1,FALSE),
"")</f>
        <v>409.86322319688105</v>
      </c>
      <c r="AC182" s="18">
        <f>IFERROR(
                  Andel_oberoende_av_klimat*VLOOKUP($A182,Leveranser_per_nät,'Leveranser per nät'!AC$1,FALSE)
               +Andel_beroende_av_klimat*VLOOKUP($A182,Leveranser_per_nät,'Leveranser per nät'!AC$1,FALSE)/VLOOKUP($B182,Korrigeringsfaktor_EI,'Korrigeringsfaktor EI'!AC$1,FALSE),
"")</f>
        <v>385.12238669438659</v>
      </c>
      <c r="AD182" t="e">
        <v>#N/A</v>
      </c>
    </row>
    <row r="183" spans="1:30" x14ac:dyDescent="0.25">
      <c r="A183" t="s">
        <v>312</v>
      </c>
      <c r="B183" t="s">
        <v>311</v>
      </c>
      <c r="C183" s="18">
        <f>IFERROR(
                  Andel_oberoende_av_klimat*VLOOKUP($A183,Leveranser_per_nät,'Leveranser per nät'!C$1,FALSE)
               +Andel_beroende_av_klimat*VLOOKUP($A183,Leveranser_per_nät,'Leveranser per nät'!C$1,FALSE)/VLOOKUP($B183,Korrigeringsfaktor_EI,'Korrigeringsfaktor EI'!C$1,FALSE),
"")</f>
        <v>0</v>
      </c>
      <c r="D183" s="18">
        <f>IFERROR(
                  Andel_oberoende_av_klimat*VLOOKUP($A183,Leveranser_per_nät,'Leveranser per nät'!D$1,FALSE)
               +Andel_beroende_av_klimat*VLOOKUP($A183,Leveranser_per_nät,'Leveranser per nät'!D$1,FALSE)/VLOOKUP($B183,Korrigeringsfaktor_EI,'Korrigeringsfaktor EI'!D$1,FALSE),
"")</f>
        <v>0</v>
      </c>
      <c r="E183" s="18">
        <f>IFERROR(
                  Andel_oberoende_av_klimat*VLOOKUP($A183,Leveranser_per_nät,'Leveranser per nät'!E$1,FALSE)
               +Andel_beroende_av_klimat*VLOOKUP($A183,Leveranser_per_nät,'Leveranser per nät'!E$1,FALSE)/VLOOKUP($B183,Korrigeringsfaktor_EI,'Korrigeringsfaktor EI'!E$1,FALSE),
"")</f>
        <v>0</v>
      </c>
      <c r="F183" s="18">
        <f>IFERROR(
                  Andel_oberoende_av_klimat*VLOOKUP($A183,Leveranser_per_nät,'Leveranser per nät'!F$1,FALSE)
               +Andel_beroende_av_klimat*VLOOKUP($A183,Leveranser_per_nät,'Leveranser per nät'!F$1,FALSE)/VLOOKUP($B183,Korrigeringsfaktor_EI,'Korrigeringsfaktor EI'!F$1,FALSE),
"")</f>
        <v>0</v>
      </c>
      <c r="G183" s="18">
        <f>IFERROR(
                  Andel_oberoende_av_klimat*VLOOKUP($A183,Leveranser_per_nät,'Leveranser per nät'!G$1,FALSE)
               +Andel_beroende_av_klimat*VLOOKUP($A183,Leveranser_per_nät,'Leveranser per nät'!G$1,FALSE)/VLOOKUP($B183,Korrigeringsfaktor_EI,'Korrigeringsfaktor EI'!G$1,FALSE),
"")</f>
        <v>0</v>
      </c>
      <c r="H183" s="18">
        <f>IFERROR(
                  Andel_oberoende_av_klimat*VLOOKUP($A183,Leveranser_per_nät,'Leveranser per nät'!H$1,FALSE)
               +Andel_beroende_av_klimat*VLOOKUP($A183,Leveranser_per_nät,'Leveranser per nät'!H$1,FALSE)/VLOOKUP($B183,Korrigeringsfaktor_EI,'Korrigeringsfaktor EI'!H$1,FALSE),
"")</f>
        <v>0</v>
      </c>
      <c r="I183" s="18">
        <f>IFERROR(
                  Andel_oberoende_av_klimat*VLOOKUP($A183,Leveranser_per_nät,'Leveranser per nät'!I$1,FALSE)
               +Andel_beroende_av_klimat*VLOOKUP($A183,Leveranser_per_nät,'Leveranser per nät'!I$1,FALSE)/VLOOKUP($B183,Korrigeringsfaktor_EI,'Korrigeringsfaktor EI'!I$1,FALSE),
"")</f>
        <v>30.875</v>
      </c>
      <c r="J183" s="18">
        <f>IFERROR(
                  Andel_oberoende_av_klimat*VLOOKUP($A183,Leveranser_per_nät,'Leveranser per nät'!J$1,FALSE)
               +Andel_beroende_av_klimat*VLOOKUP($A183,Leveranser_per_nät,'Leveranser per nät'!J$1,FALSE)/VLOOKUP($B183,Korrigeringsfaktor_EI,'Korrigeringsfaktor EI'!J$1,FALSE),
"")</f>
        <v>32.457142857142856</v>
      </c>
      <c r="K183" s="18">
        <f>IFERROR(
                  Andel_oberoende_av_klimat*VLOOKUP($A183,Leveranser_per_nät,'Leveranser per nät'!K$1,FALSE)
               +Andel_beroende_av_klimat*VLOOKUP($A183,Leveranser_per_nät,'Leveranser per nät'!K$1,FALSE)/VLOOKUP($B183,Korrigeringsfaktor_EI,'Korrigeringsfaktor EI'!K$1,FALSE),
"")</f>
        <v>21.782588659793817</v>
      </c>
      <c r="L183" s="18">
        <f>IFERROR(
                  Andel_oberoende_av_klimat*VLOOKUP($A183,Leveranser_per_nät,'Leveranser per nät'!L$1,FALSE)
               +Andel_beroende_av_klimat*VLOOKUP($A183,Leveranser_per_nät,'Leveranser per nät'!L$1,FALSE)/VLOOKUP($B183,Korrigeringsfaktor_EI,'Korrigeringsfaktor EI'!L$1,FALSE),
"")</f>
        <v>40.861947368421049</v>
      </c>
      <c r="M183" s="18">
        <f>IFERROR(
                  Andel_oberoende_av_klimat*VLOOKUP($A183,Leveranser_per_nät,'Leveranser per nät'!M$1,FALSE)
               +Andel_beroende_av_klimat*VLOOKUP($A183,Leveranser_per_nät,'Leveranser per nät'!M$1,FALSE)/VLOOKUP($B183,Korrigeringsfaktor_EI,'Korrigeringsfaktor EI'!M$1,FALSE),
"")</f>
        <v>46.783123076923076</v>
      </c>
      <c r="N183" s="18">
        <f>IFERROR(
                  Andel_oberoende_av_klimat*VLOOKUP($A183,Leveranser_per_nät,'Leveranser per nät'!N$1,FALSE)
               +Andel_beroende_av_klimat*VLOOKUP($A183,Leveranser_per_nät,'Leveranser per nät'!N$1,FALSE)/VLOOKUP($B183,Korrigeringsfaktor_EI,'Korrigeringsfaktor EI'!N$1,FALSE),
"")</f>
        <v>49.031344444444443</v>
      </c>
      <c r="O183" s="18">
        <f>IFERROR(
                  Andel_oberoende_av_klimat*VLOOKUP($A183,Leveranser_per_nät,'Leveranser per nät'!O$1,FALSE)
               +Andel_beroende_av_klimat*VLOOKUP($A183,Leveranser_per_nät,'Leveranser per nät'!O$1,FALSE)/VLOOKUP($B183,Korrigeringsfaktor_EI,'Korrigeringsfaktor EI'!O$1,FALSE),
"")</f>
        <v>47.741004545454544</v>
      </c>
      <c r="P183" s="18">
        <f>IFERROR(
                  Andel_oberoende_av_klimat*VLOOKUP($A183,Leveranser_per_nät,'Leveranser per nät'!P$1,FALSE)
               +Andel_beroende_av_klimat*VLOOKUP($A183,Leveranser_per_nät,'Leveranser per nät'!P$1,FALSE)/VLOOKUP($B183,Korrigeringsfaktor_EI,'Korrigeringsfaktor EI'!P$1,FALSE),
"")</f>
        <v>49.201268421052639</v>
      </c>
      <c r="Q183" s="18">
        <f>IFERROR(
                  Andel_oberoende_av_klimat*VLOOKUP($A183,Leveranser_per_nät,'Leveranser per nät'!Q$1,FALSE)
               +Andel_beroende_av_klimat*VLOOKUP($A183,Leveranser_per_nät,'Leveranser per nät'!Q$1,FALSE)/VLOOKUP($B183,Korrigeringsfaktor_EI,'Korrigeringsfaktor EI'!Q$1,FALSE),
"")</f>
        <v>49.046095495495493</v>
      </c>
      <c r="R183" s="18">
        <f>IFERROR(
                  Andel_oberoende_av_klimat*VLOOKUP($A183,Leveranser_per_nät,'Leveranser per nät'!R$1,FALSE)
               +Andel_beroende_av_klimat*VLOOKUP($A183,Leveranser_per_nät,'Leveranser per nät'!R$1,FALSE)/VLOOKUP($B183,Korrigeringsfaktor_EI,'Korrigeringsfaktor EI'!R$1,FALSE),
"")</f>
        <v>50.808600000000006</v>
      </c>
      <c r="S183" s="18">
        <f>IFERROR(
                  Andel_oberoende_av_klimat*VLOOKUP($A183,Leveranser_per_nät,'Leveranser per nät'!S$1,FALSE)
               +Andel_beroende_av_klimat*VLOOKUP($A183,Leveranser_per_nät,'Leveranser per nät'!S$1,FALSE)/VLOOKUP($B183,Korrigeringsfaktor_EI,'Korrigeringsfaktor EI'!S$1,FALSE),
"")</f>
        <v>46.130384343434343</v>
      </c>
      <c r="T183" s="18">
        <f>IFERROR(
                  Andel_oberoende_av_klimat*VLOOKUP($A183,Leveranser_per_nät,'Leveranser per nät'!T$1,FALSE)
               +Andel_beroende_av_klimat*VLOOKUP($A183,Leveranser_per_nät,'Leveranser per nät'!T$1,FALSE)/VLOOKUP($B183,Korrigeringsfaktor_EI,'Korrigeringsfaktor EI'!T$1,FALSE),
"")</f>
        <v>46.109405263157903</v>
      </c>
      <c r="U183" s="18">
        <f>IFERROR(
                  Andel_oberoende_av_klimat*VLOOKUP($A183,Leveranser_per_nät,'Leveranser per nät'!U$1,FALSE)
               +Andel_beroende_av_klimat*VLOOKUP($A183,Leveranser_per_nät,'Leveranser per nät'!U$1,FALSE)/VLOOKUP($B183,Korrigeringsfaktor_EI,'Korrigeringsfaktor EI'!U$1,FALSE),
"")</f>
        <v>46.867447752808985</v>
      </c>
      <c r="V183" s="18">
        <f>IFERROR(
                  Andel_oberoende_av_klimat*VLOOKUP($A183,Leveranser_per_nät,'Leveranser per nät'!V$1,FALSE)
               +Andel_beroende_av_klimat*VLOOKUP($A183,Leveranser_per_nät,'Leveranser per nät'!V$1,FALSE)/VLOOKUP($B183,Korrigeringsfaktor_EI,'Korrigeringsfaktor EI'!V$1,FALSE),
"")</f>
        <v>45.789999999999992</v>
      </c>
      <c r="W183" s="18">
        <f>IFERROR(
                  Andel_oberoende_av_klimat*VLOOKUP($A183,Leveranser_per_nät,'Leveranser per nät'!W$1,FALSE)
               +Andel_beroende_av_klimat*VLOOKUP($A183,Leveranser_per_nät,'Leveranser per nät'!W$1,FALSE)/VLOOKUP($B183,Korrigeringsfaktor_EI,'Korrigeringsfaktor EI'!W$1,FALSE),
"")</f>
        <v>46.318279569892468</v>
      </c>
      <c r="X183" s="18">
        <f>IFERROR(
                  Andel_oberoende_av_klimat*VLOOKUP($A183,Leveranser_per_nät,'Leveranser per nät'!X$1,FALSE)
               +Andel_beroende_av_klimat*VLOOKUP($A183,Leveranser_per_nät,'Leveranser per nät'!X$1,FALSE)/VLOOKUP($B183,Korrigeringsfaktor_EI,'Korrigeringsfaktor EI'!X$1,FALSE),
"")</f>
        <v>46.572173913043478</v>
      </c>
      <c r="Y183" s="18">
        <f>IFERROR(
                  Andel_oberoende_av_klimat*VLOOKUP($A183,Leveranser_per_nät,'Leveranser per nät'!Y$1,FALSE)
               +Andel_beroende_av_klimat*VLOOKUP($A183,Leveranser_per_nät,'Leveranser per nät'!Y$1,FALSE)/VLOOKUP($B183,Korrigeringsfaktor_EI,'Korrigeringsfaktor EI'!Y$1,FALSE),
"")</f>
        <v>46.344444444444449</v>
      </c>
      <c r="Z183" s="18">
        <f>IFERROR(
                  Andel_oberoende_av_klimat*VLOOKUP($A183,Leveranser_per_nät,'Leveranser per nät'!Z$1,FALSE)
               +Andel_beroende_av_klimat*VLOOKUP($A183,Leveranser_per_nät,'Leveranser per nät'!Z$1,FALSE)/VLOOKUP($B183,Korrigeringsfaktor_EI,'Korrigeringsfaktor EI'!Z$1,FALSE),
"")</f>
        <v>46.166101123595503</v>
      </c>
      <c r="AA183" s="18">
        <f>IFERROR(
                  Andel_oberoende_av_klimat*VLOOKUP($A183,Leveranser_per_nät,'Leveranser per nät'!AA$1,FALSE)
               +Andel_beroende_av_klimat*VLOOKUP($A183,Leveranser_per_nät,'Leveranser per nät'!AA$1,FALSE)/VLOOKUP($B183,Korrigeringsfaktor_EI,'Korrigeringsfaktor EI'!AA$1,FALSE),
"")</f>
        <v>47.223283651226161</v>
      </c>
      <c r="AB183" s="18">
        <f>IFERROR(
                  Andel_oberoende_av_klimat*VLOOKUP($A183,Leveranser_per_nät,'Leveranser per nät'!AB$1,FALSE)
               +Andel_beroende_av_klimat*VLOOKUP($A183,Leveranser_per_nät,'Leveranser per nät'!AB$1,FALSE)/VLOOKUP($B183,Korrigeringsfaktor_EI,'Korrigeringsfaktor EI'!AB$1,FALSE),
"")</f>
        <v>43.538853511374874</v>
      </c>
      <c r="AC183" s="18">
        <f>IFERROR(
                  Andel_oberoende_av_klimat*VLOOKUP($A183,Leveranser_per_nät,'Leveranser per nät'!AC$1,FALSE)
               +Andel_beroende_av_klimat*VLOOKUP($A183,Leveranser_per_nät,'Leveranser per nät'!AC$1,FALSE)/VLOOKUP($B183,Korrigeringsfaktor_EI,'Korrigeringsfaktor EI'!AC$1,FALSE),
"")</f>
        <v>45.746526448893576</v>
      </c>
      <c r="AD183">
        <v>668.80600000000004</v>
      </c>
    </row>
    <row r="184" spans="1:30" x14ac:dyDescent="0.25">
      <c r="A184" t="s">
        <v>476</v>
      </c>
      <c r="B184" t="s">
        <v>156</v>
      </c>
      <c r="C184" s="18">
        <f>IFERROR(
                  Andel_oberoende_av_klimat*VLOOKUP($A184,Leveranser_per_nät,'Leveranser per nät'!C$1,FALSE)
               +Andel_beroende_av_klimat*VLOOKUP($A184,Leveranser_per_nät,'Leveranser per nät'!C$1,FALSE)/VLOOKUP($B184,Korrigeringsfaktor_EI,'Korrigeringsfaktor EI'!C$1,FALSE),
"")</f>
        <v>0</v>
      </c>
      <c r="D184" s="18">
        <f>IFERROR(
                  Andel_oberoende_av_klimat*VLOOKUP($A184,Leveranser_per_nät,'Leveranser per nät'!D$1,FALSE)
               +Andel_beroende_av_klimat*VLOOKUP($A184,Leveranser_per_nät,'Leveranser per nät'!D$1,FALSE)/VLOOKUP($B184,Korrigeringsfaktor_EI,'Korrigeringsfaktor EI'!D$1,FALSE),
"")</f>
        <v>0</v>
      </c>
      <c r="E184" s="18">
        <f>IFERROR(
                  Andel_oberoende_av_klimat*VLOOKUP($A184,Leveranser_per_nät,'Leveranser per nät'!E$1,FALSE)
               +Andel_beroende_av_klimat*VLOOKUP($A184,Leveranser_per_nät,'Leveranser per nät'!E$1,FALSE)/VLOOKUP($B184,Korrigeringsfaktor_EI,'Korrigeringsfaktor EI'!E$1,FALSE),
"")</f>
        <v>0</v>
      </c>
      <c r="F184" s="18">
        <f>IFERROR(
                  Andel_oberoende_av_klimat*VLOOKUP($A184,Leveranser_per_nät,'Leveranser per nät'!F$1,FALSE)
               +Andel_beroende_av_klimat*VLOOKUP($A184,Leveranser_per_nät,'Leveranser per nät'!F$1,FALSE)/VLOOKUP($B184,Korrigeringsfaktor_EI,'Korrigeringsfaktor EI'!F$1,FALSE),
"")</f>
        <v>0</v>
      </c>
      <c r="G184" s="18">
        <f>IFERROR(
                  Andel_oberoende_av_klimat*VLOOKUP($A184,Leveranser_per_nät,'Leveranser per nät'!G$1,FALSE)
               +Andel_beroende_av_klimat*VLOOKUP($A184,Leveranser_per_nät,'Leveranser per nät'!G$1,FALSE)/VLOOKUP($B184,Korrigeringsfaktor_EI,'Korrigeringsfaktor EI'!G$1,FALSE),
"")</f>
        <v>0</v>
      </c>
      <c r="H184" s="18">
        <f>IFERROR(
                  Andel_oberoende_av_klimat*VLOOKUP($A184,Leveranser_per_nät,'Leveranser per nät'!H$1,FALSE)
               +Andel_beroende_av_klimat*VLOOKUP($A184,Leveranser_per_nät,'Leveranser per nät'!H$1,FALSE)/VLOOKUP($B184,Korrigeringsfaktor_EI,'Korrigeringsfaktor EI'!H$1,FALSE),
"")</f>
        <v>0</v>
      </c>
      <c r="I184" s="18">
        <f>IFERROR(
                  Andel_oberoende_av_klimat*VLOOKUP($A184,Leveranser_per_nät,'Leveranser per nät'!I$1,FALSE)
               +Andel_beroende_av_klimat*VLOOKUP($A184,Leveranser_per_nät,'Leveranser per nät'!I$1,FALSE)/VLOOKUP($B184,Korrigeringsfaktor_EI,'Korrigeringsfaktor EI'!I$1,FALSE),
"")</f>
        <v>0</v>
      </c>
      <c r="J184" s="18">
        <f>IFERROR(
                  Andel_oberoende_av_klimat*VLOOKUP($A184,Leveranser_per_nät,'Leveranser per nät'!J$1,FALSE)
               +Andel_beroende_av_klimat*VLOOKUP($A184,Leveranser_per_nät,'Leveranser per nät'!J$1,FALSE)/VLOOKUP($B184,Korrigeringsfaktor_EI,'Korrigeringsfaktor EI'!J$1,FALSE),
"")</f>
        <v>0</v>
      </c>
      <c r="K184" s="18">
        <f>IFERROR(
                  Andel_oberoende_av_klimat*VLOOKUP($A184,Leveranser_per_nät,'Leveranser per nät'!K$1,FALSE)
               +Andel_beroende_av_klimat*VLOOKUP($A184,Leveranser_per_nät,'Leveranser per nät'!K$1,FALSE)/VLOOKUP($B184,Korrigeringsfaktor_EI,'Korrigeringsfaktor EI'!K$1,FALSE),
"")</f>
        <v>0</v>
      </c>
      <c r="L184" s="18">
        <f>IFERROR(
                  Andel_oberoende_av_klimat*VLOOKUP($A184,Leveranser_per_nät,'Leveranser per nät'!L$1,FALSE)
               +Andel_beroende_av_klimat*VLOOKUP($A184,Leveranser_per_nät,'Leveranser per nät'!L$1,FALSE)/VLOOKUP($B184,Korrigeringsfaktor_EI,'Korrigeringsfaktor EI'!L$1,FALSE),
"")</f>
        <v>9.8957782022471896</v>
      </c>
      <c r="M184" s="18">
        <f>IFERROR(
                  Andel_oberoende_av_klimat*VLOOKUP($A184,Leveranser_per_nät,'Leveranser per nät'!M$1,FALSE)
               +Andel_beroende_av_klimat*VLOOKUP($A184,Leveranser_per_nät,'Leveranser per nät'!M$1,FALSE)/VLOOKUP($B184,Korrigeringsfaktor_EI,'Korrigeringsfaktor EI'!M$1,FALSE),
"")</f>
        <v>0</v>
      </c>
      <c r="N184" s="18">
        <f>IFERROR(
                  Andel_oberoende_av_klimat*VLOOKUP($A184,Leveranser_per_nät,'Leveranser per nät'!N$1,FALSE)
               +Andel_beroende_av_klimat*VLOOKUP($A184,Leveranser_per_nät,'Leveranser per nät'!N$1,FALSE)/VLOOKUP($B184,Korrigeringsfaktor_EI,'Korrigeringsfaktor EI'!N$1,FALSE),
"")</f>
        <v>0</v>
      </c>
      <c r="O184" s="18">
        <f>IFERROR(
                  Andel_oberoende_av_klimat*VLOOKUP($A184,Leveranser_per_nät,'Leveranser per nät'!O$1,FALSE)
               +Andel_beroende_av_klimat*VLOOKUP($A184,Leveranser_per_nät,'Leveranser per nät'!O$1,FALSE)/VLOOKUP($B184,Korrigeringsfaktor_EI,'Korrigeringsfaktor EI'!O$1,FALSE),
"")</f>
        <v>0</v>
      </c>
      <c r="P184" s="18">
        <f>IFERROR(
                  Andel_oberoende_av_klimat*VLOOKUP($A184,Leveranser_per_nät,'Leveranser per nät'!P$1,FALSE)
               +Andel_beroende_av_klimat*VLOOKUP($A184,Leveranser_per_nät,'Leveranser per nät'!P$1,FALSE)/VLOOKUP($B184,Korrigeringsfaktor_EI,'Korrigeringsfaktor EI'!P$1,FALSE),
"")</f>
        <v>0</v>
      </c>
      <c r="Q184" s="18">
        <f>IFERROR(
                  Andel_oberoende_av_klimat*VLOOKUP($A184,Leveranser_per_nät,'Leveranser per nät'!Q$1,FALSE)
               +Andel_beroende_av_klimat*VLOOKUP($A184,Leveranser_per_nät,'Leveranser per nät'!Q$1,FALSE)/VLOOKUP($B184,Korrigeringsfaktor_EI,'Korrigeringsfaktor EI'!Q$1,FALSE),
"")</f>
        <v>0</v>
      </c>
      <c r="R184" s="18">
        <f>IFERROR(
                  Andel_oberoende_av_klimat*VLOOKUP($A184,Leveranser_per_nät,'Leveranser per nät'!R$1,FALSE)
               +Andel_beroende_av_klimat*VLOOKUP($A184,Leveranser_per_nät,'Leveranser per nät'!R$1,FALSE)/VLOOKUP($B184,Korrigeringsfaktor_EI,'Korrigeringsfaktor EI'!R$1,FALSE),
"")</f>
        <v>0</v>
      </c>
      <c r="S184" s="18" t="str">
        <f>IFERROR(
                  Andel_oberoende_av_klimat*VLOOKUP($A184,Leveranser_per_nät,'Leveranser per nät'!S$1,FALSE)
               +Andel_beroende_av_klimat*VLOOKUP($A184,Leveranser_per_nät,'Leveranser per nät'!S$1,FALSE)/VLOOKUP($B184,Korrigeringsfaktor_EI,'Korrigeringsfaktor EI'!S$1,FALSE),
"")</f>
        <v/>
      </c>
      <c r="T184" s="18" t="str">
        <f>IFERROR(
                  Andel_oberoende_av_klimat*VLOOKUP($A184,Leveranser_per_nät,'Leveranser per nät'!T$1,FALSE)
               +Andel_beroende_av_klimat*VLOOKUP($A184,Leveranser_per_nät,'Leveranser per nät'!T$1,FALSE)/VLOOKUP($B184,Korrigeringsfaktor_EI,'Korrigeringsfaktor EI'!T$1,FALSE),
"")</f>
        <v/>
      </c>
      <c r="U184" s="18" t="str">
        <f>IFERROR(
                  Andel_oberoende_av_klimat*VLOOKUP($A184,Leveranser_per_nät,'Leveranser per nät'!U$1,FALSE)
               +Andel_beroende_av_klimat*VLOOKUP($A184,Leveranser_per_nät,'Leveranser per nät'!U$1,FALSE)/VLOOKUP($B184,Korrigeringsfaktor_EI,'Korrigeringsfaktor EI'!U$1,FALSE),
"")</f>
        <v/>
      </c>
      <c r="V184" s="18" t="str">
        <f>IFERROR(
                  Andel_oberoende_av_klimat*VLOOKUP($A184,Leveranser_per_nät,'Leveranser per nät'!V$1,FALSE)
               +Andel_beroende_av_klimat*VLOOKUP($A184,Leveranser_per_nät,'Leveranser per nät'!V$1,FALSE)/VLOOKUP($B184,Korrigeringsfaktor_EI,'Korrigeringsfaktor EI'!V$1,FALSE),
"")</f>
        <v/>
      </c>
      <c r="W184" s="18" t="str">
        <f>IFERROR(
                  Andel_oberoende_av_klimat*VLOOKUP($A184,Leveranser_per_nät,'Leveranser per nät'!W$1,FALSE)
               +Andel_beroende_av_klimat*VLOOKUP($A184,Leveranser_per_nät,'Leveranser per nät'!W$1,FALSE)/VLOOKUP($B184,Korrigeringsfaktor_EI,'Korrigeringsfaktor EI'!W$1,FALSE),
"")</f>
        <v/>
      </c>
      <c r="X184" s="18" t="str">
        <f>IFERROR(
                  Andel_oberoende_av_klimat*VLOOKUP($A184,Leveranser_per_nät,'Leveranser per nät'!X$1,FALSE)
               +Andel_beroende_av_klimat*VLOOKUP($A184,Leveranser_per_nät,'Leveranser per nät'!X$1,FALSE)/VLOOKUP($B184,Korrigeringsfaktor_EI,'Korrigeringsfaktor EI'!X$1,FALSE),
"")</f>
        <v/>
      </c>
      <c r="Y184" s="18" t="str">
        <f>IFERROR(
                  Andel_oberoende_av_klimat*VLOOKUP($A184,Leveranser_per_nät,'Leveranser per nät'!Y$1,FALSE)
               +Andel_beroende_av_klimat*VLOOKUP($A184,Leveranser_per_nät,'Leveranser per nät'!Y$1,FALSE)/VLOOKUP($B184,Korrigeringsfaktor_EI,'Korrigeringsfaktor EI'!Y$1,FALSE),
"")</f>
        <v/>
      </c>
      <c r="Z184" s="18">
        <f>IFERROR(
                  Andel_oberoende_av_klimat*VLOOKUP($A184,Leveranser_per_nät,'Leveranser per nät'!Z$1,FALSE)
               +Andel_beroende_av_klimat*VLOOKUP($A184,Leveranser_per_nät,'Leveranser per nät'!Z$1,FALSE)/VLOOKUP($B184,Korrigeringsfaktor_EI,'Korrigeringsfaktor EI'!Z$1,FALSE),
"")</f>
        <v>0</v>
      </c>
      <c r="AA184" s="18" t="str">
        <f>IFERROR(
                  Andel_oberoende_av_klimat*VLOOKUP($A184,Leveranser_per_nät,'Leveranser per nät'!AA$1,FALSE)
               +Andel_beroende_av_klimat*VLOOKUP($A184,Leveranser_per_nät,'Leveranser per nät'!AA$1,FALSE)/VLOOKUP($B184,Korrigeringsfaktor_EI,'Korrigeringsfaktor EI'!AA$1,FALSE),
"")</f>
        <v/>
      </c>
      <c r="AB184" s="18">
        <f>IFERROR(
                  Andel_oberoende_av_klimat*VLOOKUP($A184,Leveranser_per_nät,'Leveranser per nät'!AB$1,FALSE)
               +Andel_beroende_av_klimat*VLOOKUP($A184,Leveranser_per_nät,'Leveranser per nät'!AB$1,FALSE)/VLOOKUP($B184,Korrigeringsfaktor_EI,'Korrigeringsfaktor EI'!AB$1,FALSE),
"")</f>
        <v>0</v>
      </c>
      <c r="AC184" s="18">
        <f>IFERROR(
                  Andel_oberoende_av_klimat*VLOOKUP($A184,Leveranser_per_nät,'Leveranser per nät'!AC$1,FALSE)
               +Andel_beroende_av_klimat*VLOOKUP($A184,Leveranser_per_nät,'Leveranser per nät'!AC$1,FALSE)/VLOOKUP($B184,Korrigeringsfaktor_EI,'Korrigeringsfaktor EI'!AC$1,FALSE),
"")</f>
        <v>10.492589098532495</v>
      </c>
      <c r="AD184">
        <v>33.630000000000003</v>
      </c>
    </row>
    <row r="185" spans="1:30" x14ac:dyDescent="0.25">
      <c r="A185" t="s">
        <v>195</v>
      </c>
      <c r="B185" t="s">
        <v>193</v>
      </c>
      <c r="C185" s="18">
        <f>IFERROR(
                  Andel_oberoende_av_klimat*VLOOKUP($A185,Leveranser_per_nät,'Leveranser per nät'!C$1,FALSE)
               +Andel_beroende_av_klimat*VLOOKUP($A185,Leveranser_per_nät,'Leveranser per nät'!C$1,FALSE)/VLOOKUP($B185,Korrigeringsfaktor_EI,'Korrigeringsfaktor EI'!C$1,FALSE),
"")</f>
        <v>0</v>
      </c>
      <c r="D185" s="18">
        <f>IFERROR(
                  Andel_oberoende_av_klimat*VLOOKUP($A185,Leveranser_per_nät,'Leveranser per nät'!D$1,FALSE)
               +Andel_beroende_av_klimat*VLOOKUP($A185,Leveranser_per_nät,'Leveranser per nät'!D$1,FALSE)/VLOOKUP($B185,Korrigeringsfaktor_EI,'Korrigeringsfaktor EI'!D$1,FALSE),
"")</f>
        <v>0</v>
      </c>
      <c r="E185" s="18">
        <f>IFERROR(
                  Andel_oberoende_av_klimat*VLOOKUP($A185,Leveranser_per_nät,'Leveranser per nät'!E$1,FALSE)
               +Andel_beroende_av_klimat*VLOOKUP($A185,Leveranser_per_nät,'Leveranser per nät'!E$1,FALSE)/VLOOKUP($B185,Korrigeringsfaktor_EI,'Korrigeringsfaktor EI'!E$1,FALSE),
"")</f>
        <v>0.99306930693069306</v>
      </c>
      <c r="F185" s="18">
        <f>IFERROR(
                  Andel_oberoende_av_klimat*VLOOKUP($A185,Leveranser_per_nät,'Leveranser per nät'!F$1,FALSE)
               +Andel_beroende_av_klimat*VLOOKUP($A185,Leveranser_per_nät,'Leveranser per nät'!F$1,FALSE)/VLOOKUP($B185,Korrigeringsfaktor_EI,'Korrigeringsfaktor EI'!F$1,FALSE),
"")</f>
        <v>7.0494949494949495</v>
      </c>
      <c r="G185" s="18">
        <f>IFERROR(
                  Andel_oberoende_av_klimat*VLOOKUP($A185,Leveranser_per_nät,'Leveranser per nät'!G$1,FALSE)
               +Andel_beroende_av_klimat*VLOOKUP($A185,Leveranser_per_nät,'Leveranser per nät'!G$1,FALSE)/VLOOKUP($B185,Korrigeringsfaktor_EI,'Korrigeringsfaktor EI'!G$1,FALSE),
"")</f>
        <v>8.4215053763440864</v>
      </c>
      <c r="H185" s="18">
        <f>IFERROR(
                  Andel_oberoende_av_klimat*VLOOKUP($A185,Leveranser_per_nät,'Leveranser per nät'!H$1,FALSE)
               +Andel_beroende_av_klimat*VLOOKUP($A185,Leveranser_per_nät,'Leveranser per nät'!H$1,FALSE)/VLOOKUP($B185,Korrigeringsfaktor_EI,'Korrigeringsfaktor EI'!H$1,FALSE),
"")</f>
        <v>9.9306930693069315</v>
      </c>
      <c r="I185" s="18">
        <f>IFERROR(
                  Andel_oberoende_av_klimat*VLOOKUP($A185,Leveranser_per_nät,'Leveranser per nät'!I$1,FALSE)
               +Andel_beroende_av_klimat*VLOOKUP($A185,Leveranser_per_nät,'Leveranser per nät'!I$1,FALSE)/VLOOKUP($B185,Korrigeringsfaktor_EI,'Korrigeringsfaktor EI'!I$1,FALSE),
"")</f>
        <v>11.320833333333333</v>
      </c>
      <c r="J185" s="18">
        <f>IFERROR(
                  Andel_oberoende_av_klimat*VLOOKUP($A185,Leveranser_per_nät,'Leveranser per nät'!J$1,FALSE)
               +Andel_beroende_av_klimat*VLOOKUP($A185,Leveranser_per_nät,'Leveranser per nät'!J$1,FALSE)/VLOOKUP($B185,Korrigeringsfaktor_EI,'Korrigeringsfaktor EI'!J$1,FALSE),
"")</f>
        <v>11.320833333333333</v>
      </c>
      <c r="K185" s="18">
        <f>IFERROR(
                  Andel_oberoende_av_klimat*VLOOKUP($A185,Leveranser_per_nät,'Leveranser per nät'!K$1,FALSE)
               +Andel_beroende_av_klimat*VLOOKUP($A185,Leveranser_per_nät,'Leveranser per nät'!K$1,FALSE)/VLOOKUP($B185,Korrigeringsfaktor_EI,'Korrigeringsfaktor EI'!K$1,FALSE),
"")</f>
        <v>11.688321052631578</v>
      </c>
      <c r="L185" s="18">
        <f>IFERROR(
                  Andel_oberoende_av_klimat*VLOOKUP($A185,Leveranser_per_nät,'Leveranser per nät'!L$1,FALSE)
               +Andel_beroende_av_klimat*VLOOKUP($A185,Leveranser_per_nät,'Leveranser per nät'!L$1,FALSE)/VLOOKUP($B185,Korrigeringsfaktor_EI,'Korrigeringsfaktor EI'!L$1,FALSE),
"")</f>
        <v>11.267974193548387</v>
      </c>
      <c r="M185" s="18">
        <f>IFERROR(
                  Andel_oberoende_av_klimat*VLOOKUP($A185,Leveranser_per_nät,'Leveranser per nät'!M$1,FALSE)
               +Andel_beroende_av_klimat*VLOOKUP($A185,Leveranser_per_nät,'Leveranser per nät'!M$1,FALSE)/VLOOKUP($B185,Korrigeringsfaktor_EI,'Korrigeringsfaktor EI'!M$1,FALSE),
"")</f>
        <v>10.833446153846154</v>
      </c>
      <c r="N185" s="18">
        <f>IFERROR(
                  Andel_oberoende_av_klimat*VLOOKUP($A185,Leveranser_per_nät,'Leveranser per nät'!N$1,FALSE)
               +Andel_beroende_av_klimat*VLOOKUP($A185,Leveranser_per_nät,'Leveranser per nät'!N$1,FALSE)/VLOOKUP($B185,Korrigeringsfaktor_EI,'Korrigeringsfaktor EI'!N$1,FALSE),
"")</f>
        <v>10.986908510638298</v>
      </c>
      <c r="O185" s="18">
        <f>IFERROR(
                  Andel_oberoende_av_klimat*VLOOKUP($A185,Leveranser_per_nät,'Leveranser per nät'!O$1,FALSE)
               +Andel_beroende_av_klimat*VLOOKUP($A185,Leveranser_per_nät,'Leveranser per nät'!O$1,FALSE)/VLOOKUP($B185,Korrigeringsfaktor_EI,'Korrigeringsfaktor EI'!O$1,FALSE),
"")</f>
        <v>11.251212765957446</v>
      </c>
      <c r="P185" s="18">
        <f>IFERROR(
                  Andel_oberoende_av_klimat*VLOOKUP($A185,Leveranser_per_nät,'Leveranser per nät'!P$1,FALSE)
               +Andel_beroende_av_klimat*VLOOKUP($A185,Leveranser_per_nät,'Leveranser per nät'!P$1,FALSE)/VLOOKUP($B185,Korrigeringsfaktor_EI,'Korrigeringsfaktor EI'!P$1,FALSE),
"")</f>
        <v>10.643730303030303</v>
      </c>
      <c r="Q185" s="18">
        <f>IFERROR(
                  Andel_oberoende_av_klimat*VLOOKUP($A185,Leveranser_per_nät,'Leveranser per nät'!Q$1,FALSE)
               +Andel_beroende_av_klimat*VLOOKUP($A185,Leveranser_per_nät,'Leveranser per nät'!Q$1,FALSE)/VLOOKUP($B185,Korrigeringsfaktor_EI,'Korrigeringsfaktor EI'!Q$1,FALSE),
"")</f>
        <v>11.723230088495576</v>
      </c>
      <c r="R185" s="18">
        <f>IFERROR(
                  Andel_oberoende_av_klimat*VLOOKUP($A185,Leveranser_per_nät,'Leveranser per nät'!R$1,FALSE)
               +Andel_beroende_av_klimat*VLOOKUP($A185,Leveranser_per_nät,'Leveranser per nät'!R$1,FALSE)/VLOOKUP($B185,Korrigeringsfaktor_EI,'Korrigeringsfaktor EI'!R$1,FALSE),
"")</f>
        <v>10.733878260869565</v>
      </c>
      <c r="S185" s="18">
        <f>IFERROR(
                  Andel_oberoende_av_klimat*VLOOKUP($A185,Leveranser_per_nät,'Leveranser per nät'!S$1,FALSE)
               +Andel_beroende_av_klimat*VLOOKUP($A185,Leveranser_per_nät,'Leveranser per nät'!S$1,FALSE)/VLOOKUP($B185,Korrigeringsfaktor_EI,'Korrigeringsfaktor EI'!S$1,FALSE),
"")</f>
        <v>11</v>
      </c>
      <c r="T185" s="18">
        <f>IFERROR(
                  Andel_oberoende_av_klimat*VLOOKUP($A185,Leveranser_per_nät,'Leveranser per nät'!T$1,FALSE)
               +Andel_beroende_av_klimat*VLOOKUP($A185,Leveranser_per_nät,'Leveranser per nät'!T$1,FALSE)/VLOOKUP($B185,Korrigeringsfaktor_EI,'Korrigeringsfaktor EI'!T$1,FALSE),
"")</f>
        <v>10.497499999999999</v>
      </c>
      <c r="U185" s="18">
        <f>IFERROR(
                  Andel_oberoende_av_klimat*VLOOKUP($A185,Leveranser_per_nät,'Leveranser per nät'!U$1,FALSE)
               +Andel_beroende_av_klimat*VLOOKUP($A185,Leveranser_per_nät,'Leveranser per nät'!U$1,FALSE)/VLOOKUP($B185,Korrigeringsfaktor_EI,'Korrigeringsfaktor EI'!U$1,FALSE),
"")</f>
        <v>9.4526966292134826</v>
      </c>
      <c r="V185" s="18">
        <f>IFERROR(
                  Andel_oberoende_av_klimat*VLOOKUP($A185,Leveranser_per_nät,'Leveranser per nät'!V$1,FALSE)
               +Andel_beroende_av_klimat*VLOOKUP($A185,Leveranser_per_nät,'Leveranser per nät'!V$1,FALSE)/VLOOKUP($B185,Korrigeringsfaktor_EI,'Korrigeringsfaktor EI'!V$1,FALSE),
"")</f>
        <v>10.184347826086956</v>
      </c>
      <c r="W185" s="18">
        <f>IFERROR(
                  Andel_oberoende_av_klimat*VLOOKUP($A185,Leveranser_per_nät,'Leveranser per nät'!W$1,FALSE)
               +Andel_beroende_av_klimat*VLOOKUP($A185,Leveranser_per_nät,'Leveranser per nät'!W$1,FALSE)/VLOOKUP($B185,Korrigeringsfaktor_EI,'Korrigeringsfaktor EI'!W$1,FALSE),
"")</f>
        <v>11.09421052631579</v>
      </c>
      <c r="X185" s="18">
        <f>IFERROR(
                  Andel_oberoende_av_klimat*VLOOKUP($A185,Leveranser_per_nät,'Leveranser per nät'!X$1,FALSE)
               +Andel_beroende_av_klimat*VLOOKUP($A185,Leveranser_per_nät,'Leveranser per nät'!X$1,FALSE)/VLOOKUP($B185,Korrigeringsfaktor_EI,'Korrigeringsfaktor EI'!X$1,FALSE),
"")</f>
        <v>10.829484536082473</v>
      </c>
      <c r="Y185" s="18">
        <f>IFERROR(
                  Andel_oberoende_av_klimat*VLOOKUP($A185,Leveranser_per_nät,'Leveranser per nät'!Y$1,FALSE)
               +Andel_beroende_av_klimat*VLOOKUP($A185,Leveranser_per_nät,'Leveranser per nät'!Y$1,FALSE)/VLOOKUP($B185,Korrigeringsfaktor_EI,'Korrigeringsfaktor EI'!Y$1,FALSE),
"")</f>
        <v>10.969148936170214</v>
      </c>
      <c r="Z185" s="18">
        <f>IFERROR(
                  Andel_oberoende_av_klimat*VLOOKUP($A185,Leveranser_per_nät,'Leveranser per nät'!Z$1,FALSE)
               +Andel_beroende_av_klimat*VLOOKUP($A185,Leveranser_per_nät,'Leveranser per nät'!Z$1,FALSE)/VLOOKUP($B185,Korrigeringsfaktor_EI,'Korrigeringsfaktor EI'!Z$1,FALSE),
"")</f>
        <v>11.684838709677418</v>
      </c>
      <c r="AA185" s="18">
        <f>IFERROR(
                  Andel_oberoende_av_klimat*VLOOKUP($A185,Leveranser_per_nät,'Leveranser per nät'!AA$1,FALSE)
               +Andel_beroende_av_klimat*VLOOKUP($A185,Leveranser_per_nät,'Leveranser per nät'!AA$1,FALSE)/VLOOKUP($B185,Korrigeringsfaktor_EI,'Korrigeringsfaktor EI'!AA$1,FALSE),
"")</f>
        <v>10.902336874051594</v>
      </c>
      <c r="AB185" s="18">
        <f>IFERROR(
                  Andel_oberoende_av_klimat*VLOOKUP($A185,Leveranser_per_nät,'Leveranser per nät'!AB$1,FALSE)
               +Andel_beroende_av_klimat*VLOOKUP($A185,Leveranser_per_nät,'Leveranser per nät'!AB$1,FALSE)/VLOOKUP($B185,Korrigeringsfaktor_EI,'Korrigeringsfaktor EI'!AB$1,FALSE),
"")</f>
        <v>11.011517412935325</v>
      </c>
      <c r="AC185" s="18">
        <f>IFERROR(
                  Andel_oberoende_av_klimat*VLOOKUP($A185,Leveranser_per_nät,'Leveranser per nät'!AC$1,FALSE)
               +Andel_beroende_av_klimat*VLOOKUP($A185,Leveranser_per_nät,'Leveranser per nät'!AC$1,FALSE)/VLOOKUP($B185,Korrigeringsfaktor_EI,'Korrigeringsfaktor EI'!AC$1,FALSE),
"")</f>
        <v>10.533982206035381</v>
      </c>
      <c r="AD185">
        <v>59.915999999999997</v>
      </c>
    </row>
    <row r="186" spans="1:30" x14ac:dyDescent="0.25">
      <c r="A186" t="s">
        <v>160</v>
      </c>
      <c r="B186" t="s">
        <v>160</v>
      </c>
      <c r="C186" s="18">
        <f>IFERROR(
                  Andel_oberoende_av_klimat*VLOOKUP($A186,Leveranser_per_nät,'Leveranser per nät'!C$1,FALSE)
               +Andel_beroende_av_klimat*VLOOKUP($A186,Leveranser_per_nät,'Leveranser per nät'!C$1,FALSE)/VLOOKUP($B186,Korrigeringsfaktor_EI,'Korrigeringsfaktor EI'!C$1,FALSE),
"")</f>
        <v>534.66363636363633</v>
      </c>
      <c r="D186" s="18">
        <f>IFERROR(
                  Andel_oberoende_av_klimat*VLOOKUP($A186,Leveranser_per_nät,'Leveranser per nät'!D$1,FALSE)
               +Andel_beroende_av_klimat*VLOOKUP($A186,Leveranser_per_nät,'Leveranser per nät'!D$1,FALSE)/VLOOKUP($B186,Korrigeringsfaktor_EI,'Korrigeringsfaktor EI'!D$1,FALSE),
"")</f>
        <v>533.97</v>
      </c>
      <c r="E186" s="18">
        <f>IFERROR(
                  Andel_oberoende_av_klimat*VLOOKUP($A186,Leveranser_per_nät,'Leveranser per nät'!E$1,FALSE)
               +Andel_beroende_av_klimat*VLOOKUP($A186,Leveranser_per_nät,'Leveranser per nät'!E$1,FALSE)/VLOOKUP($B186,Korrigeringsfaktor_EI,'Korrigeringsfaktor EI'!E$1,FALSE),
"")</f>
        <v>531.29999999999995</v>
      </c>
      <c r="F186" s="18">
        <f>IFERROR(
                  Andel_oberoende_av_klimat*VLOOKUP($A186,Leveranser_per_nät,'Leveranser per nät'!F$1,FALSE)
               +Andel_beroende_av_klimat*VLOOKUP($A186,Leveranser_per_nät,'Leveranser per nät'!F$1,FALSE)/VLOOKUP($B186,Korrigeringsfaktor_EI,'Korrigeringsfaktor EI'!F$1,FALSE),
"")</f>
        <v>536.36597938144337</v>
      </c>
      <c r="G186" s="18">
        <f>IFERROR(
                  Andel_oberoende_av_klimat*VLOOKUP($A186,Leveranser_per_nät,'Leveranser per nät'!G$1,FALSE)
               +Andel_beroende_av_klimat*VLOOKUP($A186,Leveranser_per_nät,'Leveranser per nät'!G$1,FALSE)/VLOOKUP($B186,Korrigeringsfaktor_EI,'Korrigeringsfaktor EI'!G$1,FALSE),
"")</f>
        <v>556</v>
      </c>
      <c r="H186" s="18">
        <f>IFERROR(
                  Andel_oberoende_av_klimat*VLOOKUP($A186,Leveranser_per_nät,'Leveranser per nät'!H$1,FALSE)
               +Andel_beroende_av_klimat*VLOOKUP($A186,Leveranser_per_nät,'Leveranser per nät'!H$1,FALSE)/VLOOKUP($B186,Korrigeringsfaktor_EI,'Korrigeringsfaktor EI'!H$1,FALSE),
"")</f>
        <v>569.0287128712871</v>
      </c>
      <c r="I186" s="18">
        <f>IFERROR(
                  Andel_oberoende_av_klimat*VLOOKUP($A186,Leveranser_per_nät,'Leveranser per nät'!I$1,FALSE)
               +Andel_beroende_av_klimat*VLOOKUP($A186,Leveranser_per_nät,'Leveranser per nät'!I$1,FALSE)/VLOOKUP($B186,Korrigeringsfaktor_EI,'Korrigeringsfaktor EI'!I$1,FALSE),
"")</f>
        <v>581.66842105263163</v>
      </c>
      <c r="J186" s="18">
        <f>IFERROR(
                  Andel_oberoende_av_klimat*VLOOKUP($A186,Leveranser_per_nät,'Leveranser per nät'!J$1,FALSE)
               +Andel_beroende_av_klimat*VLOOKUP($A186,Leveranser_per_nät,'Leveranser per nät'!J$1,FALSE)/VLOOKUP($B186,Korrigeringsfaktor_EI,'Korrigeringsfaktor EI'!J$1,FALSE),
"")</f>
        <v>513.88969072164946</v>
      </c>
      <c r="K186" s="18">
        <f>IFERROR(
                  Andel_oberoende_av_klimat*VLOOKUP($A186,Leveranser_per_nät,'Leveranser per nät'!K$1,FALSE)
               +Andel_beroende_av_klimat*VLOOKUP($A186,Leveranser_per_nät,'Leveranser per nät'!K$1,FALSE)/VLOOKUP($B186,Korrigeringsfaktor_EI,'Korrigeringsfaktor EI'!K$1,FALSE),
"")</f>
        <v>602.33201111111111</v>
      </c>
      <c r="L186" s="18">
        <f>IFERROR(
                  Andel_oberoende_av_klimat*VLOOKUP($A186,Leveranser_per_nät,'Leveranser per nät'!L$1,FALSE)
               +Andel_beroende_av_klimat*VLOOKUP($A186,Leveranser_per_nät,'Leveranser per nät'!L$1,FALSE)/VLOOKUP($B186,Korrigeringsfaktor_EI,'Korrigeringsfaktor EI'!L$1,FALSE),
"")</f>
        <v>621.03210000000001</v>
      </c>
      <c r="M186" s="18">
        <f>IFERROR(
                  Andel_oberoende_av_klimat*VLOOKUP($A186,Leveranser_per_nät,'Leveranser per nät'!M$1,FALSE)
               +Andel_beroende_av_klimat*VLOOKUP($A186,Leveranser_per_nät,'Leveranser per nät'!M$1,FALSE)/VLOOKUP($B186,Korrigeringsfaktor_EI,'Korrigeringsfaktor EI'!M$1,FALSE),
"")</f>
        <v>654.39739130434782</v>
      </c>
      <c r="N186" s="18">
        <f>IFERROR(
                  Andel_oberoende_av_klimat*VLOOKUP($A186,Leveranser_per_nät,'Leveranser per nät'!N$1,FALSE)
               +Andel_beroende_av_klimat*VLOOKUP($A186,Leveranser_per_nät,'Leveranser per nät'!N$1,FALSE)/VLOOKUP($B186,Korrigeringsfaktor_EI,'Korrigeringsfaktor EI'!N$1,FALSE),
"")</f>
        <v>555.54150000000004</v>
      </c>
      <c r="O186" s="18">
        <f>IFERROR(
                  Andel_oberoende_av_klimat*VLOOKUP($A186,Leveranser_per_nät,'Leveranser per nät'!O$1,FALSE)
               +Andel_beroende_av_klimat*VLOOKUP($A186,Leveranser_per_nät,'Leveranser per nät'!O$1,FALSE)/VLOOKUP($B186,Korrigeringsfaktor_EI,'Korrigeringsfaktor EI'!O$1,FALSE),
"")</f>
        <v>555.42741573033709</v>
      </c>
      <c r="P186" s="18">
        <f>IFERROR(
                  Andel_oberoende_av_klimat*VLOOKUP($A186,Leveranser_per_nät,'Leveranser per nät'!P$1,FALSE)
               +Andel_beroende_av_klimat*VLOOKUP($A186,Leveranser_per_nät,'Leveranser per nät'!P$1,FALSE)/VLOOKUP($B186,Korrigeringsfaktor_EI,'Korrigeringsfaktor EI'!P$1,FALSE),
"")</f>
        <v>611.17180430107521</v>
      </c>
      <c r="Q186" s="18">
        <f>IFERROR(
                  Andel_oberoende_av_klimat*VLOOKUP($A186,Leveranser_per_nät,'Leveranser per nät'!Q$1,FALSE)
               +Andel_beroende_av_klimat*VLOOKUP($A186,Leveranser_per_nät,'Leveranser per nät'!Q$1,FALSE)/VLOOKUP($B186,Korrigeringsfaktor_EI,'Korrigeringsfaktor EI'!Q$1,FALSE),
"")</f>
        <v>766.10431192660553</v>
      </c>
      <c r="R186" s="18">
        <f>IFERROR(
                  Andel_oberoende_av_klimat*VLOOKUP($A186,Leveranser_per_nät,'Leveranser per nät'!R$1,FALSE)
               +Andel_beroende_av_klimat*VLOOKUP($A186,Leveranser_per_nät,'Leveranser per nät'!R$1,FALSE)/VLOOKUP($B186,Korrigeringsfaktor_EI,'Korrigeringsfaktor EI'!R$1,FALSE),
"")</f>
        <v>726.84255555555558</v>
      </c>
      <c r="S186" s="18">
        <f>IFERROR(
                  Andel_oberoende_av_klimat*VLOOKUP($A186,Leveranser_per_nät,'Leveranser per nät'!S$1,FALSE)
               +Andel_beroende_av_klimat*VLOOKUP($A186,Leveranser_per_nät,'Leveranser per nät'!S$1,FALSE)/VLOOKUP($B186,Korrigeringsfaktor_EI,'Korrigeringsfaktor EI'!S$1,FALSE),
"")</f>
        <v>662.32857142857142</v>
      </c>
      <c r="T186" s="18">
        <f>IFERROR(
                  Andel_oberoende_av_klimat*VLOOKUP($A186,Leveranser_per_nät,'Leveranser per nät'!T$1,FALSE)
               +Andel_beroende_av_klimat*VLOOKUP($A186,Leveranser_per_nät,'Leveranser per nät'!T$1,FALSE)/VLOOKUP($B186,Korrigeringsfaktor_EI,'Korrigeringsfaktor EI'!T$1,FALSE),
"")</f>
        <v>700.50418556701027</v>
      </c>
      <c r="U186" s="18">
        <f>IFERROR(
                  Andel_oberoende_av_klimat*VLOOKUP($A186,Leveranser_per_nät,'Leveranser per nät'!U$1,FALSE)
               +Andel_beroende_av_klimat*VLOOKUP($A186,Leveranser_per_nät,'Leveranser per nät'!U$1,FALSE)/VLOOKUP($B186,Korrigeringsfaktor_EI,'Korrigeringsfaktor EI'!U$1,FALSE),
"")</f>
        <v>684.30932183908044</v>
      </c>
      <c r="V186" s="18">
        <f>IFERROR(
                  Andel_oberoende_av_klimat*VLOOKUP($A186,Leveranser_per_nät,'Leveranser per nät'!V$1,FALSE)
               +Andel_beroende_av_klimat*VLOOKUP($A186,Leveranser_per_nät,'Leveranser per nät'!V$1,FALSE)/VLOOKUP($B186,Korrigeringsfaktor_EI,'Korrigeringsfaktor EI'!V$1,FALSE),
"")</f>
        <v>686.0147898876404</v>
      </c>
      <c r="W186" s="18">
        <f>IFERROR(
                  Andel_oberoende_av_klimat*VLOOKUP($A186,Leveranser_per_nät,'Leveranser per nät'!W$1,FALSE)
               +Andel_beroende_av_klimat*VLOOKUP($A186,Leveranser_per_nät,'Leveranser per nät'!W$1,FALSE)/VLOOKUP($B186,Korrigeringsfaktor_EI,'Korrigeringsfaktor EI'!W$1,FALSE),
"")</f>
        <v>729.54284210526316</v>
      </c>
      <c r="X186" s="18">
        <f>IFERROR(
                  Andel_oberoende_av_klimat*VLOOKUP($A186,Leveranser_per_nät,'Leveranser per nät'!X$1,FALSE)
               +Andel_beroende_av_klimat*VLOOKUP($A186,Leveranser_per_nät,'Leveranser per nät'!X$1,FALSE)/VLOOKUP($B186,Korrigeringsfaktor_EI,'Korrigeringsfaktor EI'!X$1,FALSE),
"")</f>
        <v>733.41837634408603</v>
      </c>
      <c r="Y186" s="18">
        <f>IFERROR(
                  Andel_oberoende_av_klimat*VLOOKUP($A186,Leveranser_per_nät,'Leveranser per nät'!Y$1,FALSE)
               +Andel_beroende_av_klimat*VLOOKUP($A186,Leveranser_per_nät,'Leveranser per nät'!Y$1,FALSE)/VLOOKUP($B186,Korrigeringsfaktor_EI,'Korrigeringsfaktor EI'!Y$1,FALSE),
"")</f>
        <v>772.12233707865164</v>
      </c>
      <c r="Z186" s="18">
        <f>IFERROR(
                  Andel_oberoende_av_klimat*VLOOKUP($A186,Leveranser_per_nät,'Leveranser per nät'!Z$1,FALSE)
               +Andel_beroende_av_klimat*VLOOKUP($A186,Leveranser_per_nät,'Leveranser per nät'!Z$1,FALSE)/VLOOKUP($B186,Korrigeringsfaktor_EI,'Korrigeringsfaktor EI'!Z$1,FALSE),
"")</f>
        <v>746.90466436781617</v>
      </c>
      <c r="AA186" s="18">
        <f>IFERROR(
                  Andel_oberoende_av_klimat*VLOOKUP($A186,Leveranser_per_nät,'Leveranser per nät'!AA$1,FALSE)
               +Andel_beroende_av_klimat*VLOOKUP($A186,Leveranser_per_nät,'Leveranser per nät'!AA$1,FALSE)/VLOOKUP($B186,Korrigeringsfaktor_EI,'Korrigeringsfaktor EI'!AA$1,FALSE),
"")</f>
        <v>719.28941810233994</v>
      </c>
      <c r="AB186" s="18">
        <f>IFERROR(
                  Andel_oberoende_av_klimat*VLOOKUP($A186,Leveranser_per_nät,'Leveranser per nät'!AB$1,FALSE)
               +Andel_beroende_av_klimat*VLOOKUP($A186,Leveranser_per_nät,'Leveranser per nät'!AB$1,FALSE)/VLOOKUP($B186,Korrigeringsfaktor_EI,'Korrigeringsfaktor EI'!AB$1,FALSE),
"")</f>
        <v>761.44011919191928</v>
      </c>
      <c r="AC186" s="18">
        <f>IFERROR(
                  Andel_oberoende_av_klimat*VLOOKUP($A186,Leveranser_per_nät,'Leveranser per nät'!AC$1,FALSE)
               +Andel_beroende_av_klimat*VLOOKUP($A186,Leveranser_per_nät,'Leveranser per nät'!AC$1,FALSE)/VLOOKUP($B186,Korrigeringsfaktor_EI,'Korrigeringsfaktor EI'!AC$1,FALSE),
"")</f>
        <v>749.0167405609493</v>
      </c>
      <c r="AD186">
        <v>711.67200000000003</v>
      </c>
    </row>
    <row r="187" spans="1:30" x14ac:dyDescent="0.25">
      <c r="A187" t="s">
        <v>267</v>
      </c>
      <c r="B187" t="s">
        <v>230</v>
      </c>
      <c r="C187" s="18">
        <f>IFERROR(
                  Andel_oberoende_av_klimat*VLOOKUP($A187,Leveranser_per_nät,'Leveranser per nät'!C$1,FALSE)
               +Andel_beroende_av_klimat*VLOOKUP($A187,Leveranser_per_nät,'Leveranser per nät'!C$1,FALSE)/VLOOKUP($B187,Korrigeringsfaktor_EI,'Korrigeringsfaktor EI'!C$1,FALSE),
"")</f>
        <v>0</v>
      </c>
      <c r="D187" s="18">
        <f>IFERROR(
                  Andel_oberoende_av_klimat*VLOOKUP($A187,Leveranser_per_nät,'Leveranser per nät'!D$1,FALSE)
               +Andel_beroende_av_klimat*VLOOKUP($A187,Leveranser_per_nät,'Leveranser per nät'!D$1,FALSE)/VLOOKUP($B187,Korrigeringsfaktor_EI,'Korrigeringsfaktor EI'!D$1,FALSE),
"")</f>
        <v>0</v>
      </c>
      <c r="E187" s="18">
        <f>IFERROR(
                  Andel_oberoende_av_klimat*VLOOKUP($A187,Leveranser_per_nät,'Leveranser per nät'!E$1,FALSE)
               +Andel_beroende_av_klimat*VLOOKUP($A187,Leveranser_per_nät,'Leveranser per nät'!E$1,FALSE)/VLOOKUP($B187,Korrigeringsfaktor_EI,'Korrigeringsfaktor EI'!E$1,FALSE),
"")</f>
        <v>0</v>
      </c>
      <c r="F187" s="18">
        <f>IFERROR(
                  Andel_oberoende_av_klimat*VLOOKUP($A187,Leveranser_per_nät,'Leveranser per nät'!F$1,FALSE)
               +Andel_beroende_av_klimat*VLOOKUP($A187,Leveranser_per_nät,'Leveranser per nät'!F$1,FALSE)/VLOOKUP($B187,Korrigeringsfaktor_EI,'Korrigeringsfaktor EI'!F$1,FALSE),
"")</f>
        <v>1</v>
      </c>
      <c r="G187" s="18">
        <f>IFERROR(
                  Andel_oberoende_av_klimat*VLOOKUP($A187,Leveranser_per_nät,'Leveranser per nät'!G$1,FALSE)
               +Andel_beroende_av_klimat*VLOOKUP($A187,Leveranser_per_nät,'Leveranser per nät'!G$1,FALSE)/VLOOKUP($B187,Korrigeringsfaktor_EI,'Korrigeringsfaktor EI'!G$1,FALSE),
"")</f>
        <v>1.0777777777777777</v>
      </c>
      <c r="H187" s="18">
        <f>IFERROR(
                  Andel_oberoende_av_klimat*VLOOKUP($A187,Leveranser_per_nät,'Leveranser per nät'!H$1,FALSE)
               +Andel_beroende_av_klimat*VLOOKUP($A187,Leveranser_per_nät,'Leveranser per nät'!H$1,FALSE)/VLOOKUP($B187,Korrigeringsfaktor_EI,'Korrigeringsfaktor EI'!H$1,FALSE),
"")</f>
        <v>5.6297099009900986</v>
      </c>
      <c r="I187" s="18">
        <f>IFERROR(
                  Andel_oberoende_av_klimat*VLOOKUP($A187,Leveranser_per_nät,'Leveranser per nät'!I$1,FALSE)
               +Andel_beroende_av_klimat*VLOOKUP($A187,Leveranser_per_nät,'Leveranser per nät'!I$1,FALSE)/VLOOKUP($B187,Korrigeringsfaktor_EI,'Korrigeringsfaktor EI'!I$1,FALSE),
"")</f>
        <v>5.0714285714285721</v>
      </c>
      <c r="J187" s="18">
        <f>IFERROR(
                  Andel_oberoende_av_klimat*VLOOKUP($A187,Leveranser_per_nät,'Leveranser per nät'!J$1,FALSE)
               +Andel_beroende_av_klimat*VLOOKUP($A187,Leveranser_per_nät,'Leveranser per nät'!J$1,FALSE)/VLOOKUP($B187,Korrigeringsfaktor_EI,'Korrigeringsfaktor EI'!J$1,FALSE),
"")</f>
        <v>5.1458333333333339</v>
      </c>
      <c r="K187" s="18">
        <f>IFERROR(
                  Andel_oberoende_av_klimat*VLOOKUP($A187,Leveranser_per_nät,'Leveranser per nät'!K$1,FALSE)
               +Andel_beroende_av_klimat*VLOOKUP($A187,Leveranser_per_nät,'Leveranser per nät'!K$1,FALSE)/VLOOKUP($B187,Korrigeringsfaktor_EI,'Korrigeringsfaktor EI'!K$1,FALSE),
"")</f>
        <v>5.4943999999999997</v>
      </c>
      <c r="L187" s="18">
        <f>IFERROR(
                  Andel_oberoende_av_klimat*VLOOKUP($A187,Leveranser_per_nät,'Leveranser per nät'!L$1,FALSE)
               +Andel_beroende_av_klimat*VLOOKUP($A187,Leveranser_per_nät,'Leveranser per nät'!L$1,FALSE)/VLOOKUP($B187,Korrigeringsfaktor_EI,'Korrigeringsfaktor EI'!L$1,FALSE),
"")</f>
        <v>5.3679880851063828</v>
      </c>
      <c r="M187" s="18">
        <f>IFERROR(
                  Andel_oberoende_av_klimat*VLOOKUP($A187,Leveranser_per_nät,'Leveranser per nät'!M$1,FALSE)
               +Andel_beroende_av_klimat*VLOOKUP($A187,Leveranser_per_nät,'Leveranser per nät'!M$1,FALSE)/VLOOKUP($B187,Korrigeringsfaktor_EI,'Korrigeringsfaktor EI'!M$1,FALSE),
"")</f>
        <v>5.642408602150538</v>
      </c>
      <c r="N187" s="18">
        <f>IFERROR(
                  Andel_oberoende_av_klimat*VLOOKUP($A187,Leveranser_per_nät,'Leveranser per nät'!N$1,FALSE)
               +Andel_beroende_av_klimat*VLOOKUP($A187,Leveranser_per_nät,'Leveranser per nät'!N$1,FALSE)/VLOOKUP($B187,Korrigeringsfaktor_EI,'Korrigeringsfaktor EI'!N$1,FALSE),
"")</f>
        <v>5.5564368421052635</v>
      </c>
      <c r="O187" s="18">
        <f>IFERROR(
                  Andel_oberoende_av_klimat*VLOOKUP($A187,Leveranser_per_nät,'Leveranser per nät'!O$1,FALSE)
               +Andel_beroende_av_klimat*VLOOKUP($A187,Leveranser_per_nät,'Leveranser per nät'!O$1,FALSE)/VLOOKUP($B187,Korrigeringsfaktor_EI,'Korrigeringsfaktor EI'!O$1,FALSE),
"")</f>
        <v>5.5616166666666667</v>
      </c>
      <c r="P187" s="18">
        <f>IFERROR(
                  Andel_oberoende_av_klimat*VLOOKUP($A187,Leveranser_per_nät,'Leveranser per nät'!P$1,FALSE)
               +Andel_beroende_av_klimat*VLOOKUP($A187,Leveranser_per_nät,'Leveranser per nät'!P$1,FALSE)/VLOOKUP($B187,Korrigeringsfaktor_EI,'Korrigeringsfaktor EI'!P$1,FALSE),
"")</f>
        <v>5.5526649484536081</v>
      </c>
      <c r="Q187" s="18">
        <f>IFERROR(
                  Andel_oberoende_av_klimat*VLOOKUP($A187,Leveranser_per_nät,'Leveranser per nät'!Q$1,FALSE)
               +Andel_beroende_av_klimat*VLOOKUP($A187,Leveranser_per_nät,'Leveranser per nät'!Q$1,FALSE)/VLOOKUP($B187,Korrigeringsfaktor_EI,'Korrigeringsfaktor EI'!Q$1,FALSE),
"")</f>
        <v>5.2961165137614676</v>
      </c>
      <c r="R187" s="18">
        <f>IFERROR(
                  Andel_oberoende_av_klimat*VLOOKUP($A187,Leveranser_per_nät,'Leveranser per nät'!R$1,FALSE)
               +Andel_beroende_av_klimat*VLOOKUP($A187,Leveranser_per_nät,'Leveranser per nät'!R$1,FALSE)/VLOOKUP($B187,Korrigeringsfaktor_EI,'Korrigeringsfaktor EI'!R$1,FALSE),
"")</f>
        <v>5.3679999999999994</v>
      </c>
      <c r="S187" s="18">
        <f>IFERROR(
                  Andel_oberoende_av_klimat*VLOOKUP($A187,Leveranser_per_nät,'Leveranser per nät'!S$1,FALSE)
               +Andel_beroende_av_klimat*VLOOKUP($A187,Leveranser_per_nät,'Leveranser per nät'!S$1,FALSE)/VLOOKUP($B187,Korrigeringsfaktor_EI,'Korrigeringsfaktor EI'!S$1,FALSE),
"")</f>
        <v>6.43</v>
      </c>
      <c r="T187" s="18">
        <f>IFERROR(
                  Andel_oberoende_av_klimat*VLOOKUP($A187,Leveranser_per_nät,'Leveranser per nät'!T$1,FALSE)
               +Andel_beroende_av_klimat*VLOOKUP($A187,Leveranser_per_nät,'Leveranser per nät'!T$1,FALSE)/VLOOKUP($B187,Korrigeringsfaktor_EI,'Korrigeringsfaktor EI'!T$1,FALSE),
"")</f>
        <v>5.9803215053763434</v>
      </c>
      <c r="U187" s="18">
        <f>IFERROR(
                  Andel_oberoende_av_klimat*VLOOKUP($A187,Leveranser_per_nät,'Leveranser per nät'!U$1,FALSE)
               +Andel_beroende_av_klimat*VLOOKUP($A187,Leveranser_per_nät,'Leveranser per nät'!U$1,FALSE)/VLOOKUP($B187,Korrigeringsfaktor_EI,'Korrigeringsfaktor EI'!U$1,FALSE),
"")</f>
        <v>6.7639538461538455</v>
      </c>
      <c r="V187" s="18">
        <f>IFERROR(
                  Andel_oberoende_av_klimat*VLOOKUP($A187,Leveranser_per_nät,'Leveranser per nät'!V$1,FALSE)
               +Andel_beroende_av_klimat*VLOOKUP($A187,Leveranser_per_nät,'Leveranser per nät'!V$1,FALSE)/VLOOKUP($B187,Korrigeringsfaktor_EI,'Korrigeringsfaktor EI'!V$1,FALSE),
"")</f>
        <v>6.6722999999999999</v>
      </c>
      <c r="W187" s="18">
        <f>IFERROR(
                  Andel_oberoende_av_klimat*VLOOKUP($A187,Leveranser_per_nät,'Leveranser per nät'!W$1,FALSE)
               +Andel_beroende_av_klimat*VLOOKUP($A187,Leveranser_per_nät,'Leveranser per nät'!W$1,FALSE)/VLOOKUP($B187,Korrigeringsfaktor_EI,'Korrigeringsfaktor EI'!W$1,FALSE),
"")</f>
        <v>6.7044285714285721</v>
      </c>
      <c r="X187" s="18">
        <f>IFERROR(
                  Andel_oberoende_av_klimat*VLOOKUP($A187,Leveranser_per_nät,'Leveranser per nät'!X$1,FALSE)
               +Andel_beroende_av_klimat*VLOOKUP($A187,Leveranser_per_nät,'Leveranser per nät'!X$1,FALSE)/VLOOKUP($B187,Korrigeringsfaktor_EI,'Korrigeringsfaktor EI'!X$1,FALSE),
"")</f>
        <v>6.7500381443298973</v>
      </c>
      <c r="Y187" s="18">
        <f>IFERROR(
                  Andel_oberoende_av_klimat*VLOOKUP($A187,Leveranser_per_nät,'Leveranser per nät'!Y$1,FALSE)
               +Andel_beroende_av_klimat*VLOOKUP($A187,Leveranser_per_nät,'Leveranser per nät'!Y$1,FALSE)/VLOOKUP($B187,Korrigeringsfaktor_EI,'Korrigeringsfaktor EI'!Y$1,FALSE),
"")</f>
        <v>7.0703750000000003</v>
      </c>
      <c r="Z187" s="18">
        <f>IFERROR(
                  Andel_oberoende_av_klimat*VLOOKUP($A187,Leveranser_per_nät,'Leveranser per nät'!Z$1,FALSE)
               +Andel_beroende_av_klimat*VLOOKUP($A187,Leveranser_per_nät,'Leveranser per nät'!Z$1,FALSE)/VLOOKUP($B187,Korrigeringsfaktor_EI,'Korrigeringsfaktor EI'!Z$1,FALSE),
"")</f>
        <v>6.3606585858585856</v>
      </c>
      <c r="AA187" s="18">
        <f>IFERROR(
                  Andel_oberoende_av_klimat*VLOOKUP($A187,Leveranser_per_nät,'Leveranser per nät'!AA$1,FALSE)
               +Andel_beroende_av_klimat*VLOOKUP($A187,Leveranser_per_nät,'Leveranser per nät'!AA$1,FALSE)/VLOOKUP($B187,Korrigeringsfaktor_EI,'Korrigeringsfaktor EI'!AA$1,FALSE),
"")</f>
        <v>6.3546979142965494</v>
      </c>
      <c r="AB187" s="18">
        <f>IFERROR(
                  Andel_oberoende_av_klimat*VLOOKUP($A187,Leveranser_per_nät,'Leveranser per nät'!AB$1,FALSE)
               +Andel_beroende_av_klimat*VLOOKUP($A187,Leveranser_per_nät,'Leveranser per nät'!AB$1,FALSE)/VLOOKUP($B187,Korrigeringsfaktor_EI,'Korrigeringsfaktor EI'!AB$1,FALSE),
"")</f>
        <v>5.7714330468749999</v>
      </c>
      <c r="AC187" s="18">
        <f>IFERROR(
                  Andel_oberoende_av_klimat*VLOOKUP($A187,Leveranser_per_nät,'Leveranser per nät'!AC$1,FALSE)
               +Andel_beroende_av_klimat*VLOOKUP($A187,Leveranser_per_nät,'Leveranser per nät'!AC$1,FALSE)/VLOOKUP($B187,Korrigeringsfaktor_EI,'Korrigeringsfaktor EI'!AC$1,FALSE),
"")</f>
        <v>5.5513936743215027</v>
      </c>
      <c r="AD187">
        <v>240.6</v>
      </c>
    </row>
    <row r="188" spans="1:30" x14ac:dyDescent="0.25">
      <c r="A188" t="s">
        <v>346</v>
      </c>
      <c r="B188" t="s">
        <v>346</v>
      </c>
      <c r="C188" s="18">
        <f>IFERROR(
                  Andel_oberoende_av_klimat*VLOOKUP($A188,Leveranser_per_nät,'Leveranser per nät'!C$1,FALSE)
               +Andel_beroende_av_klimat*VLOOKUP($A188,Leveranser_per_nät,'Leveranser per nät'!C$1,FALSE)/VLOOKUP($B188,Korrigeringsfaktor_EI,'Korrigeringsfaktor EI'!C$1,FALSE),
"")</f>
        <v>58.644868627450975</v>
      </c>
      <c r="D188" s="18">
        <f>IFERROR(
                  Andel_oberoende_av_klimat*VLOOKUP($A188,Leveranser_per_nät,'Leveranser per nät'!D$1,FALSE)
               +Andel_beroende_av_klimat*VLOOKUP($A188,Leveranser_per_nät,'Leveranser per nät'!D$1,FALSE)/VLOOKUP($B188,Korrigeringsfaktor_EI,'Korrigeringsfaktor EI'!D$1,FALSE),
"")</f>
        <v>67.293000000000006</v>
      </c>
      <c r="E188" s="18">
        <f>IFERROR(
                  Andel_oberoende_av_klimat*VLOOKUP($A188,Leveranser_per_nät,'Leveranser per nät'!E$1,FALSE)
               +Andel_beroende_av_klimat*VLOOKUP($A188,Leveranser_per_nät,'Leveranser per nät'!E$1,FALSE)/VLOOKUP($B188,Korrigeringsfaktor_EI,'Korrigeringsfaktor EI'!E$1,FALSE),
"")</f>
        <v>89.989279245283015</v>
      </c>
      <c r="F188" s="18">
        <f>IFERROR(
                  Andel_oberoende_av_klimat*VLOOKUP($A188,Leveranser_per_nät,'Leveranser per nät'!F$1,FALSE)
               +Andel_beroende_av_klimat*VLOOKUP($A188,Leveranser_per_nät,'Leveranser per nät'!F$1,FALSE)/VLOOKUP($B188,Korrigeringsfaktor_EI,'Korrigeringsfaktor EI'!F$1,FALSE),
"")</f>
        <v>92.975120792079196</v>
      </c>
      <c r="G188" s="18">
        <f>IFERROR(
                  Andel_oberoende_av_klimat*VLOOKUP($A188,Leveranser_per_nät,'Leveranser per nät'!G$1,FALSE)
               +Andel_beroende_av_klimat*VLOOKUP($A188,Leveranser_per_nät,'Leveranser per nät'!G$1,FALSE)/VLOOKUP($B188,Korrigeringsfaktor_EI,'Korrigeringsfaktor EI'!G$1,FALSE),
"")</f>
        <v>92.97659574468085</v>
      </c>
      <c r="H188" s="18">
        <f>IFERROR(
                  Andel_oberoende_av_klimat*VLOOKUP($A188,Leveranser_per_nät,'Leveranser per nät'!H$1,FALSE)
               +Andel_beroende_av_klimat*VLOOKUP($A188,Leveranser_per_nät,'Leveranser per nät'!H$1,FALSE)/VLOOKUP($B188,Korrigeringsfaktor_EI,'Korrigeringsfaktor EI'!H$1,FALSE),
"")</f>
        <v>99.7</v>
      </c>
      <c r="I188" s="18">
        <f>IFERROR(
                  Andel_oberoende_av_klimat*VLOOKUP($A188,Leveranser_per_nät,'Leveranser per nät'!I$1,FALSE)
               +Andel_beroende_av_klimat*VLOOKUP($A188,Leveranser_per_nät,'Leveranser per nät'!I$1,FALSE)/VLOOKUP($B188,Korrigeringsfaktor_EI,'Korrigeringsfaktor EI'!I$1,FALSE),
"")</f>
        <v>96.357142857142861</v>
      </c>
      <c r="J188" s="18">
        <f>IFERROR(
                  Andel_oberoende_av_klimat*VLOOKUP($A188,Leveranser_per_nät,'Leveranser per nät'!J$1,FALSE)
               +Andel_beroende_av_klimat*VLOOKUP($A188,Leveranser_per_nät,'Leveranser per nät'!J$1,FALSE)/VLOOKUP($B188,Korrigeringsfaktor_EI,'Korrigeringsfaktor EI'!J$1,FALSE),
"")</f>
        <v>98.83087500000002</v>
      </c>
      <c r="K188" s="18">
        <f>IFERROR(
                  Andel_oberoende_av_klimat*VLOOKUP($A188,Leveranser_per_nät,'Leveranser per nät'!K$1,FALSE)
               +Andel_beroende_av_klimat*VLOOKUP($A188,Leveranser_per_nät,'Leveranser per nät'!K$1,FALSE)/VLOOKUP($B188,Korrigeringsfaktor_EI,'Korrigeringsfaktor EI'!K$1,FALSE),
"")</f>
        <v>97.416970707070718</v>
      </c>
      <c r="L188" s="18">
        <f>IFERROR(
                  Andel_oberoende_av_klimat*VLOOKUP($A188,Leveranser_per_nät,'Leveranser per nät'!L$1,FALSE)
               +Andel_beroende_av_klimat*VLOOKUP($A188,Leveranser_per_nät,'Leveranser per nät'!L$1,FALSE)/VLOOKUP($B188,Korrigeringsfaktor_EI,'Korrigeringsfaktor EI'!L$1,FALSE),
"")</f>
        <v>101.82968494623655</v>
      </c>
      <c r="M188" s="18">
        <f>IFERROR(
                  Andel_oberoende_av_klimat*VLOOKUP($A188,Leveranser_per_nät,'Leveranser per nät'!M$1,FALSE)
               +Andel_beroende_av_klimat*VLOOKUP($A188,Leveranser_per_nät,'Leveranser per nät'!M$1,FALSE)/VLOOKUP($B188,Korrigeringsfaktor_EI,'Korrigeringsfaktor EI'!M$1,FALSE),
"")</f>
        <v>94.456315789473678</v>
      </c>
      <c r="N188" s="18">
        <f>IFERROR(
                  Andel_oberoende_av_klimat*VLOOKUP($A188,Leveranser_per_nät,'Leveranser per nät'!N$1,FALSE)
               +Andel_beroende_av_klimat*VLOOKUP($A188,Leveranser_per_nät,'Leveranser per nät'!N$1,FALSE)/VLOOKUP($B188,Korrigeringsfaktor_EI,'Korrigeringsfaktor EI'!N$1,FALSE),
"")</f>
        <v>89.947021276595734</v>
      </c>
      <c r="O188" s="18">
        <f>IFERROR(
                  Andel_oberoende_av_klimat*VLOOKUP($A188,Leveranser_per_nät,'Leveranser per nät'!O$1,FALSE)
               +Andel_beroende_av_klimat*VLOOKUP($A188,Leveranser_per_nät,'Leveranser per nät'!O$1,FALSE)/VLOOKUP($B188,Korrigeringsfaktor_EI,'Korrigeringsfaktor EI'!O$1,FALSE),
"")</f>
        <v>92.175263157894733</v>
      </c>
      <c r="P188" s="18">
        <f>IFERROR(
                  Andel_oberoende_av_klimat*VLOOKUP($A188,Leveranser_per_nät,'Leveranser per nät'!P$1,FALSE)
               +Andel_beroende_av_klimat*VLOOKUP($A188,Leveranser_per_nät,'Leveranser per nät'!P$1,FALSE)/VLOOKUP($B188,Korrigeringsfaktor_EI,'Korrigeringsfaktor EI'!P$1,FALSE),
"")</f>
        <v>96.01157894736842</v>
      </c>
      <c r="Q188" s="18">
        <f>IFERROR(
                  Andel_oberoende_av_klimat*VLOOKUP($A188,Leveranser_per_nät,'Leveranser per nät'!Q$1,FALSE)
               +Andel_beroende_av_klimat*VLOOKUP($A188,Leveranser_per_nät,'Leveranser per nät'!Q$1,FALSE)/VLOOKUP($B188,Korrigeringsfaktor_EI,'Korrigeringsfaktor EI'!Q$1,FALSE),
"")</f>
        <v>100.64754716981133</v>
      </c>
      <c r="R188" s="18">
        <f>IFERROR(
                  Andel_oberoende_av_klimat*VLOOKUP($A188,Leveranser_per_nät,'Leveranser per nät'!R$1,FALSE)
               +Andel_beroende_av_klimat*VLOOKUP($A188,Leveranser_per_nät,'Leveranser per nät'!R$1,FALSE)/VLOOKUP($B188,Korrigeringsfaktor_EI,'Korrigeringsfaktor EI'!R$1,FALSE),
"")</f>
        <v>96.008695652173913</v>
      </c>
      <c r="S188" s="18">
        <f>IFERROR(
                  Andel_oberoende_av_klimat*VLOOKUP($A188,Leveranser_per_nät,'Leveranser per nät'!S$1,FALSE)
               +Andel_beroende_av_klimat*VLOOKUP($A188,Leveranser_per_nät,'Leveranser per nät'!S$1,FALSE)/VLOOKUP($B188,Korrigeringsfaktor_EI,'Korrigeringsfaktor EI'!S$1,FALSE),
"")</f>
        <v>97.320792079207919</v>
      </c>
      <c r="T188" s="18">
        <f>IFERROR(
                  Andel_oberoende_av_klimat*VLOOKUP($A188,Leveranser_per_nät,'Leveranser per nät'!T$1,FALSE)
               +Andel_beroende_av_klimat*VLOOKUP($A188,Leveranser_per_nät,'Leveranser per nät'!T$1,FALSE)/VLOOKUP($B188,Korrigeringsfaktor_EI,'Korrigeringsfaktor EI'!T$1,FALSE),
"")</f>
        <v>100.91617021276595</v>
      </c>
      <c r="U188" s="18">
        <f>IFERROR(
                  Andel_oberoende_av_klimat*VLOOKUP($A188,Leveranser_per_nät,'Leveranser per nät'!U$1,FALSE)
               +Andel_beroende_av_klimat*VLOOKUP($A188,Leveranser_per_nät,'Leveranser per nät'!U$1,FALSE)/VLOOKUP($B188,Korrigeringsfaktor_EI,'Korrigeringsfaktor EI'!U$1,FALSE),
"")</f>
        <v>100.18692307692308</v>
      </c>
      <c r="V188" s="18">
        <f>IFERROR(
                  Andel_oberoende_av_klimat*VLOOKUP($A188,Leveranser_per_nät,'Leveranser per nät'!V$1,FALSE)
               +Andel_beroende_av_klimat*VLOOKUP($A188,Leveranser_per_nät,'Leveranser per nät'!V$1,FALSE)/VLOOKUP($B188,Korrigeringsfaktor_EI,'Korrigeringsfaktor EI'!V$1,FALSE),
"")</f>
        <v>103.32666629213483</v>
      </c>
      <c r="W188" s="18">
        <f>IFERROR(
                  Andel_oberoende_av_klimat*VLOOKUP($A188,Leveranser_per_nät,'Leveranser per nät'!W$1,FALSE)
               +Andel_beroende_av_klimat*VLOOKUP($A188,Leveranser_per_nät,'Leveranser per nät'!W$1,FALSE)/VLOOKUP($B188,Korrigeringsfaktor_EI,'Korrigeringsfaktor EI'!W$1,FALSE),
"")</f>
        <v>101.16708333333332</v>
      </c>
      <c r="X188" s="18">
        <f>IFERROR(
                  Andel_oberoende_av_klimat*VLOOKUP($A188,Leveranser_per_nät,'Leveranser per nät'!X$1,FALSE)
               +Andel_beroende_av_klimat*VLOOKUP($A188,Leveranser_per_nät,'Leveranser per nät'!X$1,FALSE)/VLOOKUP($B188,Korrigeringsfaktor_EI,'Korrigeringsfaktor EI'!X$1,FALSE),
"")</f>
        <v>106.75956565656566</v>
      </c>
      <c r="Y188" s="18">
        <f>IFERROR(
                  Andel_oberoende_av_klimat*VLOOKUP($A188,Leveranser_per_nät,'Leveranser per nät'!Y$1,FALSE)
               +Andel_beroende_av_klimat*VLOOKUP($A188,Leveranser_per_nät,'Leveranser per nät'!Y$1,FALSE)/VLOOKUP($B188,Korrigeringsfaktor_EI,'Korrigeringsfaktor EI'!Y$1,FALSE),
"")</f>
        <v>111.25291666666666</v>
      </c>
      <c r="Z188" s="18">
        <f>IFERROR(
                  Andel_oberoende_av_klimat*VLOOKUP($A188,Leveranser_per_nät,'Leveranser per nät'!Z$1,FALSE)
               +Andel_beroende_av_klimat*VLOOKUP($A188,Leveranser_per_nät,'Leveranser per nät'!Z$1,FALSE)/VLOOKUP($B188,Korrigeringsfaktor_EI,'Korrigeringsfaktor EI'!Z$1,FALSE),
"")</f>
        <v>91.765471428571431</v>
      </c>
      <c r="AA188" s="18">
        <f>IFERROR(
                  Andel_oberoende_av_klimat*VLOOKUP($A188,Leveranser_per_nät,'Leveranser per nät'!AA$1,FALSE)
               +Andel_beroende_av_klimat*VLOOKUP($A188,Leveranser_per_nät,'Leveranser per nät'!AA$1,FALSE)/VLOOKUP($B188,Korrigeringsfaktor_EI,'Korrigeringsfaktor EI'!AA$1,FALSE),
"")</f>
        <v>79.336082391542107</v>
      </c>
      <c r="AB188" s="18">
        <f>IFERROR(
                  Andel_oberoende_av_klimat*VLOOKUP($A188,Leveranser_per_nät,'Leveranser per nät'!AB$1,FALSE)
               +Andel_beroende_av_klimat*VLOOKUP($A188,Leveranser_per_nät,'Leveranser per nät'!AB$1,FALSE)/VLOOKUP($B188,Korrigeringsfaktor_EI,'Korrigeringsfaktor EI'!AB$1,FALSE),
"")</f>
        <v>92.804694471387023</v>
      </c>
      <c r="AC188" s="18">
        <f>IFERROR(
                  Andel_oberoende_av_klimat*VLOOKUP($A188,Leveranser_per_nät,'Leveranser per nät'!AC$1,FALSE)
               +Andel_beroende_av_klimat*VLOOKUP($A188,Leveranser_per_nät,'Leveranser per nät'!AC$1,FALSE)/VLOOKUP($B188,Korrigeringsfaktor_EI,'Korrigeringsfaktor EI'!AC$1,FALSE),
"")</f>
        <v>92.35711340206187</v>
      </c>
      <c r="AD188">
        <v>90.4</v>
      </c>
    </row>
    <row r="189" spans="1:30" x14ac:dyDescent="0.25">
      <c r="A189" t="s">
        <v>251</v>
      </c>
      <c r="B189" t="s">
        <v>507</v>
      </c>
      <c r="C189" s="18">
        <f>IFERROR(
                  Andel_oberoende_av_klimat*VLOOKUP($A189,Leveranser_per_nät,'Leveranser per nät'!C$1,FALSE)
               +Andel_beroende_av_klimat*VLOOKUP($A189,Leveranser_per_nät,'Leveranser per nät'!C$1,FALSE)/VLOOKUP($B189,Korrigeringsfaktor_EI,'Korrigeringsfaktor EI'!C$1,FALSE),
"")</f>
        <v>0</v>
      </c>
      <c r="D189" s="18">
        <f>IFERROR(
                  Andel_oberoende_av_klimat*VLOOKUP($A189,Leveranser_per_nät,'Leveranser per nät'!D$1,FALSE)
               +Andel_beroende_av_klimat*VLOOKUP($A189,Leveranser_per_nät,'Leveranser per nät'!D$1,FALSE)/VLOOKUP($B189,Korrigeringsfaktor_EI,'Korrigeringsfaktor EI'!D$1,FALSE),
"")</f>
        <v>0</v>
      </c>
      <c r="E189" s="18">
        <f>IFERROR(
                  Andel_oberoende_av_klimat*VLOOKUP($A189,Leveranser_per_nät,'Leveranser per nät'!E$1,FALSE)
               +Andel_beroende_av_klimat*VLOOKUP($A189,Leveranser_per_nät,'Leveranser per nät'!E$1,FALSE)/VLOOKUP($B189,Korrigeringsfaktor_EI,'Korrigeringsfaktor EI'!E$1,FALSE),
"")</f>
        <v>0</v>
      </c>
      <c r="F189" s="18">
        <f>IFERROR(
                  Andel_oberoende_av_klimat*VLOOKUP($A189,Leveranser_per_nät,'Leveranser per nät'!F$1,FALSE)
               +Andel_beroende_av_klimat*VLOOKUP($A189,Leveranser_per_nät,'Leveranser per nät'!F$1,FALSE)/VLOOKUP($B189,Korrigeringsfaktor_EI,'Korrigeringsfaktor EI'!F$1,FALSE),
"")</f>
        <v>0</v>
      </c>
      <c r="G189" s="18">
        <f>IFERROR(
                  Andel_oberoende_av_klimat*VLOOKUP($A189,Leveranser_per_nät,'Leveranser per nät'!G$1,FALSE)
               +Andel_beroende_av_klimat*VLOOKUP($A189,Leveranser_per_nät,'Leveranser per nät'!G$1,FALSE)/VLOOKUP($B189,Korrigeringsfaktor_EI,'Korrigeringsfaktor EI'!G$1,FALSE),
"")</f>
        <v>0</v>
      </c>
      <c r="H189" s="18">
        <f>IFERROR(
                  Andel_oberoende_av_klimat*VLOOKUP($A189,Leveranser_per_nät,'Leveranser per nät'!H$1,FALSE)
               +Andel_beroende_av_klimat*VLOOKUP($A189,Leveranser_per_nät,'Leveranser per nät'!H$1,FALSE)/VLOOKUP($B189,Korrigeringsfaktor_EI,'Korrigeringsfaktor EI'!H$1,FALSE),
"")</f>
        <v>0</v>
      </c>
      <c r="I189" s="18">
        <f>IFERROR(
                  Andel_oberoende_av_klimat*VLOOKUP($A189,Leveranser_per_nät,'Leveranser per nät'!I$1,FALSE)
               +Andel_beroende_av_klimat*VLOOKUP($A189,Leveranser_per_nät,'Leveranser per nät'!I$1,FALSE)/VLOOKUP($B189,Korrigeringsfaktor_EI,'Korrigeringsfaktor EI'!I$1,FALSE),
"")</f>
        <v>0</v>
      </c>
      <c r="J189" s="18">
        <f>IFERROR(
                  Andel_oberoende_av_klimat*VLOOKUP($A189,Leveranser_per_nät,'Leveranser per nät'!J$1,FALSE)
               +Andel_beroende_av_klimat*VLOOKUP($A189,Leveranser_per_nät,'Leveranser per nät'!J$1,FALSE)/VLOOKUP($B189,Korrigeringsfaktor_EI,'Korrigeringsfaktor EI'!J$1,FALSE),
"")</f>
        <v>0</v>
      </c>
      <c r="K189" s="18">
        <f>IFERROR(
                  Andel_oberoende_av_klimat*VLOOKUP($A189,Leveranser_per_nät,'Leveranser per nät'!K$1,FALSE)
               +Andel_beroende_av_klimat*VLOOKUP($A189,Leveranser_per_nät,'Leveranser per nät'!K$1,FALSE)/VLOOKUP($B189,Korrigeringsfaktor_EI,'Korrigeringsfaktor EI'!K$1,FALSE),
"")</f>
        <v>0</v>
      </c>
      <c r="L189" s="18">
        <f>IFERROR(
                  Andel_oberoende_av_klimat*VLOOKUP($A189,Leveranser_per_nät,'Leveranser per nät'!L$1,FALSE)
               +Andel_beroende_av_klimat*VLOOKUP($A189,Leveranser_per_nät,'Leveranser per nät'!L$1,FALSE)/VLOOKUP($B189,Korrigeringsfaktor_EI,'Korrigeringsfaktor EI'!L$1,FALSE),
"")</f>
        <v>0.88058262626262618</v>
      </c>
      <c r="M189" s="18">
        <f>IFERROR(
                  Andel_oberoende_av_klimat*VLOOKUP($A189,Leveranser_per_nät,'Leveranser per nät'!M$1,FALSE)
               +Andel_beroende_av_klimat*VLOOKUP($A189,Leveranser_per_nät,'Leveranser per nät'!M$1,FALSE)/VLOOKUP($B189,Korrigeringsfaktor_EI,'Korrigeringsfaktor EI'!M$1,FALSE),
"")</f>
        <v>0</v>
      </c>
      <c r="N189" s="18">
        <f>IFERROR(
                  Andel_oberoende_av_klimat*VLOOKUP($A189,Leveranser_per_nät,'Leveranser per nät'!N$1,FALSE)
               +Andel_beroende_av_klimat*VLOOKUP($A189,Leveranser_per_nät,'Leveranser per nät'!N$1,FALSE)/VLOOKUP($B189,Korrigeringsfaktor_EI,'Korrigeringsfaktor EI'!N$1,FALSE),
"")</f>
        <v>0</v>
      </c>
      <c r="O189" s="18">
        <f>IFERROR(
                  Andel_oberoende_av_klimat*VLOOKUP($A189,Leveranser_per_nät,'Leveranser per nät'!O$1,FALSE)
               +Andel_beroende_av_klimat*VLOOKUP($A189,Leveranser_per_nät,'Leveranser per nät'!O$1,FALSE)/VLOOKUP($B189,Korrigeringsfaktor_EI,'Korrigeringsfaktor EI'!O$1,FALSE),
"")</f>
        <v>16.466153846153844</v>
      </c>
      <c r="P189" s="18">
        <f>IFERROR(
                  Andel_oberoende_av_klimat*VLOOKUP($A189,Leveranser_per_nät,'Leveranser per nät'!P$1,FALSE)
               +Andel_beroende_av_klimat*VLOOKUP($A189,Leveranser_per_nät,'Leveranser per nät'!P$1,FALSE)/VLOOKUP($B189,Korrigeringsfaktor_EI,'Korrigeringsfaktor EI'!P$1,FALSE),
"")</f>
        <v>0</v>
      </c>
      <c r="Q189" s="18">
        <f>IFERROR(
                  Andel_oberoende_av_klimat*VLOOKUP($A189,Leveranser_per_nät,'Leveranser per nät'!Q$1,FALSE)
               +Andel_beroende_av_klimat*VLOOKUP($A189,Leveranser_per_nät,'Leveranser per nät'!Q$1,FALSE)/VLOOKUP($B189,Korrigeringsfaktor_EI,'Korrigeringsfaktor EI'!Q$1,FALSE),
"")</f>
        <v>0</v>
      </c>
      <c r="R189" s="18">
        <f>IFERROR(
                  Andel_oberoende_av_klimat*VLOOKUP($A189,Leveranser_per_nät,'Leveranser per nät'!R$1,FALSE)
               +Andel_beroende_av_klimat*VLOOKUP($A189,Leveranser_per_nät,'Leveranser per nät'!R$1,FALSE)/VLOOKUP($B189,Korrigeringsfaktor_EI,'Korrigeringsfaktor EI'!R$1,FALSE),
"")</f>
        <v>0</v>
      </c>
      <c r="S189" s="18" t="str">
        <f>IFERROR(
                  Andel_oberoende_av_klimat*VLOOKUP($A189,Leveranser_per_nät,'Leveranser per nät'!S$1,FALSE)
               +Andel_beroende_av_klimat*VLOOKUP($A189,Leveranser_per_nät,'Leveranser per nät'!S$1,FALSE)/VLOOKUP($B189,Korrigeringsfaktor_EI,'Korrigeringsfaktor EI'!S$1,FALSE),
"")</f>
        <v/>
      </c>
      <c r="T189" s="18" t="str">
        <f>IFERROR(
                  Andel_oberoende_av_klimat*VLOOKUP($A189,Leveranser_per_nät,'Leveranser per nät'!T$1,FALSE)
               +Andel_beroende_av_klimat*VLOOKUP($A189,Leveranser_per_nät,'Leveranser per nät'!T$1,FALSE)/VLOOKUP($B189,Korrigeringsfaktor_EI,'Korrigeringsfaktor EI'!T$1,FALSE),
"")</f>
        <v/>
      </c>
      <c r="U189" s="18" t="str">
        <f>IFERROR(
                  Andel_oberoende_av_klimat*VLOOKUP($A189,Leveranser_per_nät,'Leveranser per nät'!U$1,FALSE)
               +Andel_beroende_av_klimat*VLOOKUP($A189,Leveranser_per_nät,'Leveranser per nät'!U$1,FALSE)/VLOOKUP($B189,Korrigeringsfaktor_EI,'Korrigeringsfaktor EI'!U$1,FALSE),
"")</f>
        <v/>
      </c>
      <c r="V189" s="18" t="str">
        <f>IFERROR(
                  Andel_oberoende_av_klimat*VLOOKUP($A189,Leveranser_per_nät,'Leveranser per nät'!V$1,FALSE)
               +Andel_beroende_av_klimat*VLOOKUP($A189,Leveranser_per_nät,'Leveranser per nät'!V$1,FALSE)/VLOOKUP($B189,Korrigeringsfaktor_EI,'Korrigeringsfaktor EI'!V$1,FALSE),
"")</f>
        <v/>
      </c>
      <c r="W189" s="18" t="str">
        <f>IFERROR(
                  Andel_oberoende_av_klimat*VLOOKUP($A189,Leveranser_per_nät,'Leveranser per nät'!W$1,FALSE)
               +Andel_beroende_av_klimat*VLOOKUP($A189,Leveranser_per_nät,'Leveranser per nät'!W$1,FALSE)/VLOOKUP($B189,Korrigeringsfaktor_EI,'Korrigeringsfaktor EI'!W$1,FALSE),
"")</f>
        <v/>
      </c>
      <c r="X189" s="18" t="str">
        <f>IFERROR(
                  Andel_oberoende_av_klimat*VLOOKUP($A189,Leveranser_per_nät,'Leveranser per nät'!X$1,FALSE)
               +Andel_beroende_av_klimat*VLOOKUP($A189,Leveranser_per_nät,'Leveranser per nät'!X$1,FALSE)/VLOOKUP($B189,Korrigeringsfaktor_EI,'Korrigeringsfaktor EI'!X$1,FALSE),
"")</f>
        <v/>
      </c>
      <c r="Y189" s="18" t="str">
        <f>IFERROR(
                  Andel_oberoende_av_klimat*VLOOKUP($A189,Leveranser_per_nät,'Leveranser per nät'!Y$1,FALSE)
               +Andel_beroende_av_klimat*VLOOKUP($A189,Leveranser_per_nät,'Leveranser per nät'!Y$1,FALSE)/VLOOKUP($B189,Korrigeringsfaktor_EI,'Korrigeringsfaktor EI'!Y$1,FALSE),
"")</f>
        <v/>
      </c>
      <c r="Z189" s="18">
        <f>IFERROR(
                  Andel_oberoende_av_klimat*VLOOKUP($A189,Leveranser_per_nät,'Leveranser per nät'!Z$1,FALSE)
               +Andel_beroende_av_klimat*VLOOKUP($A189,Leveranser_per_nät,'Leveranser per nät'!Z$1,FALSE)/VLOOKUP($B189,Korrigeringsfaktor_EI,'Korrigeringsfaktor EI'!Z$1,FALSE),
"")</f>
        <v>0</v>
      </c>
      <c r="AA189" s="18" t="str">
        <f>IFERROR(
                  Andel_oberoende_av_klimat*VLOOKUP($A189,Leveranser_per_nät,'Leveranser per nät'!AA$1,FALSE)
               +Andel_beroende_av_klimat*VLOOKUP($A189,Leveranser_per_nät,'Leveranser per nät'!AA$1,FALSE)/VLOOKUP($B189,Korrigeringsfaktor_EI,'Korrigeringsfaktor EI'!AA$1,FALSE),
"")</f>
        <v/>
      </c>
      <c r="AB189" s="18">
        <f>IFERROR(
                  Andel_oberoende_av_klimat*VLOOKUP($A189,Leveranser_per_nät,'Leveranser per nät'!AB$1,FALSE)
               +Andel_beroende_av_klimat*VLOOKUP($A189,Leveranser_per_nät,'Leveranser per nät'!AB$1,FALSE)/VLOOKUP($B189,Korrigeringsfaktor_EI,'Korrigeringsfaktor EI'!AB$1,FALSE),
"")</f>
        <v>0</v>
      </c>
      <c r="AC189" s="18">
        <f>IFERROR(
                  Andel_oberoende_av_klimat*VLOOKUP($A189,Leveranser_per_nät,'Leveranser per nät'!AC$1,FALSE)
               +Andel_beroende_av_klimat*VLOOKUP($A189,Leveranser_per_nät,'Leveranser per nät'!AC$1,FALSE)/VLOOKUP($B189,Korrigeringsfaktor_EI,'Korrigeringsfaktor EI'!AC$1,FALSE),
"")</f>
        <v>0</v>
      </c>
      <c r="AD189" t="e">
        <v>#N/A</v>
      </c>
    </row>
    <row r="190" spans="1:30" x14ac:dyDescent="0.25">
      <c r="A190" t="s">
        <v>162</v>
      </c>
      <c r="B190" t="s">
        <v>162</v>
      </c>
      <c r="C190" s="18">
        <f>IFERROR(
                  Andel_oberoende_av_klimat*VLOOKUP($A190,Leveranser_per_nät,'Leveranser per nät'!C$1,FALSE)
               +Andel_beroende_av_klimat*VLOOKUP($A190,Leveranser_per_nät,'Leveranser per nät'!C$1,FALSE)/VLOOKUP($B190,Korrigeringsfaktor_EI,'Korrigeringsfaktor EI'!C$1,FALSE),
"")</f>
        <v>295.14955752212393</v>
      </c>
      <c r="D190" s="18">
        <f>IFERROR(
                  Andel_oberoende_av_klimat*VLOOKUP($A190,Leveranser_per_nät,'Leveranser per nät'!D$1,FALSE)
               +Andel_beroende_av_klimat*VLOOKUP($A190,Leveranser_per_nät,'Leveranser per nät'!D$1,FALSE)/VLOOKUP($B190,Korrigeringsfaktor_EI,'Korrigeringsfaktor EI'!D$1,FALSE),
"")</f>
        <v>285.34853465346532</v>
      </c>
      <c r="E190" s="18">
        <f>IFERROR(
                  Andel_oberoende_av_klimat*VLOOKUP($A190,Leveranser_per_nät,'Leveranser per nät'!E$1,FALSE)
               +Andel_beroende_av_klimat*VLOOKUP($A190,Leveranser_per_nät,'Leveranser per nät'!E$1,FALSE)/VLOOKUP($B190,Korrigeringsfaktor_EI,'Korrigeringsfaktor EI'!E$1,FALSE),
"")</f>
        <v>286.0846153846154</v>
      </c>
      <c r="F190" s="18">
        <f>IFERROR(
                  Andel_oberoende_av_klimat*VLOOKUP($A190,Leveranser_per_nät,'Leveranser per nät'!F$1,FALSE)
               +Andel_beroende_av_klimat*VLOOKUP($A190,Leveranser_per_nät,'Leveranser per nät'!F$1,FALSE)/VLOOKUP($B190,Korrigeringsfaktor_EI,'Korrigeringsfaktor EI'!F$1,FALSE),
"")</f>
        <v>303.2714285714286</v>
      </c>
      <c r="G190" s="18">
        <f>IFERROR(
                  Andel_oberoende_av_klimat*VLOOKUP($A190,Leveranser_per_nät,'Leveranser per nät'!G$1,FALSE)
               +Andel_beroende_av_klimat*VLOOKUP($A190,Leveranser_per_nät,'Leveranser per nät'!G$1,FALSE)/VLOOKUP($B190,Korrigeringsfaktor_EI,'Korrigeringsfaktor EI'!G$1,FALSE),
"")</f>
        <v>312.91685393258427</v>
      </c>
      <c r="H190" s="18">
        <f>IFERROR(
                  Andel_oberoende_av_klimat*VLOOKUP($A190,Leveranser_per_nät,'Leveranser per nät'!H$1,FALSE)
               +Andel_beroende_av_klimat*VLOOKUP($A190,Leveranser_per_nät,'Leveranser per nät'!H$1,FALSE)/VLOOKUP($B190,Korrigeringsfaktor_EI,'Korrigeringsfaktor EI'!H$1,FALSE),
"")</f>
        <v>339.38282828282826</v>
      </c>
      <c r="I190" s="18">
        <f>IFERROR(
                  Andel_oberoende_av_klimat*VLOOKUP($A190,Leveranser_per_nät,'Leveranser per nät'!I$1,FALSE)
               +Andel_beroende_av_klimat*VLOOKUP($A190,Leveranser_per_nät,'Leveranser per nät'!I$1,FALSE)/VLOOKUP($B190,Korrigeringsfaktor_EI,'Korrigeringsfaktor EI'!I$1,FALSE),
"")</f>
        <v>362.0602659574468</v>
      </c>
      <c r="J190" s="18">
        <f>IFERROR(
                  Andel_oberoende_av_klimat*VLOOKUP($A190,Leveranser_per_nät,'Leveranser per nät'!J$1,FALSE)
               +Andel_beroende_av_klimat*VLOOKUP($A190,Leveranser_per_nät,'Leveranser per nät'!J$1,FALSE)/VLOOKUP($B190,Korrigeringsfaktor_EI,'Korrigeringsfaktor EI'!J$1,FALSE),
"")</f>
        <v>361.09687142857143</v>
      </c>
      <c r="K190" s="18">
        <f>IFERROR(
                  Andel_oberoende_av_klimat*VLOOKUP($A190,Leveranser_per_nät,'Leveranser per nät'!K$1,FALSE)
               +Andel_beroende_av_klimat*VLOOKUP($A190,Leveranser_per_nät,'Leveranser per nät'!K$1,FALSE)/VLOOKUP($B190,Korrigeringsfaktor_EI,'Korrigeringsfaktor EI'!K$1,FALSE),
"")</f>
        <v>372.25502857142857</v>
      </c>
      <c r="L190" s="18">
        <f>IFERROR(
                  Andel_oberoende_av_klimat*VLOOKUP($A190,Leveranser_per_nät,'Leveranser per nät'!L$1,FALSE)
               +Andel_beroende_av_klimat*VLOOKUP($A190,Leveranser_per_nät,'Leveranser per nät'!L$1,FALSE)/VLOOKUP($B190,Korrigeringsfaktor_EI,'Korrigeringsfaktor EI'!L$1,FALSE),
"")</f>
        <v>370.34253749999993</v>
      </c>
      <c r="M190" s="18">
        <f>IFERROR(
                  Andel_oberoende_av_klimat*VLOOKUP($A190,Leveranser_per_nät,'Leveranser per nät'!M$1,FALSE)
               +Andel_beroende_av_klimat*VLOOKUP($A190,Leveranser_per_nät,'Leveranser per nät'!M$1,FALSE)/VLOOKUP($B190,Korrigeringsfaktor_EI,'Korrigeringsfaktor EI'!M$1,FALSE),
"")</f>
        <v>383.64</v>
      </c>
      <c r="N190" s="18">
        <f>IFERROR(
                  Andel_oberoende_av_klimat*VLOOKUP($A190,Leveranser_per_nät,'Leveranser per nät'!N$1,FALSE)
               +Andel_beroende_av_klimat*VLOOKUP($A190,Leveranser_per_nät,'Leveranser per nät'!N$1,FALSE)/VLOOKUP($B190,Korrigeringsfaktor_EI,'Korrigeringsfaktor EI'!N$1,FALSE),
"")</f>
        <v>371.47750000000002</v>
      </c>
      <c r="O190" s="18">
        <f>IFERROR(
                  Andel_oberoende_av_klimat*VLOOKUP($A190,Leveranser_per_nät,'Leveranser per nät'!O$1,FALSE)
               +Andel_beroende_av_klimat*VLOOKUP($A190,Leveranser_per_nät,'Leveranser per nät'!O$1,FALSE)/VLOOKUP($B190,Korrigeringsfaktor_EI,'Korrigeringsfaktor EI'!O$1,FALSE),
"")</f>
        <v>356.74444444444441</v>
      </c>
      <c r="P190" s="18">
        <f>IFERROR(
                  Andel_oberoende_av_klimat*VLOOKUP($A190,Leveranser_per_nät,'Leveranser per nät'!P$1,FALSE)
               +Andel_beroende_av_klimat*VLOOKUP($A190,Leveranser_per_nät,'Leveranser per nät'!P$1,FALSE)/VLOOKUP($B190,Korrigeringsfaktor_EI,'Korrigeringsfaktor EI'!P$1,FALSE),
"")</f>
        <v>371.20909583333338</v>
      </c>
      <c r="Q190" s="18">
        <f>IFERROR(
                  Andel_oberoende_av_klimat*VLOOKUP($A190,Leveranser_per_nät,'Leveranser per nät'!Q$1,FALSE)
               +Andel_beroende_av_klimat*VLOOKUP($A190,Leveranser_per_nät,'Leveranser per nät'!Q$1,FALSE)/VLOOKUP($B190,Korrigeringsfaktor_EI,'Korrigeringsfaktor EI'!Q$1,FALSE),
"")</f>
        <v>394.08628165137617</v>
      </c>
      <c r="R190" s="18">
        <f>IFERROR(
                  Andel_oberoende_av_klimat*VLOOKUP($A190,Leveranser_per_nät,'Leveranser per nät'!R$1,FALSE)
               +Andel_beroende_av_klimat*VLOOKUP($A190,Leveranser_per_nät,'Leveranser per nät'!R$1,FALSE)/VLOOKUP($B190,Korrigeringsfaktor_EI,'Korrigeringsfaktor EI'!R$1,FALSE),
"")</f>
        <v>381.01276666666661</v>
      </c>
      <c r="S190" s="18">
        <f>IFERROR(
                  Andel_oberoende_av_klimat*VLOOKUP($A190,Leveranser_per_nät,'Leveranser per nät'!S$1,FALSE)
               +Andel_beroende_av_klimat*VLOOKUP($A190,Leveranser_per_nät,'Leveranser per nät'!S$1,FALSE)/VLOOKUP($B190,Korrigeringsfaktor_EI,'Korrigeringsfaktor EI'!S$1,FALSE),
"")</f>
        <v>388.22680412371136</v>
      </c>
      <c r="T190" s="18">
        <f>IFERROR(
                  Andel_oberoende_av_klimat*VLOOKUP($A190,Leveranser_per_nät,'Leveranser per nät'!T$1,FALSE)
               +Andel_beroende_av_klimat*VLOOKUP($A190,Leveranser_per_nät,'Leveranser per nät'!T$1,FALSE)/VLOOKUP($B190,Korrigeringsfaktor_EI,'Korrigeringsfaktor EI'!T$1,FALSE),
"")</f>
        <v>394.93315789473684</v>
      </c>
      <c r="U190" s="18">
        <f>IFERROR(
                  Andel_oberoende_av_klimat*VLOOKUP($A190,Leveranser_per_nät,'Leveranser per nät'!U$1,FALSE)
               +Andel_beroende_av_klimat*VLOOKUP($A190,Leveranser_per_nät,'Leveranser per nät'!U$1,FALSE)/VLOOKUP($B190,Korrigeringsfaktor_EI,'Korrigeringsfaktor EI'!U$1,FALSE),
"")</f>
        <v>389.86470588235295</v>
      </c>
      <c r="V190" s="18">
        <f>IFERROR(
                  Andel_oberoende_av_klimat*VLOOKUP($A190,Leveranser_per_nät,'Leveranser per nät'!V$1,FALSE)
               +Andel_beroende_av_klimat*VLOOKUP($A190,Leveranser_per_nät,'Leveranser per nät'!V$1,FALSE)/VLOOKUP($B190,Korrigeringsfaktor_EI,'Korrigeringsfaktor EI'!V$1,FALSE),
"")</f>
        <v>389.41333333333341</v>
      </c>
      <c r="W190" s="18">
        <f>IFERROR(
                  Andel_oberoende_av_klimat*VLOOKUP($A190,Leveranser_per_nät,'Leveranser per nät'!W$1,FALSE)
               +Andel_beroende_av_klimat*VLOOKUP($A190,Leveranser_per_nät,'Leveranser per nät'!W$1,FALSE)/VLOOKUP($B190,Korrigeringsfaktor_EI,'Korrigeringsfaktor EI'!W$1,FALSE),
"")</f>
        <v>381.30851063829783</v>
      </c>
      <c r="X190" s="18">
        <f>IFERROR(
                  Andel_oberoende_av_klimat*VLOOKUP($A190,Leveranser_per_nät,'Leveranser per nät'!X$1,FALSE)
               +Andel_beroende_av_klimat*VLOOKUP($A190,Leveranser_per_nät,'Leveranser per nät'!X$1,FALSE)/VLOOKUP($B190,Korrigeringsfaktor_EI,'Korrigeringsfaktor EI'!X$1,FALSE),
"")</f>
        <v>386.47478260869565</v>
      </c>
      <c r="Y190" s="18">
        <f>IFERROR(
                  Andel_oberoende_av_klimat*VLOOKUP($A190,Leveranser_per_nät,'Leveranser per nät'!Y$1,FALSE)
               +Andel_beroende_av_klimat*VLOOKUP($A190,Leveranser_per_nät,'Leveranser per nät'!Y$1,FALSE)/VLOOKUP($B190,Korrigeringsfaktor_EI,'Korrigeringsfaktor EI'!Y$1,FALSE),
"")</f>
        <v>400.81606741573029</v>
      </c>
      <c r="Z190" s="18">
        <f>IFERROR(
                  Andel_oberoende_av_klimat*VLOOKUP($A190,Leveranser_per_nät,'Leveranser per nät'!Z$1,FALSE)
               +Andel_beroende_av_klimat*VLOOKUP($A190,Leveranser_per_nät,'Leveranser per nät'!Z$1,FALSE)/VLOOKUP($B190,Korrigeringsfaktor_EI,'Korrigeringsfaktor EI'!Z$1,FALSE),
"")</f>
        <v>395.56488372093025</v>
      </c>
      <c r="AA190" s="18">
        <f>IFERROR(
                  Andel_oberoende_av_klimat*VLOOKUP($A190,Leveranser_per_nät,'Leveranser per nät'!AA$1,FALSE)
               +Andel_beroende_av_klimat*VLOOKUP($A190,Leveranser_per_nät,'Leveranser per nät'!AA$1,FALSE)/VLOOKUP($B190,Korrigeringsfaktor_EI,'Korrigeringsfaktor EI'!AA$1,FALSE),
"")</f>
        <v>382.0408141901716</v>
      </c>
      <c r="AB190" s="18">
        <f>IFERROR(
                  Andel_oberoende_av_klimat*VLOOKUP($A190,Leveranser_per_nät,'Leveranser per nät'!AB$1,FALSE)
               +Andel_beroende_av_klimat*VLOOKUP($A190,Leveranser_per_nät,'Leveranser per nät'!AB$1,FALSE)/VLOOKUP($B190,Korrigeringsfaktor_EI,'Korrigeringsfaktor EI'!AB$1,FALSE),
"")</f>
        <v>382.19810568295117</v>
      </c>
      <c r="AC190" s="18">
        <f>IFERROR(
                  Andel_oberoende_av_klimat*VLOOKUP($A190,Leveranser_per_nät,'Leveranser per nät'!AC$1,FALSE)
               +Andel_beroende_av_klimat*VLOOKUP($A190,Leveranser_per_nät,'Leveranser per nät'!AC$1,FALSE)/VLOOKUP($B190,Korrigeringsfaktor_EI,'Korrigeringsfaktor EI'!AC$1,FALSE),
"")</f>
        <v>376.80775675675676</v>
      </c>
      <c r="AD190">
        <v>356.57</v>
      </c>
    </row>
    <row r="191" spans="1:30" x14ac:dyDescent="0.25">
      <c r="A191" t="s">
        <v>67</v>
      </c>
      <c r="B191" t="s">
        <v>441</v>
      </c>
      <c r="C191" s="18">
        <f>IFERROR(
                  Andel_oberoende_av_klimat*VLOOKUP($A191,Leveranser_per_nät,'Leveranser per nät'!C$1,FALSE)
               +Andel_beroende_av_klimat*VLOOKUP($A191,Leveranser_per_nät,'Leveranser per nät'!C$1,FALSE)/VLOOKUP($B191,Korrigeringsfaktor_EI,'Korrigeringsfaktor EI'!C$1,FALSE),
"")</f>
        <v>0</v>
      </c>
      <c r="D191" s="18">
        <f>IFERROR(
                  Andel_oberoende_av_klimat*VLOOKUP($A191,Leveranser_per_nät,'Leveranser per nät'!D$1,FALSE)
               +Andel_beroende_av_klimat*VLOOKUP($A191,Leveranser_per_nät,'Leveranser per nät'!D$1,FALSE)/VLOOKUP($B191,Korrigeringsfaktor_EI,'Korrigeringsfaktor EI'!D$1,FALSE),
"")</f>
        <v>0</v>
      </c>
      <c r="E191" s="18">
        <f>IFERROR(
                  Andel_oberoende_av_klimat*VLOOKUP($A191,Leveranser_per_nät,'Leveranser per nät'!E$1,FALSE)
               +Andel_beroende_av_klimat*VLOOKUP($A191,Leveranser_per_nät,'Leveranser per nät'!E$1,FALSE)/VLOOKUP($B191,Korrigeringsfaktor_EI,'Korrigeringsfaktor EI'!E$1,FALSE),
"")</f>
        <v>0</v>
      </c>
      <c r="F191" s="18">
        <f>IFERROR(
                  Andel_oberoende_av_klimat*VLOOKUP($A191,Leveranser_per_nät,'Leveranser per nät'!F$1,FALSE)
               +Andel_beroende_av_klimat*VLOOKUP($A191,Leveranser_per_nät,'Leveranser per nät'!F$1,FALSE)/VLOOKUP($B191,Korrigeringsfaktor_EI,'Korrigeringsfaktor EI'!F$1,FALSE),
"")</f>
        <v>0</v>
      </c>
      <c r="G191" s="18">
        <f>IFERROR(
                  Andel_oberoende_av_klimat*VLOOKUP($A191,Leveranser_per_nät,'Leveranser per nät'!G$1,FALSE)
               +Andel_beroende_av_klimat*VLOOKUP($A191,Leveranser_per_nät,'Leveranser per nät'!G$1,FALSE)/VLOOKUP($B191,Korrigeringsfaktor_EI,'Korrigeringsfaktor EI'!G$1,FALSE),
"")</f>
        <v>0</v>
      </c>
      <c r="H191" s="18">
        <f>IFERROR(
                  Andel_oberoende_av_klimat*VLOOKUP($A191,Leveranser_per_nät,'Leveranser per nät'!H$1,FALSE)
               +Andel_beroende_av_klimat*VLOOKUP($A191,Leveranser_per_nät,'Leveranser per nät'!H$1,FALSE)/VLOOKUP($B191,Korrigeringsfaktor_EI,'Korrigeringsfaktor EI'!H$1,FALSE),
"")</f>
        <v>0</v>
      </c>
      <c r="I191" s="18">
        <f>IFERROR(
                  Andel_oberoende_av_klimat*VLOOKUP($A191,Leveranser_per_nät,'Leveranser per nät'!I$1,FALSE)
               +Andel_beroende_av_klimat*VLOOKUP($A191,Leveranser_per_nät,'Leveranser per nät'!I$1,FALSE)/VLOOKUP($B191,Korrigeringsfaktor_EI,'Korrigeringsfaktor EI'!I$1,FALSE),
"")</f>
        <v>0</v>
      </c>
      <c r="J191" s="18">
        <f>IFERROR(
                  Andel_oberoende_av_klimat*VLOOKUP($A191,Leveranser_per_nät,'Leveranser per nät'!J$1,FALSE)
               +Andel_beroende_av_klimat*VLOOKUP($A191,Leveranser_per_nät,'Leveranser per nät'!J$1,FALSE)/VLOOKUP($B191,Korrigeringsfaktor_EI,'Korrigeringsfaktor EI'!J$1,FALSE),
"")</f>
        <v>0</v>
      </c>
      <c r="K191" s="18">
        <f>IFERROR(
                  Andel_oberoende_av_klimat*VLOOKUP($A191,Leveranser_per_nät,'Leveranser per nät'!K$1,FALSE)
               +Andel_beroende_av_klimat*VLOOKUP($A191,Leveranser_per_nät,'Leveranser per nät'!K$1,FALSE)/VLOOKUP($B191,Korrigeringsfaktor_EI,'Korrigeringsfaktor EI'!K$1,FALSE),
"")</f>
        <v>0</v>
      </c>
      <c r="L191" s="18">
        <f>IFERROR(
                  Andel_oberoende_av_klimat*VLOOKUP($A191,Leveranser_per_nät,'Leveranser per nät'!L$1,FALSE)
               +Andel_beroende_av_klimat*VLOOKUP($A191,Leveranser_per_nät,'Leveranser per nät'!L$1,FALSE)/VLOOKUP($B191,Korrigeringsfaktor_EI,'Korrigeringsfaktor EI'!L$1,FALSE),
"")</f>
        <v>0</v>
      </c>
      <c r="M191" s="18">
        <f>IFERROR(
                  Andel_oberoende_av_klimat*VLOOKUP($A191,Leveranser_per_nät,'Leveranser per nät'!M$1,FALSE)
               +Andel_beroende_av_klimat*VLOOKUP($A191,Leveranser_per_nät,'Leveranser per nät'!M$1,FALSE)/VLOOKUP($B191,Korrigeringsfaktor_EI,'Korrigeringsfaktor EI'!M$1,FALSE),
"")</f>
        <v>2.1726608695652176</v>
      </c>
      <c r="N191" s="18">
        <f>IFERROR(
                  Andel_oberoende_av_klimat*VLOOKUP($A191,Leveranser_per_nät,'Leveranser per nät'!N$1,FALSE)
               +Andel_beroende_av_klimat*VLOOKUP($A191,Leveranser_per_nät,'Leveranser per nät'!N$1,FALSE)/VLOOKUP($B191,Korrigeringsfaktor_EI,'Korrigeringsfaktor EI'!N$1,FALSE),
"")</f>
        <v>1.9246153846153846</v>
      </c>
      <c r="O191" s="18">
        <f>IFERROR(
                  Andel_oberoende_av_klimat*VLOOKUP($A191,Leveranser_per_nät,'Leveranser per nät'!O$1,FALSE)
               +Andel_beroende_av_klimat*VLOOKUP($A191,Leveranser_per_nät,'Leveranser per nät'!O$1,FALSE)/VLOOKUP($B191,Korrigeringsfaktor_EI,'Korrigeringsfaktor EI'!O$1,FALSE),
"")</f>
        <v>0</v>
      </c>
      <c r="P191" s="18">
        <f>IFERROR(
                  Andel_oberoende_av_klimat*VLOOKUP($A191,Leveranser_per_nät,'Leveranser per nät'!P$1,FALSE)
               +Andel_beroende_av_klimat*VLOOKUP($A191,Leveranser_per_nät,'Leveranser per nät'!P$1,FALSE)/VLOOKUP($B191,Korrigeringsfaktor_EI,'Korrigeringsfaktor EI'!P$1,FALSE),
"")</f>
        <v>0</v>
      </c>
      <c r="Q191" s="18">
        <f>IFERROR(
                  Andel_oberoende_av_klimat*VLOOKUP($A191,Leveranser_per_nät,'Leveranser per nät'!Q$1,FALSE)
               +Andel_beroende_av_klimat*VLOOKUP($A191,Leveranser_per_nät,'Leveranser per nät'!Q$1,FALSE)/VLOOKUP($B191,Korrigeringsfaktor_EI,'Korrigeringsfaktor EI'!Q$1,FALSE),
"")</f>
        <v>0</v>
      </c>
      <c r="R191" s="18">
        <f>IFERROR(
                  Andel_oberoende_av_klimat*VLOOKUP($A191,Leveranser_per_nät,'Leveranser per nät'!R$1,FALSE)
               +Andel_beroende_av_klimat*VLOOKUP($A191,Leveranser_per_nät,'Leveranser per nät'!R$1,FALSE)/VLOOKUP($B191,Korrigeringsfaktor_EI,'Korrigeringsfaktor EI'!R$1,FALSE),
"")</f>
        <v>0</v>
      </c>
      <c r="S191" s="18" t="str">
        <f>IFERROR(
                  Andel_oberoende_av_klimat*VLOOKUP($A191,Leveranser_per_nät,'Leveranser per nät'!S$1,FALSE)
               +Andel_beroende_av_klimat*VLOOKUP($A191,Leveranser_per_nät,'Leveranser per nät'!S$1,FALSE)/VLOOKUP($B191,Korrigeringsfaktor_EI,'Korrigeringsfaktor EI'!S$1,FALSE),
"")</f>
        <v/>
      </c>
      <c r="T191" s="18" t="str">
        <f>IFERROR(
                  Andel_oberoende_av_klimat*VLOOKUP($A191,Leveranser_per_nät,'Leveranser per nät'!T$1,FALSE)
               +Andel_beroende_av_klimat*VLOOKUP($A191,Leveranser_per_nät,'Leveranser per nät'!T$1,FALSE)/VLOOKUP($B191,Korrigeringsfaktor_EI,'Korrigeringsfaktor EI'!T$1,FALSE),
"")</f>
        <v/>
      </c>
      <c r="U191" s="18" t="str">
        <f>IFERROR(
                  Andel_oberoende_av_klimat*VLOOKUP($A191,Leveranser_per_nät,'Leveranser per nät'!U$1,FALSE)
               +Andel_beroende_av_klimat*VLOOKUP($A191,Leveranser_per_nät,'Leveranser per nät'!U$1,FALSE)/VLOOKUP($B191,Korrigeringsfaktor_EI,'Korrigeringsfaktor EI'!U$1,FALSE),
"")</f>
        <v/>
      </c>
      <c r="V191" s="18" t="str">
        <f>IFERROR(
                  Andel_oberoende_av_klimat*VLOOKUP($A191,Leveranser_per_nät,'Leveranser per nät'!V$1,FALSE)
               +Andel_beroende_av_klimat*VLOOKUP($A191,Leveranser_per_nät,'Leveranser per nät'!V$1,FALSE)/VLOOKUP($B191,Korrigeringsfaktor_EI,'Korrigeringsfaktor EI'!V$1,FALSE),
"")</f>
        <v/>
      </c>
      <c r="W191" s="18" t="str">
        <f>IFERROR(
                  Andel_oberoende_av_klimat*VLOOKUP($A191,Leveranser_per_nät,'Leveranser per nät'!W$1,FALSE)
               +Andel_beroende_av_klimat*VLOOKUP($A191,Leveranser_per_nät,'Leveranser per nät'!W$1,FALSE)/VLOOKUP($B191,Korrigeringsfaktor_EI,'Korrigeringsfaktor EI'!W$1,FALSE),
"")</f>
        <v/>
      </c>
      <c r="X191" s="18" t="str">
        <f>IFERROR(
                  Andel_oberoende_av_klimat*VLOOKUP($A191,Leveranser_per_nät,'Leveranser per nät'!X$1,FALSE)
               +Andel_beroende_av_klimat*VLOOKUP($A191,Leveranser_per_nät,'Leveranser per nät'!X$1,FALSE)/VLOOKUP($B191,Korrigeringsfaktor_EI,'Korrigeringsfaktor EI'!X$1,FALSE),
"")</f>
        <v/>
      </c>
      <c r="Y191" s="18" t="str">
        <f>IFERROR(
                  Andel_oberoende_av_klimat*VLOOKUP($A191,Leveranser_per_nät,'Leveranser per nät'!Y$1,FALSE)
               +Andel_beroende_av_klimat*VLOOKUP($A191,Leveranser_per_nät,'Leveranser per nät'!Y$1,FALSE)/VLOOKUP($B191,Korrigeringsfaktor_EI,'Korrigeringsfaktor EI'!Y$1,FALSE),
"")</f>
        <v/>
      </c>
      <c r="Z191" s="18">
        <f>IFERROR(
                  Andel_oberoende_av_klimat*VLOOKUP($A191,Leveranser_per_nät,'Leveranser per nät'!Z$1,FALSE)
               +Andel_beroende_av_klimat*VLOOKUP($A191,Leveranser_per_nät,'Leveranser per nät'!Z$1,FALSE)/VLOOKUP($B191,Korrigeringsfaktor_EI,'Korrigeringsfaktor EI'!Z$1,FALSE),
"")</f>
        <v>0</v>
      </c>
      <c r="AA191" s="18" t="str">
        <f>IFERROR(
                  Andel_oberoende_av_klimat*VLOOKUP($A191,Leveranser_per_nät,'Leveranser per nät'!AA$1,FALSE)
               +Andel_beroende_av_klimat*VLOOKUP($A191,Leveranser_per_nät,'Leveranser per nät'!AA$1,FALSE)/VLOOKUP($B191,Korrigeringsfaktor_EI,'Korrigeringsfaktor EI'!AA$1,FALSE),
"")</f>
        <v/>
      </c>
      <c r="AB191" s="18">
        <f>IFERROR(
                  Andel_oberoende_av_klimat*VLOOKUP($A191,Leveranser_per_nät,'Leveranser per nät'!AB$1,FALSE)
               +Andel_beroende_av_klimat*VLOOKUP($A191,Leveranser_per_nät,'Leveranser per nät'!AB$1,FALSE)/VLOOKUP($B191,Korrigeringsfaktor_EI,'Korrigeringsfaktor EI'!AB$1,FALSE),
"")</f>
        <v>0</v>
      </c>
      <c r="AC191" s="18">
        <f>IFERROR(
                  Andel_oberoende_av_klimat*VLOOKUP($A191,Leveranser_per_nät,'Leveranser per nät'!AC$1,FALSE)
               +Andel_beroende_av_klimat*VLOOKUP($A191,Leveranser_per_nät,'Leveranser per nät'!AC$1,FALSE)/VLOOKUP($B191,Korrigeringsfaktor_EI,'Korrigeringsfaktor EI'!AC$1,FALSE),
"")</f>
        <v>0</v>
      </c>
      <c r="AD191" t="e">
        <v>#N/A</v>
      </c>
    </row>
    <row r="192" spans="1:30" x14ac:dyDescent="0.25">
      <c r="A192" t="s">
        <v>237</v>
      </c>
      <c r="B192" t="s">
        <v>237</v>
      </c>
      <c r="C192" s="18">
        <f>IFERROR(
                  Andel_oberoende_av_klimat*VLOOKUP($A192,Leveranser_per_nät,'Leveranser per nät'!C$1,FALSE)
               +Andel_beroende_av_klimat*VLOOKUP($A192,Leveranser_per_nät,'Leveranser per nät'!C$1,FALSE)/VLOOKUP($B192,Korrigeringsfaktor_EI,'Korrigeringsfaktor EI'!C$1,FALSE),
"")</f>
        <v>0</v>
      </c>
      <c r="D192" s="18">
        <f>IFERROR(
                  Andel_oberoende_av_klimat*VLOOKUP($A192,Leveranser_per_nät,'Leveranser per nät'!D$1,FALSE)
               +Andel_beroende_av_klimat*VLOOKUP($A192,Leveranser_per_nät,'Leveranser per nät'!D$1,FALSE)/VLOOKUP($B192,Korrigeringsfaktor_EI,'Korrigeringsfaktor EI'!D$1,FALSE),
"")</f>
        <v>0</v>
      </c>
      <c r="E192" s="18">
        <f>IFERROR(
                  Andel_oberoende_av_klimat*VLOOKUP($A192,Leveranser_per_nät,'Leveranser per nät'!E$1,FALSE)
               +Andel_beroende_av_klimat*VLOOKUP($A192,Leveranser_per_nät,'Leveranser per nät'!E$1,FALSE)/VLOOKUP($B192,Korrigeringsfaktor_EI,'Korrigeringsfaktor EI'!E$1,FALSE),
"")</f>
        <v>0</v>
      </c>
      <c r="F192" s="18">
        <f>IFERROR(
                  Andel_oberoende_av_klimat*VLOOKUP($A192,Leveranser_per_nät,'Leveranser per nät'!F$1,FALSE)
               +Andel_beroende_av_klimat*VLOOKUP($A192,Leveranser_per_nät,'Leveranser per nät'!F$1,FALSE)/VLOOKUP($B192,Korrigeringsfaktor_EI,'Korrigeringsfaktor EI'!F$1,FALSE),
"")</f>
        <v>0</v>
      </c>
      <c r="G192" s="18">
        <f>IFERROR(
                  Andel_oberoende_av_klimat*VLOOKUP($A192,Leveranser_per_nät,'Leveranser per nät'!G$1,FALSE)
               +Andel_beroende_av_klimat*VLOOKUP($A192,Leveranser_per_nät,'Leveranser per nät'!G$1,FALSE)/VLOOKUP($B192,Korrigeringsfaktor_EI,'Korrigeringsfaktor EI'!G$1,FALSE),
"")</f>
        <v>0</v>
      </c>
      <c r="H192" s="18">
        <f>IFERROR(
                  Andel_oberoende_av_klimat*VLOOKUP($A192,Leveranser_per_nät,'Leveranser per nät'!H$1,FALSE)
               +Andel_beroende_av_klimat*VLOOKUP($A192,Leveranser_per_nät,'Leveranser per nät'!H$1,FALSE)/VLOOKUP($B192,Korrigeringsfaktor_EI,'Korrigeringsfaktor EI'!H$1,FALSE),
"")</f>
        <v>0</v>
      </c>
      <c r="I192" s="18">
        <f>IFERROR(
                  Andel_oberoende_av_klimat*VLOOKUP($A192,Leveranser_per_nät,'Leveranser per nät'!I$1,FALSE)
               +Andel_beroende_av_klimat*VLOOKUP($A192,Leveranser_per_nät,'Leveranser per nät'!I$1,FALSE)/VLOOKUP($B192,Korrigeringsfaktor_EI,'Korrigeringsfaktor EI'!I$1,FALSE),
"")</f>
        <v>0</v>
      </c>
      <c r="J192" s="18">
        <f>IFERROR(
                  Andel_oberoende_av_klimat*VLOOKUP($A192,Leveranser_per_nät,'Leveranser per nät'!J$1,FALSE)
               +Andel_beroende_av_klimat*VLOOKUP($A192,Leveranser_per_nät,'Leveranser per nät'!J$1,FALSE)/VLOOKUP($B192,Korrigeringsfaktor_EI,'Korrigeringsfaktor EI'!J$1,FALSE),
"")</f>
        <v>0</v>
      </c>
      <c r="K192" s="18">
        <f>IFERROR(
                  Andel_oberoende_av_klimat*VLOOKUP($A192,Leveranser_per_nät,'Leveranser per nät'!K$1,FALSE)
               +Andel_beroende_av_klimat*VLOOKUP($A192,Leveranser_per_nät,'Leveranser per nät'!K$1,FALSE)/VLOOKUP($B192,Korrigeringsfaktor_EI,'Korrigeringsfaktor EI'!K$1,FALSE),
"")</f>
        <v>15.697085714285715</v>
      </c>
      <c r="L192" s="18">
        <f>IFERROR(
                  Andel_oberoende_av_klimat*VLOOKUP($A192,Leveranser_per_nät,'Leveranser per nät'!L$1,FALSE)
               +Andel_beroende_av_klimat*VLOOKUP($A192,Leveranser_per_nät,'Leveranser per nät'!L$1,FALSE)/VLOOKUP($B192,Korrigeringsfaktor_EI,'Korrigeringsfaktor EI'!L$1,FALSE),
"")</f>
        <v>16.037504166666665</v>
      </c>
      <c r="M192" s="18">
        <f>IFERROR(
                  Andel_oberoende_av_klimat*VLOOKUP($A192,Leveranser_per_nät,'Leveranser per nät'!M$1,FALSE)
               +Andel_beroende_av_klimat*VLOOKUP($A192,Leveranser_per_nät,'Leveranser per nät'!M$1,FALSE)/VLOOKUP($B192,Korrigeringsfaktor_EI,'Korrigeringsfaktor EI'!M$1,FALSE),
"")</f>
        <v>16.432829787234041</v>
      </c>
      <c r="N192" s="18">
        <f>IFERROR(
                  Andel_oberoende_av_klimat*VLOOKUP($A192,Leveranser_per_nät,'Leveranser per nät'!N$1,FALSE)
               +Andel_beroende_av_klimat*VLOOKUP($A192,Leveranser_per_nät,'Leveranser per nät'!N$1,FALSE)/VLOOKUP($B192,Korrigeringsfaktor_EI,'Korrigeringsfaktor EI'!N$1,FALSE),
"")</f>
        <v>16.473347368421052</v>
      </c>
      <c r="O192" s="18">
        <f>IFERROR(
                  Andel_oberoende_av_klimat*VLOOKUP($A192,Leveranser_per_nät,'Leveranser per nät'!O$1,FALSE)
               +Andel_beroende_av_klimat*VLOOKUP($A192,Leveranser_per_nät,'Leveranser per nät'!O$1,FALSE)/VLOOKUP($B192,Korrigeringsfaktor_EI,'Korrigeringsfaktor EI'!O$1,FALSE),
"")</f>
        <v>16.579085106382976</v>
      </c>
      <c r="P192" s="18">
        <f>IFERROR(
                  Andel_oberoende_av_klimat*VLOOKUP($A192,Leveranser_per_nät,'Leveranser per nät'!P$1,FALSE)
               +Andel_beroende_av_klimat*VLOOKUP($A192,Leveranser_per_nät,'Leveranser per nät'!P$1,FALSE)/VLOOKUP($B192,Korrigeringsfaktor_EI,'Korrigeringsfaktor EI'!P$1,FALSE),
"")</f>
        <v>17.242857142857144</v>
      </c>
      <c r="Q192" s="18">
        <f>IFERROR(
                  Andel_oberoende_av_klimat*VLOOKUP($A192,Leveranser_per_nät,'Leveranser per nät'!Q$1,FALSE)
               +Andel_beroende_av_klimat*VLOOKUP($A192,Leveranser_per_nät,'Leveranser per nät'!Q$1,FALSE)/VLOOKUP($B192,Korrigeringsfaktor_EI,'Korrigeringsfaktor EI'!Q$1,FALSE),
"")</f>
        <v>17.137563063063062</v>
      </c>
      <c r="R192" s="18">
        <f>IFERROR(
                  Andel_oberoende_av_klimat*VLOOKUP($A192,Leveranser_per_nät,'Leveranser per nät'!R$1,FALSE)
               +Andel_beroende_av_klimat*VLOOKUP($A192,Leveranser_per_nät,'Leveranser per nät'!R$1,FALSE)/VLOOKUP($B192,Korrigeringsfaktor_EI,'Korrigeringsfaktor EI'!R$1,FALSE),
"")</f>
        <v>16.230923076923077</v>
      </c>
      <c r="S192" s="18">
        <f>IFERROR(
                  Andel_oberoende_av_klimat*VLOOKUP($A192,Leveranser_per_nät,'Leveranser per nät'!S$1,FALSE)
               +Andel_beroende_av_klimat*VLOOKUP($A192,Leveranser_per_nät,'Leveranser per nät'!S$1,FALSE)/VLOOKUP($B192,Korrigeringsfaktor_EI,'Korrigeringsfaktor EI'!S$1,FALSE),
"")</f>
        <v>16.45150707070707</v>
      </c>
      <c r="T192" s="18">
        <f>IFERROR(
                  Andel_oberoende_av_klimat*VLOOKUP($A192,Leveranser_per_nät,'Leveranser per nät'!T$1,FALSE)
               +Andel_beroende_av_klimat*VLOOKUP($A192,Leveranser_per_nät,'Leveranser per nät'!T$1,FALSE)/VLOOKUP($B192,Korrigeringsfaktor_EI,'Korrigeringsfaktor EI'!T$1,FALSE),
"")</f>
        <v>16.536650000000002</v>
      </c>
      <c r="U192" s="18">
        <f>IFERROR(
                  Andel_oberoende_av_klimat*VLOOKUP($A192,Leveranser_per_nät,'Leveranser per nät'!U$1,FALSE)
               +Andel_beroende_av_klimat*VLOOKUP($A192,Leveranser_per_nät,'Leveranser per nät'!U$1,FALSE)/VLOOKUP($B192,Korrigeringsfaktor_EI,'Korrigeringsfaktor EI'!U$1,FALSE),
"")</f>
        <v>16.050026966292133</v>
      </c>
      <c r="V192" s="18">
        <f>IFERROR(
                  Andel_oberoende_av_klimat*VLOOKUP($A192,Leveranser_per_nät,'Leveranser per nät'!V$1,FALSE)
               +Andel_beroende_av_klimat*VLOOKUP($A192,Leveranser_per_nät,'Leveranser per nät'!V$1,FALSE)/VLOOKUP($B192,Korrigeringsfaktor_EI,'Korrigeringsfaktor EI'!V$1,FALSE),
"")</f>
        <v>15.737711111111111</v>
      </c>
      <c r="W192" s="18">
        <f>IFERROR(
                  Andel_oberoende_av_klimat*VLOOKUP($A192,Leveranser_per_nät,'Leveranser per nät'!W$1,FALSE)
               +Andel_beroende_av_klimat*VLOOKUP($A192,Leveranser_per_nät,'Leveranser per nät'!W$1,FALSE)/VLOOKUP($B192,Korrigeringsfaktor_EI,'Korrigeringsfaktor EI'!W$1,FALSE),
"")</f>
        <v>16.091789473684209</v>
      </c>
      <c r="X192" s="18">
        <f>IFERROR(
                  Andel_oberoende_av_klimat*VLOOKUP($A192,Leveranser_per_nät,'Leveranser per nät'!X$1,FALSE)
               +Andel_beroende_av_klimat*VLOOKUP($A192,Leveranser_per_nät,'Leveranser per nät'!X$1,FALSE)/VLOOKUP($B192,Korrigeringsfaktor_EI,'Korrigeringsfaktor EI'!X$1,FALSE),
"")</f>
        <v>16.19255319148936</v>
      </c>
      <c r="Y192" s="18">
        <f>IFERROR(
                  Andel_oberoende_av_klimat*VLOOKUP($A192,Leveranser_per_nät,'Leveranser per nät'!Y$1,FALSE)
               +Andel_beroende_av_klimat*VLOOKUP($A192,Leveranser_per_nät,'Leveranser per nät'!Y$1,FALSE)/VLOOKUP($B192,Korrigeringsfaktor_EI,'Korrigeringsfaktor EI'!Y$1,FALSE),
"")</f>
        <v>16.019130434782607</v>
      </c>
      <c r="Z192" s="18">
        <f>IFERROR(
                  Andel_oberoende_av_klimat*VLOOKUP($A192,Leveranser_per_nät,'Leveranser per nät'!Z$1,FALSE)
               +Andel_beroende_av_klimat*VLOOKUP($A192,Leveranser_per_nät,'Leveranser per nät'!Z$1,FALSE)/VLOOKUP($B192,Korrigeringsfaktor_EI,'Korrigeringsfaktor EI'!Z$1,FALSE),
"")</f>
        <v>16.080449438202248</v>
      </c>
      <c r="AA192" s="18">
        <f>IFERROR(
                  Andel_oberoende_av_klimat*VLOOKUP($A192,Leveranser_per_nät,'Leveranser per nät'!AA$1,FALSE)
               +Andel_beroende_av_klimat*VLOOKUP($A192,Leveranser_per_nät,'Leveranser per nät'!AA$1,FALSE)/VLOOKUP($B192,Korrigeringsfaktor_EI,'Korrigeringsfaktor EI'!AA$1,FALSE),
"")</f>
        <v>15.53126491646778</v>
      </c>
      <c r="AB192" s="18">
        <f>IFERROR(
                  Andel_oberoende_av_klimat*VLOOKUP($A192,Leveranser_per_nät,'Leveranser per nät'!AB$1,FALSE)
               +Andel_beroende_av_klimat*VLOOKUP($A192,Leveranser_per_nät,'Leveranser per nät'!AB$1,FALSE)/VLOOKUP($B192,Korrigeringsfaktor_EI,'Korrigeringsfaktor EI'!AB$1,FALSE),
"")</f>
        <v>16.285815975733062</v>
      </c>
      <c r="AC192" s="18">
        <f>IFERROR(
                  Andel_oberoende_av_klimat*VLOOKUP($A192,Leveranser_per_nät,'Leveranser per nät'!AC$1,FALSE)
               +Andel_beroende_av_klimat*VLOOKUP($A192,Leveranser_per_nät,'Leveranser per nät'!AC$1,FALSE)/VLOOKUP($B192,Korrigeringsfaktor_EI,'Korrigeringsfaktor EI'!AC$1,FALSE),
"")</f>
        <v>15.603793103448277</v>
      </c>
      <c r="AD192">
        <v>14.8</v>
      </c>
    </row>
    <row r="193" spans="1:30" x14ac:dyDescent="0.25">
      <c r="A193" t="s">
        <v>164</v>
      </c>
      <c r="B193" t="s">
        <v>164</v>
      </c>
      <c r="C193" s="18">
        <f>IFERROR(
                  Andel_oberoende_av_klimat*VLOOKUP($A193,Leveranser_per_nät,'Leveranser per nät'!C$1,FALSE)
               +Andel_beroende_av_klimat*VLOOKUP($A193,Leveranser_per_nät,'Leveranser per nät'!C$1,FALSE)/VLOOKUP($B193,Korrigeringsfaktor_EI,'Korrigeringsfaktor EI'!C$1,FALSE),
"")</f>
        <v>108.88378378378378</v>
      </c>
      <c r="D193" s="18">
        <f>IFERROR(
                  Andel_oberoende_av_klimat*VLOOKUP($A193,Leveranser_per_nät,'Leveranser per nät'!D$1,FALSE)
               +Andel_beroende_av_klimat*VLOOKUP($A193,Leveranser_per_nät,'Leveranser per nät'!D$1,FALSE)/VLOOKUP($B193,Korrigeringsfaktor_EI,'Korrigeringsfaktor EI'!D$1,FALSE),
"")</f>
        <v>104.00414851485149</v>
      </c>
      <c r="E193" s="18">
        <f>IFERROR(
                  Andel_oberoende_av_klimat*VLOOKUP($A193,Leveranser_per_nät,'Leveranser per nät'!E$1,FALSE)
               +Andel_beroende_av_klimat*VLOOKUP($A193,Leveranser_per_nät,'Leveranser per nät'!E$1,FALSE)/VLOOKUP($B193,Korrigeringsfaktor_EI,'Korrigeringsfaktor EI'!E$1,FALSE),
"")</f>
        <v>108.79566990291261</v>
      </c>
      <c r="F193" s="18">
        <f>IFERROR(
                  Andel_oberoende_av_klimat*VLOOKUP($A193,Leveranser_per_nät,'Leveranser per nät'!F$1,FALSE)
               +Andel_beroende_av_klimat*VLOOKUP($A193,Leveranser_per_nät,'Leveranser per nät'!F$1,FALSE)/VLOOKUP($B193,Korrigeringsfaktor_EI,'Korrigeringsfaktor EI'!F$1,FALSE),
"")</f>
        <v>113.46439175257731</v>
      </c>
      <c r="G193" s="18">
        <f>IFERROR(
                  Andel_oberoende_av_klimat*VLOOKUP($A193,Leveranser_per_nät,'Leveranser per nät'!G$1,FALSE)
               +Andel_beroende_av_klimat*VLOOKUP($A193,Leveranser_per_nät,'Leveranser per nät'!G$1,FALSE)/VLOOKUP($B193,Korrigeringsfaktor_EI,'Korrigeringsfaktor EI'!G$1,FALSE),
"")</f>
        <v>114.77471111111112</v>
      </c>
      <c r="H193" s="18">
        <f>IFERROR(
                  Andel_oberoende_av_klimat*VLOOKUP($A193,Leveranser_per_nät,'Leveranser per nät'!H$1,FALSE)
               +Andel_beroende_av_klimat*VLOOKUP($A193,Leveranser_per_nät,'Leveranser per nät'!H$1,FALSE)/VLOOKUP($B193,Korrigeringsfaktor_EI,'Korrigeringsfaktor EI'!H$1,FALSE),
"")</f>
        <v>129.43168811881191</v>
      </c>
      <c r="I193" s="18">
        <f>IFERROR(
                  Andel_oberoende_av_klimat*VLOOKUP($A193,Leveranser_per_nät,'Leveranser per nät'!I$1,FALSE)
               +Andel_beroende_av_klimat*VLOOKUP($A193,Leveranser_per_nät,'Leveranser per nät'!I$1,FALSE)/VLOOKUP($B193,Korrigeringsfaktor_EI,'Korrigeringsfaktor EI'!I$1,FALSE),
"")</f>
        <v>137.79306666666668</v>
      </c>
      <c r="J193" s="18">
        <f>IFERROR(
                  Andel_oberoende_av_klimat*VLOOKUP($A193,Leveranser_per_nät,'Leveranser per nät'!J$1,FALSE)
               +Andel_beroende_av_klimat*VLOOKUP($A193,Leveranser_per_nät,'Leveranser per nät'!J$1,FALSE)/VLOOKUP($B193,Korrigeringsfaktor_EI,'Korrigeringsfaktor EI'!J$1,FALSE),
"")</f>
        <v>137.82366868686867</v>
      </c>
      <c r="K193" s="18">
        <f>IFERROR(
                  Andel_oberoende_av_klimat*VLOOKUP($A193,Leveranser_per_nät,'Leveranser per nät'!K$1,FALSE)
               +Andel_beroende_av_klimat*VLOOKUP($A193,Leveranser_per_nät,'Leveranser per nät'!K$1,FALSE)/VLOOKUP($B193,Korrigeringsfaktor_EI,'Korrigeringsfaktor EI'!K$1,FALSE),
"")</f>
        <v>138.19200000000001</v>
      </c>
      <c r="L193" s="18">
        <f>IFERROR(
                  Andel_oberoende_av_klimat*VLOOKUP($A193,Leveranser_per_nät,'Leveranser per nät'!L$1,FALSE)
               +Andel_beroende_av_klimat*VLOOKUP($A193,Leveranser_per_nät,'Leveranser per nät'!L$1,FALSE)/VLOOKUP($B193,Korrigeringsfaktor_EI,'Korrigeringsfaktor EI'!L$1,FALSE),
"")</f>
        <v>136.35334545454543</v>
      </c>
      <c r="M193" s="18">
        <f>IFERROR(
                  Andel_oberoende_av_klimat*VLOOKUP($A193,Leveranser_per_nät,'Leveranser per nät'!M$1,FALSE)
               +Andel_beroende_av_klimat*VLOOKUP($A193,Leveranser_per_nät,'Leveranser per nät'!M$1,FALSE)/VLOOKUP($B193,Korrigeringsfaktor_EI,'Korrigeringsfaktor EI'!M$1,FALSE),
"")</f>
        <v>137.58894736842103</v>
      </c>
      <c r="N193" s="18">
        <f>IFERROR(
                  Andel_oberoende_av_klimat*VLOOKUP($A193,Leveranser_per_nät,'Leveranser per nät'!N$1,FALSE)
               +Andel_beroende_av_klimat*VLOOKUP($A193,Leveranser_per_nät,'Leveranser per nät'!N$1,FALSE)/VLOOKUP($B193,Korrigeringsfaktor_EI,'Korrigeringsfaktor EI'!N$1,FALSE),
"")</f>
        <v>147.72936382978725</v>
      </c>
      <c r="O193" s="18">
        <f>IFERROR(
                  Andel_oberoende_av_klimat*VLOOKUP($A193,Leveranser_per_nät,'Leveranser per nät'!O$1,FALSE)
               +Andel_beroende_av_klimat*VLOOKUP($A193,Leveranser_per_nät,'Leveranser per nät'!O$1,FALSE)/VLOOKUP($B193,Korrigeringsfaktor_EI,'Korrigeringsfaktor EI'!O$1,FALSE),
"")</f>
        <v>152.63978494623657</v>
      </c>
      <c r="P193" s="18">
        <f>IFERROR(
                  Andel_oberoende_av_klimat*VLOOKUP($A193,Leveranser_per_nät,'Leveranser per nät'!P$1,FALSE)
               +Andel_beroende_av_klimat*VLOOKUP($A193,Leveranser_per_nät,'Leveranser per nät'!P$1,FALSE)/VLOOKUP($B193,Korrigeringsfaktor_EI,'Korrigeringsfaktor EI'!P$1,FALSE),
"")</f>
        <v>156.90492857142857</v>
      </c>
      <c r="Q193" s="18">
        <f>IFERROR(
                  Andel_oberoende_av_klimat*VLOOKUP($A193,Leveranser_per_nät,'Leveranser per nät'!Q$1,FALSE)
               +Andel_beroende_av_klimat*VLOOKUP($A193,Leveranser_per_nät,'Leveranser per nät'!Q$1,FALSE)/VLOOKUP($B193,Korrigeringsfaktor_EI,'Korrigeringsfaktor EI'!Q$1,FALSE),
"")</f>
        <v>167.72654999999997</v>
      </c>
      <c r="R193" s="18">
        <f>IFERROR(
                  Andel_oberoende_av_klimat*VLOOKUP($A193,Leveranser_per_nät,'Leveranser per nät'!R$1,FALSE)
               +Andel_beroende_av_klimat*VLOOKUP($A193,Leveranser_per_nät,'Leveranser per nät'!R$1,FALSE)/VLOOKUP($B193,Korrigeringsfaktor_EI,'Korrigeringsfaktor EI'!R$1,FALSE),
"")</f>
        <v>161.92553191489364</v>
      </c>
      <c r="S193" s="18">
        <f>IFERROR(
                  Andel_oberoende_av_klimat*VLOOKUP($A193,Leveranser_per_nät,'Leveranser per nät'!S$1,FALSE)
               +Andel_beroende_av_klimat*VLOOKUP($A193,Leveranser_per_nät,'Leveranser per nät'!S$1,FALSE)/VLOOKUP($B193,Korrigeringsfaktor_EI,'Korrigeringsfaktor EI'!S$1,FALSE),
"")</f>
        <v>168.8217821782178</v>
      </c>
      <c r="T193" s="18">
        <f>IFERROR(
                  Andel_oberoende_av_klimat*VLOOKUP($A193,Leveranser_per_nät,'Leveranser per nät'!T$1,FALSE)
               +Andel_beroende_av_klimat*VLOOKUP($A193,Leveranser_per_nät,'Leveranser per nät'!T$1,FALSE)/VLOOKUP($B193,Korrigeringsfaktor_EI,'Korrigeringsfaktor EI'!T$1,FALSE),
"")</f>
        <v>175.15567422680411</v>
      </c>
      <c r="U193" s="18">
        <f>IFERROR(
                  Andel_oberoende_av_klimat*VLOOKUP($A193,Leveranser_per_nät,'Leveranser per nät'!U$1,FALSE)
               +Andel_beroende_av_klimat*VLOOKUP($A193,Leveranser_per_nät,'Leveranser per nät'!U$1,FALSE)/VLOOKUP($B193,Korrigeringsfaktor_EI,'Korrigeringsfaktor EI'!U$1,FALSE),
"")</f>
        <v>171.98636363636365</v>
      </c>
      <c r="V193" s="18">
        <f>IFERROR(
                  Andel_oberoende_av_klimat*VLOOKUP($A193,Leveranser_per_nät,'Leveranser per nät'!V$1,FALSE)
               +Andel_beroende_av_klimat*VLOOKUP($A193,Leveranser_per_nät,'Leveranser per nät'!V$1,FALSE)/VLOOKUP($B193,Korrigeringsfaktor_EI,'Korrigeringsfaktor EI'!V$1,FALSE),
"")</f>
        <v>174.19478260869562</v>
      </c>
      <c r="W193" s="18">
        <f>IFERROR(
                  Andel_oberoende_av_klimat*VLOOKUP($A193,Leveranser_per_nät,'Leveranser per nät'!W$1,FALSE)
               +Andel_beroende_av_klimat*VLOOKUP($A193,Leveranser_per_nät,'Leveranser per nät'!W$1,FALSE)/VLOOKUP($B193,Korrigeringsfaktor_EI,'Korrigeringsfaktor EI'!W$1,FALSE),
"")</f>
        <v>176.8983125</v>
      </c>
      <c r="X193" s="18">
        <f>IFERROR(
                  Andel_oberoende_av_klimat*VLOOKUP($A193,Leveranser_per_nät,'Leveranser per nät'!X$1,FALSE)
               +Andel_beroende_av_klimat*VLOOKUP($A193,Leveranser_per_nät,'Leveranser per nät'!X$1,FALSE)/VLOOKUP($B193,Korrigeringsfaktor_EI,'Korrigeringsfaktor EI'!X$1,FALSE),
"")</f>
        <v>174.76077368421051</v>
      </c>
      <c r="Y193" s="18">
        <f>IFERROR(
                  Andel_oberoende_av_klimat*VLOOKUP($A193,Leveranser_per_nät,'Leveranser per nät'!Y$1,FALSE)
               +Andel_beroende_av_klimat*VLOOKUP($A193,Leveranser_per_nät,'Leveranser per nät'!Y$1,FALSE)/VLOOKUP($B193,Korrigeringsfaktor_EI,'Korrigeringsfaktor EI'!Y$1,FALSE),
"")</f>
        <v>179.4415153846154</v>
      </c>
      <c r="Z193" s="18">
        <f>IFERROR(
                  Andel_oberoende_av_klimat*VLOOKUP($A193,Leveranser_per_nät,'Leveranser per nät'!Z$1,FALSE)
               +Andel_beroende_av_klimat*VLOOKUP($A193,Leveranser_per_nät,'Leveranser per nät'!Z$1,FALSE)/VLOOKUP($B193,Korrigeringsfaktor_EI,'Korrigeringsfaktor EI'!Z$1,FALSE),
"")</f>
        <v>176.91481363636362</v>
      </c>
      <c r="AA193" s="18">
        <f>IFERROR(
                  Andel_oberoende_av_klimat*VLOOKUP($A193,Leveranser_per_nät,'Leveranser per nät'!AA$1,FALSE)
               +Andel_beroende_av_klimat*VLOOKUP($A193,Leveranser_per_nät,'Leveranser per nät'!AA$1,FALSE)/VLOOKUP($B193,Korrigeringsfaktor_EI,'Korrigeringsfaktor EI'!AA$1,FALSE),
"")</f>
        <v>174.55171206358219</v>
      </c>
      <c r="AB193" s="18">
        <f>IFERROR(
                  Andel_oberoende_av_klimat*VLOOKUP($A193,Leveranser_per_nät,'Leveranser per nät'!AB$1,FALSE)
               +Andel_beroende_av_klimat*VLOOKUP($A193,Leveranser_per_nät,'Leveranser per nät'!AB$1,FALSE)/VLOOKUP($B193,Korrigeringsfaktor_EI,'Korrigeringsfaktor EI'!AB$1,FALSE),
"")</f>
        <v>174.26259149357071</v>
      </c>
      <c r="AC193" s="18">
        <f>IFERROR(
                  Andel_oberoende_av_klimat*VLOOKUP($A193,Leveranser_per_nät,'Leveranser per nät'!AC$1,FALSE)
               +Andel_beroende_av_klimat*VLOOKUP($A193,Leveranser_per_nät,'Leveranser per nät'!AC$1,FALSE)/VLOOKUP($B193,Korrigeringsfaktor_EI,'Korrigeringsfaktor EI'!AC$1,FALSE),
"")</f>
        <v>168.39476752136753</v>
      </c>
      <c r="AD193">
        <v>160.703</v>
      </c>
    </row>
    <row r="194" spans="1:30" x14ac:dyDescent="0.25">
      <c r="A194" t="s">
        <v>165</v>
      </c>
      <c r="B194" t="s">
        <v>165</v>
      </c>
      <c r="C194" s="18">
        <f>IFERROR(
                  Andel_oberoende_av_klimat*VLOOKUP($A194,Leveranser_per_nät,'Leveranser per nät'!C$1,FALSE)
               +Andel_beroende_av_klimat*VLOOKUP($A194,Leveranser_per_nät,'Leveranser per nät'!C$1,FALSE)/VLOOKUP($B194,Korrigeringsfaktor_EI,'Korrigeringsfaktor EI'!C$1,FALSE),
"")</f>
        <v>354.26788990825685</v>
      </c>
      <c r="D194" s="18">
        <f>IFERROR(
                  Andel_oberoende_av_klimat*VLOOKUP($A194,Leveranser_per_nät,'Leveranser per nät'!D$1,FALSE)
               +Andel_beroende_av_klimat*VLOOKUP($A194,Leveranser_per_nät,'Leveranser per nät'!D$1,FALSE)/VLOOKUP($B194,Korrigeringsfaktor_EI,'Korrigeringsfaktor EI'!D$1,FALSE),
"")</f>
        <v>344.02542857142862</v>
      </c>
      <c r="E194" s="18">
        <f>IFERROR(
                  Andel_oberoende_av_klimat*VLOOKUP($A194,Leveranser_per_nät,'Leveranser per nät'!E$1,FALSE)
               +Andel_beroende_av_klimat*VLOOKUP($A194,Leveranser_per_nät,'Leveranser per nät'!E$1,FALSE)/VLOOKUP($B194,Korrigeringsfaktor_EI,'Korrigeringsfaktor EI'!E$1,FALSE),
"")</f>
        <v>329.87307692307695</v>
      </c>
      <c r="F194" s="18">
        <f>IFERROR(
                  Andel_oberoende_av_klimat*VLOOKUP($A194,Leveranser_per_nät,'Leveranser per nät'!F$1,FALSE)
               +Andel_beroende_av_klimat*VLOOKUP($A194,Leveranser_per_nät,'Leveranser per nät'!F$1,FALSE)/VLOOKUP($B194,Korrigeringsfaktor_EI,'Korrigeringsfaktor EI'!F$1,FALSE),
"")</f>
        <v>333.70000000000005</v>
      </c>
      <c r="G194" s="18">
        <f>IFERROR(
                  Andel_oberoende_av_klimat*VLOOKUP($A194,Leveranser_per_nät,'Leveranser per nät'!G$1,FALSE)
               +Andel_beroende_av_klimat*VLOOKUP($A194,Leveranser_per_nät,'Leveranser per nät'!G$1,FALSE)/VLOOKUP($B194,Korrigeringsfaktor_EI,'Korrigeringsfaktor EI'!G$1,FALSE),
"")</f>
        <v>335.18888888888887</v>
      </c>
      <c r="H194" s="18">
        <f>IFERROR(
                  Andel_oberoende_av_klimat*VLOOKUP($A194,Leveranser_per_nät,'Leveranser per nät'!H$1,FALSE)
               +Andel_beroende_av_klimat*VLOOKUP($A194,Leveranser_per_nät,'Leveranser per nät'!H$1,FALSE)/VLOOKUP($B194,Korrigeringsfaktor_EI,'Korrigeringsfaktor EI'!H$1,FALSE),
"")</f>
        <v>348.15490196078434</v>
      </c>
      <c r="I194" s="18">
        <f>IFERROR(
                  Andel_oberoende_av_klimat*VLOOKUP($A194,Leveranser_per_nät,'Leveranser per nät'!I$1,FALSE)
               +Andel_beroende_av_klimat*VLOOKUP($A194,Leveranser_per_nät,'Leveranser per nät'!I$1,FALSE)/VLOOKUP($B194,Korrigeringsfaktor_EI,'Korrigeringsfaktor EI'!I$1,FALSE),
"")</f>
        <v>352.46907216494844</v>
      </c>
      <c r="J194" s="18">
        <f>IFERROR(
                  Andel_oberoende_av_klimat*VLOOKUP($A194,Leveranser_per_nät,'Leveranser per nät'!J$1,FALSE)
               +Andel_beroende_av_klimat*VLOOKUP($A194,Leveranser_per_nät,'Leveranser per nät'!J$1,FALSE)/VLOOKUP($B194,Korrigeringsfaktor_EI,'Korrigeringsfaktor EI'!J$1,FALSE),
"")</f>
        <v>354.48888888888888</v>
      </c>
      <c r="K194" s="18">
        <f>IFERROR(
                  Andel_oberoende_av_klimat*VLOOKUP($A194,Leveranser_per_nät,'Leveranser per nät'!K$1,FALSE)
               +Andel_beroende_av_klimat*VLOOKUP($A194,Leveranser_per_nät,'Leveranser per nät'!K$1,FALSE)/VLOOKUP($B194,Korrigeringsfaktor_EI,'Korrigeringsfaktor EI'!K$1,FALSE),
"")</f>
        <v>356.61068571428575</v>
      </c>
      <c r="L194" s="18">
        <f>IFERROR(
                  Andel_oberoende_av_klimat*VLOOKUP($A194,Leveranser_per_nät,'Leveranser per nät'!L$1,FALSE)
               +Andel_beroende_av_klimat*VLOOKUP($A194,Leveranser_per_nät,'Leveranser per nät'!L$1,FALSE)/VLOOKUP($B194,Korrigeringsfaktor_EI,'Korrigeringsfaktor EI'!L$1,FALSE),
"")</f>
        <v>349.35062500000004</v>
      </c>
      <c r="M194" s="18">
        <f>IFERROR(
                  Andel_oberoende_av_klimat*VLOOKUP($A194,Leveranser_per_nät,'Leveranser per nät'!M$1,FALSE)
               +Andel_beroende_av_klimat*VLOOKUP($A194,Leveranser_per_nät,'Leveranser per nät'!M$1,FALSE)/VLOOKUP($B194,Korrigeringsfaktor_EI,'Korrigeringsfaktor EI'!M$1,FALSE),
"")</f>
        <v>352.05744680851063</v>
      </c>
      <c r="N194" s="18">
        <f>IFERROR(
                  Andel_oberoende_av_klimat*VLOOKUP($A194,Leveranser_per_nät,'Leveranser per nät'!N$1,FALSE)
               +Andel_beroende_av_klimat*VLOOKUP($A194,Leveranser_per_nät,'Leveranser per nät'!N$1,FALSE)/VLOOKUP($B194,Korrigeringsfaktor_EI,'Korrigeringsfaktor EI'!N$1,FALSE),
"")</f>
        <v>341.12105263157895</v>
      </c>
      <c r="O194" s="18">
        <f>IFERROR(
                  Andel_oberoende_av_klimat*VLOOKUP($A194,Leveranser_per_nät,'Leveranser per nät'!O$1,FALSE)
               +Andel_beroende_av_klimat*VLOOKUP($A194,Leveranser_per_nät,'Leveranser per nät'!O$1,FALSE)/VLOOKUP($B194,Korrigeringsfaktor_EI,'Korrigeringsfaktor EI'!O$1,FALSE),
"")</f>
        <v>349.49247311827952</v>
      </c>
      <c r="P194" s="18">
        <f>IFERROR(
                  Andel_oberoende_av_klimat*VLOOKUP($A194,Leveranser_per_nät,'Leveranser per nät'!P$1,FALSE)
               +Andel_beroende_av_klimat*VLOOKUP($A194,Leveranser_per_nät,'Leveranser per nät'!P$1,FALSE)/VLOOKUP($B194,Korrigeringsfaktor_EI,'Korrigeringsfaktor EI'!P$1,FALSE),
"")</f>
        <v>346.58118811881184</v>
      </c>
      <c r="Q194" s="18">
        <f>IFERROR(
                  Andel_oberoende_av_klimat*VLOOKUP($A194,Leveranser_per_nät,'Leveranser per nät'!Q$1,FALSE)
               +Andel_beroende_av_klimat*VLOOKUP($A194,Leveranser_per_nät,'Leveranser per nät'!Q$1,FALSE)/VLOOKUP($B194,Korrigeringsfaktor_EI,'Korrigeringsfaktor EI'!Q$1,FALSE),
"")</f>
        <v>352.90026228290748</v>
      </c>
      <c r="R194" s="18">
        <f>IFERROR(
                  Andel_oberoende_av_klimat*VLOOKUP($A194,Leveranser_per_nät,'Leveranser per nät'!R$1,FALSE)
               +Andel_beroende_av_klimat*VLOOKUP($A194,Leveranser_per_nät,'Leveranser per nät'!R$1,FALSE)/VLOOKUP($B194,Korrigeringsfaktor_EI,'Korrigeringsfaktor EI'!R$1,FALSE),
"")</f>
        <v>336.44356452295813</v>
      </c>
      <c r="S194" s="18">
        <f>IFERROR(
                  Andel_oberoende_av_klimat*VLOOKUP($A194,Leveranser_per_nät,'Leveranser per nät'!S$1,FALSE)
               +Andel_beroende_av_klimat*VLOOKUP($A194,Leveranser_per_nät,'Leveranser per nät'!S$1,FALSE)/VLOOKUP($B194,Korrigeringsfaktor_EI,'Korrigeringsfaktor EI'!S$1,FALSE),
"")</f>
        <v>316.59411764705885</v>
      </c>
      <c r="T194" s="18">
        <f>IFERROR(
                  Andel_oberoende_av_klimat*VLOOKUP($A194,Leveranser_per_nät,'Leveranser per nät'!T$1,FALSE)
               +Andel_beroende_av_klimat*VLOOKUP($A194,Leveranser_per_nät,'Leveranser per nät'!T$1,FALSE)/VLOOKUP($B194,Korrigeringsfaktor_EI,'Korrigeringsfaktor EI'!T$1,FALSE),
"")</f>
        <v>331.26571428571435</v>
      </c>
      <c r="U194" s="18">
        <f>IFERROR(
                  Andel_oberoende_av_klimat*VLOOKUP($A194,Leveranser_per_nät,'Leveranser per nät'!U$1,FALSE)
               +Andel_beroende_av_klimat*VLOOKUP($A194,Leveranser_per_nät,'Leveranser per nät'!U$1,FALSE)/VLOOKUP($B194,Korrigeringsfaktor_EI,'Korrigeringsfaktor EI'!U$1,FALSE),
"")</f>
        <v>312.42608695652171</v>
      </c>
      <c r="V194" s="18">
        <f>IFERROR(
                  Andel_oberoende_av_klimat*VLOOKUP($A194,Leveranser_per_nät,'Leveranser per nät'!V$1,FALSE)
               +Andel_beroende_av_klimat*VLOOKUP($A194,Leveranser_per_nät,'Leveranser per nät'!V$1,FALSE)/VLOOKUP($B194,Korrigeringsfaktor_EI,'Korrigeringsfaktor EI'!V$1,FALSE),
"")</f>
        <v>308.80765957446812</v>
      </c>
      <c r="W194" s="18">
        <f>IFERROR(
                  Andel_oberoende_av_klimat*VLOOKUP($A194,Leveranser_per_nät,'Leveranser per nät'!W$1,FALSE)
               +Andel_beroende_av_klimat*VLOOKUP($A194,Leveranser_per_nät,'Leveranser per nät'!W$1,FALSE)/VLOOKUP($B194,Korrigeringsfaktor_EI,'Korrigeringsfaktor EI'!W$1,FALSE),
"")</f>
        <v>328.46030927835051</v>
      </c>
      <c r="X194" s="18">
        <f>IFERROR(
                  Andel_oberoende_av_klimat*VLOOKUP($A194,Leveranser_per_nät,'Leveranser per nät'!X$1,FALSE)
               +Andel_beroende_av_klimat*VLOOKUP($A194,Leveranser_per_nät,'Leveranser per nät'!X$1,FALSE)/VLOOKUP($B194,Korrigeringsfaktor_EI,'Korrigeringsfaktor EI'!X$1,FALSE),
"")</f>
        <v>322.54083333333335</v>
      </c>
      <c r="Y194" s="18">
        <f>IFERROR(
                  Andel_oberoende_av_klimat*VLOOKUP($A194,Leveranser_per_nät,'Leveranser per nät'!Y$1,FALSE)
               +Andel_beroende_av_klimat*VLOOKUP($A194,Leveranser_per_nät,'Leveranser per nät'!Y$1,FALSE)/VLOOKUP($B194,Korrigeringsfaktor_EI,'Korrigeringsfaktor EI'!Y$1,FALSE),
"")</f>
        <v>321.28043010752685</v>
      </c>
      <c r="Z194" s="18">
        <f>IFERROR(
                  Andel_oberoende_av_klimat*VLOOKUP($A194,Leveranser_per_nät,'Leveranser per nät'!Z$1,FALSE)
               +Andel_beroende_av_klimat*VLOOKUP($A194,Leveranser_per_nät,'Leveranser per nät'!Z$1,FALSE)/VLOOKUP($B194,Korrigeringsfaktor_EI,'Korrigeringsfaktor EI'!Z$1,FALSE),
"")</f>
        <v>317.49075268817205</v>
      </c>
      <c r="AA194" s="18">
        <f>IFERROR(
                  Andel_oberoende_av_klimat*VLOOKUP($A194,Leveranser_per_nät,'Leveranser per nät'!AA$1,FALSE)
               +Andel_beroende_av_klimat*VLOOKUP($A194,Leveranser_per_nät,'Leveranser per nät'!AA$1,FALSE)/VLOOKUP($B194,Korrigeringsfaktor_EI,'Korrigeringsfaktor EI'!AA$1,FALSE),
"")</f>
        <v>313.71535801266435</v>
      </c>
      <c r="AB194" s="18">
        <f>IFERROR(
                  Andel_oberoende_av_klimat*VLOOKUP($A194,Leveranser_per_nät,'Leveranser per nät'!AB$1,FALSE)
               +Andel_beroende_av_klimat*VLOOKUP($A194,Leveranser_per_nät,'Leveranser per nät'!AB$1,FALSE)/VLOOKUP($B194,Korrigeringsfaktor_EI,'Korrigeringsfaktor EI'!AB$1,FALSE),
"")</f>
        <v>317.28450980392154</v>
      </c>
      <c r="AC194" s="18">
        <f>IFERROR(
                  Andel_oberoende_av_klimat*VLOOKUP($A194,Leveranser_per_nät,'Leveranser per nät'!AC$1,FALSE)
               +Andel_beroende_av_klimat*VLOOKUP($A194,Leveranser_per_nät,'Leveranser per nät'!AC$1,FALSE)/VLOOKUP($B194,Korrigeringsfaktor_EI,'Korrigeringsfaktor EI'!AC$1,FALSE),
"")</f>
        <v>313.28426160337551</v>
      </c>
      <c r="AD194">
        <v>301.7</v>
      </c>
    </row>
    <row r="195" spans="1:30" x14ac:dyDescent="0.25">
      <c r="A195" t="s">
        <v>0</v>
      </c>
      <c r="B195" t="s">
        <v>0</v>
      </c>
      <c r="C195" s="18">
        <f>IFERROR(
                  Andel_oberoende_av_klimat*VLOOKUP($A195,Leveranser_per_nät,'Leveranser per nät'!C$1,FALSE)
               +Andel_beroende_av_klimat*VLOOKUP($A195,Leveranser_per_nät,'Leveranser per nät'!C$1,FALSE)/VLOOKUP($B195,Korrigeringsfaktor_EI,'Korrigeringsfaktor EI'!C$1,FALSE),
"")</f>
        <v>82.826126126126127</v>
      </c>
      <c r="D195" s="18">
        <f>IFERROR(
                  Andel_oberoende_av_klimat*VLOOKUP($A195,Leveranser_per_nät,'Leveranser per nät'!D$1,FALSE)
               +Andel_beroende_av_klimat*VLOOKUP($A195,Leveranser_per_nät,'Leveranser per nät'!D$1,FALSE)/VLOOKUP($B195,Korrigeringsfaktor_EI,'Korrigeringsfaktor EI'!D$1,FALSE),
"")</f>
        <v>56.21764705882353</v>
      </c>
      <c r="E195" s="18">
        <f>IFERROR(
                  Andel_oberoende_av_klimat*VLOOKUP($A195,Leveranser_per_nät,'Leveranser per nät'!E$1,FALSE)
               +Andel_beroende_av_klimat*VLOOKUP($A195,Leveranser_per_nät,'Leveranser per nät'!E$1,FALSE)/VLOOKUP($B195,Korrigeringsfaktor_EI,'Korrigeringsfaktor EI'!E$1,FALSE),
"")</f>
        <v>55.465384615384615</v>
      </c>
      <c r="F195" s="18">
        <f>IFERROR(
                  Andel_oberoende_av_klimat*VLOOKUP($A195,Leveranser_per_nät,'Leveranser per nät'!F$1,FALSE)
               +Andel_beroende_av_klimat*VLOOKUP($A195,Leveranser_per_nät,'Leveranser per nät'!F$1,FALSE)/VLOOKUP($B195,Korrigeringsfaktor_EI,'Korrigeringsfaktor EI'!F$1,FALSE),
"")</f>
        <v>77.897142857142853</v>
      </c>
      <c r="G195" s="18">
        <f>IFERROR(
                  Andel_oberoende_av_klimat*VLOOKUP($A195,Leveranser_per_nät,'Leveranser per nät'!G$1,FALSE)
               +Andel_beroende_av_klimat*VLOOKUP($A195,Leveranser_per_nät,'Leveranser per nät'!G$1,FALSE)/VLOOKUP($B195,Korrigeringsfaktor_EI,'Korrigeringsfaktor EI'!G$1,FALSE),
"")</f>
        <v>83.444494382022469</v>
      </c>
      <c r="H195" s="18">
        <f>IFERROR(
                  Andel_oberoende_av_klimat*VLOOKUP($A195,Leveranser_per_nät,'Leveranser per nät'!H$1,FALSE)
               +Andel_beroende_av_klimat*VLOOKUP($A195,Leveranser_per_nät,'Leveranser per nät'!H$1,FALSE)/VLOOKUP($B195,Korrigeringsfaktor_EI,'Korrigeringsfaktor EI'!H$1,FALSE),
"")</f>
        <v>163.91204752475247</v>
      </c>
      <c r="I195" s="18">
        <f>IFERROR(
                  Andel_oberoende_av_klimat*VLOOKUP($A195,Leveranser_per_nät,'Leveranser per nät'!I$1,FALSE)
               +Andel_beroende_av_klimat*VLOOKUP($A195,Leveranser_per_nät,'Leveranser per nät'!I$1,FALSE)/VLOOKUP($B195,Korrigeringsfaktor_EI,'Korrigeringsfaktor EI'!I$1,FALSE),
"")</f>
        <v>194.07964545454547</v>
      </c>
      <c r="J195" s="18">
        <f>IFERROR(
                  Andel_oberoende_av_klimat*VLOOKUP($A195,Leveranser_per_nät,'Leveranser per nät'!J$1,FALSE)
               +Andel_beroende_av_klimat*VLOOKUP($A195,Leveranser_per_nät,'Leveranser per nät'!J$1,FALSE)/VLOOKUP($B195,Korrigeringsfaktor_EI,'Korrigeringsfaktor EI'!J$1,FALSE),
"")</f>
        <v>197.15899999999999</v>
      </c>
      <c r="K195" s="18">
        <f>IFERROR(
                  Andel_oberoende_av_klimat*VLOOKUP($A195,Leveranser_per_nät,'Leveranser per nät'!K$1,FALSE)
               +Andel_beroende_av_klimat*VLOOKUP($A195,Leveranser_per_nät,'Leveranser per nät'!K$1,FALSE)/VLOOKUP($B195,Korrigeringsfaktor_EI,'Korrigeringsfaktor EI'!K$1,FALSE),
"")</f>
        <v>199.70623762376238</v>
      </c>
      <c r="L195" s="18">
        <f>IFERROR(
                  Andel_oberoende_av_klimat*VLOOKUP($A195,Leveranser_per_nät,'Leveranser per nät'!L$1,FALSE)
               +Andel_beroende_av_klimat*VLOOKUP($A195,Leveranser_per_nät,'Leveranser per nät'!L$1,FALSE)/VLOOKUP($B195,Korrigeringsfaktor_EI,'Korrigeringsfaktor EI'!L$1,FALSE),
"")</f>
        <v>197.4450188118812</v>
      </c>
      <c r="M195" s="18">
        <f>IFERROR(
                  Andel_oberoende_av_klimat*VLOOKUP($A195,Leveranser_per_nät,'Leveranser per nät'!M$1,FALSE)
               +Andel_beroende_av_klimat*VLOOKUP($A195,Leveranser_per_nät,'Leveranser per nät'!M$1,FALSE)/VLOOKUP($B195,Korrigeringsfaktor_EI,'Korrigeringsfaktor EI'!M$1,FALSE),
"")</f>
        <v>204.58553684210528</v>
      </c>
      <c r="N195" s="18">
        <f>IFERROR(
                  Andel_oberoende_av_klimat*VLOOKUP($A195,Leveranser_per_nät,'Leveranser per nät'!N$1,FALSE)
               +Andel_beroende_av_klimat*VLOOKUP($A195,Leveranser_per_nät,'Leveranser per nät'!N$1,FALSE)/VLOOKUP($B195,Korrigeringsfaktor_EI,'Korrigeringsfaktor EI'!N$1,FALSE),
"")</f>
        <v>207.60291538461539</v>
      </c>
      <c r="O195" s="18">
        <f>IFERROR(
                  Andel_oberoende_av_klimat*VLOOKUP($A195,Leveranser_per_nät,'Leveranser per nät'!O$1,FALSE)
               +Andel_beroende_av_klimat*VLOOKUP($A195,Leveranser_per_nät,'Leveranser per nät'!O$1,FALSE)/VLOOKUP($B195,Korrigeringsfaktor_EI,'Korrigeringsfaktor EI'!O$1,FALSE),
"")</f>
        <v>210.28347692307693</v>
      </c>
      <c r="P195" s="18">
        <f>IFERROR(
                  Andel_oberoende_av_klimat*VLOOKUP($A195,Leveranser_per_nät,'Leveranser per nät'!P$1,FALSE)
               +Andel_beroende_av_klimat*VLOOKUP($A195,Leveranser_per_nät,'Leveranser per nät'!P$1,FALSE)/VLOOKUP($B195,Korrigeringsfaktor_EI,'Korrigeringsfaktor EI'!P$1,FALSE),
"")</f>
        <v>229.81291666666669</v>
      </c>
      <c r="Q195" s="18">
        <f>IFERROR(
                  Andel_oberoende_av_klimat*VLOOKUP($A195,Leveranser_per_nät,'Leveranser per nät'!Q$1,FALSE)
               +Andel_beroende_av_klimat*VLOOKUP($A195,Leveranser_per_nät,'Leveranser per nät'!Q$1,FALSE)/VLOOKUP($B195,Korrigeringsfaktor_EI,'Korrigeringsfaktor EI'!Q$1,FALSE),
"")</f>
        <v>249.90038198198198</v>
      </c>
      <c r="R195" s="18">
        <f>IFERROR(
                  Andel_oberoende_av_klimat*VLOOKUP($A195,Leveranser_per_nät,'Leveranser per nät'!R$1,FALSE)
               +Andel_beroende_av_klimat*VLOOKUP($A195,Leveranser_per_nät,'Leveranser per nät'!R$1,FALSE)/VLOOKUP($B195,Korrigeringsfaktor_EI,'Korrigeringsfaktor EI'!R$1,FALSE),
"")</f>
        <v>282.03429565217385</v>
      </c>
      <c r="S195" s="18">
        <f>IFERROR(
                  Andel_oberoende_av_klimat*VLOOKUP($A195,Leveranser_per_nät,'Leveranser per nät'!S$1,FALSE)
               +Andel_beroende_av_klimat*VLOOKUP($A195,Leveranser_per_nät,'Leveranser per nät'!S$1,FALSE)/VLOOKUP($B195,Korrigeringsfaktor_EI,'Korrigeringsfaktor EI'!S$1,FALSE),
"")</f>
        <v>246.73232323232327</v>
      </c>
      <c r="T195" s="18">
        <f>IFERROR(
                  Andel_oberoende_av_klimat*VLOOKUP($A195,Leveranser_per_nät,'Leveranser per nät'!T$1,FALSE)
               +Andel_beroende_av_klimat*VLOOKUP($A195,Leveranser_per_nät,'Leveranser per nät'!T$1,FALSE)/VLOOKUP($B195,Korrigeringsfaktor_EI,'Korrigeringsfaktor EI'!T$1,FALSE),
"")</f>
        <v>240.51624999999999</v>
      </c>
      <c r="U195" s="18">
        <f>IFERROR(
                  Andel_oberoende_av_klimat*VLOOKUP($A195,Leveranser_per_nät,'Leveranser per nät'!U$1,FALSE)
               +Andel_beroende_av_klimat*VLOOKUP($A195,Leveranser_per_nät,'Leveranser per nät'!U$1,FALSE)/VLOOKUP($B195,Korrigeringsfaktor_EI,'Korrigeringsfaktor EI'!U$1,FALSE),
"")</f>
        <v>236.97132558139535</v>
      </c>
      <c r="V195" s="18">
        <f>IFERROR(
                  Andel_oberoende_av_klimat*VLOOKUP($A195,Leveranser_per_nät,'Leveranser per nät'!V$1,FALSE)
               +Andel_beroende_av_klimat*VLOOKUP($A195,Leveranser_per_nät,'Leveranser per nät'!V$1,FALSE)/VLOOKUP($B195,Korrigeringsfaktor_EI,'Korrigeringsfaktor EI'!V$1,FALSE),
"")</f>
        <v>230.40676404494383</v>
      </c>
      <c r="W195" s="18">
        <f>IFERROR(
                  Andel_oberoende_av_klimat*VLOOKUP($A195,Leveranser_per_nät,'Leveranser per nät'!W$1,FALSE)
               +Andel_beroende_av_klimat*VLOOKUP($A195,Leveranser_per_nät,'Leveranser per nät'!W$1,FALSE)/VLOOKUP($B195,Korrigeringsfaktor_EI,'Korrigeringsfaktor EI'!W$1,FALSE),
"")</f>
        <v>240.11817204301073</v>
      </c>
      <c r="X195" s="18">
        <f>IFERROR(
                  Andel_oberoende_av_klimat*VLOOKUP($A195,Leveranser_per_nät,'Leveranser per nät'!X$1,FALSE)
               +Andel_beroende_av_klimat*VLOOKUP($A195,Leveranser_per_nät,'Leveranser per nät'!X$1,FALSE)/VLOOKUP($B195,Korrigeringsfaktor_EI,'Korrigeringsfaktor EI'!X$1,FALSE),
"")</f>
        <v>256.49704347826082</v>
      </c>
      <c r="Y195" s="18">
        <f>IFERROR(
                  Andel_oberoende_av_klimat*VLOOKUP($A195,Leveranser_per_nät,'Leveranser per nät'!Y$1,FALSE)
               +Andel_beroende_av_klimat*VLOOKUP($A195,Leveranser_per_nät,'Leveranser per nät'!Y$1,FALSE)/VLOOKUP($B195,Korrigeringsfaktor_EI,'Korrigeringsfaktor EI'!Y$1,FALSE),
"")</f>
        <v>264.34520449438202</v>
      </c>
      <c r="Z195" s="18">
        <f>IFERROR(
                  Andel_oberoende_av_klimat*VLOOKUP($A195,Leveranser_per_nät,'Leveranser per nät'!Z$1,FALSE)
               +Andel_beroende_av_klimat*VLOOKUP($A195,Leveranser_per_nät,'Leveranser per nät'!Z$1,FALSE)/VLOOKUP($B195,Korrigeringsfaktor_EI,'Korrigeringsfaktor EI'!Z$1,FALSE),
"")</f>
        <v>263.53911627906979</v>
      </c>
      <c r="AA195" s="18">
        <f>IFERROR(
                  Andel_oberoende_av_klimat*VLOOKUP($A195,Leveranser_per_nät,'Leveranser per nät'!AA$1,FALSE)
               +Andel_beroende_av_klimat*VLOOKUP($A195,Leveranser_per_nät,'Leveranser per nät'!AA$1,FALSE)/VLOOKUP($B195,Korrigeringsfaktor_EI,'Korrigeringsfaktor EI'!AA$1,FALSE),
"")</f>
        <v>253.87771519549761</v>
      </c>
      <c r="AB195" s="18">
        <f>IFERROR(
                  Andel_oberoende_av_klimat*VLOOKUP($A195,Leveranser_per_nät,'Leveranser per nät'!AB$1,FALSE)
               +Andel_beroende_av_klimat*VLOOKUP($A195,Leveranser_per_nät,'Leveranser per nät'!AB$1,FALSE)/VLOOKUP($B195,Korrigeringsfaktor_EI,'Korrigeringsfaktor EI'!AB$1,FALSE),
"")</f>
        <v>261.24700497512441</v>
      </c>
      <c r="AC195" s="18">
        <f>IFERROR(
                  Andel_oberoende_av_klimat*VLOOKUP($A195,Leveranser_per_nät,'Leveranser per nät'!AC$1,FALSE)
               +Andel_beroende_av_klimat*VLOOKUP($A195,Leveranser_per_nät,'Leveranser per nät'!AC$1,FALSE)/VLOOKUP($B195,Korrigeringsfaktor_EI,'Korrigeringsfaktor EI'!AC$1,FALSE),
"")</f>
        <v>252.74832473118281</v>
      </c>
      <c r="AD195">
        <v>240.09800000000001</v>
      </c>
    </row>
    <row r="196" spans="1:30" x14ac:dyDescent="0.25">
      <c r="A196" t="s">
        <v>166</v>
      </c>
      <c r="B196" t="s">
        <v>166</v>
      </c>
      <c r="C196" s="18">
        <f>IFERROR(
                  Andel_oberoende_av_klimat*VLOOKUP($A196,Leveranser_per_nät,'Leveranser per nät'!C$1,FALSE)
               +Andel_beroende_av_klimat*VLOOKUP($A196,Leveranser_per_nät,'Leveranser per nät'!C$1,FALSE)/VLOOKUP($B196,Korrigeringsfaktor_EI,'Korrigeringsfaktor EI'!C$1,FALSE),
"")</f>
        <v>458.01869158878503</v>
      </c>
      <c r="D196" s="18">
        <f>IFERROR(
                  Andel_oberoende_av_klimat*VLOOKUP($A196,Leveranser_per_nät,'Leveranser per nät'!D$1,FALSE)
               +Andel_beroende_av_klimat*VLOOKUP($A196,Leveranser_per_nät,'Leveranser per nät'!D$1,FALSE)/VLOOKUP($B196,Korrigeringsfaktor_EI,'Korrigeringsfaktor EI'!D$1,FALSE),
"")</f>
        <v>446.92471428571429</v>
      </c>
      <c r="E196" s="18">
        <f>IFERROR(
                  Andel_oberoende_av_klimat*VLOOKUP($A196,Leveranser_per_nät,'Leveranser per nät'!E$1,FALSE)
               +Andel_beroende_av_klimat*VLOOKUP($A196,Leveranser_per_nät,'Leveranser per nät'!E$1,FALSE)/VLOOKUP($B196,Korrigeringsfaktor_EI,'Korrigeringsfaktor EI'!E$1,FALSE),
"")</f>
        <v>457.47864077669902</v>
      </c>
      <c r="F196" s="18">
        <f>IFERROR(
                  Andel_oberoende_av_klimat*VLOOKUP($A196,Leveranser_per_nät,'Leveranser per nät'!F$1,FALSE)
               +Andel_beroende_av_klimat*VLOOKUP($A196,Leveranser_per_nät,'Leveranser per nät'!F$1,FALSE)/VLOOKUP($B196,Korrigeringsfaktor_EI,'Korrigeringsfaktor EI'!F$1,FALSE),
"")</f>
        <v>470.30202020202023</v>
      </c>
      <c r="G196" s="18">
        <f>IFERROR(
                  Andel_oberoende_av_klimat*VLOOKUP($A196,Leveranser_per_nät,'Leveranser per nät'!G$1,FALSE)
               +Andel_beroende_av_klimat*VLOOKUP($A196,Leveranser_per_nät,'Leveranser per nät'!G$1,FALSE)/VLOOKUP($B196,Korrigeringsfaktor_EI,'Korrigeringsfaktor EI'!G$1,FALSE),
"")</f>
        <v>435.17692307692306</v>
      </c>
      <c r="H196" s="18">
        <f>IFERROR(
                  Andel_oberoende_av_klimat*VLOOKUP($A196,Leveranser_per_nät,'Leveranser per nät'!H$1,FALSE)
               +Andel_beroende_av_klimat*VLOOKUP($A196,Leveranser_per_nät,'Leveranser per nät'!H$1,FALSE)/VLOOKUP($B196,Korrigeringsfaktor_EI,'Korrigeringsfaktor EI'!H$1,FALSE),
"")</f>
        <v>481</v>
      </c>
      <c r="I196" s="18">
        <f>IFERROR(
                  Andel_oberoende_av_klimat*VLOOKUP($A196,Leveranser_per_nät,'Leveranser per nät'!I$1,FALSE)
               +Andel_beroende_av_klimat*VLOOKUP($A196,Leveranser_per_nät,'Leveranser per nät'!I$1,FALSE)/VLOOKUP($B196,Korrigeringsfaktor_EI,'Korrigeringsfaktor EI'!I$1,FALSE),
"")</f>
        <v>481.65000000000003</v>
      </c>
      <c r="J196" s="18">
        <f>IFERROR(
                  Andel_oberoende_av_klimat*VLOOKUP($A196,Leveranser_per_nät,'Leveranser per nät'!J$1,FALSE)
               +Andel_beroende_av_klimat*VLOOKUP($A196,Leveranser_per_nät,'Leveranser per nät'!J$1,FALSE)/VLOOKUP($B196,Korrigeringsfaktor_EI,'Korrigeringsfaktor EI'!J$1,FALSE),
"")</f>
        <v>484.73750000000001</v>
      </c>
      <c r="K196" s="18">
        <f>IFERROR(
                  Andel_oberoende_av_klimat*VLOOKUP($A196,Leveranser_per_nät,'Leveranser per nät'!K$1,FALSE)
               +Andel_beroende_av_klimat*VLOOKUP($A196,Leveranser_per_nät,'Leveranser per nät'!K$1,FALSE)/VLOOKUP($B196,Korrigeringsfaktor_EI,'Korrigeringsfaktor EI'!K$1,FALSE),
"")</f>
        <v>475.55125957446808</v>
      </c>
      <c r="L196" s="18">
        <f>IFERROR(
                  Andel_oberoende_av_klimat*VLOOKUP($A196,Leveranser_per_nät,'Leveranser per nät'!L$1,FALSE)
               +Andel_beroende_av_klimat*VLOOKUP($A196,Leveranser_per_nät,'Leveranser per nät'!L$1,FALSE)/VLOOKUP($B196,Korrigeringsfaktor_EI,'Korrigeringsfaktor EI'!L$1,FALSE),
"")</f>
        <v>472.34013010752687</v>
      </c>
      <c r="M196" s="18">
        <f>IFERROR(
                  Andel_oberoende_av_klimat*VLOOKUP($A196,Leveranser_per_nät,'Leveranser per nät'!M$1,FALSE)
               +Andel_beroende_av_klimat*VLOOKUP($A196,Leveranser_per_nät,'Leveranser per nät'!M$1,FALSE)/VLOOKUP($B196,Korrigeringsfaktor_EI,'Korrigeringsfaktor EI'!M$1,FALSE),
"")</f>
        <v>490.68718260869565</v>
      </c>
      <c r="N196" s="18">
        <f>IFERROR(
                  Andel_oberoende_av_klimat*VLOOKUP($A196,Leveranser_per_nät,'Leveranser per nät'!N$1,FALSE)
               +Andel_beroende_av_klimat*VLOOKUP($A196,Leveranser_per_nät,'Leveranser per nät'!N$1,FALSE)/VLOOKUP($B196,Korrigeringsfaktor_EI,'Korrigeringsfaktor EI'!N$1,FALSE),
"")</f>
        <v>491.50299130434786</v>
      </c>
      <c r="O196" s="18">
        <f>IFERROR(
                  Andel_oberoende_av_klimat*VLOOKUP($A196,Leveranser_per_nät,'Leveranser per nät'!O$1,FALSE)
               +Andel_beroende_av_klimat*VLOOKUP($A196,Leveranser_per_nät,'Leveranser per nät'!O$1,FALSE)/VLOOKUP($B196,Korrigeringsfaktor_EI,'Korrigeringsfaktor EI'!O$1,FALSE),
"")</f>
        <v>527.61533333333341</v>
      </c>
      <c r="P196" s="18">
        <f>IFERROR(
                  Andel_oberoende_av_klimat*VLOOKUP($A196,Leveranser_per_nät,'Leveranser per nät'!P$1,FALSE)
               +Andel_beroende_av_klimat*VLOOKUP($A196,Leveranser_per_nät,'Leveranser per nät'!P$1,FALSE)/VLOOKUP($B196,Korrigeringsfaktor_EI,'Korrigeringsfaktor EI'!P$1,FALSE),
"")</f>
        <v>608.06942680412362</v>
      </c>
      <c r="Q196" s="18">
        <f>IFERROR(
                  Andel_oberoende_av_klimat*VLOOKUP($A196,Leveranser_per_nät,'Leveranser per nät'!Q$1,FALSE)
               +Andel_beroende_av_klimat*VLOOKUP($A196,Leveranser_per_nät,'Leveranser per nät'!Q$1,FALSE)/VLOOKUP($B196,Korrigeringsfaktor_EI,'Korrigeringsfaktor EI'!Q$1,FALSE),
"")</f>
        <v>666.69170877192983</v>
      </c>
      <c r="R196" s="18">
        <f>IFERROR(
                  Andel_oberoende_av_klimat*VLOOKUP($A196,Leveranser_per_nät,'Leveranser per nät'!R$1,FALSE)
               +Andel_beroende_av_klimat*VLOOKUP($A196,Leveranser_per_nät,'Leveranser per nät'!R$1,FALSE)/VLOOKUP($B196,Korrigeringsfaktor_EI,'Korrigeringsfaktor EI'!R$1,FALSE),
"")</f>
        <v>635.09300449438206</v>
      </c>
      <c r="S196" s="18">
        <f>IFERROR(
                  Andel_oberoende_av_klimat*VLOOKUP($A196,Leveranser_per_nät,'Leveranser per nät'!S$1,FALSE)
               +Andel_beroende_av_klimat*VLOOKUP($A196,Leveranser_per_nät,'Leveranser per nät'!S$1,FALSE)/VLOOKUP($B196,Korrigeringsfaktor_EI,'Korrigeringsfaktor EI'!S$1,FALSE),
"")</f>
        <v>567.01546391752584</v>
      </c>
      <c r="T196" s="18">
        <f>IFERROR(
                  Andel_oberoende_av_klimat*VLOOKUP($A196,Leveranser_per_nät,'Leveranser per nät'!T$1,FALSE)
               +Andel_beroende_av_klimat*VLOOKUP($A196,Leveranser_per_nät,'Leveranser per nät'!T$1,FALSE)/VLOOKUP($B196,Korrigeringsfaktor_EI,'Korrigeringsfaktor EI'!T$1,FALSE),
"")</f>
        <v>565.28735263157898</v>
      </c>
      <c r="U196" s="18">
        <f>IFERROR(
                  Andel_oberoende_av_klimat*VLOOKUP($A196,Leveranser_per_nät,'Leveranser per nät'!U$1,FALSE)
               +Andel_beroende_av_klimat*VLOOKUP($A196,Leveranser_per_nät,'Leveranser per nät'!U$1,FALSE)/VLOOKUP($B196,Korrigeringsfaktor_EI,'Korrigeringsfaktor EI'!U$1,FALSE),
"")</f>
        <v>540.98114252873563</v>
      </c>
      <c r="V196" s="18">
        <f>IFERROR(
                  Andel_oberoende_av_klimat*VLOOKUP($A196,Leveranser_per_nät,'Leveranser per nät'!V$1,FALSE)
               +Andel_beroende_av_klimat*VLOOKUP($A196,Leveranser_per_nät,'Leveranser per nät'!V$1,FALSE)/VLOOKUP($B196,Korrigeringsfaktor_EI,'Korrigeringsfaktor EI'!V$1,FALSE),
"")</f>
        <v>530.50015454545451</v>
      </c>
      <c r="W196" s="18">
        <f>IFERROR(
                  Andel_oberoende_av_klimat*VLOOKUP($A196,Leveranser_per_nät,'Leveranser per nät'!W$1,FALSE)
               +Andel_beroende_av_klimat*VLOOKUP($A196,Leveranser_per_nät,'Leveranser per nät'!W$1,FALSE)/VLOOKUP($B196,Korrigeringsfaktor_EI,'Korrigeringsfaktor EI'!W$1,FALSE),
"")</f>
        <v>525.99680851063817</v>
      </c>
      <c r="X196" s="18">
        <f>IFERROR(
                  Andel_oberoende_av_klimat*VLOOKUP($A196,Leveranser_per_nät,'Leveranser per nät'!X$1,FALSE)
               +Andel_beroende_av_klimat*VLOOKUP($A196,Leveranser_per_nät,'Leveranser per nät'!X$1,FALSE)/VLOOKUP($B196,Korrigeringsfaktor_EI,'Korrigeringsfaktor EI'!X$1,FALSE),
"")</f>
        <v>537.54889892473113</v>
      </c>
      <c r="Y196" s="18">
        <f>IFERROR(
                  Andel_oberoende_av_klimat*VLOOKUP($A196,Leveranser_per_nät,'Leveranser per nät'!Y$1,FALSE)
               +Andel_beroende_av_klimat*VLOOKUP($A196,Leveranser_per_nät,'Leveranser per nät'!Y$1,FALSE)/VLOOKUP($B196,Korrigeringsfaktor_EI,'Korrigeringsfaktor EI'!Y$1,FALSE),
"")</f>
        <v>555.14354615384605</v>
      </c>
      <c r="Z196" s="18">
        <f>IFERROR(
                  Andel_oberoende_av_klimat*VLOOKUP($A196,Leveranser_per_nät,'Leveranser per nät'!Z$1,FALSE)
               +Andel_beroende_av_klimat*VLOOKUP($A196,Leveranser_per_nät,'Leveranser per nät'!Z$1,FALSE)/VLOOKUP($B196,Korrigeringsfaktor_EI,'Korrigeringsfaktor EI'!Z$1,FALSE),
"")</f>
        <v>539.58728888888891</v>
      </c>
      <c r="AA196" s="18">
        <f>IFERROR(
                  Andel_oberoende_av_klimat*VLOOKUP($A196,Leveranser_per_nät,'Leveranser per nät'!AA$1,FALSE)
               +Andel_beroende_av_klimat*VLOOKUP($A196,Leveranser_per_nät,'Leveranser per nät'!AA$1,FALSE)/VLOOKUP($B196,Korrigeringsfaktor_EI,'Korrigeringsfaktor EI'!AA$1,FALSE),
"")</f>
        <v>575.84455460883032</v>
      </c>
      <c r="AB196" s="18">
        <f>IFERROR(
                  Andel_oberoende_av_klimat*VLOOKUP($A196,Leveranser_per_nät,'Leveranser per nät'!AB$1,FALSE)
               +Andel_beroende_av_klimat*VLOOKUP($A196,Leveranser_per_nät,'Leveranser per nät'!AB$1,FALSE)/VLOOKUP($B196,Korrigeringsfaktor_EI,'Korrigeringsfaktor EI'!AB$1,FALSE),
"")</f>
        <v>540.6656231306082</v>
      </c>
      <c r="AC196" s="18">
        <f>IFERROR(
                  Andel_oberoende_av_klimat*VLOOKUP($A196,Leveranser_per_nät,'Leveranser per nät'!AC$1,FALSE)
               +Andel_beroende_av_klimat*VLOOKUP($A196,Leveranser_per_nät,'Leveranser per nät'!AC$1,FALSE)/VLOOKUP($B196,Korrigeringsfaktor_EI,'Korrigeringsfaktor EI'!AC$1,FALSE),
"")</f>
        <v>529.33978723404243</v>
      </c>
      <c r="AD196">
        <v>564.79999999999995</v>
      </c>
    </row>
    <row r="197" spans="1:30" x14ac:dyDescent="0.25">
      <c r="A197" t="s">
        <v>168</v>
      </c>
      <c r="B197" t="s">
        <v>168</v>
      </c>
      <c r="C197" s="18">
        <f>IFERROR(
                  Andel_oberoende_av_klimat*VLOOKUP($A197,Leveranser_per_nät,'Leveranser per nät'!C$1,FALSE)
               +Andel_beroende_av_klimat*VLOOKUP($A197,Leveranser_per_nät,'Leveranser per nät'!C$1,FALSE)/VLOOKUP($B197,Korrigeringsfaktor_EI,'Korrigeringsfaktor EI'!C$1,FALSE),
"")</f>
        <v>198.5090909090909</v>
      </c>
      <c r="D197" s="18">
        <f>IFERROR(
                  Andel_oberoende_av_klimat*VLOOKUP($A197,Leveranser_per_nät,'Leveranser per nät'!D$1,FALSE)
               +Andel_beroende_av_klimat*VLOOKUP($A197,Leveranser_per_nät,'Leveranser per nät'!D$1,FALSE)/VLOOKUP($B197,Korrigeringsfaktor_EI,'Korrigeringsfaktor EI'!D$1,FALSE),
"")</f>
        <v>187.49642424242424</v>
      </c>
      <c r="E197" s="18">
        <f>IFERROR(
                  Andel_oberoende_av_klimat*VLOOKUP($A197,Leveranser_per_nät,'Leveranser per nät'!E$1,FALSE)
               +Andel_beroende_av_klimat*VLOOKUP($A197,Leveranser_per_nät,'Leveranser per nät'!E$1,FALSE)/VLOOKUP($B197,Korrigeringsfaktor_EI,'Korrigeringsfaktor EI'!E$1,FALSE),
"")</f>
        <v>186.83076923076919</v>
      </c>
      <c r="F197" s="18">
        <f>IFERROR(
                  Andel_oberoende_av_klimat*VLOOKUP($A197,Leveranser_per_nät,'Leveranser per nät'!F$1,FALSE)
               +Andel_beroende_av_klimat*VLOOKUP($A197,Leveranser_per_nät,'Leveranser per nät'!F$1,FALSE)/VLOOKUP($B197,Korrigeringsfaktor_EI,'Korrigeringsfaktor EI'!F$1,FALSE),
"")</f>
        <v>180.10416666666666</v>
      </c>
      <c r="G197" s="18">
        <f>IFERROR(
                  Andel_oberoende_av_klimat*VLOOKUP($A197,Leveranser_per_nät,'Leveranser per nät'!G$1,FALSE)
               +Andel_beroende_av_klimat*VLOOKUP($A197,Leveranser_per_nät,'Leveranser per nät'!G$1,FALSE)/VLOOKUP($B197,Korrigeringsfaktor_EI,'Korrigeringsfaktor EI'!G$1,FALSE),
"")</f>
        <v>177.83333333333331</v>
      </c>
      <c r="H197" s="18">
        <f>IFERROR(
                  Andel_oberoende_av_klimat*VLOOKUP($A197,Leveranser_per_nät,'Leveranser per nät'!H$1,FALSE)
               +Andel_beroende_av_klimat*VLOOKUP($A197,Leveranser_per_nät,'Leveranser per nät'!H$1,FALSE)/VLOOKUP($B197,Korrigeringsfaktor_EI,'Korrigeringsfaktor EI'!H$1,FALSE),
"")</f>
        <v>191</v>
      </c>
      <c r="I197" s="18">
        <f>IFERROR(
                  Andel_oberoende_av_klimat*VLOOKUP($A197,Leveranser_per_nät,'Leveranser per nät'!I$1,FALSE)
               +Andel_beroende_av_klimat*VLOOKUP($A197,Leveranser_per_nät,'Leveranser per nät'!I$1,FALSE)/VLOOKUP($B197,Korrigeringsfaktor_EI,'Korrigeringsfaktor EI'!I$1,FALSE),
"")</f>
        <v>186.27916666666667</v>
      </c>
      <c r="J197" s="18">
        <f>IFERROR(
                  Andel_oberoende_av_klimat*VLOOKUP($A197,Leveranser_per_nät,'Leveranser per nät'!J$1,FALSE)
               +Andel_beroende_av_klimat*VLOOKUP($A197,Leveranser_per_nät,'Leveranser per nät'!J$1,FALSE)/VLOOKUP($B197,Korrigeringsfaktor_EI,'Korrigeringsfaktor EI'!J$1,FALSE),
"")</f>
        <v>188.32222222222225</v>
      </c>
      <c r="K197" s="18">
        <f>IFERROR(
                  Andel_oberoende_av_klimat*VLOOKUP($A197,Leveranser_per_nät,'Leveranser per nät'!K$1,FALSE)
               +Andel_beroende_av_klimat*VLOOKUP($A197,Leveranser_per_nät,'Leveranser per nät'!K$1,FALSE)/VLOOKUP($B197,Korrigeringsfaktor_EI,'Korrigeringsfaktor EI'!K$1,FALSE),
"")</f>
        <v>194.19344444444445</v>
      </c>
      <c r="L197" s="18">
        <f>IFERROR(
                  Andel_oberoende_av_klimat*VLOOKUP($A197,Leveranser_per_nät,'Leveranser per nät'!L$1,FALSE)
               +Andel_beroende_av_klimat*VLOOKUP($A197,Leveranser_per_nät,'Leveranser per nät'!L$1,FALSE)/VLOOKUP($B197,Korrigeringsfaktor_EI,'Korrigeringsfaktor EI'!L$1,FALSE),
"")</f>
        <v>189.26375000000002</v>
      </c>
      <c r="M197" s="18">
        <f>IFERROR(
                  Andel_oberoende_av_klimat*VLOOKUP($A197,Leveranser_per_nät,'Leveranser per nät'!M$1,FALSE)
               +Andel_beroende_av_klimat*VLOOKUP($A197,Leveranser_per_nät,'Leveranser per nät'!M$1,FALSE)/VLOOKUP($B197,Korrigeringsfaktor_EI,'Korrigeringsfaktor EI'!M$1,FALSE),
"")</f>
        <v>194.85679139784946</v>
      </c>
      <c r="N197" s="18">
        <f>IFERROR(
                  Andel_oberoende_av_klimat*VLOOKUP($A197,Leveranser_per_nät,'Leveranser per nät'!N$1,FALSE)
               +Andel_beroende_av_klimat*VLOOKUP($A197,Leveranser_per_nät,'Leveranser per nät'!N$1,FALSE)/VLOOKUP($B197,Korrigeringsfaktor_EI,'Korrigeringsfaktor EI'!N$1,FALSE),
"")</f>
        <v>189.99749565217391</v>
      </c>
      <c r="O197" s="18">
        <f>IFERROR(
                  Andel_oberoende_av_klimat*VLOOKUP($A197,Leveranser_per_nät,'Leveranser per nät'!O$1,FALSE)
               +Andel_beroende_av_klimat*VLOOKUP($A197,Leveranser_per_nät,'Leveranser per nät'!O$1,FALSE)/VLOOKUP($B197,Korrigeringsfaktor_EI,'Korrigeringsfaktor EI'!O$1,FALSE),
"")</f>
        <v>181.49777777777777</v>
      </c>
      <c r="P197" s="18">
        <f>IFERROR(
                  Andel_oberoende_av_klimat*VLOOKUP($A197,Leveranser_per_nät,'Leveranser per nät'!P$1,FALSE)
               +Andel_beroende_av_klimat*VLOOKUP($A197,Leveranser_per_nät,'Leveranser per nät'!P$1,FALSE)/VLOOKUP($B197,Korrigeringsfaktor_EI,'Korrigeringsfaktor EI'!P$1,FALSE),
"")</f>
        <v>193.07166666666666</v>
      </c>
      <c r="Q197" s="18">
        <f>IFERROR(
                  Andel_oberoende_av_klimat*VLOOKUP($A197,Leveranser_per_nät,'Leveranser per nät'!Q$1,FALSE)
               +Andel_beroende_av_klimat*VLOOKUP($A197,Leveranser_per_nät,'Leveranser per nät'!Q$1,FALSE)/VLOOKUP($B197,Korrigeringsfaktor_EI,'Korrigeringsfaktor EI'!Q$1,FALSE),
"")</f>
        <v>205.86911504424782</v>
      </c>
      <c r="R197" s="18">
        <f>IFERROR(
                  Andel_oberoende_av_klimat*VLOOKUP($A197,Leveranser_per_nät,'Leveranser per nät'!R$1,FALSE)
               +Andel_beroende_av_klimat*VLOOKUP($A197,Leveranser_per_nät,'Leveranser per nät'!R$1,FALSE)/VLOOKUP($B197,Korrigeringsfaktor_EI,'Korrigeringsfaktor EI'!R$1,FALSE),
"")</f>
        <v>195.61666666666667</v>
      </c>
      <c r="S197" s="18">
        <f>IFERROR(
                  Andel_oberoende_av_klimat*VLOOKUP($A197,Leveranser_per_nät,'Leveranser per nät'!S$1,FALSE)
               +Andel_beroende_av_klimat*VLOOKUP($A197,Leveranser_per_nät,'Leveranser per nät'!S$1,FALSE)/VLOOKUP($B197,Korrigeringsfaktor_EI,'Korrigeringsfaktor EI'!S$1,FALSE),
"")</f>
        <v>195</v>
      </c>
      <c r="T197" s="18">
        <f>IFERROR(
                  Andel_oberoende_av_klimat*VLOOKUP($A197,Leveranser_per_nät,'Leveranser per nät'!T$1,FALSE)
               +Andel_beroende_av_klimat*VLOOKUP($A197,Leveranser_per_nät,'Leveranser per nät'!T$1,FALSE)/VLOOKUP($B197,Korrigeringsfaktor_EI,'Korrigeringsfaktor EI'!T$1,FALSE),
"")</f>
        <v>188.18783505154641</v>
      </c>
      <c r="U197" s="18">
        <f>IFERROR(
                  Andel_oberoende_av_klimat*VLOOKUP($A197,Leveranser_per_nät,'Leveranser per nät'!U$1,FALSE)
               +Andel_beroende_av_klimat*VLOOKUP($A197,Leveranser_per_nät,'Leveranser per nät'!U$1,FALSE)/VLOOKUP($B197,Korrigeringsfaktor_EI,'Korrigeringsfaktor EI'!U$1,FALSE),
"")</f>
        <v>183.18674157303369</v>
      </c>
      <c r="V197" s="18">
        <f>IFERROR(
                  Andel_oberoende_av_klimat*VLOOKUP($A197,Leveranser_per_nät,'Leveranser per nät'!V$1,FALSE)
               +Andel_beroende_av_klimat*VLOOKUP($A197,Leveranser_per_nät,'Leveranser per nät'!V$1,FALSE)/VLOOKUP($B197,Korrigeringsfaktor_EI,'Korrigeringsfaktor EI'!V$1,FALSE),
"")</f>
        <v>176.01573033707865</v>
      </c>
      <c r="W197" s="18">
        <f>IFERROR(
                  Andel_oberoende_av_klimat*VLOOKUP($A197,Leveranser_per_nät,'Leveranser per nät'!W$1,FALSE)
               +Andel_beroende_av_klimat*VLOOKUP($A197,Leveranser_per_nät,'Leveranser per nät'!W$1,FALSE)/VLOOKUP($B197,Korrigeringsfaktor_EI,'Korrigeringsfaktor EI'!W$1,FALSE),
"")</f>
        <v>183.44595744680851</v>
      </c>
      <c r="X197" s="18">
        <f>IFERROR(
                  Andel_oberoende_av_klimat*VLOOKUP($A197,Leveranser_per_nät,'Leveranser per nät'!X$1,FALSE)
               +Andel_beroende_av_klimat*VLOOKUP($A197,Leveranser_per_nät,'Leveranser per nät'!X$1,FALSE)/VLOOKUP($B197,Korrigeringsfaktor_EI,'Korrigeringsfaktor EI'!X$1,FALSE),
"")</f>
        <v>178.1148387096774</v>
      </c>
      <c r="Y197" s="18">
        <f>IFERROR(
                  Andel_oberoende_av_klimat*VLOOKUP($A197,Leveranser_per_nät,'Leveranser per nät'!Y$1,FALSE)
               +Andel_beroende_av_klimat*VLOOKUP($A197,Leveranser_per_nät,'Leveranser per nät'!Y$1,FALSE)/VLOOKUP($B197,Korrigeringsfaktor_EI,'Korrigeringsfaktor EI'!Y$1,FALSE),
"")</f>
        <v>182.19692307692307</v>
      </c>
      <c r="Z197" s="18">
        <f>IFERROR(
                  Andel_oberoende_av_klimat*VLOOKUP($A197,Leveranser_per_nät,'Leveranser per nät'!Z$1,FALSE)
               +Andel_beroende_av_klimat*VLOOKUP($A197,Leveranser_per_nät,'Leveranser per nät'!Z$1,FALSE)/VLOOKUP($B197,Korrigeringsfaktor_EI,'Korrigeringsfaktor EI'!Z$1,FALSE),
"")</f>
        <v>179.38719213483145</v>
      </c>
      <c r="AA197" s="18">
        <f>IFERROR(
                  Andel_oberoende_av_klimat*VLOOKUP($A197,Leveranser_per_nät,'Leveranser per nät'!AA$1,FALSE)
               +Andel_beroende_av_klimat*VLOOKUP($A197,Leveranser_per_nät,'Leveranser per nät'!AA$1,FALSE)/VLOOKUP($B197,Korrigeringsfaktor_EI,'Korrigeringsfaktor EI'!AA$1,FALSE),
"")</f>
        <v>170.90004494382023</v>
      </c>
      <c r="AB197" s="18">
        <f>IFERROR(
                  Andel_oberoende_av_klimat*VLOOKUP($A197,Leveranser_per_nät,'Leveranser per nät'!AB$1,FALSE)
               +Andel_beroende_av_klimat*VLOOKUP($A197,Leveranser_per_nät,'Leveranser per nät'!AB$1,FALSE)/VLOOKUP($B197,Korrigeringsfaktor_EI,'Korrigeringsfaktor EI'!AB$1,FALSE),
"")</f>
        <v>176.43813806706112</v>
      </c>
      <c r="AC197" s="18">
        <f>IFERROR(
                  Andel_oberoende_av_klimat*VLOOKUP($A197,Leveranser_per_nät,'Leveranser per nät'!AC$1,FALSE)
               +Andel_beroende_av_klimat*VLOOKUP($A197,Leveranser_per_nät,'Leveranser per nät'!AC$1,FALSE)/VLOOKUP($B197,Korrigeringsfaktor_EI,'Korrigeringsfaktor EI'!AC$1,FALSE),
"")</f>
        <v>170.72684745762712</v>
      </c>
      <c r="AD197">
        <v>163.92</v>
      </c>
    </row>
    <row r="198" spans="1:30" x14ac:dyDescent="0.25">
      <c r="A198" t="s">
        <v>170</v>
      </c>
      <c r="B198" t="s">
        <v>170</v>
      </c>
      <c r="C198" s="18">
        <f>IFERROR(
                  Andel_oberoende_av_klimat*VLOOKUP($A198,Leveranser_per_nät,'Leveranser per nät'!C$1,FALSE)
               +Andel_beroende_av_klimat*VLOOKUP($A198,Leveranser_per_nät,'Leveranser per nät'!C$1,FALSE)/VLOOKUP($B198,Korrigeringsfaktor_EI,'Korrigeringsfaktor EI'!C$1,FALSE),
"")</f>
        <v>0</v>
      </c>
      <c r="D198" s="18">
        <f>IFERROR(
                  Andel_oberoende_av_klimat*VLOOKUP($A198,Leveranser_per_nät,'Leveranser per nät'!D$1,FALSE)
               +Andel_beroende_av_klimat*VLOOKUP($A198,Leveranser_per_nät,'Leveranser per nät'!D$1,FALSE)/VLOOKUP($B198,Korrigeringsfaktor_EI,'Korrigeringsfaktor EI'!D$1,FALSE),
"")</f>
        <v>0</v>
      </c>
      <c r="E198" s="18">
        <f>IFERROR(
                  Andel_oberoende_av_klimat*VLOOKUP($A198,Leveranser_per_nät,'Leveranser per nät'!E$1,FALSE)
               +Andel_beroende_av_klimat*VLOOKUP($A198,Leveranser_per_nät,'Leveranser per nät'!E$1,FALSE)/VLOOKUP($B198,Korrigeringsfaktor_EI,'Korrigeringsfaktor EI'!E$1,FALSE),
"")</f>
        <v>0</v>
      </c>
      <c r="F198" s="18">
        <f>IFERROR(
                  Andel_oberoende_av_klimat*VLOOKUP($A198,Leveranser_per_nät,'Leveranser per nät'!F$1,FALSE)
               +Andel_beroende_av_klimat*VLOOKUP($A198,Leveranser_per_nät,'Leveranser per nät'!F$1,FALSE)/VLOOKUP($B198,Korrigeringsfaktor_EI,'Korrigeringsfaktor EI'!F$1,FALSE),
"")</f>
        <v>0</v>
      </c>
      <c r="G198" s="18">
        <f>IFERROR(
                  Andel_oberoende_av_klimat*VLOOKUP($A198,Leveranser_per_nät,'Leveranser per nät'!G$1,FALSE)
               +Andel_beroende_av_klimat*VLOOKUP($A198,Leveranser_per_nät,'Leveranser per nät'!G$1,FALSE)/VLOOKUP($B198,Korrigeringsfaktor_EI,'Korrigeringsfaktor EI'!G$1,FALSE),
"")</f>
        <v>0</v>
      </c>
      <c r="H198" s="18">
        <f>IFERROR(
                  Andel_oberoende_av_klimat*VLOOKUP($A198,Leveranser_per_nät,'Leveranser per nät'!H$1,FALSE)
               +Andel_beroende_av_klimat*VLOOKUP($A198,Leveranser_per_nät,'Leveranser per nät'!H$1,FALSE)/VLOOKUP($B198,Korrigeringsfaktor_EI,'Korrigeringsfaktor EI'!H$1,FALSE),
"")</f>
        <v>0</v>
      </c>
      <c r="I198" s="18">
        <f>IFERROR(
                  Andel_oberoende_av_klimat*VLOOKUP($A198,Leveranser_per_nät,'Leveranser per nät'!I$1,FALSE)
               +Andel_beroende_av_klimat*VLOOKUP($A198,Leveranser_per_nät,'Leveranser per nät'!I$1,FALSE)/VLOOKUP($B198,Korrigeringsfaktor_EI,'Korrigeringsfaktor EI'!I$1,FALSE),
"")</f>
        <v>0</v>
      </c>
      <c r="J198" s="18">
        <f>IFERROR(
                  Andel_oberoende_av_klimat*VLOOKUP($A198,Leveranser_per_nät,'Leveranser per nät'!J$1,FALSE)
               +Andel_beroende_av_klimat*VLOOKUP($A198,Leveranser_per_nät,'Leveranser per nät'!J$1,FALSE)/VLOOKUP($B198,Korrigeringsfaktor_EI,'Korrigeringsfaktor EI'!J$1,FALSE),
"")</f>
        <v>0</v>
      </c>
      <c r="K198" s="18">
        <f>IFERROR(
                  Andel_oberoende_av_klimat*VLOOKUP($A198,Leveranser_per_nät,'Leveranser per nät'!K$1,FALSE)
               +Andel_beroende_av_klimat*VLOOKUP($A198,Leveranser_per_nät,'Leveranser per nät'!K$1,FALSE)/VLOOKUP($B198,Korrigeringsfaktor_EI,'Korrigeringsfaktor EI'!K$1,FALSE),
"")</f>
        <v>25.560206382978723</v>
      </c>
      <c r="L198" s="18">
        <f>IFERROR(
                  Andel_oberoende_av_klimat*VLOOKUP($A198,Leveranser_per_nät,'Leveranser per nät'!L$1,FALSE)
               +Andel_beroende_av_klimat*VLOOKUP($A198,Leveranser_per_nät,'Leveranser per nät'!L$1,FALSE)/VLOOKUP($B198,Korrigeringsfaktor_EI,'Korrigeringsfaktor EI'!L$1,FALSE),
"")</f>
        <v>30.956401075268815</v>
      </c>
      <c r="M198" s="18">
        <f>IFERROR(
                  Andel_oberoende_av_klimat*VLOOKUP($A198,Leveranser_per_nät,'Leveranser per nät'!M$1,FALSE)
               +Andel_beroende_av_klimat*VLOOKUP($A198,Leveranser_per_nät,'Leveranser per nät'!M$1,FALSE)/VLOOKUP($B198,Korrigeringsfaktor_EI,'Korrigeringsfaktor EI'!M$1,FALSE),
"")</f>
        <v>35.008695652173913</v>
      </c>
      <c r="N198" s="18">
        <f>IFERROR(
                  Andel_oberoende_av_klimat*VLOOKUP($A198,Leveranser_per_nät,'Leveranser per nät'!N$1,FALSE)
               +Andel_beroende_av_klimat*VLOOKUP($A198,Leveranser_per_nät,'Leveranser per nät'!N$1,FALSE)/VLOOKUP($B198,Korrigeringsfaktor_EI,'Korrigeringsfaktor EI'!N$1,FALSE),
"")</f>
        <v>36.583730769230769</v>
      </c>
      <c r="O198" s="18">
        <f>IFERROR(
                  Andel_oberoende_av_klimat*VLOOKUP($A198,Leveranser_per_nät,'Leveranser per nät'!O$1,FALSE)
               +Andel_beroende_av_klimat*VLOOKUP($A198,Leveranser_per_nät,'Leveranser per nät'!O$1,FALSE)/VLOOKUP($B198,Korrigeringsfaktor_EI,'Korrigeringsfaktor EI'!O$1,FALSE),
"")</f>
        <v>35.782222222222224</v>
      </c>
      <c r="P198" s="18">
        <f>IFERROR(
                  Andel_oberoende_av_klimat*VLOOKUP($A198,Leveranser_per_nät,'Leveranser per nät'!P$1,FALSE)
               +Andel_beroende_av_klimat*VLOOKUP($A198,Leveranser_per_nät,'Leveranser per nät'!P$1,FALSE)/VLOOKUP($B198,Korrigeringsfaktor_EI,'Korrigeringsfaktor EI'!P$1,FALSE),
"")</f>
        <v>37.08587628865979</v>
      </c>
      <c r="Q198" s="18">
        <f>IFERROR(
                  Andel_oberoende_av_klimat*VLOOKUP($A198,Leveranser_per_nät,'Leveranser per nät'!Q$1,FALSE)
               +Andel_beroende_av_klimat*VLOOKUP($A198,Leveranser_per_nät,'Leveranser per nät'!Q$1,FALSE)/VLOOKUP($B198,Korrigeringsfaktor_EI,'Korrigeringsfaktor EI'!Q$1,FALSE),
"")</f>
        <v>38.791649122807016</v>
      </c>
      <c r="R198" s="18">
        <f>IFERROR(
                  Andel_oberoende_av_klimat*VLOOKUP($A198,Leveranser_per_nät,'Leveranser per nät'!R$1,FALSE)
               +Andel_beroende_av_klimat*VLOOKUP($A198,Leveranser_per_nät,'Leveranser per nät'!R$1,FALSE)/VLOOKUP($B198,Korrigeringsfaktor_EI,'Korrigeringsfaktor EI'!R$1,FALSE),
"")</f>
        <v>37.614444444444437</v>
      </c>
      <c r="S198" s="18">
        <f>IFERROR(
                  Andel_oberoende_av_klimat*VLOOKUP($A198,Leveranser_per_nät,'Leveranser per nät'!S$1,FALSE)
               +Andel_beroende_av_klimat*VLOOKUP($A198,Leveranser_per_nät,'Leveranser per nät'!S$1,FALSE)/VLOOKUP($B198,Korrigeringsfaktor_EI,'Korrigeringsfaktor EI'!S$1,FALSE),
"")</f>
        <v>37.528571428571425</v>
      </c>
      <c r="T198" s="18">
        <f>IFERROR(
                  Andel_oberoende_av_klimat*VLOOKUP($A198,Leveranser_per_nät,'Leveranser per nät'!T$1,FALSE)
               +Andel_beroende_av_klimat*VLOOKUP($A198,Leveranser_per_nät,'Leveranser per nät'!T$1,FALSE)/VLOOKUP($B198,Korrigeringsfaktor_EI,'Korrigeringsfaktor EI'!T$1,FALSE),
"")</f>
        <v>37.844736842105263</v>
      </c>
      <c r="U198" s="18">
        <f>IFERROR(
                  Andel_oberoende_av_klimat*VLOOKUP($A198,Leveranser_per_nät,'Leveranser per nät'!U$1,FALSE)
               +Andel_beroende_av_klimat*VLOOKUP($A198,Leveranser_per_nät,'Leveranser per nät'!U$1,FALSE)/VLOOKUP($B198,Korrigeringsfaktor_EI,'Korrigeringsfaktor EI'!U$1,FALSE),
"")</f>
        <v>38.771379310344827</v>
      </c>
      <c r="V198" s="18">
        <f>IFERROR(
                  Andel_oberoende_av_klimat*VLOOKUP($A198,Leveranser_per_nät,'Leveranser per nät'!V$1,FALSE)
               +Andel_beroende_av_klimat*VLOOKUP($A198,Leveranser_per_nät,'Leveranser per nät'!V$1,FALSE)/VLOOKUP($B198,Korrigeringsfaktor_EI,'Korrigeringsfaktor EI'!V$1,FALSE),
"")</f>
        <v>36.807272727272732</v>
      </c>
      <c r="W198" s="18">
        <f>IFERROR(
                  Andel_oberoende_av_klimat*VLOOKUP($A198,Leveranser_per_nät,'Leveranser per nät'!W$1,FALSE)
               +Andel_beroende_av_klimat*VLOOKUP($A198,Leveranser_per_nät,'Leveranser per nät'!W$1,FALSE)/VLOOKUP($B198,Korrigeringsfaktor_EI,'Korrigeringsfaktor EI'!W$1,FALSE),
"")</f>
        <v>37.948421052631581</v>
      </c>
      <c r="X198" s="18">
        <f>IFERROR(
                  Andel_oberoende_av_klimat*VLOOKUP($A198,Leveranser_per_nät,'Leveranser per nät'!X$1,FALSE)
               +Andel_beroende_av_klimat*VLOOKUP($A198,Leveranser_per_nät,'Leveranser per nät'!X$1,FALSE)/VLOOKUP($B198,Korrigeringsfaktor_EI,'Korrigeringsfaktor EI'!X$1,FALSE),
"")</f>
        <v>38.496489361702132</v>
      </c>
      <c r="Y198" s="18">
        <f>IFERROR(
                  Andel_oberoende_av_klimat*VLOOKUP($A198,Leveranser_per_nät,'Leveranser per nät'!Y$1,FALSE)
               +Andel_beroende_av_klimat*VLOOKUP($A198,Leveranser_per_nät,'Leveranser per nät'!Y$1,FALSE)/VLOOKUP($B198,Korrigeringsfaktor_EI,'Korrigeringsfaktor EI'!Y$1,FALSE),
"")</f>
        <v>38.827826086956527</v>
      </c>
      <c r="Z198" s="18">
        <f>IFERROR(
                  Andel_oberoende_av_klimat*VLOOKUP($A198,Leveranser_per_nät,'Leveranser per nät'!Z$1,FALSE)
               +Andel_beroende_av_klimat*VLOOKUP($A198,Leveranser_per_nät,'Leveranser per nät'!Z$1,FALSE)/VLOOKUP($B198,Korrigeringsfaktor_EI,'Korrigeringsfaktor EI'!Z$1,FALSE),
"")</f>
        <v>38.973461538461535</v>
      </c>
      <c r="AA198" s="18">
        <f>IFERROR(
                  Andel_oberoende_av_klimat*VLOOKUP($A198,Leveranser_per_nät,'Leveranser per nät'!AA$1,FALSE)
               +Andel_beroende_av_klimat*VLOOKUP($A198,Leveranser_per_nät,'Leveranser per nät'!AA$1,FALSE)/VLOOKUP($B198,Korrigeringsfaktor_EI,'Korrigeringsfaktor EI'!AA$1,FALSE),
"")</f>
        <v>37.593135748915543</v>
      </c>
      <c r="AB198" s="18">
        <f>IFERROR(
                  Andel_oberoende_av_klimat*VLOOKUP($A198,Leveranser_per_nät,'Leveranser per nät'!AB$1,FALSE)
               +Andel_beroende_av_klimat*VLOOKUP($A198,Leveranser_per_nät,'Leveranser per nät'!AB$1,FALSE)/VLOOKUP($B198,Korrigeringsfaktor_EI,'Korrigeringsfaktor EI'!AB$1,FALSE),
"")</f>
        <v>38.428552031714567</v>
      </c>
      <c r="AC198" s="18">
        <f>IFERROR(
                  Andel_oberoende_av_klimat*VLOOKUP($A198,Leveranser_per_nät,'Leveranser per nät'!AC$1,FALSE)
               +Andel_beroende_av_klimat*VLOOKUP($A198,Leveranser_per_nät,'Leveranser per nät'!AC$1,FALSE)/VLOOKUP($B198,Korrigeringsfaktor_EI,'Korrigeringsfaktor EI'!AC$1,FALSE),
"")</f>
        <v>36.842312236286915</v>
      </c>
      <c r="AD198">
        <v>35.479999999999997</v>
      </c>
    </row>
    <row r="199" spans="1:30" x14ac:dyDescent="0.25">
      <c r="A199" t="s">
        <v>22</v>
      </c>
      <c r="B199" t="s">
        <v>21</v>
      </c>
      <c r="C199" s="18">
        <f>IFERROR(
                  Andel_oberoende_av_klimat*VLOOKUP($A199,Leveranser_per_nät,'Leveranser per nät'!C$1,FALSE)
               +Andel_beroende_av_klimat*VLOOKUP($A199,Leveranser_per_nät,'Leveranser per nät'!C$1,FALSE)/VLOOKUP($B199,Korrigeringsfaktor_EI,'Korrigeringsfaktor EI'!C$1,FALSE),
"")</f>
        <v>2.8444444444444441</v>
      </c>
      <c r="D199" s="18">
        <f>IFERROR(
                  Andel_oberoende_av_klimat*VLOOKUP($A199,Leveranser_per_nät,'Leveranser per nät'!D$1,FALSE)
               +Andel_beroende_av_klimat*VLOOKUP($A199,Leveranser_per_nät,'Leveranser per nät'!D$1,FALSE)/VLOOKUP($B199,Korrigeringsfaktor_EI,'Korrigeringsfaktor EI'!D$1,FALSE),
"")</f>
        <v>11.928041666666667</v>
      </c>
      <c r="E199" s="18">
        <f>IFERROR(
                  Andel_oberoende_av_klimat*VLOOKUP($A199,Leveranser_per_nät,'Leveranser per nät'!E$1,FALSE)
               +Andel_beroende_av_klimat*VLOOKUP($A199,Leveranser_per_nät,'Leveranser per nät'!E$1,FALSE)/VLOOKUP($B199,Korrigeringsfaktor_EI,'Korrigeringsfaktor EI'!E$1,FALSE),
"")</f>
        <v>11.916831683168315</v>
      </c>
      <c r="F199" s="18">
        <f>IFERROR(
                  Andel_oberoende_av_klimat*VLOOKUP($A199,Leveranser_per_nät,'Leveranser per nät'!F$1,FALSE)
               +Andel_beroende_av_klimat*VLOOKUP($A199,Leveranser_per_nät,'Leveranser per nät'!F$1,FALSE)/VLOOKUP($B199,Korrigeringsfaktor_EI,'Korrigeringsfaktor EI'!F$1,FALSE),
"")</f>
        <v>12.171428571428571</v>
      </c>
      <c r="G199" s="18">
        <f>IFERROR(
                  Andel_oberoende_av_klimat*VLOOKUP($A199,Leveranser_per_nät,'Leveranser per nät'!G$1,FALSE)
               +Andel_beroende_av_klimat*VLOOKUP($A199,Leveranser_per_nät,'Leveranser per nät'!G$1,FALSE)/VLOOKUP($B199,Korrigeringsfaktor_EI,'Korrigeringsfaktor EI'!G$1,FALSE),
"")</f>
        <v>12.730434782608693</v>
      </c>
      <c r="H199" s="18">
        <f>IFERROR(
                  Andel_oberoende_av_klimat*VLOOKUP($A199,Leveranser_per_nät,'Leveranser per nät'!H$1,FALSE)
               +Andel_beroende_av_klimat*VLOOKUP($A199,Leveranser_per_nät,'Leveranser per nät'!H$1,FALSE)/VLOOKUP($B199,Korrigeringsfaktor_EI,'Korrigeringsfaktor EI'!H$1,FALSE),
"")</f>
        <v>12.909900990099009</v>
      </c>
      <c r="I199" s="18">
        <f>IFERROR(
                  Andel_oberoende_av_klimat*VLOOKUP($A199,Leveranser_per_nät,'Leveranser per nät'!I$1,FALSE)
               +Andel_beroende_av_klimat*VLOOKUP($A199,Leveranser_per_nät,'Leveranser per nät'!I$1,FALSE)/VLOOKUP($B199,Korrigeringsfaktor_EI,'Korrigeringsfaktor EI'!I$1,FALSE),
"")</f>
        <v>14.303092783505155</v>
      </c>
      <c r="J199" s="18">
        <f>IFERROR(
                  Andel_oberoende_av_klimat*VLOOKUP($A199,Leveranser_per_nät,'Leveranser per nät'!J$1,FALSE)
               +Andel_beroende_av_klimat*VLOOKUP($A199,Leveranser_per_nät,'Leveranser per nät'!J$1,FALSE)/VLOOKUP($B199,Korrigeringsfaktor_EI,'Korrigeringsfaktor EI'!J$1,FALSE),
"")</f>
        <v>14.303092783505155</v>
      </c>
      <c r="K199" s="18">
        <f>IFERROR(
                  Andel_oberoende_av_klimat*VLOOKUP($A199,Leveranser_per_nät,'Leveranser per nät'!K$1,FALSE)
               +Andel_beroende_av_klimat*VLOOKUP($A199,Leveranser_per_nät,'Leveranser per nät'!K$1,FALSE)/VLOOKUP($B199,Korrigeringsfaktor_EI,'Korrigeringsfaktor EI'!K$1,FALSE),
"")</f>
        <v>13.931723195876287</v>
      </c>
      <c r="L199" s="18">
        <f>IFERROR(
                  Andel_oberoende_av_klimat*VLOOKUP($A199,Leveranser_per_nät,'Leveranser per nät'!L$1,FALSE)
               +Andel_beroende_av_klimat*VLOOKUP($A199,Leveranser_per_nät,'Leveranser per nät'!L$1,FALSE)/VLOOKUP($B199,Korrigeringsfaktor_EI,'Korrigeringsfaktor EI'!L$1,FALSE),
"")</f>
        <v>13.964771276595744</v>
      </c>
      <c r="M199" s="18">
        <f>IFERROR(
                  Andel_oberoende_av_klimat*VLOOKUP($A199,Leveranser_per_nät,'Leveranser per nät'!M$1,FALSE)
               +Andel_beroende_av_klimat*VLOOKUP($A199,Leveranser_per_nät,'Leveranser per nät'!M$1,FALSE)/VLOOKUP($B199,Korrigeringsfaktor_EI,'Korrigeringsfaktor EI'!M$1,FALSE),
"")</f>
        <v>17.111826086956519</v>
      </c>
      <c r="N199" s="18">
        <f>IFERROR(
                  Andel_oberoende_av_klimat*VLOOKUP($A199,Leveranser_per_nät,'Leveranser per nät'!N$1,FALSE)
               +Andel_beroende_av_klimat*VLOOKUP($A199,Leveranser_per_nät,'Leveranser per nät'!N$1,FALSE)/VLOOKUP($B199,Korrigeringsfaktor_EI,'Korrigeringsfaktor EI'!N$1,FALSE),
"")</f>
        <v>15.62189247311828</v>
      </c>
      <c r="O199" s="18">
        <f>IFERROR(
                  Andel_oberoende_av_klimat*VLOOKUP($A199,Leveranser_per_nät,'Leveranser per nät'!O$1,FALSE)
               +Andel_beroende_av_klimat*VLOOKUP($A199,Leveranser_per_nät,'Leveranser per nät'!O$1,FALSE)/VLOOKUP($B199,Korrigeringsfaktor_EI,'Korrigeringsfaktor EI'!O$1,FALSE),
"")</f>
        <v>16.190344086021504</v>
      </c>
      <c r="P199" s="18">
        <f>IFERROR(
                  Andel_oberoende_av_klimat*VLOOKUP($A199,Leveranser_per_nät,'Leveranser per nät'!P$1,FALSE)
               +Andel_beroende_av_klimat*VLOOKUP($A199,Leveranser_per_nät,'Leveranser per nät'!P$1,FALSE)/VLOOKUP($B199,Korrigeringsfaktor_EI,'Korrigeringsfaktor EI'!P$1,FALSE),
"")</f>
        <v>16.244226804123713</v>
      </c>
      <c r="Q199" s="18">
        <f>IFERROR(
                  Andel_oberoende_av_klimat*VLOOKUP($A199,Leveranser_per_nät,'Leveranser per nät'!Q$1,FALSE)
               +Andel_beroende_av_klimat*VLOOKUP($A199,Leveranser_per_nät,'Leveranser per nät'!Q$1,FALSE)/VLOOKUP($B199,Korrigeringsfaktor_EI,'Korrigeringsfaktor EI'!Q$1,FALSE),
"")</f>
        <v>17.147649999999999</v>
      </c>
      <c r="R199" s="18">
        <f>IFERROR(
                  Andel_oberoende_av_klimat*VLOOKUP($A199,Leveranser_per_nät,'Leveranser per nät'!R$1,FALSE)
               +Andel_beroende_av_klimat*VLOOKUP($A199,Leveranser_per_nät,'Leveranser per nät'!R$1,FALSE)/VLOOKUP($B199,Korrigeringsfaktor_EI,'Korrigeringsfaktor EI'!R$1,FALSE),
"")</f>
        <v>17.785584615384614</v>
      </c>
      <c r="S199" s="18">
        <f>IFERROR(
                  Andel_oberoende_av_klimat*VLOOKUP($A199,Leveranser_per_nät,'Leveranser per nät'!S$1,FALSE)
               +Andel_beroende_av_klimat*VLOOKUP($A199,Leveranser_per_nät,'Leveranser per nät'!S$1,FALSE)/VLOOKUP($B199,Korrigeringsfaktor_EI,'Korrigeringsfaktor EI'!S$1,FALSE),
"")</f>
        <v>17.16</v>
      </c>
      <c r="T199" s="18">
        <f>IFERROR(
                  Andel_oberoende_av_klimat*VLOOKUP($A199,Leveranser_per_nät,'Leveranser per nät'!T$1,FALSE)
               +Andel_beroende_av_klimat*VLOOKUP($A199,Leveranser_per_nät,'Leveranser per nät'!T$1,FALSE)/VLOOKUP($B199,Korrigeringsfaktor_EI,'Korrigeringsfaktor EI'!T$1,FALSE),
"")</f>
        <v>17.744891666666668</v>
      </c>
      <c r="U199" s="18">
        <f>IFERROR(
                  Andel_oberoende_av_klimat*VLOOKUP($A199,Leveranser_per_nät,'Leveranser per nät'!U$1,FALSE)
               +Andel_beroende_av_klimat*VLOOKUP($A199,Leveranser_per_nät,'Leveranser per nät'!U$1,FALSE)/VLOOKUP($B199,Korrigeringsfaktor_EI,'Korrigeringsfaktor EI'!U$1,FALSE),
"")</f>
        <v>17.580711111111114</v>
      </c>
      <c r="V199" s="18">
        <f>IFERROR(
                  Andel_oberoende_av_klimat*VLOOKUP($A199,Leveranser_per_nät,'Leveranser per nät'!V$1,FALSE)
               +Andel_beroende_av_klimat*VLOOKUP($A199,Leveranser_per_nät,'Leveranser per nät'!V$1,FALSE)/VLOOKUP($B199,Korrigeringsfaktor_EI,'Korrigeringsfaktor EI'!V$1,FALSE),
"")</f>
        <v>18.359408695652174</v>
      </c>
      <c r="W199" s="18">
        <f>IFERROR(
                  Andel_oberoende_av_klimat*VLOOKUP($A199,Leveranser_per_nät,'Leveranser per nät'!W$1,FALSE)
               +Andel_beroende_av_klimat*VLOOKUP($A199,Leveranser_per_nät,'Leveranser per nät'!W$1,FALSE)/VLOOKUP($B199,Korrigeringsfaktor_EI,'Korrigeringsfaktor EI'!W$1,FALSE),
"")</f>
        <v>21.742578947368422</v>
      </c>
      <c r="X199" s="18">
        <f>IFERROR(
                  Andel_oberoende_av_klimat*VLOOKUP($A199,Leveranser_per_nät,'Leveranser per nät'!X$1,FALSE)
               +Andel_beroende_av_klimat*VLOOKUP($A199,Leveranser_per_nät,'Leveranser per nät'!X$1,FALSE)/VLOOKUP($B199,Korrigeringsfaktor_EI,'Korrigeringsfaktor EI'!X$1,FALSE),
"")</f>
        <v>23.988845833333336</v>
      </c>
      <c r="Y199" s="18">
        <f>IFERROR(
                  Andel_oberoende_av_klimat*VLOOKUP($A199,Leveranser_per_nät,'Leveranser per nät'!Y$1,FALSE)
               +Andel_beroende_av_klimat*VLOOKUP($A199,Leveranser_per_nät,'Leveranser per nät'!Y$1,FALSE)/VLOOKUP($B199,Korrigeringsfaktor_EI,'Korrigeringsfaktor EI'!Y$1,FALSE),
"")</f>
        <v>23.692317021276594</v>
      </c>
      <c r="Z199" s="18">
        <f>IFERROR(
                  Andel_oberoende_av_klimat*VLOOKUP($A199,Leveranser_per_nät,'Leveranser per nät'!Z$1,FALSE)
               +Andel_beroende_av_klimat*VLOOKUP($A199,Leveranser_per_nät,'Leveranser per nät'!Z$1,FALSE)/VLOOKUP($B199,Korrigeringsfaktor_EI,'Korrigeringsfaktor EI'!Z$1,FALSE),
"")</f>
        <v>23.171021276595745</v>
      </c>
      <c r="AA199" s="18">
        <f>IFERROR(
                  Andel_oberoende_av_klimat*VLOOKUP($A199,Leveranser_per_nät,'Leveranser per nät'!AA$1,FALSE)
               +Andel_beroende_av_klimat*VLOOKUP($A199,Leveranser_per_nät,'Leveranser per nät'!AA$1,FALSE)/VLOOKUP($B199,Korrigeringsfaktor_EI,'Korrigeringsfaktor EI'!AA$1,FALSE),
"")</f>
        <v>25.120663335630599</v>
      </c>
      <c r="AB199" s="18">
        <f>IFERROR(
                  Andel_oberoende_av_klimat*VLOOKUP($A199,Leveranser_per_nät,'Leveranser per nät'!AB$1,FALSE)
               +Andel_beroende_av_klimat*VLOOKUP($A199,Leveranser_per_nät,'Leveranser per nät'!AB$1,FALSE)/VLOOKUP($B199,Korrigeringsfaktor_EI,'Korrigeringsfaktor EI'!AB$1,FALSE),
"")</f>
        <v>24.168711067193676</v>
      </c>
      <c r="AC199" s="18">
        <f>IFERROR(
                  Andel_oberoende_av_klimat*VLOOKUP($A199,Leveranser_per_nät,'Leveranser per nät'!AC$1,FALSE)
               +Andel_beroende_av_klimat*VLOOKUP($A199,Leveranser_per_nät,'Leveranser per nät'!AC$1,FALSE)/VLOOKUP($B199,Korrigeringsfaktor_EI,'Korrigeringsfaktor EI'!AC$1,FALSE),
"")</f>
        <v>23.946832846715328</v>
      </c>
      <c r="AD199">
        <v>122.995</v>
      </c>
    </row>
    <row r="200" spans="1:30" x14ac:dyDescent="0.25">
      <c r="A200" t="s">
        <v>203</v>
      </c>
      <c r="B200" t="s">
        <v>203</v>
      </c>
      <c r="C200" s="18">
        <f>IFERROR(
                  Andel_oberoende_av_klimat*VLOOKUP($A200,Leveranser_per_nät,'Leveranser per nät'!C$1,FALSE)
               +Andel_beroende_av_klimat*VLOOKUP($A200,Leveranser_per_nät,'Leveranser per nät'!C$1,FALSE)/VLOOKUP($B200,Korrigeringsfaktor_EI,'Korrigeringsfaktor EI'!C$1,FALSE),
"")</f>
        <v>0</v>
      </c>
      <c r="D200" s="18">
        <f>IFERROR(
                  Andel_oberoende_av_klimat*VLOOKUP($A200,Leveranser_per_nät,'Leveranser per nät'!D$1,FALSE)
               +Andel_beroende_av_klimat*VLOOKUP($A200,Leveranser_per_nät,'Leveranser per nät'!D$1,FALSE)/VLOOKUP($B200,Korrigeringsfaktor_EI,'Korrigeringsfaktor EI'!D$1,FALSE),
"")</f>
        <v>17.458158415841581</v>
      </c>
      <c r="E200" s="18">
        <f>IFERROR(
                  Andel_oberoende_av_klimat*VLOOKUP($A200,Leveranser_per_nät,'Leveranser per nät'!E$1,FALSE)
               +Andel_beroende_av_klimat*VLOOKUP($A200,Leveranser_per_nät,'Leveranser per nät'!E$1,FALSE)/VLOOKUP($B200,Korrigeringsfaktor_EI,'Korrigeringsfaktor EI'!E$1,FALSE),
"")</f>
        <v>22.380769230769229</v>
      </c>
      <c r="F200" s="18">
        <f>IFERROR(
                  Andel_oberoende_av_klimat*VLOOKUP($A200,Leveranser_per_nät,'Leveranser per nät'!F$1,FALSE)
               +Andel_beroende_av_klimat*VLOOKUP($A200,Leveranser_per_nät,'Leveranser per nät'!F$1,FALSE)/VLOOKUP($B200,Korrigeringsfaktor_EI,'Korrigeringsfaktor EI'!F$1,FALSE),
"")</f>
        <v>24.342857142857142</v>
      </c>
      <c r="G200" s="18">
        <f>IFERROR(
                  Andel_oberoende_av_klimat*VLOOKUP($A200,Leveranser_per_nät,'Leveranser per nät'!G$1,FALSE)
               +Andel_beroende_av_klimat*VLOOKUP($A200,Leveranser_per_nät,'Leveranser per nät'!G$1,FALSE)/VLOOKUP($B200,Korrigeringsfaktor_EI,'Korrigeringsfaktor EI'!G$1,FALSE),
"")</f>
        <v>39.87777777777778</v>
      </c>
      <c r="H200" s="18">
        <f>IFERROR(
                  Andel_oberoende_av_klimat*VLOOKUP($A200,Leveranser_per_nät,'Leveranser per nät'!H$1,FALSE)
               +Andel_beroende_av_klimat*VLOOKUP($A200,Leveranser_per_nät,'Leveranser per nät'!H$1,FALSE)/VLOOKUP($B200,Korrigeringsfaktor_EI,'Korrigeringsfaktor EI'!H$1,FALSE),
"")</f>
        <v>62.695145631067959</v>
      </c>
      <c r="I200" s="18">
        <f>IFERROR(
                  Andel_oberoende_av_klimat*VLOOKUP($A200,Leveranser_per_nät,'Leveranser per nät'!I$1,FALSE)
               +Andel_beroende_av_klimat*VLOOKUP($A200,Leveranser_per_nät,'Leveranser per nät'!I$1,FALSE)/VLOOKUP($B200,Korrigeringsfaktor_EI,'Korrigeringsfaktor EI'!I$1,FALSE),
"")</f>
        <v>73.070833333333326</v>
      </c>
      <c r="J200" s="18">
        <f>IFERROR(
                  Andel_oberoende_av_klimat*VLOOKUP($A200,Leveranser_per_nät,'Leveranser per nät'!J$1,FALSE)
               +Andel_beroende_av_klimat*VLOOKUP($A200,Leveranser_per_nät,'Leveranser per nät'!J$1,FALSE)/VLOOKUP($B200,Korrigeringsfaktor_EI,'Korrigeringsfaktor EI'!J$1,FALSE),
"")</f>
        <v>75.533324242424243</v>
      </c>
      <c r="K200" s="18">
        <f>IFERROR(
                  Andel_oberoende_av_klimat*VLOOKUP($A200,Leveranser_per_nät,'Leveranser per nät'!K$1,FALSE)
               +Andel_beroende_av_klimat*VLOOKUP($A200,Leveranser_per_nät,'Leveranser per nät'!K$1,FALSE)/VLOOKUP($B200,Korrigeringsfaktor_EI,'Korrigeringsfaktor EI'!K$1,FALSE),
"")</f>
        <v>78.866</v>
      </c>
      <c r="L200" s="18">
        <f>IFERROR(
                  Andel_oberoende_av_klimat*VLOOKUP($A200,Leveranser_per_nät,'Leveranser per nät'!L$1,FALSE)
               +Andel_beroende_av_klimat*VLOOKUP($A200,Leveranser_per_nät,'Leveranser per nät'!L$1,FALSE)/VLOOKUP($B200,Korrigeringsfaktor_EI,'Korrigeringsfaktor EI'!L$1,FALSE),
"")</f>
        <v>75.856400000000008</v>
      </c>
      <c r="M200" s="18">
        <f>IFERROR(
                  Andel_oberoende_av_klimat*VLOOKUP($A200,Leveranser_per_nät,'Leveranser per nät'!M$1,FALSE)
               +Andel_beroende_av_klimat*VLOOKUP($A200,Leveranser_per_nät,'Leveranser per nät'!M$1,FALSE)/VLOOKUP($B200,Korrigeringsfaktor_EI,'Korrigeringsfaktor EI'!M$1,FALSE),
"")</f>
        <v>0</v>
      </c>
      <c r="N200" s="18">
        <f>IFERROR(
                  Andel_oberoende_av_klimat*VLOOKUP($A200,Leveranser_per_nät,'Leveranser per nät'!N$1,FALSE)
               +Andel_beroende_av_klimat*VLOOKUP($A200,Leveranser_per_nät,'Leveranser per nät'!N$1,FALSE)/VLOOKUP($B200,Korrigeringsfaktor_EI,'Korrigeringsfaktor EI'!N$1,FALSE),
"")</f>
        <v>0</v>
      </c>
      <c r="O200" s="18">
        <f>IFERROR(
                  Andel_oberoende_av_klimat*VLOOKUP($A200,Leveranser_per_nät,'Leveranser per nät'!O$1,FALSE)
               +Andel_beroende_av_klimat*VLOOKUP($A200,Leveranser_per_nät,'Leveranser per nät'!O$1,FALSE)/VLOOKUP($B200,Korrigeringsfaktor_EI,'Korrigeringsfaktor EI'!O$1,FALSE),
"")</f>
        <v>0</v>
      </c>
      <c r="P200" s="18">
        <f>IFERROR(
                  Andel_oberoende_av_klimat*VLOOKUP($A200,Leveranser_per_nät,'Leveranser per nät'!P$1,FALSE)
               +Andel_beroende_av_klimat*VLOOKUP($A200,Leveranser_per_nät,'Leveranser per nät'!P$1,FALSE)/VLOOKUP($B200,Korrigeringsfaktor_EI,'Korrigeringsfaktor EI'!P$1,FALSE),
"")</f>
        <v>0</v>
      </c>
      <c r="Q200" s="18">
        <f>IFERROR(
                  Andel_oberoende_av_klimat*VLOOKUP($A200,Leveranser_per_nät,'Leveranser per nät'!Q$1,FALSE)
               +Andel_beroende_av_klimat*VLOOKUP($A200,Leveranser_per_nät,'Leveranser per nät'!Q$1,FALSE)/VLOOKUP($B200,Korrigeringsfaktor_EI,'Korrigeringsfaktor EI'!Q$1,FALSE),
"")</f>
        <v>0</v>
      </c>
      <c r="R200" s="18">
        <f>IFERROR(
                  Andel_oberoende_av_klimat*VLOOKUP($A200,Leveranser_per_nät,'Leveranser per nät'!R$1,FALSE)
               +Andel_beroende_av_klimat*VLOOKUP($A200,Leveranser_per_nät,'Leveranser per nät'!R$1,FALSE)/VLOOKUP($B200,Korrigeringsfaktor_EI,'Korrigeringsfaktor EI'!R$1,FALSE),
"")</f>
        <v>0</v>
      </c>
      <c r="S200" s="18" t="str">
        <f>IFERROR(
                  Andel_oberoende_av_klimat*VLOOKUP($A200,Leveranser_per_nät,'Leveranser per nät'!S$1,FALSE)
               +Andel_beroende_av_klimat*VLOOKUP($A200,Leveranser_per_nät,'Leveranser per nät'!S$1,FALSE)/VLOOKUP($B200,Korrigeringsfaktor_EI,'Korrigeringsfaktor EI'!S$1,FALSE),
"")</f>
        <v/>
      </c>
      <c r="T200" s="18" t="str">
        <f>IFERROR(
                  Andel_oberoende_av_klimat*VLOOKUP($A200,Leveranser_per_nät,'Leveranser per nät'!T$1,FALSE)
               +Andel_beroende_av_klimat*VLOOKUP($A200,Leveranser_per_nät,'Leveranser per nät'!T$1,FALSE)/VLOOKUP($B200,Korrigeringsfaktor_EI,'Korrigeringsfaktor EI'!T$1,FALSE),
"")</f>
        <v/>
      </c>
      <c r="U200" s="18" t="str">
        <f>IFERROR(
                  Andel_oberoende_av_klimat*VLOOKUP($A200,Leveranser_per_nät,'Leveranser per nät'!U$1,FALSE)
               +Andel_beroende_av_klimat*VLOOKUP($A200,Leveranser_per_nät,'Leveranser per nät'!U$1,FALSE)/VLOOKUP($B200,Korrigeringsfaktor_EI,'Korrigeringsfaktor EI'!U$1,FALSE),
"")</f>
        <v/>
      </c>
      <c r="V200" s="18" t="str">
        <f>IFERROR(
                  Andel_oberoende_av_klimat*VLOOKUP($A200,Leveranser_per_nät,'Leveranser per nät'!V$1,FALSE)
               +Andel_beroende_av_klimat*VLOOKUP($A200,Leveranser_per_nät,'Leveranser per nät'!V$1,FALSE)/VLOOKUP($B200,Korrigeringsfaktor_EI,'Korrigeringsfaktor EI'!V$1,FALSE),
"")</f>
        <v/>
      </c>
      <c r="W200" s="18" t="str">
        <f>IFERROR(
                  Andel_oberoende_av_klimat*VLOOKUP($A200,Leveranser_per_nät,'Leveranser per nät'!W$1,FALSE)
               +Andel_beroende_av_klimat*VLOOKUP($A200,Leveranser_per_nät,'Leveranser per nät'!W$1,FALSE)/VLOOKUP($B200,Korrigeringsfaktor_EI,'Korrigeringsfaktor EI'!W$1,FALSE),
"")</f>
        <v/>
      </c>
      <c r="X200" s="18" t="str">
        <f>IFERROR(
                  Andel_oberoende_av_klimat*VLOOKUP($A200,Leveranser_per_nät,'Leveranser per nät'!X$1,FALSE)
               +Andel_beroende_av_klimat*VLOOKUP($A200,Leveranser_per_nät,'Leveranser per nät'!X$1,FALSE)/VLOOKUP($B200,Korrigeringsfaktor_EI,'Korrigeringsfaktor EI'!X$1,FALSE),
"")</f>
        <v/>
      </c>
      <c r="Y200" s="18" t="str">
        <f>IFERROR(
                  Andel_oberoende_av_klimat*VLOOKUP($A200,Leveranser_per_nät,'Leveranser per nät'!Y$1,FALSE)
               +Andel_beroende_av_klimat*VLOOKUP($A200,Leveranser_per_nät,'Leveranser per nät'!Y$1,FALSE)/VLOOKUP($B200,Korrigeringsfaktor_EI,'Korrigeringsfaktor EI'!Y$1,FALSE),
"")</f>
        <v/>
      </c>
      <c r="Z200" s="18">
        <f>IFERROR(
                  Andel_oberoende_av_klimat*VLOOKUP($A200,Leveranser_per_nät,'Leveranser per nät'!Z$1,FALSE)
               +Andel_beroende_av_klimat*VLOOKUP($A200,Leveranser_per_nät,'Leveranser per nät'!Z$1,FALSE)/VLOOKUP($B200,Korrigeringsfaktor_EI,'Korrigeringsfaktor EI'!Z$1,FALSE),
"")</f>
        <v>0</v>
      </c>
      <c r="AA200" s="18" t="str">
        <f>IFERROR(
                  Andel_oberoende_av_klimat*VLOOKUP($A200,Leveranser_per_nät,'Leveranser per nät'!AA$1,FALSE)
               +Andel_beroende_av_klimat*VLOOKUP($A200,Leveranser_per_nät,'Leveranser per nät'!AA$1,FALSE)/VLOOKUP($B200,Korrigeringsfaktor_EI,'Korrigeringsfaktor EI'!AA$1,FALSE),
"")</f>
        <v/>
      </c>
      <c r="AB200" s="18">
        <f>IFERROR(
                  Andel_oberoende_av_klimat*VLOOKUP($A200,Leveranser_per_nät,'Leveranser per nät'!AB$1,FALSE)
               +Andel_beroende_av_klimat*VLOOKUP($A200,Leveranser_per_nät,'Leveranser per nät'!AB$1,FALSE)/VLOOKUP($B200,Korrigeringsfaktor_EI,'Korrigeringsfaktor EI'!AB$1,FALSE),
"")</f>
        <v>0</v>
      </c>
      <c r="AC200" s="18">
        <f>IFERROR(
                  Andel_oberoende_av_klimat*VLOOKUP($A200,Leveranser_per_nät,'Leveranser per nät'!AC$1,FALSE)
               +Andel_beroende_av_klimat*VLOOKUP($A200,Leveranser_per_nät,'Leveranser per nät'!AC$1,FALSE)/VLOOKUP($B200,Korrigeringsfaktor_EI,'Korrigeringsfaktor EI'!AC$1,FALSE),
"")</f>
        <v>0</v>
      </c>
      <c r="AD200" t="e">
        <v>#N/A</v>
      </c>
    </row>
    <row r="201" spans="1:30" x14ac:dyDescent="0.25">
      <c r="A201" t="s">
        <v>390</v>
      </c>
      <c r="B201" t="s">
        <v>505</v>
      </c>
      <c r="C201" s="18">
        <f>IFERROR(
                  Andel_oberoende_av_klimat*VLOOKUP($A201,Leveranser_per_nät,'Leveranser per nät'!C$1,FALSE)
               +Andel_beroende_av_klimat*VLOOKUP($A201,Leveranser_per_nät,'Leveranser per nät'!C$1,FALSE)/VLOOKUP($B201,Korrigeringsfaktor_EI,'Korrigeringsfaktor EI'!C$1,FALSE),
"")</f>
        <v>244.59607843137255</v>
      </c>
      <c r="D201" s="18">
        <f>IFERROR(
                  Andel_oberoende_av_klimat*VLOOKUP($A201,Leveranser_per_nät,'Leveranser per nät'!D$1,FALSE)
               +Andel_beroende_av_klimat*VLOOKUP($A201,Leveranser_per_nät,'Leveranser per nät'!D$1,FALSE)/VLOOKUP($B201,Korrigeringsfaktor_EI,'Korrigeringsfaktor EI'!D$1,FALSE),
"")</f>
        <v>239.42098989898994</v>
      </c>
      <c r="E201" s="18">
        <f>IFERROR(
                  Andel_oberoende_av_klimat*VLOOKUP($A201,Leveranser_per_nät,'Leveranser per nät'!E$1,FALSE)
               +Andel_beroende_av_klimat*VLOOKUP($A201,Leveranser_per_nät,'Leveranser per nät'!E$1,FALSE)/VLOOKUP($B201,Korrigeringsfaktor_EI,'Korrigeringsfaktor EI'!E$1,FALSE),
"")</f>
        <v>249.04766355140185</v>
      </c>
      <c r="F201" s="18">
        <f>IFERROR(
                  Andel_oberoende_av_klimat*VLOOKUP($A201,Leveranser_per_nät,'Leveranser per nät'!F$1,FALSE)
               +Andel_beroende_av_klimat*VLOOKUP($A201,Leveranser_per_nät,'Leveranser per nät'!F$1,FALSE)/VLOOKUP($B201,Korrigeringsfaktor_EI,'Korrigeringsfaktor EI'!F$1,FALSE),
"")</f>
        <v>223</v>
      </c>
      <c r="G201" s="18">
        <f>IFERROR(
                  Andel_oberoende_av_klimat*VLOOKUP($A201,Leveranser_per_nät,'Leveranser per nät'!G$1,FALSE)
               +Andel_beroende_av_klimat*VLOOKUP($A201,Leveranser_per_nät,'Leveranser per nät'!G$1,FALSE)/VLOOKUP($B201,Korrigeringsfaktor_EI,'Korrigeringsfaktor EI'!G$1,FALSE),
"")</f>
        <v>231.21578947368423</v>
      </c>
      <c r="H201" s="18">
        <f>IFERROR(
                  Andel_oberoende_av_klimat*VLOOKUP($A201,Leveranser_per_nät,'Leveranser per nät'!H$1,FALSE)
               +Andel_beroende_av_klimat*VLOOKUP($A201,Leveranser_per_nät,'Leveranser per nät'!H$1,FALSE)/VLOOKUP($B201,Korrigeringsfaktor_EI,'Korrigeringsfaktor EI'!H$1,FALSE),
"")</f>
        <v>233.64040404040401</v>
      </c>
      <c r="I201" s="18">
        <f>IFERROR(
                  Andel_oberoende_av_klimat*VLOOKUP($A201,Leveranser_per_nät,'Leveranser per nät'!I$1,FALSE)
               +Andel_beroende_av_klimat*VLOOKUP($A201,Leveranser_per_nät,'Leveranser per nät'!I$1,FALSE)/VLOOKUP($B201,Korrigeringsfaktor_EI,'Korrigeringsfaktor EI'!I$1,FALSE),
"")</f>
        <v>227.8278350515464</v>
      </c>
      <c r="J201" s="18">
        <f>IFERROR(
                  Andel_oberoende_av_klimat*VLOOKUP($A201,Leveranser_per_nät,'Leveranser per nät'!J$1,FALSE)
               +Andel_beroende_av_klimat*VLOOKUP($A201,Leveranser_per_nät,'Leveranser per nät'!J$1,FALSE)/VLOOKUP($B201,Korrigeringsfaktor_EI,'Korrigeringsfaktor EI'!J$1,FALSE),
"")</f>
        <v>212.50309278350517</v>
      </c>
      <c r="K201" s="18">
        <f>IFERROR(
                  Andel_oberoende_av_klimat*VLOOKUP($A201,Leveranser_per_nät,'Leveranser per nät'!K$1,FALSE)
               +Andel_beroende_av_klimat*VLOOKUP($A201,Leveranser_per_nät,'Leveranser per nät'!K$1,FALSE)/VLOOKUP($B201,Korrigeringsfaktor_EI,'Korrigeringsfaktor EI'!K$1,FALSE),
"")</f>
        <v>218.39903195876289</v>
      </c>
      <c r="L201" s="18">
        <f>IFERROR(
                  Andel_oberoende_av_klimat*VLOOKUP($A201,Leveranser_per_nät,'Leveranser per nät'!L$1,FALSE)
               +Andel_beroende_av_klimat*VLOOKUP($A201,Leveranser_per_nät,'Leveranser per nät'!L$1,FALSE)/VLOOKUP($B201,Korrigeringsfaktor_EI,'Korrigeringsfaktor EI'!L$1,FALSE),
"")</f>
        <v>209.38611578947371</v>
      </c>
      <c r="M201" s="18">
        <f>IFERROR(
                  Andel_oberoende_av_klimat*VLOOKUP($A201,Leveranser_per_nät,'Leveranser per nät'!M$1,FALSE)
               +Andel_beroende_av_klimat*VLOOKUP($A201,Leveranser_per_nät,'Leveranser per nät'!M$1,FALSE)/VLOOKUP($B201,Korrigeringsfaktor_EI,'Korrigeringsfaktor EI'!M$1,FALSE),
"")</f>
        <v>209.21823404255321</v>
      </c>
      <c r="N201" s="18">
        <f>IFERROR(
                  Andel_oberoende_av_klimat*VLOOKUP($A201,Leveranser_per_nät,'Leveranser per nät'!N$1,FALSE)
               +Andel_beroende_av_klimat*VLOOKUP($A201,Leveranser_per_nät,'Leveranser per nät'!N$1,FALSE)/VLOOKUP($B201,Korrigeringsfaktor_EI,'Korrigeringsfaktor EI'!N$1,FALSE),
"")</f>
        <v>206.18434736842107</v>
      </c>
      <c r="O201" s="18">
        <f>IFERROR(
                  Andel_oberoende_av_klimat*VLOOKUP($A201,Leveranser_per_nät,'Leveranser per nät'!O$1,FALSE)
               +Andel_beroende_av_klimat*VLOOKUP($A201,Leveranser_per_nät,'Leveranser per nät'!O$1,FALSE)/VLOOKUP($B201,Korrigeringsfaktor_EI,'Korrigeringsfaktor EI'!O$1,FALSE),
"")</f>
        <v>217.48669896907217</v>
      </c>
      <c r="P201" s="18">
        <f>IFERROR(
                  Andel_oberoende_av_klimat*VLOOKUP($A201,Leveranser_per_nät,'Leveranser per nät'!P$1,FALSE)
               +Andel_beroende_av_klimat*VLOOKUP($A201,Leveranser_per_nät,'Leveranser per nät'!P$1,FALSE)/VLOOKUP($B201,Korrigeringsfaktor_EI,'Korrigeringsfaktor EI'!P$1,FALSE),
"")</f>
        <v>207.82374166666665</v>
      </c>
      <c r="Q201" s="18">
        <f>IFERROR(
                  Andel_oberoende_av_klimat*VLOOKUP($A201,Leveranser_per_nät,'Leveranser per nät'!Q$1,FALSE)
               +Andel_beroende_av_klimat*VLOOKUP($A201,Leveranser_per_nät,'Leveranser per nät'!Q$1,FALSE)/VLOOKUP($B201,Korrigeringsfaktor_EI,'Korrigeringsfaktor EI'!Q$1,FALSE),
"")</f>
        <v>210.08653495145631</v>
      </c>
      <c r="R201" s="18">
        <f>IFERROR(
                  Andel_oberoende_av_klimat*VLOOKUP($A201,Leveranser_per_nät,'Leveranser per nät'!R$1,FALSE)
               +Andel_beroende_av_klimat*VLOOKUP($A201,Leveranser_per_nät,'Leveranser per nät'!R$1,FALSE)/VLOOKUP($B201,Korrigeringsfaktor_EI,'Korrigeringsfaktor EI'!R$1,FALSE),
"")</f>
        <v>208.17174615384616</v>
      </c>
      <c r="S201" s="18">
        <f>IFERROR(
                  Andel_oberoende_av_klimat*VLOOKUP($A201,Leveranser_per_nät,'Leveranser per nät'!S$1,FALSE)
               +Andel_beroende_av_klimat*VLOOKUP($A201,Leveranser_per_nät,'Leveranser per nät'!S$1,FALSE)/VLOOKUP($B201,Korrigeringsfaktor_EI,'Korrigeringsfaktor EI'!S$1,FALSE),
"")</f>
        <v>213.50990099009903</v>
      </c>
      <c r="T201" s="18">
        <f>IFERROR(
                  Andel_oberoende_av_klimat*VLOOKUP($A201,Leveranser_per_nät,'Leveranser per nät'!T$1,FALSE)
               +Andel_beroende_av_klimat*VLOOKUP($A201,Leveranser_per_nät,'Leveranser per nät'!T$1,FALSE)/VLOOKUP($B201,Korrigeringsfaktor_EI,'Korrigeringsfaktor EI'!T$1,FALSE),
"")</f>
        <v>203.59936666666664</v>
      </c>
      <c r="U201" s="18">
        <f>IFERROR(
                  Andel_oberoende_av_klimat*VLOOKUP($A201,Leveranser_per_nät,'Leveranser per nät'!U$1,FALSE)
               +Andel_beroende_av_klimat*VLOOKUP($A201,Leveranser_per_nät,'Leveranser per nät'!U$1,FALSE)/VLOOKUP($B201,Korrigeringsfaktor_EI,'Korrigeringsfaktor EI'!U$1,FALSE),
"")</f>
        <v>207.11529148936171</v>
      </c>
      <c r="V201" s="18">
        <f>IFERROR(
                  Andel_oberoende_av_klimat*VLOOKUP($A201,Leveranser_per_nät,'Leveranser per nät'!V$1,FALSE)
               +Andel_beroende_av_klimat*VLOOKUP($A201,Leveranser_per_nät,'Leveranser per nät'!V$1,FALSE)/VLOOKUP($B201,Korrigeringsfaktor_EI,'Korrigeringsfaktor EI'!V$1,FALSE),
"")</f>
        <v>207.40742608695652</v>
      </c>
      <c r="W201" s="18">
        <f>IFERROR(
                  Andel_oberoende_av_klimat*VLOOKUP($A201,Leveranser_per_nät,'Leveranser per nät'!W$1,FALSE)
               +Andel_beroende_av_klimat*VLOOKUP($A201,Leveranser_per_nät,'Leveranser per nät'!W$1,FALSE)/VLOOKUP($B201,Korrigeringsfaktor_EI,'Korrigeringsfaktor EI'!W$1,FALSE),
"")</f>
        <v>198.26494736842105</v>
      </c>
      <c r="X201" s="18">
        <f>IFERROR(
                  Andel_oberoende_av_klimat*VLOOKUP($A201,Leveranser_per_nät,'Leveranser per nät'!X$1,FALSE)
               +Andel_beroende_av_klimat*VLOOKUP($A201,Leveranser_per_nät,'Leveranser per nät'!X$1,FALSE)/VLOOKUP($B201,Korrigeringsfaktor_EI,'Korrigeringsfaktor EI'!X$1,FALSE),
"")</f>
        <v>203.66248571428574</v>
      </c>
      <c r="Y201" s="18">
        <f>IFERROR(
                  Andel_oberoende_av_klimat*VLOOKUP($A201,Leveranser_per_nät,'Leveranser per nät'!Y$1,FALSE)
               +Andel_beroende_av_klimat*VLOOKUP($A201,Leveranser_per_nät,'Leveranser per nät'!Y$1,FALSE)/VLOOKUP($B201,Korrigeringsfaktor_EI,'Korrigeringsfaktor EI'!Y$1,FALSE),
"")</f>
        <v>207.4389263157895</v>
      </c>
      <c r="Z201" s="18">
        <f>IFERROR(
                  Andel_oberoende_av_klimat*VLOOKUP($A201,Leveranser_per_nät,'Leveranser per nät'!Z$1,FALSE)
               +Andel_beroende_av_klimat*VLOOKUP($A201,Leveranser_per_nät,'Leveranser per nät'!Z$1,FALSE)/VLOOKUP($B201,Korrigeringsfaktor_EI,'Korrigeringsfaktor EI'!Z$1,FALSE),
"")</f>
        <v>211.00346868686867</v>
      </c>
      <c r="AA201" s="18">
        <f>IFERROR(
                  Andel_oberoende_av_klimat*VLOOKUP($A201,Leveranser_per_nät,'Leveranser per nät'!AA$1,FALSE)
               +Andel_beroende_av_klimat*VLOOKUP($A201,Leveranser_per_nät,'Leveranser per nät'!AA$1,FALSE)/VLOOKUP($B201,Korrigeringsfaktor_EI,'Korrigeringsfaktor EI'!AA$1,FALSE),
"")</f>
        <v>216.69874663259171</v>
      </c>
      <c r="AB201" s="18">
        <f>IFERROR(
                  Andel_oberoende_av_klimat*VLOOKUP($A201,Leveranser_per_nät,'Leveranser per nät'!AB$1,FALSE)
               +Andel_beroende_av_klimat*VLOOKUP($A201,Leveranser_per_nät,'Leveranser per nät'!AB$1,FALSE)/VLOOKUP($B201,Korrigeringsfaktor_EI,'Korrigeringsfaktor EI'!AB$1,FALSE),
"")</f>
        <v>225.68423153692615</v>
      </c>
      <c r="AC201" s="18">
        <f>IFERROR(
                  Andel_oberoende_av_klimat*VLOOKUP($A201,Leveranser_per_nät,'Leveranser per nät'!AC$1,FALSE)
               +Andel_beroende_av_klimat*VLOOKUP($A201,Leveranser_per_nät,'Leveranser per nät'!AC$1,FALSE)/VLOOKUP($B201,Korrigeringsfaktor_EI,'Korrigeringsfaktor EI'!AC$1,FALSE),
"")</f>
        <v>225.18858577405857</v>
      </c>
      <c r="AD201" t="e">
        <v>#N/A</v>
      </c>
    </row>
    <row r="202" spans="1:30" x14ac:dyDescent="0.25">
      <c r="A202" t="s">
        <v>307</v>
      </c>
      <c r="B202" t="s">
        <v>307</v>
      </c>
      <c r="C202" s="18">
        <f>IFERROR(
                  Andel_oberoende_av_klimat*VLOOKUP($A202,Leveranser_per_nät,'Leveranser per nät'!C$1,FALSE)
               +Andel_beroende_av_klimat*VLOOKUP($A202,Leveranser_per_nät,'Leveranser per nät'!C$1,FALSE)/VLOOKUP($B202,Korrigeringsfaktor_EI,'Korrigeringsfaktor EI'!C$1,FALSE),
"")</f>
        <v>0</v>
      </c>
      <c r="D202" s="18">
        <f>IFERROR(
                  Andel_oberoende_av_klimat*VLOOKUP($A202,Leveranser_per_nät,'Leveranser per nät'!D$1,FALSE)
               +Andel_beroende_av_klimat*VLOOKUP($A202,Leveranser_per_nät,'Leveranser per nät'!D$1,FALSE)/VLOOKUP($B202,Korrigeringsfaktor_EI,'Korrigeringsfaktor EI'!D$1,FALSE),
"")</f>
        <v>0</v>
      </c>
      <c r="E202" s="18">
        <f>IFERROR(
                  Andel_oberoende_av_klimat*VLOOKUP($A202,Leveranser_per_nät,'Leveranser per nät'!E$1,FALSE)
               +Andel_beroende_av_klimat*VLOOKUP($A202,Leveranser_per_nät,'Leveranser per nät'!E$1,FALSE)/VLOOKUP($B202,Korrigeringsfaktor_EI,'Korrigeringsfaktor EI'!E$1,FALSE),
"")</f>
        <v>0</v>
      </c>
      <c r="F202" s="18">
        <f>IFERROR(
                  Andel_oberoende_av_klimat*VLOOKUP($A202,Leveranser_per_nät,'Leveranser per nät'!F$1,FALSE)
               +Andel_beroende_av_klimat*VLOOKUP($A202,Leveranser_per_nät,'Leveranser per nät'!F$1,FALSE)/VLOOKUP($B202,Korrigeringsfaktor_EI,'Korrigeringsfaktor EI'!F$1,FALSE),
"")</f>
        <v>0</v>
      </c>
      <c r="G202" s="18">
        <f>IFERROR(
                  Andel_oberoende_av_klimat*VLOOKUP($A202,Leveranser_per_nät,'Leveranser per nät'!G$1,FALSE)
               +Andel_beroende_av_klimat*VLOOKUP($A202,Leveranser_per_nät,'Leveranser per nät'!G$1,FALSE)/VLOOKUP($B202,Korrigeringsfaktor_EI,'Korrigeringsfaktor EI'!G$1,FALSE),
"")</f>
        <v>11.931546153846153</v>
      </c>
      <c r="H202" s="18">
        <f>IFERROR(
                  Andel_oberoende_av_klimat*VLOOKUP($A202,Leveranser_per_nät,'Leveranser per nät'!H$1,FALSE)
               +Andel_beroende_av_klimat*VLOOKUP($A202,Leveranser_per_nät,'Leveranser per nät'!H$1,FALSE)/VLOOKUP($B202,Korrigeringsfaktor_EI,'Korrigeringsfaktor EI'!H$1,FALSE),
"")</f>
        <v>12</v>
      </c>
      <c r="I202" s="18">
        <f>IFERROR(
                  Andel_oberoende_av_klimat*VLOOKUP($A202,Leveranser_per_nät,'Leveranser per nät'!I$1,FALSE)
               +Andel_beroende_av_klimat*VLOOKUP($A202,Leveranser_per_nät,'Leveranser per nät'!I$1,FALSE)/VLOOKUP($B202,Korrigeringsfaktor_EI,'Korrigeringsfaktor EI'!I$1,FALSE),
"")</f>
        <v>12.973891489361701</v>
      </c>
      <c r="J202" s="18">
        <f>IFERROR(
                  Andel_oberoende_av_klimat*VLOOKUP($A202,Leveranser_per_nät,'Leveranser per nät'!J$1,FALSE)
               +Andel_beroende_av_klimat*VLOOKUP($A202,Leveranser_per_nät,'Leveranser per nät'!J$1,FALSE)/VLOOKUP($B202,Korrigeringsfaktor_EI,'Korrigeringsfaktor EI'!J$1,FALSE),
"")</f>
        <v>12.596414285714285</v>
      </c>
      <c r="K202" s="18">
        <f>IFERROR(
                  Andel_oberoende_av_klimat*VLOOKUP($A202,Leveranser_per_nät,'Leveranser per nät'!K$1,FALSE)
               +Andel_beroende_av_klimat*VLOOKUP($A202,Leveranser_per_nät,'Leveranser per nät'!K$1,FALSE)/VLOOKUP($B202,Korrigeringsfaktor_EI,'Korrigeringsfaktor EI'!K$1,FALSE),
"")</f>
        <v>12</v>
      </c>
      <c r="L202" s="18">
        <f>IFERROR(
                  Andel_oberoende_av_klimat*VLOOKUP($A202,Leveranser_per_nät,'Leveranser per nät'!L$1,FALSE)
               +Andel_beroende_av_klimat*VLOOKUP($A202,Leveranser_per_nät,'Leveranser per nät'!L$1,FALSE)/VLOOKUP($B202,Korrigeringsfaktor_EI,'Korrigeringsfaktor EI'!L$1,FALSE),
"")</f>
        <v>11.238144329896908</v>
      </c>
      <c r="M202" s="18">
        <f>IFERROR(
                  Andel_oberoende_av_klimat*VLOOKUP($A202,Leveranser_per_nät,'Leveranser per nät'!M$1,FALSE)
               +Andel_beroende_av_klimat*VLOOKUP($A202,Leveranser_per_nät,'Leveranser per nät'!M$1,FALSE)/VLOOKUP($B202,Korrigeringsfaktor_EI,'Korrigeringsfaktor EI'!M$1,FALSE),
"")</f>
        <v>11.579569892473117</v>
      </c>
      <c r="N202" s="18">
        <f>IFERROR(
                  Andel_oberoende_av_klimat*VLOOKUP($A202,Leveranser_per_nät,'Leveranser per nät'!N$1,FALSE)
               +Andel_beroende_av_klimat*VLOOKUP($A202,Leveranser_per_nät,'Leveranser per nät'!N$1,FALSE)/VLOOKUP($B202,Korrigeringsfaktor_EI,'Korrigeringsfaktor EI'!N$1,FALSE),
"")</f>
        <v>65.243478260869566</v>
      </c>
      <c r="O202" s="18">
        <f>IFERROR(
                  Andel_oberoende_av_klimat*VLOOKUP($A202,Leveranser_per_nät,'Leveranser per nät'!O$1,FALSE)
               +Andel_beroende_av_klimat*VLOOKUP($A202,Leveranser_per_nät,'Leveranser per nät'!O$1,FALSE)/VLOOKUP($B202,Korrigeringsfaktor_EI,'Korrigeringsfaktor EI'!O$1,FALSE),
"")</f>
        <v>68.319462365591392</v>
      </c>
      <c r="P202" s="18">
        <f>IFERROR(
                  Andel_oberoende_av_klimat*VLOOKUP($A202,Leveranser_per_nät,'Leveranser per nät'!P$1,FALSE)
               +Andel_beroende_av_klimat*VLOOKUP($A202,Leveranser_per_nät,'Leveranser per nät'!P$1,FALSE)/VLOOKUP($B202,Korrigeringsfaktor_EI,'Korrigeringsfaktor EI'!P$1,FALSE),
"")</f>
        <v>79.215714285714284</v>
      </c>
      <c r="Q202" s="18">
        <f>IFERROR(
                  Andel_oberoende_av_klimat*VLOOKUP($A202,Leveranser_per_nät,'Leveranser per nät'!Q$1,FALSE)
               +Andel_beroende_av_klimat*VLOOKUP($A202,Leveranser_per_nät,'Leveranser per nät'!Q$1,FALSE)/VLOOKUP($B202,Korrigeringsfaktor_EI,'Korrigeringsfaktor EI'!Q$1,FALSE),
"")</f>
        <v>19.12495575221239</v>
      </c>
      <c r="R202" s="18">
        <f>IFERROR(
                  Andel_oberoende_av_klimat*VLOOKUP($A202,Leveranser_per_nät,'Leveranser per nät'!R$1,FALSE)
               +Andel_beroende_av_klimat*VLOOKUP($A202,Leveranser_per_nät,'Leveranser per nät'!R$1,FALSE)/VLOOKUP($B202,Korrigeringsfaktor_EI,'Korrigeringsfaktor EI'!R$1,FALSE),
"")</f>
        <v>18.565217391304348</v>
      </c>
      <c r="S202" s="18">
        <f>IFERROR(
                  Andel_oberoende_av_klimat*VLOOKUP($A202,Leveranser_per_nät,'Leveranser per nät'!S$1,FALSE)
               +Andel_beroende_av_klimat*VLOOKUP($A202,Leveranser_per_nät,'Leveranser per nät'!S$1,FALSE)/VLOOKUP($B202,Korrigeringsfaktor_EI,'Korrigeringsfaktor EI'!S$1,FALSE),
"")</f>
        <v>21.698039215686272</v>
      </c>
      <c r="T202" s="18">
        <f>IFERROR(
                  Andel_oberoende_av_klimat*VLOOKUP($A202,Leveranser_per_nät,'Leveranser per nät'!T$1,FALSE)
               +Andel_beroende_av_klimat*VLOOKUP($A202,Leveranser_per_nät,'Leveranser per nät'!T$1,FALSE)/VLOOKUP($B202,Korrigeringsfaktor_EI,'Korrigeringsfaktor EI'!T$1,FALSE),
"")</f>
        <v>17.925858585858585</v>
      </c>
      <c r="U202" s="18">
        <f>IFERROR(
                  Andel_oberoende_av_klimat*VLOOKUP($A202,Leveranser_per_nät,'Leveranser per nät'!U$1,FALSE)
               +Andel_beroende_av_klimat*VLOOKUP($A202,Leveranser_per_nät,'Leveranser per nät'!U$1,FALSE)/VLOOKUP($B202,Korrigeringsfaktor_EI,'Korrigeringsfaktor EI'!U$1,FALSE),
"")</f>
        <v>18.362134831460672</v>
      </c>
      <c r="V202" s="18">
        <f>IFERROR(
                  Andel_oberoende_av_klimat*VLOOKUP($A202,Leveranser_per_nät,'Leveranser per nät'!V$1,FALSE)
               +Andel_beroende_av_klimat*VLOOKUP($A202,Leveranser_per_nät,'Leveranser per nät'!V$1,FALSE)/VLOOKUP($B202,Korrigeringsfaktor_EI,'Korrigeringsfaktor EI'!V$1,FALSE),
"")</f>
        <v>18.459130434782608</v>
      </c>
      <c r="W202" s="18">
        <f>IFERROR(
                  Andel_oberoende_av_klimat*VLOOKUP($A202,Leveranser_per_nät,'Leveranser per nät'!W$1,FALSE)
               +Andel_beroende_av_klimat*VLOOKUP($A202,Leveranser_per_nät,'Leveranser per nät'!W$1,FALSE)/VLOOKUP($B202,Korrigeringsfaktor_EI,'Korrigeringsfaktor EI'!W$1,FALSE),
"")</f>
        <v>19.077894736842104</v>
      </c>
      <c r="X202" s="18">
        <f>IFERROR(
                  Andel_oberoende_av_klimat*VLOOKUP($A202,Leveranser_per_nät,'Leveranser per nät'!X$1,FALSE)
               +Andel_beroende_av_klimat*VLOOKUP($A202,Leveranser_per_nät,'Leveranser per nät'!X$1,FALSE)/VLOOKUP($B202,Korrigeringsfaktor_EI,'Korrigeringsfaktor EI'!X$1,FALSE),
"")</f>
        <v>19.326595744680851</v>
      </c>
      <c r="Y202" s="18">
        <f>IFERROR(
                  Andel_oberoende_av_klimat*VLOOKUP($A202,Leveranser_per_nät,'Leveranser per nät'!Y$1,FALSE)
               +Andel_beroende_av_klimat*VLOOKUP($A202,Leveranser_per_nät,'Leveranser per nät'!Y$1,FALSE)/VLOOKUP($B202,Korrigeringsfaktor_EI,'Korrigeringsfaktor EI'!Y$1,FALSE),
"")</f>
        <v>19.994615384615383</v>
      </c>
      <c r="Z202" s="18">
        <f>IFERROR(
                  Andel_oberoende_av_klimat*VLOOKUP($A202,Leveranser_per_nät,'Leveranser per nät'!Z$1,FALSE)
               +Andel_beroende_av_klimat*VLOOKUP($A202,Leveranser_per_nät,'Leveranser per nät'!Z$1,FALSE)/VLOOKUP($B202,Korrigeringsfaktor_EI,'Korrigeringsfaktor EI'!Z$1,FALSE),
"")</f>
        <v>19.134648314606743</v>
      </c>
      <c r="AA202" s="18">
        <f>IFERROR(
                  Andel_oberoende_av_klimat*VLOOKUP($A202,Leveranser_per_nät,'Leveranser per nät'!AA$1,FALSE)
               +Andel_beroende_av_klimat*VLOOKUP($A202,Leveranser_per_nät,'Leveranser per nät'!AA$1,FALSE)/VLOOKUP($B202,Korrigeringsfaktor_EI,'Korrigeringsfaktor EI'!AA$1,FALSE),
"")</f>
        <v>18.827509147935181</v>
      </c>
      <c r="AB202" s="18">
        <f>IFERROR(
                  Andel_oberoende_av_klimat*VLOOKUP($A202,Leveranser_per_nät,'Leveranser per nät'!AB$1,FALSE)
               +Andel_beroende_av_klimat*VLOOKUP($A202,Leveranser_per_nät,'Leveranser per nät'!AB$1,FALSE)/VLOOKUP($B202,Korrigeringsfaktor_EI,'Korrigeringsfaktor EI'!AB$1,FALSE),
"")</f>
        <v>19.317742631058362</v>
      </c>
      <c r="AC202" s="18">
        <f>IFERROR(
                  Andel_oberoende_av_klimat*VLOOKUP($A202,Leveranser_per_nät,'Leveranser per nät'!AC$1,FALSE)
               +Andel_beroende_av_klimat*VLOOKUP($A202,Leveranser_per_nät,'Leveranser per nät'!AC$1,FALSE)/VLOOKUP($B202,Korrigeringsfaktor_EI,'Korrigeringsfaktor EI'!AC$1,FALSE),
"")</f>
        <v>19.074904439746298</v>
      </c>
      <c r="AD202">
        <v>18.341999999999999</v>
      </c>
    </row>
    <row r="203" spans="1:30" x14ac:dyDescent="0.25">
      <c r="A203" t="s">
        <v>135</v>
      </c>
      <c r="B203" t="s">
        <v>133</v>
      </c>
      <c r="C203" s="18">
        <f>IFERROR(
                  Andel_oberoende_av_klimat*VLOOKUP($A203,Leveranser_per_nät,'Leveranser per nät'!C$1,FALSE)
               +Andel_beroende_av_klimat*VLOOKUP($A203,Leveranser_per_nät,'Leveranser per nät'!C$1,FALSE)/VLOOKUP($B203,Korrigeringsfaktor_EI,'Korrigeringsfaktor EI'!C$1,FALSE),
"")</f>
        <v>5.5837837837837832</v>
      </c>
      <c r="D203" s="18">
        <f>IFERROR(
                  Andel_oberoende_av_klimat*VLOOKUP($A203,Leveranser_per_nät,'Leveranser per nät'!D$1,FALSE)
               +Andel_beroende_av_klimat*VLOOKUP($A203,Leveranser_per_nät,'Leveranser per nät'!D$1,FALSE)/VLOOKUP($B203,Korrigeringsfaktor_EI,'Korrigeringsfaktor EI'!D$1,FALSE),
"")</f>
        <v>6.1399999999999988</v>
      </c>
      <c r="E203" s="18">
        <f>IFERROR(
                  Andel_oberoende_av_klimat*VLOOKUP($A203,Leveranser_per_nät,'Leveranser per nät'!E$1,FALSE)
               +Andel_beroende_av_klimat*VLOOKUP($A203,Leveranser_per_nät,'Leveranser per nät'!E$1,FALSE)/VLOOKUP($B203,Korrigeringsfaktor_EI,'Korrigeringsfaktor EI'!E$1,FALSE),
"")</f>
        <v>7.7846153846153845</v>
      </c>
      <c r="F203" s="18">
        <f>IFERROR(
                  Andel_oberoende_av_klimat*VLOOKUP($A203,Leveranser_per_nät,'Leveranser per nät'!F$1,FALSE)
               +Andel_beroende_av_klimat*VLOOKUP($A203,Leveranser_per_nät,'Leveranser per nät'!F$1,FALSE)/VLOOKUP($B203,Korrigeringsfaktor_EI,'Korrigeringsfaktor EI'!F$1,FALSE),
"")</f>
        <v>8.2947368421052623</v>
      </c>
      <c r="G203" s="18">
        <f>IFERROR(
                  Andel_oberoende_av_klimat*VLOOKUP($A203,Leveranser_per_nät,'Leveranser per nät'!G$1,FALSE)
               +Andel_beroende_av_klimat*VLOOKUP($A203,Leveranser_per_nät,'Leveranser per nät'!G$1,FALSE)/VLOOKUP($B203,Korrigeringsfaktor_EI,'Korrigeringsfaktor EI'!G$1,FALSE),
"")</f>
        <v>8.6222222222222218</v>
      </c>
      <c r="H203" s="18">
        <f>IFERROR(
                  Andel_oberoende_av_klimat*VLOOKUP($A203,Leveranser_per_nät,'Leveranser per nät'!H$1,FALSE)
               +Andel_beroende_av_klimat*VLOOKUP($A203,Leveranser_per_nät,'Leveranser per nät'!H$1,FALSE)/VLOOKUP($B203,Korrigeringsfaktor_EI,'Korrigeringsfaktor EI'!H$1,FALSE),
"")</f>
        <v>8</v>
      </c>
      <c r="I203" s="18">
        <f>IFERROR(
                  Andel_oberoende_av_klimat*VLOOKUP($A203,Leveranser_per_nät,'Leveranser per nät'!I$1,FALSE)
               +Andel_beroende_av_klimat*VLOOKUP($A203,Leveranser_per_nät,'Leveranser per nät'!I$1,FALSE)/VLOOKUP($B203,Korrigeringsfaktor_EI,'Korrigeringsfaktor EI'!I$1,FALSE),
"")</f>
        <v>8.4977919325122144</v>
      </c>
      <c r="J203" s="18">
        <f>IFERROR(
                  Andel_oberoende_av_klimat*VLOOKUP($A203,Leveranser_per_nät,'Leveranser per nät'!J$1,FALSE)
               +Andel_beroende_av_klimat*VLOOKUP($A203,Leveranser_per_nät,'Leveranser per nät'!J$1,FALSE)/VLOOKUP($B203,Korrigeringsfaktor_EI,'Korrigeringsfaktor EI'!J$1,FALSE),
"")</f>
        <v>8.635435266471946</v>
      </c>
      <c r="K203" s="18">
        <f>IFERROR(
                  Andel_oberoende_av_klimat*VLOOKUP($A203,Leveranser_per_nät,'Leveranser per nät'!K$1,FALSE)
               +Andel_beroende_av_klimat*VLOOKUP($A203,Leveranser_per_nät,'Leveranser per nät'!K$1,FALSE)/VLOOKUP($B203,Korrigeringsfaktor_EI,'Korrigeringsfaktor EI'!K$1,FALSE),
"")</f>
        <v>8.9531528997079199</v>
      </c>
      <c r="L203" s="18">
        <f>IFERROR(
                  Andel_oberoende_av_klimat*VLOOKUP($A203,Leveranser_per_nät,'Leveranser per nät'!L$1,FALSE)
               +Andel_beroende_av_klimat*VLOOKUP($A203,Leveranser_per_nät,'Leveranser per nät'!L$1,FALSE)/VLOOKUP($B203,Korrigeringsfaktor_EI,'Korrigeringsfaktor EI'!L$1,FALSE),
"")</f>
        <v>9.2708705329438921</v>
      </c>
      <c r="M203" s="18">
        <f>IFERROR(
                  Andel_oberoende_av_klimat*VLOOKUP($A203,Leveranser_per_nät,'Leveranser per nät'!M$1,FALSE)
               +Andel_beroende_av_klimat*VLOOKUP($A203,Leveranser_per_nät,'Leveranser per nät'!M$1,FALSE)/VLOOKUP($B203,Korrigeringsfaktor_EI,'Korrigeringsfaktor EI'!M$1,FALSE),
"")</f>
        <v>8.8425806451612914</v>
      </c>
      <c r="N203" s="18">
        <f>IFERROR(
                  Andel_oberoende_av_klimat*VLOOKUP($A203,Leveranser_per_nät,'Leveranser per nät'!N$1,FALSE)
               +Andel_beroende_av_klimat*VLOOKUP($A203,Leveranser_per_nät,'Leveranser per nät'!N$1,FALSE)/VLOOKUP($B203,Korrigeringsfaktor_EI,'Korrigeringsfaktor EI'!N$1,FALSE),
"")</f>
        <v>8.7373118279569901</v>
      </c>
      <c r="O203" s="18">
        <f>IFERROR(
                  Andel_oberoende_av_klimat*VLOOKUP($A203,Leveranser_per_nät,'Leveranser per nät'!O$1,FALSE)
               +Andel_beroende_av_klimat*VLOOKUP($A203,Leveranser_per_nät,'Leveranser per nät'!O$1,FALSE)/VLOOKUP($B203,Korrigeringsfaktor_EI,'Korrigeringsfaktor EI'!O$1,FALSE),
"")</f>
        <v>8.6991304347826066</v>
      </c>
      <c r="P203" s="18">
        <f>IFERROR(
                  Andel_oberoende_av_klimat*VLOOKUP($A203,Leveranser_per_nät,'Leveranser per nät'!P$1,FALSE)
               +Andel_beroende_av_klimat*VLOOKUP($A203,Leveranser_per_nät,'Leveranser per nät'!P$1,FALSE)/VLOOKUP($B203,Korrigeringsfaktor_EI,'Korrigeringsfaktor EI'!P$1,FALSE),
"")</f>
        <v>8.8242857142857147</v>
      </c>
      <c r="Q203" s="18">
        <f>IFERROR(
                  Andel_oberoende_av_klimat*VLOOKUP($A203,Leveranser_per_nät,'Leveranser per nät'!Q$1,FALSE)
               +Andel_beroende_av_klimat*VLOOKUP($A203,Leveranser_per_nät,'Leveranser per nät'!Q$1,FALSE)/VLOOKUP($B203,Korrigeringsfaktor_EI,'Korrigeringsfaktor EI'!Q$1,FALSE),
"")</f>
        <v>8.3756756756756765</v>
      </c>
      <c r="R203" s="18">
        <f>IFERROR(
                  Andel_oberoende_av_klimat*VLOOKUP($A203,Leveranser_per_nät,'Leveranser per nät'!R$1,FALSE)
               +Andel_beroende_av_klimat*VLOOKUP($A203,Leveranser_per_nät,'Leveranser per nät'!R$1,FALSE)/VLOOKUP($B203,Korrigeringsfaktor_EI,'Korrigeringsfaktor EI'!R$1,FALSE),
"")</f>
        <v>8.5420833333333341</v>
      </c>
      <c r="S203" s="18">
        <f>IFERROR(
                  Andel_oberoende_av_klimat*VLOOKUP($A203,Leveranser_per_nät,'Leveranser per nät'!S$1,FALSE)
               +Andel_beroende_av_klimat*VLOOKUP($A203,Leveranser_per_nät,'Leveranser per nät'!S$1,FALSE)/VLOOKUP($B203,Korrigeringsfaktor_EI,'Korrigeringsfaktor EI'!S$1,FALSE),
"")</f>
        <v>8.1860784313725503</v>
      </c>
      <c r="T203" s="18">
        <f>IFERROR(
                  Andel_oberoende_av_klimat*VLOOKUP($A203,Leveranser_per_nät,'Leveranser per nät'!T$1,FALSE)
               +Andel_beroende_av_klimat*VLOOKUP($A203,Leveranser_per_nät,'Leveranser per nät'!T$1,FALSE)/VLOOKUP($B203,Korrigeringsfaktor_EI,'Korrigeringsfaktor EI'!T$1,FALSE),
"")</f>
        <v>8.418571428571429</v>
      </c>
      <c r="U203" s="18">
        <f>IFERROR(
                  Andel_oberoende_av_klimat*VLOOKUP($A203,Leveranser_per_nät,'Leveranser per nät'!U$1,FALSE)
               +Andel_beroende_av_klimat*VLOOKUP($A203,Leveranser_per_nät,'Leveranser per nät'!U$1,FALSE)/VLOOKUP($B203,Korrigeringsfaktor_EI,'Korrigeringsfaktor EI'!U$1,FALSE),
"")</f>
        <v>8.0004301075268813</v>
      </c>
      <c r="V203" s="18">
        <f>IFERROR(
                  Andel_oberoende_av_klimat*VLOOKUP($A203,Leveranser_per_nät,'Leveranser per nät'!V$1,FALSE)
               +Andel_beroende_av_klimat*VLOOKUP($A203,Leveranser_per_nät,'Leveranser per nät'!V$1,FALSE)/VLOOKUP($B203,Korrigeringsfaktor_EI,'Korrigeringsfaktor EI'!V$1,FALSE),
"")</f>
        <v>7.8677777777777775</v>
      </c>
      <c r="W203" s="18">
        <f>IFERROR(
                  Andel_oberoende_av_klimat*VLOOKUP($A203,Leveranser_per_nät,'Leveranser per nät'!W$1,FALSE)
               +Andel_beroende_av_klimat*VLOOKUP($A203,Leveranser_per_nät,'Leveranser per nät'!W$1,FALSE)/VLOOKUP($B203,Korrigeringsfaktor_EI,'Korrigeringsfaktor EI'!W$1,FALSE),
"")</f>
        <v>7.8973505154639181</v>
      </c>
      <c r="X203" s="18">
        <f>IFERROR(
                  Andel_oberoende_av_klimat*VLOOKUP($A203,Leveranser_per_nät,'Leveranser per nät'!X$1,FALSE)
               +Andel_beroende_av_klimat*VLOOKUP($A203,Leveranser_per_nät,'Leveranser per nät'!X$1,FALSE)/VLOOKUP($B203,Korrigeringsfaktor_EI,'Korrigeringsfaktor EI'!X$1,FALSE),
"")</f>
        <v>8.0889285714285712</v>
      </c>
      <c r="Y203" s="18">
        <f>IFERROR(
                  Andel_oberoende_av_klimat*VLOOKUP($A203,Leveranser_per_nät,'Leveranser per nät'!Y$1,FALSE)
               +Andel_beroende_av_klimat*VLOOKUP($A203,Leveranser_per_nät,'Leveranser per nät'!Y$1,FALSE)/VLOOKUP($B203,Korrigeringsfaktor_EI,'Korrigeringsfaktor EI'!Y$1,FALSE),
"")</f>
        <v>7.5841565217391302</v>
      </c>
      <c r="Z203" s="18">
        <f>IFERROR(
                  Andel_oberoende_av_klimat*VLOOKUP($A203,Leveranser_per_nät,'Leveranser per nät'!Z$1,FALSE)
               +Andel_beroende_av_klimat*VLOOKUP($A203,Leveranser_per_nät,'Leveranser per nät'!Z$1,FALSE)/VLOOKUP($B203,Korrigeringsfaktor_EI,'Korrigeringsfaktor EI'!Z$1,FALSE),
"")</f>
        <v>7.0325043478260856</v>
      </c>
      <c r="AA203" s="18">
        <f>IFERROR(
                  Andel_oberoende_av_klimat*VLOOKUP($A203,Leveranser_per_nät,'Leveranser per nät'!AA$1,FALSE)
               +Andel_beroende_av_klimat*VLOOKUP($A203,Leveranser_per_nät,'Leveranser per nät'!AA$1,FALSE)/VLOOKUP($B203,Korrigeringsfaktor_EI,'Korrigeringsfaktor EI'!AA$1,FALSE),
"")</f>
        <v>7.1238887729892948</v>
      </c>
      <c r="AB203" s="18">
        <f>IFERROR(
                  Andel_oberoende_av_klimat*VLOOKUP($A203,Leveranser_per_nät,'Leveranser per nät'!AB$1,FALSE)
               +Andel_beroende_av_klimat*VLOOKUP($A203,Leveranser_per_nät,'Leveranser per nät'!AB$1,FALSE)/VLOOKUP($B203,Korrigeringsfaktor_EI,'Korrigeringsfaktor EI'!AB$1,FALSE),
"")</f>
        <v>7.2400128873239442</v>
      </c>
      <c r="AC203" s="18">
        <f>IFERROR(
                  Andel_oberoende_av_klimat*VLOOKUP($A203,Leveranser_per_nät,'Leveranser per nät'!AC$1,FALSE)
               +Andel_beroende_av_klimat*VLOOKUP($A203,Leveranser_per_nät,'Leveranser per nät'!AC$1,FALSE)/VLOOKUP($B203,Korrigeringsfaktor_EI,'Korrigeringsfaktor EI'!AC$1,FALSE),
"")</f>
        <v>7.4262359325605907</v>
      </c>
      <c r="AD203">
        <v>174.447</v>
      </c>
    </row>
    <row r="204" spans="1:30" x14ac:dyDescent="0.25">
      <c r="A204" t="s">
        <v>788</v>
      </c>
      <c r="B204" t="s">
        <v>448</v>
      </c>
      <c r="C204" s="18">
        <f>IFERROR(
                  Andel_oberoende_av_klimat*VLOOKUP($A204,Leveranser_per_nät,'Leveranser per nät'!C$1,FALSE)
               +Andel_beroende_av_klimat*VLOOKUP($A204,Leveranser_per_nät,'Leveranser per nät'!C$1,FALSE)/VLOOKUP($B204,Korrigeringsfaktor_EI,'Korrigeringsfaktor EI'!C$1,FALSE),
"")</f>
        <v>49.024999999999991</v>
      </c>
      <c r="D204" s="18">
        <f>IFERROR(
                  Andel_oberoende_av_klimat*VLOOKUP($A204,Leveranser_per_nät,'Leveranser per nät'!D$1,FALSE)
               +Andel_beroende_av_klimat*VLOOKUP($A204,Leveranser_per_nät,'Leveranser per nät'!D$1,FALSE)/VLOOKUP($B204,Korrigeringsfaktor_EI,'Korrigeringsfaktor EI'!D$1,FALSE),
"")</f>
        <v>49.921009708737863</v>
      </c>
      <c r="E204" s="18">
        <f>IFERROR(
                  Andel_oberoende_av_klimat*VLOOKUP($A204,Leveranser_per_nät,'Leveranser per nät'!E$1,FALSE)
               +Andel_beroende_av_klimat*VLOOKUP($A204,Leveranser_per_nät,'Leveranser per nät'!E$1,FALSE)/VLOOKUP($B204,Korrigeringsfaktor_EI,'Korrigeringsfaktor EI'!E$1,FALSE),
"")</f>
        <v>54.858252427184468</v>
      </c>
      <c r="F204" s="18">
        <f>IFERROR(
                  Andel_oberoende_av_klimat*VLOOKUP($A204,Leveranser_per_nät,'Leveranser per nät'!F$1,FALSE)
               +Andel_beroende_av_klimat*VLOOKUP($A204,Leveranser_per_nät,'Leveranser per nät'!F$1,FALSE)/VLOOKUP($B204,Korrigeringsfaktor_EI,'Korrigeringsfaktor EI'!F$1,FALSE),
"")</f>
        <v>57.212371134020621</v>
      </c>
      <c r="G204" s="18">
        <f>IFERROR(
                  Andel_oberoende_av_klimat*VLOOKUP($A204,Leveranser_per_nät,'Leveranser per nät'!G$1,FALSE)
               +Andel_beroende_av_klimat*VLOOKUP($A204,Leveranser_per_nät,'Leveranser per nät'!G$1,FALSE)/VLOOKUP($B204,Korrigeringsfaktor_EI,'Korrigeringsfaktor EI'!G$1,FALSE),
"")</f>
        <v>60.469565217391299</v>
      </c>
      <c r="H204" s="18">
        <f>IFERROR(
                  Andel_oberoende_av_klimat*VLOOKUP($A204,Leveranser_per_nät,'Leveranser per nät'!H$1,FALSE)
               +Andel_beroende_av_klimat*VLOOKUP($A204,Leveranser_per_nät,'Leveranser per nät'!H$1,FALSE)/VLOOKUP($B204,Korrigeringsfaktor_EI,'Korrigeringsfaktor EI'!H$1,FALSE),
"")</f>
        <v>59.842857142857142</v>
      </c>
      <c r="I204" s="18">
        <f>IFERROR(
                  Andel_oberoende_av_klimat*VLOOKUP($A204,Leveranser_per_nät,'Leveranser per nät'!I$1,FALSE)
               +Andel_beroende_av_klimat*VLOOKUP($A204,Leveranser_per_nät,'Leveranser per nät'!I$1,FALSE)/VLOOKUP($B204,Korrigeringsfaktor_EI,'Korrigeringsfaktor EI'!I$1,FALSE),
"")</f>
        <v>57.897849462365599</v>
      </c>
      <c r="J204" s="18">
        <f>IFERROR(
                  Andel_oberoende_av_klimat*VLOOKUP($A204,Leveranser_per_nät,'Leveranser per nät'!J$1,FALSE)
               +Andel_beroende_av_klimat*VLOOKUP($A204,Leveranser_per_nät,'Leveranser per nät'!J$1,FALSE)/VLOOKUP($B204,Korrigeringsfaktor_EI,'Korrigeringsfaktor EI'!J$1,FALSE),
"")</f>
        <v>55.223025000000007</v>
      </c>
      <c r="K204" s="18">
        <f>IFERROR(
                  Andel_oberoende_av_klimat*VLOOKUP($A204,Leveranser_per_nät,'Leveranser per nät'!K$1,FALSE)
               +Andel_beroende_av_klimat*VLOOKUP($A204,Leveranser_per_nät,'Leveranser per nät'!K$1,FALSE)/VLOOKUP($B204,Korrigeringsfaktor_EI,'Korrigeringsfaktor EI'!K$1,FALSE),
"")</f>
        <v>55.078145360824735</v>
      </c>
      <c r="L204" s="18">
        <f>IFERROR(
                  Andel_oberoende_av_klimat*VLOOKUP($A204,Leveranser_per_nät,'Leveranser per nät'!L$1,FALSE)
               +Andel_beroende_av_klimat*VLOOKUP($A204,Leveranser_per_nät,'Leveranser per nät'!L$1,FALSE)/VLOOKUP($B204,Korrigeringsfaktor_EI,'Korrigeringsfaktor EI'!L$1,FALSE),
"")</f>
        <v>55.852610526315793</v>
      </c>
      <c r="M204" s="18">
        <f>IFERROR(
                  Andel_oberoende_av_klimat*VLOOKUP($A204,Leveranser_per_nät,'Leveranser per nät'!M$1,FALSE)
               +Andel_beroende_av_klimat*VLOOKUP($A204,Leveranser_per_nät,'Leveranser per nät'!M$1,FALSE)/VLOOKUP($B204,Korrigeringsfaktor_EI,'Korrigeringsfaktor EI'!M$1,FALSE),
"")</f>
        <v>56.589965217391303</v>
      </c>
      <c r="N204" s="18">
        <f>IFERROR(
                  Andel_oberoende_av_klimat*VLOOKUP($A204,Leveranser_per_nät,'Leveranser per nät'!N$1,FALSE)
               +Andel_beroende_av_klimat*VLOOKUP($A204,Leveranser_per_nät,'Leveranser per nät'!N$1,FALSE)/VLOOKUP($B204,Korrigeringsfaktor_EI,'Korrigeringsfaktor EI'!N$1,FALSE),
"")</f>
        <v>57.12222222222222</v>
      </c>
      <c r="O204" s="18">
        <f>IFERROR(
                  Andel_oberoende_av_klimat*VLOOKUP($A204,Leveranser_per_nät,'Leveranser per nät'!O$1,FALSE)
               +Andel_beroende_av_klimat*VLOOKUP($A204,Leveranser_per_nät,'Leveranser per nät'!O$1,FALSE)/VLOOKUP($B204,Korrigeringsfaktor_EI,'Korrigeringsfaktor EI'!O$1,FALSE),
"")</f>
        <v>58.523333333333326</v>
      </c>
      <c r="P204" s="18">
        <f>IFERROR(
                  Andel_oberoende_av_klimat*VLOOKUP($A204,Leveranser_per_nät,'Leveranser per nät'!P$1,FALSE)
               +Andel_beroende_av_klimat*VLOOKUP($A204,Leveranser_per_nät,'Leveranser per nät'!P$1,FALSE)/VLOOKUP($B204,Korrigeringsfaktor_EI,'Korrigeringsfaktor EI'!P$1,FALSE),
"")</f>
        <v>61.740638297872344</v>
      </c>
      <c r="Q204" s="18">
        <f>IFERROR(
                  Andel_oberoende_av_klimat*VLOOKUP($A204,Leveranser_per_nät,'Leveranser per nät'!Q$1,FALSE)
               +Andel_beroende_av_klimat*VLOOKUP($A204,Leveranser_per_nät,'Leveranser per nät'!Q$1,FALSE)/VLOOKUP($B204,Korrigeringsfaktor_EI,'Korrigeringsfaktor EI'!Q$1,FALSE),
"")</f>
        <v>55.416749999999993</v>
      </c>
      <c r="R204" s="18">
        <f>IFERROR(
                  Andel_oberoende_av_klimat*VLOOKUP($A204,Leveranser_per_nät,'Leveranser per nät'!R$1,FALSE)
               +Andel_beroende_av_klimat*VLOOKUP($A204,Leveranser_per_nät,'Leveranser per nät'!R$1,FALSE)/VLOOKUP($B204,Korrigeringsfaktor_EI,'Korrigeringsfaktor EI'!R$1,FALSE),
"")</f>
        <v>64.535666086956525</v>
      </c>
      <c r="S204" s="18">
        <f>IFERROR(
                  Andel_oberoende_av_klimat*VLOOKUP($A204,Leveranser_per_nät,'Leveranser per nät'!S$1,FALSE)
               +Andel_beroende_av_klimat*VLOOKUP($A204,Leveranser_per_nät,'Leveranser per nät'!S$1,FALSE)/VLOOKUP($B204,Korrigeringsfaktor_EI,'Korrigeringsfaktor EI'!S$1,FALSE),
"")</f>
        <v>63</v>
      </c>
      <c r="T204" s="18">
        <f>IFERROR(
                  Andel_oberoende_av_klimat*VLOOKUP($A204,Leveranser_per_nät,'Leveranser per nät'!T$1,FALSE)
               +Andel_beroende_av_klimat*VLOOKUP($A204,Leveranser_per_nät,'Leveranser per nät'!T$1,FALSE)/VLOOKUP($B204,Korrigeringsfaktor_EI,'Korrigeringsfaktor EI'!T$1,FALSE),
"")</f>
        <v>59.919742268041247</v>
      </c>
      <c r="U204" s="18">
        <f>IFERROR(
                  Andel_oberoende_av_klimat*VLOOKUP($A204,Leveranser_per_nät,'Leveranser per nät'!U$1,FALSE)
               +Andel_beroende_av_klimat*VLOOKUP($A204,Leveranser_per_nät,'Leveranser per nät'!U$1,FALSE)/VLOOKUP($B204,Korrigeringsfaktor_EI,'Korrigeringsfaktor EI'!U$1,FALSE),
"")</f>
        <v>55.920465116279075</v>
      </c>
      <c r="V204" s="18">
        <f>IFERROR(
                  Andel_oberoende_av_klimat*VLOOKUP($A204,Leveranser_per_nät,'Leveranser per nät'!V$1,FALSE)
               +Andel_beroende_av_klimat*VLOOKUP($A204,Leveranser_per_nät,'Leveranser per nät'!V$1,FALSE)/VLOOKUP($B204,Korrigeringsfaktor_EI,'Korrigeringsfaktor EI'!V$1,FALSE),
"")</f>
        <v>56.226086956521726</v>
      </c>
      <c r="W204" s="18">
        <f>IFERROR(
                  Andel_oberoende_av_klimat*VLOOKUP($A204,Leveranser_per_nät,'Leveranser per nät'!W$1,FALSE)
               +Andel_beroende_av_klimat*VLOOKUP($A204,Leveranser_per_nät,'Leveranser per nät'!W$1,FALSE)/VLOOKUP($B204,Korrigeringsfaktor_EI,'Korrigeringsfaktor EI'!W$1,FALSE),
"")</f>
        <v>58.502127659574469</v>
      </c>
      <c r="X204" s="18">
        <f>IFERROR(
                  Andel_oberoende_av_klimat*VLOOKUP($A204,Leveranser_per_nät,'Leveranser per nät'!X$1,FALSE)
               +Andel_beroende_av_klimat*VLOOKUP($A204,Leveranser_per_nät,'Leveranser per nät'!X$1,FALSE)/VLOOKUP($B204,Korrigeringsfaktor_EI,'Korrigeringsfaktor EI'!X$1,FALSE),
"")</f>
        <v>57.897849462365599</v>
      </c>
      <c r="Y204" s="18">
        <f>IFERROR(
                  Andel_oberoende_av_klimat*VLOOKUP($A204,Leveranser_per_nät,'Leveranser per nät'!Y$1,FALSE)
               +Andel_beroende_av_klimat*VLOOKUP($A204,Leveranser_per_nät,'Leveranser per nät'!Y$1,FALSE)/VLOOKUP($B204,Korrigeringsfaktor_EI,'Korrigeringsfaktor EI'!Y$1,FALSE),
"")</f>
        <v>58.543678160919541</v>
      </c>
      <c r="Z204" s="18">
        <f>IFERROR(
                  Andel_oberoende_av_klimat*VLOOKUP($A204,Leveranser_per_nät,'Leveranser per nät'!Z$1,FALSE)
               +Andel_beroende_av_klimat*VLOOKUP($A204,Leveranser_per_nät,'Leveranser per nät'!Z$1,FALSE)/VLOOKUP($B204,Korrigeringsfaktor_EI,'Korrigeringsfaktor EI'!Z$1,FALSE),
"")</f>
        <v>57.800000000000004</v>
      </c>
      <c r="AA204" s="18">
        <f>IFERROR(
                  Andel_oberoende_av_klimat*VLOOKUP($A204,Leveranser_per_nät,'Leveranser per nät'!AA$1,FALSE)
               +Andel_beroende_av_klimat*VLOOKUP($A204,Leveranser_per_nät,'Leveranser per nät'!AA$1,FALSE)/VLOOKUP($B204,Korrigeringsfaktor_EI,'Korrigeringsfaktor EI'!AA$1,FALSE),
"")</f>
        <v>56.670844010416666</v>
      </c>
      <c r="AB204" s="18">
        <f>IFERROR(
                  Andel_oberoende_av_klimat*VLOOKUP($A204,Leveranser_per_nät,'Leveranser per nät'!AB$1,FALSE)
               +Andel_beroende_av_klimat*VLOOKUP($A204,Leveranser_per_nät,'Leveranser per nät'!AB$1,FALSE)/VLOOKUP($B204,Korrigeringsfaktor_EI,'Korrigeringsfaktor EI'!AB$1,FALSE),
"")</f>
        <v>55.762124875621893</v>
      </c>
      <c r="AC204" s="18">
        <f>IFERROR(
                  Andel_oberoende_av_klimat*VLOOKUP($A204,Leveranser_per_nät,'Leveranser per nät'!AC$1,FALSE)
               +Andel_beroende_av_klimat*VLOOKUP($A204,Leveranser_per_nät,'Leveranser per nät'!AC$1,FALSE)/VLOOKUP($B204,Korrigeringsfaktor_EI,'Korrigeringsfaktor EI'!AC$1,FALSE),
"")</f>
        <v>54.506702564102568</v>
      </c>
      <c r="AD204" t="e">
        <v>#N/A</v>
      </c>
    </row>
    <row r="205" spans="1:30" x14ac:dyDescent="0.25">
      <c r="A205" t="s">
        <v>341</v>
      </c>
      <c r="B205" t="s">
        <v>341</v>
      </c>
      <c r="C205" s="18">
        <f>IFERROR(
                  Andel_oberoende_av_klimat*VLOOKUP($A205,Leveranser_per_nät,'Leveranser per nät'!C$1,FALSE)
               +Andel_beroende_av_klimat*VLOOKUP($A205,Leveranser_per_nät,'Leveranser per nät'!C$1,FALSE)/VLOOKUP("Uppsala",Korrigeringsfaktor_EI,'Korrigeringsfaktor EI'!C$1,FALSE),
"")</f>
        <v>0</v>
      </c>
      <c r="D205" s="18">
        <f>IFERROR(
                  Andel_oberoende_av_klimat*VLOOKUP($A205,Leveranser_per_nät,'Leveranser per nät'!D$1,FALSE)
               +Andel_beroende_av_klimat*VLOOKUP($A205,Leveranser_per_nät,'Leveranser per nät'!D$1,FALSE)/VLOOKUP("Uppsala",Korrigeringsfaktor_EI,'Korrigeringsfaktor EI'!D$1,FALSE),
"")</f>
        <v>0</v>
      </c>
      <c r="E205" s="18">
        <f>IFERROR(
                  Andel_oberoende_av_klimat*VLOOKUP($A205,Leveranser_per_nät,'Leveranser per nät'!E$1,FALSE)
               +Andel_beroende_av_klimat*VLOOKUP($A205,Leveranser_per_nät,'Leveranser per nät'!E$1,FALSE)/VLOOKUP("Uppsala",Korrigeringsfaktor_EI,'Korrigeringsfaktor EI'!E$1,FALSE),
"")</f>
        <v>59.756310679611651</v>
      </c>
      <c r="F205" s="18">
        <f>IFERROR(
                  Andel_oberoende_av_klimat*VLOOKUP($A205,Leveranser_per_nät,'Leveranser per nät'!F$1,FALSE)
               +Andel_beroende_av_klimat*VLOOKUP($A205,Leveranser_per_nät,'Leveranser per nät'!F$1,FALSE)/VLOOKUP("Uppsala",Korrigeringsfaktor_EI,'Korrigeringsfaktor EI'!F$1,FALSE),
"")</f>
        <v>63.247368421052634</v>
      </c>
      <c r="G205" s="18">
        <f>IFERROR(
                  Andel_oberoende_av_klimat*VLOOKUP($A205,Leveranser_per_nät,'Leveranser per nät'!G$1,FALSE)
               +Andel_beroende_av_klimat*VLOOKUP($A205,Leveranser_per_nät,'Leveranser per nät'!G$1,FALSE)/VLOOKUP("Uppsala",Korrigeringsfaktor_EI,'Korrigeringsfaktor EI'!G$1,FALSE),
"")</f>
        <v>65.025925925925932</v>
      </c>
      <c r="H205" s="18">
        <f>IFERROR(
                  Andel_oberoende_av_klimat*VLOOKUP($A205,Leveranser_per_nät,'Leveranser per nät'!H$1,FALSE)
               +Andel_beroende_av_klimat*VLOOKUP($A205,Leveranser_per_nät,'Leveranser per nät'!H$1,FALSE)/VLOOKUP("Uppsala",Korrigeringsfaktor_EI,'Korrigeringsfaktor EI'!H$1,FALSE),
"")</f>
        <v>60.519047619047626</v>
      </c>
      <c r="I205" s="18">
        <f>IFERROR(
                  Andel_oberoende_av_klimat*VLOOKUP($A205,Leveranser_per_nät,'Leveranser per nät'!I$1,FALSE)
               +Andel_beroende_av_klimat*VLOOKUP($A205,Leveranser_per_nät,'Leveranser per nät'!I$1,FALSE)/VLOOKUP("Uppsala",Korrigeringsfaktor_EI,'Korrigeringsfaktor EI'!I$1,FALSE),
"")</f>
        <v>60.720833333333331</v>
      </c>
      <c r="J205" s="18">
        <f>IFERROR(
                  Andel_oberoende_av_klimat*VLOOKUP($A205,Leveranser_per_nät,'Leveranser per nät'!J$1,FALSE)
               +Andel_beroende_av_klimat*VLOOKUP($A205,Leveranser_per_nät,'Leveranser per nät'!J$1,FALSE)/VLOOKUP("Uppsala",Korrigeringsfaktor_EI,'Korrigeringsfaktor EI'!J$1,FALSE),
"")</f>
        <v>48.385485714285721</v>
      </c>
      <c r="K205" s="18">
        <f>IFERROR(
                  Andel_oberoende_av_klimat*VLOOKUP($A205,Leveranser_per_nät,'Leveranser per nät'!K$1,FALSE)
               +Andel_beroende_av_klimat*VLOOKUP($A205,Leveranser_per_nät,'Leveranser per nät'!K$1,FALSE)/VLOOKUP("Uppsala",Korrigeringsfaktor_EI,'Korrigeringsfaktor EI'!K$1,FALSE),
"")</f>
        <v>50.642968034462129</v>
      </c>
      <c r="L205" s="18">
        <f>IFERROR(
                  Andel_oberoende_av_klimat*VLOOKUP($A205,Leveranser_per_nät,'Leveranser per nät'!L$1,FALSE)
               +Andel_beroende_av_klimat*VLOOKUP($A205,Leveranser_per_nät,'Leveranser per nät'!L$1,FALSE)/VLOOKUP("Uppsala",Korrigeringsfaktor_EI,'Korrigeringsfaktor EI'!L$1,FALSE),
"")</f>
        <v>51.396063315658651</v>
      </c>
      <c r="M205" s="18">
        <f>IFERROR(
                  Andel_oberoende_av_klimat*VLOOKUP($A205,Leveranser_per_nät,'Leveranser per nät'!M$1,FALSE)
               +Andel_beroende_av_klimat*VLOOKUP($A205,Leveranser_per_nät,'Leveranser per nät'!M$1,FALSE)/VLOOKUP("Uppsala",Korrigeringsfaktor_EI,'Korrigeringsfaktor EI'!M$1,FALSE),
"")</f>
        <v>53.170707692307687</v>
      </c>
      <c r="N205" s="18">
        <f>IFERROR(
                  Andel_oberoende_av_klimat*VLOOKUP($A205,Leveranser_per_nät,'Leveranser per nät'!N$1,FALSE)
               +Andel_beroende_av_klimat*VLOOKUP($A205,Leveranser_per_nät,'Leveranser per nät'!N$1,FALSE)/VLOOKUP("Uppsala",Korrigeringsfaktor_EI,'Korrigeringsfaktor EI'!N$1,FALSE),
"")</f>
        <v>45.829565217391306</v>
      </c>
      <c r="O205" s="18">
        <f>IFERROR(
                  Andel_oberoende_av_klimat*VLOOKUP($A205,Leveranser_per_nät,'Leveranser per nät'!O$1,FALSE)
               +Andel_beroende_av_klimat*VLOOKUP($A205,Leveranser_per_nät,'Leveranser per nät'!O$1,FALSE)/VLOOKUP("Uppsala",Korrigeringsfaktor_EI,'Korrigeringsfaktor EI'!O$1,FALSE),
"")</f>
        <v>46.236666666666665</v>
      </c>
      <c r="P205" s="18">
        <f>IFERROR(
                  Andel_oberoende_av_klimat*VLOOKUP($A205,Leveranser_per_nät,'Leveranser per nät'!P$1,FALSE)
               +Andel_beroende_av_klimat*VLOOKUP($A205,Leveranser_per_nät,'Leveranser per nät'!P$1,FALSE)/VLOOKUP("Uppsala",Korrigeringsfaktor_EI,'Korrigeringsfaktor EI'!P$1,FALSE),
"")</f>
        <v>45.744285714285716</v>
      </c>
      <c r="Q205" s="18">
        <f>IFERROR(
                  Andel_oberoende_av_klimat*VLOOKUP($A205,Leveranser_per_nät,'Leveranser per nät'!Q$1,FALSE)
               +Andel_beroende_av_klimat*VLOOKUP($A205,Leveranser_per_nät,'Leveranser per nät'!Q$1,FALSE)/VLOOKUP("Uppsala",Korrigeringsfaktor_EI,'Korrigeringsfaktor EI'!Q$1,FALSE),
"")</f>
        <v>45.701754385964918</v>
      </c>
      <c r="R205" s="18">
        <f>IFERROR(
                  Andel_oberoende_av_klimat*VLOOKUP($A205,Leveranser_per_nät,'Leveranser per nät'!R$1,FALSE)
               +Andel_beroende_av_klimat*VLOOKUP($A205,Leveranser_per_nät,'Leveranser per nät'!R$1,FALSE)/VLOOKUP("Uppsala",Korrigeringsfaktor_EI,'Korrigeringsfaktor EI'!R$1,FALSE),
"")</f>
        <v>46.678260869565214</v>
      </c>
      <c r="S205" s="18">
        <f>IFERROR(
                  Andel_oberoende_av_klimat*VLOOKUP($A205,Leveranser_per_nät,'Leveranser per nät'!S$1,FALSE)
               +Andel_beroende_av_klimat*VLOOKUP($A205,Leveranser_per_nät,'Leveranser per nät'!S$1,FALSE)/VLOOKUP("Uppsala",Korrigeringsfaktor_EI,'Korrigeringsfaktor EI'!S$1,FALSE),
"")</f>
        <v>46.674257425742574</v>
      </c>
      <c r="T205" s="18">
        <f>IFERROR(
                  Andel_oberoende_av_klimat*VLOOKUP($A205,Leveranser_per_nät,'Leveranser per nät'!T$1,FALSE)
               +Andel_beroende_av_klimat*VLOOKUP($A205,Leveranser_per_nät,'Leveranser per nät'!T$1,FALSE)/VLOOKUP("Uppsala",Korrigeringsfaktor_EI,'Korrigeringsfaktor EI'!T$1,FALSE),
"")</f>
        <v>46.827083333333334</v>
      </c>
      <c r="U205" s="18">
        <f>IFERROR(
                  Andel_oberoende_av_klimat*VLOOKUP($A205,Leveranser_per_nät,'Leveranser per nät'!U$1,FALSE)
               +Andel_beroende_av_klimat*VLOOKUP($A205,Leveranser_per_nät,'Leveranser per nät'!U$1,FALSE)/VLOOKUP("Uppsala",Korrigeringsfaktor_EI,'Korrigeringsfaktor EI'!U$1,FALSE),
"")</f>
        <v>47.745555555555548</v>
      </c>
      <c r="V205" s="18">
        <f>IFERROR(
                  Andel_oberoende_av_klimat*VLOOKUP($A205,Leveranser_per_nät,'Leveranser per nät'!V$1,FALSE)
               +Andel_beroende_av_klimat*VLOOKUP($A205,Leveranser_per_nät,'Leveranser per nät'!V$1,FALSE)/VLOOKUP("Uppsala",Korrigeringsfaktor_EI,'Korrigeringsfaktor EI'!V$1,FALSE),
"")</f>
        <v>49.327865168539319</v>
      </c>
      <c r="W205" s="18">
        <f>IFERROR(
                  Andel_oberoende_av_klimat*VLOOKUP($A205,Leveranser_per_nät,'Leveranser per nät'!W$1,FALSE)
               +Andel_beroende_av_klimat*VLOOKUP($A205,Leveranser_per_nät,'Leveranser per nät'!W$1,FALSE)/VLOOKUP("Uppsala",Korrigeringsfaktor_EI,'Korrigeringsfaktor EI'!W$1,FALSE),
"")</f>
        <v>50.416297872340422</v>
      </c>
      <c r="X205" s="18">
        <f>IFERROR(
                  Andel_oberoende_av_klimat*VLOOKUP($A205,Leveranser_per_nät,'Leveranser per nät'!X$1,FALSE)
               +Andel_beroende_av_klimat*VLOOKUP($A205,Leveranser_per_nät,'Leveranser per nät'!X$1,FALSE)/VLOOKUP("Uppsala",Korrigeringsfaktor_EI,'Korrigeringsfaktor EI'!X$1,FALSE),
"")</f>
        <v>50.144680851063825</v>
      </c>
      <c r="Y205" s="18">
        <f>IFERROR(
                  Andel_oberoende_av_klimat*VLOOKUP($A205,Leveranser_per_nät,'Leveranser per nät'!Y$1,FALSE)
               +Andel_beroende_av_klimat*VLOOKUP($A205,Leveranser_per_nät,'Leveranser per nät'!Y$1,FALSE)/VLOOKUP($B205,Korrigeringsfaktor_EI,'Korrigeringsfaktor EI'!Y$1,FALSE),
"")</f>
        <v>51.237538461538463</v>
      </c>
      <c r="Z205" s="18">
        <f>IFERROR(
                  Andel_oberoende_av_klimat*VLOOKUP($A205,Leveranser_per_nät,'Leveranser per nät'!Z$1,FALSE)
               +Andel_beroende_av_klimat*VLOOKUP($A205,Leveranser_per_nät,'Leveranser per nät'!Z$1,FALSE)/VLOOKUP($B205,Korrigeringsfaktor_EI,'Korrigeringsfaktor EI'!Z$1,FALSE),
"")</f>
        <v>50.06243478260869</v>
      </c>
      <c r="AA205" s="18">
        <f>IFERROR(
                  Andel_oberoende_av_klimat*VLOOKUP($A205,Leveranser_per_nät,'Leveranser per nät'!AA$1,FALSE)
               +Andel_beroende_av_klimat*VLOOKUP($A205,Leveranser_per_nät,'Leveranser per nät'!AA$1,FALSE)/VLOOKUP($B205,Korrigeringsfaktor_EI,'Korrigeringsfaktor EI'!AA$1,FALSE),
"")</f>
        <v>55.89875684128225</v>
      </c>
      <c r="AB205" s="18">
        <f>IFERROR(
                  Andel_oberoende_av_klimat*VLOOKUP($A205,Leveranser_per_nät,'Leveranser per nät'!AB$1,FALSE)
               +Andel_beroende_av_klimat*VLOOKUP($A205,Leveranser_per_nät,'Leveranser per nät'!AB$1,FALSE)/VLOOKUP($B205,Korrigeringsfaktor_EI,'Korrigeringsfaktor EI'!AB$1,FALSE),
"")</f>
        <v>50.459001929961083</v>
      </c>
      <c r="AC205" s="18">
        <f>IFERROR(
                  Andel_oberoende_av_klimat*VLOOKUP($A205,Leveranser_per_nät,'Leveranser per nät'!AC$1,FALSE)
               +Andel_beroende_av_klimat*VLOOKUP($A205,Leveranser_per_nät,'Leveranser per nät'!AC$1,FALSE)/VLOOKUP($B205,Korrigeringsfaktor_EI,'Korrigeringsfaktor EI'!AC$1,FALSE),
"")</f>
        <v>55.810555659793813</v>
      </c>
      <c r="AD205" t="e">
        <v>#N/A</v>
      </c>
    </row>
    <row r="206" spans="1:30" x14ac:dyDescent="0.25">
      <c r="A206" t="s">
        <v>402</v>
      </c>
      <c r="B206" t="s">
        <v>207</v>
      </c>
      <c r="C206" s="18">
        <f>IFERROR(
                  Andel_oberoende_av_klimat*VLOOKUP($A206,Leveranser_per_nät,'Leveranser per nät'!C$1,FALSE)
               +Andel_beroende_av_klimat*VLOOKUP($A206,Leveranser_per_nät,'Leveranser per nät'!C$1,FALSE)/VLOOKUP($B206,Korrigeringsfaktor_EI,'Korrigeringsfaktor EI'!C$1,FALSE),
"")</f>
        <v>7.5851851851851846</v>
      </c>
      <c r="D206" s="18">
        <f>IFERROR(
                  Andel_oberoende_av_klimat*VLOOKUP($A206,Leveranser_per_nät,'Leveranser per nät'!D$1,FALSE)
               +Andel_beroende_av_klimat*VLOOKUP($A206,Leveranser_per_nät,'Leveranser per nät'!D$1,FALSE)/VLOOKUP($B206,Korrigeringsfaktor_EI,'Korrigeringsfaktor EI'!D$1,FALSE),
"")</f>
        <v>7.7592857142857135</v>
      </c>
      <c r="E206" s="18">
        <f>IFERROR(
                  Andel_oberoende_av_klimat*VLOOKUP($A206,Leveranser_per_nät,'Leveranser per nät'!E$1,FALSE)
               +Andel_beroende_av_klimat*VLOOKUP($A206,Leveranser_per_nät,'Leveranser per nät'!E$1,FALSE)/VLOOKUP($B206,Korrigeringsfaktor_EI,'Korrigeringsfaktor EI'!E$1,FALSE),
"")</f>
        <v>7.8368932038834949</v>
      </c>
      <c r="F206" s="18">
        <f>IFERROR(
                  Andel_oberoende_av_klimat*VLOOKUP($A206,Leveranser_per_nät,'Leveranser per nät'!F$1,FALSE)
               +Andel_beroende_av_klimat*VLOOKUP($A206,Leveranser_per_nät,'Leveranser per nät'!F$1,FALSE)/VLOOKUP($B206,Korrigeringsfaktor_EI,'Korrigeringsfaktor EI'!F$1,FALSE),
"")</f>
        <v>7.2578947368421058</v>
      </c>
      <c r="G206" s="18">
        <f>IFERROR(
                  Andel_oberoende_av_klimat*VLOOKUP($A206,Leveranser_per_nät,'Leveranser per nät'!G$1,FALSE)
               +Andel_beroende_av_klimat*VLOOKUP($A206,Leveranser_per_nät,'Leveranser per nät'!G$1,FALSE)/VLOOKUP($B206,Korrigeringsfaktor_EI,'Korrigeringsfaktor EI'!G$1,FALSE),
"")</f>
        <v>6.5191011235955045</v>
      </c>
      <c r="H206" s="18">
        <f>IFERROR(
                  Andel_oberoende_av_klimat*VLOOKUP($A206,Leveranser_per_nät,'Leveranser per nät'!H$1,FALSE)
               +Andel_beroende_av_klimat*VLOOKUP($A206,Leveranser_per_nät,'Leveranser per nät'!H$1,FALSE)/VLOOKUP($B206,Korrigeringsfaktor_EI,'Korrigeringsfaktor EI'!H$1,FALSE),
"")</f>
        <v>7.0494949494949495</v>
      </c>
      <c r="I206" s="18">
        <f>IFERROR(
                  Andel_oberoende_av_klimat*VLOOKUP($A206,Leveranser_per_nät,'Leveranser per nät'!I$1,FALSE)
               +Andel_beroende_av_klimat*VLOOKUP($A206,Leveranser_per_nät,'Leveranser per nät'!I$1,FALSE)/VLOOKUP($B206,Korrigeringsfaktor_EI,'Korrigeringsfaktor EI'!I$1,FALSE),
"")</f>
        <v>7.2041666666666666</v>
      </c>
      <c r="J206" s="18">
        <f>IFERROR(
                  Andel_oberoende_av_klimat*VLOOKUP($A206,Leveranser_per_nät,'Leveranser per nät'!J$1,FALSE)
               +Andel_beroende_av_klimat*VLOOKUP($A206,Leveranser_per_nät,'Leveranser per nät'!J$1,FALSE)/VLOOKUP($B206,Korrigeringsfaktor_EI,'Korrigeringsfaktor EI'!J$1,FALSE),
"")</f>
        <v>7.1</v>
      </c>
      <c r="K206" s="18">
        <f>IFERROR(
                  Andel_oberoende_av_klimat*VLOOKUP($A206,Leveranser_per_nät,'Leveranser per nät'!K$1,FALSE)
               +Andel_beroende_av_klimat*VLOOKUP($A206,Leveranser_per_nät,'Leveranser per nät'!K$1,FALSE)/VLOOKUP($B206,Korrigeringsfaktor_EI,'Korrigeringsfaktor EI'!K$1,FALSE),
"")</f>
        <v>0</v>
      </c>
      <c r="L206" s="18">
        <f>IFERROR(
                  Andel_oberoende_av_klimat*VLOOKUP($A206,Leveranser_per_nät,'Leveranser per nät'!L$1,FALSE)
               +Andel_beroende_av_klimat*VLOOKUP($A206,Leveranser_per_nät,'Leveranser per nät'!L$1,FALSE)/VLOOKUP($B206,Korrigeringsfaktor_EI,'Korrigeringsfaktor EI'!L$1,FALSE),
"")</f>
        <v>0</v>
      </c>
      <c r="M206" s="18">
        <f>IFERROR(
                  Andel_oberoende_av_klimat*VLOOKUP($A206,Leveranser_per_nät,'Leveranser per nät'!M$1,FALSE)
               +Andel_beroende_av_klimat*VLOOKUP($A206,Leveranser_per_nät,'Leveranser per nät'!M$1,FALSE)/VLOOKUP($B206,Korrigeringsfaktor_EI,'Korrigeringsfaktor EI'!M$1,FALSE),
"")</f>
        <v>0</v>
      </c>
      <c r="N206" s="18">
        <f>IFERROR(
                  Andel_oberoende_av_klimat*VLOOKUP($A206,Leveranser_per_nät,'Leveranser per nät'!N$1,FALSE)
               +Andel_beroende_av_klimat*VLOOKUP($A206,Leveranser_per_nät,'Leveranser per nät'!N$1,FALSE)/VLOOKUP($B206,Korrigeringsfaktor_EI,'Korrigeringsfaktor EI'!N$1,FALSE),
"")</f>
        <v>0</v>
      </c>
      <c r="O206" s="18">
        <f>IFERROR(
                  Andel_oberoende_av_klimat*VLOOKUP($A206,Leveranser_per_nät,'Leveranser per nät'!O$1,FALSE)
               +Andel_beroende_av_klimat*VLOOKUP($A206,Leveranser_per_nät,'Leveranser per nät'!O$1,FALSE)/VLOOKUP($B206,Korrigeringsfaktor_EI,'Korrigeringsfaktor EI'!O$1,FALSE),
"")</f>
        <v>0</v>
      </c>
      <c r="P206" s="18">
        <f>IFERROR(
                  Andel_oberoende_av_klimat*VLOOKUP($A206,Leveranser_per_nät,'Leveranser per nät'!P$1,FALSE)
               +Andel_beroende_av_klimat*VLOOKUP($A206,Leveranser_per_nät,'Leveranser per nät'!P$1,FALSE)/VLOOKUP($B206,Korrigeringsfaktor_EI,'Korrigeringsfaktor EI'!P$1,FALSE),
"")</f>
        <v>0</v>
      </c>
      <c r="Q206" s="18">
        <f>IFERROR(
                  Andel_oberoende_av_klimat*VLOOKUP($A206,Leveranser_per_nät,'Leveranser per nät'!Q$1,FALSE)
               +Andel_beroende_av_klimat*VLOOKUP($A206,Leveranser_per_nät,'Leveranser per nät'!Q$1,FALSE)/VLOOKUP($B206,Korrigeringsfaktor_EI,'Korrigeringsfaktor EI'!Q$1,FALSE),
"")</f>
        <v>0</v>
      </c>
      <c r="R206" s="18">
        <f>IFERROR(
                  Andel_oberoende_av_klimat*VLOOKUP($A206,Leveranser_per_nät,'Leveranser per nät'!R$1,FALSE)
               +Andel_beroende_av_klimat*VLOOKUP($A206,Leveranser_per_nät,'Leveranser per nät'!R$1,FALSE)/VLOOKUP($B206,Korrigeringsfaktor_EI,'Korrigeringsfaktor EI'!R$1,FALSE),
"")</f>
        <v>0</v>
      </c>
      <c r="S206" s="18" t="str">
        <f>IFERROR(
                  Andel_oberoende_av_klimat*VLOOKUP($A206,Leveranser_per_nät,'Leveranser per nät'!S$1,FALSE)
               +Andel_beroende_av_klimat*VLOOKUP($A206,Leveranser_per_nät,'Leveranser per nät'!S$1,FALSE)/VLOOKUP($B206,Korrigeringsfaktor_EI,'Korrigeringsfaktor EI'!S$1,FALSE),
"")</f>
        <v/>
      </c>
      <c r="T206" s="18" t="str">
        <f>IFERROR(
                  Andel_oberoende_av_klimat*VLOOKUP($A206,Leveranser_per_nät,'Leveranser per nät'!T$1,FALSE)
               +Andel_beroende_av_klimat*VLOOKUP($A206,Leveranser_per_nät,'Leveranser per nät'!T$1,FALSE)/VLOOKUP($B206,Korrigeringsfaktor_EI,'Korrigeringsfaktor EI'!T$1,FALSE),
"")</f>
        <v/>
      </c>
      <c r="U206" s="18" t="str">
        <f>IFERROR(
                  Andel_oberoende_av_klimat*VLOOKUP($A206,Leveranser_per_nät,'Leveranser per nät'!U$1,FALSE)
               +Andel_beroende_av_klimat*VLOOKUP($A206,Leveranser_per_nät,'Leveranser per nät'!U$1,FALSE)/VLOOKUP($B206,Korrigeringsfaktor_EI,'Korrigeringsfaktor EI'!U$1,FALSE),
"")</f>
        <v/>
      </c>
      <c r="V206" s="18" t="str">
        <f>IFERROR(
                  Andel_oberoende_av_klimat*VLOOKUP($A206,Leveranser_per_nät,'Leveranser per nät'!V$1,FALSE)
               +Andel_beroende_av_klimat*VLOOKUP($A206,Leveranser_per_nät,'Leveranser per nät'!V$1,FALSE)/VLOOKUP($B206,Korrigeringsfaktor_EI,'Korrigeringsfaktor EI'!V$1,FALSE),
"")</f>
        <v/>
      </c>
      <c r="W206" s="18" t="str">
        <f>IFERROR(
                  Andel_oberoende_av_klimat*VLOOKUP($A206,Leveranser_per_nät,'Leveranser per nät'!W$1,FALSE)
               +Andel_beroende_av_klimat*VLOOKUP($A206,Leveranser_per_nät,'Leveranser per nät'!W$1,FALSE)/VLOOKUP($B206,Korrigeringsfaktor_EI,'Korrigeringsfaktor EI'!W$1,FALSE),
"")</f>
        <v/>
      </c>
      <c r="X206" s="18" t="str">
        <f>IFERROR(
                  Andel_oberoende_av_klimat*VLOOKUP($A206,Leveranser_per_nät,'Leveranser per nät'!X$1,FALSE)
               +Andel_beroende_av_klimat*VLOOKUP($A206,Leveranser_per_nät,'Leveranser per nät'!X$1,FALSE)/VLOOKUP($B206,Korrigeringsfaktor_EI,'Korrigeringsfaktor EI'!X$1,FALSE),
"")</f>
        <v/>
      </c>
      <c r="Y206" s="18" t="str">
        <f>IFERROR(
                  Andel_oberoende_av_klimat*VLOOKUP($A206,Leveranser_per_nät,'Leveranser per nät'!Y$1,FALSE)
               +Andel_beroende_av_klimat*VLOOKUP($A206,Leveranser_per_nät,'Leveranser per nät'!Y$1,FALSE)/VLOOKUP($B206,Korrigeringsfaktor_EI,'Korrigeringsfaktor EI'!Y$1,FALSE),
"")</f>
        <v/>
      </c>
      <c r="Z206" s="18">
        <f>IFERROR(
                  Andel_oberoende_av_klimat*VLOOKUP($A206,Leveranser_per_nät,'Leveranser per nät'!Z$1,FALSE)
               +Andel_beroende_av_klimat*VLOOKUP($A206,Leveranser_per_nät,'Leveranser per nät'!Z$1,FALSE)/VLOOKUP($B206,Korrigeringsfaktor_EI,'Korrigeringsfaktor EI'!Z$1,FALSE),
"")</f>
        <v>0</v>
      </c>
      <c r="AA206" s="18" t="str">
        <f>IFERROR(
                  Andel_oberoende_av_klimat*VLOOKUP($A206,Leveranser_per_nät,'Leveranser per nät'!AA$1,FALSE)
               +Andel_beroende_av_klimat*VLOOKUP($A206,Leveranser_per_nät,'Leveranser per nät'!AA$1,FALSE)/VLOOKUP($B206,Korrigeringsfaktor_EI,'Korrigeringsfaktor EI'!AA$1,FALSE),
"")</f>
        <v/>
      </c>
      <c r="AB206" s="18">
        <f>IFERROR(
                  Andel_oberoende_av_klimat*VLOOKUP($A206,Leveranser_per_nät,'Leveranser per nät'!AB$1,FALSE)
               +Andel_beroende_av_klimat*VLOOKUP($A206,Leveranser_per_nät,'Leveranser per nät'!AB$1,FALSE)/VLOOKUP($B206,Korrigeringsfaktor_EI,'Korrigeringsfaktor EI'!AB$1,FALSE),
"")</f>
        <v>0</v>
      </c>
      <c r="AC206" s="18">
        <f>IFERROR(
                  Andel_oberoende_av_klimat*VLOOKUP($A206,Leveranser_per_nät,'Leveranser per nät'!AC$1,FALSE)
               +Andel_beroende_av_klimat*VLOOKUP($A206,Leveranser_per_nät,'Leveranser per nät'!AC$1,FALSE)/VLOOKUP($B206,Korrigeringsfaktor_EI,'Korrigeringsfaktor EI'!AC$1,FALSE),
"")</f>
        <v>0</v>
      </c>
      <c r="AD206">
        <v>1373.4</v>
      </c>
    </row>
    <row r="207" spans="1:30" x14ac:dyDescent="0.25">
      <c r="A207" t="s">
        <v>175</v>
      </c>
      <c r="B207" t="s">
        <v>174</v>
      </c>
      <c r="C207" s="18">
        <f>IFERROR(
                  Andel_oberoende_av_klimat*VLOOKUP($A207,Leveranser_per_nät,'Leveranser per nät'!C$1,FALSE)
               +Andel_beroende_av_klimat*VLOOKUP($A207,Leveranser_per_nät,'Leveranser per nät'!C$1,FALSE)/VLOOKUP($B207,Korrigeringsfaktor_EI,'Korrigeringsfaktor EI'!C$1,FALSE),
"")</f>
        <v>0</v>
      </c>
      <c r="D207" s="18">
        <f>IFERROR(
                  Andel_oberoende_av_klimat*VLOOKUP($A207,Leveranser_per_nät,'Leveranser per nät'!D$1,FALSE)
               +Andel_beroende_av_klimat*VLOOKUP($A207,Leveranser_per_nät,'Leveranser per nät'!D$1,FALSE)/VLOOKUP($B207,Korrigeringsfaktor_EI,'Korrigeringsfaktor EI'!D$1,FALSE),
"")</f>
        <v>0</v>
      </c>
      <c r="E207" s="18">
        <f>IFERROR(
                  Andel_oberoende_av_klimat*VLOOKUP($A207,Leveranser_per_nät,'Leveranser per nät'!E$1,FALSE)
               +Andel_beroende_av_klimat*VLOOKUP($A207,Leveranser_per_nät,'Leveranser per nät'!E$1,FALSE)/VLOOKUP($B207,Korrigeringsfaktor_EI,'Korrigeringsfaktor EI'!E$1,FALSE),
"")</f>
        <v>1.9461538461538461</v>
      </c>
      <c r="F207" s="18">
        <f>IFERROR(
                  Andel_oberoende_av_klimat*VLOOKUP($A207,Leveranser_per_nät,'Leveranser per nät'!F$1,FALSE)
               +Andel_beroende_av_klimat*VLOOKUP($A207,Leveranser_per_nät,'Leveranser per nät'!F$1,FALSE)/VLOOKUP($B207,Korrigeringsfaktor_EI,'Korrigeringsfaktor EI'!F$1,FALSE),
"")</f>
        <v>11.238144329896908</v>
      </c>
      <c r="G207" s="18">
        <f>IFERROR(
                  Andel_oberoende_av_klimat*VLOOKUP($A207,Leveranser_per_nät,'Leveranser per nät'!G$1,FALSE)
               +Andel_beroende_av_klimat*VLOOKUP($A207,Leveranser_per_nät,'Leveranser per nät'!G$1,FALSE)/VLOOKUP($B207,Korrigeringsfaktor_EI,'Korrigeringsfaktor EI'!G$1,FALSE),
"")</f>
        <v>11.951685393258426</v>
      </c>
      <c r="H207" s="18">
        <f>IFERROR(
                  Andel_oberoende_av_klimat*VLOOKUP($A207,Leveranser_per_nät,'Leveranser per nät'!H$1,FALSE)
               +Andel_beroende_av_klimat*VLOOKUP($A207,Leveranser_per_nät,'Leveranser per nät'!H$1,FALSE)/VLOOKUP($B207,Korrigeringsfaktor_EI,'Korrigeringsfaktor EI'!H$1,FALSE),
"")</f>
        <v>12.084848484848482</v>
      </c>
      <c r="I207" s="18">
        <f>IFERROR(
                  Andel_oberoende_av_klimat*VLOOKUP($A207,Leveranser_per_nät,'Leveranser per nät'!I$1,FALSE)
               +Andel_beroende_av_klimat*VLOOKUP($A207,Leveranser_per_nät,'Leveranser per nät'!I$1,FALSE)/VLOOKUP($B207,Korrigeringsfaktor_EI,'Korrigeringsfaktor EI'!I$1,FALSE),
"")</f>
        <v>13.379166666666666</v>
      </c>
      <c r="J207" s="18">
        <f>IFERROR(
                  Andel_oberoende_av_klimat*VLOOKUP($A207,Leveranser_per_nät,'Leveranser per nät'!J$1,FALSE)
               +Andel_beroende_av_klimat*VLOOKUP($A207,Leveranser_per_nät,'Leveranser per nät'!J$1,FALSE)/VLOOKUP($B207,Korrigeringsfaktor_EI,'Korrigeringsfaktor EI'!J$1,FALSE),
"")</f>
        <v>12.259793814432989</v>
      </c>
      <c r="K207" s="18">
        <f>IFERROR(
                  Andel_oberoende_av_klimat*VLOOKUP($A207,Leveranser_per_nät,'Leveranser per nät'!K$1,FALSE)
               +Andel_beroende_av_klimat*VLOOKUP($A207,Leveranser_per_nät,'Leveranser per nät'!K$1,FALSE)/VLOOKUP($B207,Korrigeringsfaktor_EI,'Korrigeringsfaktor EI'!K$1,FALSE),
"")</f>
        <v>7.9463896907216496</v>
      </c>
      <c r="L207" s="18">
        <f>IFERROR(
                  Andel_oberoende_av_klimat*VLOOKUP($A207,Leveranser_per_nät,'Leveranser per nät'!L$1,FALSE)
               +Andel_beroende_av_klimat*VLOOKUP($A207,Leveranser_per_nät,'Leveranser per nät'!L$1,FALSE)/VLOOKUP($B207,Korrigeringsfaktor_EI,'Korrigeringsfaktor EI'!L$1,FALSE),
"")</f>
        <v>12.829725531914894</v>
      </c>
      <c r="M207" s="18">
        <f>IFERROR(
                  Andel_oberoende_av_klimat*VLOOKUP($A207,Leveranser_per_nät,'Leveranser per nät'!M$1,FALSE)
               +Andel_beroende_av_klimat*VLOOKUP($A207,Leveranser_per_nät,'Leveranser per nät'!M$1,FALSE)/VLOOKUP($B207,Korrigeringsfaktor_EI,'Korrigeringsfaktor EI'!M$1,FALSE),
"")</f>
        <v>12.801513043478261</v>
      </c>
      <c r="N207" s="18">
        <f>IFERROR(
                  Andel_oberoende_av_klimat*VLOOKUP($A207,Leveranser_per_nät,'Leveranser per nät'!N$1,FALSE)
               +Andel_beroende_av_klimat*VLOOKUP($A207,Leveranser_per_nät,'Leveranser per nät'!N$1,FALSE)/VLOOKUP($B207,Korrigeringsfaktor_EI,'Korrigeringsfaktor EI'!N$1,FALSE),
"")</f>
        <v>12.771808695652172</v>
      </c>
      <c r="O207" s="18">
        <f>IFERROR(
                  Andel_oberoende_av_klimat*VLOOKUP($A207,Leveranser_per_nät,'Leveranser per nät'!O$1,FALSE)
               +Andel_beroende_av_klimat*VLOOKUP($A207,Leveranser_per_nät,'Leveranser per nät'!O$1,FALSE)/VLOOKUP($B207,Korrigeringsfaktor_EI,'Korrigeringsfaktor EI'!O$1,FALSE),
"")</f>
        <v>12.497911111111112</v>
      </c>
      <c r="P207" s="18">
        <f>IFERROR(
                  Andel_oberoende_av_klimat*VLOOKUP($A207,Leveranser_per_nät,'Leveranser per nät'!P$1,FALSE)
               +Andel_beroende_av_klimat*VLOOKUP($A207,Leveranser_per_nät,'Leveranser per nät'!P$1,FALSE)/VLOOKUP($B207,Korrigeringsfaktor_EI,'Korrigeringsfaktor EI'!P$1,FALSE),
"")</f>
        <v>13.142498969072166</v>
      </c>
      <c r="Q207" s="18">
        <f>IFERROR(
                  Andel_oberoende_av_klimat*VLOOKUP($A207,Leveranser_per_nät,'Leveranser per nät'!Q$1,FALSE)
               +Andel_beroende_av_klimat*VLOOKUP($A207,Leveranser_per_nät,'Leveranser per nät'!Q$1,FALSE)/VLOOKUP($B207,Korrigeringsfaktor_EI,'Korrigeringsfaktor EI'!Q$1,FALSE),
"")</f>
        <v>15.258588495575221</v>
      </c>
      <c r="R207" s="18">
        <f>IFERROR(
                  Andel_oberoende_av_klimat*VLOOKUP($A207,Leveranser_per_nät,'Leveranser per nät'!R$1,FALSE)
               +Andel_beroende_av_klimat*VLOOKUP($A207,Leveranser_per_nät,'Leveranser per nät'!R$1,FALSE)/VLOOKUP($B207,Korrigeringsfaktor_EI,'Korrigeringsfaktor EI'!R$1,FALSE),
"")</f>
        <v>14.455155555555557</v>
      </c>
      <c r="S207" s="18">
        <f>IFERROR(
                  Andel_oberoende_av_klimat*VLOOKUP($A207,Leveranser_per_nät,'Leveranser per nät'!S$1,FALSE)
               +Andel_beroende_av_klimat*VLOOKUP($A207,Leveranser_per_nät,'Leveranser per nät'!S$1,FALSE)/VLOOKUP($B207,Korrigeringsfaktor_EI,'Korrigeringsfaktor EI'!S$1,FALSE),
"")</f>
        <v>15.16</v>
      </c>
      <c r="T207" s="18">
        <f>IFERROR(
                  Andel_oberoende_av_klimat*VLOOKUP($A207,Leveranser_per_nät,'Leveranser per nät'!T$1,FALSE)
               +Andel_beroende_av_klimat*VLOOKUP($A207,Leveranser_per_nät,'Leveranser per nät'!T$1,FALSE)/VLOOKUP($B207,Korrigeringsfaktor_EI,'Korrigeringsfaktor EI'!T$1,FALSE),
"")</f>
        <v>15.27683157894737</v>
      </c>
      <c r="U207" s="18">
        <f>IFERROR(
                  Andel_oberoende_av_klimat*VLOOKUP($A207,Leveranser_per_nät,'Leveranser per nät'!U$1,FALSE)
               +Andel_beroende_av_klimat*VLOOKUP($A207,Leveranser_per_nät,'Leveranser per nät'!U$1,FALSE)/VLOOKUP($B207,Korrigeringsfaktor_EI,'Korrigeringsfaktor EI'!U$1,FALSE),
"")</f>
        <v>13.995423595505619</v>
      </c>
      <c r="V207" s="18">
        <f>IFERROR(
                  Andel_oberoende_av_klimat*VLOOKUP($A207,Leveranser_per_nät,'Leveranser per nät'!V$1,FALSE)
               +Andel_beroende_av_klimat*VLOOKUP($A207,Leveranser_per_nät,'Leveranser per nät'!V$1,FALSE)/VLOOKUP($B207,Korrigeringsfaktor_EI,'Korrigeringsfaktor EI'!V$1,FALSE),
"")</f>
        <v>13.888244444444444</v>
      </c>
      <c r="W207" s="18">
        <f>IFERROR(
                  Andel_oberoende_av_klimat*VLOOKUP($A207,Leveranser_per_nät,'Leveranser per nät'!W$1,FALSE)
               +Andel_beroende_av_klimat*VLOOKUP($A207,Leveranser_per_nät,'Leveranser per nät'!W$1,FALSE)/VLOOKUP($B207,Korrigeringsfaktor_EI,'Korrigeringsfaktor EI'!W$1,FALSE),
"")</f>
        <v>14.188091666666669</v>
      </c>
      <c r="X207" s="18">
        <f>IFERROR(
                  Andel_oberoende_av_klimat*VLOOKUP($A207,Leveranser_per_nät,'Leveranser per nät'!X$1,FALSE)
               +Andel_beroende_av_klimat*VLOOKUP($A207,Leveranser_per_nät,'Leveranser per nät'!X$1,FALSE)/VLOOKUP($B207,Korrigeringsfaktor_EI,'Korrigeringsfaktor EI'!X$1,FALSE),
"")</f>
        <v>15.649057894736842</v>
      </c>
      <c r="Y207" s="18">
        <f>IFERROR(
                  Andel_oberoende_av_klimat*VLOOKUP($A207,Leveranser_per_nät,'Leveranser per nät'!Y$1,FALSE)
               +Andel_beroende_av_klimat*VLOOKUP($A207,Leveranser_per_nät,'Leveranser per nät'!Y$1,FALSE)/VLOOKUP($B207,Korrigeringsfaktor_EI,'Korrigeringsfaktor EI'!Y$1,FALSE),
"")</f>
        <v>17.398260869565213</v>
      </c>
      <c r="Z207" s="18">
        <f>IFERROR(
                  Andel_oberoende_av_klimat*VLOOKUP($A207,Leveranser_per_nät,'Leveranser per nät'!Z$1,FALSE)
               +Andel_beroende_av_klimat*VLOOKUP($A207,Leveranser_per_nät,'Leveranser per nät'!Z$1,FALSE)/VLOOKUP($B207,Korrigeringsfaktor_EI,'Korrigeringsfaktor EI'!Z$1,FALSE),
"")</f>
        <v>0</v>
      </c>
      <c r="AA207" s="18" t="str">
        <f>IFERROR(
                  Andel_oberoende_av_klimat*VLOOKUP($A207,Leveranser_per_nät,'Leveranser per nät'!AA$1,FALSE)
               +Andel_beroende_av_klimat*VLOOKUP($A207,Leveranser_per_nät,'Leveranser per nät'!AA$1,FALSE)/VLOOKUP($B207,Korrigeringsfaktor_EI,'Korrigeringsfaktor EI'!AA$1,FALSE),
"")</f>
        <v/>
      </c>
      <c r="AB207" s="18">
        <f>IFERROR(
                  Andel_oberoende_av_klimat*VLOOKUP($A207,Leveranser_per_nät,'Leveranser per nät'!AB$1,FALSE)
               +Andel_beroende_av_klimat*VLOOKUP($A207,Leveranser_per_nät,'Leveranser per nät'!AB$1,FALSE)/VLOOKUP($B207,Korrigeringsfaktor_EI,'Korrigeringsfaktor EI'!AB$1,FALSE),
"")</f>
        <v>0</v>
      </c>
      <c r="AC207" s="18">
        <f>IFERROR(
                  Andel_oberoende_av_klimat*VLOOKUP($A207,Leveranser_per_nät,'Leveranser per nät'!AC$1,FALSE)
               +Andel_beroende_av_klimat*VLOOKUP($A207,Leveranser_per_nät,'Leveranser per nät'!AC$1,FALSE)/VLOOKUP($B207,Korrigeringsfaktor_EI,'Korrigeringsfaktor EI'!AC$1,FALSE),
"")</f>
        <v>0</v>
      </c>
      <c r="AD207" t="e">
        <v>#N/A</v>
      </c>
    </row>
    <row r="208" spans="1:30" x14ac:dyDescent="0.25">
      <c r="A208" t="s">
        <v>126</v>
      </c>
      <c r="B208" t="s">
        <v>126</v>
      </c>
      <c r="C208" s="18">
        <f>IFERROR(
                  Andel_oberoende_av_klimat*VLOOKUP($A208,Leveranser_per_nät,'Leveranser per nät'!C$1,FALSE)
               +Andel_beroende_av_klimat*VLOOKUP($A208,Leveranser_per_nät,'Leveranser per nät'!C$1,FALSE)/VLOOKUP($B208,Korrigeringsfaktor_EI,'Korrigeringsfaktor EI'!C$1,FALSE),
"")</f>
        <v>0</v>
      </c>
      <c r="D208" s="18">
        <f>IFERROR(
                  Andel_oberoende_av_klimat*VLOOKUP($A208,Leveranser_per_nät,'Leveranser per nät'!D$1,FALSE)
               +Andel_beroende_av_klimat*VLOOKUP($A208,Leveranser_per_nät,'Leveranser per nät'!D$1,FALSE)/VLOOKUP($B208,Korrigeringsfaktor_EI,'Korrigeringsfaktor EI'!D$1,FALSE),
"")</f>
        <v>0</v>
      </c>
      <c r="E208" s="18">
        <f>IFERROR(
                  Andel_oberoende_av_klimat*VLOOKUP($A208,Leveranser_per_nät,'Leveranser per nät'!E$1,FALSE)
               +Andel_beroende_av_klimat*VLOOKUP($A208,Leveranser_per_nät,'Leveranser per nät'!E$1,FALSE)/VLOOKUP($B208,Korrigeringsfaktor_EI,'Korrigeringsfaktor EI'!E$1,FALSE),
"")</f>
        <v>0</v>
      </c>
      <c r="F208" s="18">
        <f>IFERROR(
                  Andel_oberoende_av_klimat*VLOOKUP($A208,Leveranser_per_nät,'Leveranser per nät'!F$1,FALSE)
               +Andel_beroende_av_klimat*VLOOKUP($A208,Leveranser_per_nät,'Leveranser per nät'!F$1,FALSE)/VLOOKUP($B208,Korrigeringsfaktor_EI,'Korrigeringsfaktor EI'!F$1,FALSE),
"")</f>
        <v>0</v>
      </c>
      <c r="G208" s="18">
        <f>IFERROR(
                  Andel_oberoende_av_klimat*VLOOKUP($A208,Leveranser_per_nät,'Leveranser per nät'!G$1,FALSE)
               +Andel_beroende_av_klimat*VLOOKUP($A208,Leveranser_per_nät,'Leveranser per nät'!G$1,FALSE)/VLOOKUP($B208,Korrigeringsfaktor_EI,'Korrigeringsfaktor EI'!G$1,FALSE),
"")</f>
        <v>0</v>
      </c>
      <c r="H208" s="18">
        <f>IFERROR(
                  Andel_oberoende_av_klimat*VLOOKUP($A208,Leveranser_per_nät,'Leveranser per nät'!H$1,FALSE)
               +Andel_beroende_av_klimat*VLOOKUP($A208,Leveranser_per_nät,'Leveranser per nät'!H$1,FALSE)/VLOOKUP($B208,Korrigeringsfaktor_EI,'Korrigeringsfaktor EI'!H$1,FALSE),
"")</f>
        <v>0</v>
      </c>
      <c r="I208" s="18">
        <f>IFERROR(
                  Andel_oberoende_av_klimat*VLOOKUP($A208,Leveranser_per_nät,'Leveranser per nät'!I$1,FALSE)
               +Andel_beroende_av_klimat*VLOOKUP($A208,Leveranser_per_nät,'Leveranser per nät'!I$1,FALSE)/VLOOKUP($B208,Korrigeringsfaktor_EI,'Korrigeringsfaktor EI'!I$1,FALSE),
"")</f>
        <v>0</v>
      </c>
      <c r="J208" s="18">
        <f>IFERROR(
                  Andel_oberoende_av_klimat*VLOOKUP($A208,Leveranser_per_nät,'Leveranser per nät'!J$1,FALSE)
               +Andel_beroende_av_klimat*VLOOKUP($A208,Leveranser_per_nät,'Leveranser per nät'!J$1,FALSE)/VLOOKUP($B208,Korrigeringsfaktor_EI,'Korrigeringsfaktor EI'!J$1,FALSE),
"")</f>
        <v>0</v>
      </c>
      <c r="K208" s="18">
        <f>IFERROR(
                  Andel_oberoende_av_klimat*VLOOKUP($A208,Leveranser_per_nät,'Leveranser per nät'!K$1,FALSE)
               +Andel_beroende_av_klimat*VLOOKUP($A208,Leveranser_per_nät,'Leveranser per nät'!K$1,FALSE)/VLOOKUP($B208,Korrigeringsfaktor_EI,'Korrigeringsfaktor EI'!K$1,FALSE),
"")</f>
        <v>0</v>
      </c>
      <c r="L208" s="18">
        <f>IFERROR(
                  Andel_oberoende_av_klimat*VLOOKUP($A208,Leveranser_per_nät,'Leveranser per nät'!L$1,FALSE)
               +Andel_beroende_av_klimat*VLOOKUP($A208,Leveranser_per_nät,'Leveranser per nät'!L$1,FALSE)/VLOOKUP($B208,Korrigeringsfaktor_EI,'Korrigeringsfaktor EI'!L$1,FALSE),
"")</f>
        <v>0</v>
      </c>
      <c r="M208" s="18">
        <f>IFERROR(
                  Andel_oberoende_av_klimat*VLOOKUP($A208,Leveranser_per_nät,'Leveranser per nät'!M$1,FALSE)
               +Andel_beroende_av_klimat*VLOOKUP($A208,Leveranser_per_nät,'Leveranser per nät'!M$1,FALSE)/VLOOKUP($B208,Korrigeringsfaktor_EI,'Korrigeringsfaktor EI'!M$1,FALSE),
"")</f>
        <v>0</v>
      </c>
      <c r="N208" s="18">
        <f>IFERROR(
                  Andel_oberoende_av_klimat*VLOOKUP($A208,Leveranser_per_nät,'Leveranser per nät'!N$1,FALSE)
               +Andel_beroende_av_klimat*VLOOKUP($A208,Leveranser_per_nät,'Leveranser per nät'!N$1,FALSE)/VLOOKUP($B208,Korrigeringsfaktor_EI,'Korrigeringsfaktor EI'!N$1,FALSE),
"")</f>
        <v>0</v>
      </c>
      <c r="O208" s="18">
        <f>IFERROR(
                  Andel_oberoende_av_klimat*VLOOKUP($A208,Leveranser_per_nät,'Leveranser per nät'!O$1,FALSE)
               +Andel_beroende_av_klimat*VLOOKUP($A208,Leveranser_per_nät,'Leveranser per nät'!O$1,FALSE)/VLOOKUP($B208,Korrigeringsfaktor_EI,'Korrigeringsfaktor EI'!O$1,FALSE),
"")</f>
        <v>14.207659574468085</v>
      </c>
      <c r="P208" s="18">
        <f>IFERROR(
                  Andel_oberoende_av_klimat*VLOOKUP($A208,Leveranser_per_nät,'Leveranser per nät'!P$1,FALSE)
               +Andel_beroende_av_klimat*VLOOKUP($A208,Leveranser_per_nät,'Leveranser per nät'!P$1,FALSE)/VLOOKUP($B208,Korrigeringsfaktor_EI,'Korrigeringsfaktor EI'!P$1,FALSE),
"")</f>
        <v>13.6</v>
      </c>
      <c r="Q208" s="18">
        <f>IFERROR(
                  Andel_oberoende_av_klimat*VLOOKUP($A208,Leveranser_per_nät,'Leveranser per nät'!Q$1,FALSE)
               +Andel_beroende_av_klimat*VLOOKUP($A208,Leveranser_per_nät,'Leveranser per nät'!Q$1,FALSE)/VLOOKUP($B208,Korrigeringsfaktor_EI,'Korrigeringsfaktor EI'!Q$1,FALSE),
"")</f>
        <v>11.327858407079646</v>
      </c>
      <c r="R208" s="18">
        <f>IFERROR(
                  Andel_oberoende_av_klimat*VLOOKUP($A208,Leveranser_per_nät,'Leveranser per nät'!R$1,FALSE)
               +Andel_beroende_av_klimat*VLOOKUP($A208,Leveranser_per_nät,'Leveranser per nät'!R$1,FALSE)/VLOOKUP($B208,Korrigeringsfaktor_EI,'Korrigeringsfaktor EI'!R$1,FALSE),
"")</f>
        <v>11.621677419354839</v>
      </c>
      <c r="S208" s="18">
        <f>IFERROR(
                  Andel_oberoende_av_klimat*VLOOKUP($A208,Leveranser_per_nät,'Leveranser per nät'!S$1,FALSE)
               +Andel_beroende_av_klimat*VLOOKUP($A208,Leveranser_per_nät,'Leveranser per nät'!S$1,FALSE)/VLOOKUP($B208,Korrigeringsfaktor_EI,'Korrigeringsfaktor EI'!S$1,FALSE),
"")</f>
        <v>11.745038461538462</v>
      </c>
      <c r="T208" s="18">
        <f>IFERROR(
                  Andel_oberoende_av_klimat*VLOOKUP($A208,Leveranser_per_nät,'Leveranser per nät'!T$1,FALSE)
               +Andel_beroende_av_klimat*VLOOKUP($A208,Leveranser_per_nät,'Leveranser per nät'!T$1,FALSE)/VLOOKUP($B208,Korrigeringsfaktor_EI,'Korrigeringsfaktor EI'!T$1,FALSE),
"")</f>
        <v>12.017257142857144</v>
      </c>
      <c r="U208" s="18">
        <f>IFERROR(
                  Andel_oberoende_av_klimat*VLOOKUP($A208,Leveranser_per_nät,'Leveranser per nät'!U$1,FALSE)
               +Andel_beroende_av_klimat*VLOOKUP($A208,Leveranser_per_nät,'Leveranser per nät'!U$1,FALSE)/VLOOKUP($B208,Korrigeringsfaktor_EI,'Korrigeringsfaktor EI'!U$1,FALSE),
"")</f>
        <v>11.794318279569891</v>
      </c>
      <c r="V208" s="18">
        <f>IFERROR(
                  Andel_oberoende_av_klimat*VLOOKUP($A208,Leveranser_per_nät,'Leveranser per nät'!V$1,FALSE)
               +Andel_beroende_av_klimat*VLOOKUP($A208,Leveranser_per_nät,'Leveranser per nät'!V$1,FALSE)/VLOOKUP($B208,Korrigeringsfaktor_EI,'Korrigeringsfaktor EI'!V$1,FALSE),
"")</f>
        <v>11.666547368421053</v>
      </c>
      <c r="W208" s="18">
        <f>IFERROR(
                  Andel_oberoende_av_klimat*VLOOKUP($A208,Leveranser_per_nät,'Leveranser per nät'!W$1,FALSE)
               +Andel_beroende_av_klimat*VLOOKUP($A208,Leveranser_per_nät,'Leveranser per nät'!W$1,FALSE)/VLOOKUP($B208,Korrigeringsfaktor_EI,'Korrigeringsfaktor EI'!W$1,FALSE),
"")</f>
        <v>11.820484536082475</v>
      </c>
      <c r="X208" s="18">
        <f>IFERROR(
                  Andel_oberoende_av_klimat*VLOOKUP($A208,Leveranser_per_nät,'Leveranser per nät'!X$1,FALSE)
               +Andel_beroende_av_klimat*VLOOKUP($A208,Leveranser_per_nät,'Leveranser per nät'!X$1,FALSE)/VLOOKUP($B208,Korrigeringsfaktor_EI,'Korrigeringsfaktor EI'!X$1,FALSE),
"")</f>
        <v>11.398542857142857</v>
      </c>
      <c r="Y208" s="18">
        <f>IFERROR(
                  Andel_oberoende_av_klimat*VLOOKUP($A208,Leveranser_per_nät,'Leveranser per nät'!Y$1,FALSE)
               +Andel_beroende_av_klimat*VLOOKUP($A208,Leveranser_per_nät,'Leveranser per nät'!Y$1,FALSE)/VLOOKUP($B208,Korrigeringsfaktor_EI,'Korrigeringsfaktor EI'!Y$1,FALSE),
"")</f>
        <v>11.684838709677418</v>
      </c>
      <c r="Z208" s="18">
        <f>IFERROR(
                  Andel_oberoende_av_klimat*VLOOKUP($A208,Leveranser_per_nät,'Leveranser per nät'!Z$1,FALSE)
               +Andel_beroende_av_klimat*VLOOKUP($A208,Leveranser_per_nät,'Leveranser per nät'!Z$1,FALSE)/VLOOKUP($B208,Korrigeringsfaktor_EI,'Korrigeringsfaktor EI'!Z$1,FALSE),
"")</f>
        <v>11.482087234042552</v>
      </c>
      <c r="AA208" s="18">
        <f>IFERROR(
                  Andel_oberoende_av_klimat*VLOOKUP($A208,Leveranser_per_nät,'Leveranser per nät'!AA$1,FALSE)
               +Andel_beroende_av_klimat*VLOOKUP($A208,Leveranser_per_nät,'Leveranser per nät'!AA$1,FALSE)/VLOOKUP($B208,Korrigeringsfaktor_EI,'Korrigeringsfaktor EI'!AA$1,FALSE),
"")</f>
        <v>11.187377355901189</v>
      </c>
      <c r="AB208" s="18">
        <f>IFERROR(
                  Andel_oberoende_av_klimat*VLOOKUP($A208,Leveranser_per_nät,'Leveranser per nät'!AB$1,FALSE)
               +Andel_beroende_av_klimat*VLOOKUP($A208,Leveranser_per_nät,'Leveranser per nät'!AB$1,FALSE)/VLOOKUP($B208,Korrigeringsfaktor_EI,'Korrigeringsfaktor EI'!AB$1,FALSE),
"")</f>
        <v>11.429337944664031</v>
      </c>
      <c r="AC208" s="18">
        <f>IFERROR(
                  Andel_oberoende_av_klimat*VLOOKUP($A208,Leveranser_per_nät,'Leveranser per nät'!AC$1,FALSE)
               +Andel_beroende_av_klimat*VLOOKUP($A208,Leveranser_per_nät,'Leveranser per nät'!AC$1,FALSE)/VLOOKUP($B208,Korrigeringsfaktor_EI,'Korrigeringsfaktor EI'!AC$1,FALSE),
"")</f>
        <v>10.752610460251045</v>
      </c>
      <c r="AD208">
        <v>10.417</v>
      </c>
    </row>
    <row r="209" spans="1:30" x14ac:dyDescent="0.25">
      <c r="A209" t="s">
        <v>290</v>
      </c>
      <c r="B209" t="s">
        <v>288</v>
      </c>
      <c r="C209" s="18">
        <f>IFERROR(
                  Andel_oberoende_av_klimat*VLOOKUP($A209,Leveranser_per_nät,'Leveranser per nät'!C$1,FALSE)
               +Andel_beroende_av_klimat*VLOOKUP($A209,Leveranser_per_nät,'Leveranser per nät'!C$1,FALSE)/VLOOKUP($B209,Korrigeringsfaktor_EI,'Korrigeringsfaktor EI'!C$1,FALSE),
"")</f>
        <v>0</v>
      </c>
      <c r="D209" s="18">
        <f>IFERROR(
                  Andel_oberoende_av_klimat*VLOOKUP($A209,Leveranser_per_nät,'Leveranser per nät'!D$1,FALSE)
               +Andel_beroende_av_klimat*VLOOKUP($A209,Leveranser_per_nät,'Leveranser per nät'!D$1,FALSE)/VLOOKUP($B209,Korrigeringsfaktor_EI,'Korrigeringsfaktor EI'!D$1,FALSE),
"")</f>
        <v>0</v>
      </c>
      <c r="E209" s="18">
        <f>IFERROR(
                  Andel_oberoende_av_klimat*VLOOKUP($A209,Leveranser_per_nät,'Leveranser per nät'!E$1,FALSE)
               +Andel_beroende_av_klimat*VLOOKUP($A209,Leveranser_per_nät,'Leveranser per nät'!E$1,FALSE)/VLOOKUP($B209,Korrigeringsfaktor_EI,'Korrigeringsfaktor EI'!E$1,FALSE),
"")</f>
        <v>0</v>
      </c>
      <c r="F209" s="18">
        <f>IFERROR(
                  Andel_oberoende_av_klimat*VLOOKUP($A209,Leveranser_per_nät,'Leveranser per nät'!F$1,FALSE)
               +Andel_beroende_av_klimat*VLOOKUP($A209,Leveranser_per_nät,'Leveranser per nät'!F$1,FALSE)/VLOOKUP($B209,Korrigeringsfaktor_EI,'Korrigeringsfaktor EI'!F$1,FALSE),
"")</f>
        <v>0</v>
      </c>
      <c r="G209" s="18">
        <f>IFERROR(
                  Andel_oberoende_av_klimat*VLOOKUP($A209,Leveranser_per_nät,'Leveranser per nät'!G$1,FALSE)
               +Andel_beroende_av_klimat*VLOOKUP($A209,Leveranser_per_nät,'Leveranser per nät'!G$1,FALSE)/VLOOKUP($B209,Korrigeringsfaktor_EI,'Korrigeringsfaktor EI'!G$1,FALSE),
"")</f>
        <v>0</v>
      </c>
      <c r="H209" s="18">
        <f>IFERROR(
                  Andel_oberoende_av_klimat*VLOOKUP($A209,Leveranser_per_nät,'Leveranser per nät'!H$1,FALSE)
               +Andel_beroende_av_klimat*VLOOKUP($A209,Leveranser_per_nät,'Leveranser per nät'!H$1,FALSE)/VLOOKUP($B209,Korrigeringsfaktor_EI,'Korrigeringsfaktor EI'!H$1,FALSE),
"")</f>
        <v>0</v>
      </c>
      <c r="I209" s="18">
        <f>IFERROR(
                  Andel_oberoende_av_klimat*VLOOKUP($A209,Leveranser_per_nät,'Leveranser per nät'!I$1,FALSE)
               +Andel_beroende_av_klimat*VLOOKUP($A209,Leveranser_per_nät,'Leveranser per nät'!I$1,FALSE)/VLOOKUP($B209,Korrigeringsfaktor_EI,'Korrigeringsfaktor EI'!I$1,FALSE),
"")</f>
        <v>0</v>
      </c>
      <c r="J209" s="18">
        <f>IFERROR(
                  Andel_oberoende_av_klimat*VLOOKUP($A209,Leveranser_per_nät,'Leveranser per nät'!J$1,FALSE)
               +Andel_beroende_av_klimat*VLOOKUP($A209,Leveranser_per_nät,'Leveranser per nät'!J$1,FALSE)/VLOOKUP($B209,Korrigeringsfaktor_EI,'Korrigeringsfaktor EI'!J$1,FALSE),
"")</f>
        <v>0</v>
      </c>
      <c r="K209" s="18">
        <f>IFERROR(
                  Andel_oberoende_av_klimat*VLOOKUP($A209,Leveranser_per_nät,'Leveranser per nät'!K$1,FALSE)
               +Andel_beroende_av_klimat*VLOOKUP($A209,Leveranser_per_nät,'Leveranser per nät'!K$1,FALSE)/VLOOKUP($B209,Korrigeringsfaktor_EI,'Korrigeringsfaktor EI'!K$1,FALSE),
"")</f>
        <v>0</v>
      </c>
      <c r="L209" s="18">
        <f>IFERROR(
                  Andel_oberoende_av_klimat*VLOOKUP($A209,Leveranser_per_nät,'Leveranser per nät'!L$1,FALSE)
               +Andel_beroende_av_klimat*VLOOKUP($A209,Leveranser_per_nät,'Leveranser per nät'!L$1,FALSE)/VLOOKUP($B209,Korrigeringsfaktor_EI,'Korrigeringsfaktor EI'!L$1,FALSE),
"")</f>
        <v>0</v>
      </c>
      <c r="M209" s="18">
        <f>IFERROR(
                  Andel_oberoende_av_klimat*VLOOKUP($A209,Leveranser_per_nät,'Leveranser per nät'!M$1,FALSE)
               +Andel_beroende_av_klimat*VLOOKUP($A209,Leveranser_per_nät,'Leveranser per nät'!M$1,FALSE)/VLOOKUP($B209,Korrigeringsfaktor_EI,'Korrigeringsfaktor EI'!M$1,FALSE),
"")</f>
        <v>0.52703333333333335</v>
      </c>
      <c r="N209" s="18">
        <f>IFERROR(
                  Andel_oberoende_av_klimat*VLOOKUP($A209,Leveranser_per_nät,'Leveranser per nät'!N$1,FALSE)
               +Andel_beroende_av_klimat*VLOOKUP($A209,Leveranser_per_nät,'Leveranser per nät'!N$1,FALSE)/VLOOKUP($B209,Korrigeringsfaktor_EI,'Korrigeringsfaktor EI'!N$1,FALSE),
"")</f>
        <v>0.48756923076923075</v>
      </c>
      <c r="O209" s="18">
        <f>IFERROR(
                  Andel_oberoende_av_klimat*VLOOKUP($A209,Leveranser_per_nät,'Leveranser per nät'!O$1,FALSE)
               +Andel_beroende_av_klimat*VLOOKUP($A209,Leveranser_per_nät,'Leveranser per nät'!O$1,FALSE)/VLOOKUP($B209,Korrigeringsfaktor_EI,'Korrigeringsfaktor EI'!O$1,FALSE),
"")</f>
        <v>0.40523846153846155</v>
      </c>
      <c r="P209" s="18">
        <f>IFERROR(
                  Andel_oberoende_av_klimat*VLOOKUP($A209,Leveranser_per_nät,'Leveranser per nät'!P$1,FALSE)
               +Andel_beroende_av_klimat*VLOOKUP($A209,Leveranser_per_nät,'Leveranser per nät'!P$1,FALSE)/VLOOKUP($B209,Korrigeringsfaktor_EI,'Korrigeringsfaktor EI'!P$1,FALSE),
"")</f>
        <v>0.30154583333333329</v>
      </c>
      <c r="Q209" s="18">
        <f>IFERROR(
                  Andel_oberoende_av_klimat*VLOOKUP($A209,Leveranser_per_nät,'Leveranser per nät'!Q$1,FALSE)
               +Andel_beroende_av_klimat*VLOOKUP($A209,Leveranser_per_nät,'Leveranser per nät'!Q$1,FALSE)/VLOOKUP($B209,Korrigeringsfaktor_EI,'Korrigeringsfaktor EI'!Q$1,FALSE),
"")</f>
        <v>0</v>
      </c>
      <c r="R209" s="18">
        <f>IFERROR(
                  Andel_oberoende_av_klimat*VLOOKUP($A209,Leveranser_per_nät,'Leveranser per nät'!R$1,FALSE)
               +Andel_beroende_av_klimat*VLOOKUP($A209,Leveranser_per_nät,'Leveranser per nät'!R$1,FALSE)/VLOOKUP($B209,Korrigeringsfaktor_EI,'Korrigeringsfaktor EI'!R$1,FALSE),
"")</f>
        <v>0</v>
      </c>
      <c r="S209" s="18" t="str">
        <f>IFERROR(
                  Andel_oberoende_av_klimat*VLOOKUP($A209,Leveranser_per_nät,'Leveranser per nät'!S$1,FALSE)
               +Andel_beroende_av_klimat*VLOOKUP($A209,Leveranser_per_nät,'Leveranser per nät'!S$1,FALSE)/VLOOKUP($B209,Korrigeringsfaktor_EI,'Korrigeringsfaktor EI'!S$1,FALSE),
"")</f>
        <v/>
      </c>
      <c r="T209" s="18" t="str">
        <f>IFERROR(
                  Andel_oberoende_av_klimat*VLOOKUP($A209,Leveranser_per_nät,'Leveranser per nät'!T$1,FALSE)
               +Andel_beroende_av_klimat*VLOOKUP($A209,Leveranser_per_nät,'Leveranser per nät'!T$1,FALSE)/VLOOKUP($B209,Korrigeringsfaktor_EI,'Korrigeringsfaktor EI'!T$1,FALSE),
"")</f>
        <v/>
      </c>
      <c r="U209" s="18" t="str">
        <f>IFERROR(
                  Andel_oberoende_av_klimat*VLOOKUP($A209,Leveranser_per_nät,'Leveranser per nät'!U$1,FALSE)
               +Andel_beroende_av_klimat*VLOOKUP($A209,Leveranser_per_nät,'Leveranser per nät'!U$1,FALSE)/VLOOKUP($B209,Korrigeringsfaktor_EI,'Korrigeringsfaktor EI'!U$1,FALSE),
"")</f>
        <v/>
      </c>
      <c r="V209" s="18" t="str">
        <f>IFERROR(
                  Andel_oberoende_av_klimat*VLOOKUP($A209,Leveranser_per_nät,'Leveranser per nät'!V$1,FALSE)
               +Andel_beroende_av_klimat*VLOOKUP($A209,Leveranser_per_nät,'Leveranser per nät'!V$1,FALSE)/VLOOKUP($B209,Korrigeringsfaktor_EI,'Korrigeringsfaktor EI'!V$1,FALSE),
"")</f>
        <v/>
      </c>
      <c r="W209" s="18" t="str">
        <f>IFERROR(
                  Andel_oberoende_av_klimat*VLOOKUP($A209,Leveranser_per_nät,'Leveranser per nät'!W$1,FALSE)
               +Andel_beroende_av_klimat*VLOOKUP($A209,Leveranser_per_nät,'Leveranser per nät'!W$1,FALSE)/VLOOKUP($B209,Korrigeringsfaktor_EI,'Korrigeringsfaktor EI'!W$1,FALSE),
"")</f>
        <v/>
      </c>
      <c r="X209" s="18" t="str">
        <f>IFERROR(
                  Andel_oberoende_av_klimat*VLOOKUP($A209,Leveranser_per_nät,'Leveranser per nät'!X$1,FALSE)
               +Andel_beroende_av_klimat*VLOOKUP($A209,Leveranser_per_nät,'Leveranser per nät'!X$1,FALSE)/VLOOKUP($B209,Korrigeringsfaktor_EI,'Korrigeringsfaktor EI'!X$1,FALSE),
"")</f>
        <v/>
      </c>
      <c r="Y209" s="18" t="str">
        <f>IFERROR(
                  Andel_oberoende_av_klimat*VLOOKUP($A209,Leveranser_per_nät,'Leveranser per nät'!Y$1,FALSE)
               +Andel_beroende_av_klimat*VLOOKUP($A209,Leveranser_per_nät,'Leveranser per nät'!Y$1,FALSE)/VLOOKUP($B209,Korrigeringsfaktor_EI,'Korrigeringsfaktor EI'!Y$1,FALSE),
"")</f>
        <v/>
      </c>
      <c r="Z209" s="18">
        <f>IFERROR(
                  Andel_oberoende_av_klimat*VLOOKUP($A209,Leveranser_per_nät,'Leveranser per nät'!Z$1,FALSE)
               +Andel_beroende_av_klimat*VLOOKUP($A209,Leveranser_per_nät,'Leveranser per nät'!Z$1,FALSE)/VLOOKUP($B209,Korrigeringsfaktor_EI,'Korrigeringsfaktor EI'!Z$1,FALSE),
"")</f>
        <v>0</v>
      </c>
      <c r="AA209" s="18" t="str">
        <f>IFERROR(
                  Andel_oberoende_av_klimat*VLOOKUP($A209,Leveranser_per_nät,'Leveranser per nät'!AA$1,FALSE)
               +Andel_beroende_av_klimat*VLOOKUP($A209,Leveranser_per_nät,'Leveranser per nät'!AA$1,FALSE)/VLOOKUP($B209,Korrigeringsfaktor_EI,'Korrigeringsfaktor EI'!AA$1,FALSE),
"")</f>
        <v/>
      </c>
      <c r="AB209" s="18">
        <f>IFERROR(
                  Andel_oberoende_av_klimat*VLOOKUP($A209,Leveranser_per_nät,'Leveranser per nät'!AB$1,FALSE)
               +Andel_beroende_av_klimat*VLOOKUP($A209,Leveranser_per_nät,'Leveranser per nät'!AB$1,FALSE)/VLOOKUP($B209,Korrigeringsfaktor_EI,'Korrigeringsfaktor EI'!AB$1,FALSE),
"")</f>
        <v>0</v>
      </c>
      <c r="AC209" s="18">
        <f>IFERROR(
                  Andel_oberoende_av_klimat*VLOOKUP($A209,Leveranser_per_nät,'Leveranser per nät'!AC$1,FALSE)
               +Andel_beroende_av_klimat*VLOOKUP($A209,Leveranser_per_nät,'Leveranser per nät'!AC$1,FALSE)/VLOOKUP($B209,Korrigeringsfaktor_EI,'Korrigeringsfaktor EI'!AC$1,FALSE),
"")</f>
        <v>0</v>
      </c>
      <c r="AD209">
        <v>513.26678000000004</v>
      </c>
    </row>
    <row r="210" spans="1:30" x14ac:dyDescent="0.25">
      <c r="A210" t="s">
        <v>211</v>
      </c>
      <c r="B210" t="s">
        <v>211</v>
      </c>
      <c r="C210" s="18">
        <f>IFERROR(
                  Andel_oberoende_av_klimat*VLOOKUP($A210,Leveranser_per_nät,'Leveranser per nät'!C$1,FALSE)
               +Andel_beroende_av_klimat*VLOOKUP($A210,Leveranser_per_nät,'Leveranser per nät'!C$1,FALSE)/VLOOKUP($B210,Korrigeringsfaktor_EI,'Korrigeringsfaktor EI'!C$1,FALSE),
"")</f>
        <v>44.466666666666661</v>
      </c>
      <c r="D210" s="18">
        <f>IFERROR(
                  Andel_oberoende_av_klimat*VLOOKUP($A210,Leveranser_per_nät,'Leveranser per nät'!D$1,FALSE)
               +Andel_beroende_av_klimat*VLOOKUP($A210,Leveranser_per_nät,'Leveranser per nät'!D$1,FALSE)/VLOOKUP($B210,Korrigeringsfaktor_EI,'Korrigeringsfaktor EI'!D$1,FALSE),
"")</f>
        <v>41.565983333333328</v>
      </c>
      <c r="E210" s="18">
        <f>IFERROR(
                  Andel_oberoende_av_klimat*VLOOKUP($A210,Leveranser_per_nät,'Leveranser per nät'!E$1,FALSE)
               +Andel_beroende_av_klimat*VLOOKUP($A210,Leveranser_per_nät,'Leveranser per nät'!E$1,FALSE)/VLOOKUP($B210,Korrigeringsfaktor_EI,'Korrigeringsfaktor EI'!E$1,FALSE),
"")</f>
        <v>38.729702970297026</v>
      </c>
      <c r="F210" s="18">
        <f>IFERROR(
                  Andel_oberoende_av_klimat*VLOOKUP($A210,Leveranser_per_nät,'Leveranser per nät'!F$1,FALSE)
               +Andel_beroende_av_klimat*VLOOKUP($A210,Leveranser_per_nät,'Leveranser per nät'!F$1,FALSE)/VLOOKUP($B210,Korrigeringsfaktor_EI,'Korrigeringsfaktor EI'!F$1,FALSE),
"")</f>
        <v>38</v>
      </c>
      <c r="G210" s="18">
        <f>IFERROR(
                  Andel_oberoende_av_klimat*VLOOKUP($A210,Leveranser_per_nät,'Leveranser per nät'!G$1,FALSE)
               +Andel_beroende_av_klimat*VLOOKUP($A210,Leveranser_per_nät,'Leveranser per nät'!G$1,FALSE)/VLOOKUP($B210,Korrigeringsfaktor_EI,'Korrigeringsfaktor EI'!G$1,FALSE),
"")</f>
        <v>36.949354838709681</v>
      </c>
      <c r="H210" s="18">
        <f>IFERROR(
                  Andel_oberoende_av_klimat*VLOOKUP($A210,Leveranser_per_nät,'Leveranser per nät'!H$1,FALSE)
               +Andel_beroende_av_klimat*VLOOKUP($A210,Leveranser_per_nät,'Leveranser per nät'!H$1,FALSE)/VLOOKUP($B210,Korrigeringsfaktor_EI,'Korrigeringsfaktor EI'!H$1,FALSE),
"")</f>
        <v>39.855843564356434</v>
      </c>
      <c r="I210" s="18">
        <f>IFERROR(
                  Andel_oberoende_av_klimat*VLOOKUP($A210,Leveranser_per_nät,'Leveranser per nät'!I$1,FALSE)
               +Andel_beroende_av_klimat*VLOOKUP($A210,Leveranser_per_nät,'Leveranser per nät'!I$1,FALSE)/VLOOKUP($B210,Korrigeringsfaktor_EI,'Korrigeringsfaktor EI'!I$1,FALSE),
"")</f>
        <v>38.937491666666673</v>
      </c>
      <c r="J210" s="18">
        <f>IFERROR(
                  Andel_oberoende_av_klimat*VLOOKUP($A210,Leveranser_per_nät,'Leveranser per nät'!J$1,FALSE)
               +Andel_beroende_av_klimat*VLOOKUP($A210,Leveranser_per_nät,'Leveranser per nät'!J$1,FALSE)/VLOOKUP($B210,Korrigeringsfaktor_EI,'Korrigeringsfaktor EI'!J$1,FALSE),
"")</f>
        <v>38.268686868686871</v>
      </c>
      <c r="K210" s="18">
        <f>IFERROR(
                  Andel_oberoende_av_klimat*VLOOKUP($A210,Leveranser_per_nät,'Leveranser per nät'!K$1,FALSE)
               +Andel_beroende_av_klimat*VLOOKUP($A210,Leveranser_per_nät,'Leveranser per nät'!K$1,FALSE)/VLOOKUP($B210,Korrigeringsfaktor_EI,'Korrigeringsfaktor EI'!K$1,FALSE),
"")</f>
        <v>36.685699999999997</v>
      </c>
      <c r="L210" s="18">
        <f>IFERROR(
                  Andel_oberoende_av_klimat*VLOOKUP($A210,Leveranser_per_nät,'Leveranser per nät'!L$1,FALSE)
               +Andel_beroende_av_klimat*VLOOKUP($A210,Leveranser_per_nät,'Leveranser per nät'!L$1,FALSE)/VLOOKUP($B210,Korrigeringsfaktor_EI,'Korrigeringsfaktor EI'!L$1,FALSE),
"")</f>
        <v>36.798883333333336</v>
      </c>
      <c r="M210" s="18">
        <f>IFERROR(
                  Andel_oberoende_av_klimat*VLOOKUP($A210,Leveranser_per_nät,'Leveranser per nät'!M$1,FALSE)
               +Andel_beroende_av_klimat*VLOOKUP($A210,Leveranser_per_nät,'Leveranser per nät'!M$1,FALSE)/VLOOKUP($B210,Korrigeringsfaktor_EI,'Korrigeringsfaktor EI'!M$1,FALSE),
"")</f>
        <v>39.538608695652179</v>
      </c>
      <c r="N210" s="18">
        <f>IFERROR(
                  Andel_oberoende_av_klimat*VLOOKUP($A210,Leveranser_per_nät,'Leveranser per nät'!N$1,FALSE)
               +Andel_beroende_av_klimat*VLOOKUP($A210,Leveranser_per_nät,'Leveranser per nät'!N$1,FALSE)/VLOOKUP($B210,Korrigeringsfaktor_EI,'Korrigeringsfaktor EI'!N$1,FALSE),
"")</f>
        <v>38.935255319148943</v>
      </c>
      <c r="O210" s="18">
        <f>IFERROR(
                  Andel_oberoende_av_klimat*VLOOKUP($A210,Leveranser_per_nät,'Leveranser per nät'!O$1,FALSE)
               +Andel_beroende_av_klimat*VLOOKUP($A210,Leveranser_per_nät,'Leveranser per nät'!O$1,FALSE)/VLOOKUP($B210,Korrigeringsfaktor_EI,'Korrigeringsfaktor EI'!O$1,FALSE),
"")</f>
        <v>10.502608695652174</v>
      </c>
      <c r="P210" s="18">
        <f>IFERROR(
                  Andel_oberoende_av_klimat*VLOOKUP($A210,Leveranser_per_nät,'Leveranser per nät'!P$1,FALSE)
               +Andel_beroende_av_klimat*VLOOKUP($A210,Leveranser_per_nät,'Leveranser per nät'!P$1,FALSE)/VLOOKUP($B210,Korrigeringsfaktor_EI,'Korrigeringsfaktor EI'!P$1,FALSE),
"")</f>
        <v>43.828762886597936</v>
      </c>
      <c r="Q210" s="18">
        <f>IFERROR(
                  Andel_oberoende_av_klimat*VLOOKUP($A210,Leveranser_per_nät,'Leveranser per nät'!Q$1,FALSE)
               +Andel_beroende_av_klimat*VLOOKUP($A210,Leveranser_per_nät,'Leveranser per nät'!Q$1,FALSE)/VLOOKUP($B210,Korrigeringsfaktor_EI,'Korrigeringsfaktor EI'!Q$1,FALSE),
"")</f>
        <v>49.072153153153145</v>
      </c>
      <c r="R210" s="18">
        <f>IFERROR(
                  Andel_oberoende_av_klimat*VLOOKUP($A210,Leveranser_per_nät,'Leveranser per nät'!R$1,FALSE)
               +Andel_beroende_av_klimat*VLOOKUP($A210,Leveranser_per_nät,'Leveranser per nät'!R$1,FALSE)/VLOOKUP($B210,Korrigeringsfaktor_EI,'Korrigeringsfaktor EI'!R$1,FALSE),
"")</f>
        <v>42.96521739130435</v>
      </c>
      <c r="S210" s="18">
        <f>IFERROR(
                  Andel_oberoende_av_klimat*VLOOKUP($A210,Leveranser_per_nät,'Leveranser per nät'!S$1,FALSE)
               +Andel_beroende_av_klimat*VLOOKUP($A210,Leveranser_per_nät,'Leveranser per nät'!S$1,FALSE)/VLOOKUP($B210,Korrigeringsfaktor_EI,'Korrigeringsfaktor EI'!S$1,FALSE),
"")</f>
        <v>43.304040404040407</v>
      </c>
      <c r="T210" s="18">
        <f>IFERROR(
                  Andel_oberoende_av_klimat*VLOOKUP($A210,Leveranser_per_nät,'Leveranser per nät'!T$1,FALSE)
               +Andel_beroende_av_klimat*VLOOKUP($A210,Leveranser_per_nät,'Leveranser per nät'!T$1,FALSE)/VLOOKUP($B210,Korrigeringsfaktor_EI,'Korrigeringsfaktor EI'!T$1,FALSE),
"")</f>
        <v>64.284210526315789</v>
      </c>
      <c r="U210" s="18">
        <f>IFERROR(
                  Andel_oberoende_av_klimat*VLOOKUP($A210,Leveranser_per_nät,'Leveranser per nät'!U$1,FALSE)
               +Andel_beroende_av_klimat*VLOOKUP($A210,Leveranser_per_nät,'Leveranser per nät'!U$1,FALSE)/VLOOKUP($B210,Korrigeringsfaktor_EI,'Korrigeringsfaktor EI'!U$1,FALSE),
"")</f>
        <v>42.033333333333331</v>
      </c>
      <c r="V210" s="18">
        <f>IFERROR(
                  Andel_oberoende_av_klimat*VLOOKUP($A210,Leveranser_per_nät,'Leveranser per nät'!V$1,FALSE)
               +Andel_beroende_av_klimat*VLOOKUP($A210,Leveranser_per_nät,'Leveranser per nät'!V$1,FALSE)/VLOOKUP($B210,Korrigeringsfaktor_EI,'Korrigeringsfaktor EI'!V$1,FALSE),
"")</f>
        <v>47.046153846153842</v>
      </c>
      <c r="W210" s="18">
        <f>IFERROR(
                  Andel_oberoende_av_klimat*VLOOKUP($A210,Leveranser_per_nät,'Leveranser per nät'!W$1,FALSE)
               +Andel_beroende_av_klimat*VLOOKUP($A210,Leveranser_per_nät,'Leveranser per nät'!W$1,FALSE)/VLOOKUP($B210,Korrigeringsfaktor_EI,'Korrigeringsfaktor EI'!W$1,FALSE),
"")</f>
        <v>43.225000000000001</v>
      </c>
      <c r="X210" s="18">
        <f>IFERROR(
                  Andel_oberoende_av_klimat*VLOOKUP($A210,Leveranser_per_nät,'Leveranser per nät'!X$1,FALSE)
               +Andel_beroende_av_klimat*VLOOKUP($A210,Leveranser_per_nät,'Leveranser per nät'!X$1,FALSE)/VLOOKUP($B210,Korrigeringsfaktor_EI,'Korrigeringsfaktor EI'!X$1,FALSE),
"")</f>
        <v>48.017525773195878</v>
      </c>
      <c r="Y210" s="18">
        <f>IFERROR(
                  Andel_oberoende_av_klimat*VLOOKUP($A210,Leveranser_per_nät,'Leveranser per nät'!Y$1,FALSE)
               +Andel_beroende_av_klimat*VLOOKUP($A210,Leveranser_per_nät,'Leveranser per nät'!Y$1,FALSE)/VLOOKUP($B210,Korrigeringsfaktor_EI,'Korrigeringsfaktor EI'!Y$1,FALSE),
"")</f>
        <v>46.820678947368421</v>
      </c>
      <c r="Z210" s="18">
        <f>IFERROR(
                  Andel_oberoende_av_klimat*VLOOKUP($A210,Leveranser_per_nät,'Leveranser per nät'!Z$1,FALSE)
               +Andel_beroende_av_klimat*VLOOKUP($A210,Leveranser_per_nät,'Leveranser per nät'!Z$1,FALSE)/VLOOKUP($B210,Korrigeringsfaktor_EI,'Korrigeringsfaktor EI'!Z$1,FALSE),
"")</f>
        <v>46.009834042553194</v>
      </c>
      <c r="AA210" s="18">
        <f>IFERROR(
                  Andel_oberoende_av_klimat*VLOOKUP($A210,Leveranser_per_nät,'Leveranser per nät'!AA$1,FALSE)
               +Andel_beroende_av_klimat*VLOOKUP($A210,Leveranser_per_nät,'Leveranser per nät'!AA$1,FALSE)/VLOOKUP($B210,Korrigeringsfaktor_EI,'Korrigeringsfaktor EI'!AA$1,FALSE),
"")</f>
        <v>43.679594353640418</v>
      </c>
      <c r="AB210" s="18">
        <f>IFERROR(
                  Andel_oberoende_av_klimat*VLOOKUP($A210,Leveranser_per_nät,'Leveranser per nät'!AB$1,FALSE)
               +Andel_beroende_av_klimat*VLOOKUP($A210,Leveranser_per_nät,'Leveranser per nät'!AB$1,FALSE)/VLOOKUP($B210,Korrigeringsfaktor_EI,'Korrigeringsfaktor EI'!AB$1,FALSE),
"")</f>
        <v>45.136852941176471</v>
      </c>
      <c r="AC210" s="18">
        <f>IFERROR(
                  Andel_oberoende_av_klimat*VLOOKUP($A210,Leveranser_per_nät,'Leveranser per nät'!AC$1,FALSE)
               +Andel_beroende_av_klimat*VLOOKUP($A210,Leveranser_per_nät,'Leveranser per nät'!AC$1,FALSE)/VLOOKUP($B210,Korrigeringsfaktor_EI,'Korrigeringsfaktor EI'!AC$1,FALSE),
"")</f>
        <v>42.441628895768829</v>
      </c>
      <c r="AD210">
        <v>41.512</v>
      </c>
    </row>
    <row r="211" spans="1:30" x14ac:dyDescent="0.25">
      <c r="A211" t="s">
        <v>34</v>
      </c>
      <c r="B211" t="s">
        <v>34</v>
      </c>
      <c r="C211" s="18">
        <f>IFERROR(
                  Andel_oberoende_av_klimat*VLOOKUP($A211,Leveranser_per_nät,'Leveranser per nät'!C$1,FALSE)
               +Andel_beroende_av_klimat*VLOOKUP($A211,Leveranser_per_nät,'Leveranser per nät'!C$1,FALSE)/VLOOKUP($B211,Korrigeringsfaktor_EI,'Korrigeringsfaktor EI'!C$1,FALSE),
"")</f>
        <v>201.01621621621621</v>
      </c>
      <c r="D211" s="18">
        <f>IFERROR(
                  Andel_oberoende_av_klimat*VLOOKUP($A211,Leveranser_per_nät,'Leveranser per nät'!D$1,FALSE)
               +Andel_beroende_av_klimat*VLOOKUP($A211,Leveranser_per_nät,'Leveranser per nät'!D$1,FALSE)/VLOOKUP($B211,Korrigeringsfaktor_EI,'Korrigeringsfaktor EI'!D$1,FALSE),
"")</f>
        <v>202.92378217821783</v>
      </c>
      <c r="E211" s="18">
        <f>IFERROR(
                  Andel_oberoende_av_klimat*VLOOKUP($A211,Leveranser_per_nät,'Leveranser per nät'!E$1,FALSE)
               +Andel_beroende_av_klimat*VLOOKUP($A211,Leveranser_per_nät,'Leveranser per nät'!E$1,FALSE)/VLOOKUP($B211,Korrigeringsfaktor_EI,'Korrigeringsfaktor EI'!E$1,FALSE),
"")</f>
        <v>213.10384615384612</v>
      </c>
      <c r="F211" s="18">
        <f>IFERROR(
                  Andel_oberoende_av_klimat*VLOOKUP($A211,Leveranser_per_nät,'Leveranser per nät'!F$1,FALSE)
               +Andel_beroende_av_klimat*VLOOKUP($A211,Leveranser_per_nät,'Leveranser per nät'!F$1,FALSE)/VLOOKUP($B211,Korrigeringsfaktor_EI,'Korrigeringsfaktor EI'!F$1,FALSE),
"")</f>
        <v>226.41666666666669</v>
      </c>
      <c r="G211" s="18">
        <f>IFERROR(
                  Andel_oberoende_av_klimat*VLOOKUP($A211,Leveranser_per_nät,'Leveranser per nät'!G$1,FALSE)
               +Andel_beroende_av_klimat*VLOOKUP($A211,Leveranser_per_nät,'Leveranser per nät'!G$1,FALSE)/VLOOKUP($B211,Korrigeringsfaktor_EI,'Korrigeringsfaktor EI'!G$1,FALSE),
"")</f>
        <v>240.34444444444443</v>
      </c>
      <c r="H211" s="18">
        <f>IFERROR(
                  Andel_oberoende_av_klimat*VLOOKUP($A211,Leveranser_per_nät,'Leveranser per nät'!H$1,FALSE)
               +Andel_beroende_av_klimat*VLOOKUP($A211,Leveranser_per_nät,'Leveranser per nät'!H$1,FALSE)/VLOOKUP($B211,Korrigeringsfaktor_EI,'Korrigeringsfaktor EI'!H$1,FALSE),
"")</f>
        <v>249.05833333333334</v>
      </c>
      <c r="I211" s="18">
        <f>IFERROR(
                  Andel_oberoende_av_klimat*VLOOKUP($A211,Leveranser_per_nät,'Leveranser per nät'!I$1,FALSE)
               +Andel_beroende_av_klimat*VLOOKUP($A211,Leveranser_per_nät,'Leveranser per nät'!I$1,FALSE)/VLOOKUP($B211,Korrigeringsfaktor_EI,'Korrigeringsfaktor EI'!I$1,FALSE),
"")</f>
        <v>276.88695652173908</v>
      </c>
      <c r="J211" s="18">
        <f>IFERROR(
                  Andel_oberoende_av_klimat*VLOOKUP($A211,Leveranser_per_nät,'Leveranser per nät'!J$1,FALSE)
               +Andel_beroende_av_klimat*VLOOKUP($A211,Leveranser_per_nät,'Leveranser per nät'!J$1,FALSE)/VLOOKUP($B211,Korrigeringsfaktor_EI,'Korrigeringsfaktor EI'!J$1,FALSE),
"")</f>
        <v>279.93333333333334</v>
      </c>
      <c r="K211" s="18">
        <f>IFERROR(
                  Andel_oberoende_av_klimat*VLOOKUP($A211,Leveranser_per_nät,'Leveranser per nät'!K$1,FALSE)
               +Andel_beroende_av_klimat*VLOOKUP($A211,Leveranser_per_nät,'Leveranser per nät'!K$1,FALSE)/VLOOKUP($B211,Korrigeringsfaktor_EI,'Korrigeringsfaktor EI'!K$1,FALSE),
"")</f>
        <v>273.58240721649486</v>
      </c>
      <c r="L211" s="18">
        <f>IFERROR(
                  Andel_oberoende_av_klimat*VLOOKUP($A211,Leveranser_per_nät,'Leveranser per nät'!L$1,FALSE)
               +Andel_beroende_av_klimat*VLOOKUP($A211,Leveranser_per_nät,'Leveranser per nät'!L$1,FALSE)/VLOOKUP($B211,Korrigeringsfaktor_EI,'Korrigeringsfaktor EI'!L$1,FALSE),
"")</f>
        <v>281.58143157894739</v>
      </c>
      <c r="M211" s="18">
        <f>IFERROR(
                  Andel_oberoende_av_klimat*VLOOKUP($A211,Leveranser_per_nät,'Leveranser per nät'!M$1,FALSE)
               +Andel_beroende_av_klimat*VLOOKUP($A211,Leveranser_per_nät,'Leveranser per nät'!M$1,FALSE)/VLOOKUP($B211,Korrigeringsfaktor_EI,'Korrigeringsfaktor EI'!M$1,FALSE),
"")</f>
        <v>283.88990000000001</v>
      </c>
      <c r="N211" s="18">
        <f>IFERROR(
                  Andel_oberoende_av_klimat*VLOOKUP($A211,Leveranser_per_nät,'Leveranser per nät'!N$1,FALSE)
               +Andel_beroende_av_klimat*VLOOKUP($A211,Leveranser_per_nät,'Leveranser per nät'!N$1,FALSE)/VLOOKUP($B211,Korrigeringsfaktor_EI,'Korrigeringsfaktor EI'!N$1,FALSE),
"")</f>
        <v>295.63673793103447</v>
      </c>
      <c r="O211" s="18">
        <f>IFERROR(
                  Andel_oberoende_av_klimat*VLOOKUP($A211,Leveranser_per_nät,'Leveranser per nät'!O$1,FALSE)
               +Andel_beroende_av_klimat*VLOOKUP($A211,Leveranser_per_nät,'Leveranser per nät'!O$1,FALSE)/VLOOKUP($B211,Korrigeringsfaktor_EI,'Korrigeringsfaktor EI'!O$1,FALSE),
"")</f>
        <v>305.78357241379308</v>
      </c>
      <c r="P211" s="18">
        <f>IFERROR(
                  Andel_oberoende_av_klimat*VLOOKUP($A211,Leveranser_per_nät,'Leveranser per nät'!P$1,FALSE)
               +Andel_beroende_av_klimat*VLOOKUP($A211,Leveranser_per_nät,'Leveranser per nät'!P$1,FALSE)/VLOOKUP($B211,Korrigeringsfaktor_EI,'Korrigeringsfaktor EI'!P$1,FALSE),
"")</f>
        <v>316.05638260869569</v>
      </c>
      <c r="Q211" s="18">
        <f>IFERROR(
                  Andel_oberoende_av_klimat*VLOOKUP($A211,Leveranser_per_nät,'Leveranser per nät'!Q$1,FALSE)
               +Andel_beroende_av_klimat*VLOOKUP($A211,Leveranser_per_nät,'Leveranser per nät'!Q$1,FALSE)/VLOOKUP($B211,Korrigeringsfaktor_EI,'Korrigeringsfaktor EI'!Q$1,FALSE),
"")</f>
        <v>362.10062222222223</v>
      </c>
      <c r="R211" s="18">
        <f>IFERROR(
                  Andel_oberoende_av_klimat*VLOOKUP($A211,Leveranser_per_nät,'Leveranser per nät'!R$1,FALSE)
               +Andel_beroende_av_klimat*VLOOKUP($A211,Leveranser_per_nät,'Leveranser per nät'!R$1,FALSE)/VLOOKUP($B211,Korrigeringsfaktor_EI,'Korrigeringsfaktor EI'!R$1,FALSE),
"")</f>
        <v>359.86742022471907</v>
      </c>
      <c r="S211" s="18">
        <f>IFERROR(
                  Andel_oberoende_av_klimat*VLOOKUP($A211,Leveranser_per_nät,'Leveranser per nät'!S$1,FALSE)
               +Andel_beroende_av_klimat*VLOOKUP($A211,Leveranser_per_nät,'Leveranser per nät'!S$1,FALSE)/VLOOKUP($B211,Korrigeringsfaktor_EI,'Korrigeringsfaktor EI'!S$1,FALSE),
"")</f>
        <v>363.29583333333335</v>
      </c>
      <c r="T211" s="18">
        <f>IFERROR(
                  Andel_oberoende_av_klimat*VLOOKUP($A211,Leveranser_per_nät,'Leveranser per nät'!T$1,FALSE)
               +Andel_beroende_av_klimat*VLOOKUP($A211,Leveranser_per_nät,'Leveranser per nät'!T$1,FALSE)/VLOOKUP($B211,Korrigeringsfaktor_EI,'Korrigeringsfaktor EI'!T$1,FALSE),
"")</f>
        <v>369.32511827956984</v>
      </c>
      <c r="U211" s="18">
        <f>IFERROR(
                  Andel_oberoende_av_klimat*VLOOKUP($A211,Leveranser_per_nät,'Leveranser per nät'!U$1,FALSE)
               +Andel_beroende_av_klimat*VLOOKUP($A211,Leveranser_per_nät,'Leveranser per nät'!U$1,FALSE)/VLOOKUP($B211,Korrigeringsfaktor_EI,'Korrigeringsfaktor EI'!U$1,FALSE),
"")</f>
        <v>367.79581204819272</v>
      </c>
      <c r="V211" s="18">
        <f>IFERROR(
                  Andel_oberoende_av_klimat*VLOOKUP($A211,Leveranser_per_nät,'Leveranser per nät'!V$1,FALSE)
               +Andel_beroende_av_klimat*VLOOKUP($A211,Leveranser_per_nät,'Leveranser per nät'!V$1,FALSE)/VLOOKUP($B211,Korrigeringsfaktor_EI,'Korrigeringsfaktor EI'!V$1,FALSE),
"")</f>
        <v>371.7181137931035</v>
      </c>
      <c r="W211" s="18">
        <f>IFERROR(
                  Andel_oberoende_av_klimat*VLOOKUP($A211,Leveranser_per_nät,'Leveranser per nät'!W$1,FALSE)
               +Andel_beroende_av_klimat*VLOOKUP($A211,Leveranser_per_nät,'Leveranser per nät'!W$1,FALSE)/VLOOKUP($B211,Korrigeringsfaktor_EI,'Korrigeringsfaktor EI'!W$1,FALSE),
"")</f>
        <v>381.06116521739125</v>
      </c>
      <c r="X211" s="18">
        <f>IFERROR(
                  Andel_oberoende_av_klimat*VLOOKUP($A211,Leveranser_per_nät,'Leveranser per nät'!X$1,FALSE)
               +Andel_beroende_av_klimat*VLOOKUP($A211,Leveranser_per_nät,'Leveranser per nät'!X$1,FALSE)/VLOOKUP($B211,Korrigeringsfaktor_EI,'Korrigeringsfaktor EI'!X$1,FALSE),
"")</f>
        <v>381.28662307692309</v>
      </c>
      <c r="Y211" s="18">
        <f>IFERROR(
                  Andel_oberoende_av_klimat*VLOOKUP($A211,Leveranser_per_nät,'Leveranser per nät'!Y$1,FALSE)
               +Andel_beroende_av_klimat*VLOOKUP($A211,Leveranser_per_nät,'Leveranser per nät'!Y$1,FALSE)/VLOOKUP($B211,Korrigeringsfaktor_EI,'Korrigeringsfaktor EI'!Y$1,FALSE),
"")</f>
        <v>396.3067767441861</v>
      </c>
      <c r="Z211" s="18">
        <f>IFERROR(
                  Andel_oberoende_av_klimat*VLOOKUP($A211,Leveranser_per_nät,'Leveranser per nät'!Z$1,FALSE)
               +Andel_beroende_av_klimat*VLOOKUP($A211,Leveranser_per_nät,'Leveranser per nät'!Z$1,FALSE)/VLOOKUP($B211,Korrigeringsfaktor_EI,'Korrigeringsfaktor EI'!Z$1,FALSE),
"")</f>
        <v>389.4341554216868</v>
      </c>
      <c r="AA211" s="18">
        <f>IFERROR(
                  Andel_oberoende_av_klimat*VLOOKUP($A211,Leveranser_per_nät,'Leveranser per nät'!AA$1,FALSE)
               +Andel_beroende_av_klimat*VLOOKUP($A211,Leveranser_per_nät,'Leveranser per nät'!AA$1,FALSE)/VLOOKUP($B211,Korrigeringsfaktor_EI,'Korrigeringsfaktor EI'!AA$1,FALSE),
"")</f>
        <v>370.19057317801673</v>
      </c>
      <c r="AB211" s="18">
        <f>IFERROR(
                  Andel_oberoende_av_klimat*VLOOKUP($A211,Leveranser_per_nät,'Leveranser per nät'!AB$1,FALSE)
               +Andel_beroende_av_klimat*VLOOKUP($A211,Leveranser_per_nät,'Leveranser per nät'!AB$1,FALSE)/VLOOKUP($B211,Korrigeringsfaktor_EI,'Korrigeringsfaktor EI'!AB$1,FALSE),
"")</f>
        <v>360.95783043478258</v>
      </c>
      <c r="AC211" s="18">
        <f>IFERROR(
                  Andel_oberoende_av_klimat*VLOOKUP($A211,Leveranser_per_nät,'Leveranser per nät'!AC$1,FALSE)
               +Andel_beroende_av_klimat*VLOOKUP($A211,Leveranser_per_nät,'Leveranser per nät'!AC$1,FALSE)/VLOOKUP($B211,Korrigeringsfaktor_EI,'Korrigeringsfaktor EI'!AC$1,FALSE),
"")</f>
        <v>349.29777662753463</v>
      </c>
      <c r="AD211">
        <v>333.59699999999998</v>
      </c>
    </row>
    <row r="212" spans="1:30" x14ac:dyDescent="0.25">
      <c r="A212" t="s">
        <v>268</v>
      </c>
      <c r="B212" t="s">
        <v>259</v>
      </c>
      <c r="C212" s="18">
        <f>IFERROR(
                  Andel_oberoende_av_klimat*VLOOKUP($A212,Leveranser_per_nät,'Leveranser per nät'!C$1,FALSE)
               +Andel_beroende_av_klimat*VLOOKUP($A212,Leveranser_per_nät,'Leveranser per nät'!C$1,FALSE)/VLOOKUP($B212,Korrigeringsfaktor_EI,'Korrigeringsfaktor EI'!C$1,FALSE),
"")</f>
        <v>0</v>
      </c>
      <c r="D212" s="18">
        <f>IFERROR(
                  Andel_oberoende_av_klimat*VLOOKUP($A212,Leveranser_per_nät,'Leveranser per nät'!D$1,FALSE)
               +Andel_beroende_av_klimat*VLOOKUP($A212,Leveranser_per_nät,'Leveranser per nät'!D$1,FALSE)/VLOOKUP($B212,Korrigeringsfaktor_EI,'Korrigeringsfaktor EI'!D$1,FALSE),
"")</f>
        <v>0</v>
      </c>
      <c r="E212" s="18">
        <f>IFERROR(
                  Andel_oberoende_av_klimat*VLOOKUP($A212,Leveranser_per_nät,'Leveranser per nät'!E$1,FALSE)
               +Andel_beroende_av_klimat*VLOOKUP($A212,Leveranser_per_nät,'Leveranser per nät'!E$1,FALSE)/VLOOKUP($B212,Korrigeringsfaktor_EI,'Korrigeringsfaktor EI'!E$1,FALSE),
"")</f>
        <v>0</v>
      </c>
      <c r="F212" s="18">
        <f>IFERROR(
                  Andel_oberoende_av_klimat*VLOOKUP($A212,Leveranser_per_nät,'Leveranser per nät'!F$1,FALSE)
               +Andel_beroende_av_klimat*VLOOKUP($A212,Leveranser_per_nät,'Leveranser per nät'!F$1,FALSE)/VLOOKUP($B212,Korrigeringsfaktor_EI,'Korrigeringsfaktor EI'!F$1,FALSE),
"")</f>
        <v>0</v>
      </c>
      <c r="G212" s="18">
        <f>IFERROR(
                  Andel_oberoende_av_klimat*VLOOKUP($A212,Leveranser_per_nät,'Leveranser per nät'!G$1,FALSE)
               +Andel_beroende_av_klimat*VLOOKUP($A212,Leveranser_per_nät,'Leveranser per nät'!G$1,FALSE)/VLOOKUP($B212,Korrigeringsfaktor_EI,'Korrigeringsfaktor EI'!G$1,FALSE),
"")</f>
        <v>0</v>
      </c>
      <c r="H212" s="18">
        <f>IFERROR(
                  Andel_oberoende_av_klimat*VLOOKUP($A212,Leveranser_per_nät,'Leveranser per nät'!H$1,FALSE)
               +Andel_beroende_av_klimat*VLOOKUP($A212,Leveranser_per_nät,'Leveranser per nät'!H$1,FALSE)/VLOOKUP($B212,Korrigeringsfaktor_EI,'Korrigeringsfaktor EI'!H$1,FALSE),
"")</f>
        <v>0</v>
      </c>
      <c r="I212" s="18">
        <f>IFERROR(
                  Andel_oberoende_av_klimat*VLOOKUP($A212,Leveranser_per_nät,'Leveranser per nät'!I$1,FALSE)
               +Andel_beroende_av_klimat*VLOOKUP($A212,Leveranser_per_nät,'Leveranser per nät'!I$1,FALSE)/VLOOKUP($B212,Korrigeringsfaktor_EI,'Korrigeringsfaktor EI'!I$1,FALSE),
"")</f>
        <v>0</v>
      </c>
      <c r="J212" s="18">
        <f>IFERROR(
                  Andel_oberoende_av_klimat*VLOOKUP($A212,Leveranser_per_nät,'Leveranser per nät'!J$1,FALSE)
               +Andel_beroende_av_klimat*VLOOKUP($A212,Leveranser_per_nät,'Leveranser per nät'!J$1,FALSE)/VLOOKUP($B212,Korrigeringsfaktor_EI,'Korrigeringsfaktor EI'!J$1,FALSE),
"")</f>
        <v>0</v>
      </c>
      <c r="K212" s="18">
        <f>IFERROR(
                  Andel_oberoende_av_klimat*VLOOKUP($A212,Leveranser_per_nät,'Leveranser per nät'!K$1,FALSE)
               +Andel_beroende_av_klimat*VLOOKUP($A212,Leveranser_per_nät,'Leveranser per nät'!K$1,FALSE)/VLOOKUP($B212,Korrigeringsfaktor_EI,'Korrigeringsfaktor EI'!K$1,FALSE),
"")</f>
        <v>0</v>
      </c>
      <c r="L212" s="18">
        <f>IFERROR(
                  Andel_oberoende_av_klimat*VLOOKUP($A212,Leveranser_per_nät,'Leveranser per nät'!L$1,FALSE)
               +Andel_beroende_av_klimat*VLOOKUP($A212,Leveranser_per_nät,'Leveranser per nät'!L$1,FALSE)/VLOOKUP($B212,Korrigeringsfaktor_EI,'Korrigeringsfaktor EI'!L$1,FALSE),
"")</f>
        <v>1.2152772340425533</v>
      </c>
      <c r="M212" s="18">
        <f>IFERROR(
                  Andel_oberoende_av_klimat*VLOOKUP($A212,Leveranser_per_nät,'Leveranser per nät'!M$1,FALSE)
               +Andel_beroende_av_klimat*VLOOKUP($A212,Leveranser_per_nät,'Leveranser per nät'!M$1,FALSE)/VLOOKUP($B212,Korrigeringsfaktor_EI,'Korrigeringsfaktor EI'!M$1,FALSE),
"")</f>
        <v>1.20902</v>
      </c>
      <c r="N212" s="18">
        <f>IFERROR(
                  Andel_oberoende_av_klimat*VLOOKUP($A212,Leveranser_per_nät,'Leveranser per nät'!N$1,FALSE)
               +Andel_beroende_av_klimat*VLOOKUP($A212,Leveranser_per_nät,'Leveranser per nät'!N$1,FALSE)/VLOOKUP($B212,Korrigeringsfaktor_EI,'Korrigeringsfaktor EI'!N$1,FALSE),
"")</f>
        <v>1.1571157894736843</v>
      </c>
      <c r="O212" s="18">
        <f>IFERROR(
                  Andel_oberoende_av_klimat*VLOOKUP($A212,Leveranser_per_nät,'Leveranser per nät'!O$1,FALSE)
               +Andel_beroende_av_klimat*VLOOKUP($A212,Leveranser_per_nät,'Leveranser per nät'!O$1,FALSE)/VLOOKUP($B212,Korrigeringsfaktor_EI,'Korrigeringsfaktor EI'!O$1,FALSE),
"")</f>
        <v>1.1836234042553191</v>
      </c>
      <c r="P212" s="18">
        <f>IFERROR(
                  Andel_oberoende_av_klimat*VLOOKUP($A212,Leveranser_per_nät,'Leveranser per nät'!P$1,FALSE)
               +Andel_beroende_av_klimat*VLOOKUP($A212,Leveranser_per_nät,'Leveranser per nät'!P$1,FALSE)/VLOOKUP($B212,Korrigeringsfaktor_EI,'Korrigeringsfaktor EI'!P$1,FALSE),
"")</f>
        <v>1.3165428571428572</v>
      </c>
      <c r="Q212" s="18">
        <f>IFERROR(
                  Andel_oberoende_av_klimat*VLOOKUP($A212,Leveranser_per_nät,'Leveranser per nät'!Q$1,FALSE)
               +Andel_beroende_av_klimat*VLOOKUP($A212,Leveranser_per_nät,'Leveranser per nät'!Q$1,FALSE)/VLOOKUP($B212,Korrigeringsfaktor_EI,'Korrigeringsfaktor EI'!Q$1,FALSE),
"")</f>
        <v>1.2474752293577982</v>
      </c>
      <c r="R212" s="18">
        <f>IFERROR(
                  Andel_oberoende_av_klimat*VLOOKUP($A212,Leveranser_per_nät,'Leveranser per nät'!R$1,FALSE)
               +Andel_beroende_av_klimat*VLOOKUP($A212,Leveranser_per_nät,'Leveranser per nät'!R$1,FALSE)/VLOOKUP($B212,Korrigeringsfaktor_EI,'Korrigeringsfaktor EI'!R$1,FALSE),
"")</f>
        <v>0.8607307692307693</v>
      </c>
      <c r="S212" s="18">
        <f>IFERROR(
                  Andel_oberoende_av_klimat*VLOOKUP($A212,Leveranser_per_nät,'Leveranser per nät'!S$1,FALSE)
               +Andel_beroende_av_klimat*VLOOKUP($A212,Leveranser_per_nät,'Leveranser per nät'!S$1,FALSE)/VLOOKUP($B212,Korrigeringsfaktor_EI,'Korrigeringsfaktor EI'!S$1,FALSE),
"")</f>
        <v>0.80438613861386132</v>
      </c>
      <c r="T212" s="18">
        <f>IFERROR(
                  Andel_oberoende_av_klimat*VLOOKUP($A212,Leveranser_per_nät,'Leveranser per nät'!T$1,FALSE)
               +Andel_beroende_av_klimat*VLOOKUP($A212,Leveranser_per_nät,'Leveranser per nät'!T$1,FALSE)/VLOOKUP($B212,Korrigeringsfaktor_EI,'Korrigeringsfaktor EI'!T$1,FALSE),
"")</f>
        <v>0.68951075268817197</v>
      </c>
      <c r="U212" s="18">
        <f>IFERROR(
                  Andel_oberoende_av_klimat*VLOOKUP($A212,Leveranser_per_nät,'Leveranser per nät'!U$1,FALSE)
               +Andel_beroende_av_klimat*VLOOKUP($A212,Leveranser_per_nät,'Leveranser per nät'!U$1,FALSE)/VLOOKUP($B212,Korrigeringsfaktor_EI,'Korrigeringsfaktor EI'!U$1,FALSE),
"")</f>
        <v>0.53888888888888886</v>
      </c>
      <c r="V212" s="18">
        <f>IFERROR(
                  Andel_oberoende_av_klimat*VLOOKUP($A212,Leveranser_per_nät,'Leveranser per nät'!V$1,FALSE)
               +Andel_beroende_av_klimat*VLOOKUP($A212,Leveranser_per_nät,'Leveranser per nät'!V$1,FALSE)/VLOOKUP($B212,Korrigeringsfaktor_EI,'Korrigeringsfaktor EI'!V$1,FALSE),
"")</f>
        <v>0.26189999999999997</v>
      </c>
      <c r="W212" s="18" t="str">
        <f>IFERROR(
                  Andel_oberoende_av_klimat*VLOOKUP($A212,Leveranser_per_nät,'Leveranser per nät'!W$1,FALSE)
               +Andel_beroende_av_klimat*VLOOKUP($A212,Leveranser_per_nät,'Leveranser per nät'!W$1,FALSE)/VLOOKUP($B212,Korrigeringsfaktor_EI,'Korrigeringsfaktor EI'!W$1,FALSE),
"")</f>
        <v/>
      </c>
      <c r="X212" s="18" t="str">
        <f>IFERROR(
                  Andel_oberoende_av_klimat*VLOOKUP($A212,Leveranser_per_nät,'Leveranser per nät'!X$1,FALSE)
               +Andel_beroende_av_klimat*VLOOKUP($A212,Leveranser_per_nät,'Leveranser per nät'!X$1,FALSE)/VLOOKUP($B212,Korrigeringsfaktor_EI,'Korrigeringsfaktor EI'!X$1,FALSE),
"")</f>
        <v/>
      </c>
      <c r="Y212" s="18" t="str">
        <f>IFERROR(
                  Andel_oberoende_av_klimat*VLOOKUP($A212,Leveranser_per_nät,'Leveranser per nät'!Y$1,FALSE)
               +Andel_beroende_av_klimat*VLOOKUP($A212,Leveranser_per_nät,'Leveranser per nät'!Y$1,FALSE)/VLOOKUP($B212,Korrigeringsfaktor_EI,'Korrigeringsfaktor EI'!Y$1,FALSE),
"")</f>
        <v/>
      </c>
      <c r="Z212" s="18">
        <f>IFERROR(
                  Andel_oberoende_av_klimat*VLOOKUP($A212,Leveranser_per_nät,'Leveranser per nät'!Z$1,FALSE)
               +Andel_beroende_av_klimat*VLOOKUP($A212,Leveranser_per_nät,'Leveranser per nät'!Z$1,FALSE)/VLOOKUP($B212,Korrigeringsfaktor_EI,'Korrigeringsfaktor EI'!Z$1,FALSE),
"")</f>
        <v>0</v>
      </c>
      <c r="AA212" s="18" t="str">
        <f>IFERROR(
                  Andel_oberoende_av_klimat*VLOOKUP($A212,Leveranser_per_nät,'Leveranser per nät'!AA$1,FALSE)
               +Andel_beroende_av_klimat*VLOOKUP($A212,Leveranser_per_nät,'Leveranser per nät'!AA$1,FALSE)/VLOOKUP($B212,Korrigeringsfaktor_EI,'Korrigeringsfaktor EI'!AA$1,FALSE),
"")</f>
        <v/>
      </c>
      <c r="AB212" s="18">
        <f>IFERROR(
                  Andel_oberoende_av_klimat*VLOOKUP($A212,Leveranser_per_nät,'Leveranser per nät'!AB$1,FALSE)
               +Andel_beroende_av_klimat*VLOOKUP($A212,Leveranser_per_nät,'Leveranser per nät'!AB$1,FALSE)/VLOOKUP($B212,Korrigeringsfaktor_EI,'Korrigeringsfaktor EI'!AB$1,FALSE),
"")</f>
        <v>0</v>
      </c>
      <c r="AC212" s="18">
        <f>IFERROR(
                  Andel_oberoende_av_klimat*VLOOKUP($A212,Leveranser_per_nät,'Leveranser per nät'!AC$1,FALSE)
               +Andel_beroende_av_klimat*VLOOKUP($A212,Leveranser_per_nät,'Leveranser per nät'!AC$1,FALSE)/VLOOKUP($B212,Korrigeringsfaktor_EI,'Korrigeringsfaktor EI'!AC$1,FALSE),
"")</f>
        <v>0</v>
      </c>
      <c r="AD212">
        <v>94.608599999999996</v>
      </c>
    </row>
    <row r="213" spans="1:30" x14ac:dyDescent="0.25">
      <c r="A213" t="s">
        <v>172</v>
      </c>
      <c r="B213" t="s">
        <v>172</v>
      </c>
      <c r="C213" s="18">
        <f>IFERROR(
                  Andel_oberoende_av_klimat*VLOOKUP($A213,Leveranser_per_nät,'Leveranser per nät'!C$1,FALSE)
               +Andel_beroende_av_klimat*VLOOKUP($A213,Leveranser_per_nät,'Leveranser per nät'!C$1,FALSE)/VLOOKUP($B213,Korrigeringsfaktor_EI,'Korrigeringsfaktor EI'!C$1,FALSE),
"")</f>
        <v>60.114953271028028</v>
      </c>
      <c r="D213" s="18">
        <f>IFERROR(
                  Andel_oberoende_av_klimat*VLOOKUP($A213,Leveranser_per_nät,'Leveranser per nät'!D$1,FALSE)
               +Andel_beroende_av_klimat*VLOOKUP($A213,Leveranser_per_nät,'Leveranser per nät'!D$1,FALSE)/VLOOKUP($B213,Korrigeringsfaktor_EI,'Korrigeringsfaktor EI'!D$1,FALSE),
"")</f>
        <v>76.133319587628861</v>
      </c>
      <c r="E213" s="18">
        <f>IFERROR(
                  Andel_oberoende_av_klimat*VLOOKUP($A213,Leveranser_per_nät,'Leveranser per nät'!E$1,FALSE)
               +Andel_beroende_av_klimat*VLOOKUP($A213,Leveranser_per_nät,'Leveranser per nät'!E$1,FALSE)/VLOOKUP($B213,Korrigeringsfaktor_EI,'Korrigeringsfaktor EI'!E$1,FALSE),
"")</f>
        <v>73.477450980392163</v>
      </c>
      <c r="F213" s="18">
        <f>IFERROR(
                  Andel_oberoende_av_klimat*VLOOKUP($A213,Leveranser_per_nät,'Leveranser per nät'!F$1,FALSE)
               +Andel_beroende_av_klimat*VLOOKUP($A213,Leveranser_per_nät,'Leveranser per nät'!F$1,FALSE)/VLOOKUP($B213,Korrigeringsfaktor_EI,'Korrigeringsfaktor EI'!F$1,FALSE),
"")</f>
        <v>85.14528969072164</v>
      </c>
      <c r="G213" s="18">
        <f>IFERROR(
                  Andel_oberoende_av_klimat*VLOOKUP($A213,Leveranser_per_nät,'Leveranser per nät'!G$1,FALSE)
               +Andel_beroende_av_klimat*VLOOKUP($A213,Leveranser_per_nät,'Leveranser per nät'!G$1,FALSE)/VLOOKUP($B213,Korrigeringsfaktor_EI,'Korrigeringsfaktor EI'!G$1,FALSE),
"")</f>
        <v>82.5752808988764</v>
      </c>
      <c r="H213" s="18">
        <f>IFERROR(
                  Andel_oberoende_av_klimat*VLOOKUP($A213,Leveranser_per_nät,'Leveranser per nät'!H$1,FALSE)
               +Andel_beroende_av_klimat*VLOOKUP($A213,Leveranser_per_nät,'Leveranser per nät'!H$1,FALSE)/VLOOKUP($B213,Korrigeringsfaktor_EI,'Korrigeringsfaktor EI'!H$1,FALSE),
"")</f>
        <v>89.27658235294119</v>
      </c>
      <c r="I213" s="18">
        <f>IFERROR(
                  Andel_oberoende_av_klimat*VLOOKUP($A213,Leveranser_per_nät,'Leveranser per nät'!I$1,FALSE)
               +Andel_beroende_av_klimat*VLOOKUP($A213,Leveranser_per_nät,'Leveranser per nät'!I$1,FALSE)/VLOOKUP($B213,Korrigeringsfaktor_EI,'Korrigeringsfaktor EI'!I$1,FALSE),
"")</f>
        <v>93.591265979381461</v>
      </c>
      <c r="J213" s="18">
        <f>IFERROR(
                  Andel_oberoende_av_klimat*VLOOKUP($A213,Leveranser_per_nät,'Leveranser per nät'!J$1,FALSE)
               +Andel_beroende_av_klimat*VLOOKUP($A213,Leveranser_per_nät,'Leveranser per nät'!J$1,FALSE)/VLOOKUP($B213,Korrigeringsfaktor_EI,'Korrigeringsfaktor EI'!J$1,FALSE),
"")</f>
        <v>96.053871428571426</v>
      </c>
      <c r="K213" s="18">
        <f>IFERROR(
                  Andel_oberoende_av_klimat*VLOOKUP($A213,Leveranser_per_nät,'Leveranser per nät'!K$1,FALSE)
               +Andel_beroende_av_klimat*VLOOKUP($A213,Leveranser_per_nät,'Leveranser per nät'!K$1,FALSE)/VLOOKUP($B213,Korrigeringsfaktor_EI,'Korrigeringsfaktor EI'!K$1,FALSE),
"")</f>
        <v>97.911821649484537</v>
      </c>
      <c r="L213" s="18">
        <f>IFERROR(
                  Andel_oberoende_av_klimat*VLOOKUP($A213,Leveranser_per_nät,'Leveranser per nät'!L$1,FALSE)
               +Andel_beroende_av_klimat*VLOOKUP($A213,Leveranser_per_nät,'Leveranser per nät'!L$1,FALSE)/VLOOKUP($B213,Korrigeringsfaktor_EI,'Korrigeringsfaktor EI'!L$1,FALSE),
"")</f>
        <v>96.685212765957445</v>
      </c>
      <c r="M213" s="18">
        <f>IFERROR(
                  Andel_oberoende_av_klimat*VLOOKUP($A213,Leveranser_per_nät,'Leveranser per nät'!M$1,FALSE)
               +Andel_beroende_av_klimat*VLOOKUP($A213,Leveranser_per_nät,'Leveranser per nät'!M$1,FALSE)/VLOOKUP($B213,Korrigeringsfaktor_EI,'Korrigeringsfaktor EI'!M$1,FALSE),
"")</f>
        <v>97.573666666666654</v>
      </c>
      <c r="N213" s="18">
        <f>IFERROR(
                  Andel_oberoende_av_klimat*VLOOKUP($A213,Leveranser_per_nät,'Leveranser per nät'!N$1,FALSE)
               +Andel_beroende_av_klimat*VLOOKUP($A213,Leveranser_per_nät,'Leveranser per nät'!N$1,FALSE)/VLOOKUP($B213,Korrigeringsfaktor_EI,'Korrigeringsfaktor EI'!N$1,FALSE),
"")</f>
        <v>97.623143010752685</v>
      </c>
      <c r="O213" s="18">
        <f>IFERROR(
                  Andel_oberoende_av_klimat*VLOOKUP($A213,Leveranser_per_nät,'Leveranser per nät'!O$1,FALSE)
               +Andel_beroende_av_klimat*VLOOKUP($A213,Leveranser_per_nät,'Leveranser per nät'!O$1,FALSE)/VLOOKUP($B213,Korrigeringsfaktor_EI,'Korrigeringsfaktor EI'!O$1,FALSE),
"")</f>
        <v>97.605800000000002</v>
      </c>
      <c r="P213" s="18">
        <f>IFERROR(
                  Andel_oberoende_av_klimat*VLOOKUP($A213,Leveranser_per_nät,'Leveranser per nät'!P$1,FALSE)
               +Andel_beroende_av_klimat*VLOOKUP($A213,Leveranser_per_nät,'Leveranser per nät'!P$1,FALSE)/VLOOKUP($B213,Korrigeringsfaktor_EI,'Korrigeringsfaktor EI'!P$1,FALSE),
"")</f>
        <v>99.4923</v>
      </c>
      <c r="Q213" s="18">
        <f>IFERROR(
                  Andel_oberoende_av_klimat*VLOOKUP($A213,Leveranser_per_nät,'Leveranser per nät'!Q$1,FALSE)
               +Andel_beroende_av_klimat*VLOOKUP($A213,Leveranser_per_nät,'Leveranser per nät'!Q$1,FALSE)/VLOOKUP($B213,Korrigeringsfaktor_EI,'Korrigeringsfaktor EI'!Q$1,FALSE),
"")</f>
        <v>110.66361415929204</v>
      </c>
      <c r="R213" s="18">
        <f>IFERROR(
                  Andel_oberoende_av_klimat*VLOOKUP($A213,Leveranser_per_nät,'Leveranser per nät'!R$1,FALSE)
               +Andel_beroende_av_klimat*VLOOKUP($A213,Leveranser_per_nät,'Leveranser per nät'!R$1,FALSE)/VLOOKUP($B213,Korrigeringsfaktor_EI,'Korrigeringsfaktor EI'!R$1,FALSE),
"")</f>
        <v>119.3337111111111</v>
      </c>
      <c r="S213" s="18">
        <f>IFERROR(
                  Andel_oberoende_av_klimat*VLOOKUP($A213,Leveranser_per_nät,'Leveranser per nät'!S$1,FALSE)
               +Andel_beroende_av_klimat*VLOOKUP($A213,Leveranser_per_nät,'Leveranser per nät'!S$1,FALSE)/VLOOKUP($B213,Korrigeringsfaktor_EI,'Korrigeringsfaktor EI'!S$1,FALSE),
"")</f>
        <v>106.74949494949493</v>
      </c>
      <c r="T213" s="18">
        <f>IFERROR(
                  Andel_oberoende_av_klimat*VLOOKUP($A213,Leveranser_per_nät,'Leveranser per nät'!T$1,FALSE)
               +Andel_beroende_av_klimat*VLOOKUP($A213,Leveranser_per_nät,'Leveranser per nät'!T$1,FALSE)/VLOOKUP($B213,Korrigeringsfaktor_EI,'Korrigeringsfaktor EI'!T$1,FALSE),
"")</f>
        <v>105.7578947368421</v>
      </c>
      <c r="U213" s="18">
        <f>IFERROR(
                  Andel_oberoende_av_klimat*VLOOKUP($A213,Leveranser_per_nät,'Leveranser per nät'!U$1,FALSE)
               +Andel_beroende_av_klimat*VLOOKUP($A213,Leveranser_per_nät,'Leveranser per nät'!U$1,FALSE)/VLOOKUP($B213,Korrigeringsfaktor_EI,'Korrigeringsfaktor EI'!U$1,FALSE),
"")</f>
        <v>97.49545454545455</v>
      </c>
      <c r="V213" s="18">
        <f>IFERROR(
                  Andel_oberoende_av_klimat*VLOOKUP($A213,Leveranser_per_nät,'Leveranser per nät'!V$1,FALSE)
               +Andel_beroende_av_klimat*VLOOKUP($A213,Leveranser_per_nät,'Leveranser per nät'!V$1,FALSE)/VLOOKUP($B213,Korrigeringsfaktor_EI,'Korrigeringsfaktor EI'!V$1,FALSE),
"")</f>
        <v>95.922222222222217</v>
      </c>
      <c r="W213" s="18">
        <f>IFERROR(
                  Andel_oberoende_av_klimat*VLOOKUP($A213,Leveranser_per_nät,'Leveranser per nät'!W$1,FALSE)
               +Andel_beroende_av_klimat*VLOOKUP($A213,Leveranser_per_nät,'Leveranser per nät'!W$1,FALSE)/VLOOKUP($B213,Korrigeringsfaktor_EI,'Korrigeringsfaktor EI'!W$1,FALSE),
"")</f>
        <v>110.37606666666667</v>
      </c>
      <c r="X213" s="18">
        <f>IFERROR(
                  Andel_oberoende_av_klimat*VLOOKUP($A213,Leveranser_per_nät,'Leveranser per nät'!X$1,FALSE)
               +Andel_beroende_av_klimat*VLOOKUP($A213,Leveranser_per_nät,'Leveranser per nät'!X$1,FALSE)/VLOOKUP($B213,Korrigeringsfaktor_EI,'Korrigeringsfaktor EI'!X$1,FALSE),
"")</f>
        <v>96.968584210526316</v>
      </c>
      <c r="Y213" s="18">
        <f>IFERROR(
                  Andel_oberoende_av_klimat*VLOOKUP($A213,Leveranser_per_nät,'Leveranser per nät'!Y$1,FALSE)
               +Andel_beroende_av_klimat*VLOOKUP($A213,Leveranser_per_nät,'Leveranser per nät'!Y$1,FALSE)/VLOOKUP($B213,Korrigeringsfaktor_EI,'Korrigeringsfaktor EI'!Y$1,FALSE),
"")</f>
        <v>99.403478260869576</v>
      </c>
      <c r="Z213" s="18">
        <f>IFERROR(
                  Andel_oberoende_av_klimat*VLOOKUP($A213,Leveranser_per_nät,'Leveranser per nät'!Z$1,FALSE)
               +Andel_beroende_av_klimat*VLOOKUP($A213,Leveranser_per_nät,'Leveranser per nät'!Z$1,FALSE)/VLOOKUP($B213,Korrigeringsfaktor_EI,'Korrigeringsfaktor EI'!Z$1,FALSE),
"")</f>
        <v>96.123846153846159</v>
      </c>
      <c r="AA213" s="18">
        <f>IFERROR(
                  Andel_oberoende_av_klimat*VLOOKUP($A213,Leveranser_per_nät,'Leveranser per nät'!AA$1,FALSE)
               +Andel_beroende_av_klimat*VLOOKUP($A213,Leveranser_per_nät,'Leveranser per nät'!AA$1,FALSE)/VLOOKUP($B213,Korrigeringsfaktor_EI,'Korrigeringsfaktor EI'!AA$1,FALSE),
"")</f>
        <v>90.344596491228074</v>
      </c>
      <c r="AB213" s="18">
        <f>IFERROR(
                  Andel_oberoende_av_klimat*VLOOKUP($A213,Leveranser_per_nät,'Leveranser per nät'!AB$1,FALSE)
               +Andel_beroende_av_klimat*VLOOKUP($A213,Leveranser_per_nät,'Leveranser per nät'!AB$1,FALSE)/VLOOKUP($B213,Korrigeringsfaktor_EI,'Korrigeringsfaktor EI'!AB$1,FALSE),
"")</f>
        <v>96.713796202531626</v>
      </c>
      <c r="AC213" s="18">
        <f>IFERROR(
                  Andel_oberoende_av_klimat*VLOOKUP($A213,Leveranser_per_nät,'Leveranser per nät'!AC$1,FALSE)
               +Andel_beroende_av_klimat*VLOOKUP($A213,Leveranser_per_nät,'Leveranser per nät'!AC$1,FALSE)/VLOOKUP($B213,Korrigeringsfaktor_EI,'Korrigeringsfaktor EI'!AC$1,FALSE),
"")</f>
        <v>93.55686353187042</v>
      </c>
      <c r="AD213" t="e">
        <v>#N/A</v>
      </c>
    </row>
    <row r="214" spans="1:30" x14ac:dyDescent="0.25">
      <c r="A214" t="s">
        <v>801</v>
      </c>
      <c r="B214" t="s">
        <v>88</v>
      </c>
      <c r="C214" s="18">
        <f>IFERROR(
                  Andel_oberoende_av_klimat*VLOOKUP($A214,Leveranser_per_nät,'Leveranser per nät'!C$1,FALSE)
               +Andel_beroende_av_klimat*VLOOKUP($A214,Leveranser_per_nät,'Leveranser per nät'!C$1,FALSE)/VLOOKUP($B214,Korrigeringsfaktor_EI,'Korrigeringsfaktor EI'!C$1,FALSE),
"")</f>
        <v>0</v>
      </c>
      <c r="D214" s="18">
        <f>IFERROR(
                  Andel_oberoende_av_klimat*VLOOKUP($A214,Leveranser_per_nät,'Leveranser per nät'!D$1,FALSE)
               +Andel_beroende_av_klimat*VLOOKUP($A214,Leveranser_per_nät,'Leveranser per nät'!D$1,FALSE)/VLOOKUP($B214,Korrigeringsfaktor_EI,'Korrigeringsfaktor EI'!D$1,FALSE),
"")</f>
        <v>0</v>
      </c>
      <c r="E214" s="18">
        <f>IFERROR(
                  Andel_oberoende_av_klimat*VLOOKUP($A214,Leveranser_per_nät,'Leveranser per nät'!E$1,FALSE)
               +Andel_beroende_av_klimat*VLOOKUP($A214,Leveranser_per_nät,'Leveranser per nät'!E$1,FALSE)/VLOOKUP($B214,Korrigeringsfaktor_EI,'Korrigeringsfaktor EI'!E$1,FALSE),
"")</f>
        <v>0</v>
      </c>
      <c r="F214" s="18">
        <f>IFERROR(
                  Andel_oberoende_av_klimat*VLOOKUP($A214,Leveranser_per_nät,'Leveranser per nät'!F$1,FALSE)
               +Andel_beroende_av_klimat*VLOOKUP($A214,Leveranser_per_nät,'Leveranser per nät'!F$1,FALSE)/VLOOKUP($B214,Korrigeringsfaktor_EI,'Korrigeringsfaktor EI'!F$1,FALSE),
"")</f>
        <v>0</v>
      </c>
      <c r="G214" s="18">
        <f>IFERROR(
                  Andel_oberoende_av_klimat*VLOOKUP($A214,Leveranser_per_nät,'Leveranser per nät'!G$1,FALSE)
               +Andel_beroende_av_klimat*VLOOKUP($A214,Leveranser_per_nät,'Leveranser per nät'!G$1,FALSE)/VLOOKUP($B214,Korrigeringsfaktor_EI,'Korrigeringsfaktor EI'!G$1,FALSE),
"")</f>
        <v>0</v>
      </c>
      <c r="H214" s="18">
        <f>IFERROR(
                  Andel_oberoende_av_klimat*VLOOKUP($A214,Leveranser_per_nät,'Leveranser per nät'!H$1,FALSE)
               +Andel_beroende_av_klimat*VLOOKUP($A214,Leveranser_per_nät,'Leveranser per nät'!H$1,FALSE)/VLOOKUP($B214,Korrigeringsfaktor_EI,'Korrigeringsfaktor EI'!H$1,FALSE),
"")</f>
        <v>0</v>
      </c>
      <c r="I214" s="18">
        <f>IFERROR(
                  Andel_oberoende_av_klimat*VLOOKUP($A214,Leveranser_per_nät,'Leveranser per nät'!I$1,FALSE)
               +Andel_beroende_av_klimat*VLOOKUP($A214,Leveranser_per_nät,'Leveranser per nät'!I$1,FALSE)/VLOOKUP($B214,Korrigeringsfaktor_EI,'Korrigeringsfaktor EI'!I$1,FALSE),
"")</f>
        <v>0</v>
      </c>
      <c r="J214" s="18">
        <f>IFERROR(
                  Andel_oberoende_av_klimat*VLOOKUP($A214,Leveranser_per_nät,'Leveranser per nät'!J$1,FALSE)
               +Andel_beroende_av_klimat*VLOOKUP($A214,Leveranser_per_nät,'Leveranser per nät'!J$1,FALSE)/VLOOKUP($B214,Korrigeringsfaktor_EI,'Korrigeringsfaktor EI'!J$1,FALSE),
"")</f>
        <v>0</v>
      </c>
      <c r="K214" s="18">
        <f>IFERROR(
                  Andel_oberoende_av_klimat*VLOOKUP($A214,Leveranser_per_nät,'Leveranser per nät'!K$1,FALSE)
               +Andel_beroende_av_klimat*VLOOKUP($A214,Leveranser_per_nät,'Leveranser per nät'!K$1,FALSE)/VLOOKUP($B214,Korrigeringsfaktor_EI,'Korrigeringsfaktor EI'!K$1,FALSE),
"")</f>
        <v>0</v>
      </c>
      <c r="L214" s="18">
        <f>IFERROR(
                  Andel_oberoende_av_klimat*VLOOKUP($A214,Leveranser_per_nät,'Leveranser per nät'!L$1,FALSE)
               +Andel_beroende_av_klimat*VLOOKUP($A214,Leveranser_per_nät,'Leveranser per nät'!L$1,FALSE)/VLOOKUP($B214,Korrigeringsfaktor_EI,'Korrigeringsfaktor EI'!L$1,FALSE),
"")</f>
        <v>0</v>
      </c>
      <c r="M214" s="18">
        <f>IFERROR(
                  Andel_oberoende_av_klimat*VLOOKUP($A214,Leveranser_per_nät,'Leveranser per nät'!M$1,FALSE)
               +Andel_beroende_av_klimat*VLOOKUP($A214,Leveranser_per_nät,'Leveranser per nät'!M$1,FALSE)/VLOOKUP($B214,Korrigeringsfaktor_EI,'Korrigeringsfaktor EI'!M$1,FALSE),
"")</f>
        <v>0</v>
      </c>
      <c r="N214" s="18">
        <f>IFERROR(
                  Andel_oberoende_av_klimat*VLOOKUP($A214,Leveranser_per_nät,'Leveranser per nät'!N$1,FALSE)
               +Andel_beroende_av_klimat*VLOOKUP($A214,Leveranser_per_nät,'Leveranser per nät'!N$1,FALSE)/VLOOKUP($B214,Korrigeringsfaktor_EI,'Korrigeringsfaktor EI'!N$1,FALSE),
"")</f>
        <v>0</v>
      </c>
      <c r="O214" s="18">
        <f>IFERROR(
                  Andel_oberoende_av_klimat*VLOOKUP($A214,Leveranser_per_nät,'Leveranser per nät'!O$1,FALSE)
               +Andel_beroende_av_klimat*VLOOKUP($A214,Leveranser_per_nät,'Leveranser per nät'!O$1,FALSE)/VLOOKUP($B214,Korrigeringsfaktor_EI,'Korrigeringsfaktor EI'!O$1,FALSE),
"")</f>
        <v>0</v>
      </c>
      <c r="P214" s="18">
        <f>IFERROR(
                  Andel_oberoende_av_klimat*VLOOKUP($A214,Leveranser_per_nät,'Leveranser per nät'!P$1,FALSE)
               +Andel_beroende_av_klimat*VLOOKUP($A214,Leveranser_per_nät,'Leveranser per nät'!P$1,FALSE)/VLOOKUP($B214,Korrigeringsfaktor_EI,'Korrigeringsfaktor EI'!P$1,FALSE),
"")</f>
        <v>0</v>
      </c>
      <c r="Q214" s="18">
        <f>IFERROR(
                  Andel_oberoende_av_klimat*VLOOKUP($A214,Leveranser_per_nät,'Leveranser per nät'!Q$1,FALSE)
               +Andel_beroende_av_klimat*VLOOKUP($A214,Leveranser_per_nät,'Leveranser per nät'!Q$1,FALSE)/VLOOKUP($B214,Korrigeringsfaktor_EI,'Korrigeringsfaktor EI'!Q$1,FALSE),
"")</f>
        <v>0</v>
      </c>
      <c r="R214" s="18">
        <f>IFERROR(
                  Andel_oberoende_av_klimat*VLOOKUP($A214,Leveranser_per_nät,'Leveranser per nät'!R$1,FALSE)
               +Andel_beroende_av_klimat*VLOOKUP($A214,Leveranser_per_nät,'Leveranser per nät'!R$1,FALSE)/VLOOKUP($B214,Korrigeringsfaktor_EI,'Korrigeringsfaktor EI'!R$1,FALSE),
"")</f>
        <v>0</v>
      </c>
      <c r="S214" s="18" t="str">
        <f>IFERROR(
                  Andel_oberoende_av_klimat*VLOOKUP($A214,Leveranser_per_nät,'Leveranser per nät'!S$1,FALSE)
               +Andel_beroende_av_klimat*VLOOKUP($A214,Leveranser_per_nät,'Leveranser per nät'!S$1,FALSE)/VLOOKUP($B214,Korrigeringsfaktor_EI,'Korrigeringsfaktor EI'!S$1,FALSE),
"")</f>
        <v/>
      </c>
      <c r="T214" s="18" t="str">
        <f>IFERROR(
                  Andel_oberoende_av_klimat*VLOOKUP($A214,Leveranser_per_nät,'Leveranser per nät'!T$1,FALSE)
               +Andel_beroende_av_klimat*VLOOKUP($A214,Leveranser_per_nät,'Leveranser per nät'!T$1,FALSE)/VLOOKUP($B214,Korrigeringsfaktor_EI,'Korrigeringsfaktor EI'!T$1,FALSE),
"")</f>
        <v/>
      </c>
      <c r="U214" s="18" t="str">
        <f>IFERROR(
                  Andel_oberoende_av_klimat*VLOOKUP($A214,Leveranser_per_nät,'Leveranser per nät'!U$1,FALSE)
               +Andel_beroende_av_klimat*VLOOKUP($A214,Leveranser_per_nät,'Leveranser per nät'!U$1,FALSE)/VLOOKUP($B214,Korrigeringsfaktor_EI,'Korrigeringsfaktor EI'!U$1,FALSE),
"")</f>
        <v/>
      </c>
      <c r="V214" s="18">
        <f>IFERROR(
                  Andel_oberoende_av_klimat*VLOOKUP($A214,Leveranser_per_nät,'Leveranser per nät'!V$1,FALSE)
               +Andel_beroende_av_klimat*VLOOKUP($A214,Leveranser_per_nät,'Leveranser per nät'!V$1,FALSE)/VLOOKUP($B214,Korrigeringsfaktor_EI,'Korrigeringsfaktor EI'!V$1,FALSE),
"")</f>
        <v>2.3607045454545452</v>
      </c>
      <c r="W214" s="18">
        <f>IFERROR(
                  Andel_oberoende_av_klimat*VLOOKUP($A214,Leveranser_per_nät,'Leveranser per nät'!W$1,FALSE)
               +Andel_beroende_av_klimat*VLOOKUP($A214,Leveranser_per_nät,'Leveranser per nät'!W$1,FALSE)/VLOOKUP($B214,Korrigeringsfaktor_EI,'Korrigeringsfaktor EI'!W$1,FALSE),
"")</f>
        <v>2.226214893617021</v>
      </c>
      <c r="X214" s="18">
        <f>IFERROR(
                  Andel_oberoende_av_klimat*VLOOKUP($A214,Leveranser_per_nät,'Leveranser per nät'!X$1,FALSE)
               +Andel_beroende_av_klimat*VLOOKUP($A214,Leveranser_per_nät,'Leveranser per nät'!X$1,FALSE)/VLOOKUP($B214,Korrigeringsfaktor_EI,'Korrigeringsfaktor EI'!X$1,FALSE),
"")</f>
        <v>2.3664430107526884</v>
      </c>
      <c r="Y214" s="18">
        <f>IFERROR(
                  Andel_oberoende_av_klimat*VLOOKUP($A214,Leveranser_per_nät,'Leveranser per nät'!Y$1,FALSE)
               +Andel_beroende_av_klimat*VLOOKUP($A214,Leveranser_per_nät,'Leveranser per nät'!Y$1,FALSE)/VLOOKUP($B214,Korrigeringsfaktor_EI,'Korrigeringsfaktor EI'!Y$1,FALSE),
"")</f>
        <v>2.7500615384615386</v>
      </c>
      <c r="Z214" s="18">
        <f>IFERROR(
                  Andel_oberoende_av_klimat*VLOOKUP($A214,Leveranser_per_nät,'Leveranser per nät'!Z$1,FALSE)
               +Andel_beroende_av_klimat*VLOOKUP($A214,Leveranser_per_nät,'Leveranser per nät'!Z$1,FALSE)/VLOOKUP($B214,Korrigeringsfaktor_EI,'Korrigeringsfaktor EI'!Z$1,FALSE),
"")</f>
        <v>2.6794818181818183</v>
      </c>
      <c r="AA214" s="18">
        <f>IFERROR(
                  Andel_oberoende_av_klimat*VLOOKUP($A214,Leveranser_per_nät,'Leveranser per nät'!AA$1,FALSE)
               +Andel_beroende_av_klimat*VLOOKUP($A214,Leveranser_per_nät,'Leveranser per nät'!AA$1,FALSE)/VLOOKUP($B214,Korrigeringsfaktor_EI,'Korrigeringsfaktor EI'!AA$1,FALSE),
"")</f>
        <v>2.6809855233853006</v>
      </c>
      <c r="AB214" s="18">
        <f>IFERROR(
                  Andel_oberoende_av_klimat*VLOOKUP($A214,Leveranser_per_nät,'Leveranser per nät'!AB$1,FALSE)
               +Andel_beroende_av_klimat*VLOOKUP($A214,Leveranser_per_nät,'Leveranser per nät'!AB$1,FALSE)/VLOOKUP($B214,Korrigeringsfaktor_EI,'Korrigeringsfaktor EI'!AB$1,FALSE),
"")</f>
        <v>0</v>
      </c>
      <c r="AC214" s="18">
        <f>IFERROR(
                  Andel_oberoende_av_klimat*VLOOKUP($A214,Leveranser_per_nät,'Leveranser per nät'!AC$1,FALSE)
               +Andel_beroende_av_klimat*VLOOKUP($A214,Leveranser_per_nät,'Leveranser per nät'!AC$1,FALSE)/VLOOKUP($B214,Korrigeringsfaktor_EI,'Korrigeringsfaktor EI'!AC$1,FALSE),
"")</f>
        <v>0</v>
      </c>
      <c r="AD214" t="e">
        <v>#N/A</v>
      </c>
    </row>
    <row r="215" spans="1:30" x14ac:dyDescent="0.25">
      <c r="A215" t="s">
        <v>155</v>
      </c>
      <c r="B215" t="s">
        <v>157</v>
      </c>
      <c r="C215" s="18">
        <f>IFERROR(
                  Andel_oberoende_av_klimat*VLOOKUP($A215,Leveranser_per_nät,'Leveranser per nät'!C$1,FALSE)
               +Andel_beroende_av_klimat*VLOOKUP($A215,Leveranser_per_nät,'Leveranser per nät'!C$1,FALSE)/VLOOKUP($B215,Korrigeringsfaktor_EI,'Korrigeringsfaktor EI'!C$1,FALSE),
"")</f>
        <v>0</v>
      </c>
      <c r="D215" s="18">
        <f>IFERROR(
                  Andel_oberoende_av_klimat*VLOOKUP($A215,Leveranser_per_nät,'Leveranser per nät'!D$1,FALSE)
               +Andel_beroende_av_klimat*VLOOKUP($A215,Leveranser_per_nät,'Leveranser per nät'!D$1,FALSE)/VLOOKUP($B215,Korrigeringsfaktor_EI,'Korrigeringsfaktor EI'!D$1,FALSE),
"")</f>
        <v>0</v>
      </c>
      <c r="E215" s="18">
        <f>IFERROR(
                  Andel_oberoende_av_klimat*VLOOKUP($A215,Leveranser_per_nät,'Leveranser per nät'!E$1,FALSE)
               +Andel_beroende_av_klimat*VLOOKUP($A215,Leveranser_per_nät,'Leveranser per nät'!E$1,FALSE)/VLOOKUP($B215,Korrigeringsfaktor_EI,'Korrigeringsfaktor EI'!E$1,FALSE),
"")</f>
        <v>0</v>
      </c>
      <c r="F215" s="18">
        <f>IFERROR(
                  Andel_oberoende_av_klimat*VLOOKUP($A215,Leveranser_per_nät,'Leveranser per nät'!F$1,FALSE)
               +Andel_beroende_av_klimat*VLOOKUP($A215,Leveranser_per_nät,'Leveranser per nät'!F$1,FALSE)/VLOOKUP($B215,Korrigeringsfaktor_EI,'Korrigeringsfaktor EI'!F$1,FALSE),
"")</f>
        <v>18.25714285714286</v>
      </c>
      <c r="G215" s="18">
        <f>IFERROR(
                  Andel_oberoende_av_klimat*VLOOKUP($A215,Leveranser_per_nät,'Leveranser per nät'!G$1,FALSE)
               +Andel_beroende_av_klimat*VLOOKUP($A215,Leveranser_per_nät,'Leveranser per nät'!G$1,FALSE)/VLOOKUP($B215,Korrigeringsfaktor_EI,'Korrigeringsfaktor EI'!G$1,FALSE),
"")</f>
        <v>17.626315789473683</v>
      </c>
      <c r="H215" s="18">
        <f>IFERROR(
                  Andel_oberoende_av_klimat*VLOOKUP($A215,Leveranser_per_nät,'Leveranser per nät'!H$1,FALSE)
               +Andel_beroende_av_klimat*VLOOKUP($A215,Leveranser_per_nät,'Leveranser per nät'!H$1,FALSE)/VLOOKUP($B215,Korrigeringsfaktor_EI,'Korrigeringsfaktor EI'!H$1,FALSE),
"")</f>
        <v>19</v>
      </c>
      <c r="I215" s="18">
        <f>IFERROR(
                  Andel_oberoende_av_klimat*VLOOKUP($A215,Leveranser_per_nät,'Leveranser per nät'!I$1,FALSE)
               +Andel_beroende_av_klimat*VLOOKUP($A215,Leveranser_per_nät,'Leveranser per nät'!I$1,FALSE)/VLOOKUP($B215,Korrigeringsfaktor_EI,'Korrigeringsfaktor EI'!I$1,FALSE),
"")</f>
        <v>20.156521739130433</v>
      </c>
      <c r="J215" s="18">
        <f>IFERROR(
                  Andel_oberoende_av_klimat*VLOOKUP($A215,Leveranser_per_nät,'Leveranser per nät'!J$1,FALSE)
               +Andel_beroende_av_klimat*VLOOKUP($A215,Leveranser_per_nät,'Leveranser per nät'!J$1,FALSE)/VLOOKUP($B215,Korrigeringsfaktor_EI,'Korrigeringsfaktor EI'!J$1,FALSE),
"")</f>
        <v>21.938297872340428</v>
      </c>
      <c r="K215" s="18">
        <f>IFERROR(
                  Andel_oberoende_av_klimat*VLOOKUP($A215,Leveranser_per_nät,'Leveranser per nät'!K$1,FALSE)
               +Andel_beroende_av_klimat*VLOOKUP($A215,Leveranser_per_nät,'Leveranser per nät'!K$1,FALSE)/VLOOKUP($B215,Korrigeringsfaktor_EI,'Korrigeringsfaktor EI'!K$1,FALSE),
"")</f>
        <v>11.518233191489363</v>
      </c>
      <c r="L215" s="18">
        <f>IFERROR(
                  Andel_oberoende_av_klimat*VLOOKUP($A215,Leveranser_per_nät,'Leveranser per nät'!L$1,FALSE)
               +Andel_beroende_av_klimat*VLOOKUP($A215,Leveranser_per_nät,'Leveranser per nät'!L$1,FALSE)/VLOOKUP($B215,Korrigeringsfaktor_EI,'Korrigeringsfaktor EI'!L$1,FALSE),
"")</f>
        <v>23.978973333333336</v>
      </c>
      <c r="M215" s="18">
        <f>IFERROR(
                  Andel_oberoende_av_klimat*VLOOKUP($A215,Leveranser_per_nät,'Leveranser per nät'!M$1,FALSE)
               +Andel_beroende_av_klimat*VLOOKUP($A215,Leveranser_per_nät,'Leveranser per nät'!M$1,FALSE)/VLOOKUP($B215,Korrigeringsfaktor_EI,'Korrigeringsfaktor EI'!M$1,FALSE),
"")</f>
        <v>13.663486153846154</v>
      </c>
      <c r="N215" s="18">
        <f>IFERROR(
                  Andel_oberoende_av_klimat*VLOOKUP($A215,Leveranser_per_nät,'Leveranser per nät'!N$1,FALSE)
               +Andel_beroende_av_klimat*VLOOKUP($A215,Leveranser_per_nät,'Leveranser per nät'!N$1,FALSE)/VLOOKUP($B215,Korrigeringsfaktor_EI,'Korrigeringsfaktor EI'!N$1,FALSE),
"")</f>
        <v>25.29894736842105</v>
      </c>
      <c r="O215" s="18">
        <f>IFERROR(
                  Andel_oberoende_av_klimat*VLOOKUP($A215,Leveranser_per_nät,'Leveranser per nät'!O$1,FALSE)
               +Andel_beroende_av_klimat*VLOOKUP($A215,Leveranser_per_nät,'Leveranser per nät'!O$1,FALSE)/VLOOKUP($B215,Korrigeringsfaktor_EI,'Korrigeringsfaktor EI'!O$1,FALSE),
"")</f>
        <v>25.176808510638299</v>
      </c>
      <c r="P215" s="18">
        <f>IFERROR(
                  Andel_oberoende_av_klimat*VLOOKUP($A215,Leveranser_per_nät,'Leveranser per nät'!P$1,FALSE)
               +Andel_beroende_av_klimat*VLOOKUP($A215,Leveranser_per_nät,'Leveranser per nät'!P$1,FALSE)/VLOOKUP($B215,Korrigeringsfaktor_EI,'Korrigeringsfaktor EI'!P$1,FALSE),
"")</f>
        <v>26.37142857142857</v>
      </c>
      <c r="Q215" s="18">
        <f>IFERROR(
                  Andel_oberoende_av_klimat*VLOOKUP($A215,Leveranser_per_nät,'Leveranser per nät'!Q$1,FALSE)
               +Andel_beroende_av_klimat*VLOOKUP($A215,Leveranser_per_nät,'Leveranser per nät'!Q$1,FALSE)/VLOOKUP($B215,Korrigeringsfaktor_EI,'Korrigeringsfaktor EI'!Q$1,FALSE),
"")</f>
        <v>22.662499999999998</v>
      </c>
      <c r="R215" s="18">
        <f>IFERROR(
                  Andel_oberoende_av_klimat*VLOOKUP($A215,Leveranser_per_nät,'Leveranser per nät'!R$1,FALSE)
               +Andel_beroende_av_klimat*VLOOKUP($A215,Leveranser_per_nät,'Leveranser per nät'!R$1,FALSE)/VLOOKUP($B215,Korrigeringsfaktor_EI,'Korrigeringsfaktor EI'!R$1,FALSE),
"")</f>
        <v>14.549999999999999</v>
      </c>
      <c r="S215" s="18">
        <f>IFERROR(
                  Andel_oberoende_av_klimat*VLOOKUP($A215,Leveranser_per_nät,'Leveranser per nät'!S$1,FALSE)
               +Andel_beroende_av_klimat*VLOOKUP($A215,Leveranser_per_nät,'Leveranser per nät'!S$1,FALSE)/VLOOKUP($B215,Korrigeringsfaktor_EI,'Korrigeringsfaktor EI'!S$1,FALSE),
"")</f>
        <v>20.711764705882352</v>
      </c>
      <c r="T215" s="18">
        <f>IFERROR(
                  Andel_oberoende_av_klimat*VLOOKUP($A215,Leveranser_per_nät,'Leveranser per nät'!T$1,FALSE)
               +Andel_beroende_av_klimat*VLOOKUP($A215,Leveranser_per_nät,'Leveranser per nät'!T$1,FALSE)/VLOOKUP($B215,Korrigeringsfaktor_EI,'Korrigeringsfaktor EI'!T$1,FALSE),
"")</f>
        <v>20.809421052631578</v>
      </c>
      <c r="U215" s="18">
        <f>IFERROR(
                  Andel_oberoende_av_klimat*VLOOKUP($A215,Leveranser_per_nät,'Leveranser per nät'!U$1,FALSE)
               +Andel_beroende_av_klimat*VLOOKUP($A215,Leveranser_per_nät,'Leveranser per nät'!U$1,FALSE)/VLOOKUP($B215,Korrigeringsfaktor_EI,'Korrigeringsfaktor EI'!U$1,FALSE),
"")</f>
        <v>19.92313043478261</v>
      </c>
      <c r="V215" s="18">
        <f>IFERROR(
                  Andel_oberoende_av_klimat*VLOOKUP($A215,Leveranser_per_nät,'Leveranser per nät'!V$1,FALSE)
               +Andel_beroende_av_klimat*VLOOKUP($A215,Leveranser_per_nät,'Leveranser per nät'!V$1,FALSE)/VLOOKUP($B215,Korrigeringsfaktor_EI,'Korrigeringsfaktor EI'!V$1,FALSE),
"")</f>
        <v>18.93786021505376</v>
      </c>
      <c r="W215" s="18">
        <f>IFERROR(
                  Andel_oberoende_av_klimat*VLOOKUP($A215,Leveranser_per_nät,'Leveranser per nät'!W$1,FALSE)
               +Andel_beroende_av_klimat*VLOOKUP($A215,Leveranser_per_nät,'Leveranser per nät'!W$1,FALSE)/VLOOKUP($B215,Korrigeringsfaktor_EI,'Korrigeringsfaktor EI'!W$1,FALSE),
"")</f>
        <v>19.070458333333335</v>
      </c>
      <c r="X215" s="18">
        <f>IFERROR(
                  Andel_oberoende_av_klimat*VLOOKUP($A215,Leveranser_per_nät,'Leveranser per nät'!X$1,FALSE)
               +Andel_beroende_av_klimat*VLOOKUP($A215,Leveranser_per_nät,'Leveranser per nät'!X$1,FALSE)/VLOOKUP($B215,Korrigeringsfaktor_EI,'Korrigeringsfaktor EI'!X$1,FALSE),
"")</f>
        <v>18.896142857142856</v>
      </c>
      <c r="Y215" s="18">
        <f>IFERROR(
                  Andel_oberoende_av_klimat*VLOOKUP($A215,Leveranser_per_nät,'Leveranser per nät'!Y$1,FALSE)
               +Andel_beroende_av_klimat*VLOOKUP($A215,Leveranser_per_nät,'Leveranser per nät'!Y$1,FALSE)/VLOOKUP($B215,Korrigeringsfaktor_EI,'Korrigeringsfaktor EI'!Y$1,FALSE),
"")</f>
        <v>19.173375</v>
      </c>
      <c r="Z215" s="18">
        <f>IFERROR(
                  Andel_oberoende_av_klimat*VLOOKUP($A215,Leveranser_per_nät,'Leveranser per nät'!Z$1,FALSE)
               +Andel_beroende_av_klimat*VLOOKUP($A215,Leveranser_per_nät,'Leveranser per nät'!Z$1,FALSE)/VLOOKUP($B215,Korrigeringsfaktor_EI,'Korrigeringsfaktor EI'!Z$1,FALSE),
"")</f>
        <v>18.657973684210528</v>
      </c>
      <c r="AA215" s="18">
        <f>IFERROR(
                  Andel_oberoende_av_klimat*VLOOKUP($A215,Leveranser_per_nät,'Leveranser per nät'!AA$1,FALSE)
               +Andel_beroende_av_klimat*VLOOKUP($A215,Leveranser_per_nät,'Leveranser per nät'!AA$1,FALSE)/VLOOKUP($B215,Korrigeringsfaktor_EI,'Korrigeringsfaktor EI'!AA$1,FALSE),
"")</f>
        <v>19.63862767485822</v>
      </c>
      <c r="AB215" s="18">
        <f>IFERROR(
                  Andel_oberoende_av_klimat*VLOOKUP($A215,Leveranser_per_nät,'Leveranser per nät'!AB$1,FALSE)
               +Andel_beroende_av_klimat*VLOOKUP($A215,Leveranser_per_nät,'Leveranser per nät'!AB$1,FALSE)/VLOOKUP($B215,Korrigeringsfaktor_EI,'Korrigeringsfaktor EI'!AB$1,FALSE),
"")</f>
        <v>18.62580087633885</v>
      </c>
      <c r="AC215" s="18">
        <f>IFERROR(
                  Andel_oberoende_av_klimat*VLOOKUP($A215,Leveranser_per_nät,'Leveranser per nät'!AC$1,FALSE)
               +Andel_beroende_av_klimat*VLOOKUP($A215,Leveranser_per_nät,'Leveranser per nät'!AC$1,FALSE)/VLOOKUP($B215,Korrigeringsfaktor_EI,'Korrigeringsfaktor EI'!AC$1,FALSE),
"")</f>
        <v>12.840413223140496</v>
      </c>
      <c r="AD215">
        <v>524.17999999999995</v>
      </c>
    </row>
    <row r="216" spans="1:30" x14ac:dyDescent="0.25">
      <c r="A216" t="s">
        <v>283</v>
      </c>
      <c r="B216" t="s">
        <v>283</v>
      </c>
      <c r="C216" s="18">
        <f>IFERROR(
                  Andel_oberoende_av_klimat*VLOOKUP($A216,Leveranser_per_nät,'Leveranser per nät'!C$1,FALSE)
               +Andel_beroende_av_klimat*VLOOKUP($A216,Leveranser_per_nät,'Leveranser per nät'!C$1,FALSE)/VLOOKUP($B216,Korrigeringsfaktor_EI,'Korrigeringsfaktor EI'!C$1,FALSE),
"")</f>
        <v>78.202752293577973</v>
      </c>
      <c r="D216" s="18">
        <f>IFERROR(
                  Andel_oberoende_av_klimat*VLOOKUP($A216,Leveranser_per_nät,'Leveranser per nät'!D$1,FALSE)
               +Andel_beroende_av_klimat*VLOOKUP($A216,Leveranser_per_nät,'Leveranser per nät'!D$1,FALSE)/VLOOKUP($B216,Korrigeringsfaktor_EI,'Korrigeringsfaktor EI'!D$1,FALSE),
"")</f>
        <v>77.594797979797974</v>
      </c>
      <c r="E216" s="18">
        <f>IFERROR(
                  Andel_oberoende_av_klimat*VLOOKUP($A216,Leveranser_per_nät,'Leveranser per nät'!E$1,FALSE)
               +Andel_beroende_av_klimat*VLOOKUP($A216,Leveranser_per_nät,'Leveranser per nät'!E$1,FALSE)/VLOOKUP($B216,Korrigeringsfaktor_EI,'Korrigeringsfaktor EI'!E$1,FALSE),
"")</f>
        <v>83.684615384615384</v>
      </c>
      <c r="F216" s="18">
        <f>IFERROR(
                  Andel_oberoende_av_klimat*VLOOKUP($A216,Leveranser_per_nät,'Leveranser per nät'!F$1,FALSE)
               +Andel_beroende_av_klimat*VLOOKUP($A216,Leveranser_per_nät,'Leveranser per nät'!F$1,FALSE)/VLOOKUP($B216,Korrigeringsfaktor_EI,'Korrigeringsfaktor EI'!F$1,FALSE),
"")</f>
        <v>87.479166666666671</v>
      </c>
      <c r="G216" s="18">
        <f>IFERROR(
                  Andel_oberoende_av_klimat*VLOOKUP($A216,Leveranser_per_nät,'Leveranser per nät'!G$1,FALSE)
               +Andel_beroende_av_klimat*VLOOKUP($A216,Leveranser_per_nät,'Leveranser per nät'!G$1,FALSE)/VLOOKUP($B216,Korrigeringsfaktor_EI,'Korrigeringsfaktor EI'!G$1,FALSE),
"")</f>
        <v>86.921348314606746</v>
      </c>
      <c r="H216" s="18">
        <f>IFERROR(
                  Andel_oberoende_av_klimat*VLOOKUP($A216,Leveranser_per_nät,'Leveranser per nät'!H$1,FALSE)
               +Andel_beroende_av_klimat*VLOOKUP($A216,Leveranser_per_nät,'Leveranser per nät'!H$1,FALSE)/VLOOKUP($B216,Korrigeringsfaktor_EI,'Korrigeringsfaktor EI'!H$1,FALSE),
"")</f>
        <v>90.539999999999992</v>
      </c>
      <c r="I216" s="18">
        <f>IFERROR(
                  Andel_oberoende_av_klimat*VLOOKUP($A216,Leveranser_per_nät,'Leveranser per nät'!I$1,FALSE)
               +Andel_beroende_av_klimat*VLOOKUP($A216,Leveranser_per_nät,'Leveranser per nät'!I$1,FALSE)/VLOOKUP($B216,Korrigeringsfaktor_EI,'Korrigeringsfaktor EI'!I$1,FALSE),
"")</f>
        <v>96.667900000000003</v>
      </c>
      <c r="J216" s="18">
        <f>IFERROR(
                  Andel_oberoende_av_klimat*VLOOKUP($A216,Leveranser_per_nät,'Leveranser per nät'!J$1,FALSE)
               +Andel_beroende_av_klimat*VLOOKUP($A216,Leveranser_per_nät,'Leveranser per nät'!J$1,FALSE)/VLOOKUP($B216,Korrigeringsfaktor_EI,'Korrigeringsfaktor EI'!J$1,FALSE),
"")</f>
        <v>114.61428571428571</v>
      </c>
      <c r="K216" s="18">
        <f>IFERROR(
                  Andel_oberoende_av_klimat*VLOOKUP($A216,Leveranser_per_nät,'Leveranser per nät'!K$1,FALSE)
               +Andel_beroende_av_klimat*VLOOKUP($A216,Leveranser_per_nät,'Leveranser per nät'!K$1,FALSE)/VLOOKUP($B216,Korrigeringsfaktor_EI,'Korrigeringsfaktor EI'!K$1,FALSE),
"")</f>
        <v>116.46804123711341</v>
      </c>
      <c r="L216" s="18">
        <f>IFERROR(
                  Andel_oberoende_av_klimat*VLOOKUP($A216,Leveranser_per_nät,'Leveranser per nät'!L$1,FALSE)
               +Andel_beroende_av_klimat*VLOOKUP($A216,Leveranser_per_nät,'Leveranser per nät'!L$1,FALSE)/VLOOKUP($B216,Korrigeringsfaktor_EI,'Korrigeringsfaktor EI'!L$1,FALSE),
"")</f>
        <v>129.98034027270828</v>
      </c>
      <c r="M216" s="18">
        <f>IFERROR(
                  Andel_oberoende_av_klimat*VLOOKUP($A216,Leveranser_per_nät,'Leveranser per nät'!M$1,FALSE)
               +Andel_beroende_av_klimat*VLOOKUP($A216,Leveranser_per_nät,'Leveranser per nät'!M$1,FALSE)/VLOOKUP($B216,Korrigeringsfaktor_EI,'Korrigeringsfaktor EI'!M$1,FALSE),
"")</f>
        <v>111.94846153846154</v>
      </c>
      <c r="N216" s="18">
        <f>IFERROR(
                  Andel_oberoende_av_klimat*VLOOKUP($A216,Leveranser_per_nät,'Leveranser per nät'!N$1,FALSE)
               +Andel_beroende_av_klimat*VLOOKUP($A216,Leveranser_per_nät,'Leveranser per nät'!N$1,FALSE)/VLOOKUP($B216,Korrigeringsfaktor_EI,'Korrigeringsfaktor EI'!N$1,FALSE),
"")</f>
        <v>115.17078651685392</v>
      </c>
      <c r="O216" s="18">
        <f>IFERROR(
                  Andel_oberoende_av_klimat*VLOOKUP($A216,Leveranser_per_nät,'Leveranser per nät'!O$1,FALSE)
               +Andel_beroende_av_klimat*VLOOKUP($A216,Leveranser_per_nät,'Leveranser per nät'!O$1,FALSE)/VLOOKUP($B216,Korrigeringsfaktor_EI,'Korrigeringsfaktor EI'!O$1,FALSE),
"")</f>
        <v>112.98518181818181</v>
      </c>
      <c r="P216" s="18">
        <f>IFERROR(
                  Andel_oberoende_av_klimat*VLOOKUP($A216,Leveranser_per_nät,'Leveranser per nät'!P$1,FALSE)
               +Andel_beroende_av_klimat*VLOOKUP($A216,Leveranser_per_nät,'Leveranser per nät'!P$1,FALSE)/VLOOKUP($B216,Korrigeringsfaktor_EI,'Korrigeringsfaktor EI'!P$1,FALSE),
"")</f>
        <v>123.16787234042555</v>
      </c>
      <c r="Q216" s="18">
        <f>IFERROR(
                  Andel_oberoende_av_klimat*VLOOKUP($A216,Leveranser_per_nät,'Leveranser per nät'!Q$1,FALSE)
               +Andel_beroende_av_klimat*VLOOKUP($A216,Leveranser_per_nät,'Leveranser per nät'!Q$1,FALSE)/VLOOKUP($B216,Korrigeringsfaktor_EI,'Korrigeringsfaktor EI'!Q$1,FALSE),
"")</f>
        <v>126.81749999999997</v>
      </c>
      <c r="R216" s="18">
        <f>IFERROR(
                  Andel_oberoende_av_klimat*VLOOKUP($A216,Leveranser_per_nät,'Leveranser per nät'!R$1,FALSE)
               +Andel_beroende_av_klimat*VLOOKUP($A216,Leveranser_per_nät,'Leveranser per nät'!R$1,FALSE)/VLOOKUP($B216,Korrigeringsfaktor_EI,'Korrigeringsfaktor EI'!R$1,FALSE),
"")</f>
        <v>119.00538461538461</v>
      </c>
      <c r="S216" s="18">
        <f>IFERROR(
                  Andel_oberoende_av_klimat*VLOOKUP($A216,Leveranser_per_nät,'Leveranser per nät'!S$1,FALSE)
               +Andel_beroende_av_klimat*VLOOKUP($A216,Leveranser_per_nät,'Leveranser per nät'!S$1,FALSE)/VLOOKUP($B216,Korrigeringsfaktor_EI,'Korrigeringsfaktor EI'!S$1,FALSE),
"")</f>
        <v>120.16138613861386</v>
      </c>
      <c r="T216" s="18">
        <f>IFERROR(
                  Andel_oberoende_av_klimat*VLOOKUP($A216,Leveranser_per_nät,'Leveranser per nät'!T$1,FALSE)
               +Andel_beroende_av_klimat*VLOOKUP($A216,Leveranser_per_nät,'Leveranser per nät'!T$1,FALSE)/VLOOKUP($B216,Korrigeringsfaktor_EI,'Korrigeringsfaktor EI'!T$1,FALSE),
"")</f>
        <v>119.92121649484537</v>
      </c>
      <c r="U216" s="18">
        <f>IFERROR(
                  Andel_oberoende_av_klimat*VLOOKUP($A216,Leveranser_per_nät,'Leveranser per nät'!U$1,FALSE)
               +Andel_beroende_av_klimat*VLOOKUP($A216,Leveranser_per_nät,'Leveranser per nät'!U$1,FALSE)/VLOOKUP($B216,Korrigeringsfaktor_EI,'Korrigeringsfaktor EI'!U$1,FALSE),
"")</f>
        <v>119.30758823529412</v>
      </c>
      <c r="V216" s="18">
        <f>IFERROR(
                  Andel_oberoende_av_klimat*VLOOKUP($A216,Leveranser_per_nät,'Leveranser per nät'!V$1,FALSE)
               +Andel_beroende_av_klimat*VLOOKUP($A216,Leveranser_per_nät,'Leveranser per nät'!V$1,FALSE)/VLOOKUP($B216,Korrigeringsfaktor_EI,'Korrigeringsfaktor EI'!V$1,FALSE),
"")</f>
        <v>119.3531111111111</v>
      </c>
      <c r="W216" s="18">
        <f>IFERROR(
                  Andel_oberoende_av_klimat*VLOOKUP($A216,Leveranser_per_nät,'Leveranser per nät'!W$1,FALSE)
               +Andel_beroende_av_klimat*VLOOKUP($A216,Leveranser_per_nät,'Leveranser per nät'!W$1,FALSE)/VLOOKUP($B216,Korrigeringsfaktor_EI,'Korrigeringsfaktor EI'!W$1,FALSE),
"")</f>
        <v>123.79468085106382</v>
      </c>
      <c r="X216" s="18">
        <f>IFERROR(
                  Andel_oberoende_av_klimat*VLOOKUP($A216,Leveranser_per_nät,'Leveranser per nät'!X$1,FALSE)
               +Andel_beroende_av_klimat*VLOOKUP($A216,Leveranser_per_nät,'Leveranser per nät'!X$1,FALSE)/VLOOKUP($B216,Korrigeringsfaktor_EI,'Korrigeringsfaktor EI'!X$1,FALSE),
"")</f>
        <v>124.63827956989248</v>
      </c>
      <c r="Y216" s="18">
        <f>IFERROR(
                  Andel_oberoende_av_klimat*VLOOKUP($A216,Leveranser_per_nät,'Leveranser per nät'!Y$1,FALSE)
               +Andel_beroende_av_klimat*VLOOKUP($A216,Leveranser_per_nät,'Leveranser per nät'!Y$1,FALSE)/VLOOKUP($B216,Korrigeringsfaktor_EI,'Korrigeringsfaktor EI'!Y$1,FALSE),
"")</f>
        <v>130.89611111111111</v>
      </c>
      <c r="Z216" s="18">
        <f>IFERROR(
                  Andel_oberoende_av_klimat*VLOOKUP($A216,Leveranser_per_nät,'Leveranser per nät'!Z$1,FALSE)
               +Andel_beroende_av_klimat*VLOOKUP($A216,Leveranser_per_nät,'Leveranser per nät'!Z$1,FALSE)/VLOOKUP($B216,Korrigeringsfaktor_EI,'Korrigeringsfaktor EI'!Z$1,FALSE),
"")</f>
        <v>127.03978160919542</v>
      </c>
      <c r="AA216" s="18">
        <f>IFERROR(
                  Andel_oberoende_av_klimat*VLOOKUP($A216,Leveranser_per_nät,'Leveranser per nät'!AA$1,FALSE)
               +Andel_beroende_av_klimat*VLOOKUP($A216,Leveranser_per_nät,'Leveranser per nät'!AA$1,FALSE)/VLOOKUP($B216,Korrigeringsfaktor_EI,'Korrigeringsfaktor EI'!AA$1,FALSE),
"")</f>
        <v>123.36975580395529</v>
      </c>
      <c r="AB216" s="18">
        <f>IFERROR(
                  Andel_oberoende_av_klimat*VLOOKUP($A216,Leveranser_per_nät,'Leveranser per nät'!AB$1,FALSE)
               +Andel_beroende_av_klimat*VLOOKUP($A216,Leveranser_per_nät,'Leveranser per nät'!AB$1,FALSE)/VLOOKUP($B216,Korrigeringsfaktor_EI,'Korrigeringsfaktor EI'!AB$1,FALSE),
"")</f>
        <v>126.32465328109694</v>
      </c>
      <c r="AC216" s="18">
        <f>IFERROR(
                  Andel_oberoende_av_klimat*VLOOKUP($A216,Leveranser_per_nät,'Leveranser per nät'!AC$1,FALSE)
               +Andel_beroende_av_klimat*VLOOKUP($A216,Leveranser_per_nät,'Leveranser per nät'!AC$1,FALSE)/VLOOKUP($B216,Korrigeringsfaktor_EI,'Korrigeringsfaktor EI'!AC$1,FALSE),
"")</f>
        <v>122.96732550693704</v>
      </c>
      <c r="AD216">
        <v>117.44</v>
      </c>
    </row>
    <row r="217" spans="1:30" x14ac:dyDescent="0.25">
      <c r="A217" t="s">
        <v>477</v>
      </c>
      <c r="B217" t="s">
        <v>176</v>
      </c>
      <c r="C217" s="18">
        <f>IFERROR(
                  Andel_oberoende_av_klimat*VLOOKUP($A217,Leveranser_per_nät,'Leveranser per nät'!C$1,FALSE)
               +Andel_beroende_av_klimat*VLOOKUP($A217,Leveranser_per_nät,'Leveranser per nät'!C$1,FALSE)/VLOOKUP($B217,Korrigeringsfaktor_EI,'Korrigeringsfaktor EI'!C$1,FALSE),
"")</f>
        <v>0</v>
      </c>
      <c r="D217" s="18">
        <f>IFERROR(
                  Andel_oberoende_av_klimat*VLOOKUP($A217,Leveranser_per_nät,'Leveranser per nät'!D$1,FALSE)
               +Andel_beroende_av_klimat*VLOOKUP($A217,Leveranser_per_nät,'Leveranser per nät'!D$1,FALSE)/VLOOKUP($B217,Korrigeringsfaktor_EI,'Korrigeringsfaktor EI'!D$1,FALSE),
"")</f>
        <v>0</v>
      </c>
      <c r="E217" s="18">
        <f>IFERROR(
                  Andel_oberoende_av_klimat*VLOOKUP($A217,Leveranser_per_nät,'Leveranser per nät'!E$1,FALSE)
               +Andel_beroende_av_klimat*VLOOKUP($A217,Leveranser_per_nät,'Leveranser per nät'!E$1,FALSE)/VLOOKUP($B217,Korrigeringsfaktor_EI,'Korrigeringsfaktor EI'!E$1,FALSE),
"")</f>
        <v>0</v>
      </c>
      <c r="F217" s="18">
        <f>IFERROR(
                  Andel_oberoende_av_klimat*VLOOKUP($A217,Leveranser_per_nät,'Leveranser per nät'!F$1,FALSE)
               +Andel_beroende_av_klimat*VLOOKUP($A217,Leveranser_per_nät,'Leveranser per nät'!F$1,FALSE)/VLOOKUP($B217,Korrigeringsfaktor_EI,'Korrigeringsfaktor EI'!F$1,FALSE),
"")</f>
        <v>22.744583333333338</v>
      </c>
      <c r="G217" s="18">
        <f>IFERROR(
                  Andel_oberoende_av_klimat*VLOOKUP($A217,Leveranser_per_nät,'Leveranser per nät'!G$1,FALSE)
               +Andel_beroende_av_klimat*VLOOKUP($A217,Leveranser_per_nät,'Leveranser per nät'!G$1,FALSE)/VLOOKUP($B217,Korrigeringsfaktor_EI,'Korrigeringsfaktor EI'!G$1,FALSE),
"")</f>
        <v>23.818888888888893</v>
      </c>
      <c r="H217" s="18">
        <f>IFERROR(
                  Andel_oberoende_av_klimat*VLOOKUP($A217,Leveranser_per_nät,'Leveranser per nät'!H$1,FALSE)
               +Andel_beroende_av_klimat*VLOOKUP($A217,Leveranser_per_nät,'Leveranser per nät'!H$1,FALSE)/VLOOKUP($B217,Korrigeringsfaktor_EI,'Korrigeringsfaktor EI'!H$1,FALSE),
"")</f>
        <v>0</v>
      </c>
      <c r="I217" s="18">
        <f>IFERROR(
                  Andel_oberoende_av_klimat*VLOOKUP($A217,Leveranser_per_nät,'Leveranser per nät'!I$1,FALSE)
               +Andel_beroende_av_klimat*VLOOKUP($A217,Leveranser_per_nät,'Leveranser per nät'!I$1,FALSE)/VLOOKUP($B217,Korrigeringsfaktor_EI,'Korrigeringsfaktor EI'!I$1,FALSE),
"")</f>
        <v>0</v>
      </c>
      <c r="J217" s="18">
        <f>IFERROR(
                  Andel_oberoende_av_klimat*VLOOKUP($A217,Leveranser_per_nät,'Leveranser per nät'!J$1,FALSE)
               +Andel_beroende_av_klimat*VLOOKUP($A217,Leveranser_per_nät,'Leveranser per nät'!J$1,FALSE)/VLOOKUP($B217,Korrigeringsfaktor_EI,'Korrigeringsfaktor EI'!J$1,FALSE),
"")</f>
        <v>0</v>
      </c>
      <c r="K217" s="18">
        <f>IFERROR(
                  Andel_oberoende_av_klimat*VLOOKUP($A217,Leveranser_per_nät,'Leveranser per nät'!K$1,FALSE)
               +Andel_beroende_av_klimat*VLOOKUP($A217,Leveranser_per_nät,'Leveranser per nät'!K$1,FALSE)/VLOOKUP($B217,Korrigeringsfaktor_EI,'Korrigeringsfaktor EI'!K$1,FALSE),
"")</f>
        <v>0</v>
      </c>
      <c r="L217" s="18">
        <f>IFERROR(
                  Andel_oberoende_av_klimat*VLOOKUP($A217,Leveranser_per_nät,'Leveranser per nät'!L$1,FALSE)
               +Andel_beroende_av_klimat*VLOOKUP($A217,Leveranser_per_nät,'Leveranser per nät'!L$1,FALSE)/VLOOKUP($B217,Korrigeringsfaktor_EI,'Korrigeringsfaktor EI'!L$1,FALSE),
"")</f>
        <v>0</v>
      </c>
      <c r="M217" s="18">
        <f>IFERROR(
                  Andel_oberoende_av_klimat*VLOOKUP($A217,Leveranser_per_nät,'Leveranser per nät'!M$1,FALSE)
               +Andel_beroende_av_klimat*VLOOKUP($A217,Leveranser_per_nät,'Leveranser per nät'!M$1,FALSE)/VLOOKUP($B217,Korrigeringsfaktor_EI,'Korrigeringsfaktor EI'!M$1,FALSE),
"")</f>
        <v>0</v>
      </c>
      <c r="N217" s="18">
        <f>IFERROR(
                  Andel_oberoende_av_klimat*VLOOKUP($A217,Leveranser_per_nät,'Leveranser per nät'!N$1,FALSE)
               +Andel_beroende_av_klimat*VLOOKUP($A217,Leveranser_per_nät,'Leveranser per nät'!N$1,FALSE)/VLOOKUP($B217,Korrigeringsfaktor_EI,'Korrigeringsfaktor EI'!N$1,FALSE),
"")</f>
        <v>0</v>
      </c>
      <c r="O217" s="18">
        <f>IFERROR(
                  Andel_oberoende_av_klimat*VLOOKUP($A217,Leveranser_per_nät,'Leveranser per nät'!O$1,FALSE)
               +Andel_beroende_av_klimat*VLOOKUP($A217,Leveranser_per_nät,'Leveranser per nät'!O$1,FALSE)/VLOOKUP($B217,Korrigeringsfaktor_EI,'Korrigeringsfaktor EI'!O$1,FALSE),
"")</f>
        <v>0</v>
      </c>
      <c r="P217" s="18">
        <f>IFERROR(
                  Andel_oberoende_av_klimat*VLOOKUP($A217,Leveranser_per_nät,'Leveranser per nät'!P$1,FALSE)
               +Andel_beroende_av_klimat*VLOOKUP($A217,Leveranser_per_nät,'Leveranser per nät'!P$1,FALSE)/VLOOKUP($B217,Korrigeringsfaktor_EI,'Korrigeringsfaktor EI'!P$1,FALSE),
"")</f>
        <v>0</v>
      </c>
      <c r="Q217" s="18">
        <f>IFERROR(
                  Andel_oberoende_av_klimat*VLOOKUP($A217,Leveranser_per_nät,'Leveranser per nät'!Q$1,FALSE)
               +Andel_beroende_av_klimat*VLOOKUP($A217,Leveranser_per_nät,'Leveranser per nät'!Q$1,FALSE)/VLOOKUP($B217,Korrigeringsfaktor_EI,'Korrigeringsfaktor EI'!Q$1,FALSE),
"")</f>
        <v>0</v>
      </c>
      <c r="R217" s="18">
        <f>IFERROR(
                  Andel_oberoende_av_klimat*VLOOKUP($A217,Leveranser_per_nät,'Leveranser per nät'!R$1,FALSE)
               +Andel_beroende_av_klimat*VLOOKUP($A217,Leveranser_per_nät,'Leveranser per nät'!R$1,FALSE)/VLOOKUP($B217,Korrigeringsfaktor_EI,'Korrigeringsfaktor EI'!R$1,FALSE),
"")</f>
        <v>0</v>
      </c>
      <c r="S217" s="18" t="str">
        <f>IFERROR(
                  Andel_oberoende_av_klimat*VLOOKUP($A217,Leveranser_per_nät,'Leveranser per nät'!S$1,FALSE)
               +Andel_beroende_av_klimat*VLOOKUP($A217,Leveranser_per_nät,'Leveranser per nät'!S$1,FALSE)/VLOOKUP($B217,Korrigeringsfaktor_EI,'Korrigeringsfaktor EI'!S$1,FALSE),
"")</f>
        <v/>
      </c>
      <c r="T217" s="18" t="str">
        <f>IFERROR(
                  Andel_oberoende_av_klimat*VLOOKUP($A217,Leveranser_per_nät,'Leveranser per nät'!T$1,FALSE)
               +Andel_beroende_av_klimat*VLOOKUP($A217,Leveranser_per_nät,'Leveranser per nät'!T$1,FALSE)/VLOOKUP($B217,Korrigeringsfaktor_EI,'Korrigeringsfaktor EI'!T$1,FALSE),
"")</f>
        <v/>
      </c>
      <c r="U217" s="18" t="str">
        <f>IFERROR(
                  Andel_oberoende_av_klimat*VLOOKUP($A217,Leveranser_per_nät,'Leveranser per nät'!U$1,FALSE)
               +Andel_beroende_av_klimat*VLOOKUP($A217,Leveranser_per_nät,'Leveranser per nät'!U$1,FALSE)/VLOOKUP($B217,Korrigeringsfaktor_EI,'Korrigeringsfaktor EI'!U$1,FALSE),
"")</f>
        <v/>
      </c>
      <c r="V217" s="18" t="str">
        <f>IFERROR(
                  Andel_oberoende_av_klimat*VLOOKUP($A217,Leveranser_per_nät,'Leveranser per nät'!V$1,FALSE)
               +Andel_beroende_av_klimat*VLOOKUP($A217,Leveranser_per_nät,'Leveranser per nät'!V$1,FALSE)/VLOOKUP($B217,Korrigeringsfaktor_EI,'Korrigeringsfaktor EI'!V$1,FALSE),
"")</f>
        <v/>
      </c>
      <c r="W217" s="18" t="str">
        <f>IFERROR(
                  Andel_oberoende_av_klimat*VLOOKUP($A217,Leveranser_per_nät,'Leveranser per nät'!W$1,FALSE)
               +Andel_beroende_av_klimat*VLOOKUP($A217,Leveranser_per_nät,'Leveranser per nät'!W$1,FALSE)/VLOOKUP($B217,Korrigeringsfaktor_EI,'Korrigeringsfaktor EI'!W$1,FALSE),
"")</f>
        <v/>
      </c>
      <c r="X217" s="18" t="str">
        <f>IFERROR(
                  Andel_oberoende_av_klimat*VLOOKUP($A217,Leveranser_per_nät,'Leveranser per nät'!X$1,FALSE)
               +Andel_beroende_av_klimat*VLOOKUP($A217,Leveranser_per_nät,'Leveranser per nät'!X$1,FALSE)/VLOOKUP($B217,Korrigeringsfaktor_EI,'Korrigeringsfaktor EI'!X$1,FALSE),
"")</f>
        <v/>
      </c>
      <c r="Y217" s="18" t="str">
        <f>IFERROR(
                  Andel_oberoende_av_klimat*VLOOKUP($A217,Leveranser_per_nät,'Leveranser per nät'!Y$1,FALSE)
               +Andel_beroende_av_klimat*VLOOKUP($A217,Leveranser_per_nät,'Leveranser per nät'!Y$1,FALSE)/VLOOKUP($B217,Korrigeringsfaktor_EI,'Korrigeringsfaktor EI'!Y$1,FALSE),
"")</f>
        <v/>
      </c>
      <c r="Z217" s="18">
        <f>IFERROR(
                  Andel_oberoende_av_klimat*VLOOKUP($A217,Leveranser_per_nät,'Leveranser per nät'!Z$1,FALSE)
               +Andel_beroende_av_klimat*VLOOKUP($A217,Leveranser_per_nät,'Leveranser per nät'!Z$1,FALSE)/VLOOKUP($B217,Korrigeringsfaktor_EI,'Korrigeringsfaktor EI'!Z$1,FALSE),
"")</f>
        <v>0</v>
      </c>
      <c r="AA217" s="18" t="str">
        <f>IFERROR(
                  Andel_oberoende_av_klimat*VLOOKUP($A217,Leveranser_per_nät,'Leveranser per nät'!AA$1,FALSE)
               +Andel_beroende_av_klimat*VLOOKUP($A217,Leveranser_per_nät,'Leveranser per nät'!AA$1,FALSE)/VLOOKUP($B217,Korrigeringsfaktor_EI,'Korrigeringsfaktor EI'!AA$1,FALSE),
"")</f>
        <v/>
      </c>
      <c r="AB217" s="18">
        <f>IFERROR(
                  Andel_oberoende_av_klimat*VLOOKUP($A217,Leveranser_per_nät,'Leveranser per nät'!AB$1,FALSE)
               +Andel_beroende_av_klimat*VLOOKUP($A217,Leveranser_per_nät,'Leveranser per nät'!AB$1,FALSE)/VLOOKUP($B217,Korrigeringsfaktor_EI,'Korrigeringsfaktor EI'!AB$1,FALSE),
"")</f>
        <v>0</v>
      </c>
      <c r="AC217" s="18">
        <f>IFERROR(
                  Andel_oberoende_av_klimat*VLOOKUP($A217,Leveranser_per_nät,'Leveranser per nät'!AC$1,FALSE)
               +Andel_beroende_av_klimat*VLOOKUP($A217,Leveranser_per_nät,'Leveranser per nät'!AC$1,FALSE)/VLOOKUP($B217,Korrigeringsfaktor_EI,'Korrigeringsfaktor EI'!AC$1,FALSE),
"")</f>
        <v>0</v>
      </c>
      <c r="AD217">
        <v>310.774</v>
      </c>
    </row>
    <row r="218" spans="1:30" x14ac:dyDescent="0.25">
      <c r="A218" t="s">
        <v>68</v>
      </c>
      <c r="B218" t="s">
        <v>441</v>
      </c>
      <c r="C218" s="18">
        <f>IFERROR(
                  Andel_oberoende_av_klimat*VLOOKUP($A218,Leveranser_per_nät,'Leveranser per nät'!C$1,FALSE)
               +Andel_beroende_av_klimat*VLOOKUP($A218,Leveranser_per_nät,'Leveranser per nät'!C$1,FALSE)/VLOOKUP($B218,Korrigeringsfaktor_EI,'Korrigeringsfaktor EI'!C$1,FALSE),
"")</f>
        <v>49.303703703703704</v>
      </c>
      <c r="D218" s="18">
        <f>IFERROR(
                  Andel_oberoende_av_klimat*VLOOKUP($A218,Leveranser_per_nät,'Leveranser per nät'!D$1,FALSE)
               +Andel_beroende_av_klimat*VLOOKUP($A218,Leveranser_per_nät,'Leveranser per nät'!D$1,FALSE)/VLOOKUP($B218,Korrigeringsfaktor_EI,'Korrigeringsfaktor EI'!D$1,FALSE),
"")</f>
        <v>48.099711111111112</v>
      </c>
      <c r="E218" s="18">
        <f>IFERROR(
                  Andel_oberoende_av_klimat*VLOOKUP($A218,Leveranser_per_nät,'Leveranser per nät'!E$1,FALSE)
               +Andel_beroende_av_klimat*VLOOKUP($A218,Leveranser_per_nät,'Leveranser per nät'!E$1,FALSE)/VLOOKUP($B218,Korrigeringsfaktor_EI,'Korrigeringsfaktor EI'!E$1,FALSE),
"")</f>
        <v>49.147116504854367</v>
      </c>
      <c r="F218" s="18">
        <f>IFERROR(
                  Andel_oberoende_av_klimat*VLOOKUP($A218,Leveranser_per_nät,'Leveranser per nät'!F$1,FALSE)
               +Andel_beroende_av_klimat*VLOOKUP($A218,Leveranser_per_nät,'Leveranser per nät'!F$1,FALSE)/VLOOKUP($B218,Korrigeringsfaktor_EI,'Korrigeringsfaktor EI'!F$1,FALSE),
"")</f>
        <v>45.921036170212766</v>
      </c>
      <c r="G218" s="18">
        <f>IFERROR(
                  Andel_oberoende_av_klimat*VLOOKUP($A218,Leveranser_per_nät,'Leveranser per nät'!G$1,FALSE)
               +Andel_beroende_av_klimat*VLOOKUP($A218,Leveranser_per_nät,'Leveranser per nät'!G$1,FALSE)/VLOOKUP($B218,Korrigeringsfaktor_EI,'Korrigeringsfaktor EI'!G$1,FALSE),
"")</f>
        <v>47.69808988764045</v>
      </c>
      <c r="H218" s="18">
        <f>IFERROR(
                  Andel_oberoende_av_klimat*VLOOKUP($A218,Leveranser_per_nät,'Leveranser per nät'!H$1,FALSE)
               +Andel_beroende_av_klimat*VLOOKUP($A218,Leveranser_per_nät,'Leveranser per nät'!H$1,FALSE)/VLOOKUP($B218,Korrigeringsfaktor_EI,'Korrigeringsfaktor EI'!H$1,FALSE),
"")</f>
        <v>50.714285714285715</v>
      </c>
      <c r="I218" s="18">
        <f>IFERROR(
                  Andel_oberoende_av_klimat*VLOOKUP($A218,Leveranser_per_nät,'Leveranser per nät'!I$1,FALSE)
               +Andel_beroende_av_klimat*VLOOKUP($A218,Leveranser_per_nät,'Leveranser per nät'!I$1,FALSE)/VLOOKUP($B218,Korrigeringsfaktor_EI,'Korrigeringsfaktor EI'!I$1,FALSE),
"")</f>
        <v>48.267916666666665</v>
      </c>
      <c r="J218" s="18">
        <f>IFERROR(
                  Andel_oberoende_av_klimat*VLOOKUP($A218,Leveranser_per_nät,'Leveranser per nät'!J$1,FALSE)
               +Andel_beroende_av_klimat*VLOOKUP($A218,Leveranser_per_nät,'Leveranser per nät'!J$1,FALSE)/VLOOKUP($B218,Korrigeringsfaktor_EI,'Korrigeringsfaktor EI'!J$1,FALSE),
"")</f>
        <v>49.233428571428561</v>
      </c>
      <c r="K218" s="18">
        <f>IFERROR(
                  Andel_oberoende_av_klimat*VLOOKUP($A218,Leveranser_per_nät,'Leveranser per nät'!K$1,FALSE)
               +Andel_beroende_av_klimat*VLOOKUP($A218,Leveranser_per_nät,'Leveranser per nät'!K$1,FALSE)/VLOOKUP($B218,Korrigeringsfaktor_EI,'Korrigeringsfaktor EI'!K$1,FALSE),
"")</f>
        <v>52.653195833333335</v>
      </c>
      <c r="L218" s="18">
        <f>IFERROR(
                  Andel_oberoende_av_klimat*VLOOKUP($A218,Leveranser_per_nät,'Leveranser per nät'!L$1,FALSE)
               +Andel_beroende_av_klimat*VLOOKUP($A218,Leveranser_per_nät,'Leveranser per nät'!L$1,FALSE)/VLOOKUP($B218,Korrigeringsfaktor_EI,'Korrigeringsfaktor EI'!L$1,FALSE),
"")</f>
        <v>54.43382604024184</v>
      </c>
      <c r="M218" s="18">
        <f>IFERROR(
                  Andel_oberoende_av_klimat*VLOOKUP($A218,Leveranser_per_nät,'Leveranser per nät'!M$1,FALSE)
               +Andel_beroende_av_klimat*VLOOKUP($A218,Leveranser_per_nät,'Leveranser per nät'!M$1,FALSE)/VLOOKUP($B218,Korrigeringsfaktor_EI,'Korrigeringsfaktor EI'!M$1,FALSE),
"")</f>
        <v>48.980347826086955</v>
      </c>
      <c r="N218" s="18">
        <f>IFERROR(
                  Andel_oberoende_av_klimat*VLOOKUP($A218,Leveranser_per_nät,'Leveranser per nät'!N$1,FALSE)
               +Andel_beroende_av_klimat*VLOOKUP($A218,Leveranser_per_nät,'Leveranser per nät'!N$1,FALSE)/VLOOKUP($B218,Korrigeringsfaktor_EI,'Korrigeringsfaktor EI'!N$1,FALSE),
"")</f>
        <v>49.826153846153844</v>
      </c>
      <c r="O218" s="18">
        <f>IFERROR(
                  Andel_oberoende_av_klimat*VLOOKUP($A218,Leveranser_per_nät,'Leveranser per nät'!O$1,FALSE)
               +Andel_beroende_av_klimat*VLOOKUP($A218,Leveranser_per_nät,'Leveranser per nät'!O$1,FALSE)/VLOOKUP($B218,Korrigeringsfaktor_EI,'Korrigeringsfaktor EI'!O$1,FALSE),
"")</f>
        <v>49.362222222222215</v>
      </c>
      <c r="P218" s="18">
        <f>IFERROR(
                  Andel_oberoende_av_klimat*VLOOKUP($A218,Leveranser_per_nät,'Leveranser per nät'!P$1,FALSE)
               +Andel_beroende_av_klimat*VLOOKUP($A218,Leveranser_per_nät,'Leveranser per nät'!P$1,FALSE)/VLOOKUP($B218,Korrigeringsfaktor_EI,'Korrigeringsfaktor EI'!P$1,FALSE),
"")</f>
        <v>50.805263157894736</v>
      </c>
      <c r="Q218" s="18">
        <f>IFERROR(
                  Andel_oberoende_av_klimat*VLOOKUP($A218,Leveranser_per_nät,'Leveranser per nät'!Q$1,FALSE)
               +Andel_beroende_av_klimat*VLOOKUP($A218,Leveranser_per_nät,'Leveranser per nät'!Q$1,FALSE)/VLOOKUP($B218,Korrigeringsfaktor_EI,'Korrigeringsfaktor EI'!Q$1,FALSE),
"")</f>
        <v>51.556936936936935</v>
      </c>
      <c r="R218" s="18">
        <f>IFERROR(
                  Andel_oberoende_av_klimat*VLOOKUP($A218,Leveranser_per_nät,'Leveranser per nät'!R$1,FALSE)
               +Andel_beroende_av_klimat*VLOOKUP($A218,Leveranser_per_nät,'Leveranser per nät'!R$1,FALSE)/VLOOKUP($B218,Korrigeringsfaktor_EI,'Korrigeringsfaktor EI'!R$1,FALSE),
"")</f>
        <v>49.653820224719098</v>
      </c>
      <c r="S218" s="18">
        <f>IFERROR(
                  Andel_oberoende_av_klimat*VLOOKUP($A218,Leveranser_per_nät,'Leveranser per nät'!S$1,FALSE)
               +Andel_beroende_av_klimat*VLOOKUP($A218,Leveranser_per_nät,'Leveranser per nät'!S$1,FALSE)/VLOOKUP($B218,Korrigeringsfaktor_EI,'Korrigeringsfaktor EI'!S$1,FALSE),
"")</f>
        <v>51.360606060606059</v>
      </c>
      <c r="T218" s="18">
        <f>IFERROR(
                  Andel_oberoende_av_klimat*VLOOKUP($A218,Leveranser_per_nät,'Leveranser per nät'!T$1,FALSE)
               +Andel_beroende_av_klimat*VLOOKUP($A218,Leveranser_per_nät,'Leveranser per nät'!T$1,FALSE)/VLOOKUP($B218,Korrigeringsfaktor_EI,'Korrigeringsfaktor EI'!T$1,FALSE),
"")</f>
        <v>51.792258064516133</v>
      </c>
      <c r="U218" s="18">
        <f>IFERROR(
                  Andel_oberoende_av_klimat*VLOOKUP($A218,Leveranser_per_nät,'Leveranser per nät'!U$1,FALSE)
               +Andel_beroende_av_klimat*VLOOKUP($A218,Leveranser_per_nät,'Leveranser per nät'!U$1,FALSE)/VLOOKUP($B218,Korrigeringsfaktor_EI,'Korrigeringsfaktor EI'!U$1,FALSE),
"")</f>
        <v>50.116666666666667</v>
      </c>
      <c r="V218" s="18">
        <f>IFERROR(
                  Andel_oberoende_av_klimat*VLOOKUP($A218,Leveranser_per_nät,'Leveranser per nät'!V$1,FALSE)
               +Andel_beroende_av_klimat*VLOOKUP($A218,Leveranser_per_nät,'Leveranser per nät'!V$1,FALSE)/VLOOKUP($B218,Korrigeringsfaktor_EI,'Korrigeringsfaktor EI'!V$1,FALSE),
"")</f>
        <v>51.474252873563216</v>
      </c>
      <c r="W218" s="18">
        <f>IFERROR(
                  Andel_oberoende_av_klimat*VLOOKUP($A218,Leveranser_per_nät,'Leveranser per nät'!W$1,FALSE)
               +Andel_beroende_av_klimat*VLOOKUP($A218,Leveranser_per_nät,'Leveranser per nät'!W$1,FALSE)/VLOOKUP($B218,Korrigeringsfaktor_EI,'Korrigeringsfaktor EI'!W$1,FALSE),
"")</f>
        <v>51.08489361702128</v>
      </c>
      <c r="X218" s="18">
        <f>IFERROR(
                  Andel_oberoende_av_klimat*VLOOKUP($A218,Leveranser_per_nät,'Leveranser per nät'!X$1,FALSE)
               +Andel_beroende_av_klimat*VLOOKUP($A218,Leveranser_per_nät,'Leveranser per nät'!X$1,FALSE)/VLOOKUP($B218,Korrigeringsfaktor_EI,'Korrigeringsfaktor EI'!X$1,FALSE),
"")</f>
        <v>53.801063829787239</v>
      </c>
      <c r="Y218" s="18">
        <f>IFERROR(
                  Andel_oberoende_av_klimat*VLOOKUP($A218,Leveranser_per_nät,'Leveranser per nät'!Y$1,FALSE)
               +Andel_beroende_av_klimat*VLOOKUP($A218,Leveranser_per_nät,'Leveranser per nät'!Y$1,FALSE)/VLOOKUP($B218,Korrigeringsfaktor_EI,'Korrigeringsfaktor EI'!Y$1,FALSE),
"")</f>
        <v>58.415555555555557</v>
      </c>
      <c r="Z218" s="18">
        <f>IFERROR(
                  Andel_oberoende_av_klimat*VLOOKUP($A218,Leveranser_per_nät,'Leveranser per nät'!Z$1,FALSE)
               +Andel_beroende_av_klimat*VLOOKUP($A218,Leveranser_per_nät,'Leveranser per nät'!Z$1,FALSE)/VLOOKUP($B218,Korrigeringsfaktor_EI,'Korrigeringsfaktor EI'!Z$1,FALSE),
"")</f>
        <v>0</v>
      </c>
      <c r="AA218" s="18" t="str">
        <f>IFERROR(
                  Andel_oberoende_av_klimat*VLOOKUP($A218,Leveranser_per_nät,'Leveranser per nät'!AA$1,FALSE)
               +Andel_beroende_av_klimat*VLOOKUP($A218,Leveranser_per_nät,'Leveranser per nät'!AA$1,FALSE)/VLOOKUP($B218,Korrigeringsfaktor_EI,'Korrigeringsfaktor EI'!AA$1,FALSE),
"")</f>
        <v/>
      </c>
      <c r="AB218" s="18">
        <f>IFERROR(
                  Andel_oberoende_av_klimat*VLOOKUP($A218,Leveranser_per_nät,'Leveranser per nät'!AB$1,FALSE)
               +Andel_beroende_av_klimat*VLOOKUP($A218,Leveranser_per_nät,'Leveranser per nät'!AB$1,FALSE)/VLOOKUP($B218,Korrigeringsfaktor_EI,'Korrigeringsfaktor EI'!AB$1,FALSE),
"")</f>
        <v>0</v>
      </c>
      <c r="AC218" s="18">
        <f>IFERROR(
                  Andel_oberoende_av_klimat*VLOOKUP($A218,Leveranser_per_nät,'Leveranser per nät'!AC$1,FALSE)
               +Andel_beroende_av_klimat*VLOOKUP($A218,Leveranser_per_nät,'Leveranser per nät'!AC$1,FALSE)/VLOOKUP($B218,Korrigeringsfaktor_EI,'Korrigeringsfaktor EI'!AC$1,FALSE),
"")</f>
        <v>0</v>
      </c>
      <c r="AD218" t="e">
        <v>#N/A</v>
      </c>
    </row>
    <row r="219" spans="1:30" x14ac:dyDescent="0.25">
      <c r="A219" t="s">
        <v>209</v>
      </c>
      <c r="B219" t="s">
        <v>209</v>
      </c>
      <c r="C219" s="18">
        <f>IFERROR(
                  Andel_oberoende_av_klimat*VLOOKUP($A219,Leveranser_per_nät,'Leveranser per nät'!C$1,FALSE)
               +Andel_beroende_av_klimat*VLOOKUP($A219,Leveranser_per_nät,'Leveranser per nät'!C$1,FALSE)/VLOOKUP("Köping",Korrigeringsfaktor_EI,'Korrigeringsfaktor EI'!C$1,FALSE),
"")</f>
        <v>24.497247706422016</v>
      </c>
      <c r="D219" s="18">
        <f>IFERROR(
                  Andel_oberoende_av_klimat*VLOOKUP($A219,Leveranser_per_nät,'Leveranser per nät'!D$1,FALSE)
               +Andel_beroende_av_klimat*VLOOKUP($A219,Leveranser_per_nät,'Leveranser per nät'!D$1,FALSE)/VLOOKUP("Köping",Korrigeringsfaktor_EI,'Korrigeringsfaktor EI'!D$1,FALSE),
"")</f>
        <v>24.361040404040406</v>
      </c>
      <c r="E219" s="18">
        <f>IFERROR(
                  Andel_oberoende_av_klimat*VLOOKUP($A219,Leveranser_per_nät,'Leveranser per nät'!E$1,FALSE)
               +Andel_beroende_av_klimat*VLOOKUP($A219,Leveranser_per_nät,'Leveranser per nät'!E$1,FALSE)/VLOOKUP("Köping",Korrigeringsfaktor_EI,'Korrigeringsfaktor EI'!E$1,FALSE),
"")</f>
        <v>24.326923076923077</v>
      </c>
      <c r="F219" s="18">
        <f>IFERROR(
                  Andel_oberoende_av_klimat*VLOOKUP($A219,Leveranser_per_nät,'Leveranser per nät'!F$1,FALSE)
               +Andel_beroende_av_klimat*VLOOKUP($A219,Leveranser_per_nät,'Leveranser per nät'!F$1,FALSE)/VLOOKUP("Köping",Korrigeringsfaktor_EI,'Korrigeringsfaktor EI'!F$1,FALSE),
"")</f>
        <v>25.541237113402062</v>
      </c>
      <c r="G219" s="18">
        <f>IFERROR(
                  Andel_oberoende_av_klimat*VLOOKUP($A219,Leveranser_per_nät,'Leveranser per nät'!G$1,FALSE)
               +Andel_beroende_av_klimat*VLOOKUP($A219,Leveranser_per_nät,'Leveranser per nät'!G$1,FALSE)/VLOOKUP("Köping",Korrigeringsfaktor_EI,'Korrigeringsfaktor EI'!G$1,FALSE),
"")</f>
        <v>28.249438202247191</v>
      </c>
      <c r="H219" s="18">
        <f>IFERROR(
                  Andel_oberoende_av_klimat*VLOOKUP($A219,Leveranser_per_nät,'Leveranser per nät'!H$1,FALSE)
               +Andel_beroende_av_klimat*VLOOKUP($A219,Leveranser_per_nät,'Leveranser per nät'!H$1,FALSE)/VLOOKUP("Köping",Korrigeringsfaktor_EI,'Korrigeringsfaktor EI'!H$1,FALSE),
"")</f>
        <v>32.8667595959596</v>
      </c>
      <c r="I219" s="18">
        <f>IFERROR(
                  Andel_oberoende_av_klimat*VLOOKUP($A219,Leveranser_per_nät,'Leveranser per nät'!I$1,FALSE)
               +Andel_beroende_av_klimat*VLOOKUP($A219,Leveranser_per_nät,'Leveranser per nät'!I$1,FALSE)/VLOOKUP("Köping",Korrigeringsfaktor_EI,'Korrigeringsfaktor EI'!I$1,FALSE),
"")</f>
        <v>36.020833333333336</v>
      </c>
      <c r="J219" s="18">
        <f>IFERROR(
                  Andel_oberoende_av_klimat*VLOOKUP($A219,Leveranser_per_nät,'Leveranser per nät'!J$1,FALSE)
               +Andel_beroende_av_klimat*VLOOKUP($A219,Leveranser_per_nät,'Leveranser per nät'!J$1,FALSE)/VLOOKUP("Köping",Korrigeringsfaktor_EI,'Korrigeringsfaktor EI'!J$1,FALSE),
"")</f>
        <v>38.29448762886598</v>
      </c>
      <c r="K219" s="18">
        <f>IFERROR(
                  Andel_oberoende_av_klimat*VLOOKUP($A219,Leveranser_per_nät,'Leveranser per nät'!K$1,FALSE)
               +Andel_beroende_av_klimat*VLOOKUP($A219,Leveranser_per_nät,'Leveranser per nät'!K$1,FALSE)/VLOOKUP("Köping",Korrigeringsfaktor_EI,'Korrigeringsfaktor EI'!K$1,FALSE),
"")</f>
        <v>37.71929896907217</v>
      </c>
      <c r="L219" s="18">
        <f>IFERROR(
                  Andel_oberoende_av_klimat*VLOOKUP($A219,Leveranser_per_nät,'Leveranser per nät'!L$1,FALSE)
               +Andel_beroende_av_klimat*VLOOKUP($A219,Leveranser_per_nät,'Leveranser per nät'!L$1,FALSE)/VLOOKUP("Köping",Korrigeringsfaktor_EI,'Korrigeringsfaktor EI'!L$1,FALSE),
"")</f>
        <v>37.093482978723401</v>
      </c>
      <c r="M219" s="18">
        <f>IFERROR(
                  Andel_oberoende_av_klimat*VLOOKUP($A219,Leveranser_per_nät,'Leveranser per nät'!M$1,FALSE)
               +Andel_beroende_av_klimat*VLOOKUP($A219,Leveranser_per_nät,'Leveranser per nät'!M$1,FALSE)/VLOOKUP("Köping",Korrigeringsfaktor_EI,'Korrigeringsfaktor EI'!M$1,FALSE),
"")</f>
        <v>37.926086956521736</v>
      </c>
      <c r="N219" s="18">
        <f>IFERROR(
                  Andel_oberoende_av_klimat*VLOOKUP($A219,Leveranser_per_nät,'Leveranser per nät'!N$1,FALSE)
               +Andel_beroende_av_klimat*VLOOKUP($A219,Leveranser_per_nät,'Leveranser per nät'!N$1,FALSE)/VLOOKUP("Köping",Korrigeringsfaktor_EI,'Korrigeringsfaktor EI'!N$1,FALSE),
"")</f>
        <v>38.19130434782609</v>
      </c>
      <c r="O219" s="18">
        <f>IFERROR(
                  Andel_oberoende_av_klimat*VLOOKUP($A219,Leveranser_per_nät,'Leveranser per nät'!O$1,FALSE)
               +Andel_beroende_av_klimat*VLOOKUP($A219,Leveranser_per_nät,'Leveranser per nät'!O$1,FALSE)/VLOOKUP("Köping",Korrigeringsfaktor_EI,'Korrigeringsfaktor EI'!O$1,FALSE),
"")</f>
        <v>38.799999999999997</v>
      </c>
      <c r="P219" s="18">
        <f>IFERROR(
                  Andel_oberoende_av_klimat*VLOOKUP($A219,Leveranser_per_nät,'Leveranser per nät'!P$1,FALSE)
               +Andel_beroende_av_klimat*VLOOKUP($A219,Leveranser_per_nät,'Leveranser per nät'!P$1,FALSE)/VLOOKUP("Köping",Korrigeringsfaktor_EI,'Korrigeringsfaktor EI'!P$1,FALSE),
"")</f>
        <v>38.822680412371135</v>
      </c>
      <c r="Q219" s="18">
        <f>IFERROR(
                  Andel_oberoende_av_klimat*VLOOKUP($A219,Leveranser_per_nät,'Leveranser per nät'!Q$1,FALSE)
               +Andel_beroende_av_klimat*VLOOKUP($A219,Leveranser_per_nät,'Leveranser per nät'!Q$1,FALSE)/VLOOKUP("Köping",Korrigeringsfaktor_EI,'Korrigeringsfaktor EI'!Q$1,FALSE),
"")</f>
        <v>39.721061946902658</v>
      </c>
      <c r="R219" s="18">
        <f>IFERROR(
                  Andel_oberoende_av_klimat*VLOOKUP($A219,Leveranser_per_nät,'Leveranser per nät'!R$1,FALSE)
               +Andel_beroende_av_klimat*VLOOKUP($A219,Leveranser_per_nät,'Leveranser per nät'!R$1,FALSE)/VLOOKUP("Köping",Korrigeringsfaktor_EI,'Korrigeringsfaktor EI'!R$1,FALSE),
"")</f>
        <v>38.799999999999997</v>
      </c>
      <c r="S219" s="18">
        <f>IFERROR(
                  Andel_oberoende_av_klimat*VLOOKUP($A219,Leveranser_per_nät,'Leveranser per nät'!S$1,FALSE)
               +Andel_beroende_av_klimat*VLOOKUP($A219,Leveranser_per_nät,'Leveranser per nät'!S$1,FALSE)/VLOOKUP("Köping",Korrigeringsfaktor_EI,'Korrigeringsfaktor EI'!S$1,FALSE),
"")</f>
        <v>39</v>
      </c>
      <c r="T219" s="18">
        <f>IFERROR(
                  Andel_oberoende_av_klimat*VLOOKUP($A219,Leveranser_per_nät,'Leveranser per nät'!T$1,FALSE)
               +Andel_beroende_av_klimat*VLOOKUP($A219,Leveranser_per_nät,'Leveranser per nät'!T$1,FALSE)/VLOOKUP("Köping",Korrigeringsfaktor_EI,'Korrigeringsfaktor EI'!T$1,FALSE),
"")</f>
        <v>38.570526315789479</v>
      </c>
      <c r="U219" s="18">
        <f>IFERROR(
                  Andel_oberoende_av_klimat*VLOOKUP($A219,Leveranser_per_nät,'Leveranser per nät'!U$1,FALSE)
               +Andel_beroende_av_klimat*VLOOKUP($A219,Leveranser_per_nät,'Leveranser per nät'!U$1,FALSE)/VLOOKUP("Köping",Korrigeringsfaktor_EI,'Korrigeringsfaktor EI'!U$1,FALSE),
"")</f>
        <v>37.376179775280896</v>
      </c>
      <c r="V219" s="18">
        <f>IFERROR(
                  Andel_oberoende_av_klimat*VLOOKUP($A219,Leveranser_per_nät,'Leveranser per nät'!V$1,FALSE)
               +Andel_beroende_av_klimat*VLOOKUP($A219,Leveranser_per_nät,'Leveranser per nät'!V$1,FALSE)/VLOOKUP("Köping",Korrigeringsfaktor_EI,'Korrigeringsfaktor EI'!V$1,FALSE),
"")</f>
        <v>37.075555555555553</v>
      </c>
      <c r="W219" s="18">
        <f>IFERROR(
                  Andel_oberoende_av_klimat*VLOOKUP($A219,Leveranser_per_nät,'Leveranser per nät'!W$1,FALSE)
               +Andel_beroende_av_klimat*VLOOKUP($A219,Leveranser_per_nät,'Leveranser per nät'!W$1,FALSE)/VLOOKUP("Köping",Korrigeringsfaktor_EI,'Korrigeringsfaktor EI'!W$1,FALSE),
"")</f>
        <v>38.696666666666673</v>
      </c>
      <c r="X219" s="18">
        <f>IFERROR(
                  Andel_oberoende_av_klimat*VLOOKUP($A219,Leveranser_per_nät,'Leveranser per nät'!X$1,FALSE)
               +Andel_beroende_av_klimat*VLOOKUP($A219,Leveranser_per_nät,'Leveranser per nät'!X$1,FALSE)/VLOOKUP("Köping",Korrigeringsfaktor_EI,'Korrigeringsfaktor EI'!X$1,FALSE),
"")</f>
        <v>39.918421052631579</v>
      </c>
      <c r="Y219" s="18">
        <f>IFERROR(
                  Andel_oberoende_av_klimat*VLOOKUP($A219,Leveranser_per_nät,'Leveranser per nät'!Y$1,FALSE)
               +Andel_beroende_av_klimat*VLOOKUP($A219,Leveranser_per_nät,'Leveranser per nät'!Y$1,FALSE)/VLOOKUP($B219,Korrigeringsfaktor_EI,'Korrigeringsfaktor EI'!Y$1,FALSE),
"")</f>
        <v>40.416923076923077</v>
      </c>
      <c r="Z219" s="18">
        <f>IFERROR(
                  Andel_oberoende_av_klimat*VLOOKUP($A219,Leveranser_per_nät,'Leveranser per nät'!Z$1,FALSE)
               +Andel_beroende_av_klimat*VLOOKUP($A219,Leveranser_per_nät,'Leveranser per nät'!Z$1,FALSE)/VLOOKUP($B219,Korrigeringsfaktor_EI,'Korrigeringsfaktor EI'!Z$1,FALSE),
"")</f>
        <v>40.951538461538455</v>
      </c>
      <c r="AA219" s="18">
        <f>IFERROR(
                  Andel_oberoende_av_klimat*VLOOKUP($A219,Leveranser_per_nät,'Leveranser per nät'!AA$1,FALSE)
               +Andel_beroende_av_klimat*VLOOKUP($A219,Leveranser_per_nät,'Leveranser per nät'!AA$1,FALSE)/VLOOKUP($B219,Korrigeringsfaktor_EI,'Korrigeringsfaktor EI'!AA$1,FALSE),
"")</f>
        <v>39.213458950201883</v>
      </c>
      <c r="AB219" s="18">
        <f>IFERROR(
                  Andel_oberoende_av_klimat*VLOOKUP($A219,Leveranser_per_nät,'Leveranser per nät'!AB$1,FALSE)
               +Andel_beroende_av_klimat*VLOOKUP($A219,Leveranser_per_nät,'Leveranser per nät'!AB$1,FALSE)/VLOOKUP($B219,Korrigeringsfaktor_EI,'Korrigeringsfaktor EI'!AB$1,FALSE),
"")</f>
        <v>38.273385826771658</v>
      </c>
      <c r="AC219" s="18">
        <f>IFERROR(
                  Andel_oberoende_av_klimat*VLOOKUP($A219,Leveranser_per_nät,'Leveranser per nät'!AC$1,FALSE)
               +Andel_beroende_av_klimat*VLOOKUP($A219,Leveranser_per_nät,'Leveranser per nät'!AC$1,FALSE)/VLOOKUP($B219,Korrigeringsfaktor_EI,'Korrigeringsfaktor EI'!AC$1,FALSE),
"")</f>
        <v>37.465888650963599</v>
      </c>
      <c r="AD219">
        <v>35.700000000000003</v>
      </c>
    </row>
    <row r="220" spans="1:30" x14ac:dyDescent="0.25">
      <c r="A220" t="s">
        <v>173</v>
      </c>
      <c r="B220" t="s">
        <v>173</v>
      </c>
      <c r="C220" s="18">
        <f>IFERROR(
                  Andel_oberoende_av_klimat*VLOOKUP($A220,Leveranser_per_nät,'Leveranser per nät'!C$1,FALSE)
               +Andel_beroende_av_klimat*VLOOKUP($A220,Leveranser_per_nät,'Leveranser per nät'!C$1,FALSE)/VLOOKUP($B220,Korrigeringsfaktor_EI,'Korrigeringsfaktor EI'!C$1,FALSE),
"")</f>
        <v>0</v>
      </c>
      <c r="D220" s="18">
        <f>IFERROR(
                  Andel_oberoende_av_klimat*VLOOKUP($A220,Leveranser_per_nät,'Leveranser per nät'!D$1,FALSE)
               +Andel_beroende_av_klimat*VLOOKUP($A220,Leveranser_per_nät,'Leveranser per nät'!D$1,FALSE)/VLOOKUP($B220,Korrigeringsfaktor_EI,'Korrigeringsfaktor EI'!D$1,FALSE),
"")</f>
        <v>0</v>
      </c>
      <c r="E220" s="18">
        <f>IFERROR(
                  Andel_oberoende_av_klimat*VLOOKUP($A220,Leveranser_per_nät,'Leveranser per nät'!E$1,FALSE)
               +Andel_beroende_av_klimat*VLOOKUP($A220,Leveranser_per_nät,'Leveranser per nät'!E$1,FALSE)/VLOOKUP($B220,Korrigeringsfaktor_EI,'Korrigeringsfaktor EI'!E$1,FALSE),
"")</f>
        <v>69.003803846153843</v>
      </c>
      <c r="F220" s="18">
        <f>IFERROR(
                  Andel_oberoende_av_klimat*VLOOKUP($A220,Leveranser_per_nät,'Leveranser per nät'!F$1,FALSE)
               +Andel_beroende_av_klimat*VLOOKUP($A220,Leveranser_per_nät,'Leveranser per nät'!F$1,FALSE)/VLOOKUP($B220,Korrigeringsfaktor_EI,'Korrigeringsfaktor EI'!F$1,FALSE),
"")</f>
        <v>86.214285714285708</v>
      </c>
      <c r="G220" s="18">
        <f>IFERROR(
                  Andel_oberoende_av_klimat*VLOOKUP($A220,Leveranser_per_nät,'Leveranser per nät'!G$1,FALSE)
               +Andel_beroende_av_klimat*VLOOKUP($A220,Leveranser_per_nät,'Leveranser per nät'!G$1,FALSE)/VLOOKUP($B220,Korrigeringsfaktor_EI,'Korrigeringsfaktor EI'!G$1,FALSE),
"")</f>
        <v>87.382988888888889</v>
      </c>
      <c r="H220" s="18">
        <f>IFERROR(
                  Andel_oberoende_av_klimat*VLOOKUP($A220,Leveranser_per_nät,'Leveranser per nät'!H$1,FALSE)
               +Andel_beroende_av_klimat*VLOOKUP($A220,Leveranser_per_nät,'Leveranser per nät'!H$1,FALSE)/VLOOKUP($B220,Korrigeringsfaktor_EI,'Korrigeringsfaktor EI'!H$1,FALSE),
"")</f>
        <v>88.764705882352942</v>
      </c>
      <c r="I220" s="18">
        <f>IFERROR(
                  Andel_oberoende_av_klimat*VLOOKUP($A220,Leveranser_per_nät,'Leveranser per nät'!I$1,FALSE)
               +Andel_beroende_av_klimat*VLOOKUP($A220,Leveranser_per_nät,'Leveranser per nät'!I$1,FALSE)/VLOOKUP($B220,Korrigeringsfaktor_EI,'Korrigeringsfaktor EI'!I$1,FALSE),
"")</f>
        <v>93.315789473684205</v>
      </c>
      <c r="J220" s="18">
        <f>IFERROR(
                  Andel_oberoende_av_klimat*VLOOKUP($A220,Leveranser_per_nät,'Leveranser per nät'!J$1,FALSE)
               +Andel_beroende_av_klimat*VLOOKUP($A220,Leveranser_per_nät,'Leveranser per nät'!J$1,FALSE)/VLOOKUP($B220,Korrigeringsfaktor_EI,'Korrigeringsfaktor EI'!J$1,FALSE),
"")</f>
        <v>96.600571428571428</v>
      </c>
      <c r="K220" s="18">
        <f>IFERROR(
                  Andel_oberoende_av_klimat*VLOOKUP($A220,Leveranser_per_nät,'Leveranser per nät'!K$1,FALSE)
               +Andel_beroende_av_klimat*VLOOKUP($A220,Leveranser_per_nät,'Leveranser per nät'!K$1,FALSE)/VLOOKUP($B220,Korrigeringsfaktor_EI,'Korrigeringsfaktor EI'!K$1,FALSE),
"")</f>
        <v>98.69</v>
      </c>
      <c r="L220" s="18">
        <f>IFERROR(
                  Andel_oberoende_av_klimat*VLOOKUP($A220,Leveranser_per_nät,'Leveranser per nät'!L$1,FALSE)
               +Andel_beroende_av_klimat*VLOOKUP($A220,Leveranser_per_nät,'Leveranser per nät'!L$1,FALSE)/VLOOKUP($B220,Korrigeringsfaktor_EI,'Korrigeringsfaktor EI'!L$1,FALSE),
"")</f>
        <v>93.654166666666669</v>
      </c>
      <c r="M220" s="18">
        <f>IFERROR(
                  Andel_oberoende_av_klimat*VLOOKUP($A220,Leveranser_per_nät,'Leveranser per nät'!M$1,FALSE)
               +Andel_beroende_av_klimat*VLOOKUP($A220,Leveranser_per_nät,'Leveranser per nät'!M$1,FALSE)/VLOOKUP($B220,Korrigeringsfaktor_EI,'Korrigeringsfaktor EI'!M$1,FALSE),
"")</f>
        <v>105.02608695652174</v>
      </c>
      <c r="N220" s="18">
        <f>IFERROR(
                  Andel_oberoende_av_klimat*VLOOKUP($A220,Leveranser_per_nät,'Leveranser per nät'!N$1,FALSE)
               +Andel_beroende_av_klimat*VLOOKUP($A220,Leveranser_per_nät,'Leveranser per nät'!N$1,FALSE)/VLOOKUP($B220,Korrigeringsfaktor_EI,'Korrigeringsfaktor EI'!N$1,FALSE),
"")</f>
        <v>126.82211111111113</v>
      </c>
      <c r="O220" s="18">
        <f>IFERROR(
                  Andel_oberoende_av_klimat*VLOOKUP($A220,Leveranser_per_nät,'Leveranser per nät'!O$1,FALSE)
               +Andel_beroende_av_klimat*VLOOKUP($A220,Leveranser_per_nät,'Leveranser per nät'!O$1,FALSE)/VLOOKUP($B220,Korrigeringsfaktor_EI,'Korrigeringsfaktor EI'!O$1,FALSE),
"")</f>
        <v>111.04636853932584</v>
      </c>
      <c r="P220" s="18">
        <f>IFERROR(
                  Andel_oberoende_av_klimat*VLOOKUP($A220,Leveranser_per_nät,'Leveranser per nät'!P$1,FALSE)
               +Andel_beroende_av_klimat*VLOOKUP($A220,Leveranser_per_nät,'Leveranser per nät'!P$1,FALSE)/VLOOKUP($B220,Korrigeringsfaktor_EI,'Korrigeringsfaktor EI'!P$1,FALSE),
"")</f>
        <v>114.88355319148937</v>
      </c>
      <c r="Q220" s="18">
        <f>IFERROR(
                  Andel_oberoende_av_klimat*VLOOKUP($A220,Leveranser_per_nät,'Leveranser per nät'!Q$1,FALSE)
               +Andel_beroende_av_klimat*VLOOKUP($A220,Leveranser_per_nät,'Leveranser per nät'!Q$1,FALSE)/VLOOKUP($B220,Korrigeringsfaktor_EI,'Korrigeringsfaktor EI'!Q$1,FALSE),
"")</f>
        <v>125.64912035398231</v>
      </c>
      <c r="R220" s="18">
        <f>IFERROR(
                  Andel_oberoende_av_klimat*VLOOKUP($A220,Leveranser_per_nät,'Leveranser per nät'!R$1,FALSE)
               +Andel_beroende_av_klimat*VLOOKUP($A220,Leveranser_per_nät,'Leveranser per nät'!R$1,FALSE)/VLOOKUP($B220,Korrigeringsfaktor_EI,'Korrigeringsfaktor EI'!R$1,FALSE),
"")</f>
        <v>118.55555555555557</v>
      </c>
      <c r="S220" s="18">
        <f>IFERROR(
                  Andel_oberoende_av_klimat*VLOOKUP($A220,Leveranser_per_nät,'Leveranser per nät'!S$1,FALSE)
               +Andel_beroende_av_klimat*VLOOKUP($A220,Leveranser_per_nät,'Leveranser per nät'!S$1,FALSE)/VLOOKUP($B220,Korrigeringsfaktor_EI,'Korrigeringsfaktor EI'!S$1,FALSE),
"")</f>
        <v>129.82857142857142</v>
      </c>
      <c r="T220" s="18">
        <f>IFERROR(
                  Andel_oberoende_av_klimat*VLOOKUP($A220,Leveranser_per_nät,'Leveranser per nät'!T$1,FALSE)
               +Andel_beroende_av_klimat*VLOOKUP($A220,Leveranser_per_nät,'Leveranser per nät'!T$1,FALSE)/VLOOKUP($B220,Korrigeringsfaktor_EI,'Korrigeringsfaktor EI'!T$1,FALSE),
"")</f>
        <v>130.39541666666668</v>
      </c>
      <c r="U220" s="18">
        <f>IFERROR(
                  Andel_oberoende_av_klimat*VLOOKUP($A220,Leveranser_per_nät,'Leveranser per nät'!U$1,FALSE)
               +Andel_beroende_av_klimat*VLOOKUP($A220,Leveranser_per_nät,'Leveranser per nät'!U$1,FALSE)/VLOOKUP($B220,Korrigeringsfaktor_EI,'Korrigeringsfaktor EI'!U$1,FALSE),
"")</f>
        <v>121.26666666666665</v>
      </c>
      <c r="V220" s="18">
        <f>IFERROR(
                  Andel_oberoende_av_klimat*VLOOKUP($A220,Leveranser_per_nät,'Leveranser per nät'!V$1,FALSE)
               +Andel_beroende_av_klimat*VLOOKUP($A220,Leveranser_per_nät,'Leveranser per nät'!V$1,FALSE)/VLOOKUP($B220,Korrigeringsfaktor_EI,'Korrigeringsfaktor EI'!V$1,FALSE),
"")</f>
        <v>124.69888888888889</v>
      </c>
      <c r="W220" s="18">
        <f>IFERROR(
                  Andel_oberoende_av_klimat*VLOOKUP($A220,Leveranser_per_nät,'Leveranser per nät'!W$1,FALSE)
               +Andel_beroende_av_klimat*VLOOKUP($A220,Leveranser_per_nät,'Leveranser per nät'!W$1,FALSE)/VLOOKUP($B220,Korrigeringsfaktor_EI,'Korrigeringsfaktor EI'!W$1,FALSE),
"")</f>
        <v>118.35416666666669</v>
      </c>
      <c r="X220" s="18">
        <f>IFERROR(
                  Andel_oberoende_av_klimat*VLOOKUP($A220,Leveranser_per_nät,'Leveranser per nät'!X$1,FALSE)
               +Andel_beroende_av_klimat*VLOOKUP($A220,Leveranser_per_nät,'Leveranser per nät'!X$1,FALSE)/VLOOKUP($B220,Korrigeringsfaktor_EI,'Korrigeringsfaktor EI'!X$1,FALSE),
"")</f>
        <v>118.95376344086021</v>
      </c>
      <c r="Y220" s="18">
        <f>IFERROR(
                  Andel_oberoende_av_klimat*VLOOKUP($A220,Leveranser_per_nät,'Leveranser per nät'!Y$1,FALSE)
               +Andel_beroende_av_klimat*VLOOKUP($A220,Leveranser_per_nät,'Leveranser per nät'!Y$1,FALSE)/VLOOKUP($B220,Korrigeringsfaktor_EI,'Korrigeringsfaktor EI'!Y$1,FALSE),
"")</f>
        <v>124.03076923076921</v>
      </c>
      <c r="Z220" s="18">
        <f>IFERROR(
                  Andel_oberoende_av_klimat*VLOOKUP($A220,Leveranser_per_nät,'Leveranser per nät'!Z$1,FALSE)
               +Andel_beroende_av_klimat*VLOOKUP($A220,Leveranser_per_nät,'Leveranser per nät'!Z$1,FALSE)/VLOOKUP($B220,Korrigeringsfaktor_EI,'Korrigeringsfaktor EI'!Z$1,FALSE),
"")</f>
        <v>123.6456179775281</v>
      </c>
      <c r="AA220" s="18">
        <f>IFERROR(
                  Andel_oberoende_av_klimat*VLOOKUP($A220,Leveranser_per_nät,'Leveranser per nät'!AA$1,FALSE)
               +Andel_beroende_av_klimat*VLOOKUP($A220,Leveranser_per_nät,'Leveranser per nät'!AA$1,FALSE)/VLOOKUP($B220,Korrigeringsfaktor_EI,'Korrigeringsfaktor EI'!AA$1,FALSE),
"")</f>
        <v>121.91916167664672</v>
      </c>
      <c r="AB220" s="18">
        <f>IFERROR(
                  Andel_oberoende_av_klimat*VLOOKUP($A220,Leveranser_per_nät,'Leveranser per nät'!AB$1,FALSE)
               +Andel_beroende_av_klimat*VLOOKUP($A220,Leveranser_per_nät,'Leveranser per nät'!AB$1,FALSE)/VLOOKUP($B220,Korrigeringsfaktor_EI,'Korrigeringsfaktor EI'!AB$1,FALSE),
"")</f>
        <v>0</v>
      </c>
      <c r="AC220" s="18">
        <f>IFERROR(
                  Andel_oberoende_av_klimat*VLOOKUP($A220,Leveranser_per_nät,'Leveranser per nät'!AC$1,FALSE)
               +Andel_beroende_av_klimat*VLOOKUP($A220,Leveranser_per_nät,'Leveranser per nät'!AC$1,FALSE)/VLOOKUP($B220,Korrigeringsfaktor_EI,'Korrigeringsfaktor EI'!AC$1,FALSE),
"")</f>
        <v>0</v>
      </c>
      <c r="AD220" t="e">
        <v>#N/A</v>
      </c>
    </row>
    <row r="221" spans="1:30" x14ac:dyDescent="0.25">
      <c r="A221" t="s">
        <v>1139</v>
      </c>
      <c r="B221" t="s">
        <v>173</v>
      </c>
      <c r="C221" s="18">
        <f>IFERROR(
                  Andel_oberoende_av_klimat*VLOOKUP($A221,Leveranser_per_nät,'Leveranser per nät'!C$1,FALSE)
               +Andel_beroende_av_klimat*VLOOKUP($A221,Leveranser_per_nät,'Leveranser per nät'!C$1,FALSE)/VLOOKUP($B221,Korrigeringsfaktor_EI,'Korrigeringsfaktor EI'!C$1,FALSE),
"")</f>
        <v>0</v>
      </c>
      <c r="D221" s="18">
        <f>IFERROR(
                  Andel_oberoende_av_klimat*VLOOKUP($A221,Leveranser_per_nät,'Leveranser per nät'!D$1,FALSE)
               +Andel_beroende_av_klimat*VLOOKUP($A221,Leveranser_per_nät,'Leveranser per nät'!D$1,FALSE)/VLOOKUP($B221,Korrigeringsfaktor_EI,'Korrigeringsfaktor EI'!D$1,FALSE),
"")</f>
        <v>0</v>
      </c>
      <c r="E221" s="18">
        <f>IFERROR(
                  Andel_oberoende_av_klimat*VLOOKUP($A221,Leveranser_per_nät,'Leveranser per nät'!E$1,FALSE)
               +Andel_beroende_av_klimat*VLOOKUP($A221,Leveranser_per_nät,'Leveranser per nät'!E$1,FALSE)/VLOOKUP($B221,Korrigeringsfaktor_EI,'Korrigeringsfaktor EI'!E$1,FALSE),
"")</f>
        <v>0</v>
      </c>
      <c r="F221" s="18">
        <f>IFERROR(
                  Andel_oberoende_av_klimat*VLOOKUP($A221,Leveranser_per_nät,'Leveranser per nät'!F$1,FALSE)
               +Andel_beroende_av_klimat*VLOOKUP($A221,Leveranser_per_nät,'Leveranser per nät'!F$1,FALSE)/VLOOKUP($B221,Korrigeringsfaktor_EI,'Korrigeringsfaktor EI'!F$1,FALSE),
"")</f>
        <v>0</v>
      </c>
      <c r="G221" s="18">
        <f>IFERROR(
                  Andel_oberoende_av_klimat*VLOOKUP($A221,Leveranser_per_nät,'Leveranser per nät'!G$1,FALSE)
               +Andel_beroende_av_klimat*VLOOKUP($A221,Leveranser_per_nät,'Leveranser per nät'!G$1,FALSE)/VLOOKUP($B221,Korrigeringsfaktor_EI,'Korrigeringsfaktor EI'!G$1,FALSE),
"")</f>
        <v>0</v>
      </c>
      <c r="H221" s="18">
        <f>IFERROR(
                  Andel_oberoende_av_klimat*VLOOKUP($A221,Leveranser_per_nät,'Leveranser per nät'!H$1,FALSE)
               +Andel_beroende_av_klimat*VLOOKUP($A221,Leveranser_per_nät,'Leveranser per nät'!H$1,FALSE)/VLOOKUP($B221,Korrigeringsfaktor_EI,'Korrigeringsfaktor EI'!H$1,FALSE),
"")</f>
        <v>0</v>
      </c>
      <c r="I221" s="18">
        <f>IFERROR(
                  Andel_oberoende_av_klimat*VLOOKUP($A221,Leveranser_per_nät,'Leveranser per nät'!I$1,FALSE)
               +Andel_beroende_av_klimat*VLOOKUP($A221,Leveranser_per_nät,'Leveranser per nät'!I$1,FALSE)/VLOOKUP($B221,Korrigeringsfaktor_EI,'Korrigeringsfaktor EI'!I$1,FALSE),
"")</f>
        <v>0</v>
      </c>
      <c r="J221" s="18">
        <f>IFERROR(
                  Andel_oberoende_av_klimat*VLOOKUP($A221,Leveranser_per_nät,'Leveranser per nät'!J$1,FALSE)
               +Andel_beroende_av_klimat*VLOOKUP($A221,Leveranser_per_nät,'Leveranser per nät'!J$1,FALSE)/VLOOKUP($B221,Korrigeringsfaktor_EI,'Korrigeringsfaktor EI'!J$1,FALSE),
"")</f>
        <v>0</v>
      </c>
      <c r="K221" s="18">
        <f>IFERROR(
                  Andel_oberoende_av_klimat*VLOOKUP($A221,Leveranser_per_nät,'Leveranser per nät'!K$1,FALSE)
               +Andel_beroende_av_klimat*VLOOKUP($A221,Leveranser_per_nät,'Leveranser per nät'!K$1,FALSE)/VLOOKUP($B221,Korrigeringsfaktor_EI,'Korrigeringsfaktor EI'!K$1,FALSE),
"")</f>
        <v>0</v>
      </c>
      <c r="L221" s="18">
        <f>IFERROR(
                  Andel_oberoende_av_klimat*VLOOKUP($A221,Leveranser_per_nät,'Leveranser per nät'!L$1,FALSE)
               +Andel_beroende_av_klimat*VLOOKUP($A221,Leveranser_per_nät,'Leveranser per nät'!L$1,FALSE)/VLOOKUP($B221,Korrigeringsfaktor_EI,'Korrigeringsfaktor EI'!L$1,FALSE),
"")</f>
        <v>0</v>
      </c>
      <c r="M221" s="18">
        <f>IFERROR(
                  Andel_oberoende_av_klimat*VLOOKUP($A221,Leveranser_per_nät,'Leveranser per nät'!M$1,FALSE)
               +Andel_beroende_av_klimat*VLOOKUP($A221,Leveranser_per_nät,'Leveranser per nät'!M$1,FALSE)/VLOOKUP($B221,Korrigeringsfaktor_EI,'Korrigeringsfaktor EI'!M$1,FALSE),
"")</f>
        <v>0</v>
      </c>
      <c r="N221" s="18">
        <f>IFERROR(
                  Andel_oberoende_av_klimat*VLOOKUP($A221,Leveranser_per_nät,'Leveranser per nät'!N$1,FALSE)
               +Andel_beroende_av_klimat*VLOOKUP($A221,Leveranser_per_nät,'Leveranser per nät'!N$1,FALSE)/VLOOKUP($B221,Korrigeringsfaktor_EI,'Korrigeringsfaktor EI'!N$1,FALSE),
"")</f>
        <v>0</v>
      </c>
      <c r="O221" s="18">
        <f>IFERROR(
                  Andel_oberoende_av_klimat*VLOOKUP($A221,Leveranser_per_nät,'Leveranser per nät'!O$1,FALSE)
               +Andel_beroende_av_klimat*VLOOKUP($A221,Leveranser_per_nät,'Leveranser per nät'!O$1,FALSE)/VLOOKUP($B221,Korrigeringsfaktor_EI,'Korrigeringsfaktor EI'!O$1,FALSE),
"")</f>
        <v>0</v>
      </c>
      <c r="P221" s="18">
        <f>IFERROR(
                  Andel_oberoende_av_klimat*VLOOKUP($A221,Leveranser_per_nät,'Leveranser per nät'!P$1,FALSE)
               +Andel_beroende_av_klimat*VLOOKUP($A221,Leveranser_per_nät,'Leveranser per nät'!P$1,FALSE)/VLOOKUP($B221,Korrigeringsfaktor_EI,'Korrigeringsfaktor EI'!P$1,FALSE),
"")</f>
        <v>0</v>
      </c>
      <c r="Q221" s="18">
        <f>IFERROR(
                  Andel_oberoende_av_klimat*VLOOKUP($A221,Leveranser_per_nät,'Leveranser per nät'!Q$1,FALSE)
               +Andel_beroende_av_klimat*VLOOKUP($A221,Leveranser_per_nät,'Leveranser per nät'!Q$1,FALSE)/VLOOKUP($B221,Korrigeringsfaktor_EI,'Korrigeringsfaktor EI'!Q$1,FALSE),
"")</f>
        <v>0</v>
      </c>
      <c r="R221" s="18">
        <f>IFERROR(
                  Andel_oberoende_av_klimat*VLOOKUP($A221,Leveranser_per_nät,'Leveranser per nät'!R$1,FALSE)
               +Andel_beroende_av_klimat*VLOOKUP($A221,Leveranser_per_nät,'Leveranser per nät'!R$1,FALSE)/VLOOKUP($B221,Korrigeringsfaktor_EI,'Korrigeringsfaktor EI'!R$1,FALSE),
"")</f>
        <v>0</v>
      </c>
      <c r="S221" s="18">
        <f>IFERROR(
                  Andel_oberoende_av_klimat*VLOOKUP($A221,Leveranser_per_nät,'Leveranser per nät'!S$1,FALSE)
               +Andel_beroende_av_klimat*VLOOKUP($A221,Leveranser_per_nät,'Leveranser per nät'!S$1,FALSE)/VLOOKUP($B221,Korrigeringsfaktor_EI,'Korrigeringsfaktor EI'!S$1,FALSE),
"")</f>
        <v>0</v>
      </c>
      <c r="T221" s="18">
        <f>IFERROR(
                  Andel_oberoende_av_klimat*VLOOKUP($A221,Leveranser_per_nät,'Leveranser per nät'!T$1,FALSE)
               +Andel_beroende_av_klimat*VLOOKUP($A221,Leveranser_per_nät,'Leveranser per nät'!T$1,FALSE)/VLOOKUP($B221,Korrigeringsfaktor_EI,'Korrigeringsfaktor EI'!T$1,FALSE),
"")</f>
        <v>0</v>
      </c>
      <c r="U221" s="18">
        <f>IFERROR(
                  Andel_oberoende_av_klimat*VLOOKUP($A221,Leveranser_per_nät,'Leveranser per nät'!U$1,FALSE)
               +Andel_beroende_av_klimat*VLOOKUP($A221,Leveranser_per_nät,'Leveranser per nät'!U$1,FALSE)/VLOOKUP($B221,Korrigeringsfaktor_EI,'Korrigeringsfaktor EI'!U$1,FALSE),
"")</f>
        <v>0</v>
      </c>
      <c r="V221" s="18">
        <f>IFERROR(
                  Andel_oberoende_av_klimat*VLOOKUP($A221,Leveranser_per_nät,'Leveranser per nät'!V$1,FALSE)
               +Andel_beroende_av_klimat*VLOOKUP($A221,Leveranser_per_nät,'Leveranser per nät'!V$1,FALSE)/VLOOKUP($B221,Korrigeringsfaktor_EI,'Korrigeringsfaktor EI'!V$1,FALSE),
"")</f>
        <v>0</v>
      </c>
      <c r="W221" s="18">
        <f>IFERROR(
                  Andel_oberoende_av_klimat*VLOOKUP($A221,Leveranser_per_nät,'Leveranser per nät'!W$1,FALSE)
               +Andel_beroende_av_klimat*VLOOKUP($A221,Leveranser_per_nät,'Leveranser per nät'!W$1,FALSE)/VLOOKUP($B221,Korrigeringsfaktor_EI,'Korrigeringsfaktor EI'!W$1,FALSE),
"")</f>
        <v>0</v>
      </c>
      <c r="X221" s="18">
        <f>IFERROR(
                  Andel_oberoende_av_klimat*VLOOKUP($A221,Leveranser_per_nät,'Leveranser per nät'!X$1,FALSE)
               +Andel_beroende_av_klimat*VLOOKUP($A221,Leveranser_per_nät,'Leveranser per nät'!X$1,FALSE)/VLOOKUP($B221,Korrigeringsfaktor_EI,'Korrigeringsfaktor EI'!X$1,FALSE),
"")</f>
        <v>0</v>
      </c>
      <c r="Y221" s="18">
        <f>IFERROR(
                  Andel_oberoende_av_klimat*VLOOKUP($A221,Leveranser_per_nät,'Leveranser per nät'!Y$1,FALSE)
               +Andel_beroende_av_klimat*VLOOKUP($A221,Leveranser_per_nät,'Leveranser per nät'!Y$1,FALSE)/VLOOKUP($B221,Korrigeringsfaktor_EI,'Korrigeringsfaktor EI'!Y$1,FALSE),
"")</f>
        <v>0</v>
      </c>
      <c r="Z221" s="18">
        <f>IFERROR(
                  Andel_oberoende_av_klimat*VLOOKUP($A221,Leveranser_per_nät,'Leveranser per nät'!Z$1,FALSE)
               +Andel_beroende_av_klimat*VLOOKUP($A221,Leveranser_per_nät,'Leveranser per nät'!Z$1,FALSE)/VLOOKUP($B221,Korrigeringsfaktor_EI,'Korrigeringsfaktor EI'!Z$1,FALSE),
"")</f>
        <v>0</v>
      </c>
      <c r="AA221" s="18">
        <f>IFERROR(
                  Andel_oberoende_av_klimat*VLOOKUP($A221,Leveranser_per_nät,'Leveranser per nät'!AA$1,FALSE)
               +Andel_beroende_av_klimat*VLOOKUP($A221,Leveranser_per_nät,'Leveranser per nät'!AA$1,FALSE)/VLOOKUP($B221,Korrigeringsfaktor_EI,'Korrigeringsfaktor EI'!AA$1,FALSE),
"")</f>
        <v>0</v>
      </c>
      <c r="AB221" s="18">
        <f>IFERROR(
                  Andel_oberoende_av_klimat*VLOOKUP($A221,Leveranser_per_nät,'Leveranser per nät'!AB$1,FALSE)
               +Andel_beroende_av_klimat*VLOOKUP($A221,Leveranser_per_nät,'Leveranser per nät'!AB$1,FALSE)/VLOOKUP($B221,Korrigeringsfaktor_EI,'Korrigeringsfaktor EI'!AB$1,FALSE),
"")</f>
        <v>127.60759493670886</v>
      </c>
      <c r="AC221" s="18">
        <f>IFERROR(
                  Andel_oberoende_av_klimat*VLOOKUP($A221,Leveranser_per_nät,'Leveranser per nät'!AC$1,FALSE)
               +Andel_beroende_av_klimat*VLOOKUP($A221,Leveranser_per_nät,'Leveranser per nät'!AC$1,FALSE)/VLOOKUP($B221,Korrigeringsfaktor_EI,'Korrigeringsfaktor EI'!AC$1,FALSE),
"")</f>
        <v>119.58537634408603</v>
      </c>
      <c r="AD221" t="e">
        <v>#N/A</v>
      </c>
    </row>
    <row r="222" spans="1:30" x14ac:dyDescent="0.25">
      <c r="A222" t="s">
        <v>656</v>
      </c>
      <c r="B222" t="s">
        <v>165</v>
      </c>
      <c r="C222" s="18">
        <f>IFERROR(
                  Andel_oberoende_av_klimat*VLOOKUP($A222,Leveranser_per_nät,'Leveranser per nät'!C$1,FALSE)
               +Andel_beroende_av_klimat*VLOOKUP($A222,Leveranser_per_nät,'Leveranser per nät'!C$1,FALSE)/VLOOKUP($B222,Korrigeringsfaktor_EI,'Korrigeringsfaktor EI'!C$1,FALSE),
"")</f>
        <v>0</v>
      </c>
      <c r="D222" s="18">
        <f>IFERROR(
                  Andel_oberoende_av_klimat*VLOOKUP($A222,Leveranser_per_nät,'Leveranser per nät'!D$1,FALSE)
               +Andel_beroende_av_klimat*VLOOKUP($A222,Leveranser_per_nät,'Leveranser per nät'!D$1,FALSE)/VLOOKUP($B222,Korrigeringsfaktor_EI,'Korrigeringsfaktor EI'!D$1,FALSE),
"")</f>
        <v>0</v>
      </c>
      <c r="E222" s="18">
        <f>IFERROR(
                  Andel_oberoende_av_klimat*VLOOKUP($A222,Leveranser_per_nät,'Leveranser per nät'!E$1,FALSE)
               +Andel_beroende_av_klimat*VLOOKUP($A222,Leveranser_per_nät,'Leveranser per nät'!E$1,FALSE)/VLOOKUP($B222,Korrigeringsfaktor_EI,'Korrigeringsfaktor EI'!E$1,FALSE),
"")</f>
        <v>0</v>
      </c>
      <c r="F222" s="18">
        <f>IFERROR(
                  Andel_oberoende_av_klimat*VLOOKUP($A222,Leveranser_per_nät,'Leveranser per nät'!F$1,FALSE)
               +Andel_beroende_av_klimat*VLOOKUP($A222,Leveranser_per_nät,'Leveranser per nät'!F$1,FALSE)/VLOOKUP($B222,Korrigeringsfaktor_EI,'Korrigeringsfaktor EI'!F$1,FALSE),
"")</f>
        <v>0</v>
      </c>
      <c r="G222" s="18">
        <f>IFERROR(
                  Andel_oberoende_av_klimat*VLOOKUP($A222,Leveranser_per_nät,'Leveranser per nät'!G$1,FALSE)
               +Andel_beroende_av_klimat*VLOOKUP($A222,Leveranser_per_nät,'Leveranser per nät'!G$1,FALSE)/VLOOKUP($B222,Korrigeringsfaktor_EI,'Korrigeringsfaktor EI'!G$1,FALSE),
"")</f>
        <v>0</v>
      </c>
      <c r="H222" s="18">
        <f>IFERROR(
                  Andel_oberoende_av_klimat*VLOOKUP($A222,Leveranser_per_nät,'Leveranser per nät'!H$1,FALSE)
               +Andel_beroende_av_klimat*VLOOKUP($A222,Leveranser_per_nät,'Leveranser per nät'!H$1,FALSE)/VLOOKUP($B222,Korrigeringsfaktor_EI,'Korrigeringsfaktor EI'!H$1,FALSE),
"")</f>
        <v>0</v>
      </c>
      <c r="I222" s="18">
        <f>IFERROR(
                  Andel_oberoende_av_klimat*VLOOKUP($A222,Leveranser_per_nät,'Leveranser per nät'!I$1,FALSE)
               +Andel_beroende_av_klimat*VLOOKUP($A222,Leveranser_per_nät,'Leveranser per nät'!I$1,FALSE)/VLOOKUP($B222,Korrigeringsfaktor_EI,'Korrigeringsfaktor EI'!I$1,FALSE),
"")</f>
        <v>0</v>
      </c>
      <c r="J222" s="18">
        <f>IFERROR(
                  Andel_oberoende_av_klimat*VLOOKUP($A222,Leveranser_per_nät,'Leveranser per nät'!J$1,FALSE)
               +Andel_beroende_av_klimat*VLOOKUP($A222,Leveranser_per_nät,'Leveranser per nät'!J$1,FALSE)/VLOOKUP($B222,Korrigeringsfaktor_EI,'Korrigeringsfaktor EI'!J$1,FALSE),
"")</f>
        <v>0</v>
      </c>
      <c r="K222" s="18">
        <f>IFERROR(
                  Andel_oberoende_av_klimat*VLOOKUP($A222,Leveranser_per_nät,'Leveranser per nät'!K$1,FALSE)
               +Andel_beroende_av_klimat*VLOOKUP($A222,Leveranser_per_nät,'Leveranser per nät'!K$1,FALSE)/VLOOKUP($B222,Korrigeringsfaktor_EI,'Korrigeringsfaktor EI'!K$1,FALSE),
"")</f>
        <v>0</v>
      </c>
      <c r="L222" s="18">
        <f>IFERROR(
                  Andel_oberoende_av_klimat*VLOOKUP($A222,Leveranser_per_nät,'Leveranser per nät'!L$1,FALSE)
               +Andel_beroende_av_klimat*VLOOKUP($A222,Leveranser_per_nät,'Leveranser per nät'!L$1,FALSE)/VLOOKUP($B222,Korrigeringsfaktor_EI,'Korrigeringsfaktor EI'!L$1,FALSE),
"")</f>
        <v>0</v>
      </c>
      <c r="M222" s="18">
        <f>IFERROR(
                  Andel_oberoende_av_klimat*VLOOKUP($A222,Leveranser_per_nät,'Leveranser per nät'!M$1,FALSE)
               +Andel_beroende_av_klimat*VLOOKUP($A222,Leveranser_per_nät,'Leveranser per nät'!M$1,FALSE)/VLOOKUP($B222,Korrigeringsfaktor_EI,'Korrigeringsfaktor EI'!M$1,FALSE),
"")</f>
        <v>0</v>
      </c>
      <c r="N222" s="18">
        <f>IFERROR(
                  Andel_oberoende_av_klimat*VLOOKUP($A222,Leveranser_per_nät,'Leveranser per nät'!N$1,FALSE)
               +Andel_beroende_av_klimat*VLOOKUP($A222,Leveranser_per_nät,'Leveranser per nät'!N$1,FALSE)/VLOOKUP($B222,Korrigeringsfaktor_EI,'Korrigeringsfaktor EI'!N$1,FALSE),
"")</f>
        <v>4.1473684210526311</v>
      </c>
      <c r="O222" s="18">
        <f>IFERROR(
                  Andel_oberoende_av_klimat*VLOOKUP($A222,Leveranser_per_nät,'Leveranser per nät'!O$1,FALSE)
               +Andel_beroende_av_klimat*VLOOKUP($A222,Leveranser_per_nät,'Leveranser per nät'!O$1,FALSE)/VLOOKUP($B222,Korrigeringsfaktor_EI,'Korrigeringsfaktor EI'!O$1,FALSE),
"")</f>
        <v>0</v>
      </c>
      <c r="P222" s="18">
        <f>IFERROR(
                  Andel_oberoende_av_klimat*VLOOKUP($A222,Leveranser_per_nät,'Leveranser per nät'!P$1,FALSE)
               +Andel_beroende_av_klimat*VLOOKUP($A222,Leveranser_per_nät,'Leveranser per nät'!P$1,FALSE)/VLOOKUP($B222,Korrigeringsfaktor_EI,'Korrigeringsfaktor EI'!P$1,FALSE),
"")</f>
        <v>0</v>
      </c>
      <c r="Q222" s="18">
        <f>IFERROR(
                  Andel_oberoende_av_klimat*VLOOKUP($A222,Leveranser_per_nät,'Leveranser per nät'!Q$1,FALSE)
               +Andel_beroende_av_klimat*VLOOKUP($A222,Leveranser_per_nät,'Leveranser per nät'!Q$1,FALSE)/VLOOKUP($B222,Korrigeringsfaktor_EI,'Korrigeringsfaktor EI'!Q$1,FALSE),
"")</f>
        <v>4.1527391304347825</v>
      </c>
      <c r="R222" s="18">
        <f>IFERROR(
                  Andel_oberoende_av_klimat*VLOOKUP($A222,Leveranser_per_nät,'Leveranser per nät'!R$1,FALSE)
               +Andel_beroende_av_klimat*VLOOKUP($A222,Leveranser_per_nät,'Leveranser per nät'!R$1,FALSE)/VLOOKUP($B222,Korrigeringsfaktor_EI,'Korrigeringsfaktor EI'!R$1,FALSE),
"")</f>
        <v>3.5310212765957445</v>
      </c>
      <c r="S222" s="18">
        <f>IFERROR(
                  Andel_oberoende_av_klimat*VLOOKUP($A222,Leveranser_per_nät,'Leveranser per nät'!S$1,FALSE)
               +Andel_beroende_av_klimat*VLOOKUP($A222,Leveranser_per_nät,'Leveranser per nät'!S$1,FALSE)/VLOOKUP($B222,Korrigeringsfaktor_EI,'Korrigeringsfaktor EI'!S$1,FALSE),
"")</f>
        <v>3.2744313725490195</v>
      </c>
      <c r="T222" s="18">
        <f>IFERROR(
                  Andel_oberoende_av_klimat*VLOOKUP($A222,Leveranser_per_nät,'Leveranser per nät'!T$1,FALSE)
               +Andel_beroende_av_klimat*VLOOKUP($A222,Leveranser_per_nät,'Leveranser per nät'!T$1,FALSE)/VLOOKUP($B222,Korrigeringsfaktor_EI,'Korrigeringsfaktor EI'!T$1,FALSE),
"")</f>
        <v>2.8014571428571426</v>
      </c>
      <c r="U222" s="18">
        <f>IFERROR(
                  Andel_oberoende_av_klimat*VLOOKUP($A222,Leveranser_per_nät,'Leveranser per nät'!U$1,FALSE)
               +Andel_beroende_av_klimat*VLOOKUP($A222,Leveranser_per_nät,'Leveranser per nät'!U$1,FALSE)/VLOOKUP($B222,Korrigeringsfaktor_EI,'Korrigeringsfaktor EI'!U$1,FALSE),
"")</f>
        <v>2.4718260869565221</v>
      </c>
      <c r="V222" s="18">
        <f>IFERROR(
                  Andel_oberoende_av_klimat*VLOOKUP($A222,Leveranser_per_nät,'Leveranser per nät'!V$1,FALSE)
               +Andel_beroende_av_klimat*VLOOKUP($A222,Leveranser_per_nät,'Leveranser per nät'!V$1,FALSE)/VLOOKUP($B222,Korrigeringsfaktor_EI,'Korrigeringsfaktor EI'!V$1,FALSE),
"")</f>
        <v>2.4236595744680853</v>
      </c>
      <c r="W222" s="18">
        <f>IFERROR(
                  Andel_oberoende_av_klimat*VLOOKUP($A222,Leveranser_per_nät,'Leveranser per nät'!W$1,FALSE)
               +Andel_beroende_av_klimat*VLOOKUP($A222,Leveranser_per_nät,'Leveranser per nät'!W$1,FALSE)/VLOOKUP($B222,Korrigeringsfaktor_EI,'Korrigeringsfaktor EI'!W$1,FALSE),
"")</f>
        <v>2.6256391752577319</v>
      </c>
      <c r="X222" s="18">
        <f>IFERROR(
                  Andel_oberoende_av_klimat*VLOOKUP($A222,Leveranser_per_nät,'Leveranser per nät'!X$1,FALSE)
               +Andel_beroende_av_klimat*VLOOKUP($A222,Leveranser_per_nät,'Leveranser per nät'!X$1,FALSE)/VLOOKUP($B222,Korrigeringsfaktor_EI,'Korrigeringsfaktor EI'!X$1,FALSE),
"")</f>
        <v>2.5626250000000006</v>
      </c>
      <c r="Y222" s="18" t="str">
        <f>IFERROR(
                  Andel_oberoende_av_klimat*VLOOKUP($A222,Leveranser_per_nät,'Leveranser per nät'!Y$1,FALSE)
               +Andel_beroende_av_klimat*VLOOKUP($A222,Leveranser_per_nät,'Leveranser per nät'!Y$1,FALSE)/VLOOKUP($B222,Korrigeringsfaktor_EI,'Korrigeringsfaktor EI'!Y$1,FALSE),
"")</f>
        <v/>
      </c>
      <c r="Z222" s="18">
        <f>IFERROR(
                  Andel_oberoende_av_klimat*VLOOKUP($A222,Leveranser_per_nät,'Leveranser per nät'!Z$1,FALSE)
               +Andel_beroende_av_klimat*VLOOKUP($A222,Leveranser_per_nät,'Leveranser per nät'!Z$1,FALSE)/VLOOKUP($B222,Korrigeringsfaktor_EI,'Korrigeringsfaktor EI'!Z$1,FALSE),
"")</f>
        <v>0</v>
      </c>
      <c r="AA222" s="18" t="str">
        <f>IFERROR(
                  Andel_oberoende_av_klimat*VLOOKUP($A222,Leveranser_per_nät,'Leveranser per nät'!AA$1,FALSE)
               +Andel_beroende_av_klimat*VLOOKUP($A222,Leveranser_per_nät,'Leveranser per nät'!AA$1,FALSE)/VLOOKUP($B222,Korrigeringsfaktor_EI,'Korrigeringsfaktor EI'!AA$1,FALSE),
"")</f>
        <v/>
      </c>
      <c r="AB222" s="18">
        <f>IFERROR(
                  Andel_oberoende_av_klimat*VLOOKUP($A222,Leveranser_per_nät,'Leveranser per nät'!AB$1,FALSE)
               +Andel_beroende_av_klimat*VLOOKUP($A222,Leveranser_per_nät,'Leveranser per nät'!AB$1,FALSE)/VLOOKUP($B222,Korrigeringsfaktor_EI,'Korrigeringsfaktor EI'!AB$1,FALSE),
"")</f>
        <v>0</v>
      </c>
      <c r="AC222" s="18">
        <f>IFERROR(
                  Andel_oberoende_av_klimat*VLOOKUP($A222,Leveranser_per_nät,'Leveranser per nät'!AC$1,FALSE)
               +Andel_beroende_av_klimat*VLOOKUP($A222,Leveranser_per_nät,'Leveranser per nät'!AC$1,FALSE)/VLOOKUP($B222,Korrigeringsfaktor_EI,'Korrigeringsfaktor EI'!AC$1,FALSE),
"")</f>
        <v>0</v>
      </c>
      <c r="AD222">
        <v>301.7</v>
      </c>
    </row>
    <row r="223" spans="1:30" x14ac:dyDescent="0.25">
      <c r="A223" t="s">
        <v>104</v>
      </c>
      <c r="B223" t="s">
        <v>518</v>
      </c>
      <c r="C223" s="18">
        <f>IFERROR(
                  Andel_oberoende_av_klimat*VLOOKUP($A223,Leveranser_per_nät,'Leveranser per nät'!C$1,FALSE)
               +Andel_beroende_av_klimat*VLOOKUP($A223,Leveranser_per_nät,'Leveranser per nät'!C$1,FALSE)/VLOOKUP($B223,Korrigeringsfaktor_EI,'Korrigeringsfaktor EI'!C$1,FALSE),
"")</f>
        <v>0</v>
      </c>
      <c r="D223" s="18">
        <f>IFERROR(
                  Andel_oberoende_av_klimat*VLOOKUP($A223,Leveranser_per_nät,'Leveranser per nät'!D$1,FALSE)
               +Andel_beroende_av_klimat*VLOOKUP($A223,Leveranser_per_nät,'Leveranser per nät'!D$1,FALSE)/VLOOKUP($B223,Korrigeringsfaktor_EI,'Korrigeringsfaktor EI'!D$1,FALSE),
"")</f>
        <v>0</v>
      </c>
      <c r="E223" s="18">
        <f>IFERROR(
                  Andel_oberoende_av_klimat*VLOOKUP($A223,Leveranser_per_nät,'Leveranser per nät'!E$1,FALSE)
               +Andel_beroende_av_klimat*VLOOKUP($A223,Leveranser_per_nät,'Leveranser per nät'!E$1,FALSE)/VLOOKUP($B223,Korrigeringsfaktor_EI,'Korrigeringsfaktor EI'!E$1,FALSE),
"")</f>
        <v>0</v>
      </c>
      <c r="F223" s="18">
        <f>IFERROR(
                  Andel_oberoende_av_klimat*VLOOKUP($A223,Leveranser_per_nät,'Leveranser per nät'!F$1,FALSE)
               +Andel_beroende_av_klimat*VLOOKUP($A223,Leveranser_per_nät,'Leveranser per nät'!F$1,FALSE)/VLOOKUP($B223,Korrigeringsfaktor_EI,'Korrigeringsfaktor EI'!F$1,FALSE),
"")</f>
        <v>0</v>
      </c>
      <c r="G223" s="18">
        <f>IFERROR(
                  Andel_oberoende_av_klimat*VLOOKUP($A223,Leveranser_per_nät,'Leveranser per nät'!G$1,FALSE)
               +Andel_beroende_av_klimat*VLOOKUP($A223,Leveranser_per_nät,'Leveranser per nät'!G$1,FALSE)/VLOOKUP($B223,Korrigeringsfaktor_EI,'Korrigeringsfaktor EI'!G$1,FALSE),
"")</f>
        <v>0</v>
      </c>
      <c r="H223" s="18">
        <f>IFERROR(
                  Andel_oberoende_av_klimat*VLOOKUP($A223,Leveranser_per_nät,'Leveranser per nät'!H$1,FALSE)
               +Andel_beroende_av_klimat*VLOOKUP($A223,Leveranser_per_nät,'Leveranser per nät'!H$1,FALSE)/VLOOKUP($B223,Korrigeringsfaktor_EI,'Korrigeringsfaktor EI'!H$1,FALSE),
"")</f>
        <v>0</v>
      </c>
      <c r="I223" s="18">
        <f>IFERROR(
                  Andel_oberoende_av_klimat*VLOOKUP($A223,Leveranser_per_nät,'Leveranser per nät'!I$1,FALSE)
               +Andel_beroende_av_klimat*VLOOKUP($A223,Leveranser_per_nät,'Leveranser per nät'!I$1,FALSE)/VLOOKUP($B223,Korrigeringsfaktor_EI,'Korrigeringsfaktor EI'!I$1,FALSE),
"")</f>
        <v>0</v>
      </c>
      <c r="J223" s="18">
        <f>IFERROR(
                  Andel_oberoende_av_klimat*VLOOKUP($A223,Leveranser_per_nät,'Leveranser per nät'!J$1,FALSE)
               +Andel_beroende_av_klimat*VLOOKUP($A223,Leveranser_per_nät,'Leveranser per nät'!J$1,FALSE)/VLOOKUP($B223,Korrigeringsfaktor_EI,'Korrigeringsfaktor EI'!J$1,FALSE),
"")</f>
        <v>0</v>
      </c>
      <c r="K223" s="18">
        <f>IFERROR(
                  Andel_oberoende_av_klimat*VLOOKUP($A223,Leveranser_per_nät,'Leveranser per nät'!K$1,FALSE)
               +Andel_beroende_av_klimat*VLOOKUP($A223,Leveranser_per_nät,'Leveranser per nät'!K$1,FALSE)/VLOOKUP($B223,Korrigeringsfaktor_EI,'Korrigeringsfaktor EI'!K$1,FALSE),
"")</f>
        <v>0</v>
      </c>
      <c r="L223" s="18">
        <f>IFERROR(
                  Andel_oberoende_av_klimat*VLOOKUP($A223,Leveranser_per_nät,'Leveranser per nät'!L$1,FALSE)
               +Andel_beroende_av_klimat*VLOOKUP($A223,Leveranser_per_nät,'Leveranser per nät'!L$1,FALSE)/VLOOKUP($B223,Korrigeringsfaktor_EI,'Korrigeringsfaktor EI'!L$1,FALSE),
"")</f>
        <v>0</v>
      </c>
      <c r="M223" s="18">
        <f>IFERROR(
                  Andel_oberoende_av_klimat*VLOOKUP($A223,Leveranser_per_nät,'Leveranser per nät'!M$1,FALSE)
               +Andel_beroende_av_klimat*VLOOKUP($A223,Leveranser_per_nät,'Leveranser per nät'!M$1,FALSE)/VLOOKUP($B223,Korrigeringsfaktor_EI,'Korrigeringsfaktor EI'!M$1,FALSE),
"")</f>
        <v>0.84255384615384621</v>
      </c>
      <c r="N223" s="18">
        <f>IFERROR(
                  Andel_oberoende_av_klimat*VLOOKUP($A223,Leveranser_per_nät,'Leveranser per nät'!N$1,FALSE)
               +Andel_beroende_av_klimat*VLOOKUP($A223,Leveranser_per_nät,'Leveranser per nät'!N$1,FALSE)/VLOOKUP($B223,Korrigeringsfaktor_EI,'Korrigeringsfaktor EI'!N$1,FALSE),
"")</f>
        <v>0.88158260869565197</v>
      </c>
      <c r="O223" s="18">
        <f>IFERROR(
                  Andel_oberoende_av_klimat*VLOOKUP($A223,Leveranser_per_nät,'Leveranser per nät'!O$1,FALSE)
               +Andel_beroende_av_klimat*VLOOKUP($A223,Leveranser_per_nät,'Leveranser per nät'!O$1,FALSE)/VLOOKUP($B223,Korrigeringsfaktor_EI,'Korrigeringsfaktor EI'!O$1,FALSE),
"")</f>
        <v>0.85726179775280897</v>
      </c>
      <c r="P223" s="18">
        <f>IFERROR(
                  Andel_oberoende_av_klimat*VLOOKUP($A223,Leveranser_per_nät,'Leveranser per nät'!P$1,FALSE)
               +Andel_beroende_av_klimat*VLOOKUP($A223,Leveranser_per_nät,'Leveranser per nät'!P$1,FALSE)/VLOOKUP($B223,Korrigeringsfaktor_EI,'Korrigeringsfaktor EI'!P$1,FALSE),
"")</f>
        <v>0.81201250000000003</v>
      </c>
      <c r="Q223" s="18">
        <f>IFERROR(
                  Andel_oberoende_av_klimat*VLOOKUP($A223,Leveranser_per_nät,'Leveranser per nät'!Q$1,FALSE)
               +Andel_beroende_av_klimat*VLOOKUP($A223,Leveranser_per_nät,'Leveranser per nät'!Q$1,FALSE)/VLOOKUP($B223,Korrigeringsfaktor_EI,'Korrigeringsfaktor EI'!Q$1,FALSE),
"")</f>
        <v>0.86154247787610627</v>
      </c>
      <c r="R223" s="18">
        <f>IFERROR(
                  Andel_oberoende_av_klimat*VLOOKUP($A223,Leveranser_per_nät,'Leveranser per nät'!R$1,FALSE)
               +Andel_beroende_av_klimat*VLOOKUP($A223,Leveranser_per_nät,'Leveranser per nät'!R$1,FALSE)/VLOOKUP($B223,Korrigeringsfaktor_EI,'Korrigeringsfaktor EI'!R$1,FALSE),
"")</f>
        <v>1.090711111111111</v>
      </c>
      <c r="S223" s="18">
        <f>IFERROR(
                  Andel_oberoende_av_klimat*VLOOKUP($A223,Leveranser_per_nät,'Leveranser per nät'!S$1,FALSE)
               +Andel_beroende_av_klimat*VLOOKUP($A223,Leveranser_per_nät,'Leveranser per nät'!S$1,FALSE)/VLOOKUP($B223,Korrigeringsfaktor_EI,'Korrigeringsfaktor EI'!S$1,FALSE),
"")</f>
        <v>0.90000000000000013</v>
      </c>
      <c r="T223" s="18">
        <f>IFERROR(
                  Andel_oberoende_av_klimat*VLOOKUP($A223,Leveranser_per_nät,'Leveranser per nät'!T$1,FALSE)
               +Andel_beroende_av_klimat*VLOOKUP($A223,Leveranser_per_nät,'Leveranser per nät'!T$1,FALSE)/VLOOKUP($B223,Korrigeringsfaktor_EI,'Korrigeringsfaktor EI'!T$1,FALSE),
"")</f>
        <v>0.93315789473684219</v>
      </c>
      <c r="U223" s="18">
        <f>IFERROR(
                  Andel_oberoende_av_klimat*VLOOKUP($A223,Leveranser_per_nät,'Leveranser per nät'!U$1,FALSE)
               +Andel_beroende_av_klimat*VLOOKUP($A223,Leveranser_per_nät,'Leveranser per nät'!U$1,FALSE)/VLOOKUP($B223,Korrigeringsfaktor_EI,'Korrigeringsfaktor EI'!U$1,FALSE),
"")</f>
        <v>0.86921348314606739</v>
      </c>
      <c r="V223" s="18">
        <f>IFERROR(
                  Andel_oberoende_av_klimat*VLOOKUP($A223,Leveranser_per_nät,'Leveranser per nät'!V$1,FALSE)
               +Andel_beroende_av_klimat*VLOOKUP($A223,Leveranser_per_nät,'Leveranser per nät'!V$1,FALSE)/VLOOKUP($B223,Korrigeringsfaktor_EI,'Korrigeringsfaktor EI'!V$1,FALSE),
"")</f>
        <v>0.86921348314606739</v>
      </c>
      <c r="W223" s="18">
        <f>IFERROR(
                  Andel_oberoende_av_klimat*VLOOKUP($A223,Leveranser_per_nät,'Leveranser per nät'!W$1,FALSE)
               +Andel_beroende_av_klimat*VLOOKUP($A223,Leveranser_per_nät,'Leveranser per nät'!W$1,FALSE)/VLOOKUP($B223,Korrigeringsfaktor_EI,'Korrigeringsfaktor EI'!W$1,FALSE),
"")</f>
        <v>0.83574468085106379</v>
      </c>
      <c r="X223" s="18">
        <f>IFERROR(
                  Andel_oberoende_av_klimat*VLOOKUP($A223,Leveranser_per_nät,'Leveranser per nät'!X$1,FALSE)
               +Andel_beroende_av_klimat*VLOOKUP($A223,Leveranser_per_nät,'Leveranser per nät'!X$1,FALSE)/VLOOKUP($B223,Korrigeringsfaktor_EI,'Korrigeringsfaktor EI'!X$1,FALSE),
"")</f>
        <v>0.81688602150537637</v>
      </c>
      <c r="Y223" s="18">
        <f>IFERROR(
                  Andel_oberoende_av_klimat*VLOOKUP($A223,Leveranser_per_nät,'Leveranser per nät'!Y$1,FALSE)
               +Andel_beroende_av_klimat*VLOOKUP($A223,Leveranser_per_nät,'Leveranser per nät'!Y$1,FALSE)/VLOOKUP($B223,Korrigeringsfaktor_EI,'Korrigeringsfaktor EI'!Y$1,FALSE),
"")</f>
        <v>0.82266615384615382</v>
      </c>
      <c r="Z223" s="18">
        <f>IFERROR(
                  Andel_oberoende_av_klimat*VLOOKUP($A223,Leveranser_per_nät,'Leveranser per nät'!Z$1,FALSE)
               +Andel_beroende_av_klimat*VLOOKUP($A223,Leveranser_per_nät,'Leveranser per nät'!Z$1,FALSE)/VLOOKUP($B223,Korrigeringsfaktor_EI,'Korrigeringsfaktor EI'!Z$1,FALSE),
"")</f>
        <v>0.83527777777777779</v>
      </c>
      <c r="AA223" s="18">
        <f>IFERROR(
                  Andel_oberoende_av_klimat*VLOOKUP($A223,Leveranser_per_nät,'Leveranser per nät'!AA$1,FALSE)
               +Andel_beroende_av_klimat*VLOOKUP($A223,Leveranser_per_nät,'Leveranser per nät'!AA$1,FALSE)/VLOOKUP($B223,Korrigeringsfaktor_EI,'Korrigeringsfaktor EI'!AA$1,FALSE),
"")</f>
        <v>0.80621858288770054</v>
      </c>
      <c r="AB223" s="18">
        <f>IFERROR(
                  Andel_oberoende_av_klimat*VLOOKUP($A223,Leveranser_per_nät,'Leveranser per nät'!AB$1,FALSE)
               +Andel_beroende_av_klimat*VLOOKUP($A223,Leveranser_per_nät,'Leveranser per nät'!AB$1,FALSE)/VLOOKUP($B223,Korrigeringsfaktor_EI,'Korrigeringsfaktor EI'!AB$1,FALSE),
"")</f>
        <v>0.79063913470993108</v>
      </c>
      <c r="AC223" s="18">
        <f>IFERROR(
                  Andel_oberoende_av_klimat*VLOOKUP($A223,Leveranser_per_nät,'Leveranser per nät'!AC$1,FALSE)
               +Andel_beroende_av_klimat*VLOOKUP($A223,Leveranser_per_nät,'Leveranser per nät'!AC$1,FALSE)/VLOOKUP($B223,Korrigeringsfaktor_EI,'Korrigeringsfaktor EI'!AC$1,FALSE),
"")</f>
        <v>0.74197152034261227</v>
      </c>
      <c r="AD223" t="e">
        <v>#N/A</v>
      </c>
    </row>
    <row r="224" spans="1:30" x14ac:dyDescent="0.25">
      <c r="A224" t="s">
        <v>291</v>
      </c>
      <c r="B224" t="s">
        <v>288</v>
      </c>
      <c r="C224" s="18">
        <f>IFERROR(
                  Andel_oberoende_av_klimat*VLOOKUP($A224,Leveranser_per_nät,'Leveranser per nät'!C$1,FALSE)
               +Andel_beroende_av_klimat*VLOOKUP($A224,Leveranser_per_nät,'Leveranser per nät'!C$1,FALSE)/VLOOKUP($B224,Korrigeringsfaktor_EI,'Korrigeringsfaktor EI'!C$1,FALSE),
"")</f>
        <v>0</v>
      </c>
      <c r="D224" s="18">
        <f>IFERROR(
                  Andel_oberoende_av_klimat*VLOOKUP($A224,Leveranser_per_nät,'Leveranser per nät'!D$1,FALSE)
               +Andel_beroende_av_klimat*VLOOKUP($A224,Leveranser_per_nät,'Leveranser per nät'!D$1,FALSE)/VLOOKUP($B224,Korrigeringsfaktor_EI,'Korrigeringsfaktor EI'!D$1,FALSE),
"")</f>
        <v>0</v>
      </c>
      <c r="E224" s="18">
        <f>IFERROR(
                  Andel_oberoende_av_klimat*VLOOKUP($A224,Leveranser_per_nät,'Leveranser per nät'!E$1,FALSE)
               +Andel_beroende_av_klimat*VLOOKUP($A224,Leveranser_per_nät,'Leveranser per nät'!E$1,FALSE)/VLOOKUP($B224,Korrigeringsfaktor_EI,'Korrigeringsfaktor EI'!E$1,FALSE),
"")</f>
        <v>0</v>
      </c>
      <c r="F224" s="18">
        <f>IFERROR(
                  Andel_oberoende_av_klimat*VLOOKUP($A224,Leveranser_per_nät,'Leveranser per nät'!F$1,FALSE)
               +Andel_beroende_av_klimat*VLOOKUP($A224,Leveranser_per_nät,'Leveranser per nät'!F$1,FALSE)/VLOOKUP($B224,Korrigeringsfaktor_EI,'Korrigeringsfaktor EI'!F$1,FALSE),
"")</f>
        <v>0</v>
      </c>
      <c r="G224" s="18">
        <f>IFERROR(
                  Andel_oberoende_av_klimat*VLOOKUP($A224,Leveranser_per_nät,'Leveranser per nät'!G$1,FALSE)
               +Andel_beroende_av_klimat*VLOOKUP($A224,Leveranser_per_nät,'Leveranser per nät'!G$1,FALSE)/VLOOKUP($B224,Korrigeringsfaktor_EI,'Korrigeringsfaktor EI'!G$1,FALSE),
"")</f>
        <v>0</v>
      </c>
      <c r="H224" s="18">
        <f>IFERROR(
                  Andel_oberoende_av_klimat*VLOOKUP($A224,Leveranser_per_nät,'Leveranser per nät'!H$1,FALSE)
               +Andel_beroende_av_klimat*VLOOKUP($A224,Leveranser_per_nät,'Leveranser per nät'!H$1,FALSE)/VLOOKUP($B224,Korrigeringsfaktor_EI,'Korrigeringsfaktor EI'!H$1,FALSE),
"")</f>
        <v>0</v>
      </c>
      <c r="I224" s="18">
        <f>IFERROR(
                  Andel_oberoende_av_klimat*VLOOKUP($A224,Leveranser_per_nät,'Leveranser per nät'!I$1,FALSE)
               +Andel_beroende_av_klimat*VLOOKUP($A224,Leveranser_per_nät,'Leveranser per nät'!I$1,FALSE)/VLOOKUP($B224,Korrigeringsfaktor_EI,'Korrigeringsfaktor EI'!I$1,FALSE),
"")</f>
        <v>0</v>
      </c>
      <c r="J224" s="18">
        <f>IFERROR(
                  Andel_oberoende_av_klimat*VLOOKUP($A224,Leveranser_per_nät,'Leveranser per nät'!J$1,FALSE)
               +Andel_beroende_av_klimat*VLOOKUP($A224,Leveranser_per_nät,'Leveranser per nät'!J$1,FALSE)/VLOOKUP($B224,Korrigeringsfaktor_EI,'Korrigeringsfaktor EI'!J$1,FALSE),
"")</f>
        <v>0</v>
      </c>
      <c r="K224" s="18">
        <f>IFERROR(
                  Andel_oberoende_av_klimat*VLOOKUP($A224,Leveranser_per_nät,'Leveranser per nät'!K$1,FALSE)
               +Andel_beroende_av_klimat*VLOOKUP($A224,Leveranser_per_nät,'Leveranser per nät'!K$1,FALSE)/VLOOKUP($B224,Korrigeringsfaktor_EI,'Korrigeringsfaktor EI'!K$1,FALSE),
"")</f>
        <v>0</v>
      </c>
      <c r="L224" s="18">
        <f>IFERROR(
                  Andel_oberoende_av_klimat*VLOOKUP($A224,Leveranser_per_nät,'Leveranser per nät'!L$1,FALSE)
               +Andel_beroende_av_klimat*VLOOKUP($A224,Leveranser_per_nät,'Leveranser per nät'!L$1,FALSE)/VLOOKUP($B224,Korrigeringsfaktor_EI,'Korrigeringsfaktor EI'!L$1,FALSE),
"")</f>
        <v>0</v>
      </c>
      <c r="M224" s="18">
        <f>IFERROR(
                  Andel_oberoende_av_klimat*VLOOKUP($A224,Leveranser_per_nät,'Leveranser per nät'!M$1,FALSE)
               +Andel_beroende_av_klimat*VLOOKUP($A224,Leveranser_per_nät,'Leveranser per nät'!M$1,FALSE)/VLOOKUP($B224,Korrigeringsfaktor_EI,'Korrigeringsfaktor EI'!M$1,FALSE),
"")</f>
        <v>21.848711111111111</v>
      </c>
      <c r="N224" s="18">
        <f>IFERROR(
                  Andel_oberoende_av_klimat*VLOOKUP($A224,Leveranser_per_nät,'Leveranser per nät'!N$1,FALSE)
               +Andel_beroende_av_klimat*VLOOKUP($A224,Leveranser_per_nät,'Leveranser per nät'!N$1,FALSE)/VLOOKUP($B224,Korrigeringsfaktor_EI,'Korrigeringsfaktor EI'!N$1,FALSE),
"")</f>
        <v>22.542592307692303</v>
      </c>
      <c r="O224" s="18">
        <f>IFERROR(
                  Andel_oberoende_av_klimat*VLOOKUP($A224,Leveranser_per_nät,'Leveranser per nät'!O$1,FALSE)
               +Andel_beroende_av_klimat*VLOOKUP($A224,Leveranser_per_nät,'Leveranser per nät'!O$1,FALSE)/VLOOKUP($B224,Korrigeringsfaktor_EI,'Korrigeringsfaktor EI'!O$1,FALSE),
"")</f>
        <v>22.95103846153846</v>
      </c>
      <c r="P224" s="18">
        <f>IFERROR(
                  Andel_oberoende_av_klimat*VLOOKUP($A224,Leveranser_per_nät,'Leveranser per nät'!P$1,FALSE)
               +Andel_beroende_av_klimat*VLOOKUP($A224,Leveranser_per_nät,'Leveranser per nät'!P$1,FALSE)/VLOOKUP($B224,Korrigeringsfaktor_EI,'Korrigeringsfaktor EI'!P$1,FALSE),
"")</f>
        <v>23.794333333333334</v>
      </c>
      <c r="Q224" s="18">
        <f>IFERROR(
                  Andel_oberoende_av_klimat*VLOOKUP($A224,Leveranser_per_nät,'Leveranser per nät'!Q$1,FALSE)
               +Andel_beroende_av_klimat*VLOOKUP($A224,Leveranser_per_nät,'Leveranser per nät'!Q$1,FALSE)/VLOOKUP($B224,Korrigeringsfaktor_EI,'Korrigeringsfaktor EI'!Q$1,FALSE),
"")</f>
        <v>25.442276146788991</v>
      </c>
      <c r="R224" s="18">
        <f>IFERROR(
                  Andel_oberoende_av_klimat*VLOOKUP($A224,Leveranser_per_nät,'Leveranser per nät'!R$1,FALSE)
               +Andel_beroende_av_klimat*VLOOKUP($A224,Leveranser_per_nät,'Leveranser per nät'!R$1,FALSE)/VLOOKUP($B224,Korrigeringsfaktor_EI,'Korrigeringsfaktor EI'!R$1,FALSE),
"")</f>
        <v>29.879213483146067</v>
      </c>
      <c r="S224" s="18">
        <f>IFERROR(
                  Andel_oberoende_av_klimat*VLOOKUP($A224,Leveranser_per_nät,'Leveranser per nät'!S$1,FALSE)
               +Andel_beroende_av_klimat*VLOOKUP($A224,Leveranser_per_nät,'Leveranser per nät'!S$1,FALSE)/VLOOKUP($B224,Korrigeringsfaktor_EI,'Korrigeringsfaktor EI'!S$1,FALSE),
"")</f>
        <v>24.342857142857142</v>
      </c>
      <c r="T224" s="18">
        <f>IFERROR(
                  Andel_oberoende_av_klimat*VLOOKUP($A224,Leveranser_per_nät,'Leveranser per nät'!T$1,FALSE)
               +Andel_beroende_av_klimat*VLOOKUP($A224,Leveranser_per_nät,'Leveranser per nät'!T$1,FALSE)/VLOOKUP($B224,Korrigeringsfaktor_EI,'Korrigeringsfaktor EI'!T$1,FALSE),
"")</f>
        <v>24.05603010752688</v>
      </c>
      <c r="U224" s="18">
        <f>IFERROR(
                  Andel_oberoende_av_klimat*VLOOKUP($A224,Leveranser_per_nät,'Leveranser per nät'!U$1,FALSE)
               +Andel_beroende_av_klimat*VLOOKUP($A224,Leveranser_per_nät,'Leveranser per nät'!U$1,FALSE)/VLOOKUP($B224,Korrigeringsfaktor_EI,'Korrigeringsfaktor EI'!U$1,FALSE),
"")</f>
        <v>23.442727272727272</v>
      </c>
      <c r="V224" s="18">
        <f>IFERROR(
                  Andel_oberoende_av_klimat*VLOOKUP($A224,Leveranser_per_nät,'Leveranser per nät'!V$1,FALSE)
               +Andel_beroende_av_klimat*VLOOKUP($A224,Leveranser_per_nät,'Leveranser per nät'!V$1,FALSE)/VLOOKUP($B224,Korrigeringsfaktor_EI,'Korrigeringsfaktor EI'!V$1,FALSE),
"")</f>
        <v>23.214519101123596</v>
      </c>
      <c r="W224" s="18">
        <f>IFERROR(
                  Andel_oberoende_av_klimat*VLOOKUP($A224,Leveranser_per_nät,'Leveranser per nät'!W$1,FALSE)
               +Andel_beroende_av_klimat*VLOOKUP($A224,Leveranser_per_nät,'Leveranser per nät'!W$1,FALSE)/VLOOKUP($B224,Korrigeringsfaktor_EI,'Korrigeringsfaktor EI'!W$1,FALSE),
"")</f>
        <v>23.59705806451613</v>
      </c>
      <c r="X224" s="18">
        <f>IFERROR(
                  Andel_oberoende_av_klimat*VLOOKUP($A224,Leveranser_per_nät,'Leveranser per nät'!X$1,FALSE)
               +Andel_beroende_av_klimat*VLOOKUP($A224,Leveranser_per_nät,'Leveranser per nät'!X$1,FALSE)/VLOOKUP($B224,Korrigeringsfaktor_EI,'Korrigeringsfaktor EI'!X$1,FALSE),
"")</f>
        <v>23.338096774193552</v>
      </c>
      <c r="Y224" s="18">
        <f>IFERROR(
                  Andel_oberoende_av_klimat*VLOOKUP($A224,Leveranser_per_nät,'Leveranser per nät'!Y$1,FALSE)
               +Andel_beroende_av_klimat*VLOOKUP($A224,Leveranser_per_nät,'Leveranser per nät'!Y$1,FALSE)/VLOOKUP($B224,Korrigeringsfaktor_EI,'Korrigeringsfaktor EI'!Y$1,FALSE),
"")</f>
        <v>23.742260869565214</v>
      </c>
      <c r="Z224" s="18">
        <f>IFERROR(
                  Andel_oberoende_av_klimat*VLOOKUP($A224,Leveranser_per_nät,'Leveranser per nät'!Z$1,FALSE)
               +Andel_beroende_av_klimat*VLOOKUP($A224,Leveranser_per_nät,'Leveranser per nät'!Z$1,FALSE)/VLOOKUP($B224,Korrigeringsfaktor_EI,'Korrigeringsfaktor EI'!Z$1,FALSE),
"")</f>
        <v>21.74358260869565</v>
      </c>
      <c r="AA224" s="18">
        <f>IFERROR(
                  Andel_oberoende_av_klimat*VLOOKUP($A224,Leveranser_per_nät,'Leveranser per nät'!AA$1,FALSE)
               +Andel_beroende_av_klimat*VLOOKUP($A224,Leveranser_per_nät,'Leveranser per nät'!AA$1,FALSE)/VLOOKUP($B224,Korrigeringsfaktor_EI,'Korrigeringsfaktor EI'!AA$1,FALSE),
"")</f>
        <v>19.57751830516014</v>
      </c>
      <c r="AB224" s="18">
        <f>IFERROR(
                  Andel_oberoende_av_klimat*VLOOKUP($A224,Leveranser_per_nät,'Leveranser per nät'!AB$1,FALSE)
               +Andel_beroende_av_klimat*VLOOKUP($A224,Leveranser_per_nät,'Leveranser per nät'!AB$1,FALSE)/VLOOKUP($B224,Korrigeringsfaktor_EI,'Korrigeringsfaktor EI'!AB$1,FALSE),
"")</f>
        <v>20.347506156901687</v>
      </c>
      <c r="AC224" s="18">
        <f>IFERROR(
                  Andel_oberoende_av_klimat*VLOOKUP($A224,Leveranser_per_nät,'Leveranser per nät'!AC$1,FALSE)
               +Andel_beroende_av_klimat*VLOOKUP($A224,Leveranser_per_nät,'Leveranser per nät'!AC$1,FALSE)/VLOOKUP($B224,Korrigeringsfaktor_EI,'Korrigeringsfaktor EI'!AC$1,FALSE),
"")</f>
        <v>19.373105375000002</v>
      </c>
      <c r="AD224">
        <v>513.26678000000004</v>
      </c>
    </row>
    <row r="225" spans="1:30" x14ac:dyDescent="0.25">
      <c r="A225" t="s">
        <v>182</v>
      </c>
      <c r="B225" t="s">
        <v>256</v>
      </c>
      <c r="C225" s="18">
        <f>IFERROR(
                  Andel_oberoende_av_klimat*VLOOKUP($A225,Leveranser_per_nät,'Leveranser per nät'!C$1,FALSE)
               +Andel_beroende_av_klimat*VLOOKUP($A225,Leveranser_per_nät,'Leveranser per nät'!C$1,FALSE)/VLOOKUP($B225,Korrigeringsfaktor_EI,'Korrigeringsfaktor EI'!C$1,FALSE),
"")</f>
        <v>0</v>
      </c>
      <c r="D225" s="18">
        <f>IFERROR(
                  Andel_oberoende_av_klimat*VLOOKUP($A225,Leveranser_per_nät,'Leveranser per nät'!D$1,FALSE)
               +Andel_beroende_av_klimat*VLOOKUP($A225,Leveranser_per_nät,'Leveranser per nät'!D$1,FALSE)/VLOOKUP($B225,Korrigeringsfaktor_EI,'Korrigeringsfaktor EI'!D$1,FALSE),
"")</f>
        <v>0</v>
      </c>
      <c r="E225" s="18">
        <f>IFERROR(
                  Andel_oberoende_av_klimat*VLOOKUP($A225,Leveranser_per_nät,'Leveranser per nät'!E$1,FALSE)
               +Andel_beroende_av_klimat*VLOOKUP($A225,Leveranser_per_nät,'Leveranser per nät'!E$1,FALSE)/VLOOKUP($B225,Korrigeringsfaktor_EI,'Korrigeringsfaktor EI'!E$1,FALSE),
"")</f>
        <v>0</v>
      </c>
      <c r="F225" s="18">
        <f>IFERROR(
                  Andel_oberoende_av_klimat*VLOOKUP($A225,Leveranser_per_nät,'Leveranser per nät'!F$1,FALSE)
               +Andel_beroende_av_klimat*VLOOKUP($A225,Leveranser_per_nät,'Leveranser per nät'!F$1,FALSE)/VLOOKUP($B225,Korrigeringsfaktor_EI,'Korrigeringsfaktor EI'!F$1,FALSE),
"")</f>
        <v>0</v>
      </c>
      <c r="G225" s="18">
        <f>IFERROR(
                  Andel_oberoende_av_klimat*VLOOKUP($A225,Leveranser_per_nät,'Leveranser per nät'!G$1,FALSE)
               +Andel_beroende_av_klimat*VLOOKUP($A225,Leveranser_per_nät,'Leveranser per nät'!G$1,FALSE)/VLOOKUP($B225,Korrigeringsfaktor_EI,'Korrigeringsfaktor EI'!G$1,FALSE),
"")</f>
        <v>0</v>
      </c>
      <c r="H225" s="18">
        <f>IFERROR(
                  Andel_oberoende_av_klimat*VLOOKUP($A225,Leveranser_per_nät,'Leveranser per nät'!H$1,FALSE)
               +Andel_beroende_av_klimat*VLOOKUP($A225,Leveranser_per_nät,'Leveranser per nät'!H$1,FALSE)/VLOOKUP($B225,Korrigeringsfaktor_EI,'Korrigeringsfaktor EI'!H$1,FALSE),
"")</f>
        <v>0</v>
      </c>
      <c r="I225" s="18">
        <f>IFERROR(
                  Andel_oberoende_av_klimat*VLOOKUP($A225,Leveranser_per_nät,'Leveranser per nät'!I$1,FALSE)
               +Andel_beroende_av_klimat*VLOOKUP($A225,Leveranser_per_nät,'Leveranser per nät'!I$1,FALSE)/VLOOKUP($B225,Korrigeringsfaktor_EI,'Korrigeringsfaktor EI'!I$1,FALSE),
"")</f>
        <v>0</v>
      </c>
      <c r="J225" s="18">
        <f>IFERROR(
                  Andel_oberoende_av_klimat*VLOOKUP($A225,Leveranser_per_nät,'Leveranser per nät'!J$1,FALSE)
               +Andel_beroende_av_klimat*VLOOKUP($A225,Leveranser_per_nät,'Leveranser per nät'!J$1,FALSE)/VLOOKUP($B225,Korrigeringsfaktor_EI,'Korrigeringsfaktor EI'!J$1,FALSE),
"")</f>
        <v>0</v>
      </c>
      <c r="K225" s="18">
        <f>IFERROR(
                  Andel_oberoende_av_klimat*VLOOKUP($A225,Leveranser_per_nät,'Leveranser per nät'!K$1,FALSE)
               +Andel_beroende_av_klimat*VLOOKUP($A225,Leveranser_per_nät,'Leveranser per nät'!K$1,FALSE)/VLOOKUP($B225,Korrigeringsfaktor_EI,'Korrigeringsfaktor EI'!K$1,FALSE),
"")</f>
        <v>0</v>
      </c>
      <c r="L225" s="18">
        <f>IFERROR(
                  Andel_oberoende_av_klimat*VLOOKUP($A225,Leveranser_per_nät,'Leveranser per nät'!L$1,FALSE)
               +Andel_beroende_av_klimat*VLOOKUP($A225,Leveranser_per_nät,'Leveranser per nät'!L$1,FALSE)/VLOOKUP($B225,Korrigeringsfaktor_EI,'Korrigeringsfaktor EI'!L$1,FALSE),
"")</f>
        <v>0</v>
      </c>
      <c r="M225" s="18">
        <f>IFERROR(
                  Andel_oberoende_av_klimat*VLOOKUP($A225,Leveranser_per_nät,'Leveranser per nät'!M$1,FALSE)
               +Andel_beroende_av_klimat*VLOOKUP($A225,Leveranser_per_nät,'Leveranser per nät'!M$1,FALSE)/VLOOKUP($B225,Korrigeringsfaktor_EI,'Korrigeringsfaktor EI'!M$1,FALSE),
"")</f>
        <v>10.827950537634408</v>
      </c>
      <c r="N225" s="18">
        <f>IFERROR(
                  Andel_oberoende_av_klimat*VLOOKUP($A225,Leveranser_per_nät,'Leveranser per nät'!N$1,FALSE)
               +Andel_beroende_av_klimat*VLOOKUP($A225,Leveranser_per_nät,'Leveranser per nät'!N$1,FALSE)/VLOOKUP($B225,Korrigeringsfaktor_EI,'Korrigeringsfaktor EI'!N$1,FALSE),
"")</f>
        <v>10.912104347826086</v>
      </c>
      <c r="O225" s="18">
        <f>IFERROR(
                  Andel_oberoende_av_klimat*VLOOKUP($A225,Leveranser_per_nät,'Leveranser per nät'!O$1,FALSE)
               +Andel_beroende_av_klimat*VLOOKUP($A225,Leveranser_per_nät,'Leveranser per nät'!O$1,FALSE)/VLOOKUP($B225,Korrigeringsfaktor_EI,'Korrigeringsfaktor EI'!O$1,FALSE),
"")</f>
        <v>12.855361538461537</v>
      </c>
      <c r="P225" s="18">
        <f>IFERROR(
                  Andel_oberoende_av_klimat*VLOOKUP($A225,Leveranser_per_nät,'Leveranser per nät'!P$1,FALSE)
               +Andel_beroende_av_klimat*VLOOKUP($A225,Leveranser_per_nät,'Leveranser per nät'!P$1,FALSE)/VLOOKUP($B225,Korrigeringsfaktor_EI,'Korrigeringsfaktor EI'!P$1,FALSE),
"")</f>
        <v>14.161333333333333</v>
      </c>
      <c r="Q225" s="18">
        <f>IFERROR(
                  Andel_oberoende_av_klimat*VLOOKUP($A225,Leveranser_per_nät,'Leveranser per nät'!Q$1,FALSE)
               +Andel_beroende_av_klimat*VLOOKUP($A225,Leveranser_per_nät,'Leveranser per nät'!Q$1,FALSE)/VLOOKUP($B225,Korrigeringsfaktor_EI,'Korrigeringsfaktor EI'!Q$1,FALSE),
"")</f>
        <v>14.0982185840708</v>
      </c>
      <c r="R225" s="18">
        <f>IFERROR(
                  Andel_oberoende_av_klimat*VLOOKUP($A225,Leveranser_per_nät,'Leveranser per nät'!R$1,FALSE)
               +Andel_beroende_av_klimat*VLOOKUP($A225,Leveranser_per_nät,'Leveranser per nät'!R$1,FALSE)/VLOOKUP($B225,Korrigeringsfaktor_EI,'Korrigeringsfaktor EI'!R$1,FALSE),
"")</f>
        <v>13.681876923076922</v>
      </c>
      <c r="S225" s="18">
        <f>IFERROR(
                  Andel_oberoende_av_klimat*VLOOKUP($A225,Leveranser_per_nät,'Leveranser per nät'!S$1,FALSE)
               +Andel_beroende_av_klimat*VLOOKUP($A225,Leveranser_per_nät,'Leveranser per nät'!S$1,FALSE)/VLOOKUP($B225,Korrigeringsfaktor_EI,'Korrigeringsfaktor EI'!S$1,FALSE),
"")</f>
        <v>13.33</v>
      </c>
      <c r="T225" s="18">
        <f>IFERROR(
                  Andel_oberoende_av_klimat*VLOOKUP($A225,Leveranser_per_nät,'Leveranser per nät'!T$1,FALSE)
               +Andel_beroende_av_klimat*VLOOKUP($A225,Leveranser_per_nät,'Leveranser per nät'!T$1,FALSE)/VLOOKUP($B225,Korrigeringsfaktor_EI,'Korrigeringsfaktor EI'!T$1,FALSE),
"")</f>
        <v>12.839842857142859</v>
      </c>
      <c r="U225" s="18">
        <f>IFERROR(
                  Andel_oberoende_av_klimat*VLOOKUP($A225,Leveranser_per_nät,'Leveranser per nät'!U$1,FALSE)
               +Andel_beroende_av_klimat*VLOOKUP($A225,Leveranser_per_nät,'Leveranser per nät'!U$1,FALSE)/VLOOKUP($B225,Korrigeringsfaktor_EI,'Korrigeringsfaktor EI'!U$1,FALSE),
"")</f>
        <v>12.918695454545453</v>
      </c>
      <c r="V225" s="18">
        <f>IFERROR(
                  Andel_oberoende_av_klimat*VLOOKUP($A225,Leveranser_per_nät,'Leveranser per nät'!V$1,FALSE)
               +Andel_beroende_av_klimat*VLOOKUP($A225,Leveranser_per_nät,'Leveranser per nät'!V$1,FALSE)/VLOOKUP($B225,Korrigeringsfaktor_EI,'Korrigeringsfaktor EI'!V$1,FALSE),
"")</f>
        <v>13.558973913043479</v>
      </c>
      <c r="W225" s="18">
        <f>IFERROR(
                  Andel_oberoende_av_klimat*VLOOKUP($A225,Leveranser_per_nät,'Leveranser per nät'!W$1,FALSE)
               +Andel_beroende_av_klimat*VLOOKUP($A225,Leveranser_per_nät,'Leveranser per nät'!W$1,FALSE)/VLOOKUP($B225,Korrigeringsfaktor_EI,'Korrigeringsfaktor EI'!W$1,FALSE),
"")</f>
        <v>13.375263157894738</v>
      </c>
      <c r="X225" s="18">
        <f>IFERROR(
                  Andel_oberoende_av_klimat*VLOOKUP($A225,Leveranser_per_nät,'Leveranser per nät'!X$1,FALSE)
               +Andel_beroende_av_klimat*VLOOKUP($A225,Leveranser_per_nät,'Leveranser per nät'!X$1,FALSE)/VLOOKUP($B225,Korrigeringsfaktor_EI,'Korrigeringsfaktor EI'!X$1,FALSE),
"")</f>
        <v>14.421827956989244</v>
      </c>
      <c r="Y225" s="18">
        <f>IFERROR(
                  Andel_oberoende_av_klimat*VLOOKUP($A225,Leveranser_per_nät,'Leveranser per nät'!Y$1,FALSE)
               +Andel_beroende_av_klimat*VLOOKUP($A225,Leveranser_per_nät,'Leveranser per nät'!Y$1,FALSE)/VLOOKUP($B225,Korrigeringsfaktor_EI,'Korrigeringsfaktor EI'!Y$1,FALSE),
"")</f>
        <v>12.556111111111111</v>
      </c>
      <c r="Z225" s="18">
        <f>IFERROR(
                  Andel_oberoende_av_klimat*VLOOKUP($A225,Leveranser_per_nät,'Leveranser per nät'!Z$1,FALSE)
               +Andel_beroende_av_klimat*VLOOKUP($A225,Leveranser_per_nät,'Leveranser per nät'!Z$1,FALSE)/VLOOKUP($B225,Korrigeringsfaktor_EI,'Korrigeringsfaktor EI'!Z$1,FALSE),
"")</f>
        <v>12.592730337078651</v>
      </c>
      <c r="AA225" s="18">
        <f>IFERROR(
                  Andel_oberoende_av_klimat*VLOOKUP($A225,Leveranser_per_nät,'Leveranser per nät'!AA$1,FALSE)
               +Andel_beroende_av_klimat*VLOOKUP($A225,Leveranser_per_nät,'Leveranser per nät'!AA$1,FALSE)/VLOOKUP($B225,Korrigeringsfaktor_EI,'Korrigeringsfaktor EI'!AA$1,FALSE),
"")</f>
        <v>11.827668432203389</v>
      </c>
      <c r="AB225" s="18">
        <f>IFERROR(
                  Andel_oberoende_av_klimat*VLOOKUP($A225,Leveranser_per_nät,'Leveranser per nät'!AB$1,FALSE)
               +Andel_beroende_av_klimat*VLOOKUP($A225,Leveranser_per_nät,'Leveranser per nät'!AB$1,FALSE)/VLOOKUP($B225,Korrigeringsfaktor_EI,'Korrigeringsfaktor EI'!AB$1,FALSE),
"")</f>
        <v>13.351319361277444</v>
      </c>
      <c r="AC225" s="18">
        <f>IFERROR(
                  Andel_oberoende_av_klimat*VLOOKUP($A225,Leveranser_per_nät,'Leveranser per nät'!AC$1,FALSE)
               +Andel_beroende_av_klimat*VLOOKUP($A225,Leveranser_per_nät,'Leveranser per nät'!AC$1,FALSE)/VLOOKUP($B225,Korrigeringsfaktor_EI,'Korrigeringsfaktor EI'!AC$1,FALSE),
"")</f>
        <v>13.716819068255688</v>
      </c>
      <c r="AD225">
        <v>87.4</v>
      </c>
    </row>
    <row r="226" spans="1:30" x14ac:dyDescent="0.25">
      <c r="A226" t="s">
        <v>478</v>
      </c>
      <c r="B226" t="s">
        <v>160</v>
      </c>
      <c r="C226" s="18">
        <f>IFERROR(
                  Andel_oberoende_av_klimat*VLOOKUP($A226,Leveranser_per_nät,'Leveranser per nät'!C$1,FALSE)
               +Andel_beroende_av_klimat*VLOOKUP($A226,Leveranser_per_nät,'Leveranser per nät'!C$1,FALSE)/VLOOKUP($B226,Korrigeringsfaktor_EI,'Korrigeringsfaktor EI'!C$1,FALSE),
"")</f>
        <v>0</v>
      </c>
      <c r="D226" s="18">
        <f>IFERROR(
                  Andel_oberoende_av_klimat*VLOOKUP($A226,Leveranser_per_nät,'Leveranser per nät'!D$1,FALSE)
               +Andel_beroende_av_klimat*VLOOKUP($A226,Leveranser_per_nät,'Leveranser per nät'!D$1,FALSE)/VLOOKUP($B226,Korrigeringsfaktor_EI,'Korrigeringsfaktor EI'!D$1,FALSE),
"")</f>
        <v>0.21</v>
      </c>
      <c r="E226" s="18">
        <f>IFERROR(
                  Andel_oberoende_av_klimat*VLOOKUP($A226,Leveranser_per_nät,'Leveranser per nät'!E$1,FALSE)
               +Andel_beroende_av_klimat*VLOOKUP($A226,Leveranser_per_nät,'Leveranser per nät'!E$1,FALSE)/VLOOKUP($B226,Korrigeringsfaktor_EI,'Korrigeringsfaktor EI'!E$1,FALSE),
"")</f>
        <v>0</v>
      </c>
      <c r="F226" s="18">
        <f>IFERROR(
                  Andel_oberoende_av_klimat*VLOOKUP($A226,Leveranser_per_nät,'Leveranser per nät'!F$1,FALSE)
               +Andel_beroende_av_klimat*VLOOKUP($A226,Leveranser_per_nät,'Leveranser per nät'!F$1,FALSE)/VLOOKUP($B226,Korrigeringsfaktor_EI,'Korrigeringsfaktor EI'!F$1,FALSE),
"")</f>
        <v>0</v>
      </c>
      <c r="G226" s="18">
        <f>IFERROR(
                  Andel_oberoende_av_klimat*VLOOKUP($A226,Leveranser_per_nät,'Leveranser per nät'!G$1,FALSE)
               +Andel_beroende_av_klimat*VLOOKUP($A226,Leveranser_per_nät,'Leveranser per nät'!G$1,FALSE)/VLOOKUP($B226,Korrigeringsfaktor_EI,'Korrigeringsfaktor EI'!G$1,FALSE),
"")</f>
        <v>0</v>
      </c>
      <c r="H226" s="18">
        <f>IFERROR(
                  Andel_oberoende_av_klimat*VLOOKUP($A226,Leveranser_per_nät,'Leveranser per nät'!H$1,FALSE)
               +Andel_beroende_av_klimat*VLOOKUP($A226,Leveranser_per_nät,'Leveranser per nät'!H$1,FALSE)/VLOOKUP($B226,Korrigeringsfaktor_EI,'Korrigeringsfaktor EI'!H$1,FALSE),
"")</f>
        <v>0</v>
      </c>
      <c r="I226" s="18">
        <f>IFERROR(
                  Andel_oberoende_av_klimat*VLOOKUP($A226,Leveranser_per_nät,'Leveranser per nät'!I$1,FALSE)
               +Andel_beroende_av_klimat*VLOOKUP($A226,Leveranser_per_nät,'Leveranser per nät'!I$1,FALSE)/VLOOKUP($B226,Korrigeringsfaktor_EI,'Korrigeringsfaktor EI'!I$1,FALSE),
"")</f>
        <v>0</v>
      </c>
      <c r="J226" s="18">
        <f>IFERROR(
                  Andel_oberoende_av_klimat*VLOOKUP($A226,Leveranser_per_nät,'Leveranser per nät'!J$1,FALSE)
               +Andel_beroende_av_klimat*VLOOKUP($A226,Leveranser_per_nät,'Leveranser per nät'!J$1,FALSE)/VLOOKUP($B226,Korrigeringsfaktor_EI,'Korrigeringsfaktor EI'!J$1,FALSE),
"")</f>
        <v>0</v>
      </c>
      <c r="K226" s="18">
        <f>IFERROR(
                  Andel_oberoende_av_klimat*VLOOKUP($A226,Leveranser_per_nät,'Leveranser per nät'!K$1,FALSE)
               +Andel_beroende_av_klimat*VLOOKUP($A226,Leveranser_per_nät,'Leveranser per nät'!K$1,FALSE)/VLOOKUP($B226,Korrigeringsfaktor_EI,'Korrigeringsfaktor EI'!K$1,FALSE),
"")</f>
        <v>0</v>
      </c>
      <c r="L226" s="18">
        <f>IFERROR(
                  Andel_oberoende_av_klimat*VLOOKUP($A226,Leveranser_per_nät,'Leveranser per nät'!L$1,FALSE)
               +Andel_beroende_av_klimat*VLOOKUP($A226,Leveranser_per_nät,'Leveranser per nät'!L$1,FALSE)/VLOOKUP($B226,Korrigeringsfaktor_EI,'Korrigeringsfaktor EI'!L$1,FALSE),
"")</f>
        <v>0</v>
      </c>
      <c r="M226" s="18">
        <f>IFERROR(
                  Andel_oberoende_av_klimat*VLOOKUP($A226,Leveranser_per_nät,'Leveranser per nät'!M$1,FALSE)
               +Andel_beroende_av_klimat*VLOOKUP($A226,Leveranser_per_nät,'Leveranser per nät'!M$1,FALSE)/VLOOKUP($B226,Korrigeringsfaktor_EI,'Korrigeringsfaktor EI'!M$1,FALSE),
"")</f>
        <v>0</v>
      </c>
      <c r="N226" s="18">
        <f>IFERROR(
                  Andel_oberoende_av_klimat*VLOOKUP($A226,Leveranser_per_nät,'Leveranser per nät'!N$1,FALSE)
               +Andel_beroende_av_klimat*VLOOKUP($A226,Leveranser_per_nät,'Leveranser per nät'!N$1,FALSE)/VLOOKUP($B226,Korrigeringsfaktor_EI,'Korrigeringsfaktor EI'!N$1,FALSE),
"")</f>
        <v>0</v>
      </c>
      <c r="O226" s="18">
        <f>IFERROR(
                  Andel_oberoende_av_klimat*VLOOKUP($A226,Leveranser_per_nät,'Leveranser per nät'!O$1,FALSE)
               +Andel_beroende_av_klimat*VLOOKUP($A226,Leveranser_per_nät,'Leveranser per nät'!O$1,FALSE)/VLOOKUP($B226,Korrigeringsfaktor_EI,'Korrigeringsfaktor EI'!O$1,FALSE),
"")</f>
        <v>0</v>
      </c>
      <c r="P226" s="18">
        <f>IFERROR(
                  Andel_oberoende_av_klimat*VLOOKUP($A226,Leveranser_per_nät,'Leveranser per nät'!P$1,FALSE)
               +Andel_beroende_av_klimat*VLOOKUP($A226,Leveranser_per_nät,'Leveranser per nät'!P$1,FALSE)/VLOOKUP($B226,Korrigeringsfaktor_EI,'Korrigeringsfaktor EI'!P$1,FALSE),
"")</f>
        <v>0</v>
      </c>
      <c r="Q226" s="18">
        <f>IFERROR(
                  Andel_oberoende_av_klimat*VLOOKUP($A226,Leveranser_per_nät,'Leveranser per nät'!Q$1,FALSE)
               +Andel_beroende_av_klimat*VLOOKUP($A226,Leveranser_per_nät,'Leveranser per nät'!Q$1,FALSE)/VLOOKUP($B226,Korrigeringsfaktor_EI,'Korrigeringsfaktor EI'!Q$1,FALSE),
"")</f>
        <v>0</v>
      </c>
      <c r="R226" s="18">
        <f>IFERROR(
                  Andel_oberoende_av_klimat*VLOOKUP($A226,Leveranser_per_nät,'Leveranser per nät'!R$1,FALSE)
               +Andel_beroende_av_klimat*VLOOKUP($A226,Leveranser_per_nät,'Leveranser per nät'!R$1,FALSE)/VLOOKUP($B226,Korrigeringsfaktor_EI,'Korrigeringsfaktor EI'!R$1,FALSE),
"")</f>
        <v>0</v>
      </c>
      <c r="S226" s="18" t="str">
        <f>IFERROR(
                  Andel_oberoende_av_klimat*VLOOKUP($A226,Leveranser_per_nät,'Leveranser per nät'!S$1,FALSE)
               +Andel_beroende_av_klimat*VLOOKUP($A226,Leveranser_per_nät,'Leveranser per nät'!S$1,FALSE)/VLOOKUP($B226,Korrigeringsfaktor_EI,'Korrigeringsfaktor EI'!S$1,FALSE),
"")</f>
        <v/>
      </c>
      <c r="T226" s="18" t="str">
        <f>IFERROR(
                  Andel_oberoende_av_klimat*VLOOKUP($A226,Leveranser_per_nät,'Leveranser per nät'!T$1,FALSE)
               +Andel_beroende_av_klimat*VLOOKUP($A226,Leveranser_per_nät,'Leveranser per nät'!T$1,FALSE)/VLOOKUP($B226,Korrigeringsfaktor_EI,'Korrigeringsfaktor EI'!T$1,FALSE),
"")</f>
        <v/>
      </c>
      <c r="U226" s="18" t="str">
        <f>IFERROR(
                  Andel_oberoende_av_klimat*VLOOKUP($A226,Leveranser_per_nät,'Leveranser per nät'!U$1,FALSE)
               +Andel_beroende_av_klimat*VLOOKUP($A226,Leveranser_per_nät,'Leveranser per nät'!U$1,FALSE)/VLOOKUP($B226,Korrigeringsfaktor_EI,'Korrigeringsfaktor EI'!U$1,FALSE),
"")</f>
        <v/>
      </c>
      <c r="V226" s="18" t="str">
        <f>IFERROR(
                  Andel_oberoende_av_klimat*VLOOKUP($A226,Leveranser_per_nät,'Leveranser per nät'!V$1,FALSE)
               +Andel_beroende_av_klimat*VLOOKUP($A226,Leveranser_per_nät,'Leveranser per nät'!V$1,FALSE)/VLOOKUP($B226,Korrigeringsfaktor_EI,'Korrigeringsfaktor EI'!V$1,FALSE),
"")</f>
        <v/>
      </c>
      <c r="W226" s="18" t="str">
        <f>IFERROR(
                  Andel_oberoende_av_klimat*VLOOKUP($A226,Leveranser_per_nät,'Leveranser per nät'!W$1,FALSE)
               +Andel_beroende_av_klimat*VLOOKUP($A226,Leveranser_per_nät,'Leveranser per nät'!W$1,FALSE)/VLOOKUP($B226,Korrigeringsfaktor_EI,'Korrigeringsfaktor EI'!W$1,FALSE),
"")</f>
        <v/>
      </c>
      <c r="X226" s="18" t="str">
        <f>IFERROR(
                  Andel_oberoende_av_klimat*VLOOKUP($A226,Leveranser_per_nät,'Leveranser per nät'!X$1,FALSE)
               +Andel_beroende_av_klimat*VLOOKUP($A226,Leveranser_per_nät,'Leveranser per nät'!X$1,FALSE)/VLOOKUP($B226,Korrigeringsfaktor_EI,'Korrigeringsfaktor EI'!X$1,FALSE),
"")</f>
        <v/>
      </c>
      <c r="Y226" s="18" t="str">
        <f>IFERROR(
                  Andel_oberoende_av_klimat*VLOOKUP($A226,Leveranser_per_nät,'Leveranser per nät'!Y$1,FALSE)
               +Andel_beroende_av_klimat*VLOOKUP($A226,Leveranser_per_nät,'Leveranser per nät'!Y$1,FALSE)/VLOOKUP($B226,Korrigeringsfaktor_EI,'Korrigeringsfaktor EI'!Y$1,FALSE),
"")</f>
        <v/>
      </c>
      <c r="Z226" s="18">
        <f>IFERROR(
                  Andel_oberoende_av_klimat*VLOOKUP($A226,Leveranser_per_nät,'Leveranser per nät'!Z$1,FALSE)
               +Andel_beroende_av_klimat*VLOOKUP($A226,Leveranser_per_nät,'Leveranser per nät'!Z$1,FALSE)/VLOOKUP($B226,Korrigeringsfaktor_EI,'Korrigeringsfaktor EI'!Z$1,FALSE),
"")</f>
        <v>0</v>
      </c>
      <c r="AA226" s="18" t="str">
        <f>IFERROR(
                  Andel_oberoende_av_klimat*VLOOKUP($A226,Leveranser_per_nät,'Leveranser per nät'!AA$1,FALSE)
               +Andel_beroende_av_klimat*VLOOKUP($A226,Leveranser_per_nät,'Leveranser per nät'!AA$1,FALSE)/VLOOKUP($B226,Korrigeringsfaktor_EI,'Korrigeringsfaktor EI'!AA$1,FALSE),
"")</f>
        <v/>
      </c>
      <c r="AB226" s="18">
        <f>IFERROR(
                  Andel_oberoende_av_klimat*VLOOKUP($A226,Leveranser_per_nät,'Leveranser per nät'!AB$1,FALSE)
               +Andel_beroende_av_klimat*VLOOKUP($A226,Leveranser_per_nät,'Leveranser per nät'!AB$1,FALSE)/VLOOKUP($B226,Korrigeringsfaktor_EI,'Korrigeringsfaktor EI'!AB$1,FALSE),
"")</f>
        <v>0</v>
      </c>
      <c r="AC226" s="18">
        <f>IFERROR(
                  Andel_oberoende_av_klimat*VLOOKUP($A226,Leveranser_per_nät,'Leveranser per nät'!AC$1,FALSE)
               +Andel_beroende_av_klimat*VLOOKUP($A226,Leveranser_per_nät,'Leveranser per nät'!AC$1,FALSE)/VLOOKUP($B226,Korrigeringsfaktor_EI,'Korrigeringsfaktor EI'!AC$1,FALSE),
"")</f>
        <v>0</v>
      </c>
      <c r="AD226">
        <v>711.67200000000003</v>
      </c>
    </row>
    <row r="227" spans="1:30" x14ac:dyDescent="0.25">
      <c r="A227" t="s">
        <v>269</v>
      </c>
      <c r="B227" t="s">
        <v>261</v>
      </c>
      <c r="C227" s="18">
        <f>IFERROR(
                  Andel_oberoende_av_klimat*VLOOKUP($A227,Leveranser_per_nät,'Leveranser per nät'!C$1,FALSE)
               +Andel_beroende_av_klimat*VLOOKUP($A227,Leveranser_per_nät,'Leveranser per nät'!C$1,FALSE)/VLOOKUP($B227,Korrigeringsfaktor_EI,'Korrigeringsfaktor EI'!C$1,FALSE),
"")</f>
        <v>0</v>
      </c>
      <c r="D227" s="18">
        <f>IFERROR(
                  Andel_oberoende_av_klimat*VLOOKUP($A227,Leveranser_per_nät,'Leveranser per nät'!D$1,FALSE)
               +Andel_beroende_av_klimat*VLOOKUP($A227,Leveranser_per_nät,'Leveranser per nät'!D$1,FALSE)/VLOOKUP($B227,Korrigeringsfaktor_EI,'Korrigeringsfaktor EI'!D$1,FALSE),
"")</f>
        <v>0</v>
      </c>
      <c r="E227" s="18">
        <f>IFERROR(
                  Andel_oberoende_av_klimat*VLOOKUP($A227,Leveranser_per_nät,'Leveranser per nät'!E$1,FALSE)
               +Andel_beroende_av_klimat*VLOOKUP($A227,Leveranser_per_nät,'Leveranser per nät'!E$1,FALSE)/VLOOKUP($B227,Korrigeringsfaktor_EI,'Korrigeringsfaktor EI'!E$1,FALSE),
"")</f>
        <v>0</v>
      </c>
      <c r="F227" s="18">
        <f>IFERROR(
                  Andel_oberoende_av_klimat*VLOOKUP($A227,Leveranser_per_nät,'Leveranser per nät'!F$1,FALSE)
               +Andel_beroende_av_klimat*VLOOKUP($A227,Leveranser_per_nät,'Leveranser per nät'!F$1,FALSE)/VLOOKUP($B227,Korrigeringsfaktor_EI,'Korrigeringsfaktor EI'!F$1,FALSE),
"")</f>
        <v>0</v>
      </c>
      <c r="G227" s="18">
        <f>IFERROR(
                  Andel_oberoende_av_klimat*VLOOKUP($A227,Leveranser_per_nät,'Leveranser per nät'!G$1,FALSE)
               +Andel_beroende_av_klimat*VLOOKUP($A227,Leveranser_per_nät,'Leveranser per nät'!G$1,FALSE)/VLOOKUP($B227,Korrigeringsfaktor_EI,'Korrigeringsfaktor EI'!G$1,FALSE),
"")</f>
        <v>0</v>
      </c>
      <c r="H227" s="18">
        <f>IFERROR(
                  Andel_oberoende_av_klimat*VLOOKUP($A227,Leveranser_per_nät,'Leveranser per nät'!H$1,FALSE)
               +Andel_beroende_av_klimat*VLOOKUP($A227,Leveranser_per_nät,'Leveranser per nät'!H$1,FALSE)/VLOOKUP($B227,Korrigeringsfaktor_EI,'Korrigeringsfaktor EI'!H$1,FALSE),
"")</f>
        <v>5.1970000000000001</v>
      </c>
      <c r="I227" s="18">
        <f>IFERROR(
                  Andel_oberoende_av_klimat*VLOOKUP($A227,Leveranser_per_nät,'Leveranser per nät'!I$1,FALSE)
               +Andel_beroende_av_klimat*VLOOKUP($A227,Leveranser_per_nät,'Leveranser per nät'!I$1,FALSE)/VLOOKUP($B227,Korrigeringsfaktor_EI,'Korrigeringsfaktor EI'!I$1,FALSE),
"")</f>
        <v>5.1458333333333339</v>
      </c>
      <c r="J227" s="18">
        <f>IFERROR(
                  Andel_oberoende_av_klimat*VLOOKUP($A227,Leveranser_per_nät,'Leveranser per nät'!J$1,FALSE)
               +Andel_beroende_av_klimat*VLOOKUP($A227,Leveranser_per_nät,'Leveranser per nät'!J$1,FALSE)/VLOOKUP($B227,Korrigeringsfaktor_EI,'Korrigeringsfaktor EI'!J$1,FALSE),
"")</f>
        <v>5.1842105263157903</v>
      </c>
      <c r="K227" s="18">
        <f>IFERROR(
                  Andel_oberoende_av_klimat*VLOOKUP($A227,Leveranser_per_nät,'Leveranser per nät'!K$1,FALSE)
               +Andel_beroende_av_klimat*VLOOKUP($A227,Leveranser_per_nät,'Leveranser per nät'!K$1,FALSE)/VLOOKUP($B227,Korrigeringsfaktor_EI,'Korrigeringsfaktor EI'!K$1,FALSE),
"")</f>
        <v>5.2895000000000003</v>
      </c>
      <c r="L227" s="18">
        <f>IFERROR(
                  Andel_oberoende_av_klimat*VLOOKUP($A227,Leveranser_per_nät,'Leveranser per nät'!L$1,FALSE)
               +Andel_beroende_av_klimat*VLOOKUP($A227,Leveranser_per_nät,'Leveranser per nät'!L$1,FALSE)/VLOOKUP($B227,Korrigeringsfaktor_EI,'Korrigeringsfaktor EI'!L$1,FALSE),
"")</f>
        <v>5.2439661290322572</v>
      </c>
      <c r="M227" s="18">
        <f>IFERROR(
                  Andel_oberoende_av_klimat*VLOOKUP($A227,Leveranser_per_nät,'Leveranser per nät'!M$1,FALSE)
               +Andel_beroende_av_klimat*VLOOKUP($A227,Leveranser_per_nät,'Leveranser per nät'!M$1,FALSE)/VLOOKUP($B227,Korrigeringsfaktor_EI,'Korrigeringsfaktor EI'!M$1,FALSE),
"")</f>
        <v>5.282069565217391</v>
      </c>
      <c r="N227" s="18">
        <f>IFERROR(
                  Andel_oberoende_av_klimat*VLOOKUP($A227,Leveranser_per_nät,'Leveranser per nät'!N$1,FALSE)
               +Andel_beroende_av_klimat*VLOOKUP($A227,Leveranser_per_nät,'Leveranser per nät'!N$1,FALSE)/VLOOKUP($B227,Korrigeringsfaktor_EI,'Korrigeringsfaktor EI'!N$1,FALSE),
"")</f>
        <v>5.0794434782608695</v>
      </c>
      <c r="O227" s="18">
        <f>IFERROR(
                  Andel_oberoende_av_klimat*VLOOKUP($A227,Leveranser_per_nät,'Leveranser per nät'!O$1,FALSE)
               +Andel_beroende_av_klimat*VLOOKUP($A227,Leveranser_per_nät,'Leveranser per nät'!O$1,FALSE)/VLOOKUP($B227,Korrigeringsfaktor_EI,'Korrigeringsfaktor EI'!O$1,FALSE),
"")</f>
        <v>5.1571193548387093</v>
      </c>
      <c r="P227" s="18">
        <f>IFERROR(
                  Andel_oberoende_av_klimat*VLOOKUP($A227,Leveranser_per_nät,'Leveranser per nät'!P$1,FALSE)
               +Andel_beroende_av_klimat*VLOOKUP($A227,Leveranser_per_nät,'Leveranser per nät'!P$1,FALSE)/VLOOKUP($B227,Korrigeringsfaktor_EI,'Korrigeringsfaktor EI'!P$1,FALSE),
"")</f>
        <v>5.603812500000001</v>
      </c>
      <c r="Q227" s="18">
        <f>IFERROR(
                  Andel_oberoende_av_klimat*VLOOKUP($A227,Leveranser_per_nät,'Leveranser per nät'!Q$1,FALSE)
               +Andel_beroende_av_klimat*VLOOKUP($A227,Leveranser_per_nät,'Leveranser per nät'!Q$1,FALSE)/VLOOKUP($B227,Korrigeringsfaktor_EI,'Korrigeringsfaktor EI'!Q$1,FALSE),
"")</f>
        <v>5.237634579439252</v>
      </c>
      <c r="R227" s="18">
        <f>IFERROR(
                  Andel_oberoende_av_klimat*VLOOKUP($A227,Leveranser_per_nät,'Leveranser per nät'!R$1,FALSE)
               +Andel_beroende_av_klimat*VLOOKUP($A227,Leveranser_per_nät,'Leveranser per nät'!R$1,FALSE)/VLOOKUP($B227,Korrigeringsfaktor_EI,'Korrigeringsfaktor EI'!R$1,FALSE),
"")</f>
        <v>5.0403516853932588</v>
      </c>
      <c r="S227" s="18">
        <f>IFERROR(
                  Andel_oberoende_av_klimat*VLOOKUP($A227,Leveranser_per_nät,'Leveranser per nät'!S$1,FALSE)
               +Andel_beroende_av_klimat*VLOOKUP($A227,Leveranser_per_nät,'Leveranser per nät'!S$1,FALSE)/VLOOKUP($B227,Korrigeringsfaktor_EI,'Korrigeringsfaktor EI'!S$1,FALSE),
"")</f>
        <v>5.2166262626262618</v>
      </c>
      <c r="T227" s="18">
        <f>IFERROR(
                  Andel_oberoende_av_klimat*VLOOKUP($A227,Leveranser_per_nät,'Leveranser per nät'!T$1,FALSE)
               +Andel_beroende_av_klimat*VLOOKUP($A227,Leveranser_per_nät,'Leveranser per nät'!T$1,FALSE)/VLOOKUP($B227,Korrigeringsfaktor_EI,'Korrigeringsfaktor EI'!T$1,FALSE),
"")</f>
        <v>5.2067478260869571</v>
      </c>
      <c r="U227" s="18">
        <f>IFERROR(
                  Andel_oberoende_av_klimat*VLOOKUP($A227,Leveranser_per_nät,'Leveranser per nät'!U$1,FALSE)
               +Andel_beroende_av_klimat*VLOOKUP($A227,Leveranser_per_nät,'Leveranser per nät'!U$1,FALSE)/VLOOKUP($B227,Korrigeringsfaktor_EI,'Korrigeringsfaktor EI'!U$1,FALSE),
"")</f>
        <v>5.252011111111111</v>
      </c>
      <c r="V227" s="18">
        <f>IFERROR(
                  Andel_oberoende_av_klimat*VLOOKUP($A227,Leveranser_per_nät,'Leveranser per nät'!V$1,FALSE)
               +Andel_beroende_av_klimat*VLOOKUP($A227,Leveranser_per_nät,'Leveranser per nät'!V$1,FALSE)/VLOOKUP($B227,Korrigeringsfaktor_EI,'Korrigeringsfaktor EI'!V$1,FALSE),
"")</f>
        <v>5.0899862068965511</v>
      </c>
      <c r="W227" s="18">
        <f>IFERROR(
                  Andel_oberoende_av_klimat*VLOOKUP($A227,Leveranser_per_nät,'Leveranser per nät'!W$1,FALSE)
               +Andel_beroende_av_klimat*VLOOKUP($A227,Leveranser_per_nät,'Leveranser per nät'!W$1,FALSE)/VLOOKUP($B227,Korrigeringsfaktor_EI,'Korrigeringsfaktor EI'!W$1,FALSE),
"")</f>
        <v>5.3542526315789472</v>
      </c>
      <c r="X227" s="18">
        <f>IFERROR(
                  Andel_oberoende_av_klimat*VLOOKUP($A227,Leveranser_per_nät,'Leveranser per nät'!X$1,FALSE)
               +Andel_beroende_av_klimat*VLOOKUP($A227,Leveranser_per_nät,'Leveranser per nät'!X$1,FALSE)/VLOOKUP($B227,Korrigeringsfaktor_EI,'Korrigeringsfaktor EI'!X$1,FALSE),
"")</f>
        <v>5.4442916666666665</v>
      </c>
      <c r="Y227" s="18">
        <f>IFERROR(
                  Andel_oberoende_av_klimat*VLOOKUP($A227,Leveranser_per_nät,'Leveranser per nät'!Y$1,FALSE)
               +Andel_beroende_av_klimat*VLOOKUP($A227,Leveranser_per_nät,'Leveranser per nät'!Y$1,FALSE)/VLOOKUP($B227,Korrigeringsfaktor_EI,'Korrigeringsfaktor EI'!Y$1,FALSE),
"")</f>
        <v>5.5476666666666663</v>
      </c>
      <c r="Z227" s="18">
        <f>IFERROR(
                  Andel_oberoende_av_klimat*VLOOKUP($A227,Leveranser_per_nät,'Leveranser per nät'!Z$1,FALSE)
               +Andel_beroende_av_klimat*VLOOKUP($A227,Leveranser_per_nät,'Leveranser per nät'!Z$1,FALSE)/VLOOKUP($B227,Korrigeringsfaktor_EI,'Korrigeringsfaktor EI'!Z$1,FALSE),
"")</f>
        <v>5.6170288659793819</v>
      </c>
      <c r="AA227" s="18">
        <f>IFERROR(
                  Andel_oberoende_av_klimat*VLOOKUP($A227,Leveranser_per_nät,'Leveranser per nät'!AA$1,FALSE)
               +Andel_beroende_av_klimat*VLOOKUP($A227,Leveranser_per_nät,'Leveranser per nät'!AA$1,FALSE)/VLOOKUP($B227,Korrigeringsfaktor_EI,'Korrigeringsfaktor EI'!AA$1,FALSE),
"")</f>
        <v>5.487319811320754</v>
      </c>
      <c r="AB227" s="18">
        <f>IFERROR(
                  Andel_oberoende_av_klimat*VLOOKUP($A227,Leveranser_per_nät,'Leveranser per nät'!AB$1,FALSE)
               +Andel_beroende_av_klimat*VLOOKUP($A227,Leveranser_per_nät,'Leveranser per nät'!AB$1,FALSE)/VLOOKUP($B227,Korrigeringsfaktor_EI,'Korrigeringsfaktor EI'!AB$1,FALSE),
"")</f>
        <v>5.2442450393700781</v>
      </c>
      <c r="AC227" s="18">
        <f>IFERROR(
                  Andel_oberoende_av_klimat*VLOOKUP($A227,Leveranser_per_nät,'Leveranser per nät'!AC$1,FALSE)
               +Andel_beroende_av_klimat*VLOOKUP($A227,Leveranser_per_nät,'Leveranser per nät'!AC$1,FALSE)/VLOOKUP($B227,Korrigeringsfaktor_EI,'Korrigeringsfaktor EI'!AC$1,FALSE),
"")</f>
        <v>5.6818048058761805</v>
      </c>
      <c r="AD227">
        <v>351.95330000000001</v>
      </c>
    </row>
    <row r="228" spans="1:30" x14ac:dyDescent="0.25">
      <c r="A228" t="s">
        <v>32</v>
      </c>
      <c r="B228" t="s">
        <v>533</v>
      </c>
      <c r="C228" s="18">
        <f>IFERROR(
                  Andel_oberoende_av_klimat*VLOOKUP($A228,Leveranser_per_nät,'Leveranser per nät'!C$1,FALSE)
               +Andel_beroende_av_klimat*VLOOKUP($A228,Leveranser_per_nät,'Leveranser per nät'!C$1,FALSE)/VLOOKUP($B228,Korrigeringsfaktor_EI,'Korrigeringsfaktor EI'!C$1,FALSE),
"")</f>
        <v>0</v>
      </c>
      <c r="D228" s="18">
        <f>IFERROR(
                  Andel_oberoende_av_klimat*VLOOKUP($A228,Leveranser_per_nät,'Leveranser per nät'!D$1,FALSE)
               +Andel_beroende_av_klimat*VLOOKUP($A228,Leveranser_per_nät,'Leveranser per nät'!D$1,FALSE)/VLOOKUP($B228,Korrigeringsfaktor_EI,'Korrigeringsfaktor EI'!D$1,FALSE),
"")</f>
        <v>0</v>
      </c>
      <c r="E228" s="18">
        <f>IFERROR(
                  Andel_oberoende_av_klimat*VLOOKUP($A228,Leveranser_per_nät,'Leveranser per nät'!E$1,FALSE)
               +Andel_beroende_av_klimat*VLOOKUP($A228,Leveranser_per_nät,'Leveranser per nät'!E$1,FALSE)/VLOOKUP($B228,Korrigeringsfaktor_EI,'Korrigeringsfaktor EI'!E$1,FALSE),
"")</f>
        <v>0</v>
      </c>
      <c r="F228" s="18">
        <f>IFERROR(
                  Andel_oberoende_av_klimat*VLOOKUP($A228,Leveranser_per_nät,'Leveranser per nät'!F$1,FALSE)
               +Andel_beroende_av_klimat*VLOOKUP($A228,Leveranser_per_nät,'Leveranser per nät'!F$1,FALSE)/VLOOKUP($B228,Korrigeringsfaktor_EI,'Korrigeringsfaktor EI'!F$1,FALSE),
"")</f>
        <v>0</v>
      </c>
      <c r="G228" s="18">
        <f>IFERROR(
                  Andel_oberoende_av_klimat*VLOOKUP($A228,Leveranser_per_nät,'Leveranser per nät'!G$1,FALSE)
               +Andel_beroende_av_klimat*VLOOKUP($A228,Leveranser_per_nät,'Leveranser per nät'!G$1,FALSE)/VLOOKUP($B228,Korrigeringsfaktor_EI,'Korrigeringsfaktor EI'!G$1,FALSE),
"")</f>
        <v>0</v>
      </c>
      <c r="H228" s="18">
        <f>IFERROR(
                  Andel_oberoende_av_klimat*VLOOKUP($A228,Leveranser_per_nät,'Leveranser per nät'!H$1,FALSE)
               +Andel_beroende_av_klimat*VLOOKUP($A228,Leveranser_per_nät,'Leveranser per nät'!H$1,FALSE)/VLOOKUP($B228,Korrigeringsfaktor_EI,'Korrigeringsfaktor EI'!H$1,FALSE),
"")</f>
        <v>0</v>
      </c>
      <c r="I228" s="18">
        <f>IFERROR(
                  Andel_oberoende_av_klimat*VLOOKUP($A228,Leveranser_per_nät,'Leveranser per nät'!I$1,FALSE)
               +Andel_beroende_av_klimat*VLOOKUP($A228,Leveranser_per_nät,'Leveranser per nät'!I$1,FALSE)/VLOOKUP($B228,Korrigeringsfaktor_EI,'Korrigeringsfaktor EI'!I$1,FALSE),
"")</f>
        <v>0</v>
      </c>
      <c r="J228" s="18">
        <f>IFERROR(
                  Andel_oberoende_av_klimat*VLOOKUP($A228,Leveranser_per_nät,'Leveranser per nät'!J$1,FALSE)
               +Andel_beroende_av_klimat*VLOOKUP($A228,Leveranser_per_nät,'Leveranser per nät'!J$1,FALSE)/VLOOKUP($B228,Korrigeringsfaktor_EI,'Korrigeringsfaktor EI'!J$1,FALSE),
"")</f>
        <v>0</v>
      </c>
      <c r="K228" s="18">
        <f>IFERROR(
                  Andel_oberoende_av_klimat*VLOOKUP($A228,Leveranser_per_nät,'Leveranser per nät'!K$1,FALSE)
               +Andel_beroende_av_klimat*VLOOKUP($A228,Leveranser_per_nät,'Leveranser per nät'!K$1,FALSE)/VLOOKUP($B228,Korrigeringsfaktor_EI,'Korrigeringsfaktor EI'!K$1,FALSE),
"")</f>
        <v>0</v>
      </c>
      <c r="L228" s="18">
        <f>IFERROR(
                  Andel_oberoende_av_klimat*VLOOKUP($A228,Leveranser_per_nät,'Leveranser per nät'!L$1,FALSE)
               +Andel_beroende_av_klimat*VLOOKUP($A228,Leveranser_per_nät,'Leveranser per nät'!L$1,FALSE)/VLOOKUP($B228,Korrigeringsfaktor_EI,'Korrigeringsfaktor EI'!L$1,FALSE),
"")</f>
        <v>0</v>
      </c>
      <c r="M228" s="18">
        <f>IFERROR(
                  Andel_oberoende_av_klimat*VLOOKUP($A228,Leveranser_per_nät,'Leveranser per nät'!M$1,FALSE)
               +Andel_beroende_av_klimat*VLOOKUP($A228,Leveranser_per_nät,'Leveranser per nät'!M$1,FALSE)/VLOOKUP($B228,Korrigeringsfaktor_EI,'Korrigeringsfaktor EI'!M$1,FALSE),
"")</f>
        <v>3.2581222222222221</v>
      </c>
      <c r="N228" s="18">
        <f>IFERROR(
                  Andel_oberoende_av_klimat*VLOOKUP($A228,Leveranser_per_nät,'Leveranser per nät'!N$1,FALSE)
               +Andel_beroende_av_klimat*VLOOKUP($A228,Leveranser_per_nät,'Leveranser per nät'!N$1,FALSE)/VLOOKUP($B228,Korrigeringsfaktor_EI,'Korrigeringsfaktor EI'!N$1,FALSE),
"")</f>
        <v>3.9071063829787236</v>
      </c>
      <c r="O228" s="18">
        <f>IFERROR(
                  Andel_oberoende_av_klimat*VLOOKUP($A228,Leveranser_per_nät,'Leveranser per nät'!O$1,FALSE)
               +Andel_beroende_av_klimat*VLOOKUP($A228,Leveranser_per_nät,'Leveranser per nät'!O$1,FALSE)/VLOOKUP($B228,Korrigeringsfaktor_EI,'Korrigeringsfaktor EI'!O$1,FALSE),
"")</f>
        <v>3.9370537634408604</v>
      </c>
      <c r="P228" s="18">
        <f>IFERROR(
                  Andel_oberoende_av_klimat*VLOOKUP($A228,Leveranser_per_nät,'Leveranser per nät'!P$1,FALSE)
               +Andel_beroende_av_klimat*VLOOKUP($A228,Leveranser_per_nät,'Leveranser per nät'!P$1,FALSE)/VLOOKUP($B228,Korrigeringsfaktor_EI,'Korrigeringsfaktor EI'!P$1,FALSE),
"")</f>
        <v>0</v>
      </c>
      <c r="Q228" s="18">
        <f>IFERROR(
                  Andel_oberoende_av_klimat*VLOOKUP($A228,Leveranser_per_nät,'Leveranser per nät'!Q$1,FALSE)
               +Andel_beroende_av_klimat*VLOOKUP($A228,Leveranser_per_nät,'Leveranser per nät'!Q$1,FALSE)/VLOOKUP($B228,Korrigeringsfaktor_EI,'Korrigeringsfaktor EI'!Q$1,FALSE),
"")</f>
        <v>0</v>
      </c>
      <c r="R228" s="18">
        <f>IFERROR(
                  Andel_oberoende_av_klimat*VLOOKUP($A228,Leveranser_per_nät,'Leveranser per nät'!R$1,FALSE)
               +Andel_beroende_av_klimat*VLOOKUP($A228,Leveranser_per_nät,'Leveranser per nät'!R$1,FALSE)/VLOOKUP($B228,Korrigeringsfaktor_EI,'Korrigeringsfaktor EI'!R$1,FALSE),
"")</f>
        <v>0</v>
      </c>
      <c r="S228" s="18" t="str">
        <f>IFERROR(
                  Andel_oberoende_av_klimat*VLOOKUP($A228,Leveranser_per_nät,'Leveranser per nät'!S$1,FALSE)
               +Andel_beroende_av_klimat*VLOOKUP($A228,Leveranser_per_nät,'Leveranser per nät'!S$1,FALSE)/VLOOKUP($B228,Korrigeringsfaktor_EI,'Korrigeringsfaktor EI'!S$1,FALSE),
"")</f>
        <v/>
      </c>
      <c r="T228" s="18" t="str">
        <f>IFERROR(
                  Andel_oberoende_av_klimat*VLOOKUP($A228,Leveranser_per_nät,'Leveranser per nät'!T$1,FALSE)
               +Andel_beroende_av_klimat*VLOOKUP($A228,Leveranser_per_nät,'Leveranser per nät'!T$1,FALSE)/VLOOKUP($B228,Korrigeringsfaktor_EI,'Korrigeringsfaktor EI'!T$1,FALSE),
"")</f>
        <v/>
      </c>
      <c r="U228" s="18" t="str">
        <f>IFERROR(
                  Andel_oberoende_av_klimat*VLOOKUP($A228,Leveranser_per_nät,'Leveranser per nät'!U$1,FALSE)
               +Andel_beroende_av_klimat*VLOOKUP($A228,Leveranser_per_nät,'Leveranser per nät'!U$1,FALSE)/VLOOKUP($B228,Korrigeringsfaktor_EI,'Korrigeringsfaktor EI'!U$1,FALSE),
"")</f>
        <v/>
      </c>
      <c r="V228" s="18" t="str">
        <f>IFERROR(
                  Andel_oberoende_av_klimat*VLOOKUP($A228,Leveranser_per_nät,'Leveranser per nät'!V$1,FALSE)
               +Andel_beroende_av_klimat*VLOOKUP($A228,Leveranser_per_nät,'Leveranser per nät'!V$1,FALSE)/VLOOKUP($B228,Korrigeringsfaktor_EI,'Korrigeringsfaktor EI'!V$1,FALSE),
"")</f>
        <v/>
      </c>
      <c r="W228" s="18" t="str">
        <f>IFERROR(
                  Andel_oberoende_av_klimat*VLOOKUP($A228,Leveranser_per_nät,'Leveranser per nät'!W$1,FALSE)
               +Andel_beroende_av_klimat*VLOOKUP($A228,Leveranser_per_nät,'Leveranser per nät'!W$1,FALSE)/VLOOKUP($B228,Korrigeringsfaktor_EI,'Korrigeringsfaktor EI'!W$1,FALSE),
"")</f>
        <v/>
      </c>
      <c r="X228" s="18" t="str">
        <f>IFERROR(
                  Andel_oberoende_av_klimat*VLOOKUP($A228,Leveranser_per_nät,'Leveranser per nät'!X$1,FALSE)
               +Andel_beroende_av_klimat*VLOOKUP($A228,Leveranser_per_nät,'Leveranser per nät'!X$1,FALSE)/VLOOKUP($B228,Korrigeringsfaktor_EI,'Korrigeringsfaktor EI'!X$1,FALSE),
"")</f>
        <v/>
      </c>
      <c r="Y228" s="18" t="str">
        <f>IFERROR(
                  Andel_oberoende_av_klimat*VLOOKUP($A228,Leveranser_per_nät,'Leveranser per nät'!Y$1,FALSE)
               +Andel_beroende_av_klimat*VLOOKUP($A228,Leveranser_per_nät,'Leveranser per nät'!Y$1,FALSE)/VLOOKUP($B228,Korrigeringsfaktor_EI,'Korrigeringsfaktor EI'!Y$1,FALSE),
"")</f>
        <v/>
      </c>
      <c r="Z228" s="18">
        <f>IFERROR(
                  Andel_oberoende_av_klimat*VLOOKUP($A228,Leveranser_per_nät,'Leveranser per nät'!Z$1,FALSE)
               +Andel_beroende_av_klimat*VLOOKUP($A228,Leveranser_per_nät,'Leveranser per nät'!Z$1,FALSE)/VLOOKUP($B228,Korrigeringsfaktor_EI,'Korrigeringsfaktor EI'!Z$1,FALSE),
"")</f>
        <v>0</v>
      </c>
      <c r="AA228" s="18" t="str">
        <f>IFERROR(
                  Andel_oberoende_av_klimat*VLOOKUP($A228,Leveranser_per_nät,'Leveranser per nät'!AA$1,FALSE)
               +Andel_beroende_av_klimat*VLOOKUP($A228,Leveranser_per_nät,'Leveranser per nät'!AA$1,FALSE)/VLOOKUP($B228,Korrigeringsfaktor_EI,'Korrigeringsfaktor EI'!AA$1,FALSE),
"")</f>
        <v/>
      </c>
      <c r="AB228" s="18">
        <f>IFERROR(
                  Andel_oberoende_av_klimat*VLOOKUP($A228,Leveranser_per_nät,'Leveranser per nät'!AB$1,FALSE)
               +Andel_beroende_av_klimat*VLOOKUP($A228,Leveranser_per_nät,'Leveranser per nät'!AB$1,FALSE)/VLOOKUP($B228,Korrigeringsfaktor_EI,'Korrigeringsfaktor EI'!AB$1,FALSE),
"")</f>
        <v>0</v>
      </c>
      <c r="AC228" s="18">
        <f>IFERROR(
                  Andel_oberoende_av_klimat*VLOOKUP($A228,Leveranser_per_nät,'Leveranser per nät'!AC$1,FALSE)
               +Andel_beroende_av_klimat*VLOOKUP($A228,Leveranser_per_nät,'Leveranser per nät'!AC$1,FALSE)/VLOOKUP($B228,Korrigeringsfaktor_EI,'Korrigeringsfaktor EI'!AC$1,FALSE),
"")</f>
        <v>0</v>
      </c>
      <c r="AD228">
        <v>11</v>
      </c>
    </row>
    <row r="229" spans="1:30" x14ac:dyDescent="0.25">
      <c r="A229" t="s">
        <v>174</v>
      </c>
      <c r="B229" t="s">
        <v>174</v>
      </c>
      <c r="C229" s="18">
        <f>IFERROR(
                  Andel_oberoende_av_klimat*VLOOKUP($A229,Leveranser_per_nät,'Leveranser per nät'!C$1,FALSE)
               +Andel_beroende_av_klimat*VLOOKUP($A229,Leveranser_per_nät,'Leveranser per nät'!C$1,FALSE)/VLOOKUP($B229,Korrigeringsfaktor_EI,'Korrigeringsfaktor EI'!C$1,FALSE),
"")</f>
        <v>216.70642201834863</v>
      </c>
      <c r="D229" s="18">
        <f>IFERROR(
                  Andel_oberoende_av_klimat*VLOOKUP($A229,Leveranser_per_nät,'Leveranser per nät'!D$1,FALSE)
               +Andel_beroende_av_klimat*VLOOKUP($A229,Leveranser_per_nät,'Leveranser per nät'!D$1,FALSE)/VLOOKUP($B229,Korrigeringsfaktor_EI,'Korrigeringsfaktor EI'!D$1,FALSE),
"")</f>
        <v>190.53777777777776</v>
      </c>
      <c r="E229" s="18">
        <f>IFERROR(
                  Andel_oberoende_av_klimat*VLOOKUP($A229,Leveranser_per_nät,'Leveranser per nät'!E$1,FALSE)
               +Andel_beroende_av_klimat*VLOOKUP($A229,Leveranser_per_nät,'Leveranser per nät'!E$1,FALSE)/VLOOKUP($B229,Korrigeringsfaktor_EI,'Korrigeringsfaktor EI'!E$1,FALSE),
"")</f>
        <v>202.4</v>
      </c>
      <c r="F229" s="18">
        <f>IFERROR(
                  Andel_oberoende_av_klimat*VLOOKUP($A229,Leveranser_per_nät,'Leveranser per nät'!F$1,FALSE)
               +Andel_beroende_av_klimat*VLOOKUP($A229,Leveranser_per_nät,'Leveranser per nät'!F$1,FALSE)/VLOOKUP($B229,Korrigeringsfaktor_EI,'Korrigeringsfaktor EI'!F$1,FALSE),
"")</f>
        <v>197.17835051546393</v>
      </c>
      <c r="G229" s="18">
        <f>IFERROR(
                  Andel_oberoende_av_klimat*VLOOKUP($A229,Leveranser_per_nät,'Leveranser per nät'!G$1,FALSE)
               +Andel_beroende_av_klimat*VLOOKUP($A229,Leveranser_per_nät,'Leveranser per nät'!G$1,FALSE)/VLOOKUP($B229,Korrigeringsfaktor_EI,'Korrigeringsfaktor EI'!G$1,FALSE),
"")</f>
        <v>190.14044943820224</v>
      </c>
      <c r="H229" s="18">
        <f>IFERROR(
                  Andel_oberoende_av_klimat*VLOOKUP($A229,Leveranser_per_nät,'Leveranser per nät'!H$1,FALSE)
               +Andel_beroende_av_klimat*VLOOKUP($A229,Leveranser_per_nät,'Leveranser per nät'!H$1,FALSE)/VLOOKUP($B229,Korrigeringsfaktor_EI,'Korrigeringsfaktor EI'!H$1,FALSE),
"")</f>
        <v>195.37171717171717</v>
      </c>
      <c r="I229" s="18">
        <f>IFERROR(
                  Andel_oberoende_av_klimat*VLOOKUP($A229,Leveranser_per_nät,'Leveranser per nät'!I$1,FALSE)
               +Andel_beroende_av_klimat*VLOOKUP($A229,Leveranser_per_nät,'Leveranser per nät'!I$1,FALSE)/VLOOKUP($B229,Korrigeringsfaktor_EI,'Korrigeringsfaktor EI'!I$1,FALSE),
"")</f>
        <v>203.77500000000001</v>
      </c>
      <c r="J229" s="18">
        <f>IFERROR(
                  Andel_oberoende_av_klimat*VLOOKUP($A229,Leveranser_per_nät,'Leveranser per nät'!J$1,FALSE)
               +Andel_beroende_av_klimat*VLOOKUP($A229,Leveranser_per_nät,'Leveranser per nät'!J$1,FALSE)/VLOOKUP($B229,Korrigeringsfaktor_EI,'Korrigeringsfaktor EI'!J$1,FALSE),
"")</f>
        <v>190.02680412371134</v>
      </c>
      <c r="K229" s="18">
        <f>IFERROR(
                  Andel_oberoende_av_klimat*VLOOKUP($A229,Leveranser_per_nät,'Leveranser per nät'!K$1,FALSE)
               +Andel_beroende_av_klimat*VLOOKUP($A229,Leveranser_per_nät,'Leveranser per nät'!K$1,FALSE)/VLOOKUP($B229,Korrigeringsfaktor_EI,'Korrigeringsfaktor EI'!K$1,FALSE),
"")</f>
        <v>190.47326494845362</v>
      </c>
      <c r="L229" s="18">
        <f>IFERROR(
                  Andel_oberoende_av_klimat*VLOOKUP($A229,Leveranser_per_nät,'Leveranser per nät'!L$1,FALSE)
               +Andel_beroende_av_klimat*VLOOKUP($A229,Leveranser_per_nät,'Leveranser per nät'!L$1,FALSE)/VLOOKUP($B229,Korrigeringsfaktor_EI,'Korrigeringsfaktor EI'!L$1,FALSE),
"")</f>
        <v>192.67257872340426</v>
      </c>
      <c r="M229" s="18">
        <f>IFERROR(
                  Andel_oberoende_av_klimat*VLOOKUP($A229,Leveranser_per_nät,'Leveranser per nät'!M$1,FALSE)
               +Andel_beroende_av_klimat*VLOOKUP($A229,Leveranser_per_nät,'Leveranser per nät'!M$1,FALSE)/VLOOKUP($B229,Korrigeringsfaktor_EI,'Korrigeringsfaktor EI'!M$1,FALSE),
"")</f>
        <v>191.31721739130435</v>
      </c>
      <c r="N229" s="18">
        <f>IFERROR(
                  Andel_oberoende_av_klimat*VLOOKUP($A229,Leveranser_per_nät,'Leveranser per nät'!N$1,FALSE)
               +Andel_beroende_av_klimat*VLOOKUP($A229,Leveranser_per_nät,'Leveranser per nät'!N$1,FALSE)/VLOOKUP($B229,Korrigeringsfaktor_EI,'Korrigeringsfaktor EI'!N$1,FALSE),
"")</f>
        <v>195.04193043478261</v>
      </c>
      <c r="O229" s="18">
        <f>IFERROR(
                  Andel_oberoende_av_klimat*VLOOKUP($A229,Leveranser_per_nät,'Leveranser per nät'!O$1,FALSE)
               +Andel_beroende_av_klimat*VLOOKUP($A229,Leveranser_per_nät,'Leveranser per nät'!O$1,FALSE)/VLOOKUP($B229,Korrigeringsfaktor_EI,'Korrigeringsfaktor EI'!O$1,FALSE),
"")</f>
        <v>191.62457777777774</v>
      </c>
      <c r="P229" s="18">
        <f>IFERROR(
                  Andel_oberoende_av_klimat*VLOOKUP($A229,Leveranser_per_nät,'Leveranser per nät'!P$1,FALSE)
               +Andel_beroende_av_klimat*VLOOKUP($A229,Leveranser_per_nät,'Leveranser per nät'!P$1,FALSE)/VLOOKUP($B229,Korrigeringsfaktor_EI,'Korrigeringsfaktor EI'!P$1,FALSE),
"")</f>
        <v>198.95397731958764</v>
      </c>
      <c r="Q229" s="18">
        <f>IFERROR(
                  Andel_oberoende_av_klimat*VLOOKUP($A229,Leveranser_per_nät,'Leveranser per nät'!Q$1,FALSE)
               +Andel_beroende_av_klimat*VLOOKUP($A229,Leveranser_per_nät,'Leveranser per nät'!Q$1,FALSE)/VLOOKUP($B229,Korrigeringsfaktor_EI,'Korrigeringsfaktor EI'!Q$1,FALSE),
"")</f>
        <v>208.56867610619472</v>
      </c>
      <c r="R229" s="18">
        <f>IFERROR(
                  Andel_oberoende_av_klimat*VLOOKUP($A229,Leveranser_per_nät,'Leveranser per nät'!R$1,FALSE)
               +Andel_beroende_av_klimat*VLOOKUP($A229,Leveranser_per_nät,'Leveranser per nät'!R$1,FALSE)/VLOOKUP($B229,Korrigeringsfaktor_EI,'Korrigeringsfaktor EI'!R$1,FALSE),
"")</f>
        <v>201.35367777777776</v>
      </c>
      <c r="S229" s="18">
        <f>IFERROR(
                  Andel_oberoende_av_klimat*VLOOKUP($A229,Leveranser_per_nät,'Leveranser per nät'!S$1,FALSE)
               +Andel_beroende_av_klimat*VLOOKUP($A229,Leveranser_per_nät,'Leveranser per nät'!S$1,FALSE)/VLOOKUP($B229,Korrigeringsfaktor_EI,'Korrigeringsfaktor EI'!S$1,FALSE),
"")</f>
        <v>207</v>
      </c>
      <c r="T229" s="18">
        <f>IFERROR(
                  Andel_oberoende_av_klimat*VLOOKUP($A229,Leveranser_per_nät,'Leveranser per nät'!T$1,FALSE)
               +Andel_beroende_av_klimat*VLOOKUP($A229,Leveranser_per_nät,'Leveranser per nät'!T$1,FALSE)/VLOOKUP($B229,Korrigeringsfaktor_EI,'Korrigeringsfaktor EI'!T$1,FALSE),
"")</f>
        <v>205.96868421052636</v>
      </c>
      <c r="U229" s="18">
        <f>IFERROR(
                  Andel_oberoende_av_klimat*VLOOKUP($A229,Leveranser_per_nät,'Leveranser per nät'!U$1,FALSE)
               +Andel_beroende_av_klimat*VLOOKUP($A229,Leveranser_per_nät,'Leveranser per nät'!U$1,FALSE)/VLOOKUP($B229,Korrigeringsfaktor_EI,'Korrigeringsfaktor EI'!U$1,FALSE),
"")</f>
        <v>200.89587977528089</v>
      </c>
      <c r="V229" s="18">
        <f>IFERROR(
                  Andel_oberoende_av_klimat*VLOOKUP($A229,Leveranser_per_nät,'Leveranser per nät'!V$1,FALSE)
               +Andel_beroende_av_klimat*VLOOKUP($A229,Leveranser_per_nät,'Leveranser per nät'!V$1,FALSE)/VLOOKUP($B229,Korrigeringsfaktor_EI,'Korrigeringsfaktor EI'!V$1,FALSE),
"")</f>
        <v>202.86687777777774</v>
      </c>
      <c r="W229" s="18">
        <f>IFERROR(
                  Andel_oberoende_av_klimat*VLOOKUP($A229,Leveranser_per_nät,'Leveranser per nät'!W$1,FALSE)
               +Andel_beroende_av_klimat*VLOOKUP($A229,Leveranser_per_nät,'Leveranser per nät'!W$1,FALSE)/VLOOKUP($B229,Korrigeringsfaktor_EI,'Korrigeringsfaktor EI'!W$1,FALSE),
"")</f>
        <v>201.93999583333334</v>
      </c>
      <c r="X229" s="18" t="str">
        <f>IFERROR(
                  Andel_oberoende_av_klimat*VLOOKUP($A229,Leveranser_per_nät,'Leveranser per nät'!X$1,FALSE)
               +Andel_beroende_av_klimat*VLOOKUP($A229,Leveranser_per_nät,'Leveranser per nät'!X$1,FALSE)/VLOOKUP($B229,Korrigeringsfaktor_EI,'Korrigeringsfaktor EI'!X$1,FALSE),
"")</f>
        <v/>
      </c>
      <c r="Y229" s="18" t="str">
        <f>IFERROR(
                  Andel_oberoende_av_klimat*VLOOKUP($A229,Leveranser_per_nät,'Leveranser per nät'!Y$1,FALSE)
               +Andel_beroende_av_klimat*VLOOKUP($A229,Leveranser_per_nät,'Leveranser per nät'!Y$1,FALSE)/VLOOKUP($B229,Korrigeringsfaktor_EI,'Korrigeringsfaktor EI'!Y$1,FALSE),
"")</f>
        <v/>
      </c>
      <c r="Z229" s="18">
        <f>IFERROR(
                  Andel_oberoende_av_klimat*VLOOKUP($A229,Leveranser_per_nät,'Leveranser per nät'!Z$1,FALSE)
               +Andel_beroende_av_klimat*VLOOKUP($A229,Leveranser_per_nät,'Leveranser per nät'!Z$1,FALSE)/VLOOKUP($B229,Korrigeringsfaktor_EI,'Korrigeringsfaktor EI'!Z$1,FALSE),
"")</f>
        <v>0</v>
      </c>
      <c r="AA229" s="18" t="str">
        <f>IFERROR(
                  Andel_oberoende_av_klimat*VLOOKUP($A229,Leveranser_per_nät,'Leveranser per nät'!AA$1,FALSE)
               +Andel_beroende_av_klimat*VLOOKUP($A229,Leveranser_per_nät,'Leveranser per nät'!AA$1,FALSE)/VLOOKUP($B229,Korrigeringsfaktor_EI,'Korrigeringsfaktor EI'!AA$1,FALSE),
"")</f>
        <v/>
      </c>
      <c r="AB229" s="18">
        <f>IFERROR(
                  Andel_oberoende_av_klimat*VLOOKUP($A229,Leveranser_per_nät,'Leveranser per nät'!AB$1,FALSE)
               +Andel_beroende_av_klimat*VLOOKUP($A229,Leveranser_per_nät,'Leveranser per nät'!AB$1,FALSE)/VLOOKUP($B229,Korrigeringsfaktor_EI,'Korrigeringsfaktor EI'!AB$1,FALSE),
"")</f>
        <v>0</v>
      </c>
      <c r="AC229" s="18">
        <f>IFERROR(
                  Andel_oberoende_av_klimat*VLOOKUP($A229,Leveranser_per_nät,'Leveranser per nät'!AC$1,FALSE)
               +Andel_beroende_av_klimat*VLOOKUP($A229,Leveranser_per_nät,'Leveranser per nät'!AC$1,FALSE)/VLOOKUP($B229,Korrigeringsfaktor_EI,'Korrigeringsfaktor EI'!AC$1,FALSE),
"")</f>
        <v>0</v>
      </c>
      <c r="AD229" t="e">
        <v>#N/A</v>
      </c>
    </row>
    <row r="230" spans="1:30" x14ac:dyDescent="0.25">
      <c r="A230" t="s">
        <v>86</v>
      </c>
      <c r="B230" t="s">
        <v>78</v>
      </c>
      <c r="C230" s="18">
        <f>IFERROR(
                  Andel_oberoende_av_klimat*VLOOKUP($A230,Leveranser_per_nät,'Leveranser per nät'!C$1,FALSE)
               +Andel_beroende_av_klimat*VLOOKUP($A230,Leveranser_per_nät,'Leveranser per nät'!C$1,FALSE)/VLOOKUP($B230,Korrigeringsfaktor_EI,'Korrigeringsfaktor EI'!C$1,FALSE),
"")</f>
        <v>0</v>
      </c>
      <c r="D230" s="18">
        <f>IFERROR(
                  Andel_oberoende_av_klimat*VLOOKUP($A230,Leveranser_per_nät,'Leveranser per nät'!D$1,FALSE)
               +Andel_beroende_av_klimat*VLOOKUP($A230,Leveranser_per_nät,'Leveranser per nät'!D$1,FALSE)/VLOOKUP($B230,Korrigeringsfaktor_EI,'Korrigeringsfaktor EI'!D$1,FALSE),
"")</f>
        <v>0</v>
      </c>
      <c r="E230" s="18">
        <f>IFERROR(
                  Andel_oberoende_av_klimat*VLOOKUP($A230,Leveranser_per_nät,'Leveranser per nät'!E$1,FALSE)
               +Andel_beroende_av_klimat*VLOOKUP($A230,Leveranser_per_nät,'Leveranser per nät'!E$1,FALSE)/VLOOKUP($B230,Korrigeringsfaktor_EI,'Korrigeringsfaktor EI'!E$1,FALSE),
"")</f>
        <v>0</v>
      </c>
      <c r="F230" s="18">
        <f>IFERROR(
                  Andel_oberoende_av_klimat*VLOOKUP($A230,Leveranser_per_nät,'Leveranser per nät'!F$1,FALSE)
               +Andel_beroende_av_klimat*VLOOKUP($A230,Leveranser_per_nät,'Leveranser per nät'!F$1,FALSE)/VLOOKUP($B230,Korrigeringsfaktor_EI,'Korrigeringsfaktor EI'!F$1,FALSE),
"")</f>
        <v>0</v>
      </c>
      <c r="G230" s="18">
        <f>IFERROR(
                  Andel_oberoende_av_klimat*VLOOKUP($A230,Leveranser_per_nät,'Leveranser per nät'!G$1,FALSE)
               +Andel_beroende_av_klimat*VLOOKUP($A230,Leveranser_per_nät,'Leveranser per nät'!G$1,FALSE)/VLOOKUP($B230,Korrigeringsfaktor_EI,'Korrigeringsfaktor EI'!G$1,FALSE),
"")</f>
        <v>0</v>
      </c>
      <c r="H230" s="18">
        <f>IFERROR(
                  Andel_oberoende_av_klimat*VLOOKUP($A230,Leveranser_per_nät,'Leveranser per nät'!H$1,FALSE)
               +Andel_beroende_av_klimat*VLOOKUP($A230,Leveranser_per_nät,'Leveranser per nät'!H$1,FALSE)/VLOOKUP($B230,Korrigeringsfaktor_EI,'Korrigeringsfaktor EI'!H$1,FALSE),
"")</f>
        <v>0</v>
      </c>
      <c r="I230" s="18">
        <f>IFERROR(
                  Andel_oberoende_av_klimat*VLOOKUP($A230,Leveranser_per_nät,'Leveranser per nät'!I$1,FALSE)
               +Andel_beroende_av_klimat*VLOOKUP($A230,Leveranser_per_nät,'Leveranser per nät'!I$1,FALSE)/VLOOKUP($B230,Korrigeringsfaktor_EI,'Korrigeringsfaktor EI'!I$1,FALSE),
"")</f>
        <v>0</v>
      </c>
      <c r="J230" s="18">
        <f>IFERROR(
                  Andel_oberoende_av_klimat*VLOOKUP($A230,Leveranser_per_nät,'Leveranser per nät'!J$1,FALSE)
               +Andel_beroende_av_klimat*VLOOKUP($A230,Leveranser_per_nät,'Leveranser per nät'!J$1,FALSE)/VLOOKUP($B230,Korrigeringsfaktor_EI,'Korrigeringsfaktor EI'!J$1,FALSE),
"")</f>
        <v>0</v>
      </c>
      <c r="K230" s="18">
        <f>IFERROR(
                  Andel_oberoende_av_klimat*VLOOKUP($A230,Leveranser_per_nät,'Leveranser per nät'!K$1,FALSE)
               +Andel_beroende_av_klimat*VLOOKUP($A230,Leveranser_per_nät,'Leveranser per nät'!K$1,FALSE)/VLOOKUP($B230,Korrigeringsfaktor_EI,'Korrigeringsfaktor EI'!K$1,FALSE),
"")</f>
        <v>0</v>
      </c>
      <c r="L230" s="18">
        <f>IFERROR(
                  Andel_oberoende_av_klimat*VLOOKUP($A230,Leveranser_per_nät,'Leveranser per nät'!L$1,FALSE)
               +Andel_beroende_av_klimat*VLOOKUP($A230,Leveranser_per_nät,'Leveranser per nät'!L$1,FALSE)/VLOOKUP($B230,Korrigeringsfaktor_EI,'Korrigeringsfaktor EI'!L$1,FALSE),
"")</f>
        <v>14.799545626846253</v>
      </c>
      <c r="M230" s="18">
        <f>IFERROR(
                  Andel_oberoende_av_klimat*VLOOKUP($A230,Leveranser_per_nät,'Leveranser per nät'!M$1,FALSE)
               +Andel_beroende_av_klimat*VLOOKUP($A230,Leveranser_per_nät,'Leveranser per nät'!M$1,FALSE)/VLOOKUP($B230,Korrigeringsfaktor_EI,'Korrigeringsfaktor EI'!M$1,FALSE),
"")</f>
        <v>9.0404860215053748</v>
      </c>
      <c r="N230" s="18">
        <f>IFERROR(
                  Andel_oberoende_av_klimat*VLOOKUP($A230,Leveranser_per_nät,'Leveranser per nät'!N$1,FALSE)
               +Andel_beroende_av_klimat*VLOOKUP($A230,Leveranser_per_nät,'Leveranser per nät'!N$1,FALSE)/VLOOKUP($B230,Korrigeringsfaktor_EI,'Korrigeringsfaktor EI'!N$1,FALSE),
"")</f>
        <v>9.8369230769230764</v>
      </c>
      <c r="O230" s="18">
        <f>IFERROR(
                  Andel_oberoende_av_klimat*VLOOKUP($A230,Leveranser_per_nät,'Leveranser per nät'!O$1,FALSE)
               +Andel_beroende_av_klimat*VLOOKUP($A230,Leveranser_per_nät,'Leveranser per nät'!O$1,FALSE)/VLOOKUP($B230,Korrigeringsfaktor_EI,'Korrigeringsfaktor EI'!O$1,FALSE),
"")</f>
        <v>9.3878461538461533</v>
      </c>
      <c r="P230" s="18">
        <f>IFERROR(
                  Andel_oberoende_av_klimat*VLOOKUP($A230,Leveranser_per_nät,'Leveranser per nät'!P$1,FALSE)
               +Andel_beroende_av_klimat*VLOOKUP($A230,Leveranser_per_nät,'Leveranser per nät'!P$1,FALSE)/VLOOKUP($B230,Korrigeringsfaktor_EI,'Korrigeringsfaktor EI'!P$1,FALSE),
"")</f>
        <v>10.164163157894738</v>
      </c>
      <c r="Q230" s="18">
        <f>IFERROR(
                  Andel_oberoende_av_klimat*VLOOKUP($A230,Leveranser_per_nät,'Leveranser per nät'!Q$1,FALSE)
               +Andel_beroende_av_klimat*VLOOKUP($A230,Leveranser_per_nät,'Leveranser per nät'!Q$1,FALSE)/VLOOKUP($B230,Korrigeringsfaktor_EI,'Korrigeringsfaktor EI'!Q$1,FALSE),
"")</f>
        <v>10.236936936936935</v>
      </c>
      <c r="R230" s="18">
        <f>IFERROR(
                  Andel_oberoende_av_klimat*VLOOKUP($A230,Leveranser_per_nät,'Leveranser per nät'!R$1,FALSE)
               +Andel_beroende_av_klimat*VLOOKUP($A230,Leveranser_per_nät,'Leveranser per nät'!R$1,FALSE)/VLOOKUP($B230,Korrigeringsfaktor_EI,'Korrigeringsfaktor EI'!R$1,FALSE),
"")</f>
        <v>10.044804046799999</v>
      </c>
      <c r="S230" s="18">
        <f>IFERROR(
                  Andel_oberoende_av_klimat*VLOOKUP($A230,Leveranser_per_nät,'Leveranser per nät'!S$1,FALSE)
               +Andel_beroende_av_klimat*VLOOKUP($A230,Leveranser_per_nät,'Leveranser per nät'!S$1,FALSE)/VLOOKUP($B230,Korrigeringsfaktor_EI,'Korrigeringsfaktor EI'!S$1,FALSE),
"")</f>
        <v>10.258405940594059</v>
      </c>
      <c r="T230" s="18">
        <f>IFERROR(
                  Andel_oberoende_av_klimat*VLOOKUP($A230,Leveranser_per_nät,'Leveranser per nät'!T$1,FALSE)
               +Andel_beroende_av_klimat*VLOOKUP($A230,Leveranser_per_nät,'Leveranser per nät'!T$1,FALSE)/VLOOKUP($B230,Korrigeringsfaktor_EI,'Korrigeringsfaktor EI'!T$1,FALSE),
"")</f>
        <v>10.183428571428569</v>
      </c>
      <c r="U230" s="18">
        <f>IFERROR(
                  Andel_oberoende_av_klimat*VLOOKUP($A230,Leveranser_per_nät,'Leveranser per nät'!U$1,FALSE)
               +Andel_beroende_av_klimat*VLOOKUP($A230,Leveranser_per_nät,'Leveranser per nät'!U$1,FALSE)/VLOOKUP($B230,Korrigeringsfaktor_EI,'Korrigeringsfaktor EI'!U$1,FALSE),
"")</f>
        <v>11.045977011494253</v>
      </c>
      <c r="V230" s="18">
        <f>IFERROR(
                  Andel_oberoende_av_klimat*VLOOKUP($A230,Leveranser_per_nät,'Leveranser per nät'!V$1,FALSE)
               +Andel_beroende_av_klimat*VLOOKUP($A230,Leveranser_per_nät,'Leveranser per nät'!V$1,FALSE)/VLOOKUP($B230,Korrigeringsfaktor_EI,'Korrigeringsfaktor EI'!V$1,FALSE),
"")</f>
        <v>10.608695652173914</v>
      </c>
      <c r="W230" s="18">
        <f>IFERROR(
                  Andel_oberoende_av_klimat*VLOOKUP($A230,Leveranser_per_nät,'Leveranser per nät'!W$1,FALSE)
               +Andel_beroende_av_klimat*VLOOKUP($A230,Leveranser_per_nät,'Leveranser per nät'!W$1,FALSE)/VLOOKUP($B230,Korrigeringsfaktor_EI,'Korrigeringsfaktor EI'!W$1,FALSE),
"")</f>
        <v>10.368421052631581</v>
      </c>
      <c r="X230" s="18">
        <f>IFERROR(
                  Andel_oberoende_av_klimat*VLOOKUP($A230,Leveranser_per_nät,'Leveranser per nät'!X$1,FALSE)
               +Andel_beroende_av_klimat*VLOOKUP($A230,Leveranser_per_nät,'Leveranser per nät'!X$1,FALSE)/VLOOKUP($B230,Korrigeringsfaktor_EI,'Korrigeringsfaktor EI'!X$1,FALSE),
"")</f>
        <v>10.446808510638299</v>
      </c>
      <c r="Y230" s="18">
        <f>IFERROR(
                  Andel_oberoende_av_klimat*VLOOKUP($A230,Leveranser_per_nät,'Leveranser per nät'!Y$1,FALSE)
               +Andel_beroende_av_klimat*VLOOKUP($A230,Leveranser_per_nät,'Leveranser per nät'!Y$1,FALSE)/VLOOKUP($B230,Korrigeringsfaktor_EI,'Korrigeringsfaktor EI'!Y$1,FALSE),
"")</f>
        <v>10.647865168539328</v>
      </c>
      <c r="Z230" s="18">
        <f>IFERROR(
                  Andel_oberoende_av_klimat*VLOOKUP($A230,Leveranser_per_nät,'Leveranser per nät'!Z$1,FALSE)
               +Andel_beroende_av_klimat*VLOOKUP($A230,Leveranser_per_nät,'Leveranser per nät'!Z$1,FALSE)/VLOOKUP($B230,Korrigeringsfaktor_EI,'Korrigeringsfaktor EI'!Z$1,FALSE),
"")</f>
        <v>10.935517241379312</v>
      </c>
      <c r="AA230" s="18">
        <f>IFERROR(
                  Andel_oberoende_av_klimat*VLOOKUP($A230,Leveranser_per_nät,'Leveranser per nät'!AA$1,FALSE)
               +Andel_beroende_av_klimat*VLOOKUP($A230,Leveranser_per_nät,'Leveranser per nät'!AA$1,FALSE)/VLOOKUP($B230,Korrigeringsfaktor_EI,'Korrigeringsfaktor EI'!AA$1,FALSE),
"")</f>
        <v>11.013611480201966</v>
      </c>
      <c r="AB230" s="18">
        <f>IFERROR(
                  Andel_oberoende_av_klimat*VLOOKUP($A230,Leveranser_per_nät,'Leveranser per nät'!AB$1,FALSE)
               +Andel_beroende_av_klimat*VLOOKUP($A230,Leveranser_per_nät,'Leveranser per nät'!AB$1,FALSE)/VLOOKUP($B230,Korrigeringsfaktor_EI,'Korrigeringsfaktor EI'!AB$1,FALSE),
"")</f>
        <v>10.884770459081837</v>
      </c>
      <c r="AC230" s="18">
        <f>IFERROR(
                  Andel_oberoende_av_klimat*VLOOKUP($A230,Leveranser_per_nät,'Leveranser per nät'!AC$1,FALSE)
               +Andel_beroende_av_klimat*VLOOKUP($A230,Leveranser_per_nät,'Leveranser per nät'!AC$1,FALSE)/VLOOKUP($B230,Korrigeringsfaktor_EI,'Korrigeringsfaktor EI'!AC$1,FALSE),
"")</f>
        <v>10.599593147751605</v>
      </c>
      <c r="AD230">
        <v>137.1</v>
      </c>
    </row>
    <row r="231" spans="1:30" x14ac:dyDescent="0.25">
      <c r="A231" t="s">
        <v>76</v>
      </c>
      <c r="B231" t="s">
        <v>355</v>
      </c>
      <c r="C231" s="18">
        <f>IFERROR(
                  Andel_oberoende_av_klimat*VLOOKUP($A231,Leveranser_per_nät,'Leveranser per nät'!C$1,FALSE)
               +Andel_beroende_av_klimat*VLOOKUP($A231,Leveranser_per_nät,'Leveranser per nät'!C$1,FALSE)/VLOOKUP($B231,Korrigeringsfaktor_EI,'Korrigeringsfaktor EI'!C$1,FALSE),
"")</f>
        <v>0</v>
      </c>
      <c r="D231" s="18">
        <f>IFERROR(
                  Andel_oberoende_av_klimat*VLOOKUP($A231,Leveranser_per_nät,'Leveranser per nät'!D$1,FALSE)
               +Andel_beroende_av_klimat*VLOOKUP($A231,Leveranser_per_nät,'Leveranser per nät'!D$1,FALSE)/VLOOKUP($B231,Korrigeringsfaktor_EI,'Korrigeringsfaktor EI'!D$1,FALSE),
"")</f>
        <v>0</v>
      </c>
      <c r="E231" s="18">
        <f>IFERROR(
                  Andel_oberoende_av_klimat*VLOOKUP($A231,Leveranser_per_nät,'Leveranser per nät'!E$1,FALSE)
               +Andel_beroende_av_klimat*VLOOKUP($A231,Leveranser_per_nät,'Leveranser per nät'!E$1,FALSE)/VLOOKUP($B231,Korrigeringsfaktor_EI,'Korrigeringsfaktor EI'!E$1,FALSE),
"")</f>
        <v>0</v>
      </c>
      <c r="F231" s="18">
        <f>IFERROR(
                  Andel_oberoende_av_klimat*VLOOKUP($A231,Leveranser_per_nät,'Leveranser per nät'!F$1,FALSE)
               +Andel_beroende_av_klimat*VLOOKUP($A231,Leveranser_per_nät,'Leveranser per nät'!F$1,FALSE)/VLOOKUP($B231,Korrigeringsfaktor_EI,'Korrigeringsfaktor EI'!F$1,FALSE),
"")</f>
        <v>0</v>
      </c>
      <c r="G231" s="18">
        <f>IFERROR(
                  Andel_oberoende_av_klimat*VLOOKUP($A231,Leveranser_per_nät,'Leveranser per nät'!G$1,FALSE)
               +Andel_beroende_av_klimat*VLOOKUP($A231,Leveranser_per_nät,'Leveranser per nät'!G$1,FALSE)/VLOOKUP($B231,Korrigeringsfaktor_EI,'Korrigeringsfaktor EI'!G$1,FALSE),
"")</f>
        <v>0</v>
      </c>
      <c r="H231" s="18">
        <f>IFERROR(
                  Andel_oberoende_av_klimat*VLOOKUP($A231,Leveranser_per_nät,'Leveranser per nät'!H$1,FALSE)
               +Andel_beroende_av_klimat*VLOOKUP($A231,Leveranser_per_nät,'Leveranser per nät'!H$1,FALSE)/VLOOKUP($B231,Korrigeringsfaktor_EI,'Korrigeringsfaktor EI'!H$1,FALSE),
"")</f>
        <v>0</v>
      </c>
      <c r="I231" s="18">
        <f>IFERROR(
                  Andel_oberoende_av_klimat*VLOOKUP($A231,Leveranser_per_nät,'Leveranser per nät'!I$1,FALSE)
               +Andel_beroende_av_klimat*VLOOKUP($A231,Leveranser_per_nät,'Leveranser per nät'!I$1,FALSE)/VLOOKUP($B231,Korrigeringsfaktor_EI,'Korrigeringsfaktor EI'!I$1,FALSE),
"")</f>
        <v>0</v>
      </c>
      <c r="J231" s="18">
        <f>IFERROR(
                  Andel_oberoende_av_klimat*VLOOKUP($A231,Leveranser_per_nät,'Leveranser per nät'!J$1,FALSE)
               +Andel_beroende_av_klimat*VLOOKUP($A231,Leveranser_per_nät,'Leveranser per nät'!J$1,FALSE)/VLOOKUP($B231,Korrigeringsfaktor_EI,'Korrigeringsfaktor EI'!J$1,FALSE),
"")</f>
        <v>0</v>
      </c>
      <c r="K231" s="18">
        <f>IFERROR(
                  Andel_oberoende_av_klimat*VLOOKUP($A231,Leveranser_per_nät,'Leveranser per nät'!K$1,FALSE)
               +Andel_beroende_av_klimat*VLOOKUP($A231,Leveranser_per_nät,'Leveranser per nät'!K$1,FALSE)/VLOOKUP($B231,Korrigeringsfaktor_EI,'Korrigeringsfaktor EI'!K$1,FALSE),
"")</f>
        <v>0</v>
      </c>
      <c r="L231" s="18">
        <f>IFERROR(
                  Andel_oberoende_av_klimat*VLOOKUP($A231,Leveranser_per_nät,'Leveranser per nät'!L$1,FALSE)
               +Andel_beroende_av_klimat*VLOOKUP($A231,Leveranser_per_nät,'Leveranser per nät'!L$1,FALSE)/VLOOKUP($B231,Korrigeringsfaktor_EI,'Korrigeringsfaktor EI'!L$1,FALSE),
"")</f>
        <v>12.916596586472057</v>
      </c>
      <c r="M231" s="18">
        <f>IFERROR(
                  Andel_oberoende_av_klimat*VLOOKUP($A231,Leveranser_per_nät,'Leveranser per nät'!M$1,FALSE)
               +Andel_beroende_av_klimat*VLOOKUP($A231,Leveranser_per_nät,'Leveranser per nät'!M$1,FALSE)/VLOOKUP($B231,Korrigeringsfaktor_EI,'Korrigeringsfaktor EI'!M$1,FALSE),
"")</f>
        <v>9.9997565217391298</v>
      </c>
      <c r="N231" s="18">
        <f>IFERROR(
                  Andel_oberoende_av_klimat*VLOOKUP($A231,Leveranser_per_nät,'Leveranser per nät'!N$1,FALSE)
               +Andel_beroende_av_klimat*VLOOKUP($A231,Leveranser_per_nät,'Leveranser per nät'!N$1,FALSE)/VLOOKUP($B231,Korrigeringsfaktor_EI,'Korrigeringsfaktor EI'!N$1,FALSE),
"")</f>
        <v>12.933333333333334</v>
      </c>
      <c r="O231" s="18">
        <f>IFERROR(
                  Andel_oberoende_av_klimat*VLOOKUP($A231,Leveranser_per_nät,'Leveranser per nät'!O$1,FALSE)
               +Andel_beroende_av_klimat*VLOOKUP($A231,Leveranser_per_nät,'Leveranser per nät'!O$1,FALSE)/VLOOKUP($B231,Korrigeringsfaktor_EI,'Korrigeringsfaktor EI'!O$1,FALSE),
"")</f>
        <v>12.992223076923077</v>
      </c>
      <c r="P231" s="18">
        <f>IFERROR(
                  Andel_oberoende_av_klimat*VLOOKUP($A231,Leveranser_per_nät,'Leveranser per nät'!P$1,FALSE)
               +Andel_beroende_av_klimat*VLOOKUP($A231,Leveranser_per_nät,'Leveranser per nät'!P$1,FALSE)/VLOOKUP($B231,Korrigeringsfaktor_EI,'Korrigeringsfaktor EI'!P$1,FALSE),
"")</f>
        <v>14.119715789473688</v>
      </c>
      <c r="Q231" s="18">
        <f>IFERROR(
                  Andel_oberoende_av_klimat*VLOOKUP($A231,Leveranser_per_nät,'Leveranser per nät'!Q$1,FALSE)
               +Andel_beroende_av_klimat*VLOOKUP($A231,Leveranser_per_nät,'Leveranser per nät'!Q$1,FALSE)/VLOOKUP($B231,Korrigeringsfaktor_EI,'Korrigeringsfaktor EI'!Q$1,FALSE),
"")</f>
        <v>13.95945945945946</v>
      </c>
      <c r="R231" s="18">
        <f>IFERROR(
                  Andel_oberoende_av_klimat*VLOOKUP($A231,Leveranser_per_nät,'Leveranser per nät'!R$1,FALSE)
               +Andel_beroende_av_klimat*VLOOKUP($A231,Leveranser_per_nät,'Leveranser per nät'!R$1,FALSE)/VLOOKUP($B231,Korrigeringsfaktor_EI,'Korrigeringsfaktor EI'!R$1,FALSE),
"")</f>
        <v>14.303155598930768</v>
      </c>
      <c r="S231" s="18">
        <f>IFERROR(
                  Andel_oberoende_av_klimat*VLOOKUP($A231,Leveranser_per_nät,'Leveranser per nät'!S$1,FALSE)
               +Andel_beroende_av_klimat*VLOOKUP($A231,Leveranser_per_nät,'Leveranser per nät'!S$1,FALSE)/VLOOKUP($B231,Korrigeringsfaktor_EI,'Korrigeringsfaktor EI'!S$1,FALSE),
"")</f>
        <v>14.030000000000001</v>
      </c>
      <c r="T231" s="18">
        <f>IFERROR(
                  Andel_oberoende_av_klimat*VLOOKUP($A231,Leveranser_per_nät,'Leveranser per nät'!T$1,FALSE)
               +Andel_beroende_av_klimat*VLOOKUP($A231,Leveranser_per_nät,'Leveranser per nät'!T$1,FALSE)/VLOOKUP($B231,Korrigeringsfaktor_EI,'Korrigeringsfaktor EI'!T$1,FALSE),
"")</f>
        <v>14.037714285714284</v>
      </c>
      <c r="U231" s="18">
        <f>IFERROR(
                  Andel_oberoende_av_klimat*VLOOKUP($A231,Leveranser_per_nät,'Leveranser per nät'!U$1,FALSE)
               +Andel_beroende_av_klimat*VLOOKUP($A231,Leveranser_per_nät,'Leveranser per nät'!U$1,FALSE)/VLOOKUP($B231,Korrigeringsfaktor_EI,'Korrigeringsfaktor EI'!U$1,FALSE),
"")</f>
        <v>15.464367816091954</v>
      </c>
      <c r="V231" s="18">
        <f>IFERROR(
                  Andel_oberoende_av_klimat*VLOOKUP($A231,Leveranser_per_nät,'Leveranser per nät'!V$1,FALSE)
               +Andel_beroende_av_klimat*VLOOKUP($A231,Leveranser_per_nät,'Leveranser per nät'!V$1,FALSE)/VLOOKUP($B231,Korrigeringsfaktor_EI,'Korrigeringsfaktor EI'!V$1,FALSE),
"")</f>
        <v>14.327692307692306</v>
      </c>
      <c r="W231" s="18">
        <f>IFERROR(
                  Andel_oberoende_av_klimat*VLOOKUP($A231,Leveranser_per_nät,'Leveranser per nät'!W$1,FALSE)
               +Andel_beroende_av_klimat*VLOOKUP($A231,Leveranser_per_nät,'Leveranser per nät'!W$1,FALSE)/VLOOKUP($B231,Korrigeringsfaktor_EI,'Korrigeringsfaktor EI'!W$1,FALSE),
"")</f>
        <v>14.619473684210526</v>
      </c>
      <c r="X231" s="18">
        <f>IFERROR(
                  Andel_oberoende_av_klimat*VLOOKUP($A231,Leveranser_per_nät,'Leveranser per nät'!X$1,FALSE)
               +Andel_beroende_av_klimat*VLOOKUP($A231,Leveranser_per_nät,'Leveranser per nät'!X$1,FALSE)/VLOOKUP($B231,Korrigeringsfaktor_EI,'Korrigeringsfaktor EI'!X$1,FALSE),
"")</f>
        <v>14.842903225806451</v>
      </c>
      <c r="Y231" s="18">
        <f>IFERROR(
                  Andel_oberoende_av_klimat*VLOOKUP($A231,Leveranser_per_nät,'Leveranser per nät'!Y$1,FALSE)
               +Andel_beroende_av_klimat*VLOOKUP($A231,Leveranser_per_nät,'Leveranser per nät'!Y$1,FALSE)/VLOOKUP($B231,Korrigeringsfaktor_EI,'Korrigeringsfaktor EI'!Y$1,FALSE),
"")</f>
        <v>15.555454545454545</v>
      </c>
      <c r="Z231" s="18">
        <f>IFERROR(
                  Andel_oberoende_av_klimat*VLOOKUP($A231,Leveranser_per_nät,'Leveranser per nät'!Z$1,FALSE)
               +Andel_beroende_av_klimat*VLOOKUP($A231,Leveranser_per_nät,'Leveranser per nät'!Z$1,FALSE)/VLOOKUP($B231,Korrigeringsfaktor_EI,'Korrigeringsfaktor EI'!Z$1,FALSE),
"")</f>
        <v>14.815581395348838</v>
      </c>
      <c r="AA231" s="18">
        <f>IFERROR(
                  Andel_oberoende_av_klimat*VLOOKUP($A231,Leveranser_per_nät,'Leveranser per nät'!AA$1,FALSE)
               +Andel_beroende_av_klimat*VLOOKUP($A231,Leveranser_per_nät,'Leveranser per nät'!AA$1,FALSE)/VLOOKUP($B231,Korrigeringsfaktor_EI,'Korrigeringsfaktor EI'!AA$1,FALSE),
"")</f>
        <v>13.927140995569456</v>
      </c>
      <c r="AB231" s="18">
        <f>IFERROR(
                  Andel_oberoende_av_klimat*VLOOKUP($A231,Leveranser_per_nät,'Leveranser per nät'!AB$1,FALSE)
               +Andel_beroende_av_klimat*VLOOKUP($A231,Leveranser_per_nät,'Leveranser per nät'!AB$1,FALSE)/VLOOKUP($B231,Korrigeringsfaktor_EI,'Korrigeringsfaktor EI'!AB$1,FALSE),
"")</f>
        <v>13.900000000000002</v>
      </c>
      <c r="AC231" s="18">
        <f>IFERROR(
                  Andel_oberoende_av_klimat*VLOOKUP($A231,Leveranser_per_nät,'Leveranser per nät'!AC$1,FALSE)
               +Andel_beroende_av_klimat*VLOOKUP($A231,Leveranser_per_nät,'Leveranser per nät'!AC$1,FALSE)/VLOOKUP($B231,Korrigeringsfaktor_EI,'Korrigeringsfaktor EI'!AC$1,FALSE),
"")</f>
        <v>13.936581196581198</v>
      </c>
      <c r="AD231">
        <v>141.869</v>
      </c>
    </row>
    <row r="232" spans="1:30" x14ac:dyDescent="0.25">
      <c r="A232" t="s">
        <v>176</v>
      </c>
      <c r="B232" t="s">
        <v>176</v>
      </c>
      <c r="C232" s="18">
        <f>IFERROR(
                  Andel_oberoende_av_klimat*VLOOKUP($A232,Leveranser_per_nät,'Leveranser per nät'!C$1,FALSE)
               +Andel_beroende_av_klimat*VLOOKUP($A232,Leveranser_per_nät,'Leveranser per nät'!C$1,FALSE)/VLOOKUP($B232,Korrigeringsfaktor_EI,'Korrigeringsfaktor EI'!C$1,FALSE),
"")</f>
        <v>254.99279279279278</v>
      </c>
      <c r="D232" s="18">
        <f>IFERROR(
                  Andel_oberoende_av_klimat*VLOOKUP($A232,Leveranser_per_nät,'Leveranser per nät'!D$1,FALSE)
               +Andel_beroende_av_klimat*VLOOKUP($A232,Leveranser_per_nät,'Leveranser per nät'!D$1,FALSE)/VLOOKUP($B232,Korrigeringsfaktor_EI,'Korrigeringsfaktor EI'!D$1,FALSE),
"")</f>
        <v>251.28</v>
      </c>
      <c r="E232" s="18">
        <f>IFERROR(
                  Andel_oberoende_av_klimat*VLOOKUP($A232,Leveranser_per_nät,'Leveranser per nät'!E$1,FALSE)
               +Andel_beroende_av_klimat*VLOOKUP($A232,Leveranser_per_nät,'Leveranser per nät'!E$1,FALSE)/VLOOKUP($B232,Korrigeringsfaktor_EI,'Korrigeringsfaktor EI'!E$1,FALSE),
"")</f>
        <v>244.2950495049505</v>
      </c>
      <c r="F232" s="18">
        <f>IFERROR(
                  Andel_oberoende_av_klimat*VLOOKUP($A232,Leveranser_per_nät,'Leveranser per nät'!F$1,FALSE)
               +Andel_beroende_av_klimat*VLOOKUP($A232,Leveranser_per_nät,'Leveranser per nät'!F$1,FALSE)/VLOOKUP($B232,Korrigeringsfaktor_EI,'Korrigeringsfaktor EI'!F$1,FALSE),
"")</f>
        <v>257.29166666666669</v>
      </c>
      <c r="G232" s="18">
        <f>IFERROR(
                  Andel_oberoende_av_klimat*VLOOKUP($A232,Leveranser_per_nät,'Leveranser per nät'!G$1,FALSE)
               +Andel_beroende_av_klimat*VLOOKUP($A232,Leveranser_per_nät,'Leveranser per nät'!G$1,FALSE)/VLOOKUP($B232,Korrigeringsfaktor_EI,'Korrigeringsfaktor EI'!G$1,FALSE),
"")</f>
        <v>257.58888888888885</v>
      </c>
      <c r="H232" s="18">
        <f>IFERROR(
                  Andel_oberoende_av_klimat*VLOOKUP($A232,Leveranser_per_nät,'Leveranser per nät'!H$1,FALSE)
               +Andel_beroende_av_klimat*VLOOKUP($A232,Leveranser_per_nät,'Leveranser per nät'!H$1,FALSE)/VLOOKUP($B232,Korrigeringsfaktor_EI,'Korrigeringsfaktor EI'!H$1,FALSE),
"")</f>
        <v>267.7714285714286</v>
      </c>
      <c r="I232" s="18">
        <f>IFERROR(
                  Andel_oberoende_av_klimat*VLOOKUP($A232,Leveranser_per_nät,'Leveranser per nät'!I$1,FALSE)
               +Andel_beroende_av_klimat*VLOOKUP($A232,Leveranser_per_nät,'Leveranser per nät'!I$1,FALSE)/VLOOKUP($B232,Korrigeringsfaktor_EI,'Korrigeringsfaktor EI'!I$1,FALSE),
"")</f>
        <v>275.79574468085104</v>
      </c>
      <c r="J232" s="18">
        <f>IFERROR(
                  Andel_oberoende_av_klimat*VLOOKUP($A232,Leveranser_per_nät,'Leveranser per nät'!J$1,FALSE)
               +Andel_beroende_av_klimat*VLOOKUP($A232,Leveranser_per_nät,'Leveranser per nät'!J$1,FALSE)/VLOOKUP($B232,Korrigeringsfaktor_EI,'Korrigeringsfaktor EI'!J$1,FALSE),
"")</f>
        <v>281.99166666666667</v>
      </c>
      <c r="K232" s="18">
        <f>IFERROR(
                  Andel_oberoende_av_klimat*VLOOKUP($A232,Leveranser_per_nät,'Leveranser per nät'!K$1,FALSE)
               +Andel_beroende_av_klimat*VLOOKUP($A232,Leveranser_per_nät,'Leveranser per nät'!K$1,FALSE)/VLOOKUP($B232,Korrigeringsfaktor_EI,'Korrigeringsfaktor EI'!K$1,FALSE),
"")</f>
        <v>275.76056391752576</v>
      </c>
      <c r="L232" s="18">
        <f>IFERROR(
                  Andel_oberoende_av_klimat*VLOOKUP($A232,Leveranser_per_nät,'Leveranser per nät'!L$1,FALSE)
               +Andel_beroende_av_klimat*VLOOKUP($A232,Leveranser_per_nät,'Leveranser per nät'!L$1,FALSE)/VLOOKUP($B232,Korrigeringsfaktor_EI,'Korrigeringsfaktor EI'!L$1,FALSE),
"")</f>
        <v>276.80490638297874</v>
      </c>
      <c r="M232" s="18">
        <f>IFERROR(
                  Andel_oberoende_av_klimat*VLOOKUP($A232,Leveranser_per_nät,'Leveranser per nät'!M$1,FALSE)
               +Andel_beroende_av_klimat*VLOOKUP($A232,Leveranser_per_nät,'Leveranser per nät'!M$1,FALSE)/VLOOKUP($B232,Korrigeringsfaktor_EI,'Korrigeringsfaktor EI'!M$1,FALSE),
"")</f>
        <v>275.95349230769227</v>
      </c>
      <c r="N232" s="18">
        <f>IFERROR(
                  Andel_oberoende_av_klimat*VLOOKUP($A232,Leveranser_per_nät,'Leveranser per nät'!N$1,FALSE)
               +Andel_beroende_av_klimat*VLOOKUP($A232,Leveranser_per_nät,'Leveranser per nät'!N$1,FALSE)/VLOOKUP($B232,Korrigeringsfaktor_EI,'Korrigeringsfaktor EI'!N$1,FALSE),
"")</f>
        <v>280.11816966292133</v>
      </c>
      <c r="O232" s="18">
        <f>IFERROR(
                  Andel_oberoende_av_klimat*VLOOKUP($A232,Leveranser_per_nät,'Leveranser per nät'!O$1,FALSE)
               +Andel_beroende_av_klimat*VLOOKUP($A232,Leveranser_per_nät,'Leveranser per nät'!O$1,FALSE)/VLOOKUP($B232,Korrigeringsfaktor_EI,'Korrigeringsfaktor EI'!O$1,FALSE),
"")</f>
        <v>279.08597865168537</v>
      </c>
      <c r="P232" s="18">
        <f>IFERROR(
                  Andel_oberoende_av_klimat*VLOOKUP($A232,Leveranser_per_nät,'Leveranser per nät'!P$1,FALSE)
               +Andel_beroende_av_klimat*VLOOKUP($A232,Leveranser_per_nät,'Leveranser per nät'!P$1,FALSE)/VLOOKUP($B232,Korrigeringsfaktor_EI,'Korrigeringsfaktor EI'!P$1,FALSE),
"")</f>
        <v>287.43871276595746</v>
      </c>
      <c r="Q232" s="18">
        <f>IFERROR(
                  Andel_oberoende_av_klimat*VLOOKUP($A232,Leveranser_per_nät,'Leveranser per nät'!Q$1,FALSE)
               +Andel_beroende_av_klimat*VLOOKUP($A232,Leveranser_per_nät,'Leveranser per nät'!Q$1,FALSE)/VLOOKUP($B232,Korrigeringsfaktor_EI,'Korrigeringsfaktor EI'!Q$1,FALSE),
"")</f>
        <v>325.94687499999998</v>
      </c>
      <c r="R232" s="18">
        <f>IFERROR(
                  Andel_oberoende_av_klimat*VLOOKUP($A232,Leveranser_per_nät,'Leveranser per nät'!R$1,FALSE)
               +Andel_beroende_av_klimat*VLOOKUP($A232,Leveranser_per_nät,'Leveranser per nät'!R$1,FALSE)/VLOOKUP($B232,Korrigeringsfaktor_EI,'Korrigeringsfaktor EI'!R$1,FALSE),
"")</f>
        <v>286.20170215053764</v>
      </c>
      <c r="S232" s="18">
        <f>IFERROR(
                  Andel_oberoende_av_klimat*VLOOKUP($A232,Leveranser_per_nät,'Leveranser per nät'!S$1,FALSE)
               +Andel_beroende_av_klimat*VLOOKUP($A232,Leveranser_per_nät,'Leveranser per nät'!S$1,FALSE)/VLOOKUP($B232,Korrigeringsfaktor_EI,'Korrigeringsfaktor EI'!S$1,FALSE),
"")</f>
        <v>278.70490099009902</v>
      </c>
      <c r="T232" s="18">
        <f>IFERROR(
                  Andel_oberoende_av_klimat*VLOOKUP($A232,Leveranser_per_nät,'Leveranser per nät'!T$1,FALSE)
               +Andel_beroende_av_klimat*VLOOKUP($A232,Leveranser_per_nät,'Leveranser per nät'!T$1,FALSE)/VLOOKUP($B232,Korrigeringsfaktor_EI,'Korrigeringsfaktor EI'!T$1,FALSE),
"")</f>
        <v>274.5428</v>
      </c>
      <c r="U232" s="18">
        <f>IFERROR(
                  Andel_oberoende_av_klimat*VLOOKUP($A232,Leveranser_per_nät,'Leveranser per nät'!U$1,FALSE)
               +Andel_beroende_av_klimat*VLOOKUP($A232,Leveranser_per_nät,'Leveranser per nät'!U$1,FALSE)/VLOOKUP($B232,Korrigeringsfaktor_EI,'Korrigeringsfaktor EI'!U$1,FALSE),
"")</f>
        <v>233.91240930232559</v>
      </c>
      <c r="V232" s="18">
        <f>IFERROR(
                  Andel_oberoende_av_klimat*VLOOKUP($A232,Leveranser_per_nät,'Leveranser per nät'!V$1,FALSE)
               +Andel_beroende_av_klimat*VLOOKUP($A232,Leveranser_per_nät,'Leveranser per nät'!V$1,FALSE)/VLOOKUP($B232,Korrigeringsfaktor_EI,'Korrigeringsfaktor EI'!V$1,FALSE),
"")</f>
        <v>261.32000000000005</v>
      </c>
      <c r="W232" s="18">
        <f>IFERROR(
                  Andel_oberoende_av_klimat*VLOOKUP($A232,Leveranser_per_nät,'Leveranser per nät'!W$1,FALSE)
               +Andel_beroende_av_klimat*VLOOKUP($A232,Leveranser_per_nät,'Leveranser per nät'!W$1,FALSE)/VLOOKUP($B232,Korrigeringsfaktor_EI,'Korrigeringsfaktor EI'!W$1,FALSE),
"")</f>
        <v>268.84238260869563</v>
      </c>
      <c r="X232" s="18">
        <f>IFERROR(
                  Andel_oberoende_av_klimat*VLOOKUP($A232,Leveranser_per_nät,'Leveranser per nät'!X$1,FALSE)
               +Andel_beroende_av_klimat*VLOOKUP($A232,Leveranser_per_nät,'Leveranser per nät'!X$1,FALSE)/VLOOKUP($B232,Korrigeringsfaktor_EI,'Korrigeringsfaktor EI'!X$1,FALSE),
"")</f>
        <v>287.14556521739132</v>
      </c>
      <c r="Y232" s="18">
        <f>IFERROR(
                  Andel_oberoende_av_klimat*VLOOKUP($A232,Leveranser_per_nät,'Leveranser per nät'!Y$1,FALSE)
               +Andel_beroende_av_klimat*VLOOKUP($A232,Leveranser_per_nät,'Leveranser per nät'!Y$1,FALSE)/VLOOKUP($B232,Korrigeringsfaktor_EI,'Korrigeringsfaktor EI'!Y$1,FALSE),
"")</f>
        <v>243.73863636363637</v>
      </c>
      <c r="Z232" s="18">
        <f>IFERROR(
                  Andel_oberoende_av_klimat*VLOOKUP($A232,Leveranser_per_nät,'Leveranser per nät'!Z$1,FALSE)
               +Andel_beroende_av_klimat*VLOOKUP($A232,Leveranser_per_nät,'Leveranser per nät'!Z$1,FALSE)/VLOOKUP($B232,Korrigeringsfaktor_EI,'Korrigeringsfaktor EI'!Z$1,FALSE),
"")</f>
        <v>220.88588235294117</v>
      </c>
      <c r="AA232" s="18">
        <f>IFERROR(
                  Andel_oberoende_av_klimat*VLOOKUP($A232,Leveranser_per_nät,'Leveranser per nät'!AA$1,FALSE)
               +Andel_beroende_av_klimat*VLOOKUP($A232,Leveranser_per_nät,'Leveranser per nät'!AA$1,FALSE)/VLOOKUP($B232,Korrigeringsfaktor_EI,'Korrigeringsfaktor EI'!AA$1,FALSE),
"")</f>
        <v>342.81027985074621</v>
      </c>
      <c r="AB232" s="18">
        <f>IFERROR(
                  Andel_oberoende_av_klimat*VLOOKUP($A232,Leveranser_per_nät,'Leveranser per nät'!AB$1,FALSE)
               +Andel_beroende_av_klimat*VLOOKUP($A232,Leveranser_per_nät,'Leveranser per nät'!AB$1,FALSE)/VLOOKUP($B232,Korrigeringsfaktor_EI,'Korrigeringsfaktor EI'!AB$1,FALSE),
"")</f>
        <v>280.55982828282833</v>
      </c>
      <c r="AC232" s="18">
        <f>IFERROR(
                  Andel_oberoende_av_klimat*VLOOKUP($A232,Leveranser_per_nät,'Leveranser per nät'!AC$1,FALSE)
               +Andel_beroende_av_klimat*VLOOKUP($A232,Leveranser_per_nät,'Leveranser per nät'!AC$1,FALSE)/VLOOKUP($B232,Korrigeringsfaktor_EI,'Korrigeringsfaktor EI'!AC$1,FALSE),
"")</f>
        <v>295.03613939393938</v>
      </c>
      <c r="AD232">
        <v>310.774</v>
      </c>
    </row>
    <row r="233" spans="1:30" x14ac:dyDescent="0.25">
      <c r="A233" t="s">
        <v>83</v>
      </c>
      <c r="B233" t="s">
        <v>510</v>
      </c>
      <c r="C233" s="18">
        <f>IFERROR(
                  Andel_oberoende_av_klimat*VLOOKUP($A233,Leveranser_per_nät,'Leveranser per nät'!C$1,FALSE)
               +Andel_beroende_av_klimat*VLOOKUP($A233,Leveranser_per_nät,'Leveranser per nät'!C$1,FALSE)/VLOOKUP($B233,Korrigeringsfaktor_EI,'Korrigeringsfaktor EI'!C$1,FALSE),
"")</f>
        <v>0</v>
      </c>
      <c r="D233" s="18">
        <f>IFERROR(
                  Andel_oberoende_av_klimat*VLOOKUP($A233,Leveranser_per_nät,'Leveranser per nät'!D$1,FALSE)
               +Andel_beroende_av_klimat*VLOOKUP($A233,Leveranser_per_nät,'Leveranser per nät'!D$1,FALSE)/VLOOKUP($B233,Korrigeringsfaktor_EI,'Korrigeringsfaktor EI'!D$1,FALSE),
"")</f>
        <v>0</v>
      </c>
      <c r="E233" s="18">
        <f>IFERROR(
                  Andel_oberoende_av_klimat*VLOOKUP($A233,Leveranser_per_nät,'Leveranser per nät'!E$1,FALSE)
               +Andel_beroende_av_klimat*VLOOKUP($A233,Leveranser_per_nät,'Leveranser per nät'!E$1,FALSE)/VLOOKUP($B233,Korrigeringsfaktor_EI,'Korrigeringsfaktor EI'!E$1,FALSE),
"")</f>
        <v>0</v>
      </c>
      <c r="F233" s="18">
        <f>IFERROR(
                  Andel_oberoende_av_klimat*VLOOKUP($A233,Leveranser_per_nät,'Leveranser per nät'!F$1,FALSE)
               +Andel_beroende_av_klimat*VLOOKUP($A233,Leveranser_per_nät,'Leveranser per nät'!F$1,FALSE)/VLOOKUP($B233,Korrigeringsfaktor_EI,'Korrigeringsfaktor EI'!F$1,FALSE),
"")</f>
        <v>0</v>
      </c>
      <c r="G233" s="18">
        <f>IFERROR(
                  Andel_oberoende_av_klimat*VLOOKUP($A233,Leveranser_per_nät,'Leveranser per nät'!G$1,FALSE)
               +Andel_beroende_av_klimat*VLOOKUP($A233,Leveranser_per_nät,'Leveranser per nät'!G$1,FALSE)/VLOOKUP($B233,Korrigeringsfaktor_EI,'Korrigeringsfaktor EI'!G$1,FALSE),
"")</f>
        <v>0</v>
      </c>
      <c r="H233" s="18">
        <f>IFERROR(
                  Andel_oberoende_av_klimat*VLOOKUP($A233,Leveranser_per_nät,'Leveranser per nät'!H$1,FALSE)
               +Andel_beroende_av_klimat*VLOOKUP($A233,Leveranser_per_nät,'Leveranser per nät'!H$1,FALSE)/VLOOKUP($B233,Korrigeringsfaktor_EI,'Korrigeringsfaktor EI'!H$1,FALSE),
"")</f>
        <v>0</v>
      </c>
      <c r="I233" s="18">
        <f>IFERROR(
                  Andel_oberoende_av_klimat*VLOOKUP($A233,Leveranser_per_nät,'Leveranser per nät'!I$1,FALSE)
               +Andel_beroende_av_klimat*VLOOKUP($A233,Leveranser_per_nät,'Leveranser per nät'!I$1,FALSE)/VLOOKUP($B233,Korrigeringsfaktor_EI,'Korrigeringsfaktor EI'!I$1,FALSE),
"")</f>
        <v>0</v>
      </c>
      <c r="J233" s="18">
        <f>IFERROR(
                  Andel_oberoende_av_klimat*VLOOKUP($A233,Leveranser_per_nät,'Leveranser per nät'!J$1,FALSE)
               +Andel_beroende_av_klimat*VLOOKUP($A233,Leveranser_per_nät,'Leveranser per nät'!J$1,FALSE)/VLOOKUP($B233,Korrigeringsfaktor_EI,'Korrigeringsfaktor EI'!J$1,FALSE),
"")</f>
        <v>0</v>
      </c>
      <c r="K233" s="18">
        <f>IFERROR(
                  Andel_oberoende_av_klimat*VLOOKUP($A233,Leveranser_per_nät,'Leveranser per nät'!K$1,FALSE)
               +Andel_beroende_av_klimat*VLOOKUP($A233,Leveranser_per_nät,'Leveranser per nät'!K$1,FALSE)/VLOOKUP($B233,Korrigeringsfaktor_EI,'Korrigeringsfaktor EI'!K$1,FALSE),
"")</f>
        <v>0</v>
      </c>
      <c r="L233" s="18">
        <f>IFERROR(
                  Andel_oberoende_av_klimat*VLOOKUP($A233,Leveranser_per_nät,'Leveranser per nät'!L$1,FALSE)
               +Andel_beroende_av_klimat*VLOOKUP($A233,Leveranser_per_nät,'Leveranser per nät'!L$1,FALSE)/VLOOKUP($B233,Korrigeringsfaktor_EI,'Korrigeringsfaktor EI'!L$1,FALSE),
"")</f>
        <v>19.752938860756803</v>
      </c>
      <c r="M233" s="18">
        <f>IFERROR(
                  Andel_oberoende_av_klimat*VLOOKUP($A233,Leveranser_per_nät,'Leveranser per nät'!M$1,FALSE)
               +Andel_beroende_av_klimat*VLOOKUP($A233,Leveranser_per_nät,'Leveranser per nät'!M$1,FALSE)/VLOOKUP($B233,Korrigeringsfaktor_EI,'Korrigeringsfaktor EI'!M$1,FALSE),
"")</f>
        <v>13.335130434782609</v>
      </c>
      <c r="N233" s="18">
        <f>IFERROR(
                  Andel_oberoende_av_klimat*VLOOKUP($A233,Leveranser_per_nät,'Leveranser per nät'!N$1,FALSE)
               +Andel_beroende_av_klimat*VLOOKUP($A233,Leveranser_per_nät,'Leveranser per nät'!N$1,FALSE)/VLOOKUP($B233,Korrigeringsfaktor_EI,'Korrigeringsfaktor EI'!N$1,FALSE),
"")</f>
        <v>13.440230769230769</v>
      </c>
      <c r="O233" s="18">
        <f>IFERROR(
                  Andel_oberoende_av_klimat*VLOOKUP($A233,Leveranser_per_nät,'Leveranser per nät'!O$1,FALSE)
               +Andel_beroende_av_klimat*VLOOKUP($A233,Leveranser_per_nät,'Leveranser per nät'!O$1,FALSE)/VLOOKUP($B233,Korrigeringsfaktor_EI,'Korrigeringsfaktor EI'!O$1,FALSE),
"")</f>
        <v>14.5672</v>
      </c>
      <c r="P233" s="18">
        <f>IFERROR(
                  Andel_oberoende_av_klimat*VLOOKUP($A233,Leveranser_per_nät,'Leveranser per nät'!P$1,FALSE)
               +Andel_beroende_av_klimat*VLOOKUP($A233,Leveranser_per_nät,'Leveranser per nät'!P$1,FALSE)/VLOOKUP($B233,Korrigeringsfaktor_EI,'Korrigeringsfaktor EI'!P$1,FALSE),
"")</f>
        <v>14.247923711340206</v>
      </c>
      <c r="Q233" s="18">
        <f>IFERROR(
                  Andel_oberoende_av_klimat*VLOOKUP($A233,Leveranser_per_nät,'Leveranser per nät'!Q$1,FALSE)
               +Andel_beroende_av_klimat*VLOOKUP($A233,Leveranser_per_nät,'Leveranser per nät'!Q$1,FALSE)/VLOOKUP($B233,Korrigeringsfaktor_EI,'Korrigeringsfaktor EI'!Q$1,FALSE),
"")</f>
        <v>14.455172413793104</v>
      </c>
      <c r="R233" s="18">
        <f>IFERROR(
                  Andel_oberoende_av_klimat*VLOOKUP($A233,Leveranser_per_nät,'Leveranser per nät'!R$1,FALSE)
               +Andel_beroende_av_klimat*VLOOKUP($A233,Leveranser_per_nät,'Leveranser per nät'!R$1,FALSE)/VLOOKUP($B233,Korrigeringsfaktor_EI,'Korrigeringsfaktor EI'!R$1,FALSE),
"")</f>
        <v>14.773795570297874</v>
      </c>
      <c r="S233" s="18">
        <f>IFERROR(
                  Andel_oberoende_av_klimat*VLOOKUP($A233,Leveranser_per_nät,'Leveranser per nät'!S$1,FALSE)
               +Andel_beroende_av_klimat*VLOOKUP($A233,Leveranser_per_nät,'Leveranser per nät'!S$1,FALSE)/VLOOKUP($B233,Korrigeringsfaktor_EI,'Korrigeringsfaktor EI'!S$1,FALSE),
"")</f>
        <v>14.695490196078431</v>
      </c>
      <c r="T233" s="18">
        <f>IFERROR(
                  Andel_oberoende_av_klimat*VLOOKUP($A233,Leveranser_per_nät,'Leveranser per nät'!T$1,FALSE)
               +Andel_beroende_av_klimat*VLOOKUP($A233,Leveranser_per_nät,'Leveranser per nät'!T$1,FALSE)/VLOOKUP($B233,Korrigeringsfaktor_EI,'Korrigeringsfaktor EI'!T$1,FALSE),
"")</f>
        <v>15.659949494949496</v>
      </c>
      <c r="U233" s="18">
        <f>IFERROR(
                  Andel_oberoende_av_klimat*VLOOKUP($A233,Leveranser_per_nät,'Leveranser per nät'!U$1,FALSE)
               +Andel_beroende_av_klimat*VLOOKUP($A233,Leveranser_per_nät,'Leveranser per nät'!U$1,FALSE)/VLOOKUP($B233,Korrigeringsfaktor_EI,'Korrigeringsfaktor EI'!U$1,FALSE),
"")</f>
        <v>19.882758620689657</v>
      </c>
      <c r="V233" s="18">
        <f>IFERROR(
                  Andel_oberoende_av_klimat*VLOOKUP($A233,Leveranser_per_nät,'Leveranser per nät'!V$1,FALSE)
               +Andel_beroende_av_klimat*VLOOKUP($A233,Leveranser_per_nät,'Leveranser per nät'!V$1,FALSE)/VLOOKUP($B233,Korrigeringsfaktor_EI,'Korrigeringsfaktor EI'!V$1,FALSE),
"")</f>
        <v>15.488695652173913</v>
      </c>
      <c r="W233" s="18">
        <f>IFERROR(
                  Andel_oberoende_av_klimat*VLOOKUP($A233,Leveranser_per_nät,'Leveranser per nät'!W$1,FALSE)
               +Andel_beroende_av_klimat*VLOOKUP($A233,Leveranser_per_nät,'Leveranser per nät'!W$1,FALSE)/VLOOKUP($B233,Korrigeringsfaktor_EI,'Korrigeringsfaktor EI'!W$1,FALSE),
"")</f>
        <v>16.08808510638298</v>
      </c>
      <c r="X233" s="18">
        <f>IFERROR(
                  Andel_oberoende_av_klimat*VLOOKUP($A233,Leveranser_per_nät,'Leveranser per nät'!X$1,FALSE)
               +Andel_beroende_av_klimat*VLOOKUP($A233,Leveranser_per_nät,'Leveranser per nät'!X$1,FALSE)/VLOOKUP($B233,Korrigeringsfaktor_EI,'Korrigeringsfaktor EI'!X$1,FALSE),
"")</f>
        <v>16.125217391304346</v>
      </c>
      <c r="Y233" s="18">
        <f>IFERROR(
                  Andel_oberoende_av_klimat*VLOOKUP($A233,Leveranser_per_nät,'Leveranser per nät'!Y$1,FALSE)
               +Andel_beroende_av_klimat*VLOOKUP($A233,Leveranser_per_nät,'Leveranser per nät'!Y$1,FALSE)/VLOOKUP($B233,Korrigeringsfaktor_EI,'Korrigeringsfaktor EI'!Y$1,FALSE),
"")</f>
        <v>16.597777777777779</v>
      </c>
      <c r="Z233" s="18">
        <f>IFERROR(
                  Andel_oberoende_av_klimat*VLOOKUP($A233,Leveranser_per_nät,'Leveranser per nät'!Z$1,FALSE)
               +Andel_beroende_av_klimat*VLOOKUP($A233,Leveranser_per_nät,'Leveranser per nät'!Z$1,FALSE)/VLOOKUP($B233,Korrigeringsfaktor_EI,'Korrigeringsfaktor EI'!Z$1,FALSE),
"")</f>
        <v>16.568965517241381</v>
      </c>
      <c r="AA233" s="18">
        <f>IFERROR(
                  Andel_oberoende_av_klimat*VLOOKUP($A233,Leveranser_per_nät,'Leveranser per nät'!AA$1,FALSE)
               +Andel_beroende_av_klimat*VLOOKUP($A233,Leveranser_per_nät,'Leveranser per nät'!AA$1,FALSE)/VLOOKUP($B233,Korrigeringsfaktor_EI,'Korrigeringsfaktor EI'!AA$1,FALSE),
"")</f>
        <v>16.532488540760085</v>
      </c>
      <c r="AB233" s="18">
        <f>IFERROR(
                  Andel_oberoende_av_klimat*VLOOKUP($A233,Leveranser_per_nät,'Leveranser per nät'!AB$1,FALSE)
               +Andel_beroende_av_klimat*VLOOKUP($A233,Leveranser_per_nät,'Leveranser per nät'!AB$1,FALSE)/VLOOKUP($B233,Korrigeringsfaktor_EI,'Korrigeringsfaktor EI'!AB$1,FALSE),
"")</f>
        <v>16.476012871287132</v>
      </c>
      <c r="AC233" s="18">
        <f>IFERROR(
                  Andel_oberoende_av_klimat*VLOOKUP($A233,Leveranser_per_nät,'Leveranser per nät'!AC$1,FALSE)
               +Andel_beroende_av_klimat*VLOOKUP($A233,Leveranser_per_nät,'Leveranser per nät'!AC$1,FALSE)/VLOOKUP($B233,Korrigeringsfaktor_EI,'Korrigeringsfaktor EI'!AC$1,FALSE),
"")</f>
        <v>15.793165217391305</v>
      </c>
      <c r="AD233">
        <v>3143.35</v>
      </c>
    </row>
    <row r="234" spans="1:30" x14ac:dyDescent="0.25">
      <c r="A234" t="s">
        <v>184</v>
      </c>
      <c r="B234" t="s">
        <v>184</v>
      </c>
      <c r="C234" s="18">
        <f>IFERROR(
                  Andel_oberoende_av_klimat*VLOOKUP($A234,Leveranser_per_nät,'Leveranser per nät'!C$1,FALSE)
               +Andel_beroende_av_klimat*VLOOKUP($A234,Leveranser_per_nät,'Leveranser per nät'!C$1,FALSE)/VLOOKUP($B234,Korrigeringsfaktor_EI,'Korrigeringsfaktor EI'!C$1,FALSE),
"")</f>
        <v>29.027272727272727</v>
      </c>
      <c r="D234" s="18">
        <f>IFERROR(
                  Andel_oberoende_av_klimat*VLOOKUP($A234,Leveranser_per_nät,'Leveranser per nät'!D$1,FALSE)
               +Andel_beroende_av_klimat*VLOOKUP($A234,Leveranser_per_nät,'Leveranser per nät'!D$1,FALSE)/VLOOKUP($B234,Korrigeringsfaktor_EI,'Korrigeringsfaktor EI'!D$1,FALSE),
"")</f>
        <v>30.252404040404041</v>
      </c>
      <c r="E234" s="18">
        <f>IFERROR(
                  Andel_oberoende_av_klimat*VLOOKUP($A234,Leveranser_per_nät,'Leveranser per nät'!E$1,FALSE)
               +Andel_beroende_av_klimat*VLOOKUP($A234,Leveranser_per_nät,'Leveranser per nät'!E$1,FALSE)/VLOOKUP($B234,Korrigeringsfaktor_EI,'Korrigeringsfaktor EI'!E$1,FALSE),
"")</f>
        <v>31.138461538461538</v>
      </c>
      <c r="F234" s="18">
        <f>IFERROR(
                  Andel_oberoende_av_klimat*VLOOKUP($A234,Leveranser_per_nät,'Leveranser per nät'!F$1,FALSE)
               +Andel_beroende_av_klimat*VLOOKUP($A234,Leveranser_per_nät,'Leveranser per nät'!F$1,FALSE)/VLOOKUP($B234,Korrigeringsfaktor_EI,'Korrigeringsfaktor EI'!F$1,FALSE),
"")</f>
        <v>31.671134020618556</v>
      </c>
      <c r="G234" s="18">
        <f>IFERROR(
                  Andel_oberoende_av_klimat*VLOOKUP($A234,Leveranser_per_nät,'Leveranser per nät'!G$1,FALSE)
               +Andel_beroende_av_klimat*VLOOKUP($A234,Leveranser_per_nät,'Leveranser per nät'!G$1,FALSE)/VLOOKUP($B234,Korrigeringsfaktor_EI,'Korrigeringsfaktor EI'!G$1,FALSE),
"")</f>
        <v>32.333333333333336</v>
      </c>
      <c r="H234" s="18">
        <f>IFERROR(
                  Andel_oberoende_av_klimat*VLOOKUP($A234,Leveranser_per_nät,'Leveranser per nät'!H$1,FALSE)
               +Andel_beroende_av_klimat*VLOOKUP($A234,Leveranser_per_nät,'Leveranser per nät'!H$1,FALSE)/VLOOKUP($B234,Korrigeringsfaktor_EI,'Korrigeringsfaktor EI'!H$1,FALSE),
"")</f>
        <v>33.533333333333331</v>
      </c>
      <c r="I234" s="18">
        <f>IFERROR(
                  Andel_oberoende_av_klimat*VLOOKUP($A234,Leveranser_per_nät,'Leveranser per nät'!I$1,FALSE)
               +Andel_beroende_av_klimat*VLOOKUP($A234,Leveranser_per_nät,'Leveranser per nät'!I$1,FALSE)/VLOOKUP($B234,Korrigeringsfaktor_EI,'Korrigeringsfaktor EI'!I$1,FALSE),
"")</f>
        <v>33.962500000000006</v>
      </c>
      <c r="J234" s="18">
        <f>IFERROR(
                  Andel_oberoende_av_klimat*VLOOKUP($A234,Leveranser_per_nät,'Leveranser per nät'!J$1,FALSE)
               +Andel_beroende_av_klimat*VLOOKUP($A234,Leveranser_per_nät,'Leveranser per nät'!J$1,FALSE)/VLOOKUP($B234,Korrigeringsfaktor_EI,'Korrigeringsfaktor EI'!J$1,FALSE),
"")</f>
        <v>34.459342857142857</v>
      </c>
      <c r="K234" s="18">
        <f>IFERROR(
                  Andel_oberoende_av_klimat*VLOOKUP($A234,Leveranser_per_nät,'Leveranser per nät'!K$1,FALSE)
               +Andel_beroende_av_klimat*VLOOKUP($A234,Leveranser_per_nät,'Leveranser per nät'!K$1,FALSE)/VLOOKUP($B234,Korrigeringsfaktor_EI,'Korrigeringsfaktor EI'!K$1,FALSE),
"")</f>
        <v>33.953498969072172</v>
      </c>
      <c r="L234" s="18">
        <f>IFERROR(
                  Andel_oberoende_av_klimat*VLOOKUP($A234,Leveranser_per_nät,'Leveranser per nät'!L$1,FALSE)
               +Andel_beroende_av_klimat*VLOOKUP($A234,Leveranser_per_nät,'Leveranser per nät'!L$1,FALSE)/VLOOKUP($B234,Korrigeringsfaktor_EI,'Korrigeringsfaktor EI'!L$1,FALSE),
"")</f>
        <v>32.775870833333336</v>
      </c>
      <c r="M234" s="18">
        <f>IFERROR(
                  Andel_oberoende_av_klimat*VLOOKUP($A234,Leveranser_per_nät,'Leveranser per nät'!M$1,FALSE)
               +Andel_beroende_av_klimat*VLOOKUP($A234,Leveranser_per_nät,'Leveranser per nät'!M$1,FALSE)/VLOOKUP($B234,Korrigeringsfaktor_EI,'Korrigeringsfaktor EI'!M$1,FALSE),
"")</f>
        <v>32.039617204301074</v>
      </c>
      <c r="N234" s="18">
        <f>IFERROR(
                  Andel_oberoende_av_klimat*VLOOKUP($A234,Leveranser_per_nät,'Leveranser per nät'!N$1,FALSE)
               +Andel_beroende_av_klimat*VLOOKUP($A234,Leveranser_per_nät,'Leveranser per nät'!N$1,FALSE)/VLOOKUP($B234,Korrigeringsfaktor_EI,'Korrigeringsfaktor EI'!N$1,FALSE),
"")</f>
        <v>32.214363440860211</v>
      </c>
      <c r="O234" s="18">
        <f>IFERROR(
                  Andel_oberoende_av_klimat*VLOOKUP($A234,Leveranser_per_nät,'Leveranser per nät'!O$1,FALSE)
               +Andel_beroende_av_klimat*VLOOKUP($A234,Leveranser_per_nät,'Leveranser per nät'!O$1,FALSE)/VLOOKUP($B234,Korrigeringsfaktor_EI,'Korrigeringsfaktor EI'!O$1,FALSE),
"")</f>
        <v>32.018104347826082</v>
      </c>
      <c r="P234" s="18">
        <f>IFERROR(
                  Andel_oberoende_av_klimat*VLOOKUP($A234,Leveranser_per_nät,'Leveranser per nät'!P$1,FALSE)
               +Andel_beroende_av_klimat*VLOOKUP($A234,Leveranser_per_nät,'Leveranser per nät'!P$1,FALSE)/VLOOKUP($B234,Korrigeringsfaktor_EI,'Korrigeringsfaktor EI'!P$1,FALSE),
"")</f>
        <v>32.263690721649482</v>
      </c>
      <c r="Q234" s="18">
        <f>IFERROR(
                  Andel_oberoende_av_klimat*VLOOKUP($A234,Leveranser_per_nät,'Leveranser per nät'!Q$1,FALSE)
               +Andel_beroende_av_klimat*VLOOKUP($A234,Leveranser_per_nät,'Leveranser per nät'!Q$1,FALSE)/VLOOKUP($B234,Korrigeringsfaktor_EI,'Korrigeringsfaktor EI'!Q$1,FALSE),
"")</f>
        <v>33.397014035087722</v>
      </c>
      <c r="R234" s="18">
        <f>IFERROR(
                  Andel_oberoende_av_klimat*VLOOKUP($A234,Leveranser_per_nät,'Leveranser per nät'!R$1,FALSE)
               +Andel_beroende_av_klimat*VLOOKUP($A234,Leveranser_per_nät,'Leveranser per nät'!R$1,FALSE)/VLOOKUP($B234,Korrigeringsfaktor_EI,'Korrigeringsfaktor EI'!R$1,FALSE),
"")</f>
        <v>30.985878260869562</v>
      </c>
      <c r="S234" s="18">
        <f>IFERROR(
                  Andel_oberoende_av_klimat*VLOOKUP($A234,Leveranser_per_nät,'Leveranser per nät'!S$1,FALSE)
               +Andel_beroende_av_klimat*VLOOKUP($A234,Leveranser_per_nät,'Leveranser per nät'!S$1,FALSE)/VLOOKUP($B234,Korrigeringsfaktor_EI,'Korrigeringsfaktor EI'!S$1,FALSE),
"")</f>
        <v>29.792079207920793</v>
      </c>
      <c r="T234" s="18">
        <f>IFERROR(
                  Andel_oberoende_av_klimat*VLOOKUP($A234,Leveranser_per_nät,'Leveranser per nät'!T$1,FALSE)
               +Andel_beroende_av_klimat*VLOOKUP($A234,Leveranser_per_nät,'Leveranser per nät'!T$1,FALSE)/VLOOKUP($B234,Korrigeringsfaktor_EI,'Korrigeringsfaktor EI'!T$1,FALSE),
"")</f>
        <v>30.725770833333335</v>
      </c>
      <c r="U234" s="18">
        <f>IFERROR(
                  Andel_oberoende_av_klimat*VLOOKUP($A234,Leveranser_per_nät,'Leveranser per nät'!U$1,FALSE)
               +Andel_beroende_av_klimat*VLOOKUP($A234,Leveranser_per_nät,'Leveranser per nät'!U$1,FALSE)/VLOOKUP($B234,Korrigeringsfaktor_EI,'Korrigeringsfaktor EI'!U$1,FALSE),
"")</f>
        <v>29.559133333333328</v>
      </c>
      <c r="V234" s="18">
        <f>IFERROR(
                  Andel_oberoende_av_klimat*VLOOKUP($A234,Leveranser_per_nät,'Leveranser per nät'!V$1,FALSE)
               +Andel_beroende_av_klimat*VLOOKUP($A234,Leveranser_per_nät,'Leveranser per nät'!V$1,FALSE)/VLOOKUP($B234,Korrigeringsfaktor_EI,'Korrigeringsfaktor EI'!V$1,FALSE),
"")</f>
        <v>29.1205</v>
      </c>
      <c r="W234" s="18">
        <f>IFERROR(
                  Andel_oberoende_av_klimat*VLOOKUP($A234,Leveranser_per_nät,'Leveranser per nät'!W$1,FALSE)
               +Andel_beroende_av_klimat*VLOOKUP($A234,Leveranser_per_nät,'Leveranser per nät'!W$1,FALSE)/VLOOKUP($B234,Korrigeringsfaktor_EI,'Korrigeringsfaktor EI'!W$1,FALSE),
"")</f>
        <v>31.006127659574474</v>
      </c>
      <c r="X234" s="18">
        <f>IFERROR(
                  Andel_oberoende_av_klimat*VLOOKUP($A234,Leveranser_per_nät,'Leveranser per nät'!X$1,FALSE)
               +Andel_beroende_av_klimat*VLOOKUP($A234,Leveranser_per_nät,'Leveranser per nät'!X$1,FALSE)/VLOOKUP($B234,Korrigeringsfaktor_EI,'Korrigeringsfaktor EI'!X$1,FALSE),
"")</f>
        <v>31.706967741935483</v>
      </c>
      <c r="Y234" s="18">
        <f>IFERROR(
                  Andel_oberoende_av_klimat*VLOOKUP($A234,Leveranser_per_nät,'Leveranser per nät'!Y$1,FALSE)
               +Andel_beroende_av_klimat*VLOOKUP($A234,Leveranser_per_nät,'Leveranser per nät'!Y$1,FALSE)/VLOOKUP($B234,Korrigeringsfaktor_EI,'Korrigeringsfaktor EI'!Y$1,FALSE),
"")</f>
        <v>31.725146153846147</v>
      </c>
      <c r="Z234" s="18">
        <f>IFERROR(
                  Andel_oberoende_av_klimat*VLOOKUP($A234,Leveranser_per_nät,'Leveranser per nät'!Z$1,FALSE)
               +Andel_beroende_av_klimat*VLOOKUP($A234,Leveranser_per_nät,'Leveranser per nät'!Z$1,FALSE)/VLOOKUP($B234,Korrigeringsfaktor_EI,'Korrigeringsfaktor EI'!Z$1,FALSE),
"")</f>
        <v>28.272266666666667</v>
      </c>
      <c r="AA234" s="18">
        <f>IFERROR(
                  Andel_oberoende_av_klimat*VLOOKUP($A234,Leveranser_per_nät,'Leveranser per nät'!AA$1,FALSE)
               +Andel_beroende_av_klimat*VLOOKUP($A234,Leveranser_per_nät,'Leveranser per nät'!AA$1,FALSE)/VLOOKUP($B234,Korrigeringsfaktor_EI,'Korrigeringsfaktor EI'!AA$1,FALSE),
"")</f>
        <v>28.878895383817426</v>
      </c>
      <c r="AB234" s="18">
        <f>IFERROR(
                  Andel_oberoende_av_klimat*VLOOKUP($A234,Leveranser_per_nät,'Leveranser per nät'!AB$1,FALSE)
               +Andel_beroende_av_klimat*VLOOKUP($A234,Leveranser_per_nät,'Leveranser per nät'!AB$1,FALSE)/VLOOKUP($B234,Korrigeringsfaktor_EI,'Korrigeringsfaktor EI'!AB$1,FALSE),
"")</f>
        <v>29.667619880715705</v>
      </c>
      <c r="AC234" s="18">
        <f>IFERROR(
                  Andel_oberoende_av_klimat*VLOOKUP($A234,Leveranser_per_nät,'Leveranser per nät'!AC$1,FALSE)
               +Andel_beroende_av_klimat*VLOOKUP($A234,Leveranser_per_nät,'Leveranser per nät'!AC$1,FALSE)/VLOOKUP($B234,Korrigeringsfaktor_EI,'Korrigeringsfaktor EI'!AC$1,FALSE),
"")</f>
        <v>28.582878111587981</v>
      </c>
      <c r="AD234">
        <v>27.193999999999999</v>
      </c>
    </row>
    <row r="235" spans="1:30" x14ac:dyDescent="0.25">
      <c r="A235" t="s">
        <v>38</v>
      </c>
      <c r="B235" t="s">
        <v>38</v>
      </c>
      <c r="C235" s="18">
        <f>IFERROR(
                  Andel_oberoende_av_klimat*VLOOKUP($A235,Leveranser_per_nät,'Leveranser per nät'!C$1,FALSE)
               +Andel_beroende_av_klimat*VLOOKUP($A235,Leveranser_per_nät,'Leveranser per nät'!C$1,FALSE)/VLOOKUP($B235,Korrigeringsfaktor_EI,'Korrigeringsfaktor EI'!C$1,FALSE),
"")</f>
        <v>0</v>
      </c>
      <c r="D235" s="18">
        <f>IFERROR(
                  Andel_oberoende_av_klimat*VLOOKUP($A235,Leveranser_per_nät,'Leveranser per nät'!D$1,FALSE)
               +Andel_beroende_av_klimat*VLOOKUP($A235,Leveranser_per_nät,'Leveranser per nät'!D$1,FALSE)/VLOOKUP($B235,Korrigeringsfaktor_EI,'Korrigeringsfaktor EI'!D$1,FALSE),
"")</f>
        <v>0</v>
      </c>
      <c r="E235" s="18">
        <f>IFERROR(
                  Andel_oberoende_av_klimat*VLOOKUP($A235,Leveranser_per_nät,'Leveranser per nät'!E$1,FALSE)
               +Andel_beroende_av_klimat*VLOOKUP($A235,Leveranser_per_nät,'Leveranser per nät'!E$1,FALSE)/VLOOKUP($B235,Korrigeringsfaktor_EI,'Korrigeringsfaktor EI'!E$1,FALSE),
"")</f>
        <v>0</v>
      </c>
      <c r="F235" s="18">
        <f>IFERROR(
                  Andel_oberoende_av_klimat*VLOOKUP($A235,Leveranser_per_nät,'Leveranser per nät'!F$1,FALSE)
               +Andel_beroende_av_klimat*VLOOKUP($A235,Leveranser_per_nät,'Leveranser per nät'!F$1,FALSE)/VLOOKUP($B235,Korrigeringsfaktor_EI,'Korrigeringsfaktor EI'!F$1,FALSE),
"")</f>
        <v>0</v>
      </c>
      <c r="G235" s="18">
        <f>IFERROR(
                  Andel_oberoende_av_klimat*VLOOKUP($A235,Leveranser_per_nät,'Leveranser per nät'!G$1,FALSE)
               +Andel_beroende_av_klimat*VLOOKUP($A235,Leveranser_per_nät,'Leveranser per nät'!G$1,FALSE)/VLOOKUP($B235,Korrigeringsfaktor_EI,'Korrigeringsfaktor EI'!G$1,FALSE),
"")</f>
        <v>11.750191304347826</v>
      </c>
      <c r="H235" s="18">
        <f>IFERROR(
                  Andel_oberoende_av_klimat*VLOOKUP($A235,Leveranser_per_nät,'Leveranser per nät'!H$1,FALSE)
               +Andel_beroende_av_klimat*VLOOKUP($A235,Leveranser_per_nät,'Leveranser per nät'!H$1,FALSE)/VLOOKUP($B235,Korrigeringsfaktor_EI,'Korrigeringsfaktor EI'!H$1,FALSE),
"")</f>
        <v>13.96851287128713</v>
      </c>
      <c r="I235" s="18">
        <f>IFERROR(
                  Andel_oberoende_av_klimat*VLOOKUP($A235,Leveranser_per_nät,'Leveranser per nät'!I$1,FALSE)
               +Andel_beroende_av_klimat*VLOOKUP($A235,Leveranser_per_nät,'Leveranser per nät'!I$1,FALSE)/VLOOKUP($B235,Korrigeringsfaktor_EI,'Korrigeringsfaktor EI'!I$1,FALSE),
"")</f>
        <v>19.411340206185567</v>
      </c>
      <c r="J235" s="18">
        <f>IFERROR(
                  Andel_oberoende_av_klimat*VLOOKUP($A235,Leveranser_per_nät,'Leveranser per nät'!J$1,FALSE)
               +Andel_beroende_av_klimat*VLOOKUP($A235,Leveranser_per_nät,'Leveranser per nät'!J$1,FALSE)/VLOOKUP($B235,Korrigeringsfaktor_EI,'Korrigeringsfaktor EI'!J$1,FALSE),
"")</f>
        <v>19.700000000000003</v>
      </c>
      <c r="K235" s="18">
        <f>IFERROR(
                  Andel_oberoende_av_klimat*VLOOKUP($A235,Leveranser_per_nät,'Leveranser per nät'!K$1,FALSE)
               +Andel_beroende_av_klimat*VLOOKUP($A235,Leveranser_per_nät,'Leveranser per nät'!K$1,FALSE)/VLOOKUP($B235,Korrigeringsfaktor_EI,'Korrigeringsfaktor EI'!K$1,FALSE),
"")</f>
        <v>23.64</v>
      </c>
      <c r="L235" s="18">
        <f>IFERROR(
                  Andel_oberoende_av_klimat*VLOOKUP($A235,Leveranser_per_nät,'Leveranser per nät'!L$1,FALSE)
               +Andel_beroende_av_klimat*VLOOKUP($A235,Leveranser_per_nät,'Leveranser per nät'!L$1,FALSE)/VLOOKUP($B235,Korrigeringsfaktor_EI,'Korrigeringsfaktor EI'!L$1,FALSE),
"")</f>
        <v>23.351781720430107</v>
      </c>
      <c r="M235" s="18">
        <f>IFERROR(
                  Andel_oberoende_av_klimat*VLOOKUP($A235,Leveranser_per_nät,'Leveranser per nät'!M$1,FALSE)
               +Andel_beroende_av_klimat*VLOOKUP($A235,Leveranser_per_nät,'Leveranser per nät'!M$1,FALSE)/VLOOKUP($B235,Korrigeringsfaktor_EI,'Korrigeringsfaktor EI'!M$1,FALSE),
"")</f>
        <v>24.573333333333331</v>
      </c>
      <c r="N235" s="18">
        <f>IFERROR(
                  Andel_oberoende_av_klimat*VLOOKUP($A235,Leveranser_per_nät,'Leveranser per nät'!N$1,FALSE)
               +Andel_beroende_av_klimat*VLOOKUP($A235,Leveranser_per_nät,'Leveranser per nät'!N$1,FALSE)/VLOOKUP($B235,Korrigeringsfaktor_EI,'Korrigeringsfaktor EI'!N$1,FALSE),
"")</f>
        <v>24.18782608695652</v>
      </c>
      <c r="O235" s="18">
        <f>IFERROR(
                  Andel_oberoende_av_klimat*VLOOKUP($A235,Leveranser_per_nät,'Leveranser per nät'!O$1,FALSE)
               +Andel_beroende_av_klimat*VLOOKUP($A235,Leveranser_per_nät,'Leveranser per nät'!O$1,FALSE)/VLOOKUP($B235,Korrigeringsfaktor_EI,'Korrigeringsfaktor EI'!O$1,FALSE),
"")</f>
        <v>24.378461538461536</v>
      </c>
      <c r="P235" s="18">
        <f>IFERROR(
                  Andel_oberoende_av_klimat*VLOOKUP($A235,Leveranser_per_nät,'Leveranser per nät'!P$1,FALSE)
               +Andel_beroende_av_klimat*VLOOKUP($A235,Leveranser_per_nät,'Leveranser per nät'!P$1,FALSE)/VLOOKUP($B235,Korrigeringsfaktor_EI,'Korrigeringsfaktor EI'!P$1,FALSE),
"")</f>
        <v>26.659533333333332</v>
      </c>
      <c r="Q235" s="18">
        <f>IFERROR(
                  Andel_oberoende_av_klimat*VLOOKUP($A235,Leveranser_per_nät,'Leveranser per nät'!Q$1,FALSE)
               +Andel_beroende_av_klimat*VLOOKUP($A235,Leveranser_per_nät,'Leveranser per nät'!Q$1,FALSE)/VLOOKUP($B235,Korrigeringsfaktor_EI,'Korrigeringsfaktor EI'!Q$1,FALSE),
"")</f>
        <v>27.43545454545454</v>
      </c>
      <c r="R235" s="18">
        <f>IFERROR(
                  Andel_oberoende_av_klimat*VLOOKUP($A235,Leveranser_per_nät,'Leveranser per nät'!R$1,FALSE)
               +Andel_beroende_av_klimat*VLOOKUP($A235,Leveranser_per_nät,'Leveranser per nät'!R$1,FALSE)/VLOOKUP($B235,Korrigeringsfaktor_EI,'Korrigeringsfaktor EI'!R$1,FALSE),
"")</f>
        <v>31.682831460674159</v>
      </c>
      <c r="S235" s="18">
        <f>IFERROR(
                  Andel_oberoende_av_klimat*VLOOKUP($A235,Leveranser_per_nät,'Leveranser per nät'!S$1,FALSE)
               +Andel_beroende_av_klimat*VLOOKUP($A235,Leveranser_per_nät,'Leveranser per nät'!S$1,FALSE)/VLOOKUP($B235,Korrigeringsfaktor_EI,'Korrigeringsfaktor EI'!S$1,FALSE),
"")</f>
        <v>34</v>
      </c>
      <c r="T235" s="18">
        <f>IFERROR(
                  Andel_oberoende_av_klimat*VLOOKUP($A235,Leveranser_per_nät,'Leveranser per nät'!T$1,FALSE)
               +Andel_beroende_av_klimat*VLOOKUP($A235,Leveranser_per_nät,'Leveranser per nät'!T$1,FALSE)/VLOOKUP($B235,Korrigeringsfaktor_EI,'Korrigeringsfaktor EI'!T$1,FALSE),
"")</f>
        <v>33.916608510638298</v>
      </c>
      <c r="U235" s="18">
        <f>IFERROR(
                  Andel_oberoende_av_klimat*VLOOKUP($A235,Leveranser_per_nät,'Leveranser per nät'!U$1,FALSE)
               +Andel_beroende_av_klimat*VLOOKUP($A235,Leveranser_per_nät,'Leveranser per nät'!U$1,FALSE)/VLOOKUP($B235,Korrigeringsfaktor_EI,'Korrigeringsfaktor EI'!U$1,FALSE),
"")</f>
        <v>32.981945454545453</v>
      </c>
      <c r="V235" s="18">
        <f>IFERROR(
                  Andel_oberoende_av_klimat*VLOOKUP($A235,Leveranser_per_nät,'Leveranser per nät'!V$1,FALSE)
               +Andel_beroende_av_klimat*VLOOKUP($A235,Leveranser_per_nät,'Leveranser per nät'!V$1,FALSE)/VLOOKUP($B235,Korrigeringsfaktor_EI,'Korrigeringsfaktor EI'!V$1,FALSE),
"")</f>
        <v>32.632955555555554</v>
      </c>
      <c r="W235" s="18">
        <f>IFERROR(
                  Andel_oberoende_av_klimat*VLOOKUP($A235,Leveranser_per_nät,'Leveranser per nät'!W$1,FALSE)
               +Andel_beroende_av_klimat*VLOOKUP($A235,Leveranser_per_nät,'Leveranser per nät'!W$1,FALSE)/VLOOKUP($B235,Korrigeringsfaktor_EI,'Korrigeringsfaktor EI'!W$1,FALSE),
"")</f>
        <v>33.355210526315787</v>
      </c>
      <c r="X235" s="18">
        <f>IFERROR(
                  Andel_oberoende_av_klimat*VLOOKUP($A235,Leveranser_per_nät,'Leveranser per nät'!X$1,FALSE)
               +Andel_beroende_av_klimat*VLOOKUP($A235,Leveranser_per_nät,'Leveranser per nät'!X$1,FALSE)/VLOOKUP($B235,Korrigeringsfaktor_EI,'Korrigeringsfaktor EI'!X$1,FALSE),
"")</f>
        <v>33.918245833333337</v>
      </c>
      <c r="Y235" s="18">
        <f>IFERROR(
                  Andel_oberoende_av_klimat*VLOOKUP($A235,Leveranser_per_nät,'Leveranser per nät'!Y$1,FALSE)
               +Andel_beroende_av_klimat*VLOOKUP($A235,Leveranser_per_nät,'Leveranser per nät'!Y$1,FALSE)/VLOOKUP($B235,Korrigeringsfaktor_EI,'Korrigeringsfaktor EI'!Y$1,FALSE),
"")</f>
        <v>35.718762365591395</v>
      </c>
      <c r="Z235" s="18">
        <f>IFERROR(
                  Andel_oberoende_av_klimat*VLOOKUP($A235,Leveranser_per_nät,'Leveranser per nät'!Z$1,FALSE)
               +Andel_beroende_av_klimat*VLOOKUP($A235,Leveranser_per_nät,'Leveranser per nät'!Z$1,FALSE)/VLOOKUP($B235,Korrigeringsfaktor_EI,'Korrigeringsfaktor EI'!Z$1,FALSE),
"")</f>
        <v>34.521855913978492</v>
      </c>
      <c r="AA235" s="18">
        <f>IFERROR(
                  Andel_oberoende_av_klimat*VLOOKUP($A235,Leveranser_per_nät,'Leveranser per nät'!AA$1,FALSE)
               +Andel_beroende_av_klimat*VLOOKUP($A235,Leveranser_per_nät,'Leveranser per nät'!AA$1,FALSE)/VLOOKUP($B235,Korrigeringsfaktor_EI,'Korrigeringsfaktor EI'!AA$1,FALSE),
"")</f>
        <v>32.348554519080565</v>
      </c>
      <c r="AB235" s="18">
        <f>IFERROR(
                  Andel_oberoende_av_klimat*VLOOKUP($A235,Leveranser_per_nät,'Leveranser per nät'!AB$1,FALSE)
               +Andel_beroende_av_klimat*VLOOKUP($A235,Leveranser_per_nät,'Leveranser per nät'!AB$1,FALSE)/VLOOKUP($B235,Korrigeringsfaktor_EI,'Korrigeringsfaktor EI'!AB$1,FALSE),
"")</f>
        <v>33.876458498023709</v>
      </c>
      <c r="AC235" s="18">
        <f>IFERROR(
                  Andel_oberoende_av_klimat*VLOOKUP($A235,Leveranser_per_nät,'Leveranser per nät'!AC$1,FALSE)
               +Andel_beroende_av_klimat*VLOOKUP($A235,Leveranser_per_nät,'Leveranser per nät'!AC$1,FALSE)/VLOOKUP($B235,Korrigeringsfaktor_EI,'Korrigeringsfaktor EI'!AC$1,FALSE),
"")</f>
        <v>33.15077520661157</v>
      </c>
      <c r="AD235">
        <v>32.401000000000003</v>
      </c>
    </row>
    <row r="236" spans="1:30" x14ac:dyDescent="0.25">
      <c r="A236" t="s">
        <v>957</v>
      </c>
      <c r="B236" t="s">
        <v>77</v>
      </c>
      <c r="C236" s="18">
        <f>IFERROR(
                  Andel_oberoende_av_klimat*VLOOKUP($A236,Leveranser_per_nät,'Leveranser per nät'!C$1,FALSE)
               +Andel_beroende_av_klimat*VLOOKUP($A236,Leveranser_per_nät,'Leveranser per nät'!C$1,FALSE)/VLOOKUP($B236,Korrigeringsfaktor_EI,'Korrigeringsfaktor EI'!C$1,FALSE),
"")</f>
        <v>0</v>
      </c>
      <c r="D236" s="18">
        <f>IFERROR(
                  Andel_oberoende_av_klimat*VLOOKUP($A236,Leveranser_per_nät,'Leveranser per nät'!D$1,FALSE)
               +Andel_beroende_av_klimat*VLOOKUP($A236,Leveranser_per_nät,'Leveranser per nät'!D$1,FALSE)/VLOOKUP($B236,Korrigeringsfaktor_EI,'Korrigeringsfaktor EI'!D$1,FALSE),
"")</f>
        <v>0</v>
      </c>
      <c r="E236" s="18">
        <f>IFERROR(
                  Andel_oberoende_av_klimat*VLOOKUP($A236,Leveranser_per_nät,'Leveranser per nät'!E$1,FALSE)
               +Andel_beroende_av_klimat*VLOOKUP($A236,Leveranser_per_nät,'Leveranser per nät'!E$1,FALSE)/VLOOKUP($B236,Korrigeringsfaktor_EI,'Korrigeringsfaktor EI'!E$1,FALSE),
"")</f>
        <v>0</v>
      </c>
      <c r="F236" s="18">
        <f>IFERROR(
                  Andel_oberoende_av_klimat*VLOOKUP($A236,Leveranser_per_nät,'Leveranser per nät'!F$1,FALSE)
               +Andel_beroende_av_klimat*VLOOKUP($A236,Leveranser_per_nät,'Leveranser per nät'!F$1,FALSE)/VLOOKUP($B236,Korrigeringsfaktor_EI,'Korrigeringsfaktor EI'!F$1,FALSE),
"")</f>
        <v>0</v>
      </c>
      <c r="G236" s="18">
        <f>IFERROR(
                  Andel_oberoende_av_klimat*VLOOKUP($A236,Leveranser_per_nät,'Leveranser per nät'!G$1,FALSE)
               +Andel_beroende_av_klimat*VLOOKUP($A236,Leveranser_per_nät,'Leveranser per nät'!G$1,FALSE)/VLOOKUP($B236,Korrigeringsfaktor_EI,'Korrigeringsfaktor EI'!G$1,FALSE),
"")</f>
        <v>0</v>
      </c>
      <c r="H236" s="18">
        <f>IFERROR(
                  Andel_oberoende_av_klimat*VLOOKUP($A236,Leveranser_per_nät,'Leveranser per nät'!H$1,FALSE)
               +Andel_beroende_av_klimat*VLOOKUP($A236,Leveranser_per_nät,'Leveranser per nät'!H$1,FALSE)/VLOOKUP($B236,Korrigeringsfaktor_EI,'Korrigeringsfaktor EI'!H$1,FALSE),
"")</f>
        <v>0</v>
      </c>
      <c r="I236" s="18">
        <f>IFERROR(
                  Andel_oberoende_av_klimat*VLOOKUP($A236,Leveranser_per_nät,'Leveranser per nät'!I$1,FALSE)
               +Andel_beroende_av_klimat*VLOOKUP($A236,Leveranser_per_nät,'Leveranser per nät'!I$1,FALSE)/VLOOKUP($B236,Korrigeringsfaktor_EI,'Korrigeringsfaktor EI'!I$1,FALSE),
"")</f>
        <v>0</v>
      </c>
      <c r="J236" s="18">
        <f>IFERROR(
                  Andel_oberoende_av_klimat*VLOOKUP($A236,Leveranser_per_nät,'Leveranser per nät'!J$1,FALSE)
               +Andel_beroende_av_klimat*VLOOKUP($A236,Leveranser_per_nät,'Leveranser per nät'!J$1,FALSE)/VLOOKUP($B236,Korrigeringsfaktor_EI,'Korrigeringsfaktor EI'!J$1,FALSE),
"")</f>
        <v>0</v>
      </c>
      <c r="K236" s="18">
        <f>IFERROR(
                  Andel_oberoende_av_klimat*VLOOKUP($A236,Leveranser_per_nät,'Leveranser per nät'!K$1,FALSE)
               +Andel_beroende_av_klimat*VLOOKUP($A236,Leveranser_per_nät,'Leveranser per nät'!K$1,FALSE)/VLOOKUP($B236,Korrigeringsfaktor_EI,'Korrigeringsfaktor EI'!K$1,FALSE),
"")</f>
        <v>0</v>
      </c>
      <c r="L236" s="18">
        <f>IFERROR(
                  Andel_oberoende_av_klimat*VLOOKUP($A236,Leveranser_per_nät,'Leveranser per nät'!L$1,FALSE)
               +Andel_beroende_av_klimat*VLOOKUP($A236,Leveranser_per_nät,'Leveranser per nät'!L$1,FALSE)/VLOOKUP($B236,Korrigeringsfaktor_EI,'Korrigeringsfaktor EI'!L$1,FALSE),
"")</f>
        <v>0</v>
      </c>
      <c r="M236" s="18">
        <f>IFERROR(
                  Andel_oberoende_av_klimat*VLOOKUP($A236,Leveranser_per_nät,'Leveranser per nät'!M$1,FALSE)
               +Andel_beroende_av_klimat*VLOOKUP($A236,Leveranser_per_nät,'Leveranser per nät'!M$1,FALSE)/VLOOKUP($B236,Korrigeringsfaktor_EI,'Korrigeringsfaktor EI'!M$1,FALSE),
"")</f>
        <v>0</v>
      </c>
      <c r="N236" s="18">
        <f>IFERROR(
                  Andel_oberoende_av_klimat*VLOOKUP($A236,Leveranser_per_nät,'Leveranser per nät'!N$1,FALSE)
               +Andel_beroende_av_klimat*VLOOKUP($A236,Leveranser_per_nät,'Leveranser per nät'!N$1,FALSE)/VLOOKUP($B236,Korrigeringsfaktor_EI,'Korrigeringsfaktor EI'!N$1,FALSE),
"")</f>
        <v>0</v>
      </c>
      <c r="O236" s="18">
        <f>IFERROR(
                  Andel_oberoende_av_klimat*VLOOKUP($A236,Leveranser_per_nät,'Leveranser per nät'!O$1,FALSE)
               +Andel_beroende_av_klimat*VLOOKUP($A236,Leveranser_per_nät,'Leveranser per nät'!O$1,FALSE)/VLOOKUP($B236,Korrigeringsfaktor_EI,'Korrigeringsfaktor EI'!O$1,FALSE),
"")</f>
        <v>0</v>
      </c>
      <c r="P236" s="18">
        <f>IFERROR(
                  Andel_oberoende_av_klimat*VLOOKUP($A236,Leveranser_per_nät,'Leveranser per nät'!P$1,FALSE)
               +Andel_beroende_av_klimat*VLOOKUP($A236,Leveranser_per_nät,'Leveranser per nät'!P$1,FALSE)/VLOOKUP($B236,Korrigeringsfaktor_EI,'Korrigeringsfaktor EI'!P$1,FALSE),
"")</f>
        <v>0</v>
      </c>
      <c r="Q236" s="18">
        <f>IFERROR(
                  Andel_oberoende_av_klimat*VLOOKUP($A236,Leveranser_per_nät,'Leveranser per nät'!Q$1,FALSE)
               +Andel_beroende_av_klimat*VLOOKUP($A236,Leveranser_per_nät,'Leveranser per nät'!Q$1,FALSE)/VLOOKUP($B236,Korrigeringsfaktor_EI,'Korrigeringsfaktor EI'!Q$1,FALSE),
"")</f>
        <v>0</v>
      </c>
      <c r="R236" s="18">
        <f>IFERROR(
                  Andel_oberoende_av_klimat*VLOOKUP($A236,Leveranser_per_nät,'Leveranser per nät'!R$1,FALSE)
               +Andel_beroende_av_klimat*VLOOKUP($A236,Leveranser_per_nät,'Leveranser per nät'!R$1,FALSE)/VLOOKUP($B236,Korrigeringsfaktor_EI,'Korrigeringsfaktor EI'!R$1,FALSE),
"")</f>
        <v>0</v>
      </c>
      <c r="S236" s="18">
        <f>IFERROR(
                  Andel_oberoende_av_klimat*VLOOKUP($A236,Leveranser_per_nät,'Leveranser per nät'!S$1,FALSE)
               +Andel_beroende_av_klimat*VLOOKUP($A236,Leveranser_per_nät,'Leveranser per nät'!S$1,FALSE)/VLOOKUP($B236,Korrigeringsfaktor_EI,'Korrigeringsfaktor EI'!S$1,FALSE),
"")</f>
        <v>0</v>
      </c>
      <c r="T236" s="18">
        <f>IFERROR(
                  Andel_oberoende_av_klimat*VLOOKUP($A236,Leveranser_per_nät,'Leveranser per nät'!T$1,FALSE)
               +Andel_beroende_av_klimat*VLOOKUP($A236,Leveranser_per_nät,'Leveranser per nät'!T$1,FALSE)/VLOOKUP($B236,Korrigeringsfaktor_EI,'Korrigeringsfaktor EI'!T$1,FALSE),
"")</f>
        <v>16.5</v>
      </c>
      <c r="U236" s="18">
        <f>IFERROR(
                  Andel_oberoende_av_klimat*VLOOKUP($A236,Leveranser_per_nät,'Leveranser per nät'!U$1,FALSE)
               +Andel_beroende_av_klimat*VLOOKUP($A236,Leveranser_per_nät,'Leveranser per nät'!U$1,FALSE)/VLOOKUP($B236,Korrigeringsfaktor_EI,'Korrigeringsfaktor EI'!U$1,FALSE),
"")</f>
        <v>17.02888888888889</v>
      </c>
      <c r="V236" s="18">
        <f>IFERROR(
                  Andel_oberoende_av_klimat*VLOOKUP($A236,Leveranser_per_nät,'Leveranser per nät'!V$1,FALSE)
               +Andel_beroende_av_klimat*VLOOKUP($A236,Leveranser_per_nät,'Leveranser per nät'!V$1,FALSE)/VLOOKUP($B236,Korrigeringsfaktor_EI,'Korrigeringsfaktor EI'!V$1,FALSE),
"")</f>
        <v>14.63236559139785</v>
      </c>
      <c r="W236" s="18">
        <f>IFERROR(
                  Andel_oberoende_av_klimat*VLOOKUP($A236,Leveranser_per_nät,'Leveranser per nät'!W$1,FALSE)
               +Andel_beroende_av_klimat*VLOOKUP($A236,Leveranser_per_nät,'Leveranser per nät'!W$1,FALSE)/VLOOKUP($B236,Korrigeringsfaktor_EI,'Korrigeringsfaktor EI'!W$1,FALSE),
"")</f>
        <v>15.12875</v>
      </c>
      <c r="X236" s="18">
        <f>IFERROR(
                  Andel_oberoende_av_klimat*VLOOKUP($A236,Leveranser_per_nät,'Leveranser per nät'!X$1,FALSE)
               +Andel_beroende_av_klimat*VLOOKUP($A236,Leveranser_per_nät,'Leveranser per nät'!X$1,FALSE)/VLOOKUP($B236,Korrigeringsfaktor_EI,'Korrigeringsfaktor EI'!X$1,FALSE),
"")</f>
        <v>16.071052631578947</v>
      </c>
      <c r="Y236" s="18">
        <f>IFERROR(
                  Andel_oberoende_av_klimat*VLOOKUP($A236,Leveranser_per_nät,'Leveranser per nät'!Y$1,FALSE)
               +Andel_beroende_av_klimat*VLOOKUP($A236,Leveranser_per_nät,'Leveranser per nät'!Y$1,FALSE)/VLOOKUP($B236,Korrigeringsfaktor_EI,'Korrigeringsfaktor EI'!Y$1,FALSE),
"")</f>
        <v>16.921111111111109</v>
      </c>
      <c r="Z236" s="18">
        <f>IFERROR(
                  Andel_oberoende_av_klimat*VLOOKUP($A236,Leveranser_per_nät,'Leveranser per nät'!Z$1,FALSE)
               +Andel_beroende_av_klimat*VLOOKUP($A236,Leveranser_per_nät,'Leveranser per nät'!Z$1,FALSE)/VLOOKUP($B236,Korrigeringsfaktor_EI,'Korrigeringsfaktor EI'!Z$1,FALSE),
"")</f>
        <v>16.45227777777778</v>
      </c>
      <c r="AA236" s="18"/>
      <c r="AB236" s="18"/>
      <c r="AC236" s="18"/>
      <c r="AD236">
        <v>16.850000000000001</v>
      </c>
    </row>
    <row r="237" spans="1:30" x14ac:dyDescent="0.25">
      <c r="A237" t="s">
        <v>186</v>
      </c>
      <c r="B237" t="s">
        <v>510</v>
      </c>
      <c r="C237" s="18">
        <f>IFERROR(
                  Andel_oberoende_av_klimat*VLOOKUP($A237,Leveranser_per_nät,'Leveranser per nät'!C$1,FALSE)
               +Andel_beroende_av_klimat*VLOOKUP($A237,Leveranser_per_nät,'Leveranser per nät'!C$1,FALSE)/VLOOKUP($B237,Korrigeringsfaktor_EI,'Korrigeringsfaktor EI'!C$1,FALSE),
"")</f>
        <v>24.497247706422016</v>
      </c>
      <c r="D237" s="18">
        <f>IFERROR(
                  Andel_oberoende_av_klimat*VLOOKUP($A237,Leveranser_per_nät,'Leveranser per nät'!D$1,FALSE)
               +Andel_beroende_av_klimat*VLOOKUP($A237,Leveranser_per_nät,'Leveranser per nät'!D$1,FALSE)/VLOOKUP($B237,Korrigeringsfaktor_EI,'Korrigeringsfaktor EI'!D$1,FALSE),
"")</f>
        <v>23.394252525252526</v>
      </c>
      <c r="E237" s="18">
        <f>IFERROR(
                  Andel_oberoende_av_klimat*VLOOKUP($A237,Leveranser_per_nät,'Leveranser per nät'!E$1,FALSE)
               +Andel_beroende_av_klimat*VLOOKUP($A237,Leveranser_per_nät,'Leveranser per nät'!E$1,FALSE)/VLOOKUP($B237,Korrigeringsfaktor_EI,'Korrigeringsfaktor EI'!E$1,FALSE),
"")</f>
        <v>23.510679611650481</v>
      </c>
      <c r="F237" s="18">
        <f>IFERROR(
                  Andel_oberoende_av_klimat*VLOOKUP($A237,Leveranser_per_nät,'Leveranser per nät'!F$1,FALSE)
               +Andel_beroende_av_klimat*VLOOKUP($A237,Leveranser_per_nät,'Leveranser per nät'!F$1,FALSE)/VLOOKUP($B237,Korrigeringsfaktor_EI,'Korrigeringsfaktor EI'!F$1,FALSE),
"")</f>
        <v>23.670833333333334</v>
      </c>
      <c r="G237" s="18">
        <f>IFERROR(
                  Andel_oberoende_av_klimat*VLOOKUP($A237,Leveranser_per_nät,'Leveranser per nät'!G$1,FALSE)
               +Andel_beroende_av_klimat*VLOOKUP($A237,Leveranser_per_nät,'Leveranser per nät'!G$1,FALSE)/VLOOKUP($B237,Korrigeringsfaktor_EI,'Korrigeringsfaktor EI'!G$1,FALSE),
"")</f>
        <v>21.90909090909091</v>
      </c>
      <c r="H237" s="18">
        <f>IFERROR(
                  Andel_oberoende_av_klimat*VLOOKUP($A237,Leveranser_per_nät,'Leveranser per nät'!H$1,FALSE)
               +Andel_beroende_av_klimat*VLOOKUP($A237,Leveranser_per_nät,'Leveranser per nät'!H$1,FALSE)/VLOOKUP($B237,Korrigeringsfaktor_EI,'Korrigeringsfaktor EI'!H$1,FALSE),
"")</f>
        <v>22.684313725490195</v>
      </c>
      <c r="I237" s="18">
        <f>IFERROR(
                  Andel_oberoende_av_klimat*VLOOKUP($A237,Leveranser_per_nät,'Leveranser per nät'!I$1,FALSE)
               +Andel_beroende_av_klimat*VLOOKUP($A237,Leveranser_per_nät,'Leveranser per nät'!I$1,FALSE)/VLOOKUP($B237,Korrigeringsfaktor_EI,'Korrigeringsfaktor EI'!I$1,FALSE),
"")</f>
        <v>23.847368421052632</v>
      </c>
      <c r="J237" s="18">
        <f>IFERROR(
                  Andel_oberoende_av_klimat*VLOOKUP($A237,Leveranser_per_nät,'Leveranser per nät'!J$1,FALSE)
               +Andel_beroende_av_klimat*VLOOKUP($A237,Leveranser_per_nät,'Leveranser per nät'!J$1,FALSE)/VLOOKUP($B237,Korrigeringsfaktor_EI,'Korrigeringsfaktor EI'!J$1,FALSE),
"")</f>
        <v>26.37142857142857</v>
      </c>
      <c r="K237" s="18">
        <f>IFERROR(
                  Andel_oberoende_av_klimat*VLOOKUP($A237,Leveranser_per_nät,'Leveranser per nät'!K$1,FALSE)
               +Andel_beroende_av_klimat*VLOOKUP($A237,Leveranser_per_nät,'Leveranser per nät'!K$1,FALSE)/VLOOKUP($B237,Korrigeringsfaktor_EI,'Korrigeringsfaktor EI'!K$1,FALSE),
"")</f>
        <v>26.307474226804125</v>
      </c>
      <c r="L237" s="18">
        <f>IFERROR(
                  Andel_oberoende_av_klimat*VLOOKUP($A237,Leveranser_per_nät,'Leveranser per nät'!L$1,FALSE)
               +Andel_beroende_av_klimat*VLOOKUP($A237,Leveranser_per_nät,'Leveranser per nät'!L$1,FALSE)/VLOOKUP($B237,Korrigeringsfaktor_EI,'Korrigeringsfaktor EI'!L$1,FALSE),
"")</f>
        <v>26.024736842105266</v>
      </c>
      <c r="M237" s="18">
        <f>IFERROR(
                  Andel_oberoende_av_klimat*VLOOKUP($A237,Leveranser_per_nät,'Leveranser per nät'!M$1,FALSE)
               +Andel_beroende_av_klimat*VLOOKUP($A237,Leveranser_per_nät,'Leveranser per nät'!M$1,FALSE)/VLOOKUP($B237,Korrigeringsfaktor_EI,'Korrigeringsfaktor EI'!M$1,FALSE),
"")</f>
        <v>25.779130434782608</v>
      </c>
      <c r="N237" s="18">
        <f>IFERROR(
                  Andel_oberoende_av_klimat*VLOOKUP($A237,Leveranser_per_nät,'Leveranser per nät'!N$1,FALSE)
               +Andel_beroende_av_klimat*VLOOKUP($A237,Leveranser_per_nät,'Leveranser per nät'!N$1,FALSE)/VLOOKUP($B237,Korrigeringsfaktor_EI,'Korrigeringsfaktor EI'!N$1,FALSE),
"")</f>
        <v>26.303076923076922</v>
      </c>
      <c r="O237" s="18">
        <f>IFERROR(
                  Andel_oberoende_av_klimat*VLOOKUP($A237,Leveranser_per_nät,'Leveranser per nät'!O$1,FALSE)
               +Andel_beroende_av_klimat*VLOOKUP($A237,Leveranser_per_nät,'Leveranser per nät'!O$1,FALSE)/VLOOKUP($B237,Korrigeringsfaktor_EI,'Korrigeringsfaktor EI'!O$1,FALSE),
"")</f>
        <v>29.938461538461539</v>
      </c>
      <c r="P237" s="18">
        <f>IFERROR(
                  Andel_oberoende_av_klimat*VLOOKUP($A237,Leveranser_per_nät,'Leveranser per nät'!P$1,FALSE)
               +Andel_beroende_av_klimat*VLOOKUP($A237,Leveranser_per_nät,'Leveranser per nät'!P$1,FALSE)/VLOOKUP($B237,Korrigeringsfaktor_EI,'Korrigeringsfaktor EI'!P$1,FALSE),
"")</f>
        <v>25.541237113402062</v>
      </c>
      <c r="Q237" s="18">
        <f>IFERROR(
                  Andel_oberoende_av_klimat*VLOOKUP($A237,Leveranser_per_nät,'Leveranser per nät'!Q$1,FALSE)
               +Andel_beroende_av_klimat*VLOOKUP($A237,Leveranser_per_nät,'Leveranser per nät'!Q$1,FALSE)/VLOOKUP($B237,Korrigeringsfaktor_EI,'Korrigeringsfaktor EI'!Q$1,FALSE),
"")</f>
        <v>28.883241379310345</v>
      </c>
      <c r="R237" s="18">
        <f>IFERROR(
                  Andel_oberoende_av_klimat*VLOOKUP($A237,Leveranser_per_nät,'Leveranser per nät'!R$1,FALSE)
               +Andel_beroende_av_klimat*VLOOKUP($A237,Leveranser_per_nät,'Leveranser per nät'!R$1,FALSE)/VLOOKUP($B237,Korrigeringsfaktor_EI,'Korrigeringsfaktor EI'!R$1,FALSE),
"")</f>
        <v>27.161702127659577</v>
      </c>
      <c r="S237" s="18">
        <f>IFERROR(
                  Andel_oberoende_av_klimat*VLOOKUP($A237,Leveranser_per_nät,'Leveranser per nät'!S$1,FALSE)
               +Andel_beroende_av_klimat*VLOOKUP($A237,Leveranser_per_nät,'Leveranser per nät'!S$1,FALSE)/VLOOKUP($B237,Korrigeringsfaktor_EI,'Korrigeringsfaktor EI'!S$1,FALSE),
"")</f>
        <v>29.588235294117645</v>
      </c>
      <c r="T237" s="18">
        <f>IFERROR(
                  Andel_oberoende_av_klimat*VLOOKUP($A237,Leveranser_per_nät,'Leveranser per nät'!T$1,FALSE)
               +Andel_beroende_av_klimat*VLOOKUP($A237,Leveranser_per_nät,'Leveranser per nät'!T$1,FALSE)/VLOOKUP($B237,Korrigeringsfaktor_EI,'Korrigeringsfaktor EI'!T$1,FALSE),
"")</f>
        <v>30.212121212121211</v>
      </c>
      <c r="U237" s="18">
        <f>IFERROR(
                  Andel_oberoende_av_klimat*VLOOKUP($A237,Leveranser_per_nät,'Leveranser per nät'!U$1,FALSE)
               +Andel_beroende_av_klimat*VLOOKUP($A237,Leveranser_per_nät,'Leveranser per nät'!U$1,FALSE)/VLOOKUP($B237,Korrigeringsfaktor_EI,'Korrigeringsfaktor EI'!U$1,FALSE),
"")</f>
        <v>29.824137931034482</v>
      </c>
      <c r="V237" s="18">
        <f>IFERROR(
                  Andel_oberoende_av_klimat*VLOOKUP($A237,Leveranser_per_nät,'Leveranser per nät'!V$1,FALSE)
               +Andel_beroende_av_klimat*VLOOKUP($A237,Leveranser_per_nät,'Leveranser per nät'!V$1,FALSE)/VLOOKUP($B237,Korrigeringsfaktor_EI,'Korrigeringsfaktor EI'!V$1,FALSE),
"")</f>
        <v>30.022608695652174</v>
      </c>
      <c r="W237" s="18">
        <f>IFERROR(
                  Andel_oberoende_av_klimat*VLOOKUP($A237,Leveranser_per_nät,'Leveranser per nät'!W$1,FALSE)
               +Andel_beroende_av_klimat*VLOOKUP($A237,Leveranser_per_nät,'Leveranser per nät'!W$1,FALSE)/VLOOKUP($B237,Korrigeringsfaktor_EI,'Korrigeringsfaktor EI'!W$1,FALSE),
"")</f>
        <v>32.385106382978719</v>
      </c>
      <c r="X237" s="18">
        <f>IFERROR(
                  Andel_oberoende_av_klimat*VLOOKUP($A237,Leveranser_per_nät,'Leveranser per nät'!X$1,FALSE)
               +Andel_beroende_av_klimat*VLOOKUP($A237,Leveranser_per_nät,'Leveranser per nät'!X$1,FALSE)/VLOOKUP($B237,Korrigeringsfaktor_EI,'Korrigeringsfaktor EI'!X$1,FALSE),
"")</f>
        <v>31.826086956521742</v>
      </c>
      <c r="Y237" s="18">
        <f>IFERROR(
                  Andel_oberoende_av_klimat*VLOOKUP($A237,Leveranser_per_nät,'Leveranser per nät'!Y$1,FALSE)
               +Andel_beroende_av_klimat*VLOOKUP($A237,Leveranser_per_nät,'Leveranser per nät'!Y$1,FALSE)/VLOOKUP($B237,Korrigeringsfaktor_EI,'Korrigeringsfaktor EI'!Y$1,FALSE),
"")</f>
        <v>31.255555555555553</v>
      </c>
      <c r="Z237" s="18">
        <f>IFERROR(
                  Andel_oberoende_av_klimat*VLOOKUP($A237,Leveranser_per_nät,'Leveranser per nät'!Z$1,FALSE)
               +Andel_beroende_av_klimat*VLOOKUP($A237,Leveranser_per_nät,'Leveranser per nät'!Z$1,FALSE)/VLOOKUP($B237,Korrigeringsfaktor_EI,'Korrigeringsfaktor EI'!Z$1,FALSE),
"")</f>
        <v>32.210068965517237</v>
      </c>
      <c r="AA237" s="18">
        <f>IFERROR(
                  Andel_oberoende_av_klimat*VLOOKUP($A237,Leveranser_per_nät,'Leveranser per nät'!AA$1,FALSE)
               +Andel_beroende_av_klimat*VLOOKUP($A237,Leveranser_per_nät,'Leveranser per nät'!AA$1,FALSE)/VLOOKUP($B237,Korrigeringsfaktor_EI,'Korrigeringsfaktor EI'!AA$1,FALSE),
"")</f>
        <v>29.799582245430813</v>
      </c>
      <c r="AB237" s="18">
        <f>IFERROR(
                  Andel_oberoende_av_klimat*VLOOKUP($A237,Leveranser_per_nät,'Leveranser per nät'!AB$1,FALSE)
               +Andel_beroende_av_klimat*VLOOKUP($A237,Leveranser_per_nät,'Leveranser per nät'!AB$1,FALSE)/VLOOKUP($B237,Korrigeringsfaktor_EI,'Korrigeringsfaktor EI'!AB$1,FALSE),
"")</f>
        <v>30.695772277227725</v>
      </c>
      <c r="AC237" s="18">
        <f>IFERROR(
                  Andel_oberoende_av_klimat*VLOOKUP($A237,Leveranser_per_nät,'Leveranser per nät'!AC$1,FALSE)
               +Andel_beroende_av_klimat*VLOOKUP($A237,Leveranser_per_nät,'Leveranser per nät'!AC$1,FALSE)/VLOOKUP($B237,Korrigeringsfaktor_EI,'Korrigeringsfaktor EI'!AC$1,FALSE),
"")</f>
        <v>30.234782608695649</v>
      </c>
      <c r="AD237">
        <v>3143.35</v>
      </c>
    </row>
    <row r="238" spans="1:30" x14ac:dyDescent="0.25">
      <c r="A238" t="s">
        <v>270</v>
      </c>
      <c r="B238" t="s">
        <v>261</v>
      </c>
      <c r="C238" s="18">
        <f>IFERROR(
                  Andel_oberoende_av_klimat*VLOOKUP($A238,Leveranser_per_nät,'Leveranser per nät'!C$1,FALSE)
               +Andel_beroende_av_klimat*VLOOKUP($A238,Leveranser_per_nät,'Leveranser per nät'!C$1,FALSE)/VLOOKUP($B238,Korrigeringsfaktor_EI,'Korrigeringsfaktor EI'!C$1,FALSE),
"")</f>
        <v>0</v>
      </c>
      <c r="D238" s="18">
        <f>IFERROR(
                  Andel_oberoende_av_klimat*VLOOKUP($A238,Leveranser_per_nät,'Leveranser per nät'!D$1,FALSE)
               +Andel_beroende_av_klimat*VLOOKUP($A238,Leveranser_per_nät,'Leveranser per nät'!D$1,FALSE)/VLOOKUP($B238,Korrigeringsfaktor_EI,'Korrigeringsfaktor EI'!D$1,FALSE),
"")</f>
        <v>0</v>
      </c>
      <c r="E238" s="18">
        <f>IFERROR(
                  Andel_oberoende_av_klimat*VLOOKUP($A238,Leveranser_per_nät,'Leveranser per nät'!E$1,FALSE)
               +Andel_beroende_av_klimat*VLOOKUP($A238,Leveranser_per_nät,'Leveranser per nät'!E$1,FALSE)/VLOOKUP($B238,Korrigeringsfaktor_EI,'Korrigeringsfaktor EI'!E$1,FALSE),
"")</f>
        <v>0</v>
      </c>
      <c r="F238" s="18">
        <f>IFERROR(
                  Andel_oberoende_av_klimat*VLOOKUP($A238,Leveranser_per_nät,'Leveranser per nät'!F$1,FALSE)
               +Andel_beroende_av_klimat*VLOOKUP($A238,Leveranser_per_nät,'Leveranser per nät'!F$1,FALSE)/VLOOKUP($B238,Korrigeringsfaktor_EI,'Korrigeringsfaktor EI'!F$1,FALSE),
"")</f>
        <v>0</v>
      </c>
      <c r="G238" s="18">
        <f>IFERROR(
                  Andel_oberoende_av_klimat*VLOOKUP($A238,Leveranser_per_nät,'Leveranser per nät'!G$1,FALSE)
               +Andel_beroende_av_klimat*VLOOKUP($A238,Leveranser_per_nät,'Leveranser per nät'!G$1,FALSE)/VLOOKUP($B238,Korrigeringsfaktor_EI,'Korrigeringsfaktor EI'!G$1,FALSE),
"")</f>
        <v>0</v>
      </c>
      <c r="H238" s="18">
        <f>IFERROR(
                  Andel_oberoende_av_klimat*VLOOKUP($A238,Leveranser_per_nät,'Leveranser per nät'!H$1,FALSE)
               +Andel_beroende_av_klimat*VLOOKUP($A238,Leveranser_per_nät,'Leveranser per nät'!H$1,FALSE)/VLOOKUP($B238,Korrigeringsfaktor_EI,'Korrigeringsfaktor EI'!H$1,FALSE),
"")</f>
        <v>0</v>
      </c>
      <c r="I238" s="18">
        <f>IFERROR(
                  Andel_oberoende_av_klimat*VLOOKUP($A238,Leveranser_per_nät,'Leveranser per nät'!I$1,FALSE)
               +Andel_beroende_av_klimat*VLOOKUP($A238,Leveranser_per_nät,'Leveranser per nät'!I$1,FALSE)/VLOOKUP($B238,Korrigeringsfaktor_EI,'Korrigeringsfaktor EI'!I$1,FALSE),
"")</f>
        <v>0</v>
      </c>
      <c r="J238" s="18">
        <f>IFERROR(
                  Andel_oberoende_av_klimat*VLOOKUP($A238,Leveranser_per_nät,'Leveranser per nät'!J$1,FALSE)
               +Andel_beroende_av_klimat*VLOOKUP($A238,Leveranser_per_nät,'Leveranser per nät'!J$1,FALSE)/VLOOKUP($B238,Korrigeringsfaktor_EI,'Korrigeringsfaktor EI'!J$1,FALSE),
"")</f>
        <v>0</v>
      </c>
      <c r="K238" s="18">
        <f>IFERROR(
                  Andel_oberoende_av_klimat*VLOOKUP($A238,Leveranser_per_nät,'Leveranser per nät'!K$1,FALSE)
               +Andel_beroende_av_klimat*VLOOKUP($A238,Leveranser_per_nät,'Leveranser per nät'!K$1,FALSE)/VLOOKUP($B238,Korrigeringsfaktor_EI,'Korrigeringsfaktor EI'!K$1,FALSE),
"")</f>
        <v>0</v>
      </c>
      <c r="L238" s="18">
        <f>IFERROR(
                  Andel_oberoende_av_klimat*VLOOKUP($A238,Leveranser_per_nät,'Leveranser per nät'!L$1,FALSE)
               +Andel_beroende_av_klimat*VLOOKUP($A238,Leveranser_per_nät,'Leveranser per nät'!L$1,FALSE)/VLOOKUP($B238,Korrigeringsfaktor_EI,'Korrigeringsfaktor EI'!L$1,FALSE),
"")</f>
        <v>0</v>
      </c>
      <c r="M238" s="18">
        <f>IFERROR(
                  Andel_oberoende_av_klimat*VLOOKUP($A238,Leveranser_per_nät,'Leveranser per nät'!M$1,FALSE)
               +Andel_beroende_av_klimat*VLOOKUP($A238,Leveranser_per_nät,'Leveranser per nät'!M$1,FALSE)/VLOOKUP($B238,Korrigeringsfaktor_EI,'Korrigeringsfaktor EI'!M$1,FALSE),
"")</f>
        <v>0.51133913043478252</v>
      </c>
      <c r="N238" s="18">
        <f>IFERROR(
                  Andel_oberoende_av_klimat*VLOOKUP($A238,Leveranser_per_nät,'Leveranser per nät'!N$1,FALSE)
               +Andel_beroende_av_klimat*VLOOKUP($A238,Leveranser_per_nät,'Leveranser per nät'!N$1,FALSE)/VLOOKUP($B238,Korrigeringsfaktor_EI,'Korrigeringsfaktor EI'!N$1,FALSE),
"")</f>
        <v>3.448886956521739</v>
      </c>
      <c r="O238" s="18">
        <f>IFERROR(
                  Andel_oberoende_av_klimat*VLOOKUP($A238,Leveranser_per_nät,'Leveranser per nät'!O$1,FALSE)
               +Andel_beroende_av_klimat*VLOOKUP($A238,Leveranser_per_nät,'Leveranser per nät'!O$1,FALSE)/VLOOKUP($B238,Korrigeringsfaktor_EI,'Korrigeringsfaktor EI'!O$1,FALSE),
"")</f>
        <v>3.4412376344086022</v>
      </c>
      <c r="P238" s="18">
        <f>IFERROR(
                  Andel_oberoende_av_klimat*VLOOKUP($A238,Leveranser_per_nät,'Leveranser per nät'!P$1,FALSE)
               +Andel_beroende_av_klimat*VLOOKUP($A238,Leveranser_per_nät,'Leveranser per nät'!P$1,FALSE)/VLOOKUP($B238,Korrigeringsfaktor_EI,'Korrigeringsfaktor EI'!P$1,FALSE),
"")</f>
        <v>3.193504166666667</v>
      </c>
      <c r="Q238" s="18">
        <f>IFERROR(
                  Andel_oberoende_av_klimat*VLOOKUP($A238,Leveranser_per_nät,'Leveranser per nät'!Q$1,FALSE)
               +Andel_beroende_av_klimat*VLOOKUP($A238,Leveranser_per_nät,'Leveranser per nät'!Q$1,FALSE)/VLOOKUP($B238,Korrigeringsfaktor_EI,'Korrigeringsfaktor EI'!Q$1,FALSE),
"")</f>
        <v>3.5305607476635514</v>
      </c>
      <c r="R238" s="18">
        <f>IFERROR(
                  Andel_oberoende_av_klimat*VLOOKUP($A238,Leveranser_per_nät,'Leveranser per nät'!R$1,FALSE)
               +Andel_beroende_av_klimat*VLOOKUP($A238,Leveranser_per_nät,'Leveranser per nät'!R$1,FALSE)/VLOOKUP($B238,Korrigeringsfaktor_EI,'Korrigeringsfaktor EI'!R$1,FALSE),
"")</f>
        <v>3.4116629213483147</v>
      </c>
      <c r="S238" s="18">
        <f>IFERROR(
                  Andel_oberoende_av_klimat*VLOOKUP($A238,Leveranser_per_nät,'Leveranser per nät'!S$1,FALSE)
               +Andel_beroende_av_klimat*VLOOKUP($A238,Leveranser_per_nät,'Leveranser per nät'!S$1,FALSE)/VLOOKUP($B238,Korrigeringsfaktor_EI,'Korrigeringsfaktor EI'!S$1,FALSE),
"")</f>
        <v>3.2629090909090905</v>
      </c>
      <c r="T238" s="18">
        <f>IFERROR(
                  Andel_oberoende_av_klimat*VLOOKUP($A238,Leveranser_per_nät,'Leveranser per nät'!T$1,FALSE)
               +Andel_beroende_av_klimat*VLOOKUP($A238,Leveranser_per_nät,'Leveranser per nät'!T$1,FALSE)/VLOOKUP($B238,Korrigeringsfaktor_EI,'Korrigeringsfaktor EI'!T$1,FALSE),
"")</f>
        <v>3.044695652173913</v>
      </c>
      <c r="U238" s="18">
        <f>IFERROR(
                  Andel_oberoende_av_klimat*VLOOKUP($A238,Leveranser_per_nät,'Leveranser per nät'!U$1,FALSE)
               +Andel_beroende_av_klimat*VLOOKUP($A238,Leveranser_per_nät,'Leveranser per nät'!U$1,FALSE)/VLOOKUP($B238,Korrigeringsfaktor_EI,'Korrigeringsfaktor EI'!U$1,FALSE),
"")</f>
        <v>2.8733555555555554</v>
      </c>
      <c r="V238" s="18">
        <f>IFERROR(
                  Andel_oberoende_av_klimat*VLOOKUP($A238,Leveranser_per_nät,'Leveranser per nät'!V$1,FALSE)
               +Andel_beroende_av_klimat*VLOOKUP($A238,Leveranser_per_nät,'Leveranser per nät'!V$1,FALSE)/VLOOKUP($B238,Korrigeringsfaktor_EI,'Korrigeringsfaktor EI'!V$1,FALSE),
"")</f>
        <v>2.7449252873563217</v>
      </c>
      <c r="W238" s="18">
        <f>IFERROR(
                  Andel_oberoende_av_klimat*VLOOKUP($A238,Leveranser_per_nät,'Leveranser per nät'!W$1,FALSE)
               +Andel_beroende_av_klimat*VLOOKUP($A238,Leveranser_per_nät,'Leveranser per nät'!W$1,FALSE)/VLOOKUP($B238,Korrigeringsfaktor_EI,'Korrigeringsfaktor EI'!W$1,FALSE),
"")</f>
        <v>2.9404842105263156</v>
      </c>
      <c r="X238" s="18">
        <f>IFERROR(
                  Andel_oberoende_av_klimat*VLOOKUP($A238,Leveranser_per_nät,'Leveranser per nät'!X$1,FALSE)
               +Andel_beroende_av_klimat*VLOOKUP($A238,Leveranser_per_nät,'Leveranser per nät'!X$1,FALSE)/VLOOKUP($B238,Korrigeringsfaktor_EI,'Korrigeringsfaktor EI'!X$1,FALSE),
"")</f>
        <v>2.7643416666666667</v>
      </c>
      <c r="Y238" s="18">
        <f>IFERROR(
                  Andel_oberoende_av_klimat*VLOOKUP($A238,Leveranser_per_nät,'Leveranser per nät'!Y$1,FALSE)
               +Andel_beroende_av_klimat*VLOOKUP($A238,Leveranser_per_nät,'Leveranser per nät'!Y$1,FALSE)/VLOOKUP($B238,Korrigeringsfaktor_EI,'Korrigeringsfaktor EI'!Y$1,FALSE),
"")</f>
        <v>3.0054247311827957</v>
      </c>
      <c r="Z238" s="18">
        <f>IFERROR(
                  Andel_oberoende_av_klimat*VLOOKUP($A238,Leveranser_per_nät,'Leveranser per nät'!Z$1,FALSE)
               +Andel_beroende_av_klimat*VLOOKUP($A238,Leveranser_per_nät,'Leveranser per nät'!Z$1,FALSE)/VLOOKUP($B238,Korrigeringsfaktor_EI,'Korrigeringsfaktor EI'!Z$1,FALSE),
"")</f>
        <v>2.924982474226804</v>
      </c>
      <c r="AA238" s="18">
        <f>IFERROR(
                  Andel_oberoende_av_klimat*VLOOKUP($A238,Leveranser_per_nät,'Leveranser per nät'!AA$1,FALSE)
               +Andel_beroende_av_klimat*VLOOKUP($A238,Leveranser_per_nät,'Leveranser per nät'!AA$1,FALSE)/VLOOKUP($B238,Korrigeringsfaktor_EI,'Korrigeringsfaktor EI'!AA$1,FALSE),
"")</f>
        <v>2.7414073113207547</v>
      </c>
      <c r="AB238" s="18">
        <f>IFERROR(
                  Andel_oberoende_av_klimat*VLOOKUP($A238,Leveranser_per_nät,'Leveranser per nät'!AB$1,FALSE)
               +Andel_beroende_av_klimat*VLOOKUP($A238,Leveranser_per_nät,'Leveranser per nät'!AB$1,FALSE)/VLOOKUP($B238,Korrigeringsfaktor_EI,'Korrigeringsfaktor EI'!AB$1,FALSE),
"")</f>
        <v>3.0056970078740157</v>
      </c>
      <c r="AC238" s="18">
        <f>IFERROR(
                  Andel_oberoende_av_klimat*VLOOKUP($A238,Leveranser_per_nät,'Leveranser per nät'!AC$1,FALSE)
               +Andel_beroende_av_klimat*VLOOKUP($A238,Leveranser_per_nät,'Leveranser per nät'!AC$1,FALSE)/VLOOKUP($B238,Korrigeringsfaktor_EI,'Korrigeringsfaktor EI'!AC$1,FALSE),
"")</f>
        <v>2.7795552151101783</v>
      </c>
      <c r="AD238">
        <v>351.95330000000001</v>
      </c>
    </row>
    <row r="239" spans="1:30" x14ac:dyDescent="0.25">
      <c r="A239" t="s">
        <v>292</v>
      </c>
      <c r="B239" t="s">
        <v>533</v>
      </c>
      <c r="C239" s="18">
        <f>IFERROR(
                  Andel_oberoende_av_klimat*VLOOKUP($A239,Leveranser_per_nät,'Leveranser per nät'!C$1,FALSE)
               +Andel_beroende_av_klimat*VLOOKUP($A239,Leveranser_per_nät,'Leveranser per nät'!C$1,FALSE)/VLOOKUP($B239,Korrigeringsfaktor_EI,'Korrigeringsfaktor EI'!C$1,FALSE),
"")</f>
        <v>0</v>
      </c>
      <c r="D239" s="18">
        <f>IFERROR(
                  Andel_oberoende_av_klimat*VLOOKUP($A239,Leveranser_per_nät,'Leveranser per nät'!D$1,FALSE)
               +Andel_beroende_av_klimat*VLOOKUP($A239,Leveranser_per_nät,'Leveranser per nät'!D$1,FALSE)/VLOOKUP($B239,Korrigeringsfaktor_EI,'Korrigeringsfaktor EI'!D$1,FALSE),
"")</f>
        <v>0</v>
      </c>
      <c r="E239" s="18">
        <f>IFERROR(
                  Andel_oberoende_av_klimat*VLOOKUP($A239,Leveranser_per_nät,'Leveranser per nät'!E$1,FALSE)
               +Andel_beroende_av_klimat*VLOOKUP($A239,Leveranser_per_nät,'Leveranser per nät'!E$1,FALSE)/VLOOKUP($B239,Korrigeringsfaktor_EI,'Korrigeringsfaktor EI'!E$1,FALSE),
"")</f>
        <v>0</v>
      </c>
      <c r="F239" s="18">
        <f>IFERROR(
                  Andel_oberoende_av_klimat*VLOOKUP($A239,Leveranser_per_nät,'Leveranser per nät'!F$1,FALSE)
               +Andel_beroende_av_klimat*VLOOKUP($A239,Leveranser_per_nät,'Leveranser per nät'!F$1,FALSE)/VLOOKUP($B239,Korrigeringsfaktor_EI,'Korrigeringsfaktor EI'!F$1,FALSE),
"")</f>
        <v>0</v>
      </c>
      <c r="G239" s="18">
        <f>IFERROR(
                  Andel_oberoende_av_klimat*VLOOKUP($A239,Leveranser_per_nät,'Leveranser per nät'!G$1,FALSE)
               +Andel_beroende_av_klimat*VLOOKUP($A239,Leveranser_per_nät,'Leveranser per nät'!G$1,FALSE)/VLOOKUP($B239,Korrigeringsfaktor_EI,'Korrigeringsfaktor EI'!G$1,FALSE),
"")</f>
        <v>0</v>
      </c>
      <c r="H239" s="18">
        <f>IFERROR(
                  Andel_oberoende_av_klimat*VLOOKUP($A239,Leveranser_per_nät,'Leveranser per nät'!H$1,FALSE)
               +Andel_beroende_av_klimat*VLOOKUP($A239,Leveranser_per_nät,'Leveranser per nät'!H$1,FALSE)/VLOOKUP($B239,Korrigeringsfaktor_EI,'Korrigeringsfaktor EI'!H$1,FALSE),
"")</f>
        <v>0</v>
      </c>
      <c r="I239" s="18">
        <f>IFERROR(
                  Andel_oberoende_av_klimat*VLOOKUP($A239,Leveranser_per_nät,'Leveranser per nät'!I$1,FALSE)
               +Andel_beroende_av_klimat*VLOOKUP($A239,Leveranser_per_nät,'Leveranser per nät'!I$1,FALSE)/VLOOKUP($B239,Korrigeringsfaktor_EI,'Korrigeringsfaktor EI'!I$1,FALSE),
"")</f>
        <v>0</v>
      </c>
      <c r="J239" s="18">
        <f>IFERROR(
                  Andel_oberoende_av_klimat*VLOOKUP($A239,Leveranser_per_nät,'Leveranser per nät'!J$1,FALSE)
               +Andel_beroende_av_klimat*VLOOKUP($A239,Leveranser_per_nät,'Leveranser per nät'!J$1,FALSE)/VLOOKUP($B239,Korrigeringsfaktor_EI,'Korrigeringsfaktor EI'!J$1,FALSE),
"")</f>
        <v>0</v>
      </c>
      <c r="K239" s="18">
        <f>IFERROR(
                  Andel_oberoende_av_klimat*VLOOKUP($A239,Leveranser_per_nät,'Leveranser per nät'!K$1,FALSE)
               +Andel_beroende_av_klimat*VLOOKUP($A239,Leveranser_per_nät,'Leveranser per nät'!K$1,FALSE)/VLOOKUP($B239,Korrigeringsfaktor_EI,'Korrigeringsfaktor EI'!K$1,FALSE),
"")</f>
        <v>0</v>
      </c>
      <c r="L239" s="18">
        <f>IFERROR(
                  Andel_oberoende_av_klimat*VLOOKUP($A239,Leveranser_per_nät,'Leveranser per nät'!L$1,FALSE)
               +Andel_beroende_av_klimat*VLOOKUP($A239,Leveranser_per_nät,'Leveranser per nät'!L$1,FALSE)/VLOOKUP($B239,Korrigeringsfaktor_EI,'Korrigeringsfaktor EI'!L$1,FALSE),
"")</f>
        <v>0</v>
      </c>
      <c r="M239" s="18">
        <f>IFERROR(
                  Andel_oberoende_av_klimat*VLOOKUP($A239,Leveranser_per_nät,'Leveranser per nät'!M$1,FALSE)
               +Andel_beroende_av_klimat*VLOOKUP($A239,Leveranser_per_nät,'Leveranser per nät'!M$1,FALSE)/VLOOKUP($B239,Korrigeringsfaktor_EI,'Korrigeringsfaktor EI'!M$1,FALSE),
"")</f>
        <v>1.5972666666666666</v>
      </c>
      <c r="N239" s="18">
        <f>IFERROR(
                  Andel_oberoende_av_klimat*VLOOKUP($A239,Leveranser_per_nät,'Leveranser per nät'!N$1,FALSE)
               +Andel_beroende_av_klimat*VLOOKUP($A239,Leveranser_per_nät,'Leveranser per nät'!N$1,FALSE)/VLOOKUP($B239,Korrigeringsfaktor_EI,'Korrigeringsfaktor EI'!N$1,FALSE),
"")</f>
        <v>1.7581978723404257</v>
      </c>
      <c r="O239" s="18">
        <f>IFERROR(
                  Andel_oberoende_av_klimat*VLOOKUP($A239,Leveranser_per_nät,'Leveranser per nät'!O$1,FALSE)
               +Andel_beroende_av_klimat*VLOOKUP($A239,Leveranser_per_nät,'Leveranser per nät'!O$1,FALSE)/VLOOKUP($B239,Korrigeringsfaktor_EI,'Korrigeringsfaktor EI'!O$1,FALSE),
"")</f>
        <v>1.6927225806451613</v>
      </c>
      <c r="P239" s="18">
        <f>IFERROR(
                  Andel_oberoende_av_klimat*VLOOKUP($A239,Leveranser_per_nät,'Leveranser per nät'!P$1,FALSE)
               +Andel_beroende_av_klimat*VLOOKUP($A239,Leveranser_per_nät,'Leveranser per nät'!P$1,FALSE)/VLOOKUP($B239,Korrigeringsfaktor_EI,'Korrigeringsfaktor EI'!P$1,FALSE),
"")</f>
        <v>1.6756</v>
      </c>
      <c r="Q239" s="18">
        <f>IFERROR(
                  Andel_oberoende_av_klimat*VLOOKUP($A239,Leveranser_per_nät,'Leveranser per nät'!Q$1,FALSE)
               +Andel_beroende_av_klimat*VLOOKUP($A239,Leveranser_per_nät,'Leveranser per nät'!Q$1,FALSE)/VLOOKUP($B239,Korrigeringsfaktor_EI,'Korrigeringsfaktor EI'!Q$1,FALSE),
"")</f>
        <v>0</v>
      </c>
      <c r="R239" s="18">
        <f>IFERROR(
                  Andel_oberoende_av_klimat*VLOOKUP($A239,Leveranser_per_nät,'Leveranser per nät'!R$1,FALSE)
               +Andel_beroende_av_klimat*VLOOKUP($A239,Leveranser_per_nät,'Leveranser per nät'!R$1,FALSE)/VLOOKUP($B239,Korrigeringsfaktor_EI,'Korrigeringsfaktor EI'!R$1,FALSE),
"")</f>
        <v>0</v>
      </c>
      <c r="S239" s="18" t="str">
        <f>IFERROR(
                  Andel_oberoende_av_klimat*VLOOKUP($A239,Leveranser_per_nät,'Leveranser per nät'!S$1,FALSE)
               +Andel_beroende_av_klimat*VLOOKUP($A239,Leveranser_per_nät,'Leveranser per nät'!S$1,FALSE)/VLOOKUP($B239,Korrigeringsfaktor_EI,'Korrigeringsfaktor EI'!S$1,FALSE),
"")</f>
        <v/>
      </c>
      <c r="T239" s="18" t="str">
        <f>IFERROR(
                  Andel_oberoende_av_klimat*VLOOKUP($A239,Leveranser_per_nät,'Leveranser per nät'!T$1,FALSE)
               +Andel_beroende_av_klimat*VLOOKUP($A239,Leveranser_per_nät,'Leveranser per nät'!T$1,FALSE)/VLOOKUP($B239,Korrigeringsfaktor_EI,'Korrigeringsfaktor EI'!T$1,FALSE),
"")</f>
        <v/>
      </c>
      <c r="U239" s="18" t="str">
        <f>IFERROR(
                  Andel_oberoende_av_klimat*VLOOKUP($A239,Leveranser_per_nät,'Leveranser per nät'!U$1,FALSE)
               +Andel_beroende_av_klimat*VLOOKUP($A239,Leveranser_per_nät,'Leveranser per nät'!U$1,FALSE)/VLOOKUP($B239,Korrigeringsfaktor_EI,'Korrigeringsfaktor EI'!U$1,FALSE),
"")</f>
        <v/>
      </c>
      <c r="V239" s="18" t="str">
        <f>IFERROR(
                  Andel_oberoende_av_klimat*VLOOKUP($A239,Leveranser_per_nät,'Leveranser per nät'!V$1,FALSE)
               +Andel_beroende_av_klimat*VLOOKUP($A239,Leveranser_per_nät,'Leveranser per nät'!V$1,FALSE)/VLOOKUP($B239,Korrigeringsfaktor_EI,'Korrigeringsfaktor EI'!V$1,FALSE),
"")</f>
        <v/>
      </c>
      <c r="W239" s="18" t="str">
        <f>IFERROR(
                  Andel_oberoende_av_klimat*VLOOKUP($A239,Leveranser_per_nät,'Leveranser per nät'!W$1,FALSE)
               +Andel_beroende_av_klimat*VLOOKUP($A239,Leveranser_per_nät,'Leveranser per nät'!W$1,FALSE)/VLOOKUP($B239,Korrigeringsfaktor_EI,'Korrigeringsfaktor EI'!W$1,FALSE),
"")</f>
        <v/>
      </c>
      <c r="X239" s="18" t="str">
        <f>IFERROR(
                  Andel_oberoende_av_klimat*VLOOKUP($A239,Leveranser_per_nät,'Leveranser per nät'!X$1,FALSE)
               +Andel_beroende_av_klimat*VLOOKUP($A239,Leveranser_per_nät,'Leveranser per nät'!X$1,FALSE)/VLOOKUP($B239,Korrigeringsfaktor_EI,'Korrigeringsfaktor EI'!X$1,FALSE),
"")</f>
        <v/>
      </c>
      <c r="Y239" s="18" t="str">
        <f>IFERROR(
                  Andel_oberoende_av_klimat*VLOOKUP($A239,Leveranser_per_nät,'Leveranser per nät'!Y$1,FALSE)
               +Andel_beroende_av_klimat*VLOOKUP($A239,Leveranser_per_nät,'Leveranser per nät'!Y$1,FALSE)/VLOOKUP($B239,Korrigeringsfaktor_EI,'Korrigeringsfaktor EI'!Y$1,FALSE),
"")</f>
        <v/>
      </c>
      <c r="Z239" s="18">
        <f>IFERROR(
                  Andel_oberoende_av_klimat*VLOOKUP($A239,Leveranser_per_nät,'Leveranser per nät'!Z$1,FALSE)
               +Andel_beroende_av_klimat*VLOOKUP($A239,Leveranser_per_nät,'Leveranser per nät'!Z$1,FALSE)/VLOOKUP($B239,Korrigeringsfaktor_EI,'Korrigeringsfaktor EI'!Z$1,FALSE),
"")</f>
        <v>0</v>
      </c>
      <c r="AA239" s="18" t="str">
        <f>IFERROR(
                  Andel_oberoende_av_klimat*VLOOKUP($A239,Leveranser_per_nät,'Leveranser per nät'!AA$1,FALSE)
               +Andel_beroende_av_klimat*VLOOKUP($A239,Leveranser_per_nät,'Leveranser per nät'!AA$1,FALSE)/VLOOKUP($B239,Korrigeringsfaktor_EI,'Korrigeringsfaktor EI'!AA$1,FALSE),
"")</f>
        <v/>
      </c>
      <c r="AB239" s="18">
        <f>IFERROR(
                  Andel_oberoende_av_klimat*VLOOKUP($A239,Leveranser_per_nät,'Leveranser per nät'!AB$1,FALSE)
               +Andel_beroende_av_klimat*VLOOKUP($A239,Leveranser_per_nät,'Leveranser per nät'!AB$1,FALSE)/VLOOKUP($B239,Korrigeringsfaktor_EI,'Korrigeringsfaktor EI'!AB$1,FALSE),
"")</f>
        <v>0</v>
      </c>
      <c r="AC239" s="18">
        <f>IFERROR(
                  Andel_oberoende_av_klimat*VLOOKUP($A239,Leveranser_per_nät,'Leveranser per nät'!AC$1,FALSE)
               +Andel_beroende_av_klimat*VLOOKUP($A239,Leveranser_per_nät,'Leveranser per nät'!AC$1,FALSE)/VLOOKUP($B239,Korrigeringsfaktor_EI,'Korrigeringsfaktor EI'!AC$1,FALSE),
"")</f>
        <v>0</v>
      </c>
      <c r="AD239">
        <v>11</v>
      </c>
    </row>
    <row r="240" spans="1:30" x14ac:dyDescent="0.25">
      <c r="A240" t="s">
        <v>490</v>
      </c>
      <c r="B240" t="s">
        <v>78</v>
      </c>
      <c r="C240" s="18">
        <f>IFERROR(
                  Andel_oberoende_av_klimat*VLOOKUP($A240,Leveranser_per_nät,'Leveranser per nät'!C$1,FALSE)
               +Andel_beroende_av_klimat*VLOOKUP($A240,Leveranser_per_nät,'Leveranser per nät'!C$1,FALSE)/VLOOKUP($B240,Korrigeringsfaktor_EI,'Korrigeringsfaktor EI'!C$1,FALSE),
"")</f>
        <v>0</v>
      </c>
      <c r="D240" s="18">
        <f>IFERROR(
                  Andel_oberoende_av_klimat*VLOOKUP($A240,Leveranser_per_nät,'Leveranser per nät'!D$1,FALSE)
               +Andel_beroende_av_klimat*VLOOKUP($A240,Leveranser_per_nät,'Leveranser per nät'!D$1,FALSE)/VLOOKUP($B240,Korrigeringsfaktor_EI,'Korrigeringsfaktor EI'!D$1,FALSE),
"")</f>
        <v>0</v>
      </c>
      <c r="E240" s="18">
        <f>IFERROR(
                  Andel_oberoende_av_klimat*VLOOKUP($A240,Leveranser_per_nät,'Leveranser per nät'!E$1,FALSE)
               +Andel_beroende_av_klimat*VLOOKUP($A240,Leveranser_per_nät,'Leveranser per nät'!E$1,FALSE)/VLOOKUP($B240,Korrigeringsfaktor_EI,'Korrigeringsfaktor EI'!E$1,FALSE),
"")</f>
        <v>0</v>
      </c>
      <c r="F240" s="18">
        <f>IFERROR(
                  Andel_oberoende_av_klimat*VLOOKUP($A240,Leveranser_per_nät,'Leveranser per nät'!F$1,FALSE)
               +Andel_beroende_av_klimat*VLOOKUP($A240,Leveranser_per_nät,'Leveranser per nät'!F$1,FALSE)/VLOOKUP($B240,Korrigeringsfaktor_EI,'Korrigeringsfaktor EI'!F$1,FALSE),
"")</f>
        <v>0</v>
      </c>
      <c r="G240" s="18">
        <f>IFERROR(
                  Andel_oberoende_av_klimat*VLOOKUP($A240,Leveranser_per_nät,'Leveranser per nät'!G$1,FALSE)
               +Andel_beroende_av_klimat*VLOOKUP($A240,Leveranser_per_nät,'Leveranser per nät'!G$1,FALSE)/VLOOKUP($B240,Korrigeringsfaktor_EI,'Korrigeringsfaktor EI'!G$1,FALSE),
"")</f>
        <v>0</v>
      </c>
      <c r="H240" s="18">
        <f>IFERROR(
                  Andel_oberoende_av_klimat*VLOOKUP($A240,Leveranser_per_nät,'Leveranser per nät'!H$1,FALSE)
               +Andel_beroende_av_klimat*VLOOKUP($A240,Leveranser_per_nät,'Leveranser per nät'!H$1,FALSE)/VLOOKUP($B240,Korrigeringsfaktor_EI,'Korrigeringsfaktor EI'!H$1,FALSE),
"")</f>
        <v>0</v>
      </c>
      <c r="I240" s="18">
        <f>IFERROR(
                  Andel_oberoende_av_klimat*VLOOKUP($A240,Leveranser_per_nät,'Leveranser per nät'!I$1,FALSE)
               +Andel_beroende_av_klimat*VLOOKUP($A240,Leveranser_per_nät,'Leveranser per nät'!I$1,FALSE)/VLOOKUP($B240,Korrigeringsfaktor_EI,'Korrigeringsfaktor EI'!I$1,FALSE),
"")</f>
        <v>0</v>
      </c>
      <c r="J240" s="18">
        <f>IFERROR(
                  Andel_oberoende_av_klimat*VLOOKUP($A240,Leveranser_per_nät,'Leveranser per nät'!J$1,FALSE)
               +Andel_beroende_av_klimat*VLOOKUP($A240,Leveranser_per_nät,'Leveranser per nät'!J$1,FALSE)/VLOOKUP($B240,Korrigeringsfaktor_EI,'Korrigeringsfaktor EI'!J$1,FALSE),
"")</f>
        <v>0</v>
      </c>
      <c r="K240" s="18">
        <f>IFERROR(
                  Andel_oberoende_av_klimat*VLOOKUP($A240,Leveranser_per_nät,'Leveranser per nät'!K$1,FALSE)
               +Andel_beroende_av_klimat*VLOOKUP($A240,Leveranser_per_nät,'Leveranser per nät'!K$1,FALSE)/VLOOKUP($B240,Korrigeringsfaktor_EI,'Korrigeringsfaktor EI'!K$1,FALSE),
"")</f>
        <v>0</v>
      </c>
      <c r="L240" s="18">
        <f>IFERROR(
                  Andel_oberoende_av_klimat*VLOOKUP($A240,Leveranser_per_nät,'Leveranser per nät'!L$1,FALSE)
               +Andel_beroende_av_klimat*VLOOKUP($A240,Leveranser_per_nät,'Leveranser per nät'!L$1,FALSE)/VLOOKUP($B240,Korrigeringsfaktor_EI,'Korrigeringsfaktor EI'!L$1,FALSE),
"")</f>
        <v>0</v>
      </c>
      <c r="M240" s="18">
        <f>IFERROR(
                  Andel_oberoende_av_klimat*VLOOKUP($A240,Leveranser_per_nät,'Leveranser per nät'!M$1,FALSE)
               +Andel_beroende_av_klimat*VLOOKUP($A240,Leveranser_per_nät,'Leveranser per nät'!M$1,FALSE)/VLOOKUP($B240,Korrigeringsfaktor_EI,'Korrigeringsfaktor EI'!M$1,FALSE),
"")</f>
        <v>0</v>
      </c>
      <c r="N240" s="18">
        <f>IFERROR(
                  Andel_oberoende_av_klimat*VLOOKUP($A240,Leveranser_per_nät,'Leveranser per nät'!N$1,FALSE)
               +Andel_beroende_av_klimat*VLOOKUP($A240,Leveranser_per_nät,'Leveranser per nät'!N$1,FALSE)/VLOOKUP($B240,Korrigeringsfaktor_EI,'Korrigeringsfaktor EI'!N$1,FALSE),
"")</f>
        <v>0</v>
      </c>
      <c r="O240" s="18">
        <f>IFERROR(
                  Andel_oberoende_av_klimat*VLOOKUP($A240,Leveranser_per_nät,'Leveranser per nät'!O$1,FALSE)
               +Andel_beroende_av_klimat*VLOOKUP($A240,Leveranser_per_nät,'Leveranser per nät'!O$1,FALSE)/VLOOKUP($B240,Korrigeringsfaktor_EI,'Korrigeringsfaktor EI'!O$1,FALSE),
"")</f>
        <v>0</v>
      </c>
      <c r="P240" s="18">
        <f>IFERROR(
                  Andel_oberoende_av_klimat*VLOOKUP($A240,Leveranser_per_nät,'Leveranser per nät'!P$1,FALSE)
               +Andel_beroende_av_klimat*VLOOKUP($A240,Leveranser_per_nät,'Leveranser per nät'!P$1,FALSE)/VLOOKUP($B240,Korrigeringsfaktor_EI,'Korrigeringsfaktor EI'!P$1,FALSE),
"")</f>
        <v>0</v>
      </c>
      <c r="Q240" s="18">
        <f>IFERROR(
                  Andel_oberoende_av_klimat*VLOOKUP($A240,Leveranser_per_nät,'Leveranser per nät'!Q$1,FALSE)
               +Andel_beroende_av_klimat*VLOOKUP($A240,Leveranser_per_nät,'Leveranser per nät'!Q$1,FALSE)/VLOOKUP($B240,Korrigeringsfaktor_EI,'Korrigeringsfaktor EI'!Q$1,FALSE),
"")</f>
        <v>7.3519819819819823</v>
      </c>
      <c r="R240" s="18">
        <f>IFERROR(
                  Andel_oberoende_av_klimat*VLOOKUP($A240,Leveranser_per_nät,'Leveranser per nät'!R$1,FALSE)
               +Andel_beroende_av_klimat*VLOOKUP($A240,Leveranser_per_nät,'Leveranser per nät'!R$1,FALSE)/VLOOKUP($B240,Korrigeringsfaktor_EI,'Korrigeringsfaktor EI'!R$1,FALSE),
"")</f>
        <v>7.4260869565217389</v>
      </c>
      <c r="S240" s="18">
        <f>IFERROR(
                  Andel_oberoende_av_klimat*VLOOKUP($A240,Leveranser_per_nät,'Leveranser per nät'!S$1,FALSE)
               +Andel_beroende_av_klimat*VLOOKUP($A240,Leveranser_per_nät,'Leveranser per nät'!S$1,FALSE)/VLOOKUP($B240,Korrigeringsfaktor_EI,'Korrigeringsfaktor EI'!S$1,FALSE),
"")</f>
        <v>8.5403960396039604</v>
      </c>
      <c r="T240" s="18">
        <f>IFERROR(
                  Andel_oberoende_av_klimat*VLOOKUP($A240,Leveranser_per_nät,'Leveranser per nät'!T$1,FALSE)
               +Andel_beroende_av_klimat*VLOOKUP($A240,Leveranser_per_nät,'Leveranser per nät'!T$1,FALSE)/VLOOKUP($B240,Korrigeringsfaktor_EI,'Korrigeringsfaktor EI'!T$1,FALSE),
"")</f>
        <v>7.6375714285714293</v>
      </c>
      <c r="U240" s="18">
        <f>IFERROR(
                  Andel_oberoende_av_klimat*VLOOKUP($A240,Leveranser_per_nät,'Leveranser per nät'!U$1,FALSE)
               +Andel_beroende_av_klimat*VLOOKUP($A240,Leveranser_per_nät,'Leveranser per nät'!U$1,FALSE)/VLOOKUP($B240,Korrigeringsfaktor_EI,'Korrigeringsfaktor EI'!U$1,FALSE),
"")</f>
        <v>7.4008045977011498</v>
      </c>
      <c r="V240" s="18">
        <f>IFERROR(
                  Andel_oberoende_av_klimat*VLOOKUP($A240,Leveranser_per_nät,'Leveranser per nät'!V$1,FALSE)
               +Andel_beroende_av_klimat*VLOOKUP($A240,Leveranser_per_nät,'Leveranser per nät'!V$1,FALSE)/VLOOKUP($B240,Korrigeringsfaktor_EI,'Korrigeringsfaktor EI'!V$1,FALSE),
"")</f>
        <v>6.6834782608695651</v>
      </c>
      <c r="W240" s="18">
        <f>IFERROR(
                  Andel_oberoende_av_klimat*VLOOKUP($A240,Leveranser_per_nät,'Leveranser per nät'!W$1,FALSE)
               +Andel_beroende_av_klimat*VLOOKUP($A240,Leveranser_per_nät,'Leveranser per nät'!W$1,FALSE)/VLOOKUP($B240,Korrigeringsfaktor_EI,'Korrigeringsfaktor EI'!W$1,FALSE),
"")</f>
        <v>7.15421052631579</v>
      </c>
      <c r="X240" s="18">
        <f>IFERROR(
                  Andel_oberoende_av_klimat*VLOOKUP($A240,Leveranser_per_nät,'Leveranser per nät'!X$1,FALSE)
               +Andel_beroende_av_klimat*VLOOKUP($A240,Leveranser_per_nät,'Leveranser per nät'!X$1,FALSE)/VLOOKUP($B240,Korrigeringsfaktor_EI,'Korrigeringsfaktor EI'!X$1,FALSE),
"")</f>
        <v>7.2082978723404265</v>
      </c>
      <c r="Y240" s="18">
        <f>IFERROR(
                  Andel_oberoende_av_klimat*VLOOKUP($A240,Leveranser_per_nät,'Leveranser per nät'!Y$1,FALSE)
               +Andel_beroende_av_klimat*VLOOKUP($A240,Leveranser_per_nät,'Leveranser per nät'!Y$1,FALSE)/VLOOKUP($B240,Korrigeringsfaktor_EI,'Korrigeringsfaktor EI'!Y$1,FALSE),
"")</f>
        <v>7.6056179775280901</v>
      </c>
      <c r="Z240" s="18">
        <f>IFERROR(
                  Andel_oberoende_av_klimat*VLOOKUP($A240,Leveranser_per_nät,'Leveranser per nät'!Z$1,FALSE)
               +Andel_beroende_av_klimat*VLOOKUP($A240,Leveranser_per_nät,'Leveranser per nät'!Z$1,FALSE)/VLOOKUP($B240,Korrigeringsfaktor_EI,'Korrigeringsfaktor EI'!Z$1,FALSE),
"")</f>
        <v>6.8485057471264366</v>
      </c>
      <c r="AA240" s="18">
        <f>IFERROR(
                  Andel_oberoende_av_klimat*VLOOKUP($A240,Leveranser_per_nät,'Leveranser per nät'!AA$1,FALSE)
               +Andel_beroende_av_klimat*VLOOKUP($A240,Leveranser_per_nät,'Leveranser per nät'!AA$1,FALSE)/VLOOKUP($B240,Korrigeringsfaktor_EI,'Korrigeringsfaktor EI'!AA$1,FALSE),
"")</f>
        <v>6.4719160244485785</v>
      </c>
      <c r="AB240" s="18">
        <f>IFERROR(
                  Andel_oberoende_av_klimat*VLOOKUP($A240,Leveranser_per_nät,'Leveranser per nät'!AB$1,FALSE)
               +Andel_beroende_av_klimat*VLOOKUP($A240,Leveranser_per_nät,'Leveranser per nät'!AB$1,FALSE)/VLOOKUP($B240,Korrigeringsfaktor_EI,'Korrigeringsfaktor EI'!AB$1,FALSE),
"")</f>
        <v>6.7904990019960074</v>
      </c>
      <c r="AC240" s="18">
        <f>IFERROR(
                  Andel_oberoende_av_klimat*VLOOKUP($A240,Leveranser_per_nät,'Leveranser per nät'!AC$1,FALSE)
               +Andel_beroende_av_klimat*VLOOKUP($A240,Leveranser_per_nät,'Leveranser per nät'!AC$1,FALSE)/VLOOKUP($B240,Korrigeringsfaktor_EI,'Korrigeringsfaktor EI'!AC$1,FALSE),
"")</f>
        <v>6.6116274089935754</v>
      </c>
      <c r="AD240">
        <v>137.1</v>
      </c>
    </row>
    <row r="241" spans="1:30" x14ac:dyDescent="0.25">
      <c r="A241" t="s">
        <v>403</v>
      </c>
      <c r="B241" t="s">
        <v>420</v>
      </c>
      <c r="C241" s="18">
        <f>IFERROR(
                  Andel_oberoende_av_klimat*VLOOKUP($A241,Leveranser_per_nät,'Leveranser per nät'!C$1,FALSE)
               +Andel_beroende_av_klimat*VLOOKUP($A241,Leveranser_per_nät,'Leveranser per nät'!C$1,FALSE)/VLOOKUP($B241,Korrigeringsfaktor_EI,'Korrigeringsfaktor EI'!C$1,FALSE),
"")</f>
        <v>0</v>
      </c>
      <c r="D241" s="18">
        <f>IFERROR(
                  Andel_oberoende_av_klimat*VLOOKUP($A241,Leveranser_per_nät,'Leveranser per nät'!D$1,FALSE)
               +Andel_beroende_av_klimat*VLOOKUP($A241,Leveranser_per_nät,'Leveranser per nät'!D$1,FALSE)/VLOOKUP($B241,Korrigeringsfaktor_EI,'Korrigeringsfaktor EI'!D$1,FALSE),
"")</f>
        <v>0</v>
      </c>
      <c r="E241" s="18">
        <f>IFERROR(
                  Andel_oberoende_av_klimat*VLOOKUP($A241,Leveranser_per_nät,'Leveranser per nät'!E$1,FALSE)
               +Andel_beroende_av_klimat*VLOOKUP($A241,Leveranser_per_nät,'Leveranser per nät'!E$1,FALSE)/VLOOKUP($B241,Korrigeringsfaktor_EI,'Korrigeringsfaktor EI'!E$1,FALSE),
"")</f>
        <v>0</v>
      </c>
      <c r="F241" s="18">
        <f>IFERROR(
                  Andel_oberoende_av_klimat*VLOOKUP($A241,Leveranser_per_nät,'Leveranser per nät'!F$1,FALSE)
               +Andel_beroende_av_klimat*VLOOKUP($A241,Leveranser_per_nät,'Leveranser per nät'!F$1,FALSE)/VLOOKUP($B241,Korrigeringsfaktor_EI,'Korrigeringsfaktor EI'!F$1,FALSE),
"")</f>
        <v>0</v>
      </c>
      <c r="G241" s="18">
        <f>IFERROR(
                  Andel_oberoende_av_klimat*VLOOKUP($A241,Leveranser_per_nät,'Leveranser per nät'!G$1,FALSE)
               +Andel_beroende_av_klimat*VLOOKUP($A241,Leveranser_per_nät,'Leveranser per nät'!G$1,FALSE)/VLOOKUP($B241,Korrigeringsfaktor_EI,'Korrigeringsfaktor EI'!G$1,FALSE),
"")</f>
        <v>0</v>
      </c>
      <c r="H241" s="18">
        <f>IFERROR(
                  Andel_oberoende_av_klimat*VLOOKUP($A241,Leveranser_per_nät,'Leveranser per nät'!H$1,FALSE)
               +Andel_beroende_av_klimat*VLOOKUP($A241,Leveranser_per_nät,'Leveranser per nät'!H$1,FALSE)/VLOOKUP($B241,Korrigeringsfaktor_EI,'Korrigeringsfaktor EI'!H$1,FALSE),
"")</f>
        <v>0</v>
      </c>
      <c r="I241" s="18">
        <f>IFERROR(
                  Andel_oberoende_av_klimat*VLOOKUP($A241,Leveranser_per_nät,'Leveranser per nät'!I$1,FALSE)
               +Andel_beroende_av_klimat*VLOOKUP($A241,Leveranser_per_nät,'Leveranser per nät'!I$1,FALSE)/VLOOKUP($B241,Korrigeringsfaktor_EI,'Korrigeringsfaktor EI'!I$1,FALSE),
"")</f>
        <v>0</v>
      </c>
      <c r="J241" s="18">
        <f>IFERROR(
                  Andel_oberoende_av_klimat*VLOOKUP($A241,Leveranser_per_nät,'Leveranser per nät'!J$1,FALSE)
               +Andel_beroende_av_klimat*VLOOKUP($A241,Leveranser_per_nät,'Leveranser per nät'!J$1,FALSE)/VLOOKUP($B241,Korrigeringsfaktor_EI,'Korrigeringsfaktor EI'!J$1,FALSE),
"")</f>
        <v>0</v>
      </c>
      <c r="K241" s="18">
        <f>IFERROR(
                  Andel_oberoende_av_klimat*VLOOKUP($A241,Leveranser_per_nät,'Leveranser per nät'!K$1,FALSE)
               +Andel_beroende_av_klimat*VLOOKUP($A241,Leveranser_per_nät,'Leveranser per nät'!K$1,FALSE)/VLOOKUP($B241,Korrigeringsfaktor_EI,'Korrigeringsfaktor EI'!K$1,FALSE),
"")</f>
        <v>0</v>
      </c>
      <c r="L241" s="18">
        <f>IFERROR(
                  Andel_oberoende_av_klimat*VLOOKUP($A241,Leveranser_per_nät,'Leveranser per nät'!L$1,FALSE)
               +Andel_beroende_av_klimat*VLOOKUP($A241,Leveranser_per_nät,'Leveranser per nät'!L$1,FALSE)/VLOOKUP($B241,Korrigeringsfaktor_EI,'Korrigeringsfaktor EI'!L$1,FALSE),
"")</f>
        <v>5.9532685233570177</v>
      </c>
      <c r="M241" s="18">
        <f>IFERROR(
                  Andel_oberoende_av_klimat*VLOOKUP($A241,Leveranser_per_nät,'Leveranser per nät'!M$1,FALSE)
               +Andel_beroende_av_klimat*VLOOKUP($A241,Leveranser_per_nät,'Leveranser per nät'!M$1,FALSE)/VLOOKUP($B241,Korrigeringsfaktor_EI,'Korrigeringsfaktor EI'!M$1,FALSE),
"")</f>
        <v>10.245355555555555</v>
      </c>
      <c r="N241" s="18">
        <f>IFERROR(
                  Andel_oberoende_av_klimat*VLOOKUP($A241,Leveranser_per_nät,'Leveranser per nät'!N$1,FALSE)
               +Andel_beroende_av_klimat*VLOOKUP($A241,Leveranser_per_nät,'Leveranser per nät'!N$1,FALSE)/VLOOKUP($B241,Korrigeringsfaktor_EI,'Korrigeringsfaktor EI'!N$1,FALSE),
"")</f>
        <v>10.32191011235955</v>
      </c>
      <c r="O241" s="18">
        <f>IFERROR(
                  Andel_oberoende_av_klimat*VLOOKUP($A241,Leveranser_per_nät,'Leveranser per nät'!O$1,FALSE)
               +Andel_beroende_av_klimat*VLOOKUP($A241,Leveranser_per_nät,'Leveranser per nät'!O$1,FALSE)/VLOOKUP($B241,Korrigeringsfaktor_EI,'Korrigeringsfaktor EI'!O$1,FALSE),
"")</f>
        <v>0</v>
      </c>
      <c r="P241" s="18">
        <f>IFERROR(
                  Andel_oberoende_av_klimat*VLOOKUP($A241,Leveranser_per_nät,'Leveranser per nät'!P$1,FALSE)
               +Andel_beroende_av_klimat*VLOOKUP($A241,Leveranser_per_nät,'Leveranser per nät'!P$1,FALSE)/VLOOKUP($B241,Korrigeringsfaktor_EI,'Korrigeringsfaktor EI'!P$1,FALSE),
"")</f>
        <v>0</v>
      </c>
      <c r="Q241" s="18">
        <f>IFERROR(
                  Andel_oberoende_av_klimat*VLOOKUP($A241,Leveranser_per_nät,'Leveranser per nät'!Q$1,FALSE)
               +Andel_beroende_av_klimat*VLOOKUP($A241,Leveranser_per_nät,'Leveranser per nät'!Q$1,FALSE)/VLOOKUP($B241,Korrigeringsfaktor_EI,'Korrigeringsfaktor EI'!Q$1,FALSE),
"")</f>
        <v>0</v>
      </c>
      <c r="R241" s="18">
        <f>IFERROR(
                  Andel_oberoende_av_klimat*VLOOKUP($A241,Leveranser_per_nät,'Leveranser per nät'!R$1,FALSE)
               +Andel_beroende_av_klimat*VLOOKUP($A241,Leveranser_per_nät,'Leveranser per nät'!R$1,FALSE)/VLOOKUP($B241,Korrigeringsfaktor_EI,'Korrigeringsfaktor EI'!R$1,FALSE),
"")</f>
        <v>0</v>
      </c>
      <c r="S241" s="18" t="str">
        <f>IFERROR(
                  Andel_oberoende_av_klimat*VLOOKUP($A241,Leveranser_per_nät,'Leveranser per nät'!S$1,FALSE)
               +Andel_beroende_av_klimat*VLOOKUP($A241,Leveranser_per_nät,'Leveranser per nät'!S$1,FALSE)/VLOOKUP($B241,Korrigeringsfaktor_EI,'Korrigeringsfaktor EI'!S$1,FALSE),
"")</f>
        <v/>
      </c>
      <c r="T241" s="18" t="str">
        <f>IFERROR(
                  Andel_oberoende_av_klimat*VLOOKUP($A241,Leveranser_per_nät,'Leveranser per nät'!T$1,FALSE)
               +Andel_beroende_av_klimat*VLOOKUP($A241,Leveranser_per_nät,'Leveranser per nät'!T$1,FALSE)/VLOOKUP($B241,Korrigeringsfaktor_EI,'Korrigeringsfaktor EI'!T$1,FALSE),
"")</f>
        <v/>
      </c>
      <c r="U241" s="18" t="str">
        <f>IFERROR(
                  Andel_oberoende_av_klimat*VLOOKUP($A241,Leveranser_per_nät,'Leveranser per nät'!U$1,FALSE)
               +Andel_beroende_av_klimat*VLOOKUP($A241,Leveranser_per_nät,'Leveranser per nät'!U$1,FALSE)/VLOOKUP($B241,Korrigeringsfaktor_EI,'Korrigeringsfaktor EI'!U$1,FALSE),
"")</f>
        <v/>
      </c>
      <c r="V241" s="18" t="str">
        <f>IFERROR(
                  Andel_oberoende_av_klimat*VLOOKUP($A241,Leveranser_per_nät,'Leveranser per nät'!V$1,FALSE)
               +Andel_beroende_av_klimat*VLOOKUP($A241,Leveranser_per_nät,'Leveranser per nät'!V$1,FALSE)/VLOOKUP($B241,Korrigeringsfaktor_EI,'Korrigeringsfaktor EI'!V$1,FALSE),
"")</f>
        <v/>
      </c>
      <c r="W241" s="18" t="str">
        <f>IFERROR(
                  Andel_oberoende_av_klimat*VLOOKUP($A241,Leveranser_per_nät,'Leveranser per nät'!W$1,FALSE)
               +Andel_beroende_av_klimat*VLOOKUP($A241,Leveranser_per_nät,'Leveranser per nät'!W$1,FALSE)/VLOOKUP($B241,Korrigeringsfaktor_EI,'Korrigeringsfaktor EI'!W$1,FALSE),
"")</f>
        <v/>
      </c>
      <c r="X241" s="18" t="str">
        <f>IFERROR(
                  Andel_oberoende_av_klimat*VLOOKUP($A241,Leveranser_per_nät,'Leveranser per nät'!X$1,FALSE)
               +Andel_beroende_av_klimat*VLOOKUP($A241,Leveranser_per_nät,'Leveranser per nät'!X$1,FALSE)/VLOOKUP($B241,Korrigeringsfaktor_EI,'Korrigeringsfaktor EI'!X$1,FALSE),
"")</f>
        <v/>
      </c>
      <c r="Y241" s="18" t="str">
        <f>IFERROR(
                  Andel_oberoende_av_klimat*VLOOKUP($A241,Leveranser_per_nät,'Leveranser per nät'!Y$1,FALSE)
               +Andel_beroende_av_klimat*VLOOKUP($A241,Leveranser_per_nät,'Leveranser per nät'!Y$1,FALSE)/VLOOKUP($B241,Korrigeringsfaktor_EI,'Korrigeringsfaktor EI'!Y$1,FALSE),
"")</f>
        <v/>
      </c>
      <c r="Z241" s="18">
        <f>IFERROR(
                  Andel_oberoende_av_klimat*VLOOKUP($A241,Leveranser_per_nät,'Leveranser per nät'!Z$1,FALSE)
               +Andel_beroende_av_klimat*VLOOKUP($A241,Leveranser_per_nät,'Leveranser per nät'!Z$1,FALSE)/VLOOKUP($B241,Korrigeringsfaktor_EI,'Korrigeringsfaktor EI'!Z$1,FALSE),
"")</f>
        <v>0</v>
      </c>
      <c r="AA241" s="18" t="str">
        <f>IFERROR(
                  Andel_oberoende_av_klimat*VLOOKUP($A241,Leveranser_per_nät,'Leveranser per nät'!AA$1,FALSE)
               +Andel_beroende_av_klimat*VLOOKUP($A241,Leveranser_per_nät,'Leveranser per nät'!AA$1,FALSE)/VLOOKUP($B241,Korrigeringsfaktor_EI,'Korrigeringsfaktor EI'!AA$1,FALSE),
"")</f>
        <v/>
      </c>
      <c r="AB241" s="18">
        <f>IFERROR(
                  Andel_oberoende_av_klimat*VLOOKUP($A241,Leveranser_per_nät,'Leveranser per nät'!AB$1,FALSE)
               +Andel_beroende_av_klimat*VLOOKUP($A241,Leveranser_per_nät,'Leveranser per nät'!AB$1,FALSE)/VLOOKUP($B241,Korrigeringsfaktor_EI,'Korrigeringsfaktor EI'!AB$1,FALSE),
"")</f>
        <v>0</v>
      </c>
      <c r="AC241" s="18">
        <f>IFERROR(
                  Andel_oberoende_av_klimat*VLOOKUP($A241,Leveranser_per_nät,'Leveranser per nät'!AC$1,FALSE)
               +Andel_beroende_av_klimat*VLOOKUP($A241,Leveranser_per_nät,'Leveranser per nät'!AC$1,FALSE)/VLOOKUP($B241,Korrigeringsfaktor_EI,'Korrigeringsfaktor EI'!AC$1,FALSE),
"")</f>
        <v>0</v>
      </c>
      <c r="AD241">
        <v>7723.8890000000001</v>
      </c>
    </row>
    <row r="242" spans="1:30" x14ac:dyDescent="0.25">
      <c r="A242" t="s">
        <v>188</v>
      </c>
      <c r="B242" t="s">
        <v>256</v>
      </c>
      <c r="C242" s="18">
        <f>IFERROR(
                  Andel_oberoende_av_klimat*VLOOKUP($A242,Leveranser_per_nät,'Leveranser per nät'!C$1,FALSE)
               +Andel_beroende_av_klimat*VLOOKUP($A242,Leveranser_per_nät,'Leveranser per nät'!C$1,FALSE)/VLOOKUP($B242,Korrigeringsfaktor_EI,'Korrigeringsfaktor EI'!C$1,FALSE),
"")</f>
        <v>199.44545454545454</v>
      </c>
      <c r="D242" s="18">
        <f>IFERROR(
                  Andel_oberoende_av_klimat*VLOOKUP($A242,Leveranser_per_nät,'Leveranser per nät'!D$1,FALSE)
               +Andel_beroende_av_klimat*VLOOKUP($A242,Leveranser_per_nät,'Leveranser per nät'!D$1,FALSE)/VLOOKUP($B242,Korrigeringsfaktor_EI,'Korrigeringsfaktor EI'!D$1,FALSE),
"")</f>
        <v>197.44628282828282</v>
      </c>
      <c r="E242" s="18">
        <f>IFERROR(
                  Andel_oberoende_av_klimat*VLOOKUP($A242,Leveranser_per_nät,'Leveranser per nät'!E$1,FALSE)
               +Andel_beroende_av_klimat*VLOOKUP($A242,Leveranser_per_nät,'Leveranser per nät'!E$1,FALSE)/VLOOKUP($B242,Korrigeringsfaktor_EI,'Korrigeringsfaktor EI'!E$1,FALSE),
"")</f>
        <v>208.65728155339806</v>
      </c>
      <c r="F242" s="18">
        <f>IFERROR(
                  Andel_oberoende_av_klimat*VLOOKUP($A242,Leveranser_per_nät,'Leveranser per nät'!F$1,FALSE)
               +Andel_beroende_av_klimat*VLOOKUP($A242,Leveranser_per_nät,'Leveranser per nät'!F$1,FALSE)/VLOOKUP($B242,Korrigeringsfaktor_EI,'Korrigeringsfaktor EI'!F$1,FALSE),
"")</f>
        <v>217.15416666666667</v>
      </c>
      <c r="G242" s="18">
        <f>IFERROR(
                  Andel_oberoende_av_klimat*VLOOKUP($A242,Leveranser_per_nät,'Leveranser per nät'!G$1,FALSE)
               +Andel_beroende_av_klimat*VLOOKUP($A242,Leveranser_per_nät,'Leveranser per nät'!G$1,FALSE)/VLOOKUP($B242,Korrigeringsfaktor_EI,'Korrigeringsfaktor EI'!G$1,FALSE),
"")</f>
        <v>216.63333333333333</v>
      </c>
      <c r="H242" s="18">
        <f>IFERROR(
                  Andel_oberoende_av_klimat*VLOOKUP($A242,Leveranser_per_nät,'Leveranser per nät'!H$1,FALSE)
               +Andel_beroende_av_klimat*VLOOKUP($A242,Leveranser_per_nät,'Leveranser per nät'!H$1,FALSE)/VLOOKUP($B242,Korrigeringsfaktor_EI,'Korrigeringsfaktor EI'!H$1,FALSE),
"")</f>
        <v>238.67843137254903</v>
      </c>
      <c r="I242" s="18">
        <f>IFERROR(
                  Andel_oberoende_av_klimat*VLOOKUP($A242,Leveranser_per_nät,'Leveranser per nät'!I$1,FALSE)
               +Andel_beroende_av_klimat*VLOOKUP($A242,Leveranser_per_nät,'Leveranser per nät'!I$1,FALSE)/VLOOKUP($B242,Korrigeringsfaktor_EI,'Korrigeringsfaktor EI'!I$1,FALSE),
"")</f>
        <v>242.88333333333333</v>
      </c>
      <c r="J242" s="18">
        <f>IFERROR(
                  Andel_oberoende_av_klimat*VLOOKUP($A242,Leveranser_per_nät,'Leveranser per nät'!J$1,FALSE)
               +Andel_beroende_av_klimat*VLOOKUP($A242,Leveranser_per_nät,'Leveranser per nät'!J$1,FALSE)/VLOOKUP($B242,Korrigeringsfaktor_EI,'Korrigeringsfaktor EI'!J$1,FALSE),
"")</f>
        <v>256.80303030303031</v>
      </c>
      <c r="K242" s="18">
        <f>IFERROR(
                  Andel_oberoende_av_klimat*VLOOKUP($A242,Leveranser_per_nät,'Leveranser per nät'!K$1,FALSE)
               +Andel_beroende_av_klimat*VLOOKUP($A242,Leveranser_per_nät,'Leveranser per nät'!K$1,FALSE)/VLOOKUP($B242,Korrigeringsfaktor_EI,'Korrigeringsfaktor EI'!K$1,FALSE),
"")</f>
        <v>255.6568</v>
      </c>
      <c r="L242" s="18">
        <f>IFERROR(
                  Andel_oberoende_av_klimat*VLOOKUP($A242,Leveranser_per_nät,'Leveranser per nät'!L$1,FALSE)
               +Andel_beroende_av_klimat*VLOOKUP($A242,Leveranser_per_nät,'Leveranser per nät'!L$1,FALSE)/VLOOKUP($B242,Korrigeringsfaktor_EI,'Korrigeringsfaktor EI'!L$1,FALSE),
"")</f>
        <v>260.04000000000002</v>
      </c>
      <c r="M242" s="18">
        <f>IFERROR(
                  Andel_oberoende_av_klimat*VLOOKUP($A242,Leveranser_per_nät,'Leveranser per nät'!M$1,FALSE)
               +Andel_beroende_av_klimat*VLOOKUP($A242,Leveranser_per_nät,'Leveranser per nät'!M$1,FALSE)/VLOOKUP($B242,Korrigeringsfaktor_EI,'Korrigeringsfaktor EI'!M$1,FALSE),
"")</f>
        <v>331.07464086021508</v>
      </c>
      <c r="N242" s="18">
        <f>IFERROR(
                  Andel_oberoende_av_klimat*VLOOKUP($A242,Leveranser_per_nät,'Leveranser per nät'!N$1,FALSE)
               +Andel_beroende_av_klimat*VLOOKUP($A242,Leveranser_per_nät,'Leveranser per nät'!N$1,FALSE)/VLOOKUP($B242,Korrigeringsfaktor_EI,'Korrigeringsfaktor EI'!N$1,FALSE),
"")</f>
        <v>275.18001739130432</v>
      </c>
      <c r="O242" s="18">
        <f>IFERROR(
                  Andel_oberoende_av_klimat*VLOOKUP($A242,Leveranser_per_nät,'Leveranser per nät'!O$1,FALSE)
               +Andel_beroende_av_klimat*VLOOKUP($A242,Leveranser_per_nät,'Leveranser per nät'!O$1,FALSE)/VLOOKUP($B242,Korrigeringsfaktor_EI,'Korrigeringsfaktor EI'!O$1,FALSE),
"")</f>
        <v>281.58726923076927</v>
      </c>
      <c r="P242" s="18">
        <f>IFERROR(
                  Andel_oberoende_av_klimat*VLOOKUP($A242,Leveranser_per_nät,'Leveranser per nät'!P$1,FALSE)
               +Andel_beroende_av_klimat*VLOOKUP($A242,Leveranser_per_nät,'Leveranser per nät'!P$1,FALSE)/VLOOKUP($B242,Korrigeringsfaktor_EI,'Korrigeringsfaktor EI'!P$1,FALSE),
"")</f>
        <v>297.57016250000004</v>
      </c>
      <c r="Q242" s="18">
        <f>IFERROR(
                  Andel_oberoende_av_klimat*VLOOKUP($A242,Leveranser_per_nät,'Leveranser per nät'!Q$1,FALSE)
               +Andel_beroende_av_klimat*VLOOKUP($A242,Leveranser_per_nät,'Leveranser per nät'!Q$1,FALSE)/VLOOKUP($B242,Korrigeringsfaktor_EI,'Korrigeringsfaktor EI'!Q$1,FALSE),
"")</f>
        <v>310.60767079646024</v>
      </c>
      <c r="R242" s="18">
        <f>IFERROR(
                  Andel_oberoende_av_klimat*VLOOKUP($A242,Leveranser_per_nät,'Leveranser per nät'!R$1,FALSE)
               +Andel_beroende_av_klimat*VLOOKUP($A242,Leveranser_per_nät,'Leveranser per nät'!R$1,FALSE)/VLOOKUP($B242,Korrigeringsfaktor_EI,'Korrigeringsfaktor EI'!R$1,FALSE),
"")</f>
        <v>309.59790769230767</v>
      </c>
      <c r="S242" s="18">
        <f>IFERROR(
                  Andel_oberoende_av_klimat*VLOOKUP($A242,Leveranser_per_nät,'Leveranser per nät'!S$1,FALSE)
               +Andel_beroende_av_klimat*VLOOKUP($A242,Leveranser_per_nät,'Leveranser per nät'!S$1,FALSE)/VLOOKUP($B242,Korrigeringsfaktor_EI,'Korrigeringsfaktor EI'!S$1,FALSE),
"")</f>
        <v>301</v>
      </c>
      <c r="T242" s="18">
        <f>IFERROR(
                  Andel_oberoende_av_klimat*VLOOKUP($A242,Leveranser_per_nät,'Leveranser per nät'!T$1,FALSE)
               +Andel_beroende_av_klimat*VLOOKUP($A242,Leveranser_per_nät,'Leveranser per nät'!T$1,FALSE)/VLOOKUP($B242,Korrigeringsfaktor_EI,'Korrigeringsfaktor EI'!T$1,FALSE),
"")</f>
        <v>299.11894285714288</v>
      </c>
      <c r="U242" s="18">
        <f>IFERROR(
                  Andel_oberoende_av_klimat*VLOOKUP($A242,Leveranser_per_nät,'Leveranser per nät'!U$1,FALSE)
               +Andel_beroende_av_klimat*VLOOKUP($A242,Leveranser_per_nät,'Leveranser per nät'!U$1,FALSE)/VLOOKUP($B242,Korrigeringsfaktor_EI,'Korrigeringsfaktor EI'!U$1,FALSE),
"")</f>
        <v>303.37518181818177</v>
      </c>
      <c r="V242" s="18">
        <f>IFERROR(
                  Andel_oberoende_av_klimat*VLOOKUP($A242,Leveranser_per_nät,'Leveranser per nät'!V$1,FALSE)
               +Andel_beroende_av_klimat*VLOOKUP($A242,Leveranser_per_nät,'Leveranser per nät'!V$1,FALSE)/VLOOKUP($B242,Korrigeringsfaktor_EI,'Korrigeringsfaktor EI'!V$1,FALSE),
"")</f>
        <v>303.39808695652169</v>
      </c>
      <c r="W242" s="18">
        <f>IFERROR(
                  Andel_oberoende_av_klimat*VLOOKUP($A242,Leveranser_per_nät,'Leveranser per nät'!W$1,FALSE)
               +Andel_beroende_av_klimat*VLOOKUP($A242,Leveranser_per_nät,'Leveranser per nät'!W$1,FALSE)/VLOOKUP($B242,Korrigeringsfaktor_EI,'Korrigeringsfaktor EI'!W$1,FALSE),
"")</f>
        <v>308.49888947368419</v>
      </c>
      <c r="X242" s="18">
        <f>IFERROR(
                  Andel_oberoende_av_klimat*VLOOKUP($A242,Leveranser_per_nät,'Leveranser per nät'!X$1,FALSE)
               +Andel_beroende_av_klimat*VLOOKUP($A242,Leveranser_per_nät,'Leveranser per nät'!X$1,FALSE)/VLOOKUP($B242,Korrigeringsfaktor_EI,'Korrigeringsfaktor EI'!X$1,FALSE),
"")</f>
        <v>316.01067311827956</v>
      </c>
      <c r="Y242" s="18">
        <f>IFERROR(
                  Andel_oberoende_av_klimat*VLOOKUP($A242,Leveranser_per_nät,'Leveranser per nät'!Y$1,FALSE)
               +Andel_beroende_av_klimat*VLOOKUP($A242,Leveranser_per_nät,'Leveranser per nät'!Y$1,FALSE)/VLOOKUP($B242,Korrigeringsfaktor_EI,'Korrigeringsfaktor EI'!Y$1,FALSE),
"")</f>
        <v>318.96617777777772</v>
      </c>
      <c r="Z242" s="18">
        <f>IFERROR(
                  Andel_oberoende_av_klimat*VLOOKUP($A242,Leveranser_per_nät,'Leveranser per nät'!Z$1,FALSE)
               +Andel_beroende_av_klimat*VLOOKUP($A242,Leveranser_per_nät,'Leveranser per nät'!Z$1,FALSE)/VLOOKUP($B242,Korrigeringsfaktor_EI,'Korrigeringsfaktor EI'!Z$1,FALSE),
"")</f>
        <v>317.9039662921349</v>
      </c>
      <c r="AA242" s="18">
        <f>IFERROR(
                  Andel_oberoende_av_klimat*VLOOKUP($A242,Leveranser_per_nät,'Leveranser per nät'!AA$1,FALSE)
               +Andel_beroende_av_klimat*VLOOKUP($A242,Leveranser_per_nät,'Leveranser per nät'!AA$1,FALSE)/VLOOKUP($B242,Korrigeringsfaktor_EI,'Korrigeringsfaktor EI'!AA$1,FALSE),
"")</f>
        <v>216.12684931144065</v>
      </c>
      <c r="AB242" s="18">
        <f>IFERROR(
                  Andel_oberoende_av_klimat*VLOOKUP($A242,Leveranser_per_nät,'Leveranser per nät'!AB$1,FALSE)
               +Andel_beroende_av_klimat*VLOOKUP($A242,Leveranser_per_nät,'Leveranser per nät'!AB$1,FALSE)/VLOOKUP($B242,Korrigeringsfaktor_EI,'Korrigeringsfaktor EI'!AB$1,FALSE),
"")</f>
        <v>285.38070658682631</v>
      </c>
      <c r="AC242" s="18">
        <f>IFERROR(
                  Andel_oberoende_av_klimat*VLOOKUP($A242,Leveranser_per_nät,'Leveranser per nät'!AC$1,FALSE)
               +Andel_beroende_av_klimat*VLOOKUP($A242,Leveranser_per_nät,'Leveranser per nät'!AC$1,FALSE)/VLOOKUP($B242,Korrigeringsfaktor_EI,'Korrigeringsfaktor EI'!AC$1,FALSE),
"")</f>
        <v>282.80355362946915</v>
      </c>
      <c r="AD242">
        <v>87.4</v>
      </c>
    </row>
    <row r="243" spans="1:30" x14ac:dyDescent="0.25">
      <c r="A243" t="s">
        <v>189</v>
      </c>
      <c r="B243" t="s">
        <v>189</v>
      </c>
      <c r="C243" s="18">
        <f>IFERROR(
                  Andel_oberoende_av_klimat*VLOOKUP($A243,Leveranser_per_nät,'Leveranser per nät'!C$1,FALSE)
               +Andel_beroende_av_klimat*VLOOKUP($A243,Leveranser_per_nät,'Leveranser per nät'!C$1,FALSE)/VLOOKUP("Simrishamn",Korrigeringsfaktor_EI,'Korrigeringsfaktor EI'!C$1,FALSE),
"")</f>
        <v>10.934854545454545</v>
      </c>
      <c r="D243" s="18">
        <f>IFERROR(
                  Andel_oberoende_av_klimat*VLOOKUP($A243,Leveranser_per_nät,'Leveranser per nät'!D$1,FALSE)
               +Andel_beroende_av_klimat*VLOOKUP($A243,Leveranser_per_nät,'Leveranser per nät'!D$1,FALSE)/VLOOKUP("Simrishamn",Korrigeringsfaktor_EI,'Korrigeringsfaktor EI'!D$1,FALSE),
"")</f>
        <v>10.56</v>
      </c>
      <c r="E243" s="18">
        <f>IFERROR(
                  Andel_oberoende_av_klimat*VLOOKUP($A243,Leveranser_per_nät,'Leveranser per nät'!E$1,FALSE)
               +Andel_beroende_av_klimat*VLOOKUP($A243,Leveranser_per_nät,'Leveranser per nät'!E$1,FALSE)/VLOOKUP("Simrishamn",Korrigeringsfaktor_EI,'Korrigeringsfaktor EI'!E$1,FALSE),
"")</f>
        <v>10.23676923076923</v>
      </c>
      <c r="F243" s="18">
        <f>IFERROR(
                  Andel_oberoende_av_klimat*VLOOKUP($A243,Leveranser_per_nät,'Leveranser per nät'!F$1,FALSE)
               +Andel_beroende_av_klimat*VLOOKUP($A243,Leveranser_per_nät,'Leveranser per nät'!F$1,FALSE)/VLOOKUP("Simrishamn",Korrigeringsfaktor_EI,'Korrigeringsfaktor EI'!F$1,FALSE),
"")</f>
        <v>10.727319587628866</v>
      </c>
      <c r="G243" s="18">
        <f>IFERROR(
                  Andel_oberoende_av_klimat*VLOOKUP($A243,Leveranser_per_nät,'Leveranser per nät'!G$1,FALSE)
               +Andel_beroende_av_klimat*VLOOKUP($A243,Leveranser_per_nät,'Leveranser per nät'!G$1,FALSE)/VLOOKUP("Simrishamn",Korrigeringsfaktor_EI,'Korrigeringsfaktor EI'!G$1,FALSE),
"")</f>
        <v>10.777777777777779</v>
      </c>
      <c r="H243" s="18">
        <f>IFERROR(
                  Andel_oberoende_av_klimat*VLOOKUP($A243,Leveranser_per_nät,'Leveranser per nät'!H$1,FALSE)
               +Andel_beroende_av_klimat*VLOOKUP($A243,Leveranser_per_nät,'Leveranser per nät'!H$1,FALSE)/VLOOKUP("Simrishamn",Korrigeringsfaktor_EI,'Korrigeringsfaktor EI'!H$1,FALSE),
"")</f>
        <v>11.077777777777778</v>
      </c>
      <c r="I243" s="18">
        <f>IFERROR(
                  Andel_oberoende_av_klimat*VLOOKUP($A243,Leveranser_per_nät,'Leveranser per nät'!I$1,FALSE)
               +Andel_beroende_av_klimat*VLOOKUP($A243,Leveranser_per_nät,'Leveranser per nät'!I$1,FALSE)/VLOOKUP("Simrishamn",Korrigeringsfaktor_EI,'Korrigeringsfaktor EI'!I$1,FALSE),
"")</f>
        <v>11.405263157894737</v>
      </c>
      <c r="J243" s="18">
        <f>IFERROR(
                  Andel_oberoende_av_klimat*VLOOKUP($A243,Leveranser_per_nät,'Leveranser per nät'!J$1,FALSE)
               +Andel_beroende_av_klimat*VLOOKUP($A243,Leveranser_per_nät,'Leveranser per nät'!J$1,FALSE)/VLOOKUP("Simrishamn",Korrigeringsfaktor_EI,'Korrigeringsfaktor EI'!J$1,FALSE),
"")</f>
        <v>11.479685714285713</v>
      </c>
      <c r="K243" s="18">
        <f>IFERROR(
                  Andel_oberoende_av_klimat*VLOOKUP($A243,Leveranser_per_nät,'Leveranser per nät'!K$1,FALSE)
               +Andel_beroende_av_klimat*VLOOKUP($A243,Leveranser_per_nät,'Leveranser per nät'!K$1,FALSE)/VLOOKUP("Simrishamn",Korrigeringsfaktor_EI,'Korrigeringsfaktor EI'!K$1,FALSE),
"")</f>
        <v>12.177</v>
      </c>
      <c r="L243" s="18">
        <f>IFERROR(
                  Andel_oberoende_av_klimat*VLOOKUP($A243,Leveranser_per_nät,'Leveranser per nät'!L$1,FALSE)
               +Andel_beroende_av_klimat*VLOOKUP($A243,Leveranser_per_nät,'Leveranser per nät'!L$1,FALSE)/VLOOKUP("Simrishamn",Korrigeringsfaktor_EI,'Korrigeringsfaktor EI'!L$1,FALSE),
"")</f>
        <v>12.601024742268041</v>
      </c>
      <c r="M243" s="18">
        <f>IFERROR(
                  Andel_oberoende_av_klimat*VLOOKUP($A243,Leveranser_per_nät,'Leveranser per nät'!M$1,FALSE)
               +Andel_beroende_av_klimat*VLOOKUP($A243,Leveranser_per_nät,'Leveranser per nät'!M$1,FALSE)/VLOOKUP("Simrishamn",Korrigeringsfaktor_EI,'Korrigeringsfaktor EI'!M$1,FALSE),
"")</f>
        <v>12.683689473684211</v>
      </c>
      <c r="N243" s="18">
        <f>IFERROR(
                  Andel_oberoende_av_klimat*VLOOKUP($A243,Leveranser_per_nät,'Leveranser per nät'!N$1,FALSE)
               +Andel_beroende_av_klimat*VLOOKUP($A243,Leveranser_per_nät,'Leveranser per nät'!N$1,FALSE)/VLOOKUP("Simrishamn",Korrigeringsfaktor_EI,'Korrigeringsfaktor EI'!N$1,FALSE),
"")</f>
        <v>12.573426086956522</v>
      </c>
      <c r="O243" s="18">
        <f>IFERROR(
                  Andel_oberoende_av_klimat*VLOOKUP($A243,Leveranser_per_nät,'Leveranser per nät'!O$1,FALSE)
               +Andel_beroende_av_klimat*VLOOKUP($A243,Leveranser_per_nät,'Leveranser per nät'!O$1,FALSE)/VLOOKUP("Simrishamn",Korrigeringsfaktor_EI,'Korrigeringsfaktor EI'!O$1,FALSE),
"")</f>
        <v>12.362446153846152</v>
      </c>
      <c r="P243" s="18">
        <f>IFERROR(
                  Andel_oberoende_av_klimat*VLOOKUP($A243,Leveranser_per_nät,'Leveranser per nät'!P$1,FALSE)
               +Andel_beroende_av_klimat*VLOOKUP($A243,Leveranser_per_nät,'Leveranser per nät'!P$1,FALSE)/VLOOKUP("Simrishamn",Korrigeringsfaktor_EI,'Korrigeringsfaktor EI'!P$1,FALSE),
"")</f>
        <v>12.427464884536082</v>
      </c>
      <c r="Q243" s="18">
        <f>IFERROR(
                  Andel_oberoende_av_klimat*VLOOKUP($A243,Leveranser_per_nät,'Leveranser per nät'!Q$1,FALSE)
               +Andel_beroende_av_klimat*VLOOKUP($A243,Leveranser_per_nät,'Leveranser per nät'!Q$1,FALSE)/VLOOKUP("Simrishamn",Korrigeringsfaktor_EI,'Korrigeringsfaktor EI'!Q$1,FALSE),
"")</f>
        <v>13.381770574999999</v>
      </c>
      <c r="R243" s="18">
        <f>IFERROR(
                  Andel_oberoende_av_klimat*VLOOKUP($A243,Leveranser_per_nät,'Leveranser per nät'!R$1,FALSE)
               +Andel_beroende_av_klimat*VLOOKUP($A243,Leveranser_per_nät,'Leveranser per nät'!R$1,FALSE)/VLOOKUP("Simrishamn",Korrigeringsfaktor_EI,'Korrigeringsfaktor EI'!R$1,FALSE),
"")</f>
        <v>11.817534895833335</v>
      </c>
      <c r="S243" s="18">
        <f>IFERROR(
                  Andel_oberoende_av_klimat*VLOOKUP($A243,Leveranser_per_nät,'Leveranser per nät'!S$1,FALSE)
               +Andel_beroende_av_klimat*VLOOKUP($A243,Leveranser_per_nät,'Leveranser per nät'!S$1,FALSE)/VLOOKUP("Simrishamn",Korrigeringsfaktor_EI,'Korrigeringsfaktor EI'!S$1,FALSE),
"")</f>
        <v>12.16</v>
      </c>
      <c r="T243" s="18">
        <f>IFERROR(
                  Andel_oberoende_av_klimat*VLOOKUP($A243,Leveranser_per_nät,'Leveranser per nät'!T$1,FALSE)
               +Andel_beroende_av_klimat*VLOOKUP($A243,Leveranser_per_nät,'Leveranser per nät'!T$1,FALSE)/VLOOKUP("Simrishamn",Korrigeringsfaktor_EI,'Korrigeringsfaktor EI'!T$1,FALSE),
"")</f>
        <v>12.272857142857143</v>
      </c>
      <c r="U243" s="18">
        <f>IFERROR(
                  Andel_oberoende_av_klimat*VLOOKUP($A243,Leveranser_per_nät,'Leveranser per nät'!U$1,FALSE)
               +Andel_beroende_av_klimat*VLOOKUP($A243,Leveranser_per_nät,'Leveranser per nät'!U$1,FALSE)/VLOOKUP("Simrishamn",Korrigeringsfaktor_EI,'Korrigeringsfaktor EI'!U$1,FALSE),
"")</f>
        <v>11.508253488372091</v>
      </c>
      <c r="V243" s="18">
        <f>IFERROR(
                  Andel_oberoende_av_klimat*VLOOKUP($A243,Leveranser_per_nät,'Leveranser per nät'!V$1,FALSE)
               +Andel_beroende_av_klimat*VLOOKUP($A243,Leveranser_per_nät,'Leveranser per nät'!V$1,FALSE)/VLOOKUP("Simrishamn",Korrigeringsfaktor_EI,'Korrigeringsfaktor EI'!V$1,FALSE),
"")</f>
        <v>11.170088888888891</v>
      </c>
      <c r="W243" s="18">
        <f>IFERROR(
                  Andel_oberoende_av_klimat*VLOOKUP($A243,Leveranser_per_nät,'Leveranser per nät'!W$1,FALSE)
               +Andel_beroende_av_klimat*VLOOKUP($A243,Leveranser_per_nät,'Leveranser per nät'!W$1,FALSE)/VLOOKUP("Simrishamn",Korrigeringsfaktor_EI,'Korrigeringsfaktor EI'!W$1,FALSE),
"")</f>
        <v>12.521725806451611</v>
      </c>
      <c r="X243" s="18">
        <f>IFERROR(
                  Andel_oberoende_av_klimat*VLOOKUP($A243,Leveranser_per_nät,'Leveranser per nät'!X$1,FALSE)
               +Andel_beroende_av_klimat*VLOOKUP($A243,Leveranser_per_nät,'Leveranser per nät'!X$1,FALSE)/VLOOKUP("Simrishamn",Korrigeringsfaktor_EI,'Korrigeringsfaktor EI'!X$1,FALSE),
"")</f>
        <v>12.431702127659575</v>
      </c>
      <c r="Y243" s="18">
        <f>IFERROR(
                  Andel_oberoende_av_klimat*VLOOKUP($A243,Leveranser_per_nät,'Leveranser per nät'!Y$1,FALSE)
               +Andel_beroende_av_klimat*VLOOKUP($A243,Leveranser_per_nät,'Leveranser per nät'!Y$1,FALSE)/VLOOKUP($B243,Korrigeringsfaktor_EI,'Korrigeringsfaktor EI'!Y$1,FALSE),
"")</f>
        <v>13.073095652173913</v>
      </c>
      <c r="Z243" s="18">
        <f>IFERROR(
                  Andel_oberoende_av_klimat*VLOOKUP($A243,Leveranser_per_nät,'Leveranser per nät'!Z$1,FALSE)
               +Andel_beroende_av_klimat*VLOOKUP($A243,Leveranser_per_nät,'Leveranser per nät'!Z$1,FALSE)/VLOOKUP($B243,Korrigeringsfaktor_EI,'Korrigeringsfaktor EI'!Z$1,FALSE),
"")</f>
        <v>12.672523076923078</v>
      </c>
      <c r="AA243" s="18">
        <f>IFERROR(
                  Andel_oberoende_av_klimat*VLOOKUP($A243,Leveranser_per_nät,'Leveranser per nät'!AA$1,FALSE)
               +Andel_beroende_av_klimat*VLOOKUP($A243,Leveranser_per_nät,'Leveranser per nät'!AA$1,FALSE)/VLOOKUP($B243,Korrigeringsfaktor_EI,'Korrigeringsfaktor EI'!AA$1,FALSE),
"")</f>
        <v>12.442370441458735</v>
      </c>
      <c r="AB243" s="18">
        <f>IFERROR(
                  Andel_oberoende_av_klimat*VLOOKUP($A243,Leveranser_per_nät,'Leveranser per nät'!AB$1,FALSE)
               +Andel_beroende_av_klimat*VLOOKUP($A243,Leveranser_per_nät,'Leveranser per nät'!AB$1,FALSE)/VLOOKUP($B243,Korrigeringsfaktor_EI,'Korrigeringsfaktor EI'!AB$1,FALSE),
"")</f>
        <v>12.714270323212538</v>
      </c>
      <c r="AC243" s="18">
        <f>IFERROR(
                  Andel_oberoende_av_klimat*VLOOKUP($A243,Leveranser_per_nät,'Leveranser per nät'!AC$1,FALSE)
               +Andel_beroende_av_klimat*VLOOKUP($A243,Leveranser_per_nät,'Leveranser per nät'!AC$1,FALSE)/VLOOKUP($B243,Korrigeringsfaktor_EI,'Korrigeringsfaktor EI'!AC$1,FALSE),
"")</f>
        <v>12.487797854077252</v>
      </c>
      <c r="AD243">
        <v>11.881</v>
      </c>
    </row>
    <row r="244" spans="1:30" x14ac:dyDescent="0.25">
      <c r="A244" t="s">
        <v>190</v>
      </c>
      <c r="B244" t="s">
        <v>190</v>
      </c>
      <c r="C244" s="18">
        <f>IFERROR(
                  Andel_oberoende_av_klimat*VLOOKUP($A244,Leveranser_per_nät,'Leveranser per nät'!C$1,FALSE)
               +Andel_beroende_av_klimat*VLOOKUP($A244,Leveranser_per_nät,'Leveranser per nät'!C$1,FALSE)/VLOOKUP($B244,Korrigeringsfaktor_EI,'Korrigeringsfaktor EI'!C$1,FALSE),
"")</f>
        <v>66.370370370370367</v>
      </c>
      <c r="D244" s="18">
        <f>IFERROR(
                  Andel_oberoende_av_klimat*VLOOKUP($A244,Leveranser_per_nät,'Leveranser per nät'!D$1,FALSE)
               +Andel_beroende_av_klimat*VLOOKUP($A244,Leveranser_per_nät,'Leveranser per nät'!D$1,FALSE)/VLOOKUP($B244,Korrigeringsfaktor_EI,'Korrigeringsfaktor EI'!D$1,FALSE),
"")</f>
        <v>63.597680412371133</v>
      </c>
      <c r="E244" s="18">
        <f>IFERROR(
                  Andel_oberoende_av_klimat*VLOOKUP($A244,Leveranser_per_nät,'Leveranser per nät'!E$1,FALSE)
               +Andel_beroende_av_klimat*VLOOKUP($A244,Leveranser_per_nät,'Leveranser per nät'!E$1,FALSE)/VLOOKUP($B244,Korrigeringsfaktor_EI,'Korrigeringsfaktor EI'!E$1,FALSE),
"")</f>
        <v>66.080392156862743</v>
      </c>
      <c r="F244" s="18">
        <f>IFERROR(
                  Andel_oberoende_av_klimat*VLOOKUP($A244,Leveranser_per_nät,'Leveranser per nät'!F$1,FALSE)
               +Andel_beroende_av_klimat*VLOOKUP($A244,Leveranser_per_nät,'Leveranser per nät'!F$1,FALSE)/VLOOKUP($B244,Korrigeringsfaktor_EI,'Korrigeringsfaktor EI'!F$1,FALSE),
"")</f>
        <v>69.47216494845361</v>
      </c>
      <c r="G244" s="18">
        <f>IFERROR(
                  Andel_oberoende_av_klimat*VLOOKUP($A244,Leveranser_per_nät,'Leveranser per nät'!G$1,FALSE)
               +Andel_beroende_av_klimat*VLOOKUP($A244,Leveranser_per_nät,'Leveranser per nät'!G$1,FALSE)/VLOOKUP($B244,Korrigeringsfaktor_EI,'Korrigeringsfaktor EI'!G$1,FALSE),
"")</f>
        <v>68.450561797752798</v>
      </c>
      <c r="H244" s="18">
        <f>IFERROR(
                  Andel_oberoende_av_klimat*VLOOKUP($A244,Leveranser_per_nät,'Leveranser per nät'!H$1,FALSE)
               +Andel_beroende_av_klimat*VLOOKUP($A244,Leveranser_per_nät,'Leveranser per nät'!H$1,FALSE)/VLOOKUP($B244,Korrigeringsfaktor_EI,'Korrigeringsfaktor EI'!H$1,FALSE),
"")</f>
        <v>72</v>
      </c>
      <c r="I244" s="18">
        <f>IFERROR(
                  Andel_oberoende_av_klimat*VLOOKUP($A244,Leveranser_per_nät,'Leveranser per nät'!I$1,FALSE)
               +Andel_beroende_av_klimat*VLOOKUP($A244,Leveranser_per_nät,'Leveranser per nät'!I$1,FALSE)/VLOOKUP($B244,Korrigeringsfaktor_EI,'Korrigeringsfaktor EI'!I$1,FALSE),
"")</f>
        <v>76.623711340206185</v>
      </c>
      <c r="J244" s="18">
        <f>IFERROR(
                  Andel_oberoende_av_klimat*VLOOKUP($A244,Leveranser_per_nät,'Leveranser per nät'!J$1,FALSE)
               +Andel_beroende_av_klimat*VLOOKUP($A244,Leveranser_per_nät,'Leveranser per nät'!J$1,FALSE)/VLOOKUP($B244,Korrigeringsfaktor_EI,'Korrigeringsfaktor EI'!J$1,FALSE),
"")</f>
        <v>74.523232323232321</v>
      </c>
      <c r="K244" s="18">
        <f>IFERROR(
                  Andel_oberoende_av_klimat*VLOOKUP($A244,Leveranser_per_nät,'Leveranser per nät'!K$1,FALSE)
               +Andel_beroende_av_klimat*VLOOKUP($A244,Leveranser_per_nät,'Leveranser per nät'!K$1,FALSE)/VLOOKUP($B244,Korrigeringsfaktor_EI,'Korrigeringsfaktor EI'!K$1,FALSE),
"")</f>
        <v>74.869500000000002</v>
      </c>
      <c r="L244" s="18">
        <f>IFERROR(
                  Andel_oberoende_av_klimat*VLOOKUP($A244,Leveranser_per_nät,'Leveranser per nät'!L$1,FALSE)
               +Andel_beroende_av_klimat*VLOOKUP($A244,Leveranser_per_nät,'Leveranser per nät'!L$1,FALSE)/VLOOKUP($B244,Korrigeringsfaktor_EI,'Korrigeringsfaktor EI'!L$1,FALSE),
"")</f>
        <v>75.911357894736838</v>
      </c>
      <c r="M244" s="18">
        <f>IFERROR(
                  Andel_oberoende_av_klimat*VLOOKUP($A244,Leveranser_per_nät,'Leveranser per nät'!M$1,FALSE)
               +Andel_beroende_av_klimat*VLOOKUP($A244,Leveranser_per_nät,'Leveranser per nät'!M$1,FALSE)/VLOOKUP($B244,Korrigeringsfaktor_EI,'Korrigeringsfaktor EI'!M$1,FALSE),
"")</f>
        <v>75.078773118279571</v>
      </c>
      <c r="N244" s="18">
        <f>IFERROR(
                  Andel_oberoende_av_klimat*VLOOKUP($A244,Leveranser_per_nät,'Leveranser per nät'!N$1,FALSE)
               +Andel_beroende_av_klimat*VLOOKUP($A244,Leveranser_per_nät,'Leveranser per nät'!N$1,FALSE)/VLOOKUP($B244,Korrigeringsfaktor_EI,'Korrigeringsfaktor EI'!N$1,FALSE),
"")</f>
        <v>73.63955319148937</v>
      </c>
      <c r="O244" s="18">
        <f>IFERROR(
                  Andel_oberoende_av_klimat*VLOOKUP($A244,Leveranser_per_nät,'Leveranser per nät'!O$1,FALSE)
               +Andel_beroende_av_klimat*VLOOKUP($A244,Leveranser_per_nät,'Leveranser per nät'!O$1,FALSE)/VLOOKUP($B244,Korrigeringsfaktor_EI,'Korrigeringsfaktor EI'!O$1,FALSE),
"")</f>
        <v>76.662678260869555</v>
      </c>
      <c r="P244" s="18">
        <f>IFERROR(
                  Andel_oberoende_av_klimat*VLOOKUP($A244,Leveranser_per_nät,'Leveranser per nät'!P$1,FALSE)
               +Andel_beroende_av_klimat*VLOOKUP($A244,Leveranser_per_nät,'Leveranser per nät'!P$1,FALSE)/VLOOKUP($B244,Korrigeringsfaktor_EI,'Korrigeringsfaktor EI'!P$1,FALSE),
"")</f>
        <v>78.737504123711346</v>
      </c>
      <c r="Q244" s="18">
        <f>IFERROR(
                  Andel_oberoende_av_klimat*VLOOKUP($A244,Leveranser_per_nät,'Leveranser per nät'!Q$1,FALSE)
               +Andel_beroende_av_klimat*VLOOKUP($A244,Leveranser_per_nät,'Leveranser per nät'!Q$1,FALSE)/VLOOKUP($B244,Korrigeringsfaktor_EI,'Korrigeringsfaktor EI'!Q$1,FALSE),
"")</f>
        <v>82.627475000000004</v>
      </c>
      <c r="R244" s="18">
        <f>IFERROR(
                  Andel_oberoende_av_klimat*VLOOKUP($A244,Leveranser_per_nät,'Leveranser per nät'!R$1,FALSE)
               +Andel_beroende_av_klimat*VLOOKUP($A244,Leveranser_per_nät,'Leveranser per nät'!R$1,FALSE)/VLOOKUP($B244,Korrigeringsfaktor_EI,'Korrigeringsfaktor EI'!R$1,FALSE),
"")</f>
        <v>78.893333333333345</v>
      </c>
      <c r="S244" s="18">
        <f>IFERROR(
                  Andel_oberoende_av_klimat*VLOOKUP($A244,Leveranser_per_nät,'Leveranser per nät'!S$1,FALSE)
               +Andel_beroende_av_klimat*VLOOKUP($A244,Leveranser_per_nät,'Leveranser per nät'!S$1,FALSE)/VLOOKUP($B244,Korrigeringsfaktor_EI,'Korrigeringsfaktor EI'!S$1,FALSE),
"")</f>
        <v>80.464949494949508</v>
      </c>
      <c r="T244" s="18">
        <f>IFERROR(
                  Andel_oberoende_av_klimat*VLOOKUP($A244,Leveranser_per_nät,'Leveranser per nät'!T$1,FALSE)
               +Andel_beroende_av_klimat*VLOOKUP($A244,Leveranser_per_nät,'Leveranser per nät'!T$1,FALSE)/VLOOKUP($B244,Korrigeringsfaktor_EI,'Korrigeringsfaktor EI'!T$1,FALSE),
"")</f>
        <v>83.430536842105255</v>
      </c>
      <c r="U244" s="18">
        <f>IFERROR(
                  Andel_oberoende_av_klimat*VLOOKUP($A244,Leveranser_per_nät,'Leveranser per nät'!U$1,FALSE)
               +Andel_beroende_av_klimat*VLOOKUP($A244,Leveranser_per_nät,'Leveranser per nät'!U$1,FALSE)/VLOOKUP($B244,Korrigeringsfaktor_EI,'Korrigeringsfaktor EI'!U$1,FALSE),
"")</f>
        <v>86.607692307692304</v>
      </c>
      <c r="V244" s="18">
        <f>IFERROR(
                  Andel_oberoende_av_klimat*VLOOKUP($A244,Leveranser_per_nät,'Leveranser per nät'!V$1,FALSE)
               +Andel_beroende_av_klimat*VLOOKUP($A244,Leveranser_per_nät,'Leveranser per nät'!V$1,FALSE)/VLOOKUP($B244,Korrigeringsfaktor_EI,'Korrigeringsfaktor EI'!V$1,FALSE),
"")</f>
        <v>89.537391304347835</v>
      </c>
      <c r="W244" s="18">
        <f>IFERROR(
                  Andel_oberoende_av_klimat*VLOOKUP($A244,Leveranser_per_nät,'Leveranser per nät'!W$1,FALSE)
               +Andel_beroende_av_klimat*VLOOKUP($A244,Leveranser_per_nät,'Leveranser per nät'!W$1,FALSE)/VLOOKUP($B244,Korrigeringsfaktor_EI,'Korrigeringsfaktor EI'!W$1,FALSE),
"")</f>
        <v>95.30083333333333</v>
      </c>
      <c r="X244" s="18">
        <f>IFERROR(
                  Andel_oberoende_av_klimat*VLOOKUP($A244,Leveranser_per_nät,'Leveranser per nät'!X$1,FALSE)
               +Andel_beroende_av_klimat*VLOOKUP($A244,Leveranser_per_nät,'Leveranser per nät'!X$1,FALSE)/VLOOKUP($B244,Korrigeringsfaktor_EI,'Korrigeringsfaktor EI'!X$1,FALSE),
"")</f>
        <v>94.889166666666654</v>
      </c>
      <c r="Y244" s="18">
        <f>IFERROR(
                  Andel_oberoende_av_klimat*VLOOKUP($A244,Leveranser_per_nät,'Leveranser per nät'!Y$1,FALSE)
               +Andel_beroende_av_klimat*VLOOKUP($A244,Leveranser_per_nät,'Leveranser per nät'!Y$1,FALSE)/VLOOKUP($B244,Korrigeringsfaktor_EI,'Korrigeringsfaktor EI'!Y$1,FALSE),
"")</f>
        <v>89.478494623655905</v>
      </c>
      <c r="Z244" s="18">
        <f>IFERROR(
                  Andel_oberoende_av_klimat*VLOOKUP($A244,Leveranser_per_nät,'Leveranser per nät'!Z$1,FALSE)
               +Andel_beroende_av_klimat*VLOOKUP($A244,Leveranser_per_nät,'Leveranser per nät'!Z$1,FALSE)/VLOOKUP($B244,Korrigeringsfaktor_EI,'Korrigeringsfaktor EI'!Z$1,FALSE),
"")</f>
        <v>87.37311827956988</v>
      </c>
      <c r="AA244" s="18">
        <f>IFERROR(
                  Andel_oberoende_av_klimat*VLOOKUP($A244,Leveranser_per_nät,'Leveranser per nät'!AA$1,FALSE)
               +Andel_beroende_av_klimat*VLOOKUP($A244,Leveranser_per_nät,'Leveranser per nät'!AA$1,FALSE)/VLOOKUP($B244,Korrigeringsfaktor_EI,'Korrigeringsfaktor EI'!AA$1,FALSE),
"")</f>
        <v>85.749575413478155</v>
      </c>
      <c r="AB244" s="18">
        <f>IFERROR(
                  Andel_oberoende_av_klimat*VLOOKUP($A244,Leveranser_per_nät,'Leveranser per nät'!AB$1,FALSE)
               +Andel_beroende_av_klimat*VLOOKUP($A244,Leveranser_per_nät,'Leveranser per nät'!AB$1,FALSE)/VLOOKUP($B244,Korrigeringsfaktor_EI,'Korrigeringsfaktor EI'!AB$1,FALSE),
"")</f>
        <v>88.117795275590538</v>
      </c>
      <c r="AC244" s="18">
        <f>IFERROR(
                  Andel_oberoende_av_klimat*VLOOKUP($A244,Leveranser_per_nät,'Leveranser per nät'!AC$1,FALSE)
               +Andel_beroende_av_klimat*VLOOKUP($A244,Leveranser_per_nät,'Leveranser per nät'!AC$1,FALSE)/VLOOKUP($B244,Korrigeringsfaktor_EI,'Korrigeringsfaktor EI'!AC$1,FALSE),
"")</f>
        <v>82.248977035490597</v>
      </c>
      <c r="AD244">
        <v>79.8</v>
      </c>
    </row>
    <row r="245" spans="1:30" x14ac:dyDescent="0.25">
      <c r="A245" t="s">
        <v>308</v>
      </c>
      <c r="B245" t="s">
        <v>308</v>
      </c>
      <c r="C245" s="18">
        <f>IFERROR(
                  Andel_oberoende_av_klimat*VLOOKUP($A245,Leveranser_per_nät,'Leveranser per nät'!C$1,FALSE)
               +Andel_beroende_av_klimat*VLOOKUP($A245,Leveranser_per_nät,'Leveranser per nät'!C$1,FALSE)/VLOOKUP($B245,Korrigeringsfaktor_EI,'Korrigeringsfaktor EI'!C$1,FALSE),
"")</f>
        <v>1179.8181818181818</v>
      </c>
      <c r="D245" s="18">
        <f>IFERROR(
                  Andel_oberoende_av_klimat*VLOOKUP($A245,Leveranser_per_nät,'Leveranser per nät'!D$1,FALSE)
               +Andel_beroende_av_klimat*VLOOKUP($A245,Leveranser_per_nät,'Leveranser per nät'!D$1,FALSE)/VLOOKUP($B245,Korrigeringsfaktor_EI,'Korrigeringsfaktor EI'!D$1,FALSE),
"")</f>
        <v>1140.1484285714287</v>
      </c>
      <c r="E245" s="18">
        <f>IFERROR(
                  Andel_oberoende_av_klimat*VLOOKUP($A245,Leveranser_per_nät,'Leveranser per nät'!E$1,FALSE)
               +Andel_beroende_av_klimat*VLOOKUP($A245,Leveranser_per_nät,'Leveranser per nät'!E$1,FALSE)/VLOOKUP($B245,Korrigeringsfaktor_EI,'Korrigeringsfaktor EI'!E$1,FALSE),
"")</f>
        <v>1165.7378640776699</v>
      </c>
      <c r="F245" s="18">
        <f>IFERROR(
                  Andel_oberoende_av_klimat*VLOOKUP($A245,Leveranser_per_nät,'Leveranser per nät'!F$1,FALSE)
               +Andel_beroende_av_klimat*VLOOKUP($A245,Leveranser_per_nät,'Leveranser per nät'!F$1,FALSE)/VLOOKUP($B245,Korrigeringsfaktor_EI,'Korrigeringsfaktor EI'!F$1,FALSE),
"")</f>
        <v>1137.4157894736843</v>
      </c>
      <c r="G245" s="18">
        <f>IFERROR(
                  Andel_oberoende_av_klimat*VLOOKUP($A245,Leveranser_per_nät,'Leveranser per nät'!G$1,FALSE)
               +Andel_beroende_av_klimat*VLOOKUP($A245,Leveranser_per_nät,'Leveranser per nät'!G$1,FALSE)/VLOOKUP($B245,Korrigeringsfaktor_EI,'Korrigeringsfaktor EI'!G$1,FALSE),
"")</f>
        <v>1135.4101123595506</v>
      </c>
      <c r="H245" s="18">
        <f>IFERROR(
                  Andel_oberoende_av_klimat*VLOOKUP($A245,Leveranser_per_nät,'Leveranser per nät'!H$1,FALSE)
               +Andel_beroende_av_klimat*VLOOKUP($A245,Leveranser_per_nät,'Leveranser per nät'!H$1,FALSE)/VLOOKUP($B245,Korrigeringsfaktor_EI,'Korrigeringsfaktor EI'!H$1,FALSE),
"")</f>
        <v>1228</v>
      </c>
      <c r="I245" s="18">
        <f>IFERROR(
                  Andel_oberoende_av_klimat*VLOOKUP($A245,Leveranser_per_nät,'Leveranser per nät'!I$1,FALSE)
               +Andel_beroende_av_klimat*VLOOKUP($A245,Leveranser_per_nät,'Leveranser per nät'!I$1,FALSE)/VLOOKUP($B245,Korrigeringsfaktor_EI,'Korrigeringsfaktor EI'!I$1,FALSE),
"")</f>
        <v>1301.672340425532</v>
      </c>
      <c r="J245" s="18">
        <f>IFERROR(
                  Andel_oberoende_av_klimat*VLOOKUP($A245,Leveranser_per_nät,'Leveranser per nät'!J$1,FALSE)
               +Andel_beroende_av_klimat*VLOOKUP($A245,Leveranser_per_nät,'Leveranser per nät'!J$1,FALSE)/VLOOKUP($B245,Korrigeringsfaktor_EI,'Korrigeringsfaktor EI'!J$1,FALSE),
"")</f>
        <v>1307.7113402061857</v>
      </c>
      <c r="K245" s="18">
        <f>IFERROR(
                  Andel_oberoende_av_klimat*VLOOKUP($A245,Leveranser_per_nät,'Leveranser per nät'!K$1,FALSE)
               +Andel_beroende_av_klimat*VLOOKUP($A245,Leveranser_per_nät,'Leveranser per nät'!K$1,FALSE)/VLOOKUP($B245,Korrigeringsfaktor_EI,'Korrigeringsfaktor EI'!K$1,FALSE),
"")</f>
        <v>1291.0895833333334</v>
      </c>
      <c r="L245" s="18">
        <f>IFERROR(
                  Andel_oberoende_av_klimat*VLOOKUP($A245,Leveranser_per_nät,'Leveranser per nät'!L$1,FALSE)
               +Andel_beroende_av_klimat*VLOOKUP($A245,Leveranser_per_nät,'Leveranser per nät'!L$1,FALSE)/VLOOKUP($B245,Korrigeringsfaktor_EI,'Korrigeringsfaktor EI'!L$1,FALSE),
"")</f>
        <v>1286.2110638297875</v>
      </c>
      <c r="M245" s="18">
        <f>IFERROR(
                  Andel_oberoende_av_klimat*VLOOKUP($A245,Leveranser_per_nät,'Leveranser per nät'!M$1,FALSE)
               +Andel_beroende_av_klimat*VLOOKUP($A245,Leveranser_per_nät,'Leveranser per nät'!M$1,FALSE)/VLOOKUP($B245,Korrigeringsfaktor_EI,'Korrigeringsfaktor EI'!M$1,FALSE),
"")</f>
        <v>1353.5634782608695</v>
      </c>
      <c r="N245" s="18">
        <f>IFERROR(
                  Andel_oberoende_av_klimat*VLOOKUP($A245,Leveranser_per_nät,'Leveranser per nät'!N$1,FALSE)
               +Andel_beroende_av_klimat*VLOOKUP($A245,Leveranser_per_nät,'Leveranser per nät'!N$1,FALSE)/VLOOKUP($B245,Korrigeringsfaktor_EI,'Korrigeringsfaktor EI'!N$1,FALSE),
"")</f>
        <v>1706.5533333333333</v>
      </c>
      <c r="O245" s="18">
        <f>IFERROR(
                  Andel_oberoende_av_klimat*VLOOKUP($A245,Leveranser_per_nät,'Leveranser per nät'!O$1,FALSE)
               +Andel_beroende_av_klimat*VLOOKUP($A245,Leveranser_per_nät,'Leveranser per nät'!O$1,FALSE)/VLOOKUP($B245,Korrigeringsfaktor_EI,'Korrigeringsfaktor EI'!O$1,FALSE),
"")</f>
        <v>1325.5505617977528</v>
      </c>
      <c r="P245" s="18">
        <f>IFERROR(
                  Andel_oberoende_av_klimat*VLOOKUP($A245,Leveranser_per_nät,'Leveranser per nät'!P$1,FALSE)
               +Andel_beroende_av_klimat*VLOOKUP($A245,Leveranser_per_nät,'Leveranser per nät'!P$1,FALSE)/VLOOKUP($B245,Korrigeringsfaktor_EI,'Korrigeringsfaktor EI'!P$1,FALSE),
"")</f>
        <v>1305.4637113402061</v>
      </c>
      <c r="Q245" s="18">
        <f>IFERROR(
                  Andel_oberoende_av_klimat*VLOOKUP($A245,Leveranser_per_nät,'Leveranser per nät'!Q$1,FALSE)
               +Andel_beroende_av_klimat*VLOOKUP($A245,Leveranser_per_nät,'Leveranser per nät'!Q$1,FALSE)/VLOOKUP($B245,Korrigeringsfaktor_EI,'Korrigeringsfaktor EI'!Q$1,FALSE),
"")</f>
        <v>1466.553097345133</v>
      </c>
      <c r="R245" s="18">
        <f>IFERROR(
                  Andel_oberoende_av_klimat*VLOOKUP($A245,Leveranser_per_nät,'Leveranser per nät'!R$1,FALSE)
               +Andel_beroende_av_klimat*VLOOKUP($A245,Leveranser_per_nät,'Leveranser per nät'!R$1,FALSE)/VLOOKUP($B245,Korrigeringsfaktor_EI,'Korrigeringsfaktor EI'!R$1,FALSE),
"")</f>
        <v>1354.3432584269663</v>
      </c>
      <c r="S245" s="18">
        <f>IFERROR(
                  Andel_oberoende_av_klimat*VLOOKUP($A245,Leveranser_per_nät,'Leveranser per nät'!S$1,FALSE)
               +Andel_beroende_av_klimat*VLOOKUP($A245,Leveranser_per_nät,'Leveranser per nät'!S$1,FALSE)/VLOOKUP($B245,Korrigeringsfaktor_EI,'Korrigeringsfaktor EI'!S$1,FALSE),
"")</f>
        <v>1236.6828282828283</v>
      </c>
      <c r="T245" s="18">
        <f>IFERROR(
                  Andel_oberoende_av_klimat*VLOOKUP($A245,Leveranser_per_nät,'Leveranser per nät'!T$1,FALSE)
               +Andel_beroende_av_klimat*VLOOKUP($A245,Leveranser_per_nät,'Leveranser per nät'!T$1,FALSE)/VLOOKUP($B245,Korrigeringsfaktor_EI,'Korrigeringsfaktor EI'!T$1,FALSE),
"")</f>
        <v>1297.4704166666668</v>
      </c>
      <c r="U245" s="18">
        <f>IFERROR(
                  Andel_oberoende_av_klimat*VLOOKUP($A245,Leveranser_per_nät,'Leveranser per nät'!U$1,FALSE)
               +Andel_beroende_av_klimat*VLOOKUP($A245,Leveranser_per_nät,'Leveranser per nät'!U$1,FALSE)/VLOOKUP($B245,Korrigeringsfaktor_EI,'Korrigeringsfaktor EI'!U$1,FALSE),
"")</f>
        <v>1337.7690909090911</v>
      </c>
      <c r="V245" s="18">
        <f>IFERROR(
                  Andel_oberoende_av_klimat*VLOOKUP($A245,Leveranser_per_nät,'Leveranser per nät'!V$1,FALSE)
               +Andel_beroende_av_klimat*VLOOKUP($A245,Leveranser_per_nät,'Leveranser per nät'!V$1,FALSE)/VLOOKUP($B245,Korrigeringsfaktor_EI,'Korrigeringsfaktor EI'!V$1,FALSE),
"")</f>
        <v>1376.4391954022988</v>
      </c>
      <c r="W245" s="18">
        <f>IFERROR(
                  Andel_oberoende_av_klimat*VLOOKUP($A245,Leveranser_per_nät,'Leveranser per nät'!W$1,FALSE)
               +Andel_beroende_av_klimat*VLOOKUP($A245,Leveranser_per_nät,'Leveranser per nät'!W$1,FALSE)/VLOOKUP($B245,Korrigeringsfaktor_EI,'Korrigeringsfaktor EI'!W$1,FALSE),
"")</f>
        <v>1302.1752688172044</v>
      </c>
      <c r="X245" s="18">
        <f>IFERROR(
                  Andel_oberoende_av_klimat*VLOOKUP($A245,Leveranser_per_nät,'Leveranser per nät'!X$1,FALSE)
               +Andel_beroende_av_klimat*VLOOKUP($A245,Leveranser_per_nät,'Leveranser per nät'!X$1,FALSE)/VLOOKUP($B245,Korrigeringsfaktor_EI,'Korrigeringsfaktor EI'!X$1,FALSE),
"")</f>
        <v>1295.7460869565218</v>
      </c>
      <c r="Y245" s="18">
        <f>IFERROR(
                  Andel_oberoende_av_klimat*VLOOKUP($A245,Leveranser_per_nät,'Leveranser per nät'!Y$1,FALSE)
               +Andel_beroende_av_klimat*VLOOKUP($A245,Leveranser_per_nät,'Leveranser per nät'!Y$1,FALSE)/VLOOKUP($B245,Korrigeringsfaktor_EI,'Korrigeringsfaktor EI'!Y$1,FALSE),
"")</f>
        <v>1341.7794444444446</v>
      </c>
      <c r="Z245" s="18">
        <f>IFERROR(
                  Andel_oberoende_av_klimat*VLOOKUP($A245,Leveranser_per_nät,'Leveranser per nät'!Z$1,FALSE)
               +Andel_beroende_av_klimat*VLOOKUP($A245,Leveranser_per_nät,'Leveranser per nät'!Z$1,FALSE)/VLOOKUP($B245,Korrigeringsfaktor_EI,'Korrigeringsfaktor EI'!Z$1,FALSE),
"")</f>
        <v>1314.1337827272725</v>
      </c>
      <c r="AA245" s="18">
        <f>IFERROR(
                  Andel_oberoende_av_klimat*VLOOKUP($A245,Leveranser_per_nät,'Leveranser per nät'!AA$1,FALSE)
               +Andel_beroende_av_klimat*VLOOKUP($A245,Leveranser_per_nät,'Leveranser per nät'!AA$1,FALSE)/VLOOKUP($B245,Korrigeringsfaktor_EI,'Korrigeringsfaktor EI'!AA$1,FALSE),
"")</f>
        <v>1486.00732421875</v>
      </c>
      <c r="AB245" s="18">
        <f>IFERROR(
                  Andel_oberoende_av_klimat*VLOOKUP($A245,Leveranser_per_nät,'Leveranser per nät'!AB$1,FALSE)
               +Andel_beroende_av_klimat*VLOOKUP($A245,Leveranser_per_nät,'Leveranser per nät'!AB$1,FALSE)/VLOOKUP($B245,Korrigeringsfaktor_EI,'Korrigeringsfaktor EI'!AB$1,FALSE),
"")</f>
        <v>1367.2071315529181</v>
      </c>
      <c r="AC245" s="18">
        <f>IFERROR(
                  Andel_oberoende_av_klimat*VLOOKUP($A245,Leveranser_per_nät,'Leveranser per nät'!AC$1,FALSE)
               +Andel_beroende_av_klimat*VLOOKUP($A245,Leveranser_per_nät,'Leveranser per nät'!AC$1,FALSE)/VLOOKUP($B245,Korrigeringsfaktor_EI,'Korrigeringsfaktor EI'!AC$1,FALSE),
"")</f>
        <v>1355.8729323308271</v>
      </c>
      <c r="AD245">
        <v>1362.3</v>
      </c>
    </row>
    <row r="246" spans="1:30" x14ac:dyDescent="0.25">
      <c r="A246" t="s">
        <v>369</v>
      </c>
      <c r="B246" t="s">
        <v>370</v>
      </c>
      <c r="C246" s="18">
        <f>IFERROR(
                  Andel_oberoende_av_klimat*VLOOKUP($A246,Leveranser_per_nät,'Leveranser per nät'!C$1,FALSE)
               +Andel_beroende_av_klimat*VLOOKUP($A246,Leveranser_per_nät,'Leveranser per nät'!C$1,FALSE)/VLOOKUP($B246,Korrigeringsfaktor_EI,'Korrigeringsfaktor EI'!C$1,FALSE),
"")</f>
        <v>0</v>
      </c>
      <c r="D246" s="18">
        <f>IFERROR(
                  Andel_oberoende_av_klimat*VLOOKUP($A246,Leveranser_per_nät,'Leveranser per nät'!D$1,FALSE)
               +Andel_beroende_av_klimat*VLOOKUP($A246,Leveranser_per_nät,'Leveranser per nät'!D$1,FALSE)/VLOOKUP($B246,Korrigeringsfaktor_EI,'Korrigeringsfaktor EI'!D$1,FALSE),
"")</f>
        <v>0</v>
      </c>
      <c r="E246" s="18">
        <f>IFERROR(
                  Andel_oberoende_av_klimat*VLOOKUP($A246,Leveranser_per_nät,'Leveranser per nät'!E$1,FALSE)
               +Andel_beroende_av_klimat*VLOOKUP($A246,Leveranser_per_nät,'Leveranser per nät'!E$1,FALSE)/VLOOKUP($B246,Korrigeringsfaktor_EI,'Korrigeringsfaktor EI'!E$1,FALSE),
"")</f>
        <v>0</v>
      </c>
      <c r="F246" s="18">
        <f>IFERROR(
                  Andel_oberoende_av_klimat*VLOOKUP($A246,Leveranser_per_nät,'Leveranser per nät'!F$1,FALSE)
               +Andel_beroende_av_klimat*VLOOKUP($A246,Leveranser_per_nät,'Leveranser per nät'!F$1,FALSE)/VLOOKUP($B246,Korrigeringsfaktor_EI,'Korrigeringsfaktor EI'!F$1,FALSE),
"")</f>
        <v>0</v>
      </c>
      <c r="G246" s="18">
        <f>IFERROR(
                  Andel_oberoende_av_klimat*VLOOKUP($A246,Leveranser_per_nät,'Leveranser per nät'!G$1,FALSE)
               +Andel_beroende_av_klimat*VLOOKUP($A246,Leveranser_per_nät,'Leveranser per nät'!G$1,FALSE)/VLOOKUP($B246,Korrigeringsfaktor_EI,'Korrigeringsfaktor EI'!G$1,FALSE),
"")</f>
        <v>0</v>
      </c>
      <c r="H246" s="18">
        <f>IFERROR(
                  Andel_oberoende_av_klimat*VLOOKUP($A246,Leveranser_per_nät,'Leveranser per nät'!H$1,FALSE)
               +Andel_beroende_av_klimat*VLOOKUP($A246,Leveranser_per_nät,'Leveranser per nät'!H$1,FALSE)/VLOOKUP($B246,Korrigeringsfaktor_EI,'Korrigeringsfaktor EI'!H$1,FALSE),
"")</f>
        <v>0</v>
      </c>
      <c r="I246" s="18">
        <f>IFERROR(
                  Andel_oberoende_av_klimat*VLOOKUP($A246,Leveranser_per_nät,'Leveranser per nät'!I$1,FALSE)
               +Andel_beroende_av_klimat*VLOOKUP($A246,Leveranser_per_nät,'Leveranser per nät'!I$1,FALSE)/VLOOKUP($B246,Korrigeringsfaktor_EI,'Korrigeringsfaktor EI'!I$1,FALSE),
"")</f>
        <v>0</v>
      </c>
      <c r="J246" s="18">
        <f>IFERROR(
                  Andel_oberoende_av_klimat*VLOOKUP($A246,Leveranser_per_nät,'Leveranser per nät'!J$1,FALSE)
               +Andel_beroende_av_klimat*VLOOKUP($A246,Leveranser_per_nät,'Leveranser per nät'!J$1,FALSE)/VLOOKUP($B246,Korrigeringsfaktor_EI,'Korrigeringsfaktor EI'!J$1,FALSE),
"")</f>
        <v>0</v>
      </c>
      <c r="K246" s="18">
        <f>IFERROR(
                  Andel_oberoende_av_klimat*VLOOKUP($A246,Leveranser_per_nät,'Leveranser per nät'!K$1,FALSE)
               +Andel_beroende_av_klimat*VLOOKUP($A246,Leveranser_per_nät,'Leveranser per nät'!K$1,FALSE)/VLOOKUP($B246,Korrigeringsfaktor_EI,'Korrigeringsfaktor EI'!K$1,FALSE),
"")</f>
        <v>0.77187499999999987</v>
      </c>
      <c r="L246" s="18">
        <f>IFERROR(
                  Andel_oberoende_av_klimat*VLOOKUP($A246,Leveranser_per_nät,'Leveranser per nät'!L$1,FALSE)
               +Andel_beroende_av_klimat*VLOOKUP($A246,Leveranser_per_nät,'Leveranser per nät'!L$1,FALSE)/VLOOKUP($B246,Korrigeringsfaktor_EI,'Korrigeringsfaktor EI'!L$1,FALSE),
"")</f>
        <v>0.69262340425531921</v>
      </c>
      <c r="M246" s="18">
        <f>IFERROR(
                  Andel_oberoende_av_klimat*VLOOKUP($A246,Leveranser_per_nät,'Leveranser per nät'!M$1,FALSE)
               +Andel_beroende_av_klimat*VLOOKUP($A246,Leveranser_per_nät,'Leveranser per nät'!M$1,FALSE)/VLOOKUP($B246,Korrigeringsfaktor_EI,'Korrigeringsfaktor EI'!M$1,FALSE),
"")</f>
        <v>0.85538461538461541</v>
      </c>
      <c r="N246" s="18">
        <f>IFERROR(
                  Andel_oberoende_av_klimat*VLOOKUP($A246,Leveranser_per_nät,'Leveranser per nät'!N$1,FALSE)
               +Andel_beroende_av_klimat*VLOOKUP($A246,Leveranser_per_nät,'Leveranser per nät'!N$1,FALSE)/VLOOKUP($B246,Korrigeringsfaktor_EI,'Korrigeringsfaktor EI'!N$1,FALSE),
"")</f>
        <v>1.0990526315789475</v>
      </c>
      <c r="O246" s="18">
        <f>IFERROR(
                  Andel_oberoende_av_klimat*VLOOKUP($A246,Leveranser_per_nät,'Leveranser per nät'!O$1,FALSE)
               +Andel_beroende_av_klimat*VLOOKUP($A246,Leveranser_per_nät,'Leveranser per nät'!O$1,FALSE)/VLOOKUP($B246,Korrigeringsfaktor_EI,'Korrigeringsfaktor EI'!O$1,FALSE),
"")</f>
        <v>1.2255473684210525</v>
      </c>
      <c r="P246" s="18">
        <f>IFERROR(
                  Andel_oberoende_av_klimat*VLOOKUP($A246,Leveranser_per_nät,'Leveranser per nät'!P$1,FALSE)
               +Andel_beroende_av_klimat*VLOOKUP($A246,Leveranser_per_nät,'Leveranser per nät'!P$1,FALSE)/VLOOKUP($B246,Korrigeringsfaktor_EI,'Korrigeringsfaktor EI'!P$1,FALSE),
"")</f>
        <v>1.4</v>
      </c>
      <c r="Q246" s="18">
        <f>IFERROR(
                  Andel_oberoende_av_klimat*VLOOKUP($A246,Leveranser_per_nät,'Leveranser per nät'!Q$1,FALSE)
               +Andel_beroende_av_klimat*VLOOKUP($A246,Leveranser_per_nät,'Leveranser per nät'!Q$1,FALSE)/VLOOKUP($B246,Korrigeringsfaktor_EI,'Korrigeringsfaktor EI'!Q$1,FALSE),
"")</f>
        <v>0.34594999999999998</v>
      </c>
      <c r="R246" s="18">
        <f>IFERROR(
                  Andel_oberoende_av_klimat*VLOOKUP($A246,Leveranser_per_nät,'Leveranser per nät'!R$1,FALSE)
               +Andel_beroende_av_klimat*VLOOKUP($A246,Leveranser_per_nät,'Leveranser per nät'!R$1,FALSE)/VLOOKUP($B246,Korrigeringsfaktor_EI,'Korrigeringsfaktor EI'!R$1,FALSE),
"")</f>
        <v>0.5304347826086957</v>
      </c>
      <c r="S246" s="18">
        <f>IFERROR(
                  Andel_oberoende_av_klimat*VLOOKUP($A246,Leveranser_per_nät,'Leveranser per nät'!S$1,FALSE)
               +Andel_beroende_av_klimat*VLOOKUP($A246,Leveranser_per_nät,'Leveranser per nät'!S$1,FALSE)/VLOOKUP($B246,Korrigeringsfaktor_EI,'Korrigeringsfaktor EI'!S$1,FALSE),
"")</f>
        <v>0.90000000000000013</v>
      </c>
      <c r="T246" s="18">
        <f>IFERROR(
                  Andel_oberoende_av_klimat*VLOOKUP($A246,Leveranser_per_nät,'Leveranser per nät'!T$1,FALSE)
               +Andel_beroende_av_klimat*VLOOKUP($A246,Leveranser_per_nät,'Leveranser per nät'!T$1,FALSE)/VLOOKUP($B246,Korrigeringsfaktor_EI,'Korrigeringsfaktor EI'!T$1,FALSE),
"")</f>
        <v>0.87479166666666663</v>
      </c>
      <c r="U246" s="18">
        <f>IFERROR(
                  Andel_oberoende_av_klimat*VLOOKUP($A246,Leveranser_per_nät,'Leveranser per nät'!U$1,FALSE)
               +Andel_beroende_av_klimat*VLOOKUP($A246,Leveranser_per_nät,'Leveranser per nät'!U$1,FALSE)/VLOOKUP($B246,Korrigeringsfaktor_EI,'Korrigeringsfaktor EI'!U$1,FALSE),
"")</f>
        <v>0.86222222222222222</v>
      </c>
      <c r="V246" s="18">
        <f>IFERROR(
                  Andel_oberoende_av_klimat*VLOOKUP($A246,Leveranser_per_nät,'Leveranser per nät'!V$1,FALSE)
               +Andel_beroende_av_klimat*VLOOKUP($A246,Leveranser_per_nät,'Leveranser per nät'!V$1,FALSE)/VLOOKUP($B246,Korrigeringsfaktor_EI,'Korrigeringsfaktor EI'!V$1,FALSE),
"")</f>
        <v>0.52234042553191484</v>
      </c>
      <c r="W246" s="18" t="str">
        <f>IFERROR(
                  Andel_oberoende_av_klimat*VLOOKUP($A246,Leveranser_per_nät,'Leveranser per nät'!W$1,FALSE)
               +Andel_beroende_av_klimat*VLOOKUP($A246,Leveranser_per_nät,'Leveranser per nät'!W$1,FALSE)/VLOOKUP($B246,Korrigeringsfaktor_EI,'Korrigeringsfaktor EI'!W$1,FALSE),
"")</f>
        <v/>
      </c>
      <c r="X246" s="18">
        <f>IFERROR(
                  Andel_oberoende_av_klimat*VLOOKUP($A246,Leveranser_per_nät,'Leveranser per nät'!X$1,FALSE)
               +Andel_beroende_av_klimat*VLOOKUP($A246,Leveranser_per_nät,'Leveranser per nät'!X$1,FALSE)/VLOOKUP($B246,Korrigeringsfaktor_EI,'Korrigeringsfaktor EI'!X$1,FALSE),
"")</f>
        <v>0</v>
      </c>
      <c r="Y246" s="18" t="str">
        <f>IFERROR(
                  Andel_oberoende_av_klimat*VLOOKUP($A246,Leveranser_per_nät,'Leveranser per nät'!Y$1,FALSE)
               +Andel_beroende_av_klimat*VLOOKUP($A246,Leveranser_per_nät,'Leveranser per nät'!Y$1,FALSE)/VLOOKUP($B246,Korrigeringsfaktor_EI,'Korrigeringsfaktor EI'!Y$1,FALSE),
"")</f>
        <v/>
      </c>
      <c r="Z246" s="18">
        <f>IFERROR(
                  Andel_oberoende_av_klimat*VLOOKUP($A246,Leveranser_per_nät,'Leveranser per nät'!Z$1,FALSE)
               +Andel_beroende_av_klimat*VLOOKUP($A246,Leveranser_per_nät,'Leveranser per nät'!Z$1,FALSE)/VLOOKUP($B246,Korrigeringsfaktor_EI,'Korrigeringsfaktor EI'!Z$1,FALSE),
"")</f>
        <v>0</v>
      </c>
      <c r="AA246" s="18" t="str">
        <f>IFERROR(
                  Andel_oberoende_av_klimat*VLOOKUP($A246,Leveranser_per_nät,'Leveranser per nät'!AA$1,FALSE)
               +Andel_beroende_av_klimat*VLOOKUP($A246,Leveranser_per_nät,'Leveranser per nät'!AA$1,FALSE)/VLOOKUP($B246,Korrigeringsfaktor_EI,'Korrigeringsfaktor EI'!AA$1,FALSE),
"")</f>
        <v/>
      </c>
      <c r="AB246" s="18">
        <f>IFERROR(
                  Andel_oberoende_av_klimat*VLOOKUP($A246,Leveranser_per_nät,'Leveranser per nät'!AB$1,FALSE)
               +Andel_beroende_av_klimat*VLOOKUP($A246,Leveranser_per_nät,'Leveranser per nät'!AB$1,FALSE)/VLOOKUP($B246,Korrigeringsfaktor_EI,'Korrigeringsfaktor EI'!AB$1,FALSE),
"")</f>
        <v>0</v>
      </c>
      <c r="AC246" s="18">
        <f>IFERROR(
                  Andel_oberoende_av_klimat*VLOOKUP($A246,Leveranser_per_nät,'Leveranser per nät'!AC$1,FALSE)
               +Andel_beroende_av_klimat*VLOOKUP($A246,Leveranser_per_nät,'Leveranser per nät'!AC$1,FALSE)/VLOOKUP($B246,Korrigeringsfaktor_EI,'Korrigeringsfaktor EI'!AC$1,FALSE),
"")</f>
        <v>0.43983451143451141</v>
      </c>
      <c r="AD246">
        <v>21.763000000000002</v>
      </c>
    </row>
    <row r="247" spans="1:30" x14ac:dyDescent="0.25">
      <c r="A247" t="s">
        <v>78</v>
      </c>
      <c r="B247" t="s">
        <v>78</v>
      </c>
      <c r="C247" s="18">
        <f>IFERROR(
                  Andel_oberoende_av_klimat*VLOOKUP($A247,Leveranser_per_nät,'Leveranser per nät'!C$1,FALSE)
               +Andel_beroende_av_klimat*VLOOKUP($A247,Leveranser_per_nät,'Leveranser per nät'!C$1,FALSE)/VLOOKUP($B247,Korrigeringsfaktor_EI,'Korrigeringsfaktor EI'!C$1,FALSE),
"")</f>
        <v>67.936036036036029</v>
      </c>
      <c r="D247" s="18">
        <f>IFERROR(
                  Andel_oberoende_av_klimat*VLOOKUP($A247,Leveranser_per_nät,'Leveranser per nät'!D$1,FALSE)
               +Andel_beroende_av_klimat*VLOOKUP($A247,Leveranser_per_nät,'Leveranser per nät'!D$1,FALSE)/VLOOKUP($B247,Korrigeringsfaktor_EI,'Korrigeringsfaktor EI'!D$1,FALSE),
"")</f>
        <v>67.766921568627453</v>
      </c>
      <c r="E247" s="18">
        <f>IFERROR(
                  Andel_oberoende_av_klimat*VLOOKUP($A247,Leveranser_per_nät,'Leveranser per nät'!E$1,FALSE)
               +Andel_beroende_av_klimat*VLOOKUP($A247,Leveranser_per_nät,'Leveranser per nät'!E$1,FALSE)/VLOOKUP($B247,Korrigeringsfaktor_EI,'Korrigeringsfaktor EI'!E$1,FALSE),
"")</f>
        <v>70.061538461538461</v>
      </c>
      <c r="F247" s="18">
        <f>IFERROR(
                  Andel_oberoende_av_klimat*VLOOKUP($A247,Leveranser_per_nät,'Leveranser per nät'!F$1,FALSE)
               +Andel_beroende_av_klimat*VLOOKUP($A247,Leveranser_per_nät,'Leveranser per nät'!F$1,FALSE)/VLOOKUP($B247,Korrigeringsfaktor_EI,'Korrigeringsfaktor EI'!F$1,FALSE),
"")</f>
        <v>72.537113402061863</v>
      </c>
      <c r="G247" s="18">
        <f>IFERROR(
                  Andel_oberoende_av_klimat*VLOOKUP($A247,Leveranser_per_nät,'Leveranser per nät'!G$1,FALSE)
               +Andel_beroende_av_klimat*VLOOKUP($A247,Leveranser_per_nät,'Leveranser per nät'!G$1,FALSE)/VLOOKUP($B247,Korrigeringsfaktor_EI,'Korrigeringsfaktor EI'!G$1,FALSE),
"")</f>
        <v>78.053846153846152</v>
      </c>
      <c r="H247" s="18">
        <f>IFERROR(
                  Andel_oberoende_av_klimat*VLOOKUP($A247,Leveranser_per_nät,'Leveranser per nät'!H$1,FALSE)
               +Andel_beroende_av_klimat*VLOOKUP($A247,Leveranser_per_nät,'Leveranser per nät'!H$1,FALSE)/VLOOKUP($B247,Korrigeringsfaktor_EI,'Korrigeringsfaktor EI'!H$1,FALSE),
"")</f>
        <v>81.572727272727263</v>
      </c>
      <c r="I247" s="18">
        <f>IFERROR(
                  Andel_oberoende_av_klimat*VLOOKUP($A247,Leveranser_per_nät,'Leveranser per nät'!I$1,FALSE)
               +Andel_beroende_av_klimat*VLOOKUP($A247,Leveranser_per_nät,'Leveranser per nät'!I$1,FALSE)/VLOOKUP($B247,Korrigeringsfaktor_EI,'Korrigeringsfaktor EI'!I$1,FALSE),
"")</f>
        <v>96.110638297872342</v>
      </c>
      <c r="J247" s="18">
        <f>IFERROR(
                  Andel_oberoende_av_klimat*VLOOKUP($A247,Leveranser_per_nät,'Leveranser per nät'!J$1,FALSE)
               +Andel_beroende_av_klimat*VLOOKUP($A247,Leveranser_per_nät,'Leveranser per nät'!J$1,FALSE)/VLOOKUP($B247,Korrigeringsfaktor_EI,'Korrigeringsfaktor EI'!J$1,FALSE),
"")</f>
        <v>97.593067010309284</v>
      </c>
      <c r="K247" s="18">
        <f>IFERROR(
                  Andel_oberoende_av_klimat*VLOOKUP($A247,Leveranser_per_nät,'Leveranser per nät'!K$1,FALSE)
               +Andel_beroende_av_klimat*VLOOKUP($A247,Leveranser_per_nät,'Leveranser per nät'!K$1,FALSE)/VLOOKUP($B247,Korrigeringsfaktor_EI,'Korrigeringsfaktor EI'!K$1,FALSE),
"")</f>
        <v>102.94377474747475</v>
      </c>
      <c r="L247" s="18">
        <f>IFERROR(
                  Andel_oberoende_av_klimat*VLOOKUP($A247,Leveranser_per_nät,'Leveranser per nät'!L$1,FALSE)
               +Andel_beroende_av_klimat*VLOOKUP($A247,Leveranser_per_nät,'Leveranser per nät'!L$1,FALSE)/VLOOKUP($B247,Korrigeringsfaktor_EI,'Korrigeringsfaktor EI'!L$1,FALSE),
"")</f>
        <v>116.63340000000001</v>
      </c>
      <c r="M247" s="18">
        <f>IFERROR(
                  Andel_oberoende_av_klimat*VLOOKUP($A247,Leveranser_per_nät,'Leveranser per nät'!M$1,FALSE)
               +Andel_beroende_av_klimat*VLOOKUP($A247,Leveranser_per_nät,'Leveranser per nät'!M$1,FALSE)/VLOOKUP($B247,Korrigeringsfaktor_EI,'Korrigeringsfaktor EI'!M$1,FALSE),
"")</f>
        <v>122.11182795698923</v>
      </c>
      <c r="N247" s="18">
        <f>IFERROR(
                  Andel_oberoende_av_klimat*VLOOKUP($A247,Leveranser_per_nät,'Leveranser per nät'!N$1,FALSE)
               +Andel_beroende_av_klimat*VLOOKUP($A247,Leveranser_per_nät,'Leveranser per nät'!N$1,FALSE)/VLOOKUP($B247,Korrigeringsfaktor_EI,'Korrigeringsfaktor EI'!N$1,FALSE),
"")</f>
        <v>118.68461538461537</v>
      </c>
      <c r="O247" s="18">
        <f>IFERROR(
                  Andel_oberoende_av_klimat*VLOOKUP($A247,Leveranser_per_nät,'Leveranser per nät'!O$1,FALSE)
               +Andel_beroende_av_klimat*VLOOKUP($A247,Leveranser_per_nät,'Leveranser per nät'!O$1,FALSE)/VLOOKUP($B247,Korrigeringsfaktor_EI,'Korrigeringsfaktor EI'!O$1,FALSE),
"")</f>
        <v>128.20076923076923</v>
      </c>
      <c r="P247" s="18">
        <f>IFERROR(
                  Andel_oberoende_av_klimat*VLOOKUP($A247,Leveranser_per_nät,'Leveranser per nät'!P$1,FALSE)
               +Andel_beroende_av_klimat*VLOOKUP($A247,Leveranser_per_nät,'Leveranser per nät'!P$1,FALSE)/VLOOKUP($B247,Korrigeringsfaktor_EI,'Korrigeringsfaktor EI'!P$1,FALSE),
"")</f>
        <v>131.62606842105265</v>
      </c>
      <c r="Q247" s="18">
        <f>IFERROR(
                  Andel_oberoende_av_klimat*VLOOKUP($A247,Leveranser_per_nät,'Leveranser per nät'!Q$1,FALSE)
               +Andel_beroende_av_klimat*VLOOKUP($A247,Leveranser_per_nät,'Leveranser per nät'!Q$1,FALSE)/VLOOKUP($B247,Korrigeringsfaktor_EI,'Korrigeringsfaktor EI'!Q$1,FALSE),
"")</f>
        <v>139.59459459459458</v>
      </c>
      <c r="R247" s="18">
        <f>IFERROR(
                  Andel_oberoende_av_klimat*VLOOKUP($A247,Leveranser_per_nät,'Leveranser per nät'!R$1,FALSE)
               +Andel_beroende_av_klimat*VLOOKUP($A247,Leveranser_per_nät,'Leveranser per nät'!R$1,FALSE)/VLOOKUP($B247,Korrigeringsfaktor_EI,'Korrigeringsfaktor EI'!R$1,FALSE),
"")</f>
        <v>137.91304347826087</v>
      </c>
      <c r="S247" s="18">
        <f>IFERROR(
                  Andel_oberoende_av_klimat*VLOOKUP($A247,Leveranser_per_nät,'Leveranser per nät'!S$1,FALSE)
               +Andel_beroende_av_klimat*VLOOKUP($A247,Leveranser_per_nät,'Leveranser per nät'!S$1,FALSE)/VLOOKUP($B247,Korrigeringsfaktor_EI,'Korrigeringsfaktor EI'!S$1,FALSE),
"")</f>
        <v>138.03663366336633</v>
      </c>
      <c r="T247" s="18">
        <f>IFERROR(
                  Andel_oberoende_av_klimat*VLOOKUP($A247,Leveranser_per_nät,'Leveranser per nät'!T$1,FALSE)
               +Andel_beroende_av_klimat*VLOOKUP($A247,Leveranser_per_nät,'Leveranser per nät'!T$1,FALSE)/VLOOKUP($B247,Korrigeringsfaktor_EI,'Korrigeringsfaktor EI'!T$1,FALSE),
"")</f>
        <v>147.78142857142856</v>
      </c>
      <c r="U247" s="18">
        <f>IFERROR(
                  Andel_oberoende_av_klimat*VLOOKUP($A247,Leveranser_per_nät,'Leveranser per nät'!U$1,FALSE)
               +Andel_beroende_av_klimat*VLOOKUP($A247,Leveranser_per_nät,'Leveranser per nät'!U$1,FALSE)/VLOOKUP($B247,Korrigeringsfaktor_EI,'Korrigeringsfaktor EI'!U$1,FALSE),
"")</f>
        <v>142.38264367816095</v>
      </c>
      <c r="V247" s="18">
        <f>IFERROR(
                  Andel_oberoende_av_klimat*VLOOKUP($A247,Leveranser_per_nät,'Leveranser per nät'!V$1,FALSE)
               +Andel_beroende_av_klimat*VLOOKUP($A247,Leveranser_per_nät,'Leveranser per nät'!V$1,FALSE)/VLOOKUP($B247,Korrigeringsfaktor_EI,'Korrigeringsfaktor EI'!V$1,FALSE),
"")</f>
        <v>141.94434782608695</v>
      </c>
      <c r="W247" s="18">
        <f>IFERROR(
                  Andel_oberoende_av_klimat*VLOOKUP($A247,Leveranser_per_nät,'Leveranser per nät'!W$1,FALSE)
               +Andel_beroende_av_klimat*VLOOKUP($A247,Leveranser_per_nät,'Leveranser per nät'!W$1,FALSE)/VLOOKUP($B247,Korrigeringsfaktor_EI,'Korrigeringsfaktor EI'!W$1,FALSE),
"")</f>
        <v>147.2315789473684</v>
      </c>
      <c r="X247" s="18">
        <f>IFERROR(
                  Andel_oberoende_av_klimat*VLOOKUP($A247,Leveranser_per_nät,'Leveranser per nät'!X$1,FALSE)
               +Andel_beroende_av_klimat*VLOOKUP($A247,Leveranser_per_nät,'Leveranser per nät'!X$1,FALSE)/VLOOKUP($B247,Korrigeringsfaktor_EI,'Korrigeringsfaktor EI'!X$1,FALSE),
"")</f>
        <v>147.19553191489365</v>
      </c>
      <c r="Y247" s="18">
        <f>IFERROR(
                  Andel_oberoende_av_klimat*VLOOKUP($A247,Leveranser_per_nät,'Leveranser per nät'!Y$1,FALSE)
               +Andel_beroende_av_klimat*VLOOKUP($A247,Leveranser_per_nät,'Leveranser per nät'!Y$1,FALSE)/VLOOKUP($B247,Korrigeringsfaktor_EI,'Korrigeringsfaktor EI'!Y$1,FALSE),
"")</f>
        <v>151.46044943820226</v>
      </c>
      <c r="Z247" s="18">
        <f>IFERROR(
                  Andel_oberoende_av_klimat*VLOOKUP($A247,Leveranser_per_nät,'Leveranser per nät'!Z$1,FALSE)
               +Andel_beroende_av_klimat*VLOOKUP($A247,Leveranser_per_nät,'Leveranser per nät'!Z$1,FALSE)/VLOOKUP($B247,Korrigeringsfaktor_EI,'Korrigeringsfaktor EI'!Z$1,FALSE),
"")</f>
        <v>150.22528735632184</v>
      </c>
      <c r="AA247" s="18">
        <f>IFERROR(
                  Andel_oberoende_av_klimat*VLOOKUP($A247,Leveranser_per_nät,'Leveranser per nät'!AA$1,FALSE)
               +Andel_beroende_av_klimat*VLOOKUP($A247,Leveranser_per_nät,'Leveranser per nät'!AA$1,FALSE)/VLOOKUP($B247,Korrigeringsfaktor_EI,'Korrigeringsfaktor EI'!AA$1,FALSE),
"")</f>
        <v>160.66247674727612</v>
      </c>
      <c r="AB247" s="18">
        <f>IFERROR(
                  Andel_oberoende_av_klimat*VLOOKUP($A247,Leveranser_per_nät,'Leveranser per nät'!AB$1,FALSE)
               +Andel_beroende_av_klimat*VLOOKUP($A247,Leveranser_per_nät,'Leveranser per nät'!AB$1,FALSE)/VLOOKUP($B247,Korrigeringsfaktor_EI,'Korrigeringsfaktor EI'!AB$1,FALSE),
"")</f>
        <v>135.42052495009983</v>
      </c>
      <c r="AC247" s="18">
        <f>IFERROR(
                  Andel_oberoende_av_klimat*VLOOKUP($A247,Leveranser_per_nät,'Leveranser per nät'!AC$1,FALSE)
               +Andel_beroende_av_klimat*VLOOKUP($A247,Leveranser_per_nät,'Leveranser per nät'!AC$1,FALSE)/VLOOKUP($B247,Korrigeringsfaktor_EI,'Korrigeringsfaktor EI'!AC$1,FALSE),
"")</f>
        <v>130.55340471092074</v>
      </c>
      <c r="AD247">
        <v>137.1</v>
      </c>
    </row>
    <row r="248" spans="1:30" x14ac:dyDescent="0.25">
      <c r="A248" t="s">
        <v>381</v>
      </c>
      <c r="B248" t="s">
        <v>78</v>
      </c>
      <c r="C248" s="18">
        <f>IFERROR(
                  Andel_oberoende_av_klimat*VLOOKUP($A248,Leveranser_per_nät,'Leveranser per nät'!C$1,FALSE)
               +Andel_beroende_av_klimat*VLOOKUP($A248,Leveranser_per_nät,'Leveranser per nät'!C$1,FALSE)/VLOOKUP($B248,Korrigeringsfaktor_EI,'Korrigeringsfaktor EI'!C$1,FALSE),
"")</f>
        <v>0</v>
      </c>
      <c r="D248" s="18">
        <f>IFERROR(
                  Andel_oberoende_av_klimat*VLOOKUP($A248,Leveranser_per_nät,'Leveranser per nät'!D$1,FALSE)
               +Andel_beroende_av_klimat*VLOOKUP($A248,Leveranser_per_nät,'Leveranser per nät'!D$1,FALSE)/VLOOKUP($B248,Korrigeringsfaktor_EI,'Korrigeringsfaktor EI'!D$1,FALSE),
"")</f>
        <v>0</v>
      </c>
      <c r="E248" s="18">
        <f>IFERROR(
                  Andel_oberoende_av_klimat*VLOOKUP($A248,Leveranser_per_nät,'Leveranser per nät'!E$1,FALSE)
               +Andel_beroende_av_klimat*VLOOKUP($A248,Leveranser_per_nät,'Leveranser per nät'!E$1,FALSE)/VLOOKUP($B248,Korrigeringsfaktor_EI,'Korrigeringsfaktor EI'!E$1,FALSE),
"")</f>
        <v>0</v>
      </c>
      <c r="F248" s="18">
        <f>IFERROR(
                  Andel_oberoende_av_klimat*VLOOKUP($A248,Leveranser_per_nät,'Leveranser per nät'!F$1,FALSE)
               +Andel_beroende_av_klimat*VLOOKUP($A248,Leveranser_per_nät,'Leveranser per nät'!F$1,FALSE)/VLOOKUP($B248,Korrigeringsfaktor_EI,'Korrigeringsfaktor EI'!F$1,FALSE),
"")</f>
        <v>0</v>
      </c>
      <c r="G248" s="18">
        <f>IFERROR(
                  Andel_oberoende_av_klimat*VLOOKUP($A248,Leveranser_per_nät,'Leveranser per nät'!G$1,FALSE)
               +Andel_beroende_av_klimat*VLOOKUP($A248,Leveranser_per_nät,'Leveranser per nät'!G$1,FALSE)/VLOOKUP($B248,Korrigeringsfaktor_EI,'Korrigeringsfaktor EI'!G$1,FALSE),
"")</f>
        <v>0</v>
      </c>
      <c r="H248" s="18">
        <f>IFERROR(
                  Andel_oberoende_av_klimat*VLOOKUP($A248,Leveranser_per_nät,'Leveranser per nät'!H$1,FALSE)
               +Andel_beroende_av_klimat*VLOOKUP($A248,Leveranser_per_nät,'Leveranser per nät'!H$1,FALSE)/VLOOKUP($B248,Korrigeringsfaktor_EI,'Korrigeringsfaktor EI'!H$1,FALSE),
"")</f>
        <v>0</v>
      </c>
      <c r="I248" s="18">
        <f>IFERROR(
                  Andel_oberoende_av_klimat*VLOOKUP($A248,Leveranser_per_nät,'Leveranser per nät'!I$1,FALSE)
               +Andel_beroende_av_klimat*VLOOKUP($A248,Leveranser_per_nät,'Leveranser per nät'!I$1,FALSE)/VLOOKUP($B248,Korrigeringsfaktor_EI,'Korrigeringsfaktor EI'!I$1,FALSE),
"")</f>
        <v>0</v>
      </c>
      <c r="J248" s="18">
        <f>IFERROR(
                  Andel_oberoende_av_klimat*VLOOKUP($A248,Leveranser_per_nät,'Leveranser per nät'!J$1,FALSE)
               +Andel_beroende_av_klimat*VLOOKUP($A248,Leveranser_per_nät,'Leveranser per nät'!J$1,FALSE)/VLOOKUP($B248,Korrigeringsfaktor_EI,'Korrigeringsfaktor EI'!J$1,FALSE),
"")</f>
        <v>0</v>
      </c>
      <c r="K248" s="18">
        <f>IFERROR(
                  Andel_oberoende_av_klimat*VLOOKUP($A248,Leveranser_per_nät,'Leveranser per nät'!K$1,FALSE)
               +Andel_beroende_av_klimat*VLOOKUP($A248,Leveranser_per_nät,'Leveranser per nät'!K$1,FALSE)/VLOOKUP($B248,Korrigeringsfaktor_EI,'Korrigeringsfaktor EI'!K$1,FALSE),
"")</f>
        <v>0</v>
      </c>
      <c r="L248" s="18">
        <f>IFERROR(
                  Andel_oberoende_av_klimat*VLOOKUP($A248,Leveranser_per_nät,'Leveranser per nät'!L$1,FALSE)
               +Andel_beroende_av_klimat*VLOOKUP($A248,Leveranser_per_nät,'Leveranser per nät'!L$1,FALSE)/VLOOKUP($B248,Korrigeringsfaktor_EI,'Korrigeringsfaktor EI'!L$1,FALSE),
"")</f>
        <v>0</v>
      </c>
      <c r="M248" s="18">
        <f>IFERROR(
                  Andel_oberoende_av_klimat*VLOOKUP($A248,Leveranser_per_nät,'Leveranser per nät'!M$1,FALSE)
               +Andel_beroende_av_klimat*VLOOKUP($A248,Leveranser_per_nät,'Leveranser per nät'!M$1,FALSE)/VLOOKUP($B248,Korrigeringsfaktor_EI,'Korrigeringsfaktor EI'!M$1,FALSE),
"")</f>
        <v>26.527741935483867</v>
      </c>
      <c r="N248" s="18">
        <f>IFERROR(
                  Andel_oberoende_av_klimat*VLOOKUP($A248,Leveranser_per_nät,'Leveranser per nät'!N$1,FALSE)
               +Andel_beroende_av_klimat*VLOOKUP($A248,Leveranser_per_nät,'Leveranser per nät'!N$1,FALSE)/VLOOKUP($B248,Korrigeringsfaktor_EI,'Korrigeringsfaktor EI'!N$1,FALSE),
"")</f>
        <v>35.284615384615378</v>
      </c>
      <c r="O248" s="18">
        <f>IFERROR(
                  Andel_oberoende_av_klimat*VLOOKUP($A248,Leveranser_per_nät,'Leveranser per nät'!O$1,FALSE)
               +Andel_beroende_av_klimat*VLOOKUP($A248,Leveranser_per_nät,'Leveranser per nät'!O$1,FALSE)/VLOOKUP($B248,Korrigeringsfaktor_EI,'Korrigeringsfaktor EI'!O$1,FALSE),
"")</f>
        <v>0</v>
      </c>
      <c r="P248" s="18">
        <f>IFERROR(
                  Andel_oberoende_av_klimat*VLOOKUP($A248,Leveranser_per_nät,'Leveranser per nät'!P$1,FALSE)
               +Andel_beroende_av_klimat*VLOOKUP($A248,Leveranser_per_nät,'Leveranser per nät'!P$1,FALSE)/VLOOKUP($B248,Korrigeringsfaktor_EI,'Korrigeringsfaktor EI'!P$1,FALSE),
"")</f>
        <v>0</v>
      </c>
      <c r="Q248" s="18">
        <f>IFERROR(
                  Andel_oberoende_av_klimat*VLOOKUP($A248,Leveranser_per_nät,'Leveranser per nät'!Q$1,FALSE)
               +Andel_beroende_av_klimat*VLOOKUP($A248,Leveranser_per_nät,'Leveranser per nät'!Q$1,FALSE)/VLOOKUP($B248,Korrigeringsfaktor_EI,'Korrigeringsfaktor EI'!Q$1,FALSE),
"")</f>
        <v>0</v>
      </c>
      <c r="R248" s="18">
        <f>IFERROR(
                  Andel_oberoende_av_klimat*VLOOKUP($A248,Leveranser_per_nät,'Leveranser per nät'!R$1,FALSE)
               +Andel_beroende_av_klimat*VLOOKUP($A248,Leveranser_per_nät,'Leveranser per nät'!R$1,FALSE)/VLOOKUP($B248,Korrigeringsfaktor_EI,'Korrigeringsfaktor EI'!R$1,FALSE),
"")</f>
        <v>0</v>
      </c>
      <c r="S248" s="18">
        <f>IFERROR(
                  Andel_oberoende_av_klimat*VLOOKUP($A248,Leveranser_per_nät,'Leveranser per nät'!S$1,FALSE)
               +Andel_beroende_av_klimat*VLOOKUP($A248,Leveranser_per_nät,'Leveranser per nät'!S$1,FALSE)/VLOOKUP($B248,Korrigeringsfaktor_EI,'Korrigeringsfaktor EI'!S$1,FALSE),
"")</f>
        <v>0</v>
      </c>
      <c r="T248" s="18" t="str">
        <f>IFERROR(
                  Andel_oberoende_av_klimat*VLOOKUP($A248,Leveranser_per_nät,'Leveranser per nät'!T$1,FALSE)
               +Andel_beroende_av_klimat*VLOOKUP($A248,Leveranser_per_nät,'Leveranser per nät'!T$1,FALSE)/VLOOKUP($B248,Korrigeringsfaktor_EI,'Korrigeringsfaktor EI'!T$1,FALSE),
"")</f>
        <v/>
      </c>
      <c r="U248" s="18" t="str">
        <f>IFERROR(
                  Andel_oberoende_av_klimat*VLOOKUP($A248,Leveranser_per_nät,'Leveranser per nät'!U$1,FALSE)
               +Andel_beroende_av_klimat*VLOOKUP($A248,Leveranser_per_nät,'Leveranser per nät'!U$1,FALSE)/VLOOKUP($B248,Korrigeringsfaktor_EI,'Korrigeringsfaktor EI'!U$1,FALSE),
"")</f>
        <v/>
      </c>
      <c r="V248" s="18" t="str">
        <f>IFERROR(
                  Andel_oberoende_av_klimat*VLOOKUP($A248,Leveranser_per_nät,'Leveranser per nät'!V$1,FALSE)
               +Andel_beroende_av_klimat*VLOOKUP($A248,Leveranser_per_nät,'Leveranser per nät'!V$1,FALSE)/VLOOKUP($B248,Korrigeringsfaktor_EI,'Korrigeringsfaktor EI'!V$1,FALSE),
"")</f>
        <v/>
      </c>
      <c r="W248" s="18" t="str">
        <f>IFERROR(
                  Andel_oberoende_av_klimat*VLOOKUP($A248,Leveranser_per_nät,'Leveranser per nät'!W$1,FALSE)
               +Andel_beroende_av_klimat*VLOOKUP($A248,Leveranser_per_nät,'Leveranser per nät'!W$1,FALSE)/VLOOKUP($B248,Korrigeringsfaktor_EI,'Korrigeringsfaktor EI'!W$1,FALSE),
"")</f>
        <v/>
      </c>
      <c r="X248" s="18" t="str">
        <f>IFERROR(
                  Andel_oberoende_av_klimat*VLOOKUP($A248,Leveranser_per_nät,'Leveranser per nät'!X$1,FALSE)
               +Andel_beroende_av_klimat*VLOOKUP($A248,Leveranser_per_nät,'Leveranser per nät'!X$1,FALSE)/VLOOKUP($B248,Korrigeringsfaktor_EI,'Korrigeringsfaktor EI'!X$1,FALSE),
"")</f>
        <v/>
      </c>
      <c r="Y248" s="18" t="str">
        <f>IFERROR(
                  Andel_oberoende_av_klimat*VLOOKUP($A248,Leveranser_per_nät,'Leveranser per nät'!Y$1,FALSE)
               +Andel_beroende_av_klimat*VLOOKUP($A248,Leveranser_per_nät,'Leveranser per nät'!Y$1,FALSE)/VLOOKUP($B248,Korrigeringsfaktor_EI,'Korrigeringsfaktor EI'!Y$1,FALSE),
"")</f>
        <v/>
      </c>
      <c r="Z248" s="18">
        <f>IFERROR(
                  Andel_oberoende_av_klimat*VLOOKUP($A248,Leveranser_per_nät,'Leveranser per nät'!Z$1,FALSE)
               +Andel_beroende_av_klimat*VLOOKUP($A248,Leveranser_per_nät,'Leveranser per nät'!Z$1,FALSE)/VLOOKUP($B248,Korrigeringsfaktor_EI,'Korrigeringsfaktor EI'!Z$1,FALSE),
"")</f>
        <v>0</v>
      </c>
      <c r="AA248" s="18" t="str">
        <f>IFERROR(
                  Andel_oberoende_av_klimat*VLOOKUP($A248,Leveranser_per_nät,'Leveranser per nät'!AA$1,FALSE)
               +Andel_beroende_av_klimat*VLOOKUP($A248,Leveranser_per_nät,'Leveranser per nät'!AA$1,FALSE)/VLOOKUP($B248,Korrigeringsfaktor_EI,'Korrigeringsfaktor EI'!AA$1,FALSE),
"")</f>
        <v/>
      </c>
      <c r="AB248" s="18">
        <f>IFERROR(
                  Andel_oberoende_av_klimat*VLOOKUP($A248,Leveranser_per_nät,'Leveranser per nät'!AB$1,FALSE)
               +Andel_beroende_av_klimat*VLOOKUP($A248,Leveranser_per_nät,'Leveranser per nät'!AB$1,FALSE)/VLOOKUP($B248,Korrigeringsfaktor_EI,'Korrigeringsfaktor EI'!AB$1,FALSE),
"")</f>
        <v>0</v>
      </c>
      <c r="AC248" s="18">
        <f>IFERROR(
                  Andel_oberoende_av_klimat*VLOOKUP($A248,Leveranser_per_nät,'Leveranser per nät'!AC$1,FALSE)
               +Andel_beroende_av_klimat*VLOOKUP($A248,Leveranser_per_nät,'Leveranser per nät'!AC$1,FALSE)/VLOOKUP($B248,Korrigeringsfaktor_EI,'Korrigeringsfaktor EI'!AC$1,FALSE),
"")</f>
        <v>0</v>
      </c>
      <c r="AD248">
        <v>137.1</v>
      </c>
    </row>
    <row r="249" spans="1:30" x14ac:dyDescent="0.25">
      <c r="A249" s="4" t="s">
        <v>404</v>
      </c>
      <c r="B249" t="s">
        <v>308</v>
      </c>
      <c r="C249" s="18">
        <f>IFERROR(
                  Andel_oberoende_av_klimat*VLOOKUP($A249,Leveranser_per_nät,'Leveranser per nät'!C$1,FALSE)
               +Andel_beroende_av_klimat*VLOOKUP($A249,Leveranser_per_nät,'Leveranser per nät'!C$1,FALSE)/VLOOKUP($B249,Korrigeringsfaktor_EI,'Korrigeringsfaktor EI'!C$1,FALSE),
"")</f>
        <v>0</v>
      </c>
      <c r="D249" s="18">
        <f>IFERROR(
                  Andel_oberoende_av_klimat*VLOOKUP($A249,Leveranser_per_nät,'Leveranser per nät'!D$1,FALSE)
               +Andel_beroende_av_klimat*VLOOKUP($A249,Leveranser_per_nät,'Leveranser per nät'!D$1,FALSE)/VLOOKUP($B249,Korrigeringsfaktor_EI,'Korrigeringsfaktor EI'!D$1,FALSE),
"")</f>
        <v>0</v>
      </c>
      <c r="E249" s="18">
        <f>IFERROR(
                  Andel_oberoende_av_klimat*VLOOKUP($A249,Leveranser_per_nät,'Leveranser per nät'!E$1,FALSE)
               +Andel_beroende_av_klimat*VLOOKUP($A249,Leveranser_per_nät,'Leveranser per nät'!E$1,FALSE)/VLOOKUP($B249,Korrigeringsfaktor_EI,'Korrigeringsfaktor EI'!E$1,FALSE),
"")</f>
        <v>0</v>
      </c>
      <c r="F249" s="18">
        <f>IFERROR(
                  Andel_oberoende_av_klimat*VLOOKUP($A249,Leveranser_per_nät,'Leveranser per nät'!F$1,FALSE)
               +Andel_beroende_av_klimat*VLOOKUP($A249,Leveranser_per_nät,'Leveranser per nät'!F$1,FALSE)/VLOOKUP($B249,Korrigeringsfaktor_EI,'Korrigeringsfaktor EI'!F$1,FALSE),
"")</f>
        <v>0</v>
      </c>
      <c r="G249" s="18">
        <f>IFERROR(
                  Andel_oberoende_av_klimat*VLOOKUP($A249,Leveranser_per_nät,'Leveranser per nät'!G$1,FALSE)
               +Andel_beroende_av_klimat*VLOOKUP($A249,Leveranser_per_nät,'Leveranser per nät'!G$1,FALSE)/VLOOKUP($B249,Korrigeringsfaktor_EI,'Korrigeringsfaktor EI'!G$1,FALSE),
"")</f>
        <v>0</v>
      </c>
      <c r="H249" s="18">
        <f>IFERROR(
                  Andel_oberoende_av_klimat*VLOOKUP($A249,Leveranser_per_nät,'Leveranser per nät'!H$1,FALSE)
               +Andel_beroende_av_klimat*VLOOKUP($A249,Leveranser_per_nät,'Leveranser per nät'!H$1,FALSE)/VLOOKUP($B249,Korrigeringsfaktor_EI,'Korrigeringsfaktor EI'!H$1,FALSE),
"")</f>
        <v>0</v>
      </c>
      <c r="I249" s="18">
        <f>IFERROR(
                  Andel_oberoende_av_klimat*VLOOKUP($A249,Leveranser_per_nät,'Leveranser per nät'!I$1,FALSE)
               +Andel_beroende_av_klimat*VLOOKUP($A249,Leveranser_per_nät,'Leveranser per nät'!I$1,FALSE)/VLOOKUP($B249,Korrigeringsfaktor_EI,'Korrigeringsfaktor EI'!I$1,FALSE),
"")</f>
        <v>0</v>
      </c>
      <c r="J249" s="18">
        <f>IFERROR(
                  Andel_oberoende_av_klimat*VLOOKUP($A249,Leveranser_per_nät,'Leveranser per nät'!J$1,FALSE)
               +Andel_beroende_av_klimat*VLOOKUP($A249,Leveranser_per_nät,'Leveranser per nät'!J$1,FALSE)/VLOOKUP($B249,Korrigeringsfaktor_EI,'Korrigeringsfaktor EI'!J$1,FALSE),
"")</f>
        <v>0</v>
      </c>
      <c r="K249" s="18">
        <f>IFERROR(
                  Andel_oberoende_av_klimat*VLOOKUP($A249,Leveranser_per_nät,'Leveranser per nät'!K$1,FALSE)
               +Andel_beroende_av_klimat*VLOOKUP($A249,Leveranser_per_nät,'Leveranser per nät'!K$1,FALSE)/VLOOKUP($B249,Korrigeringsfaktor_EI,'Korrigeringsfaktor EI'!K$1,FALSE),
"")</f>
        <v>0</v>
      </c>
      <c r="L249" s="18">
        <f>IFERROR(
                  Andel_oberoende_av_klimat*VLOOKUP($A249,Leveranser_per_nät,'Leveranser per nät'!L$1,FALSE)
               +Andel_beroende_av_klimat*VLOOKUP($A249,Leveranser_per_nät,'Leveranser per nät'!L$1,FALSE)/VLOOKUP($B249,Korrigeringsfaktor_EI,'Korrigeringsfaktor EI'!L$1,FALSE),
"")</f>
        <v>0</v>
      </c>
      <c r="M249" s="18">
        <f>IFERROR(
                  Andel_oberoende_av_klimat*VLOOKUP($A249,Leveranser_per_nät,'Leveranser per nät'!M$1,FALSE)
               +Andel_beroende_av_klimat*VLOOKUP($A249,Leveranser_per_nät,'Leveranser per nät'!M$1,FALSE)/VLOOKUP($B249,Korrigeringsfaktor_EI,'Korrigeringsfaktor EI'!M$1,FALSE),
"")</f>
        <v>0</v>
      </c>
      <c r="N249" s="18">
        <f>IFERROR(
                  Andel_oberoende_av_klimat*VLOOKUP($A249,Leveranser_per_nät,'Leveranser per nät'!N$1,FALSE)
               +Andel_beroende_av_klimat*VLOOKUP($A249,Leveranser_per_nät,'Leveranser per nät'!N$1,FALSE)/VLOOKUP($B249,Korrigeringsfaktor_EI,'Korrigeringsfaktor EI'!N$1,FALSE),
"")</f>
        <v>0</v>
      </c>
      <c r="O249" s="18">
        <f>IFERROR(
                  Andel_oberoende_av_klimat*VLOOKUP($A249,Leveranser_per_nät,'Leveranser per nät'!O$1,FALSE)
               +Andel_beroende_av_klimat*VLOOKUP($A249,Leveranser_per_nät,'Leveranser per nät'!O$1,FALSE)/VLOOKUP($B249,Korrigeringsfaktor_EI,'Korrigeringsfaktor EI'!O$1,FALSE),
"")</f>
        <v>0</v>
      </c>
      <c r="P249" s="18">
        <f>IFERROR(
                  Andel_oberoende_av_klimat*VLOOKUP($A249,Leveranser_per_nät,'Leveranser per nät'!P$1,FALSE)
               +Andel_beroende_av_klimat*VLOOKUP($A249,Leveranser_per_nät,'Leveranser per nät'!P$1,FALSE)/VLOOKUP($B249,Korrigeringsfaktor_EI,'Korrigeringsfaktor EI'!P$1,FALSE),
"")</f>
        <v>0</v>
      </c>
      <c r="Q249" s="18">
        <f>IFERROR(
                  Andel_oberoende_av_klimat*VLOOKUP($A249,Leveranser_per_nät,'Leveranser per nät'!Q$1,FALSE)
               +Andel_beroende_av_klimat*VLOOKUP($A249,Leveranser_per_nät,'Leveranser per nät'!Q$1,FALSE)/VLOOKUP($B249,Korrigeringsfaktor_EI,'Korrigeringsfaktor EI'!Q$1,FALSE),
"")</f>
        <v>3.3100884955752221</v>
      </c>
      <c r="R249" s="18">
        <f>IFERROR(
                  Andel_oberoende_av_klimat*VLOOKUP($A249,Leveranser_per_nät,'Leveranser per nät'!R$1,FALSE)
               +Andel_beroende_av_klimat*VLOOKUP($A249,Leveranser_per_nät,'Leveranser per nät'!R$1,FALSE)/VLOOKUP($B249,Korrigeringsfaktor_EI,'Korrigeringsfaktor EI'!R$1,FALSE),
"")</f>
        <v>3.3877595505617975</v>
      </c>
      <c r="S249" s="18">
        <f>IFERROR(
                  Andel_oberoende_av_klimat*VLOOKUP($A249,Leveranser_per_nät,'Leveranser per nät'!S$1,FALSE)
               +Andel_beroende_av_klimat*VLOOKUP($A249,Leveranser_per_nät,'Leveranser per nät'!S$1,FALSE)/VLOOKUP($B249,Korrigeringsfaktor_EI,'Korrigeringsfaktor EI'!S$1,FALSE),
"")</f>
        <v>3.8369393939393941</v>
      </c>
      <c r="T249" s="18">
        <f>IFERROR(
                  Andel_oberoende_av_klimat*VLOOKUP($A249,Leveranser_per_nät,'Leveranser per nät'!T$1,FALSE)
               +Andel_beroende_av_klimat*VLOOKUP($A249,Leveranser_per_nät,'Leveranser per nät'!T$1,FALSE)/VLOOKUP($B249,Korrigeringsfaktor_EI,'Korrigeringsfaktor EI'!T$1,FALSE),
"")</f>
        <v>4.3739583333333334</v>
      </c>
      <c r="U249" s="18">
        <f>IFERROR(
                  Andel_oberoende_av_klimat*VLOOKUP($A249,Leveranser_per_nät,'Leveranser per nät'!U$1,FALSE)
               +Andel_beroende_av_klimat*VLOOKUP($A249,Leveranser_per_nät,'Leveranser per nät'!U$1,FALSE)/VLOOKUP($B249,Korrigeringsfaktor_EI,'Korrigeringsfaktor EI'!U$1,FALSE),
"")</f>
        <v>4.0750909090909095</v>
      </c>
      <c r="V249" s="18">
        <f>IFERROR(
                  Andel_oberoende_av_klimat*VLOOKUP($A249,Leveranser_per_nät,'Leveranser per nät'!V$1,FALSE)
               +Andel_beroende_av_klimat*VLOOKUP($A249,Leveranser_per_nät,'Leveranser per nät'!V$1,FALSE)/VLOOKUP($B249,Korrigeringsfaktor_EI,'Korrigeringsfaktor EI'!V$1,FALSE),
"")</f>
        <v>4.3410689655172412</v>
      </c>
      <c r="W249" s="18">
        <f>IFERROR(
                  Andel_oberoende_av_klimat*VLOOKUP($A249,Leveranser_per_nät,'Leveranser per nät'!W$1,FALSE)
               +Andel_beroende_av_klimat*VLOOKUP($A249,Leveranser_per_nät,'Leveranser per nät'!W$1,FALSE)/VLOOKUP($B249,Korrigeringsfaktor_EI,'Korrigeringsfaktor EI'!W$1,FALSE),
"")</f>
        <v>4.3897096774193543</v>
      </c>
      <c r="X249" s="18">
        <f>IFERROR(
                  Andel_oberoende_av_klimat*VLOOKUP($A249,Leveranser_per_nät,'Leveranser per nät'!X$1,FALSE)
               +Andel_beroende_av_klimat*VLOOKUP($A249,Leveranser_per_nät,'Leveranser per nät'!X$1,FALSE)/VLOOKUP($B249,Korrigeringsfaktor_EI,'Korrigeringsfaktor EI'!X$1,FALSE),
"")</f>
        <v>4.4206434782608692</v>
      </c>
      <c r="Y249" s="18">
        <f>IFERROR(
                  Andel_oberoende_av_klimat*VLOOKUP($A249,Leveranser_per_nät,'Leveranser per nät'!Y$1,FALSE)
               +Andel_beroende_av_klimat*VLOOKUP($A249,Leveranser_per_nät,'Leveranser per nät'!Y$1,FALSE)/VLOOKUP($B249,Korrigeringsfaktor_EI,'Korrigeringsfaktor EI'!Y$1,FALSE),
"")</f>
        <v>4.6010333333333335</v>
      </c>
      <c r="Z249" s="18">
        <f>IFERROR(
                  Andel_oberoende_av_klimat*VLOOKUP($A249,Leveranser_per_nät,'Leveranser per nät'!Z$1,FALSE)
               +Andel_beroende_av_klimat*VLOOKUP($A249,Leveranser_per_nät,'Leveranser per nät'!Z$1,FALSE)/VLOOKUP($B249,Korrigeringsfaktor_EI,'Korrigeringsfaktor EI'!Z$1,FALSE),
"")</f>
        <v>4.7619409090909093</v>
      </c>
      <c r="AA249" s="18">
        <f>IFERROR(
                  Andel_oberoende_av_klimat*VLOOKUP($A249,Leveranser_per_nät,'Leveranser per nät'!AA$1,FALSE)
               +Andel_beroende_av_klimat*VLOOKUP($A249,Leveranser_per_nät,'Leveranser per nät'!AA$1,FALSE)/VLOOKUP($B249,Korrigeringsfaktor_EI,'Korrigeringsfaktor EI'!AA$1,FALSE),
"")</f>
        <v>4.66015625</v>
      </c>
      <c r="AB249" s="18">
        <f>IFERROR(
                  Andel_oberoende_av_klimat*VLOOKUP($A249,Leveranser_per_nät,'Leveranser per nät'!AB$1,FALSE)
               +Andel_beroende_av_klimat*VLOOKUP($A249,Leveranser_per_nät,'Leveranser per nät'!AB$1,FALSE)/VLOOKUP($B249,Korrigeringsfaktor_EI,'Korrigeringsfaktor EI'!AB$1,FALSE),
"")</f>
        <v>4.7435944609297733</v>
      </c>
      <c r="AC249" s="18">
        <f>IFERROR(
                  Andel_oberoende_av_klimat*VLOOKUP($A249,Leveranser_per_nät,'Leveranser per nät'!AC$1,FALSE)
               +Andel_beroende_av_klimat*VLOOKUP($A249,Leveranser_per_nät,'Leveranser per nät'!AC$1,FALSE)/VLOOKUP($B249,Korrigeringsfaktor_EI,'Korrigeringsfaktor EI'!AC$1,FALSE),
"")</f>
        <v>4.5756766917293232</v>
      </c>
      <c r="AD249">
        <v>1362.3</v>
      </c>
    </row>
    <row r="250" spans="1:30" x14ac:dyDescent="0.25">
      <c r="A250" t="s">
        <v>193</v>
      </c>
      <c r="B250" t="s">
        <v>193</v>
      </c>
      <c r="C250" s="18">
        <f>IFERROR(
                  Andel_oberoende_av_klimat*VLOOKUP($A250,Leveranser_per_nät,'Leveranser per nät'!C$1,FALSE)
               +Andel_beroende_av_klimat*VLOOKUP($A250,Leveranser_per_nät,'Leveranser per nät'!C$1,FALSE)/VLOOKUP($B250,Korrigeringsfaktor_EI,'Korrigeringsfaktor EI'!C$1,FALSE),
"")</f>
        <v>55.940740740740736</v>
      </c>
      <c r="D250" s="18">
        <f>IFERROR(
                  Andel_oberoende_av_klimat*VLOOKUP($A250,Leveranser_per_nät,'Leveranser per nät'!D$1,FALSE)
               +Andel_beroende_av_klimat*VLOOKUP($A250,Leveranser_per_nät,'Leveranser per nät'!D$1,FALSE)/VLOOKUP($B250,Korrigeringsfaktor_EI,'Korrigeringsfaktor EI'!D$1,FALSE),
"")</f>
        <v>53.022666666666673</v>
      </c>
      <c r="E250" s="18">
        <f>IFERROR(
                  Andel_oberoende_av_klimat*VLOOKUP($A250,Leveranser_per_nät,'Leveranser per nät'!E$1,FALSE)
               +Andel_beroende_av_klimat*VLOOKUP($A250,Leveranser_per_nät,'Leveranser per nät'!E$1,FALSE)/VLOOKUP($B250,Korrigeringsfaktor_EI,'Korrigeringsfaktor EI'!E$1,FALSE),
"")</f>
        <v>52.632673267326723</v>
      </c>
      <c r="F250" s="18">
        <f>IFERROR(
                  Andel_oberoende_av_klimat*VLOOKUP($A250,Leveranser_per_nät,'Leveranser per nät'!F$1,FALSE)
               +Andel_beroende_av_klimat*VLOOKUP($A250,Leveranser_per_nät,'Leveranser per nät'!F$1,FALSE)/VLOOKUP($B250,Korrigeringsfaktor_EI,'Korrigeringsfaktor EI'!F$1,FALSE),
"")</f>
        <v>56.395959595959596</v>
      </c>
      <c r="G250" s="18">
        <f>IFERROR(
                  Andel_oberoende_av_klimat*VLOOKUP($A250,Leveranser_per_nät,'Leveranser per nät'!G$1,FALSE)
               +Andel_beroende_av_klimat*VLOOKUP($A250,Leveranser_per_nät,'Leveranser per nät'!G$1,FALSE)/VLOOKUP($B250,Korrigeringsfaktor_EI,'Korrigeringsfaktor EI'!G$1,FALSE),
"")</f>
        <v>64.21397849462366</v>
      </c>
      <c r="H250" s="18">
        <f>IFERROR(
                  Andel_oberoende_av_klimat*VLOOKUP($A250,Leveranser_per_nät,'Leveranser per nät'!H$1,FALSE)
               +Andel_beroende_av_klimat*VLOOKUP($A250,Leveranser_per_nät,'Leveranser per nät'!H$1,FALSE)/VLOOKUP($B250,Korrigeringsfaktor_EI,'Korrigeringsfaktor EI'!H$1,FALSE),
"")</f>
        <v>75.473267326732667</v>
      </c>
      <c r="I250" s="18">
        <f>IFERROR(
                  Andel_oberoende_av_klimat*VLOOKUP($A250,Leveranser_per_nät,'Leveranser per nät'!I$1,FALSE)
               +Andel_beroende_av_klimat*VLOOKUP($A250,Leveranser_per_nät,'Leveranser per nät'!I$1,FALSE)/VLOOKUP($B250,Korrigeringsfaktor_EI,'Korrigeringsfaktor EI'!I$1,FALSE),
"")</f>
        <v>66.895833333333343</v>
      </c>
      <c r="J250" s="18">
        <f>IFERROR(
                  Andel_oberoende_av_klimat*VLOOKUP($A250,Leveranser_per_nät,'Leveranser per nät'!J$1,FALSE)
               +Andel_beroende_av_klimat*VLOOKUP($A250,Leveranser_per_nät,'Leveranser per nät'!J$1,FALSE)/VLOOKUP($B250,Korrigeringsfaktor_EI,'Korrigeringsfaktor EI'!J$1,FALSE),
"")</f>
        <v>68.954166666666666</v>
      </c>
      <c r="K250" s="18">
        <f>IFERROR(
                  Andel_oberoende_av_klimat*VLOOKUP($A250,Leveranser_per_nät,'Leveranser per nät'!K$1,FALSE)
               +Andel_beroende_av_klimat*VLOOKUP($A250,Leveranser_per_nät,'Leveranser per nät'!K$1,FALSE)/VLOOKUP($B250,Korrigeringsfaktor_EI,'Korrigeringsfaktor EI'!K$1,FALSE),
"")</f>
        <v>70.446163157894745</v>
      </c>
      <c r="L250" s="18">
        <f>IFERROR(
                  Andel_oberoende_av_klimat*VLOOKUP($A250,Leveranser_per_nät,'Leveranser per nät'!L$1,FALSE)
               +Andel_beroende_av_klimat*VLOOKUP($A250,Leveranser_per_nät,'Leveranser per nät'!L$1,FALSE)/VLOOKUP($B250,Korrigeringsfaktor_EI,'Korrigeringsfaktor EI'!L$1,FALSE),
"")</f>
        <v>72.654432258064517</v>
      </c>
      <c r="M250" s="18">
        <f>IFERROR(
                  Andel_oberoende_av_klimat*VLOOKUP($A250,Leveranser_per_nät,'Leveranser per nät'!M$1,FALSE)
               +Andel_beroende_av_klimat*VLOOKUP($A250,Leveranser_per_nät,'Leveranser per nät'!M$1,FALSE)/VLOOKUP($B250,Korrigeringsfaktor_EI,'Korrigeringsfaktor EI'!M$1,FALSE),
"")</f>
        <v>73.035946153846155</v>
      </c>
      <c r="N250" s="18">
        <f>IFERROR(
                  Andel_oberoende_av_klimat*VLOOKUP($A250,Leveranser_per_nät,'Leveranser per nät'!N$1,FALSE)
               +Andel_beroende_av_klimat*VLOOKUP($A250,Leveranser_per_nät,'Leveranser per nät'!N$1,FALSE)/VLOOKUP($B250,Korrigeringsfaktor_EI,'Korrigeringsfaktor EI'!N$1,FALSE),
"")</f>
        <v>74.905706382978721</v>
      </c>
      <c r="O250" s="18">
        <f>IFERROR(
                  Andel_oberoende_av_klimat*VLOOKUP($A250,Leveranser_per_nät,'Leveranser per nät'!O$1,FALSE)
               +Andel_beroende_av_klimat*VLOOKUP($A250,Leveranser_per_nät,'Leveranser per nät'!O$1,FALSE)/VLOOKUP($B250,Korrigeringsfaktor_EI,'Korrigeringsfaktor EI'!O$1,FALSE),
"")</f>
        <v>73.94877872340426</v>
      </c>
      <c r="P250" s="18">
        <f>IFERROR(
                  Andel_oberoende_av_klimat*VLOOKUP($A250,Leveranser_per_nät,'Leveranser per nät'!P$1,FALSE)
               +Andel_beroende_av_klimat*VLOOKUP($A250,Leveranser_per_nät,'Leveranser per nät'!P$1,FALSE)/VLOOKUP($B250,Korrigeringsfaktor_EI,'Korrigeringsfaktor EI'!P$1,FALSE),
"")</f>
        <v>71.07300808080808</v>
      </c>
      <c r="Q250" s="18">
        <f>IFERROR(
                  Andel_oberoende_av_klimat*VLOOKUP($A250,Leveranser_per_nät,'Leveranser per nät'!Q$1,FALSE)
               +Andel_beroende_av_klimat*VLOOKUP($A250,Leveranser_per_nät,'Leveranser per nät'!Q$1,FALSE)/VLOOKUP($B250,Korrigeringsfaktor_EI,'Korrigeringsfaktor EI'!Q$1,FALSE),
"")</f>
        <v>72.426575221238949</v>
      </c>
      <c r="R250" s="18">
        <f>IFERROR(
                  Andel_oberoende_av_klimat*VLOOKUP($A250,Leveranser_per_nät,'Leveranser per nät'!R$1,FALSE)
               +Andel_beroende_av_klimat*VLOOKUP($A250,Leveranser_per_nät,'Leveranser per nät'!R$1,FALSE)/VLOOKUP($B250,Korrigeringsfaktor_EI,'Korrigeringsfaktor EI'!R$1,FALSE),
"")</f>
        <v>66.229026086956523</v>
      </c>
      <c r="S250" s="18">
        <f>IFERROR(
                  Andel_oberoende_av_klimat*VLOOKUP($A250,Leveranser_per_nät,'Leveranser per nät'!S$1,FALSE)
               +Andel_beroende_av_klimat*VLOOKUP($A250,Leveranser_per_nät,'Leveranser per nät'!S$1,FALSE)/VLOOKUP($B250,Korrigeringsfaktor_EI,'Korrigeringsfaktor EI'!S$1,FALSE),
"")</f>
        <v>66</v>
      </c>
      <c r="T250" s="18">
        <f>IFERROR(
                  Andel_oberoende_av_klimat*VLOOKUP($A250,Leveranser_per_nät,'Leveranser per nät'!T$1,FALSE)
               +Andel_beroende_av_klimat*VLOOKUP($A250,Leveranser_per_nät,'Leveranser per nät'!T$1,FALSE)/VLOOKUP($B250,Korrigeringsfaktor_EI,'Korrigeringsfaktor EI'!T$1,FALSE),
"")</f>
        <v>64.940416666666678</v>
      </c>
      <c r="U250" s="18">
        <f>IFERROR(
                  Andel_oberoende_av_klimat*VLOOKUP($A250,Leveranser_per_nät,'Leveranser per nät'!U$1,FALSE)
               +Andel_beroende_av_klimat*VLOOKUP($A250,Leveranser_per_nät,'Leveranser per nät'!U$1,FALSE)/VLOOKUP($B250,Korrigeringsfaktor_EI,'Korrigeringsfaktor EI'!U$1,FALSE),
"")</f>
        <v>56.498876404494382</v>
      </c>
      <c r="V250" s="18">
        <f>IFERROR(
                  Andel_oberoende_av_klimat*VLOOKUP($A250,Leveranser_per_nät,'Leveranser per nät'!V$1,FALSE)
               +Andel_beroende_av_klimat*VLOOKUP($A250,Leveranser_per_nät,'Leveranser per nät'!V$1,FALSE)/VLOOKUP($B250,Korrigeringsfaktor_EI,'Korrigeringsfaktor EI'!V$1,FALSE),
"")</f>
        <v>62.697391304347825</v>
      </c>
      <c r="W250" s="18">
        <f>IFERROR(
                  Andel_oberoende_av_klimat*VLOOKUP($A250,Leveranser_per_nät,'Leveranser per nät'!W$1,FALSE)
               +Andel_beroende_av_klimat*VLOOKUP($A250,Leveranser_per_nät,'Leveranser per nät'!W$1,FALSE)/VLOOKUP($B250,Korrigeringsfaktor_EI,'Korrigeringsfaktor EI'!W$1,FALSE),
"")</f>
        <v>65.632105263157897</v>
      </c>
      <c r="X250" s="18">
        <f>IFERROR(
                  Andel_oberoende_av_klimat*VLOOKUP($A250,Leveranser_per_nät,'Leveranser per nät'!X$1,FALSE)
               +Andel_beroende_av_klimat*VLOOKUP($A250,Leveranser_per_nät,'Leveranser per nät'!X$1,FALSE)/VLOOKUP($B250,Korrigeringsfaktor_EI,'Korrigeringsfaktor EI'!X$1,FALSE),
"")</f>
        <v>65.385567010309273</v>
      </c>
      <c r="Y250" s="18">
        <f>IFERROR(
                  Andel_oberoende_av_klimat*VLOOKUP($A250,Leveranser_per_nät,'Leveranser per nät'!Y$1,FALSE)
               +Andel_beroende_av_klimat*VLOOKUP($A250,Leveranser_per_nät,'Leveranser per nät'!Y$1,FALSE)/VLOOKUP($B250,Korrigeringsfaktor_EI,'Korrigeringsfaktor EI'!Y$1,FALSE),
"")</f>
        <v>65.919361702127674</v>
      </c>
      <c r="Z250" s="18">
        <f>IFERROR(
                  Andel_oberoende_av_klimat*VLOOKUP($A250,Leveranser_per_nät,'Leveranser per nät'!Z$1,FALSE)
               +Andel_beroende_av_klimat*VLOOKUP($A250,Leveranser_per_nät,'Leveranser per nät'!Z$1,FALSE)/VLOOKUP($B250,Korrigeringsfaktor_EI,'Korrigeringsfaktor EI'!Z$1,FALSE),
"")</f>
        <v>64.950860215053766</v>
      </c>
      <c r="AA250" s="18">
        <f>IFERROR(
                  Andel_oberoende_av_klimat*VLOOKUP($A250,Leveranser_per_nät,'Leveranser per nät'!AA$1,FALSE)
               +Andel_beroende_av_klimat*VLOOKUP($A250,Leveranser_per_nät,'Leveranser per nät'!AA$1,FALSE)/VLOOKUP($B250,Korrigeringsfaktor_EI,'Korrigeringsfaktor EI'!AA$1,FALSE),
"")</f>
        <v>63.029135053110764</v>
      </c>
      <c r="AB250" s="18">
        <f>IFERROR(
                  Andel_oberoende_av_klimat*VLOOKUP($A250,Leveranser_per_nät,'Leveranser per nät'!AB$1,FALSE)
               +Andel_beroende_av_klimat*VLOOKUP($A250,Leveranser_per_nät,'Leveranser per nät'!AB$1,FALSE)/VLOOKUP($B250,Korrigeringsfaktor_EI,'Korrigeringsfaktor EI'!AB$1,FALSE),
"")</f>
        <v>63.767149253731347</v>
      </c>
      <c r="AC250" s="18">
        <f>IFERROR(
                  Andel_oberoende_av_klimat*VLOOKUP($A250,Leveranser_per_nät,'Leveranser per nät'!AC$1,FALSE)
               +Andel_beroende_av_klimat*VLOOKUP($A250,Leveranser_per_nät,'Leveranser per nät'!AC$1,FALSE)/VLOOKUP($B250,Korrigeringsfaktor_EI,'Korrigeringsfaktor EI'!AC$1,FALSE),
"")</f>
        <v>61.618088241415194</v>
      </c>
      <c r="AD250">
        <v>59.915999999999997</v>
      </c>
    </row>
    <row r="251" spans="1:30" x14ac:dyDescent="0.25">
      <c r="A251" t="s">
        <v>479</v>
      </c>
      <c r="B251" t="s">
        <v>126</v>
      </c>
      <c r="C251" s="18">
        <f>IFERROR(
                  Andel_oberoende_av_klimat*VLOOKUP($A251,Leveranser_per_nät,'Leveranser per nät'!C$1,FALSE)
               +Andel_beroende_av_klimat*VLOOKUP($A251,Leveranser_per_nät,'Leveranser per nät'!C$1,FALSE)/VLOOKUP($B251,Korrigeringsfaktor_EI,'Korrigeringsfaktor EI'!C$1,FALSE),
"")</f>
        <v>16.291152336448597</v>
      </c>
      <c r="D251" s="18">
        <f>IFERROR(
                  Andel_oberoende_av_klimat*VLOOKUP($A251,Leveranser_per_nät,'Leveranser per nät'!D$1,FALSE)
               +Andel_beroende_av_klimat*VLOOKUP($A251,Leveranser_per_nät,'Leveranser per nät'!D$1,FALSE)/VLOOKUP($B251,Korrigeringsfaktor_EI,'Korrigeringsfaktor EI'!D$1,FALSE),
"")</f>
        <v>15.519833333333334</v>
      </c>
      <c r="E251" s="18">
        <f>IFERROR(
                  Andel_oberoende_av_klimat*VLOOKUP($A251,Leveranser_per_nät,'Leveranser per nät'!E$1,FALSE)
               +Andel_beroende_av_klimat*VLOOKUP($A251,Leveranser_per_nät,'Leveranser per nät'!E$1,FALSE)/VLOOKUP($B251,Korrigeringsfaktor_EI,'Korrigeringsfaktor EI'!E$1,FALSE),
"")</f>
        <v>15.780392156862744</v>
      </c>
      <c r="F251" s="18">
        <f>IFERROR(
                  Andel_oberoende_av_klimat*VLOOKUP($A251,Leveranser_per_nät,'Leveranser per nät'!F$1,FALSE)
               +Andel_beroende_av_klimat*VLOOKUP($A251,Leveranser_per_nät,'Leveranser per nät'!F$1,FALSE)/VLOOKUP($B251,Korrigeringsfaktor_EI,'Korrigeringsfaktor EI'!F$1,FALSE),
"")</f>
        <v>15.324742268041238</v>
      </c>
      <c r="G251" s="18">
        <f>IFERROR(
                  Andel_oberoende_av_klimat*VLOOKUP($A251,Leveranser_per_nät,'Leveranser per nät'!G$1,FALSE)
               +Andel_beroende_av_klimat*VLOOKUP($A251,Leveranser_per_nät,'Leveranser per nät'!G$1,FALSE)/VLOOKUP($B251,Korrigeringsfaktor_EI,'Korrigeringsfaktor EI'!G$1,FALSE),
"")</f>
        <v>16.166666666666668</v>
      </c>
      <c r="H251" s="18">
        <f>IFERROR(
                  Andel_oberoende_av_klimat*VLOOKUP($A251,Leveranser_per_nät,'Leveranser per nät'!H$1,FALSE)
               +Andel_beroende_av_klimat*VLOOKUP($A251,Leveranser_per_nät,'Leveranser per nät'!H$1,FALSE)/VLOOKUP($B251,Korrigeringsfaktor_EI,'Korrigeringsfaktor EI'!H$1,FALSE),
"")</f>
        <v>0</v>
      </c>
      <c r="I251" s="18">
        <f>IFERROR(
                  Andel_oberoende_av_klimat*VLOOKUP($A251,Leveranser_per_nät,'Leveranser per nät'!I$1,FALSE)
               +Andel_beroende_av_klimat*VLOOKUP($A251,Leveranser_per_nät,'Leveranser per nät'!I$1,FALSE)/VLOOKUP($B251,Korrigeringsfaktor_EI,'Korrigeringsfaktor EI'!I$1,FALSE),
"")</f>
        <v>0</v>
      </c>
      <c r="J251" s="18">
        <f>IFERROR(
                  Andel_oberoende_av_klimat*VLOOKUP($A251,Leveranser_per_nät,'Leveranser per nät'!J$1,FALSE)
               +Andel_beroende_av_klimat*VLOOKUP($A251,Leveranser_per_nät,'Leveranser per nät'!J$1,FALSE)/VLOOKUP($B251,Korrigeringsfaktor_EI,'Korrigeringsfaktor EI'!J$1,FALSE),
"")</f>
        <v>14.2</v>
      </c>
      <c r="K251" s="18">
        <f>IFERROR(
                  Andel_oberoende_av_klimat*VLOOKUP($A251,Leveranser_per_nät,'Leveranser per nät'!K$1,FALSE)
               +Andel_beroende_av_klimat*VLOOKUP($A251,Leveranser_per_nät,'Leveranser per nät'!K$1,FALSE)/VLOOKUP($B251,Korrigeringsfaktor_EI,'Korrigeringsfaktor EI'!K$1,FALSE),
"")</f>
        <v>0</v>
      </c>
      <c r="L251" s="18">
        <f>IFERROR(
                  Andel_oberoende_av_klimat*VLOOKUP($A251,Leveranser_per_nät,'Leveranser per nät'!L$1,FALSE)
               +Andel_beroende_av_klimat*VLOOKUP($A251,Leveranser_per_nät,'Leveranser per nät'!L$1,FALSE)/VLOOKUP($B251,Korrigeringsfaktor_EI,'Korrigeringsfaktor EI'!L$1,FALSE),
"")</f>
        <v>0</v>
      </c>
      <c r="M251" s="18">
        <f>IFERROR(
                  Andel_oberoende_av_klimat*VLOOKUP($A251,Leveranser_per_nät,'Leveranser per nät'!M$1,FALSE)
               +Andel_beroende_av_klimat*VLOOKUP($A251,Leveranser_per_nät,'Leveranser per nät'!M$1,FALSE)/VLOOKUP($B251,Korrigeringsfaktor_EI,'Korrigeringsfaktor EI'!M$1,FALSE),
"")</f>
        <v>0</v>
      </c>
      <c r="N251" s="18">
        <f>IFERROR(
                  Andel_oberoende_av_klimat*VLOOKUP($A251,Leveranser_per_nät,'Leveranser per nät'!N$1,FALSE)
               +Andel_beroende_av_klimat*VLOOKUP($A251,Leveranser_per_nät,'Leveranser per nät'!N$1,FALSE)/VLOOKUP($B251,Korrigeringsfaktor_EI,'Korrigeringsfaktor EI'!N$1,FALSE),
"")</f>
        <v>0</v>
      </c>
      <c r="O251" s="18">
        <f>IFERROR(
                  Andel_oberoende_av_klimat*VLOOKUP($A251,Leveranser_per_nät,'Leveranser per nät'!O$1,FALSE)
               +Andel_beroende_av_klimat*VLOOKUP($A251,Leveranser_per_nät,'Leveranser per nät'!O$1,FALSE)/VLOOKUP($B251,Korrigeringsfaktor_EI,'Korrigeringsfaktor EI'!O$1,FALSE),
"")</f>
        <v>0</v>
      </c>
      <c r="P251" s="18">
        <f>IFERROR(
                  Andel_oberoende_av_klimat*VLOOKUP($A251,Leveranser_per_nät,'Leveranser per nät'!P$1,FALSE)
               +Andel_beroende_av_klimat*VLOOKUP($A251,Leveranser_per_nät,'Leveranser per nät'!P$1,FALSE)/VLOOKUP($B251,Korrigeringsfaktor_EI,'Korrigeringsfaktor EI'!P$1,FALSE),
"")</f>
        <v>0</v>
      </c>
      <c r="Q251" s="18">
        <f>IFERROR(
                  Andel_oberoende_av_klimat*VLOOKUP($A251,Leveranser_per_nät,'Leveranser per nät'!Q$1,FALSE)
               +Andel_beroende_av_klimat*VLOOKUP($A251,Leveranser_per_nät,'Leveranser per nät'!Q$1,FALSE)/VLOOKUP($B251,Korrigeringsfaktor_EI,'Korrigeringsfaktor EI'!Q$1,FALSE),
"")</f>
        <v>0</v>
      </c>
      <c r="R251" s="18">
        <f>IFERROR(
                  Andel_oberoende_av_klimat*VLOOKUP($A251,Leveranser_per_nät,'Leveranser per nät'!R$1,FALSE)
               +Andel_beroende_av_klimat*VLOOKUP($A251,Leveranser_per_nät,'Leveranser per nät'!R$1,FALSE)/VLOOKUP($B251,Korrigeringsfaktor_EI,'Korrigeringsfaktor EI'!R$1,FALSE),
"")</f>
        <v>0</v>
      </c>
      <c r="S251" s="18" t="str">
        <f>IFERROR(
                  Andel_oberoende_av_klimat*VLOOKUP($A251,Leveranser_per_nät,'Leveranser per nät'!S$1,FALSE)
               +Andel_beroende_av_klimat*VLOOKUP($A251,Leveranser_per_nät,'Leveranser per nät'!S$1,FALSE)/VLOOKUP($B251,Korrigeringsfaktor_EI,'Korrigeringsfaktor EI'!S$1,FALSE),
"")</f>
        <v/>
      </c>
      <c r="T251" s="18" t="str">
        <f>IFERROR(
                  Andel_oberoende_av_klimat*VLOOKUP($A251,Leveranser_per_nät,'Leveranser per nät'!T$1,FALSE)
               +Andel_beroende_av_klimat*VLOOKUP($A251,Leveranser_per_nät,'Leveranser per nät'!T$1,FALSE)/VLOOKUP($B251,Korrigeringsfaktor_EI,'Korrigeringsfaktor EI'!T$1,FALSE),
"")</f>
        <v/>
      </c>
      <c r="U251" s="18" t="str">
        <f>IFERROR(
                  Andel_oberoende_av_klimat*VLOOKUP($A251,Leveranser_per_nät,'Leveranser per nät'!U$1,FALSE)
               +Andel_beroende_av_klimat*VLOOKUP($A251,Leveranser_per_nät,'Leveranser per nät'!U$1,FALSE)/VLOOKUP($B251,Korrigeringsfaktor_EI,'Korrigeringsfaktor EI'!U$1,FALSE),
"")</f>
        <v/>
      </c>
      <c r="V251" s="18" t="str">
        <f>IFERROR(
                  Andel_oberoende_av_klimat*VLOOKUP($A251,Leveranser_per_nät,'Leveranser per nät'!V$1,FALSE)
               +Andel_beroende_av_klimat*VLOOKUP($A251,Leveranser_per_nät,'Leveranser per nät'!V$1,FALSE)/VLOOKUP($B251,Korrigeringsfaktor_EI,'Korrigeringsfaktor EI'!V$1,FALSE),
"")</f>
        <v/>
      </c>
      <c r="W251" s="18" t="str">
        <f>IFERROR(
                  Andel_oberoende_av_klimat*VLOOKUP($A251,Leveranser_per_nät,'Leveranser per nät'!W$1,FALSE)
               +Andel_beroende_av_klimat*VLOOKUP($A251,Leveranser_per_nät,'Leveranser per nät'!W$1,FALSE)/VLOOKUP($B251,Korrigeringsfaktor_EI,'Korrigeringsfaktor EI'!W$1,FALSE),
"")</f>
        <v/>
      </c>
      <c r="X251" s="18" t="str">
        <f>IFERROR(
                  Andel_oberoende_av_klimat*VLOOKUP($A251,Leveranser_per_nät,'Leveranser per nät'!X$1,FALSE)
               +Andel_beroende_av_klimat*VLOOKUP($A251,Leveranser_per_nät,'Leveranser per nät'!X$1,FALSE)/VLOOKUP($B251,Korrigeringsfaktor_EI,'Korrigeringsfaktor EI'!X$1,FALSE),
"")</f>
        <v/>
      </c>
      <c r="Y251" s="18" t="str">
        <f>IFERROR(
                  Andel_oberoende_av_klimat*VLOOKUP($A251,Leveranser_per_nät,'Leveranser per nät'!Y$1,FALSE)
               +Andel_beroende_av_klimat*VLOOKUP($A251,Leveranser_per_nät,'Leveranser per nät'!Y$1,FALSE)/VLOOKUP($B251,Korrigeringsfaktor_EI,'Korrigeringsfaktor EI'!Y$1,FALSE),
"")</f>
        <v/>
      </c>
      <c r="Z251" s="18">
        <f>IFERROR(
                  Andel_oberoende_av_klimat*VLOOKUP($A251,Leveranser_per_nät,'Leveranser per nät'!Z$1,FALSE)
               +Andel_beroende_av_klimat*VLOOKUP($A251,Leveranser_per_nät,'Leveranser per nät'!Z$1,FALSE)/VLOOKUP($B251,Korrigeringsfaktor_EI,'Korrigeringsfaktor EI'!Z$1,FALSE),
"")</f>
        <v>0</v>
      </c>
      <c r="AA251" s="18" t="str">
        <f>IFERROR(
                  Andel_oberoende_av_klimat*VLOOKUP($A251,Leveranser_per_nät,'Leveranser per nät'!AA$1,FALSE)
               +Andel_beroende_av_klimat*VLOOKUP($A251,Leveranser_per_nät,'Leveranser per nät'!AA$1,FALSE)/VLOOKUP($B251,Korrigeringsfaktor_EI,'Korrigeringsfaktor EI'!AA$1,FALSE),
"")</f>
        <v/>
      </c>
      <c r="AB251" s="18">
        <f>IFERROR(
                  Andel_oberoende_av_klimat*VLOOKUP($A251,Leveranser_per_nät,'Leveranser per nät'!AB$1,FALSE)
               +Andel_beroende_av_klimat*VLOOKUP($A251,Leveranser_per_nät,'Leveranser per nät'!AB$1,FALSE)/VLOOKUP($B251,Korrigeringsfaktor_EI,'Korrigeringsfaktor EI'!AB$1,FALSE),
"")</f>
        <v>0</v>
      </c>
      <c r="AC251" s="18">
        <f>IFERROR(
                  Andel_oberoende_av_klimat*VLOOKUP($A251,Leveranser_per_nät,'Leveranser per nät'!AC$1,FALSE)
               +Andel_beroende_av_klimat*VLOOKUP($A251,Leveranser_per_nät,'Leveranser per nät'!AC$1,FALSE)/VLOOKUP($B251,Korrigeringsfaktor_EI,'Korrigeringsfaktor EI'!AC$1,FALSE),
"")</f>
        <v>0</v>
      </c>
      <c r="AD251">
        <v>10.417</v>
      </c>
    </row>
    <row r="252" spans="1:30" x14ac:dyDescent="0.25">
      <c r="A252" t="s">
        <v>302</v>
      </c>
      <c r="B252" t="s">
        <v>301</v>
      </c>
      <c r="C252" s="18">
        <f>IFERROR(
                  Andel_oberoende_av_klimat*VLOOKUP($A252,Leveranser_per_nät,'Leveranser per nät'!C$1,FALSE)
               +Andel_beroende_av_klimat*VLOOKUP($A252,Leveranser_per_nät,'Leveranser per nät'!C$1,FALSE)/VLOOKUP($B252,Korrigeringsfaktor_EI,'Korrigeringsfaktor EI'!C$1,FALSE),
"")</f>
        <v>0</v>
      </c>
      <c r="D252" s="18">
        <f>IFERROR(
                  Andel_oberoende_av_klimat*VLOOKUP($A252,Leveranser_per_nät,'Leveranser per nät'!D$1,FALSE)
               +Andel_beroende_av_klimat*VLOOKUP($A252,Leveranser_per_nät,'Leveranser per nät'!D$1,FALSE)/VLOOKUP($B252,Korrigeringsfaktor_EI,'Korrigeringsfaktor EI'!D$1,FALSE),
"")</f>
        <v>16.332874999999998</v>
      </c>
      <c r="E252" s="18">
        <f>IFERROR(
                  Andel_oberoende_av_klimat*VLOOKUP($A252,Leveranser_per_nät,'Leveranser per nät'!E$1,FALSE)
               +Andel_beroende_av_klimat*VLOOKUP($A252,Leveranser_per_nät,'Leveranser per nät'!E$1,FALSE)/VLOOKUP($B252,Korrigeringsfaktor_EI,'Korrigeringsfaktor EI'!E$1,FALSE),
"")</f>
        <v>17.875247524752474</v>
      </c>
      <c r="F252" s="18">
        <f>IFERROR(
                  Andel_oberoende_av_klimat*VLOOKUP($A252,Leveranser_per_nät,'Leveranser per nät'!F$1,FALSE)
               +Andel_beroende_av_klimat*VLOOKUP($A252,Leveranser_per_nät,'Leveranser per nät'!F$1,FALSE)/VLOOKUP($B252,Korrigeringsfaktor_EI,'Korrigeringsfaktor EI'!F$1,FALSE),
"")</f>
        <v>0</v>
      </c>
      <c r="G252" s="18">
        <f>IFERROR(
                  Andel_oberoende_av_klimat*VLOOKUP($A252,Leveranser_per_nät,'Leveranser per nät'!G$1,FALSE)
               +Andel_beroende_av_klimat*VLOOKUP($A252,Leveranser_per_nät,'Leveranser per nät'!G$1,FALSE)/VLOOKUP($B252,Korrigeringsfaktor_EI,'Korrigeringsfaktor EI'!G$1,FALSE),
"")</f>
        <v>0</v>
      </c>
      <c r="H252" s="18">
        <f>IFERROR(
                  Andel_oberoende_av_klimat*VLOOKUP($A252,Leveranser_per_nät,'Leveranser per nät'!H$1,FALSE)
               +Andel_beroende_av_klimat*VLOOKUP($A252,Leveranser_per_nät,'Leveranser per nät'!H$1,FALSE)/VLOOKUP($B252,Korrigeringsfaktor_EI,'Korrigeringsfaktor EI'!H$1,FALSE),
"")</f>
        <v>0</v>
      </c>
      <c r="I252" s="18">
        <f>IFERROR(
                  Andel_oberoende_av_klimat*VLOOKUP($A252,Leveranser_per_nät,'Leveranser per nät'!I$1,FALSE)
               +Andel_beroende_av_klimat*VLOOKUP($A252,Leveranser_per_nät,'Leveranser per nät'!I$1,FALSE)/VLOOKUP($B252,Korrigeringsfaktor_EI,'Korrigeringsfaktor EI'!I$1,FALSE),
"")</f>
        <v>0</v>
      </c>
      <c r="J252" s="18">
        <f>IFERROR(
                  Andel_oberoende_av_klimat*VLOOKUP($A252,Leveranser_per_nät,'Leveranser per nät'!J$1,FALSE)
               +Andel_beroende_av_klimat*VLOOKUP($A252,Leveranser_per_nät,'Leveranser per nät'!J$1,FALSE)/VLOOKUP($B252,Korrigeringsfaktor_EI,'Korrigeringsfaktor EI'!J$1,FALSE),
"")</f>
        <v>0</v>
      </c>
      <c r="K252" s="18">
        <f>IFERROR(
                  Andel_oberoende_av_klimat*VLOOKUP($A252,Leveranser_per_nät,'Leveranser per nät'!K$1,FALSE)
               +Andel_beroende_av_klimat*VLOOKUP($A252,Leveranser_per_nät,'Leveranser per nät'!K$1,FALSE)/VLOOKUP($B252,Korrigeringsfaktor_EI,'Korrigeringsfaktor EI'!K$1,FALSE),
"")</f>
        <v>0</v>
      </c>
      <c r="L252" s="18">
        <f>IFERROR(
                  Andel_oberoende_av_klimat*VLOOKUP($A252,Leveranser_per_nät,'Leveranser per nät'!L$1,FALSE)
               +Andel_beroende_av_klimat*VLOOKUP($A252,Leveranser_per_nät,'Leveranser per nät'!L$1,FALSE)/VLOOKUP($B252,Korrigeringsfaktor_EI,'Korrigeringsfaktor EI'!L$1,FALSE),
"")</f>
        <v>0</v>
      </c>
      <c r="M252" s="18">
        <f>IFERROR(
                  Andel_oberoende_av_klimat*VLOOKUP($A252,Leveranser_per_nät,'Leveranser per nät'!M$1,FALSE)
               +Andel_beroende_av_klimat*VLOOKUP($A252,Leveranser_per_nät,'Leveranser per nät'!M$1,FALSE)/VLOOKUP($B252,Korrigeringsfaktor_EI,'Korrigeringsfaktor EI'!M$1,FALSE),
"")</f>
        <v>13.180407692307693</v>
      </c>
      <c r="N252" s="18">
        <f>IFERROR(
                  Andel_oberoende_av_klimat*VLOOKUP($A252,Leveranser_per_nät,'Leveranser per nät'!N$1,FALSE)
               +Andel_beroende_av_klimat*VLOOKUP($A252,Leveranser_per_nät,'Leveranser per nät'!N$1,FALSE)/VLOOKUP($B252,Korrigeringsfaktor_EI,'Korrigeringsfaktor EI'!N$1,FALSE),
"")</f>
        <v>12.610507692307692</v>
      </c>
      <c r="O252" s="18">
        <f>IFERROR(
                  Andel_oberoende_av_klimat*VLOOKUP($A252,Leveranser_per_nät,'Leveranser per nät'!O$1,FALSE)
               +Andel_beroende_av_klimat*VLOOKUP($A252,Leveranser_per_nät,'Leveranser per nät'!O$1,FALSE)/VLOOKUP($B252,Korrigeringsfaktor_EI,'Korrigeringsfaktor EI'!O$1,FALSE),
"")</f>
        <v>12.8019</v>
      </c>
      <c r="P252" s="18">
        <f>IFERROR(
                  Andel_oberoende_av_klimat*VLOOKUP($A252,Leveranser_per_nät,'Leveranser per nät'!P$1,FALSE)
               +Andel_beroende_av_klimat*VLOOKUP($A252,Leveranser_per_nät,'Leveranser per nät'!P$1,FALSE)/VLOOKUP($B252,Korrigeringsfaktor_EI,'Korrigeringsfaktor EI'!P$1,FALSE),
"")</f>
        <v>11.764009489473686</v>
      </c>
      <c r="Q252" s="18">
        <f>IFERROR(
                  Andel_oberoende_av_klimat*VLOOKUP($A252,Leveranser_per_nät,'Leveranser per nät'!Q$1,FALSE)
               +Andel_beroende_av_klimat*VLOOKUP($A252,Leveranser_per_nät,'Leveranser per nät'!Q$1,FALSE)/VLOOKUP($B252,Korrigeringsfaktor_EI,'Korrigeringsfaktor EI'!Q$1,FALSE),
"")</f>
        <v>12.270153007407405</v>
      </c>
      <c r="R252" s="18">
        <f>IFERROR(
                  Andel_oberoende_av_klimat*VLOOKUP($A252,Leveranser_per_nät,'Leveranser per nät'!R$1,FALSE)
               +Andel_beroende_av_klimat*VLOOKUP($A252,Leveranser_per_nät,'Leveranser per nät'!R$1,FALSE)/VLOOKUP($B252,Korrigeringsfaktor_EI,'Korrigeringsfaktor EI'!R$1,FALSE),
"")</f>
        <v>11.837481818181816</v>
      </c>
      <c r="S252" s="18">
        <f>IFERROR(
                  Andel_oberoende_av_klimat*VLOOKUP($A252,Leveranser_per_nät,'Leveranser per nät'!S$1,FALSE)
               +Andel_beroende_av_klimat*VLOOKUP($A252,Leveranser_per_nät,'Leveranser per nät'!S$1,FALSE)/VLOOKUP($B252,Korrigeringsfaktor_EI,'Korrigeringsfaktor EI'!S$1,FALSE),
"")</f>
        <v>12.167845360824742</v>
      </c>
      <c r="T252" s="18">
        <f>IFERROR(
                  Andel_oberoende_av_klimat*VLOOKUP($A252,Leveranser_per_nät,'Leveranser per nät'!T$1,FALSE)
               +Andel_beroende_av_klimat*VLOOKUP($A252,Leveranser_per_nät,'Leveranser per nät'!T$1,FALSE)/VLOOKUP($B252,Korrigeringsfaktor_EI,'Korrigeringsfaktor EI'!T$1,FALSE),
"")</f>
        <v>11.579801457446809</v>
      </c>
      <c r="U252" s="18">
        <f>IFERROR(
                  Andel_oberoende_av_klimat*VLOOKUP($A252,Leveranser_per_nät,'Leveranser per nät'!U$1,FALSE)
               +Andel_beroende_av_klimat*VLOOKUP($A252,Leveranser_per_nät,'Leveranser per nät'!U$1,FALSE)/VLOOKUP($B252,Korrigeringsfaktor_EI,'Korrigeringsfaktor EI'!U$1,FALSE),
"")</f>
        <v>11.359685820224719</v>
      </c>
      <c r="V252" s="18">
        <f>IFERROR(
                  Andel_oberoende_av_klimat*VLOOKUP($A252,Leveranser_per_nät,'Leveranser per nät'!V$1,FALSE)
               +Andel_beroende_av_klimat*VLOOKUP($A252,Leveranser_per_nät,'Leveranser per nät'!V$1,FALSE)/VLOOKUP($B252,Korrigeringsfaktor_EI,'Korrigeringsfaktor EI'!V$1,FALSE),
"")</f>
        <v>11.268266292134831</v>
      </c>
      <c r="W252" s="18">
        <f>IFERROR(
                  Andel_oberoende_av_klimat*VLOOKUP($A252,Leveranser_per_nät,'Leveranser per nät'!W$1,FALSE)
               +Andel_beroende_av_klimat*VLOOKUP($A252,Leveranser_per_nät,'Leveranser per nät'!W$1,FALSE)/VLOOKUP($B252,Korrigeringsfaktor_EI,'Korrigeringsfaktor EI'!W$1,FALSE),
"")</f>
        <v>10.409200000000002</v>
      </c>
      <c r="X252" s="18">
        <f>IFERROR(
                  Andel_oberoende_av_klimat*VLOOKUP($A252,Leveranser_per_nät,'Leveranser per nät'!X$1,FALSE)
               +Andel_beroende_av_klimat*VLOOKUP($A252,Leveranser_per_nät,'Leveranser per nät'!X$1,FALSE)/VLOOKUP($B252,Korrigeringsfaktor_EI,'Korrigeringsfaktor EI'!X$1,FALSE),
"")</f>
        <v>10.012784210526316</v>
      </c>
      <c r="Y252" s="18">
        <f>IFERROR(
                  Andel_oberoende_av_klimat*VLOOKUP($A252,Leveranser_per_nät,'Leveranser per nät'!Y$1,FALSE)
               +Andel_beroende_av_klimat*VLOOKUP($A252,Leveranser_per_nät,'Leveranser per nät'!Y$1,FALSE)/VLOOKUP($B252,Korrigeringsfaktor_EI,'Korrigeringsfaktor EI'!Y$1,FALSE),
"")</f>
        <v>9.99948494623656</v>
      </c>
      <c r="Z252" s="18">
        <f>IFERROR(
                  Andel_oberoende_av_klimat*VLOOKUP($A252,Leveranser_per_nät,'Leveranser per nät'!Z$1,FALSE)
               +Andel_beroende_av_klimat*VLOOKUP($A252,Leveranser_per_nät,'Leveranser per nät'!Z$1,FALSE)/VLOOKUP($B252,Korrigeringsfaktor_EI,'Korrigeringsfaktor EI'!Z$1,FALSE),
"")</f>
        <v>9.7364255319148949</v>
      </c>
      <c r="AA252" s="18">
        <f>IFERROR(
                  Andel_oberoende_av_klimat*VLOOKUP($A252,Leveranser_per_nät,'Leveranser per nät'!AA$1,FALSE)
               +Andel_beroende_av_klimat*VLOOKUP($A252,Leveranser_per_nät,'Leveranser per nät'!AA$1,FALSE)/VLOOKUP($B252,Korrigeringsfaktor_EI,'Korrigeringsfaktor EI'!AA$1,FALSE),
"")</f>
        <v>9.1408815884476553</v>
      </c>
      <c r="AB252" s="18">
        <f>IFERROR(
                  Andel_oberoende_av_klimat*VLOOKUP($A252,Leveranser_per_nät,'Leveranser per nät'!AB$1,FALSE)
               +Andel_beroende_av_klimat*VLOOKUP($A252,Leveranser_per_nät,'Leveranser per nät'!AB$1,FALSE)/VLOOKUP($B252,Korrigeringsfaktor_EI,'Korrigeringsfaktor EI'!AB$1,FALSE),
"")</f>
        <v>9.157850655903129</v>
      </c>
      <c r="AC252" s="18">
        <f>IFERROR(
                  Andel_oberoende_av_klimat*VLOOKUP($A252,Leveranser_per_nät,'Leveranser per nät'!AC$1,FALSE)
               +Andel_beroende_av_klimat*VLOOKUP($A252,Leveranser_per_nät,'Leveranser per nät'!AC$1,FALSE)/VLOOKUP($B252,Korrigeringsfaktor_EI,'Korrigeringsfaktor EI'!AC$1,FALSE),
"")</f>
        <v>9.0855893617021284</v>
      </c>
      <c r="AD252">
        <v>115.232</v>
      </c>
    </row>
    <row r="253" spans="1:30" x14ac:dyDescent="0.25">
      <c r="A253" t="s">
        <v>293</v>
      </c>
      <c r="B253" t="s">
        <v>288</v>
      </c>
      <c r="C253" s="18">
        <f>IFERROR(
                  Andel_oberoende_av_klimat*VLOOKUP($A253,Leveranser_per_nät,'Leveranser per nät'!C$1,FALSE)
               +Andel_beroende_av_klimat*VLOOKUP($A253,Leveranser_per_nät,'Leveranser per nät'!C$1,FALSE)/VLOOKUP($B253,Korrigeringsfaktor_EI,'Korrigeringsfaktor EI'!C$1,FALSE),
"")</f>
        <v>0</v>
      </c>
      <c r="D253" s="18">
        <f>IFERROR(
                  Andel_oberoende_av_klimat*VLOOKUP($A253,Leveranser_per_nät,'Leveranser per nät'!D$1,FALSE)
               +Andel_beroende_av_klimat*VLOOKUP($A253,Leveranser_per_nät,'Leveranser per nät'!D$1,FALSE)/VLOOKUP($B253,Korrigeringsfaktor_EI,'Korrigeringsfaktor EI'!D$1,FALSE),
"")</f>
        <v>0</v>
      </c>
      <c r="E253" s="18">
        <f>IFERROR(
                  Andel_oberoende_av_klimat*VLOOKUP($A253,Leveranser_per_nät,'Leveranser per nät'!E$1,FALSE)
               +Andel_beroende_av_klimat*VLOOKUP($A253,Leveranser_per_nät,'Leveranser per nät'!E$1,FALSE)/VLOOKUP($B253,Korrigeringsfaktor_EI,'Korrigeringsfaktor EI'!E$1,FALSE),
"")</f>
        <v>0</v>
      </c>
      <c r="F253" s="18">
        <f>IFERROR(
                  Andel_oberoende_av_klimat*VLOOKUP($A253,Leveranser_per_nät,'Leveranser per nät'!F$1,FALSE)
               +Andel_beroende_av_klimat*VLOOKUP($A253,Leveranser_per_nät,'Leveranser per nät'!F$1,FALSE)/VLOOKUP($B253,Korrigeringsfaktor_EI,'Korrigeringsfaktor EI'!F$1,FALSE),
"")</f>
        <v>0</v>
      </c>
      <c r="G253" s="18">
        <f>IFERROR(
                  Andel_oberoende_av_klimat*VLOOKUP($A253,Leveranser_per_nät,'Leveranser per nät'!G$1,FALSE)
               +Andel_beroende_av_klimat*VLOOKUP($A253,Leveranser_per_nät,'Leveranser per nät'!G$1,FALSE)/VLOOKUP($B253,Korrigeringsfaktor_EI,'Korrigeringsfaktor EI'!G$1,FALSE),
"")</f>
        <v>0</v>
      </c>
      <c r="H253" s="18">
        <f>IFERROR(
                  Andel_oberoende_av_klimat*VLOOKUP($A253,Leveranser_per_nät,'Leveranser per nät'!H$1,FALSE)
               +Andel_beroende_av_klimat*VLOOKUP($A253,Leveranser_per_nät,'Leveranser per nät'!H$1,FALSE)/VLOOKUP($B253,Korrigeringsfaktor_EI,'Korrigeringsfaktor EI'!H$1,FALSE),
"")</f>
        <v>0</v>
      </c>
      <c r="I253" s="18">
        <f>IFERROR(
                  Andel_oberoende_av_klimat*VLOOKUP($A253,Leveranser_per_nät,'Leveranser per nät'!I$1,FALSE)
               +Andel_beroende_av_klimat*VLOOKUP($A253,Leveranser_per_nät,'Leveranser per nät'!I$1,FALSE)/VLOOKUP($B253,Korrigeringsfaktor_EI,'Korrigeringsfaktor EI'!I$1,FALSE),
"")</f>
        <v>0</v>
      </c>
      <c r="J253" s="18">
        <f>IFERROR(
                  Andel_oberoende_av_klimat*VLOOKUP($A253,Leveranser_per_nät,'Leveranser per nät'!J$1,FALSE)
               +Andel_beroende_av_klimat*VLOOKUP($A253,Leveranser_per_nät,'Leveranser per nät'!J$1,FALSE)/VLOOKUP($B253,Korrigeringsfaktor_EI,'Korrigeringsfaktor EI'!J$1,FALSE),
"")</f>
        <v>0</v>
      </c>
      <c r="K253" s="18">
        <f>IFERROR(
                  Andel_oberoende_av_klimat*VLOOKUP($A253,Leveranser_per_nät,'Leveranser per nät'!K$1,FALSE)
               +Andel_beroende_av_klimat*VLOOKUP($A253,Leveranser_per_nät,'Leveranser per nät'!K$1,FALSE)/VLOOKUP($B253,Korrigeringsfaktor_EI,'Korrigeringsfaktor EI'!K$1,FALSE),
"")</f>
        <v>0</v>
      </c>
      <c r="L253" s="18">
        <f>IFERROR(
                  Andel_oberoende_av_klimat*VLOOKUP($A253,Leveranser_per_nät,'Leveranser per nät'!L$1,FALSE)
               +Andel_beroende_av_klimat*VLOOKUP($A253,Leveranser_per_nät,'Leveranser per nät'!L$1,FALSE)/VLOOKUP($B253,Korrigeringsfaktor_EI,'Korrigeringsfaktor EI'!L$1,FALSE),
"")</f>
        <v>0</v>
      </c>
      <c r="M253" s="18">
        <f>IFERROR(
                  Andel_oberoende_av_klimat*VLOOKUP($A253,Leveranser_per_nät,'Leveranser per nät'!M$1,FALSE)
               +Andel_beroende_av_klimat*VLOOKUP($A253,Leveranser_per_nät,'Leveranser per nät'!M$1,FALSE)/VLOOKUP($B253,Korrigeringsfaktor_EI,'Korrigeringsfaktor EI'!M$1,FALSE),
"")</f>
        <v>0.20369999999999999</v>
      </c>
      <c r="N253" s="18">
        <f>IFERROR(
                  Andel_oberoende_av_klimat*VLOOKUP($A253,Leveranser_per_nät,'Leveranser per nät'!N$1,FALSE)
               +Andel_beroende_av_klimat*VLOOKUP($A253,Leveranser_per_nät,'Leveranser per nät'!N$1,FALSE)/VLOOKUP($B253,Korrigeringsfaktor_EI,'Korrigeringsfaktor EI'!N$1,FALSE),
"")</f>
        <v>0.91526153846153846</v>
      </c>
      <c r="O253" s="18">
        <f>IFERROR(
                  Andel_oberoende_av_klimat*VLOOKUP($A253,Leveranser_per_nät,'Leveranser per nät'!O$1,FALSE)
               +Andel_beroende_av_klimat*VLOOKUP($A253,Leveranser_per_nät,'Leveranser per nät'!O$1,FALSE)/VLOOKUP($B253,Korrigeringsfaktor_EI,'Korrigeringsfaktor EI'!O$1,FALSE),
"")</f>
        <v>1.594223076923077</v>
      </c>
      <c r="P253" s="18">
        <f>IFERROR(
                  Andel_oberoende_av_klimat*VLOOKUP($A253,Leveranser_per_nät,'Leveranser per nät'!P$1,FALSE)
               +Andel_beroende_av_klimat*VLOOKUP($A253,Leveranser_per_nät,'Leveranser per nät'!P$1,FALSE)/VLOOKUP($B253,Korrigeringsfaktor_EI,'Korrigeringsfaktor EI'!P$1,FALSE),
"")</f>
        <v>1.8205958333333334</v>
      </c>
      <c r="Q253" s="18">
        <f>IFERROR(
                  Andel_oberoende_av_klimat*VLOOKUP($A253,Leveranser_per_nät,'Leveranser per nät'!Q$1,FALSE)
               +Andel_beroende_av_klimat*VLOOKUP($A253,Leveranser_per_nät,'Leveranser per nät'!Q$1,FALSE)/VLOOKUP($B253,Korrigeringsfaktor_EI,'Korrigeringsfaktor EI'!Q$1,FALSE),
"")</f>
        <v>0</v>
      </c>
      <c r="R253" s="18">
        <f>IFERROR(
                  Andel_oberoende_av_klimat*VLOOKUP($A253,Leveranser_per_nät,'Leveranser per nät'!R$1,FALSE)
               +Andel_beroende_av_klimat*VLOOKUP($A253,Leveranser_per_nät,'Leveranser per nät'!R$1,FALSE)/VLOOKUP($B253,Korrigeringsfaktor_EI,'Korrigeringsfaktor EI'!R$1,FALSE),
"")</f>
        <v>0</v>
      </c>
      <c r="S253" s="18" t="str">
        <f>IFERROR(
                  Andel_oberoende_av_klimat*VLOOKUP($A253,Leveranser_per_nät,'Leveranser per nät'!S$1,FALSE)
               +Andel_beroende_av_klimat*VLOOKUP($A253,Leveranser_per_nät,'Leveranser per nät'!S$1,FALSE)/VLOOKUP($B253,Korrigeringsfaktor_EI,'Korrigeringsfaktor EI'!S$1,FALSE),
"")</f>
        <v/>
      </c>
      <c r="T253" s="18" t="str">
        <f>IFERROR(
                  Andel_oberoende_av_klimat*VLOOKUP($A253,Leveranser_per_nät,'Leveranser per nät'!T$1,FALSE)
               +Andel_beroende_av_klimat*VLOOKUP($A253,Leveranser_per_nät,'Leveranser per nät'!T$1,FALSE)/VLOOKUP($B253,Korrigeringsfaktor_EI,'Korrigeringsfaktor EI'!T$1,FALSE),
"")</f>
        <v/>
      </c>
      <c r="U253" s="18" t="str">
        <f>IFERROR(
                  Andel_oberoende_av_klimat*VLOOKUP($A253,Leveranser_per_nät,'Leveranser per nät'!U$1,FALSE)
               +Andel_beroende_av_klimat*VLOOKUP($A253,Leveranser_per_nät,'Leveranser per nät'!U$1,FALSE)/VLOOKUP($B253,Korrigeringsfaktor_EI,'Korrigeringsfaktor EI'!U$1,FALSE),
"")</f>
        <v/>
      </c>
      <c r="V253" s="18" t="str">
        <f>IFERROR(
                  Andel_oberoende_av_klimat*VLOOKUP($A253,Leveranser_per_nät,'Leveranser per nät'!V$1,FALSE)
               +Andel_beroende_av_klimat*VLOOKUP($A253,Leveranser_per_nät,'Leveranser per nät'!V$1,FALSE)/VLOOKUP($B253,Korrigeringsfaktor_EI,'Korrigeringsfaktor EI'!V$1,FALSE),
"")</f>
        <v/>
      </c>
      <c r="W253" s="18" t="str">
        <f>IFERROR(
                  Andel_oberoende_av_klimat*VLOOKUP($A253,Leveranser_per_nät,'Leveranser per nät'!W$1,FALSE)
               +Andel_beroende_av_klimat*VLOOKUP($A253,Leveranser_per_nät,'Leveranser per nät'!W$1,FALSE)/VLOOKUP($B253,Korrigeringsfaktor_EI,'Korrigeringsfaktor EI'!W$1,FALSE),
"")</f>
        <v/>
      </c>
      <c r="X253" s="18" t="str">
        <f>IFERROR(
                  Andel_oberoende_av_klimat*VLOOKUP($A253,Leveranser_per_nät,'Leveranser per nät'!X$1,FALSE)
               +Andel_beroende_av_klimat*VLOOKUP($A253,Leveranser_per_nät,'Leveranser per nät'!X$1,FALSE)/VLOOKUP($B253,Korrigeringsfaktor_EI,'Korrigeringsfaktor EI'!X$1,FALSE),
"")</f>
        <v/>
      </c>
      <c r="Y253" s="18" t="str">
        <f>IFERROR(
                  Andel_oberoende_av_klimat*VLOOKUP($A253,Leveranser_per_nät,'Leveranser per nät'!Y$1,FALSE)
               +Andel_beroende_av_klimat*VLOOKUP($A253,Leveranser_per_nät,'Leveranser per nät'!Y$1,FALSE)/VLOOKUP($B253,Korrigeringsfaktor_EI,'Korrigeringsfaktor EI'!Y$1,FALSE),
"")</f>
        <v/>
      </c>
      <c r="Z253" s="18">
        <f>IFERROR(
                  Andel_oberoende_av_klimat*VLOOKUP($A253,Leveranser_per_nät,'Leveranser per nät'!Z$1,FALSE)
               +Andel_beroende_av_klimat*VLOOKUP($A253,Leveranser_per_nät,'Leveranser per nät'!Z$1,FALSE)/VLOOKUP($B253,Korrigeringsfaktor_EI,'Korrigeringsfaktor EI'!Z$1,FALSE),
"")</f>
        <v>0</v>
      </c>
      <c r="AA253" s="18" t="str">
        <f>IFERROR(
                  Andel_oberoende_av_klimat*VLOOKUP($A253,Leveranser_per_nät,'Leveranser per nät'!AA$1,FALSE)
               +Andel_beroende_av_klimat*VLOOKUP($A253,Leveranser_per_nät,'Leveranser per nät'!AA$1,FALSE)/VLOOKUP($B253,Korrigeringsfaktor_EI,'Korrigeringsfaktor EI'!AA$1,FALSE),
"")</f>
        <v/>
      </c>
      <c r="AB253" s="18">
        <f>IFERROR(
                  Andel_oberoende_av_klimat*VLOOKUP($A253,Leveranser_per_nät,'Leveranser per nät'!AB$1,FALSE)
               +Andel_beroende_av_klimat*VLOOKUP($A253,Leveranser_per_nät,'Leveranser per nät'!AB$1,FALSE)/VLOOKUP($B253,Korrigeringsfaktor_EI,'Korrigeringsfaktor EI'!AB$1,FALSE),
"")</f>
        <v>0</v>
      </c>
      <c r="AC253" s="18">
        <f>IFERROR(
                  Andel_oberoende_av_klimat*VLOOKUP($A253,Leveranser_per_nät,'Leveranser per nät'!AC$1,FALSE)
               +Andel_beroende_av_klimat*VLOOKUP($A253,Leveranser_per_nät,'Leveranser per nät'!AC$1,FALSE)/VLOOKUP($B253,Korrigeringsfaktor_EI,'Korrigeringsfaktor EI'!AC$1,FALSE),
"")</f>
        <v>0</v>
      </c>
      <c r="AD253">
        <v>513.26678000000004</v>
      </c>
    </row>
    <row r="254" spans="1:30" x14ac:dyDescent="0.25">
      <c r="A254" t="s">
        <v>359</v>
      </c>
      <c r="B254" t="s">
        <v>126</v>
      </c>
      <c r="C254" s="18">
        <f>IFERROR(
                  Andel_oberoende_av_klimat*VLOOKUP($A254,Leveranser_per_nät,'Leveranser per nät'!C$1,FALSE)
               +Andel_beroende_av_klimat*VLOOKUP($A254,Leveranser_per_nät,'Leveranser per nät'!C$1,FALSE)/VLOOKUP($B254,Korrigeringsfaktor_EI,'Korrigeringsfaktor EI'!C$1,FALSE),
"")</f>
        <v>68.702803738317755</v>
      </c>
      <c r="D254" s="18">
        <f>IFERROR(
                  Andel_oberoende_av_klimat*VLOOKUP($A254,Leveranser_per_nät,'Leveranser per nät'!D$1,FALSE)
               +Andel_beroende_av_klimat*VLOOKUP($A254,Leveranser_per_nät,'Leveranser per nät'!D$1,FALSE)/VLOOKUP($B254,Korrigeringsfaktor_EI,'Korrigeringsfaktor EI'!D$1,FALSE),
"")</f>
        <v>65.763750000000002</v>
      </c>
      <c r="E254" s="18">
        <f>IFERROR(
                  Andel_oberoende_av_klimat*VLOOKUP($A254,Leveranser_per_nät,'Leveranser per nät'!E$1,FALSE)
               +Andel_beroende_av_klimat*VLOOKUP($A254,Leveranser_per_nät,'Leveranser per nät'!E$1,FALSE)/VLOOKUP($B254,Korrigeringsfaktor_EI,'Korrigeringsfaktor EI'!E$1,FALSE),
"")</f>
        <v>64.906725490196081</v>
      </c>
      <c r="F254" s="18">
        <f>IFERROR(
                  Andel_oberoende_av_klimat*VLOOKUP($A254,Leveranser_per_nät,'Leveranser per nät'!F$1,FALSE)
               +Andel_beroende_av_klimat*VLOOKUP($A254,Leveranser_per_nät,'Leveranser per nät'!F$1,FALSE)/VLOOKUP($B254,Korrigeringsfaktor_EI,'Korrigeringsfaktor EI'!F$1,FALSE),
"")</f>
        <v>79.688659793814438</v>
      </c>
      <c r="G254" s="18">
        <f>IFERROR(
                  Andel_oberoende_av_klimat*VLOOKUP($A254,Leveranser_per_nät,'Leveranser per nät'!G$1,FALSE)
               +Andel_beroende_av_klimat*VLOOKUP($A254,Leveranser_per_nät,'Leveranser per nät'!G$1,FALSE)/VLOOKUP($B254,Korrigeringsfaktor_EI,'Korrigeringsfaktor EI'!G$1,FALSE),
"")</f>
        <v>84.066666666666663</v>
      </c>
      <c r="H254" s="18">
        <f>IFERROR(
                  Andel_oberoende_av_klimat*VLOOKUP($A254,Leveranser_per_nät,'Leveranser per nät'!H$1,FALSE)
               +Andel_beroende_av_klimat*VLOOKUP($A254,Leveranser_per_nät,'Leveranser per nät'!H$1,FALSE)/VLOOKUP($B254,Korrigeringsfaktor_EI,'Korrigeringsfaktor EI'!H$1,FALSE),
"")</f>
        <v>93.801609803921565</v>
      </c>
      <c r="I254" s="18">
        <f>IFERROR(
                  Andel_oberoende_av_klimat*VLOOKUP($A254,Leveranser_per_nät,'Leveranser per nät'!I$1,FALSE)
               +Andel_beroende_av_klimat*VLOOKUP($A254,Leveranser_per_nät,'Leveranser per nät'!I$1,FALSE)/VLOOKUP($B254,Korrigeringsfaktor_EI,'Korrigeringsfaktor EI'!I$1,FALSE),
"")</f>
        <v>90.926804123711335</v>
      </c>
      <c r="J254" s="18">
        <f>IFERROR(
                  Andel_oberoende_av_klimat*VLOOKUP($A254,Leveranser_per_nät,'Leveranser per nät'!J$1,FALSE)
               +Andel_beroende_av_klimat*VLOOKUP($A254,Leveranser_per_nät,'Leveranser per nät'!J$1,FALSE)/VLOOKUP($B254,Korrigeringsfaktor_EI,'Korrigeringsfaktor EI'!J$1,FALSE),
"")</f>
        <v>93.314285714285717</v>
      </c>
      <c r="K254" s="18">
        <f>IFERROR(
                  Andel_oberoende_av_klimat*VLOOKUP($A254,Leveranser_per_nät,'Leveranser per nät'!K$1,FALSE)
               +Andel_beroende_av_klimat*VLOOKUP($A254,Leveranser_per_nät,'Leveranser per nät'!K$1,FALSE)/VLOOKUP($B254,Korrigeringsfaktor_EI,'Korrigeringsfaktor EI'!K$1,FALSE),
"")</f>
        <v>100.39704285714286</v>
      </c>
      <c r="L254" s="18">
        <f>IFERROR(
                  Andel_oberoende_av_klimat*VLOOKUP($A254,Leveranser_per_nät,'Leveranser per nät'!L$1,FALSE)
               +Andel_beroende_av_klimat*VLOOKUP($A254,Leveranser_per_nät,'Leveranser per nät'!L$1,FALSE)/VLOOKUP($B254,Korrigeringsfaktor_EI,'Korrigeringsfaktor EI'!L$1,FALSE),
"")</f>
        <v>98.970726315789463</v>
      </c>
      <c r="M254" s="18">
        <f>IFERROR(
                  Andel_oberoende_av_klimat*VLOOKUP($A254,Leveranser_per_nät,'Leveranser per nät'!M$1,FALSE)
               +Andel_beroende_av_klimat*VLOOKUP($A254,Leveranser_per_nät,'Leveranser per nät'!M$1,FALSE)/VLOOKUP($B254,Korrigeringsfaktor_EI,'Korrigeringsfaktor EI'!M$1,FALSE),
"")</f>
        <v>99.091643010752691</v>
      </c>
      <c r="N254" s="18">
        <f>IFERROR(
                  Andel_oberoende_av_klimat*VLOOKUP($A254,Leveranser_per_nät,'Leveranser per nät'!N$1,FALSE)
               +Andel_beroende_av_klimat*VLOOKUP($A254,Leveranser_per_nät,'Leveranser per nät'!N$1,FALSE)/VLOOKUP($B254,Korrigeringsfaktor_EI,'Korrigeringsfaktor EI'!N$1,FALSE),
"")</f>
        <v>99.097429166666672</v>
      </c>
      <c r="O254" s="18">
        <f>IFERROR(
                  Andel_oberoende_av_klimat*VLOOKUP($A254,Leveranser_per_nät,'Leveranser per nät'!O$1,FALSE)
               +Andel_beroende_av_klimat*VLOOKUP($A254,Leveranser_per_nät,'Leveranser per nät'!O$1,FALSE)/VLOOKUP($B254,Korrigeringsfaktor_EI,'Korrigeringsfaktor EI'!O$1,FALSE),
"")</f>
        <v>109.70924893617021</v>
      </c>
      <c r="P254" s="18">
        <f>IFERROR(
                  Andel_oberoende_av_klimat*VLOOKUP($A254,Leveranser_per_nät,'Leveranser per nät'!P$1,FALSE)
               +Andel_beroende_av_klimat*VLOOKUP($A254,Leveranser_per_nät,'Leveranser per nät'!P$1,FALSE)/VLOOKUP($B254,Korrigeringsfaktor_EI,'Korrigeringsfaktor EI'!P$1,FALSE),
"")</f>
        <v>109.08500000000001</v>
      </c>
      <c r="Q254" s="18">
        <f>IFERROR(
                  Andel_oberoende_av_klimat*VLOOKUP($A254,Leveranser_per_nät,'Leveranser per nät'!Q$1,FALSE)
               +Andel_beroende_av_klimat*VLOOKUP($A254,Leveranser_per_nät,'Leveranser per nät'!Q$1,FALSE)/VLOOKUP($B254,Korrigeringsfaktor_EI,'Korrigeringsfaktor EI'!Q$1,FALSE),
"")</f>
        <v>108.28586725663718</v>
      </c>
      <c r="R254" s="18">
        <f>IFERROR(
                  Andel_oberoende_av_klimat*VLOOKUP($A254,Leveranser_per_nät,'Leveranser per nät'!R$1,FALSE)
               +Andel_beroende_av_klimat*VLOOKUP($A254,Leveranser_per_nät,'Leveranser per nät'!R$1,FALSE)/VLOOKUP($B254,Korrigeringsfaktor_EI,'Korrigeringsfaktor EI'!R$1,FALSE),
"")</f>
        <v>104.91300860215054</v>
      </c>
      <c r="S254" s="18">
        <f>IFERROR(
                  Andel_oberoende_av_klimat*VLOOKUP($A254,Leveranser_per_nät,'Leveranser per nät'!S$1,FALSE)
               +Andel_beroende_av_klimat*VLOOKUP($A254,Leveranser_per_nät,'Leveranser per nät'!S$1,FALSE)/VLOOKUP($B254,Korrigeringsfaktor_EI,'Korrigeringsfaktor EI'!S$1,FALSE),
"")</f>
        <v>103.14615384615385</v>
      </c>
      <c r="T254" s="18">
        <f>IFERROR(
                  Andel_oberoende_av_klimat*VLOOKUP($A254,Leveranser_per_nät,'Leveranser per nät'!T$1,FALSE)
               +Andel_beroende_av_klimat*VLOOKUP($A254,Leveranser_per_nät,'Leveranser per nät'!T$1,FALSE)/VLOOKUP($B254,Korrigeringsfaktor_EI,'Korrigeringsfaktor EI'!T$1,FALSE),
"")</f>
        <v>103.72187142857142</v>
      </c>
      <c r="U254" s="18">
        <f>IFERROR(
                  Andel_oberoende_av_klimat*VLOOKUP($A254,Leveranser_per_nät,'Leveranser per nät'!U$1,FALSE)
               +Andel_beroende_av_klimat*VLOOKUP($A254,Leveranser_per_nät,'Leveranser per nät'!U$1,FALSE)/VLOOKUP($B254,Korrigeringsfaktor_EI,'Korrigeringsfaktor EI'!U$1,FALSE),
"")</f>
        <v>101.0696440860215</v>
      </c>
      <c r="V254" s="18">
        <f>IFERROR(
                  Andel_oberoende_av_klimat*VLOOKUP($A254,Leveranser_per_nät,'Leveranser per nät'!V$1,FALSE)
               +Andel_beroende_av_klimat*VLOOKUP($A254,Leveranser_per_nät,'Leveranser per nät'!V$1,FALSE)/VLOOKUP($B254,Korrigeringsfaktor_EI,'Korrigeringsfaktor EI'!V$1,FALSE),
"")</f>
        <v>100.37253684210526</v>
      </c>
      <c r="W254" s="18">
        <f>IFERROR(
                  Andel_oberoende_av_klimat*VLOOKUP($A254,Leveranser_per_nät,'Leveranser per nät'!W$1,FALSE)
               +Andel_beroende_av_klimat*VLOOKUP($A254,Leveranser_per_nät,'Leveranser per nät'!W$1,FALSE)/VLOOKUP($B254,Korrigeringsfaktor_EI,'Korrigeringsfaktor EI'!W$1,FALSE),
"")</f>
        <v>107.30486701030928</v>
      </c>
      <c r="X254" s="18">
        <f>IFERROR(
                  Andel_oberoende_av_klimat*VLOOKUP($A254,Leveranser_per_nät,'Leveranser per nät'!X$1,FALSE)
               +Andel_beroende_av_klimat*VLOOKUP($A254,Leveranser_per_nät,'Leveranser per nät'!X$1,FALSE)/VLOOKUP($B254,Korrigeringsfaktor_EI,'Korrigeringsfaktor EI'!X$1,FALSE),
"")</f>
        <v>105.26054285714287</v>
      </c>
      <c r="Y254" s="18">
        <f>IFERROR(
                  Andel_oberoende_av_klimat*VLOOKUP($A254,Leveranser_per_nät,'Leveranser per nät'!Y$1,FALSE)
               +Andel_beroende_av_klimat*VLOOKUP($A254,Leveranser_per_nät,'Leveranser per nät'!Y$1,FALSE)/VLOOKUP($B254,Korrigeringsfaktor_EI,'Korrigeringsfaktor EI'!Y$1,FALSE),
"")</f>
        <v>107.2152376344086</v>
      </c>
      <c r="Z254" s="18">
        <f>IFERROR(
                  Andel_oberoende_av_klimat*VLOOKUP($A254,Leveranser_per_nät,'Leveranser per nät'!Z$1,FALSE)
               +Andel_beroende_av_klimat*VLOOKUP($A254,Leveranser_per_nät,'Leveranser per nät'!Z$1,FALSE)/VLOOKUP($B254,Korrigeringsfaktor_EI,'Korrigeringsfaktor EI'!Z$1,FALSE),
"")</f>
        <v>107.46422978723405</v>
      </c>
      <c r="AA254" s="18">
        <f>IFERROR(
                  Andel_oberoende_av_klimat*VLOOKUP($A254,Leveranser_per_nät,'Leveranser per nät'!AA$1,FALSE)
               +Andel_beroende_av_klimat*VLOOKUP($A254,Leveranser_per_nät,'Leveranser per nät'!AA$1,FALSE)/VLOOKUP($B254,Korrigeringsfaktor_EI,'Korrigeringsfaktor EI'!AA$1,FALSE),
"")</f>
        <v>106.51980645013724</v>
      </c>
      <c r="AB254" s="18">
        <f>IFERROR(
                  Andel_oberoende_av_klimat*VLOOKUP($A254,Leveranser_per_nät,'Leveranser per nät'!AB$1,FALSE)
               +Andel_beroende_av_klimat*VLOOKUP($A254,Leveranser_per_nät,'Leveranser per nät'!AB$1,FALSE)/VLOOKUP($B254,Korrigeringsfaktor_EI,'Korrigeringsfaktor EI'!AB$1,FALSE),
"")</f>
        <v>105.16974308300397</v>
      </c>
      <c r="AC254" s="18">
        <f>IFERROR(
                  Andel_oberoende_av_klimat*VLOOKUP($A254,Leveranser_per_nät,'Leveranser per nät'!AC$1,FALSE)
               +Andel_beroende_av_klimat*VLOOKUP($A254,Leveranser_per_nät,'Leveranser per nät'!AC$1,FALSE)/VLOOKUP($B254,Korrigeringsfaktor_EI,'Korrigeringsfaktor EI'!AC$1,FALSE),
"")</f>
        <v>109.00217573221757</v>
      </c>
      <c r="AD254">
        <v>10.417</v>
      </c>
    </row>
    <row r="255" spans="1:30" x14ac:dyDescent="0.25">
      <c r="A255" t="s">
        <v>196</v>
      </c>
      <c r="B255" t="s">
        <v>196</v>
      </c>
      <c r="C255" s="18">
        <f>IFERROR(
                  Andel_oberoende_av_klimat*VLOOKUP($A255,Leveranser_per_nät,'Leveranser per nät'!C$1,FALSE)
               +Andel_beroende_av_klimat*VLOOKUP($A255,Leveranser_per_nät,'Leveranser per nät'!C$1,FALSE)/VLOOKUP($B255,Korrigeringsfaktor_EI,'Korrigeringsfaktor EI'!C$1,FALSE),
"")</f>
        <v>652.42135922330101</v>
      </c>
      <c r="D255" s="18">
        <f>IFERROR(
                  Andel_oberoende_av_klimat*VLOOKUP($A255,Leveranser_per_nät,'Leveranser per nät'!D$1,FALSE)
               +Andel_beroende_av_klimat*VLOOKUP($A255,Leveranser_per_nät,'Leveranser per nät'!D$1,FALSE)/VLOOKUP($B255,Korrigeringsfaktor_EI,'Korrigeringsfaktor EI'!D$1,FALSE),
"")</f>
        <v>655.04914141414145</v>
      </c>
      <c r="E255" s="18">
        <f>IFERROR(
                  Andel_oberoende_av_klimat*VLOOKUP($A255,Leveranser_per_nät,'Leveranser per nät'!E$1,FALSE)
               +Andel_beroende_av_klimat*VLOOKUP($A255,Leveranser_per_nät,'Leveranser per nät'!E$1,FALSE)/VLOOKUP($B255,Korrigeringsfaktor_EI,'Korrigeringsfaktor EI'!E$1,FALSE),
"")</f>
        <v>670.98588867924525</v>
      </c>
      <c r="F255" s="18">
        <f>IFERROR(
                  Andel_oberoende_av_klimat*VLOOKUP($A255,Leveranser_per_nät,'Leveranser per nät'!F$1,FALSE)
               +Andel_beroende_av_klimat*VLOOKUP($A255,Leveranser_per_nät,'Leveranser per nät'!F$1,FALSE)/VLOOKUP($B255,Korrigeringsfaktor_EI,'Korrigeringsfaktor EI'!F$1,FALSE),
"")</f>
        <v>676.28019801980201</v>
      </c>
      <c r="G255" s="18">
        <f>IFERROR(
                  Andel_oberoende_av_klimat*VLOOKUP($A255,Leveranser_per_nät,'Leveranser per nät'!G$1,FALSE)
               +Andel_beroende_av_klimat*VLOOKUP($A255,Leveranser_per_nät,'Leveranser per nät'!G$1,FALSE)/VLOOKUP($B255,Korrigeringsfaktor_EI,'Korrigeringsfaktor EI'!G$1,FALSE),
"")</f>
        <v>665.29892473118275</v>
      </c>
      <c r="H255" s="18">
        <f>IFERROR(
                  Andel_oberoende_av_klimat*VLOOKUP($A255,Leveranser_per_nät,'Leveranser per nät'!H$1,FALSE)
               +Andel_beroende_av_klimat*VLOOKUP($A255,Leveranser_per_nät,'Leveranser per nät'!H$1,FALSE)/VLOOKUP($B255,Korrigeringsfaktor_EI,'Korrigeringsfaktor EI'!H$1,FALSE),
"")</f>
        <v>709.83580202020198</v>
      </c>
      <c r="I255" s="18">
        <f>IFERROR(
                  Andel_oberoende_av_klimat*VLOOKUP($A255,Leveranser_per_nät,'Leveranser per nät'!I$1,FALSE)
               +Andel_beroende_av_klimat*VLOOKUP($A255,Leveranser_per_nät,'Leveranser per nät'!I$1,FALSE)/VLOOKUP($B255,Korrigeringsfaktor_EI,'Korrigeringsfaktor EI'!I$1,FALSE),
"")</f>
        <v>739.95007216494855</v>
      </c>
      <c r="J255" s="18">
        <f>IFERROR(
                  Andel_oberoende_av_klimat*VLOOKUP($A255,Leveranser_per_nät,'Leveranser per nät'!J$1,FALSE)
               +Andel_beroende_av_klimat*VLOOKUP($A255,Leveranser_per_nät,'Leveranser per nät'!J$1,FALSE)/VLOOKUP($B255,Korrigeringsfaktor_EI,'Korrigeringsfaktor EI'!J$1,FALSE),
"")</f>
        <v>727.8631578947369</v>
      </c>
      <c r="K255" s="18">
        <f>IFERROR(
                  Andel_oberoende_av_klimat*VLOOKUP($A255,Leveranser_per_nät,'Leveranser per nät'!K$1,FALSE)
               +Andel_beroende_av_klimat*VLOOKUP($A255,Leveranser_per_nät,'Leveranser per nät'!K$1,FALSE)/VLOOKUP($B255,Korrigeringsfaktor_EI,'Korrigeringsfaktor EI'!K$1,FALSE),
"")</f>
        <v>743.45722857142857</v>
      </c>
      <c r="L255" s="18">
        <f>IFERROR(
                  Andel_oberoende_av_klimat*VLOOKUP($A255,Leveranser_per_nät,'Leveranser per nät'!L$1,FALSE)
               +Andel_beroende_av_klimat*VLOOKUP($A255,Leveranser_per_nät,'Leveranser per nät'!L$1,FALSE)/VLOOKUP($B255,Korrigeringsfaktor_EI,'Korrigeringsfaktor EI'!L$1,FALSE),
"")</f>
        <v>731.575652173913</v>
      </c>
      <c r="M255" s="18">
        <f>IFERROR(
                  Andel_oberoende_av_klimat*VLOOKUP($A255,Leveranser_per_nät,'Leveranser per nät'!M$1,FALSE)
               +Andel_beroende_av_klimat*VLOOKUP($A255,Leveranser_per_nät,'Leveranser per nät'!M$1,FALSE)/VLOOKUP($B255,Korrigeringsfaktor_EI,'Korrigeringsfaktor EI'!M$1,FALSE),
"")</f>
        <v>753.11130434782604</v>
      </c>
      <c r="N255" s="18">
        <f>IFERROR(
                  Andel_oberoende_av_klimat*VLOOKUP($A255,Leveranser_per_nät,'Leveranser per nät'!N$1,FALSE)
               +Andel_beroende_av_klimat*VLOOKUP($A255,Leveranser_per_nät,'Leveranser per nät'!N$1,FALSE)/VLOOKUP($B255,Korrigeringsfaktor_EI,'Korrigeringsfaktor EI'!N$1,FALSE),
"")</f>
        <v>776.77860215053761</v>
      </c>
      <c r="O255" s="18">
        <f>IFERROR(
                  Andel_oberoende_av_klimat*VLOOKUP($A255,Leveranser_per_nät,'Leveranser per nät'!O$1,FALSE)
               +Andel_beroende_av_klimat*VLOOKUP($A255,Leveranser_per_nät,'Leveranser per nät'!O$1,FALSE)/VLOOKUP($B255,Korrigeringsfaktor_EI,'Korrigeringsfaktor EI'!O$1,FALSE),
"")</f>
        <v>776.98913978494625</v>
      </c>
      <c r="P255" s="18">
        <f>IFERROR(
                  Andel_oberoende_av_klimat*VLOOKUP($A255,Leveranser_per_nät,'Leveranser per nät'!P$1,FALSE)
               +Andel_beroende_av_klimat*VLOOKUP($A255,Leveranser_per_nät,'Leveranser per nät'!P$1,FALSE)/VLOOKUP($B255,Korrigeringsfaktor_EI,'Korrigeringsfaktor EI'!P$1,FALSE),
"")</f>
        <v>797.09148936170232</v>
      </c>
      <c r="Q255" s="18">
        <f>IFERROR(
                  Andel_oberoende_av_klimat*VLOOKUP($A255,Leveranser_per_nät,'Leveranser per nät'!Q$1,FALSE)
               +Andel_beroende_av_klimat*VLOOKUP($A255,Leveranser_per_nät,'Leveranser per nät'!Q$1,FALSE)/VLOOKUP($B255,Korrigeringsfaktor_EI,'Korrigeringsfaktor EI'!Q$1,FALSE),
"")</f>
        <v>827.46113207547171</v>
      </c>
      <c r="R255" s="18">
        <f>IFERROR(
                  Andel_oberoende_av_klimat*VLOOKUP($A255,Leveranser_per_nät,'Leveranser per nät'!R$1,FALSE)
               +Andel_beroende_av_klimat*VLOOKUP($A255,Leveranser_per_nät,'Leveranser per nät'!R$1,FALSE)/VLOOKUP($B255,Korrigeringsfaktor_EI,'Korrigeringsfaktor EI'!R$1,FALSE),
"")</f>
        <v>790.87561797752801</v>
      </c>
      <c r="S255" s="18">
        <f>IFERROR(
                  Andel_oberoende_av_klimat*VLOOKUP($A255,Leveranser_per_nät,'Leveranser per nät'!S$1,FALSE)
               +Andel_beroende_av_klimat*VLOOKUP($A255,Leveranser_per_nät,'Leveranser per nät'!S$1,FALSE)/VLOOKUP($B255,Korrigeringsfaktor_EI,'Korrigeringsfaktor EI'!S$1,FALSE),
"")</f>
        <v>817.51428571428573</v>
      </c>
      <c r="T255" s="18">
        <f>IFERROR(
                  Andel_oberoende_av_klimat*VLOOKUP($A255,Leveranser_per_nät,'Leveranser per nät'!T$1,FALSE)
               +Andel_beroende_av_klimat*VLOOKUP($A255,Leveranser_per_nät,'Leveranser per nät'!T$1,FALSE)/VLOOKUP($B255,Korrigeringsfaktor_EI,'Korrigeringsfaktor EI'!T$1,FALSE),
"")</f>
        <v>815.93860215053746</v>
      </c>
      <c r="U255" s="18">
        <f>IFERROR(
                  Andel_oberoende_av_klimat*VLOOKUP($A255,Leveranser_per_nät,'Leveranser per nät'!U$1,FALSE)
               +Andel_beroende_av_klimat*VLOOKUP($A255,Leveranser_per_nät,'Leveranser per nät'!U$1,FALSE)/VLOOKUP($B255,Korrigeringsfaktor_EI,'Korrigeringsfaktor EI'!U$1,FALSE),
"")</f>
        <v>807.82528089887637</v>
      </c>
      <c r="V255" s="18">
        <f>IFERROR(
                  Andel_oberoende_av_klimat*VLOOKUP($A255,Leveranser_per_nät,'Leveranser per nät'!V$1,FALSE)
               +Andel_beroende_av_klimat*VLOOKUP($A255,Leveranser_per_nät,'Leveranser per nät'!V$1,FALSE)/VLOOKUP($B255,Korrigeringsfaktor_EI,'Korrigeringsfaktor EI'!V$1,FALSE),
"")</f>
        <v>796.25395348837208</v>
      </c>
      <c r="W255" s="18">
        <f>IFERROR(
                  Andel_oberoende_av_klimat*VLOOKUP($A255,Leveranser_per_nät,'Leveranser per nät'!W$1,FALSE)
               +Andel_beroende_av_klimat*VLOOKUP($A255,Leveranser_per_nät,'Leveranser per nät'!W$1,FALSE)/VLOOKUP($B255,Korrigeringsfaktor_EI,'Korrigeringsfaktor EI'!W$1,FALSE),
"")</f>
        <v>795.95749999999998</v>
      </c>
      <c r="X255" s="18">
        <f>IFERROR(
                  Andel_oberoende_av_klimat*VLOOKUP($A255,Leveranser_per_nät,'Leveranser per nät'!X$1,FALSE)
               +Andel_beroende_av_klimat*VLOOKUP($A255,Leveranser_per_nät,'Leveranser per nät'!X$1,FALSE)/VLOOKUP($B255,Korrigeringsfaktor_EI,'Korrigeringsfaktor EI'!X$1,FALSE),
"")</f>
        <v>798.01041237113407</v>
      </c>
      <c r="Y255" s="18">
        <f>IFERROR(
                  Andel_oberoende_av_klimat*VLOOKUP($A255,Leveranser_per_nät,'Leveranser per nät'!Y$1,FALSE)
               +Andel_beroende_av_klimat*VLOOKUP($A255,Leveranser_per_nät,'Leveranser per nät'!Y$1,FALSE)/VLOOKUP($B255,Korrigeringsfaktor_EI,'Korrigeringsfaktor EI'!Y$1,FALSE),
"")</f>
        <v>806.28577319587635</v>
      </c>
      <c r="Z255" s="18">
        <f>IFERROR(
                  Andel_oberoende_av_klimat*VLOOKUP($A255,Leveranser_per_nät,'Leveranser per nät'!Z$1,FALSE)
               +Andel_beroende_av_klimat*VLOOKUP($A255,Leveranser_per_nät,'Leveranser per nät'!Z$1,FALSE)/VLOOKUP($B255,Korrigeringsfaktor_EI,'Korrigeringsfaktor EI'!Z$1,FALSE),
"")</f>
        <v>838.71285714285727</v>
      </c>
      <c r="AA255" s="18">
        <f>IFERROR(
                  Andel_oberoende_av_klimat*VLOOKUP($A255,Leveranser_per_nät,'Leveranser per nät'!AA$1,FALSE)
               +Andel_beroende_av_klimat*VLOOKUP($A255,Leveranser_per_nät,'Leveranser per nät'!AA$1,FALSE)/VLOOKUP($B255,Korrigeringsfaktor_EI,'Korrigeringsfaktor EI'!AA$1,FALSE),
"")</f>
        <v>796.49195393619038</v>
      </c>
      <c r="AB255" s="18">
        <f>IFERROR(
                  Andel_oberoende_av_klimat*VLOOKUP($A255,Leveranser_per_nät,'Leveranser per nät'!AB$1,FALSE)
               +Andel_beroende_av_klimat*VLOOKUP($A255,Leveranser_per_nät,'Leveranser per nät'!AB$1,FALSE)/VLOOKUP($B255,Korrigeringsfaktor_EI,'Korrigeringsfaktor EI'!AB$1,FALSE),
"")</f>
        <v>818.6557816764132</v>
      </c>
      <c r="AC255" s="18">
        <f>IFERROR(
                  Andel_oberoende_av_klimat*VLOOKUP($A255,Leveranser_per_nät,'Leveranser per nät'!AC$1,FALSE)
               +Andel_beroende_av_klimat*VLOOKUP($A255,Leveranser_per_nät,'Leveranser per nät'!AC$1,FALSE)/VLOOKUP($B255,Korrigeringsfaktor_EI,'Korrigeringsfaktor EI'!AC$1,FALSE),
"")</f>
        <v>796.51325000000008</v>
      </c>
      <c r="AD255">
        <v>765</v>
      </c>
    </row>
    <row r="256" spans="1:30" x14ac:dyDescent="0.25">
      <c r="A256" t="s">
        <v>388</v>
      </c>
      <c r="B256" t="s">
        <v>199</v>
      </c>
      <c r="C256" s="18">
        <f>IFERROR(
                  Andel_oberoende_av_klimat*VLOOKUP($A256,Leveranser_per_nät,'Leveranser per nät'!C$1,FALSE)
               +Andel_beroende_av_klimat*VLOOKUP($A256,Leveranser_per_nät,'Leveranser per nät'!C$1,FALSE)/VLOOKUP($B256,Korrigeringsfaktor_EI,'Korrigeringsfaktor EI'!C$1,FALSE),
"")</f>
        <v>847.3</v>
      </c>
      <c r="D256" s="18">
        <f>IFERROR(
                  Andel_oberoende_av_klimat*VLOOKUP($A256,Leveranser_per_nät,'Leveranser per nät'!D$1,FALSE)
               +Andel_beroende_av_klimat*VLOOKUP($A256,Leveranser_per_nät,'Leveranser per nät'!D$1,FALSE)/VLOOKUP($B256,Korrigeringsfaktor_EI,'Korrigeringsfaktor EI'!D$1,FALSE),
"")</f>
        <v>838.05118811881187</v>
      </c>
      <c r="E256" s="18">
        <f>IFERROR(
                  Andel_oberoende_av_klimat*VLOOKUP($A256,Leveranser_per_nät,'Leveranser per nät'!E$1,FALSE)
               +Andel_beroende_av_klimat*VLOOKUP($A256,Leveranser_per_nät,'Leveranser per nät'!E$1,FALSE)/VLOOKUP($B256,Korrigeringsfaktor_EI,'Korrigeringsfaktor EI'!E$1,FALSE),
"")</f>
        <v>841.12970297029699</v>
      </c>
      <c r="F256" s="18">
        <f>IFERROR(
                  Andel_oberoende_av_klimat*VLOOKUP($A256,Leveranser_per_nät,'Leveranser per nät'!F$1,FALSE)
               +Andel_beroende_av_klimat*VLOOKUP($A256,Leveranser_per_nät,'Leveranser per nät'!F$1,FALSE)/VLOOKUP($B256,Korrigeringsfaktor_EI,'Korrigeringsfaktor EI'!F$1,FALSE),
"")</f>
        <v>815.1</v>
      </c>
      <c r="G256" s="18">
        <f>IFERROR(
                  Andel_oberoende_av_klimat*VLOOKUP($A256,Leveranser_per_nät,'Leveranser per nät'!G$1,FALSE)
               +Andel_beroende_av_klimat*VLOOKUP($A256,Leveranser_per_nät,'Leveranser per nät'!G$1,FALSE)/VLOOKUP($B256,Korrigeringsfaktor_EI,'Korrigeringsfaktor EI'!G$1,FALSE),
"")</f>
        <v>788.93333333333328</v>
      </c>
      <c r="H256" s="18">
        <f>IFERROR(
                  Andel_oberoende_av_klimat*VLOOKUP($A256,Leveranser_per_nät,'Leveranser per nät'!H$1,FALSE)
               +Andel_beroende_av_klimat*VLOOKUP($A256,Leveranser_per_nät,'Leveranser per nät'!H$1,FALSE)/VLOOKUP($B256,Korrigeringsfaktor_EI,'Korrigeringsfaktor EI'!H$1,FALSE),
"")</f>
        <v>824.61428571428564</v>
      </c>
      <c r="I256" s="18">
        <f>IFERROR(
                  Andel_oberoende_av_klimat*VLOOKUP($A256,Leveranser_per_nät,'Leveranser per nät'!I$1,FALSE)
               +Andel_beroende_av_klimat*VLOOKUP($A256,Leveranser_per_nät,'Leveranser per nät'!I$1,FALSE)/VLOOKUP($B256,Korrigeringsfaktor_EI,'Korrigeringsfaktor EI'!I$1,FALSE),
"")</f>
        <v>908.46989247311808</v>
      </c>
      <c r="J256" s="18">
        <f>IFERROR(
                  Andel_oberoende_av_klimat*VLOOKUP($A256,Leveranser_per_nät,'Leveranser per nät'!J$1,FALSE)
               +Andel_beroende_av_klimat*VLOOKUP($A256,Leveranser_per_nät,'Leveranser per nät'!J$1,FALSE)/VLOOKUP($B256,Korrigeringsfaktor_EI,'Korrigeringsfaktor EI'!J$1,FALSE),
"")</f>
        <v>893.9432989690722</v>
      </c>
      <c r="K256" s="18">
        <f>IFERROR(
                  Andel_oberoende_av_klimat*VLOOKUP($A256,Leveranser_per_nät,'Leveranser per nät'!K$1,FALSE)
               +Andel_beroende_av_klimat*VLOOKUP($A256,Leveranser_per_nät,'Leveranser per nät'!K$1,FALSE)/VLOOKUP($B256,Korrigeringsfaktor_EI,'Korrigeringsfaktor EI'!K$1,FALSE),
"")</f>
        <v>912.84381443298957</v>
      </c>
      <c r="L256" s="18">
        <f>IFERROR(
                  Andel_oberoende_av_klimat*VLOOKUP($A256,Leveranser_per_nät,'Leveranser per nät'!L$1,FALSE)
               +Andel_beroende_av_klimat*VLOOKUP($A256,Leveranser_per_nät,'Leveranser per nät'!L$1,FALSE)/VLOOKUP($B256,Korrigeringsfaktor_EI,'Korrigeringsfaktor EI'!L$1,FALSE),
"")</f>
        <v>845.54473684210529</v>
      </c>
      <c r="M256" s="18">
        <f>IFERROR(
                  Andel_oberoende_av_klimat*VLOOKUP($A256,Leveranser_per_nät,'Leveranser per nät'!M$1,FALSE)
               +Andel_beroende_av_klimat*VLOOKUP($A256,Leveranser_per_nät,'Leveranser per nät'!M$1,FALSE)/VLOOKUP($B256,Korrigeringsfaktor_EI,'Korrigeringsfaktor EI'!M$1,FALSE),
"")</f>
        <v>838.27692307692303</v>
      </c>
      <c r="N256" s="18">
        <f>IFERROR(
                  Andel_oberoende_av_klimat*VLOOKUP($A256,Leveranser_per_nät,'Leveranser per nät'!N$1,FALSE)
               +Andel_beroende_av_klimat*VLOOKUP($A256,Leveranser_per_nät,'Leveranser per nät'!N$1,FALSE)/VLOOKUP($B256,Korrigeringsfaktor_EI,'Korrigeringsfaktor EI'!N$1,FALSE),
"")</f>
        <v>861.58620689655174</v>
      </c>
      <c r="O256" s="18">
        <f>IFERROR(
                  Andel_oberoende_av_klimat*VLOOKUP($A256,Leveranser_per_nät,'Leveranser per nät'!O$1,FALSE)
               +Andel_beroende_av_klimat*VLOOKUP($A256,Leveranser_per_nät,'Leveranser per nät'!O$1,FALSE)/VLOOKUP($B256,Korrigeringsfaktor_EI,'Korrigeringsfaktor EI'!O$1,FALSE),
"")</f>
        <v>842.58712643678155</v>
      </c>
      <c r="P256" s="18">
        <f>IFERROR(
                  Andel_oberoende_av_klimat*VLOOKUP($A256,Leveranser_per_nät,'Leveranser per nät'!P$1,FALSE)
               +Andel_beroende_av_klimat*VLOOKUP($A256,Leveranser_per_nät,'Leveranser per nät'!P$1,FALSE)/VLOOKUP($B256,Korrigeringsfaktor_EI,'Korrigeringsfaktor EI'!P$1,FALSE),
"")</f>
        <v>813.6226881720429</v>
      </c>
      <c r="Q256" s="18">
        <f>IFERROR(
                  Andel_oberoende_av_klimat*VLOOKUP($A256,Leveranser_per_nät,'Leveranser per nät'!Q$1,FALSE)
               +Andel_beroende_av_klimat*VLOOKUP($A256,Leveranser_per_nät,'Leveranser per nät'!Q$1,FALSE)/VLOOKUP($B256,Korrigeringsfaktor_EI,'Korrigeringsfaktor EI'!Q$1,FALSE),
"")</f>
        <v>0</v>
      </c>
      <c r="R256" s="18">
        <f>IFERROR(
                  Andel_oberoende_av_klimat*VLOOKUP($A256,Leveranser_per_nät,'Leveranser per nät'!R$1,FALSE)
               +Andel_beroende_av_klimat*VLOOKUP($A256,Leveranser_per_nät,'Leveranser per nät'!R$1,FALSE)/VLOOKUP($B256,Korrigeringsfaktor_EI,'Korrigeringsfaktor EI'!R$1,FALSE),
"")</f>
        <v>0</v>
      </c>
      <c r="S256" s="18">
        <f>IFERROR(
                  Andel_oberoende_av_klimat*VLOOKUP($A256,Leveranser_per_nät,'Leveranser per nät'!S$1,FALSE)
               +Andel_beroende_av_klimat*VLOOKUP($A256,Leveranser_per_nät,'Leveranser per nät'!S$1,FALSE)/VLOOKUP($B256,Korrigeringsfaktor_EI,'Korrigeringsfaktor EI'!S$1,FALSE),
"")</f>
        <v>0</v>
      </c>
      <c r="T256" s="18" t="str">
        <f>IFERROR(
                  Andel_oberoende_av_klimat*VLOOKUP($A256,Leveranser_per_nät,'Leveranser per nät'!T$1,FALSE)
               +Andel_beroende_av_klimat*VLOOKUP($A256,Leveranser_per_nät,'Leveranser per nät'!T$1,FALSE)/VLOOKUP($B256,Korrigeringsfaktor_EI,'Korrigeringsfaktor EI'!T$1,FALSE),
"")</f>
        <v/>
      </c>
      <c r="U256" s="18" t="str">
        <f>IFERROR(
                  Andel_oberoende_av_klimat*VLOOKUP($A256,Leveranser_per_nät,'Leveranser per nät'!U$1,FALSE)
               +Andel_beroende_av_klimat*VLOOKUP($A256,Leveranser_per_nät,'Leveranser per nät'!U$1,FALSE)/VLOOKUP($B256,Korrigeringsfaktor_EI,'Korrigeringsfaktor EI'!U$1,FALSE),
"")</f>
        <v/>
      </c>
      <c r="V256" s="18" t="str">
        <f>IFERROR(
                  Andel_oberoende_av_klimat*VLOOKUP($A256,Leveranser_per_nät,'Leveranser per nät'!V$1,FALSE)
               +Andel_beroende_av_klimat*VLOOKUP($A256,Leveranser_per_nät,'Leveranser per nät'!V$1,FALSE)/VLOOKUP($B256,Korrigeringsfaktor_EI,'Korrigeringsfaktor EI'!V$1,FALSE),
"")</f>
        <v/>
      </c>
      <c r="W256" s="18" t="str">
        <f>IFERROR(
                  Andel_oberoende_av_klimat*VLOOKUP($A256,Leveranser_per_nät,'Leveranser per nät'!W$1,FALSE)
               +Andel_beroende_av_klimat*VLOOKUP($A256,Leveranser_per_nät,'Leveranser per nät'!W$1,FALSE)/VLOOKUP($B256,Korrigeringsfaktor_EI,'Korrigeringsfaktor EI'!W$1,FALSE),
"")</f>
        <v/>
      </c>
      <c r="X256" s="18" t="str">
        <f>IFERROR(
                  Andel_oberoende_av_klimat*VLOOKUP($A256,Leveranser_per_nät,'Leveranser per nät'!X$1,FALSE)
               +Andel_beroende_av_klimat*VLOOKUP($A256,Leveranser_per_nät,'Leveranser per nät'!X$1,FALSE)/VLOOKUP($B256,Korrigeringsfaktor_EI,'Korrigeringsfaktor EI'!X$1,FALSE),
"")</f>
        <v/>
      </c>
      <c r="Y256" s="18" t="str">
        <f>IFERROR(
                  Andel_oberoende_av_klimat*VLOOKUP($A256,Leveranser_per_nät,'Leveranser per nät'!Y$1,FALSE)
               +Andel_beroende_av_klimat*VLOOKUP($A256,Leveranser_per_nät,'Leveranser per nät'!Y$1,FALSE)/VLOOKUP($B256,Korrigeringsfaktor_EI,'Korrigeringsfaktor EI'!Y$1,FALSE),
"")</f>
        <v/>
      </c>
      <c r="Z256" s="18">
        <f>IFERROR(
                  Andel_oberoende_av_klimat*VLOOKUP($A256,Leveranser_per_nät,'Leveranser per nät'!Z$1,FALSE)
               +Andel_beroende_av_klimat*VLOOKUP($A256,Leveranser_per_nät,'Leveranser per nät'!Z$1,FALSE)/VLOOKUP($B256,Korrigeringsfaktor_EI,'Korrigeringsfaktor EI'!Z$1,FALSE),
"")</f>
        <v>0</v>
      </c>
      <c r="AA256" s="18" t="str">
        <f>IFERROR(
                  Andel_oberoende_av_klimat*VLOOKUP($A256,Leveranser_per_nät,'Leveranser per nät'!AA$1,FALSE)
               +Andel_beroende_av_klimat*VLOOKUP($A256,Leveranser_per_nät,'Leveranser per nät'!AA$1,FALSE)/VLOOKUP($B256,Korrigeringsfaktor_EI,'Korrigeringsfaktor EI'!AA$1,FALSE),
"")</f>
        <v/>
      </c>
      <c r="AB256" s="18">
        <f>IFERROR(
                  Andel_oberoende_av_klimat*VLOOKUP($A256,Leveranser_per_nät,'Leveranser per nät'!AB$1,FALSE)
               +Andel_beroende_av_klimat*VLOOKUP($A256,Leveranser_per_nät,'Leveranser per nät'!AB$1,FALSE)/VLOOKUP($B256,Korrigeringsfaktor_EI,'Korrigeringsfaktor EI'!AB$1,FALSE),
"")</f>
        <v>0</v>
      </c>
      <c r="AC256" s="18">
        <f>IFERROR(
                  Andel_oberoende_av_klimat*VLOOKUP($A256,Leveranser_per_nät,'Leveranser per nät'!AC$1,FALSE)
               +Andel_beroende_av_klimat*VLOOKUP($A256,Leveranser_per_nät,'Leveranser per nät'!AC$1,FALSE)/VLOOKUP($B256,Korrigeringsfaktor_EI,'Korrigeringsfaktor EI'!AC$1,FALSE),
"")</f>
        <v>0</v>
      </c>
      <c r="AD256" t="e">
        <v>#N/A</v>
      </c>
    </row>
    <row r="257" spans="1:30" x14ac:dyDescent="0.25">
      <c r="A257" t="s">
        <v>259</v>
      </c>
      <c r="B257" t="s">
        <v>259</v>
      </c>
      <c r="C257" s="18">
        <f>IFERROR(
                  Andel_oberoende_av_klimat*VLOOKUP($A257,Leveranser_per_nät,'Leveranser per nät'!C$1,FALSE)
               +Andel_beroende_av_klimat*VLOOKUP($A257,Leveranser_per_nät,'Leveranser per nät'!C$1,FALSE)/VLOOKUP($B257,Korrigeringsfaktor_EI,'Korrigeringsfaktor EI'!C$1,FALSE),
"")</f>
        <v>85.594765384615386</v>
      </c>
      <c r="D257" s="18">
        <f>IFERROR(
                  Andel_oberoende_av_klimat*VLOOKUP($A257,Leveranser_per_nät,'Leveranser per nät'!D$1,FALSE)
               +Andel_beroende_av_klimat*VLOOKUP($A257,Leveranser_per_nät,'Leveranser per nät'!D$1,FALSE)/VLOOKUP($B257,Korrigeringsfaktor_EI,'Korrigeringsfaktor EI'!D$1,FALSE),
"")</f>
        <v>84.929721649484534</v>
      </c>
      <c r="E257" s="18">
        <f>IFERROR(
                  Andel_oberoende_av_klimat*VLOOKUP($A257,Leveranser_per_nät,'Leveranser per nät'!E$1,FALSE)
               +Andel_beroende_av_klimat*VLOOKUP($A257,Leveranser_per_nät,'Leveranser per nät'!E$1,FALSE)/VLOOKUP($B257,Korrigeringsfaktor_EI,'Korrigeringsfaktor EI'!E$1,FALSE),
"")</f>
        <v>87.429360194174748</v>
      </c>
      <c r="F257" s="18">
        <f>IFERROR(
                  Andel_oberoende_av_klimat*VLOOKUP($A257,Leveranser_per_nät,'Leveranser per nät'!F$1,FALSE)
               +Andel_beroende_av_klimat*VLOOKUP($A257,Leveranser_per_nät,'Leveranser per nät'!F$1,FALSE)/VLOOKUP($B257,Korrigeringsfaktor_EI,'Korrigeringsfaktor EI'!F$1,FALSE),
"")</f>
        <v>90.254000000000005</v>
      </c>
      <c r="G257" s="18">
        <f>IFERROR(
                  Andel_oberoende_av_klimat*VLOOKUP($A257,Leveranser_per_nät,'Leveranser per nät'!G$1,FALSE)
               +Andel_beroende_av_klimat*VLOOKUP($A257,Leveranser_per_nät,'Leveranser per nät'!G$1,FALSE)/VLOOKUP($B257,Korrigeringsfaktor_EI,'Korrigeringsfaktor EI'!G$1,FALSE),
"")</f>
        <v>93.922944086021488</v>
      </c>
      <c r="H257" s="18">
        <f>IFERROR(
                  Andel_oberoende_av_klimat*VLOOKUP($A257,Leveranser_per_nät,'Leveranser per nät'!H$1,FALSE)
               +Andel_beroende_av_klimat*VLOOKUP($A257,Leveranser_per_nät,'Leveranser per nät'!H$1,FALSE)/VLOOKUP($B257,Korrigeringsfaktor_EI,'Korrigeringsfaktor EI'!H$1,FALSE),
"")</f>
        <v>120.49223300970874</v>
      </c>
      <c r="I257" s="18">
        <f>IFERROR(
                  Andel_oberoende_av_klimat*VLOOKUP($A257,Leveranser_per_nät,'Leveranser per nät'!I$1,FALSE)
               +Andel_beroende_av_klimat*VLOOKUP($A257,Leveranser_per_nät,'Leveranser per nät'!I$1,FALSE)/VLOOKUP($B257,Korrigeringsfaktor_EI,'Korrigeringsfaktor EI'!I$1,FALSE),
"")</f>
        <v>121.31052631578947</v>
      </c>
      <c r="J257" s="18">
        <f>IFERROR(
                  Andel_oberoende_av_klimat*VLOOKUP($A257,Leveranser_per_nät,'Leveranser per nät'!J$1,FALSE)
               +Andel_beroende_av_klimat*VLOOKUP($A257,Leveranser_per_nät,'Leveranser per nät'!J$1,FALSE)/VLOOKUP($B257,Korrigeringsfaktor_EI,'Korrigeringsfaktor EI'!J$1,FALSE),
"")</f>
        <v>119.52379484536083</v>
      </c>
      <c r="K257" s="18">
        <f>IFERROR(
                  Andel_oberoende_av_klimat*VLOOKUP($A257,Leveranser_per_nät,'Leveranser per nät'!K$1,FALSE)
               +Andel_beroende_av_klimat*VLOOKUP($A257,Leveranser_per_nät,'Leveranser per nät'!K$1,FALSE)/VLOOKUP($B257,Korrigeringsfaktor_EI,'Korrigeringsfaktor EI'!K$1,FALSE),
"")</f>
        <v>121.71428571428572</v>
      </c>
      <c r="L257" s="18">
        <f>IFERROR(
                  Andel_oberoende_av_klimat*VLOOKUP($A257,Leveranser_per_nät,'Leveranser per nät'!L$1,FALSE)
               +Andel_beroende_av_klimat*VLOOKUP($A257,Leveranser_per_nät,'Leveranser per nät'!L$1,FALSE)/VLOOKUP($B257,Korrigeringsfaktor_EI,'Korrigeringsfaktor EI'!L$1,FALSE),
"")</f>
        <v>133.39843191489362</v>
      </c>
      <c r="M257" s="18">
        <f>IFERROR(
                  Andel_oberoende_av_klimat*VLOOKUP($A257,Leveranser_per_nät,'Leveranser per nät'!M$1,FALSE)
               +Andel_beroende_av_klimat*VLOOKUP($A257,Leveranser_per_nät,'Leveranser per nät'!M$1,FALSE)/VLOOKUP($B257,Korrigeringsfaktor_EI,'Korrigeringsfaktor EI'!M$1,FALSE),
"")</f>
        <v>104.8107304347826</v>
      </c>
      <c r="N257" s="18">
        <f>IFERROR(
                  Andel_oberoende_av_klimat*VLOOKUP($A257,Leveranser_per_nät,'Leveranser per nät'!N$1,FALSE)
               +Andel_beroende_av_klimat*VLOOKUP($A257,Leveranser_per_nät,'Leveranser per nät'!N$1,FALSE)/VLOOKUP($B257,Korrigeringsfaktor_EI,'Korrigeringsfaktor EI'!N$1,FALSE),
"")</f>
        <v>102.43688947368422</v>
      </c>
      <c r="O257" s="18">
        <f>IFERROR(
                  Andel_oberoende_av_klimat*VLOOKUP($A257,Leveranser_per_nät,'Leveranser per nät'!O$1,FALSE)
               +Andel_beroende_av_klimat*VLOOKUP($A257,Leveranser_per_nät,'Leveranser per nät'!O$1,FALSE)/VLOOKUP($B257,Korrigeringsfaktor_EI,'Korrigeringsfaktor EI'!O$1,FALSE),
"")</f>
        <v>103.86843829787233</v>
      </c>
      <c r="P257" s="18">
        <f>IFERROR(
                  Andel_oberoende_av_klimat*VLOOKUP($A257,Leveranser_per_nät,'Leveranser per nät'!P$1,FALSE)
               +Andel_beroende_av_klimat*VLOOKUP($A257,Leveranser_per_nät,'Leveranser per nät'!P$1,FALSE)/VLOOKUP($B257,Korrigeringsfaktor_EI,'Korrigeringsfaktor EI'!P$1,FALSE),
"")</f>
        <v>106.40161428571429</v>
      </c>
      <c r="Q257" s="18">
        <f>IFERROR(
                  Andel_oberoende_av_klimat*VLOOKUP($A257,Leveranser_per_nät,'Leveranser per nät'!Q$1,FALSE)
               +Andel_beroende_av_klimat*VLOOKUP($A257,Leveranser_per_nät,'Leveranser per nät'!Q$1,FALSE)/VLOOKUP($B257,Korrigeringsfaktor_EI,'Korrigeringsfaktor EI'!Q$1,FALSE),
"")</f>
        <v>110.6079</v>
      </c>
      <c r="R257" s="18">
        <f>IFERROR(
                  Andel_oberoende_av_klimat*VLOOKUP($A257,Leveranser_per_nät,'Leveranser per nät'!R$1,FALSE)
               +Andel_beroende_av_klimat*VLOOKUP($A257,Leveranser_per_nät,'Leveranser per nät'!R$1,FALSE)/VLOOKUP($B257,Korrigeringsfaktor_EI,'Korrigeringsfaktor EI'!R$1,FALSE),
"")</f>
        <v>105.38338461538461</v>
      </c>
      <c r="S257" s="18">
        <f>IFERROR(
                  Andel_oberoende_av_klimat*VLOOKUP($A257,Leveranser_per_nät,'Leveranser per nät'!S$1,FALSE)
               +Andel_beroende_av_klimat*VLOOKUP($A257,Leveranser_per_nät,'Leveranser per nät'!S$1,FALSE)/VLOOKUP($B257,Korrigeringsfaktor_EI,'Korrigeringsfaktor EI'!S$1,FALSE),
"")</f>
        <v>110.23069306930691</v>
      </c>
      <c r="T257" s="18">
        <f>IFERROR(
                  Andel_oberoende_av_klimat*VLOOKUP($A257,Leveranser_per_nät,'Leveranser per nät'!T$1,FALSE)
               +Andel_beroende_av_klimat*VLOOKUP($A257,Leveranser_per_nät,'Leveranser per nät'!T$1,FALSE)/VLOOKUP($B257,Korrigeringsfaktor_EI,'Korrigeringsfaktor EI'!T$1,FALSE),
"")</f>
        <v>108.34793010752688</v>
      </c>
      <c r="U257" s="18">
        <f>IFERROR(
                  Andel_oberoende_av_klimat*VLOOKUP($A257,Leveranser_per_nät,'Leveranser per nät'!U$1,FALSE)
               +Andel_beroende_av_klimat*VLOOKUP($A257,Leveranser_per_nät,'Leveranser per nät'!U$1,FALSE)/VLOOKUP($B257,Korrigeringsfaktor_EI,'Korrigeringsfaktor EI'!U$1,FALSE),
"")</f>
        <v>104.67377777777779</v>
      </c>
      <c r="V257" s="18">
        <f>IFERROR(
                  Andel_oberoende_av_klimat*VLOOKUP($A257,Leveranser_per_nät,'Leveranser per nät'!V$1,FALSE)
               +Andel_beroende_av_klimat*VLOOKUP($A257,Leveranser_per_nät,'Leveranser per nät'!V$1,FALSE)/VLOOKUP($B257,Korrigeringsfaktor_EI,'Korrigeringsfaktor EI'!V$1,FALSE),
"")</f>
        <v>101.87371111111113</v>
      </c>
      <c r="W257" s="18">
        <f>IFERROR(
                  Andel_oberoende_av_klimat*VLOOKUP($A257,Leveranser_per_nät,'Leveranser per nät'!W$1,FALSE)
               +Andel_beroende_av_klimat*VLOOKUP($A257,Leveranser_per_nät,'Leveranser per nät'!W$1,FALSE)/VLOOKUP($B257,Korrigeringsfaktor_EI,'Korrigeringsfaktor EI'!W$1,FALSE),
"")</f>
        <v>105.98564166666665</v>
      </c>
      <c r="X257" s="18">
        <f>IFERROR(
                  Andel_oberoende_av_klimat*VLOOKUP($A257,Leveranser_per_nät,'Leveranser per nät'!X$1,FALSE)
               +Andel_beroende_av_klimat*VLOOKUP($A257,Leveranser_per_nät,'Leveranser per nät'!X$1,FALSE)/VLOOKUP($B257,Korrigeringsfaktor_EI,'Korrigeringsfaktor EI'!X$1,FALSE),
"")</f>
        <v>104.79671752577319</v>
      </c>
      <c r="Y257" s="18">
        <f>IFERROR(
                  Andel_oberoende_av_klimat*VLOOKUP($A257,Leveranser_per_nät,'Leveranser per nät'!Y$1,FALSE)
               +Andel_beroende_av_klimat*VLOOKUP($A257,Leveranser_per_nät,'Leveranser per nät'!Y$1,FALSE)/VLOOKUP($B257,Korrigeringsfaktor_EI,'Korrigeringsfaktor EI'!Y$1,FALSE),
"")</f>
        <v>107.88516391752577</v>
      </c>
      <c r="Z257" s="18">
        <f>IFERROR(
                  Andel_oberoende_av_klimat*VLOOKUP($A257,Leveranser_per_nät,'Leveranser per nät'!Z$1,FALSE)
               +Andel_beroende_av_klimat*VLOOKUP($A257,Leveranser_per_nät,'Leveranser per nät'!Z$1,FALSE)/VLOOKUP($B257,Korrigeringsfaktor_EI,'Korrigeringsfaktor EI'!Z$1,FALSE),
"")</f>
        <v>107.97578571428572</v>
      </c>
      <c r="AA257" s="18">
        <f>IFERROR(
                  Andel_oberoende_av_klimat*VLOOKUP($A257,Leveranser_per_nät,'Leveranser per nät'!AA$1,FALSE)
               +Andel_beroende_av_klimat*VLOOKUP($A257,Leveranser_per_nät,'Leveranser per nät'!AA$1,FALSE)/VLOOKUP($B257,Korrigeringsfaktor_EI,'Korrigeringsfaktor EI'!AA$1,FALSE),
"")</f>
        <v>100.82946463547333</v>
      </c>
      <c r="AB257" s="18">
        <f>IFERROR(
                  Andel_oberoende_av_klimat*VLOOKUP($A257,Leveranser_per_nät,'Leveranser per nät'!AB$1,FALSE)
               +Andel_beroende_av_klimat*VLOOKUP($A257,Leveranser_per_nät,'Leveranser per nät'!AB$1,FALSE)/VLOOKUP($B257,Korrigeringsfaktor_EI,'Korrigeringsfaktor EI'!AB$1,FALSE),
"")</f>
        <v>102.9819686407767</v>
      </c>
      <c r="AC257" s="18">
        <f>IFERROR(
                  Andel_oberoende_av_klimat*VLOOKUP($A257,Leveranser_per_nät,'Leveranser per nät'!AC$1,FALSE)
               +Andel_beroende_av_klimat*VLOOKUP($A257,Leveranser_per_nät,'Leveranser per nät'!AC$1,FALSE)/VLOOKUP($B257,Korrigeringsfaktor_EI,'Korrigeringsfaktor EI'!AC$1,FALSE),
"")</f>
        <v>97.656659497907953</v>
      </c>
      <c r="AD257">
        <v>94.608599999999996</v>
      </c>
    </row>
    <row r="258" spans="1:30" x14ac:dyDescent="0.25">
      <c r="A258" s="4" t="s">
        <v>405</v>
      </c>
      <c r="B258" t="s">
        <v>520</v>
      </c>
      <c r="C258" s="18">
        <f>IFERROR(
                  Andel_oberoende_av_klimat*VLOOKUP($A258,Leveranser_per_nät,'Leveranser per nät'!C$1,FALSE)
               +Andel_beroende_av_klimat*VLOOKUP($A258,Leveranser_per_nät,'Leveranser per nät'!C$1,FALSE)/VLOOKUP($B258,Korrigeringsfaktor_EI,'Korrigeringsfaktor EI'!C$1,FALSE),
"")</f>
        <v>0</v>
      </c>
      <c r="D258" s="18">
        <f>IFERROR(
                  Andel_oberoende_av_klimat*VLOOKUP($A258,Leveranser_per_nät,'Leveranser per nät'!D$1,FALSE)
               +Andel_beroende_av_klimat*VLOOKUP($A258,Leveranser_per_nät,'Leveranser per nät'!D$1,FALSE)/VLOOKUP($B258,Korrigeringsfaktor_EI,'Korrigeringsfaktor EI'!D$1,FALSE),
"")</f>
        <v>0</v>
      </c>
      <c r="E258" s="18">
        <f>IFERROR(
                  Andel_oberoende_av_klimat*VLOOKUP($A258,Leveranser_per_nät,'Leveranser per nät'!E$1,FALSE)
               +Andel_beroende_av_klimat*VLOOKUP($A258,Leveranser_per_nät,'Leveranser per nät'!E$1,FALSE)/VLOOKUP($B258,Korrigeringsfaktor_EI,'Korrigeringsfaktor EI'!E$1,FALSE),
"")</f>
        <v>0</v>
      </c>
      <c r="F258" s="18">
        <f>IFERROR(
                  Andel_oberoende_av_klimat*VLOOKUP($A258,Leveranser_per_nät,'Leveranser per nät'!F$1,FALSE)
               +Andel_beroende_av_klimat*VLOOKUP($A258,Leveranser_per_nät,'Leveranser per nät'!F$1,FALSE)/VLOOKUP($B258,Korrigeringsfaktor_EI,'Korrigeringsfaktor EI'!F$1,FALSE),
"")</f>
        <v>0</v>
      </c>
      <c r="G258" s="18">
        <f>IFERROR(
                  Andel_oberoende_av_klimat*VLOOKUP($A258,Leveranser_per_nät,'Leveranser per nät'!G$1,FALSE)
               +Andel_beroende_av_klimat*VLOOKUP($A258,Leveranser_per_nät,'Leveranser per nät'!G$1,FALSE)/VLOOKUP($B258,Korrigeringsfaktor_EI,'Korrigeringsfaktor EI'!G$1,FALSE),
"")</f>
        <v>0</v>
      </c>
      <c r="H258" s="18">
        <f>IFERROR(
                  Andel_oberoende_av_klimat*VLOOKUP($A258,Leveranser_per_nät,'Leveranser per nät'!H$1,FALSE)
               +Andel_beroende_av_klimat*VLOOKUP($A258,Leveranser_per_nät,'Leveranser per nät'!H$1,FALSE)/VLOOKUP($B258,Korrigeringsfaktor_EI,'Korrigeringsfaktor EI'!H$1,FALSE),
"")</f>
        <v>0</v>
      </c>
      <c r="I258" s="18">
        <f>IFERROR(
                  Andel_oberoende_av_klimat*VLOOKUP($A258,Leveranser_per_nät,'Leveranser per nät'!I$1,FALSE)
               +Andel_beroende_av_klimat*VLOOKUP($A258,Leveranser_per_nät,'Leveranser per nät'!I$1,FALSE)/VLOOKUP($B258,Korrigeringsfaktor_EI,'Korrigeringsfaktor EI'!I$1,FALSE),
"")</f>
        <v>0</v>
      </c>
      <c r="J258" s="18">
        <f>IFERROR(
                  Andel_oberoende_av_klimat*VLOOKUP($A258,Leveranser_per_nät,'Leveranser per nät'!J$1,FALSE)
               +Andel_beroende_av_klimat*VLOOKUP($A258,Leveranser_per_nät,'Leveranser per nät'!J$1,FALSE)/VLOOKUP($B258,Korrigeringsfaktor_EI,'Korrigeringsfaktor EI'!J$1,FALSE),
"")</f>
        <v>0</v>
      </c>
      <c r="K258" s="18">
        <f>IFERROR(
                  Andel_oberoende_av_klimat*VLOOKUP($A258,Leveranser_per_nät,'Leveranser per nät'!K$1,FALSE)
               +Andel_beroende_av_klimat*VLOOKUP($A258,Leveranser_per_nät,'Leveranser per nät'!K$1,FALSE)/VLOOKUP($B258,Korrigeringsfaktor_EI,'Korrigeringsfaktor EI'!K$1,FALSE),
"")</f>
        <v>0</v>
      </c>
      <c r="L258" s="18">
        <f>IFERROR(
                  Andel_oberoende_av_klimat*VLOOKUP($A258,Leveranser_per_nät,'Leveranser per nät'!L$1,FALSE)
               +Andel_beroende_av_klimat*VLOOKUP($A258,Leveranser_per_nät,'Leveranser per nät'!L$1,FALSE)/VLOOKUP($B258,Korrigeringsfaktor_EI,'Korrigeringsfaktor EI'!L$1,FALSE),
"")</f>
        <v>0</v>
      </c>
      <c r="M258" s="18">
        <f>IFERROR(
                  Andel_oberoende_av_klimat*VLOOKUP($A258,Leveranser_per_nät,'Leveranser per nät'!M$1,FALSE)
               +Andel_beroende_av_klimat*VLOOKUP($A258,Leveranser_per_nät,'Leveranser per nät'!M$1,FALSE)/VLOOKUP($B258,Korrigeringsfaktor_EI,'Korrigeringsfaktor EI'!M$1,FALSE),
"")</f>
        <v>0</v>
      </c>
      <c r="N258" s="18">
        <f>IFERROR(
                  Andel_oberoende_av_klimat*VLOOKUP($A258,Leveranser_per_nät,'Leveranser per nät'!N$1,FALSE)
               +Andel_beroende_av_klimat*VLOOKUP($A258,Leveranser_per_nät,'Leveranser per nät'!N$1,FALSE)/VLOOKUP($B258,Korrigeringsfaktor_EI,'Korrigeringsfaktor EI'!N$1,FALSE),
"")</f>
        <v>0</v>
      </c>
      <c r="O258" s="18">
        <f>IFERROR(
                  Andel_oberoende_av_klimat*VLOOKUP($A258,Leveranser_per_nät,'Leveranser per nät'!O$1,FALSE)
               +Andel_beroende_av_klimat*VLOOKUP($A258,Leveranser_per_nät,'Leveranser per nät'!O$1,FALSE)/VLOOKUP($B258,Korrigeringsfaktor_EI,'Korrigeringsfaktor EI'!O$1,FALSE),
"")</f>
        <v>0</v>
      </c>
      <c r="P258" s="18">
        <f>IFERROR(
                  Andel_oberoende_av_klimat*VLOOKUP($A258,Leveranser_per_nät,'Leveranser per nät'!P$1,FALSE)
               +Andel_beroende_av_klimat*VLOOKUP($A258,Leveranser_per_nät,'Leveranser per nät'!P$1,FALSE)/VLOOKUP($B258,Korrigeringsfaktor_EI,'Korrigeringsfaktor EI'!P$1,FALSE),
"")</f>
        <v>0</v>
      </c>
      <c r="Q258" s="18">
        <f>IFERROR(
                  Andel_oberoende_av_klimat*VLOOKUP($A258,Leveranser_per_nät,'Leveranser per nät'!Q$1,FALSE)
               +Andel_beroende_av_klimat*VLOOKUP($A258,Leveranser_per_nät,'Leveranser per nät'!Q$1,FALSE)/VLOOKUP($B258,Korrigeringsfaktor_EI,'Korrigeringsfaktor EI'!Q$1,FALSE),
"")</f>
        <v>2.4112639639639641</v>
      </c>
      <c r="R258" s="18">
        <f>IFERROR(
                  Andel_oberoende_av_klimat*VLOOKUP($A258,Leveranser_per_nät,'Leveranser per nät'!R$1,FALSE)
               +Andel_beroende_av_klimat*VLOOKUP($A258,Leveranser_per_nät,'Leveranser per nät'!R$1,FALSE)/VLOOKUP($B258,Korrigeringsfaktor_EI,'Korrigeringsfaktor EI'!R$1,FALSE),
"")</f>
        <v>2.3064444444444447</v>
      </c>
      <c r="S258" s="18">
        <f>IFERROR(
                  Andel_oberoende_av_klimat*VLOOKUP($A258,Leveranser_per_nät,'Leveranser per nät'!S$1,FALSE)
               +Andel_beroende_av_klimat*VLOOKUP($A258,Leveranser_per_nät,'Leveranser per nät'!S$1,FALSE)/VLOOKUP($B258,Korrigeringsfaktor_EI,'Korrigeringsfaktor EI'!S$1,FALSE),
"")</f>
        <v>2.4471818181818183</v>
      </c>
      <c r="T258" s="18">
        <f>IFERROR(
                  Andel_oberoende_av_klimat*VLOOKUP($A258,Leveranser_per_nät,'Leveranser per nät'!T$1,FALSE)
               +Andel_beroende_av_klimat*VLOOKUP($A258,Leveranser_per_nät,'Leveranser per nät'!T$1,FALSE)/VLOOKUP($B258,Korrigeringsfaktor_EI,'Korrigeringsfaktor EI'!T$1,FALSE),
"")</f>
        <v>2.5163124999999997</v>
      </c>
      <c r="U258" s="18">
        <f>IFERROR(
                  Andel_oberoende_av_klimat*VLOOKUP($A258,Leveranser_per_nät,'Leveranser per nät'!U$1,FALSE)
               +Andel_beroende_av_klimat*VLOOKUP($A258,Leveranser_per_nät,'Leveranser per nät'!U$1,FALSE)/VLOOKUP($B258,Korrigeringsfaktor_EI,'Korrigeringsfaktor EI'!U$1,FALSE),
"")</f>
        <v>2.3196551724137935</v>
      </c>
      <c r="V258" s="18">
        <f>IFERROR(
                  Andel_oberoende_av_klimat*VLOOKUP($A258,Leveranser_per_nät,'Leveranser per nät'!V$1,FALSE)
               +Andel_beroende_av_klimat*VLOOKUP($A258,Leveranser_per_nät,'Leveranser per nät'!V$1,FALSE)/VLOOKUP($B258,Korrigeringsfaktor_EI,'Korrigeringsfaktor EI'!V$1,FALSE),
"")</f>
        <v>2.2453846153846153</v>
      </c>
      <c r="W258" s="18">
        <f>IFERROR(
                  Andel_oberoende_av_klimat*VLOOKUP($A258,Leveranser_per_nät,'Leveranser per nät'!W$1,FALSE)
               +Andel_beroende_av_klimat*VLOOKUP($A258,Leveranser_per_nät,'Leveranser per nät'!W$1,FALSE)/VLOOKUP($B258,Korrigeringsfaktor_EI,'Korrigeringsfaktor EI'!W$1,FALSE),
"")</f>
        <v>2.3951052631578951</v>
      </c>
      <c r="X258" s="18">
        <f>IFERROR(
                  Andel_oberoende_av_klimat*VLOOKUP($A258,Leveranser_per_nät,'Leveranser per nät'!X$1,FALSE)
               +Andel_beroende_av_klimat*VLOOKUP($A258,Leveranser_per_nät,'Leveranser per nät'!X$1,FALSE)/VLOOKUP($B258,Korrigeringsfaktor_EI,'Korrigeringsfaktor EI'!X$1,FALSE),
"")</f>
        <v>2.2127083333333335</v>
      </c>
      <c r="Y258" s="18">
        <f>IFERROR(
                  Andel_oberoende_av_klimat*VLOOKUP($A258,Leveranser_per_nät,'Leveranser per nät'!Y$1,FALSE)
               +Andel_beroende_av_klimat*VLOOKUP($A258,Leveranser_per_nät,'Leveranser per nät'!Y$1,FALSE)/VLOOKUP($B258,Korrigeringsfaktor_EI,'Korrigeringsfaktor EI'!Y$1,FALSE),
"")</f>
        <v>2.2490434782608695</v>
      </c>
      <c r="Z258" s="18">
        <f>IFERROR(
                  Andel_oberoende_av_klimat*VLOOKUP($A258,Leveranser_per_nät,'Leveranser per nät'!Z$1,FALSE)
               +Andel_beroende_av_klimat*VLOOKUP($A258,Leveranser_per_nät,'Leveranser per nät'!Z$1,FALSE)/VLOOKUP($B258,Korrigeringsfaktor_EI,'Korrigeringsfaktor EI'!Z$1,FALSE),
"")</f>
        <v>2.3474946236559138</v>
      </c>
      <c r="AA258" s="18">
        <f>IFERROR(
                  Andel_oberoende_av_klimat*VLOOKUP($A258,Leveranser_per_nät,'Leveranser per nät'!AA$1,FALSE)
               +Andel_beroende_av_klimat*VLOOKUP($A258,Leveranser_per_nät,'Leveranser per nät'!AA$1,FALSE)/VLOOKUP($B258,Korrigeringsfaktor_EI,'Korrigeringsfaktor EI'!AA$1,FALSE),
"")</f>
        <v>2.2051009693053309</v>
      </c>
      <c r="AB258" s="18">
        <f>IFERROR(
                  Andel_oberoende_av_klimat*VLOOKUP($A258,Leveranser_per_nät,'Leveranser per nät'!AB$1,FALSE)
               +Andel_beroende_av_klimat*VLOOKUP($A258,Leveranser_per_nät,'Leveranser per nät'!AB$1,FALSE)/VLOOKUP($B258,Korrigeringsfaktor_EI,'Korrigeringsfaktor EI'!AB$1,FALSE),
"")</f>
        <v>2.3053075173095943</v>
      </c>
      <c r="AC258" s="18">
        <f>IFERROR(
                  Andel_oberoende_av_klimat*VLOOKUP($A258,Leveranser_per_nät,'Leveranser per nät'!AC$1,FALSE)
               +Andel_beroende_av_klimat*VLOOKUP($A258,Leveranser_per_nät,'Leveranser per nät'!AC$1,FALSE)/VLOOKUP($B258,Korrigeringsfaktor_EI,'Korrigeringsfaktor EI'!AC$1,FALSE),
"")</f>
        <v>2.2313481481481481</v>
      </c>
      <c r="AD258">
        <v>48.96</v>
      </c>
    </row>
    <row r="259" spans="1:30" x14ac:dyDescent="0.25">
      <c r="A259" t="s">
        <v>187</v>
      </c>
      <c r="B259" t="s">
        <v>187</v>
      </c>
      <c r="C259" s="18">
        <f>IFERROR(
                  Andel_oberoende_av_klimat*VLOOKUP($A259,Leveranser_per_nät,'Leveranser per nät'!C$1,FALSE)
               +Andel_beroende_av_klimat*VLOOKUP($A259,Leveranser_per_nät,'Leveranser per nät'!C$1,FALSE)/VLOOKUP($B259,Korrigeringsfaktor_EI,'Korrigeringsfaktor EI'!C$1,FALSE),
"")</f>
        <v>0</v>
      </c>
      <c r="D259" s="18">
        <f>IFERROR(
                  Andel_oberoende_av_klimat*VLOOKUP($A259,Leveranser_per_nät,'Leveranser per nät'!D$1,FALSE)
               +Andel_beroende_av_klimat*VLOOKUP($A259,Leveranser_per_nät,'Leveranser per nät'!D$1,FALSE)/VLOOKUP($B259,Korrigeringsfaktor_EI,'Korrigeringsfaktor EI'!D$1,FALSE),
"")</f>
        <v>0</v>
      </c>
      <c r="E259" s="18">
        <f>IFERROR(
                  Andel_oberoende_av_klimat*VLOOKUP($A259,Leveranser_per_nät,'Leveranser per nät'!E$1,FALSE)
               +Andel_beroende_av_klimat*VLOOKUP($A259,Leveranser_per_nät,'Leveranser per nät'!E$1,FALSE)/VLOOKUP($B259,Korrigeringsfaktor_EI,'Korrigeringsfaktor EI'!E$1,FALSE),
"")</f>
        <v>0</v>
      </c>
      <c r="F259" s="18">
        <f>IFERROR(
                  Andel_oberoende_av_klimat*VLOOKUP($A259,Leveranser_per_nät,'Leveranser per nät'!F$1,FALSE)
               +Andel_beroende_av_klimat*VLOOKUP($A259,Leveranser_per_nät,'Leveranser per nät'!F$1,FALSE)/VLOOKUP($B259,Korrigeringsfaktor_EI,'Korrigeringsfaktor EI'!F$1,FALSE),
"")</f>
        <v>0</v>
      </c>
      <c r="G259" s="18">
        <f>IFERROR(
                  Andel_oberoende_av_klimat*VLOOKUP($A259,Leveranser_per_nät,'Leveranser per nät'!G$1,FALSE)
               +Andel_beroende_av_klimat*VLOOKUP($A259,Leveranser_per_nät,'Leveranser per nät'!G$1,FALSE)/VLOOKUP($B259,Korrigeringsfaktor_EI,'Korrigeringsfaktor EI'!G$1,FALSE),
"")</f>
        <v>0</v>
      </c>
      <c r="H259" s="18">
        <f>IFERROR(
                  Andel_oberoende_av_klimat*VLOOKUP($A259,Leveranser_per_nät,'Leveranser per nät'!H$1,FALSE)
               +Andel_beroende_av_klimat*VLOOKUP($A259,Leveranser_per_nät,'Leveranser per nät'!H$1,FALSE)/VLOOKUP($B259,Korrigeringsfaktor_EI,'Korrigeringsfaktor EI'!H$1,FALSE),
"")</f>
        <v>0</v>
      </c>
      <c r="I259" s="18">
        <f>IFERROR(
                  Andel_oberoende_av_klimat*VLOOKUP($A259,Leveranser_per_nät,'Leveranser per nät'!I$1,FALSE)
               +Andel_beroende_av_klimat*VLOOKUP($A259,Leveranser_per_nät,'Leveranser per nät'!I$1,FALSE)/VLOOKUP($B259,Korrigeringsfaktor_EI,'Korrigeringsfaktor EI'!I$1,FALSE),
"")</f>
        <v>0</v>
      </c>
      <c r="J259" s="18">
        <f>IFERROR(
                  Andel_oberoende_av_klimat*VLOOKUP($A259,Leveranser_per_nät,'Leveranser per nät'!J$1,FALSE)
               +Andel_beroende_av_klimat*VLOOKUP($A259,Leveranser_per_nät,'Leveranser per nät'!J$1,FALSE)/VLOOKUP($B259,Korrigeringsfaktor_EI,'Korrigeringsfaktor EI'!J$1,FALSE),
"")</f>
        <v>18.216902020202021</v>
      </c>
      <c r="K259" s="18">
        <f>IFERROR(
                  Andel_oberoende_av_klimat*VLOOKUP($A259,Leveranser_per_nät,'Leveranser per nät'!K$1,FALSE)
               +Andel_beroende_av_klimat*VLOOKUP($A259,Leveranser_per_nät,'Leveranser per nät'!K$1,FALSE)/VLOOKUP($B259,Korrigeringsfaktor_EI,'Korrigeringsfaktor EI'!K$1,FALSE),
"")</f>
        <v>33.510103092783503</v>
      </c>
      <c r="L259" s="18">
        <f>IFERROR(
                  Andel_oberoende_av_klimat*VLOOKUP($A259,Leveranser_per_nät,'Leveranser per nät'!L$1,FALSE)
               +Andel_beroende_av_klimat*VLOOKUP($A259,Leveranser_per_nät,'Leveranser per nät'!L$1,FALSE)/VLOOKUP($B259,Korrigeringsfaktor_EI,'Korrigeringsfaktor EI'!L$1,FALSE),
"")</f>
        <v>36.643479166666665</v>
      </c>
      <c r="M259" s="18">
        <f>IFERROR(
                  Andel_oberoende_av_klimat*VLOOKUP($A259,Leveranser_per_nät,'Leveranser per nät'!M$1,FALSE)
               +Andel_beroende_av_klimat*VLOOKUP($A259,Leveranser_per_nät,'Leveranser per nät'!M$1,FALSE)/VLOOKUP($B259,Korrigeringsfaktor_EI,'Korrigeringsfaktor EI'!M$1,FALSE),
"")</f>
        <v>38.236792473118278</v>
      </c>
      <c r="N259" s="18">
        <f>IFERROR(
                  Andel_oberoende_av_klimat*VLOOKUP($A259,Leveranser_per_nät,'Leveranser per nät'!N$1,FALSE)
               +Andel_beroende_av_klimat*VLOOKUP($A259,Leveranser_per_nät,'Leveranser per nät'!N$1,FALSE)/VLOOKUP($B259,Korrigeringsfaktor_EI,'Korrigeringsfaktor EI'!N$1,FALSE),
"")</f>
        <v>38.211291489361699</v>
      </c>
      <c r="O259" s="18">
        <f>IFERROR(
                  Andel_oberoende_av_klimat*VLOOKUP($A259,Leveranser_per_nät,'Leveranser per nät'!O$1,FALSE)
               +Andel_beroende_av_klimat*VLOOKUP($A259,Leveranser_per_nät,'Leveranser per nät'!O$1,FALSE)/VLOOKUP($B259,Korrigeringsfaktor_EI,'Korrigeringsfaktor EI'!O$1,FALSE),
"")</f>
        <v>40.42601489361703</v>
      </c>
      <c r="P259" s="18">
        <f>IFERROR(
                  Andel_oberoende_av_klimat*VLOOKUP($A259,Leveranser_per_nät,'Leveranser per nät'!P$1,FALSE)
               +Andel_beroende_av_klimat*VLOOKUP($A259,Leveranser_per_nät,'Leveranser per nät'!P$1,FALSE)/VLOOKUP($B259,Korrigeringsfaktor_EI,'Korrigeringsfaktor EI'!P$1,FALSE),
"")</f>
        <v>42.776000000000003</v>
      </c>
      <c r="Q259" s="18">
        <f>IFERROR(
                  Andel_oberoende_av_klimat*VLOOKUP($A259,Leveranser_per_nät,'Leveranser per nät'!Q$1,FALSE)
               +Andel_beroende_av_klimat*VLOOKUP($A259,Leveranser_per_nät,'Leveranser per nät'!Q$1,FALSE)/VLOOKUP($B259,Korrigeringsfaktor_EI,'Korrigeringsfaktor EI'!Q$1,FALSE),
"")</f>
        <v>45.447447058823528</v>
      </c>
      <c r="R259" s="18">
        <f>IFERROR(
                  Andel_oberoende_av_klimat*VLOOKUP($A259,Leveranser_per_nät,'Leveranser per nät'!R$1,FALSE)
               +Andel_beroende_av_klimat*VLOOKUP($A259,Leveranser_per_nät,'Leveranser per nät'!R$1,FALSE)/VLOOKUP($B259,Korrigeringsfaktor_EI,'Korrigeringsfaktor EI'!R$1,FALSE),
"")</f>
        <v>42.073585714285713</v>
      </c>
      <c r="S259" s="18">
        <f>IFERROR(
                  Andel_oberoende_av_klimat*VLOOKUP($A259,Leveranser_per_nät,'Leveranser per nät'!S$1,FALSE)
               +Andel_beroende_av_klimat*VLOOKUP($A259,Leveranser_per_nät,'Leveranser per nät'!S$1,FALSE)/VLOOKUP($B259,Korrigeringsfaktor_EI,'Korrigeringsfaktor EI'!S$1,FALSE),
"")</f>
        <v>40.599999999999994</v>
      </c>
      <c r="T259" s="18">
        <f>IFERROR(
                  Andel_oberoende_av_klimat*VLOOKUP($A259,Leveranser_per_nät,'Leveranser per nät'!T$1,FALSE)
               +Andel_beroende_av_klimat*VLOOKUP($A259,Leveranser_per_nät,'Leveranser per nät'!T$1,FALSE)/VLOOKUP($B259,Korrigeringsfaktor_EI,'Korrigeringsfaktor EI'!T$1,FALSE),
"")</f>
        <v>42.711603921568624</v>
      </c>
      <c r="U259" s="18">
        <f>IFERROR(
                  Andel_oberoende_av_klimat*VLOOKUP($A259,Leveranser_per_nät,'Leveranser per nät'!U$1,FALSE)
               +Andel_beroende_av_klimat*VLOOKUP($A259,Leveranser_per_nät,'Leveranser per nät'!U$1,FALSE)/VLOOKUP($B259,Korrigeringsfaktor_EI,'Korrigeringsfaktor EI'!U$1,FALSE),
"")</f>
        <v>42.292353846153844</v>
      </c>
      <c r="V259" s="18">
        <f>IFERROR(
                  Andel_oberoende_av_klimat*VLOOKUP($A259,Leveranser_per_nät,'Leveranser per nät'!V$1,FALSE)
               +Andel_beroende_av_klimat*VLOOKUP($A259,Leveranser_per_nät,'Leveranser per nät'!V$1,FALSE)/VLOOKUP($B259,Korrigeringsfaktor_EI,'Korrigeringsfaktor EI'!V$1,FALSE),
"")</f>
        <v>42.042910526315787</v>
      </c>
      <c r="W259" s="18">
        <f>IFERROR(
                  Andel_oberoende_av_klimat*VLOOKUP($A259,Leveranser_per_nät,'Leveranser per nät'!W$1,FALSE)
               +Andel_beroende_av_klimat*VLOOKUP($A259,Leveranser_per_nät,'Leveranser per nät'!W$1,FALSE)/VLOOKUP($B259,Korrigeringsfaktor_EI,'Korrigeringsfaktor EI'!W$1,FALSE),
"")</f>
        <v>44.121428571428574</v>
      </c>
      <c r="X259" s="18">
        <f>IFERROR(
                  Andel_oberoende_av_klimat*VLOOKUP($A259,Leveranser_per_nät,'Leveranser per nät'!X$1,FALSE)
               +Andel_beroende_av_klimat*VLOOKUP($A259,Leveranser_per_nät,'Leveranser per nät'!X$1,FALSE)/VLOOKUP($B259,Korrigeringsfaktor_EI,'Korrigeringsfaktor EI'!X$1,FALSE),
"")</f>
        <v>44.835645833333331</v>
      </c>
      <c r="Y259" s="18">
        <f>IFERROR(
                  Andel_oberoende_av_klimat*VLOOKUP($A259,Leveranser_per_nät,'Leveranser per nät'!Y$1,FALSE)
               +Andel_beroende_av_klimat*VLOOKUP($A259,Leveranser_per_nät,'Leveranser per nät'!Y$1,FALSE)/VLOOKUP($B259,Korrigeringsfaktor_EI,'Korrigeringsfaktor EI'!Y$1,FALSE),
"")</f>
        <v>46.008831578947373</v>
      </c>
      <c r="Z259" s="18">
        <f>IFERROR(
                  Andel_oberoende_av_klimat*VLOOKUP($A259,Leveranser_per_nät,'Leveranser per nät'!Z$1,FALSE)
               +Andel_beroende_av_klimat*VLOOKUP($A259,Leveranser_per_nät,'Leveranser per nät'!Z$1,FALSE)/VLOOKUP($B259,Korrigeringsfaktor_EI,'Korrigeringsfaktor EI'!Z$1,FALSE),
"")</f>
        <v>44.908730434782605</v>
      </c>
      <c r="AA259" s="18">
        <f>IFERROR(
                  Andel_oberoende_av_klimat*VLOOKUP($A259,Leveranser_per_nät,'Leveranser per nät'!AA$1,FALSE)
               +Andel_beroende_av_klimat*VLOOKUP($A259,Leveranser_per_nät,'Leveranser per nät'!AA$1,FALSE)/VLOOKUP($B259,Korrigeringsfaktor_EI,'Korrigeringsfaktor EI'!AA$1,FALSE),
"")</f>
        <v>43.376637240232746</v>
      </c>
      <c r="AB259" s="18">
        <f>IFERROR(
                  Andel_oberoende_av_klimat*VLOOKUP($A259,Leveranser_per_nät,'Leveranser per nät'!AB$1,FALSE)
               +Andel_beroende_av_klimat*VLOOKUP($A259,Leveranser_per_nät,'Leveranser per nät'!AB$1,FALSE)/VLOOKUP($B259,Korrigeringsfaktor_EI,'Korrigeringsfaktor EI'!AB$1,FALSE),
"")</f>
        <v>43.671554379210775</v>
      </c>
      <c r="AC259" s="18">
        <f>IFERROR(
                  Andel_oberoende_av_klimat*VLOOKUP($A259,Leveranser_per_nät,'Leveranser per nät'!AC$1,FALSE)
               +Andel_beroende_av_klimat*VLOOKUP($A259,Leveranser_per_nät,'Leveranser per nät'!AC$1,FALSE)/VLOOKUP($B259,Korrigeringsfaktor_EI,'Korrigeringsfaktor EI'!AC$1,FALSE),
"")</f>
        <v>42.701984388185657</v>
      </c>
      <c r="AD259">
        <v>41.122999999999998</v>
      </c>
    </row>
    <row r="260" spans="1:30" x14ac:dyDescent="0.25">
      <c r="A260" s="3" t="s">
        <v>99</v>
      </c>
      <c r="B260" t="s">
        <v>163</v>
      </c>
      <c r="C260" s="18">
        <f>IFERROR(
                  Andel_oberoende_av_klimat*VLOOKUP($A260,Leveranser_per_nät,'Leveranser per nät'!C$1,FALSE)
               +Andel_beroende_av_klimat*VLOOKUP($A260,Leveranser_per_nät,'Leveranser per nät'!C$1,FALSE)/VLOOKUP($B260,Korrigeringsfaktor_EI,'Korrigeringsfaktor EI'!C$1,FALSE),
"")</f>
        <v>0</v>
      </c>
      <c r="D260" s="18">
        <f>IFERROR(
                  Andel_oberoende_av_klimat*VLOOKUP($A260,Leveranser_per_nät,'Leveranser per nät'!D$1,FALSE)
               +Andel_beroende_av_klimat*VLOOKUP($A260,Leveranser_per_nät,'Leveranser per nät'!D$1,FALSE)/VLOOKUP($B260,Korrigeringsfaktor_EI,'Korrigeringsfaktor EI'!D$1,FALSE),
"")</f>
        <v>0</v>
      </c>
      <c r="E260" s="18">
        <f>IFERROR(
                  Andel_oberoende_av_klimat*VLOOKUP($A260,Leveranser_per_nät,'Leveranser per nät'!E$1,FALSE)
               +Andel_beroende_av_klimat*VLOOKUP($A260,Leveranser_per_nät,'Leveranser per nät'!E$1,FALSE)/VLOOKUP($B260,Korrigeringsfaktor_EI,'Korrigeringsfaktor EI'!E$1,FALSE),
"")</f>
        <v>0</v>
      </c>
      <c r="F260" s="18">
        <f>IFERROR(
                  Andel_oberoende_av_klimat*VLOOKUP($A260,Leveranser_per_nät,'Leveranser per nät'!F$1,FALSE)
               +Andel_beroende_av_klimat*VLOOKUP($A260,Leveranser_per_nät,'Leveranser per nät'!F$1,FALSE)/VLOOKUP($B260,Korrigeringsfaktor_EI,'Korrigeringsfaktor EI'!F$1,FALSE),
"")</f>
        <v>0</v>
      </c>
      <c r="G260" s="18">
        <f>IFERROR(
                  Andel_oberoende_av_klimat*VLOOKUP($A260,Leveranser_per_nät,'Leveranser per nät'!G$1,FALSE)
               +Andel_beroende_av_klimat*VLOOKUP($A260,Leveranser_per_nät,'Leveranser per nät'!G$1,FALSE)/VLOOKUP($B260,Korrigeringsfaktor_EI,'Korrigeringsfaktor EI'!G$1,FALSE),
"")</f>
        <v>0</v>
      </c>
      <c r="H260" s="18">
        <f>IFERROR(
                  Andel_oberoende_av_klimat*VLOOKUP($A260,Leveranser_per_nät,'Leveranser per nät'!H$1,FALSE)
               +Andel_beroende_av_klimat*VLOOKUP($A260,Leveranser_per_nät,'Leveranser per nät'!H$1,FALSE)/VLOOKUP($B260,Korrigeringsfaktor_EI,'Korrigeringsfaktor EI'!H$1,FALSE),
"")</f>
        <v>0</v>
      </c>
      <c r="I260" s="18">
        <f>IFERROR(
                  Andel_oberoende_av_klimat*VLOOKUP($A260,Leveranser_per_nät,'Leveranser per nät'!I$1,FALSE)
               +Andel_beroende_av_klimat*VLOOKUP($A260,Leveranser_per_nät,'Leveranser per nät'!I$1,FALSE)/VLOOKUP($B260,Korrigeringsfaktor_EI,'Korrigeringsfaktor EI'!I$1,FALSE),
"")</f>
        <v>0</v>
      </c>
      <c r="J260" s="18">
        <f>IFERROR(
                  Andel_oberoende_av_klimat*VLOOKUP($A260,Leveranser_per_nät,'Leveranser per nät'!J$1,FALSE)
               +Andel_beroende_av_klimat*VLOOKUP($A260,Leveranser_per_nät,'Leveranser per nät'!J$1,FALSE)/VLOOKUP($B260,Korrigeringsfaktor_EI,'Korrigeringsfaktor EI'!J$1,FALSE),
"")</f>
        <v>0</v>
      </c>
      <c r="K260" s="18">
        <f>IFERROR(
                  Andel_oberoende_av_klimat*VLOOKUP($A260,Leveranser_per_nät,'Leveranser per nät'!K$1,FALSE)
               +Andel_beroende_av_klimat*VLOOKUP($A260,Leveranser_per_nät,'Leveranser per nät'!K$1,FALSE)/VLOOKUP($B260,Korrigeringsfaktor_EI,'Korrigeringsfaktor EI'!K$1,FALSE),
"")</f>
        <v>0</v>
      </c>
      <c r="L260" s="18">
        <f>IFERROR(
                  Andel_oberoende_av_klimat*VLOOKUP($A260,Leveranser_per_nät,'Leveranser per nät'!L$1,FALSE)
               +Andel_beroende_av_klimat*VLOOKUP($A260,Leveranser_per_nät,'Leveranser per nät'!L$1,FALSE)/VLOOKUP($B260,Korrigeringsfaktor_EI,'Korrigeringsfaktor EI'!L$1,FALSE),
"")</f>
        <v>0</v>
      </c>
      <c r="M260" s="18">
        <f>IFERROR(
                  Andel_oberoende_av_klimat*VLOOKUP($A260,Leveranser_per_nät,'Leveranser per nät'!M$1,FALSE)
               +Andel_beroende_av_klimat*VLOOKUP($A260,Leveranser_per_nät,'Leveranser per nät'!M$1,FALSE)/VLOOKUP($B260,Korrigeringsfaktor_EI,'Korrigeringsfaktor EI'!M$1,FALSE),
"")</f>
        <v>0</v>
      </c>
      <c r="N260" s="18">
        <f>IFERROR(
                  Andel_oberoende_av_klimat*VLOOKUP($A260,Leveranser_per_nät,'Leveranser per nät'!N$1,FALSE)
               +Andel_beroende_av_klimat*VLOOKUP($A260,Leveranser_per_nät,'Leveranser per nät'!N$1,FALSE)/VLOOKUP($B260,Korrigeringsfaktor_EI,'Korrigeringsfaktor EI'!N$1,FALSE),
"")</f>
        <v>0</v>
      </c>
      <c r="O260" s="18">
        <f>IFERROR(
                  Andel_oberoende_av_klimat*VLOOKUP($A260,Leveranser_per_nät,'Leveranser per nät'!O$1,FALSE)
               +Andel_beroende_av_klimat*VLOOKUP($A260,Leveranser_per_nät,'Leveranser per nät'!O$1,FALSE)/VLOOKUP($B260,Korrigeringsfaktor_EI,'Korrigeringsfaktor EI'!O$1,FALSE),
"")</f>
        <v>0</v>
      </c>
      <c r="P260" s="18">
        <f>IFERROR(
                  Andel_oberoende_av_klimat*VLOOKUP($A260,Leveranser_per_nät,'Leveranser per nät'!P$1,FALSE)
               +Andel_beroende_av_klimat*VLOOKUP($A260,Leveranser_per_nät,'Leveranser per nät'!P$1,FALSE)/VLOOKUP($B260,Korrigeringsfaktor_EI,'Korrigeringsfaktor EI'!P$1,FALSE),
"")</f>
        <v>1.5214285714285714</v>
      </c>
      <c r="Q260" s="18">
        <f>IFERROR(
                  Andel_oberoende_av_klimat*VLOOKUP($A260,Leveranser_per_nät,'Leveranser per nät'!Q$1,FALSE)
               +Andel_beroende_av_klimat*VLOOKUP($A260,Leveranser_per_nät,'Leveranser per nät'!Q$1,FALSE)/VLOOKUP($B260,Korrigeringsfaktor_EI,'Korrigeringsfaktor EI'!Q$1,FALSE),
"")</f>
        <v>1.5724999999999998</v>
      </c>
      <c r="R260" s="18">
        <f>IFERROR(
                  Andel_oberoende_av_klimat*VLOOKUP($A260,Leveranser_per_nät,'Leveranser per nät'!R$1,FALSE)
               +Andel_beroende_av_klimat*VLOOKUP($A260,Leveranser_per_nät,'Leveranser per nät'!R$1,FALSE)/VLOOKUP($B260,Korrigeringsfaktor_EI,'Korrigeringsfaktor EI'!R$1,FALSE),
"")</f>
        <v>0</v>
      </c>
      <c r="S260" s="18" t="str">
        <f>IFERROR(
                  Andel_oberoende_av_klimat*VLOOKUP($A260,Leveranser_per_nät,'Leveranser per nät'!S$1,FALSE)
               +Andel_beroende_av_klimat*VLOOKUP($A260,Leveranser_per_nät,'Leveranser per nät'!S$1,FALSE)/VLOOKUP($B260,Korrigeringsfaktor_EI,'Korrigeringsfaktor EI'!S$1,FALSE),
"")</f>
        <v/>
      </c>
      <c r="T260" s="18" t="str">
        <f>IFERROR(
                  Andel_oberoende_av_klimat*VLOOKUP($A260,Leveranser_per_nät,'Leveranser per nät'!T$1,FALSE)
               +Andel_beroende_av_klimat*VLOOKUP($A260,Leveranser_per_nät,'Leveranser per nät'!T$1,FALSE)/VLOOKUP($B260,Korrigeringsfaktor_EI,'Korrigeringsfaktor EI'!T$1,FALSE),
"")</f>
        <v/>
      </c>
      <c r="U260" s="18" t="str">
        <f>IFERROR(
                  Andel_oberoende_av_klimat*VLOOKUP($A260,Leveranser_per_nät,'Leveranser per nät'!U$1,FALSE)
               +Andel_beroende_av_klimat*VLOOKUP($A260,Leveranser_per_nät,'Leveranser per nät'!U$1,FALSE)/VLOOKUP($B260,Korrigeringsfaktor_EI,'Korrigeringsfaktor EI'!U$1,FALSE),
"")</f>
        <v/>
      </c>
      <c r="V260" s="18" t="str">
        <f>IFERROR(
                  Andel_oberoende_av_klimat*VLOOKUP($A260,Leveranser_per_nät,'Leveranser per nät'!V$1,FALSE)
               +Andel_beroende_av_klimat*VLOOKUP($A260,Leveranser_per_nät,'Leveranser per nät'!V$1,FALSE)/VLOOKUP($B260,Korrigeringsfaktor_EI,'Korrigeringsfaktor EI'!V$1,FALSE),
"")</f>
        <v/>
      </c>
      <c r="W260" s="18" t="str">
        <f>IFERROR(
                  Andel_oberoende_av_klimat*VLOOKUP($A260,Leveranser_per_nät,'Leveranser per nät'!W$1,FALSE)
               +Andel_beroende_av_klimat*VLOOKUP($A260,Leveranser_per_nät,'Leveranser per nät'!W$1,FALSE)/VLOOKUP($B260,Korrigeringsfaktor_EI,'Korrigeringsfaktor EI'!W$1,FALSE),
"")</f>
        <v/>
      </c>
      <c r="X260" s="18" t="str">
        <f>IFERROR(
                  Andel_oberoende_av_klimat*VLOOKUP($A260,Leveranser_per_nät,'Leveranser per nät'!X$1,FALSE)
               +Andel_beroende_av_klimat*VLOOKUP($A260,Leveranser_per_nät,'Leveranser per nät'!X$1,FALSE)/VLOOKUP($B260,Korrigeringsfaktor_EI,'Korrigeringsfaktor EI'!X$1,FALSE),
"")</f>
        <v/>
      </c>
      <c r="Y260" s="18" t="str">
        <f>IFERROR(
                  Andel_oberoende_av_klimat*VLOOKUP($A260,Leveranser_per_nät,'Leveranser per nät'!Y$1,FALSE)
               +Andel_beroende_av_klimat*VLOOKUP($A260,Leveranser_per_nät,'Leveranser per nät'!Y$1,FALSE)/VLOOKUP($B260,Korrigeringsfaktor_EI,'Korrigeringsfaktor EI'!Y$1,FALSE),
"")</f>
        <v/>
      </c>
      <c r="Z260" s="18">
        <f>IFERROR(
                  Andel_oberoende_av_klimat*VLOOKUP($A260,Leveranser_per_nät,'Leveranser per nät'!Z$1,FALSE)
               +Andel_beroende_av_klimat*VLOOKUP($A260,Leveranser_per_nät,'Leveranser per nät'!Z$1,FALSE)/VLOOKUP($B260,Korrigeringsfaktor_EI,'Korrigeringsfaktor EI'!Z$1,FALSE),
"")</f>
        <v>0</v>
      </c>
      <c r="AA260" s="18" t="str">
        <f>IFERROR(
                  Andel_oberoende_av_klimat*VLOOKUP($A260,Leveranser_per_nät,'Leveranser per nät'!AA$1,FALSE)
               +Andel_beroende_av_klimat*VLOOKUP($A260,Leveranser_per_nät,'Leveranser per nät'!AA$1,FALSE)/VLOOKUP($B260,Korrigeringsfaktor_EI,'Korrigeringsfaktor EI'!AA$1,FALSE),
"")</f>
        <v/>
      </c>
      <c r="AB260" s="18">
        <f>IFERROR(
                  Andel_oberoende_av_klimat*VLOOKUP($A260,Leveranser_per_nät,'Leveranser per nät'!AB$1,FALSE)
               +Andel_beroende_av_klimat*VLOOKUP($A260,Leveranser_per_nät,'Leveranser per nät'!AB$1,FALSE)/VLOOKUP($B260,Korrigeringsfaktor_EI,'Korrigeringsfaktor EI'!AB$1,FALSE),
"")</f>
        <v>0</v>
      </c>
      <c r="AC260" s="18">
        <f>IFERROR(
                  Andel_oberoende_av_klimat*VLOOKUP($A260,Leveranser_per_nät,'Leveranser per nät'!AC$1,FALSE)
               +Andel_beroende_av_klimat*VLOOKUP($A260,Leveranser_per_nät,'Leveranser per nät'!AC$1,FALSE)/VLOOKUP($B260,Korrigeringsfaktor_EI,'Korrigeringsfaktor EI'!AC$1,FALSE),
"")</f>
        <v>0</v>
      </c>
      <c r="AD260" t="e">
        <v>#N/A</v>
      </c>
    </row>
    <row r="261" spans="1:30" x14ac:dyDescent="0.25">
      <c r="A261" t="s">
        <v>69</v>
      </c>
      <c r="B261" t="s">
        <v>49</v>
      </c>
      <c r="C261" s="18">
        <f>IFERROR(
                  Andel_oberoende_av_klimat*VLOOKUP($A261,Leveranser_per_nät,'Leveranser per nät'!C$1,FALSE)
               +Andel_beroende_av_klimat*VLOOKUP($A261,Leveranser_per_nät,'Leveranser per nät'!C$1,FALSE)/VLOOKUP($B261,Korrigeringsfaktor_EI,'Korrigeringsfaktor EI'!C$1,FALSE),
"")</f>
        <v>1.908411214953271</v>
      </c>
      <c r="D261" s="18">
        <f>IFERROR(
                  Andel_oberoende_av_klimat*VLOOKUP($A261,Leveranser_per_nät,'Leveranser per nät'!D$1,FALSE)
               +Andel_beroende_av_klimat*VLOOKUP($A261,Leveranser_per_nät,'Leveranser per nät'!D$1,FALSE)/VLOOKUP($B261,Korrigeringsfaktor_EI,'Korrigeringsfaktor EI'!D$1,FALSE),
"")</f>
        <v>3.9941958333333334</v>
      </c>
      <c r="E261" s="18">
        <f>IFERROR(
                  Andel_oberoende_av_klimat*VLOOKUP($A261,Leveranser_per_nät,'Leveranser per nät'!E$1,FALSE)
               +Andel_beroende_av_klimat*VLOOKUP($A261,Leveranser_per_nät,'Leveranser per nät'!E$1,FALSE)/VLOOKUP($B261,Korrigeringsfaktor_EI,'Korrigeringsfaktor EI'!E$1,FALSE),
"")</f>
        <v>3.9722772277227723</v>
      </c>
      <c r="F261" s="18">
        <f>IFERROR(
                  Andel_oberoende_av_klimat*VLOOKUP($A261,Leveranser_per_nät,'Leveranser per nät'!F$1,FALSE)
               +Andel_beroende_av_klimat*VLOOKUP($A261,Leveranser_per_nät,'Leveranser per nät'!F$1,FALSE)/VLOOKUP($B261,Korrigeringsfaktor_EI,'Korrigeringsfaktor EI'!F$1,FALSE),
"")</f>
        <v>1.9404574257425742</v>
      </c>
      <c r="G261" s="18">
        <f>IFERROR(
                  Andel_oberoende_av_klimat*VLOOKUP($A261,Leveranser_per_nät,'Leveranser per nät'!G$1,FALSE)
               +Andel_beroende_av_klimat*VLOOKUP($A261,Leveranser_per_nät,'Leveranser per nät'!G$1,FALSE)/VLOOKUP($B261,Korrigeringsfaktor_EI,'Korrigeringsfaktor EI'!G$1,FALSE),
"")</f>
        <v>1.9369462365591401</v>
      </c>
      <c r="H261" s="18">
        <f>IFERROR(
                  Andel_oberoende_av_klimat*VLOOKUP($A261,Leveranser_per_nät,'Leveranser per nät'!H$1,FALSE)
               +Andel_beroende_av_klimat*VLOOKUP($A261,Leveranser_per_nät,'Leveranser per nät'!H$1,FALSE)/VLOOKUP($B261,Korrigeringsfaktor_EI,'Korrigeringsfaktor EI'!H$1,FALSE),
"")</f>
        <v>3.9722772277227723</v>
      </c>
      <c r="I261" s="18">
        <f>IFERROR(
                  Andel_oberoende_av_klimat*VLOOKUP($A261,Leveranser_per_nät,'Leveranser per nät'!I$1,FALSE)
               +Andel_beroende_av_klimat*VLOOKUP($A261,Leveranser_per_nät,'Leveranser per nät'!I$1,FALSE)/VLOOKUP($B261,Korrigeringsfaktor_EI,'Korrigeringsfaktor EI'!I$1,FALSE),
"")</f>
        <v>4.1473684210526311</v>
      </c>
      <c r="J261" s="18">
        <f>IFERROR(
                  Andel_oberoende_av_klimat*VLOOKUP($A261,Leveranser_per_nät,'Leveranser per nät'!J$1,FALSE)
               +Andel_beroende_av_klimat*VLOOKUP($A261,Leveranser_per_nät,'Leveranser per nät'!J$1,FALSE)/VLOOKUP($B261,Korrigeringsfaktor_EI,'Korrigeringsfaktor EI'!J$1,FALSE),
"")</f>
        <v>4.3930927835051552</v>
      </c>
      <c r="K261" s="18">
        <f>IFERROR(
                  Andel_oberoende_av_klimat*VLOOKUP($A261,Leveranser_per_nät,'Leveranser per nät'!K$1,FALSE)
               +Andel_beroende_av_klimat*VLOOKUP($A261,Leveranser_per_nät,'Leveranser per nät'!K$1,FALSE)/VLOOKUP($B261,Korrigeringsfaktor_EI,'Korrigeringsfaktor EI'!K$1,FALSE),
"")</f>
        <v>4.3930927835051552</v>
      </c>
      <c r="L261" s="18">
        <f>IFERROR(
                  Andel_oberoende_av_klimat*VLOOKUP($A261,Leveranser_per_nät,'Leveranser per nät'!L$1,FALSE)
               +Andel_beroende_av_klimat*VLOOKUP($A261,Leveranser_per_nät,'Leveranser per nät'!L$1,FALSE)/VLOOKUP($B261,Korrigeringsfaktor_EI,'Korrigeringsfaktor EI'!L$1,FALSE),
"")</f>
        <v>4.4846946187000603</v>
      </c>
      <c r="M261" s="18">
        <f>IFERROR(
                  Andel_oberoende_av_klimat*VLOOKUP($A261,Leveranser_per_nät,'Leveranser per nät'!M$1,FALSE)
               +Andel_beroende_av_klimat*VLOOKUP($A261,Leveranser_per_nät,'Leveranser per nät'!M$1,FALSE)/VLOOKUP($B261,Korrigeringsfaktor_EI,'Korrigeringsfaktor EI'!M$1,FALSE),
"")</f>
        <v>3.9240769230769228</v>
      </c>
      <c r="N261" s="18">
        <f>IFERROR(
                  Andel_oberoende_av_klimat*VLOOKUP($A261,Leveranser_per_nät,'Leveranser per nät'!N$1,FALSE)
               +Andel_beroende_av_klimat*VLOOKUP($A261,Leveranser_per_nät,'Leveranser per nät'!N$1,FALSE)/VLOOKUP($B261,Korrigeringsfaktor_EI,'Korrigeringsfaktor EI'!N$1,FALSE),
"")</f>
        <v>3.9697872340425531</v>
      </c>
      <c r="O261" s="18">
        <f>IFERROR(
                  Andel_oberoende_av_klimat*VLOOKUP($A261,Leveranser_per_nät,'Leveranser per nät'!O$1,FALSE)
               +Andel_beroende_av_klimat*VLOOKUP($A261,Leveranser_per_nät,'Leveranser per nät'!O$1,FALSE)/VLOOKUP($B261,Korrigeringsfaktor_EI,'Korrigeringsfaktor EI'!O$1,FALSE),
"")</f>
        <v>4.1373913043478261</v>
      </c>
      <c r="P261" s="18">
        <f>IFERROR(
                  Andel_oberoende_av_klimat*VLOOKUP($A261,Leveranser_per_nät,'Leveranser per nät'!P$1,FALSE)
               +Andel_beroende_av_klimat*VLOOKUP($A261,Leveranser_per_nät,'Leveranser per nät'!P$1,FALSE)/VLOOKUP($B261,Korrigeringsfaktor_EI,'Korrigeringsfaktor EI'!P$1,FALSE),
"")</f>
        <v>6.0424242424242411</v>
      </c>
      <c r="Q261" s="18">
        <f>IFERROR(
                  Andel_oberoende_av_klimat*VLOOKUP($A261,Leveranser_per_nät,'Leveranser per nät'!Q$1,FALSE)
               +Andel_beroende_av_klimat*VLOOKUP($A261,Leveranser_per_nät,'Leveranser per nät'!Q$1,FALSE)/VLOOKUP($B261,Korrigeringsfaktor_EI,'Korrigeringsfaktor EI'!Q$1,FALSE),
"")</f>
        <v>4.4670270270270267</v>
      </c>
      <c r="R261" s="18">
        <f>IFERROR(
                  Andel_oberoende_av_klimat*VLOOKUP($A261,Leveranser_per_nät,'Leveranser per nät'!R$1,FALSE)
               +Andel_beroende_av_klimat*VLOOKUP($A261,Leveranser_per_nät,'Leveranser per nät'!R$1,FALSE)/VLOOKUP($B261,Korrigeringsfaktor_EI,'Korrigeringsfaktor EI'!R$1,FALSE),
"")</f>
        <v>4.7367826086956519</v>
      </c>
      <c r="S261" s="18">
        <f>IFERROR(
                  Andel_oberoende_av_klimat*VLOOKUP($A261,Leveranser_per_nät,'Leveranser per nät'!S$1,FALSE)
               +Andel_beroende_av_klimat*VLOOKUP($A261,Leveranser_per_nät,'Leveranser per nät'!S$1,FALSE)/VLOOKUP($B261,Korrigeringsfaktor_EI,'Korrigeringsfaktor EI'!S$1,FALSE),
"")</f>
        <v>4.13</v>
      </c>
      <c r="T261" s="18">
        <f>IFERROR(
                  Andel_oberoende_av_klimat*VLOOKUP($A261,Leveranser_per_nät,'Leveranser per nät'!T$1,FALSE)
               +Andel_beroende_av_klimat*VLOOKUP($A261,Leveranser_per_nät,'Leveranser per nät'!T$1,FALSE)/VLOOKUP($B261,Korrigeringsfaktor_EI,'Korrigeringsfaktor EI'!T$1,FALSE),
"")</f>
        <v>3.9231833333333332</v>
      </c>
      <c r="U261" s="18">
        <f>IFERROR(
                  Andel_oberoende_av_klimat*VLOOKUP($A261,Leveranser_per_nät,'Leveranser per nät'!U$1,FALSE)
               +Andel_beroende_av_klimat*VLOOKUP($A261,Leveranser_per_nät,'Leveranser per nät'!U$1,FALSE)/VLOOKUP($B261,Korrigeringsfaktor_EI,'Korrigeringsfaktor EI'!U$1,FALSE),
"")</f>
        <v>4.0630769230769221</v>
      </c>
      <c r="V261" s="18">
        <f>IFERROR(
                  Andel_oberoende_av_klimat*VLOOKUP($A261,Leveranser_per_nät,'Leveranser per nät'!V$1,FALSE)
               +Andel_beroende_av_klimat*VLOOKUP($A261,Leveranser_per_nät,'Leveranser per nät'!V$1,FALSE)/VLOOKUP($B261,Korrigeringsfaktor_EI,'Korrigeringsfaktor EI'!V$1,FALSE),
"")</f>
        <v>4.0002150537634407</v>
      </c>
      <c r="W261" s="18">
        <f>IFERROR(
                  Andel_oberoende_av_klimat*VLOOKUP($A261,Leveranser_per_nät,'Leveranser per nät'!W$1,FALSE)
               +Andel_beroende_av_klimat*VLOOKUP($A261,Leveranser_per_nät,'Leveranser per nät'!W$1,FALSE)/VLOOKUP($B261,Korrigeringsfaktor_EI,'Korrigeringsfaktor EI'!W$1,FALSE),
"")</f>
        <v>4.2909278350515461</v>
      </c>
      <c r="X261" s="18">
        <f>IFERROR(
                  Andel_oberoende_av_klimat*VLOOKUP($A261,Leveranser_per_nät,'Leveranser per nät'!X$1,FALSE)
               +Andel_beroende_av_klimat*VLOOKUP($A261,Leveranser_per_nät,'Leveranser per nät'!X$1,FALSE)/VLOOKUP($B261,Korrigeringsfaktor_EI,'Korrigeringsfaktor EI'!X$1,FALSE),
"")</f>
        <v>4.3224999999999998</v>
      </c>
      <c r="Y261" s="18">
        <f>IFERROR(
                  Andel_oberoende_av_klimat*VLOOKUP($A261,Leveranser_per_nät,'Leveranser per nät'!Y$1,FALSE)
               +Andel_beroende_av_klimat*VLOOKUP($A261,Leveranser_per_nät,'Leveranser per nät'!Y$1,FALSE)/VLOOKUP($B261,Korrigeringsfaktor_EI,'Korrigeringsfaktor EI'!Y$1,FALSE),
"")</f>
        <v>4.1166666666666671</v>
      </c>
      <c r="Z261" s="18">
        <f>IFERROR(
                  Andel_oberoende_av_klimat*VLOOKUP($A261,Leveranser_per_nät,'Leveranser per nät'!Z$1,FALSE)
               +Andel_beroende_av_klimat*VLOOKUP($A261,Leveranser_per_nät,'Leveranser per nät'!Z$1,FALSE)/VLOOKUP($B261,Korrigeringsfaktor_EI,'Korrigeringsfaktor EI'!Z$1,FALSE),
"")</f>
        <v>4.0436842105263162</v>
      </c>
      <c r="AA261" s="18">
        <f>IFERROR(
                  Andel_oberoende_av_klimat*VLOOKUP($A261,Leveranser_per_nät,'Leveranser per nät'!AA$1,FALSE)
               +Andel_beroende_av_klimat*VLOOKUP($A261,Leveranser_per_nät,'Leveranser per nät'!AA$1,FALSE)/VLOOKUP($B261,Korrigeringsfaktor_EI,'Korrigeringsfaktor EI'!AA$1,FALSE),
"")</f>
        <v>3.8914143426294823</v>
      </c>
      <c r="AB261" s="18">
        <f>IFERROR(
                  Andel_oberoende_av_klimat*VLOOKUP($A261,Leveranser_per_nät,'Leveranser per nät'!AB$1,FALSE)
               +Andel_beroende_av_klimat*VLOOKUP($A261,Leveranser_per_nät,'Leveranser per nät'!AB$1,FALSE)/VLOOKUP($B261,Korrigeringsfaktor_EI,'Korrigeringsfaktor EI'!AB$1,FALSE),
"")</f>
        <v>3.8652845410628025</v>
      </c>
      <c r="AC261" s="18">
        <f>IFERROR(
                  Andel_oberoende_av_klimat*VLOOKUP($A261,Leveranser_per_nät,'Leveranser per nät'!AC$1,FALSE)
               +Andel_beroende_av_klimat*VLOOKUP($A261,Leveranser_per_nät,'Leveranser per nät'!AC$1,FALSE)/VLOOKUP($B261,Korrigeringsfaktor_EI,'Korrigeringsfaktor EI'!AC$1,FALSE),
"")</f>
        <v>3.7504647540983607</v>
      </c>
      <c r="AD261">
        <v>62.655999999999999</v>
      </c>
    </row>
    <row r="262" spans="1:30" x14ac:dyDescent="0.25">
      <c r="A262" t="s">
        <v>147</v>
      </c>
      <c r="B262" t="s">
        <v>145</v>
      </c>
      <c r="C262" s="18">
        <f>IFERROR(
                  Andel_oberoende_av_klimat*VLOOKUP($A262,Leveranser_per_nät,'Leveranser per nät'!C$1,FALSE)
               +Andel_beroende_av_klimat*VLOOKUP($A262,Leveranser_per_nät,'Leveranser per nät'!C$1,FALSE)/VLOOKUP($B262,Korrigeringsfaktor_EI,'Korrigeringsfaktor EI'!C$1,FALSE),
"")</f>
        <v>0</v>
      </c>
      <c r="D262" s="18">
        <f>IFERROR(
                  Andel_oberoende_av_klimat*VLOOKUP($A262,Leveranser_per_nät,'Leveranser per nät'!D$1,FALSE)
               +Andel_beroende_av_klimat*VLOOKUP($A262,Leveranser_per_nät,'Leveranser per nät'!D$1,FALSE)/VLOOKUP($B262,Korrigeringsfaktor_EI,'Korrigeringsfaktor EI'!D$1,FALSE),
"")</f>
        <v>0</v>
      </c>
      <c r="E262" s="18">
        <f>IFERROR(
                  Andel_oberoende_av_klimat*VLOOKUP($A262,Leveranser_per_nät,'Leveranser per nät'!E$1,FALSE)
               +Andel_beroende_av_klimat*VLOOKUP($A262,Leveranser_per_nät,'Leveranser per nät'!E$1,FALSE)/VLOOKUP($B262,Korrigeringsfaktor_EI,'Korrigeringsfaktor EI'!E$1,FALSE),
"")</f>
        <v>0</v>
      </c>
      <c r="F262" s="18">
        <f>IFERROR(
                  Andel_oberoende_av_klimat*VLOOKUP($A262,Leveranser_per_nät,'Leveranser per nät'!F$1,FALSE)
               +Andel_beroende_av_klimat*VLOOKUP($A262,Leveranser_per_nät,'Leveranser per nät'!F$1,FALSE)/VLOOKUP($B262,Korrigeringsfaktor_EI,'Korrigeringsfaktor EI'!F$1,FALSE),
"")</f>
        <v>0</v>
      </c>
      <c r="G262" s="18">
        <f>IFERROR(
                  Andel_oberoende_av_klimat*VLOOKUP($A262,Leveranser_per_nät,'Leveranser per nät'!G$1,FALSE)
               +Andel_beroende_av_klimat*VLOOKUP($A262,Leveranser_per_nät,'Leveranser per nät'!G$1,FALSE)/VLOOKUP($B262,Korrigeringsfaktor_EI,'Korrigeringsfaktor EI'!G$1,FALSE),
"")</f>
        <v>0</v>
      </c>
      <c r="H262" s="18">
        <f>IFERROR(
                  Andel_oberoende_av_klimat*VLOOKUP($A262,Leveranser_per_nät,'Leveranser per nät'!H$1,FALSE)
               +Andel_beroende_av_klimat*VLOOKUP($A262,Leveranser_per_nät,'Leveranser per nät'!H$1,FALSE)/VLOOKUP($B262,Korrigeringsfaktor_EI,'Korrigeringsfaktor EI'!H$1,FALSE),
"")</f>
        <v>4.3499999999999996</v>
      </c>
      <c r="I262" s="18">
        <f>IFERROR(
                  Andel_oberoende_av_klimat*VLOOKUP($A262,Leveranser_per_nät,'Leveranser per nät'!I$1,FALSE)
               +Andel_beroende_av_klimat*VLOOKUP($A262,Leveranser_per_nät,'Leveranser per nät'!I$1,FALSE)/VLOOKUP($B262,Korrigeringsfaktor_EI,'Korrigeringsfaktor EI'!I$1,FALSE),
"")</f>
        <v>5.2765374999999999</v>
      </c>
      <c r="J262" s="18">
        <f>IFERROR(
                  Andel_oberoende_av_klimat*VLOOKUP($A262,Leveranser_per_nät,'Leveranser per nät'!J$1,FALSE)
               +Andel_beroende_av_klimat*VLOOKUP($A262,Leveranser_per_nät,'Leveranser per nät'!J$1,FALSE)/VLOOKUP($B262,Korrigeringsfaktor_EI,'Korrigeringsfaktor EI'!J$1,FALSE),
"")</f>
        <v>5.2379969072164947</v>
      </c>
      <c r="K262" s="18">
        <f>IFERROR(
                  Andel_oberoende_av_klimat*VLOOKUP($A262,Leveranser_per_nät,'Leveranser per nät'!K$1,FALSE)
               +Andel_beroende_av_klimat*VLOOKUP($A262,Leveranser_per_nät,'Leveranser per nät'!K$1,FALSE)/VLOOKUP($B262,Korrigeringsfaktor_EI,'Korrigeringsfaktor EI'!K$1,FALSE),
"")</f>
        <v>5.1082474226804129</v>
      </c>
      <c r="L262" s="18">
        <f>IFERROR(
                  Andel_oberoende_av_klimat*VLOOKUP($A262,Leveranser_per_nät,'Leveranser per nät'!L$1,FALSE)
               +Andel_beroende_av_klimat*VLOOKUP($A262,Leveranser_per_nät,'Leveranser per nät'!L$1,FALSE)/VLOOKUP($B262,Korrigeringsfaktor_EI,'Korrigeringsfaktor EI'!L$1,FALSE),
"")</f>
        <v>6.7904255319148943</v>
      </c>
      <c r="M262" s="18">
        <f>IFERROR(
                  Andel_oberoende_av_klimat*VLOOKUP($A262,Leveranser_per_nät,'Leveranser per nät'!M$1,FALSE)
               +Andel_beroende_av_klimat*VLOOKUP($A262,Leveranser_per_nät,'Leveranser per nät'!M$1,FALSE)/VLOOKUP($B262,Korrigeringsfaktor_EI,'Korrigeringsfaktor EI'!M$1,FALSE),
"")</f>
        <v>7.1502608695652174</v>
      </c>
      <c r="N262" s="18">
        <f>IFERROR(
                  Andel_oberoende_av_klimat*VLOOKUP($A262,Leveranser_per_nät,'Leveranser per nät'!N$1,FALSE)
               +Andel_beroende_av_klimat*VLOOKUP($A262,Leveranser_per_nät,'Leveranser per nät'!N$1,FALSE)/VLOOKUP($B262,Korrigeringsfaktor_EI,'Korrigeringsfaktor EI'!N$1,FALSE),
"")</f>
        <v>6.7799787234042554</v>
      </c>
      <c r="O262" s="18">
        <f>IFERROR(
                  Andel_oberoende_av_klimat*VLOOKUP($A262,Leveranser_per_nät,'Leveranser per nät'!O$1,FALSE)
               +Andel_beroende_av_klimat*VLOOKUP($A262,Leveranser_per_nät,'Leveranser per nät'!O$1,FALSE)/VLOOKUP($B262,Korrigeringsfaktor_EI,'Korrigeringsfaktor EI'!O$1,FALSE),
"")</f>
        <v>6.9539999999999997</v>
      </c>
      <c r="P262" s="18">
        <f>IFERROR(
                  Andel_oberoende_av_klimat*VLOOKUP($A262,Leveranser_per_nät,'Leveranser per nät'!P$1,FALSE)
               +Andel_beroende_av_klimat*VLOOKUP($A262,Leveranser_per_nät,'Leveranser per nät'!P$1,FALSE)/VLOOKUP($B262,Korrigeringsfaktor_EI,'Korrigeringsfaktor EI'!P$1,FALSE),
"")</f>
        <v>6.7347134020618551</v>
      </c>
      <c r="Q262" s="18">
        <f>IFERROR(
                  Andel_oberoende_av_klimat*VLOOKUP($A262,Leveranser_per_nät,'Leveranser per nät'!Q$1,FALSE)
               +Andel_beroende_av_klimat*VLOOKUP($A262,Leveranser_per_nät,'Leveranser per nät'!Q$1,FALSE)/VLOOKUP($B262,Korrigeringsfaktor_EI,'Korrigeringsfaktor EI'!Q$1,FALSE),
"")</f>
        <v>6.8960176991150455</v>
      </c>
      <c r="R262" s="18">
        <f>IFERROR(
                  Andel_oberoende_av_klimat*VLOOKUP($A262,Leveranser_per_nät,'Leveranser per nät'!R$1,FALSE)
               +Andel_beroende_av_klimat*VLOOKUP($A262,Leveranser_per_nät,'Leveranser per nät'!R$1,FALSE)/VLOOKUP($B262,Korrigeringsfaktor_EI,'Korrigeringsfaktor EI'!R$1,FALSE),
"")</f>
        <v>6.7361538461538455</v>
      </c>
      <c r="S262" s="18">
        <f>IFERROR(
                  Andel_oberoende_av_klimat*VLOOKUP($A262,Leveranser_per_nät,'Leveranser per nät'!S$1,FALSE)
               +Andel_beroende_av_klimat*VLOOKUP($A262,Leveranser_per_nät,'Leveranser per nät'!S$1,FALSE)/VLOOKUP($B262,Korrigeringsfaktor_EI,'Korrigeringsfaktor EI'!S$1,FALSE),
"")</f>
        <v>6.379999999999999</v>
      </c>
      <c r="T262" s="18">
        <f>IFERROR(
                  Andel_oberoende_av_klimat*VLOOKUP($A262,Leveranser_per_nät,'Leveranser per nät'!T$1,FALSE)
               +Andel_beroende_av_klimat*VLOOKUP($A262,Leveranser_per_nät,'Leveranser per nät'!T$1,FALSE)/VLOOKUP($B262,Korrigeringsfaktor_EI,'Korrigeringsfaktor EI'!T$1,FALSE),
"")</f>
        <v>6.4740421052631572</v>
      </c>
      <c r="U262" s="18">
        <f>IFERROR(
                  Andel_oberoende_av_klimat*VLOOKUP($A262,Leveranser_per_nät,'Leveranser per nät'!U$1,FALSE)
               +Andel_beroende_av_klimat*VLOOKUP($A262,Leveranser_per_nät,'Leveranser per nät'!U$1,FALSE)/VLOOKUP($B262,Korrigeringsfaktor_EI,'Korrigeringsfaktor EI'!U$1,FALSE),
"")</f>
        <v>6.5223076923076917</v>
      </c>
      <c r="V262" s="18">
        <f>IFERROR(
                  Andel_oberoende_av_klimat*VLOOKUP($A262,Leveranser_per_nät,'Leveranser per nät'!V$1,FALSE)
               +Andel_beroende_av_klimat*VLOOKUP($A262,Leveranser_per_nät,'Leveranser per nät'!V$1,FALSE)/VLOOKUP($B262,Korrigeringsfaktor_EI,'Korrigeringsfaktor EI'!V$1,FALSE),
"")</f>
        <v>7.0017391304347818</v>
      </c>
      <c r="W262" s="18">
        <f>IFERROR(
                  Andel_oberoende_av_klimat*VLOOKUP($A262,Leveranser_per_nät,'Leveranser per nät'!W$1,FALSE)
               +Andel_beroende_av_klimat*VLOOKUP($A262,Leveranser_per_nät,'Leveranser per nät'!W$1,FALSE)/VLOOKUP($B262,Korrigeringsfaktor_EI,'Korrigeringsfaktor EI'!W$1,FALSE),
"")</f>
        <v>6.9674583333333331</v>
      </c>
      <c r="X262" s="18">
        <f>IFERROR(
                  Andel_oberoende_av_klimat*VLOOKUP($A262,Leveranser_per_nät,'Leveranser per nät'!X$1,FALSE)
               +Andel_beroende_av_klimat*VLOOKUP($A262,Leveranser_per_nät,'Leveranser per nät'!X$1,FALSE)/VLOOKUP($B262,Korrigeringsfaktor_EI,'Korrigeringsfaktor EI'!X$1,FALSE),
"")</f>
        <v>7.0505263157894733</v>
      </c>
      <c r="Y262" s="18">
        <f>IFERROR(
                  Andel_oberoende_av_klimat*VLOOKUP($A262,Leveranser_per_nät,'Leveranser per nät'!Y$1,FALSE)
               +Andel_beroende_av_klimat*VLOOKUP($A262,Leveranser_per_nät,'Leveranser per nät'!Y$1,FALSE)/VLOOKUP($B262,Korrigeringsfaktor_EI,'Korrigeringsfaktor EI'!Y$1,FALSE),
"")</f>
        <v>6.9911304347826082</v>
      </c>
      <c r="Z262" s="18">
        <f>IFERROR(
                  Andel_oberoende_av_klimat*VLOOKUP($A262,Leveranser_per_nät,'Leveranser per nät'!Z$1,FALSE)
               +Andel_beroende_av_klimat*VLOOKUP($A262,Leveranser_per_nät,'Leveranser per nät'!Z$1,FALSE)/VLOOKUP($B262,Korrigeringsfaktor_EI,'Korrigeringsfaktor EI'!Z$1,FALSE),
"")</f>
        <v>6.7683478260869556</v>
      </c>
      <c r="AA262" s="18">
        <f>IFERROR(
                  Andel_oberoende_av_klimat*VLOOKUP($A262,Leveranser_per_nät,'Leveranser per nät'!AA$1,FALSE)
               +Andel_beroende_av_klimat*VLOOKUP($A262,Leveranser_per_nät,'Leveranser per nät'!AA$1,FALSE)/VLOOKUP($B262,Korrigeringsfaktor_EI,'Korrigeringsfaktor EI'!AA$1,FALSE),
"")</f>
        <v>6.7361288771339263</v>
      </c>
      <c r="AB262" s="18">
        <f>IFERROR(
                  Andel_oberoende_av_klimat*VLOOKUP($A262,Leveranser_per_nät,'Leveranser per nät'!AB$1,FALSE)
               +Andel_beroende_av_klimat*VLOOKUP($A262,Leveranser_per_nät,'Leveranser per nät'!AB$1,FALSE)/VLOOKUP($B262,Korrigeringsfaktor_EI,'Korrigeringsfaktor EI'!AB$1,FALSE),
"")</f>
        <v>6.7188353413654625</v>
      </c>
      <c r="AC262" s="18">
        <f>IFERROR(
                  Andel_oberoende_av_klimat*VLOOKUP($A262,Leveranser_per_nät,'Leveranser per nät'!AC$1,FALSE)
               +Andel_beroende_av_klimat*VLOOKUP($A262,Leveranser_per_nät,'Leveranser per nät'!AC$1,FALSE)/VLOOKUP($B262,Korrigeringsfaktor_EI,'Korrigeringsfaktor EI'!AC$1,FALSE),
"")</f>
        <v>6.3533050847457622</v>
      </c>
      <c r="AD262">
        <v>56.100999999999999</v>
      </c>
    </row>
    <row r="263" spans="1:30" x14ac:dyDescent="0.25">
      <c r="A263" s="3" t="s">
        <v>24</v>
      </c>
      <c r="B263" t="s">
        <v>23</v>
      </c>
      <c r="C263" s="18">
        <f>IFERROR(
                  Andel_oberoende_av_klimat*VLOOKUP($A263,Leveranser_per_nät,'Leveranser per nät'!C$1,FALSE)
               +Andel_beroende_av_klimat*VLOOKUP($A263,Leveranser_per_nät,'Leveranser per nät'!C$1,FALSE)/VLOOKUP($B263,Korrigeringsfaktor_EI,'Korrigeringsfaktor EI'!C$1,FALSE),
"")</f>
        <v>0</v>
      </c>
      <c r="D263" s="18">
        <f>IFERROR(
                  Andel_oberoende_av_klimat*VLOOKUP($A263,Leveranser_per_nät,'Leveranser per nät'!D$1,FALSE)
               +Andel_beroende_av_klimat*VLOOKUP($A263,Leveranser_per_nät,'Leveranser per nät'!D$1,FALSE)/VLOOKUP($B263,Korrigeringsfaktor_EI,'Korrigeringsfaktor EI'!D$1,FALSE),
"")</f>
        <v>0</v>
      </c>
      <c r="E263" s="18">
        <f>IFERROR(
                  Andel_oberoende_av_klimat*VLOOKUP($A263,Leveranser_per_nät,'Leveranser per nät'!E$1,FALSE)
               +Andel_beroende_av_klimat*VLOOKUP($A263,Leveranser_per_nät,'Leveranser per nät'!E$1,FALSE)/VLOOKUP($B263,Korrigeringsfaktor_EI,'Korrigeringsfaktor EI'!E$1,FALSE),
"")</f>
        <v>0</v>
      </c>
      <c r="F263" s="18">
        <f>IFERROR(
                  Andel_oberoende_av_klimat*VLOOKUP($A263,Leveranser_per_nät,'Leveranser per nät'!F$1,FALSE)
               +Andel_beroende_av_klimat*VLOOKUP($A263,Leveranser_per_nät,'Leveranser per nät'!F$1,FALSE)/VLOOKUP($B263,Korrigeringsfaktor_EI,'Korrigeringsfaktor EI'!F$1,FALSE),
"")</f>
        <v>0</v>
      </c>
      <c r="G263" s="18">
        <f>IFERROR(
                  Andel_oberoende_av_klimat*VLOOKUP($A263,Leveranser_per_nät,'Leveranser per nät'!G$1,FALSE)
               +Andel_beroende_av_klimat*VLOOKUP($A263,Leveranser_per_nät,'Leveranser per nät'!G$1,FALSE)/VLOOKUP($B263,Korrigeringsfaktor_EI,'Korrigeringsfaktor EI'!G$1,FALSE),
"")</f>
        <v>0</v>
      </c>
      <c r="H263" s="18">
        <f>IFERROR(
                  Andel_oberoende_av_klimat*VLOOKUP($A263,Leveranser_per_nät,'Leveranser per nät'!H$1,FALSE)
               +Andel_beroende_av_klimat*VLOOKUP($A263,Leveranser_per_nät,'Leveranser per nät'!H$1,FALSE)/VLOOKUP($B263,Korrigeringsfaktor_EI,'Korrigeringsfaktor EI'!H$1,FALSE),
"")</f>
        <v>0</v>
      </c>
      <c r="I263" s="18">
        <f>IFERROR(
                  Andel_oberoende_av_klimat*VLOOKUP($A263,Leveranser_per_nät,'Leveranser per nät'!I$1,FALSE)
               +Andel_beroende_av_klimat*VLOOKUP($A263,Leveranser_per_nät,'Leveranser per nät'!I$1,FALSE)/VLOOKUP($B263,Korrigeringsfaktor_EI,'Korrigeringsfaktor EI'!I$1,FALSE),
"")</f>
        <v>0</v>
      </c>
      <c r="J263" s="18">
        <f>IFERROR(
                  Andel_oberoende_av_klimat*VLOOKUP($A263,Leveranser_per_nät,'Leveranser per nät'!J$1,FALSE)
               +Andel_beroende_av_klimat*VLOOKUP($A263,Leveranser_per_nät,'Leveranser per nät'!J$1,FALSE)/VLOOKUP($B263,Korrigeringsfaktor_EI,'Korrigeringsfaktor EI'!J$1,FALSE),
"")</f>
        <v>0</v>
      </c>
      <c r="K263" s="18">
        <f>IFERROR(
                  Andel_oberoende_av_klimat*VLOOKUP($A263,Leveranser_per_nät,'Leveranser per nät'!K$1,FALSE)
               +Andel_beroende_av_klimat*VLOOKUP($A263,Leveranser_per_nät,'Leveranser per nät'!K$1,FALSE)/VLOOKUP($B263,Korrigeringsfaktor_EI,'Korrigeringsfaktor EI'!K$1,FALSE),
"")</f>
        <v>0</v>
      </c>
      <c r="L263" s="18">
        <f>IFERROR(
                  Andel_oberoende_av_klimat*VLOOKUP($A263,Leveranser_per_nät,'Leveranser per nät'!L$1,FALSE)
               +Andel_beroende_av_klimat*VLOOKUP($A263,Leveranser_per_nät,'Leveranser per nät'!L$1,FALSE)/VLOOKUP($B263,Korrigeringsfaktor_EI,'Korrigeringsfaktor EI'!L$1,FALSE),
"")</f>
        <v>0</v>
      </c>
      <c r="M263" s="18">
        <f>IFERROR(
                  Andel_oberoende_av_klimat*VLOOKUP($A263,Leveranser_per_nät,'Leveranser per nät'!M$1,FALSE)
               +Andel_beroende_av_klimat*VLOOKUP($A263,Leveranser_per_nät,'Leveranser per nät'!M$1,FALSE)/VLOOKUP($B263,Korrigeringsfaktor_EI,'Korrigeringsfaktor EI'!M$1,FALSE),
"")</f>
        <v>0</v>
      </c>
      <c r="N263" s="18">
        <f>IFERROR(
                  Andel_oberoende_av_klimat*VLOOKUP($A263,Leveranser_per_nät,'Leveranser per nät'!N$1,FALSE)
               +Andel_beroende_av_klimat*VLOOKUP($A263,Leveranser_per_nät,'Leveranser per nät'!N$1,FALSE)/VLOOKUP($B263,Korrigeringsfaktor_EI,'Korrigeringsfaktor EI'!N$1,FALSE),
"")</f>
        <v>0</v>
      </c>
      <c r="O263" s="18">
        <f>IFERROR(
                  Andel_oberoende_av_klimat*VLOOKUP($A263,Leveranser_per_nät,'Leveranser per nät'!O$1,FALSE)
               +Andel_beroende_av_klimat*VLOOKUP($A263,Leveranser_per_nät,'Leveranser per nät'!O$1,FALSE)/VLOOKUP($B263,Korrigeringsfaktor_EI,'Korrigeringsfaktor EI'!O$1,FALSE),
"")</f>
        <v>0</v>
      </c>
      <c r="P263" s="18">
        <f>IFERROR(
                  Andel_oberoende_av_klimat*VLOOKUP($A263,Leveranser_per_nät,'Leveranser per nät'!P$1,FALSE)
               +Andel_beroende_av_klimat*VLOOKUP($A263,Leveranser_per_nät,'Leveranser per nät'!P$1,FALSE)/VLOOKUP($B263,Korrigeringsfaktor_EI,'Korrigeringsfaktor EI'!P$1,FALSE),
"")</f>
        <v>0</v>
      </c>
      <c r="Q263" s="18">
        <f>IFERROR(
                  Andel_oberoende_av_klimat*VLOOKUP($A263,Leveranser_per_nät,'Leveranser per nät'!Q$1,FALSE)
               +Andel_beroende_av_klimat*VLOOKUP($A263,Leveranser_per_nät,'Leveranser per nät'!Q$1,FALSE)/VLOOKUP($B263,Korrigeringsfaktor_EI,'Korrigeringsfaktor EI'!Q$1,FALSE),
"")</f>
        <v>2.1423999999999994</v>
      </c>
      <c r="R263" s="18">
        <f>IFERROR(
                  Andel_oberoende_av_klimat*VLOOKUP($A263,Leveranser_per_nät,'Leveranser per nät'!R$1,FALSE)
               +Andel_beroende_av_klimat*VLOOKUP($A263,Leveranser_per_nät,'Leveranser per nät'!R$1,FALSE)/VLOOKUP($B263,Korrigeringsfaktor_EI,'Korrigeringsfaktor EI'!R$1,FALSE),
"")</f>
        <v>2.4271538461538462</v>
      </c>
      <c r="S263" s="18">
        <f>IFERROR(
                  Andel_oberoende_av_klimat*VLOOKUP($A263,Leveranser_per_nät,'Leveranser per nät'!S$1,FALSE)
               +Andel_beroende_av_klimat*VLOOKUP($A263,Leveranser_per_nät,'Leveranser per nät'!S$1,FALSE)/VLOOKUP($B263,Korrigeringsfaktor_EI,'Korrigeringsfaktor EI'!S$1,FALSE),
"")</f>
        <v>2.3855515463917527</v>
      </c>
      <c r="T263" s="18">
        <f>IFERROR(
                  Andel_oberoende_av_klimat*VLOOKUP($A263,Leveranser_per_nät,'Leveranser per nät'!T$1,FALSE)
               +Andel_beroende_av_klimat*VLOOKUP($A263,Leveranser_per_nät,'Leveranser per nät'!T$1,FALSE)/VLOOKUP($B263,Korrigeringsfaktor_EI,'Korrigeringsfaktor EI'!T$1,FALSE),
"")</f>
        <v>2.4884210526315789</v>
      </c>
      <c r="U263" s="18">
        <f>IFERROR(
                  Andel_oberoende_av_klimat*VLOOKUP($A263,Leveranser_per_nät,'Leveranser per nät'!U$1,FALSE)
               +Andel_beroende_av_klimat*VLOOKUP($A263,Leveranser_per_nät,'Leveranser per nät'!U$1,FALSE)/VLOOKUP($B263,Korrigeringsfaktor_EI,'Korrigeringsfaktor EI'!U$1,FALSE),
"")</f>
        <v>2.2754712643678161</v>
      </c>
      <c r="V263" s="18">
        <f>IFERROR(
                  Andel_oberoende_av_klimat*VLOOKUP($A263,Leveranser_per_nät,'Leveranser per nät'!V$1,FALSE)
               +Andel_beroende_av_klimat*VLOOKUP($A263,Leveranser_per_nät,'Leveranser per nät'!V$1,FALSE)/VLOOKUP($B263,Korrigeringsfaktor_EI,'Korrigeringsfaktor EI'!V$1,FALSE),
"")</f>
        <v>2.3391882352941176</v>
      </c>
      <c r="W263" s="18">
        <f>IFERROR(
                  Andel_oberoende_av_klimat*VLOOKUP($A263,Leveranser_per_nät,'Leveranser per nät'!W$1,FALSE)
               +Andel_beroende_av_klimat*VLOOKUP($A263,Leveranser_per_nät,'Leveranser per nät'!W$1,FALSE)/VLOOKUP($B263,Korrigeringsfaktor_EI,'Korrigeringsfaktor EI'!W$1,FALSE),
"")</f>
        <v>1.9807148936170216</v>
      </c>
      <c r="X263" s="18">
        <f>IFERROR(
                  Andel_oberoende_av_klimat*VLOOKUP($A263,Leveranser_per_nät,'Leveranser per nät'!X$1,FALSE)
               +Andel_beroende_av_klimat*VLOOKUP($A263,Leveranser_per_nät,'Leveranser per nät'!X$1,FALSE)/VLOOKUP($B263,Korrigeringsfaktor_EI,'Korrigeringsfaktor EI'!X$1,FALSE),
"")</f>
        <v>1.6948279569892473</v>
      </c>
      <c r="Y263" s="18">
        <f>IFERROR(
                  Andel_oberoende_av_klimat*VLOOKUP($A263,Leveranser_per_nät,'Leveranser per nät'!Y$1,FALSE)
               +Andel_beroende_av_klimat*VLOOKUP($A263,Leveranser_per_nät,'Leveranser per nät'!Y$1,FALSE)/VLOOKUP($B263,Korrigeringsfaktor_EI,'Korrigeringsfaktor EI'!Y$1,FALSE),
"")</f>
        <v>2.2622555555555559</v>
      </c>
      <c r="Z263" s="18">
        <f>IFERROR(
                  Andel_oberoende_av_klimat*VLOOKUP($A263,Leveranser_per_nät,'Leveranser per nät'!Z$1,FALSE)
               +Andel_beroende_av_klimat*VLOOKUP($A263,Leveranser_per_nät,'Leveranser per nät'!Z$1,FALSE)/VLOOKUP($B263,Korrigeringsfaktor_EI,'Korrigeringsfaktor EI'!Z$1,FALSE),
"")</f>
        <v>2.58156404494382</v>
      </c>
      <c r="AA263" s="18">
        <f>IFERROR(
                  Andel_oberoende_av_klimat*VLOOKUP($A263,Leveranser_per_nät,'Leveranser per nät'!AA$1,FALSE)
               +Andel_beroende_av_klimat*VLOOKUP($A263,Leveranser_per_nät,'Leveranser per nät'!AA$1,FALSE)/VLOOKUP($B263,Korrigeringsfaktor_EI,'Korrigeringsfaktor EI'!AA$1,FALSE),
"")</f>
        <v>2.0323918516355137</v>
      </c>
      <c r="AB263" s="18">
        <f>IFERROR(
                  Andel_oberoende_av_klimat*VLOOKUP($A263,Leveranser_per_nät,'Leveranser per nät'!AB$1,FALSE)
               +Andel_beroende_av_klimat*VLOOKUP($A263,Leveranser_per_nät,'Leveranser per nät'!AB$1,FALSE)/VLOOKUP($B263,Korrigeringsfaktor_EI,'Korrigeringsfaktor EI'!AB$1,FALSE),
"")</f>
        <v>1.681259842519685</v>
      </c>
      <c r="AC263" s="18">
        <f>IFERROR(
                  Andel_oberoende_av_klimat*VLOOKUP($A263,Leveranser_per_nät,'Leveranser per nät'!AC$1,FALSE)
               +Andel_beroende_av_klimat*VLOOKUP($A263,Leveranser_per_nät,'Leveranser per nät'!AC$1,FALSE)/VLOOKUP($B263,Korrigeringsfaktor_EI,'Korrigeringsfaktor EI'!AC$1,FALSE),
"")</f>
        <v>1.8890364025695932</v>
      </c>
      <c r="AD263">
        <v>24.7</v>
      </c>
    </row>
    <row r="264" spans="1:30" x14ac:dyDescent="0.25">
      <c r="A264" t="s">
        <v>271</v>
      </c>
      <c r="B264" t="s">
        <v>262</v>
      </c>
      <c r="C264" s="18">
        <f>IFERROR(
                  Andel_oberoende_av_klimat*VLOOKUP($A264,Leveranser_per_nät,'Leveranser per nät'!C$1,FALSE)
               +Andel_beroende_av_klimat*VLOOKUP($A264,Leveranser_per_nät,'Leveranser per nät'!C$1,FALSE)/VLOOKUP($B264,Korrigeringsfaktor_EI,'Korrigeringsfaktor EI'!C$1,FALSE),
"")</f>
        <v>0</v>
      </c>
      <c r="D264" s="18">
        <f>IFERROR(
                  Andel_oberoende_av_klimat*VLOOKUP($A264,Leveranser_per_nät,'Leveranser per nät'!D$1,FALSE)
               +Andel_beroende_av_klimat*VLOOKUP($A264,Leveranser_per_nät,'Leveranser per nät'!D$1,FALSE)/VLOOKUP($B264,Korrigeringsfaktor_EI,'Korrigeringsfaktor EI'!D$1,FALSE),
"")</f>
        <v>0</v>
      </c>
      <c r="E264" s="18">
        <f>IFERROR(
                  Andel_oberoende_av_klimat*VLOOKUP($A264,Leveranser_per_nät,'Leveranser per nät'!E$1,FALSE)
               +Andel_beroende_av_klimat*VLOOKUP($A264,Leveranser_per_nät,'Leveranser per nät'!E$1,FALSE)/VLOOKUP($B264,Korrigeringsfaktor_EI,'Korrigeringsfaktor EI'!E$1,FALSE),
"")</f>
        <v>0</v>
      </c>
      <c r="F264" s="18">
        <f>IFERROR(
                  Andel_oberoende_av_klimat*VLOOKUP($A264,Leveranser_per_nät,'Leveranser per nät'!F$1,FALSE)
               +Andel_beroende_av_klimat*VLOOKUP($A264,Leveranser_per_nät,'Leveranser per nät'!F$1,FALSE)/VLOOKUP($B264,Korrigeringsfaktor_EI,'Korrigeringsfaktor EI'!F$1,FALSE),
"")</f>
        <v>1</v>
      </c>
      <c r="G264" s="18">
        <f>IFERROR(
                  Andel_oberoende_av_klimat*VLOOKUP($A264,Leveranser_per_nät,'Leveranser per nät'!G$1,FALSE)
               +Andel_beroende_av_klimat*VLOOKUP($A264,Leveranser_per_nät,'Leveranser per nät'!G$1,FALSE)/VLOOKUP($B264,Korrigeringsfaktor_EI,'Korrigeringsfaktor EI'!G$1,FALSE),
"")</f>
        <v>1.0526881720430108</v>
      </c>
      <c r="H264" s="18">
        <f>IFERROR(
                  Andel_oberoende_av_klimat*VLOOKUP($A264,Leveranser_per_nät,'Leveranser per nät'!H$1,FALSE)
               +Andel_beroende_av_klimat*VLOOKUP($A264,Leveranser_per_nät,'Leveranser per nät'!H$1,FALSE)/VLOOKUP($B264,Korrigeringsfaktor_EI,'Korrigeringsfaktor EI'!H$1,FALSE),
"")</f>
        <v>1</v>
      </c>
      <c r="I264" s="18">
        <f>IFERROR(
                  Andel_oberoende_av_klimat*VLOOKUP($A264,Leveranser_per_nät,'Leveranser per nät'!I$1,FALSE)
               +Andel_beroende_av_klimat*VLOOKUP($A264,Leveranser_per_nät,'Leveranser per nät'!I$1,FALSE)/VLOOKUP($B264,Korrigeringsfaktor_EI,'Korrigeringsfaktor EI'!I$1,FALSE),
"")</f>
        <v>2.0583333333333336</v>
      </c>
      <c r="J264" s="18">
        <f>IFERROR(
                  Andel_oberoende_av_klimat*VLOOKUP($A264,Leveranser_per_nät,'Leveranser per nät'!J$1,FALSE)
               +Andel_beroende_av_klimat*VLOOKUP($A264,Leveranser_per_nät,'Leveranser per nät'!J$1,FALSE)/VLOOKUP($B264,Korrigeringsfaktor_EI,'Korrigeringsfaktor EI'!J$1,FALSE),
"")</f>
        <v>2.0583333333333336</v>
      </c>
      <c r="K264" s="18">
        <f>IFERROR(
                  Andel_oberoende_av_klimat*VLOOKUP($A264,Leveranser_per_nät,'Leveranser per nät'!K$1,FALSE)
               +Andel_beroende_av_klimat*VLOOKUP($A264,Leveranser_per_nät,'Leveranser per nät'!K$1,FALSE)/VLOOKUP($B264,Korrigeringsfaktor_EI,'Korrigeringsfaktor EI'!K$1,FALSE),
"")</f>
        <v>0.96545876288659804</v>
      </c>
      <c r="L264" s="18">
        <f>IFERROR(
                  Andel_oberoende_av_klimat*VLOOKUP($A264,Leveranser_per_nät,'Leveranser per nät'!L$1,FALSE)
               +Andel_beroende_av_klimat*VLOOKUP($A264,Leveranser_per_nät,'Leveranser per nät'!L$1,FALSE)/VLOOKUP($B264,Korrigeringsfaktor_EI,'Korrigeringsfaktor EI'!L$1,FALSE),
"")</f>
        <v>0.94594559139784951</v>
      </c>
      <c r="M264" s="18">
        <f>IFERROR(
                  Andel_oberoende_av_klimat*VLOOKUP($A264,Leveranser_per_nät,'Leveranser per nät'!M$1,FALSE)
               +Andel_beroende_av_klimat*VLOOKUP($A264,Leveranser_per_nät,'Leveranser per nät'!M$1,FALSE)/VLOOKUP($B264,Korrigeringsfaktor_EI,'Korrigeringsfaktor EI'!M$1,FALSE),
"")</f>
        <v>0.99191304347826093</v>
      </c>
      <c r="N264" s="18">
        <f>IFERROR(
                  Andel_oberoende_av_klimat*VLOOKUP($A264,Leveranser_per_nät,'Leveranser per nät'!N$1,FALSE)
               +Andel_beroende_av_klimat*VLOOKUP($A264,Leveranser_per_nät,'Leveranser per nät'!N$1,FALSE)/VLOOKUP($B264,Korrigeringsfaktor_EI,'Korrigeringsfaktor EI'!N$1,FALSE),
"")</f>
        <v>1.1179548387096774</v>
      </c>
      <c r="O264" s="18">
        <f>IFERROR(
                  Andel_oberoende_av_klimat*VLOOKUP($A264,Leveranser_per_nät,'Leveranser per nät'!O$1,FALSE)
               +Andel_beroende_av_klimat*VLOOKUP($A264,Leveranser_per_nät,'Leveranser per nät'!O$1,FALSE)/VLOOKUP($B264,Korrigeringsfaktor_EI,'Korrigeringsfaktor EI'!O$1,FALSE),
"")</f>
        <v>1.2916483870967741</v>
      </c>
      <c r="P264" s="18">
        <f>IFERROR(
                  Andel_oberoende_av_klimat*VLOOKUP($A264,Leveranser_per_nät,'Leveranser per nät'!P$1,FALSE)
               +Andel_beroende_av_klimat*VLOOKUP($A264,Leveranser_per_nät,'Leveranser per nät'!P$1,FALSE)/VLOOKUP($B264,Korrigeringsfaktor_EI,'Korrigeringsfaktor EI'!P$1,FALSE),
"")</f>
        <v>1.9186577319587625</v>
      </c>
      <c r="Q264" s="18">
        <f>IFERROR(
                  Andel_oberoende_av_klimat*VLOOKUP($A264,Leveranser_per_nät,'Leveranser per nät'!Q$1,FALSE)
               +Andel_beroende_av_klimat*VLOOKUP($A264,Leveranser_per_nät,'Leveranser per nät'!Q$1,FALSE)/VLOOKUP($B264,Korrigeringsfaktor_EI,'Korrigeringsfaktor EI'!Q$1,FALSE),
"")</f>
        <v>2.044643396226415</v>
      </c>
      <c r="R264" s="18">
        <f>IFERROR(
                  Andel_oberoende_av_klimat*VLOOKUP($A264,Leveranser_per_nät,'Leveranser per nät'!R$1,FALSE)
               +Andel_beroende_av_klimat*VLOOKUP($A264,Leveranser_per_nät,'Leveranser per nät'!R$1,FALSE)/VLOOKUP($B264,Korrigeringsfaktor_EI,'Korrigeringsfaktor EI'!R$1,FALSE),
"")</f>
        <v>1.9432333333333331</v>
      </c>
      <c r="S264" s="18">
        <f>IFERROR(
                  Andel_oberoende_av_klimat*VLOOKUP($A264,Leveranser_per_nät,'Leveranser per nät'!S$1,FALSE)
               +Andel_beroende_av_klimat*VLOOKUP($A264,Leveranser_per_nät,'Leveranser per nät'!S$1,FALSE)/VLOOKUP($B264,Korrigeringsfaktor_EI,'Korrigeringsfaktor EI'!S$1,FALSE),
"")</f>
        <v>1.9033636363636366</v>
      </c>
      <c r="T264" s="18">
        <f>IFERROR(
                  Andel_oberoende_av_klimat*VLOOKUP($A264,Leveranser_per_nät,'Leveranser per nät'!T$1,FALSE)
               +Andel_beroende_av_klimat*VLOOKUP($A264,Leveranser_per_nät,'Leveranser per nät'!T$1,FALSE)/VLOOKUP($B264,Korrigeringsfaktor_EI,'Korrigeringsfaktor EI'!T$1,FALSE),
"")</f>
        <v>2.0899130434782607</v>
      </c>
      <c r="U264" s="18">
        <f>IFERROR(
                  Andel_oberoende_av_klimat*VLOOKUP($A264,Leveranser_per_nät,'Leveranser per nät'!U$1,FALSE)
               +Andel_beroende_av_klimat*VLOOKUP($A264,Leveranser_per_nät,'Leveranser per nät'!U$1,FALSE)/VLOOKUP($B264,Korrigeringsfaktor_EI,'Korrigeringsfaktor EI'!U$1,FALSE),
"")</f>
        <v>2.5791222222222219</v>
      </c>
      <c r="V264" s="18">
        <f>IFERROR(
                  Andel_oberoende_av_klimat*VLOOKUP($A264,Leveranser_per_nät,'Leveranser per nät'!V$1,FALSE)
               +Andel_beroende_av_klimat*VLOOKUP($A264,Leveranser_per_nät,'Leveranser per nät'!V$1,FALSE)/VLOOKUP($B264,Korrigeringsfaktor_EI,'Korrigeringsfaktor EI'!V$1,FALSE),
"")</f>
        <v>2.5776045454545455</v>
      </c>
      <c r="W264" s="18">
        <f>IFERROR(
                  Andel_oberoende_av_klimat*VLOOKUP($A264,Leveranser_per_nät,'Leveranser per nät'!W$1,FALSE)
               +Andel_beroende_av_klimat*VLOOKUP($A264,Leveranser_per_nät,'Leveranser per nät'!W$1,FALSE)/VLOOKUP($B264,Korrigeringsfaktor_EI,'Korrigeringsfaktor EI'!W$1,FALSE),
"")</f>
        <v>3.2437371134020618</v>
      </c>
      <c r="X264" s="18">
        <f>IFERROR(
                  Andel_oberoende_av_klimat*VLOOKUP($A264,Leveranser_per_nät,'Leveranser per nät'!X$1,FALSE)
               +Andel_beroende_av_klimat*VLOOKUP($A264,Leveranser_per_nät,'Leveranser per nät'!X$1,FALSE)/VLOOKUP($B264,Korrigeringsfaktor_EI,'Korrigeringsfaktor EI'!X$1,FALSE),
"")</f>
        <v>3.3438587628865983</v>
      </c>
      <c r="Y264" s="18">
        <f>IFERROR(
                  Andel_oberoende_av_klimat*VLOOKUP($A264,Leveranser_per_nät,'Leveranser per nät'!Y$1,FALSE)
               +Andel_beroende_av_klimat*VLOOKUP($A264,Leveranser_per_nät,'Leveranser per nät'!Y$1,FALSE)/VLOOKUP($B264,Korrigeringsfaktor_EI,'Korrigeringsfaktor EI'!Y$1,FALSE),
"")</f>
        <v>3.3355210526315791</v>
      </c>
      <c r="Z264" s="18">
        <f>IFERROR(
                  Andel_oberoende_av_klimat*VLOOKUP($A264,Leveranser_per_nät,'Leveranser per nät'!Z$1,FALSE)
               +Andel_beroende_av_klimat*VLOOKUP($A264,Leveranser_per_nät,'Leveranser per nät'!Z$1,FALSE)/VLOOKUP($B264,Korrigeringsfaktor_EI,'Korrigeringsfaktor EI'!Z$1,FALSE),
"")</f>
        <v>3.3725000000000001</v>
      </c>
      <c r="AA264" s="18">
        <f>IFERROR(
                  Andel_oberoende_av_klimat*VLOOKUP($A264,Leveranser_per_nät,'Leveranser per nät'!AA$1,FALSE)
               +Andel_beroende_av_klimat*VLOOKUP($A264,Leveranser_per_nät,'Leveranser per nät'!AA$1,FALSE)/VLOOKUP($B264,Korrigeringsfaktor_EI,'Korrigeringsfaktor EI'!AA$1,FALSE),
"")</f>
        <v>3.3285157162726007</v>
      </c>
      <c r="AB264" s="18">
        <f>IFERROR(
                  Andel_oberoende_av_klimat*VLOOKUP($A264,Leveranser_per_nät,'Leveranser per nät'!AB$1,FALSE)
               +Andel_beroende_av_klimat*VLOOKUP($A264,Leveranser_per_nät,'Leveranser per nät'!AB$1,FALSE)/VLOOKUP($B264,Korrigeringsfaktor_EI,'Korrigeringsfaktor EI'!AB$1,FALSE),
"")</f>
        <v>3.2491432589718721</v>
      </c>
      <c r="AC264" s="18">
        <f>IFERROR(
                  Andel_oberoende_av_klimat*VLOOKUP($A264,Leveranser_per_nät,'Leveranser per nät'!AC$1,FALSE)
               +Andel_beroende_av_klimat*VLOOKUP($A264,Leveranser_per_nät,'Leveranser per nät'!AC$1,FALSE)/VLOOKUP($B264,Korrigeringsfaktor_EI,'Korrigeringsfaktor EI'!AC$1,FALSE),
"")</f>
        <v>3.5559325127161747</v>
      </c>
      <c r="AD264">
        <v>9.2136999999999993</v>
      </c>
    </row>
    <row r="265" spans="1:30" x14ac:dyDescent="0.25">
      <c r="A265" s="3" t="s">
        <v>200</v>
      </c>
      <c r="B265" t="s">
        <v>239</v>
      </c>
      <c r="C265" s="18">
        <f>IFERROR(
                  Andel_oberoende_av_klimat*VLOOKUP($A265,Leveranser_per_nät,'Leveranser per nät'!C$1,FALSE)
               +Andel_beroende_av_klimat*VLOOKUP($A265,Leveranser_per_nät,'Leveranser per nät'!C$1,FALSE)/VLOOKUP($B265,Korrigeringsfaktor_EI,'Korrigeringsfaktor EI'!C$1,FALSE),
"")</f>
        <v>0</v>
      </c>
      <c r="D265" s="18">
        <f>IFERROR(
                  Andel_oberoende_av_klimat*VLOOKUP($A265,Leveranser_per_nät,'Leveranser per nät'!D$1,FALSE)
               +Andel_beroende_av_klimat*VLOOKUP($A265,Leveranser_per_nät,'Leveranser per nät'!D$1,FALSE)/VLOOKUP($B265,Korrigeringsfaktor_EI,'Korrigeringsfaktor EI'!D$1,FALSE),
"")</f>
        <v>0</v>
      </c>
      <c r="E265" s="18">
        <f>IFERROR(
                  Andel_oberoende_av_klimat*VLOOKUP($A265,Leveranser_per_nät,'Leveranser per nät'!E$1,FALSE)
               +Andel_beroende_av_klimat*VLOOKUP($A265,Leveranser_per_nät,'Leveranser per nät'!E$1,FALSE)/VLOOKUP($B265,Korrigeringsfaktor_EI,'Korrigeringsfaktor EI'!E$1,FALSE),
"")</f>
        <v>0</v>
      </c>
      <c r="F265" s="18">
        <f>IFERROR(
                  Andel_oberoende_av_klimat*VLOOKUP($A265,Leveranser_per_nät,'Leveranser per nät'!F$1,FALSE)
               +Andel_beroende_av_klimat*VLOOKUP($A265,Leveranser_per_nät,'Leveranser per nät'!F$1,FALSE)/VLOOKUP($B265,Korrigeringsfaktor_EI,'Korrigeringsfaktor EI'!F$1,FALSE),
"")</f>
        <v>0</v>
      </c>
      <c r="G265" s="18">
        <f>IFERROR(
                  Andel_oberoende_av_klimat*VLOOKUP($A265,Leveranser_per_nät,'Leveranser per nät'!G$1,FALSE)
               +Andel_beroende_av_klimat*VLOOKUP($A265,Leveranser_per_nät,'Leveranser per nät'!G$1,FALSE)/VLOOKUP($B265,Korrigeringsfaktor_EI,'Korrigeringsfaktor EI'!G$1,FALSE),
"")</f>
        <v>0</v>
      </c>
      <c r="H265" s="18">
        <f>IFERROR(
                  Andel_oberoende_av_klimat*VLOOKUP($A265,Leveranser_per_nät,'Leveranser per nät'!H$1,FALSE)
               +Andel_beroende_av_klimat*VLOOKUP($A265,Leveranser_per_nät,'Leveranser per nät'!H$1,FALSE)/VLOOKUP($B265,Korrigeringsfaktor_EI,'Korrigeringsfaktor EI'!H$1,FALSE),
"")</f>
        <v>0</v>
      </c>
      <c r="I265" s="18">
        <f>IFERROR(
                  Andel_oberoende_av_klimat*VLOOKUP($A265,Leveranser_per_nät,'Leveranser per nät'!I$1,FALSE)
               +Andel_beroende_av_klimat*VLOOKUP($A265,Leveranser_per_nät,'Leveranser per nät'!I$1,FALSE)/VLOOKUP($B265,Korrigeringsfaktor_EI,'Korrigeringsfaktor EI'!I$1,FALSE),
"")</f>
        <v>0</v>
      </c>
      <c r="J265" s="18">
        <f>IFERROR(
                  Andel_oberoende_av_klimat*VLOOKUP($A265,Leveranser_per_nät,'Leveranser per nät'!J$1,FALSE)
               +Andel_beroende_av_klimat*VLOOKUP($A265,Leveranser_per_nät,'Leveranser per nät'!J$1,FALSE)/VLOOKUP($B265,Korrigeringsfaktor_EI,'Korrigeringsfaktor EI'!J$1,FALSE),
"")</f>
        <v>0</v>
      </c>
      <c r="K265" s="18">
        <f>IFERROR(
                  Andel_oberoende_av_klimat*VLOOKUP($A265,Leveranser_per_nät,'Leveranser per nät'!K$1,FALSE)
               +Andel_beroende_av_klimat*VLOOKUP($A265,Leveranser_per_nät,'Leveranser per nät'!K$1,FALSE)/VLOOKUP($B265,Korrigeringsfaktor_EI,'Korrigeringsfaktor EI'!K$1,FALSE),
"")</f>
        <v>0</v>
      </c>
      <c r="L265" s="18">
        <f>IFERROR(
                  Andel_oberoende_av_klimat*VLOOKUP($A265,Leveranser_per_nät,'Leveranser per nät'!L$1,FALSE)
               +Andel_beroende_av_klimat*VLOOKUP($A265,Leveranser_per_nät,'Leveranser per nät'!L$1,FALSE)/VLOOKUP($B265,Korrigeringsfaktor_EI,'Korrigeringsfaktor EI'!L$1,FALSE),
"")</f>
        <v>0</v>
      </c>
      <c r="M265" s="18">
        <f>IFERROR(
                  Andel_oberoende_av_klimat*VLOOKUP($A265,Leveranser_per_nät,'Leveranser per nät'!M$1,FALSE)
               +Andel_beroende_av_klimat*VLOOKUP($A265,Leveranser_per_nät,'Leveranser per nät'!M$1,FALSE)/VLOOKUP($B265,Korrigeringsfaktor_EI,'Korrigeringsfaktor EI'!M$1,FALSE),
"")</f>
        <v>0</v>
      </c>
      <c r="N265" s="18">
        <f>IFERROR(
                  Andel_oberoende_av_klimat*VLOOKUP($A265,Leveranser_per_nät,'Leveranser per nät'!N$1,FALSE)
               +Andel_beroende_av_klimat*VLOOKUP($A265,Leveranser_per_nät,'Leveranser per nät'!N$1,FALSE)/VLOOKUP($B265,Korrigeringsfaktor_EI,'Korrigeringsfaktor EI'!N$1,FALSE),
"")</f>
        <v>0</v>
      </c>
      <c r="O265" s="18">
        <f>IFERROR(
                  Andel_oberoende_av_klimat*VLOOKUP($A265,Leveranser_per_nät,'Leveranser per nät'!O$1,FALSE)
               +Andel_beroende_av_klimat*VLOOKUP($A265,Leveranser_per_nät,'Leveranser per nät'!O$1,FALSE)/VLOOKUP($B265,Korrigeringsfaktor_EI,'Korrigeringsfaktor EI'!O$1,FALSE),
"")</f>
        <v>0</v>
      </c>
      <c r="P265" s="18">
        <f>IFERROR(
                  Andel_oberoende_av_klimat*VLOOKUP($A265,Leveranser_per_nät,'Leveranser per nät'!P$1,FALSE)
               +Andel_beroende_av_klimat*VLOOKUP($A265,Leveranser_per_nät,'Leveranser per nät'!P$1,FALSE)/VLOOKUP($B265,Korrigeringsfaktor_EI,'Korrigeringsfaktor EI'!P$1,FALSE),
"")</f>
        <v>0</v>
      </c>
      <c r="Q265" s="18">
        <f>IFERROR(
                  Andel_oberoende_av_klimat*VLOOKUP($A265,Leveranser_per_nät,'Leveranser per nät'!Q$1,FALSE)
               +Andel_beroende_av_klimat*VLOOKUP($A265,Leveranser_per_nät,'Leveranser per nät'!Q$1,FALSE)/VLOOKUP($B265,Korrigeringsfaktor_EI,'Korrigeringsfaktor EI'!Q$1,FALSE),
"")</f>
        <v>0</v>
      </c>
      <c r="R265" s="18">
        <f>IFERROR(
                  Andel_oberoende_av_klimat*VLOOKUP($A265,Leveranser_per_nät,'Leveranser per nät'!R$1,FALSE)
               +Andel_beroende_av_klimat*VLOOKUP($A265,Leveranser_per_nät,'Leveranser per nät'!R$1,FALSE)/VLOOKUP($B265,Korrigeringsfaktor_EI,'Korrigeringsfaktor EI'!R$1,FALSE),
"")</f>
        <v>0</v>
      </c>
      <c r="S265" s="18" t="str">
        <f>IFERROR(
                  Andel_oberoende_av_klimat*VLOOKUP($A265,Leveranser_per_nät,'Leveranser per nät'!S$1,FALSE)
               +Andel_beroende_av_klimat*VLOOKUP($A265,Leveranser_per_nät,'Leveranser per nät'!S$1,FALSE)/VLOOKUP($B265,Korrigeringsfaktor_EI,'Korrigeringsfaktor EI'!S$1,FALSE),
"")</f>
        <v/>
      </c>
      <c r="T265" s="18" t="str">
        <f>IFERROR(
                  Andel_oberoende_av_klimat*VLOOKUP($A265,Leveranser_per_nät,'Leveranser per nät'!T$1,FALSE)
               +Andel_beroende_av_klimat*VLOOKUP($A265,Leveranser_per_nät,'Leveranser per nät'!T$1,FALSE)/VLOOKUP($B265,Korrigeringsfaktor_EI,'Korrigeringsfaktor EI'!T$1,FALSE),
"")</f>
        <v/>
      </c>
      <c r="U265" s="18">
        <f>IFERROR(
                  Andel_oberoende_av_klimat*VLOOKUP($A265,Leveranser_per_nät,'Leveranser per nät'!U$1,FALSE)
               +Andel_beroende_av_klimat*VLOOKUP($A265,Leveranser_per_nät,'Leveranser per nät'!U$1,FALSE)/VLOOKUP($B265,Korrigeringsfaktor_EI,'Korrigeringsfaktor EI'!U$1,FALSE),
"")</f>
        <v>14.667977528089887</v>
      </c>
      <c r="V265" s="18">
        <f>IFERROR(
                  Andel_oberoende_av_klimat*VLOOKUP($A265,Leveranser_per_nät,'Leveranser per nät'!V$1,FALSE)
               +Andel_beroende_av_klimat*VLOOKUP($A265,Leveranser_per_nät,'Leveranser per nät'!V$1,FALSE)/VLOOKUP($B265,Korrigeringsfaktor_EI,'Korrigeringsfaktor EI'!V$1,FALSE),
"")</f>
        <v>14.771196629213485</v>
      </c>
      <c r="W265" s="18">
        <f>IFERROR(
                  Andel_oberoende_av_klimat*VLOOKUP($A265,Leveranser_per_nät,'Leveranser per nät'!W$1,FALSE)
               +Andel_beroende_av_klimat*VLOOKUP($A265,Leveranser_per_nät,'Leveranser per nät'!W$1,FALSE)/VLOOKUP($B265,Korrigeringsfaktor_EI,'Korrigeringsfaktor EI'!W$1,FALSE),
"")</f>
        <v>15.137894736842105</v>
      </c>
      <c r="X265" s="18">
        <f>IFERROR(
                  Andel_oberoende_av_klimat*VLOOKUP($A265,Leveranser_per_nät,'Leveranser per nät'!X$1,FALSE)
               +Andel_beroende_av_klimat*VLOOKUP($A265,Leveranser_per_nät,'Leveranser per nät'!X$1,FALSE)/VLOOKUP($B265,Korrigeringsfaktor_EI,'Korrigeringsfaktor EI'!X$1,FALSE),
"")</f>
        <v>15.58037021276596</v>
      </c>
      <c r="Y265" s="18">
        <f>IFERROR(
                  Andel_oberoende_av_klimat*VLOOKUP($A265,Leveranser_per_nät,'Leveranser per nät'!Y$1,FALSE)
               +Andel_beroende_av_klimat*VLOOKUP($A265,Leveranser_per_nät,'Leveranser per nät'!Y$1,FALSE)/VLOOKUP($B265,Korrigeringsfaktor_EI,'Korrigeringsfaktor EI'!Y$1,FALSE),
"")</f>
        <v>15.700869565217392</v>
      </c>
      <c r="Z265" s="18">
        <f>IFERROR(
                  Andel_oberoende_av_klimat*VLOOKUP($A265,Leveranser_per_nät,'Leveranser per nät'!Z$1,FALSE)
               +Andel_beroende_av_klimat*VLOOKUP($A265,Leveranser_per_nät,'Leveranser per nät'!Z$1,FALSE)/VLOOKUP($B265,Korrigeringsfaktor_EI,'Korrigeringsfaktor EI'!Z$1,FALSE),
"")</f>
        <v>15.40791111111111</v>
      </c>
      <c r="AA265" s="18">
        <f>IFERROR(
                  Andel_oberoende_av_klimat*VLOOKUP($A265,Leveranser_per_nät,'Leveranser per nät'!AA$1,FALSE)
               +Andel_beroende_av_klimat*VLOOKUP($A265,Leveranser_per_nät,'Leveranser per nät'!AA$1,FALSE)/VLOOKUP($B265,Korrigeringsfaktor_EI,'Korrigeringsfaktor EI'!AA$1,FALSE),
"")</f>
        <v>15.138866916087654</v>
      </c>
      <c r="AB265" s="18">
        <f>IFERROR(
                  Andel_oberoende_av_klimat*VLOOKUP($A265,Leveranser_per_nät,'Leveranser per nät'!AB$1,FALSE)
               +Andel_beroende_av_klimat*VLOOKUP($A265,Leveranser_per_nät,'Leveranser per nät'!AB$1,FALSE)/VLOOKUP($B265,Korrigeringsfaktor_EI,'Korrigeringsfaktor EI'!AB$1,FALSE),
"")</f>
        <v>14.796732673267327</v>
      </c>
      <c r="AC265" s="18">
        <f>IFERROR(
                  Andel_oberoende_av_klimat*VLOOKUP($A265,Leveranser_per_nät,'Leveranser per nät'!AC$1,FALSE)
               +Andel_beroende_av_klimat*VLOOKUP($A265,Leveranser_per_nät,'Leveranser per nät'!AC$1,FALSE)/VLOOKUP($B265,Korrigeringsfaktor_EI,'Korrigeringsfaktor EI'!AC$1,FALSE),
"")</f>
        <v>14.444551214361141</v>
      </c>
      <c r="AD265">
        <v>43.4</v>
      </c>
    </row>
    <row r="266" spans="1:30" x14ac:dyDescent="0.25">
      <c r="A266" t="s">
        <v>43</v>
      </c>
      <c r="B266" t="s">
        <v>43</v>
      </c>
      <c r="C266" s="18">
        <f>IFERROR(
                  Andel_oberoende_av_klimat*VLOOKUP($A266,Leveranser_per_nät,'Leveranser per nät'!C$1,FALSE)
               +Andel_beroende_av_klimat*VLOOKUP($A266,Leveranser_per_nät,'Leveranser per nät'!C$1,FALSE)/VLOOKUP($B266,Korrigeringsfaktor_EI,'Korrigeringsfaktor EI'!C$1,FALSE),
"")</f>
        <v>2353.0917749999999</v>
      </c>
      <c r="D266" s="18">
        <f>IFERROR(
                  Andel_oberoende_av_klimat*VLOOKUP($A266,Leveranser_per_nät,'Leveranser per nät'!D$1,FALSE)
               +Andel_beroende_av_klimat*VLOOKUP($A266,Leveranser_per_nät,'Leveranser per nät'!D$1,FALSE)/VLOOKUP($B266,Korrigeringsfaktor_EI,'Korrigeringsfaktor EI'!D$1,FALSE),
"")</f>
        <v>2315.1980871287133</v>
      </c>
      <c r="E266" s="18">
        <f>IFERROR(
                  Andel_oberoende_av_klimat*VLOOKUP($A266,Leveranser_per_nät,'Leveranser per nät'!E$1,FALSE)
               +Andel_beroende_av_klimat*VLOOKUP($A266,Leveranser_per_nät,'Leveranser per nät'!E$1,FALSE)/VLOOKUP($B266,Korrigeringsfaktor_EI,'Korrigeringsfaktor EI'!E$1,FALSE),
"")</f>
        <v>2256.5593306930696</v>
      </c>
      <c r="F266" s="18">
        <f>IFERROR(
                  Andel_oberoende_av_klimat*VLOOKUP($A266,Leveranser_per_nät,'Leveranser per nät'!F$1,FALSE)
               +Andel_beroende_av_klimat*VLOOKUP($A266,Leveranser_per_nät,'Leveranser per nät'!F$1,FALSE)/VLOOKUP($B266,Korrigeringsfaktor_EI,'Korrigeringsfaktor EI'!F$1,FALSE),
"")</f>
        <v>3005.4838421052636</v>
      </c>
      <c r="G266" s="18">
        <f>IFERROR(
                  Andel_oberoende_av_klimat*VLOOKUP($A266,Leveranser_per_nät,'Leveranser per nät'!G$1,FALSE)
               +Andel_beroende_av_klimat*VLOOKUP($A266,Leveranser_per_nät,'Leveranser per nät'!G$1,FALSE)/VLOOKUP($B266,Korrigeringsfaktor_EI,'Korrigeringsfaktor EI'!G$1,FALSE),
"")</f>
        <v>2963.0902555555554</v>
      </c>
      <c r="H266" s="18">
        <f>IFERROR(
                  Andel_oberoende_av_klimat*VLOOKUP($A266,Leveranser_per_nät,'Leveranser per nät'!H$1,FALSE)
               +Andel_beroende_av_klimat*VLOOKUP($A266,Leveranser_per_nät,'Leveranser per nät'!H$1,FALSE)/VLOOKUP($B266,Korrigeringsfaktor_EI,'Korrigeringsfaktor EI'!H$1,FALSE),
"")</f>
        <v>2270.9444444444448</v>
      </c>
      <c r="I266" s="18">
        <f>IFERROR(
                  Andel_oberoende_av_klimat*VLOOKUP($A266,Leveranser_per_nät,'Leveranser per nät'!I$1,FALSE)
               +Andel_beroende_av_klimat*VLOOKUP($A266,Leveranser_per_nät,'Leveranser per nät'!I$1,FALSE)/VLOOKUP($B266,Korrigeringsfaktor_EI,'Korrigeringsfaktor EI'!I$1,FALSE),
"")</f>
        <v>2299.5744723404259</v>
      </c>
      <c r="J266" s="18">
        <f>IFERROR(
                  Andel_oberoende_av_klimat*VLOOKUP($A266,Leveranser_per_nät,'Leveranser per nät'!J$1,FALSE)
               +Andel_beroende_av_klimat*VLOOKUP($A266,Leveranser_per_nät,'Leveranser per nät'!J$1,FALSE)/VLOOKUP($B266,Korrigeringsfaktor_EI,'Korrigeringsfaktor EI'!J$1,FALSE),
"")</f>
        <v>2306.1111474226805</v>
      </c>
      <c r="K266" s="18">
        <f>IFERROR(
                  Andel_oberoende_av_klimat*VLOOKUP($A266,Leveranser_per_nät,'Leveranser per nät'!K$1,FALSE)
               +Andel_beroende_av_klimat*VLOOKUP($A266,Leveranser_per_nät,'Leveranser per nät'!K$1,FALSE)/VLOOKUP($B266,Korrigeringsfaktor_EI,'Korrigeringsfaktor EI'!K$1,FALSE),
"")</f>
        <v>2278.2783505154639</v>
      </c>
      <c r="L266" s="18">
        <f>IFERROR(
                  Andel_oberoende_av_klimat*VLOOKUP($A266,Leveranser_per_nät,'Leveranser per nät'!L$1,FALSE)
               +Andel_beroende_av_klimat*VLOOKUP($A266,Leveranser_per_nät,'Leveranser per nät'!L$1,FALSE)/VLOOKUP($B266,Korrigeringsfaktor_EI,'Korrigeringsfaktor EI'!L$1,FALSE),
"")</f>
        <v>2528.9937697064065</v>
      </c>
      <c r="M266" s="18">
        <f>IFERROR(
                  Andel_oberoende_av_klimat*VLOOKUP($A266,Leveranser_per_nät,'Leveranser per nät'!M$1,FALSE)
               +Andel_beroende_av_klimat*VLOOKUP($A266,Leveranser_per_nät,'Leveranser per nät'!M$1,FALSE)/VLOOKUP($B266,Korrigeringsfaktor_EI,'Korrigeringsfaktor EI'!M$1,FALSE),
"")</f>
        <v>2352.3076923076924</v>
      </c>
      <c r="N266" s="18">
        <f>IFERROR(
                  Andel_oberoende_av_klimat*VLOOKUP($A266,Leveranser_per_nät,'Leveranser per nät'!N$1,FALSE)
               +Andel_beroende_av_klimat*VLOOKUP($A266,Leveranser_per_nät,'Leveranser per nät'!N$1,FALSE)/VLOOKUP($B266,Korrigeringsfaktor_EI,'Korrigeringsfaktor EI'!N$1,FALSE),
"")</f>
        <v>2225.9636363636364</v>
      </c>
      <c r="O266" s="18">
        <f>IFERROR(
                  Andel_oberoende_av_klimat*VLOOKUP($A266,Leveranser_per_nät,'Leveranser per nät'!O$1,FALSE)
               +Andel_beroende_av_klimat*VLOOKUP($A266,Leveranser_per_nät,'Leveranser per nät'!O$1,FALSE)/VLOOKUP($B266,Korrigeringsfaktor_EI,'Korrigeringsfaktor EI'!O$1,FALSE),
"")</f>
        <v>2553.5045454545452</v>
      </c>
      <c r="P266" s="18">
        <f>IFERROR(
                  Andel_oberoende_av_klimat*VLOOKUP($A266,Leveranser_per_nät,'Leveranser per nät'!P$1,FALSE)
               +Andel_beroende_av_klimat*VLOOKUP($A266,Leveranser_per_nät,'Leveranser per nät'!P$1,FALSE)/VLOOKUP($B266,Korrigeringsfaktor_EI,'Korrigeringsfaktor EI'!P$1,FALSE),
"")</f>
        <v>2298.2730301075271</v>
      </c>
      <c r="Q266" s="18">
        <f>IFERROR(
                  Andel_oberoende_av_klimat*VLOOKUP($A266,Leveranser_per_nät,'Leveranser per nät'!Q$1,FALSE)
               +Andel_beroende_av_klimat*VLOOKUP($A266,Leveranser_per_nät,'Leveranser per nät'!Q$1,FALSE)/VLOOKUP($B266,Korrigeringsfaktor_EI,'Korrigeringsfaktor EI'!Q$1,FALSE),
"")</f>
        <v>2328.4378378378378</v>
      </c>
      <c r="R266" s="18">
        <f>IFERROR(
                  Andel_oberoende_av_klimat*VLOOKUP($A266,Leveranser_per_nät,'Leveranser per nät'!R$1,FALSE)
               +Andel_beroende_av_klimat*VLOOKUP($A266,Leveranser_per_nät,'Leveranser per nät'!R$1,FALSE)/VLOOKUP($B266,Korrigeringsfaktor_EI,'Korrigeringsfaktor EI'!R$1,FALSE),
"")</f>
        <v>2296.1060217724862</v>
      </c>
      <c r="S266" s="18">
        <f>IFERROR(
                  Andel_oberoende_av_klimat*VLOOKUP($A266,Leveranser_per_nät,'Leveranser per nät'!S$1,FALSE)
               +Andel_beroende_av_klimat*VLOOKUP($A266,Leveranser_per_nät,'Leveranser per nät'!S$1,FALSE)/VLOOKUP($B266,Korrigeringsfaktor_EI,'Korrigeringsfaktor EI'!S$1,FALSE),
"")</f>
        <v>2276.0571428571429</v>
      </c>
      <c r="T266" s="18">
        <f>IFERROR(
                  Andel_oberoende_av_klimat*VLOOKUP($A266,Leveranser_per_nät,'Leveranser per nät'!T$1,FALSE)
               +Andel_beroende_av_klimat*VLOOKUP($A266,Leveranser_per_nät,'Leveranser per nät'!T$1,FALSE)/VLOOKUP($B266,Korrigeringsfaktor_EI,'Korrigeringsfaktor EI'!T$1,FALSE),
"")</f>
        <v>2264.166666666667</v>
      </c>
      <c r="U266" s="18">
        <f>IFERROR(
                  Andel_oberoende_av_klimat*VLOOKUP($A266,Leveranser_per_nät,'Leveranser per nät'!U$1,FALSE)
               +Andel_beroende_av_klimat*VLOOKUP($A266,Leveranser_per_nät,'Leveranser per nät'!U$1,FALSE)/VLOOKUP($B266,Korrigeringsfaktor_EI,'Korrigeringsfaktor EI'!U$1,FALSE),
"")</f>
        <v>2198.666666666667</v>
      </c>
      <c r="V266" s="18">
        <f>IFERROR(
                  Andel_oberoende_av_klimat*VLOOKUP($A266,Leveranser_per_nät,'Leveranser per nät'!V$1,FALSE)
               +Andel_beroende_av_klimat*VLOOKUP($A266,Leveranser_per_nät,'Leveranser per nät'!V$1,FALSE)/VLOOKUP($B266,Korrigeringsfaktor_EI,'Korrigeringsfaktor EI'!V$1,FALSE),
"")</f>
        <v>2229.5325842696629</v>
      </c>
      <c r="W266" s="18">
        <f>IFERROR(
                  Andel_oberoende_av_klimat*VLOOKUP($A266,Leveranser_per_nät,'Leveranser per nät'!W$1,FALSE)
               +Andel_beroende_av_klimat*VLOOKUP($A266,Leveranser_per_nät,'Leveranser per nät'!W$1,FALSE)/VLOOKUP($B266,Korrigeringsfaktor_EI,'Korrigeringsfaktor EI'!W$1,FALSE),
"")</f>
        <v>2276.3923076923074</v>
      </c>
      <c r="X266" s="18">
        <f>IFERROR(
                  Andel_oberoende_av_klimat*VLOOKUP($A266,Leveranser_per_nät,'Leveranser per nät'!X$1,FALSE)
               +Andel_beroende_av_klimat*VLOOKUP($A266,Leveranser_per_nät,'Leveranser per nät'!X$1,FALSE)/VLOOKUP($B266,Korrigeringsfaktor_EI,'Korrigeringsfaktor EI'!X$1,FALSE),
"")</f>
        <v>2275.1888888888889</v>
      </c>
      <c r="Y266" s="18">
        <f>IFERROR(
                  Andel_oberoende_av_klimat*VLOOKUP($A266,Leveranser_per_nät,'Leveranser per nät'!Y$1,FALSE)
               +Andel_beroende_av_klimat*VLOOKUP($A266,Leveranser_per_nät,'Leveranser per nät'!Y$1,FALSE)/VLOOKUP($B266,Korrigeringsfaktor_EI,'Korrigeringsfaktor EI'!Y$1,FALSE),
"")</f>
        <v>2310.3395348837212</v>
      </c>
      <c r="Z266" s="18">
        <f>IFERROR(
                  Andel_oberoende_av_klimat*VLOOKUP($A266,Leveranser_per_nät,'Leveranser per nät'!Z$1,FALSE)
               +Andel_beroende_av_klimat*VLOOKUP($A266,Leveranser_per_nät,'Leveranser per nät'!Z$1,FALSE)/VLOOKUP($B266,Korrigeringsfaktor_EI,'Korrigeringsfaktor EI'!Z$1,FALSE),
"")</f>
        <v>2253.5891566265059</v>
      </c>
      <c r="AA266" s="18">
        <f>IFERROR(
                  Andel_oberoende_av_klimat*VLOOKUP($A266,Leveranser_per_nät,'Leveranser per nät'!AA$1,FALSE)
               +Andel_beroende_av_klimat*VLOOKUP($A266,Leveranser_per_nät,'Leveranser per nät'!AA$1,FALSE)/VLOOKUP($B266,Korrigeringsfaktor_EI,'Korrigeringsfaktor EI'!AA$1,FALSE),
"")</f>
        <v>2226.185286191394</v>
      </c>
      <c r="AB266" s="18">
        <f>IFERROR(
                  Andel_oberoende_av_klimat*VLOOKUP($A266,Leveranser_per_nät,'Leveranser per nät'!AB$1,FALSE)
               +Andel_beroende_av_klimat*VLOOKUP($A266,Leveranser_per_nät,'Leveranser per nät'!AB$1,FALSE)/VLOOKUP($B266,Korrigeringsfaktor_EI,'Korrigeringsfaktor EI'!AB$1,FALSE),
"")</f>
        <v>2155.4017628687689</v>
      </c>
      <c r="AC266" s="18">
        <f>IFERROR(
                  Andel_oberoende_av_klimat*VLOOKUP($A266,Leveranser_per_nät,'Leveranser per nät'!AC$1,FALSE)
               +Andel_beroende_av_klimat*VLOOKUP($A266,Leveranser_per_nät,'Leveranser per nät'!AC$1,FALSE)/VLOOKUP($B266,Korrigeringsfaktor_EI,'Korrigeringsfaktor EI'!AC$1,FALSE),
"")</f>
        <v>2098.6844736842104</v>
      </c>
      <c r="AD266" t="e">
        <v>#N/A</v>
      </c>
    </row>
    <row r="267" spans="1:30" x14ac:dyDescent="0.25">
      <c r="A267" t="s">
        <v>201</v>
      </c>
      <c r="B267" t="s">
        <v>201</v>
      </c>
      <c r="C267" s="18">
        <f>IFERROR(
                  Andel_oberoende_av_klimat*VLOOKUP($A267,Leveranser_per_nät,'Leveranser per nät'!C$1,FALSE)
               +Andel_beroende_av_klimat*VLOOKUP($A267,Leveranser_per_nät,'Leveranser per nät'!C$1,FALSE)/VLOOKUP($B267,Korrigeringsfaktor_EI,'Korrigeringsfaktor EI'!C$1,FALSE),
"")</f>
        <v>0</v>
      </c>
      <c r="D267" s="18">
        <f>IFERROR(
                  Andel_oberoende_av_klimat*VLOOKUP($A267,Leveranser_per_nät,'Leveranser per nät'!D$1,FALSE)
               +Andel_beroende_av_klimat*VLOOKUP($A267,Leveranser_per_nät,'Leveranser per nät'!D$1,FALSE)/VLOOKUP($B267,Korrigeringsfaktor_EI,'Korrigeringsfaktor EI'!D$1,FALSE),
"")</f>
        <v>0</v>
      </c>
      <c r="E267" s="18">
        <f>IFERROR(
                  Andel_oberoende_av_klimat*VLOOKUP($A267,Leveranser_per_nät,'Leveranser per nät'!E$1,FALSE)
               +Andel_beroende_av_klimat*VLOOKUP($A267,Leveranser_per_nät,'Leveranser per nät'!E$1,FALSE)/VLOOKUP($B267,Korrigeringsfaktor_EI,'Korrigeringsfaktor EI'!E$1,FALSE),
"")</f>
        <v>0</v>
      </c>
      <c r="F267" s="18">
        <f>IFERROR(
                  Andel_oberoende_av_klimat*VLOOKUP($A267,Leveranser_per_nät,'Leveranser per nät'!F$1,FALSE)
               +Andel_beroende_av_klimat*VLOOKUP($A267,Leveranser_per_nät,'Leveranser per nät'!F$1,FALSE)/VLOOKUP($B267,Korrigeringsfaktor_EI,'Korrigeringsfaktor EI'!F$1,FALSE),
"")</f>
        <v>0</v>
      </c>
      <c r="G267" s="18">
        <f>IFERROR(
                  Andel_oberoende_av_klimat*VLOOKUP($A267,Leveranser_per_nät,'Leveranser per nät'!G$1,FALSE)
               +Andel_beroende_av_klimat*VLOOKUP($A267,Leveranser_per_nät,'Leveranser per nät'!G$1,FALSE)/VLOOKUP($B267,Korrigeringsfaktor_EI,'Korrigeringsfaktor EI'!G$1,FALSE),
"")</f>
        <v>0</v>
      </c>
      <c r="H267" s="18">
        <f>IFERROR(
                  Andel_oberoende_av_klimat*VLOOKUP($A267,Leveranser_per_nät,'Leveranser per nät'!H$1,FALSE)
               +Andel_beroende_av_klimat*VLOOKUP($A267,Leveranser_per_nät,'Leveranser per nät'!H$1,FALSE)/VLOOKUP($B267,Korrigeringsfaktor_EI,'Korrigeringsfaktor EI'!H$1,FALSE),
"")</f>
        <v>18.868316831683167</v>
      </c>
      <c r="I267" s="18">
        <f>IFERROR(
                  Andel_oberoende_av_klimat*VLOOKUP($A267,Leveranser_per_nät,'Leveranser per nät'!I$1,FALSE)
               +Andel_beroende_av_klimat*VLOOKUP($A267,Leveranser_per_nät,'Leveranser per nät'!I$1,FALSE)/VLOOKUP($B267,Korrigeringsfaktor_EI,'Korrigeringsfaktor EI'!I$1,FALSE),
"")</f>
        <v>21.454639175257732</v>
      </c>
      <c r="J267" s="18">
        <f>IFERROR(
                  Andel_oberoende_av_klimat*VLOOKUP($A267,Leveranser_per_nät,'Leveranser per nät'!J$1,FALSE)
               +Andel_beroende_av_klimat*VLOOKUP($A267,Leveranser_per_nät,'Leveranser per nät'!J$1,FALSE)/VLOOKUP($B267,Korrigeringsfaktor_EI,'Korrigeringsfaktor EI'!J$1,FALSE),
"")</f>
        <v>20.330824742268042</v>
      </c>
      <c r="K267" s="18">
        <f>IFERROR(
                  Andel_oberoende_av_klimat*VLOOKUP($A267,Leveranser_per_nät,'Leveranser per nät'!K$1,FALSE)
               +Andel_beroende_av_klimat*VLOOKUP($A267,Leveranser_per_nät,'Leveranser per nät'!K$1,FALSE)/VLOOKUP($B267,Korrigeringsfaktor_EI,'Korrigeringsfaktor EI'!K$1,FALSE),
"")</f>
        <v>20.214891666666666</v>
      </c>
      <c r="L267" s="18">
        <f>IFERROR(
                  Andel_oberoende_av_klimat*VLOOKUP($A267,Leveranser_per_nät,'Leveranser per nät'!L$1,FALSE)
               +Andel_beroende_av_klimat*VLOOKUP($A267,Leveranser_per_nät,'Leveranser per nät'!L$1,FALSE)/VLOOKUP($B267,Korrigeringsfaktor_EI,'Korrigeringsfaktor EI'!L$1,FALSE),
"")</f>
        <v>20.520665957446809</v>
      </c>
      <c r="M267" s="18">
        <f>IFERROR(
                  Andel_oberoende_av_klimat*VLOOKUP($A267,Leveranser_per_nät,'Leveranser per nät'!M$1,FALSE)
               +Andel_beroende_av_klimat*VLOOKUP($A267,Leveranser_per_nät,'Leveranser per nät'!M$1,FALSE)/VLOOKUP($B267,Korrigeringsfaktor_EI,'Korrigeringsfaktor EI'!M$1,FALSE),
"")</f>
        <v>21.323478260869564</v>
      </c>
      <c r="N267" s="18">
        <f>IFERROR(
                  Andel_oberoende_av_klimat*VLOOKUP($A267,Leveranser_per_nät,'Leveranser per nät'!N$1,FALSE)
               +Andel_beroende_av_klimat*VLOOKUP($A267,Leveranser_per_nät,'Leveranser per nät'!N$1,FALSE)/VLOOKUP($B267,Korrigeringsfaktor_EI,'Korrigeringsfaktor EI'!N$1,FALSE),
"")</f>
        <v>21.943521276595746</v>
      </c>
      <c r="O267" s="18">
        <f>IFERROR(
                  Andel_oberoende_av_klimat*VLOOKUP($A267,Leveranser_per_nät,'Leveranser per nät'!O$1,FALSE)
               +Andel_beroende_av_klimat*VLOOKUP($A267,Leveranser_per_nät,'Leveranser per nät'!O$1,FALSE)/VLOOKUP($B267,Korrigeringsfaktor_EI,'Korrigeringsfaktor EI'!O$1,FALSE),
"")</f>
        <v>21.961180645161285</v>
      </c>
      <c r="P267" s="18">
        <f>IFERROR(
                  Andel_oberoende_av_klimat*VLOOKUP($A267,Leveranser_per_nät,'Leveranser per nät'!P$1,FALSE)
               +Andel_beroende_av_klimat*VLOOKUP($A267,Leveranser_per_nät,'Leveranser per nät'!P$1,FALSE)/VLOOKUP($B267,Korrigeringsfaktor_EI,'Korrigeringsfaktor EI'!P$1,FALSE),
"")</f>
        <v>24.413857142857143</v>
      </c>
      <c r="Q267" s="18">
        <f>IFERROR(
                  Andel_oberoende_av_klimat*VLOOKUP($A267,Leveranser_per_nät,'Leveranser per nät'!Q$1,FALSE)
               +Andel_beroende_av_klimat*VLOOKUP($A267,Leveranser_per_nät,'Leveranser per nät'!Q$1,FALSE)/VLOOKUP($B267,Korrigeringsfaktor_EI,'Korrigeringsfaktor EI'!Q$1,FALSE),
"")</f>
        <v>26.346153153153146</v>
      </c>
      <c r="R267" s="18">
        <f>IFERROR(
                  Andel_oberoende_av_klimat*VLOOKUP($A267,Leveranser_per_nät,'Leveranser per nät'!R$1,FALSE)
               +Andel_beroende_av_klimat*VLOOKUP($A267,Leveranser_per_nät,'Leveranser per nät'!R$1,FALSE)/VLOOKUP($B267,Korrigeringsfaktor_EI,'Korrigeringsfaktor EI'!R$1,FALSE),
"")</f>
        <v>23.869565217391301</v>
      </c>
      <c r="S267" s="18">
        <f>IFERROR(
                  Andel_oberoende_av_klimat*VLOOKUP($A267,Leveranser_per_nät,'Leveranser per nät'!S$1,FALSE)
               +Andel_beroende_av_klimat*VLOOKUP($A267,Leveranser_per_nät,'Leveranser per nät'!S$1,FALSE)/VLOOKUP($B267,Korrigeringsfaktor_EI,'Korrigeringsfaktor EI'!S$1,FALSE),
"")</f>
        <v>23.83366336633663</v>
      </c>
      <c r="T267" s="18">
        <f>IFERROR(
                  Andel_oberoende_av_klimat*VLOOKUP($A267,Leveranser_per_nät,'Leveranser per nät'!T$1,FALSE)
               +Andel_beroende_av_klimat*VLOOKUP($A267,Leveranser_per_nät,'Leveranser per nät'!T$1,FALSE)/VLOOKUP($B267,Korrigeringsfaktor_EI,'Korrigeringsfaktor EI'!T$1,FALSE),
"")</f>
        <v>23.876666666666665</v>
      </c>
      <c r="U267" s="18">
        <f>IFERROR(
                  Andel_oberoende_av_klimat*VLOOKUP($A267,Leveranser_per_nät,'Leveranser per nät'!U$1,FALSE)
               +Andel_beroende_av_klimat*VLOOKUP($A267,Leveranser_per_nät,'Leveranser per nät'!U$1,FALSE)/VLOOKUP($B267,Korrigeringsfaktor_EI,'Korrigeringsfaktor EI'!U$1,FALSE),
"")</f>
        <v>24.229325842696628</v>
      </c>
      <c r="V267" s="18">
        <f>IFERROR(
                  Andel_oberoende_av_klimat*VLOOKUP($A267,Leveranser_per_nät,'Leveranser per nät'!V$1,FALSE)
               +Andel_beroende_av_klimat*VLOOKUP($A267,Leveranser_per_nät,'Leveranser per nät'!V$1,FALSE)/VLOOKUP($B267,Korrigeringsfaktor_EI,'Korrigeringsfaktor EI'!V$1,FALSE),
"")</f>
        <v>30.317419354838712</v>
      </c>
      <c r="W267" s="18">
        <f>IFERROR(
                  Andel_oberoende_av_klimat*VLOOKUP($A267,Leveranser_per_nät,'Leveranser per nät'!W$1,FALSE)
               +Andel_beroende_av_klimat*VLOOKUP($A267,Leveranser_per_nät,'Leveranser per nät'!W$1,FALSE)/VLOOKUP($B267,Korrigeringsfaktor_EI,'Korrigeringsfaktor EI'!W$1,FALSE),
"")</f>
        <v>28.405000000000001</v>
      </c>
      <c r="X267" s="18">
        <f>IFERROR(
                  Andel_oberoende_av_klimat*VLOOKUP($A267,Leveranser_per_nät,'Leveranser per nät'!X$1,FALSE)
               +Andel_beroende_av_klimat*VLOOKUP($A267,Leveranser_per_nät,'Leveranser per nät'!X$1,FALSE)/VLOOKUP($B267,Korrigeringsfaktor_EI,'Korrigeringsfaktor EI'!X$1,FALSE),
"")</f>
        <v>27.291616161616162</v>
      </c>
      <c r="Y267" s="18">
        <f>IFERROR(
                  Andel_oberoende_av_klimat*VLOOKUP($A267,Leveranser_per_nät,'Leveranser per nät'!Y$1,FALSE)
               +Andel_beroende_av_klimat*VLOOKUP($A267,Leveranser_per_nät,'Leveranser per nät'!Y$1,FALSE)/VLOOKUP($B267,Korrigeringsfaktor_EI,'Korrigeringsfaktor EI'!Y$1,FALSE),
"")</f>
        <v>27.994736842105265</v>
      </c>
      <c r="Z267" s="18">
        <f>IFERROR(
                  Andel_oberoende_av_klimat*VLOOKUP($A267,Leveranser_per_nät,'Leveranser per nät'!Z$1,FALSE)
               +Andel_beroende_av_klimat*VLOOKUP($A267,Leveranser_per_nät,'Leveranser per nät'!Z$1,FALSE)/VLOOKUP($B267,Korrigeringsfaktor_EI,'Korrigeringsfaktor EI'!Z$1,FALSE),
"")</f>
        <v>27.994736842105265</v>
      </c>
      <c r="AA267" s="18">
        <f>IFERROR(
                  Andel_oberoende_av_klimat*VLOOKUP($A267,Leveranser_per_nät,'Leveranser per nät'!AA$1,FALSE)
               +Andel_beroende_av_klimat*VLOOKUP($A267,Leveranser_per_nät,'Leveranser per nät'!AA$1,FALSE)/VLOOKUP($B267,Korrigeringsfaktor_EI,'Korrigeringsfaktor EI'!AA$1,FALSE),
"")</f>
        <v>26.269796511627909</v>
      </c>
      <c r="AB267" s="18">
        <f>IFERROR(
                  Andel_oberoende_av_klimat*VLOOKUP($A267,Leveranser_per_nät,'Leveranser per nät'!AB$1,FALSE)
               +Andel_beroende_av_klimat*VLOOKUP($A267,Leveranser_per_nät,'Leveranser per nät'!AB$1,FALSE)/VLOOKUP($B267,Korrigeringsfaktor_EI,'Korrigeringsfaktor EI'!AB$1,FALSE),
"")</f>
        <v>27.011485148514851</v>
      </c>
      <c r="AC267" s="18">
        <f>IFERROR(
                  Andel_oberoende_av_klimat*VLOOKUP($A267,Leveranser_per_nät,'Leveranser per nät'!AC$1,FALSE)
               +Andel_beroende_av_klimat*VLOOKUP($A267,Leveranser_per_nät,'Leveranser per nät'!AC$1,FALSE)/VLOOKUP($B267,Korrigeringsfaktor_EI,'Korrigeringsfaktor EI'!AC$1,FALSE),
"")</f>
        <v>26.884896265560165</v>
      </c>
      <c r="AD267">
        <v>26.2</v>
      </c>
    </row>
    <row r="268" spans="1:30" x14ac:dyDescent="0.25">
      <c r="A268" t="s">
        <v>257</v>
      </c>
      <c r="B268" t="s">
        <v>257</v>
      </c>
      <c r="C268" s="18">
        <f>IFERROR(
                  Andel_oberoende_av_klimat*VLOOKUP($A268,Leveranser_per_nät,'Leveranser per nät'!C$1,FALSE)
               +Andel_beroende_av_klimat*VLOOKUP($A268,Leveranser_per_nät,'Leveranser per nät'!C$1,FALSE)/VLOOKUP($B268,Korrigeringsfaktor_EI,'Korrigeringsfaktor EI'!C$1,FALSE),
"")</f>
        <v>34.286407766990294</v>
      </c>
      <c r="D268" s="18">
        <f>IFERROR(
                  Andel_oberoende_av_klimat*VLOOKUP($A268,Leveranser_per_nät,'Leveranser per nät'!D$1,FALSE)
               +Andel_beroende_av_klimat*VLOOKUP($A268,Leveranser_per_nät,'Leveranser per nät'!D$1,FALSE)/VLOOKUP($B268,Korrigeringsfaktor_EI,'Korrigeringsfaktor EI'!D$1,FALSE),
"")</f>
        <v>54.517857142857153</v>
      </c>
      <c r="E268" s="18">
        <f>IFERROR(
                  Andel_oberoende_av_klimat*VLOOKUP($A268,Leveranser_per_nät,'Leveranser per nät'!E$1,FALSE)
               +Andel_beroende_av_klimat*VLOOKUP($A268,Leveranser_per_nät,'Leveranser per nät'!E$1,FALSE)/VLOOKUP($B268,Korrigeringsfaktor_EI,'Korrigeringsfaktor EI'!E$1,FALSE),
"")</f>
        <v>62.276923076923076</v>
      </c>
      <c r="F268" s="18">
        <f>IFERROR(
                  Andel_oberoende_av_klimat*VLOOKUP($A268,Leveranser_per_nät,'Leveranser per nät'!F$1,FALSE)
               +Andel_beroende_av_klimat*VLOOKUP($A268,Leveranser_per_nät,'Leveranser per nät'!F$1,FALSE)/VLOOKUP($B268,Korrigeringsfaktor_EI,'Korrigeringsfaktor EI'!F$1,FALSE),
"")</f>
        <v>69</v>
      </c>
      <c r="G268" s="18">
        <f>IFERROR(
                  Andel_oberoende_av_klimat*VLOOKUP($A268,Leveranser_per_nät,'Leveranser per nät'!G$1,FALSE)
               +Andel_beroende_av_klimat*VLOOKUP($A268,Leveranser_per_nät,'Leveranser per nät'!G$1,FALSE)/VLOOKUP($B268,Korrigeringsfaktor_EI,'Korrigeringsfaktor EI'!G$1,FALSE),
"")</f>
        <v>72.635483870967732</v>
      </c>
      <c r="H268" s="18">
        <f>IFERROR(
                  Andel_oberoende_av_klimat*VLOOKUP($A268,Leveranser_per_nät,'Leveranser per nät'!H$1,FALSE)
               +Andel_beroende_av_klimat*VLOOKUP($A268,Leveranser_per_nät,'Leveranser per nät'!H$1,FALSE)/VLOOKUP($B268,Korrigeringsfaktor_EI,'Korrigeringsfaktor EI'!H$1,FALSE),
"")</f>
        <v>85.465530693069297</v>
      </c>
      <c r="I268" s="18">
        <f>IFERROR(
                  Andel_oberoende_av_klimat*VLOOKUP($A268,Leveranser_per_nät,'Leveranser per nät'!I$1,FALSE)
               +Andel_beroende_av_klimat*VLOOKUP($A268,Leveranser_per_nät,'Leveranser per nät'!I$1,FALSE)/VLOOKUP($B268,Korrigeringsfaktor_EI,'Korrigeringsfaktor EI'!I$1,FALSE),
"")</f>
        <v>91.242105263157896</v>
      </c>
      <c r="J268" s="18">
        <f>IFERROR(
                  Andel_oberoende_av_klimat*VLOOKUP($A268,Leveranser_per_nät,'Leveranser per nät'!J$1,FALSE)
               +Andel_beroende_av_klimat*VLOOKUP($A268,Leveranser_per_nät,'Leveranser per nät'!J$1,FALSE)/VLOOKUP($B268,Korrigeringsfaktor_EI,'Korrigeringsfaktor EI'!J$1,FALSE),
"")</f>
        <v>85.420833333333334</v>
      </c>
      <c r="K268" s="18">
        <f>IFERROR(
                  Andel_oberoende_av_klimat*VLOOKUP($A268,Leveranser_per_nät,'Leveranser per nät'!K$1,FALSE)
               +Andel_beroende_av_klimat*VLOOKUP($A268,Leveranser_per_nät,'Leveranser per nät'!K$1,FALSE)/VLOOKUP($B268,Korrigeringsfaktor_EI,'Korrigeringsfaktor EI'!K$1,FALSE),
"")</f>
        <v>86.581457142857147</v>
      </c>
      <c r="L268" s="18">
        <f>IFERROR(
                  Andel_oberoende_av_klimat*VLOOKUP($A268,Leveranser_per_nät,'Leveranser per nät'!L$1,FALSE)
               +Andel_beroende_av_klimat*VLOOKUP($A268,Leveranser_per_nät,'Leveranser per nät'!L$1,FALSE)/VLOOKUP($B268,Korrigeringsfaktor_EI,'Korrigeringsfaktor EI'!L$1,FALSE),
"")</f>
        <v>88.17512631578947</v>
      </c>
      <c r="M268" s="18">
        <f>IFERROR(
                  Andel_oberoende_av_klimat*VLOOKUP($A268,Leveranser_per_nät,'Leveranser per nät'!M$1,FALSE)
               +Andel_beroende_av_klimat*VLOOKUP($A268,Leveranser_per_nät,'Leveranser per nät'!M$1,FALSE)/VLOOKUP($B268,Korrigeringsfaktor_EI,'Korrigeringsfaktor EI'!M$1,FALSE),
"")</f>
        <v>91.598660869565222</v>
      </c>
      <c r="N268" s="18">
        <f>IFERROR(
                  Andel_oberoende_av_klimat*VLOOKUP($A268,Leveranser_per_nät,'Leveranser per nät'!N$1,FALSE)
               +Andel_beroende_av_klimat*VLOOKUP($A268,Leveranser_per_nät,'Leveranser per nät'!N$1,FALSE)/VLOOKUP($B268,Korrigeringsfaktor_EI,'Korrigeringsfaktor EI'!N$1,FALSE),
"")</f>
        <v>88.063147368421056</v>
      </c>
      <c r="O268" s="18">
        <f>IFERROR(
                  Andel_oberoende_av_klimat*VLOOKUP($A268,Leveranser_per_nät,'Leveranser per nät'!O$1,FALSE)
               +Andel_beroende_av_klimat*VLOOKUP($A268,Leveranser_per_nät,'Leveranser per nät'!O$1,FALSE)/VLOOKUP($B268,Korrigeringsfaktor_EI,'Korrigeringsfaktor EI'!O$1,FALSE),
"")</f>
        <v>73.427084210526317</v>
      </c>
      <c r="P268" s="18">
        <f>IFERROR(
                  Andel_oberoende_av_klimat*VLOOKUP($A268,Leveranser_per_nät,'Leveranser per nät'!P$1,FALSE)
               +Andel_beroende_av_klimat*VLOOKUP($A268,Leveranser_per_nät,'Leveranser per nät'!P$1,FALSE)/VLOOKUP($B268,Korrigeringsfaktor_EI,'Korrigeringsfaktor EI'!P$1,FALSE),
"")</f>
        <v>79.596854545454534</v>
      </c>
      <c r="Q268" s="18">
        <f>IFERROR(
                  Andel_oberoende_av_klimat*VLOOKUP($A268,Leveranser_per_nät,'Leveranser per nät'!Q$1,FALSE)
               +Andel_beroende_av_klimat*VLOOKUP($A268,Leveranser_per_nät,'Leveranser per nät'!Q$1,FALSE)/VLOOKUP($B268,Korrigeringsfaktor_EI,'Korrigeringsfaktor EI'!Q$1,FALSE),
"")</f>
        <v>86.773549532710277</v>
      </c>
      <c r="R268" s="18">
        <f>IFERROR(
                  Andel_oberoende_av_klimat*VLOOKUP($A268,Leveranser_per_nät,'Leveranser per nät'!R$1,FALSE)
               +Andel_beroende_av_klimat*VLOOKUP($A268,Leveranser_per_nät,'Leveranser per nät'!R$1,FALSE)/VLOOKUP($B268,Korrigeringsfaktor_EI,'Korrigeringsfaktor EI'!R$1,FALSE),
"")</f>
        <v>75.882238461538464</v>
      </c>
      <c r="S268" s="18">
        <f>IFERROR(
                  Andel_oberoende_av_klimat*VLOOKUP($A268,Leveranser_per_nät,'Leveranser per nät'!S$1,FALSE)
               +Andel_beroende_av_klimat*VLOOKUP($A268,Leveranser_per_nät,'Leveranser per nät'!S$1,FALSE)/VLOOKUP($B268,Korrigeringsfaktor_EI,'Korrigeringsfaktor EI'!S$1,FALSE),
"")</f>
        <v>71.511650485436888</v>
      </c>
      <c r="T268" s="18">
        <f>IFERROR(
                  Andel_oberoende_av_klimat*VLOOKUP($A268,Leveranser_per_nät,'Leveranser per nät'!T$1,FALSE)
               +Andel_beroende_av_klimat*VLOOKUP($A268,Leveranser_per_nät,'Leveranser per nät'!T$1,FALSE)/VLOOKUP($B268,Korrigeringsfaktor_EI,'Korrigeringsfaktor EI'!T$1,FALSE),
"")</f>
        <v>74.536505263157906</v>
      </c>
      <c r="U268" s="18">
        <f>IFERROR(
                  Andel_oberoende_av_klimat*VLOOKUP($A268,Leveranser_per_nät,'Leveranser per nät'!U$1,FALSE)
               +Andel_beroende_av_klimat*VLOOKUP($A268,Leveranser_per_nät,'Leveranser per nät'!U$1,FALSE)/VLOOKUP($B268,Korrigeringsfaktor_EI,'Korrigeringsfaktor EI'!U$1,FALSE),
"")</f>
        <v>78.699547826086956</v>
      </c>
      <c r="V268" s="18">
        <f>IFERROR(
                  Andel_oberoende_av_klimat*VLOOKUP($A268,Leveranser_per_nät,'Leveranser per nät'!V$1,FALSE)
               +Andel_beroende_av_klimat*VLOOKUP($A268,Leveranser_per_nät,'Leveranser per nät'!V$1,FALSE)/VLOOKUP($B268,Korrigeringsfaktor_EI,'Korrigeringsfaktor EI'!V$1,FALSE),
"")</f>
        <v>71.428050537634405</v>
      </c>
      <c r="W268" s="18">
        <f>IFERROR(
                  Andel_oberoende_av_klimat*VLOOKUP($A268,Leveranser_per_nät,'Leveranser per nät'!W$1,FALSE)
               +Andel_beroende_av_klimat*VLOOKUP($A268,Leveranser_per_nät,'Leveranser per nät'!W$1,FALSE)/VLOOKUP($B268,Korrigeringsfaktor_EI,'Korrigeringsfaktor EI'!W$1,FALSE),
"")</f>
        <v>75.960660824742263</v>
      </c>
      <c r="X268" s="18">
        <f>IFERROR(
                  Andel_oberoende_av_klimat*VLOOKUP($A268,Leveranser_per_nät,'Leveranser per nät'!X$1,FALSE)
               +Andel_beroende_av_klimat*VLOOKUP($A268,Leveranser_per_nät,'Leveranser per nät'!X$1,FALSE)/VLOOKUP($B268,Korrigeringsfaktor_EI,'Korrigeringsfaktor EI'!X$1,FALSE),
"")</f>
        <v>80.900004040404042</v>
      </c>
      <c r="Y268" s="18">
        <f>IFERROR(
                  Andel_oberoende_av_klimat*VLOOKUP($A268,Leveranser_per_nät,'Leveranser per nät'!Y$1,FALSE)
               +Andel_beroende_av_klimat*VLOOKUP($A268,Leveranser_per_nät,'Leveranser per nät'!Y$1,FALSE)/VLOOKUP($B268,Korrigeringsfaktor_EI,'Korrigeringsfaktor EI'!Y$1,FALSE),
"")</f>
        <v>89.686521649484533</v>
      </c>
      <c r="Z268" s="18">
        <f>IFERROR(
                  Andel_oberoende_av_klimat*VLOOKUP($A268,Leveranser_per_nät,'Leveranser per nät'!Z$1,FALSE)
               +Andel_beroende_av_klimat*VLOOKUP($A268,Leveranser_per_nät,'Leveranser per nät'!Z$1,FALSE)/VLOOKUP($B268,Korrigeringsfaktor_EI,'Korrigeringsfaktor EI'!Z$1,FALSE),
"")</f>
        <v>84.712000000000003</v>
      </c>
      <c r="AA268" s="18">
        <f>IFERROR(
                  Andel_oberoende_av_klimat*VLOOKUP($A268,Leveranser_per_nät,'Leveranser per nät'!AA$1,FALSE)
               +Andel_beroende_av_klimat*VLOOKUP($A268,Leveranser_per_nät,'Leveranser per nät'!AA$1,FALSE)/VLOOKUP($B268,Korrigeringsfaktor_EI,'Korrigeringsfaktor EI'!AA$1,FALSE),
"")</f>
        <v>80.134823943185651</v>
      </c>
      <c r="AB268" s="18">
        <f>IFERROR(
                  Andel_oberoende_av_klimat*VLOOKUP($A268,Leveranser_per_nät,'Leveranser per nät'!AB$1,FALSE)
               +Andel_beroende_av_klimat*VLOOKUP($A268,Leveranser_per_nät,'Leveranser per nät'!AB$1,FALSE)/VLOOKUP($B268,Korrigeringsfaktor_EI,'Korrigeringsfaktor EI'!AB$1,FALSE),
"")</f>
        <v>70.455588753651412</v>
      </c>
      <c r="AC268" s="18">
        <f>IFERROR(
                  Andel_oberoende_av_klimat*VLOOKUP($A268,Leveranser_per_nät,'Leveranser per nät'!AC$1,FALSE)
               +Andel_beroende_av_klimat*VLOOKUP($A268,Leveranser_per_nät,'Leveranser per nät'!AC$1,FALSE)/VLOOKUP($B268,Korrigeringsfaktor_EI,'Korrigeringsfaktor EI'!AC$1,FALSE),
"")</f>
        <v>72.215336666666673</v>
      </c>
      <c r="AD268">
        <v>70.478899999999996</v>
      </c>
    </row>
    <row r="269" spans="1:30" x14ac:dyDescent="0.25">
      <c r="A269" t="s">
        <v>93</v>
      </c>
      <c r="B269" t="s">
        <v>215</v>
      </c>
      <c r="C269" s="18">
        <f>IFERROR(
                  Andel_oberoende_av_klimat*VLOOKUP($A269,Leveranser_per_nät,'Leveranser per nät'!C$1,FALSE)
               +Andel_beroende_av_klimat*VLOOKUP($A269,Leveranser_per_nät,'Leveranser per nät'!C$1,FALSE)/VLOOKUP($B269,Korrigeringsfaktor_EI,'Korrigeringsfaktor EI'!C$1,FALSE),
"")</f>
        <v>0</v>
      </c>
      <c r="D269" s="18">
        <f>IFERROR(
                  Andel_oberoende_av_klimat*VLOOKUP($A269,Leveranser_per_nät,'Leveranser per nät'!D$1,FALSE)
               +Andel_beroende_av_klimat*VLOOKUP($A269,Leveranser_per_nät,'Leveranser per nät'!D$1,FALSE)/VLOOKUP($B269,Korrigeringsfaktor_EI,'Korrigeringsfaktor EI'!D$1,FALSE),
"")</f>
        <v>0</v>
      </c>
      <c r="E269" s="18">
        <f>IFERROR(
                  Andel_oberoende_av_klimat*VLOOKUP($A269,Leveranser_per_nät,'Leveranser per nät'!E$1,FALSE)
               +Andel_beroende_av_klimat*VLOOKUP($A269,Leveranser_per_nät,'Leveranser per nät'!E$1,FALSE)/VLOOKUP($B269,Korrigeringsfaktor_EI,'Korrigeringsfaktor EI'!E$1,FALSE),
"")</f>
        <v>0</v>
      </c>
      <c r="F269" s="18">
        <f>IFERROR(
                  Andel_oberoende_av_klimat*VLOOKUP($A269,Leveranser_per_nät,'Leveranser per nät'!F$1,FALSE)
               +Andel_beroende_av_klimat*VLOOKUP($A269,Leveranser_per_nät,'Leveranser per nät'!F$1,FALSE)/VLOOKUP($B269,Korrigeringsfaktor_EI,'Korrigeringsfaktor EI'!F$1,FALSE),
"")</f>
        <v>0</v>
      </c>
      <c r="G269" s="18">
        <f>IFERROR(
                  Andel_oberoende_av_klimat*VLOOKUP($A269,Leveranser_per_nät,'Leveranser per nät'!G$1,FALSE)
               +Andel_beroende_av_klimat*VLOOKUP($A269,Leveranser_per_nät,'Leveranser per nät'!G$1,FALSE)/VLOOKUP($B269,Korrigeringsfaktor_EI,'Korrigeringsfaktor EI'!G$1,FALSE),
"")</f>
        <v>0</v>
      </c>
      <c r="H269" s="18">
        <f>IFERROR(
                  Andel_oberoende_av_klimat*VLOOKUP($A269,Leveranser_per_nät,'Leveranser per nät'!H$1,FALSE)
               +Andel_beroende_av_klimat*VLOOKUP($A269,Leveranser_per_nät,'Leveranser per nät'!H$1,FALSE)/VLOOKUP($B269,Korrigeringsfaktor_EI,'Korrigeringsfaktor EI'!H$1,FALSE),
"")</f>
        <v>0</v>
      </c>
      <c r="I269" s="18">
        <f>IFERROR(
                  Andel_oberoende_av_klimat*VLOOKUP($A269,Leveranser_per_nät,'Leveranser per nät'!I$1,FALSE)
               +Andel_beroende_av_klimat*VLOOKUP($A269,Leveranser_per_nät,'Leveranser per nät'!I$1,FALSE)/VLOOKUP($B269,Korrigeringsfaktor_EI,'Korrigeringsfaktor EI'!I$1,FALSE),
"")</f>
        <v>0</v>
      </c>
      <c r="J269" s="18">
        <f>IFERROR(
                  Andel_oberoende_av_klimat*VLOOKUP($A269,Leveranser_per_nät,'Leveranser per nät'!J$1,FALSE)
               +Andel_beroende_av_klimat*VLOOKUP($A269,Leveranser_per_nät,'Leveranser per nät'!J$1,FALSE)/VLOOKUP($B269,Korrigeringsfaktor_EI,'Korrigeringsfaktor EI'!J$1,FALSE),
"")</f>
        <v>8.056565656565656</v>
      </c>
      <c r="K269" s="18">
        <f>IFERROR(
                  Andel_oberoende_av_klimat*VLOOKUP($A269,Leveranser_per_nät,'Leveranser per nät'!K$1,FALSE)
               +Andel_beroende_av_klimat*VLOOKUP($A269,Leveranser_per_nät,'Leveranser per nät'!K$1,FALSE)/VLOOKUP($B269,Korrigeringsfaktor_EI,'Korrigeringsfaktor EI'!K$1,FALSE),
"")</f>
        <v>6.3913940594059406</v>
      </c>
      <c r="L269" s="18">
        <f>IFERROR(
                  Andel_oberoende_av_klimat*VLOOKUP($A269,Leveranser_per_nät,'Leveranser per nät'!L$1,FALSE)
               +Andel_beroende_av_klimat*VLOOKUP($A269,Leveranser_per_nät,'Leveranser per nät'!L$1,FALSE)/VLOOKUP($B269,Korrigeringsfaktor_EI,'Korrigeringsfaktor EI'!L$1,FALSE),
"")</f>
        <v>11.983167010986797</v>
      </c>
      <c r="M269" s="18">
        <f>IFERROR(
                  Andel_oberoende_av_klimat*VLOOKUP($A269,Leveranser_per_nät,'Leveranser per nät'!M$1,FALSE)
               +Andel_beroende_av_klimat*VLOOKUP($A269,Leveranser_per_nät,'Leveranser per nät'!M$1,FALSE)/VLOOKUP($B269,Korrigeringsfaktor_EI,'Korrigeringsfaktor EI'!M$1,FALSE),
"")</f>
        <v>8.9738085106382979</v>
      </c>
      <c r="N269" s="18">
        <f>IFERROR(
                  Andel_oberoende_av_klimat*VLOOKUP($A269,Leveranser_per_nät,'Leveranser per nät'!N$1,FALSE)
               +Andel_beroende_av_klimat*VLOOKUP($A269,Leveranser_per_nät,'Leveranser per nät'!N$1,FALSE)/VLOOKUP($B269,Korrigeringsfaktor_EI,'Korrigeringsfaktor EI'!N$1,FALSE),
"")</f>
        <v>8.4869565217391312</v>
      </c>
      <c r="O269" s="18">
        <f>IFERROR(
                  Andel_oberoende_av_klimat*VLOOKUP($A269,Leveranser_per_nät,'Leveranser per nät'!O$1,FALSE)
               +Andel_beroende_av_klimat*VLOOKUP($A269,Leveranser_per_nät,'Leveranser per nät'!O$1,FALSE)/VLOOKUP($B269,Korrigeringsfaktor_EI,'Korrigeringsfaktor EI'!O$1,FALSE),
"")</f>
        <v>10.608695652173914</v>
      </c>
      <c r="P269" s="18">
        <f>IFERROR(
                  Andel_oberoende_av_klimat*VLOOKUP($A269,Leveranser_per_nät,'Leveranser per nät'!P$1,FALSE)
               +Andel_beroende_av_klimat*VLOOKUP($A269,Leveranser_per_nät,'Leveranser per nät'!P$1,FALSE)/VLOOKUP($B269,Korrigeringsfaktor_EI,'Korrigeringsfaktor EI'!P$1,FALSE),
"")</f>
        <v>11.491857142857143</v>
      </c>
      <c r="Q269" s="18">
        <f>IFERROR(
                  Andel_oberoende_av_klimat*VLOOKUP($A269,Leveranser_per_nät,'Leveranser per nät'!Q$1,FALSE)
               +Andel_beroende_av_klimat*VLOOKUP($A269,Leveranser_per_nät,'Leveranser per nät'!Q$1,FALSE)/VLOOKUP($B269,Korrigeringsfaktor_EI,'Korrigeringsfaktor EI'!Q$1,FALSE),
"")</f>
        <v>13.560499999999998</v>
      </c>
      <c r="R269" s="18">
        <f>IFERROR(
                  Andel_oberoende_av_klimat*VLOOKUP($A269,Leveranser_per_nät,'Leveranser per nät'!R$1,FALSE)
               +Andel_beroende_av_klimat*VLOOKUP($A269,Leveranser_per_nät,'Leveranser per nät'!R$1,FALSE)/VLOOKUP($B269,Korrigeringsfaktor_EI,'Korrigeringsfaktor EI'!R$1,FALSE),
"")</f>
        <v>13.790243478260869</v>
      </c>
      <c r="S269" s="18">
        <f>IFERROR(
                  Andel_oberoende_av_klimat*VLOOKUP($A269,Leveranser_per_nät,'Leveranser per nät'!S$1,FALSE)
               +Andel_beroende_av_klimat*VLOOKUP($A269,Leveranser_per_nät,'Leveranser per nät'!S$1,FALSE)/VLOOKUP($B269,Korrigeringsfaktor_EI,'Korrigeringsfaktor EI'!S$1,FALSE),
"")</f>
        <v>14.498235294117647</v>
      </c>
      <c r="T269" s="18">
        <f>IFERROR(
                  Andel_oberoende_av_klimat*VLOOKUP($A269,Leveranser_per_nät,'Leveranser per nät'!T$1,FALSE)
               +Andel_beroende_av_klimat*VLOOKUP($A269,Leveranser_per_nät,'Leveranser per nät'!T$1,FALSE)/VLOOKUP($B269,Korrigeringsfaktor_EI,'Korrigeringsfaktor EI'!T$1,FALSE),
"")</f>
        <v>14.747543434343434</v>
      </c>
      <c r="U269" s="18">
        <f>IFERROR(
                  Andel_oberoende_av_klimat*VLOOKUP($A269,Leveranser_per_nät,'Leveranser per nät'!U$1,FALSE)
               +Andel_beroende_av_klimat*VLOOKUP($A269,Leveranser_per_nät,'Leveranser per nät'!U$1,FALSE)/VLOOKUP($B269,Korrigeringsfaktor_EI,'Korrigeringsfaktor EI'!U$1,FALSE),
"")</f>
        <v>14.249668539325842</v>
      </c>
      <c r="V269" s="18">
        <f>IFERROR(
                  Andel_oberoende_av_klimat*VLOOKUP($A269,Leveranser_per_nät,'Leveranser per nät'!V$1,FALSE)
               +Andel_beroende_av_klimat*VLOOKUP($A269,Leveranser_per_nät,'Leveranser per nät'!V$1,FALSE)/VLOOKUP($B269,Korrigeringsfaktor_EI,'Korrigeringsfaktor EI'!V$1,FALSE),
"")</f>
        <v>14.174792307692307</v>
      </c>
      <c r="W269" s="18">
        <f>IFERROR(
                  Andel_oberoende_av_klimat*VLOOKUP($A269,Leveranser_per_nät,'Leveranser per nät'!W$1,FALSE)
               +Andel_beroende_av_klimat*VLOOKUP($A269,Leveranser_per_nät,'Leveranser per nät'!W$1,FALSE)/VLOOKUP($B269,Korrigeringsfaktor_EI,'Korrigeringsfaktor EI'!W$1,FALSE),
"")</f>
        <v>15.009326315789476</v>
      </c>
      <c r="X269" s="18">
        <f>IFERROR(
                  Andel_oberoende_av_klimat*VLOOKUP($A269,Leveranser_per_nät,'Leveranser per nät'!X$1,FALSE)
               +Andel_beroende_av_klimat*VLOOKUP($A269,Leveranser_per_nät,'Leveranser per nät'!X$1,FALSE)/VLOOKUP($B269,Korrigeringsfaktor_EI,'Korrigeringsfaktor EI'!X$1,FALSE),
"")</f>
        <v>15.045493617021277</v>
      </c>
      <c r="Y269" s="18">
        <f>IFERROR(
                  Andel_oberoende_av_klimat*VLOOKUP($A269,Leveranser_per_nät,'Leveranser per nät'!Y$1,FALSE)
               +Andel_beroende_av_klimat*VLOOKUP($A269,Leveranser_per_nät,'Leveranser per nät'!Y$1,FALSE)/VLOOKUP($B269,Korrigeringsfaktor_EI,'Korrigeringsfaktor EI'!Y$1,FALSE),
"")</f>
        <v>15.116911111111111</v>
      </c>
      <c r="Z269" s="18">
        <f>IFERROR(
                  Andel_oberoende_av_klimat*VLOOKUP($A269,Leveranser_per_nät,'Leveranser per nät'!Z$1,FALSE)
               +Andel_beroende_av_klimat*VLOOKUP($A269,Leveranser_per_nät,'Leveranser per nät'!Z$1,FALSE)/VLOOKUP($B269,Korrigeringsfaktor_EI,'Korrigeringsfaktor EI'!Z$1,FALSE),
"")</f>
        <v>13.982385393258426</v>
      </c>
      <c r="AA269" s="18">
        <f>IFERROR(
                  Andel_oberoende_av_klimat*VLOOKUP($A269,Leveranser_per_nät,'Leveranser per nät'!AA$1,FALSE)
               +Andel_beroende_av_klimat*VLOOKUP($A269,Leveranser_per_nät,'Leveranser per nät'!AA$1,FALSE)/VLOOKUP($B269,Korrigeringsfaktor_EI,'Korrigeringsfaktor EI'!AA$1,FALSE),
"")</f>
        <v>13.19231843575419</v>
      </c>
      <c r="AB269" s="18">
        <f>IFERROR(
                  Andel_oberoende_av_klimat*VLOOKUP($A269,Leveranser_per_nät,'Leveranser per nät'!AB$1,FALSE)
               +Andel_beroende_av_klimat*VLOOKUP($A269,Leveranser_per_nät,'Leveranser per nät'!AB$1,FALSE)/VLOOKUP($B269,Korrigeringsfaktor_EI,'Korrigeringsfaktor EI'!AB$1,FALSE),
"")</f>
        <v>13.345742899702083</v>
      </c>
      <c r="AC269" s="18">
        <f>IFERROR(
                  Andel_oberoende_av_klimat*VLOOKUP($A269,Leveranser_per_nät,'Leveranser per nät'!AC$1,FALSE)
               +Andel_beroende_av_klimat*VLOOKUP($A269,Leveranser_per_nät,'Leveranser per nät'!AC$1,FALSE)/VLOOKUP($B269,Korrigeringsfaktor_EI,'Korrigeringsfaktor EI'!AC$1,FALSE),
"")</f>
        <v>12.880266917293232</v>
      </c>
      <c r="AD269">
        <v>29.885000000000002</v>
      </c>
    </row>
    <row r="270" spans="1:30" x14ac:dyDescent="0.25">
      <c r="A270" t="s">
        <v>406</v>
      </c>
      <c r="B270" t="s">
        <v>311</v>
      </c>
      <c r="C270" s="18">
        <f>IFERROR(
                  Andel_oberoende_av_klimat*VLOOKUP($A270,Leveranser_per_nät,'Leveranser per nät'!C$1,FALSE)
               +Andel_beroende_av_klimat*VLOOKUP($A270,Leveranser_per_nät,'Leveranser per nät'!C$1,FALSE)/VLOOKUP($B270,Korrigeringsfaktor_EI,'Korrigeringsfaktor EI'!C$1,FALSE),
"")</f>
        <v>0</v>
      </c>
      <c r="D270" s="18">
        <f>IFERROR(
                  Andel_oberoende_av_klimat*VLOOKUP($A270,Leveranser_per_nät,'Leveranser per nät'!D$1,FALSE)
               +Andel_beroende_av_klimat*VLOOKUP($A270,Leveranser_per_nät,'Leveranser per nät'!D$1,FALSE)/VLOOKUP($B270,Korrigeringsfaktor_EI,'Korrigeringsfaktor EI'!D$1,FALSE),
"")</f>
        <v>0</v>
      </c>
      <c r="E270" s="18">
        <f>IFERROR(
                  Andel_oberoende_av_klimat*VLOOKUP($A270,Leveranser_per_nät,'Leveranser per nät'!E$1,FALSE)
               +Andel_beroende_av_klimat*VLOOKUP($A270,Leveranser_per_nät,'Leveranser per nät'!E$1,FALSE)/VLOOKUP($B270,Korrigeringsfaktor_EI,'Korrigeringsfaktor EI'!E$1,FALSE),
"")</f>
        <v>0</v>
      </c>
      <c r="F270" s="18">
        <f>IFERROR(
                  Andel_oberoende_av_klimat*VLOOKUP($A270,Leveranser_per_nät,'Leveranser per nät'!F$1,FALSE)
               +Andel_beroende_av_klimat*VLOOKUP($A270,Leveranser_per_nät,'Leveranser per nät'!F$1,FALSE)/VLOOKUP($B270,Korrigeringsfaktor_EI,'Korrigeringsfaktor EI'!F$1,FALSE),
"")</f>
        <v>0</v>
      </c>
      <c r="G270" s="18">
        <f>IFERROR(
                  Andel_oberoende_av_klimat*VLOOKUP($A270,Leveranser_per_nät,'Leveranser per nät'!G$1,FALSE)
               +Andel_beroende_av_klimat*VLOOKUP($A270,Leveranser_per_nät,'Leveranser per nät'!G$1,FALSE)/VLOOKUP($B270,Korrigeringsfaktor_EI,'Korrigeringsfaktor EI'!G$1,FALSE),
"")</f>
        <v>0</v>
      </c>
      <c r="H270" s="18">
        <f>IFERROR(
                  Andel_oberoende_av_klimat*VLOOKUP($A270,Leveranser_per_nät,'Leveranser per nät'!H$1,FALSE)
               +Andel_beroende_av_klimat*VLOOKUP($A270,Leveranser_per_nät,'Leveranser per nät'!H$1,FALSE)/VLOOKUP($B270,Korrigeringsfaktor_EI,'Korrigeringsfaktor EI'!H$1,FALSE),
"")</f>
        <v>0</v>
      </c>
      <c r="I270" s="18">
        <f>IFERROR(
                  Andel_oberoende_av_klimat*VLOOKUP($A270,Leveranser_per_nät,'Leveranser per nät'!I$1,FALSE)
               +Andel_beroende_av_klimat*VLOOKUP($A270,Leveranser_per_nät,'Leveranser per nät'!I$1,FALSE)/VLOOKUP($B270,Korrigeringsfaktor_EI,'Korrigeringsfaktor EI'!I$1,FALSE),
"")</f>
        <v>0</v>
      </c>
      <c r="J270" s="18">
        <f>IFERROR(
                  Andel_oberoende_av_klimat*VLOOKUP($A270,Leveranser_per_nät,'Leveranser per nät'!J$1,FALSE)
               +Andel_beroende_av_klimat*VLOOKUP($A270,Leveranser_per_nät,'Leveranser per nät'!J$1,FALSE)/VLOOKUP($B270,Korrigeringsfaktor_EI,'Korrigeringsfaktor EI'!J$1,FALSE),
"")</f>
        <v>0</v>
      </c>
      <c r="K270" s="18">
        <f>IFERROR(
                  Andel_oberoende_av_klimat*VLOOKUP($A270,Leveranser_per_nät,'Leveranser per nät'!K$1,FALSE)
               +Andel_beroende_av_klimat*VLOOKUP($A270,Leveranser_per_nät,'Leveranser per nät'!K$1,FALSE)/VLOOKUP($B270,Korrigeringsfaktor_EI,'Korrigeringsfaktor EI'!K$1,FALSE),
"")</f>
        <v>3.4460237113402066</v>
      </c>
      <c r="L270" s="18">
        <f>IFERROR(
                  Andel_oberoende_av_klimat*VLOOKUP($A270,Leveranser_per_nät,'Leveranser per nät'!L$1,FALSE)
               +Andel_beroende_av_klimat*VLOOKUP($A270,Leveranser_per_nät,'Leveranser per nät'!L$1,FALSE)/VLOOKUP($B270,Korrigeringsfaktor_EI,'Korrigeringsfaktor EI'!L$1,FALSE),
"")</f>
        <v>4.3298526315789481</v>
      </c>
      <c r="M270" s="18">
        <f>IFERROR(
                  Andel_oberoende_av_klimat*VLOOKUP($A270,Leveranser_per_nät,'Leveranser per nät'!M$1,FALSE)
               +Andel_beroende_av_klimat*VLOOKUP($A270,Leveranser_per_nät,'Leveranser per nät'!M$1,FALSE)/VLOOKUP($B270,Korrigeringsfaktor_EI,'Korrigeringsfaktor EI'!M$1,FALSE),
"")</f>
        <v>0</v>
      </c>
      <c r="N270" s="18">
        <f>IFERROR(
                  Andel_oberoende_av_klimat*VLOOKUP($A270,Leveranser_per_nät,'Leveranser per nät'!N$1,FALSE)
               +Andel_beroende_av_klimat*VLOOKUP($A270,Leveranser_per_nät,'Leveranser per nät'!N$1,FALSE)/VLOOKUP($B270,Korrigeringsfaktor_EI,'Korrigeringsfaktor EI'!N$1,FALSE),
"")</f>
        <v>0</v>
      </c>
      <c r="O270" s="18">
        <f>IFERROR(
                  Andel_oberoende_av_klimat*VLOOKUP($A270,Leveranser_per_nät,'Leveranser per nät'!O$1,FALSE)
               +Andel_beroende_av_klimat*VLOOKUP($A270,Leveranser_per_nät,'Leveranser per nät'!O$1,FALSE)/VLOOKUP($B270,Korrigeringsfaktor_EI,'Korrigeringsfaktor EI'!O$1,FALSE),
"")</f>
        <v>0</v>
      </c>
      <c r="P270" s="18">
        <f>IFERROR(
                  Andel_oberoende_av_klimat*VLOOKUP($A270,Leveranser_per_nät,'Leveranser per nät'!P$1,FALSE)
               +Andel_beroende_av_klimat*VLOOKUP($A270,Leveranser_per_nät,'Leveranser per nät'!P$1,FALSE)/VLOOKUP($B270,Korrigeringsfaktor_EI,'Korrigeringsfaktor EI'!P$1,FALSE),
"")</f>
        <v>0</v>
      </c>
      <c r="Q270" s="18">
        <f>IFERROR(
                  Andel_oberoende_av_klimat*VLOOKUP($A270,Leveranser_per_nät,'Leveranser per nät'!Q$1,FALSE)
               +Andel_beroende_av_klimat*VLOOKUP($A270,Leveranser_per_nät,'Leveranser per nät'!Q$1,FALSE)/VLOOKUP($B270,Korrigeringsfaktor_EI,'Korrigeringsfaktor EI'!Q$1,FALSE),
"")</f>
        <v>0</v>
      </c>
      <c r="R270" s="18">
        <f>IFERROR(
                  Andel_oberoende_av_klimat*VLOOKUP($A270,Leveranser_per_nät,'Leveranser per nät'!R$1,FALSE)
               +Andel_beroende_av_klimat*VLOOKUP($A270,Leveranser_per_nät,'Leveranser per nät'!R$1,FALSE)/VLOOKUP($B270,Korrigeringsfaktor_EI,'Korrigeringsfaktor EI'!R$1,FALSE),
"")</f>
        <v>0</v>
      </c>
      <c r="S270" s="18" t="str">
        <f>IFERROR(
                  Andel_oberoende_av_klimat*VLOOKUP($A270,Leveranser_per_nät,'Leveranser per nät'!S$1,FALSE)
               +Andel_beroende_av_klimat*VLOOKUP($A270,Leveranser_per_nät,'Leveranser per nät'!S$1,FALSE)/VLOOKUP($B270,Korrigeringsfaktor_EI,'Korrigeringsfaktor EI'!S$1,FALSE),
"")</f>
        <v/>
      </c>
      <c r="T270" s="18" t="str">
        <f>IFERROR(
                  Andel_oberoende_av_klimat*VLOOKUP($A270,Leveranser_per_nät,'Leveranser per nät'!T$1,FALSE)
               +Andel_beroende_av_klimat*VLOOKUP($A270,Leveranser_per_nät,'Leveranser per nät'!T$1,FALSE)/VLOOKUP($B270,Korrigeringsfaktor_EI,'Korrigeringsfaktor EI'!T$1,FALSE),
"")</f>
        <v/>
      </c>
      <c r="U270" s="18" t="str">
        <f>IFERROR(
                  Andel_oberoende_av_klimat*VLOOKUP($A270,Leveranser_per_nät,'Leveranser per nät'!U$1,FALSE)
               +Andel_beroende_av_klimat*VLOOKUP($A270,Leveranser_per_nät,'Leveranser per nät'!U$1,FALSE)/VLOOKUP($B270,Korrigeringsfaktor_EI,'Korrigeringsfaktor EI'!U$1,FALSE),
"")</f>
        <v/>
      </c>
      <c r="V270" s="18" t="str">
        <f>IFERROR(
                  Andel_oberoende_av_klimat*VLOOKUP($A270,Leveranser_per_nät,'Leveranser per nät'!V$1,FALSE)
               +Andel_beroende_av_klimat*VLOOKUP($A270,Leveranser_per_nät,'Leveranser per nät'!V$1,FALSE)/VLOOKUP($B270,Korrigeringsfaktor_EI,'Korrigeringsfaktor EI'!V$1,FALSE),
"")</f>
        <v/>
      </c>
      <c r="W270" s="18" t="str">
        <f>IFERROR(
                  Andel_oberoende_av_klimat*VLOOKUP($A270,Leveranser_per_nät,'Leveranser per nät'!W$1,FALSE)
               +Andel_beroende_av_klimat*VLOOKUP($A270,Leveranser_per_nät,'Leveranser per nät'!W$1,FALSE)/VLOOKUP($B270,Korrigeringsfaktor_EI,'Korrigeringsfaktor EI'!W$1,FALSE),
"")</f>
        <v/>
      </c>
      <c r="X270" s="18" t="str">
        <f>IFERROR(
                  Andel_oberoende_av_klimat*VLOOKUP($A270,Leveranser_per_nät,'Leveranser per nät'!X$1,FALSE)
               +Andel_beroende_av_klimat*VLOOKUP($A270,Leveranser_per_nät,'Leveranser per nät'!X$1,FALSE)/VLOOKUP($B270,Korrigeringsfaktor_EI,'Korrigeringsfaktor EI'!X$1,FALSE),
"")</f>
        <v/>
      </c>
      <c r="Y270" s="18" t="str">
        <f>IFERROR(
                  Andel_oberoende_av_klimat*VLOOKUP($A270,Leveranser_per_nät,'Leveranser per nät'!Y$1,FALSE)
               +Andel_beroende_av_klimat*VLOOKUP($A270,Leveranser_per_nät,'Leveranser per nät'!Y$1,FALSE)/VLOOKUP($B270,Korrigeringsfaktor_EI,'Korrigeringsfaktor EI'!Y$1,FALSE),
"")</f>
        <v/>
      </c>
      <c r="Z270" s="18">
        <f>IFERROR(
                  Andel_oberoende_av_klimat*VLOOKUP($A270,Leveranser_per_nät,'Leveranser per nät'!Z$1,FALSE)
               +Andel_beroende_av_klimat*VLOOKUP($A270,Leveranser_per_nät,'Leveranser per nät'!Z$1,FALSE)/VLOOKUP($B270,Korrigeringsfaktor_EI,'Korrigeringsfaktor EI'!Z$1,FALSE),
"")</f>
        <v>0</v>
      </c>
      <c r="AA270" s="18">
        <f>IFERROR(
                  Andel_oberoende_av_klimat*VLOOKUP($A270,Leveranser_per_nät,'Leveranser per nät'!AA$1,FALSE)
               +Andel_beroende_av_klimat*VLOOKUP($A270,Leveranser_per_nät,'Leveranser per nät'!AA$1,FALSE)/VLOOKUP($B270,Korrigeringsfaktor_EI,'Korrigeringsfaktor EI'!AA$1,FALSE),
"")</f>
        <v>0</v>
      </c>
      <c r="AB270" s="18">
        <f>IFERROR(
                  Andel_oberoende_av_klimat*VLOOKUP($A270,Leveranser_per_nät,'Leveranser per nät'!AB$1,FALSE)
               +Andel_beroende_av_klimat*VLOOKUP($A270,Leveranser_per_nät,'Leveranser per nät'!AB$1,FALSE)/VLOOKUP($B270,Korrigeringsfaktor_EI,'Korrigeringsfaktor EI'!AB$1,FALSE),
"")</f>
        <v>0</v>
      </c>
      <c r="AC270" s="18">
        <f>IFERROR(
                  Andel_oberoende_av_klimat*VLOOKUP($A270,Leveranser_per_nät,'Leveranser per nät'!AC$1,FALSE)
               +Andel_beroende_av_klimat*VLOOKUP($A270,Leveranser_per_nät,'Leveranser per nät'!AC$1,FALSE)/VLOOKUP($B270,Korrigeringsfaktor_EI,'Korrigeringsfaktor EI'!AC$1,FALSE),
"")</f>
        <v>0</v>
      </c>
      <c r="AD270">
        <v>668.80600000000004</v>
      </c>
    </row>
    <row r="271" spans="1:30" x14ac:dyDescent="0.25">
      <c r="A271" t="s">
        <v>202</v>
      </c>
      <c r="B271" t="s">
        <v>202</v>
      </c>
      <c r="C271" s="18">
        <f>IFERROR(
                  Andel_oberoende_av_klimat*VLOOKUP($A271,Leveranser_per_nät,'Leveranser per nät'!C$1,FALSE)
               +Andel_beroende_av_klimat*VLOOKUP($A271,Leveranser_per_nät,'Leveranser per nät'!C$1,FALSE)/VLOOKUP($B271,Korrigeringsfaktor_EI,'Korrigeringsfaktor EI'!C$1,FALSE),
"")</f>
        <v>30.340740740740738</v>
      </c>
      <c r="D271" s="18">
        <f>IFERROR(
                  Andel_oberoende_av_klimat*VLOOKUP($A271,Leveranser_per_nät,'Leveranser per nät'!D$1,FALSE)
               +Andel_beroende_av_klimat*VLOOKUP($A271,Leveranser_per_nät,'Leveranser per nät'!D$1,FALSE)/VLOOKUP($B271,Korrigeringsfaktor_EI,'Korrigeringsfaktor EI'!D$1,FALSE),
"")</f>
        <v>38.618350515463916</v>
      </c>
      <c r="E271" s="18">
        <f>IFERROR(
                  Andel_oberoende_av_klimat*VLOOKUP($A271,Leveranser_per_nät,'Leveranser per nät'!E$1,FALSE)
               +Andel_beroende_av_klimat*VLOOKUP($A271,Leveranser_per_nät,'Leveranser per nät'!E$1,FALSE)/VLOOKUP($B271,Korrigeringsfaktor_EI,'Korrigeringsfaktor EI'!E$1,FALSE),
"")</f>
        <v>44.382352941176471</v>
      </c>
      <c r="F271" s="18">
        <f>IFERROR(
                  Andel_oberoende_av_klimat*VLOOKUP($A271,Leveranser_per_nät,'Leveranser per nät'!F$1,FALSE)
               +Andel_beroende_av_klimat*VLOOKUP($A271,Leveranser_per_nät,'Leveranser per nät'!F$1,FALSE)/VLOOKUP($B271,Korrigeringsfaktor_EI,'Korrigeringsfaktor EI'!F$1,FALSE),
"")</f>
        <v>61.173684210526318</v>
      </c>
      <c r="G271" s="18">
        <f>IFERROR(
                  Andel_oberoende_av_klimat*VLOOKUP($A271,Leveranser_per_nät,'Leveranser per nät'!G$1,FALSE)
               +Andel_beroende_av_klimat*VLOOKUP($A271,Leveranser_per_nät,'Leveranser per nät'!G$1,FALSE)/VLOOKUP($B271,Korrigeringsfaktor_EI,'Korrigeringsfaktor EI'!G$1,FALSE),
"")</f>
        <v>61.9314606741573</v>
      </c>
      <c r="H271" s="18">
        <f>IFERROR(
                  Andel_oberoende_av_klimat*VLOOKUP($A271,Leveranser_per_nät,'Leveranser per nät'!H$1,FALSE)
               +Andel_beroende_av_klimat*VLOOKUP($A271,Leveranser_per_nät,'Leveranser per nät'!H$1,FALSE)/VLOOKUP($B271,Korrigeringsfaktor_EI,'Korrigeringsfaktor EI'!H$1,FALSE),
"")</f>
        <v>69.552427184466012</v>
      </c>
      <c r="I271" s="18">
        <f>IFERROR(
                  Andel_oberoende_av_klimat*VLOOKUP($A271,Leveranser_per_nät,'Leveranser per nät'!I$1,FALSE)
               +Andel_beroende_av_klimat*VLOOKUP($A271,Leveranser_per_nät,'Leveranser per nät'!I$1,FALSE)/VLOOKUP($B271,Korrigeringsfaktor_EI,'Korrigeringsfaktor EI'!I$1,FALSE),
"")</f>
        <v>79.688659793814438</v>
      </c>
      <c r="J271" s="18">
        <f>IFERROR(
                  Andel_oberoende_av_klimat*VLOOKUP($A271,Leveranser_per_nät,'Leveranser per nät'!J$1,FALSE)
               +Andel_beroende_av_klimat*VLOOKUP($A271,Leveranser_per_nät,'Leveranser per nät'!J$1,FALSE)/VLOOKUP($B271,Korrigeringsfaktor_EI,'Korrigeringsfaktor EI'!J$1,FALSE),
"")</f>
        <v>89.62929292929293</v>
      </c>
      <c r="K271" s="18">
        <f>IFERROR(
                  Andel_oberoende_av_klimat*VLOOKUP($A271,Leveranser_per_nät,'Leveranser per nät'!K$1,FALSE)
               +Andel_beroende_av_klimat*VLOOKUP($A271,Leveranser_per_nät,'Leveranser per nät'!K$1,FALSE)/VLOOKUP($B271,Korrigeringsfaktor_EI,'Korrigeringsfaktor EI'!K$1,FALSE),
"")</f>
        <v>90.272442857142863</v>
      </c>
      <c r="L271" s="18">
        <f>IFERROR(
                  Andel_oberoende_av_klimat*VLOOKUP($A271,Leveranser_per_nät,'Leveranser per nät'!L$1,FALSE)
               +Andel_beroende_av_klimat*VLOOKUP($A271,Leveranser_per_nät,'Leveranser per nät'!L$1,FALSE)/VLOOKUP($B271,Korrigeringsfaktor_EI,'Korrigeringsfaktor EI'!L$1,FALSE),
"")</f>
        <v>101.61052631578947</v>
      </c>
      <c r="M271" s="18">
        <f>IFERROR(
                  Andel_oberoende_av_klimat*VLOOKUP($A271,Leveranser_per_nät,'Leveranser per nät'!M$1,FALSE)
               +Andel_beroende_av_klimat*VLOOKUP($A271,Leveranser_per_nät,'Leveranser per nät'!M$1,FALSE)/VLOOKUP($B271,Korrigeringsfaktor_EI,'Korrigeringsfaktor EI'!M$1,FALSE),
"")</f>
        <v>116.79006956521738</v>
      </c>
      <c r="N271" s="18">
        <f>IFERROR(
                  Andel_oberoende_av_klimat*VLOOKUP($A271,Leveranser_per_nät,'Leveranser per nät'!N$1,FALSE)
               +Andel_beroende_av_klimat*VLOOKUP($A271,Leveranser_per_nät,'Leveranser per nät'!N$1,FALSE)/VLOOKUP($B271,Korrigeringsfaktor_EI,'Korrigeringsfaktor EI'!N$1,FALSE),
"")</f>
        <v>119.79781363636363</v>
      </c>
      <c r="O271" s="18">
        <f>IFERROR(
                  Andel_oberoende_av_klimat*VLOOKUP($A271,Leveranser_per_nät,'Leveranser per nät'!O$1,FALSE)
               +Andel_beroende_av_klimat*VLOOKUP($A271,Leveranser_per_nät,'Leveranser per nät'!O$1,FALSE)/VLOOKUP($B271,Korrigeringsfaktor_EI,'Korrigeringsfaktor EI'!O$1,FALSE),
"")</f>
        <v>120.40114942528736</v>
      </c>
      <c r="P271" s="18">
        <f>IFERROR(
                  Andel_oberoende_av_klimat*VLOOKUP($A271,Leveranser_per_nät,'Leveranser per nät'!P$1,FALSE)
               +Andel_beroende_av_klimat*VLOOKUP($A271,Leveranser_per_nät,'Leveranser per nät'!P$1,FALSE)/VLOOKUP($B271,Korrigeringsfaktor_EI,'Korrigeringsfaktor EI'!P$1,FALSE),
"")</f>
        <v>145.69204301075268</v>
      </c>
      <c r="Q271" s="18">
        <f>IFERROR(
                  Andel_oberoende_av_klimat*VLOOKUP($A271,Leveranser_per_nät,'Leveranser per nät'!Q$1,FALSE)
               +Andel_beroende_av_klimat*VLOOKUP($A271,Leveranser_per_nät,'Leveranser per nät'!Q$1,FALSE)/VLOOKUP($B271,Korrigeringsfaktor_EI,'Korrigeringsfaktor EI'!Q$1,FALSE),
"")</f>
        <v>139.84889999999999</v>
      </c>
      <c r="R271" s="18">
        <f>IFERROR(
                  Andel_oberoende_av_klimat*VLOOKUP($A271,Leveranser_per_nät,'Leveranser per nät'!R$1,FALSE)
               +Andel_beroende_av_klimat*VLOOKUP($A271,Leveranser_per_nät,'Leveranser per nät'!R$1,FALSE)/VLOOKUP($B271,Korrigeringsfaktor_EI,'Korrigeringsfaktor EI'!R$1,FALSE),
"")</f>
        <v>140.30735393258428</v>
      </c>
      <c r="S271" s="18">
        <f>IFERROR(
                  Andel_oberoende_av_klimat*VLOOKUP($A271,Leveranser_per_nät,'Leveranser per nät'!S$1,FALSE)
               +Andel_beroende_av_klimat*VLOOKUP($A271,Leveranser_per_nät,'Leveranser per nät'!S$1,FALSE)/VLOOKUP($B271,Korrigeringsfaktor_EI,'Korrigeringsfaktor EI'!S$1,FALSE),
"")</f>
        <v>137.92268041237114</v>
      </c>
      <c r="T271" s="18">
        <f>IFERROR(
                  Andel_oberoende_av_klimat*VLOOKUP($A271,Leveranser_per_nät,'Leveranser per nät'!T$1,FALSE)
               +Andel_beroende_av_klimat*VLOOKUP($A271,Leveranser_per_nät,'Leveranser per nät'!T$1,FALSE)/VLOOKUP($B271,Korrigeringsfaktor_EI,'Korrigeringsfaktor EI'!T$1,FALSE),
"")</f>
        <v>136.09174736842107</v>
      </c>
      <c r="U271" s="18">
        <f>IFERROR(
                  Andel_oberoende_av_klimat*VLOOKUP($A271,Leveranser_per_nät,'Leveranser per nät'!U$1,FALSE)
               +Andel_beroende_av_klimat*VLOOKUP($A271,Leveranser_per_nät,'Leveranser per nät'!U$1,FALSE)/VLOOKUP($B271,Korrigeringsfaktor_EI,'Korrigeringsfaktor EI'!U$1,FALSE),
"")</f>
        <v>132.00348837209302</v>
      </c>
      <c r="V271" s="18">
        <f>IFERROR(
                  Andel_oberoende_av_klimat*VLOOKUP($A271,Leveranser_per_nät,'Leveranser per nät'!V$1,FALSE)
               +Andel_beroende_av_klimat*VLOOKUP($A271,Leveranser_per_nät,'Leveranser per nät'!V$1,FALSE)/VLOOKUP($B271,Korrigeringsfaktor_EI,'Korrigeringsfaktor EI'!V$1,FALSE),
"")</f>
        <v>132.10988505747125</v>
      </c>
      <c r="W271" s="18">
        <f>IFERROR(
                  Andel_oberoende_av_klimat*VLOOKUP($A271,Leveranser_per_nät,'Leveranser per nät'!W$1,FALSE)
               +Andel_beroende_av_klimat*VLOOKUP($A271,Leveranser_per_nät,'Leveranser per nät'!W$1,FALSE)/VLOOKUP($B271,Korrigeringsfaktor_EI,'Korrigeringsfaktor EI'!W$1,FALSE),
"")</f>
        <v>134.34595744680851</v>
      </c>
      <c r="X271" s="18">
        <f>IFERROR(
                  Andel_oberoende_av_klimat*VLOOKUP($A271,Leveranser_per_nät,'Leveranser per nät'!X$1,FALSE)
               +Andel_beroende_av_klimat*VLOOKUP($A271,Leveranser_per_nät,'Leveranser per nät'!X$1,FALSE)/VLOOKUP($B271,Korrigeringsfaktor_EI,'Korrigeringsfaktor EI'!X$1,FALSE),
"")</f>
        <v>132.56201739130435</v>
      </c>
      <c r="Y271" s="18">
        <f>IFERROR(
                  Andel_oberoende_av_klimat*VLOOKUP($A271,Leveranser_per_nät,'Leveranser per nät'!Y$1,FALSE)
               +Andel_beroende_av_klimat*VLOOKUP($A271,Leveranser_per_nät,'Leveranser per nät'!Y$1,FALSE)/VLOOKUP($B271,Korrigeringsfaktor_EI,'Korrigeringsfaktor EI'!Y$1,FALSE),
"")</f>
        <v>138.33601111111113</v>
      </c>
      <c r="Z271" s="18">
        <f>IFERROR(
                  Andel_oberoende_av_klimat*VLOOKUP($A271,Leveranser_per_nät,'Leveranser per nät'!Z$1,FALSE)
               +Andel_beroende_av_klimat*VLOOKUP($A271,Leveranser_per_nät,'Leveranser per nät'!Z$1,FALSE)/VLOOKUP($B271,Korrigeringsfaktor_EI,'Korrigeringsfaktor EI'!Z$1,FALSE),
"")</f>
        <v>137.92649090909092</v>
      </c>
      <c r="AA271" s="18">
        <f>IFERROR(
                  Andel_oberoende_av_klimat*VLOOKUP($A271,Leveranser_per_nät,'Leveranser per nät'!AA$1,FALSE)
               +Andel_beroende_av_klimat*VLOOKUP($A271,Leveranser_per_nät,'Leveranser per nät'!AA$1,FALSE)/VLOOKUP($B271,Korrigeringsfaktor_EI,'Korrigeringsfaktor EI'!AA$1,FALSE),
"")</f>
        <v>137.16783557138942</v>
      </c>
      <c r="AB271" s="18">
        <f>IFERROR(
                  Andel_oberoende_av_klimat*VLOOKUP($A271,Leveranser_per_nät,'Leveranser per nät'!AB$1,FALSE)
               +Andel_beroende_av_klimat*VLOOKUP($A271,Leveranser_per_nät,'Leveranser per nät'!AB$1,FALSE)/VLOOKUP($B271,Korrigeringsfaktor_EI,'Korrigeringsfaktor EI'!AB$1,FALSE),
"")</f>
        <v>140.18166336633664</v>
      </c>
      <c r="AC271" s="18">
        <f>IFERROR(
                  Andel_oberoende_av_klimat*VLOOKUP($A271,Leveranser_per_nät,'Leveranser per nät'!AC$1,FALSE)
               +Andel_beroende_av_klimat*VLOOKUP($A271,Leveranser_per_nät,'Leveranser per nät'!AC$1,FALSE)/VLOOKUP($B271,Korrigeringsfaktor_EI,'Korrigeringsfaktor EI'!AC$1,FALSE),
"")</f>
        <v>138.66120447284345</v>
      </c>
      <c r="AD271">
        <v>132.63</v>
      </c>
    </row>
    <row r="272" spans="1:30" x14ac:dyDescent="0.25">
      <c r="A272" t="s">
        <v>407</v>
      </c>
      <c r="B272" t="s">
        <v>203</v>
      </c>
      <c r="C272" s="18" t="str">
        <f>IFERROR(
                  Andel_oberoende_av_klimat*VLOOKUP($A272,Leveranser_per_nät,'Leveranser per nät'!C$1,FALSE)
               +Andel_beroende_av_klimat*VLOOKUP($A272,Leveranser_per_nät,'Leveranser per nät'!C$1,FALSE)/VLOOKUP($B272,Korrigeringsfaktor_EI,'Korrigeringsfaktor EI'!C$1,FALSE),
"")</f>
        <v/>
      </c>
      <c r="D272" s="18" t="str">
        <f>IFERROR(
                  Andel_oberoende_av_klimat*VLOOKUP($A272,Leveranser_per_nät,'Leveranser per nät'!D$1,FALSE)
               +Andel_beroende_av_klimat*VLOOKUP($A272,Leveranser_per_nät,'Leveranser per nät'!D$1,FALSE)/VLOOKUP($B272,Korrigeringsfaktor_EI,'Korrigeringsfaktor EI'!D$1,FALSE),
"")</f>
        <v/>
      </c>
      <c r="E272" s="18" t="str">
        <f>IFERROR(
                  Andel_oberoende_av_klimat*VLOOKUP($A272,Leveranser_per_nät,'Leveranser per nät'!E$1,FALSE)
               +Andel_beroende_av_klimat*VLOOKUP($A272,Leveranser_per_nät,'Leveranser per nät'!E$1,FALSE)/VLOOKUP($B272,Korrigeringsfaktor_EI,'Korrigeringsfaktor EI'!E$1,FALSE),
"")</f>
        <v/>
      </c>
      <c r="F272" s="18" t="str">
        <f>IFERROR(
                  Andel_oberoende_av_klimat*VLOOKUP($A272,Leveranser_per_nät,'Leveranser per nät'!F$1,FALSE)
               +Andel_beroende_av_klimat*VLOOKUP($A272,Leveranser_per_nät,'Leveranser per nät'!F$1,FALSE)/VLOOKUP($B272,Korrigeringsfaktor_EI,'Korrigeringsfaktor EI'!F$1,FALSE),
"")</f>
        <v/>
      </c>
      <c r="G272" s="18" t="str">
        <f>IFERROR(
                  Andel_oberoende_av_klimat*VLOOKUP($A272,Leveranser_per_nät,'Leveranser per nät'!G$1,FALSE)
               +Andel_beroende_av_klimat*VLOOKUP($A272,Leveranser_per_nät,'Leveranser per nät'!G$1,FALSE)/VLOOKUP($B272,Korrigeringsfaktor_EI,'Korrigeringsfaktor EI'!G$1,FALSE),
"")</f>
        <v/>
      </c>
      <c r="H272" s="18" t="str">
        <f>IFERROR(
                  Andel_oberoende_av_klimat*VLOOKUP($A272,Leveranser_per_nät,'Leveranser per nät'!H$1,FALSE)
               +Andel_beroende_av_klimat*VLOOKUP($A272,Leveranser_per_nät,'Leveranser per nät'!H$1,FALSE)/VLOOKUP($B272,Korrigeringsfaktor_EI,'Korrigeringsfaktor EI'!H$1,FALSE),
"")</f>
        <v/>
      </c>
      <c r="I272" s="18" t="str">
        <f>IFERROR(
                  Andel_oberoende_av_klimat*VLOOKUP($A272,Leveranser_per_nät,'Leveranser per nät'!I$1,FALSE)
               +Andel_beroende_av_klimat*VLOOKUP($A272,Leveranser_per_nät,'Leveranser per nät'!I$1,FALSE)/VLOOKUP($B272,Korrigeringsfaktor_EI,'Korrigeringsfaktor EI'!I$1,FALSE),
"")</f>
        <v/>
      </c>
      <c r="J272" s="18" t="str">
        <f>IFERROR(
                  Andel_oberoende_av_klimat*VLOOKUP($A272,Leveranser_per_nät,'Leveranser per nät'!J$1,FALSE)
               +Andel_beroende_av_klimat*VLOOKUP($A272,Leveranser_per_nät,'Leveranser per nät'!J$1,FALSE)/VLOOKUP($B272,Korrigeringsfaktor_EI,'Korrigeringsfaktor EI'!J$1,FALSE),
"")</f>
        <v/>
      </c>
      <c r="K272" s="18" t="str">
        <f>IFERROR(
                  Andel_oberoende_av_klimat*VLOOKUP($A272,Leveranser_per_nät,'Leveranser per nät'!K$1,FALSE)
               +Andel_beroende_av_klimat*VLOOKUP($A272,Leveranser_per_nät,'Leveranser per nät'!K$1,FALSE)/VLOOKUP($B272,Korrigeringsfaktor_EI,'Korrigeringsfaktor EI'!K$1,FALSE),
"")</f>
        <v/>
      </c>
      <c r="L272" s="18" t="str">
        <f>IFERROR(
                  Andel_oberoende_av_klimat*VLOOKUP($A272,Leveranser_per_nät,'Leveranser per nät'!L$1,FALSE)
               +Andel_beroende_av_klimat*VLOOKUP($A272,Leveranser_per_nät,'Leveranser per nät'!L$1,FALSE)/VLOOKUP($B272,Korrigeringsfaktor_EI,'Korrigeringsfaktor EI'!L$1,FALSE),
"")</f>
        <v/>
      </c>
      <c r="M272" s="18" t="str">
        <f>IFERROR(
                  Andel_oberoende_av_klimat*VLOOKUP($A272,Leveranser_per_nät,'Leveranser per nät'!M$1,FALSE)
               +Andel_beroende_av_klimat*VLOOKUP($A272,Leveranser_per_nät,'Leveranser per nät'!M$1,FALSE)/VLOOKUP($B272,Korrigeringsfaktor_EI,'Korrigeringsfaktor EI'!M$1,FALSE),
"")</f>
        <v/>
      </c>
      <c r="N272" s="18" t="str">
        <f>IFERROR(
                  Andel_oberoende_av_klimat*VLOOKUP($A272,Leveranser_per_nät,'Leveranser per nät'!N$1,FALSE)
               +Andel_beroende_av_klimat*VLOOKUP($A272,Leveranser_per_nät,'Leveranser per nät'!N$1,FALSE)/VLOOKUP($B272,Korrigeringsfaktor_EI,'Korrigeringsfaktor EI'!N$1,FALSE),
"")</f>
        <v/>
      </c>
      <c r="O272" s="18" t="str">
        <f>IFERROR(
                  Andel_oberoende_av_klimat*VLOOKUP($A272,Leveranser_per_nät,'Leveranser per nät'!O$1,FALSE)
               +Andel_beroende_av_klimat*VLOOKUP($A272,Leveranser_per_nät,'Leveranser per nät'!O$1,FALSE)/VLOOKUP($B272,Korrigeringsfaktor_EI,'Korrigeringsfaktor EI'!O$1,FALSE),
"")</f>
        <v/>
      </c>
      <c r="P272" s="18" t="str">
        <f>IFERROR(
                  Andel_oberoende_av_klimat*VLOOKUP($A272,Leveranser_per_nät,'Leveranser per nät'!P$1,FALSE)
               +Andel_beroende_av_klimat*VLOOKUP($A272,Leveranser_per_nät,'Leveranser per nät'!P$1,FALSE)/VLOOKUP($B272,Korrigeringsfaktor_EI,'Korrigeringsfaktor EI'!P$1,FALSE),
"")</f>
        <v/>
      </c>
      <c r="Q272" s="18" t="str">
        <f>IFERROR(
                  Andel_oberoende_av_klimat*VLOOKUP($A272,Leveranser_per_nät,'Leveranser per nät'!Q$1,FALSE)
               +Andel_beroende_av_klimat*VLOOKUP($A272,Leveranser_per_nät,'Leveranser per nät'!Q$1,FALSE)/VLOOKUP($B272,Korrigeringsfaktor_EI,'Korrigeringsfaktor EI'!Q$1,FALSE),
"")</f>
        <v/>
      </c>
      <c r="R272" s="18" t="str">
        <f>IFERROR(
                  Andel_oberoende_av_klimat*VLOOKUP($A272,Leveranser_per_nät,'Leveranser per nät'!R$1,FALSE)
               +Andel_beroende_av_klimat*VLOOKUP($A272,Leveranser_per_nät,'Leveranser per nät'!R$1,FALSE)/VLOOKUP($B272,Korrigeringsfaktor_EI,'Korrigeringsfaktor EI'!R$1,FALSE),
"")</f>
        <v/>
      </c>
      <c r="S272" s="18" t="str">
        <f>IFERROR(
                  Andel_oberoende_av_klimat*VLOOKUP($A272,Leveranser_per_nät,'Leveranser per nät'!S$1,FALSE)
               +Andel_beroende_av_klimat*VLOOKUP($A272,Leveranser_per_nät,'Leveranser per nät'!S$1,FALSE)/VLOOKUP($B272,Korrigeringsfaktor_EI,'Korrigeringsfaktor EI'!S$1,FALSE),
"")</f>
        <v/>
      </c>
      <c r="T272" s="18" t="str">
        <f>IFERROR(
                  Andel_oberoende_av_klimat*VLOOKUP($A272,Leveranser_per_nät,'Leveranser per nät'!T$1,FALSE)
               +Andel_beroende_av_klimat*VLOOKUP($A272,Leveranser_per_nät,'Leveranser per nät'!T$1,FALSE)/VLOOKUP($B272,Korrigeringsfaktor_EI,'Korrigeringsfaktor EI'!T$1,FALSE),
"")</f>
        <v/>
      </c>
      <c r="U272" s="18" t="str">
        <f>IFERROR(
                  Andel_oberoende_av_klimat*VLOOKUP($A272,Leveranser_per_nät,'Leveranser per nät'!U$1,FALSE)
               +Andel_beroende_av_klimat*VLOOKUP($A272,Leveranser_per_nät,'Leveranser per nät'!U$1,FALSE)/VLOOKUP($B272,Korrigeringsfaktor_EI,'Korrigeringsfaktor EI'!U$1,FALSE),
"")</f>
        <v/>
      </c>
      <c r="V272" s="18" t="str">
        <f>IFERROR(
                  Andel_oberoende_av_klimat*VLOOKUP($A272,Leveranser_per_nät,'Leveranser per nät'!V$1,FALSE)
               +Andel_beroende_av_klimat*VLOOKUP($A272,Leveranser_per_nät,'Leveranser per nät'!V$1,FALSE)/VLOOKUP($B272,Korrigeringsfaktor_EI,'Korrigeringsfaktor EI'!V$1,FALSE),
"")</f>
        <v/>
      </c>
      <c r="W272" s="18" t="str">
        <f>IFERROR(
                  Andel_oberoende_av_klimat*VLOOKUP($A272,Leveranser_per_nät,'Leveranser per nät'!W$1,FALSE)
               +Andel_beroende_av_klimat*VLOOKUP($A272,Leveranser_per_nät,'Leveranser per nät'!W$1,FALSE)/VLOOKUP($B272,Korrigeringsfaktor_EI,'Korrigeringsfaktor EI'!W$1,FALSE),
"")</f>
        <v/>
      </c>
      <c r="X272" s="18" t="str">
        <f>IFERROR(
                  Andel_oberoende_av_klimat*VLOOKUP($A272,Leveranser_per_nät,'Leveranser per nät'!X$1,FALSE)
               +Andel_beroende_av_klimat*VLOOKUP($A272,Leveranser_per_nät,'Leveranser per nät'!X$1,FALSE)/VLOOKUP($B272,Korrigeringsfaktor_EI,'Korrigeringsfaktor EI'!X$1,FALSE),
"")</f>
        <v/>
      </c>
      <c r="Y272" s="18" t="str">
        <f>IFERROR(
                  Andel_oberoende_av_klimat*VLOOKUP($A272,Leveranser_per_nät,'Leveranser per nät'!Y$1,FALSE)
               +Andel_beroende_av_klimat*VLOOKUP($A272,Leveranser_per_nät,'Leveranser per nät'!Y$1,FALSE)/VLOOKUP($B272,Korrigeringsfaktor_EI,'Korrigeringsfaktor EI'!Y$1,FALSE),
"")</f>
        <v/>
      </c>
      <c r="Z272" s="18" t="str">
        <f>IFERROR(
                  Andel_oberoende_av_klimat*VLOOKUP($A272,Leveranser_per_nät,'Leveranser per nät'!Z$1,FALSE)
               +Andel_beroende_av_klimat*VLOOKUP($A272,Leveranser_per_nät,'Leveranser per nät'!Z$1,FALSE)/VLOOKUP($B272,Korrigeringsfaktor_EI,'Korrigeringsfaktor EI'!Z$1,FALSE),
"")</f>
        <v/>
      </c>
      <c r="AA272" s="18" t="str">
        <f>IFERROR(
                  Andel_oberoende_av_klimat*VLOOKUP($A272,Leveranser_per_nät,'Leveranser per nät'!AA$1,FALSE)
               +Andel_beroende_av_klimat*VLOOKUP($A272,Leveranser_per_nät,'Leveranser per nät'!AA$1,FALSE)/VLOOKUP($B272,Korrigeringsfaktor_EI,'Korrigeringsfaktor EI'!AA$1,FALSE),
"")</f>
        <v/>
      </c>
      <c r="AB272" s="18" t="str">
        <f>IFERROR(
                  Andel_oberoende_av_klimat*VLOOKUP($A272,Leveranser_per_nät,'Leveranser per nät'!AB$1,FALSE)
               +Andel_beroende_av_klimat*VLOOKUP($A272,Leveranser_per_nät,'Leveranser per nät'!AB$1,FALSE)/VLOOKUP($B272,Korrigeringsfaktor_EI,'Korrigeringsfaktor EI'!AB$1,FALSE),
"")</f>
        <v/>
      </c>
      <c r="AC272" s="18" t="str">
        <f>IFERROR(
                  Andel_oberoende_av_klimat*VLOOKUP($A272,Leveranser_per_nät,'Leveranser per nät'!AC$1,FALSE)
               +Andel_beroende_av_klimat*VLOOKUP($A272,Leveranser_per_nät,'Leveranser per nät'!AC$1,FALSE)/VLOOKUP($B272,Korrigeringsfaktor_EI,'Korrigeringsfaktor EI'!AC$1,FALSE),
"")</f>
        <v/>
      </c>
      <c r="AD272" t="e">
        <v>#N/A</v>
      </c>
    </row>
    <row r="273" spans="1:30" x14ac:dyDescent="0.25">
      <c r="A273" t="s">
        <v>82</v>
      </c>
      <c r="B273" t="s">
        <v>82</v>
      </c>
      <c r="C273" s="18">
        <f>IFERROR(
                  Andel_oberoende_av_klimat*VLOOKUP($A273,Leveranser_per_nät,'Leveranser per nät'!C$1,FALSE)
               +Andel_beroende_av_klimat*VLOOKUP($A273,Leveranser_per_nät,'Leveranser per nät'!C$1,FALSE)/VLOOKUP($B273,Korrigeringsfaktor_EI,'Korrigeringsfaktor EI'!C$1,FALSE),
"")</f>
        <v>0</v>
      </c>
      <c r="D273" s="18">
        <f>IFERROR(
                  Andel_oberoende_av_klimat*VLOOKUP($A273,Leveranser_per_nät,'Leveranser per nät'!D$1,FALSE)
               +Andel_beroende_av_klimat*VLOOKUP($A273,Leveranser_per_nät,'Leveranser per nät'!D$1,FALSE)/VLOOKUP($B273,Korrigeringsfaktor_EI,'Korrigeringsfaktor EI'!D$1,FALSE),
"")</f>
        <v>0</v>
      </c>
      <c r="E273" s="18">
        <f>IFERROR(
                  Andel_oberoende_av_klimat*VLOOKUP($A273,Leveranser_per_nät,'Leveranser per nät'!E$1,FALSE)
               +Andel_beroende_av_klimat*VLOOKUP($A273,Leveranser_per_nät,'Leveranser per nät'!E$1,FALSE)/VLOOKUP($B273,Korrigeringsfaktor_EI,'Korrigeringsfaktor EI'!E$1,FALSE),
"")</f>
        <v>0</v>
      </c>
      <c r="F273" s="18">
        <f>IFERROR(
                  Andel_oberoende_av_klimat*VLOOKUP($A273,Leveranser_per_nät,'Leveranser per nät'!F$1,FALSE)
               +Andel_beroende_av_klimat*VLOOKUP($A273,Leveranser_per_nät,'Leveranser per nät'!F$1,FALSE)/VLOOKUP($B273,Korrigeringsfaktor_EI,'Korrigeringsfaktor EI'!F$1,FALSE),
"")</f>
        <v>0</v>
      </c>
      <c r="G273" s="18">
        <f>IFERROR(
                  Andel_oberoende_av_klimat*VLOOKUP($A273,Leveranser_per_nät,'Leveranser per nät'!G$1,FALSE)
               +Andel_beroende_av_klimat*VLOOKUP($A273,Leveranser_per_nät,'Leveranser per nät'!G$1,FALSE)/VLOOKUP($B273,Korrigeringsfaktor_EI,'Korrigeringsfaktor EI'!G$1,FALSE),
"")</f>
        <v>0</v>
      </c>
      <c r="H273" s="18">
        <f>IFERROR(
                  Andel_oberoende_av_klimat*VLOOKUP($A273,Leveranser_per_nät,'Leveranser per nät'!H$1,FALSE)
               +Andel_beroende_av_klimat*VLOOKUP($A273,Leveranser_per_nät,'Leveranser per nät'!H$1,FALSE)/VLOOKUP($B273,Korrigeringsfaktor_EI,'Korrigeringsfaktor EI'!H$1,FALSE),
"")</f>
        <v>0</v>
      </c>
      <c r="I273" s="18">
        <f>IFERROR(
                  Andel_oberoende_av_klimat*VLOOKUP($A273,Leveranser_per_nät,'Leveranser per nät'!I$1,FALSE)
               +Andel_beroende_av_klimat*VLOOKUP($A273,Leveranser_per_nät,'Leveranser per nät'!I$1,FALSE)/VLOOKUP($B273,Korrigeringsfaktor_EI,'Korrigeringsfaktor EI'!I$1,FALSE),
"")</f>
        <v>0</v>
      </c>
      <c r="J273" s="18">
        <f>IFERROR(
                  Andel_oberoende_av_klimat*VLOOKUP($A273,Leveranser_per_nät,'Leveranser per nät'!J$1,FALSE)
               +Andel_beroende_av_klimat*VLOOKUP($A273,Leveranser_per_nät,'Leveranser per nät'!J$1,FALSE)/VLOOKUP($B273,Korrigeringsfaktor_EI,'Korrigeringsfaktor EI'!J$1,FALSE),
"")</f>
        <v>0</v>
      </c>
      <c r="K273" s="18">
        <f>IFERROR(
                  Andel_oberoende_av_klimat*VLOOKUP($A273,Leveranser_per_nät,'Leveranser per nät'!K$1,FALSE)
               +Andel_beroende_av_klimat*VLOOKUP($A273,Leveranser_per_nät,'Leveranser per nät'!K$1,FALSE)/VLOOKUP($B273,Korrigeringsfaktor_EI,'Korrigeringsfaktor EI'!K$1,FALSE),
"")</f>
        <v>0</v>
      </c>
      <c r="L273" s="18">
        <f>IFERROR(
                  Andel_oberoende_av_klimat*VLOOKUP($A273,Leveranser_per_nät,'Leveranser per nät'!L$1,FALSE)
               +Andel_beroende_av_klimat*VLOOKUP($A273,Leveranser_per_nät,'Leveranser per nät'!L$1,FALSE)/VLOOKUP($B273,Korrigeringsfaktor_EI,'Korrigeringsfaktor EI'!L$1,FALSE),
"")</f>
        <v>0</v>
      </c>
      <c r="M273" s="18">
        <f>IFERROR(
                  Andel_oberoende_av_klimat*VLOOKUP($A273,Leveranser_per_nät,'Leveranser per nät'!M$1,FALSE)
               +Andel_beroende_av_klimat*VLOOKUP($A273,Leveranser_per_nät,'Leveranser per nät'!M$1,FALSE)/VLOOKUP($B273,Korrigeringsfaktor_EI,'Korrigeringsfaktor EI'!M$1,FALSE),
"")</f>
        <v>18.459130434782608</v>
      </c>
      <c r="N273" s="18">
        <f>IFERROR(
                  Andel_oberoende_av_klimat*VLOOKUP($A273,Leveranser_per_nät,'Leveranser per nät'!N$1,FALSE)
               +Andel_beroende_av_klimat*VLOOKUP($A273,Leveranser_per_nät,'Leveranser per nät'!N$1,FALSE)/VLOOKUP($B273,Korrigeringsfaktor_EI,'Korrigeringsfaktor EI'!N$1,FALSE),
"")</f>
        <v>18.322222222222219</v>
      </c>
      <c r="O273" s="18">
        <f>IFERROR(
                  Andel_oberoende_av_klimat*VLOOKUP($A273,Leveranser_per_nät,'Leveranser per nät'!O$1,FALSE)
               +Andel_beroende_av_klimat*VLOOKUP($A273,Leveranser_per_nät,'Leveranser per nät'!O$1,FALSE)/VLOOKUP($B273,Korrigeringsfaktor_EI,'Korrigeringsfaktor EI'!O$1,FALSE),
"")</f>
        <v>16.81548888888889</v>
      </c>
      <c r="P273" s="18">
        <f>IFERROR(
                  Andel_oberoende_av_klimat*VLOOKUP($A273,Leveranser_per_nät,'Leveranser per nät'!P$1,FALSE)
               +Andel_beroende_av_klimat*VLOOKUP($A273,Leveranser_per_nät,'Leveranser per nät'!P$1,FALSE)/VLOOKUP($B273,Korrigeringsfaktor_EI,'Korrigeringsfaktor EI'!P$1,FALSE),
"")</f>
        <v>19.890778947368425</v>
      </c>
      <c r="Q273" s="18">
        <f>IFERROR(
                  Andel_oberoende_av_klimat*VLOOKUP($A273,Leveranser_per_nät,'Leveranser per nät'!Q$1,FALSE)
               +Andel_beroende_av_klimat*VLOOKUP($A273,Leveranser_per_nät,'Leveranser per nät'!Q$1,FALSE)/VLOOKUP($B273,Korrigeringsfaktor_EI,'Korrigeringsfaktor EI'!Q$1,FALSE),
"")</f>
        <v>20.350000000000001</v>
      </c>
      <c r="R273" s="18">
        <f>IFERROR(
                  Andel_oberoende_av_klimat*VLOOKUP($A273,Leveranser_per_nät,'Leveranser per nät'!R$1,FALSE)
               +Andel_beroende_av_klimat*VLOOKUP($A273,Leveranser_per_nät,'Leveranser per nät'!R$1,FALSE)/VLOOKUP($B273,Korrigeringsfaktor_EI,'Korrigeringsfaktor EI'!R$1,FALSE),
"")</f>
        <v>20.271898250515051</v>
      </c>
      <c r="S273" s="18">
        <f>IFERROR(
                  Andel_oberoende_av_klimat*VLOOKUP($A273,Leveranser_per_nät,'Leveranser per nät'!S$1,FALSE)
               +Andel_beroende_av_klimat*VLOOKUP($A273,Leveranser_per_nät,'Leveranser per nät'!S$1,FALSE)/VLOOKUP($B273,Korrigeringsfaktor_EI,'Korrigeringsfaktor EI'!S$1,FALSE),
"")</f>
        <v>21.698039215686272</v>
      </c>
      <c r="T273" s="18">
        <f>IFERROR(
                  Andel_oberoende_av_klimat*VLOOKUP($A273,Leveranser_per_nät,'Leveranser per nät'!T$1,FALSE)
               +Andel_beroende_av_klimat*VLOOKUP($A273,Leveranser_per_nät,'Leveranser per nät'!T$1,FALSE)/VLOOKUP($B273,Korrigeringsfaktor_EI,'Korrigeringsfaktor EI'!T$1,FALSE),
"")</f>
        <v>22.922857142857143</v>
      </c>
      <c r="U273" s="18">
        <f>IFERROR(
                  Andel_oberoende_av_klimat*VLOOKUP($A273,Leveranser_per_nät,'Leveranser per nät'!U$1,FALSE)
               +Andel_beroende_av_klimat*VLOOKUP($A273,Leveranser_per_nät,'Leveranser per nät'!U$1,FALSE)/VLOOKUP($B273,Korrigeringsfaktor_EI,'Korrigeringsfaktor EI'!U$1,FALSE),
"")</f>
        <v>24.190689655172413</v>
      </c>
      <c r="V273" s="18">
        <f>IFERROR(
                  Andel_oberoende_av_klimat*VLOOKUP($A273,Leveranser_per_nät,'Leveranser per nät'!V$1,FALSE)
               +Andel_beroende_av_klimat*VLOOKUP($A273,Leveranser_per_nät,'Leveranser per nät'!V$1,FALSE)/VLOOKUP($B273,Korrigeringsfaktor_EI,'Korrigeringsfaktor EI'!V$1,FALSE),
"")</f>
        <v>22.316989247311824</v>
      </c>
      <c r="W273" s="18">
        <f>IFERROR(
                  Andel_oberoende_av_klimat*VLOOKUP($A273,Leveranser_per_nät,'Leveranser per nät'!W$1,FALSE)
               +Andel_beroende_av_klimat*VLOOKUP($A273,Leveranser_per_nät,'Leveranser per nät'!W$1,FALSE)/VLOOKUP($B273,Korrigeringsfaktor_EI,'Korrigeringsfaktor EI'!W$1,FALSE),
"")</f>
        <v>22.316989247311824</v>
      </c>
      <c r="X273" s="18">
        <f>IFERROR(
                  Andel_oberoende_av_klimat*VLOOKUP($A273,Leveranser_per_nät,'Leveranser per nät'!X$1,FALSE)
               +Andel_beroende_av_klimat*VLOOKUP($A273,Leveranser_per_nät,'Leveranser per nät'!X$1,FALSE)/VLOOKUP($B273,Korrigeringsfaktor_EI,'Korrigeringsfaktor EI'!X$1,FALSE),
"")</f>
        <v>21.853913043478261</v>
      </c>
      <c r="Y273" s="18">
        <f>IFERROR(
                  Andel_oberoende_av_klimat*VLOOKUP($A273,Leveranser_per_nät,'Leveranser per nät'!Y$1,FALSE)
               +Andel_beroende_av_klimat*VLOOKUP($A273,Leveranser_per_nät,'Leveranser per nät'!Y$1,FALSE)/VLOOKUP($B273,Korrigeringsfaktor_EI,'Korrigeringsfaktor EI'!Y$1,FALSE),
"")</f>
        <v>22.50186046511628</v>
      </c>
      <c r="Z273" s="18">
        <f>IFERROR(
                  Andel_oberoende_av_klimat*VLOOKUP($A273,Leveranser_per_nät,'Leveranser per nät'!Z$1,FALSE)
               +Andel_beroende_av_klimat*VLOOKUP($A273,Leveranser_per_nät,'Leveranser per nät'!Z$1,FALSE)/VLOOKUP($B273,Korrigeringsfaktor_EI,'Korrigeringsfaktor EI'!Z$1,FALSE),
"")</f>
        <v>21.986666666666665</v>
      </c>
      <c r="AA273" s="18">
        <f>IFERROR(
                  Andel_oberoende_av_klimat*VLOOKUP($A273,Leveranser_per_nät,'Leveranser per nät'!AA$1,FALSE)
               +Andel_beroende_av_klimat*VLOOKUP($A273,Leveranser_per_nät,'Leveranser per nät'!AA$1,FALSE)/VLOOKUP($B273,Korrigeringsfaktor_EI,'Korrigeringsfaktor EI'!AA$1,FALSE),
"")</f>
        <v>21.019115749525618</v>
      </c>
      <c r="AB273" s="18">
        <f>IFERROR(
                  Andel_oberoende_av_klimat*VLOOKUP($A273,Leveranser_per_nät,'Leveranser per nät'!AB$1,FALSE)
               +Andel_beroende_av_klimat*VLOOKUP($A273,Leveranser_per_nät,'Leveranser per nät'!AB$1,FALSE)/VLOOKUP($B273,Korrigeringsfaktor_EI,'Korrigeringsfaktor EI'!AB$1,FALSE),
"")</f>
        <v>20.641582591493574</v>
      </c>
      <c r="AC273" s="18">
        <f>IFERROR(
                  Andel_oberoende_av_klimat*VLOOKUP($A273,Leveranser_per_nät,'Leveranser per nät'!AC$1,FALSE)
               +Andel_beroende_av_klimat*VLOOKUP($A273,Leveranser_per_nät,'Leveranser per nät'!AC$1,FALSE)/VLOOKUP($B273,Korrigeringsfaktor_EI,'Korrigeringsfaktor EI'!AC$1,FALSE),
"")</f>
        <v>19.385470085470086</v>
      </c>
      <c r="AD273">
        <v>18.5</v>
      </c>
    </row>
    <row r="274" spans="1:30" x14ac:dyDescent="0.25">
      <c r="A274" t="s">
        <v>294</v>
      </c>
      <c r="B274" t="s">
        <v>288</v>
      </c>
      <c r="C274" s="18">
        <f>IFERROR(
                  Andel_oberoende_av_klimat*VLOOKUP($A274,Leveranser_per_nät,'Leveranser per nät'!C$1,FALSE)
               +Andel_beroende_av_klimat*VLOOKUP($A274,Leveranser_per_nät,'Leveranser per nät'!C$1,FALSE)/VLOOKUP($B274,Korrigeringsfaktor_EI,'Korrigeringsfaktor EI'!C$1,FALSE),
"")</f>
        <v>0</v>
      </c>
      <c r="D274" s="18">
        <f>IFERROR(
                  Andel_oberoende_av_klimat*VLOOKUP($A274,Leveranser_per_nät,'Leveranser per nät'!D$1,FALSE)
               +Andel_beroende_av_klimat*VLOOKUP($A274,Leveranser_per_nät,'Leveranser per nät'!D$1,FALSE)/VLOOKUP($B274,Korrigeringsfaktor_EI,'Korrigeringsfaktor EI'!D$1,FALSE),
"")</f>
        <v>0</v>
      </c>
      <c r="E274" s="18">
        <f>IFERROR(
                  Andel_oberoende_av_klimat*VLOOKUP($A274,Leveranser_per_nät,'Leveranser per nät'!E$1,FALSE)
               +Andel_beroende_av_klimat*VLOOKUP($A274,Leveranser_per_nät,'Leveranser per nät'!E$1,FALSE)/VLOOKUP($B274,Korrigeringsfaktor_EI,'Korrigeringsfaktor EI'!E$1,FALSE),
"")</f>
        <v>0</v>
      </c>
      <c r="F274" s="18">
        <f>IFERROR(
                  Andel_oberoende_av_klimat*VLOOKUP($A274,Leveranser_per_nät,'Leveranser per nät'!F$1,FALSE)
               +Andel_beroende_av_klimat*VLOOKUP($A274,Leveranser_per_nät,'Leveranser per nät'!F$1,FALSE)/VLOOKUP($B274,Korrigeringsfaktor_EI,'Korrigeringsfaktor EI'!F$1,FALSE),
"")</f>
        <v>0</v>
      </c>
      <c r="G274" s="18">
        <f>IFERROR(
                  Andel_oberoende_av_klimat*VLOOKUP($A274,Leveranser_per_nät,'Leveranser per nät'!G$1,FALSE)
               +Andel_beroende_av_klimat*VLOOKUP($A274,Leveranser_per_nät,'Leveranser per nät'!G$1,FALSE)/VLOOKUP($B274,Korrigeringsfaktor_EI,'Korrigeringsfaktor EI'!G$1,FALSE),
"")</f>
        <v>0</v>
      </c>
      <c r="H274" s="18">
        <f>IFERROR(
                  Andel_oberoende_av_klimat*VLOOKUP($A274,Leveranser_per_nät,'Leveranser per nät'!H$1,FALSE)
               +Andel_beroende_av_klimat*VLOOKUP($A274,Leveranser_per_nät,'Leveranser per nät'!H$1,FALSE)/VLOOKUP($B274,Korrigeringsfaktor_EI,'Korrigeringsfaktor EI'!H$1,FALSE),
"")</f>
        <v>0</v>
      </c>
      <c r="I274" s="18">
        <f>IFERROR(
                  Andel_oberoende_av_klimat*VLOOKUP($A274,Leveranser_per_nät,'Leveranser per nät'!I$1,FALSE)
               +Andel_beroende_av_klimat*VLOOKUP($A274,Leveranser_per_nät,'Leveranser per nät'!I$1,FALSE)/VLOOKUP($B274,Korrigeringsfaktor_EI,'Korrigeringsfaktor EI'!I$1,FALSE),
"")</f>
        <v>0</v>
      </c>
      <c r="J274" s="18">
        <f>IFERROR(
                  Andel_oberoende_av_klimat*VLOOKUP($A274,Leveranser_per_nät,'Leveranser per nät'!J$1,FALSE)
               +Andel_beroende_av_klimat*VLOOKUP($A274,Leveranser_per_nät,'Leveranser per nät'!J$1,FALSE)/VLOOKUP($B274,Korrigeringsfaktor_EI,'Korrigeringsfaktor EI'!J$1,FALSE),
"")</f>
        <v>0</v>
      </c>
      <c r="K274" s="18">
        <f>IFERROR(
                  Andel_oberoende_av_klimat*VLOOKUP($A274,Leveranser_per_nät,'Leveranser per nät'!K$1,FALSE)
               +Andel_beroende_av_klimat*VLOOKUP($A274,Leveranser_per_nät,'Leveranser per nät'!K$1,FALSE)/VLOOKUP($B274,Korrigeringsfaktor_EI,'Korrigeringsfaktor EI'!K$1,FALSE),
"")</f>
        <v>0</v>
      </c>
      <c r="L274" s="18">
        <f>IFERROR(
                  Andel_oberoende_av_klimat*VLOOKUP($A274,Leveranser_per_nät,'Leveranser per nät'!L$1,FALSE)
               +Andel_beroende_av_klimat*VLOOKUP($A274,Leveranser_per_nät,'Leveranser per nät'!L$1,FALSE)/VLOOKUP($B274,Korrigeringsfaktor_EI,'Korrigeringsfaktor EI'!L$1,FALSE),
"")</f>
        <v>0</v>
      </c>
      <c r="M274" s="18">
        <f>IFERROR(
                  Andel_oberoende_av_klimat*VLOOKUP($A274,Leveranser_per_nät,'Leveranser per nät'!M$1,FALSE)
               +Andel_beroende_av_klimat*VLOOKUP($A274,Leveranser_per_nät,'Leveranser per nät'!M$1,FALSE)/VLOOKUP($B274,Korrigeringsfaktor_EI,'Korrigeringsfaktor EI'!M$1,FALSE),
"")</f>
        <v>11.631377777777777</v>
      </c>
      <c r="N274" s="18">
        <f>IFERROR(
                  Andel_oberoende_av_klimat*VLOOKUP($A274,Leveranser_per_nät,'Leveranser per nät'!N$1,FALSE)
               +Andel_beroende_av_klimat*VLOOKUP($A274,Leveranser_per_nät,'Leveranser per nät'!N$1,FALSE)/VLOOKUP($B274,Korrigeringsfaktor_EI,'Korrigeringsfaktor EI'!N$1,FALSE),
"")</f>
        <v>13.642315384615385</v>
      </c>
      <c r="O274" s="18">
        <f>IFERROR(
                  Andel_oberoende_av_klimat*VLOOKUP($A274,Leveranser_per_nät,'Leveranser per nät'!O$1,FALSE)
               +Andel_beroende_av_klimat*VLOOKUP($A274,Leveranser_per_nät,'Leveranser per nät'!O$1,FALSE)/VLOOKUP($B274,Korrigeringsfaktor_EI,'Korrigeringsfaktor EI'!O$1,FALSE),
"")</f>
        <v>12.205269230769229</v>
      </c>
      <c r="P274" s="18">
        <f>IFERROR(
                  Andel_oberoende_av_klimat*VLOOKUP($A274,Leveranser_per_nät,'Leveranser per nät'!P$1,FALSE)
               +Andel_beroende_av_klimat*VLOOKUP($A274,Leveranser_per_nät,'Leveranser per nät'!P$1,FALSE)/VLOOKUP($B274,Korrigeringsfaktor_EI,'Korrigeringsfaktor EI'!P$1,FALSE),
"")</f>
        <v>14.701645833333334</v>
      </c>
      <c r="Q274" s="18">
        <f>IFERROR(
                  Andel_oberoende_av_klimat*VLOOKUP($A274,Leveranser_per_nät,'Leveranser per nät'!Q$1,FALSE)
               +Andel_beroende_av_klimat*VLOOKUP($A274,Leveranser_per_nät,'Leveranser per nät'!Q$1,FALSE)/VLOOKUP($B274,Korrigeringsfaktor_EI,'Korrigeringsfaktor EI'!Q$1,FALSE),
"")</f>
        <v>12.437064220183485</v>
      </c>
      <c r="R274" s="18">
        <f>IFERROR(
                  Andel_oberoende_av_klimat*VLOOKUP($A274,Leveranser_per_nät,'Leveranser per nät'!R$1,FALSE)
               +Andel_beroende_av_klimat*VLOOKUP($A274,Leveranser_per_nät,'Leveranser per nät'!R$1,FALSE)/VLOOKUP($B274,Korrigeringsfaktor_EI,'Korrigeringsfaktor EI'!R$1,FALSE),
"")</f>
        <v>26.402359550561798</v>
      </c>
      <c r="S274" s="18">
        <f>IFERROR(
                  Andel_oberoende_av_klimat*VLOOKUP($A274,Leveranser_per_nät,'Leveranser per nät'!S$1,FALSE)
               +Andel_beroende_av_klimat*VLOOKUP($A274,Leveranser_per_nät,'Leveranser per nät'!S$1,FALSE)/VLOOKUP($B274,Korrigeringsfaktor_EI,'Korrigeringsfaktor EI'!S$1,FALSE),
"")</f>
        <v>15.822857142857142</v>
      </c>
      <c r="T274" s="18">
        <f>IFERROR(
                  Andel_oberoende_av_klimat*VLOOKUP($A274,Leveranser_per_nät,'Leveranser per nät'!T$1,FALSE)
               +Andel_beroende_av_klimat*VLOOKUP($A274,Leveranser_per_nät,'Leveranser per nät'!T$1,FALSE)/VLOOKUP($B274,Korrigeringsfaktor_EI,'Korrigeringsfaktor EI'!T$1,FALSE),
"")</f>
        <v>16.093496774193547</v>
      </c>
      <c r="U274" s="18">
        <f>IFERROR(
                  Andel_oberoende_av_klimat*VLOOKUP($A274,Leveranser_per_nät,'Leveranser per nät'!U$1,FALSE)
               +Andel_beroende_av_klimat*VLOOKUP($A274,Leveranser_per_nät,'Leveranser per nät'!U$1,FALSE)/VLOOKUP($B274,Korrigeringsfaktor_EI,'Korrigeringsfaktor EI'!U$1,FALSE),
"")</f>
        <v>15.774545454545457</v>
      </c>
      <c r="V274" s="18">
        <f>IFERROR(
                  Andel_oberoende_av_klimat*VLOOKUP($A274,Leveranser_per_nät,'Leveranser per nät'!V$1,FALSE)
               +Andel_beroende_av_klimat*VLOOKUP($A274,Leveranser_per_nät,'Leveranser per nät'!V$1,FALSE)/VLOOKUP($B274,Korrigeringsfaktor_EI,'Korrigeringsfaktor EI'!V$1,FALSE),
"")</f>
        <v>16.015258426966291</v>
      </c>
      <c r="W274" s="18">
        <f>IFERROR(
                  Andel_oberoende_av_klimat*VLOOKUP($A274,Leveranser_per_nät,'Leveranser per nät'!W$1,FALSE)
               +Andel_beroende_av_klimat*VLOOKUP($A274,Leveranser_per_nät,'Leveranser per nät'!W$1,FALSE)/VLOOKUP($B274,Korrigeringsfaktor_EI,'Korrigeringsfaktor EI'!W$1,FALSE),
"")</f>
        <v>19.883174193548388</v>
      </c>
      <c r="X274" s="18">
        <f>IFERROR(
                  Andel_oberoende_av_klimat*VLOOKUP($A274,Leveranser_per_nät,'Leveranser per nät'!X$1,FALSE)
               +Andel_beroende_av_klimat*VLOOKUP($A274,Leveranser_per_nät,'Leveranser per nät'!X$1,FALSE)/VLOOKUP($B274,Korrigeringsfaktor_EI,'Korrigeringsfaktor EI'!X$1,FALSE),
"")</f>
        <v>16.199818279569893</v>
      </c>
      <c r="Y274" s="18">
        <f>IFERROR(
                  Andel_oberoende_av_klimat*VLOOKUP($A274,Leveranser_per_nät,'Leveranser per nät'!Y$1,FALSE)
               +Andel_beroende_av_klimat*VLOOKUP($A274,Leveranser_per_nät,'Leveranser per nät'!Y$1,FALSE)/VLOOKUP($B274,Korrigeringsfaktor_EI,'Korrigeringsfaktor EI'!Y$1,FALSE),
"")</f>
        <v>16.959060869565217</v>
      </c>
      <c r="Z274" s="18">
        <f>IFERROR(
                  Andel_oberoende_av_klimat*VLOOKUP($A274,Leveranser_per_nät,'Leveranser per nät'!Z$1,FALSE)
               +Andel_beroende_av_klimat*VLOOKUP($A274,Leveranser_per_nät,'Leveranser per nät'!Z$1,FALSE)/VLOOKUP($B274,Korrigeringsfaktor_EI,'Korrigeringsfaktor EI'!Z$1,FALSE),
"")</f>
        <v>16.028678260869565</v>
      </c>
      <c r="AA274" s="18">
        <f>IFERROR(
                  Andel_oberoende_av_klimat*VLOOKUP($A274,Leveranser_per_nät,'Leveranser per nät'!AA$1,FALSE)
               +Andel_beroende_av_klimat*VLOOKUP($A274,Leveranser_per_nät,'Leveranser per nät'!AA$1,FALSE)/VLOOKUP($B274,Korrigeringsfaktor_EI,'Korrigeringsfaktor EI'!AA$1,FALSE),
"")</f>
        <v>16.253725355871886</v>
      </c>
      <c r="AB274" s="18">
        <f>IFERROR(
                  Andel_oberoende_av_klimat*VLOOKUP($A274,Leveranser_per_nät,'Leveranser per nät'!AB$1,FALSE)
               +Andel_beroende_av_klimat*VLOOKUP($A274,Leveranser_per_nät,'Leveranser per nät'!AB$1,FALSE)/VLOOKUP($B274,Korrigeringsfaktor_EI,'Korrigeringsfaktor EI'!AB$1,FALSE),
"")</f>
        <v>15.172809036742798</v>
      </c>
      <c r="AC274" s="18">
        <f>IFERROR(
                  Andel_oberoende_av_klimat*VLOOKUP($A274,Leveranser_per_nät,'Leveranser per nät'!AC$1,FALSE)
               +Andel_beroende_av_klimat*VLOOKUP($A274,Leveranser_per_nät,'Leveranser per nät'!AC$1,FALSE)/VLOOKUP($B274,Korrigeringsfaktor_EI,'Korrigeringsfaktor EI'!AC$1,FALSE),
"")</f>
        <v>14.948223875</v>
      </c>
      <c r="AD274">
        <v>513.26678000000004</v>
      </c>
    </row>
    <row r="275" spans="1:30" x14ac:dyDescent="0.25">
      <c r="A275" s="4" t="s">
        <v>205</v>
      </c>
      <c r="B275" t="s">
        <v>205</v>
      </c>
      <c r="C275" s="18">
        <f>IFERROR(
                  Andel_oberoende_av_klimat*VLOOKUP($A275,Leveranser_per_nät,'Leveranser per nät'!C$1,FALSE)
               +Andel_beroende_av_klimat*VLOOKUP($A275,Leveranser_per_nät,'Leveranser per nät'!C$1,FALSE)/VLOOKUP($B275,Korrigeringsfaktor_EI,'Korrigeringsfaktor EI'!C$1,FALSE),
"")</f>
        <v>119.85454545454544</v>
      </c>
      <c r="D275" s="18">
        <f>IFERROR(
                  Andel_oberoende_av_klimat*VLOOKUP($A275,Leveranser_per_nät,'Leveranser per nät'!D$1,FALSE)
               +Andel_beroende_av_klimat*VLOOKUP($A275,Leveranser_per_nät,'Leveranser per nät'!D$1,FALSE)/VLOOKUP($B275,Korrigeringsfaktor_EI,'Korrigeringsfaktor EI'!D$1,FALSE),
"")</f>
        <v>111.58343434343433</v>
      </c>
      <c r="E275" s="18">
        <f>IFERROR(
                  Andel_oberoende_av_klimat*VLOOKUP($A275,Leveranser_per_nät,'Leveranser per nät'!E$1,FALSE)
               +Andel_beroende_av_klimat*VLOOKUP($A275,Leveranser_per_nät,'Leveranser per nät'!E$1,FALSE)/VLOOKUP($B275,Korrigeringsfaktor_EI,'Korrigeringsfaktor EI'!E$1,FALSE),
"")</f>
        <v>123.58076923076923</v>
      </c>
      <c r="F275" s="18">
        <f>IFERROR(
                  Andel_oberoende_av_klimat*VLOOKUP($A275,Leveranser_per_nät,'Leveranser per nät'!F$1,FALSE)
               +Andel_beroende_av_klimat*VLOOKUP($A275,Leveranser_per_nät,'Leveranser per nät'!F$1,FALSE)/VLOOKUP($B275,Korrigeringsfaktor_EI,'Korrigeringsfaktor EI'!F$1,FALSE),
"")</f>
        <v>125.55833333333334</v>
      </c>
      <c r="G275" s="18">
        <f>IFERROR(
                  Andel_oberoende_av_klimat*VLOOKUP($A275,Leveranser_per_nät,'Leveranser per nät'!G$1,FALSE)
               +Andel_beroende_av_klimat*VLOOKUP($A275,Leveranser_per_nät,'Leveranser per nät'!G$1,FALSE)/VLOOKUP($B275,Korrigeringsfaktor_EI,'Korrigeringsfaktor EI'!G$1,FALSE),
"")</f>
        <v>131.48888888888888</v>
      </c>
      <c r="H275" s="18">
        <f>IFERROR(
                  Andel_oberoende_av_klimat*VLOOKUP($A275,Leveranser_per_nät,'Leveranser per nät'!H$1,FALSE)
               +Andel_beroende_av_klimat*VLOOKUP($A275,Leveranser_per_nät,'Leveranser per nät'!H$1,FALSE)/VLOOKUP($B275,Korrigeringsfaktor_EI,'Korrigeringsfaktor EI'!H$1,FALSE),
"")</f>
        <v>147</v>
      </c>
      <c r="I275" s="18">
        <f>IFERROR(
                  Andel_oberoende_av_klimat*VLOOKUP($A275,Leveranser_per_nät,'Leveranser per nät'!I$1,FALSE)
               +Andel_beroende_av_klimat*VLOOKUP($A275,Leveranser_per_nät,'Leveranser per nät'!I$1,FALSE)/VLOOKUP($B275,Korrigeringsfaktor_EI,'Korrigeringsfaktor EI'!I$1,FALSE),
"")</f>
        <v>156.04473684210527</v>
      </c>
      <c r="J275" s="18">
        <f>IFERROR(
                  Andel_oberoende_av_klimat*VLOOKUP($A275,Leveranser_per_nät,'Leveranser per nät'!J$1,FALSE)
               +Andel_beroende_av_klimat*VLOOKUP($A275,Leveranser_per_nät,'Leveranser per nät'!J$1,FALSE)/VLOOKUP($B275,Korrigeringsfaktor_EI,'Korrigeringsfaktor EI'!J$1,FALSE),
"")</f>
        <v>163.46391752577321</v>
      </c>
      <c r="K275" s="18">
        <f>IFERROR(
                  Andel_oberoende_av_klimat*VLOOKUP($A275,Leveranser_per_nät,'Leveranser per nät'!K$1,FALSE)
               +Andel_beroende_av_klimat*VLOOKUP($A275,Leveranser_per_nät,'Leveranser per nät'!K$1,FALSE)/VLOOKUP($B275,Korrigeringsfaktor_EI,'Korrigeringsfaktor EI'!K$1,FALSE),
"")</f>
        <v>162.9714824742268</v>
      </c>
      <c r="L275" s="18">
        <f>IFERROR(
                  Andel_oberoende_av_klimat*VLOOKUP($A275,Leveranser_per_nät,'Leveranser per nät'!L$1,FALSE)
               +Andel_beroende_av_klimat*VLOOKUP($A275,Leveranser_per_nät,'Leveranser per nät'!L$1,FALSE)/VLOOKUP($B275,Korrigeringsfaktor_EI,'Korrigeringsfaktor EI'!L$1,FALSE),
"")</f>
        <v>159.90904736842106</v>
      </c>
      <c r="M275" s="18">
        <f>IFERROR(
                  Andel_oberoende_av_klimat*VLOOKUP($A275,Leveranser_per_nät,'Leveranser per nät'!M$1,FALSE)
               +Andel_beroende_av_klimat*VLOOKUP($A275,Leveranser_per_nät,'Leveranser per nät'!M$1,FALSE)/VLOOKUP($B275,Korrigeringsfaktor_EI,'Korrigeringsfaktor EI'!M$1,FALSE),
"")</f>
        <v>166.55652173913043</v>
      </c>
      <c r="N275" s="18">
        <f>IFERROR(
                  Andel_oberoende_av_klimat*VLOOKUP($A275,Leveranser_per_nät,'Leveranser per nät'!N$1,FALSE)
               +Andel_beroende_av_klimat*VLOOKUP($A275,Leveranser_per_nät,'Leveranser per nät'!N$1,FALSE)/VLOOKUP($B275,Korrigeringsfaktor_EI,'Korrigeringsfaktor EI'!N$1,FALSE),
"")</f>
        <v>166.79999999999998</v>
      </c>
      <c r="O275" s="18">
        <f>IFERROR(
                  Andel_oberoende_av_klimat*VLOOKUP($A275,Leveranser_per_nät,'Leveranser per nät'!O$1,FALSE)
               +Andel_beroende_av_klimat*VLOOKUP($A275,Leveranser_per_nät,'Leveranser per nät'!O$1,FALSE)/VLOOKUP($B275,Korrigeringsfaktor_EI,'Korrigeringsfaktor EI'!O$1,FALSE),
"")</f>
        <v>176.75555555555556</v>
      </c>
      <c r="P275" s="18">
        <f>IFERROR(
                  Andel_oberoende_av_klimat*VLOOKUP($A275,Leveranser_per_nät,'Leveranser per nät'!P$1,FALSE)
               +Andel_beroende_av_klimat*VLOOKUP($A275,Leveranser_per_nät,'Leveranser per nät'!P$1,FALSE)/VLOOKUP($B275,Korrigeringsfaktor_EI,'Korrigeringsfaktor EI'!P$1,FALSE),
"")</f>
        <v>181.13333333333333</v>
      </c>
      <c r="Q275" s="18">
        <f>IFERROR(
                  Andel_oberoende_av_klimat*VLOOKUP($A275,Leveranser_per_nät,'Leveranser per nät'!Q$1,FALSE)
               +Andel_beroende_av_klimat*VLOOKUP($A275,Leveranser_per_nät,'Leveranser per nät'!Q$1,FALSE)/VLOOKUP($B275,Korrigeringsfaktor_EI,'Korrigeringsfaktor EI'!Q$1,FALSE),
"")</f>
        <v>186.83610619469027</v>
      </c>
      <c r="R275" s="18">
        <f>IFERROR(
                  Andel_oberoende_av_klimat*VLOOKUP($A275,Leveranser_per_nät,'Leveranser per nät'!R$1,FALSE)
               +Andel_beroende_av_klimat*VLOOKUP($A275,Leveranser_per_nät,'Leveranser per nät'!R$1,FALSE)/VLOOKUP($B275,Korrigeringsfaktor_EI,'Korrigeringsfaktor EI'!R$1,FALSE),
"")</f>
        <v>181.06666666666666</v>
      </c>
      <c r="S275" s="18">
        <f>IFERROR(
                  Andel_oberoende_av_klimat*VLOOKUP($A275,Leveranser_per_nät,'Leveranser per nät'!S$1,FALSE)
               +Andel_beroende_av_klimat*VLOOKUP($A275,Leveranser_per_nät,'Leveranser per nät'!S$1,FALSE)/VLOOKUP($B275,Korrigeringsfaktor_EI,'Korrigeringsfaktor EI'!S$1,FALSE),
"")</f>
        <v>187.31515151515151</v>
      </c>
      <c r="T275" s="18">
        <f>IFERROR(
                  Andel_oberoende_av_klimat*VLOOKUP($A275,Leveranser_per_nät,'Leveranser per nät'!T$1,FALSE)
               +Andel_beroende_av_klimat*VLOOKUP($A275,Leveranser_per_nät,'Leveranser per nät'!T$1,FALSE)/VLOOKUP($B275,Korrigeringsfaktor_EI,'Korrigeringsfaktor EI'!T$1,FALSE),
"")</f>
        <v>186.17625000000001</v>
      </c>
      <c r="U275" s="18">
        <f>IFERROR(
                  Andel_oberoende_av_klimat*VLOOKUP($A275,Leveranser_per_nät,'Leveranser per nät'!U$1,FALSE)
               +Andel_beroende_av_klimat*VLOOKUP($A275,Leveranser_per_nät,'Leveranser per nät'!U$1,FALSE)/VLOOKUP($B275,Korrigeringsfaktor_EI,'Korrigeringsfaktor EI'!U$1,FALSE),
"")</f>
        <v>181.70632183908043</v>
      </c>
      <c r="V275" s="18">
        <f>IFERROR(
                  Andel_oberoende_av_klimat*VLOOKUP($A275,Leveranser_per_nät,'Leveranser per nät'!V$1,FALSE)
               +Andel_beroende_av_klimat*VLOOKUP($A275,Leveranser_per_nät,'Leveranser per nät'!V$1,FALSE)/VLOOKUP($B275,Korrigeringsfaktor_EI,'Korrigeringsfaktor EI'!V$1,FALSE),
"")</f>
        <v>179.90649999999999</v>
      </c>
      <c r="W275" s="18">
        <f>IFERROR(
                  Andel_oberoende_av_klimat*VLOOKUP($A275,Leveranser_per_nät,'Leveranser per nät'!W$1,FALSE)
               +Andel_beroende_av_klimat*VLOOKUP($A275,Leveranser_per_nät,'Leveranser per nät'!W$1,FALSE)/VLOOKUP($B275,Korrigeringsfaktor_EI,'Korrigeringsfaktor EI'!W$1,FALSE),
"")</f>
        <v>188.76200000000003</v>
      </c>
      <c r="X275" s="18">
        <f>IFERROR(
                  Andel_oberoende_av_klimat*VLOOKUP($A275,Leveranser_per_nät,'Leveranser per nät'!X$1,FALSE)
               +Andel_beroende_av_klimat*VLOOKUP($A275,Leveranser_per_nät,'Leveranser per nät'!X$1,FALSE)/VLOOKUP($B275,Korrigeringsfaktor_EI,'Korrigeringsfaktor EI'!X$1,FALSE),
"")</f>
        <v>188.70811111111112</v>
      </c>
      <c r="Y275" s="18">
        <f>IFERROR(
                  Andel_oberoende_av_klimat*VLOOKUP($A275,Leveranser_per_nät,'Leveranser per nät'!Y$1,FALSE)
               +Andel_beroende_av_klimat*VLOOKUP($A275,Leveranser_per_nät,'Leveranser per nät'!Y$1,FALSE)/VLOOKUP($B275,Korrigeringsfaktor_EI,'Korrigeringsfaktor EI'!Y$1,FALSE),
"")</f>
        <v>191.09658426966291</v>
      </c>
      <c r="Z275" s="18">
        <f>IFERROR(
                  Andel_oberoende_av_klimat*VLOOKUP($A275,Leveranser_per_nät,'Leveranser per nät'!Z$1,FALSE)
               +Andel_beroende_av_klimat*VLOOKUP($A275,Leveranser_per_nät,'Leveranser per nät'!Z$1,FALSE)/VLOOKUP($B275,Korrigeringsfaktor_EI,'Korrigeringsfaktor EI'!Z$1,FALSE),
"")</f>
        <v>193.89474418604652</v>
      </c>
      <c r="AA275" s="18">
        <f>IFERROR(
                  Andel_oberoende_av_klimat*VLOOKUP($A275,Leveranser_per_nät,'Leveranser per nät'!AA$1,FALSE)
               +Andel_beroende_av_klimat*VLOOKUP($A275,Leveranser_per_nät,'Leveranser per nät'!AA$1,FALSE)/VLOOKUP($B275,Korrigeringsfaktor_EI,'Korrigeringsfaktor EI'!AA$1,FALSE),
"")</f>
        <v>186.68469676366604</v>
      </c>
      <c r="AB275" s="18">
        <f>IFERROR(
                  Andel_oberoende_av_klimat*VLOOKUP($A275,Leveranser_per_nät,'Leveranser per nät'!AB$1,FALSE)
               +Andel_beroende_av_klimat*VLOOKUP($A275,Leveranser_per_nät,'Leveranser per nät'!AB$1,FALSE)/VLOOKUP($B275,Korrigeringsfaktor_EI,'Korrigeringsfaktor EI'!AB$1,FALSE),
"")</f>
        <v>187.0383033932136</v>
      </c>
      <c r="AC275" s="18">
        <f>IFERROR(
                  Andel_oberoende_av_klimat*VLOOKUP($A275,Leveranser_per_nät,'Leveranser per nät'!AC$1,FALSE)
               +Andel_beroende_av_klimat*VLOOKUP($A275,Leveranser_per_nät,'Leveranser per nät'!AC$1,FALSE)/VLOOKUP($B275,Korrigeringsfaktor_EI,'Korrigeringsfaktor EI'!AC$1,FALSE),
"")</f>
        <v>184.04262784482756</v>
      </c>
      <c r="AD275">
        <v>174.6</v>
      </c>
    </row>
    <row r="276" spans="1:30" x14ac:dyDescent="0.25">
      <c r="A276" t="s">
        <v>3</v>
      </c>
      <c r="B276" t="s">
        <v>2</v>
      </c>
      <c r="C276" s="18">
        <f>IFERROR(
                  Andel_oberoende_av_klimat*VLOOKUP($A276,Leveranser_per_nät,'Leveranser per nät'!C$1,FALSE)
               +Andel_beroende_av_klimat*VLOOKUP($A276,Leveranser_per_nät,'Leveranser per nät'!C$1,FALSE)/VLOOKUP($B276,Korrigeringsfaktor_EI,'Korrigeringsfaktor EI'!C$1,FALSE),
"")</f>
        <v>0</v>
      </c>
      <c r="D276" s="18">
        <f>IFERROR(
                  Andel_oberoende_av_klimat*VLOOKUP($A276,Leveranser_per_nät,'Leveranser per nät'!D$1,FALSE)
               +Andel_beroende_av_klimat*VLOOKUP($A276,Leveranser_per_nät,'Leveranser per nät'!D$1,FALSE)/VLOOKUP($B276,Korrigeringsfaktor_EI,'Korrigeringsfaktor EI'!D$1,FALSE),
"")</f>
        <v>0</v>
      </c>
      <c r="E276" s="18">
        <f>IFERROR(
                  Andel_oberoende_av_klimat*VLOOKUP($A276,Leveranser_per_nät,'Leveranser per nät'!E$1,FALSE)
               +Andel_beroende_av_klimat*VLOOKUP($A276,Leveranser_per_nät,'Leveranser per nät'!E$1,FALSE)/VLOOKUP($B276,Korrigeringsfaktor_EI,'Korrigeringsfaktor EI'!E$1,FALSE),
"")</f>
        <v>0</v>
      </c>
      <c r="F276" s="18">
        <f>IFERROR(
                  Andel_oberoende_av_klimat*VLOOKUP($A276,Leveranser_per_nät,'Leveranser per nät'!F$1,FALSE)
               +Andel_beroende_av_klimat*VLOOKUP($A276,Leveranser_per_nät,'Leveranser per nät'!F$1,FALSE)/VLOOKUP($B276,Korrigeringsfaktor_EI,'Korrigeringsfaktor EI'!F$1,FALSE),
"")</f>
        <v>0</v>
      </c>
      <c r="G276" s="18">
        <f>IFERROR(
                  Andel_oberoende_av_klimat*VLOOKUP($A276,Leveranser_per_nät,'Leveranser per nät'!G$1,FALSE)
               +Andel_beroende_av_klimat*VLOOKUP($A276,Leveranser_per_nät,'Leveranser per nät'!G$1,FALSE)/VLOOKUP($B276,Korrigeringsfaktor_EI,'Korrigeringsfaktor EI'!G$1,FALSE),
"")</f>
        <v>0</v>
      </c>
      <c r="H276" s="18">
        <f>IFERROR(
                  Andel_oberoende_av_klimat*VLOOKUP($A276,Leveranser_per_nät,'Leveranser per nät'!H$1,FALSE)
               +Andel_beroende_av_klimat*VLOOKUP($A276,Leveranser_per_nät,'Leveranser per nät'!H$1,FALSE)/VLOOKUP($B276,Korrigeringsfaktor_EI,'Korrigeringsfaktor EI'!H$1,FALSE),
"")</f>
        <v>8</v>
      </c>
      <c r="I276" s="18">
        <f>IFERROR(
                  Andel_oberoende_av_klimat*VLOOKUP($A276,Leveranser_per_nät,'Leveranser per nät'!I$1,FALSE)
               +Andel_beroende_av_klimat*VLOOKUP($A276,Leveranser_per_nät,'Leveranser per nät'!I$1,FALSE)/VLOOKUP($B276,Korrigeringsfaktor_EI,'Korrigeringsfaktor EI'!I$1,FALSE),
"")</f>
        <v>21.628526315789472</v>
      </c>
      <c r="J276" s="18">
        <f>IFERROR(
                  Andel_oberoende_av_klimat*VLOOKUP($A276,Leveranser_per_nät,'Leveranser per nät'!J$1,FALSE)
               +Andel_beroende_av_klimat*VLOOKUP($A276,Leveranser_per_nät,'Leveranser per nät'!J$1,FALSE)/VLOOKUP($B276,Korrigeringsfaktor_EI,'Korrigeringsfaktor EI'!J$1,FALSE),
"")</f>
        <v>21.3</v>
      </c>
      <c r="K276" s="18">
        <f>IFERROR(
                  Andel_oberoende_av_klimat*VLOOKUP($A276,Leveranser_per_nät,'Leveranser per nät'!K$1,FALSE)
               +Andel_beroende_av_klimat*VLOOKUP($A276,Leveranser_per_nät,'Leveranser per nät'!K$1,FALSE)/VLOOKUP($B276,Korrigeringsfaktor_EI,'Korrigeringsfaktor EI'!K$1,FALSE),
"")</f>
        <v>25.512457912457915</v>
      </c>
      <c r="L276" s="18">
        <f>IFERROR(
                  Andel_oberoende_av_klimat*VLOOKUP($A276,Leveranser_per_nät,'Leveranser per nät'!L$1,FALSE)
               +Andel_beroende_av_klimat*VLOOKUP($A276,Leveranser_per_nät,'Leveranser per nät'!L$1,FALSE)/VLOOKUP($B276,Korrigeringsfaktor_EI,'Korrigeringsfaktor EI'!L$1,FALSE),
"")</f>
        <v>30.531944444444445</v>
      </c>
      <c r="M276" s="18">
        <f>IFERROR(
                  Andel_oberoende_av_klimat*VLOOKUP($A276,Leveranser_per_nät,'Leveranser per nät'!M$1,FALSE)
               +Andel_beroende_av_klimat*VLOOKUP($A276,Leveranser_per_nät,'Leveranser per nät'!M$1,FALSE)/VLOOKUP($B276,Korrigeringsfaktor_EI,'Korrigeringsfaktor EI'!M$1,FALSE),
"")</f>
        <v>36.0695652173913</v>
      </c>
      <c r="N276" s="18">
        <f>IFERROR(
                  Andel_oberoende_av_klimat*VLOOKUP($A276,Leveranser_per_nät,'Leveranser per nät'!N$1,FALSE)
               +Andel_beroende_av_klimat*VLOOKUP($A276,Leveranser_per_nät,'Leveranser per nät'!N$1,FALSE)/VLOOKUP($B276,Korrigeringsfaktor_EI,'Korrigeringsfaktor EI'!N$1,FALSE),
"")</f>
        <v>35.284615384615378</v>
      </c>
      <c r="O276" s="18">
        <f>IFERROR(
                  Andel_oberoende_av_klimat*VLOOKUP($A276,Leveranser_per_nät,'Leveranser per nät'!O$1,FALSE)
               +Andel_beroende_av_klimat*VLOOKUP($A276,Leveranser_per_nät,'Leveranser per nät'!O$1,FALSE)/VLOOKUP($B276,Korrigeringsfaktor_EI,'Korrigeringsfaktor EI'!O$1,FALSE),
"")</f>
        <v>37.130434782608695</v>
      </c>
      <c r="P276" s="18">
        <f>IFERROR(
                  Andel_oberoende_av_klimat*VLOOKUP($A276,Leveranser_per_nät,'Leveranser per nät'!P$1,FALSE)
               +Andel_beroende_av_klimat*VLOOKUP($A276,Leveranser_per_nät,'Leveranser per nät'!P$1,FALSE)/VLOOKUP($B276,Korrigeringsfaktor_EI,'Korrigeringsfaktor EI'!P$1,FALSE),
"")</f>
        <v>36.020833333333336</v>
      </c>
      <c r="Q276" s="18">
        <f>IFERROR(
                  Andel_oberoende_av_klimat*VLOOKUP($A276,Leveranser_per_nät,'Leveranser per nät'!Q$1,FALSE)
               +Andel_beroende_av_klimat*VLOOKUP($A276,Leveranser_per_nät,'Leveranser per nät'!Q$1,FALSE)/VLOOKUP($B276,Korrigeringsfaktor_EI,'Korrigeringsfaktor EI'!Q$1,FALSE),
"")</f>
        <v>35.15</v>
      </c>
      <c r="R276" s="18">
        <f>IFERROR(
                  Andel_oberoende_av_klimat*VLOOKUP($A276,Leveranser_per_nät,'Leveranser per nät'!R$1,FALSE)
               +Andel_beroende_av_klimat*VLOOKUP($A276,Leveranser_per_nät,'Leveranser per nät'!R$1,FALSE)/VLOOKUP($B276,Korrigeringsfaktor_EI,'Korrigeringsfaktor EI'!R$1,FALSE),
"")</f>
        <v>36.579861290322583</v>
      </c>
      <c r="S276" s="18">
        <f>IFERROR(
                  Andel_oberoende_av_klimat*VLOOKUP($A276,Leveranser_per_nät,'Leveranser per nät'!S$1,FALSE)
               +Andel_beroende_av_klimat*VLOOKUP($A276,Leveranser_per_nät,'Leveranser per nät'!S$1,FALSE)/VLOOKUP($B276,Korrigeringsfaktor_EI,'Korrigeringsfaktor EI'!S$1,FALSE),
"")</f>
        <v>33.764356435643563</v>
      </c>
      <c r="T276" s="18">
        <f>IFERROR(
                  Andel_oberoende_av_klimat*VLOOKUP($A276,Leveranser_per_nät,'Leveranser per nät'!T$1,FALSE)
               +Andel_beroende_av_klimat*VLOOKUP($A276,Leveranser_per_nät,'Leveranser per nät'!T$1,FALSE)/VLOOKUP($B276,Korrigeringsfaktor_EI,'Korrigeringsfaktor EI'!T$1,FALSE),
"")</f>
        <v>29.305757575757582</v>
      </c>
      <c r="U276" s="18">
        <f>IFERROR(
                  Andel_oberoende_av_klimat*VLOOKUP($A276,Leveranser_per_nät,'Leveranser per nät'!U$1,FALSE)
               +Andel_beroende_av_klimat*VLOOKUP($A276,Leveranser_per_nät,'Leveranser per nät'!U$1,FALSE)/VLOOKUP($B276,Korrigeringsfaktor_EI,'Korrigeringsfaktor EI'!U$1,FALSE),
"")</f>
        <v>31.658636363636361</v>
      </c>
      <c r="V276" s="18">
        <f>IFERROR(
                  Andel_oberoende_av_klimat*VLOOKUP($A276,Leveranser_per_nät,'Leveranser per nät'!V$1,FALSE)
               +Andel_beroende_av_klimat*VLOOKUP($A276,Leveranser_per_nät,'Leveranser per nät'!V$1,FALSE)/VLOOKUP($B276,Korrigeringsfaktor_EI,'Korrigeringsfaktor EI'!V$1,FALSE),
"")</f>
        <v>33.205217391304352</v>
      </c>
      <c r="W276" s="18">
        <f>IFERROR(
                  Andel_oberoende_av_klimat*VLOOKUP($A276,Leveranser_per_nät,'Leveranser per nät'!W$1,FALSE)
               +Andel_beroende_av_klimat*VLOOKUP($A276,Leveranser_per_nät,'Leveranser per nät'!W$1,FALSE)/VLOOKUP($B276,Korrigeringsfaktor_EI,'Korrigeringsfaktor EI'!W$1,FALSE),
"")</f>
        <v>11.685210526315789</v>
      </c>
      <c r="X276" s="18">
        <f>IFERROR(
                  Andel_oberoende_av_klimat*VLOOKUP($A276,Leveranser_per_nät,'Leveranser per nät'!X$1,FALSE)
               +Andel_beroende_av_klimat*VLOOKUP($A276,Leveranser_per_nät,'Leveranser per nät'!X$1,FALSE)/VLOOKUP($B276,Korrigeringsfaktor_EI,'Korrigeringsfaktor EI'!X$1,FALSE),
"")</f>
        <v>10.760212765957448</v>
      </c>
      <c r="Y276" s="18">
        <f>IFERROR(
                  Andel_oberoende_av_klimat*VLOOKUP($A276,Leveranser_per_nät,'Leveranser per nät'!Y$1,FALSE)
               +Andel_beroende_av_klimat*VLOOKUP($A276,Leveranser_per_nät,'Leveranser per nät'!Y$1,FALSE)/VLOOKUP($B276,Korrigeringsfaktor_EI,'Korrigeringsfaktor EI'!Y$1,FALSE),
"")</f>
        <v>11.593134831460674</v>
      </c>
      <c r="Z276" s="18">
        <f>IFERROR(
                  Andel_oberoende_av_klimat*VLOOKUP($A276,Leveranser_per_nät,'Leveranser per nät'!Z$1,FALSE)
               +Andel_beroende_av_klimat*VLOOKUP($A276,Leveranser_per_nät,'Leveranser per nät'!Z$1,FALSE)/VLOOKUP($B276,Korrigeringsfaktor_EI,'Korrigeringsfaktor EI'!Z$1,FALSE),
"")</f>
        <v>11.732318181818183</v>
      </c>
      <c r="AA276" s="18">
        <f>IFERROR(
                  Andel_oberoende_av_klimat*VLOOKUP($A276,Leveranser_per_nät,'Leveranser per nät'!AA$1,FALSE)
               +Andel_beroende_av_klimat*VLOOKUP($A276,Leveranser_per_nät,'Leveranser per nät'!AA$1,FALSE)/VLOOKUP($B276,Korrigeringsfaktor_EI,'Korrigeringsfaktor EI'!AA$1,FALSE),
"")</f>
        <v>11.397437727983327</v>
      </c>
      <c r="AB276" s="18">
        <f>IFERROR(
                  Andel_oberoende_av_klimat*VLOOKUP($A276,Leveranser_per_nät,'Leveranser per nät'!AB$1,FALSE)
               +Andel_beroende_av_klimat*VLOOKUP($A276,Leveranser_per_nät,'Leveranser per nät'!AB$1,FALSE)/VLOOKUP($B276,Korrigeringsfaktor_EI,'Korrigeringsfaktor EI'!AB$1,FALSE),
"")</f>
        <v>11.491905511811023</v>
      </c>
      <c r="AC276" s="18">
        <f>IFERROR(
                  Andel_oberoende_av_klimat*VLOOKUP($A276,Leveranser_per_nät,'Leveranser per nät'!AC$1,FALSE)
               +Andel_beroende_av_klimat*VLOOKUP($A276,Leveranser_per_nät,'Leveranser per nät'!AC$1,FALSE)/VLOOKUP($B276,Korrigeringsfaktor_EI,'Korrigeringsfaktor EI'!AC$1,FALSE),
"")</f>
        <v>10.975852320675106</v>
      </c>
      <c r="AD276">
        <v>53.42</v>
      </c>
    </row>
    <row r="277" spans="1:30" x14ac:dyDescent="0.25">
      <c r="A277" t="s">
        <v>491</v>
      </c>
      <c r="B277" t="s">
        <v>376</v>
      </c>
      <c r="C277" s="18">
        <f>IFERROR(
                  Andel_oberoende_av_klimat*VLOOKUP($A277,Leveranser_per_nät,'Leveranser per nät'!C$1,FALSE)
               +Andel_beroende_av_klimat*VLOOKUP($A277,Leveranser_per_nät,'Leveranser per nät'!C$1,FALSE)/VLOOKUP($B277,Korrigeringsfaktor_EI,'Korrigeringsfaktor EI'!C$1,FALSE),
"")</f>
        <v>0</v>
      </c>
      <c r="D277" s="18">
        <f>IFERROR(
                  Andel_oberoende_av_klimat*VLOOKUP($A277,Leveranser_per_nät,'Leveranser per nät'!D$1,FALSE)
               +Andel_beroende_av_klimat*VLOOKUP($A277,Leveranser_per_nät,'Leveranser per nät'!D$1,FALSE)/VLOOKUP($B277,Korrigeringsfaktor_EI,'Korrigeringsfaktor EI'!D$1,FALSE),
"")</f>
        <v>0</v>
      </c>
      <c r="E277" s="18">
        <f>IFERROR(
                  Andel_oberoende_av_klimat*VLOOKUP($A277,Leveranser_per_nät,'Leveranser per nät'!E$1,FALSE)
               +Andel_beroende_av_klimat*VLOOKUP($A277,Leveranser_per_nät,'Leveranser per nät'!E$1,FALSE)/VLOOKUP($B277,Korrigeringsfaktor_EI,'Korrigeringsfaktor EI'!E$1,FALSE),
"")</f>
        <v>0</v>
      </c>
      <c r="F277" s="18">
        <f>IFERROR(
                  Andel_oberoende_av_klimat*VLOOKUP($A277,Leveranser_per_nät,'Leveranser per nät'!F$1,FALSE)
               +Andel_beroende_av_klimat*VLOOKUP($A277,Leveranser_per_nät,'Leveranser per nät'!F$1,FALSE)/VLOOKUP($B277,Korrigeringsfaktor_EI,'Korrigeringsfaktor EI'!F$1,FALSE),
"")</f>
        <v>0</v>
      </c>
      <c r="G277" s="18">
        <f>IFERROR(
                  Andel_oberoende_av_klimat*VLOOKUP($A277,Leveranser_per_nät,'Leveranser per nät'!G$1,FALSE)
               +Andel_beroende_av_klimat*VLOOKUP($A277,Leveranser_per_nät,'Leveranser per nät'!G$1,FALSE)/VLOOKUP($B277,Korrigeringsfaktor_EI,'Korrigeringsfaktor EI'!G$1,FALSE),
"")</f>
        <v>0</v>
      </c>
      <c r="H277" s="18">
        <f>IFERROR(
                  Andel_oberoende_av_klimat*VLOOKUP($A277,Leveranser_per_nät,'Leveranser per nät'!H$1,FALSE)
               +Andel_beroende_av_klimat*VLOOKUP($A277,Leveranser_per_nät,'Leveranser per nät'!H$1,FALSE)/VLOOKUP($B277,Korrigeringsfaktor_EI,'Korrigeringsfaktor EI'!H$1,FALSE),
"")</f>
        <v>0</v>
      </c>
      <c r="I277" s="18">
        <f>IFERROR(
                  Andel_oberoende_av_klimat*VLOOKUP($A277,Leveranser_per_nät,'Leveranser per nät'!I$1,FALSE)
               +Andel_beroende_av_klimat*VLOOKUP($A277,Leveranser_per_nät,'Leveranser per nät'!I$1,FALSE)/VLOOKUP($B277,Korrigeringsfaktor_EI,'Korrigeringsfaktor EI'!I$1,FALSE),
"")</f>
        <v>0</v>
      </c>
      <c r="J277" s="18">
        <f>IFERROR(
                  Andel_oberoende_av_klimat*VLOOKUP($A277,Leveranser_per_nät,'Leveranser per nät'!J$1,FALSE)
               +Andel_beroende_av_klimat*VLOOKUP($A277,Leveranser_per_nät,'Leveranser per nät'!J$1,FALSE)/VLOOKUP($B277,Korrigeringsfaktor_EI,'Korrigeringsfaktor EI'!J$1,FALSE),
"")</f>
        <v>0</v>
      </c>
      <c r="K277" s="18">
        <f>IFERROR(
                  Andel_oberoende_av_klimat*VLOOKUP($A277,Leveranser_per_nät,'Leveranser per nät'!K$1,FALSE)
               +Andel_beroende_av_klimat*VLOOKUP($A277,Leveranser_per_nät,'Leveranser per nät'!K$1,FALSE)/VLOOKUP($B277,Korrigeringsfaktor_EI,'Korrigeringsfaktor EI'!K$1,FALSE),
"")</f>
        <v>0</v>
      </c>
      <c r="L277" s="18">
        <f>IFERROR(
                  Andel_oberoende_av_klimat*VLOOKUP($A277,Leveranser_per_nät,'Leveranser per nät'!L$1,FALSE)
               +Andel_beroende_av_klimat*VLOOKUP($A277,Leveranser_per_nät,'Leveranser per nät'!L$1,FALSE)/VLOOKUP($B277,Korrigeringsfaktor_EI,'Korrigeringsfaktor EI'!L$1,FALSE),
"")</f>
        <v>0</v>
      </c>
      <c r="M277" s="18">
        <f>IFERROR(
                  Andel_oberoende_av_klimat*VLOOKUP($A277,Leveranser_per_nät,'Leveranser per nät'!M$1,FALSE)
               +Andel_beroende_av_klimat*VLOOKUP($A277,Leveranser_per_nät,'Leveranser per nät'!M$1,FALSE)/VLOOKUP($B277,Korrigeringsfaktor_EI,'Korrigeringsfaktor EI'!M$1,FALSE),
"")</f>
        <v>0</v>
      </c>
      <c r="N277" s="18">
        <f>IFERROR(
                  Andel_oberoende_av_klimat*VLOOKUP($A277,Leveranser_per_nät,'Leveranser per nät'!N$1,FALSE)
               +Andel_beroende_av_klimat*VLOOKUP($A277,Leveranser_per_nät,'Leveranser per nät'!N$1,FALSE)/VLOOKUP($B277,Korrigeringsfaktor_EI,'Korrigeringsfaktor EI'!N$1,FALSE),
"")</f>
        <v>0</v>
      </c>
      <c r="O277" s="18">
        <f>IFERROR(
                  Andel_oberoende_av_klimat*VLOOKUP($A277,Leveranser_per_nät,'Leveranser per nät'!O$1,FALSE)
               +Andel_beroende_av_klimat*VLOOKUP($A277,Leveranser_per_nät,'Leveranser per nät'!O$1,FALSE)/VLOOKUP($B277,Korrigeringsfaktor_EI,'Korrigeringsfaktor EI'!O$1,FALSE),
"")</f>
        <v>0</v>
      </c>
      <c r="P277" s="18">
        <f>IFERROR(
                  Andel_oberoende_av_klimat*VLOOKUP($A277,Leveranser_per_nät,'Leveranser per nät'!P$1,FALSE)
               +Andel_beroende_av_klimat*VLOOKUP($A277,Leveranser_per_nät,'Leveranser per nät'!P$1,FALSE)/VLOOKUP($B277,Korrigeringsfaktor_EI,'Korrigeringsfaktor EI'!P$1,FALSE),
"")</f>
        <v>0</v>
      </c>
      <c r="Q277" s="18">
        <f>IFERROR(
                  Andel_oberoende_av_klimat*VLOOKUP($A277,Leveranser_per_nät,'Leveranser per nät'!Q$1,FALSE)
               +Andel_beroende_av_klimat*VLOOKUP($A277,Leveranser_per_nät,'Leveranser per nät'!Q$1,FALSE)/VLOOKUP($B277,Korrigeringsfaktor_EI,'Korrigeringsfaktor EI'!Q$1,FALSE),
"")</f>
        <v>0.60782897196261676</v>
      </c>
      <c r="R277" s="18">
        <f>IFERROR(
                  Andel_oberoende_av_klimat*VLOOKUP($A277,Leveranser_per_nät,'Leveranser per nät'!R$1,FALSE)
               +Andel_beroende_av_klimat*VLOOKUP($A277,Leveranser_per_nät,'Leveranser per nät'!R$1,FALSE)/VLOOKUP($B277,Korrigeringsfaktor_EI,'Korrigeringsfaktor EI'!R$1,FALSE),
"")</f>
        <v>0.54325842696629212</v>
      </c>
      <c r="S277" s="18">
        <f>IFERROR(
                  Andel_oberoende_av_klimat*VLOOKUP($A277,Leveranser_per_nät,'Leveranser per nät'!S$1,FALSE)
               +Andel_beroende_av_klimat*VLOOKUP($A277,Leveranser_per_nät,'Leveranser per nät'!S$1,FALSE)/VLOOKUP($B277,Korrigeringsfaktor_EI,'Korrigeringsfaktor EI'!S$1,FALSE),
"")</f>
        <v>0.62320618556701035</v>
      </c>
      <c r="T277" s="18">
        <f>IFERROR(
                  Andel_oberoende_av_klimat*VLOOKUP($A277,Leveranser_per_nät,'Leveranser per nät'!T$1,FALSE)
               +Andel_beroende_av_klimat*VLOOKUP($A277,Leveranser_per_nät,'Leveranser per nät'!T$1,FALSE)/VLOOKUP($B277,Korrigeringsfaktor_EI,'Korrigeringsfaktor EI'!T$1,FALSE),
"")</f>
        <v>0.61106086956521732</v>
      </c>
      <c r="U277" s="18">
        <f>IFERROR(
                  Andel_oberoende_av_klimat*VLOOKUP($A277,Leveranser_per_nät,'Leveranser per nät'!U$1,FALSE)
               +Andel_beroende_av_klimat*VLOOKUP($A277,Leveranser_per_nät,'Leveranser per nät'!U$1,FALSE)/VLOOKUP($B277,Korrigeringsfaktor_EI,'Korrigeringsfaktor EI'!U$1,FALSE),
"")</f>
        <v>0.57694044943820222</v>
      </c>
      <c r="V277" s="18">
        <f>IFERROR(
                  Andel_oberoende_av_klimat*VLOOKUP($A277,Leveranser_per_nät,'Leveranser per nät'!V$1,FALSE)
               +Andel_beroende_av_klimat*VLOOKUP($A277,Leveranser_per_nät,'Leveranser per nät'!V$1,FALSE)/VLOOKUP($B277,Korrigeringsfaktor_EI,'Korrigeringsfaktor EI'!V$1,FALSE),
"")</f>
        <v>0.61062247191011243</v>
      </c>
      <c r="W277" s="18">
        <f>IFERROR(
                  Andel_oberoende_av_klimat*VLOOKUP($A277,Leveranser_per_nät,'Leveranser per nät'!W$1,FALSE)
               +Andel_beroende_av_klimat*VLOOKUP($A277,Leveranser_per_nät,'Leveranser per nät'!W$1,FALSE)/VLOOKUP($B277,Korrigeringsfaktor_EI,'Korrigeringsfaktor EI'!W$1,FALSE),
"")</f>
        <v>0.60206250000000006</v>
      </c>
      <c r="X277" s="18">
        <f>IFERROR(
                  Andel_oberoende_av_klimat*VLOOKUP($A277,Leveranser_per_nät,'Leveranser per nät'!X$1,FALSE)
               +Andel_beroende_av_klimat*VLOOKUP($A277,Leveranser_per_nät,'Leveranser per nät'!X$1,FALSE)/VLOOKUP($B277,Korrigeringsfaktor_EI,'Korrigeringsfaktor EI'!X$1,FALSE),
"")</f>
        <v>0.61235416666666664</v>
      </c>
      <c r="Y277" s="18">
        <f>IFERROR(
                  Andel_oberoende_av_klimat*VLOOKUP($A277,Leveranser_per_nät,'Leveranser per nät'!Y$1,FALSE)
               +Andel_beroende_av_klimat*VLOOKUP($A277,Leveranser_per_nät,'Leveranser per nät'!Y$1,FALSE)/VLOOKUP($B277,Korrigeringsfaktor_EI,'Korrigeringsfaktor EI'!Y$1,FALSE),
"")</f>
        <v>0.55989473684210533</v>
      </c>
      <c r="Z277" s="18">
        <f>IFERROR(
                  Andel_oberoende_av_klimat*VLOOKUP($A277,Leveranser_per_nät,'Leveranser per nät'!Z$1,FALSE)
               +Andel_beroende_av_klimat*VLOOKUP($A277,Leveranser_per_nät,'Leveranser per nät'!Z$1,FALSE)/VLOOKUP($B277,Korrigeringsfaktor_EI,'Korrigeringsfaktor EI'!Z$1,FALSE),
"")</f>
        <v>0.44584210526315793</v>
      </c>
      <c r="AA277" s="18">
        <f>IFERROR(
                  Andel_oberoende_av_klimat*VLOOKUP($A277,Leveranser_per_nät,'Leveranser per nät'!AA$1,FALSE)
               +Andel_beroende_av_klimat*VLOOKUP($A277,Leveranser_per_nät,'Leveranser per nät'!AA$1,FALSE)/VLOOKUP($B277,Korrigeringsfaktor_EI,'Korrigeringsfaktor EI'!AA$1,FALSE),
"")</f>
        <v>0.4478418314255983</v>
      </c>
      <c r="AB277" s="18">
        <f>IFERROR(
                  Andel_oberoende_av_klimat*VLOOKUP($A277,Leveranser_per_nät,'Leveranser per nät'!AB$1,FALSE)
               +Andel_beroende_av_klimat*VLOOKUP($A277,Leveranser_per_nät,'Leveranser per nät'!AB$1,FALSE)/VLOOKUP($B277,Korrigeringsfaktor_EI,'Korrigeringsfaktor EI'!AB$1,FALSE),
"")</f>
        <v>0.35077456647398841</v>
      </c>
      <c r="AC277" s="18">
        <f>IFERROR(
                  Andel_oberoende_av_klimat*VLOOKUP($A277,Leveranser_per_nät,'Leveranser per nät'!AC$1,FALSE)
               +Andel_beroende_av_klimat*VLOOKUP($A277,Leveranser_per_nät,'Leveranser per nät'!AC$1,FALSE)/VLOOKUP($B277,Korrigeringsfaktor_EI,'Korrigeringsfaktor EI'!AC$1,FALSE),
"")</f>
        <v>0.52780796731358526</v>
      </c>
      <c r="AD277">
        <v>223.7</v>
      </c>
    </row>
    <row r="278" spans="1:30" x14ac:dyDescent="0.25">
      <c r="A278" t="s">
        <v>52</v>
      </c>
      <c r="B278" t="s">
        <v>52</v>
      </c>
      <c r="C278" s="18">
        <f>IFERROR(
                  Andel_oberoende_av_klimat*VLOOKUP($A278,Leveranser_per_nät,'Leveranser per nät'!C$1,FALSE)
               +Andel_beroende_av_klimat*VLOOKUP($A278,Leveranser_per_nät,'Leveranser per nät'!C$1,FALSE)/VLOOKUP($B278,Korrigeringsfaktor_EI,'Korrigeringsfaktor EI'!C$1,FALSE),
"")</f>
        <v>87.394339622641496</v>
      </c>
      <c r="D278" s="18">
        <f>IFERROR(
                  Andel_oberoende_av_klimat*VLOOKUP($A278,Leveranser_per_nät,'Leveranser per nät'!D$1,FALSE)
               +Andel_beroende_av_klimat*VLOOKUP($A278,Leveranser_per_nät,'Leveranser per nät'!D$1,FALSE)/VLOOKUP($B278,Korrigeringsfaktor_EI,'Korrigeringsfaktor EI'!D$1,FALSE),
"")</f>
        <v>80.795617021276598</v>
      </c>
      <c r="E278" s="18">
        <f>IFERROR(
                  Andel_oberoende_av_klimat*VLOOKUP($A278,Leveranser_per_nät,'Leveranser per nät'!E$1,FALSE)
               +Andel_beroende_av_klimat*VLOOKUP($A278,Leveranser_per_nät,'Leveranser per nät'!E$1,FALSE)/VLOOKUP($B278,Korrigeringsfaktor_EI,'Korrigeringsfaktor EI'!E$1,FALSE),
"")</f>
        <v>80.128571428571433</v>
      </c>
      <c r="F278" s="18">
        <f>IFERROR(
                  Andel_oberoende_av_klimat*VLOOKUP($A278,Leveranser_per_nät,'Leveranser per nät'!F$1,FALSE)
               +Andel_beroende_av_klimat*VLOOKUP($A278,Leveranser_per_nät,'Leveranser per nät'!F$1,FALSE)/VLOOKUP($B278,Korrigeringsfaktor_EI,'Korrigeringsfaktor EI'!F$1,FALSE),
"")</f>
        <v>88.508333333333326</v>
      </c>
      <c r="G278" s="18">
        <f>IFERROR(
                  Andel_oberoende_av_klimat*VLOOKUP($A278,Leveranser_per_nät,'Leveranser per nät'!G$1,FALSE)
               +Andel_beroende_av_klimat*VLOOKUP($A278,Leveranser_per_nät,'Leveranser per nät'!G$1,FALSE)/VLOOKUP($B278,Korrigeringsfaktor_EI,'Korrigeringsfaktor EI'!G$1,FALSE),
"")</f>
        <v>85.538461538461533</v>
      </c>
      <c r="H278" s="18">
        <f>IFERROR(
                  Andel_oberoende_av_klimat*VLOOKUP($A278,Leveranser_per_nät,'Leveranser per nät'!H$1,FALSE)
               +Andel_beroende_av_klimat*VLOOKUP($A278,Leveranser_per_nät,'Leveranser per nät'!H$1,FALSE)/VLOOKUP($B278,Korrigeringsfaktor_EI,'Korrigeringsfaktor EI'!H$1,FALSE),
"")</f>
        <v>92</v>
      </c>
      <c r="I278" s="18">
        <f>IFERROR(
                  Andel_oberoende_av_klimat*VLOOKUP($A278,Leveranser_per_nät,'Leveranser per nät'!I$1,FALSE)
               +Andel_beroende_av_klimat*VLOOKUP($A278,Leveranser_per_nät,'Leveranser per nät'!I$1,FALSE)/VLOOKUP($B278,Korrigeringsfaktor_EI,'Korrigeringsfaktor EI'!I$1,FALSE),
"")</f>
        <v>97.05670103092784</v>
      </c>
      <c r="J278" s="18">
        <f>IFERROR(
                  Andel_oberoende_av_klimat*VLOOKUP($A278,Leveranser_per_nät,'Leveranser per nät'!J$1,FALSE)
               +Andel_beroende_av_klimat*VLOOKUP($A278,Leveranser_per_nät,'Leveranser per nät'!J$1,FALSE)/VLOOKUP($B278,Korrigeringsfaktor_EI,'Korrigeringsfaktor EI'!J$1,FALSE),
"")</f>
        <v>96.110638297872342</v>
      </c>
      <c r="K278" s="18">
        <f>IFERROR(
                  Andel_oberoende_av_klimat*VLOOKUP($A278,Leveranser_per_nät,'Leveranser per nät'!K$1,FALSE)
               +Andel_beroende_av_klimat*VLOOKUP($A278,Leveranser_per_nät,'Leveranser per nät'!K$1,FALSE)/VLOOKUP($B278,Korrigeringsfaktor_EI,'Korrigeringsfaktor EI'!K$1,FALSE),
"")</f>
        <v>98.503190322580636</v>
      </c>
      <c r="L278" s="18">
        <f>IFERROR(
                  Andel_oberoende_av_klimat*VLOOKUP($A278,Leveranser_per_nät,'Leveranser per nät'!L$1,FALSE)
               +Andel_beroende_av_klimat*VLOOKUP($A278,Leveranser_per_nät,'Leveranser per nät'!L$1,FALSE)/VLOOKUP($B278,Korrigeringsfaktor_EI,'Korrigeringsfaktor EI'!L$1,FALSE),
"")</f>
        <v>128.68875422692147</v>
      </c>
      <c r="M278" s="18">
        <f>IFERROR(
                  Andel_oberoende_av_klimat*VLOOKUP($A278,Leveranser_per_nät,'Leveranser per nät'!M$1,FALSE)
               +Andel_beroende_av_klimat*VLOOKUP($A278,Leveranser_per_nät,'Leveranser per nät'!M$1,FALSE)/VLOOKUP($B278,Korrigeringsfaktor_EI,'Korrigeringsfaktor EI'!M$1,FALSE),
"")</f>
        <v>91.867009090909093</v>
      </c>
      <c r="N278" s="18">
        <f>IFERROR(
                  Andel_oberoende_av_klimat*VLOOKUP($A278,Leveranser_per_nät,'Leveranser per nät'!N$1,FALSE)
               +Andel_beroende_av_klimat*VLOOKUP($A278,Leveranser_per_nät,'Leveranser per nät'!N$1,FALSE)/VLOOKUP($B278,Korrigeringsfaktor_EI,'Korrigeringsfaktor EI'!N$1,FALSE),
"")</f>
        <v>103.14333333333333</v>
      </c>
      <c r="O278" s="18">
        <f>IFERROR(
                  Andel_oberoende_av_klimat*VLOOKUP($A278,Leveranser_per_nät,'Leveranser per nät'!O$1,FALSE)
               +Andel_beroende_av_klimat*VLOOKUP($A278,Leveranser_per_nät,'Leveranser per nät'!O$1,FALSE)/VLOOKUP($B278,Korrigeringsfaktor_EI,'Korrigeringsfaktor EI'!O$1,FALSE),
"")</f>
        <v>106.80460674157302</v>
      </c>
      <c r="P278" s="18">
        <f>IFERROR(
                  Andel_oberoende_av_klimat*VLOOKUP($A278,Leveranser_per_nät,'Leveranser per nät'!P$1,FALSE)
               +Andel_beroende_av_klimat*VLOOKUP($A278,Leveranser_per_nät,'Leveranser per nät'!P$1,FALSE)/VLOOKUP($B278,Korrigeringsfaktor_EI,'Korrigeringsfaktor EI'!P$1,FALSE),
"")</f>
        <v>119.38333333333333</v>
      </c>
      <c r="Q278" s="18">
        <f>IFERROR(
                  Andel_oberoende_av_klimat*VLOOKUP($A278,Leveranser_per_nät,'Leveranser per nät'!Q$1,FALSE)
               +Andel_beroende_av_klimat*VLOOKUP($A278,Leveranser_per_nät,'Leveranser per nät'!Q$1,FALSE)/VLOOKUP($B278,Korrigeringsfaktor_EI,'Korrigeringsfaktor EI'!Q$1,FALSE),
"")</f>
        <v>124.06818181818181</v>
      </c>
      <c r="R278" s="18">
        <f>IFERROR(
                  Andel_oberoende_av_klimat*VLOOKUP($A278,Leveranser_per_nät,'Leveranser per nät'!R$1,FALSE)
               +Andel_beroende_av_klimat*VLOOKUP($A278,Leveranser_per_nät,'Leveranser per nät'!R$1,FALSE)/VLOOKUP($B278,Korrigeringsfaktor_EI,'Korrigeringsfaktor EI'!R$1,FALSE),
"")</f>
        <v>115.28563636363636</v>
      </c>
      <c r="S278" s="18">
        <f>IFERROR(
                  Andel_oberoende_av_klimat*VLOOKUP($A278,Leveranser_per_nät,'Leveranser per nät'!S$1,FALSE)
               +Andel_beroende_av_klimat*VLOOKUP($A278,Leveranser_per_nät,'Leveranser per nät'!S$1,FALSE)/VLOOKUP($B278,Korrigeringsfaktor_EI,'Korrigeringsfaktor EI'!S$1,FALSE),
"")</f>
        <v>116.29583333333333</v>
      </c>
      <c r="T278" s="18">
        <f>IFERROR(
                  Andel_oberoende_av_klimat*VLOOKUP($A278,Leveranser_per_nät,'Leveranser per nät'!T$1,FALSE)
               +Andel_beroende_av_klimat*VLOOKUP($A278,Leveranser_per_nät,'Leveranser per nät'!T$1,FALSE)/VLOOKUP($B278,Korrigeringsfaktor_EI,'Korrigeringsfaktor EI'!T$1,FALSE),
"")</f>
        <v>118.35379130434782</v>
      </c>
      <c r="U278" s="18">
        <f>IFERROR(
                  Andel_oberoende_av_klimat*VLOOKUP($A278,Leveranser_per_nät,'Leveranser per nät'!U$1,FALSE)
               +Andel_beroende_av_klimat*VLOOKUP($A278,Leveranser_per_nät,'Leveranser per nät'!U$1,FALSE)/VLOOKUP($B278,Korrigeringsfaktor_EI,'Korrigeringsfaktor EI'!U$1,FALSE),
"")</f>
        <v>111.37771764705883</v>
      </c>
      <c r="V278" s="18">
        <f>IFERROR(
                  Andel_oberoende_av_klimat*VLOOKUP($A278,Leveranser_per_nät,'Leveranser per nät'!V$1,FALSE)
               +Andel_beroende_av_klimat*VLOOKUP($A278,Leveranser_per_nät,'Leveranser per nät'!V$1,FALSE)/VLOOKUP($B278,Korrigeringsfaktor_EI,'Korrigeringsfaktor EI'!V$1,FALSE),
"")</f>
        <v>110.23885057471264</v>
      </c>
      <c r="W278" s="18">
        <f>IFERROR(
                  Andel_oberoende_av_klimat*VLOOKUP($A278,Leveranser_per_nät,'Leveranser per nät'!W$1,FALSE)
               +Andel_beroende_av_klimat*VLOOKUP($A278,Leveranser_per_nät,'Leveranser per nät'!W$1,FALSE)/VLOOKUP($B278,Korrigeringsfaktor_EI,'Korrigeringsfaktor EI'!W$1,FALSE),
"")</f>
        <v>111.39130434782608</v>
      </c>
      <c r="X278" s="18">
        <f>IFERROR(
                  Andel_oberoende_av_klimat*VLOOKUP($A278,Leveranser_per_nät,'Leveranser per nät'!X$1,FALSE)
               +Andel_beroende_av_klimat*VLOOKUP($A278,Leveranser_per_nät,'Leveranser per nät'!X$1,FALSE)/VLOOKUP($B278,Korrigeringsfaktor_EI,'Korrigeringsfaktor EI'!X$1,FALSE),
"")</f>
        <v>117.16523157894738</v>
      </c>
      <c r="Y278" s="18">
        <f>IFERROR(
                  Andel_oberoende_av_klimat*VLOOKUP($A278,Leveranser_per_nät,'Leveranser per nät'!Y$1,FALSE)
               +Andel_beroende_av_klimat*VLOOKUP($A278,Leveranser_per_nät,'Leveranser per nät'!Y$1,FALSE)/VLOOKUP($B278,Korrigeringsfaktor_EI,'Korrigeringsfaktor EI'!Y$1,FALSE),
"")</f>
        <v>113.93739130434781</v>
      </c>
      <c r="Z278" s="18">
        <f>IFERROR(
                  Andel_oberoende_av_klimat*VLOOKUP($A278,Leveranser_per_nät,'Leveranser per nät'!Z$1,FALSE)
               +Andel_beroende_av_klimat*VLOOKUP($A278,Leveranser_per_nät,'Leveranser per nät'!Z$1,FALSE)/VLOOKUP($B278,Korrigeringsfaktor_EI,'Korrigeringsfaktor EI'!Z$1,FALSE),
"")</f>
        <v>110.99029565217391</v>
      </c>
      <c r="AA278" s="18">
        <f>IFERROR(
                  Andel_oberoende_av_klimat*VLOOKUP($A278,Leveranser_per_nät,'Leveranser per nät'!AA$1,FALSE)
               +Andel_beroende_av_klimat*VLOOKUP($A278,Leveranser_per_nät,'Leveranser per nät'!AA$1,FALSE)/VLOOKUP($B278,Korrigeringsfaktor_EI,'Korrigeringsfaktor EI'!AA$1,FALSE),
"")</f>
        <v>105.41243115419297</v>
      </c>
      <c r="AB278" s="18">
        <f>IFERROR(
                  Andel_oberoende_av_klimat*VLOOKUP($A278,Leveranser_per_nät,'Leveranser per nät'!AB$1,FALSE)
               +Andel_beroende_av_klimat*VLOOKUP($A278,Leveranser_per_nät,'Leveranser per nät'!AB$1,FALSE)/VLOOKUP($B278,Korrigeringsfaktor_EI,'Korrigeringsfaktor EI'!AB$1,FALSE),
"")</f>
        <v>108.59532222222222</v>
      </c>
      <c r="AC278" s="18">
        <f>IFERROR(
                  Andel_oberoende_av_klimat*VLOOKUP($A278,Leveranser_per_nät,'Leveranser per nät'!AC$1,FALSE)
               +Andel_beroende_av_klimat*VLOOKUP($A278,Leveranser_per_nät,'Leveranser per nät'!AC$1,FALSE)/VLOOKUP($B278,Korrigeringsfaktor_EI,'Korrigeringsfaktor EI'!AC$1,FALSE),
"")</f>
        <v>105.4011070539419</v>
      </c>
      <c r="AD278">
        <v>102.71599999999999</v>
      </c>
    </row>
    <row r="279" spans="1:30" x14ac:dyDescent="0.25">
      <c r="A279" t="s">
        <v>492</v>
      </c>
      <c r="B279" t="s">
        <v>253</v>
      </c>
      <c r="C279" s="18">
        <f>IFERROR(
                  Andel_oberoende_av_klimat*VLOOKUP($A279,Leveranser_per_nät,'Leveranser per nät'!C$1,FALSE)
               +Andel_beroende_av_klimat*VLOOKUP($A279,Leveranser_per_nät,'Leveranser per nät'!C$1,FALSE)/VLOOKUP($B279,Korrigeringsfaktor_EI,'Korrigeringsfaktor EI'!C$1,FALSE),
"")</f>
        <v>0</v>
      </c>
      <c r="D279" s="18">
        <f>IFERROR(
                  Andel_oberoende_av_klimat*VLOOKUP($A279,Leveranser_per_nät,'Leveranser per nät'!D$1,FALSE)
               +Andel_beroende_av_klimat*VLOOKUP($A279,Leveranser_per_nät,'Leveranser per nät'!D$1,FALSE)/VLOOKUP($B279,Korrigeringsfaktor_EI,'Korrigeringsfaktor EI'!D$1,FALSE),
"")</f>
        <v>0</v>
      </c>
      <c r="E279" s="18">
        <f>IFERROR(
                  Andel_oberoende_av_klimat*VLOOKUP($A279,Leveranser_per_nät,'Leveranser per nät'!E$1,FALSE)
               +Andel_beroende_av_klimat*VLOOKUP($A279,Leveranser_per_nät,'Leveranser per nät'!E$1,FALSE)/VLOOKUP($B279,Korrigeringsfaktor_EI,'Korrigeringsfaktor EI'!E$1,FALSE),
"")</f>
        <v>0</v>
      </c>
      <c r="F279" s="18">
        <f>IFERROR(
                  Andel_oberoende_av_klimat*VLOOKUP($A279,Leveranser_per_nät,'Leveranser per nät'!F$1,FALSE)
               +Andel_beroende_av_klimat*VLOOKUP($A279,Leveranser_per_nät,'Leveranser per nät'!F$1,FALSE)/VLOOKUP($B279,Korrigeringsfaktor_EI,'Korrigeringsfaktor EI'!F$1,FALSE),
"")</f>
        <v>0</v>
      </c>
      <c r="G279" s="18">
        <f>IFERROR(
                  Andel_oberoende_av_klimat*VLOOKUP($A279,Leveranser_per_nät,'Leveranser per nät'!G$1,FALSE)
               +Andel_beroende_av_klimat*VLOOKUP($A279,Leveranser_per_nät,'Leveranser per nät'!G$1,FALSE)/VLOOKUP($B279,Korrigeringsfaktor_EI,'Korrigeringsfaktor EI'!G$1,FALSE),
"")</f>
        <v>0</v>
      </c>
      <c r="H279" s="18">
        <f>IFERROR(
                  Andel_oberoende_av_klimat*VLOOKUP($A279,Leveranser_per_nät,'Leveranser per nät'!H$1,FALSE)
               +Andel_beroende_av_klimat*VLOOKUP($A279,Leveranser_per_nät,'Leveranser per nät'!H$1,FALSE)/VLOOKUP($B279,Korrigeringsfaktor_EI,'Korrigeringsfaktor EI'!H$1,FALSE),
"")</f>
        <v>0</v>
      </c>
      <c r="I279" s="18">
        <f>IFERROR(
                  Andel_oberoende_av_klimat*VLOOKUP($A279,Leveranser_per_nät,'Leveranser per nät'!I$1,FALSE)
               +Andel_beroende_av_klimat*VLOOKUP($A279,Leveranser_per_nät,'Leveranser per nät'!I$1,FALSE)/VLOOKUP($B279,Korrigeringsfaktor_EI,'Korrigeringsfaktor EI'!I$1,FALSE),
"")</f>
        <v>0</v>
      </c>
      <c r="J279" s="18">
        <f>IFERROR(
                  Andel_oberoende_av_klimat*VLOOKUP($A279,Leveranser_per_nät,'Leveranser per nät'!J$1,FALSE)
               +Andel_beroende_av_klimat*VLOOKUP($A279,Leveranser_per_nät,'Leveranser per nät'!J$1,FALSE)/VLOOKUP($B279,Korrigeringsfaktor_EI,'Korrigeringsfaktor EI'!J$1,FALSE),
"")</f>
        <v>0</v>
      </c>
      <c r="K279" s="18">
        <f>IFERROR(
                  Andel_oberoende_av_klimat*VLOOKUP($A279,Leveranser_per_nät,'Leveranser per nät'!K$1,FALSE)
               +Andel_beroende_av_klimat*VLOOKUP($A279,Leveranser_per_nät,'Leveranser per nät'!K$1,FALSE)/VLOOKUP($B279,Korrigeringsfaktor_EI,'Korrigeringsfaktor EI'!K$1,FALSE),
"")</f>
        <v>0</v>
      </c>
      <c r="L279" s="18">
        <f>IFERROR(
                  Andel_oberoende_av_klimat*VLOOKUP($A279,Leveranser_per_nät,'Leveranser per nät'!L$1,FALSE)
               +Andel_beroende_av_klimat*VLOOKUP($A279,Leveranser_per_nät,'Leveranser per nät'!L$1,FALSE)/VLOOKUP($B279,Korrigeringsfaktor_EI,'Korrigeringsfaktor EI'!L$1,FALSE),
"")</f>
        <v>0</v>
      </c>
      <c r="M279" s="18">
        <f>IFERROR(
                  Andel_oberoende_av_klimat*VLOOKUP($A279,Leveranser_per_nät,'Leveranser per nät'!M$1,FALSE)
               +Andel_beroende_av_klimat*VLOOKUP($A279,Leveranser_per_nät,'Leveranser per nät'!M$1,FALSE)/VLOOKUP($B279,Korrigeringsfaktor_EI,'Korrigeringsfaktor EI'!M$1,FALSE),
"")</f>
        <v>0</v>
      </c>
      <c r="N279" s="18">
        <f>IFERROR(
                  Andel_oberoende_av_klimat*VLOOKUP($A279,Leveranser_per_nät,'Leveranser per nät'!N$1,FALSE)
               +Andel_beroende_av_klimat*VLOOKUP($A279,Leveranser_per_nät,'Leveranser per nät'!N$1,FALSE)/VLOOKUP($B279,Korrigeringsfaktor_EI,'Korrigeringsfaktor EI'!N$1,FALSE),
"")</f>
        <v>0</v>
      </c>
      <c r="O279" s="18">
        <f>IFERROR(
                  Andel_oberoende_av_klimat*VLOOKUP($A279,Leveranser_per_nät,'Leveranser per nät'!O$1,FALSE)
               +Andel_beroende_av_klimat*VLOOKUP($A279,Leveranser_per_nät,'Leveranser per nät'!O$1,FALSE)/VLOOKUP($B279,Korrigeringsfaktor_EI,'Korrigeringsfaktor EI'!O$1,FALSE),
"")</f>
        <v>0</v>
      </c>
      <c r="P279" s="18">
        <f>IFERROR(
                  Andel_oberoende_av_klimat*VLOOKUP($A279,Leveranser_per_nät,'Leveranser per nät'!P$1,FALSE)
               +Andel_beroende_av_klimat*VLOOKUP($A279,Leveranser_per_nät,'Leveranser per nät'!P$1,FALSE)/VLOOKUP($B279,Korrigeringsfaktor_EI,'Korrigeringsfaktor EI'!P$1,FALSE),
"")</f>
        <v>0</v>
      </c>
      <c r="Q279" s="18">
        <f>IFERROR(
                  Andel_oberoende_av_klimat*VLOOKUP($A279,Leveranser_per_nät,'Leveranser per nät'!Q$1,FALSE)
               +Andel_beroende_av_klimat*VLOOKUP($A279,Leveranser_per_nät,'Leveranser per nät'!Q$1,FALSE)/VLOOKUP($B279,Korrigeringsfaktor_EI,'Korrigeringsfaktor EI'!Q$1,FALSE),
"")</f>
        <v>8.7349557522123895</v>
      </c>
      <c r="R279" s="18">
        <f>IFERROR(
                  Andel_oberoende_av_klimat*VLOOKUP($A279,Leveranser_per_nät,'Leveranser per nät'!R$1,FALSE)
               +Andel_beroende_av_klimat*VLOOKUP($A279,Leveranser_per_nät,'Leveranser per nät'!R$1,FALSE)/VLOOKUP($B279,Korrigeringsfaktor_EI,'Korrigeringsfaktor EI'!R$1,FALSE),
"")</f>
        <v>9.73</v>
      </c>
      <c r="S279" s="18" t="str">
        <f>IFERROR(
                  Andel_oberoende_av_klimat*VLOOKUP($A279,Leveranser_per_nät,'Leveranser per nät'!S$1,FALSE)
               +Andel_beroende_av_klimat*VLOOKUP($A279,Leveranser_per_nät,'Leveranser per nät'!S$1,FALSE)/VLOOKUP($B279,Korrigeringsfaktor_EI,'Korrigeringsfaktor EI'!S$1,FALSE),
"")</f>
        <v/>
      </c>
      <c r="T279" s="18" t="str">
        <f>IFERROR(
                  Andel_oberoende_av_klimat*VLOOKUP($A279,Leveranser_per_nät,'Leveranser per nät'!T$1,FALSE)
               +Andel_beroende_av_klimat*VLOOKUP($A279,Leveranser_per_nät,'Leveranser per nät'!T$1,FALSE)/VLOOKUP($B279,Korrigeringsfaktor_EI,'Korrigeringsfaktor EI'!T$1,FALSE),
"")</f>
        <v/>
      </c>
      <c r="U279" s="18" t="str">
        <f>IFERROR(
                  Andel_oberoende_av_klimat*VLOOKUP($A279,Leveranser_per_nät,'Leveranser per nät'!U$1,FALSE)
               +Andel_beroende_av_klimat*VLOOKUP($A279,Leveranser_per_nät,'Leveranser per nät'!U$1,FALSE)/VLOOKUP($B279,Korrigeringsfaktor_EI,'Korrigeringsfaktor EI'!U$1,FALSE),
"")</f>
        <v/>
      </c>
      <c r="V279" s="18" t="str">
        <f>IFERROR(
                  Andel_oberoende_av_klimat*VLOOKUP($A279,Leveranser_per_nät,'Leveranser per nät'!V$1,FALSE)
               +Andel_beroende_av_klimat*VLOOKUP($A279,Leveranser_per_nät,'Leveranser per nät'!V$1,FALSE)/VLOOKUP($B279,Korrigeringsfaktor_EI,'Korrigeringsfaktor EI'!V$1,FALSE),
"")</f>
        <v/>
      </c>
      <c r="W279" s="18" t="str">
        <f>IFERROR(
                  Andel_oberoende_av_klimat*VLOOKUP($A279,Leveranser_per_nät,'Leveranser per nät'!W$1,FALSE)
               +Andel_beroende_av_klimat*VLOOKUP($A279,Leveranser_per_nät,'Leveranser per nät'!W$1,FALSE)/VLOOKUP($B279,Korrigeringsfaktor_EI,'Korrigeringsfaktor EI'!W$1,FALSE),
"")</f>
        <v/>
      </c>
      <c r="X279" s="18" t="str">
        <f>IFERROR(
                  Andel_oberoende_av_klimat*VLOOKUP($A279,Leveranser_per_nät,'Leveranser per nät'!X$1,FALSE)
               +Andel_beroende_av_klimat*VLOOKUP($A279,Leveranser_per_nät,'Leveranser per nät'!X$1,FALSE)/VLOOKUP($B279,Korrigeringsfaktor_EI,'Korrigeringsfaktor EI'!X$1,FALSE),
"")</f>
        <v/>
      </c>
      <c r="Y279" s="18" t="str">
        <f>IFERROR(
                  Andel_oberoende_av_klimat*VLOOKUP($A279,Leveranser_per_nät,'Leveranser per nät'!Y$1,FALSE)
               +Andel_beroende_av_klimat*VLOOKUP($A279,Leveranser_per_nät,'Leveranser per nät'!Y$1,FALSE)/VLOOKUP($B279,Korrigeringsfaktor_EI,'Korrigeringsfaktor EI'!Y$1,FALSE),
"")</f>
        <v/>
      </c>
      <c r="Z279" s="18">
        <f>IFERROR(
                  Andel_oberoende_av_klimat*VLOOKUP($A279,Leveranser_per_nät,'Leveranser per nät'!Z$1,FALSE)
               +Andel_beroende_av_klimat*VLOOKUP($A279,Leveranser_per_nät,'Leveranser per nät'!Z$1,FALSE)/VLOOKUP($B279,Korrigeringsfaktor_EI,'Korrigeringsfaktor EI'!Z$1,FALSE),
"")</f>
        <v>0</v>
      </c>
      <c r="AA279" s="18" t="str">
        <f>IFERROR(
                  Andel_oberoende_av_klimat*VLOOKUP($A279,Leveranser_per_nät,'Leveranser per nät'!AA$1,FALSE)
               +Andel_beroende_av_klimat*VLOOKUP($A279,Leveranser_per_nät,'Leveranser per nät'!AA$1,FALSE)/VLOOKUP($B279,Korrigeringsfaktor_EI,'Korrigeringsfaktor EI'!AA$1,FALSE),
"")</f>
        <v/>
      </c>
      <c r="AB279" s="18">
        <f>IFERROR(
                  Andel_oberoende_av_klimat*VLOOKUP($A279,Leveranser_per_nät,'Leveranser per nät'!AB$1,FALSE)
               +Andel_beroende_av_klimat*VLOOKUP($A279,Leveranser_per_nät,'Leveranser per nät'!AB$1,FALSE)/VLOOKUP($B279,Korrigeringsfaktor_EI,'Korrigeringsfaktor EI'!AB$1,FALSE),
"")</f>
        <v>0</v>
      </c>
      <c r="AC279" s="18">
        <f>IFERROR(
                  Andel_oberoende_av_klimat*VLOOKUP($A279,Leveranser_per_nät,'Leveranser per nät'!AC$1,FALSE)
               +Andel_beroende_av_klimat*VLOOKUP($A279,Leveranser_per_nät,'Leveranser per nät'!AC$1,FALSE)/VLOOKUP($B279,Korrigeringsfaktor_EI,'Korrigeringsfaktor EI'!AC$1,FALSE),
"")</f>
        <v>0</v>
      </c>
      <c r="AD279" t="e">
        <v>#N/A</v>
      </c>
    </row>
    <row r="280" spans="1:30" x14ac:dyDescent="0.25">
      <c r="A280" t="s">
        <v>336</v>
      </c>
      <c r="B280" t="s">
        <v>336</v>
      </c>
      <c r="C280" s="18">
        <f>IFERROR(
                  Andel_oberoende_av_klimat*VLOOKUP($A280,Leveranser_per_nät,'Leveranser per nät'!C$1,FALSE)
               +Andel_beroende_av_klimat*VLOOKUP($A280,Leveranser_per_nät,'Leveranser per nät'!C$1,FALSE)/VLOOKUP($B280,Korrigeringsfaktor_EI,'Korrigeringsfaktor EI'!C$1,FALSE),
"")</f>
        <v>90.827272727272714</v>
      </c>
      <c r="D280" s="18">
        <f>IFERROR(
                  Andel_oberoende_av_klimat*VLOOKUP($A280,Leveranser_per_nät,'Leveranser per nät'!D$1,FALSE)
               +Andel_beroende_av_klimat*VLOOKUP($A280,Leveranser_per_nät,'Leveranser per nät'!D$1,FALSE)/VLOOKUP($B280,Korrigeringsfaktor_EI,'Korrigeringsfaktor EI'!D$1,FALSE),
"")</f>
        <v>124.6149292929293</v>
      </c>
      <c r="E280" s="18">
        <f>IFERROR(
                  Andel_oberoende_av_klimat*VLOOKUP($A280,Leveranser_per_nät,'Leveranser per nät'!E$1,FALSE)
               +Andel_beroende_av_klimat*VLOOKUP($A280,Leveranser_per_nät,'Leveranser per nät'!E$1,FALSE)/VLOOKUP($B280,Korrigeringsfaktor_EI,'Korrigeringsfaktor EI'!E$1,FALSE),
"")</f>
        <v>146.93333333333334</v>
      </c>
      <c r="F280" s="18">
        <f>IFERROR(
                  Andel_oberoende_av_klimat*VLOOKUP($A280,Leveranser_per_nät,'Leveranser per nät'!F$1,FALSE)
               +Andel_beroende_av_klimat*VLOOKUP($A280,Leveranser_per_nät,'Leveranser per nät'!F$1,FALSE)/VLOOKUP($B280,Korrigeringsfaktor_EI,'Korrigeringsfaktor EI'!F$1,FALSE),
"")</f>
        <v>168.5721649484536</v>
      </c>
      <c r="G280" s="18">
        <f>IFERROR(
                  Andel_oberoende_av_klimat*VLOOKUP($A280,Leveranser_per_nät,'Leveranser per nät'!G$1,FALSE)
               +Andel_beroende_av_klimat*VLOOKUP($A280,Leveranser_per_nät,'Leveranser per nät'!G$1,FALSE)/VLOOKUP($B280,Korrigeringsfaktor_EI,'Korrigeringsfaktor EI'!G$1,FALSE),
"")</f>
        <v>163.59230769230768</v>
      </c>
      <c r="H280" s="18">
        <f>IFERROR(
                  Andel_oberoende_av_klimat*VLOOKUP($A280,Leveranser_per_nät,'Leveranser per nät'!H$1,FALSE)
               +Andel_beroende_av_klimat*VLOOKUP($A280,Leveranser_per_nät,'Leveranser per nät'!H$1,FALSE)/VLOOKUP($B280,Korrigeringsfaktor_EI,'Korrigeringsfaktor EI'!H$1,FALSE),
"")</f>
        <v>168.8217821782178</v>
      </c>
      <c r="I280" s="18">
        <f>IFERROR(
                  Andel_oberoende_av_klimat*VLOOKUP($A280,Leveranser_per_nät,'Leveranser per nät'!I$1,FALSE)
               +Andel_beroende_av_klimat*VLOOKUP($A280,Leveranser_per_nät,'Leveranser per nät'!I$1,FALSE)/VLOOKUP($B280,Korrigeringsfaktor_EI,'Korrigeringsfaktor EI'!I$1,FALSE),
"")</f>
        <v>179.4016789473684</v>
      </c>
      <c r="J280" s="18">
        <f>IFERROR(
                  Andel_oberoende_av_klimat*VLOOKUP($A280,Leveranser_per_nät,'Leveranser per nät'!J$1,FALSE)
               +Andel_beroende_av_klimat*VLOOKUP($A280,Leveranser_per_nät,'Leveranser per nät'!J$1,FALSE)/VLOOKUP($B280,Korrigeringsfaktor_EI,'Korrigeringsfaktor EI'!J$1,FALSE),
"")</f>
        <v>170.21191237113402</v>
      </c>
      <c r="K280" s="18">
        <f>IFERROR(
                  Andel_oberoende_av_klimat*VLOOKUP($A280,Leveranser_per_nät,'Leveranser per nät'!K$1,FALSE)
               +Andel_beroende_av_klimat*VLOOKUP($A280,Leveranser_per_nät,'Leveranser per nät'!K$1,FALSE)/VLOOKUP($B280,Korrigeringsfaktor_EI,'Korrigeringsfaktor EI'!K$1,FALSE),
"")</f>
        <v>145.98852417224759</v>
      </c>
      <c r="L280" s="18">
        <f>IFERROR(
                  Andel_oberoende_av_klimat*VLOOKUP($A280,Leveranser_per_nät,'Leveranser per nät'!L$1,FALSE)
               +Andel_beroende_av_klimat*VLOOKUP($A280,Leveranser_per_nät,'Leveranser per nät'!L$1,FALSE)/VLOOKUP($B280,Korrigeringsfaktor_EI,'Korrigeringsfaktor EI'!L$1,FALSE),
"")</f>
        <v>148.18922980840432</v>
      </c>
      <c r="M280" s="18">
        <f>IFERROR(
                  Andel_oberoende_av_klimat*VLOOKUP($A280,Leveranser_per_nät,'Leveranser per nät'!M$1,FALSE)
               +Andel_beroende_av_klimat*VLOOKUP($A280,Leveranser_per_nät,'Leveranser per nät'!M$1,FALSE)/VLOOKUP($B280,Korrigeringsfaktor_EI,'Korrigeringsfaktor EI'!M$1,FALSE),
"")</f>
        <v>198.09852307692307</v>
      </c>
      <c r="N280" s="18">
        <f>IFERROR(
                  Andel_oberoende_av_klimat*VLOOKUP($A280,Leveranser_per_nät,'Leveranser per nät'!N$1,FALSE)
               +Andel_beroende_av_klimat*VLOOKUP($A280,Leveranser_per_nät,'Leveranser per nät'!N$1,FALSE)/VLOOKUP($B280,Korrigeringsfaktor_EI,'Korrigeringsfaktor EI'!N$1,FALSE),
"")</f>
        <v>178.69555555555556</v>
      </c>
      <c r="O280" s="18">
        <f>IFERROR(
                  Andel_oberoende_av_klimat*VLOOKUP($A280,Leveranser_per_nät,'Leveranser per nät'!O$1,FALSE)
               +Andel_beroende_av_klimat*VLOOKUP($A280,Leveranser_per_nät,'Leveranser per nät'!O$1,FALSE)/VLOOKUP($B280,Korrigeringsfaktor_EI,'Korrigeringsfaktor EI'!O$1,FALSE),
"")</f>
        <v>165.41</v>
      </c>
      <c r="P280" s="18">
        <f>IFERROR(
                  Andel_oberoende_av_klimat*VLOOKUP($A280,Leveranser_per_nät,'Leveranser per nät'!P$1,FALSE)
               +Andel_beroende_av_klimat*VLOOKUP($A280,Leveranser_per_nät,'Leveranser per nät'!P$1,FALSE)/VLOOKUP($B280,Korrigeringsfaktor_EI,'Korrigeringsfaktor EI'!P$1,FALSE),
"")</f>
        <v>168.67432989690721</v>
      </c>
      <c r="Q280" s="18">
        <f>IFERROR(
                  Andel_oberoende_av_klimat*VLOOKUP($A280,Leveranser_per_nät,'Leveranser per nät'!Q$1,FALSE)
               +Andel_beroende_av_klimat*VLOOKUP($A280,Leveranser_per_nät,'Leveranser per nät'!Q$1,FALSE)/VLOOKUP($B280,Korrigeringsfaktor_EI,'Korrigeringsfaktor EI'!Q$1,FALSE),
"")</f>
        <v>176.42525000000001</v>
      </c>
      <c r="R280" s="18">
        <f>IFERROR(
                  Andel_oberoende_av_klimat*VLOOKUP($A280,Leveranser_per_nät,'Leveranser per nät'!R$1,FALSE)
               +Andel_beroende_av_klimat*VLOOKUP($A280,Leveranser_per_nät,'Leveranser per nät'!R$1,FALSE)/VLOOKUP($B280,Korrigeringsfaktor_EI,'Korrigeringsfaktor EI'!R$1,FALSE),
"")</f>
        <v>173.63</v>
      </c>
      <c r="S280" s="18">
        <f>IFERROR(
                  Andel_oberoende_av_klimat*VLOOKUP($A280,Leveranser_per_nät,'Leveranser per nät'!S$1,FALSE)
               +Andel_beroende_av_klimat*VLOOKUP($A280,Leveranser_per_nät,'Leveranser per nät'!S$1,FALSE)/VLOOKUP($B280,Korrigeringsfaktor_EI,'Korrigeringsfaktor EI'!S$1,FALSE),
"")</f>
        <v>167.17373737373737</v>
      </c>
      <c r="T280" s="18">
        <f>IFERROR(
                  Andel_oberoende_av_klimat*VLOOKUP($A280,Leveranser_per_nät,'Leveranser per nät'!T$1,FALSE)
               +Andel_beroende_av_klimat*VLOOKUP($A280,Leveranser_per_nät,'Leveranser per nät'!T$1,FALSE)/VLOOKUP($B280,Korrigeringsfaktor_EI,'Korrigeringsfaktor EI'!T$1,FALSE),
"")</f>
        <v>167.49368085106383</v>
      </c>
      <c r="U280" s="18">
        <f>IFERROR(
                  Andel_oberoende_av_klimat*VLOOKUP($A280,Leveranser_per_nät,'Leveranser per nät'!U$1,FALSE)
               +Andel_beroende_av_klimat*VLOOKUP($A280,Leveranser_per_nät,'Leveranser per nät'!U$1,FALSE)/VLOOKUP($B280,Korrigeringsfaktor_EI,'Korrigeringsfaktor EI'!U$1,FALSE),
"")</f>
        <v>160.93988505747123</v>
      </c>
      <c r="V280" s="18">
        <f>IFERROR(
                  Andel_oberoende_av_klimat*VLOOKUP($A280,Leveranser_per_nät,'Leveranser per nät'!V$1,FALSE)
               +Andel_beroende_av_klimat*VLOOKUP($A280,Leveranser_per_nät,'Leveranser per nät'!V$1,FALSE)/VLOOKUP($B280,Korrigeringsfaktor_EI,'Korrigeringsfaktor EI'!V$1,FALSE),
"")</f>
        <v>161.13044943820228</v>
      </c>
      <c r="W280" s="18">
        <f>IFERROR(
                  Andel_oberoende_av_klimat*VLOOKUP($A280,Leveranser_per_nät,'Leveranser per nät'!W$1,FALSE)
               +Andel_beroende_av_klimat*VLOOKUP($A280,Leveranser_per_nät,'Leveranser per nät'!W$1,FALSE)/VLOOKUP($B280,Korrigeringsfaktor_EI,'Korrigeringsfaktor EI'!W$1,FALSE),
"")</f>
        <v>163.13508602150537</v>
      </c>
      <c r="X280" s="18">
        <f>IFERROR(
                  Andel_oberoende_av_klimat*VLOOKUP($A280,Leveranser_per_nät,'Leveranser per nät'!X$1,FALSE)
               +Andel_beroende_av_klimat*VLOOKUP($A280,Leveranser_per_nät,'Leveranser per nät'!X$1,FALSE)/VLOOKUP($B280,Korrigeringsfaktor_EI,'Korrigeringsfaktor EI'!X$1,FALSE),
"")</f>
        <v>159.02434782608694</v>
      </c>
      <c r="Y280" s="18">
        <f>IFERROR(
                  Andel_oberoende_av_klimat*VLOOKUP($A280,Leveranser_per_nät,'Leveranser per nät'!Y$1,FALSE)
               +Andel_beroende_av_klimat*VLOOKUP($A280,Leveranser_per_nät,'Leveranser per nät'!Y$1,FALSE)/VLOOKUP($B280,Korrigeringsfaktor_EI,'Korrigeringsfaktor EI'!Y$1,FALSE),
"")</f>
        <v>162.55475555555557</v>
      </c>
      <c r="Z280" s="18">
        <f>IFERROR(
                  Andel_oberoende_av_klimat*VLOOKUP($A280,Leveranser_per_nät,'Leveranser per nät'!Z$1,FALSE)
               +Andel_beroende_av_klimat*VLOOKUP($A280,Leveranser_per_nät,'Leveranser per nät'!Z$1,FALSE)/VLOOKUP($B280,Korrigeringsfaktor_EI,'Korrigeringsfaktor EI'!Z$1,FALSE),
"")</f>
        <v>156.83951363636362</v>
      </c>
      <c r="AA280" s="18">
        <f>IFERROR(
                  Andel_oberoende_av_klimat*VLOOKUP($A280,Leveranser_per_nät,'Leveranser per nät'!AA$1,FALSE)
               +Andel_beroende_av_klimat*VLOOKUP($A280,Leveranser_per_nät,'Leveranser per nät'!AA$1,FALSE)/VLOOKUP($B280,Korrigeringsfaktor_EI,'Korrigeringsfaktor EI'!AA$1,FALSE),
"")</f>
        <v>147.72369994701987</v>
      </c>
      <c r="AB280" s="18">
        <f>IFERROR(
                  Andel_oberoende_av_klimat*VLOOKUP($A280,Leveranser_per_nät,'Leveranser per nät'!AB$1,FALSE)
               +Andel_beroende_av_klimat*VLOOKUP($A280,Leveranser_per_nät,'Leveranser per nät'!AB$1,FALSE)/VLOOKUP($B280,Korrigeringsfaktor_EI,'Korrigeringsfaktor EI'!AB$1,FALSE),
"")</f>
        <v>151.02000000000001</v>
      </c>
      <c r="AC280" s="18">
        <f>IFERROR(
                  Andel_oberoende_av_klimat*VLOOKUP($A280,Leveranser_per_nät,'Leveranser per nät'!AC$1,FALSE)
               +Andel_beroende_av_klimat*VLOOKUP($A280,Leveranser_per_nät,'Leveranser per nät'!AC$1,FALSE)/VLOOKUP($B280,Korrigeringsfaktor_EI,'Korrigeringsfaktor EI'!AC$1,FALSE),
"")</f>
        <v>148.28305989304809</v>
      </c>
      <c r="AD280">
        <v>141.40199999999999</v>
      </c>
    </row>
    <row r="281" spans="1:30" x14ac:dyDescent="0.25">
      <c r="A281" t="s">
        <v>493</v>
      </c>
      <c r="B281" t="s">
        <v>493</v>
      </c>
      <c r="C281" s="18">
        <f>IFERROR(
                  Andel_oberoende_av_klimat*VLOOKUP($A281,Leveranser_per_nät,'Leveranser per nät'!C$1,FALSE)
               +Andel_beroende_av_klimat*VLOOKUP($A281,Leveranser_per_nät,'Leveranser per nät'!C$1,FALSE)/VLOOKUP("Jönköping",Korrigeringsfaktor_EI,'Korrigeringsfaktor EI'!C$1,FALSE),
"")</f>
        <v>0</v>
      </c>
      <c r="D281" s="18">
        <f>IFERROR(
                  Andel_oberoende_av_klimat*VLOOKUP($A281,Leveranser_per_nät,'Leveranser per nät'!D$1,FALSE)
               +Andel_beroende_av_klimat*VLOOKUP($A281,Leveranser_per_nät,'Leveranser per nät'!D$1,FALSE)/VLOOKUP("Jönköping",Korrigeringsfaktor_EI,'Korrigeringsfaktor EI'!D$1,FALSE),
"")</f>
        <v>0</v>
      </c>
      <c r="E281" s="18">
        <f>IFERROR(
                  Andel_oberoende_av_klimat*VLOOKUP($A281,Leveranser_per_nät,'Leveranser per nät'!E$1,FALSE)
               +Andel_beroende_av_klimat*VLOOKUP($A281,Leveranser_per_nät,'Leveranser per nät'!E$1,FALSE)/VLOOKUP("Jönköping",Korrigeringsfaktor_EI,'Korrigeringsfaktor EI'!E$1,FALSE),
"")</f>
        <v>0</v>
      </c>
      <c r="F281" s="18">
        <f>IFERROR(
                  Andel_oberoende_av_klimat*VLOOKUP($A281,Leveranser_per_nät,'Leveranser per nät'!F$1,FALSE)
               +Andel_beroende_av_klimat*VLOOKUP($A281,Leveranser_per_nät,'Leveranser per nät'!F$1,FALSE)/VLOOKUP("Jönköping",Korrigeringsfaktor_EI,'Korrigeringsfaktor EI'!F$1,FALSE),
"")</f>
        <v>0</v>
      </c>
      <c r="G281" s="18">
        <f>IFERROR(
                  Andel_oberoende_av_klimat*VLOOKUP($A281,Leveranser_per_nät,'Leveranser per nät'!G$1,FALSE)
               +Andel_beroende_av_klimat*VLOOKUP($A281,Leveranser_per_nät,'Leveranser per nät'!G$1,FALSE)/VLOOKUP("Jönköping",Korrigeringsfaktor_EI,'Korrigeringsfaktor EI'!G$1,FALSE),
"")</f>
        <v>0</v>
      </c>
      <c r="H281" s="18">
        <f>IFERROR(
                  Andel_oberoende_av_klimat*VLOOKUP($A281,Leveranser_per_nät,'Leveranser per nät'!H$1,FALSE)
               +Andel_beroende_av_klimat*VLOOKUP($A281,Leveranser_per_nät,'Leveranser per nät'!H$1,FALSE)/VLOOKUP("Jönköping",Korrigeringsfaktor_EI,'Korrigeringsfaktor EI'!H$1,FALSE),
"")</f>
        <v>0</v>
      </c>
      <c r="I281" s="18">
        <f>IFERROR(
                  Andel_oberoende_av_klimat*VLOOKUP($A281,Leveranser_per_nät,'Leveranser per nät'!I$1,FALSE)
               +Andel_beroende_av_klimat*VLOOKUP($A281,Leveranser_per_nät,'Leveranser per nät'!I$1,FALSE)/VLOOKUP("Jönköping",Korrigeringsfaktor_EI,'Korrigeringsfaktor EI'!I$1,FALSE),
"")</f>
        <v>0</v>
      </c>
      <c r="J281" s="18">
        <f>IFERROR(
                  Andel_oberoende_av_klimat*VLOOKUP($A281,Leveranser_per_nät,'Leveranser per nät'!J$1,FALSE)
               +Andel_beroende_av_klimat*VLOOKUP($A281,Leveranser_per_nät,'Leveranser per nät'!J$1,FALSE)/VLOOKUP("Jönköping",Korrigeringsfaktor_EI,'Korrigeringsfaktor EI'!J$1,FALSE),
"")</f>
        <v>0</v>
      </c>
      <c r="K281" s="18">
        <f>IFERROR(
                  Andel_oberoende_av_klimat*VLOOKUP($A281,Leveranser_per_nät,'Leveranser per nät'!K$1,FALSE)
               +Andel_beroende_av_klimat*VLOOKUP($A281,Leveranser_per_nät,'Leveranser per nät'!K$1,FALSE)/VLOOKUP("Jönköping",Korrigeringsfaktor_EI,'Korrigeringsfaktor EI'!K$1,FALSE),
"")</f>
        <v>0</v>
      </c>
      <c r="L281" s="18">
        <f>IFERROR(
                  Andel_oberoende_av_klimat*VLOOKUP($A281,Leveranser_per_nät,'Leveranser per nät'!L$1,FALSE)
               +Andel_beroende_av_klimat*VLOOKUP($A281,Leveranser_per_nät,'Leveranser per nät'!L$1,FALSE)/VLOOKUP("Jönköping",Korrigeringsfaktor_EI,'Korrigeringsfaktor EI'!L$1,FALSE),
"")</f>
        <v>0</v>
      </c>
      <c r="M281" s="18">
        <f>IFERROR(
                  Andel_oberoende_av_klimat*VLOOKUP($A281,Leveranser_per_nät,'Leveranser per nät'!M$1,FALSE)
               +Andel_beroende_av_klimat*VLOOKUP($A281,Leveranser_per_nät,'Leveranser per nät'!M$1,FALSE)/VLOOKUP("Jönköping",Korrigeringsfaktor_EI,'Korrigeringsfaktor EI'!M$1,FALSE),
"")</f>
        <v>0</v>
      </c>
      <c r="N281" s="18">
        <f>IFERROR(
                  Andel_oberoende_av_klimat*VLOOKUP($A281,Leveranser_per_nät,'Leveranser per nät'!N$1,FALSE)
               +Andel_beroende_av_klimat*VLOOKUP($A281,Leveranser_per_nät,'Leveranser per nät'!N$1,FALSE)/VLOOKUP("Jönköping",Korrigeringsfaktor_EI,'Korrigeringsfaktor EI'!N$1,FALSE),
"")</f>
        <v>0</v>
      </c>
      <c r="O281" s="18">
        <f>IFERROR(
                  Andel_oberoende_av_klimat*VLOOKUP($A281,Leveranser_per_nät,'Leveranser per nät'!O$1,FALSE)
               +Andel_beroende_av_klimat*VLOOKUP($A281,Leveranser_per_nät,'Leveranser per nät'!O$1,FALSE)/VLOOKUP("Jönköping",Korrigeringsfaktor_EI,'Korrigeringsfaktor EI'!O$1,FALSE),
"")</f>
        <v>0</v>
      </c>
      <c r="P281" s="18">
        <f>IFERROR(
                  Andel_oberoende_av_klimat*VLOOKUP($A281,Leveranser_per_nät,'Leveranser per nät'!P$1,FALSE)
               +Andel_beroende_av_klimat*VLOOKUP($A281,Leveranser_per_nät,'Leveranser per nät'!P$1,FALSE)/VLOOKUP("Jönköping",Korrigeringsfaktor_EI,'Korrigeringsfaktor EI'!P$1,FALSE),
"")</f>
        <v>0</v>
      </c>
      <c r="Q281" s="18">
        <f>IFERROR(
                  Andel_oberoende_av_klimat*VLOOKUP($A281,Leveranser_per_nät,'Leveranser per nät'!Q$1,FALSE)
               +Andel_beroende_av_klimat*VLOOKUP($A281,Leveranser_per_nät,'Leveranser per nät'!Q$1,FALSE)/VLOOKUP("Jönköping",Korrigeringsfaktor_EI,'Korrigeringsfaktor EI'!Q$1,FALSE),
"")</f>
        <v>0</v>
      </c>
      <c r="R281" s="18">
        <f>IFERROR(
                  Andel_oberoende_av_klimat*VLOOKUP($A281,Leveranser_per_nät,'Leveranser per nät'!R$1,FALSE)
               +Andel_beroende_av_klimat*VLOOKUP($A281,Leveranser_per_nät,'Leveranser per nät'!R$1,FALSE)/VLOOKUP("Jönköping",Korrigeringsfaktor_EI,'Korrigeringsfaktor EI'!R$1,FALSE),
"")</f>
        <v>17.783333333333331</v>
      </c>
      <c r="S281" s="18">
        <f>IFERROR(
                  Andel_oberoende_av_klimat*VLOOKUP($A281,Leveranser_per_nät,'Leveranser per nät'!S$1,FALSE)
               +Andel_beroende_av_klimat*VLOOKUP($A281,Leveranser_per_nät,'Leveranser per nät'!S$1,FALSE)/VLOOKUP("Jönköping",Korrigeringsfaktor_EI,'Korrigeringsfaktor EI'!S$1,FALSE),
"")</f>
        <v>18.764285714285712</v>
      </c>
      <c r="T281" s="18">
        <f>IFERROR(
                  Andel_oberoende_av_klimat*VLOOKUP($A281,Leveranser_per_nät,'Leveranser per nät'!T$1,FALSE)
               +Andel_beroende_av_klimat*VLOOKUP($A281,Leveranser_per_nät,'Leveranser per nät'!T$1,FALSE)/VLOOKUP("Jönköping",Korrigeringsfaktor_EI,'Korrigeringsfaktor EI'!T$1,FALSE),
"")</f>
        <v>17.674536082474226</v>
      </c>
      <c r="U281" s="18">
        <f>IFERROR(
                  Andel_oberoende_av_klimat*VLOOKUP($A281,Leveranser_per_nät,'Leveranser per nät'!U$1,FALSE)
               +Andel_beroende_av_klimat*VLOOKUP($A281,Leveranser_per_nät,'Leveranser per nät'!U$1,FALSE)/VLOOKUP("Jönköping",Korrigeringsfaktor_EI,'Korrigeringsfaktor EI'!U$1,FALSE),
"")</f>
        <v>17.121264367816092</v>
      </c>
      <c r="V281" s="18">
        <f>IFERROR(
                  Andel_oberoende_av_klimat*VLOOKUP($A281,Leveranser_per_nät,'Leveranser per nät'!V$1,FALSE)
               +Andel_beroende_av_klimat*VLOOKUP($A281,Leveranser_per_nät,'Leveranser per nät'!V$1,FALSE)/VLOOKUP("Jönköping",Korrigeringsfaktor_EI,'Korrigeringsfaktor EI'!V$1,FALSE),
"")</f>
        <v>18.795655056179775</v>
      </c>
      <c r="W281" s="18">
        <f>IFERROR(
                  Andel_oberoende_av_klimat*VLOOKUP($A281,Leveranser_per_nät,'Leveranser per nät'!W$1,FALSE)
               +Andel_beroende_av_klimat*VLOOKUP($A281,Leveranser_per_nät,'Leveranser per nät'!W$1,FALSE)/VLOOKUP("Jönköping",Korrigeringsfaktor_EI,'Korrigeringsfaktor EI'!W$1,FALSE),
"")</f>
        <v>18.559473684210523</v>
      </c>
      <c r="X281" s="18">
        <f>IFERROR(
                  Andel_oberoende_av_klimat*VLOOKUP($A281,Leveranser_per_nät,'Leveranser per nät'!X$1,FALSE)
               +Andel_beroende_av_klimat*VLOOKUP($A281,Leveranser_per_nät,'Leveranser per nät'!X$1,FALSE)/VLOOKUP("Jönköping",Korrigeringsfaktor_EI,'Korrigeringsfaktor EI'!X$1,FALSE),
"")</f>
        <v>18.527311827956989</v>
      </c>
      <c r="Y281" s="18">
        <f>IFERROR(
                  Andel_oberoende_av_klimat*VLOOKUP($A281,Leveranser_per_nät,'Leveranser per nät'!Y$1,FALSE)
               +Andel_beroende_av_klimat*VLOOKUP($A281,Leveranser_per_nät,'Leveranser per nät'!Y$1,FALSE)/VLOOKUP($B281,Korrigeringsfaktor_EI,'Korrigeringsfaktor EI'!Y$1,FALSE),
"")</f>
        <v>19.032307692307693</v>
      </c>
      <c r="Z281" s="18">
        <f>IFERROR(
                  Andel_oberoende_av_klimat*VLOOKUP($A281,Leveranser_per_nät,'Leveranser per nät'!Z$1,FALSE)
               +Andel_beroende_av_klimat*VLOOKUP($A281,Leveranser_per_nät,'Leveranser per nät'!Z$1,FALSE)/VLOOKUP($B281,Korrigeringsfaktor_EI,'Korrigeringsfaktor EI'!Z$1,FALSE),
"")</f>
        <v>19.615555555555552</v>
      </c>
      <c r="AA281" s="18">
        <f>IFERROR(
                  Andel_oberoende_av_klimat*VLOOKUP($A281,Leveranser_per_nät,'Leveranser per nät'!AA$1,FALSE)
               +Andel_beroende_av_klimat*VLOOKUP($A281,Leveranser_per_nät,'Leveranser per nät'!AA$1,FALSE)/VLOOKUP($B281,Korrigeringsfaktor_EI,'Korrigeringsfaktor EI'!AA$1,FALSE),
"")</f>
        <v>19.886021021021019</v>
      </c>
      <c r="AB281" s="18">
        <f>IFERROR(
                  Andel_oberoende_av_klimat*VLOOKUP($A281,Leveranser_per_nät,'Leveranser per nät'!AB$1,FALSE)
               +Andel_beroende_av_klimat*VLOOKUP($A281,Leveranser_per_nät,'Leveranser per nät'!AB$1,FALSE)/VLOOKUP($B281,Korrigeringsfaktor_EI,'Korrigeringsfaktor EI'!AB$1,FALSE),
"")</f>
        <v>20.056224899598394</v>
      </c>
      <c r="AC281" s="18">
        <f>IFERROR(
                  Andel_oberoende_av_klimat*VLOOKUP($A281,Leveranser_per_nät,'Leveranser per nät'!AC$1,FALSE)
               +Andel_beroende_av_klimat*VLOOKUP($A281,Leveranser_per_nät,'Leveranser per nät'!AC$1,FALSE)/VLOOKUP($B281,Korrigeringsfaktor_EI,'Korrigeringsfaktor EI'!AC$1,FALSE),
"")</f>
        <v>19.534983922829582</v>
      </c>
      <c r="AD281" t="s">
        <v>805</v>
      </c>
    </row>
    <row r="282" spans="1:30" x14ac:dyDescent="0.25">
      <c r="A282" t="s">
        <v>319</v>
      </c>
      <c r="B282" t="s">
        <v>319</v>
      </c>
      <c r="C282" s="18">
        <f>IFERROR(
                  Andel_oberoende_av_klimat*VLOOKUP($A282,Leveranser_per_nät,'Leveranser per nät'!C$1,FALSE)
               +Andel_beroende_av_klimat*VLOOKUP($A282,Leveranser_per_nät,'Leveranser per nät'!C$1,FALSE)/VLOOKUP($B282,Korrigeringsfaktor_EI,'Korrigeringsfaktor EI'!C$1,FALSE),
"")</f>
        <v>0</v>
      </c>
      <c r="D282" s="18">
        <f>IFERROR(
                  Andel_oberoende_av_klimat*VLOOKUP($A282,Leveranser_per_nät,'Leveranser per nät'!D$1,FALSE)
               +Andel_beroende_av_klimat*VLOOKUP($A282,Leveranser_per_nät,'Leveranser per nät'!D$1,FALSE)/VLOOKUP($B282,Korrigeringsfaktor_EI,'Korrigeringsfaktor EI'!D$1,FALSE),
"")</f>
        <v>0</v>
      </c>
      <c r="E282" s="18">
        <f>IFERROR(
                  Andel_oberoende_av_klimat*VLOOKUP($A282,Leveranser_per_nät,'Leveranser per nät'!E$1,FALSE)
               +Andel_beroende_av_klimat*VLOOKUP($A282,Leveranser_per_nät,'Leveranser per nät'!E$1,FALSE)/VLOOKUP($B282,Korrigeringsfaktor_EI,'Korrigeringsfaktor EI'!E$1,FALSE),
"")</f>
        <v>0</v>
      </c>
      <c r="F282" s="18">
        <f>IFERROR(
                  Andel_oberoende_av_klimat*VLOOKUP($A282,Leveranser_per_nät,'Leveranser per nät'!F$1,FALSE)
               +Andel_beroende_av_klimat*VLOOKUP($A282,Leveranser_per_nät,'Leveranser per nät'!F$1,FALSE)/VLOOKUP($B282,Korrigeringsfaktor_EI,'Korrigeringsfaktor EI'!F$1,FALSE),
"")</f>
        <v>0</v>
      </c>
      <c r="G282" s="18">
        <f>IFERROR(
                  Andel_oberoende_av_klimat*VLOOKUP($A282,Leveranser_per_nät,'Leveranser per nät'!G$1,FALSE)
               +Andel_beroende_av_klimat*VLOOKUP($A282,Leveranser_per_nät,'Leveranser per nät'!G$1,FALSE)/VLOOKUP($B282,Korrigeringsfaktor_EI,'Korrigeringsfaktor EI'!G$1,FALSE),
"")</f>
        <v>0</v>
      </c>
      <c r="H282" s="18">
        <f>IFERROR(
                  Andel_oberoende_av_klimat*VLOOKUP($A282,Leveranser_per_nät,'Leveranser per nät'!H$1,FALSE)
               +Andel_beroende_av_klimat*VLOOKUP($A282,Leveranser_per_nät,'Leveranser per nät'!H$1,FALSE)/VLOOKUP($B282,Korrigeringsfaktor_EI,'Korrigeringsfaktor EI'!H$1,FALSE),
"")</f>
        <v>0</v>
      </c>
      <c r="I282" s="18">
        <f>IFERROR(
                  Andel_oberoende_av_klimat*VLOOKUP($A282,Leveranser_per_nät,'Leveranser per nät'!I$1,FALSE)
               +Andel_beroende_av_klimat*VLOOKUP($A282,Leveranser_per_nät,'Leveranser per nät'!I$1,FALSE)/VLOOKUP($B282,Korrigeringsfaktor_EI,'Korrigeringsfaktor EI'!I$1,FALSE),
"")</f>
        <v>0</v>
      </c>
      <c r="J282" s="18">
        <f>IFERROR(
                  Andel_oberoende_av_klimat*VLOOKUP($A282,Leveranser_per_nät,'Leveranser per nät'!J$1,FALSE)
               +Andel_beroende_av_klimat*VLOOKUP($A282,Leveranser_per_nät,'Leveranser per nät'!J$1,FALSE)/VLOOKUP($B282,Korrigeringsfaktor_EI,'Korrigeringsfaktor EI'!J$1,FALSE),
"")</f>
        <v>0</v>
      </c>
      <c r="K282" s="18">
        <f>IFERROR(
                  Andel_oberoende_av_klimat*VLOOKUP($A282,Leveranser_per_nät,'Leveranser per nät'!K$1,FALSE)
               +Andel_beroende_av_klimat*VLOOKUP($A282,Leveranser_per_nät,'Leveranser per nät'!K$1,FALSE)/VLOOKUP($B282,Korrigeringsfaktor_EI,'Korrigeringsfaktor EI'!K$1,FALSE),
"")</f>
        <v>0</v>
      </c>
      <c r="L282" s="18">
        <f>IFERROR(
                  Andel_oberoende_av_klimat*VLOOKUP($A282,Leveranser_per_nät,'Leveranser per nät'!L$1,FALSE)
               +Andel_beroende_av_klimat*VLOOKUP($A282,Leveranser_per_nät,'Leveranser per nät'!L$1,FALSE)/VLOOKUP($B282,Korrigeringsfaktor_EI,'Korrigeringsfaktor EI'!L$1,FALSE),
"")</f>
        <v>0</v>
      </c>
      <c r="M282" s="18">
        <f>IFERROR(
                  Andel_oberoende_av_klimat*VLOOKUP($A282,Leveranser_per_nät,'Leveranser per nät'!M$1,FALSE)
               +Andel_beroende_av_klimat*VLOOKUP($A282,Leveranser_per_nät,'Leveranser per nät'!M$1,FALSE)/VLOOKUP($B282,Korrigeringsfaktor_EI,'Korrigeringsfaktor EI'!M$1,FALSE),
"")</f>
        <v>0.64874680851063826</v>
      </c>
      <c r="N282" s="18">
        <f>IFERROR(
                  Andel_oberoende_av_klimat*VLOOKUP($A282,Leveranser_per_nät,'Leveranser per nät'!N$1,FALSE)
               +Andel_beroende_av_klimat*VLOOKUP($A282,Leveranser_per_nät,'Leveranser per nät'!N$1,FALSE)/VLOOKUP($B282,Korrigeringsfaktor_EI,'Korrigeringsfaktor EI'!N$1,FALSE),
"")</f>
        <v>6.7245720430107525</v>
      </c>
      <c r="O282" s="18">
        <f>IFERROR(
                  Andel_oberoende_av_klimat*VLOOKUP($A282,Leveranser_per_nät,'Leveranser per nät'!O$1,FALSE)
               +Andel_beroende_av_klimat*VLOOKUP($A282,Leveranser_per_nät,'Leveranser per nät'!O$1,FALSE)/VLOOKUP($B282,Korrigeringsfaktor_EI,'Korrigeringsfaktor EI'!O$1,FALSE),
"")</f>
        <v>6.6951478260869566</v>
      </c>
      <c r="P282" s="18">
        <f>IFERROR(
                  Andel_oberoende_av_klimat*VLOOKUP($A282,Leveranser_per_nät,'Leveranser per nät'!P$1,FALSE)
               +Andel_beroende_av_klimat*VLOOKUP($A282,Leveranser_per_nät,'Leveranser per nät'!P$1,FALSE)/VLOOKUP($B282,Korrigeringsfaktor_EI,'Korrigeringsfaktor EI'!P$1,FALSE),
"")</f>
        <v>7.3180714285714288</v>
      </c>
      <c r="Q282" s="18">
        <f>IFERROR(
                  Andel_oberoende_av_klimat*VLOOKUP($A282,Leveranser_per_nät,'Leveranser per nät'!Q$1,FALSE)
               +Andel_beroende_av_klimat*VLOOKUP($A282,Leveranser_per_nät,'Leveranser per nät'!Q$1,FALSE)/VLOOKUP($B282,Korrigeringsfaktor_EI,'Korrigeringsfaktor EI'!Q$1,FALSE),
"")</f>
        <v>6.5575213675213675</v>
      </c>
      <c r="R282" s="18">
        <f>IFERROR(
                  Andel_oberoende_av_klimat*VLOOKUP($A282,Leveranser_per_nät,'Leveranser per nät'!R$1,FALSE)
               +Andel_beroende_av_klimat*VLOOKUP($A282,Leveranser_per_nät,'Leveranser per nät'!R$1,FALSE)/VLOOKUP($B282,Korrigeringsfaktor_EI,'Korrigeringsfaktor EI'!R$1,FALSE),
"")</f>
        <v>7.380670212765958</v>
      </c>
      <c r="S282" s="18">
        <f>IFERROR(
                  Andel_oberoende_av_klimat*VLOOKUP($A282,Leveranser_per_nät,'Leveranser per nät'!S$1,FALSE)
               +Andel_beroende_av_klimat*VLOOKUP($A282,Leveranser_per_nät,'Leveranser per nät'!S$1,FALSE)/VLOOKUP($B282,Korrigeringsfaktor_EI,'Korrigeringsfaktor EI'!S$1,FALSE),
"")</f>
        <v>6.8546078431372557</v>
      </c>
      <c r="T282" s="18">
        <f>IFERROR(
                  Andel_oberoende_av_klimat*VLOOKUP($A282,Leveranser_per_nät,'Leveranser per nät'!T$1,FALSE)
               +Andel_beroende_av_klimat*VLOOKUP($A282,Leveranser_per_nät,'Leveranser per nät'!T$1,FALSE)/VLOOKUP($B282,Korrigeringsfaktor_EI,'Korrigeringsfaktor EI'!T$1,FALSE),
"")</f>
        <v>6.8581515151515147</v>
      </c>
      <c r="U282" s="18">
        <f>IFERROR(
                  Andel_oberoende_av_klimat*VLOOKUP($A282,Leveranser_per_nät,'Leveranser per nät'!U$1,FALSE)
               +Andel_beroende_av_klimat*VLOOKUP($A282,Leveranser_per_nät,'Leveranser per nät'!U$1,FALSE)/VLOOKUP($B282,Korrigeringsfaktor_EI,'Korrigeringsfaktor EI'!U$1,FALSE),
"")</f>
        <v>6.6384545454545449</v>
      </c>
      <c r="V282" s="18">
        <f>IFERROR(
                  Andel_oberoende_av_klimat*VLOOKUP($A282,Leveranser_per_nät,'Leveranser per nät'!V$1,FALSE)
               +Andel_beroende_av_klimat*VLOOKUP($A282,Leveranser_per_nät,'Leveranser per nät'!V$1,FALSE)/VLOOKUP($B282,Korrigeringsfaktor_EI,'Korrigeringsfaktor EI'!V$1,FALSE),
"")</f>
        <v>6.5773913043478265</v>
      </c>
      <c r="W282" s="18">
        <f>IFERROR(
                  Andel_oberoende_av_klimat*VLOOKUP($A282,Leveranser_per_nät,'Leveranser per nät'!W$1,FALSE)
               +Andel_beroende_av_klimat*VLOOKUP($A282,Leveranser_per_nät,'Leveranser per nät'!W$1,FALSE)/VLOOKUP($B282,Korrigeringsfaktor_EI,'Korrigeringsfaktor EI'!W$1,FALSE),
"")</f>
        <v>7.100463917525774</v>
      </c>
      <c r="X282" s="18">
        <f>IFERROR(
                  Andel_oberoende_av_klimat*VLOOKUP($A282,Leveranser_per_nät,'Leveranser per nät'!X$1,FALSE)
               +Andel_beroende_av_klimat*VLOOKUP($A282,Leveranser_per_nät,'Leveranser per nät'!X$1,FALSE)/VLOOKUP($B282,Korrigeringsfaktor_EI,'Korrigeringsfaktor EI'!X$1,FALSE),
"")</f>
        <v>7.2288631578947378</v>
      </c>
      <c r="Y282" s="18">
        <f>IFERROR(
                  Andel_oberoende_av_klimat*VLOOKUP($A282,Leveranser_per_nät,'Leveranser per nät'!Y$1,FALSE)
               +Andel_beroende_av_klimat*VLOOKUP($A282,Leveranser_per_nät,'Leveranser per nät'!Y$1,FALSE)/VLOOKUP($B282,Korrigeringsfaktor_EI,'Korrigeringsfaktor EI'!Y$1,FALSE),
"")</f>
        <v>7.4161881720430101</v>
      </c>
      <c r="Z282" s="18">
        <f>IFERROR(
                  Andel_oberoende_av_klimat*VLOOKUP($A282,Leveranser_per_nät,'Leveranser per nät'!Z$1,FALSE)
               +Andel_beroende_av_klimat*VLOOKUP($A282,Leveranser_per_nät,'Leveranser per nät'!Z$1,FALSE)/VLOOKUP($B282,Korrigeringsfaktor_EI,'Korrigeringsfaktor EI'!Z$1,FALSE),
"")</f>
        <v>7.2408307692307705</v>
      </c>
      <c r="AA282" s="18">
        <f>IFERROR(
                  Andel_oberoende_av_klimat*VLOOKUP($A282,Leveranser_per_nät,'Leveranser per nät'!AA$1,FALSE)
               +Andel_beroende_av_klimat*VLOOKUP($A282,Leveranser_per_nät,'Leveranser per nät'!AA$1,FALSE)/VLOOKUP($B282,Korrigeringsfaktor_EI,'Korrigeringsfaktor EI'!AA$1,FALSE),
"")</f>
        <v>6.9487444535743617</v>
      </c>
      <c r="AB282" s="18">
        <f>IFERROR(
                  Andel_oberoende_av_klimat*VLOOKUP($A282,Leveranser_per_nät,'Leveranser per nät'!AB$1,FALSE)
               +Andel_beroende_av_klimat*VLOOKUP($A282,Leveranser_per_nät,'Leveranser per nät'!AB$1,FALSE)/VLOOKUP($B282,Korrigeringsfaktor_EI,'Korrigeringsfaktor EI'!AB$1,FALSE),
"")</f>
        <v>7.3227127555988307</v>
      </c>
      <c r="AC282" s="18">
        <f>IFERROR(
                  Andel_oberoende_av_klimat*VLOOKUP($A282,Leveranser_per_nät,'Leveranser per nät'!AC$1,FALSE)
               +Andel_beroende_av_klimat*VLOOKUP($A282,Leveranser_per_nät,'Leveranser per nät'!AC$1,FALSE)/VLOOKUP($B282,Korrigeringsfaktor_EI,'Korrigeringsfaktor EI'!AC$1,FALSE),
"")</f>
        <v>7.1765265392781314</v>
      </c>
      <c r="AD282">
        <v>6.88</v>
      </c>
    </row>
    <row r="283" spans="1:30" x14ac:dyDescent="0.25">
      <c r="A283" t="s">
        <v>206</v>
      </c>
      <c r="B283" t="s">
        <v>206</v>
      </c>
      <c r="C283" s="18">
        <f>IFERROR(
                  Andel_oberoende_av_klimat*VLOOKUP($A283,Leveranser_per_nät,'Leveranser per nät'!C$1,FALSE)
               +Andel_beroende_av_klimat*VLOOKUP($A283,Leveranser_per_nät,'Leveranser per nät'!C$1,FALSE)/VLOOKUP("Sunne",Korrigeringsfaktor_EI,'Korrigeringsfaktor EI'!C$1,FALSE),
"")</f>
        <v>37.925925925925924</v>
      </c>
      <c r="D283" s="18">
        <f>IFERROR(
                  Andel_oberoende_av_klimat*VLOOKUP($A283,Leveranser_per_nät,'Leveranser per nät'!D$1,FALSE)
               +Andel_beroende_av_klimat*VLOOKUP($A283,Leveranser_per_nät,'Leveranser per nät'!D$1,FALSE)/VLOOKUP("Sunne",Korrigeringsfaktor_EI,'Korrigeringsfaktor EI'!D$1,FALSE),
"")</f>
        <v>34.960845360824742</v>
      </c>
      <c r="E283" s="18">
        <f>IFERROR(
                  Andel_oberoende_av_klimat*VLOOKUP($A283,Leveranser_per_nät,'Leveranser per nät'!E$1,FALSE)
               +Andel_beroende_av_klimat*VLOOKUP($A283,Leveranser_per_nät,'Leveranser per nät'!E$1,FALSE)/VLOOKUP("Sunne",Korrigeringsfaktor_EI,'Korrigeringsfaktor EI'!E$1,FALSE),
"")</f>
        <v>35.750495049504948</v>
      </c>
      <c r="F283" s="18">
        <f>IFERROR(
                  Andel_oberoende_av_klimat*VLOOKUP($A283,Leveranser_per_nät,'Leveranser per nät'!F$1,FALSE)
               +Andel_beroende_av_klimat*VLOOKUP($A283,Leveranser_per_nät,'Leveranser per nät'!F$1,FALSE)/VLOOKUP("Sunne",Korrigeringsfaktor_EI,'Korrigeringsfaktor EI'!F$1,FALSE),
"")</f>
        <v>34.485714285714288</v>
      </c>
      <c r="G283" s="18">
        <f>IFERROR(
                  Andel_oberoende_av_klimat*VLOOKUP($A283,Leveranser_per_nät,'Leveranser per nät'!G$1,FALSE)
               +Andel_beroende_av_klimat*VLOOKUP($A283,Leveranser_per_nät,'Leveranser per nät'!G$1,FALSE)/VLOOKUP("Sunne",Korrigeringsfaktor_EI,'Korrigeringsfaktor EI'!G$1,FALSE),
"")</f>
        <v>33.682022471910116</v>
      </c>
      <c r="H283" s="18">
        <f>IFERROR(
                  Andel_oberoende_av_klimat*VLOOKUP($A283,Leveranser_per_nät,'Leveranser per nät'!H$1,FALSE)
               +Andel_beroende_av_klimat*VLOOKUP($A283,Leveranser_per_nät,'Leveranser per nät'!H$1,FALSE)/VLOOKUP("Sunne",Korrigeringsfaktor_EI,'Korrigeringsfaktor EI'!H$1,FALSE),
"")</f>
        <v>34.757425742574256</v>
      </c>
      <c r="I283" s="18">
        <f>IFERROR(
                  Andel_oberoende_av_klimat*VLOOKUP($A283,Leveranser_per_nät,'Leveranser per nät'!I$1,FALSE)
               +Andel_beroende_av_klimat*VLOOKUP($A283,Leveranser_per_nät,'Leveranser per nät'!I$1,FALSE)/VLOOKUP("Sunne",Korrigeringsfaktor_EI,'Korrigeringsfaktor EI'!I$1,FALSE),
"")</f>
        <v>33.714432989690721</v>
      </c>
      <c r="J283" s="18">
        <f>IFERROR(
                  Andel_oberoende_av_klimat*VLOOKUP($A283,Leveranser_per_nät,'Leveranser per nät'!J$1,FALSE)
               +Andel_beroende_av_klimat*VLOOKUP($A283,Leveranser_per_nät,'Leveranser per nät'!J$1,FALSE)/VLOOKUP("Sunne",Korrigeringsfaktor_EI,'Korrigeringsfaktor EI'!J$1,FALSE),
"")</f>
        <v>34.477083333333333</v>
      </c>
      <c r="K283" s="18">
        <f>IFERROR(
                  Andel_oberoende_av_klimat*VLOOKUP($A283,Leveranser_per_nät,'Leveranser per nät'!K$1,FALSE)
               +Andel_beroende_av_klimat*VLOOKUP($A283,Leveranser_per_nät,'Leveranser per nät'!K$1,FALSE)/VLOOKUP("Sunne",Korrigeringsfaktor_EI,'Korrigeringsfaktor EI'!K$1,FALSE),
"")</f>
        <v>36.200937499999995</v>
      </c>
      <c r="L283" s="18">
        <f>IFERROR(
                  Andel_oberoende_av_klimat*VLOOKUP($A283,Leveranser_per_nät,'Leveranser per nät'!L$1,FALSE)
               +Andel_beroende_av_klimat*VLOOKUP($A283,Leveranser_per_nät,'Leveranser per nät'!L$1,FALSE)/VLOOKUP("Sunne",Korrigeringsfaktor_EI,'Korrigeringsfaktor EI'!L$1,FALSE),
"")</f>
        <v>38.877686956521735</v>
      </c>
      <c r="M283" s="18">
        <f>IFERROR(
                  Andel_oberoende_av_klimat*VLOOKUP($A283,Leveranser_per_nät,'Leveranser per nät'!M$1,FALSE)
               +Andel_beroende_av_klimat*VLOOKUP($A283,Leveranser_per_nät,'Leveranser per nät'!M$1,FALSE)/VLOOKUP("Sunne",Korrigeringsfaktor_EI,'Korrigeringsfaktor EI'!M$1,FALSE),
"")</f>
        <v>40.160307692307697</v>
      </c>
      <c r="N283" s="18">
        <f>IFERROR(
                  Andel_oberoende_av_klimat*VLOOKUP($A283,Leveranser_per_nät,'Leveranser per nät'!N$1,FALSE)
               +Andel_beroende_av_klimat*VLOOKUP($A283,Leveranser_per_nät,'Leveranser per nät'!N$1,FALSE)/VLOOKUP("Sunne",Korrigeringsfaktor_EI,'Korrigeringsfaktor EI'!N$1,FALSE),
"")</f>
        <v>39.025147826086958</v>
      </c>
      <c r="O283" s="18">
        <f>IFERROR(
                  Andel_oberoende_av_klimat*VLOOKUP($A283,Leveranser_per_nät,'Leveranser per nät'!O$1,FALSE)
               +Andel_beroende_av_klimat*VLOOKUP($A283,Leveranser_per_nät,'Leveranser per nät'!O$1,FALSE)/VLOOKUP("Sunne",Korrigeringsfaktor_EI,'Korrigeringsfaktor EI'!O$1,FALSE),
"")</f>
        <v>38.394755555555562</v>
      </c>
      <c r="P283" s="18">
        <f>IFERROR(
                  Andel_oberoende_av_klimat*VLOOKUP($A283,Leveranser_per_nät,'Leveranser per nät'!P$1,FALSE)
               +Andel_beroende_av_klimat*VLOOKUP($A283,Leveranser_per_nät,'Leveranser per nät'!P$1,FALSE)/VLOOKUP("Sunne",Korrigeringsfaktor_EI,'Korrigeringsfaktor EI'!P$1,FALSE),
"")</f>
        <v>37.832166666666666</v>
      </c>
      <c r="Q283" s="18">
        <f>IFERROR(
                  Andel_oberoende_av_klimat*VLOOKUP($A283,Leveranser_per_nät,'Leveranser per nät'!Q$1,FALSE)
               +Andel_beroende_av_klimat*VLOOKUP($A283,Leveranser_per_nät,'Leveranser per nät'!Q$1,FALSE)/VLOOKUP("Sunne",Korrigeringsfaktor_EI,'Korrigeringsfaktor EI'!Q$1,FALSE),
"")</f>
        <v>41.428515929203542</v>
      </c>
      <c r="R283" s="18">
        <f>IFERROR(
                  Andel_oberoende_av_klimat*VLOOKUP($A283,Leveranser_per_nät,'Leveranser per nät'!R$1,FALSE)
               +Andel_beroende_av_klimat*VLOOKUP($A283,Leveranser_per_nät,'Leveranser per nät'!R$1,FALSE)/VLOOKUP("Sunne",Korrigeringsfaktor_EI,'Korrigeringsfaktor EI'!R$1,FALSE),
"")</f>
        <v>38.171538461538468</v>
      </c>
      <c r="S283" s="18">
        <f>IFERROR(
                  Andel_oberoende_av_klimat*VLOOKUP($A283,Leveranser_per_nät,'Leveranser per nät'!S$1,FALSE)
               +Andel_beroende_av_klimat*VLOOKUP($A283,Leveranser_per_nät,'Leveranser per nät'!S$1,FALSE)/VLOOKUP("Sunne",Korrigeringsfaktor_EI,'Korrigeringsfaktor EI'!S$1,FALSE),
"")</f>
        <v>36.758080808080805</v>
      </c>
      <c r="T283" s="18">
        <f>IFERROR(
                  Andel_oberoende_av_klimat*VLOOKUP($A283,Leveranser_per_nät,'Leveranser per nät'!T$1,FALSE)
               +Andel_beroende_av_klimat*VLOOKUP($A283,Leveranser_per_nät,'Leveranser per nät'!T$1,FALSE)/VLOOKUP("Sunne",Korrigeringsfaktor_EI,'Korrigeringsfaktor EI'!T$1,FALSE),
"")</f>
        <v>35.197500000000005</v>
      </c>
      <c r="U283" s="18">
        <f>IFERROR(
                  Andel_oberoende_av_klimat*VLOOKUP($A283,Leveranser_per_nät,'Leveranser per nät'!U$1,FALSE)
               +Andel_beroende_av_klimat*VLOOKUP($A283,Leveranser_per_nät,'Leveranser per nät'!U$1,FALSE)/VLOOKUP("Sunne",Korrigeringsfaktor_EI,'Korrigeringsfaktor EI'!U$1,FALSE),
"")</f>
        <v>32.535000000000004</v>
      </c>
      <c r="V283" s="18">
        <f>IFERROR(
                  Andel_oberoende_av_klimat*VLOOKUP($A283,Leveranser_per_nät,'Leveranser per nät'!V$1,FALSE)
               +Andel_beroende_av_klimat*VLOOKUP($A283,Leveranser_per_nät,'Leveranser per nät'!V$1,FALSE)/VLOOKUP("Sunne",Korrigeringsfaktor_EI,'Korrigeringsfaktor EI'!V$1,FALSE),
"")</f>
        <v>32.333333333333336</v>
      </c>
      <c r="W283" s="18">
        <f>IFERROR(
                  Andel_oberoende_av_klimat*VLOOKUP($A283,Leveranser_per_nät,'Leveranser per nät'!W$1,FALSE)
               +Andel_beroende_av_klimat*VLOOKUP($A283,Leveranser_per_nät,'Leveranser per nät'!W$1,FALSE)/VLOOKUP("Sunne",Korrigeringsfaktor_EI,'Korrigeringsfaktor EI'!W$1,FALSE),
"")</f>
        <v>33.53425531914894</v>
      </c>
      <c r="X283" s="18">
        <f>IFERROR(
                  Andel_oberoende_av_klimat*VLOOKUP($A283,Leveranser_per_nät,'Leveranser per nät'!X$1,FALSE)
               +Andel_beroende_av_klimat*VLOOKUP($A283,Leveranser_per_nät,'Leveranser per nät'!X$1,FALSE)/VLOOKUP("Sunne",Korrigeringsfaktor_EI,'Korrigeringsfaktor EI'!X$1,FALSE),
"")</f>
        <v>34.215789473684211</v>
      </c>
      <c r="Y283" s="18">
        <f>IFERROR(
                  Andel_oberoende_av_klimat*VLOOKUP($A283,Leveranser_per_nät,'Leveranser per nät'!Y$1,FALSE)
               +Andel_beroende_av_klimat*VLOOKUP($A283,Leveranser_per_nät,'Leveranser per nät'!Y$1,FALSE)/VLOOKUP($B283,Korrigeringsfaktor_EI,'Korrigeringsfaktor EI'!Y$1,FALSE),
"")</f>
        <v>35.963478260869564</v>
      </c>
      <c r="Z283" s="18">
        <f>IFERROR(
                  Andel_oberoende_av_klimat*VLOOKUP($A283,Leveranser_per_nät,'Leveranser per nät'!Z$1,FALSE)
               +Andel_beroende_av_klimat*VLOOKUP($A283,Leveranser_per_nät,'Leveranser per nät'!Z$1,FALSE)/VLOOKUP($B283,Korrigeringsfaktor_EI,'Korrigeringsfaktor EI'!Z$1,FALSE),
"")</f>
        <v>34.422903225806451</v>
      </c>
      <c r="AA283" s="18">
        <f>IFERROR(
                  Andel_oberoende_av_klimat*VLOOKUP($A283,Leveranser_per_nät,'Leveranser per nät'!AA$1,FALSE)
               +Andel_beroende_av_klimat*VLOOKUP($A283,Leveranser_per_nät,'Leveranser per nät'!AA$1,FALSE)/VLOOKUP($B283,Korrigeringsfaktor_EI,'Korrigeringsfaktor EI'!AA$1,FALSE),
"")</f>
        <v>33.931552587646081</v>
      </c>
      <c r="AB283" s="18">
        <f>IFERROR(
                  Andel_oberoende_av_klimat*VLOOKUP($A283,Leveranser_per_nät,'Leveranser per nät'!AB$1,FALSE)
               +Andel_beroende_av_klimat*VLOOKUP($A283,Leveranser_per_nät,'Leveranser per nät'!AB$1,FALSE)/VLOOKUP($B283,Korrigeringsfaktor_EI,'Korrigeringsfaktor EI'!AB$1,FALSE),
"")</f>
        <v>35.428100890207723</v>
      </c>
      <c r="AC283" s="18">
        <f>IFERROR(
                  Andel_oberoende_av_klimat*VLOOKUP($A283,Leveranser_per_nät,'Leveranser per nät'!AC$1,FALSE)
               +Andel_beroende_av_klimat*VLOOKUP($A283,Leveranser_per_nät,'Leveranser per nät'!AC$1,FALSE)/VLOOKUP($B283,Korrigeringsfaktor_EI,'Korrigeringsfaktor EI'!AC$1,FALSE),
"")</f>
        <v>34.424194736842111</v>
      </c>
      <c r="AD283" t="e">
        <v>#N/A</v>
      </c>
    </row>
    <row r="284" spans="1:30" x14ac:dyDescent="0.25">
      <c r="A284" t="s">
        <v>480</v>
      </c>
      <c r="B284" t="s">
        <v>157</v>
      </c>
      <c r="C284" s="18">
        <f>IFERROR(
                  Andel_oberoende_av_klimat*VLOOKUP($A284,Leveranser_per_nät,'Leveranser per nät'!C$1,FALSE)
               +Andel_beroende_av_klimat*VLOOKUP($A284,Leveranser_per_nät,'Leveranser per nät'!C$1,FALSE)/VLOOKUP($B284,Korrigeringsfaktor_EI,'Korrigeringsfaktor EI'!C$1,FALSE),
"")</f>
        <v>0</v>
      </c>
      <c r="D284" s="18">
        <f>IFERROR(
                  Andel_oberoende_av_klimat*VLOOKUP($A284,Leveranser_per_nät,'Leveranser per nät'!D$1,FALSE)
               +Andel_beroende_av_klimat*VLOOKUP($A284,Leveranser_per_nät,'Leveranser per nät'!D$1,FALSE)/VLOOKUP($B284,Korrigeringsfaktor_EI,'Korrigeringsfaktor EI'!D$1,FALSE),
"")</f>
        <v>0</v>
      </c>
      <c r="E284" s="18">
        <f>IFERROR(
                  Andel_oberoende_av_klimat*VLOOKUP($A284,Leveranser_per_nät,'Leveranser per nät'!E$1,FALSE)
               +Andel_beroende_av_klimat*VLOOKUP($A284,Leveranser_per_nät,'Leveranser per nät'!E$1,FALSE)/VLOOKUP($B284,Korrigeringsfaktor_EI,'Korrigeringsfaktor EI'!E$1,FALSE),
"")</f>
        <v>0</v>
      </c>
      <c r="F284" s="18">
        <f>IFERROR(
                  Andel_oberoende_av_klimat*VLOOKUP($A284,Leveranser_per_nät,'Leveranser per nät'!F$1,FALSE)
               +Andel_beroende_av_klimat*VLOOKUP($A284,Leveranser_per_nät,'Leveranser per nät'!F$1,FALSE)/VLOOKUP($B284,Korrigeringsfaktor_EI,'Korrigeringsfaktor EI'!F$1,FALSE),
"")</f>
        <v>0</v>
      </c>
      <c r="G284" s="18">
        <f>IFERROR(
                  Andel_oberoende_av_klimat*VLOOKUP($A284,Leveranser_per_nät,'Leveranser per nät'!G$1,FALSE)
               +Andel_beroende_av_klimat*VLOOKUP($A284,Leveranser_per_nät,'Leveranser per nät'!G$1,FALSE)/VLOOKUP($B284,Korrigeringsfaktor_EI,'Korrigeringsfaktor EI'!G$1,FALSE),
"")</f>
        <v>0</v>
      </c>
      <c r="H284" s="18">
        <f>IFERROR(
                  Andel_oberoende_av_klimat*VLOOKUP($A284,Leveranser_per_nät,'Leveranser per nät'!H$1,FALSE)
               +Andel_beroende_av_klimat*VLOOKUP($A284,Leveranser_per_nät,'Leveranser per nät'!H$1,FALSE)/VLOOKUP($B284,Korrigeringsfaktor_EI,'Korrigeringsfaktor EI'!H$1,FALSE),
"")</f>
        <v>0</v>
      </c>
      <c r="I284" s="18">
        <f>IFERROR(
                  Andel_oberoende_av_klimat*VLOOKUP($A284,Leveranser_per_nät,'Leveranser per nät'!I$1,FALSE)
               +Andel_beroende_av_klimat*VLOOKUP($A284,Leveranser_per_nät,'Leveranser per nät'!I$1,FALSE)/VLOOKUP($B284,Korrigeringsfaktor_EI,'Korrigeringsfaktor EI'!I$1,FALSE),
"")</f>
        <v>0</v>
      </c>
      <c r="J284" s="18">
        <f>IFERROR(
                  Andel_oberoende_av_klimat*VLOOKUP($A284,Leveranser_per_nät,'Leveranser per nät'!J$1,FALSE)
               +Andel_beroende_av_klimat*VLOOKUP($A284,Leveranser_per_nät,'Leveranser per nät'!J$1,FALSE)/VLOOKUP($B284,Korrigeringsfaktor_EI,'Korrigeringsfaktor EI'!J$1,FALSE),
"")</f>
        <v>0</v>
      </c>
      <c r="K284" s="18">
        <f>IFERROR(
                  Andel_oberoende_av_klimat*VLOOKUP($A284,Leveranser_per_nät,'Leveranser per nät'!K$1,FALSE)
               +Andel_beroende_av_klimat*VLOOKUP($A284,Leveranser_per_nät,'Leveranser per nät'!K$1,FALSE)/VLOOKUP($B284,Korrigeringsfaktor_EI,'Korrigeringsfaktor EI'!K$1,FALSE),
"")</f>
        <v>0</v>
      </c>
      <c r="L284" s="18">
        <f>IFERROR(
                  Andel_oberoende_av_klimat*VLOOKUP($A284,Leveranser_per_nät,'Leveranser per nät'!L$1,FALSE)
               +Andel_beroende_av_klimat*VLOOKUP($A284,Leveranser_per_nät,'Leveranser per nät'!L$1,FALSE)/VLOOKUP($B284,Korrigeringsfaktor_EI,'Korrigeringsfaktor EI'!L$1,FALSE),
"")</f>
        <v>1.3604941935483872</v>
      </c>
      <c r="M284" s="18">
        <f>IFERROR(
                  Andel_oberoende_av_klimat*VLOOKUP($A284,Leveranser_per_nät,'Leveranser per nät'!M$1,FALSE)
               +Andel_beroende_av_klimat*VLOOKUP($A284,Leveranser_per_nät,'Leveranser per nät'!M$1,FALSE)/VLOOKUP($B284,Korrigeringsfaktor_EI,'Korrigeringsfaktor EI'!M$1,FALSE),
"")</f>
        <v>0</v>
      </c>
      <c r="N284" s="18">
        <f>IFERROR(
                  Andel_oberoende_av_klimat*VLOOKUP($A284,Leveranser_per_nät,'Leveranser per nät'!N$1,FALSE)
               +Andel_beroende_av_klimat*VLOOKUP($A284,Leveranser_per_nät,'Leveranser per nät'!N$1,FALSE)/VLOOKUP($B284,Korrigeringsfaktor_EI,'Korrigeringsfaktor EI'!N$1,FALSE),
"")</f>
        <v>0</v>
      </c>
      <c r="O284" s="18">
        <f>IFERROR(
                  Andel_oberoende_av_klimat*VLOOKUP($A284,Leveranser_per_nät,'Leveranser per nät'!O$1,FALSE)
               +Andel_beroende_av_klimat*VLOOKUP($A284,Leveranser_per_nät,'Leveranser per nät'!O$1,FALSE)/VLOOKUP($B284,Korrigeringsfaktor_EI,'Korrigeringsfaktor EI'!O$1,FALSE),
"")</f>
        <v>0</v>
      </c>
      <c r="P284" s="18">
        <f>IFERROR(
                  Andel_oberoende_av_klimat*VLOOKUP($A284,Leveranser_per_nät,'Leveranser per nät'!P$1,FALSE)
               +Andel_beroende_av_klimat*VLOOKUP($A284,Leveranser_per_nät,'Leveranser per nät'!P$1,FALSE)/VLOOKUP($B284,Korrigeringsfaktor_EI,'Korrigeringsfaktor EI'!P$1,FALSE),
"")</f>
        <v>0</v>
      </c>
      <c r="Q284" s="18">
        <f>IFERROR(
                  Andel_oberoende_av_klimat*VLOOKUP($A284,Leveranser_per_nät,'Leveranser per nät'!Q$1,FALSE)
               +Andel_beroende_av_klimat*VLOOKUP($A284,Leveranser_per_nät,'Leveranser per nät'!Q$1,FALSE)/VLOOKUP($B284,Korrigeringsfaktor_EI,'Korrigeringsfaktor EI'!Q$1,FALSE),
"")</f>
        <v>0</v>
      </c>
      <c r="R284" s="18">
        <f>IFERROR(
                  Andel_oberoende_av_klimat*VLOOKUP($A284,Leveranser_per_nät,'Leveranser per nät'!R$1,FALSE)
               +Andel_beroende_av_klimat*VLOOKUP($A284,Leveranser_per_nät,'Leveranser per nät'!R$1,FALSE)/VLOOKUP($B284,Korrigeringsfaktor_EI,'Korrigeringsfaktor EI'!R$1,FALSE),
"")</f>
        <v>0</v>
      </c>
      <c r="S284" s="18">
        <f>IFERROR(
                  Andel_oberoende_av_klimat*VLOOKUP($A284,Leveranser_per_nät,'Leveranser per nät'!S$1,FALSE)
               +Andel_beroende_av_klimat*VLOOKUP($A284,Leveranser_per_nät,'Leveranser per nät'!S$1,FALSE)/VLOOKUP($B284,Korrigeringsfaktor_EI,'Korrigeringsfaktor EI'!S$1,FALSE),
"")</f>
        <v>0</v>
      </c>
      <c r="T284" s="18" t="str">
        <f>IFERROR(
                  Andel_oberoende_av_klimat*VLOOKUP($A284,Leveranser_per_nät,'Leveranser per nät'!T$1,FALSE)
               +Andel_beroende_av_klimat*VLOOKUP($A284,Leveranser_per_nät,'Leveranser per nät'!T$1,FALSE)/VLOOKUP($B284,Korrigeringsfaktor_EI,'Korrigeringsfaktor EI'!T$1,FALSE),
"")</f>
        <v/>
      </c>
      <c r="U284" s="18" t="str">
        <f>IFERROR(
                  Andel_oberoende_av_klimat*VLOOKUP($A284,Leveranser_per_nät,'Leveranser per nät'!U$1,FALSE)
               +Andel_beroende_av_klimat*VLOOKUP($A284,Leveranser_per_nät,'Leveranser per nät'!U$1,FALSE)/VLOOKUP($B284,Korrigeringsfaktor_EI,'Korrigeringsfaktor EI'!U$1,FALSE),
"")</f>
        <v/>
      </c>
      <c r="V284" s="18" t="str">
        <f>IFERROR(
                  Andel_oberoende_av_klimat*VLOOKUP($A284,Leveranser_per_nät,'Leveranser per nät'!V$1,FALSE)
               +Andel_beroende_av_klimat*VLOOKUP($A284,Leveranser_per_nät,'Leveranser per nät'!V$1,FALSE)/VLOOKUP($B284,Korrigeringsfaktor_EI,'Korrigeringsfaktor EI'!V$1,FALSE),
"")</f>
        <v/>
      </c>
      <c r="W284" s="18" t="str">
        <f>IFERROR(
                  Andel_oberoende_av_klimat*VLOOKUP($A284,Leveranser_per_nät,'Leveranser per nät'!W$1,FALSE)
               +Andel_beroende_av_klimat*VLOOKUP($A284,Leveranser_per_nät,'Leveranser per nät'!W$1,FALSE)/VLOOKUP($B284,Korrigeringsfaktor_EI,'Korrigeringsfaktor EI'!W$1,FALSE),
"")</f>
        <v/>
      </c>
      <c r="X284" s="18" t="str">
        <f>IFERROR(
                  Andel_oberoende_av_klimat*VLOOKUP($A284,Leveranser_per_nät,'Leveranser per nät'!X$1,FALSE)
               +Andel_beroende_av_klimat*VLOOKUP($A284,Leveranser_per_nät,'Leveranser per nät'!X$1,FALSE)/VLOOKUP($B284,Korrigeringsfaktor_EI,'Korrigeringsfaktor EI'!X$1,FALSE),
"")</f>
        <v/>
      </c>
      <c r="Y284" s="18" t="str">
        <f>IFERROR(
                  Andel_oberoende_av_klimat*VLOOKUP($A284,Leveranser_per_nät,'Leveranser per nät'!Y$1,FALSE)
               +Andel_beroende_av_klimat*VLOOKUP($A284,Leveranser_per_nät,'Leveranser per nät'!Y$1,FALSE)/VLOOKUP($B284,Korrigeringsfaktor_EI,'Korrigeringsfaktor EI'!Y$1,FALSE),
"")</f>
        <v/>
      </c>
      <c r="Z284" s="18">
        <f>IFERROR(
                  Andel_oberoende_av_klimat*VLOOKUP($A284,Leveranser_per_nät,'Leveranser per nät'!Z$1,FALSE)
               +Andel_beroende_av_klimat*VLOOKUP($A284,Leveranser_per_nät,'Leveranser per nät'!Z$1,FALSE)/VLOOKUP($B284,Korrigeringsfaktor_EI,'Korrigeringsfaktor EI'!Z$1,FALSE),
"")</f>
        <v>0</v>
      </c>
      <c r="AA284" s="18" t="str">
        <f>IFERROR(
                  Andel_oberoende_av_klimat*VLOOKUP($A284,Leveranser_per_nät,'Leveranser per nät'!AA$1,FALSE)
               +Andel_beroende_av_klimat*VLOOKUP($A284,Leveranser_per_nät,'Leveranser per nät'!AA$1,FALSE)/VLOOKUP($B284,Korrigeringsfaktor_EI,'Korrigeringsfaktor EI'!AA$1,FALSE),
"")</f>
        <v/>
      </c>
      <c r="AB284" s="18">
        <f>IFERROR(
                  Andel_oberoende_av_klimat*VLOOKUP($A284,Leveranser_per_nät,'Leveranser per nät'!AB$1,FALSE)
               +Andel_beroende_av_klimat*VLOOKUP($A284,Leveranser_per_nät,'Leveranser per nät'!AB$1,FALSE)/VLOOKUP($B284,Korrigeringsfaktor_EI,'Korrigeringsfaktor EI'!AB$1,FALSE),
"")</f>
        <v>0</v>
      </c>
      <c r="AC284" s="18">
        <f>IFERROR(
                  Andel_oberoende_av_klimat*VLOOKUP($A284,Leveranser_per_nät,'Leveranser per nät'!AC$1,FALSE)
               +Andel_beroende_av_klimat*VLOOKUP($A284,Leveranser_per_nät,'Leveranser per nät'!AC$1,FALSE)/VLOOKUP($B284,Korrigeringsfaktor_EI,'Korrigeringsfaktor EI'!AC$1,FALSE),
"")</f>
        <v>0</v>
      </c>
      <c r="AD284">
        <v>524.17999999999995</v>
      </c>
    </row>
    <row r="285" spans="1:30" x14ac:dyDescent="0.25">
      <c r="A285" t="s">
        <v>210</v>
      </c>
      <c r="B285" t="s">
        <v>210</v>
      </c>
      <c r="C285" s="18">
        <f>IFERROR(
                  Andel_oberoende_av_klimat*VLOOKUP($A285,Leveranser_per_nät,'Leveranser per nät'!C$1,FALSE)
               +Andel_beroende_av_klimat*VLOOKUP($A285,Leveranser_per_nät,'Leveranser per nät'!C$1,FALSE)/VLOOKUP("Göteborg",Korrigeringsfaktor_EI,'Korrigeringsfaktor EI'!C$1,FALSE),
"")</f>
        <v>224.11872385321095</v>
      </c>
      <c r="D285" s="18">
        <f>IFERROR(
                  Andel_oberoende_av_klimat*VLOOKUP($A285,Leveranser_per_nät,'Leveranser per nät'!D$1,FALSE)
               +Andel_beroende_av_klimat*VLOOKUP($A285,Leveranser_per_nät,'Leveranser per nät'!D$1,FALSE)/VLOOKUP("Göteborg",Korrigeringsfaktor_EI,'Korrigeringsfaktor EI'!D$1,FALSE),
"")</f>
        <v>219.48098989898989</v>
      </c>
      <c r="E285" s="18">
        <f>IFERROR(
                  Andel_oberoende_av_klimat*VLOOKUP($A285,Leveranser_per_nät,'Leveranser per nät'!E$1,FALSE)
               +Andel_beroende_av_klimat*VLOOKUP($A285,Leveranser_per_nät,'Leveranser per nät'!E$1,FALSE)/VLOOKUP("Göteborg",Korrigeringsfaktor_EI,'Korrigeringsfaktor EI'!E$1,FALSE),
"")</f>
        <v>223.35145631067959</v>
      </c>
      <c r="F285" s="18">
        <f>IFERROR(
                  Andel_oberoende_av_klimat*VLOOKUP($A285,Leveranser_per_nät,'Leveranser per nät'!F$1,FALSE)
               +Andel_beroende_av_klimat*VLOOKUP($A285,Leveranser_per_nät,'Leveranser per nät'!F$1,FALSE)/VLOOKUP("Göteborg",Korrigeringsfaktor_EI,'Korrigeringsfaktor EI'!F$1,FALSE),
"")</f>
        <v>232.59166666666667</v>
      </c>
      <c r="G285" s="18">
        <f>IFERROR(
                  Andel_oberoende_av_klimat*VLOOKUP($A285,Leveranser_per_nät,'Leveranser per nät'!G$1,FALSE)
               +Andel_beroende_av_klimat*VLOOKUP($A285,Leveranser_per_nät,'Leveranser per nät'!G$1,FALSE)/VLOOKUP("Göteborg",Korrigeringsfaktor_EI,'Korrigeringsfaktor EI'!G$1,FALSE),
"")</f>
        <v>241</v>
      </c>
      <c r="H285" s="18">
        <f>IFERROR(
                  Andel_oberoende_av_klimat*VLOOKUP($A285,Leveranser_per_nät,'Leveranser per nät'!H$1,FALSE)
               +Andel_beroende_av_klimat*VLOOKUP($A285,Leveranser_per_nät,'Leveranser per nät'!H$1,FALSE)/VLOOKUP("Göteborg",Korrigeringsfaktor_EI,'Korrigeringsfaktor EI'!H$1,FALSE),
"")</f>
        <v>265.30784313725491</v>
      </c>
      <c r="I285" s="18">
        <f>IFERROR(
                  Andel_oberoende_av_klimat*VLOOKUP($A285,Leveranser_per_nät,'Leveranser per nät'!I$1,FALSE)
               +Andel_beroende_av_klimat*VLOOKUP($A285,Leveranser_per_nät,'Leveranser per nät'!I$1,FALSE)/VLOOKUP("Göteborg",Korrigeringsfaktor_EI,'Korrigeringsfaktor EI'!I$1,FALSE),
"")</f>
        <v>280.98421052631579</v>
      </c>
      <c r="J285" s="18">
        <f>IFERROR(
                  Andel_oberoende_av_klimat*VLOOKUP($A285,Leveranser_per_nät,'Leveranser per nät'!J$1,FALSE)
               +Andel_beroende_av_klimat*VLOOKUP($A285,Leveranser_per_nät,'Leveranser per nät'!J$1,FALSE)/VLOOKUP("Göteborg",Korrigeringsfaktor_EI,'Korrigeringsfaktor EI'!J$1,FALSE),
"")</f>
        <v>275.8857142857143</v>
      </c>
      <c r="K285" s="18">
        <f>IFERROR(
                  Andel_oberoende_av_klimat*VLOOKUP($A285,Leveranser_per_nät,'Leveranser per nät'!K$1,FALSE)
               +Andel_beroende_av_klimat*VLOOKUP($A285,Leveranser_per_nät,'Leveranser per nät'!K$1,FALSE)/VLOOKUP("Göteborg",Korrigeringsfaktor_EI,'Korrigeringsfaktor EI'!K$1,FALSE),
"")</f>
        <v>280.68838804123715</v>
      </c>
      <c r="L285" s="18">
        <f>IFERROR(
                  Andel_oberoende_av_klimat*VLOOKUP($A285,Leveranser_per_nät,'Leveranser per nät'!L$1,FALSE)
               +Andel_beroende_av_klimat*VLOOKUP($A285,Leveranser_per_nät,'Leveranser per nät'!L$1,FALSE)/VLOOKUP("Göteborg",Korrigeringsfaktor_EI,'Korrigeringsfaktor EI'!L$1,FALSE),
"")</f>
        <v>278.97273684210529</v>
      </c>
      <c r="M285" s="18">
        <f>IFERROR(
                  Andel_oberoende_av_klimat*VLOOKUP($A285,Leveranser_per_nät,'Leveranser per nät'!M$1,FALSE)
               +Andel_beroende_av_klimat*VLOOKUP($A285,Leveranser_per_nät,'Leveranser per nät'!M$1,FALSE)/VLOOKUP("Göteborg",Korrigeringsfaktor_EI,'Korrigeringsfaktor EI'!M$1,FALSE),
"")</f>
        <v>283.58846956521739</v>
      </c>
      <c r="N285" s="18">
        <f>IFERROR(
                  Andel_oberoende_av_klimat*VLOOKUP($A285,Leveranser_per_nät,'Leveranser per nät'!N$1,FALSE)
               +Andel_beroende_av_klimat*VLOOKUP($A285,Leveranser_per_nät,'Leveranser per nät'!N$1,FALSE)/VLOOKUP("Göteborg",Korrigeringsfaktor_EI,'Korrigeringsfaktor EI'!N$1,FALSE),
"")</f>
        <v>286.33358461538455</v>
      </c>
      <c r="O285" s="18">
        <f>IFERROR(
                  Andel_oberoende_av_klimat*VLOOKUP($A285,Leveranser_per_nät,'Leveranser per nät'!O$1,FALSE)
               +Andel_beroende_av_klimat*VLOOKUP($A285,Leveranser_per_nät,'Leveranser per nät'!O$1,FALSE)/VLOOKUP("Göteborg",Korrigeringsfaktor_EI,'Korrigeringsfaktor EI'!O$1,FALSE),
"")</f>
        <v>285.48461538461538</v>
      </c>
      <c r="P285" s="18">
        <f>IFERROR(
                  Andel_oberoende_av_klimat*VLOOKUP($A285,Leveranser_per_nät,'Leveranser per nät'!P$1,FALSE)
               +Andel_beroende_av_klimat*VLOOKUP($A285,Leveranser_per_nät,'Leveranser per nät'!P$1,FALSE)/VLOOKUP("Göteborg",Korrigeringsfaktor_EI,'Korrigeringsfaktor EI'!P$1,FALSE),
"")</f>
        <v>302.4082474226804</v>
      </c>
      <c r="Q285" s="18">
        <f>IFERROR(
                  Andel_oberoende_av_klimat*VLOOKUP($A285,Leveranser_per_nät,'Leveranser per nät'!Q$1,FALSE)
               +Andel_beroende_av_klimat*VLOOKUP($A285,Leveranser_per_nät,'Leveranser per nät'!Q$1,FALSE)/VLOOKUP("Göteborg",Korrigeringsfaktor_EI,'Korrigeringsfaktor EI'!Q$1,FALSE),
"")</f>
        <v>312.59310344827588</v>
      </c>
      <c r="R285" s="18">
        <f>IFERROR(
                  Andel_oberoende_av_klimat*VLOOKUP($A285,Leveranser_per_nät,'Leveranser per nät'!R$1,FALSE)
               +Andel_beroende_av_klimat*VLOOKUP($A285,Leveranser_per_nät,'Leveranser per nät'!R$1,FALSE)/VLOOKUP("Göteborg",Korrigeringsfaktor_EI,'Korrigeringsfaktor EI'!R$1,FALSE),
"")</f>
        <v>347.87872340425537</v>
      </c>
      <c r="S285" s="18">
        <f>IFERROR(
                  Andel_oberoende_av_klimat*VLOOKUP($A285,Leveranser_per_nät,'Leveranser per nät'!S$1,FALSE)
               +Andel_beroende_av_klimat*VLOOKUP($A285,Leveranser_per_nät,'Leveranser per nät'!S$1,FALSE)/VLOOKUP("Göteborg",Korrigeringsfaktor_EI,'Korrigeringsfaktor EI'!S$1,FALSE),
"")</f>
        <v>293.90980392156865</v>
      </c>
      <c r="T285" s="18">
        <f>IFERROR(
                  Andel_oberoende_av_klimat*VLOOKUP($A285,Leveranser_per_nät,'Leveranser per nät'!T$1,FALSE)
               +Andel_beroende_av_klimat*VLOOKUP($A285,Leveranser_per_nät,'Leveranser per nät'!T$1,FALSE)/VLOOKUP("Göteborg",Korrigeringsfaktor_EI,'Korrigeringsfaktor EI'!T$1,FALSE),
"")</f>
        <v>312.98750505050509</v>
      </c>
      <c r="U285" s="18">
        <f>IFERROR(
                  Andel_oberoende_av_klimat*VLOOKUP($A285,Leveranser_per_nät,'Leveranser per nät'!U$1,FALSE)
               +Andel_beroende_av_klimat*VLOOKUP($A285,Leveranser_per_nät,'Leveranser per nät'!U$1,FALSE)/VLOOKUP("Göteborg",Korrigeringsfaktor_EI,'Korrigeringsfaktor EI'!U$1,FALSE),
"")</f>
        <v>294.03617586206894</v>
      </c>
      <c r="V285" s="18">
        <f>IFERROR(
                  Andel_oberoende_av_klimat*VLOOKUP($A285,Leveranser_per_nät,'Leveranser per nät'!V$1,FALSE)
               +Andel_beroende_av_klimat*VLOOKUP($A285,Leveranser_per_nät,'Leveranser per nät'!V$1,FALSE)/VLOOKUP("Göteborg",Korrigeringsfaktor_EI,'Korrigeringsfaktor EI'!V$1,FALSE),
"")</f>
        <v>301.30499130434782</v>
      </c>
      <c r="W285" s="18">
        <f>IFERROR(
                  Andel_oberoende_av_klimat*VLOOKUP($A285,Leveranser_per_nät,'Leveranser per nät'!W$1,FALSE)
               +Andel_beroende_av_klimat*VLOOKUP($A285,Leveranser_per_nät,'Leveranser per nät'!W$1,FALSE)/VLOOKUP("Göteborg",Korrigeringsfaktor_EI,'Korrigeringsfaktor EI'!W$1,FALSE),
"")</f>
        <v>315.29512765957452</v>
      </c>
      <c r="X285" s="18">
        <f>IFERROR(
                  Andel_oberoende_av_klimat*VLOOKUP($A285,Leveranser_per_nät,'Leveranser per nät'!X$1,FALSE)
               +Andel_beroende_av_klimat*VLOOKUP($A285,Leveranser_per_nät,'Leveranser per nät'!X$1,FALSE)/VLOOKUP("Göteborg",Korrigeringsfaktor_EI,'Korrigeringsfaktor EI'!X$1,FALSE),
"")</f>
        <v>367.14361739130436</v>
      </c>
      <c r="Y285" s="18">
        <f>IFERROR(
                  Andel_oberoende_av_klimat*VLOOKUP($A285,Leveranser_per_nät,'Leveranser per nät'!Y$1,FALSE)
               +Andel_beroende_av_klimat*VLOOKUP($A285,Leveranser_per_nät,'Leveranser per nät'!Y$1,FALSE)/VLOOKUP($B285,Korrigeringsfaktor_EI,'Korrigeringsfaktor EI'!Y$1,FALSE),
"")</f>
        <v>302.02882307692312</v>
      </c>
      <c r="Z285" s="18">
        <f>IFERROR(
                  Andel_oberoende_av_klimat*VLOOKUP($A285,Leveranser_per_nät,'Leveranser per nät'!Z$1,FALSE)
               +Andel_beroende_av_klimat*VLOOKUP($A285,Leveranser_per_nät,'Leveranser per nät'!Z$1,FALSE)/VLOOKUP($B285,Korrigeringsfaktor_EI,'Korrigeringsfaktor EI'!Z$1,FALSE),
"")</f>
        <v>299.18506818181822</v>
      </c>
      <c r="AA285" s="18">
        <f>IFERROR(
                  Andel_oberoende_av_klimat*VLOOKUP($A285,Leveranser_per_nät,'Leveranser per nät'!AA$1,FALSE)
               +Andel_beroende_av_klimat*VLOOKUP($A285,Leveranser_per_nät,'Leveranser per nät'!AA$1,FALSE)/VLOOKUP($B285,Korrigeringsfaktor_EI,'Korrigeringsfaktor EI'!AA$1,FALSE),
"")</f>
        <v>323.58747554734151</v>
      </c>
      <c r="AB285" s="18">
        <f>IFERROR(
                  Andel_oberoende_av_klimat*VLOOKUP($A285,Leveranser_per_nät,'Leveranser per nät'!AB$1,FALSE)
               +Andel_beroende_av_klimat*VLOOKUP($A285,Leveranser_per_nät,'Leveranser per nät'!AB$1,FALSE)/VLOOKUP($B285,Korrigeringsfaktor_EI,'Korrigeringsfaktor EI'!AB$1,FALSE),
"")</f>
        <v>294.22661917808222</v>
      </c>
      <c r="AC285" s="18">
        <f>IFERROR(
                  Andel_oberoende_av_klimat*VLOOKUP($A285,Leveranser_per_nät,'Leveranser per nät'!AC$1,FALSE)
               +Andel_beroende_av_klimat*VLOOKUP($A285,Leveranser_per_nät,'Leveranser per nät'!AC$1,FALSE)/VLOOKUP($B285,Korrigeringsfaktor_EI,'Korrigeringsfaktor EI'!AC$1,FALSE),
"")</f>
        <v>277.15742918454941</v>
      </c>
      <c r="AD285">
        <v>348.68700000000001</v>
      </c>
    </row>
    <row r="286" spans="1:30" x14ac:dyDescent="0.25">
      <c r="A286" t="s">
        <v>84</v>
      </c>
      <c r="B286" t="s">
        <v>510</v>
      </c>
      <c r="C286" s="18">
        <f>IFERROR(
                  Andel_oberoende_av_klimat*VLOOKUP($A286,Leveranser_per_nät,'Leveranser per nät'!C$1,FALSE)
               +Andel_beroende_av_klimat*VLOOKUP($A286,Leveranser_per_nät,'Leveranser per nät'!C$1,FALSE)/VLOOKUP($B286,Korrigeringsfaktor_EI,'Korrigeringsfaktor EI'!C$1,FALSE),
"")</f>
        <v>0</v>
      </c>
      <c r="D286" s="18">
        <f>IFERROR(
                  Andel_oberoende_av_klimat*VLOOKUP($A286,Leveranser_per_nät,'Leveranser per nät'!D$1,FALSE)
               +Andel_beroende_av_klimat*VLOOKUP($A286,Leveranser_per_nät,'Leveranser per nät'!D$1,FALSE)/VLOOKUP($B286,Korrigeringsfaktor_EI,'Korrigeringsfaktor EI'!D$1,FALSE),
"")</f>
        <v>0</v>
      </c>
      <c r="E286" s="18">
        <f>IFERROR(
                  Andel_oberoende_av_klimat*VLOOKUP($A286,Leveranser_per_nät,'Leveranser per nät'!E$1,FALSE)
               +Andel_beroende_av_klimat*VLOOKUP($A286,Leveranser_per_nät,'Leveranser per nät'!E$1,FALSE)/VLOOKUP($B286,Korrigeringsfaktor_EI,'Korrigeringsfaktor EI'!E$1,FALSE),
"")</f>
        <v>0</v>
      </c>
      <c r="F286" s="18">
        <f>IFERROR(
                  Andel_oberoende_av_klimat*VLOOKUP($A286,Leveranser_per_nät,'Leveranser per nät'!F$1,FALSE)
               +Andel_beroende_av_klimat*VLOOKUP($A286,Leveranser_per_nät,'Leveranser per nät'!F$1,FALSE)/VLOOKUP($B286,Korrigeringsfaktor_EI,'Korrigeringsfaktor EI'!F$1,FALSE),
"")</f>
        <v>0</v>
      </c>
      <c r="G286" s="18">
        <f>IFERROR(
                  Andel_oberoende_av_klimat*VLOOKUP($A286,Leveranser_per_nät,'Leveranser per nät'!G$1,FALSE)
               +Andel_beroende_av_klimat*VLOOKUP($A286,Leveranser_per_nät,'Leveranser per nät'!G$1,FALSE)/VLOOKUP($B286,Korrigeringsfaktor_EI,'Korrigeringsfaktor EI'!G$1,FALSE),
"")</f>
        <v>0</v>
      </c>
      <c r="H286" s="18">
        <f>IFERROR(
                  Andel_oberoende_av_klimat*VLOOKUP($A286,Leveranser_per_nät,'Leveranser per nät'!H$1,FALSE)
               +Andel_beroende_av_klimat*VLOOKUP($A286,Leveranser_per_nät,'Leveranser per nät'!H$1,FALSE)/VLOOKUP($B286,Korrigeringsfaktor_EI,'Korrigeringsfaktor EI'!H$1,FALSE),
"")</f>
        <v>0</v>
      </c>
      <c r="I286" s="18">
        <f>IFERROR(
                  Andel_oberoende_av_klimat*VLOOKUP($A286,Leveranser_per_nät,'Leveranser per nät'!I$1,FALSE)
               +Andel_beroende_av_klimat*VLOOKUP($A286,Leveranser_per_nät,'Leveranser per nät'!I$1,FALSE)/VLOOKUP($B286,Korrigeringsfaktor_EI,'Korrigeringsfaktor EI'!I$1,FALSE),
"")</f>
        <v>0</v>
      </c>
      <c r="J286" s="18">
        <f>IFERROR(
                  Andel_oberoende_av_klimat*VLOOKUP($A286,Leveranser_per_nät,'Leveranser per nät'!J$1,FALSE)
               +Andel_beroende_av_klimat*VLOOKUP($A286,Leveranser_per_nät,'Leveranser per nät'!J$1,FALSE)/VLOOKUP($B286,Korrigeringsfaktor_EI,'Korrigeringsfaktor EI'!J$1,FALSE),
"")</f>
        <v>0</v>
      </c>
      <c r="K286" s="18">
        <f>IFERROR(
                  Andel_oberoende_av_klimat*VLOOKUP($A286,Leveranser_per_nät,'Leveranser per nät'!K$1,FALSE)
               +Andel_beroende_av_klimat*VLOOKUP($A286,Leveranser_per_nät,'Leveranser per nät'!K$1,FALSE)/VLOOKUP($B286,Korrigeringsfaktor_EI,'Korrigeringsfaktor EI'!K$1,FALSE),
"")</f>
        <v>0</v>
      </c>
      <c r="L286" s="18">
        <f>IFERROR(
                  Andel_oberoende_av_klimat*VLOOKUP($A286,Leveranser_per_nät,'Leveranser per nät'!L$1,FALSE)
               +Andel_beroende_av_klimat*VLOOKUP($A286,Leveranser_per_nät,'Leveranser per nät'!L$1,FALSE)/VLOOKUP($B286,Korrigeringsfaktor_EI,'Korrigeringsfaktor EI'!L$1,FALSE),
"")</f>
        <v>43.459845916744378</v>
      </c>
      <c r="M286" s="18">
        <f>IFERROR(
                  Andel_oberoende_av_klimat*VLOOKUP($A286,Leveranser_per_nät,'Leveranser per nät'!M$1,FALSE)
               +Andel_beroende_av_klimat*VLOOKUP($A286,Leveranser_per_nät,'Leveranser per nät'!M$1,FALSE)/VLOOKUP($B286,Korrigeringsfaktor_EI,'Korrigeringsfaktor EI'!M$1,FALSE),
"")</f>
        <v>42.058173913043476</v>
      </c>
      <c r="N286" s="18">
        <f>IFERROR(
                  Andel_oberoende_av_klimat*VLOOKUP($A286,Leveranser_per_nät,'Leveranser per nät'!N$1,FALSE)
               +Andel_beroende_av_klimat*VLOOKUP($A286,Leveranser_per_nät,'Leveranser per nät'!N$1,FALSE)/VLOOKUP($B286,Korrigeringsfaktor_EI,'Korrigeringsfaktor EI'!N$1,FALSE),
"")</f>
        <v>42.389653846153848</v>
      </c>
      <c r="O286" s="18">
        <f>IFERROR(
                  Andel_oberoende_av_klimat*VLOOKUP($A286,Leveranser_per_nät,'Leveranser per nät'!O$1,FALSE)
               +Andel_beroende_av_klimat*VLOOKUP($A286,Leveranser_per_nät,'Leveranser per nät'!O$1,FALSE)/VLOOKUP($B286,Korrigeringsfaktor_EI,'Korrigeringsfaktor EI'!O$1,FALSE),
"")</f>
        <v>42.299838461538457</v>
      </c>
      <c r="P286" s="18">
        <f>IFERROR(
                  Andel_oberoende_av_klimat*VLOOKUP($A286,Leveranser_per_nät,'Leveranser per nät'!P$1,FALSE)
               +Andel_beroende_av_klimat*VLOOKUP($A286,Leveranser_per_nät,'Leveranser per nät'!P$1,FALSE)/VLOOKUP($B286,Korrigeringsfaktor_EI,'Korrigeringsfaktor EI'!P$1,FALSE),
"")</f>
        <v>45.705532989690724</v>
      </c>
      <c r="Q286" s="18">
        <f>IFERROR(
                  Andel_oberoende_av_klimat*VLOOKUP($A286,Leveranser_per_nät,'Leveranser per nät'!Q$1,FALSE)
               +Andel_beroende_av_klimat*VLOOKUP($A286,Leveranser_per_nät,'Leveranser per nät'!Q$1,FALSE)/VLOOKUP($B286,Korrigeringsfaktor_EI,'Korrigeringsfaktor EI'!Q$1,FALSE),
"")</f>
        <v>46.979310344827589</v>
      </c>
      <c r="R286" s="18">
        <f>IFERROR(
                  Andel_oberoende_av_klimat*VLOOKUP($A286,Leveranser_per_nät,'Leveranser per nät'!R$1,FALSE)
               +Andel_beroende_av_klimat*VLOOKUP($A286,Leveranser_per_nät,'Leveranser per nät'!R$1,FALSE)/VLOOKUP($B286,Korrigeringsfaktor_EI,'Korrigeringsfaktor EI'!R$1,FALSE),
"")</f>
        <v>47.123912514989371</v>
      </c>
      <c r="S286" s="18">
        <f>IFERROR(
                  Andel_oberoende_av_klimat*VLOOKUP($A286,Leveranser_per_nät,'Leveranser per nät'!S$1,FALSE)
               +Andel_beroende_av_klimat*VLOOKUP($A286,Leveranser_per_nät,'Leveranser per nät'!S$1,FALSE)/VLOOKUP($B286,Korrigeringsfaktor_EI,'Korrigeringsfaktor EI'!S$1,FALSE),
"")</f>
        <v>46.354901960784311</v>
      </c>
      <c r="T286" s="18">
        <f>IFERROR(
                  Andel_oberoende_av_klimat*VLOOKUP($A286,Leveranser_per_nät,'Leveranser per nät'!T$1,FALSE)
               +Andel_beroende_av_klimat*VLOOKUP($A286,Leveranser_per_nät,'Leveranser per nät'!T$1,FALSE)/VLOOKUP($B286,Korrigeringsfaktor_EI,'Korrigeringsfaktor EI'!T$1,FALSE),
"")</f>
        <v>45.549808080808077</v>
      </c>
      <c r="U286" s="18">
        <f>IFERROR(
                  Andel_oberoende_av_klimat*VLOOKUP($A286,Leveranser_per_nät,'Leveranser per nät'!U$1,FALSE)
               +Andel_beroende_av_klimat*VLOOKUP($A286,Leveranser_per_nät,'Leveranser per nät'!U$1,FALSE)/VLOOKUP($B286,Korrigeringsfaktor_EI,'Korrigeringsfaktor EI'!U$1,FALSE),
"")</f>
        <v>47.735189655172412</v>
      </c>
      <c r="V286" s="18">
        <f>IFERROR(
                  Andel_oberoende_av_klimat*VLOOKUP($A286,Leveranser_per_nät,'Leveranser per nät'!V$1,FALSE)
               +Andel_beroende_av_klimat*VLOOKUP($A286,Leveranser_per_nät,'Leveranser per nät'!V$1,FALSE)/VLOOKUP($B286,Korrigeringsfaktor_EI,'Korrigeringsfaktor EI'!V$1,FALSE),
"")</f>
        <v>43.707826086956523</v>
      </c>
      <c r="W286" s="18">
        <f>IFERROR(
                  Andel_oberoende_av_klimat*VLOOKUP($A286,Leveranser_per_nät,'Leveranser per nät'!W$1,FALSE)
               +Andel_beroende_av_klimat*VLOOKUP($A286,Leveranser_per_nät,'Leveranser per nät'!W$1,FALSE)/VLOOKUP($B286,Korrigeringsfaktor_EI,'Korrigeringsfaktor EI'!W$1,FALSE),
"")</f>
        <v>48.786595744680852</v>
      </c>
      <c r="X286" s="18">
        <f>IFERROR(
                  Andel_oberoende_av_klimat*VLOOKUP($A286,Leveranser_per_nät,'Leveranser per nät'!X$1,FALSE)
               +Andel_beroende_av_klimat*VLOOKUP($A286,Leveranser_per_nät,'Leveranser per nät'!X$1,FALSE)/VLOOKUP($B286,Korrigeringsfaktor_EI,'Korrigeringsfaktor EI'!X$1,FALSE),
"")</f>
        <v>49.012173913043483</v>
      </c>
      <c r="Y286" s="18">
        <f>IFERROR(
                  Andel_oberoende_av_klimat*VLOOKUP($A286,Leveranser_per_nät,'Leveranser per nät'!Y$1,FALSE)
               +Andel_beroende_av_klimat*VLOOKUP($A286,Leveranser_per_nät,'Leveranser per nät'!Y$1,FALSE)/VLOOKUP($B286,Korrigeringsfaktor_EI,'Korrigeringsfaktor EI'!Y$1,FALSE),
"")</f>
        <v>49.362222222222215</v>
      </c>
      <c r="Z286" s="18">
        <f>IFERROR(
                  Andel_oberoende_av_klimat*VLOOKUP($A286,Leveranser_per_nät,'Leveranser per nät'!Z$1,FALSE)
               +Andel_beroende_av_klimat*VLOOKUP($A286,Leveranser_per_nät,'Leveranser per nät'!Z$1,FALSE)/VLOOKUP($B286,Korrigeringsfaktor_EI,'Korrigeringsfaktor EI'!Z$1,FALSE),
"")</f>
        <v>48.16045977011494</v>
      </c>
      <c r="AA286" s="18">
        <f>IFERROR(
                  Andel_oberoende_av_klimat*VLOOKUP($A286,Leveranser_per_nät,'Leveranser per nät'!AA$1,FALSE)
               +Andel_beroende_av_klimat*VLOOKUP($A286,Leveranser_per_nät,'Leveranser per nät'!AA$1,FALSE)/VLOOKUP($B286,Korrigeringsfaktor_EI,'Korrigeringsfaktor EI'!AA$1,FALSE),
"")</f>
        <v>48.030989498114309</v>
      </c>
      <c r="AB286" s="18">
        <f>IFERROR(
                  Andel_oberoende_av_klimat*VLOOKUP($A286,Leveranser_per_nät,'Leveranser per nät'!AB$1,FALSE)
               +Andel_beroende_av_klimat*VLOOKUP($A286,Leveranser_per_nät,'Leveranser per nät'!AB$1,FALSE)/VLOOKUP($B286,Korrigeringsfaktor_EI,'Korrigeringsfaktor EI'!AB$1,FALSE),
"")</f>
        <v>50.148013861386133</v>
      </c>
      <c r="AC286" s="18">
        <f>IFERROR(
                  Andel_oberoende_av_klimat*VLOOKUP($A286,Leveranser_per_nät,'Leveranser per nät'!AC$1,FALSE)
               +Andel_beroende_av_klimat*VLOOKUP($A286,Leveranser_per_nät,'Leveranser per nät'!AC$1,FALSE)/VLOOKUP($B286,Korrigeringsfaktor_EI,'Korrigeringsfaktor EI'!AC$1,FALSE),
"")</f>
        <v>49.582921739130434</v>
      </c>
      <c r="AD286">
        <v>3143.35</v>
      </c>
    </row>
    <row r="287" spans="1:30" x14ac:dyDescent="0.25">
      <c r="A287" t="s">
        <v>80</v>
      </c>
      <c r="B287" t="s">
        <v>80</v>
      </c>
      <c r="C287" s="18">
        <f>IFERROR(
                  Andel_oberoende_av_klimat*VLOOKUP($A287,Leveranser_per_nät,'Leveranser per nät'!C$1,FALSE)
               +Andel_beroende_av_klimat*VLOOKUP($A287,Leveranser_per_nät,'Leveranser per nät'!C$1,FALSE)/VLOOKUP($B287,Korrigeringsfaktor_EI,'Korrigeringsfaktor EI'!C$1,FALSE),
"")</f>
        <v>0</v>
      </c>
      <c r="D287" s="18">
        <f>IFERROR(
                  Andel_oberoende_av_klimat*VLOOKUP($A287,Leveranser_per_nät,'Leveranser per nät'!D$1,FALSE)
               +Andel_beroende_av_klimat*VLOOKUP($A287,Leveranser_per_nät,'Leveranser per nät'!D$1,FALSE)/VLOOKUP($B287,Korrigeringsfaktor_EI,'Korrigeringsfaktor EI'!D$1,FALSE),
"")</f>
        <v>0</v>
      </c>
      <c r="E287" s="18">
        <f>IFERROR(
                  Andel_oberoende_av_klimat*VLOOKUP($A287,Leveranser_per_nät,'Leveranser per nät'!E$1,FALSE)
               +Andel_beroende_av_klimat*VLOOKUP($A287,Leveranser_per_nät,'Leveranser per nät'!E$1,FALSE)/VLOOKUP($B287,Korrigeringsfaktor_EI,'Korrigeringsfaktor EI'!E$1,FALSE),
"")</f>
        <v>0</v>
      </c>
      <c r="F287" s="18">
        <f>IFERROR(
                  Andel_oberoende_av_klimat*VLOOKUP($A287,Leveranser_per_nät,'Leveranser per nät'!F$1,FALSE)
               +Andel_beroende_av_klimat*VLOOKUP($A287,Leveranser_per_nät,'Leveranser per nät'!F$1,FALSE)/VLOOKUP($B287,Korrigeringsfaktor_EI,'Korrigeringsfaktor EI'!F$1,FALSE),
"")</f>
        <v>0</v>
      </c>
      <c r="G287" s="18">
        <f>IFERROR(
                  Andel_oberoende_av_klimat*VLOOKUP($A287,Leveranser_per_nät,'Leveranser per nät'!G$1,FALSE)
               +Andel_beroende_av_klimat*VLOOKUP($A287,Leveranser_per_nät,'Leveranser per nät'!G$1,FALSE)/VLOOKUP($B287,Korrigeringsfaktor_EI,'Korrigeringsfaktor EI'!G$1,FALSE),
"")</f>
        <v>0</v>
      </c>
      <c r="H287" s="18">
        <f>IFERROR(
                  Andel_oberoende_av_klimat*VLOOKUP($A287,Leveranser_per_nät,'Leveranser per nät'!H$1,FALSE)
               +Andel_beroende_av_klimat*VLOOKUP($A287,Leveranser_per_nät,'Leveranser per nät'!H$1,FALSE)/VLOOKUP($B287,Korrigeringsfaktor_EI,'Korrigeringsfaktor EI'!H$1,FALSE),
"")</f>
        <v>0</v>
      </c>
      <c r="I287" s="18">
        <f>IFERROR(
                  Andel_oberoende_av_klimat*VLOOKUP($A287,Leveranser_per_nät,'Leveranser per nät'!I$1,FALSE)
               +Andel_beroende_av_klimat*VLOOKUP($A287,Leveranser_per_nät,'Leveranser per nät'!I$1,FALSE)/VLOOKUP($B287,Korrigeringsfaktor_EI,'Korrigeringsfaktor EI'!I$1,FALSE),
"")</f>
        <v>0</v>
      </c>
      <c r="J287" s="18">
        <f>IFERROR(
                  Andel_oberoende_av_klimat*VLOOKUP($A287,Leveranser_per_nät,'Leveranser per nät'!J$1,FALSE)
               +Andel_beroende_av_klimat*VLOOKUP($A287,Leveranser_per_nät,'Leveranser per nät'!J$1,FALSE)/VLOOKUP($B287,Korrigeringsfaktor_EI,'Korrigeringsfaktor EI'!J$1,FALSE),
"")</f>
        <v>0</v>
      </c>
      <c r="K287" s="18">
        <f>IFERROR(
                  Andel_oberoende_av_klimat*VLOOKUP($A287,Leveranser_per_nät,'Leveranser per nät'!K$1,FALSE)
               +Andel_beroende_av_klimat*VLOOKUP($A287,Leveranser_per_nät,'Leveranser per nät'!K$1,FALSE)/VLOOKUP($B287,Korrigeringsfaktor_EI,'Korrigeringsfaktor EI'!K$1,FALSE),
"")</f>
        <v>0</v>
      </c>
      <c r="L287" s="18">
        <f>IFERROR(
                  Andel_oberoende_av_klimat*VLOOKUP($A287,Leveranser_per_nät,'Leveranser per nät'!L$1,FALSE)
               +Andel_beroende_av_klimat*VLOOKUP($A287,Leveranser_per_nät,'Leveranser per nät'!L$1,FALSE)/VLOOKUP($B287,Korrigeringsfaktor_EI,'Korrigeringsfaktor EI'!L$1,FALSE),
"")</f>
        <v>58.444914640652172</v>
      </c>
      <c r="M287" s="18">
        <f>IFERROR(
                  Andel_oberoende_av_klimat*VLOOKUP($A287,Leveranser_per_nät,'Leveranser per nät'!M$1,FALSE)
               +Andel_beroende_av_klimat*VLOOKUP($A287,Leveranser_per_nät,'Leveranser per nät'!M$1,FALSE)/VLOOKUP($B287,Korrigeringsfaktor_EI,'Korrigeringsfaktor EI'!M$1,FALSE),
"")</f>
        <v>42.321223076923083</v>
      </c>
      <c r="N287" s="18">
        <f>IFERROR(
                  Andel_oberoende_av_klimat*VLOOKUP($A287,Leveranser_per_nät,'Leveranser per nät'!N$1,FALSE)
               +Andel_beroende_av_klimat*VLOOKUP($A287,Leveranser_per_nät,'Leveranser per nät'!N$1,FALSE)/VLOOKUP($B287,Korrigeringsfaktor_EI,'Korrigeringsfaktor EI'!N$1,FALSE),
"")</f>
        <v>40.955555555555556</v>
      </c>
      <c r="O287" s="18">
        <f>IFERROR(
                  Andel_oberoende_av_klimat*VLOOKUP($A287,Leveranser_per_nät,'Leveranser per nät'!O$1,FALSE)
               +Andel_beroende_av_klimat*VLOOKUP($A287,Leveranser_per_nät,'Leveranser per nät'!O$1,FALSE)/VLOOKUP($B287,Korrigeringsfaktor_EI,'Korrigeringsfaktor EI'!O$1,FALSE),
"")</f>
        <v>43.843128089887635</v>
      </c>
      <c r="P287" s="18">
        <f>IFERROR(
                  Andel_oberoende_av_klimat*VLOOKUP($A287,Leveranser_per_nät,'Leveranser per nät'!P$1,FALSE)
               +Andel_beroende_av_klimat*VLOOKUP($A287,Leveranser_per_nät,'Leveranser per nät'!P$1,FALSE)/VLOOKUP($B287,Korrigeringsfaktor_EI,'Korrigeringsfaktor EI'!P$1,FALSE),
"")</f>
        <v>42.478854166666665</v>
      </c>
      <c r="Q287" s="18">
        <f>IFERROR(
                  Andel_oberoende_av_klimat*VLOOKUP($A287,Leveranser_per_nät,'Leveranser per nät'!Q$1,FALSE)
               +Andel_beroende_av_klimat*VLOOKUP($A287,Leveranser_per_nät,'Leveranser per nät'!Q$1,FALSE)/VLOOKUP($B287,Korrigeringsfaktor_EI,'Korrigeringsfaktor EI'!Q$1,FALSE),
"")</f>
        <v>44.945454545454538</v>
      </c>
      <c r="R287" s="18">
        <f>IFERROR(
                  Andel_oberoende_av_klimat*VLOOKUP($A287,Leveranser_per_nät,'Leveranser per nät'!R$1,FALSE)
               +Andel_beroende_av_klimat*VLOOKUP($A287,Leveranser_per_nät,'Leveranser per nät'!R$1,FALSE)/VLOOKUP($B287,Korrigeringsfaktor_EI,'Korrigeringsfaktor EI'!R$1,FALSE),
"")</f>
        <v>58.199999999999996</v>
      </c>
      <c r="S287" s="18">
        <f>IFERROR(
                  Andel_oberoende_av_klimat*VLOOKUP($A287,Leveranser_per_nät,'Leveranser per nät'!S$1,FALSE)
               +Andel_beroende_av_klimat*VLOOKUP($A287,Leveranser_per_nät,'Leveranser per nät'!S$1,FALSE)/VLOOKUP($B287,Korrigeringsfaktor_EI,'Korrigeringsfaktor EI'!S$1,FALSE),
"")</f>
        <v>42.6</v>
      </c>
      <c r="T287" s="18">
        <f>IFERROR(
                  Andel_oberoende_av_klimat*VLOOKUP($A287,Leveranser_per_nät,'Leveranser per nät'!T$1,FALSE)
               +Andel_beroende_av_klimat*VLOOKUP($A287,Leveranser_per_nät,'Leveranser per nät'!T$1,FALSE)/VLOOKUP($B287,Korrigeringsfaktor_EI,'Korrigeringsfaktor EI'!T$1,FALSE),
"")</f>
        <v>44.91180416666667</v>
      </c>
      <c r="U287" s="18">
        <f>IFERROR(
                  Andel_oberoende_av_klimat*VLOOKUP($A287,Leveranser_per_nät,'Leveranser per nät'!U$1,FALSE)
               +Andel_beroende_av_klimat*VLOOKUP($A287,Leveranser_per_nät,'Leveranser per nät'!U$1,FALSE)/VLOOKUP($B287,Korrigeringsfaktor_EI,'Korrigeringsfaktor EI'!U$1,FALSE),
"")</f>
        <v>51.274872988505749</v>
      </c>
      <c r="V287" s="18">
        <f>IFERROR(
                  Andel_oberoende_av_klimat*VLOOKUP($A287,Leveranser_per_nät,'Leveranser per nät'!V$1,FALSE)
               +Andel_beroende_av_klimat*VLOOKUP($A287,Leveranser_per_nät,'Leveranser per nät'!V$1,FALSE)/VLOOKUP($B287,Korrigeringsfaktor_EI,'Korrigeringsfaktor EI'!V$1,FALSE),
"")</f>
        <v>54.346206896551728</v>
      </c>
      <c r="W287" s="18">
        <f>IFERROR(
                  Andel_oberoende_av_klimat*VLOOKUP($A287,Leveranser_per_nät,'Leveranser per nät'!W$1,FALSE)
               +Andel_beroende_av_klimat*VLOOKUP($A287,Leveranser_per_nät,'Leveranser per nät'!W$1,FALSE)/VLOOKUP($B287,Korrigeringsfaktor_EI,'Korrigeringsfaktor EI'!W$1,FALSE),
"")</f>
        <v>54.845053763440859</v>
      </c>
      <c r="X287" s="18">
        <f>IFERROR(
                  Andel_oberoende_av_klimat*VLOOKUP($A287,Leveranser_per_nät,'Leveranser per nät'!X$1,FALSE)
               +Andel_beroende_av_klimat*VLOOKUP($A287,Leveranser_per_nät,'Leveranser per nät'!X$1,FALSE)/VLOOKUP($B287,Korrigeringsfaktor_EI,'Korrigeringsfaktor EI'!X$1,FALSE),
"")</f>
        <v>55.065384615384616</v>
      </c>
      <c r="Y287" s="18">
        <f>IFERROR(
                  Andel_oberoende_av_klimat*VLOOKUP($A287,Leveranser_per_nät,'Leveranser per nät'!Y$1,FALSE)
               +Andel_beroende_av_klimat*VLOOKUP($A287,Leveranser_per_nät,'Leveranser per nät'!Y$1,FALSE)/VLOOKUP($B287,Korrigeringsfaktor_EI,'Korrigeringsfaktor EI'!Y$1,FALSE),
"")</f>
        <v>55.629662921348313</v>
      </c>
      <c r="Z287" s="18">
        <f>IFERROR(
                  Andel_oberoende_av_klimat*VLOOKUP($A287,Leveranser_per_nät,'Leveranser per nät'!Z$1,FALSE)
               +Andel_beroende_av_klimat*VLOOKUP($A287,Leveranser_per_nät,'Leveranser per nät'!Z$1,FALSE)/VLOOKUP($B287,Korrigeringsfaktor_EI,'Korrigeringsfaktor EI'!Z$1,FALSE),
"")</f>
        <v>54.36093023255814</v>
      </c>
      <c r="AA287" s="18">
        <f>IFERROR(
                  Andel_oberoende_av_klimat*VLOOKUP($A287,Leveranser_per_nät,'Leveranser per nät'!AA$1,FALSE)
               +Andel_beroende_av_klimat*VLOOKUP($A287,Leveranser_per_nät,'Leveranser per nät'!AA$1,FALSE)/VLOOKUP($B287,Korrigeringsfaktor_EI,'Korrigeringsfaktor EI'!AA$1,FALSE),
"")</f>
        <v>52.598864097363084</v>
      </c>
      <c r="AB287" s="18">
        <f>IFERROR(
                  Andel_oberoende_av_klimat*VLOOKUP($A287,Leveranser_per_nät,'Leveranser per nät'!AB$1,FALSE)
               +Andel_beroende_av_klimat*VLOOKUP($A287,Leveranser_per_nät,'Leveranser per nät'!AB$1,FALSE)/VLOOKUP($B287,Korrigeringsfaktor_EI,'Korrigeringsfaktor EI'!AB$1,FALSE),
"")</f>
        <v>51.675322101090181</v>
      </c>
      <c r="AC287" s="18">
        <f>IFERROR(
                  Andel_oberoende_av_klimat*VLOOKUP($A287,Leveranser_per_nät,'Leveranser per nät'!AC$1,FALSE)
               +Andel_beroende_av_klimat*VLOOKUP($A287,Leveranser_per_nät,'Leveranser per nät'!AC$1,FALSE)/VLOOKUP($B287,Korrigeringsfaktor_EI,'Korrigeringsfaktor EI'!AC$1,FALSE),
"")</f>
        <v>49.01759398496241</v>
      </c>
      <c r="AD287">
        <v>46.6</v>
      </c>
    </row>
    <row r="288" spans="1:30" x14ac:dyDescent="0.25">
      <c r="A288" t="s">
        <v>469</v>
      </c>
      <c r="B288" t="s">
        <v>156</v>
      </c>
      <c r="C288" s="18">
        <f>IFERROR(
                  Andel_oberoende_av_klimat*VLOOKUP($A288,Leveranser_per_nät,'Leveranser per nät'!C$1,FALSE)
               +Andel_beroende_av_klimat*VLOOKUP($A288,Leveranser_per_nät,'Leveranser per nät'!C$1,FALSE)/VLOOKUP($B288,Korrigeringsfaktor_EI,'Korrigeringsfaktor EI'!C$1,FALSE),
"")</f>
        <v>0</v>
      </c>
      <c r="D288" s="18">
        <f>IFERROR(
                  Andel_oberoende_av_klimat*VLOOKUP($A288,Leveranser_per_nät,'Leveranser per nät'!D$1,FALSE)
               +Andel_beroende_av_klimat*VLOOKUP($A288,Leveranser_per_nät,'Leveranser per nät'!D$1,FALSE)/VLOOKUP($B288,Korrigeringsfaktor_EI,'Korrigeringsfaktor EI'!D$1,FALSE),
"")</f>
        <v>0</v>
      </c>
      <c r="E288" s="18">
        <f>IFERROR(
                  Andel_oberoende_av_klimat*VLOOKUP($A288,Leveranser_per_nät,'Leveranser per nät'!E$1,FALSE)
               +Andel_beroende_av_klimat*VLOOKUP($A288,Leveranser_per_nät,'Leveranser per nät'!E$1,FALSE)/VLOOKUP($B288,Korrigeringsfaktor_EI,'Korrigeringsfaktor EI'!E$1,FALSE),
"")</f>
        <v>0</v>
      </c>
      <c r="F288" s="18">
        <f>IFERROR(
                  Andel_oberoende_av_klimat*VLOOKUP($A288,Leveranser_per_nät,'Leveranser per nät'!F$1,FALSE)
               +Andel_beroende_av_klimat*VLOOKUP($A288,Leveranser_per_nät,'Leveranser per nät'!F$1,FALSE)/VLOOKUP($B288,Korrigeringsfaktor_EI,'Korrigeringsfaktor EI'!F$1,FALSE),
"")</f>
        <v>0</v>
      </c>
      <c r="G288" s="18">
        <f>IFERROR(
                  Andel_oberoende_av_klimat*VLOOKUP($A288,Leveranser_per_nät,'Leveranser per nät'!G$1,FALSE)
               +Andel_beroende_av_klimat*VLOOKUP($A288,Leveranser_per_nät,'Leveranser per nät'!G$1,FALSE)/VLOOKUP($B288,Korrigeringsfaktor_EI,'Korrigeringsfaktor EI'!G$1,FALSE),
"")</f>
        <v>0</v>
      </c>
      <c r="H288" s="18">
        <f>IFERROR(
                  Andel_oberoende_av_klimat*VLOOKUP($A288,Leveranser_per_nät,'Leveranser per nät'!H$1,FALSE)
               +Andel_beroende_av_klimat*VLOOKUP($A288,Leveranser_per_nät,'Leveranser per nät'!H$1,FALSE)/VLOOKUP($B288,Korrigeringsfaktor_EI,'Korrigeringsfaktor EI'!H$1,FALSE),
"")</f>
        <v>0</v>
      </c>
      <c r="I288" s="18">
        <f>IFERROR(
                  Andel_oberoende_av_klimat*VLOOKUP($A288,Leveranser_per_nät,'Leveranser per nät'!I$1,FALSE)
               +Andel_beroende_av_klimat*VLOOKUP($A288,Leveranser_per_nät,'Leveranser per nät'!I$1,FALSE)/VLOOKUP($B288,Korrigeringsfaktor_EI,'Korrigeringsfaktor EI'!I$1,FALSE),
"")</f>
        <v>0</v>
      </c>
      <c r="J288" s="18">
        <f>IFERROR(
                  Andel_oberoende_av_klimat*VLOOKUP($A288,Leveranser_per_nät,'Leveranser per nät'!J$1,FALSE)
               +Andel_beroende_av_klimat*VLOOKUP($A288,Leveranser_per_nät,'Leveranser per nät'!J$1,FALSE)/VLOOKUP($B288,Korrigeringsfaktor_EI,'Korrigeringsfaktor EI'!J$1,FALSE),
"")</f>
        <v>0</v>
      </c>
      <c r="K288" s="18">
        <f>IFERROR(
                  Andel_oberoende_av_klimat*VLOOKUP($A288,Leveranser_per_nät,'Leveranser per nät'!K$1,FALSE)
               +Andel_beroende_av_klimat*VLOOKUP($A288,Leveranser_per_nät,'Leveranser per nät'!K$1,FALSE)/VLOOKUP($B288,Korrigeringsfaktor_EI,'Korrigeringsfaktor EI'!K$1,FALSE),
"")</f>
        <v>0</v>
      </c>
      <c r="L288" s="18">
        <f>IFERROR(
                  Andel_oberoende_av_klimat*VLOOKUP($A288,Leveranser_per_nät,'Leveranser per nät'!L$1,FALSE)
               +Andel_beroende_av_klimat*VLOOKUP($A288,Leveranser_per_nät,'Leveranser per nät'!L$1,FALSE)/VLOOKUP($B288,Korrigeringsfaktor_EI,'Korrigeringsfaktor EI'!L$1,FALSE),
"")</f>
        <v>3.4621859550561798</v>
      </c>
      <c r="M288" s="18">
        <f>IFERROR(
                  Andel_oberoende_av_klimat*VLOOKUP($A288,Leveranser_per_nät,'Leveranser per nät'!M$1,FALSE)
               +Andel_beroende_av_klimat*VLOOKUP($A288,Leveranser_per_nät,'Leveranser per nät'!M$1,FALSE)/VLOOKUP($B288,Korrigeringsfaktor_EI,'Korrigeringsfaktor EI'!M$1,FALSE),
"")</f>
        <v>0</v>
      </c>
      <c r="N288" s="18">
        <f>IFERROR(
                  Andel_oberoende_av_klimat*VLOOKUP($A288,Leveranser_per_nät,'Leveranser per nät'!N$1,FALSE)
               +Andel_beroende_av_klimat*VLOOKUP($A288,Leveranser_per_nät,'Leveranser per nät'!N$1,FALSE)/VLOOKUP($B288,Korrigeringsfaktor_EI,'Korrigeringsfaktor EI'!N$1,FALSE),
"")</f>
        <v>0</v>
      </c>
      <c r="O288" s="18">
        <f>IFERROR(
                  Andel_oberoende_av_klimat*VLOOKUP($A288,Leveranser_per_nät,'Leveranser per nät'!O$1,FALSE)
               +Andel_beroende_av_klimat*VLOOKUP($A288,Leveranser_per_nät,'Leveranser per nät'!O$1,FALSE)/VLOOKUP($B288,Korrigeringsfaktor_EI,'Korrigeringsfaktor EI'!O$1,FALSE),
"")</f>
        <v>0</v>
      </c>
      <c r="P288" s="18">
        <f>IFERROR(
                  Andel_oberoende_av_klimat*VLOOKUP($A288,Leveranser_per_nät,'Leveranser per nät'!P$1,FALSE)
               +Andel_beroende_av_klimat*VLOOKUP($A288,Leveranser_per_nät,'Leveranser per nät'!P$1,FALSE)/VLOOKUP($B288,Korrigeringsfaktor_EI,'Korrigeringsfaktor EI'!P$1,FALSE),
"")</f>
        <v>0</v>
      </c>
      <c r="Q288" s="18">
        <f>IFERROR(
                  Andel_oberoende_av_klimat*VLOOKUP($A288,Leveranser_per_nät,'Leveranser per nät'!Q$1,FALSE)
               +Andel_beroende_av_klimat*VLOOKUP($A288,Leveranser_per_nät,'Leveranser per nät'!Q$1,FALSE)/VLOOKUP($B288,Korrigeringsfaktor_EI,'Korrigeringsfaktor EI'!Q$1,FALSE),
"")</f>
        <v>0</v>
      </c>
      <c r="R288" s="18">
        <f>IFERROR(
                  Andel_oberoende_av_klimat*VLOOKUP($A288,Leveranser_per_nät,'Leveranser per nät'!R$1,FALSE)
               +Andel_beroende_av_klimat*VLOOKUP($A288,Leveranser_per_nät,'Leveranser per nät'!R$1,FALSE)/VLOOKUP($B288,Korrigeringsfaktor_EI,'Korrigeringsfaktor EI'!R$1,FALSE),
"")</f>
        <v>0</v>
      </c>
      <c r="S288" s="18" t="str">
        <f>IFERROR(
                  Andel_oberoende_av_klimat*VLOOKUP($A288,Leveranser_per_nät,'Leveranser per nät'!S$1,FALSE)
               +Andel_beroende_av_klimat*VLOOKUP($A288,Leveranser_per_nät,'Leveranser per nät'!S$1,FALSE)/VLOOKUP($B288,Korrigeringsfaktor_EI,'Korrigeringsfaktor EI'!S$1,FALSE),
"")</f>
        <v/>
      </c>
      <c r="T288" s="18" t="str">
        <f>IFERROR(
                  Andel_oberoende_av_klimat*VLOOKUP($A288,Leveranser_per_nät,'Leveranser per nät'!T$1,FALSE)
               +Andel_beroende_av_klimat*VLOOKUP($A288,Leveranser_per_nät,'Leveranser per nät'!T$1,FALSE)/VLOOKUP($B288,Korrigeringsfaktor_EI,'Korrigeringsfaktor EI'!T$1,FALSE),
"")</f>
        <v/>
      </c>
      <c r="U288" s="18" t="str">
        <f>IFERROR(
                  Andel_oberoende_av_klimat*VLOOKUP($A288,Leveranser_per_nät,'Leveranser per nät'!U$1,FALSE)
               +Andel_beroende_av_klimat*VLOOKUP($A288,Leveranser_per_nät,'Leveranser per nät'!U$1,FALSE)/VLOOKUP($B288,Korrigeringsfaktor_EI,'Korrigeringsfaktor EI'!U$1,FALSE),
"")</f>
        <v/>
      </c>
      <c r="V288" s="18" t="str">
        <f>IFERROR(
                  Andel_oberoende_av_klimat*VLOOKUP($A288,Leveranser_per_nät,'Leveranser per nät'!V$1,FALSE)
               +Andel_beroende_av_klimat*VLOOKUP($A288,Leveranser_per_nät,'Leveranser per nät'!V$1,FALSE)/VLOOKUP($B288,Korrigeringsfaktor_EI,'Korrigeringsfaktor EI'!V$1,FALSE),
"")</f>
        <v/>
      </c>
      <c r="W288" s="18" t="str">
        <f>IFERROR(
                  Andel_oberoende_av_klimat*VLOOKUP($A288,Leveranser_per_nät,'Leveranser per nät'!W$1,FALSE)
               +Andel_beroende_av_klimat*VLOOKUP($A288,Leveranser_per_nät,'Leveranser per nät'!W$1,FALSE)/VLOOKUP($B288,Korrigeringsfaktor_EI,'Korrigeringsfaktor EI'!W$1,FALSE),
"")</f>
        <v/>
      </c>
      <c r="X288" s="18" t="str">
        <f>IFERROR(
                  Andel_oberoende_av_klimat*VLOOKUP($A288,Leveranser_per_nät,'Leveranser per nät'!X$1,FALSE)
               +Andel_beroende_av_klimat*VLOOKUP($A288,Leveranser_per_nät,'Leveranser per nät'!X$1,FALSE)/VLOOKUP($B288,Korrigeringsfaktor_EI,'Korrigeringsfaktor EI'!X$1,FALSE),
"")</f>
        <v/>
      </c>
      <c r="Y288" s="18" t="str">
        <f>IFERROR(
                  Andel_oberoende_av_klimat*VLOOKUP($A288,Leveranser_per_nät,'Leveranser per nät'!Y$1,FALSE)
               +Andel_beroende_av_klimat*VLOOKUP($A288,Leveranser_per_nät,'Leveranser per nät'!Y$1,FALSE)/VLOOKUP($B288,Korrigeringsfaktor_EI,'Korrigeringsfaktor EI'!Y$1,FALSE),
"")</f>
        <v/>
      </c>
      <c r="Z288" s="18">
        <f>IFERROR(
                  Andel_oberoende_av_klimat*VLOOKUP($A288,Leveranser_per_nät,'Leveranser per nät'!Z$1,FALSE)
               +Andel_beroende_av_klimat*VLOOKUP($A288,Leveranser_per_nät,'Leveranser per nät'!Z$1,FALSE)/VLOOKUP($B288,Korrigeringsfaktor_EI,'Korrigeringsfaktor EI'!Z$1,FALSE),
"")</f>
        <v>0</v>
      </c>
      <c r="AA288" s="18" t="str">
        <f>IFERROR(
                  Andel_oberoende_av_klimat*VLOOKUP($A288,Leveranser_per_nät,'Leveranser per nät'!AA$1,FALSE)
               +Andel_beroende_av_klimat*VLOOKUP($A288,Leveranser_per_nät,'Leveranser per nät'!AA$1,FALSE)/VLOOKUP($B288,Korrigeringsfaktor_EI,'Korrigeringsfaktor EI'!AA$1,FALSE),
"")</f>
        <v/>
      </c>
      <c r="AB288" s="18">
        <f>IFERROR(
                  Andel_oberoende_av_klimat*VLOOKUP($A288,Leveranser_per_nät,'Leveranser per nät'!AB$1,FALSE)
               +Andel_beroende_av_klimat*VLOOKUP($A288,Leveranser_per_nät,'Leveranser per nät'!AB$1,FALSE)/VLOOKUP($B288,Korrigeringsfaktor_EI,'Korrigeringsfaktor EI'!AB$1,FALSE),
"")</f>
        <v>0</v>
      </c>
      <c r="AC288" s="18">
        <f>IFERROR(
                  Andel_oberoende_av_klimat*VLOOKUP($A288,Leveranser_per_nät,'Leveranser per nät'!AC$1,FALSE)
               +Andel_beroende_av_klimat*VLOOKUP($A288,Leveranser_per_nät,'Leveranser per nät'!AC$1,FALSE)/VLOOKUP($B288,Korrigeringsfaktor_EI,'Korrigeringsfaktor EI'!AC$1,FALSE),
"")</f>
        <v>4.8482997903563945</v>
      </c>
      <c r="AD288">
        <v>33.630000000000003</v>
      </c>
    </row>
    <row r="289" spans="1:30" x14ac:dyDescent="0.25">
      <c r="A289" t="s">
        <v>408</v>
      </c>
      <c r="B289" t="s">
        <v>420</v>
      </c>
      <c r="C289" s="18">
        <f>IFERROR(
                  Andel_oberoende_av_klimat*VLOOKUP($A289,Leveranser_per_nät,'Leveranser per nät'!C$1,FALSE)
               +Andel_beroende_av_klimat*VLOOKUP($A289,Leveranser_per_nät,'Leveranser per nät'!C$1,FALSE)/VLOOKUP($B289,Korrigeringsfaktor_EI,'Korrigeringsfaktor EI'!C$1,FALSE),
"")</f>
        <v>0</v>
      </c>
      <c r="D289" s="18">
        <f>IFERROR(
                  Andel_oberoende_av_klimat*VLOOKUP($A289,Leveranser_per_nät,'Leveranser per nät'!D$1,FALSE)
               +Andel_beroende_av_klimat*VLOOKUP($A289,Leveranser_per_nät,'Leveranser per nät'!D$1,FALSE)/VLOOKUP($B289,Korrigeringsfaktor_EI,'Korrigeringsfaktor EI'!D$1,FALSE),
"")</f>
        <v>0</v>
      </c>
      <c r="E289" s="18">
        <f>IFERROR(
                  Andel_oberoende_av_klimat*VLOOKUP($A289,Leveranser_per_nät,'Leveranser per nät'!E$1,FALSE)
               +Andel_beroende_av_klimat*VLOOKUP($A289,Leveranser_per_nät,'Leveranser per nät'!E$1,FALSE)/VLOOKUP($B289,Korrigeringsfaktor_EI,'Korrigeringsfaktor EI'!E$1,FALSE),
"")</f>
        <v>0</v>
      </c>
      <c r="F289" s="18">
        <f>IFERROR(
                  Andel_oberoende_av_klimat*VLOOKUP($A289,Leveranser_per_nät,'Leveranser per nät'!F$1,FALSE)
               +Andel_beroende_av_klimat*VLOOKUP($A289,Leveranser_per_nät,'Leveranser per nät'!F$1,FALSE)/VLOOKUP($B289,Korrigeringsfaktor_EI,'Korrigeringsfaktor EI'!F$1,FALSE),
"")</f>
        <v>22.810526315789474</v>
      </c>
      <c r="G289" s="18">
        <f>IFERROR(
                  Andel_oberoende_av_klimat*VLOOKUP($A289,Leveranser_per_nät,'Leveranser per nät'!G$1,FALSE)
               +Andel_beroende_av_klimat*VLOOKUP($A289,Leveranser_per_nät,'Leveranser per nät'!G$1,FALSE)/VLOOKUP($B289,Korrigeringsfaktor_EI,'Korrigeringsfaktor EI'!G$1,FALSE),
"")</f>
        <v>21.384615384615383</v>
      </c>
      <c r="H289" s="18">
        <f>IFERROR(
                  Andel_oberoende_av_klimat*VLOOKUP($A289,Leveranser_per_nät,'Leveranser per nät'!H$1,FALSE)
               +Andel_beroende_av_klimat*VLOOKUP($A289,Leveranser_per_nät,'Leveranser per nät'!H$1,FALSE)/VLOOKUP($B289,Korrigeringsfaktor_EI,'Korrigeringsfaktor EI'!H$1,FALSE),
"")</f>
        <v>0</v>
      </c>
      <c r="I289" s="18">
        <f>IFERROR(
                  Andel_oberoende_av_klimat*VLOOKUP($A289,Leveranser_per_nät,'Leveranser per nät'!I$1,FALSE)
               +Andel_beroende_av_klimat*VLOOKUP($A289,Leveranser_per_nät,'Leveranser per nät'!I$1,FALSE)/VLOOKUP($B289,Korrigeringsfaktor_EI,'Korrigeringsfaktor EI'!I$1,FALSE),
"")</f>
        <v>0</v>
      </c>
      <c r="J289" s="18">
        <f>IFERROR(
                  Andel_oberoende_av_klimat*VLOOKUP($A289,Leveranser_per_nät,'Leveranser per nät'!J$1,FALSE)
               +Andel_beroende_av_klimat*VLOOKUP($A289,Leveranser_per_nät,'Leveranser per nät'!J$1,FALSE)/VLOOKUP($B289,Korrigeringsfaktor_EI,'Korrigeringsfaktor EI'!J$1,FALSE),
"")</f>
        <v>0</v>
      </c>
      <c r="K289" s="18">
        <f>IFERROR(
                  Andel_oberoende_av_klimat*VLOOKUP($A289,Leveranser_per_nät,'Leveranser per nät'!K$1,FALSE)
               +Andel_beroende_av_klimat*VLOOKUP($A289,Leveranser_per_nät,'Leveranser per nät'!K$1,FALSE)/VLOOKUP($B289,Korrigeringsfaktor_EI,'Korrigeringsfaktor EI'!K$1,FALSE),
"")</f>
        <v>0</v>
      </c>
      <c r="L289" s="18">
        <f>IFERROR(
                  Andel_oberoende_av_klimat*VLOOKUP($A289,Leveranser_per_nät,'Leveranser per nät'!L$1,FALSE)
               +Andel_beroende_av_klimat*VLOOKUP($A289,Leveranser_per_nät,'Leveranser per nät'!L$1,FALSE)/VLOOKUP($B289,Korrigeringsfaktor_EI,'Korrigeringsfaktor EI'!L$1,FALSE),
"")</f>
        <v>18.21338367297761</v>
      </c>
      <c r="M289" s="18">
        <f>IFERROR(
                  Andel_oberoende_av_klimat*VLOOKUP($A289,Leveranser_per_nät,'Leveranser per nät'!M$1,FALSE)
               +Andel_beroende_av_klimat*VLOOKUP($A289,Leveranser_per_nät,'Leveranser per nät'!M$1,FALSE)/VLOOKUP($B289,Korrigeringsfaktor_EI,'Korrigeringsfaktor EI'!M$1,FALSE),
"")</f>
        <v>0</v>
      </c>
      <c r="N289" s="18">
        <f>IFERROR(
                  Andel_oberoende_av_klimat*VLOOKUP($A289,Leveranser_per_nät,'Leveranser per nät'!N$1,FALSE)
               +Andel_beroende_av_klimat*VLOOKUP($A289,Leveranser_per_nät,'Leveranser per nät'!N$1,FALSE)/VLOOKUP($B289,Korrigeringsfaktor_EI,'Korrigeringsfaktor EI'!N$1,FALSE),
"")</f>
        <v>0</v>
      </c>
      <c r="O289" s="18">
        <f>IFERROR(
                  Andel_oberoende_av_klimat*VLOOKUP($A289,Leveranser_per_nät,'Leveranser per nät'!O$1,FALSE)
               +Andel_beroende_av_klimat*VLOOKUP($A289,Leveranser_per_nät,'Leveranser per nät'!O$1,FALSE)/VLOOKUP($B289,Korrigeringsfaktor_EI,'Korrigeringsfaktor EI'!O$1,FALSE),
"")</f>
        <v>0</v>
      </c>
      <c r="P289" s="18">
        <f>IFERROR(
                  Andel_oberoende_av_klimat*VLOOKUP($A289,Leveranser_per_nät,'Leveranser per nät'!P$1,FALSE)
               +Andel_beroende_av_klimat*VLOOKUP($A289,Leveranser_per_nät,'Leveranser per nät'!P$1,FALSE)/VLOOKUP($B289,Korrigeringsfaktor_EI,'Korrigeringsfaktor EI'!P$1,FALSE),
"")</f>
        <v>0</v>
      </c>
      <c r="Q289" s="18">
        <f>IFERROR(
                  Andel_oberoende_av_klimat*VLOOKUP($A289,Leveranser_per_nät,'Leveranser per nät'!Q$1,FALSE)
               +Andel_beroende_av_klimat*VLOOKUP($A289,Leveranser_per_nät,'Leveranser per nät'!Q$1,FALSE)/VLOOKUP($B289,Korrigeringsfaktor_EI,'Korrigeringsfaktor EI'!Q$1,FALSE),
"")</f>
        <v>0</v>
      </c>
      <c r="R289" s="18">
        <f>IFERROR(
                  Andel_oberoende_av_klimat*VLOOKUP($A289,Leveranser_per_nät,'Leveranser per nät'!R$1,FALSE)
               +Andel_beroende_av_klimat*VLOOKUP($A289,Leveranser_per_nät,'Leveranser per nät'!R$1,FALSE)/VLOOKUP($B289,Korrigeringsfaktor_EI,'Korrigeringsfaktor EI'!R$1,FALSE),
"")</f>
        <v>0</v>
      </c>
      <c r="S289" s="18" t="str">
        <f>IFERROR(
                  Andel_oberoende_av_klimat*VLOOKUP($A289,Leveranser_per_nät,'Leveranser per nät'!S$1,FALSE)
               +Andel_beroende_av_klimat*VLOOKUP($A289,Leveranser_per_nät,'Leveranser per nät'!S$1,FALSE)/VLOOKUP($B289,Korrigeringsfaktor_EI,'Korrigeringsfaktor EI'!S$1,FALSE),
"")</f>
        <v/>
      </c>
      <c r="T289" s="18" t="str">
        <f>IFERROR(
                  Andel_oberoende_av_klimat*VLOOKUP($A289,Leveranser_per_nät,'Leveranser per nät'!T$1,FALSE)
               +Andel_beroende_av_klimat*VLOOKUP($A289,Leveranser_per_nät,'Leveranser per nät'!T$1,FALSE)/VLOOKUP($B289,Korrigeringsfaktor_EI,'Korrigeringsfaktor EI'!T$1,FALSE),
"")</f>
        <v/>
      </c>
      <c r="U289" s="18" t="str">
        <f>IFERROR(
                  Andel_oberoende_av_klimat*VLOOKUP($A289,Leveranser_per_nät,'Leveranser per nät'!U$1,FALSE)
               +Andel_beroende_av_klimat*VLOOKUP($A289,Leveranser_per_nät,'Leveranser per nät'!U$1,FALSE)/VLOOKUP($B289,Korrigeringsfaktor_EI,'Korrigeringsfaktor EI'!U$1,FALSE),
"")</f>
        <v/>
      </c>
      <c r="V289" s="18" t="str">
        <f>IFERROR(
                  Andel_oberoende_av_klimat*VLOOKUP($A289,Leveranser_per_nät,'Leveranser per nät'!V$1,FALSE)
               +Andel_beroende_av_klimat*VLOOKUP($A289,Leveranser_per_nät,'Leveranser per nät'!V$1,FALSE)/VLOOKUP($B289,Korrigeringsfaktor_EI,'Korrigeringsfaktor EI'!V$1,FALSE),
"")</f>
        <v/>
      </c>
      <c r="W289" s="18" t="str">
        <f>IFERROR(
                  Andel_oberoende_av_klimat*VLOOKUP($A289,Leveranser_per_nät,'Leveranser per nät'!W$1,FALSE)
               +Andel_beroende_av_klimat*VLOOKUP($A289,Leveranser_per_nät,'Leveranser per nät'!W$1,FALSE)/VLOOKUP($B289,Korrigeringsfaktor_EI,'Korrigeringsfaktor EI'!W$1,FALSE),
"")</f>
        <v/>
      </c>
      <c r="X289" s="18" t="str">
        <f>IFERROR(
                  Andel_oberoende_av_klimat*VLOOKUP($A289,Leveranser_per_nät,'Leveranser per nät'!X$1,FALSE)
               +Andel_beroende_av_klimat*VLOOKUP($A289,Leveranser_per_nät,'Leveranser per nät'!X$1,FALSE)/VLOOKUP($B289,Korrigeringsfaktor_EI,'Korrigeringsfaktor EI'!X$1,FALSE),
"")</f>
        <v/>
      </c>
      <c r="Y289" s="18" t="str">
        <f>IFERROR(
                  Andel_oberoende_av_klimat*VLOOKUP($A289,Leveranser_per_nät,'Leveranser per nät'!Y$1,FALSE)
               +Andel_beroende_av_klimat*VLOOKUP($A289,Leveranser_per_nät,'Leveranser per nät'!Y$1,FALSE)/VLOOKUP($B289,Korrigeringsfaktor_EI,'Korrigeringsfaktor EI'!Y$1,FALSE),
"")</f>
        <v/>
      </c>
      <c r="Z289" s="18">
        <f>IFERROR(
                  Andel_oberoende_av_klimat*VLOOKUP($A289,Leveranser_per_nät,'Leveranser per nät'!Z$1,FALSE)
               +Andel_beroende_av_klimat*VLOOKUP($A289,Leveranser_per_nät,'Leveranser per nät'!Z$1,FALSE)/VLOOKUP($B289,Korrigeringsfaktor_EI,'Korrigeringsfaktor EI'!Z$1,FALSE),
"")</f>
        <v>0</v>
      </c>
      <c r="AA289" s="18" t="str">
        <f>IFERROR(
                  Andel_oberoende_av_klimat*VLOOKUP($A289,Leveranser_per_nät,'Leveranser per nät'!AA$1,FALSE)
               +Andel_beroende_av_klimat*VLOOKUP($A289,Leveranser_per_nät,'Leveranser per nät'!AA$1,FALSE)/VLOOKUP($B289,Korrigeringsfaktor_EI,'Korrigeringsfaktor EI'!AA$1,FALSE),
"")</f>
        <v/>
      </c>
      <c r="AB289" s="18">
        <f>IFERROR(
                  Andel_oberoende_av_klimat*VLOOKUP($A289,Leveranser_per_nät,'Leveranser per nät'!AB$1,FALSE)
               +Andel_beroende_av_klimat*VLOOKUP($A289,Leveranser_per_nät,'Leveranser per nät'!AB$1,FALSE)/VLOOKUP($B289,Korrigeringsfaktor_EI,'Korrigeringsfaktor EI'!AB$1,FALSE),
"")</f>
        <v>0</v>
      </c>
      <c r="AC289" s="18">
        <f>IFERROR(
                  Andel_oberoende_av_klimat*VLOOKUP($A289,Leveranser_per_nät,'Leveranser per nät'!AC$1,FALSE)
               +Andel_beroende_av_klimat*VLOOKUP($A289,Leveranser_per_nät,'Leveranser per nät'!AC$1,FALSE)/VLOOKUP($B289,Korrigeringsfaktor_EI,'Korrigeringsfaktor EI'!AC$1,FALSE),
"")</f>
        <v>0</v>
      </c>
      <c r="AD289">
        <v>7723.8890000000001</v>
      </c>
    </row>
    <row r="290" spans="1:30" x14ac:dyDescent="0.25">
      <c r="A290" t="s">
        <v>70</v>
      </c>
      <c r="B290" t="s">
        <v>70</v>
      </c>
      <c r="C290" s="18">
        <f>IFERROR(
                  Andel_oberoende_av_klimat*VLOOKUP($A290,Leveranser_per_nät,'Leveranser per nät'!C$1,FALSE)
               +Andel_beroende_av_klimat*VLOOKUP($A290,Leveranser_per_nät,'Leveranser per nät'!C$1,FALSE)/VLOOKUP("Lindesberg",Korrigeringsfaktor_EI,'Korrigeringsfaktor EI'!C$1,FALSE),
"")</f>
        <v>29.392592592592592</v>
      </c>
      <c r="D290" s="18">
        <f>IFERROR(
                  Andel_oberoende_av_klimat*VLOOKUP($A290,Leveranser_per_nät,'Leveranser per nät'!D$1,FALSE)
               +Andel_beroende_av_klimat*VLOOKUP($A290,Leveranser_per_nät,'Leveranser per nät'!D$1,FALSE)/VLOOKUP("Lindesberg",Korrigeringsfaktor_EI,'Korrigeringsfaktor EI'!D$1,FALSE),
"")</f>
        <v>27.482371134020617</v>
      </c>
      <c r="E290" s="18">
        <f>IFERROR(
                  Andel_oberoende_av_klimat*VLOOKUP($A290,Leveranser_per_nät,'Leveranser per nät'!E$1,FALSE)
               +Andel_beroende_av_klimat*VLOOKUP($A290,Leveranser_per_nät,'Leveranser per nät'!E$1,FALSE)/VLOOKUP("Lindesberg",Korrigeringsfaktor_EI,'Korrigeringsfaktor EI'!E$1,FALSE),
"")</f>
        <v>25.643137254901962</v>
      </c>
      <c r="F290" s="18">
        <f>IFERROR(
                  Andel_oberoende_av_klimat*VLOOKUP($A290,Leveranser_per_nät,'Leveranser per nät'!F$1,FALSE)
               +Andel_beroende_av_klimat*VLOOKUP($A290,Leveranser_per_nät,'Leveranser per nät'!F$1,FALSE)/VLOOKUP("Lindesberg",Korrigeringsfaktor_EI,'Korrigeringsfaktor EI'!F$1,FALSE),
"")</f>
        <v>25.541237113402062</v>
      </c>
      <c r="G290" s="18">
        <f>IFERROR(
                  Andel_oberoende_av_klimat*VLOOKUP($A290,Leveranser_per_nät,'Leveranser per nät'!G$1,FALSE)
               +Andel_beroende_av_klimat*VLOOKUP($A290,Leveranser_per_nät,'Leveranser per nät'!G$1,FALSE)/VLOOKUP("Lindesberg",Korrigeringsfaktor_EI,'Korrigeringsfaktor EI'!G$1,FALSE),
"")</f>
        <v>24.989887640449439</v>
      </c>
      <c r="H290" s="18">
        <f>IFERROR(
                  Andel_oberoende_av_klimat*VLOOKUP($A290,Leveranser_per_nät,'Leveranser per nät'!H$1,FALSE)
               +Andel_beroende_av_klimat*VLOOKUP($A290,Leveranser_per_nät,'Leveranser per nät'!H$1,FALSE)/VLOOKUP("Lindesberg",Korrigeringsfaktor_EI,'Korrigeringsfaktor EI'!H$1,FALSE),
"")</f>
        <v>52</v>
      </c>
      <c r="I290" s="18">
        <f>IFERROR(
                  Andel_oberoende_av_klimat*VLOOKUP($A290,Leveranser_per_nät,'Leveranser per nät'!I$1,FALSE)
               +Andel_beroende_av_klimat*VLOOKUP($A290,Leveranser_per_nät,'Leveranser per nät'!I$1,FALSE)/VLOOKUP("Lindesberg",Korrigeringsfaktor_EI,'Korrigeringsfaktor EI'!I$1,FALSE),
"")</f>
        <v>27.584536082474227</v>
      </c>
      <c r="J290" s="18">
        <f>IFERROR(
                  Andel_oberoende_av_klimat*VLOOKUP($A290,Leveranser_per_nät,'Leveranser per nät'!J$1,FALSE)
               +Andel_beroende_av_klimat*VLOOKUP($A290,Leveranser_per_nät,'Leveranser per nät'!J$1,FALSE)/VLOOKUP("Lindesberg",Korrigeringsfaktor_EI,'Korrigeringsfaktor EI'!J$1,FALSE),
"")</f>
        <v>28.197979797979798</v>
      </c>
      <c r="K290" s="18">
        <f>IFERROR(
                  Andel_oberoende_av_klimat*VLOOKUP($A290,Leveranser_per_nät,'Leveranser per nät'!K$1,FALSE)
               +Andel_beroende_av_klimat*VLOOKUP($A290,Leveranser_per_nät,'Leveranser per nät'!K$1,FALSE)/VLOOKUP("Lindesberg",Korrigeringsfaktor_EI,'Korrigeringsfaktor EI'!K$1,FALSE),
"")</f>
        <v>29.094785714285717</v>
      </c>
      <c r="L290" s="18">
        <f>IFERROR(
                  Andel_oberoende_av_klimat*VLOOKUP($A290,Leveranser_per_nät,'Leveranser per nät'!L$1,FALSE)
               +Andel_beroende_av_klimat*VLOOKUP($A290,Leveranser_per_nät,'Leveranser per nät'!L$1,FALSE)/VLOOKUP("Lindesberg",Korrigeringsfaktor_EI,'Korrigeringsfaktor EI'!L$1,FALSE),
"")</f>
        <v>30.452052631578951</v>
      </c>
      <c r="M290" s="18">
        <f>IFERROR(
                  Andel_oberoende_av_klimat*VLOOKUP($A290,Leveranser_per_nät,'Leveranser per nät'!M$1,FALSE)
               +Andel_beroende_av_klimat*VLOOKUP($A290,Leveranser_per_nät,'Leveranser per nät'!M$1,FALSE)/VLOOKUP("Lindesberg",Korrigeringsfaktor_EI,'Korrigeringsfaktor EI'!M$1,FALSE),
"")</f>
        <v>30.91639892473118</v>
      </c>
      <c r="N290" s="18">
        <f>IFERROR(
                  Andel_oberoende_av_klimat*VLOOKUP($A290,Leveranser_per_nät,'Leveranser per nät'!N$1,FALSE)
               +Andel_beroende_av_klimat*VLOOKUP($A290,Leveranser_per_nät,'Leveranser per nät'!N$1,FALSE)/VLOOKUP("Lindesberg",Korrigeringsfaktor_EI,'Korrigeringsfaktor EI'!N$1,FALSE),
"")</f>
        <v>30.818085106382981</v>
      </c>
      <c r="O290" s="18">
        <f>IFERROR(
                  Andel_oberoende_av_klimat*VLOOKUP($A290,Leveranser_per_nät,'Leveranser per nät'!O$1,FALSE)
               +Andel_beroende_av_klimat*VLOOKUP($A290,Leveranser_per_nät,'Leveranser per nät'!O$1,FALSE)/VLOOKUP("Lindesberg",Korrigeringsfaktor_EI,'Korrigeringsfaktor EI'!O$1,FALSE),
"")</f>
        <v>32.144347826086957</v>
      </c>
      <c r="P290" s="18">
        <f>IFERROR(
                  Andel_oberoende_av_klimat*VLOOKUP($A290,Leveranser_per_nät,'Leveranser per nät'!P$1,FALSE)
               +Andel_beroende_av_klimat*VLOOKUP($A290,Leveranser_per_nät,'Leveranser per nät'!P$1,FALSE)/VLOOKUP("Lindesberg",Korrigeringsfaktor_EI,'Korrigeringsfaktor EI'!P$1,FALSE),
"")</f>
        <v>32.692783505154637</v>
      </c>
      <c r="Q290" s="18">
        <f>IFERROR(
                  Andel_oberoende_av_klimat*VLOOKUP($A290,Leveranser_per_nät,'Leveranser per nät'!Q$1,FALSE)
               +Andel_beroende_av_klimat*VLOOKUP($A290,Leveranser_per_nät,'Leveranser per nät'!Q$1,FALSE)/VLOOKUP("Lindesberg",Korrigeringsfaktor_EI,'Korrigeringsfaktor EI'!Q$1,FALSE),
"")</f>
        <v>34.502499999999998</v>
      </c>
      <c r="R290" s="18">
        <f>IFERROR(
                  Andel_oberoende_av_klimat*VLOOKUP($A290,Leveranser_per_nät,'Leveranser per nät'!R$1,FALSE)
               +Andel_beroende_av_klimat*VLOOKUP($A290,Leveranser_per_nät,'Leveranser per nät'!R$1,FALSE)/VLOOKUP("Lindesberg",Korrigeringsfaktor_EI,'Korrigeringsfaktor EI'!R$1,FALSE),
"")</f>
        <v>33.335666666666668</v>
      </c>
      <c r="S290" s="18">
        <f>IFERROR(
                  Andel_oberoende_av_klimat*VLOOKUP($A290,Leveranser_per_nät,'Leveranser per nät'!S$1,FALSE)
               +Andel_beroende_av_klimat*VLOOKUP($A290,Leveranser_per_nät,'Leveranser per nät'!S$1,FALSE)/VLOOKUP("Lindesberg",Korrigeringsfaktor_EI,'Korrigeringsfaktor EI'!S$1,FALSE),
"")</f>
        <v>34.240404040404037</v>
      </c>
      <c r="T290" s="18">
        <f>IFERROR(
                  Andel_oberoende_av_klimat*VLOOKUP($A290,Leveranser_per_nät,'Leveranser per nät'!T$1,FALSE)
               +Andel_beroende_av_klimat*VLOOKUP($A290,Leveranser_per_nät,'Leveranser per nät'!T$1,FALSE)/VLOOKUP("Lindesberg",Korrigeringsfaktor_EI,'Korrigeringsfaktor EI'!T$1,FALSE),
"")</f>
        <v>33.697368421052637</v>
      </c>
      <c r="U290" s="18">
        <f>IFERROR(
                  Andel_oberoende_av_klimat*VLOOKUP($A290,Leveranser_per_nät,'Leveranser per nät'!U$1,FALSE)
               +Andel_beroende_av_klimat*VLOOKUP($A290,Leveranser_per_nät,'Leveranser per nät'!U$1,FALSE)/VLOOKUP("Lindesberg",Korrigeringsfaktor_EI,'Korrigeringsfaktor EI'!U$1,FALSE),
"")</f>
        <v>32.71846153846154</v>
      </c>
      <c r="V290" s="18">
        <f>IFERROR(
                  Andel_oberoende_av_klimat*VLOOKUP($A290,Leveranser_per_nät,'Leveranser per nät'!V$1,FALSE)
               +Andel_beroende_av_klimat*VLOOKUP($A290,Leveranser_per_nät,'Leveranser per nät'!V$1,FALSE)/VLOOKUP("Lindesberg",Korrigeringsfaktor_EI,'Korrigeringsfaktor EI'!V$1,FALSE),
"")</f>
        <v>30.446956521739132</v>
      </c>
      <c r="W290" s="18">
        <f>IFERROR(
                  Andel_oberoende_av_klimat*VLOOKUP($A290,Leveranser_per_nät,'Leveranser per nät'!W$1,FALSE)
               +Andel_beroende_av_klimat*VLOOKUP($A290,Leveranser_per_nät,'Leveranser per nät'!W$1,FALSE)/VLOOKUP("Lindesberg",Korrigeringsfaktor_EI,'Korrigeringsfaktor EI'!W$1,FALSE),
"")</f>
        <v>32.007083333333334</v>
      </c>
      <c r="X290" s="18">
        <f>IFERROR(
                  Andel_oberoende_av_klimat*VLOOKUP($A290,Leveranser_per_nät,'Leveranser per nät'!X$1,FALSE)
               +Andel_beroende_av_klimat*VLOOKUP($A290,Leveranser_per_nät,'Leveranser per nät'!X$1,FALSE)/VLOOKUP("Lindesberg",Korrigeringsfaktor_EI,'Korrigeringsfaktor EI'!X$1,FALSE),
"")</f>
        <v>31.698333333333334</v>
      </c>
      <c r="Y290" s="18">
        <f>IFERROR(
                  Andel_oberoende_av_klimat*VLOOKUP($A290,Leveranser_per_nät,'Leveranser per nät'!Y$1,FALSE)
               +Andel_beroende_av_klimat*VLOOKUP($A290,Leveranser_per_nät,'Leveranser per nät'!Y$1,FALSE)/VLOOKUP($B290,Korrigeringsfaktor_EI,'Korrigeringsfaktor EI'!Y$1,FALSE),
"")</f>
        <v>32.317526881720426</v>
      </c>
      <c r="Z290" s="18">
        <f>IFERROR(
                  Andel_oberoende_av_klimat*VLOOKUP($A290,Leveranser_per_nät,'Leveranser per nät'!Z$1,FALSE)
               +Andel_beroende_av_klimat*VLOOKUP($A290,Leveranser_per_nät,'Leveranser per nät'!Z$1,FALSE)/VLOOKUP($B290,Korrigeringsfaktor_EI,'Korrigeringsfaktor EI'!Z$1,FALSE),
"")</f>
        <v>32.212258064516128</v>
      </c>
      <c r="AA290" s="18">
        <f>IFERROR(
                  Andel_oberoende_av_klimat*VLOOKUP($A290,Leveranser_per_nät,'Leveranser per nät'!AA$1,FALSE)
               +Andel_beroende_av_klimat*VLOOKUP($A290,Leveranser_per_nät,'Leveranser per nät'!AA$1,FALSE)/VLOOKUP($B290,Korrigeringsfaktor_EI,'Korrigeringsfaktor EI'!AA$1,FALSE),
"")</f>
        <v>31.087554901960786</v>
      </c>
      <c r="AB290" s="18">
        <f>IFERROR(
                  Andel_oberoende_av_klimat*VLOOKUP($A290,Leveranser_per_nät,'Leveranser per nät'!AB$1,FALSE)
               +Andel_beroende_av_klimat*VLOOKUP($A290,Leveranser_per_nät,'Leveranser per nät'!AB$1,FALSE)/VLOOKUP($B290,Korrigeringsfaktor_EI,'Korrigeringsfaktor EI'!AB$1,FALSE),
"")</f>
        <v>31.713668316831683</v>
      </c>
      <c r="AC290" s="18">
        <f>IFERROR(
                  Andel_oberoende_av_klimat*VLOOKUP($A290,Leveranser_per_nät,'Leveranser per nät'!AC$1,FALSE)
               +Andel_beroende_av_klimat*VLOOKUP($A290,Leveranser_per_nät,'Leveranser per nät'!AC$1,FALSE)/VLOOKUP($B290,Korrigeringsfaktor_EI,'Korrigeringsfaktor EI'!AC$1,FALSE),
"")</f>
        <v>30.658819746568106</v>
      </c>
      <c r="AD290">
        <v>29.503</v>
      </c>
    </row>
    <row r="291" spans="1:30" x14ac:dyDescent="0.25">
      <c r="A291" t="s">
        <v>356</v>
      </c>
      <c r="B291" t="s">
        <v>356</v>
      </c>
      <c r="C291" s="18">
        <f>IFERROR(
                  Andel_oberoende_av_klimat*VLOOKUP($A291,Leveranser_per_nät,'Leveranser per nät'!C$1,FALSE)
               +Andel_beroende_av_klimat*VLOOKUP($A291,Leveranser_per_nät,'Leveranser per nät'!C$1,FALSE)/VLOOKUP("Fagersta",Korrigeringsfaktor_EI,'Korrigeringsfaktor EI'!C$1,FALSE),
"")</f>
        <v>0</v>
      </c>
      <c r="D291" s="18">
        <f>IFERROR(
                  Andel_oberoende_av_klimat*VLOOKUP($A291,Leveranser_per_nät,'Leveranser per nät'!D$1,FALSE)
               +Andel_beroende_av_klimat*VLOOKUP($A291,Leveranser_per_nät,'Leveranser per nät'!D$1,FALSE)/VLOOKUP("Fagersta",Korrigeringsfaktor_EI,'Korrigeringsfaktor EI'!D$1,FALSE),
"")</f>
        <v>0</v>
      </c>
      <c r="E291" s="18">
        <f>IFERROR(
                  Andel_oberoende_av_klimat*VLOOKUP($A291,Leveranser_per_nät,'Leveranser per nät'!E$1,FALSE)
               +Andel_beroende_av_klimat*VLOOKUP($A291,Leveranser_per_nät,'Leveranser per nät'!E$1,FALSE)/VLOOKUP("Fagersta",Korrigeringsfaktor_EI,'Korrigeringsfaktor EI'!E$1,FALSE),
"")</f>
        <v>0</v>
      </c>
      <c r="F291" s="18">
        <f>IFERROR(
                  Andel_oberoende_av_klimat*VLOOKUP($A291,Leveranser_per_nät,'Leveranser per nät'!F$1,FALSE)
               +Andel_beroende_av_klimat*VLOOKUP($A291,Leveranser_per_nät,'Leveranser per nät'!F$1,FALSE)/VLOOKUP("Fagersta",Korrigeringsfaktor_EI,'Korrigeringsfaktor EI'!F$1,FALSE),
"")</f>
        <v>0</v>
      </c>
      <c r="G291" s="18">
        <f>IFERROR(
                  Andel_oberoende_av_klimat*VLOOKUP($A291,Leveranser_per_nät,'Leveranser per nät'!G$1,FALSE)
               +Andel_beroende_av_klimat*VLOOKUP($A291,Leveranser_per_nät,'Leveranser per nät'!G$1,FALSE)/VLOOKUP("Fagersta",Korrigeringsfaktor_EI,'Korrigeringsfaktor EI'!G$1,FALSE),
"")</f>
        <v>14.449766666666669</v>
      </c>
      <c r="H291" s="18">
        <f>IFERROR(
                  Andel_oberoende_av_klimat*VLOOKUP($A291,Leveranser_per_nät,'Leveranser per nät'!H$1,FALSE)
               +Andel_beroende_av_klimat*VLOOKUP($A291,Leveranser_per_nät,'Leveranser per nät'!H$1,FALSE)/VLOOKUP("Fagersta",Korrigeringsfaktor_EI,'Korrigeringsfaktor EI'!H$1,FALSE),
"")</f>
        <v>16.616666666666667</v>
      </c>
      <c r="I291" s="18">
        <f>IFERROR(
                  Andel_oberoende_av_klimat*VLOOKUP($A291,Leveranser_per_nät,'Leveranser per nät'!I$1,FALSE)
               +Andel_beroende_av_klimat*VLOOKUP($A291,Leveranser_per_nät,'Leveranser per nät'!I$1,FALSE)/VLOOKUP("Fagersta",Korrigeringsfaktor_EI,'Korrigeringsfaktor EI'!I$1,FALSE),
"")</f>
        <v>18.861537500000004</v>
      </c>
      <c r="J291" s="18">
        <f>IFERROR(
                  Andel_oberoende_av_klimat*VLOOKUP($A291,Leveranser_per_nät,'Leveranser per nät'!J$1,FALSE)
               +Andel_beroende_av_klimat*VLOOKUP($A291,Leveranser_per_nät,'Leveranser per nät'!J$1,FALSE)/VLOOKUP("Fagersta",Korrigeringsfaktor_EI,'Korrigeringsfaktor EI'!J$1,FALSE),
"")</f>
        <v>18.477552577319585</v>
      </c>
      <c r="K291" s="18">
        <f>IFERROR(
                  Andel_oberoende_av_klimat*VLOOKUP($A291,Leveranser_per_nät,'Leveranser per nät'!K$1,FALSE)
               +Andel_beroende_av_klimat*VLOOKUP($A291,Leveranser_per_nät,'Leveranser per nät'!K$1,FALSE)/VLOOKUP("Fagersta",Korrigeringsfaktor_EI,'Korrigeringsfaktor EI'!K$1,FALSE),
"")</f>
        <v>6.1298969072164944</v>
      </c>
      <c r="L291" s="18">
        <f>IFERROR(
                  Andel_oberoende_av_klimat*VLOOKUP($A291,Leveranser_per_nät,'Leveranser per nät'!L$1,FALSE)
               +Andel_beroende_av_klimat*VLOOKUP($A291,Leveranser_per_nät,'Leveranser per nät'!L$1,FALSE)/VLOOKUP("Fagersta",Korrigeringsfaktor_EI,'Korrigeringsfaktor EI'!L$1,FALSE),
"")</f>
        <v>0</v>
      </c>
      <c r="M291" s="18">
        <f>IFERROR(
                  Andel_oberoende_av_klimat*VLOOKUP($A291,Leveranser_per_nät,'Leveranser per nät'!M$1,FALSE)
               +Andel_beroende_av_klimat*VLOOKUP($A291,Leveranser_per_nät,'Leveranser per nät'!M$1,FALSE)/VLOOKUP("Fagersta",Korrigeringsfaktor_EI,'Korrigeringsfaktor EI'!M$1,FALSE),
"")</f>
        <v>24.765999999999998</v>
      </c>
      <c r="N291" s="18">
        <f>IFERROR(
                  Andel_oberoende_av_klimat*VLOOKUP($A291,Leveranser_per_nät,'Leveranser per nät'!N$1,FALSE)
               +Andel_beroende_av_klimat*VLOOKUP($A291,Leveranser_per_nät,'Leveranser per nät'!N$1,FALSE)/VLOOKUP("Fagersta",Korrigeringsfaktor_EI,'Korrigeringsfaktor EI'!N$1,FALSE),
"")</f>
        <v>19.336068421052634</v>
      </c>
      <c r="O291" s="18">
        <f>IFERROR(
                  Andel_oberoende_av_klimat*VLOOKUP($A291,Leveranser_per_nät,'Leveranser per nät'!O$1,FALSE)
               +Andel_beroende_av_klimat*VLOOKUP($A291,Leveranser_per_nät,'Leveranser per nät'!O$1,FALSE)/VLOOKUP("Fagersta",Korrigeringsfaktor_EI,'Korrigeringsfaktor EI'!O$1,FALSE),
"")</f>
        <v>19.357882795698924</v>
      </c>
      <c r="P291" s="18">
        <f>IFERROR(
                  Andel_oberoende_av_klimat*VLOOKUP($A291,Leveranser_per_nät,'Leveranser per nät'!P$1,FALSE)
               +Andel_beroende_av_klimat*VLOOKUP($A291,Leveranser_per_nät,'Leveranser per nät'!P$1,FALSE)/VLOOKUP("Fagersta",Korrigeringsfaktor_EI,'Korrigeringsfaktor EI'!P$1,FALSE),
"")</f>
        <v>19.891660606060604</v>
      </c>
      <c r="Q291" s="18">
        <f>IFERROR(
                  Andel_oberoende_av_klimat*VLOOKUP($A291,Leveranser_per_nät,'Leveranser per nät'!Q$1,FALSE)
               +Andel_beroende_av_klimat*VLOOKUP($A291,Leveranser_per_nät,'Leveranser per nät'!Q$1,FALSE)/VLOOKUP("Fagersta",Korrigeringsfaktor_EI,'Korrigeringsfaktor EI'!Q$1,FALSE),
"")</f>
        <v>20.309231858407081</v>
      </c>
      <c r="R291" s="18">
        <f>IFERROR(
                  Andel_oberoende_av_klimat*VLOOKUP($A291,Leveranser_per_nät,'Leveranser per nät'!R$1,FALSE)
               +Andel_beroende_av_klimat*VLOOKUP($A291,Leveranser_per_nät,'Leveranser per nät'!R$1,FALSE)/VLOOKUP("Fagersta",Korrigeringsfaktor_EI,'Korrigeringsfaktor EI'!R$1,FALSE),
"")</f>
        <v>18.467617391304348</v>
      </c>
      <c r="S291" s="18">
        <f>IFERROR(
                  Andel_oberoende_av_klimat*VLOOKUP($A291,Leveranser_per_nät,'Leveranser per nät'!S$1,FALSE)
               +Andel_beroende_av_klimat*VLOOKUP($A291,Leveranser_per_nät,'Leveranser per nät'!S$1,FALSE)/VLOOKUP("Fagersta",Korrigeringsfaktor_EI,'Korrigeringsfaktor EI'!S$1,FALSE),
"")</f>
        <v>18.739217821782177</v>
      </c>
      <c r="T291" s="18">
        <f>IFERROR(
                  Andel_oberoende_av_klimat*VLOOKUP($A291,Leveranser_per_nät,'Leveranser per nät'!T$1,FALSE)
               +Andel_beroende_av_klimat*VLOOKUP($A291,Leveranser_per_nät,'Leveranser per nät'!T$1,FALSE)/VLOOKUP("Fagersta",Korrigeringsfaktor_EI,'Korrigeringsfaktor EI'!T$1,FALSE),
"")</f>
        <v>19.305088659793817</v>
      </c>
      <c r="U291" s="18">
        <f>IFERROR(
                  Andel_oberoende_av_klimat*VLOOKUP($A291,Leveranser_per_nät,'Leveranser per nät'!U$1,FALSE)
               +Andel_beroende_av_klimat*VLOOKUP($A291,Leveranser_per_nät,'Leveranser per nät'!U$1,FALSE)/VLOOKUP("Fagersta",Korrigeringsfaktor_EI,'Korrigeringsfaktor EI'!U$1,FALSE),
"")</f>
        <v>18.383808695652174</v>
      </c>
      <c r="V291" s="18">
        <f>IFERROR(
                  Andel_oberoende_av_klimat*VLOOKUP($A291,Leveranser_per_nät,'Leveranser per nät'!V$1,FALSE)
               +Andel_beroende_av_klimat*VLOOKUP($A291,Leveranser_per_nät,'Leveranser per nät'!V$1,FALSE)/VLOOKUP("Fagersta",Korrigeringsfaktor_EI,'Korrigeringsfaktor EI'!V$1,FALSE),
"")</f>
        <v>18.515356521739129</v>
      </c>
      <c r="W291" s="18">
        <f>IFERROR(
                  Andel_oberoende_av_klimat*VLOOKUP($A291,Leveranser_per_nät,'Leveranser per nät'!W$1,FALSE)
               +Andel_beroende_av_klimat*VLOOKUP($A291,Leveranser_per_nät,'Leveranser per nät'!W$1,FALSE)/VLOOKUP("Fagersta",Korrigeringsfaktor_EI,'Korrigeringsfaktor EI'!W$1,FALSE),
"")</f>
        <v>18.865654166666669</v>
      </c>
      <c r="X291" s="18">
        <f>IFERROR(
                  Andel_oberoende_av_klimat*VLOOKUP($A291,Leveranser_per_nät,'Leveranser per nät'!X$1,FALSE)
               +Andel_beroende_av_klimat*VLOOKUP($A291,Leveranser_per_nät,'Leveranser per nät'!X$1,FALSE)/VLOOKUP("Fagersta",Korrigeringsfaktor_EI,'Korrigeringsfaktor EI'!X$1,FALSE),
"")</f>
        <v>19.000655319148933</v>
      </c>
      <c r="Y291" s="18">
        <f>IFERROR(
                  Andel_oberoende_av_klimat*VLOOKUP($A291,Leveranser_per_nät,'Leveranser per nät'!Y$1,FALSE)
               +Andel_beroende_av_klimat*VLOOKUP($A291,Leveranser_per_nät,'Leveranser per nät'!Y$1,FALSE)/VLOOKUP($B291,Korrigeringsfaktor_EI,'Korrigeringsfaktor EI'!Y$1,FALSE),
"")</f>
        <v>19.845992307692306</v>
      </c>
      <c r="Z291" s="18">
        <f>IFERROR(
                  Andel_oberoende_av_klimat*VLOOKUP($A291,Leveranser_per_nät,'Leveranser per nät'!Z$1,FALSE)
               +Andel_beroende_av_klimat*VLOOKUP($A291,Leveranser_per_nät,'Leveranser per nät'!Z$1,FALSE)/VLOOKUP($B291,Korrigeringsfaktor_EI,'Korrigeringsfaktor EI'!Z$1,FALSE),
"")</f>
        <v>19.76967777777778</v>
      </c>
      <c r="AA291" s="18">
        <f>IFERROR(
                  Andel_oberoende_av_klimat*VLOOKUP($A291,Leveranser_per_nät,'Leveranser per nät'!AA$1,FALSE)
               +Andel_beroende_av_klimat*VLOOKUP($A291,Leveranser_per_nät,'Leveranser per nät'!AA$1,FALSE)/VLOOKUP($B291,Korrigeringsfaktor_EI,'Korrigeringsfaktor EI'!AA$1,FALSE),
"")</f>
        <v>19.537703891336271</v>
      </c>
      <c r="AB291" s="18">
        <f>IFERROR(
                  Andel_oberoende_av_klimat*VLOOKUP($A291,Leveranser_per_nät,'Leveranser per nät'!AB$1,FALSE)
               +Andel_beroende_av_klimat*VLOOKUP($A291,Leveranser_per_nät,'Leveranser per nät'!AB$1,FALSE)/VLOOKUP($B291,Korrigeringsfaktor_EI,'Korrigeringsfaktor EI'!AB$1,FALSE),
"")</f>
        <v>19.144791366906478</v>
      </c>
      <c r="AC291" s="18">
        <f>IFERROR(
                  Andel_oberoende_av_klimat*VLOOKUP($A291,Leveranser_per_nät,'Leveranser per nät'!AC$1,FALSE)
               +Andel_beroende_av_klimat*VLOOKUP($A291,Leveranser_per_nät,'Leveranser per nät'!AC$1,FALSE)/VLOOKUP($B291,Korrigeringsfaktor_EI,'Korrigeringsfaktor EI'!AC$1,FALSE),
"")</f>
        <v>18.868773072747015</v>
      </c>
      <c r="AD291">
        <v>17.8</v>
      </c>
    </row>
    <row r="292" spans="1:30" x14ac:dyDescent="0.25">
      <c r="A292" t="s">
        <v>870</v>
      </c>
      <c r="B292" t="s">
        <v>870</v>
      </c>
      <c r="C292" s="95">
        <f>IFERROR(
                  Andel_oberoende_av_klimat*VLOOKUP($A292,Leveranser_per_nät,'Leveranser per nät'!C$1,FALSE)
               +Andel_beroende_av_klimat*VLOOKUP($A292,Leveranser_per_nät,'Leveranser per nät'!C$1,FALSE)/VLOOKUP("Hudiksvall",Korrigeringsfaktor_EI,'Korrigeringsfaktor EI'!C$1,FALSE),
"")</f>
        <v>0</v>
      </c>
      <c r="D292" s="95">
        <f>IFERROR(
                  Andel_oberoende_av_klimat*VLOOKUP($A292,Leveranser_per_nät,'Leveranser per nät'!D$1,FALSE)
               +Andel_beroende_av_klimat*VLOOKUP($A292,Leveranser_per_nät,'Leveranser per nät'!D$1,FALSE)/VLOOKUP("Hudiksvall",Korrigeringsfaktor_EI,'Korrigeringsfaktor EI'!D$1,FALSE),
"")</f>
        <v>0</v>
      </c>
      <c r="E292" s="95">
        <f>IFERROR(
                  Andel_oberoende_av_klimat*VLOOKUP($A292,Leveranser_per_nät,'Leveranser per nät'!E$1,FALSE)
               +Andel_beroende_av_klimat*VLOOKUP($A292,Leveranser_per_nät,'Leveranser per nät'!E$1,FALSE)/VLOOKUP("Hudiksvall",Korrigeringsfaktor_EI,'Korrigeringsfaktor EI'!E$1,FALSE),
"")</f>
        <v>0</v>
      </c>
      <c r="F292" s="95">
        <f>IFERROR(
                  Andel_oberoende_av_klimat*VLOOKUP($A292,Leveranser_per_nät,'Leveranser per nät'!F$1,FALSE)
               +Andel_beroende_av_klimat*VLOOKUP($A292,Leveranser_per_nät,'Leveranser per nät'!F$1,FALSE)/VLOOKUP("Hudiksvall",Korrigeringsfaktor_EI,'Korrigeringsfaktor EI'!F$1,FALSE),
"")</f>
        <v>0</v>
      </c>
      <c r="G292" s="95">
        <f>IFERROR(
                  Andel_oberoende_av_klimat*VLOOKUP($A292,Leveranser_per_nät,'Leveranser per nät'!G$1,FALSE)
               +Andel_beroende_av_klimat*VLOOKUP($A292,Leveranser_per_nät,'Leveranser per nät'!G$1,FALSE)/VLOOKUP("Hudiksvall",Korrigeringsfaktor_EI,'Korrigeringsfaktor EI'!G$1,FALSE),
"")</f>
        <v>0</v>
      </c>
      <c r="H292" s="95">
        <f>IFERROR(
                  Andel_oberoende_av_klimat*VLOOKUP($A292,Leveranser_per_nät,'Leveranser per nät'!H$1,FALSE)
               +Andel_beroende_av_klimat*VLOOKUP($A292,Leveranser_per_nät,'Leveranser per nät'!H$1,FALSE)/VLOOKUP("Hudiksvall",Korrigeringsfaktor_EI,'Korrigeringsfaktor EI'!H$1,FALSE),
"")</f>
        <v>0</v>
      </c>
      <c r="I292" s="95">
        <f>IFERROR(
                  Andel_oberoende_av_klimat*VLOOKUP($A292,Leveranser_per_nät,'Leveranser per nät'!I$1,FALSE)
               +Andel_beroende_av_klimat*VLOOKUP($A292,Leveranser_per_nät,'Leveranser per nät'!I$1,FALSE)/VLOOKUP("Hudiksvall",Korrigeringsfaktor_EI,'Korrigeringsfaktor EI'!I$1,FALSE),
"")</f>
        <v>0</v>
      </c>
      <c r="J292" s="95">
        <f>IFERROR(
                  Andel_oberoende_av_klimat*VLOOKUP($A292,Leveranser_per_nät,'Leveranser per nät'!J$1,FALSE)
               +Andel_beroende_av_klimat*VLOOKUP($A292,Leveranser_per_nät,'Leveranser per nät'!J$1,FALSE)/VLOOKUP("Hudiksvall",Korrigeringsfaktor_EI,'Korrigeringsfaktor EI'!J$1,FALSE),
"")</f>
        <v>0</v>
      </c>
      <c r="K292" s="95">
        <f>IFERROR(
                  Andel_oberoende_av_klimat*VLOOKUP($A292,Leveranser_per_nät,'Leveranser per nät'!K$1,FALSE)
               +Andel_beroende_av_klimat*VLOOKUP($A292,Leveranser_per_nät,'Leveranser per nät'!K$1,FALSE)/VLOOKUP("Hudiksvall",Korrigeringsfaktor_EI,'Korrigeringsfaktor EI'!K$1,FALSE),
"")</f>
        <v>0</v>
      </c>
      <c r="L292" s="95">
        <f>IFERROR(
                  Andel_oberoende_av_klimat*VLOOKUP($A292,Leveranser_per_nät,'Leveranser per nät'!L$1,FALSE)
               +Andel_beroende_av_klimat*VLOOKUP($A292,Leveranser_per_nät,'Leveranser per nät'!L$1,FALSE)/VLOOKUP("Hudiksvall",Korrigeringsfaktor_EI,'Korrigeringsfaktor EI'!L$1,FALSE),
"")</f>
        <v>0</v>
      </c>
      <c r="M292" s="95">
        <f>IFERROR(
                  Andel_oberoende_av_klimat*VLOOKUP($A292,Leveranser_per_nät,'Leveranser per nät'!M$1,FALSE)
               +Andel_beroende_av_klimat*VLOOKUP($A292,Leveranser_per_nät,'Leveranser per nät'!M$1,FALSE)/VLOOKUP("Hudiksvall",Korrigeringsfaktor_EI,'Korrigeringsfaktor EI'!M$1,FALSE),
"")</f>
        <v>0</v>
      </c>
      <c r="N292" s="95">
        <f>IFERROR(
                  Andel_oberoende_av_klimat*VLOOKUP($A292,Leveranser_per_nät,'Leveranser per nät'!N$1,FALSE)
               +Andel_beroende_av_klimat*VLOOKUP($A292,Leveranser_per_nät,'Leveranser per nät'!N$1,FALSE)/VLOOKUP("Hudiksvall",Korrigeringsfaktor_EI,'Korrigeringsfaktor EI'!N$1,FALSE),
"")</f>
        <v>0</v>
      </c>
      <c r="O292" s="95">
        <f>IFERROR(
                  Andel_oberoende_av_klimat*VLOOKUP($A292,Leveranser_per_nät,'Leveranser per nät'!O$1,FALSE)
               +Andel_beroende_av_klimat*VLOOKUP($A292,Leveranser_per_nät,'Leveranser per nät'!O$1,FALSE)/VLOOKUP("Hudiksvall",Korrigeringsfaktor_EI,'Korrigeringsfaktor EI'!O$1,FALSE),
"")</f>
        <v>0</v>
      </c>
      <c r="P292" s="95">
        <f>IFERROR(
                  Andel_oberoende_av_klimat*VLOOKUP($A292,Leveranser_per_nät,'Leveranser per nät'!P$1,FALSE)
               +Andel_beroende_av_klimat*VLOOKUP($A292,Leveranser_per_nät,'Leveranser per nät'!P$1,FALSE)/VLOOKUP("Hudiksvall",Korrigeringsfaktor_EI,'Korrigeringsfaktor EI'!P$1,FALSE),
"")</f>
        <v>0</v>
      </c>
      <c r="Q292" s="95">
        <f>IFERROR(
                  Andel_oberoende_av_klimat*VLOOKUP($A292,Leveranser_per_nät,'Leveranser per nät'!Q$1,FALSE)
               +Andel_beroende_av_klimat*VLOOKUP($A292,Leveranser_per_nät,'Leveranser per nät'!Q$1,FALSE)/VLOOKUP("Hudiksvall",Korrigeringsfaktor_EI,'Korrigeringsfaktor EI'!Q$1,FALSE),
"")</f>
        <v>0</v>
      </c>
      <c r="R292" s="95">
        <f>IFERROR(
                  Andel_oberoende_av_klimat*VLOOKUP($A292,Leveranser_per_nät,'Leveranser per nät'!R$1,FALSE)
               +Andel_beroende_av_klimat*VLOOKUP($A292,Leveranser_per_nät,'Leveranser per nät'!R$1,FALSE)/VLOOKUP("Hudiksvall",Korrigeringsfaktor_EI,'Korrigeringsfaktor EI'!R$1,FALSE),
"")</f>
        <v>0</v>
      </c>
      <c r="S292" s="95">
        <f>IFERROR(
                  Andel_oberoende_av_klimat*VLOOKUP($A292,Leveranser_per_nät,'Leveranser per nät'!S$1,FALSE)
               +Andel_beroende_av_klimat*VLOOKUP($A292,Leveranser_per_nät,'Leveranser per nät'!S$1,FALSE)/VLOOKUP("Hudiksvall",Korrigeringsfaktor_EI,'Korrigeringsfaktor EI'!S$1,FALSE),
"")</f>
        <v>15.307474747474746</v>
      </c>
      <c r="T292" s="95">
        <f>IFERROR(
                  Andel_oberoende_av_klimat*VLOOKUP($A292,Leveranser_per_nät,'Leveranser per nät'!T$1,FALSE)
               +Andel_beroende_av_klimat*VLOOKUP($A292,Leveranser_per_nät,'Leveranser per nät'!T$1,FALSE)/VLOOKUP("Hudiksvall",Korrigeringsfaktor_EI,'Korrigeringsfaktor EI'!T$1,FALSE),
"")</f>
        <v>15.241578947368421</v>
      </c>
      <c r="U292" s="95">
        <f>IFERROR(
                  Andel_oberoende_av_klimat*VLOOKUP($A292,Leveranser_per_nät,'Leveranser per nät'!U$1,FALSE)
               +Andel_beroende_av_klimat*VLOOKUP($A292,Leveranser_per_nät,'Leveranser per nät'!U$1,FALSE)/VLOOKUP("Hudiksvall",Korrigeringsfaktor_EI,'Korrigeringsfaktor EI'!U$1,FALSE),
"")</f>
        <v>15.319887640449437</v>
      </c>
      <c r="V292" s="95">
        <f>IFERROR(
                  Andel_oberoende_av_klimat*VLOOKUP($A292,Leveranser_per_nät,'Leveranser per nät'!V$1,FALSE)
               +Andel_beroende_av_klimat*VLOOKUP($A292,Leveranser_per_nät,'Leveranser per nät'!V$1,FALSE)/VLOOKUP("Hudiksvall",Korrigeringsfaktor_EI,'Korrigeringsfaktor EI'!V$1,FALSE),
"")</f>
        <v>15.304444444444446</v>
      </c>
      <c r="W292" s="95">
        <f>IFERROR(
                  Andel_oberoende_av_klimat*VLOOKUP($A292,Leveranser_per_nät,'Leveranser per nät'!W$1,FALSE)
               +Andel_beroende_av_klimat*VLOOKUP($A292,Leveranser_per_nät,'Leveranser per nät'!W$1,FALSE)/VLOOKUP("Hudiksvall",Korrigeringsfaktor_EI,'Korrigeringsfaktor EI'!W$1,FALSE),
"")</f>
        <v>15.158709677419356</v>
      </c>
      <c r="X292" s="95">
        <f>IFERROR(
                  Andel_oberoende_av_klimat*VLOOKUP($A292,Leveranser_per_nät,'Leveranser per nät'!X$1,FALSE)
               +Andel_beroende_av_klimat*VLOOKUP($A292,Leveranser_per_nät,'Leveranser per nät'!X$1,FALSE)/VLOOKUP("Hudiksvall",Korrigeringsfaktor_EI,'Korrigeringsfaktor EI'!X$1,FALSE),
"")</f>
        <v>15.147872340425533</v>
      </c>
      <c r="Y292" s="95">
        <f>IFERROR(
                  Andel_oberoende_av_klimat*VLOOKUP($A292,Leveranser_per_nät,'Leveranser per nät'!Y$1,FALSE)
               +Andel_beroende_av_klimat*VLOOKUP($A292,Leveranser_per_nät,'Leveranser per nät'!Y$1,FALSE)/VLOOKUP($B292,Korrigeringsfaktor_EI,'Korrigeringsfaktor EI'!Y$1,FALSE),
"")</f>
        <v>15.685053763440861</v>
      </c>
      <c r="Z292" s="95">
        <f>IFERROR(
                  Andel_oberoende_av_klimat*VLOOKUP($A292,Leveranser_per_nät,'Leveranser per nät'!Z$1,FALSE)
               +Andel_beroende_av_klimat*VLOOKUP($A292,Leveranser_per_nät,'Leveranser per nät'!Z$1,FALSE)/VLOOKUP($B292,Korrigeringsfaktor_EI,'Korrigeringsfaktor EI'!Z$1,FALSE),
"")</f>
        <v>14.938936170212767</v>
      </c>
      <c r="AA292" s="95"/>
      <c r="AB292" s="95"/>
      <c r="AC292" s="95"/>
      <c r="AD292" t="s">
        <v>805</v>
      </c>
    </row>
    <row r="293" spans="1:30" x14ac:dyDescent="0.25">
      <c r="A293" t="s">
        <v>51</v>
      </c>
      <c r="B293" t="s">
        <v>51</v>
      </c>
      <c r="C293" s="18">
        <f>IFERROR(
                  Andel_oberoende_av_klimat*VLOOKUP($A293,Leveranser_per_nät,'Leveranser per nät'!C$1,FALSE)
               +Andel_beroende_av_klimat*VLOOKUP($A293,Leveranser_per_nät,'Leveranser per nät'!C$1,FALSE)/VLOOKUP($B293,Korrigeringsfaktor_EI,'Korrigeringsfaktor EI'!C$1,FALSE),
"")</f>
        <v>8.7576923076923077</v>
      </c>
      <c r="D293" s="18">
        <f>IFERROR(
                  Andel_oberoende_av_klimat*VLOOKUP($A293,Leveranser_per_nät,'Leveranser per nät'!D$1,FALSE)
               +Andel_beroende_av_klimat*VLOOKUP($A293,Leveranser_per_nät,'Leveranser per nät'!D$1,FALSE)/VLOOKUP($B293,Korrigeringsfaktor_EI,'Korrigeringsfaktor EI'!D$1,FALSE),
"")</f>
        <v>9.356265979381444</v>
      </c>
      <c r="E293" s="18">
        <f>IFERROR(
                  Andel_oberoende_av_klimat*VLOOKUP($A293,Leveranser_per_nät,'Leveranser per nät'!E$1,FALSE)
               +Andel_beroende_av_klimat*VLOOKUP($A293,Leveranser_per_nät,'Leveranser per nät'!E$1,FALSE)/VLOOKUP($B293,Korrigeringsfaktor_EI,'Korrigeringsfaktor EI'!E$1,FALSE),
"")</f>
        <v>9.6684923076923077</v>
      </c>
      <c r="F293" s="18">
        <f>IFERROR(
                  Andel_oberoende_av_klimat*VLOOKUP($A293,Leveranser_per_nät,'Leveranser per nät'!F$1,FALSE)
               +Andel_beroende_av_klimat*VLOOKUP($A293,Leveranser_per_nät,'Leveranser per nät'!F$1,FALSE)/VLOOKUP($B293,Korrigeringsfaktor_EI,'Korrigeringsfaktor EI'!F$1,FALSE),
"")</f>
        <v>9.9540000000000006</v>
      </c>
      <c r="G293" s="18">
        <f>IFERROR(
                  Andel_oberoende_av_klimat*VLOOKUP($A293,Leveranser_per_nät,'Leveranser per nät'!G$1,FALSE)
               +Andel_beroende_av_klimat*VLOOKUP($A293,Leveranser_per_nät,'Leveranser per nät'!G$1,FALSE)/VLOOKUP($B293,Korrigeringsfaktor_EI,'Korrigeringsfaktor EI'!G$1,FALSE),
"")</f>
        <v>10.446808510638299</v>
      </c>
      <c r="H293" s="18">
        <f>IFERROR(
                  Andel_oberoende_av_klimat*VLOOKUP($A293,Leveranser_per_nät,'Leveranser per nät'!H$1,FALSE)
               +Andel_beroende_av_klimat*VLOOKUP($A293,Leveranser_per_nät,'Leveranser per nät'!H$1,FALSE)/VLOOKUP($B293,Korrigeringsfaktor_EI,'Korrigeringsfaktor EI'!H$1,FALSE),
"")</f>
        <v>10.070707070707071</v>
      </c>
      <c r="I293" s="18">
        <f>IFERROR(
                  Andel_oberoende_av_klimat*VLOOKUP($A293,Leveranser_per_nät,'Leveranser per nät'!I$1,FALSE)
               +Andel_beroende_av_klimat*VLOOKUP($A293,Leveranser_per_nät,'Leveranser per nät'!I$1,FALSE)/VLOOKUP($B293,Korrigeringsfaktor_EI,'Korrigeringsfaktor EI'!I$1,FALSE),
"")</f>
        <v>10.368421052631581</v>
      </c>
      <c r="J293" s="18">
        <f>IFERROR(
                  Andel_oberoende_av_klimat*VLOOKUP($A293,Leveranser_per_nät,'Leveranser per nät'!J$1,FALSE)
               +Andel_beroende_av_klimat*VLOOKUP($A293,Leveranser_per_nät,'Leveranser per nät'!J$1,FALSE)/VLOOKUP($B293,Korrigeringsfaktor_EI,'Korrigeringsfaktor EI'!J$1,FALSE),
"")</f>
        <v>11.405263157894737</v>
      </c>
      <c r="K293" s="18">
        <f>IFERROR(
                  Andel_oberoende_av_klimat*VLOOKUP($A293,Leveranser_per_nät,'Leveranser per nät'!K$1,FALSE)
               +Andel_beroende_av_klimat*VLOOKUP($A293,Leveranser_per_nät,'Leveranser per nät'!K$1,FALSE)/VLOOKUP($B293,Korrigeringsfaktor_EI,'Korrigeringsfaktor EI'!K$1,FALSE),
"")</f>
        <v>11.307693945542294</v>
      </c>
      <c r="L293" s="18">
        <f>IFERROR(
                  Andel_oberoende_av_klimat*VLOOKUP($A293,Leveranser_per_nät,'Leveranser per nät'!L$1,FALSE)
               +Andel_beroende_av_klimat*VLOOKUP($A293,Leveranser_per_nät,'Leveranser per nät'!L$1,FALSE)/VLOOKUP($B293,Korrigeringsfaktor_EI,'Korrigeringsfaktor EI'!L$1,FALSE),
"")</f>
        <v>11.566130205235371</v>
      </c>
      <c r="M293" s="18">
        <f>IFERROR(
                  Andel_oberoende_av_klimat*VLOOKUP($A293,Leveranser_per_nät,'Leveranser per nät'!M$1,FALSE)
               +Andel_beroende_av_klimat*VLOOKUP($A293,Leveranser_per_nät,'Leveranser per nät'!M$1,FALSE)/VLOOKUP($B293,Korrigeringsfaktor_EI,'Korrigeringsfaktor EI'!M$1,FALSE),
"")</f>
        <v>10.777777777777779</v>
      </c>
      <c r="N293" s="18">
        <f>IFERROR(
                  Andel_oberoende_av_klimat*VLOOKUP($A293,Leveranser_per_nät,'Leveranser per nät'!N$1,FALSE)
               +Andel_beroende_av_klimat*VLOOKUP($A293,Leveranser_per_nät,'Leveranser per nät'!N$1,FALSE)/VLOOKUP($B293,Korrigeringsfaktor_EI,'Korrigeringsfaktor EI'!N$1,FALSE),
"")</f>
        <v>10.799230769230768</v>
      </c>
      <c r="O293" s="18">
        <f>IFERROR(
                  Andel_oberoende_av_klimat*VLOOKUP($A293,Leveranser_per_nät,'Leveranser per nät'!O$1,FALSE)
               +Andel_beroende_av_klimat*VLOOKUP($A293,Leveranser_per_nät,'Leveranser per nät'!O$1,FALSE)/VLOOKUP($B293,Korrigeringsfaktor_EI,'Korrigeringsfaktor EI'!O$1,FALSE),
"")</f>
        <v>12.825555555555555</v>
      </c>
      <c r="P293" s="18">
        <f>IFERROR(
                  Andel_oberoende_av_klimat*VLOOKUP($A293,Leveranser_per_nät,'Leveranser per nät'!P$1,FALSE)
               +Andel_beroende_av_klimat*VLOOKUP($A293,Leveranser_per_nät,'Leveranser per nät'!P$1,FALSE)/VLOOKUP($B293,Korrigeringsfaktor_EI,'Korrigeringsfaktor EI'!P$1,FALSE),
"")</f>
        <v>13.478947368421053</v>
      </c>
      <c r="Q293" s="18">
        <f>IFERROR(
                  Andel_oberoende_av_klimat*VLOOKUP($A293,Leveranser_per_nät,'Leveranser per nät'!Q$1,FALSE)
               +Andel_beroende_av_klimat*VLOOKUP($A293,Leveranser_per_nät,'Leveranser per nät'!Q$1,FALSE)/VLOOKUP($B293,Korrigeringsfaktor_EI,'Korrigeringsfaktor EI'!Q$1,FALSE),
"")</f>
        <v>12.388867924528302</v>
      </c>
      <c r="R293" s="18">
        <f>IFERROR(
                  Andel_oberoende_av_klimat*VLOOKUP($A293,Leveranser_per_nät,'Leveranser per nät'!R$1,FALSE)
               +Andel_beroende_av_klimat*VLOOKUP($A293,Leveranser_per_nät,'Leveranser per nät'!R$1,FALSE)/VLOOKUP($B293,Korrigeringsfaktor_EI,'Korrigeringsfaktor EI'!R$1,FALSE),
"")</f>
        <v>13.008777777777778</v>
      </c>
      <c r="S293" s="18">
        <f>IFERROR(
                  Andel_oberoende_av_klimat*VLOOKUP($A293,Leveranser_per_nät,'Leveranser per nät'!S$1,FALSE)
               +Andel_beroende_av_klimat*VLOOKUP($A293,Leveranser_per_nät,'Leveranser per nät'!S$1,FALSE)/VLOOKUP($B293,Korrigeringsfaktor_EI,'Korrigeringsfaktor EI'!S$1,FALSE),
"")</f>
        <v>11.430999999999999</v>
      </c>
      <c r="T293" s="18">
        <f>IFERROR(
                  Andel_oberoende_av_klimat*VLOOKUP($A293,Leveranser_per_nät,'Leveranser per nät'!T$1,FALSE)
               +Andel_beroende_av_klimat*VLOOKUP($A293,Leveranser_per_nät,'Leveranser per nät'!T$1,FALSE)/VLOOKUP($B293,Korrigeringsfaktor_EI,'Korrigeringsfaktor EI'!T$1,FALSE),
"")</f>
        <v>12.184086956521739</v>
      </c>
      <c r="U293" s="18">
        <f>IFERROR(
                  Andel_oberoende_av_klimat*VLOOKUP($A293,Leveranser_per_nät,'Leveranser per nät'!U$1,FALSE)
               +Andel_beroende_av_klimat*VLOOKUP($A293,Leveranser_per_nät,'Leveranser per nät'!U$1,FALSE)/VLOOKUP($B293,Korrigeringsfaktor_EI,'Korrigeringsfaktor EI'!U$1,FALSE),
"")</f>
        <v>12.277640449438202</v>
      </c>
      <c r="V293" s="18">
        <f>IFERROR(
                  Andel_oberoende_av_klimat*VLOOKUP($A293,Leveranser_per_nät,'Leveranser per nät'!V$1,FALSE)
               +Andel_beroende_av_klimat*VLOOKUP($A293,Leveranser_per_nät,'Leveranser per nät'!V$1,FALSE)/VLOOKUP($B293,Korrigeringsfaktor_EI,'Korrigeringsfaktor EI'!V$1,FALSE),
"")</f>
        <v>12.816818181818181</v>
      </c>
      <c r="W293" s="18">
        <f>IFERROR(
                  Andel_oberoende_av_klimat*VLOOKUP($A293,Leveranser_per_nät,'Leveranser per nät'!W$1,FALSE)
               +Andel_beroende_av_klimat*VLOOKUP($A293,Leveranser_per_nät,'Leveranser per nät'!W$1,FALSE)/VLOOKUP($B293,Korrigeringsfaktor_EI,'Korrigeringsfaktor EI'!W$1,FALSE),
"")</f>
        <v>12.04125</v>
      </c>
      <c r="X293" s="18">
        <f>IFERROR(
                  Andel_oberoende_av_klimat*VLOOKUP($A293,Leveranser_per_nät,'Leveranser per nät'!X$1,FALSE)
               +Andel_beroende_av_klimat*VLOOKUP($A293,Leveranser_per_nät,'Leveranser per nät'!X$1,FALSE)/VLOOKUP($B293,Korrigeringsfaktor_EI,'Korrigeringsfaktor EI'!X$1,FALSE),
"")</f>
        <v>11.320833333333333</v>
      </c>
      <c r="Y293" s="18">
        <f>IFERROR(
                  Andel_oberoende_av_klimat*VLOOKUP($A293,Leveranser_per_nät,'Leveranser per nät'!Y$1,FALSE)
               +Andel_beroende_av_klimat*VLOOKUP($A293,Leveranser_per_nät,'Leveranser per nät'!Y$1,FALSE)/VLOOKUP($B293,Korrigeringsfaktor_EI,'Korrigeringsfaktor EI'!Y$1,FALSE),
"")</f>
        <v>12.118297872340426</v>
      </c>
      <c r="Z293" s="18">
        <f>IFERROR(
                  Andel_oberoende_av_klimat*VLOOKUP($A293,Leveranser_per_nät,'Leveranser per nät'!Z$1,FALSE)
               +Andel_beroende_av_klimat*VLOOKUP($A293,Leveranser_per_nät,'Leveranser per nät'!Z$1,FALSE)/VLOOKUP($B293,Korrigeringsfaktor_EI,'Korrigeringsfaktor EI'!Z$1,FALSE),
"")</f>
        <v>11.732500000000002</v>
      </c>
      <c r="AA293" s="18">
        <f>IFERROR(
                  Andel_oberoende_av_klimat*VLOOKUP($A293,Leveranser_per_nät,'Leveranser per nät'!AA$1,FALSE)
               +Andel_beroende_av_klimat*VLOOKUP($A293,Leveranser_per_nät,'Leveranser per nät'!AA$1,FALSE)/VLOOKUP($B293,Korrigeringsfaktor_EI,'Korrigeringsfaktor EI'!AA$1,FALSE),
"")</f>
        <v>11.014470613763176</v>
      </c>
      <c r="AB293" s="18">
        <f>IFERROR(
                  Andel_oberoende_av_klimat*VLOOKUP($A293,Leveranser_per_nät,'Leveranser per nät'!AB$1,FALSE)
               +Andel_beroende_av_klimat*VLOOKUP($A293,Leveranser_per_nät,'Leveranser per nät'!AB$1,FALSE)/VLOOKUP($B293,Korrigeringsfaktor_EI,'Korrigeringsfaktor EI'!AB$1,FALSE),
"")</f>
        <v>11.171855642023345</v>
      </c>
      <c r="AC293" s="18">
        <f>IFERROR(
                  Andel_oberoende_av_klimat*VLOOKUP($A293,Leveranser_per_nät,'Leveranser per nät'!AC$1,FALSE)
               +Andel_beroende_av_klimat*VLOOKUP($A293,Leveranser_per_nät,'Leveranser per nät'!AC$1,FALSE)/VLOOKUP($B293,Korrigeringsfaktor_EI,'Korrigeringsfaktor EI'!AC$1,FALSE),
"")</f>
        <v>11.069456499488231</v>
      </c>
      <c r="AD293">
        <v>10.89</v>
      </c>
    </row>
    <row r="294" spans="1:30" x14ac:dyDescent="0.25">
      <c r="A294" t="s">
        <v>161</v>
      </c>
      <c r="B294" t="s">
        <v>160</v>
      </c>
      <c r="C294" s="18">
        <f>IFERROR(
                  Andel_oberoende_av_klimat*VLOOKUP($A294,Leveranser_per_nät,'Leveranser per nät'!C$1,FALSE)
               +Andel_beroende_av_klimat*VLOOKUP($A294,Leveranser_per_nät,'Leveranser per nät'!C$1,FALSE)/VLOOKUP($B294,Korrigeringsfaktor_EI,'Korrigeringsfaktor EI'!C$1,FALSE),
"")</f>
        <v>0</v>
      </c>
      <c r="D294" s="18">
        <f>IFERROR(
                  Andel_oberoende_av_klimat*VLOOKUP($A294,Leveranser_per_nät,'Leveranser per nät'!D$1,FALSE)
               +Andel_beroende_av_klimat*VLOOKUP($A294,Leveranser_per_nät,'Leveranser per nät'!D$1,FALSE)/VLOOKUP($B294,Korrigeringsfaktor_EI,'Korrigeringsfaktor EI'!D$1,FALSE),
"")</f>
        <v>0</v>
      </c>
      <c r="E294" s="18">
        <f>IFERROR(
                  Andel_oberoende_av_klimat*VLOOKUP($A294,Leveranser_per_nät,'Leveranser per nät'!E$1,FALSE)
               +Andel_beroende_av_klimat*VLOOKUP($A294,Leveranser_per_nät,'Leveranser per nät'!E$1,FALSE)/VLOOKUP($B294,Korrigeringsfaktor_EI,'Korrigeringsfaktor EI'!E$1,FALSE),
"")</f>
        <v>0</v>
      </c>
      <c r="F294" s="18">
        <f>IFERROR(
                  Andel_oberoende_av_klimat*VLOOKUP($A294,Leveranser_per_nät,'Leveranser per nät'!F$1,FALSE)
               +Andel_beroende_av_klimat*VLOOKUP($A294,Leveranser_per_nät,'Leveranser per nät'!F$1,FALSE)/VLOOKUP($B294,Korrigeringsfaktor_EI,'Korrigeringsfaktor EI'!F$1,FALSE),
"")</f>
        <v>0</v>
      </c>
      <c r="G294" s="18">
        <f>IFERROR(
                  Andel_oberoende_av_klimat*VLOOKUP($A294,Leveranser_per_nät,'Leveranser per nät'!G$1,FALSE)
               +Andel_beroende_av_klimat*VLOOKUP($A294,Leveranser_per_nät,'Leveranser per nät'!G$1,FALSE)/VLOOKUP($B294,Korrigeringsfaktor_EI,'Korrigeringsfaktor EI'!G$1,FALSE),
"")</f>
        <v>0</v>
      </c>
      <c r="H294" s="18">
        <f>IFERROR(
                  Andel_oberoende_av_klimat*VLOOKUP($A294,Leveranser_per_nät,'Leveranser per nät'!H$1,FALSE)
               +Andel_beroende_av_klimat*VLOOKUP($A294,Leveranser_per_nät,'Leveranser per nät'!H$1,FALSE)/VLOOKUP($B294,Korrigeringsfaktor_EI,'Korrigeringsfaktor EI'!H$1,FALSE),
"")</f>
        <v>0.99306930693069306</v>
      </c>
      <c r="I294" s="18">
        <f>IFERROR(
                  Andel_oberoende_av_klimat*VLOOKUP($A294,Leveranser_per_nät,'Leveranser per nät'!I$1,FALSE)
               +Andel_beroende_av_klimat*VLOOKUP($A294,Leveranser_per_nät,'Leveranser per nät'!I$1,FALSE)/VLOOKUP($B294,Korrigeringsfaktor_EI,'Korrigeringsfaktor EI'!I$1,FALSE),
"")</f>
        <v>2.0736842105263156</v>
      </c>
      <c r="J294" s="18">
        <f>IFERROR(
                  Andel_oberoende_av_klimat*VLOOKUP($A294,Leveranser_per_nät,'Leveranser per nät'!J$1,FALSE)
               +Andel_beroende_av_klimat*VLOOKUP($A294,Leveranser_per_nät,'Leveranser per nät'!J$1,FALSE)/VLOOKUP($B294,Korrigeringsfaktor_EI,'Korrigeringsfaktor EI'!J$1,FALSE),
"")</f>
        <v>3.0649484536082472</v>
      </c>
      <c r="K294" s="18">
        <f>IFERROR(
                  Andel_oberoende_av_klimat*VLOOKUP($A294,Leveranser_per_nät,'Leveranser per nät'!K$1,FALSE)
               +Andel_beroende_av_klimat*VLOOKUP($A294,Leveranser_per_nät,'Leveranser per nät'!K$1,FALSE)/VLOOKUP($B294,Korrigeringsfaktor_EI,'Korrigeringsfaktor EI'!K$1,FALSE),
"")</f>
        <v>2.5418464646464649</v>
      </c>
      <c r="L294" s="18">
        <f>IFERROR(
                  Andel_oberoende_av_klimat*VLOOKUP($A294,Leveranser_per_nät,'Leveranser per nät'!L$1,FALSE)
               +Andel_beroende_av_klimat*VLOOKUP($A294,Leveranser_per_nät,'Leveranser per nät'!L$1,FALSE)/VLOOKUP($B294,Korrigeringsfaktor_EI,'Korrigeringsfaktor EI'!L$1,FALSE),
"")</f>
        <v>2.9588541666666668</v>
      </c>
      <c r="M294" s="18">
        <f>IFERROR(
                  Andel_oberoende_av_klimat*VLOOKUP($A294,Leveranser_per_nät,'Leveranser per nät'!M$1,FALSE)
               +Andel_beroende_av_klimat*VLOOKUP($A294,Leveranser_per_nät,'Leveranser per nät'!M$1,FALSE)/VLOOKUP($B294,Korrigeringsfaktor_EI,'Korrigeringsfaktor EI'!M$1,FALSE),
"")</f>
        <v>4.2434782608695656</v>
      </c>
      <c r="N294" s="18">
        <f>IFERROR(
                  Andel_oberoende_av_klimat*VLOOKUP($A294,Leveranser_per_nät,'Leveranser per nät'!N$1,FALSE)
               +Andel_beroende_av_klimat*VLOOKUP($A294,Leveranser_per_nät,'Leveranser per nät'!N$1,FALSE)/VLOOKUP($B294,Korrigeringsfaktor_EI,'Korrigeringsfaktor EI'!N$1,FALSE),
"")</f>
        <v>4.2765303370786514</v>
      </c>
      <c r="O294" s="18">
        <f>IFERROR(
                  Andel_oberoende_av_klimat*VLOOKUP($A294,Leveranser_per_nät,'Leveranser per nät'!O$1,FALSE)
               +Andel_beroende_av_klimat*VLOOKUP($A294,Leveranser_per_nät,'Leveranser per nät'!O$1,FALSE)/VLOOKUP($B294,Korrigeringsfaktor_EI,'Korrigeringsfaktor EI'!O$1,FALSE),
"")</f>
        <v>4.651378651685393</v>
      </c>
      <c r="P294" s="18">
        <f>IFERROR(
                  Andel_oberoende_av_klimat*VLOOKUP($A294,Leveranser_per_nät,'Leveranser per nät'!P$1,FALSE)
               +Andel_beroende_av_klimat*VLOOKUP($A294,Leveranser_per_nät,'Leveranser per nät'!P$1,FALSE)/VLOOKUP($B294,Korrigeringsfaktor_EI,'Korrigeringsfaktor EI'!P$1,FALSE),
"")</f>
        <v>5.1960688172043001</v>
      </c>
      <c r="Q294" s="18">
        <f>IFERROR(
                  Andel_oberoende_av_klimat*VLOOKUP($A294,Leveranser_per_nät,'Leveranser per nät'!Q$1,FALSE)
               +Andel_beroende_av_klimat*VLOOKUP($A294,Leveranser_per_nät,'Leveranser per nät'!Q$1,FALSE)/VLOOKUP($B294,Korrigeringsfaktor_EI,'Korrigeringsfaktor EI'!Q$1,FALSE),
"")</f>
        <v>8.6748522935779828</v>
      </c>
      <c r="R294" s="18">
        <f>IFERROR(
                  Andel_oberoende_av_klimat*VLOOKUP($A294,Leveranser_per_nät,'Leveranser per nät'!R$1,FALSE)
               +Andel_beroende_av_klimat*VLOOKUP($A294,Leveranser_per_nät,'Leveranser per nät'!R$1,FALSE)/VLOOKUP($B294,Korrigeringsfaktor_EI,'Korrigeringsfaktor EI'!R$1,FALSE),
"")</f>
        <v>0</v>
      </c>
      <c r="S294" s="18" t="str">
        <f>IFERROR(
                  Andel_oberoende_av_klimat*VLOOKUP($A294,Leveranser_per_nät,'Leveranser per nät'!S$1,FALSE)
               +Andel_beroende_av_klimat*VLOOKUP($A294,Leveranser_per_nät,'Leveranser per nät'!S$1,FALSE)/VLOOKUP($B294,Korrigeringsfaktor_EI,'Korrigeringsfaktor EI'!S$1,FALSE),
"")</f>
        <v/>
      </c>
      <c r="T294" s="18" t="str">
        <f>IFERROR(
                  Andel_oberoende_av_klimat*VLOOKUP($A294,Leveranser_per_nät,'Leveranser per nät'!T$1,FALSE)
               +Andel_beroende_av_klimat*VLOOKUP($A294,Leveranser_per_nät,'Leveranser per nät'!T$1,FALSE)/VLOOKUP($B294,Korrigeringsfaktor_EI,'Korrigeringsfaktor EI'!T$1,FALSE),
"")</f>
        <v/>
      </c>
      <c r="U294" s="18" t="str">
        <f>IFERROR(
                  Andel_oberoende_av_klimat*VLOOKUP($A294,Leveranser_per_nät,'Leveranser per nät'!U$1,FALSE)
               +Andel_beroende_av_klimat*VLOOKUP($A294,Leveranser_per_nät,'Leveranser per nät'!U$1,FALSE)/VLOOKUP($B294,Korrigeringsfaktor_EI,'Korrigeringsfaktor EI'!U$1,FALSE),
"")</f>
        <v/>
      </c>
      <c r="V294" s="18" t="str">
        <f>IFERROR(
                  Andel_oberoende_av_klimat*VLOOKUP($A294,Leveranser_per_nät,'Leveranser per nät'!V$1,FALSE)
               +Andel_beroende_av_klimat*VLOOKUP($A294,Leveranser_per_nät,'Leveranser per nät'!V$1,FALSE)/VLOOKUP($B294,Korrigeringsfaktor_EI,'Korrigeringsfaktor EI'!V$1,FALSE),
"")</f>
        <v/>
      </c>
      <c r="W294" s="18" t="str">
        <f>IFERROR(
                  Andel_oberoende_av_klimat*VLOOKUP($A294,Leveranser_per_nät,'Leveranser per nät'!W$1,FALSE)
               +Andel_beroende_av_klimat*VLOOKUP($A294,Leveranser_per_nät,'Leveranser per nät'!W$1,FALSE)/VLOOKUP($B294,Korrigeringsfaktor_EI,'Korrigeringsfaktor EI'!W$1,FALSE),
"")</f>
        <v/>
      </c>
      <c r="X294" s="18" t="str">
        <f>IFERROR(
                  Andel_oberoende_av_klimat*VLOOKUP($A294,Leveranser_per_nät,'Leveranser per nät'!X$1,FALSE)
               +Andel_beroende_av_klimat*VLOOKUP($A294,Leveranser_per_nät,'Leveranser per nät'!X$1,FALSE)/VLOOKUP($B294,Korrigeringsfaktor_EI,'Korrigeringsfaktor EI'!X$1,FALSE),
"")</f>
        <v/>
      </c>
      <c r="Y294" s="18" t="str">
        <f>IFERROR(
                  Andel_oberoende_av_klimat*VLOOKUP($A294,Leveranser_per_nät,'Leveranser per nät'!Y$1,FALSE)
               +Andel_beroende_av_klimat*VLOOKUP($A294,Leveranser_per_nät,'Leveranser per nät'!Y$1,FALSE)/VLOOKUP($B294,Korrigeringsfaktor_EI,'Korrigeringsfaktor EI'!Y$1,FALSE),
"")</f>
        <v/>
      </c>
      <c r="Z294" s="18">
        <f>IFERROR(
                  Andel_oberoende_av_klimat*VLOOKUP($A294,Leveranser_per_nät,'Leveranser per nät'!Z$1,FALSE)
               +Andel_beroende_av_klimat*VLOOKUP($A294,Leveranser_per_nät,'Leveranser per nät'!Z$1,FALSE)/VLOOKUP($B294,Korrigeringsfaktor_EI,'Korrigeringsfaktor EI'!Z$1,FALSE),
"")</f>
        <v>0</v>
      </c>
      <c r="AA294" s="18" t="str">
        <f>IFERROR(
                  Andel_oberoende_av_klimat*VLOOKUP($A294,Leveranser_per_nät,'Leveranser per nät'!AA$1,FALSE)
               +Andel_beroende_av_klimat*VLOOKUP($A294,Leveranser_per_nät,'Leveranser per nät'!AA$1,FALSE)/VLOOKUP($B294,Korrigeringsfaktor_EI,'Korrigeringsfaktor EI'!AA$1,FALSE),
"")</f>
        <v/>
      </c>
      <c r="AB294" s="18">
        <f>IFERROR(
                  Andel_oberoende_av_klimat*VLOOKUP($A294,Leveranser_per_nät,'Leveranser per nät'!AB$1,FALSE)
               +Andel_beroende_av_klimat*VLOOKUP($A294,Leveranser_per_nät,'Leveranser per nät'!AB$1,FALSE)/VLOOKUP($B294,Korrigeringsfaktor_EI,'Korrigeringsfaktor EI'!AB$1,FALSE),
"")</f>
        <v>0</v>
      </c>
      <c r="AC294" s="18">
        <f>IFERROR(
                  Andel_oberoende_av_klimat*VLOOKUP($A294,Leveranser_per_nät,'Leveranser per nät'!AC$1,FALSE)
               +Andel_beroende_av_klimat*VLOOKUP($A294,Leveranser_per_nät,'Leveranser per nät'!AC$1,FALSE)/VLOOKUP($B294,Korrigeringsfaktor_EI,'Korrigeringsfaktor EI'!AC$1,FALSE),
"")</f>
        <v>0</v>
      </c>
      <c r="AD294">
        <v>711.67200000000003</v>
      </c>
    </row>
    <row r="295" spans="1:30" x14ac:dyDescent="0.25">
      <c r="A295" t="s">
        <v>232</v>
      </c>
      <c r="B295" t="s">
        <v>230</v>
      </c>
      <c r="C295" s="18">
        <f>IFERROR(
                  Andel_oberoende_av_klimat*VLOOKUP($A295,Leveranser_per_nät,'Leveranser per nät'!C$1,FALSE)
               +Andel_beroende_av_klimat*VLOOKUP($A295,Leveranser_per_nät,'Leveranser per nät'!C$1,FALSE)/VLOOKUP($B295,Korrigeringsfaktor_EI,'Korrigeringsfaktor EI'!C$1,FALSE),
"")</f>
        <v>3.4658118811881189</v>
      </c>
      <c r="D295" s="18">
        <f>IFERROR(
                  Andel_oberoende_av_klimat*VLOOKUP($A295,Leveranser_per_nät,'Leveranser per nät'!D$1,FALSE)
               +Andel_beroende_av_klimat*VLOOKUP($A295,Leveranser_per_nät,'Leveranser per nät'!D$1,FALSE)/VLOOKUP($B295,Korrigeringsfaktor_EI,'Korrigeringsfaktor EI'!D$1,FALSE),
"")</f>
        <v>3.5403333333333338</v>
      </c>
      <c r="E295" s="18">
        <f>IFERROR(
                  Andel_oberoende_av_klimat*VLOOKUP($A295,Leveranser_per_nät,'Leveranser per nät'!E$1,FALSE)
               +Andel_beroende_av_klimat*VLOOKUP($A295,Leveranser_per_nät,'Leveranser per nät'!E$1,FALSE)/VLOOKUP($B295,Korrigeringsfaktor_EI,'Korrigeringsfaktor EI'!E$1,FALSE),
"")</f>
        <v>3.8923076923076922</v>
      </c>
      <c r="F295" s="18">
        <f>IFERROR(
                  Andel_oberoende_av_klimat*VLOOKUP($A295,Leveranser_per_nät,'Leveranser per nät'!F$1,FALSE)
               +Andel_beroende_av_klimat*VLOOKUP($A295,Leveranser_per_nät,'Leveranser per nät'!F$1,FALSE)/VLOOKUP($B295,Korrigeringsfaktor_EI,'Korrigeringsfaktor EI'!F$1,FALSE),
"")</f>
        <v>4</v>
      </c>
      <c r="G295" s="18">
        <f>IFERROR(
                  Andel_oberoende_av_klimat*VLOOKUP($A295,Leveranser_per_nät,'Leveranser per nät'!G$1,FALSE)
               +Andel_beroende_av_klimat*VLOOKUP($A295,Leveranser_per_nät,'Leveranser per nät'!G$1,FALSE)/VLOOKUP($B295,Korrigeringsfaktor_EI,'Korrigeringsfaktor EI'!G$1,FALSE),
"")</f>
        <v>3.7722222222222221</v>
      </c>
      <c r="H295" s="18">
        <f>IFERROR(
                  Andel_oberoende_av_klimat*VLOOKUP($A295,Leveranser_per_nät,'Leveranser per nät'!H$1,FALSE)
               +Andel_beroende_av_klimat*VLOOKUP($A295,Leveranser_per_nät,'Leveranser per nät'!H$1,FALSE)/VLOOKUP($B295,Korrigeringsfaktor_EI,'Korrigeringsfaktor EI'!H$1,FALSE),
"")</f>
        <v>2.9792079207920787</v>
      </c>
      <c r="I295" s="18">
        <f>IFERROR(
                  Andel_oberoende_av_klimat*VLOOKUP($A295,Leveranser_per_nät,'Leveranser per nät'!I$1,FALSE)
               +Andel_beroende_av_klimat*VLOOKUP($A295,Leveranser_per_nät,'Leveranser per nät'!I$1,FALSE)/VLOOKUP($B295,Korrigeringsfaktor_EI,'Korrigeringsfaktor EI'!I$1,FALSE),
"")</f>
        <v>4.0571428571428569</v>
      </c>
      <c r="J295" s="18">
        <f>IFERROR(
                  Andel_oberoende_av_klimat*VLOOKUP($A295,Leveranser_per_nät,'Leveranser per nät'!J$1,FALSE)
               +Andel_beroende_av_klimat*VLOOKUP($A295,Leveranser_per_nät,'Leveranser per nät'!J$1,FALSE)/VLOOKUP($B295,Korrigeringsfaktor_EI,'Korrigeringsfaktor EI'!J$1,FALSE),
"")</f>
        <v>4.1166666666666671</v>
      </c>
      <c r="K295" s="18">
        <f>IFERROR(
                  Andel_oberoende_av_klimat*VLOOKUP($A295,Leveranser_per_nät,'Leveranser per nät'!K$1,FALSE)
               +Andel_beroende_av_klimat*VLOOKUP($A295,Leveranser_per_nät,'Leveranser per nät'!K$1,FALSE)/VLOOKUP($B295,Korrigeringsfaktor_EI,'Korrigeringsfaktor EI'!K$1,FALSE),
"")</f>
        <v>4.7726000000000006</v>
      </c>
      <c r="L295" s="18">
        <f>IFERROR(
                  Andel_oberoende_av_klimat*VLOOKUP($A295,Leveranser_per_nät,'Leveranser per nät'!L$1,FALSE)
               +Andel_beroende_av_klimat*VLOOKUP($A295,Leveranser_per_nät,'Leveranser per nät'!L$1,FALSE)/VLOOKUP($B295,Korrigeringsfaktor_EI,'Korrigeringsfaktor EI'!L$1,FALSE),
"")</f>
        <v>4.6676340425531917</v>
      </c>
      <c r="M295" s="18">
        <f>IFERROR(
                  Andel_oberoende_av_klimat*VLOOKUP($A295,Leveranser_per_nät,'Leveranser per nät'!M$1,FALSE)
               +Andel_beroende_av_klimat*VLOOKUP($A295,Leveranser_per_nät,'Leveranser per nät'!M$1,FALSE)/VLOOKUP($B295,Korrigeringsfaktor_EI,'Korrigeringsfaktor EI'!M$1,FALSE),
"")</f>
        <v>5.1960688172043001</v>
      </c>
      <c r="N295" s="18">
        <f>IFERROR(
                  Andel_oberoende_av_klimat*VLOOKUP($A295,Leveranser_per_nät,'Leveranser per nät'!N$1,FALSE)
               +Andel_beroende_av_klimat*VLOOKUP($A295,Leveranser_per_nät,'Leveranser per nät'!N$1,FALSE)/VLOOKUP($B295,Korrigeringsfaktor_EI,'Korrigeringsfaktor EI'!N$1,FALSE),
"")</f>
        <v>5.6030947368421051</v>
      </c>
      <c r="O295" s="18">
        <f>IFERROR(
                  Andel_oberoende_av_klimat*VLOOKUP($A295,Leveranser_per_nät,'Leveranser per nät'!O$1,FALSE)
               +Andel_beroende_av_klimat*VLOOKUP($A295,Leveranser_per_nät,'Leveranser per nät'!O$1,FALSE)/VLOOKUP($B295,Korrigeringsfaktor_EI,'Korrigeringsfaktor EI'!O$1,FALSE),
"")</f>
        <v>5.6110166666666661</v>
      </c>
      <c r="P295" s="18">
        <f>IFERROR(
                  Andel_oberoende_av_klimat*VLOOKUP($A295,Leveranser_per_nät,'Leveranser per nät'!P$1,FALSE)
               +Andel_beroende_av_klimat*VLOOKUP($A295,Leveranser_per_nät,'Leveranser per nät'!P$1,FALSE)/VLOOKUP($B295,Korrigeringsfaktor_EI,'Korrigeringsfaktor EI'!P$1,FALSE),
"")</f>
        <v>6.4772577319587628</v>
      </c>
      <c r="Q295" s="18">
        <f>IFERROR(
                  Andel_oberoende_av_klimat*VLOOKUP($A295,Leveranser_per_nät,'Leveranser per nät'!Q$1,FALSE)
               +Andel_beroende_av_klimat*VLOOKUP($A295,Leveranser_per_nät,'Leveranser per nät'!Q$1,FALSE)/VLOOKUP($B295,Korrigeringsfaktor_EI,'Korrigeringsfaktor EI'!Q$1,FALSE),
"")</f>
        <v>5.445926605504587</v>
      </c>
      <c r="R295" s="18">
        <f>IFERROR(
                  Andel_oberoende_av_klimat*VLOOKUP($A295,Leveranser_per_nät,'Leveranser per nät'!R$1,FALSE)
               +Andel_beroende_av_klimat*VLOOKUP($A295,Leveranser_per_nät,'Leveranser per nät'!R$1,FALSE)/VLOOKUP($B295,Korrigeringsfaktor_EI,'Korrigeringsfaktor EI'!R$1,FALSE),
"")</f>
        <v>6.736521739130434</v>
      </c>
      <c r="S295" s="18">
        <f>IFERROR(
                  Andel_oberoende_av_klimat*VLOOKUP($A295,Leveranser_per_nät,'Leveranser per nät'!S$1,FALSE)
               +Andel_beroende_av_klimat*VLOOKUP($A295,Leveranser_per_nät,'Leveranser per nät'!S$1,FALSE)/VLOOKUP($B295,Korrigeringsfaktor_EI,'Korrigeringsfaktor EI'!S$1,FALSE),
"")</f>
        <v>6.83</v>
      </c>
      <c r="T295" s="18">
        <f>IFERROR(
                  Andel_oberoende_av_klimat*VLOOKUP($A295,Leveranser_per_nät,'Leveranser per nät'!T$1,FALSE)
               +Andel_beroende_av_klimat*VLOOKUP($A295,Leveranser_per_nät,'Leveranser per nät'!T$1,FALSE)/VLOOKUP($B295,Korrigeringsfaktor_EI,'Korrigeringsfaktor EI'!T$1,FALSE),
"")</f>
        <v>6.2634946236559141</v>
      </c>
      <c r="U295" s="18">
        <f>IFERROR(
                  Andel_oberoende_av_klimat*VLOOKUP($A295,Leveranser_per_nät,'Leveranser per nät'!U$1,FALSE)
               +Andel_beroende_av_klimat*VLOOKUP($A295,Leveranser_per_nät,'Leveranser per nät'!U$1,FALSE)/VLOOKUP($B295,Korrigeringsfaktor_EI,'Korrigeringsfaktor EI'!U$1,FALSE),
"")</f>
        <v>6.2977692307692301</v>
      </c>
      <c r="V295" s="18">
        <f>IFERROR(
                  Andel_oberoende_av_klimat*VLOOKUP($A295,Leveranser_per_nät,'Leveranser per nät'!V$1,FALSE)
               +Andel_beroende_av_klimat*VLOOKUP($A295,Leveranser_per_nät,'Leveranser per nät'!V$1,FALSE)/VLOOKUP($B295,Korrigeringsfaktor_EI,'Korrigeringsfaktor EI'!V$1,FALSE),
"")</f>
        <v>6.138820224719101</v>
      </c>
      <c r="W295" s="18">
        <f>IFERROR(
                  Andel_oberoende_av_klimat*VLOOKUP($A295,Leveranser_per_nät,'Leveranser per nät'!W$1,FALSE)
               +Andel_beroende_av_klimat*VLOOKUP($A295,Leveranser_per_nät,'Leveranser per nät'!W$1,FALSE)/VLOOKUP($B295,Korrigeringsfaktor_EI,'Korrigeringsfaktor EI'!W$1,FALSE),
"")</f>
        <v>6.1364285714285716</v>
      </c>
      <c r="X295" s="18">
        <f>IFERROR(
                  Andel_oberoende_av_klimat*VLOOKUP($A295,Leveranser_per_nät,'Leveranser per nät'!X$1,FALSE)
               +Andel_beroende_av_klimat*VLOOKUP($A295,Leveranser_per_nät,'Leveranser per nät'!X$1,FALSE)/VLOOKUP($B295,Korrigeringsfaktor_EI,'Korrigeringsfaktor EI'!X$1,FALSE),
"")</f>
        <v>6.1441999999999997</v>
      </c>
      <c r="Y295" s="18">
        <f>IFERROR(
                  Andel_oberoende_av_klimat*VLOOKUP($A295,Leveranser_per_nät,'Leveranser per nät'!Y$1,FALSE)
               +Andel_beroende_av_klimat*VLOOKUP($A295,Leveranser_per_nät,'Leveranser per nät'!Y$1,FALSE)/VLOOKUP($B295,Korrigeringsfaktor_EI,'Korrigeringsfaktor EI'!Y$1,FALSE),
"")</f>
        <v>6.2367499999999989</v>
      </c>
      <c r="Z295" s="18">
        <f>IFERROR(
                  Andel_oberoende_av_klimat*VLOOKUP($A295,Leveranser_per_nät,'Leveranser per nät'!Z$1,FALSE)
               +Andel_beroende_av_klimat*VLOOKUP($A295,Leveranser_per_nät,'Leveranser per nät'!Z$1,FALSE)/VLOOKUP($B295,Korrigeringsfaktor_EI,'Korrigeringsfaktor EI'!Z$1,FALSE),
"")</f>
        <v>6.3042626262626262</v>
      </c>
      <c r="AA295" s="18">
        <f>IFERROR(
                  Andel_oberoende_av_klimat*VLOOKUP($A295,Leveranser_per_nät,'Leveranser per nät'!AA$1,FALSE)
               +Andel_beroende_av_klimat*VLOOKUP($A295,Leveranser_per_nät,'Leveranser per nät'!AA$1,FALSE)/VLOOKUP($B295,Korrigeringsfaktor_EI,'Korrigeringsfaktor EI'!AA$1,FALSE),
"")</f>
        <v>5.9979158134243464</v>
      </c>
      <c r="AB295" s="18">
        <f>IFERROR(
                  Andel_oberoende_av_klimat*VLOOKUP($A295,Leveranser_per_nät,'Leveranser per nät'!AB$1,FALSE)
               +Andel_beroende_av_klimat*VLOOKUP($A295,Leveranser_per_nät,'Leveranser per nät'!AB$1,FALSE)/VLOOKUP($B295,Korrigeringsfaktor_EI,'Korrigeringsfaktor EI'!AB$1,FALSE),
"")</f>
        <v>6.0982812500000003</v>
      </c>
      <c r="AC295" s="18">
        <f>IFERROR(
                  Andel_oberoende_av_klimat*VLOOKUP($A295,Leveranser_per_nät,'Leveranser per nät'!AC$1,FALSE)
               +Andel_beroende_av_klimat*VLOOKUP($A295,Leveranser_per_nät,'Leveranser per nät'!AC$1,FALSE)/VLOOKUP($B295,Korrigeringsfaktor_EI,'Korrigeringsfaktor EI'!AC$1,FALSE),
"")</f>
        <v>6.3902713987473909</v>
      </c>
      <c r="AD295">
        <v>240.6</v>
      </c>
    </row>
    <row r="296" spans="1:30" x14ac:dyDescent="0.25">
      <c r="A296" t="s">
        <v>88</v>
      </c>
      <c r="B296" t="s">
        <v>88</v>
      </c>
      <c r="C296" s="18">
        <f>IFERROR(
                  Andel_oberoende_av_klimat*VLOOKUP($A296,Leveranser_per_nät,'Leveranser per nät'!C$1,FALSE)
               +Andel_beroende_av_klimat*VLOOKUP($A296,Leveranser_per_nät,'Leveranser per nät'!C$1,FALSE)/VLOOKUP($B296,Korrigeringsfaktor_EI,'Korrigeringsfaktor EI'!C$1,FALSE),
"")</f>
        <v>961.30421621621622</v>
      </c>
      <c r="D296" s="18">
        <f>IFERROR(
                  Andel_oberoende_av_klimat*VLOOKUP($A296,Leveranser_per_nät,'Leveranser per nät'!D$1,FALSE)
               +Andel_beroende_av_klimat*VLOOKUP($A296,Leveranser_per_nät,'Leveranser per nät'!D$1,FALSE)/VLOOKUP($B296,Korrigeringsfaktor_EI,'Korrigeringsfaktor EI'!D$1,FALSE),
"")</f>
        <v>985.51939393939392</v>
      </c>
      <c r="E296" s="18">
        <f>IFERROR(
                  Andel_oberoende_av_klimat*VLOOKUP($A296,Leveranser_per_nät,'Leveranser per nät'!E$1,FALSE)
               +Andel_beroende_av_klimat*VLOOKUP($A296,Leveranser_per_nät,'Leveranser per nät'!E$1,FALSE)/VLOOKUP($B296,Korrigeringsfaktor_EI,'Korrigeringsfaktor EI'!E$1,FALSE),
"")</f>
        <v>999.35</v>
      </c>
      <c r="F296" s="18">
        <f>IFERROR(
                  Andel_oberoende_av_klimat*VLOOKUP($A296,Leveranser_per_nät,'Leveranser per nät'!F$1,FALSE)
               +Andel_beroende_av_klimat*VLOOKUP($A296,Leveranser_per_nät,'Leveranser per nät'!F$1,FALSE)/VLOOKUP($B296,Korrigeringsfaktor_EI,'Korrigeringsfaktor EI'!F$1,FALSE),
"")</f>
        <v>1054.9868421052633</v>
      </c>
      <c r="G296" s="18">
        <f>IFERROR(
                  Andel_oberoende_av_klimat*VLOOKUP($A296,Leveranser_per_nät,'Leveranser per nät'!G$1,FALSE)
               +Andel_beroende_av_klimat*VLOOKUP($A296,Leveranser_per_nät,'Leveranser per nät'!G$1,FALSE)/VLOOKUP($B296,Korrigeringsfaktor_EI,'Korrigeringsfaktor EI'!G$1,FALSE),
"")</f>
        <v>967</v>
      </c>
      <c r="H296" s="18">
        <f>IFERROR(
                  Andel_oberoende_av_klimat*VLOOKUP($A296,Leveranser_per_nät,'Leveranser per nät'!H$1,FALSE)
               +Andel_beroende_av_klimat*VLOOKUP($A296,Leveranser_per_nät,'Leveranser per nät'!H$1,FALSE)/VLOOKUP($B296,Korrigeringsfaktor_EI,'Korrigeringsfaktor EI'!H$1,FALSE),
"")</f>
        <v>952</v>
      </c>
      <c r="I296" s="18">
        <f>IFERROR(
                  Andel_oberoende_av_klimat*VLOOKUP($A296,Leveranser_per_nät,'Leveranser per nät'!I$1,FALSE)
               +Andel_beroende_av_klimat*VLOOKUP($A296,Leveranser_per_nät,'Leveranser per nät'!I$1,FALSE)/VLOOKUP($B296,Korrigeringsfaktor_EI,'Korrigeringsfaktor EI'!I$1,FALSE),
"")</f>
        <v>965.30000000000007</v>
      </c>
      <c r="J296" s="18">
        <f>IFERROR(
                  Andel_oberoende_av_klimat*VLOOKUP($A296,Leveranser_per_nät,'Leveranser per nät'!J$1,FALSE)
               +Andel_beroende_av_klimat*VLOOKUP($A296,Leveranser_per_nät,'Leveranser per nät'!J$1,FALSE)/VLOOKUP($B296,Korrigeringsfaktor_EI,'Korrigeringsfaktor EI'!J$1,FALSE),
"")</f>
        <v>961.10367142857149</v>
      </c>
      <c r="K296" s="18">
        <f>IFERROR(
                  Andel_oberoende_av_klimat*VLOOKUP($A296,Leveranser_per_nät,'Leveranser per nät'!K$1,FALSE)
               +Andel_beroende_av_klimat*VLOOKUP($A296,Leveranser_per_nät,'Leveranser per nät'!K$1,FALSE)/VLOOKUP($B296,Korrigeringsfaktor_EI,'Korrigeringsfaktor EI'!K$1,FALSE),
"")</f>
        <v>1011.273612371134</v>
      </c>
      <c r="L296" s="18">
        <f>IFERROR(
                  Andel_oberoende_av_klimat*VLOOKUP($A296,Leveranser_per_nät,'Leveranser per nät'!L$1,FALSE)
               +Andel_beroende_av_klimat*VLOOKUP($A296,Leveranser_per_nät,'Leveranser per nät'!L$1,FALSE)/VLOOKUP($B296,Korrigeringsfaktor_EI,'Korrigeringsfaktor EI'!L$1,FALSE),
"")</f>
        <v>937.86325590088336</v>
      </c>
      <c r="M296" s="18">
        <f>IFERROR(
                  Andel_oberoende_av_klimat*VLOOKUP($A296,Leveranser_per_nät,'Leveranser per nät'!M$1,FALSE)
               +Andel_beroende_av_klimat*VLOOKUP($A296,Leveranser_per_nät,'Leveranser per nät'!M$1,FALSE)/VLOOKUP($B296,Korrigeringsfaktor_EI,'Korrigeringsfaktor EI'!M$1,FALSE),
"")</f>
        <v>931.44347826086937</v>
      </c>
      <c r="N296" s="18">
        <f>IFERROR(
                  Andel_oberoende_av_klimat*VLOOKUP($A296,Leveranser_per_nät,'Leveranser per nät'!N$1,FALSE)
               +Andel_beroende_av_klimat*VLOOKUP($A296,Leveranser_per_nät,'Leveranser per nät'!N$1,FALSE)/VLOOKUP($B296,Korrigeringsfaktor_EI,'Korrigeringsfaktor EI'!N$1,FALSE),
"")</f>
        <v>962.27240769230775</v>
      </c>
      <c r="O296" s="18">
        <f>IFERROR(
                  Andel_oberoende_av_klimat*VLOOKUP($A296,Leveranser_per_nät,'Leveranser per nät'!O$1,FALSE)
               +Andel_beroende_av_klimat*VLOOKUP($A296,Leveranser_per_nät,'Leveranser per nät'!O$1,FALSE)/VLOOKUP($B296,Korrigeringsfaktor_EI,'Korrigeringsfaktor EI'!O$1,FALSE),
"")</f>
        <v>1083.1666666666667</v>
      </c>
      <c r="P296" s="18">
        <f>IFERROR(
                  Andel_oberoende_av_klimat*VLOOKUP($A296,Leveranser_per_nät,'Leveranser per nät'!P$1,FALSE)
               +Andel_beroende_av_klimat*VLOOKUP($A296,Leveranser_per_nät,'Leveranser per nät'!P$1,FALSE)/VLOOKUP($B296,Korrigeringsfaktor_EI,'Korrigeringsfaktor EI'!P$1,FALSE),
"")</f>
        <v>989.33791666666662</v>
      </c>
      <c r="Q296" s="18">
        <f>IFERROR(
                  Andel_oberoende_av_klimat*VLOOKUP($A296,Leveranser_per_nät,'Leveranser per nät'!Q$1,FALSE)
               +Andel_beroende_av_klimat*VLOOKUP($A296,Leveranser_per_nät,'Leveranser per nät'!Q$1,FALSE)/VLOOKUP($B296,Korrigeringsfaktor_EI,'Korrigeringsfaktor EI'!Q$1,FALSE),
"")</f>
        <v>1009.5769911504426</v>
      </c>
      <c r="R296" s="18">
        <f>IFERROR(
                  Andel_oberoende_av_klimat*VLOOKUP($A296,Leveranser_per_nät,'Leveranser per nät'!R$1,FALSE)
               +Andel_beroende_av_klimat*VLOOKUP($A296,Leveranser_per_nät,'Leveranser per nät'!R$1,FALSE)/VLOOKUP($B296,Korrigeringsfaktor_EI,'Korrigeringsfaktor EI'!R$1,FALSE),
"")</f>
        <v>991.55555555555566</v>
      </c>
      <c r="S296" s="18">
        <f>IFERROR(
                  Andel_oberoende_av_klimat*VLOOKUP($A296,Leveranser_per_nät,'Leveranser per nät'!S$1,FALSE)
               +Andel_beroende_av_klimat*VLOOKUP($A296,Leveranser_per_nät,'Leveranser per nät'!S$1,FALSE)/VLOOKUP($B296,Korrigeringsfaktor_EI,'Korrigeringsfaktor EI'!S$1,FALSE),
"")</f>
        <v>986.92929292929307</v>
      </c>
      <c r="T296" s="18">
        <f>IFERROR(
                  Andel_oberoende_av_klimat*VLOOKUP($A296,Leveranser_per_nät,'Leveranser per nät'!T$1,FALSE)
               +Andel_beroende_av_klimat*VLOOKUP($A296,Leveranser_per_nät,'Leveranser per nät'!T$1,FALSE)/VLOOKUP($B296,Korrigeringsfaktor_EI,'Korrigeringsfaktor EI'!T$1,FALSE),
"")</f>
        <v>989.0291666666667</v>
      </c>
      <c r="U296" s="18">
        <f>IFERROR(
                  Andel_oberoende_av_klimat*VLOOKUP($A296,Leveranser_per_nät,'Leveranser per nät'!U$1,FALSE)
               +Andel_beroende_av_klimat*VLOOKUP($A296,Leveranser_per_nät,'Leveranser per nät'!U$1,FALSE)/VLOOKUP($B296,Korrigeringsfaktor_EI,'Korrigeringsfaktor EI'!U$1,FALSE),
"")</f>
        <v>945.48696629213487</v>
      </c>
      <c r="V296" s="18">
        <f>IFERROR(
                  Andel_oberoende_av_klimat*VLOOKUP($A296,Leveranser_per_nät,'Leveranser per nät'!V$1,FALSE)
               +Andel_beroende_av_klimat*VLOOKUP($A296,Leveranser_per_nät,'Leveranser per nät'!V$1,FALSE)/VLOOKUP($B296,Korrigeringsfaktor_EI,'Korrigeringsfaktor EI'!V$1,FALSE),
"")</f>
        <v>949.7590909090909</v>
      </c>
      <c r="W296" s="18">
        <f>IFERROR(
                  Andel_oberoende_av_klimat*VLOOKUP($A296,Leveranser_per_nät,'Leveranser per nät'!W$1,FALSE)
               +Andel_beroende_av_klimat*VLOOKUP($A296,Leveranser_per_nät,'Leveranser per nät'!W$1,FALSE)/VLOOKUP($B296,Korrigeringsfaktor_EI,'Korrigeringsfaktor EI'!W$1,FALSE),
"")</f>
        <v>956.92765957446807</v>
      </c>
      <c r="X296" s="18" t="str">
        <f>IFERROR(
                  Andel_oberoende_av_klimat*VLOOKUP($A296,Leveranser_per_nät,'Leveranser per nät'!X$1,FALSE)
               +Andel_beroende_av_klimat*VLOOKUP($A296,Leveranser_per_nät,'Leveranser per nät'!X$1,FALSE)/VLOOKUP($B296,Korrigeringsfaktor_EI,'Korrigeringsfaktor EI'!X$1,FALSE),
"")</f>
        <v/>
      </c>
      <c r="Y296" s="18" t="str">
        <f>IFERROR(
                  Andel_oberoende_av_klimat*VLOOKUP($A296,Leveranser_per_nät,'Leveranser per nät'!Y$1,FALSE)
               +Andel_beroende_av_klimat*VLOOKUP($A296,Leveranser_per_nät,'Leveranser per nät'!Y$1,FALSE)/VLOOKUP($B296,Korrigeringsfaktor_EI,'Korrigeringsfaktor EI'!Y$1,FALSE),
"")</f>
        <v/>
      </c>
      <c r="Z296" s="18">
        <f>IFERROR(
                  Andel_oberoende_av_klimat*VLOOKUP($A296,Leveranser_per_nät,'Leveranser per nät'!Z$1,FALSE)
               +Andel_beroende_av_klimat*VLOOKUP($A296,Leveranser_per_nät,'Leveranser per nät'!Z$1,FALSE)/VLOOKUP($B296,Korrigeringsfaktor_EI,'Korrigeringsfaktor EI'!Z$1,FALSE),
"")</f>
        <v>0</v>
      </c>
      <c r="AA296" s="18" t="str">
        <f>IFERROR(
                  Andel_oberoende_av_klimat*VLOOKUP($A296,Leveranser_per_nät,'Leveranser per nät'!AA$1,FALSE)
               +Andel_beroende_av_klimat*VLOOKUP($A296,Leveranser_per_nät,'Leveranser per nät'!AA$1,FALSE)/VLOOKUP($B296,Korrigeringsfaktor_EI,'Korrigeringsfaktor EI'!AA$1,FALSE),
"")</f>
        <v/>
      </c>
      <c r="AB296" s="18">
        <f>IFERROR(
                  Andel_oberoende_av_klimat*VLOOKUP($A296,Leveranser_per_nät,'Leveranser per nät'!AB$1,FALSE)
               +Andel_beroende_av_klimat*VLOOKUP($A296,Leveranser_per_nät,'Leveranser per nät'!AB$1,FALSE)/VLOOKUP($B296,Korrigeringsfaktor_EI,'Korrigeringsfaktor EI'!AB$1,FALSE),
"")</f>
        <v>0</v>
      </c>
      <c r="AC296" s="18">
        <f>IFERROR(
                  Andel_oberoende_av_klimat*VLOOKUP($A296,Leveranser_per_nät,'Leveranser per nät'!AC$1,FALSE)
               +Andel_beroende_av_klimat*VLOOKUP($A296,Leveranser_per_nät,'Leveranser per nät'!AC$1,FALSE)/VLOOKUP($B296,Korrigeringsfaktor_EI,'Korrigeringsfaktor EI'!AC$1,FALSE),
"")</f>
        <v>0</v>
      </c>
      <c r="AD296" t="e">
        <v>#N/A</v>
      </c>
    </row>
    <row r="297" spans="1:30" x14ac:dyDescent="0.25">
      <c r="A297" t="s">
        <v>494</v>
      </c>
      <c r="B297" t="s">
        <v>138</v>
      </c>
      <c r="C297" s="18">
        <f>IFERROR(
                  Andel_oberoende_av_klimat*VLOOKUP($A297,Leveranser_per_nät,'Leveranser per nät'!C$1,FALSE)
               +Andel_beroende_av_klimat*VLOOKUP($A297,Leveranser_per_nät,'Leveranser per nät'!C$1,FALSE)/VLOOKUP($B297,Korrigeringsfaktor_EI,'Korrigeringsfaktor EI'!C$1,FALSE),
"")</f>
        <v>0</v>
      </c>
      <c r="D297" s="18">
        <f>IFERROR(
                  Andel_oberoende_av_klimat*VLOOKUP($A297,Leveranser_per_nät,'Leveranser per nät'!D$1,FALSE)
               +Andel_beroende_av_klimat*VLOOKUP($A297,Leveranser_per_nät,'Leveranser per nät'!D$1,FALSE)/VLOOKUP($B297,Korrigeringsfaktor_EI,'Korrigeringsfaktor EI'!D$1,FALSE),
"")</f>
        <v>0</v>
      </c>
      <c r="E297" s="18">
        <f>IFERROR(
                  Andel_oberoende_av_klimat*VLOOKUP($A297,Leveranser_per_nät,'Leveranser per nät'!E$1,FALSE)
               +Andel_beroende_av_klimat*VLOOKUP($A297,Leveranser_per_nät,'Leveranser per nät'!E$1,FALSE)/VLOOKUP($B297,Korrigeringsfaktor_EI,'Korrigeringsfaktor EI'!E$1,FALSE),
"")</f>
        <v>0</v>
      </c>
      <c r="F297" s="18">
        <f>IFERROR(
                  Andel_oberoende_av_klimat*VLOOKUP($A297,Leveranser_per_nät,'Leveranser per nät'!F$1,FALSE)
               +Andel_beroende_av_klimat*VLOOKUP($A297,Leveranser_per_nät,'Leveranser per nät'!F$1,FALSE)/VLOOKUP($B297,Korrigeringsfaktor_EI,'Korrigeringsfaktor EI'!F$1,FALSE),
"")</f>
        <v>0</v>
      </c>
      <c r="G297" s="18">
        <f>IFERROR(
                  Andel_oberoende_av_klimat*VLOOKUP($A297,Leveranser_per_nät,'Leveranser per nät'!G$1,FALSE)
               +Andel_beroende_av_klimat*VLOOKUP($A297,Leveranser_per_nät,'Leveranser per nät'!G$1,FALSE)/VLOOKUP($B297,Korrigeringsfaktor_EI,'Korrigeringsfaktor EI'!G$1,FALSE),
"")</f>
        <v>0</v>
      </c>
      <c r="H297" s="18">
        <f>IFERROR(
                  Andel_oberoende_av_klimat*VLOOKUP($A297,Leveranser_per_nät,'Leveranser per nät'!H$1,FALSE)
               +Andel_beroende_av_klimat*VLOOKUP($A297,Leveranser_per_nät,'Leveranser per nät'!H$1,FALSE)/VLOOKUP($B297,Korrigeringsfaktor_EI,'Korrigeringsfaktor EI'!H$1,FALSE),
"")</f>
        <v>0</v>
      </c>
      <c r="I297" s="18">
        <f>IFERROR(
                  Andel_oberoende_av_klimat*VLOOKUP($A297,Leveranser_per_nät,'Leveranser per nät'!I$1,FALSE)
               +Andel_beroende_av_klimat*VLOOKUP($A297,Leveranser_per_nät,'Leveranser per nät'!I$1,FALSE)/VLOOKUP($B297,Korrigeringsfaktor_EI,'Korrigeringsfaktor EI'!I$1,FALSE),
"")</f>
        <v>0</v>
      </c>
      <c r="J297" s="18">
        <f>IFERROR(
                  Andel_oberoende_av_klimat*VLOOKUP($A297,Leveranser_per_nät,'Leveranser per nät'!J$1,FALSE)
               +Andel_beroende_av_klimat*VLOOKUP($A297,Leveranser_per_nät,'Leveranser per nät'!J$1,FALSE)/VLOOKUP($B297,Korrigeringsfaktor_EI,'Korrigeringsfaktor EI'!J$1,FALSE),
"")</f>
        <v>0</v>
      </c>
      <c r="K297" s="18">
        <f>IFERROR(
                  Andel_oberoende_av_klimat*VLOOKUP($A297,Leveranser_per_nät,'Leveranser per nät'!K$1,FALSE)
               +Andel_beroende_av_klimat*VLOOKUP($A297,Leveranser_per_nät,'Leveranser per nät'!K$1,FALSE)/VLOOKUP($B297,Korrigeringsfaktor_EI,'Korrigeringsfaktor EI'!K$1,FALSE),
"")</f>
        <v>0</v>
      </c>
      <c r="L297" s="18">
        <f>IFERROR(
                  Andel_oberoende_av_klimat*VLOOKUP($A297,Leveranser_per_nät,'Leveranser per nät'!L$1,FALSE)
               +Andel_beroende_av_klimat*VLOOKUP($A297,Leveranser_per_nät,'Leveranser per nät'!L$1,FALSE)/VLOOKUP($B297,Korrigeringsfaktor_EI,'Korrigeringsfaktor EI'!L$1,FALSE),
"")</f>
        <v>0</v>
      </c>
      <c r="M297" s="18">
        <f>IFERROR(
                  Andel_oberoende_av_klimat*VLOOKUP($A297,Leveranser_per_nät,'Leveranser per nät'!M$1,FALSE)
               +Andel_beroende_av_klimat*VLOOKUP($A297,Leveranser_per_nät,'Leveranser per nät'!M$1,FALSE)/VLOOKUP($B297,Korrigeringsfaktor_EI,'Korrigeringsfaktor EI'!M$1,FALSE),
"")</f>
        <v>0</v>
      </c>
      <c r="N297" s="18">
        <f>IFERROR(
                  Andel_oberoende_av_klimat*VLOOKUP($A297,Leveranser_per_nät,'Leveranser per nät'!N$1,FALSE)
               +Andel_beroende_av_klimat*VLOOKUP($A297,Leveranser_per_nät,'Leveranser per nät'!N$1,FALSE)/VLOOKUP($B297,Korrigeringsfaktor_EI,'Korrigeringsfaktor EI'!N$1,FALSE),
"")</f>
        <v>0</v>
      </c>
      <c r="O297" s="18">
        <f>IFERROR(
                  Andel_oberoende_av_klimat*VLOOKUP($A297,Leveranser_per_nät,'Leveranser per nät'!O$1,FALSE)
               +Andel_beroende_av_klimat*VLOOKUP($A297,Leveranser_per_nät,'Leveranser per nät'!O$1,FALSE)/VLOOKUP($B297,Korrigeringsfaktor_EI,'Korrigeringsfaktor EI'!O$1,FALSE),
"")</f>
        <v>0</v>
      </c>
      <c r="P297" s="18">
        <f>IFERROR(
                  Andel_oberoende_av_klimat*VLOOKUP($A297,Leveranser_per_nät,'Leveranser per nät'!P$1,FALSE)
               +Andel_beroende_av_klimat*VLOOKUP($A297,Leveranser_per_nät,'Leveranser per nät'!P$1,FALSE)/VLOOKUP($B297,Korrigeringsfaktor_EI,'Korrigeringsfaktor EI'!P$1,FALSE),
"")</f>
        <v>4.2909278350515461</v>
      </c>
      <c r="Q297" s="18">
        <f>IFERROR(
                  Andel_oberoende_av_klimat*VLOOKUP($A297,Leveranser_per_nät,'Leveranser per nät'!Q$1,FALSE)
               +Andel_beroende_av_klimat*VLOOKUP($A297,Leveranser_per_nät,'Leveranser per nät'!Q$1,FALSE)/VLOOKUP($B297,Korrigeringsfaktor_EI,'Korrigeringsfaktor EI'!Q$1,FALSE),
"")</f>
        <v>3.5647368421052636</v>
      </c>
      <c r="R297" s="18">
        <f>IFERROR(
                  Andel_oberoende_av_klimat*VLOOKUP($A297,Leveranser_per_nät,'Leveranser per nät'!R$1,FALSE)
               +Andel_beroende_av_klimat*VLOOKUP($A297,Leveranser_per_nät,'Leveranser per nät'!R$1,FALSE)/VLOOKUP($B297,Korrigeringsfaktor_EI,'Korrigeringsfaktor EI'!R$1,FALSE),
"")</f>
        <v>3.4215789473684208</v>
      </c>
      <c r="S297" s="18">
        <f>IFERROR(
                  Andel_oberoende_av_klimat*VLOOKUP($A297,Leveranser_per_nät,'Leveranser per nät'!S$1,FALSE)
               +Andel_beroende_av_klimat*VLOOKUP($A297,Leveranser_per_nät,'Leveranser per nät'!S$1,FALSE)/VLOOKUP($B297,Korrigeringsfaktor_EI,'Korrigeringsfaktor EI'!S$1,FALSE),
"")</f>
        <v>3.4757425742574259</v>
      </c>
      <c r="T297" s="18">
        <f>IFERROR(
                  Andel_oberoende_av_klimat*VLOOKUP($A297,Leveranser_per_nät,'Leveranser per nät'!T$1,FALSE)
               +Andel_beroende_av_klimat*VLOOKUP($A297,Leveranser_per_nät,'Leveranser per nät'!T$1,FALSE)/VLOOKUP($B297,Korrigeringsfaktor_EI,'Korrigeringsfaktor EI'!T$1,FALSE),
"")</f>
        <v>3.5252631578947367</v>
      </c>
      <c r="U297" s="18">
        <f>IFERROR(
                  Andel_oberoende_av_klimat*VLOOKUP($A297,Leveranser_per_nät,'Leveranser per nät'!U$1,FALSE)
               +Andel_beroende_av_klimat*VLOOKUP($A297,Leveranser_per_nät,'Leveranser per nät'!U$1,FALSE)/VLOOKUP($B297,Korrigeringsfaktor_EI,'Korrigeringsfaktor EI'!U$1,FALSE),
"")</f>
        <v>3.4514769230769229</v>
      </c>
      <c r="V297" s="18">
        <f>IFERROR(
                  Andel_oberoende_av_klimat*VLOOKUP($A297,Leveranser_per_nät,'Leveranser per nät'!V$1,FALSE)
               +Andel_beroende_av_klimat*VLOOKUP($A297,Leveranser_per_nät,'Leveranser per nät'!V$1,FALSE)/VLOOKUP($B297,Korrigeringsfaktor_EI,'Korrigeringsfaktor EI'!V$1,FALSE),
"")</f>
        <v>3.534876923076923</v>
      </c>
      <c r="W297" s="18">
        <f>IFERROR(
                  Andel_oberoende_av_klimat*VLOOKUP($A297,Leveranser_per_nät,'Leveranser per nät'!W$1,FALSE)
               +Andel_beroende_av_klimat*VLOOKUP($A297,Leveranser_per_nät,'Leveranser per nät'!W$1,FALSE)/VLOOKUP($B297,Korrigeringsfaktor_EI,'Korrigeringsfaktor EI'!W$1,FALSE),
"")</f>
        <v>3.5691500000000005</v>
      </c>
      <c r="X297" s="18">
        <f>IFERROR(
                  Andel_oberoende_av_klimat*VLOOKUP($A297,Leveranser_per_nät,'Leveranser per nät'!X$1,FALSE)
               +Andel_beroende_av_klimat*VLOOKUP($A297,Leveranser_per_nät,'Leveranser per nät'!X$1,FALSE)/VLOOKUP($B297,Korrigeringsfaktor_EI,'Korrigeringsfaktor EI'!X$1,FALSE),
"")</f>
        <v>3.5978421052631582</v>
      </c>
      <c r="Y297" s="18">
        <f>IFERROR(
                  Andel_oberoende_av_klimat*VLOOKUP($A297,Leveranser_per_nät,'Leveranser per nät'!Y$1,FALSE)
               +Andel_beroende_av_klimat*VLOOKUP($A297,Leveranser_per_nät,'Leveranser per nät'!Y$1,FALSE)/VLOOKUP($B297,Korrigeringsfaktor_EI,'Korrigeringsfaktor EI'!Y$1,FALSE),
"")</f>
        <v>3.5284615384615381</v>
      </c>
      <c r="Z297" s="18">
        <f>IFERROR(
                  Andel_oberoende_av_klimat*VLOOKUP($A297,Leveranser_per_nät,'Leveranser per nät'!Z$1,FALSE)
               +Andel_beroende_av_klimat*VLOOKUP($A297,Leveranser_per_nät,'Leveranser per nät'!Z$1,FALSE)/VLOOKUP($B297,Korrigeringsfaktor_EI,'Korrigeringsfaktor EI'!Z$1,FALSE),
"")</f>
        <v>3.2633333333333332</v>
      </c>
      <c r="AA297" s="18">
        <f>IFERROR(
                  Andel_oberoende_av_klimat*VLOOKUP($A297,Leveranser_per_nät,'Leveranser per nät'!AA$1,FALSE)
               +Andel_beroende_av_klimat*VLOOKUP($A297,Leveranser_per_nät,'Leveranser per nät'!AA$1,FALSE)/VLOOKUP($B297,Korrigeringsfaktor_EI,'Korrigeringsfaktor EI'!AA$1,FALSE),
"")</f>
        <v>3.2131420089064822</v>
      </c>
      <c r="AB297" s="18">
        <f>IFERROR(
                  Andel_oberoende_av_klimat*VLOOKUP($A297,Leveranser_per_nät,'Leveranser per nät'!AB$1,FALSE)
               +Andel_beroende_av_klimat*VLOOKUP($A297,Leveranser_per_nät,'Leveranser per nät'!AB$1,FALSE)/VLOOKUP($B297,Korrigeringsfaktor_EI,'Korrigeringsfaktor EI'!AB$1,FALSE),
"")</f>
        <v>3.2295035460992905</v>
      </c>
      <c r="AC297" s="18">
        <f>IFERROR(
                  Andel_oberoende_av_klimat*VLOOKUP($A297,Leveranser_per_nät,'Leveranser per nät'!AC$1,FALSE)
               +Andel_beroende_av_klimat*VLOOKUP($A297,Leveranser_per_nät,'Leveranser per nät'!AC$1,FALSE)/VLOOKUP($B297,Korrigeringsfaktor_EI,'Korrigeringsfaktor EI'!AC$1,FALSE),
"")</f>
        <v>3.1255974276527332</v>
      </c>
      <c r="AD297">
        <v>662.10699999999997</v>
      </c>
    </row>
    <row r="298" spans="1:30" x14ac:dyDescent="0.25">
      <c r="A298" t="s">
        <v>221</v>
      </c>
      <c r="B298" t="s">
        <v>221</v>
      </c>
      <c r="C298" s="18">
        <f>IFERROR(
                  Andel_oberoende_av_klimat*VLOOKUP($A298,Leveranser_per_nät,'Leveranser per nät'!C$1,FALSE)
               +Andel_beroende_av_klimat*VLOOKUP($A298,Leveranser_per_nät,'Leveranser per nät'!C$1,FALSE)/VLOOKUP($B298,Korrigeringsfaktor_EI,'Korrigeringsfaktor EI'!C$1,FALSE),
"")</f>
        <v>118.51851851851853</v>
      </c>
      <c r="D298" s="18">
        <f>IFERROR(
                  Andel_oberoende_av_klimat*VLOOKUP($A298,Leveranser_per_nät,'Leveranser per nät'!D$1,FALSE)
               +Andel_beroende_av_klimat*VLOOKUP($A298,Leveranser_per_nät,'Leveranser per nät'!D$1,FALSE)/VLOOKUP($B298,Korrigeringsfaktor_EI,'Korrigeringsfaktor EI'!D$1,FALSE),
"")</f>
        <v>124.96740404040405</v>
      </c>
      <c r="E298" s="18">
        <f>IFERROR(
                  Andel_oberoende_av_klimat*VLOOKUP($A298,Leveranser_per_nät,'Leveranser per nät'!E$1,FALSE)
               +Andel_beroende_av_klimat*VLOOKUP($A298,Leveranser_per_nät,'Leveranser per nät'!E$1,FALSE)/VLOOKUP($B298,Korrigeringsfaktor_EI,'Korrigeringsfaktor EI'!E$1,FALSE),
"")</f>
        <v>128.32912621359222</v>
      </c>
      <c r="F298" s="18">
        <f>IFERROR(
                  Andel_oberoende_av_klimat*VLOOKUP($A298,Leveranser_per_nät,'Leveranser per nät'!F$1,FALSE)
               +Andel_beroende_av_klimat*VLOOKUP($A298,Leveranser_per_nät,'Leveranser per nät'!F$1,FALSE)/VLOOKUP($B298,Korrigeringsfaktor_EI,'Korrigeringsfaktor EI'!F$1,FALSE),
"")</f>
        <v>98.2</v>
      </c>
      <c r="G298" s="18">
        <f>IFERROR(
                  Andel_oberoende_av_klimat*VLOOKUP($A298,Leveranser_per_nät,'Leveranser per nät'!G$1,FALSE)
               +Andel_beroende_av_klimat*VLOOKUP($A298,Leveranser_per_nät,'Leveranser per nät'!G$1,FALSE)/VLOOKUP($B298,Korrigeringsfaktor_EI,'Korrigeringsfaktor EI'!G$1,FALSE),
"")</f>
        <v>99.438461538461539</v>
      </c>
      <c r="H298" s="18">
        <f>IFERROR(
                  Andel_oberoende_av_klimat*VLOOKUP($A298,Leveranser_per_nät,'Leveranser per nät'!H$1,FALSE)
               +Andel_beroende_av_klimat*VLOOKUP($A298,Leveranser_per_nät,'Leveranser per nät'!H$1,FALSE)/VLOOKUP($B298,Korrigeringsfaktor_EI,'Korrigeringsfaktor EI'!H$1,FALSE),
"")</f>
        <v>101</v>
      </c>
      <c r="I298" s="18">
        <f>IFERROR(
                  Andel_oberoende_av_klimat*VLOOKUP($A298,Leveranser_per_nät,'Leveranser per nät'!I$1,FALSE)
               +Andel_beroende_av_klimat*VLOOKUP($A298,Leveranser_per_nät,'Leveranser per nät'!I$1,FALSE)/VLOOKUP($B298,Korrigeringsfaktor_EI,'Korrigeringsfaktor EI'!I$1,FALSE),
"")</f>
        <v>108.52857142857141</v>
      </c>
      <c r="J298" s="18">
        <f>IFERROR(
                  Andel_oberoende_av_klimat*VLOOKUP($A298,Leveranser_per_nät,'Leveranser per nät'!J$1,FALSE)
               +Andel_beroende_av_klimat*VLOOKUP($A298,Leveranser_per_nät,'Leveranser per nät'!J$1,FALSE)/VLOOKUP($B298,Korrigeringsfaktor_EI,'Korrigeringsfaktor EI'!J$1,FALSE),
"")</f>
        <v>110</v>
      </c>
      <c r="K298" s="18">
        <f>IFERROR(
                  Andel_oberoende_av_klimat*VLOOKUP($A298,Leveranser_per_nät,'Leveranser per nät'!K$1,FALSE)
               +Andel_beroende_av_klimat*VLOOKUP($A298,Leveranser_per_nät,'Leveranser per nät'!K$1,FALSE)/VLOOKUP($B298,Korrigeringsfaktor_EI,'Korrigeringsfaktor EI'!K$1,FALSE),
"")</f>
        <v>110.77588811881189</v>
      </c>
      <c r="L298" s="18">
        <f>IFERROR(
                  Andel_oberoende_av_klimat*VLOOKUP($A298,Leveranser_per_nät,'Leveranser per nät'!L$1,FALSE)
               +Andel_beroende_av_klimat*VLOOKUP($A298,Leveranser_per_nät,'Leveranser per nät'!L$1,FALSE)/VLOOKUP($B298,Korrigeringsfaktor_EI,'Korrigeringsfaktor EI'!L$1,FALSE),
"")</f>
        <v>108.58703711340206</v>
      </c>
      <c r="M298" s="18">
        <f>IFERROR(
                  Andel_oberoende_av_klimat*VLOOKUP($A298,Leveranser_per_nät,'Leveranser per nät'!M$1,FALSE)
               +Andel_beroende_av_klimat*VLOOKUP($A298,Leveranser_per_nät,'Leveranser per nät'!M$1,FALSE)/VLOOKUP($B298,Korrigeringsfaktor_EI,'Korrigeringsfaktor EI'!M$1,FALSE),
"")</f>
        <v>111.42809569892472</v>
      </c>
      <c r="N298" s="18">
        <f>IFERROR(
                  Andel_oberoende_av_klimat*VLOOKUP($A298,Leveranser_per_nät,'Leveranser per nät'!N$1,FALSE)
               +Andel_beroende_av_klimat*VLOOKUP($A298,Leveranser_per_nät,'Leveranser per nät'!N$1,FALSE)/VLOOKUP($B298,Korrigeringsfaktor_EI,'Korrigeringsfaktor EI'!N$1,FALSE),
"")</f>
        <v>112.36412173913043</v>
      </c>
      <c r="O298" s="18">
        <f>IFERROR(
                  Andel_oberoende_av_klimat*VLOOKUP($A298,Leveranser_per_nät,'Leveranser per nät'!O$1,FALSE)
               +Andel_beroende_av_klimat*VLOOKUP($A298,Leveranser_per_nät,'Leveranser per nät'!O$1,FALSE)/VLOOKUP($B298,Korrigeringsfaktor_EI,'Korrigeringsfaktor EI'!O$1,FALSE),
"")</f>
        <v>109.66244615384615</v>
      </c>
      <c r="P298" s="18">
        <f>IFERROR(
                  Andel_oberoende_av_klimat*VLOOKUP($A298,Leveranser_per_nät,'Leveranser per nät'!P$1,FALSE)
               +Andel_beroende_av_klimat*VLOOKUP($A298,Leveranser_per_nät,'Leveranser per nät'!P$1,FALSE)/VLOOKUP($B298,Korrigeringsfaktor_EI,'Korrigeringsfaktor EI'!P$1,FALSE),
"")</f>
        <v>114.42172083333334</v>
      </c>
      <c r="Q298" s="18">
        <f>IFERROR(
                  Andel_oberoende_av_klimat*VLOOKUP($A298,Leveranser_per_nät,'Leveranser per nät'!Q$1,FALSE)
               +Andel_beroende_av_klimat*VLOOKUP($A298,Leveranser_per_nät,'Leveranser per nät'!Q$1,FALSE)/VLOOKUP($B298,Korrigeringsfaktor_EI,'Korrigeringsfaktor EI'!Q$1,FALSE),
"")</f>
        <v>122.578225</v>
      </c>
      <c r="R298" s="18">
        <f>IFERROR(
                  Andel_oberoende_av_klimat*VLOOKUP($A298,Leveranser_per_nät,'Leveranser per nät'!R$1,FALSE)
               +Andel_beroende_av_klimat*VLOOKUP($A298,Leveranser_per_nät,'Leveranser per nät'!R$1,FALSE)/VLOOKUP($B298,Korrigeringsfaktor_EI,'Korrigeringsfaktor EI'!R$1,FALSE),
"")</f>
        <v>116.25326956521738</v>
      </c>
      <c r="S298" s="18">
        <f>IFERROR(
                  Andel_oberoende_av_klimat*VLOOKUP($A298,Leveranser_per_nät,'Leveranser per nät'!S$1,FALSE)
               +Andel_beroende_av_klimat*VLOOKUP($A298,Leveranser_per_nät,'Leveranser per nät'!S$1,FALSE)/VLOOKUP($B298,Korrigeringsfaktor_EI,'Korrigeringsfaktor EI'!S$1,FALSE),
"")</f>
        <v>124.13366336633663</v>
      </c>
      <c r="T298" s="18">
        <f>IFERROR(
                  Andel_oberoende_av_klimat*VLOOKUP($A298,Leveranser_per_nät,'Leveranser per nät'!T$1,FALSE)
               +Andel_beroende_av_klimat*VLOOKUP($A298,Leveranser_per_nät,'Leveranser per nät'!T$1,FALSE)/VLOOKUP($B298,Korrigeringsfaktor_EI,'Korrigeringsfaktor EI'!T$1,FALSE),
"")</f>
        <v>126.38887083333336</v>
      </c>
      <c r="U298" s="18">
        <f>IFERROR(
                  Andel_oberoende_av_klimat*VLOOKUP($A298,Leveranser_per_nät,'Leveranser per nät'!U$1,FALSE)
               +Andel_beroende_av_klimat*VLOOKUP($A298,Leveranser_per_nät,'Leveranser per nät'!U$1,FALSE)/VLOOKUP($B298,Korrigeringsfaktor_EI,'Korrigeringsfaktor EI'!U$1,FALSE),
"")</f>
        <v>123.73886923076923</v>
      </c>
      <c r="V298" s="18">
        <f>IFERROR(
                  Andel_oberoende_av_klimat*VLOOKUP($A298,Leveranser_per_nät,'Leveranser per nät'!V$1,FALSE)
               +Andel_beroende_av_klimat*VLOOKUP($A298,Leveranser_per_nät,'Leveranser per nät'!V$1,FALSE)/VLOOKUP($B298,Korrigeringsfaktor_EI,'Korrigeringsfaktor EI'!V$1,FALSE),
"")</f>
        <v>123.55105555555556</v>
      </c>
      <c r="W298" s="18">
        <f>IFERROR(
                  Andel_oberoende_av_klimat*VLOOKUP($A298,Leveranser_per_nät,'Leveranser per nät'!W$1,FALSE)
               +Andel_beroende_av_klimat*VLOOKUP($A298,Leveranser_per_nät,'Leveranser per nät'!W$1,FALSE)/VLOOKUP($B298,Korrigeringsfaktor_EI,'Korrigeringsfaktor EI'!W$1,FALSE),
"")</f>
        <v>125.6766875</v>
      </c>
      <c r="X298" s="18">
        <f>IFERROR(
                  Andel_oberoende_av_klimat*VLOOKUP($A298,Leveranser_per_nät,'Leveranser per nät'!X$1,FALSE)
               +Andel_beroende_av_klimat*VLOOKUP($A298,Leveranser_per_nät,'Leveranser per nät'!X$1,FALSE)/VLOOKUP($B298,Korrigeringsfaktor_EI,'Korrigeringsfaktor EI'!X$1,FALSE),
"")</f>
        <v>130.14753157894737</v>
      </c>
      <c r="Y298" s="18">
        <f>IFERROR(
                  Andel_oberoende_av_klimat*VLOOKUP($A298,Leveranser_per_nät,'Leveranser per nät'!Y$1,FALSE)
               +Andel_beroende_av_klimat*VLOOKUP($A298,Leveranser_per_nät,'Leveranser per nät'!Y$1,FALSE)/VLOOKUP($B298,Korrigeringsfaktor_EI,'Korrigeringsfaktor EI'!Y$1,FALSE),
"")</f>
        <v>130.45122365591396</v>
      </c>
      <c r="Z298" s="18">
        <f>IFERROR(
                  Andel_oberoende_av_klimat*VLOOKUP($A298,Leveranser_per_nät,'Leveranser per nät'!Z$1,FALSE)
               +Andel_beroende_av_klimat*VLOOKUP($A298,Leveranser_per_nät,'Leveranser per nät'!Z$1,FALSE)/VLOOKUP($B298,Korrigeringsfaktor_EI,'Korrigeringsfaktor EI'!Z$1,FALSE),
"")</f>
        <v>126.73784347826086</v>
      </c>
      <c r="AA298" s="18">
        <f>IFERROR(
                  Andel_oberoende_av_klimat*VLOOKUP($A298,Leveranser_per_nät,'Leveranser per nät'!AA$1,FALSE)
               +Andel_beroende_av_klimat*VLOOKUP($A298,Leveranser_per_nät,'Leveranser per nät'!AA$1,FALSE)/VLOOKUP($B298,Korrigeringsfaktor_EI,'Korrigeringsfaktor EI'!AA$1,FALSE),
"")</f>
        <v>124.54604395318597</v>
      </c>
      <c r="AB298" s="18">
        <f>IFERROR(
                  Andel_oberoende_av_klimat*VLOOKUP($A298,Leveranser_per_nät,'Leveranser per nät'!AB$1,FALSE)
               +Andel_beroende_av_klimat*VLOOKUP($A298,Leveranser_per_nät,'Leveranser per nät'!AB$1,FALSE)/VLOOKUP($B298,Korrigeringsfaktor_EI,'Korrigeringsfaktor EI'!AB$1,FALSE),
"")</f>
        <v>132.37180318725098</v>
      </c>
      <c r="AC298" s="18">
        <f>IFERROR(
                  Andel_oberoende_av_klimat*VLOOKUP($A298,Leveranser_per_nät,'Leveranser per nät'!AC$1,FALSE)
               +Andel_beroende_av_klimat*VLOOKUP($A298,Leveranser_per_nät,'Leveranser per nät'!AC$1,FALSE)/VLOOKUP($B298,Korrigeringsfaktor_EI,'Korrigeringsfaktor EI'!AC$1,FALSE),
"")</f>
        <v>132.66163472803345</v>
      </c>
      <c r="AD298">
        <v>128.52099999999999</v>
      </c>
    </row>
    <row r="299" spans="1:30" x14ac:dyDescent="0.25">
      <c r="A299" t="s">
        <v>258</v>
      </c>
      <c r="B299" t="s">
        <v>539</v>
      </c>
      <c r="C299" s="18">
        <f>IFERROR(
                  Andel_oberoende_av_klimat*VLOOKUP($A299,Leveranser_per_nät,'Leveranser per nät'!C$1,FALSE)
               +Andel_beroende_av_klimat*VLOOKUP($A299,Leveranser_per_nät,'Leveranser per nät'!C$1,FALSE)/VLOOKUP($B299,Korrigeringsfaktor_EI,'Korrigeringsfaktor EI'!C$1,FALSE),
"")</f>
        <v>13.714563106796117</v>
      </c>
      <c r="D299" s="18">
        <f>IFERROR(
                  Andel_oberoende_av_klimat*VLOOKUP($A299,Leveranser_per_nät,'Leveranser per nät'!D$1,FALSE)
               +Andel_beroende_av_klimat*VLOOKUP($A299,Leveranser_per_nät,'Leveranser per nät'!D$1,FALSE)/VLOOKUP($B299,Korrigeringsfaktor_EI,'Korrigeringsfaktor EI'!D$1,FALSE),
"")</f>
        <v>16.274262626262626</v>
      </c>
      <c r="E299" s="18">
        <f>IFERROR(
                  Andel_oberoende_av_klimat*VLOOKUP($A299,Leveranser_per_nät,'Leveranser per nät'!E$1,FALSE)
               +Andel_beroende_av_klimat*VLOOKUP($A299,Leveranser_per_nät,'Leveranser per nät'!E$1,FALSE)/VLOOKUP($B299,Korrigeringsfaktor_EI,'Korrigeringsfaktor EI'!E$1,FALSE),
"")</f>
        <v>25.133333333333333</v>
      </c>
      <c r="F299" s="18">
        <f>IFERROR(
                  Andel_oberoende_av_klimat*VLOOKUP($A299,Leveranser_per_nät,'Leveranser per nät'!F$1,FALSE)
               +Andel_beroende_av_klimat*VLOOKUP($A299,Leveranser_per_nät,'Leveranser per nät'!F$1,FALSE)/VLOOKUP($B299,Korrigeringsfaktor_EI,'Korrigeringsfaktor EI'!F$1,FALSE),
"")</f>
        <v>9</v>
      </c>
      <c r="G299" s="18">
        <f>IFERROR(
                  Andel_oberoende_av_klimat*VLOOKUP($A299,Leveranser_per_nät,'Leveranser per nät'!G$1,FALSE)
               +Andel_beroende_av_klimat*VLOOKUP($A299,Leveranser_per_nät,'Leveranser per nät'!G$1,FALSE)/VLOOKUP($B299,Korrigeringsfaktor_EI,'Korrigeringsfaktor EI'!G$1,FALSE),
"")</f>
        <v>9.4021276595744681</v>
      </c>
      <c r="H299" s="18">
        <f>IFERROR(
                  Andel_oberoende_av_klimat*VLOOKUP($A299,Leveranser_per_nät,'Leveranser per nät'!H$1,FALSE)
               +Andel_beroende_av_klimat*VLOOKUP($A299,Leveranser_per_nät,'Leveranser per nät'!H$1,FALSE)/VLOOKUP($B299,Korrigeringsfaktor_EI,'Korrigeringsfaktor EI'!H$1,FALSE),
"")</f>
        <v>11.550389108910892</v>
      </c>
      <c r="I299" s="18">
        <f>IFERROR(
                  Andel_oberoende_av_klimat*VLOOKUP($A299,Leveranser_per_nät,'Leveranser per nät'!I$1,FALSE)
               +Andel_beroende_av_klimat*VLOOKUP($A299,Leveranser_per_nät,'Leveranser per nät'!I$1,FALSE)/VLOOKUP($B299,Korrigeringsfaktor_EI,'Korrigeringsfaktor EI'!I$1,FALSE),
"")</f>
        <v>11.405263157894737</v>
      </c>
      <c r="J299" s="18">
        <f>IFERROR(
                  Andel_oberoende_av_klimat*VLOOKUP($A299,Leveranser_per_nät,'Leveranser per nät'!J$1,FALSE)
               +Andel_beroende_av_klimat*VLOOKUP($A299,Leveranser_per_nät,'Leveranser per nät'!J$1,FALSE)/VLOOKUP($B299,Korrigeringsfaktor_EI,'Korrigeringsfaktor EI'!J$1,FALSE),
"")</f>
        <v>12.442105263157895</v>
      </c>
      <c r="K299" s="18">
        <f>IFERROR(
                  Andel_oberoende_av_klimat*VLOOKUP($A299,Leveranser_per_nät,'Leveranser per nät'!K$1,FALSE)
               +Andel_beroende_av_klimat*VLOOKUP($A299,Leveranser_per_nät,'Leveranser per nät'!K$1,FALSE)/VLOOKUP($B299,Korrigeringsfaktor_EI,'Korrigeringsfaktor EI'!K$1,FALSE),
"")</f>
        <v>12.305314285714285</v>
      </c>
      <c r="L299" s="18">
        <f>IFERROR(
                  Andel_oberoende_av_klimat*VLOOKUP($A299,Leveranser_per_nät,'Leveranser per nät'!L$1,FALSE)
               +Andel_beroende_av_klimat*VLOOKUP($A299,Leveranser_per_nät,'Leveranser per nät'!L$1,FALSE)/VLOOKUP($B299,Korrigeringsfaktor_EI,'Korrigeringsfaktor EI'!L$1,FALSE),
"")</f>
        <v>12.737062340425531</v>
      </c>
      <c r="M299" s="18">
        <f>IFERROR(
                  Andel_oberoende_av_klimat*VLOOKUP($A299,Leveranser_per_nät,'Leveranser per nät'!M$1,FALSE)
               +Andel_beroende_av_klimat*VLOOKUP($A299,Leveranser_per_nät,'Leveranser per nät'!M$1,FALSE)/VLOOKUP($B299,Korrigeringsfaktor_EI,'Korrigeringsfaktor EI'!M$1,FALSE),
"")</f>
        <v>13.555707692307692</v>
      </c>
      <c r="N299" s="18">
        <f>IFERROR(
                  Andel_oberoende_av_klimat*VLOOKUP($A299,Leveranser_per_nät,'Leveranser per nät'!N$1,FALSE)
               +Andel_beroende_av_klimat*VLOOKUP($A299,Leveranser_per_nät,'Leveranser per nät'!N$1,FALSE)/VLOOKUP($B299,Korrigeringsfaktor_EI,'Korrigeringsfaktor EI'!N$1,FALSE),
"")</f>
        <v>13.792921276595745</v>
      </c>
      <c r="O299" s="18">
        <f>IFERROR(
                  Andel_oberoende_av_klimat*VLOOKUP($A299,Leveranser_per_nät,'Leveranser per nät'!O$1,FALSE)
               +Andel_beroende_av_klimat*VLOOKUP($A299,Leveranser_per_nät,'Leveranser per nät'!O$1,FALSE)/VLOOKUP($B299,Korrigeringsfaktor_EI,'Korrigeringsfaktor EI'!O$1,FALSE),
"")</f>
        <v>14.474315789473685</v>
      </c>
      <c r="P299" s="18">
        <f>IFERROR(
                  Andel_oberoende_av_klimat*VLOOKUP($A299,Leveranser_per_nät,'Leveranser per nät'!P$1,FALSE)
               +Andel_beroende_av_klimat*VLOOKUP($A299,Leveranser_per_nät,'Leveranser per nät'!P$1,FALSE)/VLOOKUP($B299,Korrigeringsfaktor_EI,'Korrigeringsfaktor EI'!P$1,FALSE),
"")</f>
        <v>13.614757142857144</v>
      </c>
      <c r="Q299" s="18">
        <f>IFERROR(
                  Andel_oberoende_av_klimat*VLOOKUP($A299,Leveranser_per_nät,'Leveranser per nät'!Q$1,FALSE)
               +Andel_beroende_av_klimat*VLOOKUP($A299,Leveranser_per_nät,'Leveranser per nät'!Q$1,FALSE)/VLOOKUP($B299,Korrigeringsfaktor_EI,'Korrigeringsfaktor EI'!Q$1,FALSE),
"")</f>
        <v>13.280633644859812</v>
      </c>
      <c r="R299" s="18">
        <f>IFERROR(
                  Andel_oberoende_av_klimat*VLOOKUP($A299,Leveranser_per_nät,'Leveranser per nät'!R$1,FALSE)
               +Andel_beroende_av_klimat*VLOOKUP($A299,Leveranser_per_nät,'Leveranser per nät'!R$1,FALSE)/VLOOKUP($B299,Korrigeringsfaktor_EI,'Korrigeringsfaktor EI'!R$1,FALSE),
"")</f>
        <v>12.734538461538461</v>
      </c>
      <c r="S299" s="18">
        <f>IFERROR(
                  Andel_oberoende_av_klimat*VLOOKUP($A299,Leveranser_per_nät,'Leveranser per nät'!S$1,FALSE)
               +Andel_beroende_av_klimat*VLOOKUP($A299,Leveranser_per_nät,'Leveranser per nät'!S$1,FALSE)/VLOOKUP($B299,Korrigeringsfaktor_EI,'Korrigeringsfaktor EI'!S$1,FALSE),
"")</f>
        <v>13.393607843137257</v>
      </c>
      <c r="T299" s="18">
        <f>IFERROR(
                  Andel_oberoende_av_klimat*VLOOKUP($A299,Leveranser_per_nät,'Leveranser per nät'!T$1,FALSE)
               +Andel_beroende_av_klimat*VLOOKUP($A299,Leveranser_per_nät,'Leveranser per nät'!T$1,FALSE)/VLOOKUP($B299,Korrigeringsfaktor_EI,'Korrigeringsfaktor EI'!T$1,FALSE),
"")</f>
        <v>13.052280645161289</v>
      </c>
      <c r="U299" s="18">
        <f>IFERROR(
                  Andel_oberoende_av_klimat*VLOOKUP($A299,Leveranser_per_nät,'Leveranser per nät'!U$1,FALSE)
               +Andel_beroende_av_klimat*VLOOKUP($A299,Leveranser_per_nät,'Leveranser per nät'!U$1,FALSE)/VLOOKUP($B299,Korrigeringsfaktor_EI,'Korrigeringsfaktor EI'!U$1,FALSE),
"")</f>
        <v>12.991153846153846</v>
      </c>
      <c r="V299" s="18">
        <f>IFERROR(
                  Andel_oberoende_av_klimat*VLOOKUP($A299,Leveranser_per_nät,'Leveranser per nät'!V$1,FALSE)
               +Andel_beroende_av_klimat*VLOOKUP($A299,Leveranser_per_nät,'Leveranser per nät'!V$1,FALSE)/VLOOKUP($B299,Korrigeringsfaktor_EI,'Korrigeringsfaktor EI'!V$1,FALSE),
"")</f>
        <v>12.486434782608695</v>
      </c>
      <c r="W299" s="18">
        <f>IFERROR(
                  Andel_oberoende_av_klimat*VLOOKUP($A299,Leveranser_per_nät,'Leveranser per nät'!W$1,FALSE)
               +Andel_beroende_av_klimat*VLOOKUP($A299,Leveranser_per_nät,'Leveranser per nät'!W$1,FALSE)/VLOOKUP($B299,Korrigeringsfaktor_EI,'Korrigeringsfaktor EI'!W$1,FALSE),
"")</f>
        <v>12.535639175257732</v>
      </c>
      <c r="X299" s="18">
        <f>IFERROR(
                  Andel_oberoende_av_klimat*VLOOKUP($A299,Leveranser_per_nät,'Leveranser per nät'!X$1,FALSE)
               +Andel_beroende_av_klimat*VLOOKUP($A299,Leveranser_per_nät,'Leveranser per nät'!X$1,FALSE)/VLOOKUP($B299,Korrigeringsfaktor_EI,'Korrigeringsfaktor EI'!X$1,FALSE),
"")</f>
        <v>13.283262626262626</v>
      </c>
      <c r="Y299" s="18">
        <f>IFERROR(
                  Andel_oberoende_av_klimat*VLOOKUP($A299,Leveranser_per_nät,'Leveranser per nät'!Y$1,FALSE)
               +Andel_beroende_av_klimat*VLOOKUP($A299,Leveranser_per_nät,'Leveranser per nät'!Y$1,FALSE)/VLOOKUP($B299,Korrigeringsfaktor_EI,'Korrigeringsfaktor EI'!Y$1,FALSE),
"")</f>
        <v>13.553095833333334</v>
      </c>
      <c r="Z299" s="18">
        <f>IFERROR(
                  Andel_oberoende_av_klimat*VLOOKUP($A299,Leveranser_per_nät,'Leveranser per nät'!Z$1,FALSE)
               +Andel_beroende_av_klimat*VLOOKUP($A299,Leveranser_per_nät,'Leveranser per nät'!Z$1,FALSE)/VLOOKUP($B299,Korrigeringsfaktor_EI,'Korrigeringsfaktor EI'!Z$1,FALSE),
"")</f>
        <v>13.88750505050505</v>
      </c>
      <c r="AA299" s="18">
        <f>IFERROR(
                  Andel_oberoende_av_klimat*VLOOKUP($A299,Leveranser_per_nät,'Leveranser per nät'!AA$1,FALSE)
               +Andel_beroende_av_klimat*VLOOKUP($A299,Leveranser_per_nät,'Leveranser per nät'!AA$1,FALSE)/VLOOKUP($B299,Korrigeringsfaktor_EI,'Korrigeringsfaktor EI'!AA$1,FALSE),
"")</f>
        <v>13.722823011015912</v>
      </c>
      <c r="AB299" s="18">
        <f>IFERROR(
                  Andel_oberoende_av_klimat*VLOOKUP($A299,Leveranser_per_nät,'Leveranser per nät'!AB$1,FALSE)
               +Andel_beroende_av_klimat*VLOOKUP($A299,Leveranser_per_nät,'Leveranser per nät'!AB$1,FALSE)/VLOOKUP($B299,Korrigeringsfaktor_EI,'Korrigeringsfaktor EI'!AB$1,FALSE),
"")</f>
        <v>14.110240147492625</v>
      </c>
      <c r="AC299" s="18">
        <f>IFERROR(
                  Andel_oberoende_av_klimat*VLOOKUP($A299,Leveranser_per_nät,'Leveranser per nät'!AC$1,FALSE)
               +Andel_beroende_av_klimat*VLOOKUP($A299,Leveranser_per_nät,'Leveranser per nät'!AC$1,FALSE)/VLOOKUP($B299,Korrigeringsfaktor_EI,'Korrigeringsfaktor EI'!AC$1,FALSE),
"")</f>
        <v>14.03960410041841</v>
      </c>
      <c r="AD299" t="e">
        <v>#N/A</v>
      </c>
    </row>
    <row r="300" spans="1:30" x14ac:dyDescent="0.25">
      <c r="A300" t="s">
        <v>409</v>
      </c>
      <c r="B300" t="s">
        <v>0</v>
      </c>
      <c r="C300" s="18">
        <f>IFERROR(
                  Andel_oberoende_av_klimat*VLOOKUP($A300,Leveranser_per_nät,'Leveranser per nät'!C$1,FALSE)
               +Andel_beroende_av_klimat*VLOOKUP($A300,Leveranser_per_nät,'Leveranser per nät'!C$1,FALSE)/VLOOKUP($B300,Korrigeringsfaktor_EI,'Korrigeringsfaktor EI'!C$1,FALSE),
"")</f>
        <v>0</v>
      </c>
      <c r="D300" s="18">
        <f>IFERROR(
                  Andel_oberoende_av_klimat*VLOOKUP($A300,Leveranser_per_nät,'Leveranser per nät'!D$1,FALSE)
               +Andel_beroende_av_klimat*VLOOKUP($A300,Leveranser_per_nät,'Leveranser per nät'!D$1,FALSE)/VLOOKUP($B300,Korrigeringsfaktor_EI,'Korrigeringsfaktor EI'!D$1,FALSE),
"")</f>
        <v>0</v>
      </c>
      <c r="E300" s="18">
        <f>IFERROR(
                  Andel_oberoende_av_klimat*VLOOKUP($A300,Leveranser_per_nät,'Leveranser per nät'!E$1,FALSE)
               +Andel_beroende_av_klimat*VLOOKUP($A300,Leveranser_per_nät,'Leveranser per nät'!E$1,FALSE)/VLOOKUP($B300,Korrigeringsfaktor_EI,'Korrigeringsfaktor EI'!E$1,FALSE),
"")</f>
        <v>0</v>
      </c>
      <c r="F300" s="18">
        <f>IFERROR(
                  Andel_oberoende_av_klimat*VLOOKUP($A300,Leveranser_per_nät,'Leveranser per nät'!F$1,FALSE)
               +Andel_beroende_av_klimat*VLOOKUP($A300,Leveranser_per_nät,'Leveranser per nät'!F$1,FALSE)/VLOOKUP($B300,Korrigeringsfaktor_EI,'Korrigeringsfaktor EI'!F$1,FALSE),
"")</f>
        <v>6.3899999999999988</v>
      </c>
      <c r="G300" s="18">
        <f>IFERROR(
                  Andel_oberoende_av_klimat*VLOOKUP($A300,Leveranser_per_nät,'Leveranser per nät'!G$1,FALSE)
               +Andel_beroende_av_klimat*VLOOKUP($A300,Leveranser_per_nät,'Leveranser per nät'!G$1,FALSE)/VLOOKUP($B300,Korrigeringsfaktor_EI,'Korrigeringsfaktor EI'!G$1,FALSE),
"")</f>
        <v>6.8450561797752805</v>
      </c>
      <c r="H300" s="18">
        <f>IFERROR(
                  Andel_oberoende_av_klimat*VLOOKUP($A300,Leveranser_per_nät,'Leveranser per nät'!H$1,FALSE)
               +Andel_beroende_av_klimat*VLOOKUP($A300,Leveranser_per_nät,'Leveranser per nät'!H$1,FALSE)/VLOOKUP($B300,Korrigeringsfaktor_EI,'Korrigeringsfaktor EI'!H$1,FALSE),
"")</f>
        <v>0</v>
      </c>
      <c r="I300" s="18">
        <f>IFERROR(
                  Andel_oberoende_av_klimat*VLOOKUP($A300,Leveranser_per_nät,'Leveranser per nät'!I$1,FALSE)
               +Andel_beroende_av_klimat*VLOOKUP($A300,Leveranser_per_nät,'Leveranser per nät'!I$1,FALSE)/VLOOKUP($B300,Korrigeringsfaktor_EI,'Korrigeringsfaktor EI'!I$1,FALSE),
"")</f>
        <v>0</v>
      </c>
      <c r="J300" s="18">
        <f>IFERROR(
                  Andel_oberoende_av_klimat*VLOOKUP($A300,Leveranser_per_nät,'Leveranser per nät'!J$1,FALSE)
               +Andel_beroende_av_klimat*VLOOKUP($A300,Leveranser_per_nät,'Leveranser per nät'!J$1,FALSE)/VLOOKUP($B300,Korrigeringsfaktor_EI,'Korrigeringsfaktor EI'!J$1,FALSE),
"")</f>
        <v>0</v>
      </c>
      <c r="K300" s="18">
        <f>IFERROR(
                  Andel_oberoende_av_klimat*VLOOKUP($A300,Leveranser_per_nät,'Leveranser per nät'!K$1,FALSE)
               +Andel_beroende_av_klimat*VLOOKUP($A300,Leveranser_per_nät,'Leveranser per nät'!K$1,FALSE)/VLOOKUP($B300,Korrigeringsfaktor_EI,'Korrigeringsfaktor EI'!K$1,FALSE),
"")</f>
        <v>0</v>
      </c>
      <c r="L300" s="18">
        <f>IFERROR(
                  Andel_oberoende_av_klimat*VLOOKUP($A300,Leveranser_per_nät,'Leveranser per nät'!L$1,FALSE)
               +Andel_beroende_av_klimat*VLOOKUP($A300,Leveranser_per_nät,'Leveranser per nät'!L$1,FALSE)/VLOOKUP($B300,Korrigeringsfaktor_EI,'Korrigeringsfaktor EI'!L$1,FALSE),
"")</f>
        <v>0</v>
      </c>
      <c r="M300" s="18">
        <f>IFERROR(
                  Andel_oberoende_av_klimat*VLOOKUP($A300,Leveranser_per_nät,'Leveranser per nät'!M$1,FALSE)
               +Andel_beroende_av_klimat*VLOOKUP($A300,Leveranser_per_nät,'Leveranser per nät'!M$1,FALSE)/VLOOKUP($B300,Korrigeringsfaktor_EI,'Korrigeringsfaktor EI'!M$1,FALSE),
"")</f>
        <v>0</v>
      </c>
      <c r="N300" s="18">
        <f>IFERROR(
                  Andel_oberoende_av_klimat*VLOOKUP($A300,Leveranser_per_nät,'Leveranser per nät'!N$1,FALSE)
               +Andel_beroende_av_klimat*VLOOKUP($A300,Leveranser_per_nät,'Leveranser per nät'!N$1,FALSE)/VLOOKUP($B300,Korrigeringsfaktor_EI,'Korrigeringsfaktor EI'!N$1,FALSE),
"")</f>
        <v>0</v>
      </c>
      <c r="O300" s="18">
        <f>IFERROR(
                  Andel_oberoende_av_klimat*VLOOKUP($A300,Leveranser_per_nät,'Leveranser per nät'!O$1,FALSE)
               +Andel_beroende_av_klimat*VLOOKUP($A300,Leveranser_per_nät,'Leveranser per nät'!O$1,FALSE)/VLOOKUP($B300,Korrigeringsfaktor_EI,'Korrigeringsfaktor EI'!O$1,FALSE),
"")</f>
        <v>0</v>
      </c>
      <c r="P300" s="18">
        <f>IFERROR(
                  Andel_oberoende_av_klimat*VLOOKUP($A300,Leveranser_per_nät,'Leveranser per nät'!P$1,FALSE)
               +Andel_beroende_av_klimat*VLOOKUP($A300,Leveranser_per_nät,'Leveranser per nät'!P$1,FALSE)/VLOOKUP($B300,Korrigeringsfaktor_EI,'Korrigeringsfaktor EI'!P$1,FALSE),
"")</f>
        <v>0</v>
      </c>
      <c r="Q300" s="18">
        <f>IFERROR(
                  Andel_oberoende_av_klimat*VLOOKUP($A300,Leveranser_per_nät,'Leveranser per nät'!Q$1,FALSE)
               +Andel_beroende_av_klimat*VLOOKUP($A300,Leveranser_per_nät,'Leveranser per nät'!Q$1,FALSE)/VLOOKUP($B300,Korrigeringsfaktor_EI,'Korrigeringsfaktor EI'!Q$1,FALSE),
"")</f>
        <v>0</v>
      </c>
      <c r="R300" s="18">
        <f>IFERROR(
                  Andel_oberoende_av_klimat*VLOOKUP($A300,Leveranser_per_nät,'Leveranser per nät'!R$1,FALSE)
               +Andel_beroende_av_klimat*VLOOKUP($A300,Leveranser_per_nät,'Leveranser per nät'!R$1,FALSE)/VLOOKUP($B300,Korrigeringsfaktor_EI,'Korrigeringsfaktor EI'!R$1,FALSE),
"")</f>
        <v>0</v>
      </c>
      <c r="S300" s="18" t="str">
        <f>IFERROR(
                  Andel_oberoende_av_klimat*VLOOKUP($A300,Leveranser_per_nät,'Leveranser per nät'!S$1,FALSE)
               +Andel_beroende_av_klimat*VLOOKUP($A300,Leveranser_per_nät,'Leveranser per nät'!S$1,FALSE)/VLOOKUP($B300,Korrigeringsfaktor_EI,'Korrigeringsfaktor EI'!S$1,FALSE),
"")</f>
        <v/>
      </c>
      <c r="T300" s="18" t="str">
        <f>IFERROR(
                  Andel_oberoende_av_klimat*VLOOKUP($A300,Leveranser_per_nät,'Leveranser per nät'!T$1,FALSE)
               +Andel_beroende_av_klimat*VLOOKUP($A300,Leveranser_per_nät,'Leveranser per nät'!T$1,FALSE)/VLOOKUP($B300,Korrigeringsfaktor_EI,'Korrigeringsfaktor EI'!T$1,FALSE),
"")</f>
        <v/>
      </c>
      <c r="U300" s="18" t="str">
        <f>IFERROR(
                  Andel_oberoende_av_klimat*VLOOKUP($A300,Leveranser_per_nät,'Leveranser per nät'!U$1,FALSE)
               +Andel_beroende_av_klimat*VLOOKUP($A300,Leveranser_per_nät,'Leveranser per nät'!U$1,FALSE)/VLOOKUP($B300,Korrigeringsfaktor_EI,'Korrigeringsfaktor EI'!U$1,FALSE),
"")</f>
        <v/>
      </c>
      <c r="V300" s="18" t="str">
        <f>IFERROR(
                  Andel_oberoende_av_klimat*VLOOKUP($A300,Leveranser_per_nät,'Leveranser per nät'!V$1,FALSE)
               +Andel_beroende_av_klimat*VLOOKUP($A300,Leveranser_per_nät,'Leveranser per nät'!V$1,FALSE)/VLOOKUP($B300,Korrigeringsfaktor_EI,'Korrigeringsfaktor EI'!V$1,FALSE),
"")</f>
        <v/>
      </c>
      <c r="W300" s="18" t="str">
        <f>IFERROR(
                  Andel_oberoende_av_klimat*VLOOKUP($A300,Leveranser_per_nät,'Leveranser per nät'!W$1,FALSE)
               +Andel_beroende_av_klimat*VLOOKUP($A300,Leveranser_per_nät,'Leveranser per nät'!W$1,FALSE)/VLOOKUP($B300,Korrigeringsfaktor_EI,'Korrigeringsfaktor EI'!W$1,FALSE),
"")</f>
        <v/>
      </c>
      <c r="X300" s="18" t="str">
        <f>IFERROR(
                  Andel_oberoende_av_klimat*VLOOKUP($A300,Leveranser_per_nät,'Leveranser per nät'!X$1,FALSE)
               +Andel_beroende_av_klimat*VLOOKUP($A300,Leveranser_per_nät,'Leveranser per nät'!X$1,FALSE)/VLOOKUP($B300,Korrigeringsfaktor_EI,'Korrigeringsfaktor EI'!X$1,FALSE),
"")</f>
        <v/>
      </c>
      <c r="Y300" s="18" t="str">
        <f>IFERROR(
                  Andel_oberoende_av_klimat*VLOOKUP($A300,Leveranser_per_nät,'Leveranser per nät'!Y$1,FALSE)
               +Andel_beroende_av_klimat*VLOOKUP($A300,Leveranser_per_nät,'Leveranser per nät'!Y$1,FALSE)/VLOOKUP($B300,Korrigeringsfaktor_EI,'Korrigeringsfaktor EI'!Y$1,FALSE),
"")</f>
        <v/>
      </c>
      <c r="Z300" s="18">
        <f>IFERROR(
                  Andel_oberoende_av_klimat*VLOOKUP($A300,Leveranser_per_nät,'Leveranser per nät'!Z$1,FALSE)
               +Andel_beroende_av_klimat*VLOOKUP($A300,Leveranser_per_nät,'Leveranser per nät'!Z$1,FALSE)/VLOOKUP($B300,Korrigeringsfaktor_EI,'Korrigeringsfaktor EI'!Z$1,FALSE),
"")</f>
        <v>0</v>
      </c>
      <c r="AA300" s="18" t="str">
        <f>IFERROR(
                  Andel_oberoende_av_klimat*VLOOKUP($A300,Leveranser_per_nät,'Leveranser per nät'!AA$1,FALSE)
               +Andel_beroende_av_klimat*VLOOKUP($A300,Leveranser_per_nät,'Leveranser per nät'!AA$1,FALSE)/VLOOKUP($B300,Korrigeringsfaktor_EI,'Korrigeringsfaktor EI'!AA$1,FALSE),
"")</f>
        <v/>
      </c>
      <c r="AB300" s="18">
        <f>IFERROR(
                  Andel_oberoende_av_klimat*VLOOKUP($A300,Leveranser_per_nät,'Leveranser per nät'!AB$1,FALSE)
               +Andel_beroende_av_klimat*VLOOKUP($A300,Leveranser_per_nät,'Leveranser per nät'!AB$1,FALSE)/VLOOKUP($B300,Korrigeringsfaktor_EI,'Korrigeringsfaktor EI'!AB$1,FALSE),
"")</f>
        <v>0</v>
      </c>
      <c r="AC300" s="18">
        <f>IFERROR(
                  Andel_oberoende_av_klimat*VLOOKUP($A300,Leveranser_per_nät,'Leveranser per nät'!AC$1,FALSE)
               +Andel_beroende_av_klimat*VLOOKUP($A300,Leveranser_per_nät,'Leveranser per nät'!AC$1,FALSE)/VLOOKUP($B300,Korrigeringsfaktor_EI,'Korrigeringsfaktor EI'!AC$1,FALSE),
"")</f>
        <v>0</v>
      </c>
      <c r="AD300">
        <v>240.09800000000001</v>
      </c>
    </row>
    <row r="301" spans="1:30" x14ac:dyDescent="0.25">
      <c r="A301" t="s">
        <v>163</v>
      </c>
      <c r="B301" t="s">
        <v>163</v>
      </c>
      <c r="C301" s="18">
        <f>IFERROR(
                  Andel_oberoende_av_klimat*VLOOKUP($A301,Leveranser_per_nät,'Leveranser per nät'!C$1,FALSE)
               +Andel_beroende_av_klimat*VLOOKUP($A301,Leveranser_per_nät,'Leveranser per nät'!C$1,FALSE)/VLOOKUP($B301,Korrigeringsfaktor_EI,'Korrigeringsfaktor EI'!C$1,FALSE),
"")</f>
        <v>49.357894736842105</v>
      </c>
      <c r="D301" s="18">
        <f>IFERROR(
                  Andel_oberoende_av_klimat*VLOOKUP($A301,Leveranser_per_nät,'Leveranser per nät'!D$1,FALSE)
               +Andel_beroende_av_klimat*VLOOKUP($A301,Leveranser_per_nät,'Leveranser per nät'!D$1,FALSE)/VLOOKUP($B301,Korrigeringsfaktor_EI,'Korrigeringsfaktor EI'!D$1,FALSE),
"")</f>
        <v>47.686372549019609</v>
      </c>
      <c r="E301" s="18">
        <f>IFERROR(
                  Andel_oberoende_av_klimat*VLOOKUP($A301,Leveranser_per_nät,'Leveranser per nät'!E$1,FALSE)
               +Andel_beroende_av_klimat*VLOOKUP($A301,Leveranser_per_nät,'Leveranser per nät'!E$1,FALSE)/VLOOKUP($B301,Korrigeringsfaktor_EI,'Korrigeringsfaktor EI'!E$1,FALSE),
"")</f>
        <v>46.707692307692298</v>
      </c>
      <c r="F301" s="18">
        <f>IFERROR(
                  Andel_oberoende_av_klimat*VLOOKUP($A301,Leveranser_per_nät,'Leveranser per nät'!F$1,FALSE)
               +Andel_beroende_av_klimat*VLOOKUP($A301,Leveranser_per_nät,'Leveranser per nät'!F$1,FALSE)/VLOOKUP($B301,Korrigeringsfaktor_EI,'Korrigeringsfaktor EI'!F$1,FALSE),
"")</f>
        <v>49.7</v>
      </c>
      <c r="G301" s="18">
        <f>IFERROR(
                  Andel_oberoende_av_klimat*VLOOKUP($A301,Leveranser_per_nät,'Leveranser per nät'!G$1,FALSE)
               +Andel_beroende_av_klimat*VLOOKUP($A301,Leveranser_per_nät,'Leveranser per nät'!G$1,FALSE)/VLOOKUP($B301,Korrigeringsfaktor_EI,'Korrigeringsfaktor EI'!G$1,FALSE),
"")</f>
        <v>50.253846153846155</v>
      </c>
      <c r="H301" s="18">
        <f>IFERROR(
                  Andel_oberoende_av_klimat*VLOOKUP($A301,Leveranser_per_nät,'Leveranser per nät'!H$1,FALSE)
               +Andel_beroende_av_klimat*VLOOKUP($A301,Leveranser_per_nät,'Leveranser per nät'!H$1,FALSE)/VLOOKUP($B301,Korrigeringsfaktor_EI,'Korrigeringsfaktor EI'!H$1,FALSE),
"")</f>
        <v>55.388888888888886</v>
      </c>
      <c r="I301" s="18">
        <f>IFERROR(
                  Andel_oberoende_av_klimat*VLOOKUP($A301,Leveranser_per_nät,'Leveranser per nät'!I$1,FALSE)
               +Andel_beroende_av_klimat*VLOOKUP($A301,Leveranser_per_nät,'Leveranser per nät'!I$1,FALSE)/VLOOKUP($B301,Korrigeringsfaktor_EI,'Korrigeringsfaktor EI'!I$1,FALSE),
"")</f>
        <v>59.5468085106383</v>
      </c>
      <c r="J301" s="18">
        <f>IFERROR(
                  Andel_oberoende_av_klimat*VLOOKUP($A301,Leveranser_per_nät,'Leveranser per nät'!J$1,FALSE)
               +Andel_beroende_av_klimat*VLOOKUP($A301,Leveranser_per_nät,'Leveranser per nät'!J$1,FALSE)/VLOOKUP($B301,Korrigeringsfaktor_EI,'Korrigeringsfaktor EI'!J$1,FALSE),
"")</f>
        <v>55.388888888888886</v>
      </c>
      <c r="K301" s="18">
        <f>IFERROR(
                  Andel_oberoende_av_klimat*VLOOKUP($A301,Leveranser_per_nät,'Leveranser per nät'!K$1,FALSE)
               +Andel_beroende_av_klimat*VLOOKUP($A301,Leveranser_per_nät,'Leveranser per nät'!K$1,FALSE)/VLOOKUP($B301,Korrigeringsfaktor_EI,'Korrigeringsfaktor EI'!K$1,FALSE),
"")</f>
        <v>70.957999999999998</v>
      </c>
      <c r="L301" s="18">
        <f>IFERROR(
                  Andel_oberoende_av_klimat*VLOOKUP($A301,Leveranser_per_nät,'Leveranser per nät'!L$1,FALSE)
               +Andel_beroende_av_klimat*VLOOKUP($A301,Leveranser_per_nät,'Leveranser per nät'!L$1,FALSE)/VLOOKUP($B301,Korrigeringsfaktor_EI,'Korrigeringsfaktor EI'!L$1,FALSE),
"")</f>
        <v>80.350133863084636</v>
      </c>
      <c r="M301" s="18">
        <f>IFERROR(
                  Andel_oberoende_av_klimat*VLOOKUP($A301,Leveranser_per_nät,'Leveranser per nät'!M$1,FALSE)
               +Andel_beroende_av_klimat*VLOOKUP($A301,Leveranser_per_nät,'Leveranser per nät'!M$1,FALSE)/VLOOKUP($B301,Korrigeringsfaktor_EI,'Korrigeringsfaktor EI'!M$1,FALSE),
"")</f>
        <v>79.504391489361694</v>
      </c>
      <c r="N301" s="18">
        <f>IFERROR(
                  Andel_oberoende_av_klimat*VLOOKUP($A301,Leveranser_per_nät,'Leveranser per nät'!N$1,FALSE)
               +Andel_beroende_av_klimat*VLOOKUP($A301,Leveranser_per_nät,'Leveranser per nät'!N$1,FALSE)/VLOOKUP($B301,Korrigeringsfaktor_EI,'Korrigeringsfaktor EI'!N$1,FALSE),
"")</f>
        <v>94.735652173913039</v>
      </c>
      <c r="O301" s="18">
        <f>IFERROR(
                  Andel_oberoende_av_klimat*VLOOKUP($A301,Leveranser_per_nät,'Leveranser per nät'!O$1,FALSE)
               +Andel_beroende_av_klimat*VLOOKUP($A301,Leveranser_per_nät,'Leveranser per nät'!O$1,FALSE)/VLOOKUP($B301,Korrigeringsfaktor_EI,'Korrigeringsfaktor EI'!O$1,FALSE),
"")</f>
        <v>84.565095652173909</v>
      </c>
      <c r="P301" s="18">
        <f>IFERROR(
                  Andel_oberoende_av_klimat*VLOOKUP($A301,Leveranser_per_nät,'Leveranser per nät'!P$1,FALSE)
               +Andel_beroende_av_klimat*VLOOKUP($A301,Leveranser_per_nät,'Leveranser per nät'!P$1,FALSE)/VLOOKUP($B301,Korrigeringsfaktor_EI,'Korrigeringsfaktor EI'!P$1,FALSE),
"")</f>
        <v>89.257142857142867</v>
      </c>
      <c r="Q301" s="18">
        <f>IFERROR(
                  Andel_oberoende_av_klimat*VLOOKUP($A301,Leveranser_per_nät,'Leveranser per nät'!Q$1,FALSE)
               +Andel_beroende_av_klimat*VLOOKUP($A301,Leveranser_per_nät,'Leveranser per nät'!Q$1,FALSE)/VLOOKUP($B301,Korrigeringsfaktor_EI,'Korrigeringsfaktor EI'!Q$1,FALSE),
"")</f>
        <v>133.19999999999999</v>
      </c>
      <c r="R301" s="18">
        <f>IFERROR(
                  Andel_oberoende_av_klimat*VLOOKUP($A301,Leveranser_per_nät,'Leveranser per nät'!R$1,FALSE)
               +Andel_beroende_av_klimat*VLOOKUP($A301,Leveranser_per_nät,'Leveranser per nät'!R$1,FALSE)/VLOOKUP($B301,Korrigeringsfaktor_EI,'Korrigeringsfaktor EI'!R$1,FALSE),
"")</f>
        <v>130.00698924731182</v>
      </c>
      <c r="S301" s="18">
        <f>IFERROR(
                  Andel_oberoende_av_klimat*VLOOKUP($A301,Leveranser_per_nät,'Leveranser per nät'!S$1,FALSE)
               +Andel_beroende_av_klimat*VLOOKUP($A301,Leveranser_per_nät,'Leveranser per nät'!S$1,FALSE)/VLOOKUP($B301,Korrigeringsfaktor_EI,'Korrigeringsfaktor EI'!S$1,FALSE),
"")</f>
        <v>92.355445544554456</v>
      </c>
      <c r="T301" s="18">
        <f>IFERROR(
                  Andel_oberoende_av_klimat*VLOOKUP($A301,Leveranser_per_nät,'Leveranser per nät'!T$1,FALSE)
               +Andel_beroende_av_klimat*VLOOKUP($A301,Leveranser_per_nät,'Leveranser per nät'!T$1,FALSE)/VLOOKUP($B301,Korrigeringsfaktor_EI,'Korrigeringsfaktor EI'!T$1,FALSE),
"")</f>
        <v>134.37344444444446</v>
      </c>
      <c r="U301" s="18">
        <f>IFERROR(
                  Andel_oberoende_av_klimat*VLOOKUP($A301,Leveranser_per_nät,'Leveranser per nät'!U$1,FALSE)
               +Andel_beroende_av_klimat*VLOOKUP($A301,Leveranser_per_nät,'Leveranser per nät'!U$1,FALSE)/VLOOKUP($B301,Korrigeringsfaktor_EI,'Korrigeringsfaktor EI'!U$1,FALSE),
"")</f>
        <v>130.70797752808988</v>
      </c>
      <c r="V301" s="18">
        <f>IFERROR(
                  Andel_oberoende_av_klimat*VLOOKUP($A301,Leveranser_per_nät,'Leveranser per nät'!V$1,FALSE)
               +Andel_beroende_av_klimat*VLOOKUP($A301,Leveranser_per_nät,'Leveranser per nät'!V$1,FALSE)/VLOOKUP($B301,Korrigeringsfaktor_EI,'Korrigeringsfaktor EI'!V$1,FALSE),
"")</f>
        <v>140.64999999999998</v>
      </c>
      <c r="W301" s="18">
        <f>IFERROR(
                  Andel_oberoende_av_klimat*VLOOKUP($A301,Leveranser_per_nät,'Leveranser per nät'!W$1,FALSE)
               +Andel_beroende_av_klimat*VLOOKUP($A301,Leveranser_per_nät,'Leveranser per nät'!W$1,FALSE)/VLOOKUP($B301,Korrigeringsfaktor_EI,'Korrigeringsfaktor EI'!W$1,FALSE),
"")</f>
        <v>154.07473684210527</v>
      </c>
      <c r="X301" s="18">
        <f>IFERROR(
                  Andel_oberoende_av_klimat*VLOOKUP($A301,Leveranser_per_nät,'Leveranser per nät'!X$1,FALSE)
               +Andel_beroende_av_klimat*VLOOKUP($A301,Leveranser_per_nät,'Leveranser per nät'!X$1,FALSE)/VLOOKUP($B301,Korrigeringsfaktor_EI,'Korrigeringsfaktor EI'!X$1,FALSE),
"")</f>
        <v>148.4290322580645</v>
      </c>
      <c r="Y301" s="18">
        <f>IFERROR(
                  Andel_oberoende_av_klimat*VLOOKUP($A301,Leveranser_per_nät,'Leveranser per nät'!Y$1,FALSE)
               +Andel_beroende_av_klimat*VLOOKUP($A301,Leveranser_per_nät,'Leveranser per nät'!Y$1,FALSE)/VLOOKUP($B301,Korrigeringsfaktor_EI,'Korrigeringsfaktor EI'!Y$1,FALSE),
"")</f>
        <v>155.19999999999999</v>
      </c>
      <c r="Z301" s="18">
        <f>IFERROR(
                  Andel_oberoende_av_klimat*VLOOKUP($A301,Leveranser_per_nät,'Leveranser per nät'!Z$1,FALSE)
               +Andel_beroende_av_klimat*VLOOKUP($A301,Leveranser_per_nät,'Leveranser per nät'!Z$1,FALSE)/VLOOKUP($B301,Korrigeringsfaktor_EI,'Korrigeringsfaktor EI'!Z$1,FALSE),
"")</f>
        <v>136.41781609195402</v>
      </c>
      <c r="AA301" s="18">
        <f>IFERROR(
                  Andel_oberoende_av_klimat*VLOOKUP($A301,Leveranser_per_nät,'Leveranser per nät'!AA$1,FALSE)
               +Andel_beroende_av_klimat*VLOOKUP($A301,Leveranser_per_nät,'Leveranser per nät'!AA$1,FALSE)/VLOOKUP($B301,Korrigeringsfaktor_EI,'Korrigeringsfaktor EI'!AA$1,FALSE),
"")</f>
        <v>153.98695240745894</v>
      </c>
      <c r="AB301" s="18">
        <f>IFERROR(
                  Andel_oberoende_av_klimat*VLOOKUP($A301,Leveranser_per_nät,'Leveranser per nät'!AB$1,FALSE)
               +Andel_beroende_av_klimat*VLOOKUP($A301,Leveranser_per_nät,'Leveranser per nät'!AB$1,FALSE)/VLOOKUP($B301,Korrigeringsfaktor_EI,'Korrigeringsfaktor EI'!AB$1,FALSE),
"")</f>
        <v>136.12928429423459</v>
      </c>
      <c r="AC301" s="18">
        <f>IFERROR(
                  Andel_oberoende_av_klimat*VLOOKUP($A301,Leveranser_per_nät,'Leveranser per nät'!AC$1,FALSE)
               +Andel_beroende_av_klimat*VLOOKUP($A301,Leveranser_per_nät,'Leveranser per nät'!AC$1,FALSE)/VLOOKUP($B301,Korrigeringsfaktor_EI,'Korrigeringsfaktor EI'!AC$1,FALSE),
"")</f>
        <v>137.37486631016043</v>
      </c>
      <c r="AD301" t="e">
        <v>#N/A</v>
      </c>
    </row>
    <row r="302" spans="1:30" x14ac:dyDescent="0.25">
      <c r="A302" t="s">
        <v>384</v>
      </c>
      <c r="B302" t="s">
        <v>163</v>
      </c>
      <c r="C302" s="18">
        <f>IFERROR(
                  Andel_oberoende_av_klimat*VLOOKUP($A302,Leveranser_per_nät,'Leveranser per nät'!C$1,FALSE)
               +Andel_beroende_av_klimat*VLOOKUP($A302,Leveranser_per_nät,'Leveranser per nät'!C$1,FALSE)/VLOOKUP($B302,Korrigeringsfaktor_EI,'Korrigeringsfaktor EI'!C$1,FALSE),
"")</f>
        <v>0</v>
      </c>
      <c r="D302" s="18">
        <f>IFERROR(
                  Andel_oberoende_av_klimat*VLOOKUP($A302,Leveranser_per_nät,'Leveranser per nät'!D$1,FALSE)
               +Andel_beroende_av_klimat*VLOOKUP($A302,Leveranser_per_nät,'Leveranser per nät'!D$1,FALSE)/VLOOKUP($B302,Korrigeringsfaktor_EI,'Korrigeringsfaktor EI'!D$1,FALSE),
"")</f>
        <v>0</v>
      </c>
      <c r="E302" s="18">
        <f>IFERROR(
                  Andel_oberoende_av_klimat*VLOOKUP($A302,Leveranser_per_nät,'Leveranser per nät'!E$1,FALSE)
               +Andel_beroende_av_klimat*VLOOKUP($A302,Leveranser_per_nät,'Leveranser per nät'!E$1,FALSE)/VLOOKUP($B302,Korrigeringsfaktor_EI,'Korrigeringsfaktor EI'!E$1,FALSE),
"")</f>
        <v>0</v>
      </c>
      <c r="F302" s="18">
        <f>IFERROR(
                  Andel_oberoende_av_klimat*VLOOKUP($A302,Leveranser_per_nät,'Leveranser per nät'!F$1,FALSE)
               +Andel_beroende_av_klimat*VLOOKUP($A302,Leveranser_per_nät,'Leveranser per nät'!F$1,FALSE)/VLOOKUP($B302,Korrigeringsfaktor_EI,'Korrigeringsfaktor EI'!F$1,FALSE),
"")</f>
        <v>0</v>
      </c>
      <c r="G302" s="18">
        <f>IFERROR(
                  Andel_oberoende_av_klimat*VLOOKUP($A302,Leveranser_per_nät,'Leveranser per nät'!G$1,FALSE)
               +Andel_beroende_av_klimat*VLOOKUP($A302,Leveranser_per_nät,'Leveranser per nät'!G$1,FALSE)/VLOOKUP($B302,Korrigeringsfaktor_EI,'Korrigeringsfaktor EI'!G$1,FALSE),
"")</f>
        <v>0</v>
      </c>
      <c r="H302" s="18">
        <f>IFERROR(
                  Andel_oberoende_av_klimat*VLOOKUP($A302,Leveranser_per_nät,'Leveranser per nät'!H$1,FALSE)
               +Andel_beroende_av_klimat*VLOOKUP($A302,Leveranser_per_nät,'Leveranser per nät'!H$1,FALSE)/VLOOKUP($B302,Korrigeringsfaktor_EI,'Korrigeringsfaktor EI'!H$1,FALSE),
"")</f>
        <v>0</v>
      </c>
      <c r="I302" s="18">
        <f>IFERROR(
                  Andel_oberoende_av_klimat*VLOOKUP($A302,Leveranser_per_nät,'Leveranser per nät'!I$1,FALSE)
               +Andel_beroende_av_klimat*VLOOKUP($A302,Leveranser_per_nät,'Leveranser per nät'!I$1,FALSE)/VLOOKUP($B302,Korrigeringsfaktor_EI,'Korrigeringsfaktor EI'!I$1,FALSE),
"")</f>
        <v>0</v>
      </c>
      <c r="J302" s="18">
        <f>IFERROR(
                  Andel_oberoende_av_klimat*VLOOKUP($A302,Leveranser_per_nät,'Leveranser per nät'!J$1,FALSE)
               +Andel_beroende_av_klimat*VLOOKUP($A302,Leveranser_per_nät,'Leveranser per nät'!J$1,FALSE)/VLOOKUP($B302,Korrigeringsfaktor_EI,'Korrigeringsfaktor EI'!J$1,FALSE),
"")</f>
        <v>0</v>
      </c>
      <c r="K302" s="18">
        <f>IFERROR(
                  Andel_oberoende_av_klimat*VLOOKUP($A302,Leveranser_per_nät,'Leveranser per nät'!K$1,FALSE)
               +Andel_beroende_av_klimat*VLOOKUP($A302,Leveranser_per_nät,'Leveranser per nät'!K$1,FALSE)/VLOOKUP($B302,Korrigeringsfaktor_EI,'Korrigeringsfaktor EI'!K$1,FALSE),
"")</f>
        <v>0</v>
      </c>
      <c r="L302" s="18">
        <f>IFERROR(
                  Andel_oberoende_av_klimat*VLOOKUP($A302,Leveranser_per_nät,'Leveranser per nät'!L$1,FALSE)
               +Andel_beroende_av_klimat*VLOOKUP($A302,Leveranser_per_nät,'Leveranser per nät'!L$1,FALSE)/VLOOKUP($B302,Korrigeringsfaktor_EI,'Korrigeringsfaktor EI'!L$1,FALSE),
"")</f>
        <v>0</v>
      </c>
      <c r="M302" s="18">
        <f>IFERROR(
                  Andel_oberoende_av_klimat*VLOOKUP($A302,Leveranser_per_nät,'Leveranser per nät'!M$1,FALSE)
               +Andel_beroende_av_klimat*VLOOKUP($A302,Leveranser_per_nät,'Leveranser per nät'!M$1,FALSE)/VLOOKUP($B302,Korrigeringsfaktor_EI,'Korrigeringsfaktor EI'!M$1,FALSE),
"")</f>
        <v>143.64361702127661</v>
      </c>
      <c r="N302" s="18">
        <f>IFERROR(
                  Andel_oberoende_av_klimat*VLOOKUP($A302,Leveranser_per_nät,'Leveranser per nät'!N$1,FALSE)
               +Andel_beroende_av_klimat*VLOOKUP($A302,Leveranser_per_nät,'Leveranser per nät'!N$1,FALSE)/VLOOKUP($B302,Korrigeringsfaktor_EI,'Korrigeringsfaktor EI'!N$1,FALSE),
"")</f>
        <v>145.45052173913041</v>
      </c>
      <c r="O302" s="18">
        <f>IFERROR(
                  Andel_oberoende_av_klimat*VLOOKUP($A302,Leveranser_per_nät,'Leveranser per nät'!O$1,FALSE)
               +Andel_beroende_av_klimat*VLOOKUP($A302,Leveranser_per_nät,'Leveranser per nät'!O$1,FALSE)/VLOOKUP($B302,Korrigeringsfaktor_EI,'Korrigeringsfaktor EI'!O$1,FALSE),
"")</f>
        <v>140.88347826086957</v>
      </c>
      <c r="P302" s="18">
        <f>IFERROR(
                  Andel_oberoende_av_klimat*VLOOKUP($A302,Leveranser_per_nät,'Leveranser per nät'!P$1,FALSE)
               +Andel_beroende_av_klimat*VLOOKUP($A302,Leveranser_per_nät,'Leveranser per nät'!P$1,FALSE)/VLOOKUP($B302,Korrigeringsfaktor_EI,'Korrigeringsfaktor EI'!P$1,FALSE),
"")</f>
        <v>134.59571428571428</v>
      </c>
      <c r="Q302" s="18">
        <f>IFERROR(
                  Andel_oberoende_av_klimat*VLOOKUP($A302,Leveranser_per_nät,'Leveranser per nät'!Q$1,FALSE)
               +Andel_beroende_av_klimat*VLOOKUP($A302,Leveranser_per_nät,'Leveranser per nät'!Q$1,FALSE)/VLOOKUP($B302,Korrigeringsfaktor_EI,'Korrigeringsfaktor EI'!Q$1,FALSE),
"")</f>
        <v>0</v>
      </c>
      <c r="R302" s="18">
        <f>IFERROR(
                  Andel_oberoende_av_klimat*VLOOKUP($A302,Leveranser_per_nät,'Leveranser per nät'!R$1,FALSE)
               +Andel_beroende_av_klimat*VLOOKUP($A302,Leveranser_per_nät,'Leveranser per nät'!R$1,FALSE)/VLOOKUP($B302,Korrigeringsfaktor_EI,'Korrigeringsfaktor EI'!R$1,FALSE),
"")</f>
        <v>0</v>
      </c>
      <c r="S302" s="18" t="str">
        <f>IFERROR(
                  Andel_oberoende_av_klimat*VLOOKUP($A302,Leveranser_per_nät,'Leveranser per nät'!S$1,FALSE)
               +Andel_beroende_av_klimat*VLOOKUP($A302,Leveranser_per_nät,'Leveranser per nät'!S$1,FALSE)/VLOOKUP($B302,Korrigeringsfaktor_EI,'Korrigeringsfaktor EI'!S$1,FALSE),
"")</f>
        <v/>
      </c>
      <c r="T302" s="18" t="str">
        <f>IFERROR(
                  Andel_oberoende_av_klimat*VLOOKUP($A302,Leveranser_per_nät,'Leveranser per nät'!T$1,FALSE)
               +Andel_beroende_av_klimat*VLOOKUP($A302,Leveranser_per_nät,'Leveranser per nät'!T$1,FALSE)/VLOOKUP($B302,Korrigeringsfaktor_EI,'Korrigeringsfaktor EI'!T$1,FALSE),
"")</f>
        <v/>
      </c>
      <c r="U302" s="18" t="str">
        <f>IFERROR(
                  Andel_oberoende_av_klimat*VLOOKUP($A302,Leveranser_per_nät,'Leveranser per nät'!U$1,FALSE)
               +Andel_beroende_av_klimat*VLOOKUP($A302,Leveranser_per_nät,'Leveranser per nät'!U$1,FALSE)/VLOOKUP($B302,Korrigeringsfaktor_EI,'Korrigeringsfaktor EI'!U$1,FALSE),
"")</f>
        <v/>
      </c>
      <c r="V302" s="18" t="str">
        <f>IFERROR(
                  Andel_oberoende_av_klimat*VLOOKUP($A302,Leveranser_per_nät,'Leveranser per nät'!V$1,FALSE)
               +Andel_beroende_av_klimat*VLOOKUP($A302,Leveranser_per_nät,'Leveranser per nät'!V$1,FALSE)/VLOOKUP($B302,Korrigeringsfaktor_EI,'Korrigeringsfaktor EI'!V$1,FALSE),
"")</f>
        <v/>
      </c>
      <c r="W302" s="18" t="str">
        <f>IFERROR(
                  Andel_oberoende_av_klimat*VLOOKUP($A302,Leveranser_per_nät,'Leveranser per nät'!W$1,FALSE)
               +Andel_beroende_av_klimat*VLOOKUP($A302,Leveranser_per_nät,'Leveranser per nät'!W$1,FALSE)/VLOOKUP($B302,Korrigeringsfaktor_EI,'Korrigeringsfaktor EI'!W$1,FALSE),
"")</f>
        <v/>
      </c>
      <c r="X302" s="18" t="str">
        <f>IFERROR(
                  Andel_oberoende_av_klimat*VLOOKUP($A302,Leveranser_per_nät,'Leveranser per nät'!X$1,FALSE)
               +Andel_beroende_av_klimat*VLOOKUP($A302,Leveranser_per_nät,'Leveranser per nät'!X$1,FALSE)/VLOOKUP($B302,Korrigeringsfaktor_EI,'Korrigeringsfaktor EI'!X$1,FALSE),
"")</f>
        <v/>
      </c>
      <c r="Y302" s="18" t="str">
        <f>IFERROR(
                  Andel_oberoende_av_klimat*VLOOKUP($A302,Leveranser_per_nät,'Leveranser per nät'!Y$1,FALSE)
               +Andel_beroende_av_klimat*VLOOKUP($A302,Leveranser_per_nät,'Leveranser per nät'!Y$1,FALSE)/VLOOKUP($B302,Korrigeringsfaktor_EI,'Korrigeringsfaktor EI'!Y$1,FALSE),
"")</f>
        <v/>
      </c>
      <c r="Z302" s="18">
        <f>IFERROR(
                  Andel_oberoende_av_klimat*VLOOKUP($A302,Leveranser_per_nät,'Leveranser per nät'!Z$1,FALSE)
               +Andel_beroende_av_klimat*VLOOKUP($A302,Leveranser_per_nät,'Leveranser per nät'!Z$1,FALSE)/VLOOKUP($B302,Korrigeringsfaktor_EI,'Korrigeringsfaktor EI'!Z$1,FALSE),
"")</f>
        <v>0</v>
      </c>
      <c r="AA302" s="18" t="str">
        <f>IFERROR(
                  Andel_oberoende_av_klimat*VLOOKUP($A302,Leveranser_per_nät,'Leveranser per nät'!AA$1,FALSE)
               +Andel_beroende_av_klimat*VLOOKUP($A302,Leveranser_per_nät,'Leveranser per nät'!AA$1,FALSE)/VLOOKUP($B302,Korrigeringsfaktor_EI,'Korrigeringsfaktor EI'!AA$1,FALSE),
"")</f>
        <v/>
      </c>
      <c r="AB302" s="18">
        <f>IFERROR(
                  Andel_oberoende_av_klimat*VLOOKUP($A302,Leveranser_per_nät,'Leveranser per nät'!AB$1,FALSE)
               +Andel_beroende_av_klimat*VLOOKUP($A302,Leveranser_per_nät,'Leveranser per nät'!AB$1,FALSE)/VLOOKUP($B302,Korrigeringsfaktor_EI,'Korrigeringsfaktor EI'!AB$1,FALSE),
"")</f>
        <v>0</v>
      </c>
      <c r="AC302" s="18">
        <f>IFERROR(
                  Andel_oberoende_av_klimat*VLOOKUP($A302,Leveranser_per_nät,'Leveranser per nät'!AC$1,FALSE)
               +Andel_beroende_av_klimat*VLOOKUP($A302,Leveranser_per_nät,'Leveranser per nät'!AC$1,FALSE)/VLOOKUP($B302,Korrigeringsfaktor_EI,'Korrigeringsfaktor EI'!AC$1,FALSE),
"")</f>
        <v>0</v>
      </c>
      <c r="AD302" t="e">
        <v>#N/A</v>
      </c>
    </row>
    <row r="303" spans="1:30" x14ac:dyDescent="0.25">
      <c r="A303" t="s">
        <v>313</v>
      </c>
      <c r="B303" t="s">
        <v>313</v>
      </c>
      <c r="C303" s="18">
        <f>IFERROR(
                  Andel_oberoende_av_klimat*VLOOKUP($A303,Leveranser_per_nät,'Leveranser per nät'!C$1,FALSE)
               +Andel_beroende_av_klimat*VLOOKUP($A303,Leveranser_per_nät,'Leveranser per nät'!C$1,FALSE)/VLOOKUP("Södertälje",Korrigeringsfaktor_EI,'Korrigeringsfaktor EI'!C$1,FALSE),
"")</f>
        <v>0</v>
      </c>
      <c r="D303" s="18">
        <f>IFERROR(
                  Andel_oberoende_av_klimat*VLOOKUP($A303,Leveranser_per_nät,'Leveranser per nät'!D$1,FALSE)
               +Andel_beroende_av_klimat*VLOOKUP($A303,Leveranser_per_nät,'Leveranser per nät'!D$1,FALSE)/VLOOKUP("Södertälje",Korrigeringsfaktor_EI,'Korrigeringsfaktor EI'!D$1,FALSE),
"")</f>
        <v>0</v>
      </c>
      <c r="E303" s="18">
        <f>IFERROR(
                  Andel_oberoende_av_klimat*VLOOKUP($A303,Leveranser_per_nät,'Leveranser per nät'!E$1,FALSE)
               +Andel_beroende_av_klimat*VLOOKUP($A303,Leveranser_per_nät,'Leveranser per nät'!E$1,FALSE)/VLOOKUP("Södertälje",Korrigeringsfaktor_EI,'Korrigeringsfaktor EI'!E$1,FALSE),
"")</f>
        <v>0</v>
      </c>
      <c r="F303" s="18">
        <f>IFERROR(
                  Andel_oberoende_av_klimat*VLOOKUP($A303,Leveranser_per_nät,'Leveranser per nät'!F$1,FALSE)
               +Andel_beroende_av_klimat*VLOOKUP($A303,Leveranser_per_nät,'Leveranser per nät'!F$1,FALSE)/VLOOKUP("Södertälje",Korrigeringsfaktor_EI,'Korrigeringsfaktor EI'!F$1,FALSE),
"")</f>
        <v>0</v>
      </c>
      <c r="G303" s="18">
        <f>IFERROR(
                  Andel_oberoende_av_klimat*VLOOKUP($A303,Leveranser_per_nät,'Leveranser per nät'!G$1,FALSE)
               +Andel_beroende_av_klimat*VLOOKUP($A303,Leveranser_per_nät,'Leveranser per nät'!G$1,FALSE)/VLOOKUP("Södertälje",Korrigeringsfaktor_EI,'Korrigeringsfaktor EI'!G$1,FALSE),
"")</f>
        <v>0</v>
      </c>
      <c r="H303" s="18">
        <f>IFERROR(
                  Andel_oberoende_av_klimat*VLOOKUP($A303,Leveranser_per_nät,'Leveranser per nät'!H$1,FALSE)
               +Andel_beroende_av_klimat*VLOOKUP($A303,Leveranser_per_nät,'Leveranser per nät'!H$1,FALSE)/VLOOKUP("Södertälje",Korrigeringsfaktor_EI,'Korrigeringsfaktor EI'!H$1,FALSE),
"")</f>
        <v>16.113131313131312</v>
      </c>
      <c r="I303" s="18">
        <f>IFERROR(
                  Andel_oberoende_av_klimat*VLOOKUP($A303,Leveranser_per_nät,'Leveranser per nät'!I$1,FALSE)
               +Andel_beroende_av_klimat*VLOOKUP($A303,Leveranser_per_nät,'Leveranser per nät'!I$1,FALSE)/VLOOKUP("Södertälje",Korrigeringsfaktor_EI,'Korrigeringsfaktor EI'!I$1,FALSE),
"")</f>
        <v>17.495833333333334</v>
      </c>
      <c r="J303" s="18">
        <f>IFERROR(
                  Andel_oberoende_av_klimat*VLOOKUP($A303,Leveranser_per_nät,'Leveranser per nät'!J$1,FALSE)
               +Andel_beroende_av_klimat*VLOOKUP($A303,Leveranser_per_nät,'Leveranser per nät'!J$1,FALSE)/VLOOKUP("Södertälje",Korrigeringsfaktor_EI,'Korrigeringsfaktor EI'!J$1,FALSE),
"")</f>
        <v>18.25714285714286</v>
      </c>
      <c r="K303" s="18">
        <f>IFERROR(
                  Andel_oberoende_av_klimat*VLOOKUP($A303,Leveranser_per_nät,'Leveranser per nät'!K$1,FALSE)
               +Andel_beroende_av_klimat*VLOOKUP($A303,Leveranser_per_nät,'Leveranser per nät'!K$1,FALSE)/VLOOKUP("Södertälje",Korrigeringsfaktor_EI,'Korrigeringsfaktor EI'!K$1,FALSE),
"")</f>
        <v>17.888060824742269</v>
      </c>
      <c r="L303" s="18">
        <f>IFERROR(
                  Andel_oberoende_av_klimat*VLOOKUP($A303,Leveranser_per_nät,'Leveranser per nät'!L$1,FALSE)
               +Andel_beroende_av_klimat*VLOOKUP($A303,Leveranser_per_nät,'Leveranser per nät'!L$1,FALSE)/VLOOKUP("Södertälje",Korrigeringsfaktor_EI,'Korrigeringsfaktor EI'!L$1,FALSE),
"")</f>
        <v>19.32155263157895</v>
      </c>
      <c r="M303" s="18">
        <f>IFERROR(
                  Andel_oberoende_av_klimat*VLOOKUP($A303,Leveranser_per_nät,'Leveranser per nät'!M$1,FALSE)
               +Andel_beroende_av_klimat*VLOOKUP($A303,Leveranser_per_nät,'Leveranser per nät'!M$1,FALSE)/VLOOKUP("Södertälje",Korrigeringsfaktor_EI,'Korrigeringsfaktor EI'!M$1,FALSE),
"")</f>
        <v>20.861761538461536</v>
      </c>
      <c r="N303" s="18">
        <f>IFERROR(
                  Andel_oberoende_av_klimat*VLOOKUP($A303,Leveranser_per_nät,'Leveranser per nät'!N$1,FALSE)
               +Andel_beroende_av_klimat*VLOOKUP($A303,Leveranser_per_nät,'Leveranser per nät'!N$1,FALSE)/VLOOKUP("Södertälje",Korrigeringsfaktor_EI,'Korrigeringsfaktor EI'!N$1,FALSE),
"")</f>
        <v>22.738955555555552</v>
      </c>
      <c r="O303" s="18">
        <f>IFERROR(
                  Andel_oberoende_av_klimat*VLOOKUP($A303,Leveranser_per_nät,'Leveranser per nät'!O$1,FALSE)
               +Andel_beroende_av_klimat*VLOOKUP($A303,Leveranser_per_nät,'Leveranser per nät'!O$1,FALSE)/VLOOKUP("Södertälje",Korrigeringsfaktor_EI,'Korrigeringsfaktor EI'!O$1,FALSE),
"")</f>
        <v>23.111899999999995</v>
      </c>
      <c r="P303" s="18">
        <f>IFERROR(
                  Andel_oberoende_av_klimat*VLOOKUP($A303,Leveranser_per_nät,'Leveranser per nät'!P$1,FALSE)
               +Andel_beroende_av_klimat*VLOOKUP($A303,Leveranser_per_nät,'Leveranser per nät'!P$1,FALSE)/VLOOKUP("Södertälje",Korrigeringsfaktor_EI,'Korrigeringsfaktor EI'!P$1,FALSE),
"")</f>
        <v>23.365236842105265</v>
      </c>
      <c r="Q303" s="18">
        <f>IFERROR(
                  Andel_oberoende_av_klimat*VLOOKUP($A303,Leveranser_per_nät,'Leveranser per nät'!Q$1,FALSE)
               +Andel_beroende_av_klimat*VLOOKUP($A303,Leveranser_per_nät,'Leveranser per nät'!Q$1,FALSE)/VLOOKUP("Södertälje",Korrigeringsfaktor_EI,'Korrigeringsfaktor EI'!Q$1,FALSE),
"")</f>
        <v>0</v>
      </c>
      <c r="R303" s="18">
        <f>IFERROR(
                  Andel_oberoende_av_klimat*VLOOKUP($A303,Leveranser_per_nät,'Leveranser per nät'!R$1,FALSE)
               +Andel_beroende_av_klimat*VLOOKUP($A303,Leveranser_per_nät,'Leveranser per nät'!R$1,FALSE)/VLOOKUP("Södertälje",Korrigeringsfaktor_EI,'Korrigeringsfaktor EI'!R$1,FALSE),
"")</f>
        <v>0</v>
      </c>
      <c r="S303" s="18" t="str">
        <f>IFERROR(
                  Andel_oberoende_av_klimat*VLOOKUP($A303,Leveranser_per_nät,'Leveranser per nät'!S$1,FALSE)
               +Andel_beroende_av_klimat*VLOOKUP($A303,Leveranser_per_nät,'Leveranser per nät'!S$1,FALSE)/VLOOKUP("Södertälje",Korrigeringsfaktor_EI,'Korrigeringsfaktor EI'!S$1,FALSE),
"")</f>
        <v/>
      </c>
      <c r="T303" s="18" t="str">
        <f>IFERROR(
                  Andel_oberoende_av_klimat*VLOOKUP($A303,Leveranser_per_nät,'Leveranser per nät'!T$1,FALSE)
               +Andel_beroende_av_klimat*VLOOKUP($A303,Leveranser_per_nät,'Leveranser per nät'!T$1,FALSE)/VLOOKUP("Södertälje",Korrigeringsfaktor_EI,'Korrigeringsfaktor EI'!T$1,FALSE),
"")</f>
        <v/>
      </c>
      <c r="U303" s="18" t="str">
        <f>IFERROR(
                  Andel_oberoende_av_klimat*VLOOKUP($A303,Leveranser_per_nät,'Leveranser per nät'!U$1,FALSE)
               +Andel_beroende_av_klimat*VLOOKUP($A303,Leveranser_per_nät,'Leveranser per nät'!U$1,FALSE)/VLOOKUP("Södertälje",Korrigeringsfaktor_EI,'Korrigeringsfaktor EI'!U$1,FALSE),
"")</f>
        <v/>
      </c>
      <c r="V303" s="18" t="str">
        <f>IFERROR(
                  Andel_oberoende_av_klimat*VLOOKUP($A303,Leveranser_per_nät,'Leveranser per nät'!V$1,FALSE)
               +Andel_beroende_av_klimat*VLOOKUP($A303,Leveranser_per_nät,'Leveranser per nät'!V$1,FALSE)/VLOOKUP("Södertälje",Korrigeringsfaktor_EI,'Korrigeringsfaktor EI'!V$1,FALSE),
"")</f>
        <v/>
      </c>
      <c r="W303" s="18">
        <f>IFERROR(
                  Andel_oberoende_av_klimat*VLOOKUP($A303,Leveranser_per_nät,'Leveranser per nät'!W$1,FALSE)
               +Andel_beroende_av_klimat*VLOOKUP($A303,Leveranser_per_nät,'Leveranser per nät'!W$1,FALSE)/VLOOKUP("Södertälje",Korrigeringsfaktor_EI,'Korrigeringsfaktor EI'!W$1,FALSE),
"")</f>
        <v>0</v>
      </c>
      <c r="X303" s="18" t="str">
        <f>IFERROR(
                  Andel_oberoende_av_klimat*VLOOKUP($A303,Leveranser_per_nät,'Leveranser per nät'!X$1,FALSE)
               +Andel_beroende_av_klimat*VLOOKUP($A303,Leveranser_per_nät,'Leveranser per nät'!X$1,FALSE)/VLOOKUP("Södertälje",Korrigeringsfaktor_EI,'Korrigeringsfaktor EI'!X$1,FALSE),
"")</f>
        <v/>
      </c>
      <c r="Y303" s="18" t="str">
        <f>IFERROR(
                  Andel_oberoende_av_klimat*VLOOKUP($A303,Leveranser_per_nät,'Leveranser per nät'!Y$1,FALSE)
               +Andel_beroende_av_klimat*VLOOKUP($A303,Leveranser_per_nät,'Leveranser per nät'!Y$1,FALSE)/VLOOKUP($B303,Korrigeringsfaktor_EI,'Korrigeringsfaktor EI'!Y$1,FALSE),
"")</f>
        <v/>
      </c>
      <c r="Z303" s="18">
        <f>IFERROR(
                  Andel_oberoende_av_klimat*VLOOKUP($A303,Leveranser_per_nät,'Leveranser per nät'!Z$1,FALSE)
               +Andel_beroende_av_klimat*VLOOKUP($A303,Leveranser_per_nät,'Leveranser per nät'!Z$1,FALSE)/VLOOKUP($B303,Korrigeringsfaktor_EI,'Korrigeringsfaktor EI'!Z$1,FALSE),
"")</f>
        <v>0</v>
      </c>
      <c r="AA303" s="18" t="str">
        <f>IFERROR(
                  Andel_oberoende_av_klimat*VLOOKUP($A303,Leveranser_per_nät,'Leveranser per nät'!AA$1,FALSE)
               +Andel_beroende_av_klimat*VLOOKUP($A303,Leveranser_per_nät,'Leveranser per nät'!AA$1,FALSE)/VLOOKUP($B303,Korrigeringsfaktor_EI,'Korrigeringsfaktor EI'!AA$1,FALSE),
"")</f>
        <v/>
      </c>
      <c r="AB303" s="18">
        <f>IFERROR(
                  Andel_oberoende_av_klimat*VLOOKUP($A303,Leveranser_per_nät,'Leveranser per nät'!AB$1,FALSE)
               +Andel_beroende_av_klimat*VLOOKUP($A303,Leveranser_per_nät,'Leveranser per nät'!AB$1,FALSE)/VLOOKUP($B303,Korrigeringsfaktor_EI,'Korrigeringsfaktor EI'!AB$1,FALSE),
"")</f>
        <v>0</v>
      </c>
      <c r="AC303" s="18">
        <f>IFERROR(
                  Andel_oberoende_av_klimat*VLOOKUP($A303,Leveranser_per_nät,'Leveranser per nät'!AC$1,FALSE)
               +Andel_beroende_av_klimat*VLOOKUP($A303,Leveranser_per_nät,'Leveranser per nät'!AC$1,FALSE)/VLOOKUP($B303,Korrigeringsfaktor_EI,'Korrigeringsfaktor EI'!AC$1,FALSE),
"")</f>
        <v>0</v>
      </c>
      <c r="AD303" t="e">
        <v>#N/A</v>
      </c>
    </row>
    <row r="304" spans="1:30" x14ac:dyDescent="0.25">
      <c r="A304" t="s">
        <v>337</v>
      </c>
      <c r="B304" t="s">
        <v>337</v>
      </c>
      <c r="C304" s="18">
        <f>IFERROR(
                  Andel_oberoende_av_klimat*VLOOKUP($A304,Leveranser_per_nät,'Leveranser per nät'!C$1,FALSE)
               +Andel_beroende_av_klimat*VLOOKUP($A304,Leveranser_per_nät,'Leveranser per nät'!C$1,FALSE)/VLOOKUP($B304,Korrigeringsfaktor_EI,'Korrigeringsfaktor EI'!C$1,FALSE),
"")</f>
        <v>308.96936936936936</v>
      </c>
      <c r="D304" s="18">
        <f>IFERROR(
                  Andel_oberoende_av_klimat*VLOOKUP($A304,Leveranser_per_nät,'Leveranser per nät'!D$1,FALSE)
               +Andel_beroende_av_klimat*VLOOKUP($A304,Leveranser_per_nät,'Leveranser per nät'!D$1,FALSE)/VLOOKUP($B304,Korrigeringsfaktor_EI,'Korrigeringsfaktor EI'!D$1,FALSE),
"")</f>
        <v>285.62</v>
      </c>
      <c r="E304" s="18">
        <f>IFERROR(
                  Andel_oberoende_av_klimat*VLOOKUP($A304,Leveranser_per_nät,'Leveranser per nät'!E$1,FALSE)
               +Andel_beroende_av_klimat*VLOOKUP($A304,Leveranser_per_nät,'Leveranser per nät'!E$1,FALSE)/VLOOKUP($B304,Korrigeringsfaktor_EI,'Korrigeringsfaktor EI'!E$1,FALSE),
"")</f>
        <v>266.5551111111111</v>
      </c>
      <c r="F304" s="18">
        <f>IFERROR(
                  Andel_oberoende_av_klimat*VLOOKUP($A304,Leveranser_per_nät,'Leveranser per nät'!F$1,FALSE)
               +Andel_beroende_av_klimat*VLOOKUP($A304,Leveranser_per_nät,'Leveranser per nät'!F$1,FALSE)/VLOOKUP($B304,Korrigeringsfaktor_EI,'Korrigeringsfaktor EI'!F$1,FALSE),
"")</f>
        <v>273.62797222222224</v>
      </c>
      <c r="G304" s="18">
        <f>IFERROR(
                  Andel_oberoende_av_klimat*VLOOKUP($A304,Leveranser_per_nät,'Leveranser per nät'!G$1,FALSE)
               +Andel_beroende_av_klimat*VLOOKUP($A304,Leveranser_per_nät,'Leveranser per nät'!G$1,FALSE)/VLOOKUP($B304,Korrigeringsfaktor_EI,'Korrigeringsfaktor EI'!G$1,FALSE),
"")</f>
        <v>271.5826086956522</v>
      </c>
      <c r="H304" s="18">
        <f>IFERROR(
                  Andel_oberoende_av_klimat*VLOOKUP($A304,Leveranser_per_nät,'Leveranser per nät'!H$1,FALSE)
               +Andel_beroende_av_klimat*VLOOKUP($A304,Leveranser_per_nät,'Leveranser per nät'!H$1,FALSE)/VLOOKUP($B304,Korrigeringsfaktor_EI,'Korrigeringsfaktor EI'!H$1,FALSE),
"")</f>
        <v>259.19108910891089</v>
      </c>
      <c r="I304" s="18">
        <f>IFERROR(
                  Andel_oberoende_av_klimat*VLOOKUP($A304,Leveranser_per_nät,'Leveranser per nät'!I$1,FALSE)
               +Andel_beroende_av_klimat*VLOOKUP($A304,Leveranser_per_nät,'Leveranser per nät'!I$1,FALSE)/VLOOKUP($B304,Korrigeringsfaktor_EI,'Korrigeringsfaktor EI'!I$1,FALSE),
"")</f>
        <v>289.19583333333333</v>
      </c>
      <c r="J304" s="18">
        <f>IFERROR(
                  Andel_oberoende_av_klimat*VLOOKUP($A304,Leveranser_per_nät,'Leveranser per nät'!J$1,FALSE)
               +Andel_beroende_av_klimat*VLOOKUP($A304,Leveranser_per_nät,'Leveranser per nät'!J$1,FALSE)/VLOOKUP($B304,Korrigeringsfaktor_EI,'Korrigeringsfaktor EI'!J$1,FALSE),
"")</f>
        <v>298.09292929292928</v>
      </c>
      <c r="K304" s="18">
        <f>IFERROR(
                  Andel_oberoende_av_klimat*VLOOKUP($A304,Leveranser_per_nät,'Leveranser per nät'!K$1,FALSE)
               +Andel_beroende_av_klimat*VLOOKUP($A304,Leveranser_per_nät,'Leveranser per nät'!K$1,FALSE)/VLOOKUP($B304,Korrigeringsfaktor_EI,'Korrigeringsfaktor EI'!K$1,FALSE),
"")</f>
        <v>287.47190000000001</v>
      </c>
      <c r="L304" s="18">
        <f>IFERROR(
                  Andel_oberoende_av_klimat*VLOOKUP($A304,Leveranser_per_nät,'Leveranser per nät'!L$1,FALSE)
               +Andel_beroende_av_klimat*VLOOKUP($A304,Leveranser_per_nät,'Leveranser per nät'!L$1,FALSE)/VLOOKUP($B304,Korrigeringsfaktor_EI,'Korrigeringsfaktor EI'!L$1,FALSE),
"")</f>
        <v>216.56404485490089</v>
      </c>
      <c r="M304" s="18">
        <f>IFERROR(
                  Andel_oberoende_av_klimat*VLOOKUP($A304,Leveranser_per_nät,'Leveranser per nät'!M$1,FALSE)
               +Andel_beroende_av_klimat*VLOOKUP($A304,Leveranser_per_nät,'Leveranser per nät'!M$1,FALSE)/VLOOKUP($B304,Korrigeringsfaktor_EI,'Korrigeringsfaktor EI'!M$1,FALSE),
"")</f>
        <v>323.06684193548381</v>
      </c>
      <c r="N304" s="18">
        <f>IFERROR(
                  Andel_oberoende_av_klimat*VLOOKUP($A304,Leveranser_per_nät,'Leveranser per nät'!N$1,FALSE)
               +Andel_beroende_av_klimat*VLOOKUP($A304,Leveranser_per_nät,'Leveranser per nät'!N$1,FALSE)/VLOOKUP($B304,Korrigeringsfaktor_EI,'Korrigeringsfaktor EI'!N$1,FALSE),
"")</f>
        <v>281.02434782608691</v>
      </c>
      <c r="O304" s="18">
        <f>IFERROR(
                  Andel_oberoende_av_klimat*VLOOKUP($A304,Leveranser_per_nät,'Leveranser per nät'!O$1,FALSE)
               +Andel_beroende_av_klimat*VLOOKUP($A304,Leveranser_per_nät,'Leveranser per nät'!O$1,FALSE)/VLOOKUP($B304,Korrigeringsfaktor_EI,'Korrigeringsfaktor EI'!O$1,FALSE),
"")</f>
        <v>273.9711111111111</v>
      </c>
      <c r="P304" s="18">
        <f>IFERROR(
                  Andel_oberoende_av_klimat*VLOOKUP($A304,Leveranser_per_nät,'Leveranser per nät'!P$1,FALSE)
               +Andel_beroende_av_klimat*VLOOKUP($A304,Leveranser_per_nät,'Leveranser per nät'!P$1,FALSE)/VLOOKUP($B304,Korrigeringsfaktor_EI,'Korrigeringsfaktor EI'!P$1,FALSE),
"")</f>
        <v>279.31896907216492</v>
      </c>
      <c r="Q304" s="18">
        <f>IFERROR(
                  Andel_oberoende_av_klimat*VLOOKUP($A304,Leveranser_per_nät,'Leveranser per nät'!Q$1,FALSE)
               +Andel_beroende_av_klimat*VLOOKUP($A304,Leveranser_per_nät,'Leveranser per nät'!Q$1,FALSE)/VLOOKUP($B304,Korrigeringsfaktor_EI,'Korrigeringsfaktor EI'!Q$1,FALSE),
"")</f>
        <v>296.80460176991153</v>
      </c>
      <c r="R304" s="18">
        <f>IFERROR(
                  Andel_oberoende_av_klimat*VLOOKUP($A304,Leveranser_per_nät,'Leveranser per nät'!R$1,FALSE)
               +Andel_beroende_av_klimat*VLOOKUP($A304,Leveranser_per_nät,'Leveranser per nät'!R$1,FALSE)/VLOOKUP($B304,Korrigeringsfaktor_EI,'Korrigeringsfaktor EI'!R$1,FALSE),
"")</f>
        <v>284.30846153846153</v>
      </c>
      <c r="S304" s="18">
        <f>IFERROR(
                  Andel_oberoende_av_klimat*VLOOKUP($A304,Leveranser_per_nät,'Leveranser per nät'!S$1,FALSE)
               +Andel_beroende_av_klimat*VLOOKUP($A304,Leveranser_per_nät,'Leveranser per nät'!S$1,FALSE)/VLOOKUP($B304,Korrigeringsfaktor_EI,'Korrigeringsfaktor EI'!S$1,FALSE),
"")</f>
        <v>284</v>
      </c>
      <c r="T304" s="18">
        <f>IFERROR(
                  Andel_oberoende_av_klimat*VLOOKUP($A304,Leveranser_per_nät,'Leveranser per nät'!T$1,FALSE)
               +Andel_beroende_av_klimat*VLOOKUP($A304,Leveranser_per_nät,'Leveranser per nät'!T$1,FALSE)/VLOOKUP($B304,Korrigeringsfaktor_EI,'Korrigeringsfaktor EI'!T$1,FALSE),
"")</f>
        <v>292.33479166666672</v>
      </c>
      <c r="U304" s="18">
        <f>IFERROR(
                  Andel_oberoende_av_klimat*VLOOKUP($A304,Leveranser_per_nät,'Leveranser per nät'!U$1,FALSE)
               +Andel_beroende_av_klimat*VLOOKUP($A304,Leveranser_per_nät,'Leveranser per nät'!U$1,FALSE)/VLOOKUP($B304,Korrigeringsfaktor_EI,'Korrigeringsfaktor EI'!U$1,FALSE),
"")</f>
        <v>281.62516853932578</v>
      </c>
      <c r="V304" s="18">
        <f>IFERROR(
                  Andel_oberoende_av_klimat*VLOOKUP($A304,Leveranser_per_nät,'Leveranser per nät'!V$1,FALSE)
               +Andel_beroende_av_klimat*VLOOKUP($A304,Leveranser_per_nät,'Leveranser per nät'!V$1,FALSE)/VLOOKUP($B304,Korrigeringsfaktor_EI,'Korrigeringsfaktor EI'!V$1,FALSE),
"")</f>
        <v>280.65545454545452</v>
      </c>
      <c r="W304" s="18">
        <f>IFERROR(
                  Andel_oberoende_av_klimat*VLOOKUP($A304,Leveranser_per_nät,'Leveranser per nät'!W$1,FALSE)
               +Andel_beroende_av_klimat*VLOOKUP($A304,Leveranser_per_nät,'Leveranser per nät'!W$1,FALSE)/VLOOKUP($B304,Korrigeringsfaktor_EI,'Korrigeringsfaktor EI'!W$1,FALSE),
"")</f>
        <v>293.85142105263162</v>
      </c>
      <c r="X304" s="18">
        <f>IFERROR(
                  Andel_oberoende_av_klimat*VLOOKUP($A304,Leveranser_per_nät,'Leveranser per nät'!X$1,FALSE)
               +Andel_beroende_av_klimat*VLOOKUP($A304,Leveranser_per_nät,'Leveranser per nät'!X$1,FALSE)/VLOOKUP($B304,Korrigeringsfaktor_EI,'Korrigeringsfaktor EI'!X$1,FALSE),
"")</f>
        <v>283.69946236559139</v>
      </c>
      <c r="Y304" s="18">
        <f>IFERROR(
                  Andel_oberoende_av_klimat*VLOOKUP($A304,Leveranser_per_nät,'Leveranser per nät'!Y$1,FALSE)
               +Andel_beroende_av_klimat*VLOOKUP($A304,Leveranser_per_nät,'Leveranser per nät'!Y$1,FALSE)/VLOOKUP($B304,Korrigeringsfaktor_EI,'Korrigeringsfaktor EI'!Y$1,FALSE),
"")</f>
        <v>289.64499230769235</v>
      </c>
      <c r="Z304" s="18">
        <f>IFERROR(
                  Andel_oberoende_av_klimat*VLOOKUP($A304,Leveranser_per_nät,'Leveranser per nät'!Z$1,FALSE)
               +Andel_beroende_av_klimat*VLOOKUP($A304,Leveranser_per_nät,'Leveranser per nät'!Z$1,FALSE)/VLOOKUP($B304,Korrigeringsfaktor_EI,'Korrigeringsfaktor EI'!Z$1,FALSE),
"")</f>
        <v>284.59135955056183</v>
      </c>
      <c r="AA304" s="18">
        <f>IFERROR(
                  Andel_oberoende_av_klimat*VLOOKUP($A304,Leveranser_per_nät,'Leveranser per nät'!AA$1,FALSE)
               +Andel_beroende_av_klimat*VLOOKUP($A304,Leveranser_per_nät,'Leveranser per nät'!AA$1,FALSE)/VLOOKUP($B304,Korrigeringsfaktor_EI,'Korrigeringsfaktor EI'!AA$1,FALSE),
"")</f>
        <v>281.14923790849673</v>
      </c>
      <c r="AB304" s="18">
        <f>IFERROR(
                  Andel_oberoende_av_klimat*VLOOKUP($A304,Leveranser_per_nät,'Leveranser per nät'!AB$1,FALSE)
               +Andel_beroende_av_klimat*VLOOKUP($A304,Leveranser_per_nät,'Leveranser per nät'!AB$1,FALSE)/VLOOKUP($B304,Korrigeringsfaktor_EI,'Korrigeringsfaktor EI'!AB$1,FALSE),
"")</f>
        <v>277.09430924287119</v>
      </c>
      <c r="AC304" s="18">
        <f>IFERROR(
                  Andel_oberoende_av_klimat*VLOOKUP($A304,Leveranser_per_nät,'Leveranser per nät'!AC$1,FALSE)
               +Andel_beroende_av_klimat*VLOOKUP($A304,Leveranser_per_nät,'Leveranser per nät'!AC$1,FALSE)/VLOOKUP($B304,Korrigeringsfaktor_EI,'Korrigeringsfaktor EI'!AC$1,FALSE),
"")</f>
        <v>268.46304636459428</v>
      </c>
      <c r="AD304">
        <v>258.73</v>
      </c>
    </row>
    <row r="305" spans="1:30" x14ac:dyDescent="0.25">
      <c r="A305" t="s">
        <v>171</v>
      </c>
      <c r="B305" t="s">
        <v>211</v>
      </c>
      <c r="C305" s="18" t="str">
        <f>IFERROR(
                  Andel_oberoende_av_klimat*VLOOKUP($A305,Leveranser_per_nät,'Leveranser per nät'!C$1,FALSE)
               +Andel_beroende_av_klimat*VLOOKUP($A305,Leveranser_per_nät,'Leveranser per nät'!C$1,FALSE)/VLOOKUP($B305,Korrigeringsfaktor_EI,'Korrigeringsfaktor EI'!C$1,FALSE),
"")</f>
        <v/>
      </c>
      <c r="D305" s="18" t="str">
        <f>IFERROR(
                  Andel_oberoende_av_klimat*VLOOKUP($A305,Leveranser_per_nät,'Leveranser per nät'!D$1,FALSE)
               +Andel_beroende_av_klimat*VLOOKUP($A305,Leveranser_per_nät,'Leveranser per nät'!D$1,FALSE)/VLOOKUP($B305,Korrigeringsfaktor_EI,'Korrigeringsfaktor EI'!D$1,FALSE),
"")</f>
        <v/>
      </c>
      <c r="E305" s="18" t="str">
        <f>IFERROR(
                  Andel_oberoende_av_klimat*VLOOKUP($A305,Leveranser_per_nät,'Leveranser per nät'!E$1,FALSE)
               +Andel_beroende_av_klimat*VLOOKUP($A305,Leveranser_per_nät,'Leveranser per nät'!E$1,FALSE)/VLOOKUP($B305,Korrigeringsfaktor_EI,'Korrigeringsfaktor EI'!E$1,FALSE),
"")</f>
        <v/>
      </c>
      <c r="F305" s="18" t="str">
        <f>IFERROR(
                  Andel_oberoende_av_klimat*VLOOKUP($A305,Leveranser_per_nät,'Leveranser per nät'!F$1,FALSE)
               +Andel_beroende_av_klimat*VLOOKUP($A305,Leveranser_per_nät,'Leveranser per nät'!F$1,FALSE)/VLOOKUP($B305,Korrigeringsfaktor_EI,'Korrigeringsfaktor EI'!F$1,FALSE),
"")</f>
        <v/>
      </c>
      <c r="G305" s="18" t="str">
        <f>IFERROR(
                  Andel_oberoende_av_klimat*VLOOKUP($A305,Leveranser_per_nät,'Leveranser per nät'!G$1,FALSE)
               +Andel_beroende_av_klimat*VLOOKUP($A305,Leveranser_per_nät,'Leveranser per nät'!G$1,FALSE)/VLOOKUP($B305,Korrigeringsfaktor_EI,'Korrigeringsfaktor EI'!G$1,FALSE),
"")</f>
        <v/>
      </c>
      <c r="H305" s="18" t="str">
        <f>IFERROR(
                  Andel_oberoende_av_klimat*VLOOKUP($A305,Leveranser_per_nät,'Leveranser per nät'!H$1,FALSE)
               +Andel_beroende_av_klimat*VLOOKUP($A305,Leveranser_per_nät,'Leveranser per nät'!H$1,FALSE)/VLOOKUP($B305,Korrigeringsfaktor_EI,'Korrigeringsfaktor EI'!H$1,FALSE),
"")</f>
        <v/>
      </c>
      <c r="I305" s="18" t="str">
        <f>IFERROR(
                  Andel_oberoende_av_klimat*VLOOKUP($A305,Leveranser_per_nät,'Leveranser per nät'!I$1,FALSE)
               +Andel_beroende_av_klimat*VLOOKUP($A305,Leveranser_per_nät,'Leveranser per nät'!I$1,FALSE)/VLOOKUP($B305,Korrigeringsfaktor_EI,'Korrigeringsfaktor EI'!I$1,FALSE),
"")</f>
        <v/>
      </c>
      <c r="J305" s="18" t="str">
        <f>IFERROR(
                  Andel_oberoende_av_klimat*VLOOKUP($A305,Leveranser_per_nät,'Leveranser per nät'!J$1,FALSE)
               +Andel_beroende_av_klimat*VLOOKUP($A305,Leveranser_per_nät,'Leveranser per nät'!J$1,FALSE)/VLOOKUP($B305,Korrigeringsfaktor_EI,'Korrigeringsfaktor EI'!J$1,FALSE),
"")</f>
        <v/>
      </c>
      <c r="K305" s="18" t="str">
        <f>IFERROR(
                  Andel_oberoende_av_klimat*VLOOKUP($A305,Leveranser_per_nät,'Leveranser per nät'!K$1,FALSE)
               +Andel_beroende_av_klimat*VLOOKUP($A305,Leveranser_per_nät,'Leveranser per nät'!K$1,FALSE)/VLOOKUP($B305,Korrigeringsfaktor_EI,'Korrigeringsfaktor EI'!K$1,FALSE),
"")</f>
        <v/>
      </c>
      <c r="L305" s="18" t="str">
        <f>IFERROR(
                  Andel_oberoende_av_klimat*VLOOKUP($A305,Leveranser_per_nät,'Leveranser per nät'!L$1,FALSE)
               +Andel_beroende_av_klimat*VLOOKUP($A305,Leveranser_per_nät,'Leveranser per nät'!L$1,FALSE)/VLOOKUP($B305,Korrigeringsfaktor_EI,'Korrigeringsfaktor EI'!L$1,FALSE),
"")</f>
        <v/>
      </c>
      <c r="M305" s="18" t="str">
        <f>IFERROR(
                  Andel_oberoende_av_klimat*VLOOKUP($A305,Leveranser_per_nät,'Leveranser per nät'!M$1,FALSE)
               +Andel_beroende_av_klimat*VLOOKUP($A305,Leveranser_per_nät,'Leveranser per nät'!M$1,FALSE)/VLOOKUP($B305,Korrigeringsfaktor_EI,'Korrigeringsfaktor EI'!M$1,FALSE),
"")</f>
        <v/>
      </c>
      <c r="N305" s="18" t="str">
        <f>IFERROR(
                  Andel_oberoende_av_klimat*VLOOKUP($A305,Leveranser_per_nät,'Leveranser per nät'!N$1,FALSE)
               +Andel_beroende_av_klimat*VLOOKUP($A305,Leveranser_per_nät,'Leveranser per nät'!N$1,FALSE)/VLOOKUP($B305,Korrigeringsfaktor_EI,'Korrigeringsfaktor EI'!N$1,FALSE),
"")</f>
        <v/>
      </c>
      <c r="O305" s="18" t="str">
        <f>IFERROR(
                  Andel_oberoende_av_klimat*VLOOKUP($A305,Leveranser_per_nät,'Leveranser per nät'!O$1,FALSE)
               +Andel_beroende_av_klimat*VLOOKUP($A305,Leveranser_per_nät,'Leveranser per nät'!O$1,FALSE)/VLOOKUP($B305,Korrigeringsfaktor_EI,'Korrigeringsfaktor EI'!O$1,FALSE),
"")</f>
        <v/>
      </c>
      <c r="P305" s="18" t="str">
        <f>IFERROR(
                  Andel_oberoende_av_klimat*VLOOKUP($A305,Leveranser_per_nät,'Leveranser per nät'!P$1,FALSE)
               +Andel_beroende_av_klimat*VLOOKUP($A305,Leveranser_per_nät,'Leveranser per nät'!P$1,FALSE)/VLOOKUP($B305,Korrigeringsfaktor_EI,'Korrigeringsfaktor EI'!P$1,FALSE),
"")</f>
        <v/>
      </c>
      <c r="Q305" s="18" t="str">
        <f>IFERROR(
                  Andel_oberoende_av_klimat*VLOOKUP($A305,Leveranser_per_nät,'Leveranser per nät'!Q$1,FALSE)
               +Andel_beroende_av_klimat*VLOOKUP($A305,Leveranser_per_nät,'Leveranser per nät'!Q$1,FALSE)/VLOOKUP($B305,Korrigeringsfaktor_EI,'Korrigeringsfaktor EI'!Q$1,FALSE),
"")</f>
        <v/>
      </c>
      <c r="R305" s="18" t="str">
        <f>IFERROR(
                  Andel_oberoende_av_klimat*VLOOKUP($A305,Leveranser_per_nät,'Leveranser per nät'!R$1,FALSE)
               +Andel_beroende_av_klimat*VLOOKUP($A305,Leveranser_per_nät,'Leveranser per nät'!R$1,FALSE)/VLOOKUP($B305,Korrigeringsfaktor_EI,'Korrigeringsfaktor EI'!R$1,FALSE),
"")</f>
        <v/>
      </c>
      <c r="S305" s="18" t="str">
        <f>IFERROR(
                  Andel_oberoende_av_klimat*VLOOKUP($A305,Leveranser_per_nät,'Leveranser per nät'!S$1,FALSE)
               +Andel_beroende_av_klimat*VLOOKUP($A305,Leveranser_per_nät,'Leveranser per nät'!S$1,FALSE)/VLOOKUP($B305,Korrigeringsfaktor_EI,'Korrigeringsfaktor EI'!S$1,FALSE),
"")</f>
        <v/>
      </c>
      <c r="T305" s="18" t="str">
        <f>IFERROR(
                  Andel_oberoende_av_klimat*VLOOKUP($A305,Leveranser_per_nät,'Leveranser per nät'!T$1,FALSE)
               +Andel_beroende_av_klimat*VLOOKUP($A305,Leveranser_per_nät,'Leveranser per nät'!T$1,FALSE)/VLOOKUP($B305,Korrigeringsfaktor_EI,'Korrigeringsfaktor EI'!T$1,FALSE),
"")</f>
        <v/>
      </c>
      <c r="U305" s="18" t="str">
        <f>IFERROR(
                  Andel_oberoende_av_klimat*VLOOKUP($A305,Leveranser_per_nät,'Leveranser per nät'!U$1,FALSE)
               +Andel_beroende_av_klimat*VLOOKUP($A305,Leveranser_per_nät,'Leveranser per nät'!U$1,FALSE)/VLOOKUP($B305,Korrigeringsfaktor_EI,'Korrigeringsfaktor EI'!U$1,FALSE),
"")</f>
        <v/>
      </c>
      <c r="V305" s="18" t="str">
        <f>IFERROR(
                  Andel_oberoende_av_klimat*VLOOKUP($A305,Leveranser_per_nät,'Leveranser per nät'!V$1,FALSE)
               +Andel_beroende_av_klimat*VLOOKUP($A305,Leveranser_per_nät,'Leveranser per nät'!V$1,FALSE)/VLOOKUP($B305,Korrigeringsfaktor_EI,'Korrigeringsfaktor EI'!V$1,FALSE),
"")</f>
        <v/>
      </c>
      <c r="W305" s="18" t="str">
        <f>IFERROR(
                  Andel_oberoende_av_klimat*VLOOKUP($A305,Leveranser_per_nät,'Leveranser per nät'!W$1,FALSE)
               +Andel_beroende_av_klimat*VLOOKUP($A305,Leveranser_per_nät,'Leveranser per nät'!W$1,FALSE)/VLOOKUP($B305,Korrigeringsfaktor_EI,'Korrigeringsfaktor EI'!W$1,FALSE),
"")</f>
        <v/>
      </c>
      <c r="X305" s="18" t="str">
        <f>IFERROR(
                  Andel_oberoende_av_klimat*VLOOKUP($A305,Leveranser_per_nät,'Leveranser per nät'!X$1,FALSE)
               +Andel_beroende_av_klimat*VLOOKUP($A305,Leveranser_per_nät,'Leveranser per nät'!X$1,FALSE)/VLOOKUP($B305,Korrigeringsfaktor_EI,'Korrigeringsfaktor EI'!X$1,FALSE),
"")</f>
        <v/>
      </c>
      <c r="Y305" s="18" t="str">
        <f>IFERROR(
                  Andel_oberoende_av_klimat*VLOOKUP($A305,Leveranser_per_nät,'Leveranser per nät'!Y$1,FALSE)
               +Andel_beroende_av_klimat*VLOOKUP($A305,Leveranser_per_nät,'Leveranser per nät'!Y$1,FALSE)/VLOOKUP($B305,Korrigeringsfaktor_EI,'Korrigeringsfaktor EI'!Y$1,FALSE),
"")</f>
        <v/>
      </c>
      <c r="Z305" s="18" t="str">
        <f>IFERROR(
                  Andel_oberoende_av_klimat*VLOOKUP($A305,Leveranser_per_nät,'Leveranser per nät'!Z$1,FALSE)
               +Andel_beroende_av_klimat*VLOOKUP($A305,Leveranser_per_nät,'Leveranser per nät'!Z$1,FALSE)/VLOOKUP($B305,Korrigeringsfaktor_EI,'Korrigeringsfaktor EI'!Z$1,FALSE),
"")</f>
        <v/>
      </c>
      <c r="AA305" s="18" t="str">
        <f>IFERROR(
                  Andel_oberoende_av_klimat*VLOOKUP($A305,Leveranser_per_nät,'Leveranser per nät'!AA$1,FALSE)
               +Andel_beroende_av_klimat*VLOOKUP($A305,Leveranser_per_nät,'Leveranser per nät'!AA$1,FALSE)/VLOOKUP($B305,Korrigeringsfaktor_EI,'Korrigeringsfaktor EI'!AA$1,FALSE),
"")</f>
        <v/>
      </c>
      <c r="AB305" s="18" t="str">
        <f>IFERROR(
                  Andel_oberoende_av_klimat*VLOOKUP($A305,Leveranser_per_nät,'Leveranser per nät'!AB$1,FALSE)
               +Andel_beroende_av_klimat*VLOOKUP($A305,Leveranser_per_nät,'Leveranser per nät'!AB$1,FALSE)/VLOOKUP($B305,Korrigeringsfaktor_EI,'Korrigeringsfaktor EI'!AB$1,FALSE),
"")</f>
        <v/>
      </c>
      <c r="AC305" s="18" t="str">
        <f>IFERROR(
                  Andel_oberoende_av_klimat*VLOOKUP($A305,Leveranser_per_nät,'Leveranser per nät'!AC$1,FALSE)
               +Andel_beroende_av_klimat*VLOOKUP($A305,Leveranser_per_nät,'Leveranser per nät'!AC$1,FALSE)/VLOOKUP($B305,Korrigeringsfaktor_EI,'Korrigeringsfaktor EI'!AC$1,FALSE),
"")</f>
        <v/>
      </c>
      <c r="AD305">
        <v>41.512</v>
      </c>
    </row>
    <row r="306" spans="1:30" x14ac:dyDescent="0.25">
      <c r="A306" t="s">
        <v>121</v>
      </c>
      <c r="B306" t="s">
        <v>121</v>
      </c>
      <c r="C306" s="18">
        <f>IFERROR(
                  Andel_oberoende_av_klimat*VLOOKUP($A306,Leveranser_per_nät,'Leveranser per nät'!C$1,FALSE)
               +Andel_beroende_av_klimat*VLOOKUP($A306,Leveranser_per_nät,'Leveranser per nät'!C$1,FALSE)/VLOOKUP($B306,Korrigeringsfaktor_EI,'Korrigeringsfaktor EI'!C$1,FALSE),
"")</f>
        <v>13.274074074074074</v>
      </c>
      <c r="D306" s="18">
        <f>IFERROR(
                  Andel_oberoende_av_klimat*VLOOKUP($A306,Leveranser_per_nät,'Leveranser per nät'!D$1,FALSE)
               +Andel_beroende_av_klimat*VLOOKUP($A306,Leveranser_per_nät,'Leveranser per nät'!D$1,FALSE)/VLOOKUP($B306,Korrigeringsfaktor_EI,'Korrigeringsfaktor EI'!D$1,FALSE),
"")</f>
        <v>14.894575757575755</v>
      </c>
      <c r="E306" s="18">
        <f>IFERROR(
                  Andel_oberoende_av_klimat*VLOOKUP($A306,Leveranser_per_nät,'Leveranser per nät'!E$1,FALSE)
               +Andel_beroende_av_klimat*VLOOKUP($A306,Leveranser_per_nät,'Leveranser per nät'!E$1,FALSE)/VLOOKUP($B306,Korrigeringsfaktor_EI,'Korrigeringsfaktor EI'!E$1,FALSE),
"")</f>
        <v>14.694174757281555</v>
      </c>
      <c r="F306" s="18">
        <f>IFERROR(
                  Andel_oberoende_av_klimat*VLOOKUP($A306,Leveranser_per_nät,'Leveranser per nät'!F$1,FALSE)
               +Andel_beroende_av_klimat*VLOOKUP($A306,Leveranser_per_nät,'Leveranser per nät'!F$1,FALSE)/VLOOKUP($B306,Korrigeringsfaktor_EI,'Korrigeringsfaktor EI'!F$1,FALSE),
"")</f>
        <v>18.804255319148936</v>
      </c>
      <c r="G306" s="18">
        <f>IFERROR(
                  Andel_oberoende_av_klimat*VLOOKUP($A306,Leveranser_per_nät,'Leveranser per nät'!G$1,FALSE)
               +Andel_beroende_av_klimat*VLOOKUP($A306,Leveranser_per_nät,'Leveranser per nät'!G$1,FALSE)/VLOOKUP($B306,Korrigeringsfaktor_EI,'Korrigeringsfaktor EI'!G$1,FALSE),
"")</f>
        <v>18.470786516853931</v>
      </c>
      <c r="H306" s="18">
        <f>IFERROR(
                  Andel_oberoende_av_klimat*VLOOKUP($A306,Leveranser_per_nät,'Leveranser per nät'!H$1,FALSE)
               +Andel_beroende_av_klimat*VLOOKUP($A306,Leveranser_per_nät,'Leveranser per nät'!H$1,FALSE)/VLOOKUP($B306,Korrigeringsfaktor_EI,'Korrigeringsfaktor EI'!H$1,FALSE),
"")</f>
        <v>15.889108910891089</v>
      </c>
      <c r="I306" s="18">
        <f>IFERROR(
                  Andel_oberoende_av_klimat*VLOOKUP($A306,Leveranser_per_nät,'Leveranser per nät'!I$1,FALSE)
               +Andel_beroende_av_klimat*VLOOKUP($A306,Leveranser_per_nät,'Leveranser per nät'!I$1,FALSE)/VLOOKUP($B306,Korrigeringsfaktor_EI,'Korrigeringsfaktor EI'!I$1,FALSE),
"")</f>
        <v>16.228571428571428</v>
      </c>
      <c r="J306" s="18">
        <f>IFERROR(
                  Andel_oberoende_av_klimat*VLOOKUP($A306,Leveranser_per_nät,'Leveranser per nät'!J$1,FALSE)
               +Andel_beroende_av_klimat*VLOOKUP($A306,Leveranser_per_nät,'Leveranser per nät'!J$1,FALSE)/VLOOKUP($B306,Korrigeringsfaktor_EI,'Korrigeringsfaktor EI'!J$1,FALSE),
"")</f>
        <v>15.780392156862744</v>
      </c>
      <c r="K306" s="18">
        <f>IFERROR(
                  Andel_oberoende_av_klimat*VLOOKUP($A306,Leveranser_per_nät,'Leveranser per nät'!K$1,FALSE)
               +Andel_beroende_av_klimat*VLOOKUP($A306,Leveranser_per_nät,'Leveranser per nät'!K$1,FALSE)/VLOOKUP($B306,Korrigeringsfaktor_EI,'Korrigeringsfaktor EI'!K$1,FALSE),
"")</f>
        <v>0</v>
      </c>
      <c r="L306" s="18">
        <f>IFERROR(
                  Andel_oberoende_av_klimat*VLOOKUP($A306,Leveranser_per_nät,'Leveranser per nät'!L$1,FALSE)
               +Andel_beroende_av_klimat*VLOOKUP($A306,Leveranser_per_nät,'Leveranser per nät'!L$1,FALSE)/VLOOKUP($B306,Korrigeringsfaktor_EI,'Korrigeringsfaktor EI'!L$1,FALSE),
"")</f>
        <v>0</v>
      </c>
      <c r="M306" s="18">
        <f>IFERROR(
                  Andel_oberoende_av_klimat*VLOOKUP($A306,Leveranser_per_nät,'Leveranser per nät'!M$1,FALSE)
               +Andel_beroende_av_klimat*VLOOKUP($A306,Leveranser_per_nät,'Leveranser per nät'!M$1,FALSE)/VLOOKUP($B306,Korrigeringsfaktor_EI,'Korrigeringsfaktor EI'!M$1,FALSE),
"")</f>
        <v>0</v>
      </c>
      <c r="N306" s="18">
        <f>IFERROR(
                  Andel_oberoende_av_klimat*VLOOKUP($A306,Leveranser_per_nät,'Leveranser per nät'!N$1,FALSE)
               +Andel_beroende_av_klimat*VLOOKUP($A306,Leveranser_per_nät,'Leveranser per nät'!N$1,FALSE)/VLOOKUP($B306,Korrigeringsfaktor_EI,'Korrigeringsfaktor EI'!N$1,FALSE),
"")</f>
        <v>0</v>
      </c>
      <c r="O306" s="18">
        <f>IFERROR(
                  Andel_oberoende_av_klimat*VLOOKUP($A306,Leveranser_per_nät,'Leveranser per nät'!O$1,FALSE)
               +Andel_beroende_av_klimat*VLOOKUP($A306,Leveranser_per_nät,'Leveranser per nät'!O$1,FALSE)/VLOOKUP($B306,Korrigeringsfaktor_EI,'Korrigeringsfaktor EI'!O$1,FALSE),
"")</f>
        <v>0</v>
      </c>
      <c r="P306" s="18">
        <f>IFERROR(
                  Andel_oberoende_av_klimat*VLOOKUP($A306,Leveranser_per_nät,'Leveranser per nät'!P$1,FALSE)
               +Andel_beroende_av_klimat*VLOOKUP($A306,Leveranser_per_nät,'Leveranser per nät'!P$1,FALSE)/VLOOKUP($B306,Korrigeringsfaktor_EI,'Korrigeringsfaktor EI'!P$1,FALSE),
"")</f>
        <v>222.95</v>
      </c>
      <c r="Q306" s="18">
        <f>IFERROR(
                  Andel_oberoende_av_klimat*VLOOKUP($A306,Leveranser_per_nät,'Leveranser per nät'!Q$1,FALSE)
               +Andel_beroende_av_klimat*VLOOKUP($A306,Leveranser_per_nät,'Leveranser per nät'!Q$1,FALSE)/VLOOKUP($B306,Korrigeringsfaktor_EI,'Korrigeringsfaktor EI'!Q$1,FALSE),
"")</f>
        <v>0</v>
      </c>
      <c r="R306" s="18">
        <f>IFERROR(
                  Andel_oberoende_av_klimat*VLOOKUP($A306,Leveranser_per_nät,'Leveranser per nät'!R$1,FALSE)
               +Andel_beroende_av_klimat*VLOOKUP($A306,Leveranser_per_nät,'Leveranser per nät'!R$1,FALSE)/VLOOKUP($B306,Korrigeringsfaktor_EI,'Korrigeringsfaktor EI'!R$1,FALSE),
"")</f>
        <v>60.007604123711339</v>
      </c>
      <c r="S306" s="18">
        <f>IFERROR(
                  Andel_oberoende_av_klimat*VLOOKUP($A306,Leveranser_per_nät,'Leveranser per nät'!S$1,FALSE)
               +Andel_beroende_av_klimat*VLOOKUP($A306,Leveranser_per_nät,'Leveranser per nät'!S$1,FALSE)/VLOOKUP($B306,Korrigeringsfaktor_EI,'Korrigeringsfaktor EI'!S$1,FALSE),
"")</f>
        <v>59.93333333333333</v>
      </c>
      <c r="T306" s="18">
        <f>IFERROR(
                  Andel_oberoende_av_klimat*VLOOKUP($A306,Leveranser_per_nät,'Leveranser per nät'!T$1,FALSE)
               +Andel_beroende_av_klimat*VLOOKUP($A306,Leveranser_per_nät,'Leveranser per nät'!T$1,FALSE)/VLOOKUP($B306,Korrigeringsfaktor_EI,'Korrigeringsfaktor EI'!T$1,FALSE),
"")</f>
        <v>59.045000000000002</v>
      </c>
      <c r="U306" s="18">
        <f>IFERROR(
                  Andel_oberoende_av_klimat*VLOOKUP($A306,Leveranser_per_nät,'Leveranser per nät'!U$1,FALSE)
               +Andel_beroende_av_klimat*VLOOKUP($A306,Leveranser_per_nät,'Leveranser per nät'!U$1,FALSE)/VLOOKUP($B306,Korrigeringsfaktor_EI,'Korrigeringsfaktor EI'!U$1,FALSE),
"")</f>
        <v>57.772940425531914</v>
      </c>
      <c r="V306" s="18">
        <f>IFERROR(
                  Andel_oberoende_av_klimat*VLOOKUP($A306,Leveranser_per_nät,'Leveranser per nät'!V$1,FALSE)
               +Andel_beroende_av_klimat*VLOOKUP($A306,Leveranser_per_nät,'Leveranser per nät'!V$1,FALSE)/VLOOKUP($B306,Korrigeringsfaktor_EI,'Korrigeringsfaktor EI'!V$1,FALSE),
"")</f>
        <v>56.659888172042997</v>
      </c>
      <c r="W306" s="18">
        <f>IFERROR(
                  Andel_oberoende_av_klimat*VLOOKUP($A306,Leveranser_per_nät,'Leveranser per nät'!W$1,FALSE)
               +Andel_beroende_av_klimat*VLOOKUP($A306,Leveranser_per_nät,'Leveranser per nät'!W$1,FALSE)/VLOOKUP($B306,Korrigeringsfaktor_EI,'Korrigeringsfaktor EI'!W$1,FALSE),
"")</f>
        <v>59.344553608247431</v>
      </c>
      <c r="X306" s="18">
        <f>IFERROR(
                  Andel_oberoende_av_klimat*VLOOKUP($A306,Leveranser_per_nät,'Leveranser per nät'!X$1,FALSE)
               +Andel_beroende_av_klimat*VLOOKUP($A306,Leveranser_per_nät,'Leveranser per nät'!X$1,FALSE)/VLOOKUP($B306,Korrigeringsfaktor_EI,'Korrigeringsfaktor EI'!X$1,FALSE),
"")</f>
        <v>220.57675263157896</v>
      </c>
      <c r="Y306" s="18">
        <f>IFERROR(
                  Andel_oberoende_av_klimat*VLOOKUP($A306,Leveranser_per_nät,'Leveranser per nät'!Y$1,FALSE)
               +Andel_beroende_av_klimat*VLOOKUP($A306,Leveranser_per_nät,'Leveranser per nät'!Y$1,FALSE)/VLOOKUP($B306,Korrigeringsfaktor_EI,'Korrigeringsfaktor EI'!Y$1,FALSE),
"")</f>
        <v>221.40347826086955</v>
      </c>
      <c r="Z306" s="18">
        <f>IFERROR(
                  Andel_oberoende_av_klimat*VLOOKUP($A306,Leveranser_per_nät,'Leveranser per nät'!Z$1,FALSE)
               +Andel_beroende_av_klimat*VLOOKUP($A306,Leveranser_per_nät,'Leveranser per nät'!Z$1,FALSE)/VLOOKUP($B306,Korrigeringsfaktor_EI,'Korrigeringsfaktor EI'!Z$1,FALSE),
"")</f>
        <v>71.155169230769232</v>
      </c>
      <c r="AA306" s="18">
        <f>IFERROR(
                  Andel_oberoende_av_klimat*VLOOKUP($A306,Leveranser_per_nät,'Leveranser per nät'!AA$1,FALSE)
               +Andel_beroende_av_klimat*VLOOKUP($A306,Leveranser_per_nät,'Leveranser per nät'!AA$1,FALSE)/VLOOKUP($B306,Korrigeringsfaktor_EI,'Korrigeringsfaktor EI'!AA$1,FALSE),
"")</f>
        <v>68.120013687812587</v>
      </c>
      <c r="AB306" s="18">
        <f>IFERROR(
                  Andel_oberoende_av_klimat*VLOOKUP($A306,Leveranser_per_nät,'Leveranser per nät'!AB$1,FALSE)
               +Andel_beroende_av_klimat*VLOOKUP($A306,Leveranser_per_nät,'Leveranser per nät'!AB$1,FALSE)/VLOOKUP($B306,Korrigeringsfaktor_EI,'Korrigeringsfaktor EI'!AB$1,FALSE),
"")</f>
        <v>71.321258192651442</v>
      </c>
      <c r="AC306" s="18">
        <f>IFERROR(
                  Andel_oberoende_av_klimat*VLOOKUP($A306,Leveranser_per_nät,'Leveranser per nät'!AC$1,FALSE)
               +Andel_beroende_av_klimat*VLOOKUP($A306,Leveranser_per_nät,'Leveranser per nät'!AC$1,FALSE)/VLOOKUP($B306,Korrigeringsfaktor_EI,'Korrigeringsfaktor EI'!AC$1,FALSE),
"")</f>
        <v>59.490781012658225</v>
      </c>
      <c r="AD306">
        <v>57.290999999999997</v>
      </c>
    </row>
    <row r="307" spans="1:30" x14ac:dyDescent="0.25">
      <c r="A307" t="s">
        <v>410</v>
      </c>
      <c r="B307" t="s">
        <v>157</v>
      </c>
      <c r="C307" s="18">
        <f>IFERROR(
                  Andel_oberoende_av_klimat*VLOOKUP($A307,Leveranser_per_nät,'Leveranser per nät'!C$1,FALSE)
               +Andel_beroende_av_klimat*VLOOKUP($A307,Leveranser_per_nät,'Leveranser per nät'!C$1,FALSE)/VLOOKUP($B307,Korrigeringsfaktor_EI,'Korrigeringsfaktor EI'!C$1,FALSE),
"")</f>
        <v>0</v>
      </c>
      <c r="D307" s="18">
        <f>IFERROR(
                  Andel_oberoende_av_klimat*VLOOKUP($A307,Leveranser_per_nät,'Leveranser per nät'!D$1,FALSE)
               +Andel_beroende_av_klimat*VLOOKUP($A307,Leveranser_per_nät,'Leveranser per nät'!D$1,FALSE)/VLOOKUP($B307,Korrigeringsfaktor_EI,'Korrigeringsfaktor EI'!D$1,FALSE),
"")</f>
        <v>0</v>
      </c>
      <c r="E307" s="18">
        <f>IFERROR(
                  Andel_oberoende_av_klimat*VLOOKUP($A307,Leveranser_per_nät,'Leveranser per nät'!E$1,FALSE)
               +Andel_beroende_av_klimat*VLOOKUP($A307,Leveranser_per_nät,'Leveranser per nät'!E$1,FALSE)/VLOOKUP($B307,Korrigeringsfaktor_EI,'Korrigeringsfaktor EI'!E$1,FALSE),
"")</f>
        <v>0</v>
      </c>
      <c r="F307" s="18">
        <f>IFERROR(
                  Andel_oberoende_av_klimat*VLOOKUP($A307,Leveranser_per_nät,'Leveranser per nät'!F$1,FALSE)
               +Andel_beroende_av_klimat*VLOOKUP($A307,Leveranser_per_nät,'Leveranser per nät'!F$1,FALSE)/VLOOKUP($B307,Korrigeringsfaktor_EI,'Korrigeringsfaktor EI'!F$1,FALSE),
"")</f>
        <v>0</v>
      </c>
      <c r="G307" s="18">
        <f>IFERROR(
                  Andel_oberoende_av_klimat*VLOOKUP($A307,Leveranser_per_nät,'Leveranser per nät'!G$1,FALSE)
               +Andel_beroende_av_klimat*VLOOKUP($A307,Leveranser_per_nät,'Leveranser per nät'!G$1,FALSE)/VLOOKUP($B307,Korrigeringsfaktor_EI,'Korrigeringsfaktor EI'!G$1,FALSE),
"")</f>
        <v>0</v>
      </c>
      <c r="H307" s="18">
        <f>IFERROR(
                  Andel_oberoende_av_klimat*VLOOKUP($A307,Leveranser_per_nät,'Leveranser per nät'!H$1,FALSE)
               +Andel_beroende_av_klimat*VLOOKUP($A307,Leveranser_per_nät,'Leveranser per nät'!H$1,FALSE)/VLOOKUP($B307,Korrigeringsfaktor_EI,'Korrigeringsfaktor EI'!H$1,FALSE),
"")</f>
        <v>0</v>
      </c>
      <c r="I307" s="18">
        <f>IFERROR(
                  Andel_oberoende_av_klimat*VLOOKUP($A307,Leveranser_per_nät,'Leveranser per nät'!I$1,FALSE)
               +Andel_beroende_av_klimat*VLOOKUP($A307,Leveranser_per_nät,'Leveranser per nät'!I$1,FALSE)/VLOOKUP($B307,Korrigeringsfaktor_EI,'Korrigeringsfaktor EI'!I$1,FALSE),
"")</f>
        <v>0</v>
      </c>
      <c r="J307" s="18">
        <f>IFERROR(
                  Andel_oberoende_av_klimat*VLOOKUP($A307,Leveranser_per_nät,'Leveranser per nät'!J$1,FALSE)
               +Andel_beroende_av_klimat*VLOOKUP($A307,Leveranser_per_nät,'Leveranser per nät'!J$1,FALSE)/VLOOKUP($B307,Korrigeringsfaktor_EI,'Korrigeringsfaktor EI'!J$1,FALSE),
"")</f>
        <v>0</v>
      </c>
      <c r="K307" s="18">
        <f>IFERROR(
                  Andel_oberoende_av_klimat*VLOOKUP($A307,Leveranser_per_nät,'Leveranser per nät'!K$1,FALSE)
               +Andel_beroende_av_klimat*VLOOKUP($A307,Leveranser_per_nät,'Leveranser per nät'!K$1,FALSE)/VLOOKUP($B307,Korrigeringsfaktor_EI,'Korrigeringsfaktor EI'!K$1,FALSE),
"")</f>
        <v>0</v>
      </c>
      <c r="L307" s="18">
        <f>IFERROR(
                  Andel_oberoende_av_klimat*VLOOKUP($A307,Leveranser_per_nät,'Leveranser per nät'!L$1,FALSE)
               +Andel_beroende_av_klimat*VLOOKUP($A307,Leveranser_per_nät,'Leveranser per nät'!L$1,FALSE)/VLOOKUP($B307,Korrigeringsfaktor_EI,'Korrigeringsfaktor EI'!L$1,FALSE),
"")</f>
        <v>2.9662647311827959</v>
      </c>
      <c r="M307" s="18">
        <f>IFERROR(
                  Andel_oberoende_av_klimat*VLOOKUP($A307,Leveranser_per_nät,'Leveranser per nät'!M$1,FALSE)
               +Andel_beroende_av_klimat*VLOOKUP($A307,Leveranser_per_nät,'Leveranser per nät'!M$1,FALSE)/VLOOKUP($B307,Korrigeringsfaktor_EI,'Korrigeringsfaktor EI'!M$1,FALSE),
"")</f>
        <v>0</v>
      </c>
      <c r="N307" s="18">
        <f>IFERROR(
                  Andel_oberoende_av_klimat*VLOOKUP($A307,Leveranser_per_nät,'Leveranser per nät'!N$1,FALSE)
               +Andel_beroende_av_klimat*VLOOKUP($A307,Leveranser_per_nät,'Leveranser per nät'!N$1,FALSE)/VLOOKUP($B307,Korrigeringsfaktor_EI,'Korrigeringsfaktor EI'!N$1,FALSE),
"")</f>
        <v>0</v>
      </c>
      <c r="O307" s="18">
        <f>IFERROR(
                  Andel_oberoende_av_klimat*VLOOKUP($A307,Leveranser_per_nät,'Leveranser per nät'!O$1,FALSE)
               +Andel_beroende_av_klimat*VLOOKUP($A307,Leveranser_per_nät,'Leveranser per nät'!O$1,FALSE)/VLOOKUP($B307,Korrigeringsfaktor_EI,'Korrigeringsfaktor EI'!O$1,FALSE),
"")</f>
        <v>0</v>
      </c>
      <c r="P307" s="18">
        <f>IFERROR(
                  Andel_oberoende_av_klimat*VLOOKUP($A307,Leveranser_per_nät,'Leveranser per nät'!P$1,FALSE)
               +Andel_beroende_av_klimat*VLOOKUP($A307,Leveranser_per_nät,'Leveranser per nät'!P$1,FALSE)/VLOOKUP($B307,Korrigeringsfaktor_EI,'Korrigeringsfaktor EI'!P$1,FALSE),
"")</f>
        <v>0</v>
      </c>
      <c r="Q307" s="18">
        <f>IFERROR(
                  Andel_oberoende_av_klimat*VLOOKUP($A307,Leveranser_per_nät,'Leveranser per nät'!Q$1,FALSE)
               +Andel_beroende_av_klimat*VLOOKUP($A307,Leveranser_per_nät,'Leveranser per nät'!Q$1,FALSE)/VLOOKUP($B307,Korrigeringsfaktor_EI,'Korrigeringsfaktor EI'!Q$1,FALSE),
"")</f>
        <v>0</v>
      </c>
      <c r="R307" s="18">
        <f>IFERROR(
                  Andel_oberoende_av_klimat*VLOOKUP($A307,Leveranser_per_nät,'Leveranser per nät'!R$1,FALSE)
               +Andel_beroende_av_klimat*VLOOKUP($A307,Leveranser_per_nät,'Leveranser per nät'!R$1,FALSE)/VLOOKUP($B307,Korrigeringsfaktor_EI,'Korrigeringsfaktor EI'!R$1,FALSE),
"")</f>
        <v>0</v>
      </c>
      <c r="S307" s="18" t="str">
        <f>IFERROR(
                  Andel_oberoende_av_klimat*VLOOKUP($A307,Leveranser_per_nät,'Leveranser per nät'!S$1,FALSE)
               +Andel_beroende_av_klimat*VLOOKUP($A307,Leveranser_per_nät,'Leveranser per nät'!S$1,FALSE)/VLOOKUP($B307,Korrigeringsfaktor_EI,'Korrigeringsfaktor EI'!S$1,FALSE),
"")</f>
        <v/>
      </c>
      <c r="T307" s="18" t="str">
        <f>IFERROR(
                  Andel_oberoende_av_klimat*VLOOKUP($A307,Leveranser_per_nät,'Leveranser per nät'!T$1,FALSE)
               +Andel_beroende_av_klimat*VLOOKUP($A307,Leveranser_per_nät,'Leveranser per nät'!T$1,FALSE)/VLOOKUP($B307,Korrigeringsfaktor_EI,'Korrigeringsfaktor EI'!T$1,FALSE),
"")</f>
        <v/>
      </c>
      <c r="U307" s="18" t="str">
        <f>IFERROR(
                  Andel_oberoende_av_klimat*VLOOKUP($A307,Leveranser_per_nät,'Leveranser per nät'!U$1,FALSE)
               +Andel_beroende_av_klimat*VLOOKUP($A307,Leveranser_per_nät,'Leveranser per nät'!U$1,FALSE)/VLOOKUP($B307,Korrigeringsfaktor_EI,'Korrigeringsfaktor EI'!U$1,FALSE),
"")</f>
        <v/>
      </c>
      <c r="V307" s="18" t="str">
        <f>IFERROR(
                  Andel_oberoende_av_klimat*VLOOKUP($A307,Leveranser_per_nät,'Leveranser per nät'!V$1,FALSE)
               +Andel_beroende_av_klimat*VLOOKUP($A307,Leveranser_per_nät,'Leveranser per nät'!V$1,FALSE)/VLOOKUP($B307,Korrigeringsfaktor_EI,'Korrigeringsfaktor EI'!V$1,FALSE),
"")</f>
        <v/>
      </c>
      <c r="W307" s="18" t="str">
        <f>IFERROR(
                  Andel_oberoende_av_klimat*VLOOKUP($A307,Leveranser_per_nät,'Leveranser per nät'!W$1,FALSE)
               +Andel_beroende_av_klimat*VLOOKUP($A307,Leveranser_per_nät,'Leveranser per nät'!W$1,FALSE)/VLOOKUP($B307,Korrigeringsfaktor_EI,'Korrigeringsfaktor EI'!W$1,FALSE),
"")</f>
        <v/>
      </c>
      <c r="X307" s="18" t="str">
        <f>IFERROR(
                  Andel_oberoende_av_klimat*VLOOKUP($A307,Leveranser_per_nät,'Leveranser per nät'!X$1,FALSE)
               +Andel_beroende_av_klimat*VLOOKUP($A307,Leveranser_per_nät,'Leveranser per nät'!X$1,FALSE)/VLOOKUP($B307,Korrigeringsfaktor_EI,'Korrigeringsfaktor EI'!X$1,FALSE),
"")</f>
        <v/>
      </c>
      <c r="Y307" s="18" t="str">
        <f>IFERROR(
                  Andel_oberoende_av_klimat*VLOOKUP($A307,Leveranser_per_nät,'Leveranser per nät'!Y$1,FALSE)
               +Andel_beroende_av_klimat*VLOOKUP($A307,Leveranser_per_nät,'Leveranser per nät'!Y$1,FALSE)/VLOOKUP($B307,Korrigeringsfaktor_EI,'Korrigeringsfaktor EI'!Y$1,FALSE),
"")</f>
        <v/>
      </c>
      <c r="Z307" s="18">
        <f>IFERROR(
                  Andel_oberoende_av_klimat*VLOOKUP($A307,Leveranser_per_nät,'Leveranser per nät'!Z$1,FALSE)
               +Andel_beroende_av_klimat*VLOOKUP($A307,Leveranser_per_nät,'Leveranser per nät'!Z$1,FALSE)/VLOOKUP($B307,Korrigeringsfaktor_EI,'Korrigeringsfaktor EI'!Z$1,FALSE),
"")</f>
        <v>0</v>
      </c>
      <c r="AA307" s="18" t="str">
        <f>IFERROR(
                  Andel_oberoende_av_klimat*VLOOKUP($A307,Leveranser_per_nät,'Leveranser per nät'!AA$1,FALSE)
               +Andel_beroende_av_klimat*VLOOKUP($A307,Leveranser_per_nät,'Leveranser per nät'!AA$1,FALSE)/VLOOKUP($B307,Korrigeringsfaktor_EI,'Korrigeringsfaktor EI'!AA$1,FALSE),
"")</f>
        <v/>
      </c>
      <c r="AB307" s="18">
        <f>IFERROR(
                  Andel_oberoende_av_klimat*VLOOKUP($A307,Leveranser_per_nät,'Leveranser per nät'!AB$1,FALSE)
               +Andel_beroende_av_klimat*VLOOKUP($A307,Leveranser_per_nät,'Leveranser per nät'!AB$1,FALSE)/VLOOKUP($B307,Korrigeringsfaktor_EI,'Korrigeringsfaktor EI'!AB$1,FALSE),
"")</f>
        <v>0</v>
      </c>
      <c r="AC307" s="18">
        <f>IFERROR(
                  Andel_oberoende_av_klimat*VLOOKUP($A307,Leveranser_per_nät,'Leveranser per nät'!AC$1,FALSE)
               +Andel_beroende_av_klimat*VLOOKUP($A307,Leveranser_per_nät,'Leveranser per nät'!AC$1,FALSE)/VLOOKUP($B307,Korrigeringsfaktor_EI,'Korrigeringsfaktor EI'!AC$1,FALSE),
"")</f>
        <v>3.4786776859504132</v>
      </c>
      <c r="AD307">
        <v>524.17999999999995</v>
      </c>
    </row>
    <row r="308" spans="1:30" x14ac:dyDescent="0.25">
      <c r="A308" t="s">
        <v>223</v>
      </c>
      <c r="B308" t="s">
        <v>223</v>
      </c>
      <c r="C308" s="18">
        <f>IFERROR(
                  Andel_oberoende_av_klimat*VLOOKUP($A308,Leveranser_per_nät,'Leveranser per nät'!C$1,FALSE)
               +Andel_beroende_av_klimat*VLOOKUP($A308,Leveranser_per_nät,'Leveranser per nät'!C$1,FALSE)/VLOOKUP($B308,Korrigeringsfaktor_EI,'Korrigeringsfaktor EI'!C$1,FALSE),
"")</f>
        <v>114.0141592920354</v>
      </c>
      <c r="D308" s="18">
        <f>IFERROR(
                  Andel_oberoende_av_klimat*VLOOKUP($A308,Leveranser_per_nät,'Leveranser per nät'!D$1,FALSE)
               +Andel_beroende_av_klimat*VLOOKUP($A308,Leveranser_per_nät,'Leveranser per nät'!D$1,FALSE)/VLOOKUP($B308,Korrigeringsfaktor_EI,'Korrigeringsfaktor EI'!D$1,FALSE),
"")</f>
        <v>113.02705882352939</v>
      </c>
      <c r="E308" s="18">
        <f>IFERROR(
                  Andel_oberoende_av_klimat*VLOOKUP($A308,Leveranser_per_nät,'Leveranser per nät'!E$1,FALSE)
               +Andel_beroende_av_klimat*VLOOKUP($A308,Leveranser_per_nät,'Leveranser per nät'!E$1,FALSE)/VLOOKUP($B308,Korrigeringsfaktor_EI,'Korrigeringsfaktor EI'!E$1,FALSE),
"")</f>
        <v>118.3214953271028</v>
      </c>
      <c r="F308" s="18">
        <f>IFERROR(
                  Andel_oberoende_av_klimat*VLOOKUP($A308,Leveranser_per_nät,'Leveranser per nät'!F$1,FALSE)
               +Andel_beroende_av_klimat*VLOOKUP($A308,Leveranser_per_nät,'Leveranser per nät'!F$1,FALSE)/VLOOKUP($B308,Korrigeringsfaktor_EI,'Korrigeringsfaktor EI'!F$1,FALSE),
"")</f>
        <v>118.83434343434344</v>
      </c>
      <c r="G308" s="18">
        <f>IFERROR(
                  Andel_oberoende_av_klimat*VLOOKUP($A308,Leveranser_per_nät,'Leveranser per nät'!G$1,FALSE)
               +Andel_beroende_av_klimat*VLOOKUP($A308,Leveranser_per_nät,'Leveranser per nät'!G$1,FALSE)/VLOOKUP($B308,Korrigeringsfaktor_EI,'Korrigeringsfaktor EI'!G$1,FALSE),
"")</f>
        <v>119.0936170212766</v>
      </c>
      <c r="H308" s="18">
        <f>IFERROR(
                  Andel_oberoende_av_klimat*VLOOKUP($A308,Leveranser_per_nät,'Leveranser per nät'!H$1,FALSE)
               +Andel_beroende_av_klimat*VLOOKUP($A308,Leveranser_per_nät,'Leveranser per nät'!H$1,FALSE)/VLOOKUP($B308,Korrigeringsfaktor_EI,'Korrigeringsfaktor EI'!H$1,FALSE),
"")</f>
        <v>133.80317920792078</v>
      </c>
      <c r="I308" s="18">
        <f>IFERROR(
                  Andel_oberoende_av_klimat*VLOOKUP($A308,Leveranser_per_nät,'Leveranser per nät'!I$1,FALSE)
               +Andel_beroende_av_klimat*VLOOKUP($A308,Leveranser_per_nät,'Leveranser per nät'!I$1,FALSE)/VLOOKUP($B308,Korrigeringsfaktor_EI,'Korrigeringsfaktor EI'!I$1,FALSE),
"")</f>
        <v>142.87062105263158</v>
      </c>
      <c r="J308" s="18">
        <f>IFERROR(
                  Andel_oberoende_av_klimat*VLOOKUP($A308,Leveranser_per_nät,'Leveranser per nät'!J$1,FALSE)
               +Andel_beroende_av_klimat*VLOOKUP($A308,Leveranser_per_nät,'Leveranser per nät'!J$1,FALSE)/VLOOKUP($B308,Korrigeringsfaktor_EI,'Korrigeringsfaktor EI'!J$1,FALSE),
"")</f>
        <v>145.38974285714286</v>
      </c>
      <c r="K308" s="18">
        <f>IFERROR(
                  Andel_oberoende_av_klimat*VLOOKUP($A308,Leveranser_per_nät,'Leveranser per nät'!K$1,FALSE)
               +Andel_beroende_av_klimat*VLOOKUP($A308,Leveranser_per_nät,'Leveranser per nät'!K$1,FALSE)/VLOOKUP($B308,Korrigeringsfaktor_EI,'Korrigeringsfaktor EI'!K$1,FALSE),
"")</f>
        <v>142.62</v>
      </c>
      <c r="L308" s="18">
        <f>IFERROR(
                  Andel_oberoende_av_klimat*VLOOKUP($A308,Leveranser_per_nät,'Leveranser per nät'!L$1,FALSE)
               +Andel_beroende_av_klimat*VLOOKUP($A308,Leveranser_per_nät,'Leveranser per nät'!L$1,FALSE)/VLOOKUP($B308,Korrigeringsfaktor_EI,'Korrigeringsfaktor EI'!L$1,FALSE),
"")</f>
        <v>144.47441666666668</v>
      </c>
      <c r="M308" s="18">
        <f>IFERROR(
                  Andel_oberoende_av_klimat*VLOOKUP($A308,Leveranser_per_nät,'Leveranser per nät'!M$1,FALSE)
               +Andel_beroende_av_klimat*VLOOKUP($A308,Leveranser_per_nät,'Leveranser per nät'!M$1,FALSE)/VLOOKUP($B308,Korrigeringsfaktor_EI,'Korrigeringsfaktor EI'!M$1,FALSE),
"")</f>
        <v>149.41013763440858</v>
      </c>
      <c r="N308" s="18">
        <f>IFERROR(
                  Andel_oberoende_av_klimat*VLOOKUP($A308,Leveranser_per_nät,'Leveranser per nät'!N$1,FALSE)
               +Andel_beroende_av_klimat*VLOOKUP($A308,Leveranser_per_nät,'Leveranser per nät'!N$1,FALSE)/VLOOKUP($B308,Korrigeringsfaktor_EI,'Korrigeringsfaktor EI'!N$1,FALSE),
"")</f>
        <v>151.90921935483871</v>
      </c>
      <c r="O308" s="18">
        <f>IFERROR(
                  Andel_oberoende_av_klimat*VLOOKUP($A308,Leveranser_per_nät,'Leveranser per nät'!O$1,FALSE)
               +Andel_beroende_av_klimat*VLOOKUP($A308,Leveranser_per_nät,'Leveranser per nät'!O$1,FALSE)/VLOOKUP($B308,Korrigeringsfaktor_EI,'Korrigeringsfaktor EI'!O$1,FALSE),
"")</f>
        <v>154.71042258064517</v>
      </c>
      <c r="P308" s="18">
        <f>IFERROR(
                  Andel_oberoende_av_klimat*VLOOKUP($A308,Leveranser_per_nät,'Leveranser per nät'!P$1,FALSE)
               +Andel_beroende_av_klimat*VLOOKUP($A308,Leveranser_per_nät,'Leveranser per nät'!P$1,FALSE)/VLOOKUP($B308,Korrigeringsfaktor_EI,'Korrigeringsfaktor EI'!P$1,FALSE),
"")</f>
        <v>159.79415257731958</v>
      </c>
      <c r="Q308" s="18">
        <f>IFERROR(
                  Andel_oberoende_av_klimat*VLOOKUP($A308,Leveranser_per_nät,'Leveranser per nät'!Q$1,FALSE)
               +Andel_beroende_av_klimat*VLOOKUP($A308,Leveranser_per_nät,'Leveranser per nät'!Q$1,FALSE)/VLOOKUP($B308,Korrigeringsfaktor_EI,'Korrigeringsfaktor EI'!Q$1,FALSE),
"")</f>
        <v>166.73217499999998</v>
      </c>
      <c r="R308" s="18">
        <f>IFERROR(
                  Andel_oberoende_av_klimat*VLOOKUP($A308,Leveranser_per_nät,'Leveranser per nät'!R$1,FALSE)
               +Andel_beroende_av_klimat*VLOOKUP($A308,Leveranser_per_nät,'Leveranser per nät'!R$1,FALSE)/VLOOKUP($B308,Korrigeringsfaktor_EI,'Korrigeringsfaktor EI'!R$1,FALSE),
"")</f>
        <v>156.64947419354837</v>
      </c>
      <c r="S308" s="18">
        <f>IFERROR(
                  Andel_oberoende_av_klimat*VLOOKUP($A308,Leveranser_per_nät,'Leveranser per nät'!S$1,FALSE)
               +Andel_beroende_av_klimat*VLOOKUP($A308,Leveranser_per_nät,'Leveranser per nät'!S$1,FALSE)/VLOOKUP($B308,Korrigeringsfaktor_EI,'Korrigeringsfaktor EI'!S$1,FALSE),
"")</f>
        <v>159.7764705882353</v>
      </c>
      <c r="T308" s="18">
        <f>IFERROR(
                  Andel_oberoende_av_klimat*VLOOKUP($A308,Leveranser_per_nät,'Leveranser per nät'!T$1,FALSE)
               +Andel_beroende_av_klimat*VLOOKUP($A308,Leveranser_per_nät,'Leveranser per nät'!T$1,FALSE)/VLOOKUP($B308,Korrigeringsfaktor_EI,'Korrigeringsfaktor EI'!T$1,FALSE),
"")</f>
        <v>158.30950101010103</v>
      </c>
      <c r="U308" s="18">
        <f>IFERROR(
                  Andel_oberoende_av_klimat*VLOOKUP($A308,Leveranser_per_nät,'Leveranser per nät'!U$1,FALSE)
               +Andel_beroende_av_klimat*VLOOKUP($A308,Leveranser_per_nät,'Leveranser per nät'!U$1,FALSE)/VLOOKUP($B308,Korrigeringsfaktor_EI,'Korrigeringsfaktor EI'!U$1,FALSE),
"")</f>
        <v>154.27634444444445</v>
      </c>
      <c r="V308" s="18">
        <f>IFERROR(
                  Andel_oberoende_av_klimat*VLOOKUP($A308,Leveranser_per_nät,'Leveranser per nät'!V$1,FALSE)
               +Andel_beroende_av_klimat*VLOOKUP($A308,Leveranser_per_nät,'Leveranser per nät'!V$1,FALSE)/VLOOKUP($B308,Korrigeringsfaktor_EI,'Korrigeringsfaktor EI'!V$1,FALSE),
"")</f>
        <v>152.21049473684212</v>
      </c>
      <c r="W308" s="18">
        <f>IFERROR(
                  Andel_oberoende_av_klimat*VLOOKUP($A308,Leveranser_per_nät,'Leveranser per nät'!W$1,FALSE)
               +Andel_beroende_av_klimat*VLOOKUP($A308,Leveranser_per_nät,'Leveranser per nät'!W$1,FALSE)/VLOOKUP($B308,Korrigeringsfaktor_EI,'Korrigeringsfaktor EI'!W$1,FALSE),
"")</f>
        <v>155.81583333333336</v>
      </c>
      <c r="X308" s="18">
        <f>IFERROR(
                  Andel_oberoende_av_klimat*VLOOKUP($A308,Leveranser_per_nät,'Leveranser per nät'!X$1,FALSE)
               +Andel_beroende_av_klimat*VLOOKUP($A308,Leveranser_per_nät,'Leveranser per nät'!X$1,FALSE)/VLOOKUP($B308,Korrigeringsfaktor_EI,'Korrigeringsfaktor EI'!X$1,FALSE),
"")</f>
        <v>156.53625</v>
      </c>
      <c r="Y308" s="18">
        <f>IFERROR(
                  Andel_oberoende_av_klimat*VLOOKUP($A308,Leveranser_per_nät,'Leveranser per nät'!Y$1,FALSE)
               +Andel_beroende_av_klimat*VLOOKUP($A308,Leveranser_per_nät,'Leveranser per nät'!Y$1,FALSE)/VLOOKUP($B308,Korrigeringsfaktor_EI,'Korrigeringsfaktor EI'!Y$1,FALSE),
"")</f>
        <v>161.24</v>
      </c>
      <c r="Z308" s="18">
        <f>IFERROR(
                  Andel_oberoende_av_klimat*VLOOKUP($A308,Leveranser_per_nät,'Leveranser per nät'!Z$1,FALSE)
               +Andel_beroende_av_klimat*VLOOKUP($A308,Leveranser_per_nät,'Leveranser per nät'!Z$1,FALSE)/VLOOKUP($B308,Korrigeringsfaktor_EI,'Korrigeringsfaktor EI'!Z$1,FALSE),
"")</f>
        <v>155.35923076923078</v>
      </c>
      <c r="AA308" s="18">
        <f>IFERROR(
                  Andel_oberoende_av_klimat*VLOOKUP($A308,Leveranser_per_nät,'Leveranser per nät'!AA$1,FALSE)
               +Andel_beroende_av_klimat*VLOOKUP($A308,Leveranser_per_nät,'Leveranser per nät'!AA$1,FALSE)/VLOOKUP($B308,Korrigeringsfaktor_EI,'Korrigeringsfaktor EI'!AA$1,FALSE),
"")</f>
        <v>151.98969491525423</v>
      </c>
      <c r="AB308" s="18">
        <f>IFERROR(
                  Andel_oberoende_av_klimat*VLOOKUP($A308,Leveranser_per_nät,'Leveranser per nät'!AB$1,FALSE)
               +Andel_beroende_av_klimat*VLOOKUP($A308,Leveranser_per_nät,'Leveranser per nät'!AB$1,FALSE)/VLOOKUP($B308,Korrigeringsfaktor_EI,'Korrigeringsfaktor EI'!AB$1,FALSE),
"")</f>
        <v>157.94277108433735</v>
      </c>
      <c r="AC308" s="18">
        <f>IFERROR(
                  Andel_oberoende_av_klimat*VLOOKUP($A308,Leveranser_per_nät,'Leveranser per nät'!AC$1,FALSE)
               +Andel_beroende_av_klimat*VLOOKUP($A308,Leveranser_per_nät,'Leveranser per nät'!AC$1,FALSE)/VLOOKUP($B308,Korrigeringsfaktor_EI,'Korrigeringsfaktor EI'!AC$1,FALSE),
"")</f>
        <v>153.47556975505859</v>
      </c>
      <c r="AD308">
        <v>146.80000000000001</v>
      </c>
    </row>
    <row r="309" spans="1:30" x14ac:dyDescent="0.25">
      <c r="A309" t="s">
        <v>127</v>
      </c>
      <c r="B309" t="s">
        <v>117</v>
      </c>
      <c r="C309" s="18">
        <f>IFERROR(
                  Andel_oberoende_av_klimat*VLOOKUP($A309,Leveranser_per_nät,'Leveranser per nät'!C$1,FALSE)
               +Andel_beroende_av_klimat*VLOOKUP($A309,Leveranser_per_nät,'Leveranser per nät'!C$1,FALSE)/VLOOKUP($B309,Korrigeringsfaktor_EI,'Korrigeringsfaktor EI'!C$1,FALSE),
"")</f>
        <v>0</v>
      </c>
      <c r="D309" s="18">
        <f>IFERROR(
                  Andel_oberoende_av_klimat*VLOOKUP($A309,Leveranser_per_nät,'Leveranser per nät'!D$1,FALSE)
               +Andel_beroende_av_klimat*VLOOKUP($A309,Leveranser_per_nät,'Leveranser per nät'!D$1,FALSE)/VLOOKUP($B309,Korrigeringsfaktor_EI,'Korrigeringsfaktor EI'!D$1,FALSE),
"")</f>
        <v>0</v>
      </c>
      <c r="E309" s="18">
        <f>IFERROR(
                  Andel_oberoende_av_klimat*VLOOKUP($A309,Leveranser_per_nät,'Leveranser per nät'!E$1,FALSE)
               +Andel_beroende_av_klimat*VLOOKUP($A309,Leveranser_per_nät,'Leveranser per nät'!E$1,FALSE)/VLOOKUP($B309,Korrigeringsfaktor_EI,'Korrigeringsfaktor EI'!E$1,FALSE),
"")</f>
        <v>0</v>
      </c>
      <c r="F309" s="18">
        <f>IFERROR(
                  Andel_oberoende_av_klimat*VLOOKUP($A309,Leveranser_per_nät,'Leveranser per nät'!F$1,FALSE)
               +Andel_beroende_av_klimat*VLOOKUP($A309,Leveranser_per_nät,'Leveranser per nät'!F$1,FALSE)/VLOOKUP($B309,Korrigeringsfaktor_EI,'Korrigeringsfaktor EI'!F$1,FALSE),
"")</f>
        <v>0</v>
      </c>
      <c r="G309" s="18">
        <f>IFERROR(
                  Andel_oberoende_av_klimat*VLOOKUP($A309,Leveranser_per_nät,'Leveranser per nät'!G$1,FALSE)
               +Andel_beroende_av_klimat*VLOOKUP($A309,Leveranser_per_nät,'Leveranser per nät'!G$1,FALSE)/VLOOKUP($B309,Korrigeringsfaktor_EI,'Korrigeringsfaktor EI'!G$1,FALSE),
"")</f>
        <v>0</v>
      </c>
      <c r="H309" s="18">
        <f>IFERROR(
                  Andel_oberoende_av_klimat*VLOOKUP($A309,Leveranser_per_nät,'Leveranser per nät'!H$1,FALSE)
               +Andel_beroende_av_klimat*VLOOKUP($A309,Leveranser_per_nät,'Leveranser per nät'!H$1,FALSE)/VLOOKUP($B309,Korrigeringsfaktor_EI,'Korrigeringsfaktor EI'!H$1,FALSE),
"")</f>
        <v>0</v>
      </c>
      <c r="I309" s="18">
        <f>IFERROR(
                  Andel_oberoende_av_klimat*VLOOKUP($A309,Leveranser_per_nät,'Leveranser per nät'!I$1,FALSE)
               +Andel_beroende_av_klimat*VLOOKUP($A309,Leveranser_per_nät,'Leveranser per nät'!I$1,FALSE)/VLOOKUP($B309,Korrigeringsfaktor_EI,'Korrigeringsfaktor EI'!I$1,FALSE),
"")</f>
        <v>0</v>
      </c>
      <c r="J309" s="18">
        <f>IFERROR(
                  Andel_oberoende_av_klimat*VLOOKUP($A309,Leveranser_per_nät,'Leveranser per nät'!J$1,FALSE)
               +Andel_beroende_av_klimat*VLOOKUP($A309,Leveranser_per_nät,'Leveranser per nät'!J$1,FALSE)/VLOOKUP($B309,Korrigeringsfaktor_EI,'Korrigeringsfaktor EI'!J$1,FALSE),
"")</f>
        <v>0</v>
      </c>
      <c r="K309" s="18">
        <f>IFERROR(
                  Andel_oberoende_av_klimat*VLOOKUP($A309,Leveranser_per_nät,'Leveranser per nät'!K$1,FALSE)
               +Andel_beroende_av_klimat*VLOOKUP($A309,Leveranser_per_nät,'Leveranser per nät'!K$1,FALSE)/VLOOKUP($B309,Korrigeringsfaktor_EI,'Korrigeringsfaktor EI'!K$1,FALSE),
"")</f>
        <v>0</v>
      </c>
      <c r="L309" s="18">
        <f>IFERROR(
                  Andel_oberoende_av_klimat*VLOOKUP($A309,Leveranser_per_nät,'Leveranser per nät'!L$1,FALSE)
               +Andel_beroende_av_klimat*VLOOKUP($A309,Leveranser_per_nät,'Leveranser per nät'!L$1,FALSE)/VLOOKUP($B309,Korrigeringsfaktor_EI,'Korrigeringsfaktor EI'!L$1,FALSE),
"")</f>
        <v>0</v>
      </c>
      <c r="M309" s="18">
        <f>IFERROR(
                  Andel_oberoende_av_klimat*VLOOKUP($A309,Leveranser_per_nät,'Leveranser per nät'!M$1,FALSE)
               +Andel_beroende_av_klimat*VLOOKUP($A309,Leveranser_per_nät,'Leveranser per nät'!M$1,FALSE)/VLOOKUP($B309,Korrigeringsfaktor_EI,'Korrigeringsfaktor EI'!M$1,FALSE),
"")</f>
        <v>0</v>
      </c>
      <c r="N309" s="18">
        <f>IFERROR(
                  Andel_oberoende_av_klimat*VLOOKUP($A309,Leveranser_per_nät,'Leveranser per nät'!N$1,FALSE)
               +Andel_beroende_av_klimat*VLOOKUP($A309,Leveranser_per_nät,'Leveranser per nät'!N$1,FALSE)/VLOOKUP($B309,Korrigeringsfaktor_EI,'Korrigeringsfaktor EI'!N$1,FALSE),
"")</f>
        <v>0</v>
      </c>
      <c r="O309" s="18">
        <f>IFERROR(
                  Andel_oberoende_av_klimat*VLOOKUP($A309,Leveranser_per_nät,'Leveranser per nät'!O$1,FALSE)
               +Andel_beroende_av_klimat*VLOOKUP($A309,Leveranser_per_nät,'Leveranser per nät'!O$1,FALSE)/VLOOKUP($B309,Korrigeringsfaktor_EI,'Korrigeringsfaktor EI'!O$1,FALSE),
"")</f>
        <v>2.0156521739130433</v>
      </c>
      <c r="P309" s="18">
        <f>IFERROR(
                  Andel_oberoende_av_klimat*VLOOKUP($A309,Leveranser_per_nät,'Leveranser per nät'!P$1,FALSE)
               +Andel_beroende_av_klimat*VLOOKUP($A309,Leveranser_per_nät,'Leveranser per nät'!P$1,FALSE)/VLOOKUP($B309,Korrigeringsfaktor_EI,'Korrigeringsfaktor EI'!P$1,FALSE),
"")</f>
        <v>1.9411340206185566</v>
      </c>
      <c r="Q309" s="18">
        <f>IFERROR(
                  Andel_oberoende_av_klimat*VLOOKUP($A309,Leveranser_per_nät,'Leveranser per nät'!Q$1,FALSE)
               +Andel_beroende_av_klimat*VLOOKUP($A309,Leveranser_per_nät,'Leveranser per nät'!Q$1,FALSE)/VLOOKUP($B309,Korrigeringsfaktor_EI,'Korrigeringsfaktor EI'!Q$1,FALSE),
"")</f>
        <v>2.1088090090090086</v>
      </c>
      <c r="R309" s="18">
        <f>IFERROR(
                  Andel_oberoende_av_klimat*VLOOKUP($A309,Leveranser_per_nät,'Leveranser per nät'!R$1,FALSE)
               +Andel_beroende_av_klimat*VLOOKUP($A309,Leveranser_per_nät,'Leveranser per nät'!R$1,FALSE)/VLOOKUP($B309,Korrigeringsfaktor_EI,'Korrigeringsfaktor EI'!R$1,FALSE),
"")</f>
        <v>1.9820333333333333</v>
      </c>
      <c r="S309" s="18">
        <f>IFERROR(
                  Andel_oberoende_av_klimat*VLOOKUP($A309,Leveranser_per_nät,'Leveranser per nät'!S$1,FALSE)
               +Andel_beroende_av_klimat*VLOOKUP($A309,Leveranser_per_nät,'Leveranser per nät'!S$1,FALSE)/VLOOKUP($B309,Korrigeringsfaktor_EI,'Korrigeringsfaktor EI'!S$1,FALSE),
"")</f>
        <v>1.9436464646464646</v>
      </c>
      <c r="T309" s="18">
        <f>IFERROR(
                  Andel_oberoende_av_klimat*VLOOKUP($A309,Leveranser_per_nät,'Leveranser per nät'!T$1,FALSE)
               +Andel_beroende_av_klimat*VLOOKUP($A309,Leveranser_per_nät,'Leveranser per nät'!T$1,FALSE)/VLOOKUP($B309,Korrigeringsfaktor_EI,'Korrigeringsfaktor EI'!T$1,FALSE),
"")</f>
        <v>1.9907368421052631</v>
      </c>
      <c r="U309" s="18">
        <f>IFERROR(
                  Andel_oberoende_av_klimat*VLOOKUP($A309,Leveranser_per_nät,'Leveranser per nät'!U$1,FALSE)
               +Andel_beroende_av_klimat*VLOOKUP($A309,Leveranser_per_nät,'Leveranser per nät'!U$1,FALSE)/VLOOKUP($B309,Korrigeringsfaktor_EI,'Korrigeringsfaktor EI'!U$1,FALSE),
"")</f>
        <v>1.7677629213483148</v>
      </c>
      <c r="V309" s="18">
        <f>IFERROR(
                  Andel_oberoende_av_klimat*VLOOKUP($A309,Leveranser_per_nät,'Leveranser per nät'!V$1,FALSE)
               +Andel_beroende_av_klimat*VLOOKUP($A309,Leveranser_per_nät,'Leveranser per nät'!V$1,FALSE)/VLOOKUP($B309,Korrigeringsfaktor_EI,'Korrigeringsfaktor EI'!V$1,FALSE),
"")</f>
        <v>1.7147444444444444</v>
      </c>
      <c r="W309" s="18">
        <f>IFERROR(
                  Andel_oberoende_av_klimat*VLOOKUP($A309,Leveranser_per_nät,'Leveranser per nät'!W$1,FALSE)
               +Andel_beroende_av_klimat*VLOOKUP($A309,Leveranser_per_nät,'Leveranser per nät'!W$1,FALSE)/VLOOKUP($B309,Korrigeringsfaktor_EI,'Korrigeringsfaktor EI'!W$1,FALSE),
"")</f>
        <v>1.8948387096774195</v>
      </c>
      <c r="X309" s="18">
        <f>IFERROR(
                  Andel_oberoende_av_klimat*VLOOKUP($A309,Leveranser_per_nät,'Leveranser per nät'!X$1,FALSE)
               +Andel_beroende_av_klimat*VLOOKUP($A309,Leveranser_per_nät,'Leveranser per nät'!X$1,FALSE)/VLOOKUP($B309,Korrigeringsfaktor_EI,'Korrigeringsfaktor EI'!X$1,FALSE),
"")</f>
        <v>1.6714893617021276</v>
      </c>
      <c r="Y309" s="18">
        <f>IFERROR(
                  Andel_oberoende_av_klimat*VLOOKUP($A309,Leveranser_per_nät,'Leveranser per nät'!Y$1,FALSE)
               +Andel_beroende_av_klimat*VLOOKUP($A309,Leveranser_per_nät,'Leveranser per nät'!Y$1,FALSE)/VLOOKUP($B309,Korrigeringsfaktor_EI,'Korrigeringsfaktor EI'!Y$1,FALSE),
"")</f>
        <v>1.684301075268817</v>
      </c>
      <c r="Z309" s="18">
        <f>IFERROR(
                  Andel_oberoende_av_klimat*VLOOKUP($A309,Leveranser_per_nät,'Leveranser per nät'!Z$1,FALSE)
               +Andel_beroende_av_klimat*VLOOKUP($A309,Leveranser_per_nät,'Leveranser per nät'!Z$1,FALSE)/VLOOKUP($B309,Korrigeringsfaktor_EI,'Korrigeringsfaktor EI'!Z$1,FALSE),
"")</f>
        <v>1.684301075268817</v>
      </c>
      <c r="AA309" s="18">
        <f>IFERROR(
                  Andel_oberoende_av_klimat*VLOOKUP($A309,Leveranser_per_nät,'Leveranser per nät'!AA$1,FALSE)
               +Andel_beroende_av_klimat*VLOOKUP($A309,Leveranser_per_nät,'Leveranser per nät'!AA$1,FALSE)/VLOOKUP($B309,Korrigeringsfaktor_EI,'Korrigeringsfaktor EI'!AA$1,FALSE),
"")</f>
        <v>1.6195590327169271</v>
      </c>
      <c r="AB309" s="18">
        <f>IFERROR(
                  Andel_oberoende_av_klimat*VLOOKUP($A309,Leveranser_per_nät,'Leveranser per nät'!AB$1,FALSE)
               +Andel_beroende_av_klimat*VLOOKUP($A309,Leveranser_per_nät,'Leveranser per nät'!AB$1,FALSE)/VLOOKUP($B309,Korrigeringsfaktor_EI,'Korrigeringsfaktor EI'!AB$1,FALSE),
"")</f>
        <v>1.6011211211211211</v>
      </c>
      <c r="AC309" s="18">
        <f>IFERROR(
                  Andel_oberoende_av_klimat*VLOOKUP($A309,Leveranser_per_nät,'Leveranser per nät'!AC$1,FALSE)
               +Andel_beroende_av_klimat*VLOOKUP($A309,Leveranser_per_nät,'Leveranser per nät'!AC$1,FALSE)/VLOOKUP($B309,Korrigeringsfaktor_EI,'Korrigeringsfaktor EI'!AC$1,FALSE),
"")</f>
        <v>1.5462944033790917</v>
      </c>
      <c r="AD309">
        <v>110.333</v>
      </c>
    </row>
    <row r="310" spans="1:30" x14ac:dyDescent="0.25">
      <c r="A310" t="s">
        <v>71</v>
      </c>
      <c r="B310" t="s">
        <v>47</v>
      </c>
      <c r="C310" s="18">
        <f>IFERROR(
                  Andel_oberoende_av_klimat*VLOOKUP($A310,Leveranser_per_nät,'Leveranser per nät'!C$1,FALSE)
               +Andel_beroende_av_klimat*VLOOKUP($A310,Leveranser_per_nät,'Leveranser per nät'!C$1,FALSE)/VLOOKUP($B310,Korrigeringsfaktor_EI,'Korrigeringsfaktor EI'!C$1,FALSE),
"")</f>
        <v>0</v>
      </c>
      <c r="D310" s="18">
        <f>IFERROR(
                  Andel_oberoende_av_klimat*VLOOKUP($A310,Leveranser_per_nät,'Leveranser per nät'!D$1,FALSE)
               +Andel_beroende_av_klimat*VLOOKUP($A310,Leveranser_per_nät,'Leveranser per nät'!D$1,FALSE)/VLOOKUP($B310,Korrigeringsfaktor_EI,'Korrigeringsfaktor EI'!D$1,FALSE),
"")</f>
        <v>0.99099999999999999</v>
      </c>
      <c r="E310" s="18">
        <f>IFERROR(
                  Andel_oberoende_av_klimat*VLOOKUP($A310,Leveranser_per_nät,'Leveranser per nät'!E$1,FALSE)
               +Andel_beroende_av_klimat*VLOOKUP($A310,Leveranser_per_nät,'Leveranser per nät'!E$1,FALSE)/VLOOKUP($B310,Korrigeringsfaktor_EI,'Korrigeringsfaktor EI'!E$1,FALSE),
"")</f>
        <v>0.99306930693069306</v>
      </c>
      <c r="F310" s="18">
        <f>IFERROR(
                  Andel_oberoende_av_klimat*VLOOKUP($A310,Leveranser_per_nät,'Leveranser per nät'!F$1,FALSE)
               +Andel_beroende_av_klimat*VLOOKUP($A310,Leveranser_per_nät,'Leveranser per nät'!F$1,FALSE)/VLOOKUP($B310,Korrigeringsfaktor_EI,'Korrigeringsfaktor EI'!F$1,FALSE),
"")</f>
        <v>1.3148237623762375</v>
      </c>
      <c r="G310" s="18">
        <f>IFERROR(
                  Andel_oberoende_av_klimat*VLOOKUP($A310,Leveranser_per_nät,'Leveranser per nät'!G$1,FALSE)
               +Andel_beroende_av_klimat*VLOOKUP($A310,Leveranser_per_nät,'Leveranser per nät'!G$1,FALSE)/VLOOKUP($B310,Korrigeringsfaktor_EI,'Korrigeringsfaktor EI'!G$1,FALSE),
"")</f>
        <v>1.4625531914893615</v>
      </c>
      <c r="H310" s="18">
        <f>IFERROR(
                  Andel_oberoende_av_klimat*VLOOKUP($A310,Leveranser_per_nät,'Leveranser per nät'!H$1,FALSE)
               +Andel_beroende_av_klimat*VLOOKUP($A310,Leveranser_per_nät,'Leveranser per nät'!H$1,FALSE)/VLOOKUP($B310,Korrigeringsfaktor_EI,'Korrigeringsfaktor EI'!H$1,FALSE),
"")</f>
        <v>1.9861386138613861</v>
      </c>
      <c r="I310" s="18">
        <f>IFERROR(
                  Andel_oberoende_av_klimat*VLOOKUP($A310,Leveranser_per_nät,'Leveranser per nät'!I$1,FALSE)
               +Andel_beroende_av_klimat*VLOOKUP($A310,Leveranser_per_nät,'Leveranser per nät'!I$1,FALSE)/VLOOKUP($B310,Korrigeringsfaktor_EI,'Korrigeringsfaktor EI'!I$1,FALSE),
"")</f>
        <v>1.0446808510638297</v>
      </c>
      <c r="J310" s="18">
        <f>IFERROR(
                  Andel_oberoende_av_klimat*VLOOKUP($A310,Leveranser_per_nät,'Leveranser per nät'!J$1,FALSE)
               +Andel_beroende_av_klimat*VLOOKUP($A310,Leveranser_per_nät,'Leveranser per nät'!J$1,FALSE)/VLOOKUP($B310,Korrigeringsfaktor_EI,'Korrigeringsfaktor EI'!J$1,FALSE),
"")</f>
        <v>1.5661886597938144</v>
      </c>
      <c r="K310" s="18">
        <f>IFERROR(
                  Andel_oberoende_av_klimat*VLOOKUP($A310,Leveranser_per_nät,'Leveranser per nät'!K$1,FALSE)
               +Andel_beroende_av_klimat*VLOOKUP($A310,Leveranser_per_nät,'Leveranser per nät'!K$1,FALSE)/VLOOKUP($B310,Korrigeringsfaktor_EI,'Korrigeringsfaktor EI'!K$1,FALSE),
"")</f>
        <v>1.5661886597938144</v>
      </c>
      <c r="L310" s="18">
        <f>IFERROR(
                  Andel_oberoende_av_klimat*VLOOKUP($A310,Leveranser_per_nät,'Leveranser per nät'!L$1,FALSE)
               +Andel_beroende_av_klimat*VLOOKUP($A310,Leveranser_per_nät,'Leveranser per nät'!L$1,FALSE)/VLOOKUP($B310,Korrigeringsfaktor_EI,'Korrigeringsfaktor EI'!L$1,FALSE),
"")</f>
        <v>2.3426331940395539</v>
      </c>
      <c r="M310" s="18">
        <f>IFERROR(
                  Andel_oberoende_av_klimat*VLOOKUP($A310,Leveranser_per_nät,'Leveranser per nät'!M$1,FALSE)
               +Andel_beroende_av_klimat*VLOOKUP($A310,Leveranser_per_nät,'Leveranser per nät'!M$1,FALSE)/VLOOKUP($B310,Korrigeringsfaktor_EI,'Korrigeringsfaktor EI'!M$1,FALSE),
"")</f>
        <v>1.4648461538461539</v>
      </c>
      <c r="N310" s="18">
        <f>IFERROR(
                  Andel_oberoende_av_klimat*VLOOKUP($A310,Leveranser_per_nät,'Leveranser per nät'!N$1,FALSE)
               +Andel_beroende_av_klimat*VLOOKUP($A310,Leveranser_per_nät,'Leveranser per nät'!N$1,FALSE)/VLOOKUP($B310,Korrigeringsfaktor_EI,'Korrigeringsfaktor EI'!N$1,FALSE),
"")</f>
        <v>1.6589473684210527</v>
      </c>
      <c r="O310" s="18">
        <f>IFERROR(
                  Andel_oberoende_av_klimat*VLOOKUP($A310,Leveranser_per_nät,'Leveranser per nät'!O$1,FALSE)
               +Andel_beroende_av_klimat*VLOOKUP($A310,Leveranser_per_nät,'Leveranser per nät'!O$1,FALSE)/VLOOKUP($B310,Korrigeringsfaktor_EI,'Korrigeringsfaktor EI'!O$1,FALSE),
"")</f>
        <v>1.4625531914893615</v>
      </c>
      <c r="P310" s="18">
        <f>IFERROR(
                  Andel_oberoende_av_klimat*VLOOKUP($A310,Leveranser_per_nät,'Leveranser per nät'!P$1,FALSE)
               +Andel_beroende_av_klimat*VLOOKUP($A310,Leveranser_per_nät,'Leveranser per nät'!P$1,FALSE)/VLOOKUP($B310,Korrigeringsfaktor_EI,'Korrigeringsfaktor EI'!P$1,FALSE),
"")</f>
        <v>2.014141414141414</v>
      </c>
      <c r="Q310" s="18">
        <f>IFERROR(
                  Andel_oberoende_av_klimat*VLOOKUP($A310,Leveranser_per_nät,'Leveranser per nät'!Q$1,FALSE)
               +Andel_beroende_av_klimat*VLOOKUP($A310,Leveranser_per_nät,'Leveranser per nät'!Q$1,FALSE)/VLOOKUP($B310,Korrigeringsfaktor_EI,'Korrigeringsfaktor EI'!Q$1,FALSE),
"")</f>
        <v>1.8499999999999999</v>
      </c>
      <c r="R310" s="18">
        <f>IFERROR(
                  Andel_oberoende_av_klimat*VLOOKUP($A310,Leveranser_per_nät,'Leveranser per nät'!R$1,FALSE)
               +Andel_beroende_av_klimat*VLOOKUP($A310,Leveranser_per_nät,'Leveranser per nät'!R$1,FALSE)/VLOOKUP($B310,Korrigeringsfaktor_EI,'Korrigeringsfaktor EI'!R$1,FALSE),
"")</f>
        <v>2.1747826086956517</v>
      </c>
      <c r="S310" s="18">
        <f>IFERROR(
                  Andel_oberoende_av_klimat*VLOOKUP($A310,Leveranser_per_nät,'Leveranser per nät'!S$1,FALSE)
               +Andel_beroende_av_klimat*VLOOKUP($A310,Leveranser_per_nät,'Leveranser per nät'!S$1,FALSE)/VLOOKUP($B310,Korrigeringsfaktor_EI,'Korrigeringsfaktor EI'!S$1,FALSE),
"")</f>
        <v>2.1</v>
      </c>
      <c r="T310" s="18">
        <f>IFERROR(
                  Andel_oberoende_av_klimat*VLOOKUP($A310,Leveranser_per_nät,'Leveranser per nät'!T$1,FALSE)
               +Andel_beroende_av_klimat*VLOOKUP($A310,Leveranser_per_nät,'Leveranser per nät'!T$1,FALSE)/VLOOKUP($B310,Korrigeringsfaktor_EI,'Korrigeringsfaktor EI'!T$1,FALSE),
"")</f>
        <v>1.9543875000000002</v>
      </c>
      <c r="U310" s="18">
        <f>IFERROR(
                  Andel_oberoende_av_klimat*VLOOKUP($A310,Leveranser_per_nät,'Leveranser per nät'!U$1,FALSE)
               +Andel_beroende_av_klimat*VLOOKUP($A310,Leveranser_per_nät,'Leveranser per nät'!U$1,FALSE)/VLOOKUP($B310,Korrigeringsfaktor_EI,'Korrigeringsfaktor EI'!U$1,FALSE),
"")</f>
        <v>1.8322222222222222</v>
      </c>
      <c r="V310" s="18">
        <f>IFERROR(
                  Andel_oberoende_av_klimat*VLOOKUP($A310,Leveranser_per_nät,'Leveranser per nät'!V$1,FALSE)
               +Andel_beroende_av_klimat*VLOOKUP($A310,Leveranser_per_nät,'Leveranser per nät'!V$1,FALSE)/VLOOKUP($B310,Korrigeringsfaktor_EI,'Korrigeringsfaktor EI'!V$1,FALSE),
"")</f>
        <v>1.8034782608695652</v>
      </c>
      <c r="W310" s="18">
        <f>IFERROR(
                  Andel_oberoende_av_klimat*VLOOKUP($A310,Leveranser_per_nät,'Leveranser per nät'!W$1,FALSE)
               +Andel_beroende_av_klimat*VLOOKUP($A310,Leveranser_per_nät,'Leveranser per nät'!W$1,FALSE)/VLOOKUP($B310,Korrigeringsfaktor_EI,'Korrigeringsfaktor EI'!W$1,FALSE),
"")</f>
        <v>1.9411340206185566</v>
      </c>
      <c r="X310" s="18">
        <f>IFERROR(
                  Andel_oberoende_av_klimat*VLOOKUP($A310,Leveranser_per_nät,'Leveranser per nät'!X$1,FALSE)
               +Andel_beroende_av_klimat*VLOOKUP($A310,Leveranser_per_nät,'Leveranser per nät'!X$1,FALSE)/VLOOKUP($B310,Korrigeringsfaktor_EI,'Korrigeringsfaktor EI'!X$1,FALSE),
"")</f>
        <v>1.7368041237113403</v>
      </c>
      <c r="Y310" s="18">
        <f>IFERROR(
                  Andel_oberoende_av_klimat*VLOOKUP($A310,Leveranser_per_nät,'Leveranser per nät'!Y$1,FALSE)
               +Andel_beroende_av_klimat*VLOOKUP($A310,Leveranser_per_nät,'Leveranser per nät'!Y$1,FALSE)/VLOOKUP($B310,Korrigeringsfaktor_EI,'Korrigeringsfaktor EI'!Y$1,FALSE),
"")</f>
        <v>1.8525</v>
      </c>
      <c r="Z310" s="18">
        <f>IFERROR(
                  Andel_oberoende_av_klimat*VLOOKUP($A310,Leveranser_per_nät,'Leveranser per nät'!Z$1,FALSE)
               +Andel_beroende_av_klimat*VLOOKUP($A310,Leveranser_per_nät,'Leveranser per nät'!Z$1,FALSE)/VLOOKUP($B310,Korrigeringsfaktor_EI,'Korrigeringsfaktor EI'!Z$1,FALSE),
"")</f>
        <v>1.8943105263157896</v>
      </c>
      <c r="AA310" s="18">
        <f>IFERROR(
                  Andel_oberoende_av_klimat*VLOOKUP($A310,Leveranser_per_nät,'Leveranser per nät'!AA$1,FALSE)
               +Andel_beroende_av_klimat*VLOOKUP($A310,Leveranser_per_nät,'Leveranser per nät'!AA$1,FALSE)/VLOOKUP($B310,Korrigeringsfaktor_EI,'Korrigeringsfaktor EI'!AA$1,FALSE),
"")</f>
        <v>1.9632528938290534</v>
      </c>
      <c r="AB310" s="18">
        <f>IFERROR(
                  Andel_oberoende_av_klimat*VLOOKUP($A310,Leveranser_per_nät,'Leveranser per nät'!AB$1,FALSE)
               +Andel_beroende_av_klimat*VLOOKUP($A310,Leveranser_per_nät,'Leveranser per nät'!AB$1,FALSE)/VLOOKUP($B310,Korrigeringsfaktor_EI,'Korrigeringsfaktor EI'!AB$1,FALSE),
"")</f>
        <v>1.9415986368062312</v>
      </c>
      <c r="AC310" s="18">
        <f>IFERROR(
                  Andel_oberoende_av_klimat*VLOOKUP($A310,Leveranser_per_nät,'Leveranser per nät'!AC$1,FALSE)
               +Andel_beroende_av_klimat*VLOOKUP($A310,Leveranser_per_nät,'Leveranser per nät'!AC$1,FALSE)/VLOOKUP($B310,Korrigeringsfaktor_EI,'Korrigeringsfaktor EI'!AC$1,FALSE),
"")</f>
        <v>1.9419206611570248</v>
      </c>
      <c r="AD310" t="e">
        <v>#N/A</v>
      </c>
    </row>
    <row r="311" spans="1:30" x14ac:dyDescent="0.25">
      <c r="A311" t="s">
        <v>682</v>
      </c>
      <c r="B311" t="s">
        <v>0</v>
      </c>
      <c r="C311" s="18">
        <f>IFERROR(
                  Andel_oberoende_av_klimat*VLOOKUP($A311,Leveranser_per_nät,'Leveranser per nät'!C$1,FALSE)
               +Andel_beroende_av_klimat*VLOOKUP($A311,Leveranser_per_nät,'Leveranser per nät'!C$1,FALSE)/VLOOKUP($B311,Korrigeringsfaktor_EI,'Korrigeringsfaktor EI'!C$1,FALSE),
"")</f>
        <v>0</v>
      </c>
      <c r="D311" s="18">
        <f>IFERROR(
                  Andel_oberoende_av_klimat*VLOOKUP($A311,Leveranser_per_nät,'Leveranser per nät'!D$1,FALSE)
               +Andel_beroende_av_klimat*VLOOKUP($A311,Leveranser_per_nät,'Leveranser per nät'!D$1,FALSE)/VLOOKUP($B311,Korrigeringsfaktor_EI,'Korrigeringsfaktor EI'!D$1,FALSE),
"")</f>
        <v>0</v>
      </c>
      <c r="E311" s="18">
        <f>IFERROR(
                  Andel_oberoende_av_klimat*VLOOKUP($A311,Leveranser_per_nät,'Leveranser per nät'!E$1,FALSE)
               +Andel_beroende_av_klimat*VLOOKUP($A311,Leveranser_per_nät,'Leveranser per nät'!E$1,FALSE)/VLOOKUP($B311,Korrigeringsfaktor_EI,'Korrigeringsfaktor EI'!E$1,FALSE),
"")</f>
        <v>0</v>
      </c>
      <c r="F311" s="18">
        <f>IFERROR(
                  Andel_oberoende_av_klimat*VLOOKUP($A311,Leveranser_per_nät,'Leveranser per nät'!F$1,FALSE)
               +Andel_beroende_av_klimat*VLOOKUP($A311,Leveranser_per_nät,'Leveranser per nät'!F$1,FALSE)/VLOOKUP($B311,Korrigeringsfaktor_EI,'Korrigeringsfaktor EI'!F$1,FALSE),
"")</f>
        <v>0</v>
      </c>
      <c r="G311" s="18">
        <f>IFERROR(
                  Andel_oberoende_av_klimat*VLOOKUP($A311,Leveranser_per_nät,'Leveranser per nät'!G$1,FALSE)
               +Andel_beroende_av_klimat*VLOOKUP($A311,Leveranser_per_nät,'Leveranser per nät'!G$1,FALSE)/VLOOKUP($B311,Korrigeringsfaktor_EI,'Korrigeringsfaktor EI'!G$1,FALSE),
"")</f>
        <v>0</v>
      </c>
      <c r="H311" s="18">
        <f>IFERROR(
                  Andel_oberoende_av_klimat*VLOOKUP($A311,Leveranser_per_nät,'Leveranser per nät'!H$1,FALSE)
               +Andel_beroende_av_klimat*VLOOKUP($A311,Leveranser_per_nät,'Leveranser per nät'!H$1,FALSE)/VLOOKUP($B311,Korrigeringsfaktor_EI,'Korrigeringsfaktor EI'!H$1,FALSE),
"")</f>
        <v>0</v>
      </c>
      <c r="I311" s="18">
        <f>IFERROR(
                  Andel_oberoende_av_klimat*VLOOKUP($A311,Leveranser_per_nät,'Leveranser per nät'!I$1,FALSE)
               +Andel_beroende_av_klimat*VLOOKUP($A311,Leveranser_per_nät,'Leveranser per nät'!I$1,FALSE)/VLOOKUP($B311,Korrigeringsfaktor_EI,'Korrigeringsfaktor EI'!I$1,FALSE),
"")</f>
        <v>0</v>
      </c>
      <c r="J311" s="18">
        <f>IFERROR(
                  Andel_oberoende_av_klimat*VLOOKUP($A311,Leveranser_per_nät,'Leveranser per nät'!J$1,FALSE)
               +Andel_beroende_av_klimat*VLOOKUP($A311,Leveranser_per_nät,'Leveranser per nät'!J$1,FALSE)/VLOOKUP($B311,Korrigeringsfaktor_EI,'Korrigeringsfaktor EI'!J$1,FALSE),
"")</f>
        <v>0</v>
      </c>
      <c r="K311" s="18">
        <f>IFERROR(
                  Andel_oberoende_av_klimat*VLOOKUP($A311,Leveranser_per_nät,'Leveranser per nät'!K$1,FALSE)
               +Andel_beroende_av_klimat*VLOOKUP($A311,Leveranser_per_nät,'Leveranser per nät'!K$1,FALSE)/VLOOKUP($B311,Korrigeringsfaktor_EI,'Korrigeringsfaktor EI'!K$1,FALSE),
"")</f>
        <v>0</v>
      </c>
      <c r="L311" s="18">
        <f>IFERROR(
                  Andel_oberoende_av_klimat*VLOOKUP($A311,Leveranser_per_nät,'Leveranser per nät'!L$1,FALSE)
               +Andel_beroende_av_klimat*VLOOKUP($A311,Leveranser_per_nät,'Leveranser per nät'!L$1,FALSE)/VLOOKUP($B311,Korrigeringsfaktor_EI,'Korrigeringsfaktor EI'!L$1,FALSE),
"")</f>
        <v>0</v>
      </c>
      <c r="M311" s="18">
        <f>IFERROR(
                  Andel_oberoende_av_klimat*VLOOKUP($A311,Leveranser_per_nät,'Leveranser per nät'!M$1,FALSE)
               +Andel_beroende_av_klimat*VLOOKUP($A311,Leveranser_per_nät,'Leveranser per nät'!M$1,FALSE)/VLOOKUP($B311,Korrigeringsfaktor_EI,'Korrigeringsfaktor EI'!M$1,FALSE),
"")</f>
        <v>0</v>
      </c>
      <c r="N311" s="18">
        <f>IFERROR(
                  Andel_oberoende_av_klimat*VLOOKUP($A311,Leveranser_per_nät,'Leveranser per nät'!N$1,FALSE)
               +Andel_beroende_av_klimat*VLOOKUP($A311,Leveranser_per_nät,'Leveranser per nät'!N$1,FALSE)/VLOOKUP($B311,Korrigeringsfaktor_EI,'Korrigeringsfaktor EI'!N$1,FALSE),
"")</f>
        <v>0</v>
      </c>
      <c r="O311" s="18">
        <f>IFERROR(
                  Andel_oberoende_av_klimat*VLOOKUP($A311,Leveranser_per_nät,'Leveranser per nät'!O$1,FALSE)
               +Andel_beroende_av_klimat*VLOOKUP($A311,Leveranser_per_nät,'Leveranser per nät'!O$1,FALSE)/VLOOKUP($B311,Korrigeringsfaktor_EI,'Korrigeringsfaktor EI'!O$1,FALSE),
"")</f>
        <v>0</v>
      </c>
      <c r="P311" s="18">
        <f>IFERROR(
                  Andel_oberoende_av_klimat*VLOOKUP($A311,Leveranser_per_nät,'Leveranser per nät'!P$1,FALSE)
               +Andel_beroende_av_klimat*VLOOKUP($A311,Leveranser_per_nät,'Leveranser per nät'!P$1,FALSE)/VLOOKUP($B311,Korrigeringsfaktor_EI,'Korrigeringsfaktor EI'!P$1,FALSE),
"")</f>
        <v>0</v>
      </c>
      <c r="Q311" s="18">
        <f>IFERROR(
                  Andel_oberoende_av_klimat*VLOOKUP($A311,Leveranser_per_nät,'Leveranser per nät'!Q$1,FALSE)
               +Andel_beroende_av_klimat*VLOOKUP($A311,Leveranser_per_nät,'Leveranser per nät'!Q$1,FALSE)/VLOOKUP($B311,Korrigeringsfaktor_EI,'Korrigeringsfaktor EI'!Q$1,FALSE),
"")</f>
        <v>0</v>
      </c>
      <c r="R311" s="18">
        <f>IFERROR(
                  Andel_oberoende_av_klimat*VLOOKUP($A311,Leveranser_per_nät,'Leveranser per nät'!R$1,FALSE)
               +Andel_beroende_av_klimat*VLOOKUP($A311,Leveranser_per_nät,'Leveranser per nät'!R$1,FALSE)/VLOOKUP($B311,Korrigeringsfaktor_EI,'Korrigeringsfaktor EI'!R$1,FALSE),
"")</f>
        <v>0</v>
      </c>
      <c r="S311" s="18">
        <f>IFERROR(
                  Andel_oberoende_av_klimat*VLOOKUP($A311,Leveranser_per_nät,'Leveranser per nät'!S$1,FALSE)
               +Andel_beroende_av_klimat*VLOOKUP($A311,Leveranser_per_nät,'Leveranser per nät'!S$1,FALSE)/VLOOKUP($B311,Korrigeringsfaktor_EI,'Korrigeringsfaktor EI'!S$1,FALSE),
"")</f>
        <v>3.0212121212121206</v>
      </c>
      <c r="T311" s="18">
        <f>IFERROR(
                  Andel_oberoende_av_klimat*VLOOKUP($A311,Leveranser_per_nät,'Leveranser per nät'!T$1,FALSE)
               +Andel_beroende_av_klimat*VLOOKUP($A311,Leveranser_per_nät,'Leveranser per nät'!T$1,FALSE)/VLOOKUP($B311,Korrigeringsfaktor_EI,'Korrigeringsfaktor EI'!T$1,FALSE),
"")</f>
        <v>3.293333333333333</v>
      </c>
      <c r="U311" s="18">
        <f>IFERROR(
                  Andel_oberoende_av_klimat*VLOOKUP($A311,Leveranser_per_nät,'Leveranser per nät'!U$1,FALSE)
               +Andel_beroende_av_klimat*VLOOKUP($A311,Leveranser_per_nät,'Leveranser per nät'!U$1,FALSE)/VLOOKUP($B311,Korrigeringsfaktor_EI,'Korrigeringsfaktor EI'!U$1,FALSE),
"")</f>
        <v>3.5757906976744187</v>
      </c>
      <c r="V311" s="18">
        <f>IFERROR(
                  Andel_oberoende_av_klimat*VLOOKUP($A311,Leveranser_per_nät,'Leveranser per nät'!V$1,FALSE)
               +Andel_beroende_av_klimat*VLOOKUP($A311,Leveranser_per_nät,'Leveranser per nät'!V$1,FALSE)/VLOOKUP($B311,Korrigeringsfaktor_EI,'Korrigeringsfaktor EI'!V$1,FALSE),
"")</f>
        <v>3.8028089887640451</v>
      </c>
      <c r="W311" s="18">
        <f>IFERROR(
                  Andel_oberoende_av_klimat*VLOOKUP($A311,Leveranser_per_nät,'Leveranser per nät'!W$1,FALSE)
               +Andel_beroende_av_klimat*VLOOKUP($A311,Leveranser_per_nät,'Leveranser per nät'!W$1,FALSE)/VLOOKUP($B311,Korrigeringsfaktor_EI,'Korrigeringsfaktor EI'!W$1,FALSE),
"")</f>
        <v>4.2107526881720432</v>
      </c>
      <c r="X311" s="18">
        <f>IFERROR(
                  Andel_oberoende_av_klimat*VLOOKUP($A311,Leveranser_per_nät,'Leveranser per nät'!X$1,FALSE)
               +Andel_beroende_av_klimat*VLOOKUP($A311,Leveranser_per_nät,'Leveranser per nät'!X$1,FALSE)/VLOOKUP($B311,Korrigeringsfaktor_EI,'Korrigeringsfaktor EI'!X$1,FALSE),
"")</f>
        <v>4.5299130434782597</v>
      </c>
      <c r="Y311" s="18">
        <f>IFERROR(
                  Andel_oberoende_av_klimat*VLOOKUP($A311,Leveranser_per_nät,'Leveranser per nät'!Y$1,FALSE)
               +Andel_beroende_av_klimat*VLOOKUP($A311,Leveranser_per_nät,'Leveranser per nät'!Y$1,FALSE)/VLOOKUP($B311,Korrigeringsfaktor_EI,'Korrigeringsfaktor EI'!Y$1,FALSE),
"")</f>
        <v>4.4514595505617987</v>
      </c>
      <c r="Z311" s="18">
        <f>IFERROR(
                  Andel_oberoende_av_klimat*VLOOKUP($A311,Leveranser_per_nät,'Leveranser per nät'!Z$1,FALSE)
               +Andel_beroende_av_klimat*VLOOKUP($A311,Leveranser_per_nät,'Leveranser per nät'!Z$1,FALSE)/VLOOKUP($B311,Korrigeringsfaktor_EI,'Korrigeringsfaktor EI'!Z$1,FALSE),
"")</f>
        <v>3.9322558139534882</v>
      </c>
      <c r="AA311" s="18">
        <f>IFERROR(
                  Andel_oberoende_av_klimat*VLOOKUP($A311,Leveranser_per_nät,'Leveranser per nät'!AA$1,FALSE)
               +Andel_beroende_av_klimat*VLOOKUP($A311,Leveranser_per_nät,'Leveranser per nät'!AA$1,FALSE)/VLOOKUP($B311,Korrigeringsfaktor_EI,'Korrigeringsfaktor EI'!AA$1,FALSE),
"")</f>
        <v>3.874662055687204</v>
      </c>
      <c r="AB311" s="18">
        <f>IFERROR(
                  Andel_oberoende_av_klimat*VLOOKUP($A311,Leveranser_per_nät,'Leveranser per nät'!AB$1,FALSE)
               +Andel_beroende_av_klimat*VLOOKUP($A311,Leveranser_per_nät,'Leveranser per nät'!AB$1,FALSE)/VLOOKUP($B311,Korrigeringsfaktor_EI,'Korrigeringsfaktor EI'!AB$1,FALSE),
"")</f>
        <v>4.2700771144278615</v>
      </c>
      <c r="AC311" s="18">
        <f>IFERROR(
                  Andel_oberoende_av_klimat*VLOOKUP($A311,Leveranser_per_nät,'Leveranser per nät'!AC$1,FALSE)
               +Andel_beroende_av_klimat*VLOOKUP($A311,Leveranser_per_nät,'Leveranser per nät'!AC$1,FALSE)/VLOOKUP($B311,Korrigeringsfaktor_EI,'Korrigeringsfaktor EI'!AC$1,FALSE),
"")</f>
        <v>4.2581236559139786</v>
      </c>
      <c r="AD311">
        <v>240.09800000000001</v>
      </c>
    </row>
    <row r="312" spans="1:30" x14ac:dyDescent="0.25">
      <c r="A312" s="3" t="s">
        <v>8</v>
      </c>
      <c r="B312" t="s">
        <v>8</v>
      </c>
      <c r="C312" s="18">
        <f>IFERROR(
                  Andel_oberoende_av_klimat*VLOOKUP($A312,Leveranser_per_nät,'Leveranser per nät'!C$1,FALSE)
               +Andel_beroende_av_klimat*VLOOKUP($A312,Leveranser_per_nät,'Leveranser per nät'!C$1,FALSE)/VLOOKUP($B312,Korrigeringsfaktor_EI,'Korrigeringsfaktor EI'!C$1,FALSE),
"")</f>
        <v>0</v>
      </c>
      <c r="D312" s="18">
        <f>IFERROR(
                  Andel_oberoende_av_klimat*VLOOKUP($A312,Leveranser_per_nät,'Leveranser per nät'!D$1,FALSE)
               +Andel_beroende_av_klimat*VLOOKUP($A312,Leveranser_per_nät,'Leveranser per nät'!D$1,FALSE)/VLOOKUP($B312,Korrigeringsfaktor_EI,'Korrigeringsfaktor EI'!D$1,FALSE),
"")</f>
        <v>0</v>
      </c>
      <c r="E312" s="18">
        <f>IFERROR(
                  Andel_oberoende_av_klimat*VLOOKUP($A312,Leveranser_per_nät,'Leveranser per nät'!E$1,FALSE)
               +Andel_beroende_av_klimat*VLOOKUP($A312,Leveranser_per_nät,'Leveranser per nät'!E$1,FALSE)/VLOOKUP($B312,Korrigeringsfaktor_EI,'Korrigeringsfaktor EI'!E$1,FALSE),
"")</f>
        <v>0</v>
      </c>
      <c r="F312" s="18">
        <f>IFERROR(
                  Andel_oberoende_av_klimat*VLOOKUP($A312,Leveranser_per_nät,'Leveranser per nät'!F$1,FALSE)
               +Andel_beroende_av_klimat*VLOOKUP($A312,Leveranser_per_nät,'Leveranser per nät'!F$1,FALSE)/VLOOKUP($B312,Korrigeringsfaktor_EI,'Korrigeringsfaktor EI'!F$1,FALSE),
"")</f>
        <v>0</v>
      </c>
      <c r="G312" s="18">
        <f>IFERROR(
                  Andel_oberoende_av_klimat*VLOOKUP($A312,Leveranser_per_nät,'Leveranser per nät'!G$1,FALSE)
               +Andel_beroende_av_klimat*VLOOKUP($A312,Leveranser_per_nät,'Leveranser per nät'!G$1,FALSE)/VLOOKUP($B312,Korrigeringsfaktor_EI,'Korrigeringsfaktor EI'!G$1,FALSE),
"")</f>
        <v>0</v>
      </c>
      <c r="H312" s="18">
        <f>IFERROR(
                  Andel_oberoende_av_klimat*VLOOKUP($A312,Leveranser_per_nät,'Leveranser per nät'!H$1,FALSE)
               +Andel_beroende_av_klimat*VLOOKUP($A312,Leveranser_per_nät,'Leveranser per nät'!H$1,FALSE)/VLOOKUP($B312,Korrigeringsfaktor_EI,'Korrigeringsfaktor EI'!H$1,FALSE),
"")</f>
        <v>0</v>
      </c>
      <c r="I312" s="18">
        <f>IFERROR(
                  Andel_oberoende_av_klimat*VLOOKUP($A312,Leveranser_per_nät,'Leveranser per nät'!I$1,FALSE)
               +Andel_beroende_av_klimat*VLOOKUP($A312,Leveranser_per_nät,'Leveranser per nät'!I$1,FALSE)/VLOOKUP($B312,Korrigeringsfaktor_EI,'Korrigeringsfaktor EI'!I$1,FALSE),
"")</f>
        <v>0</v>
      </c>
      <c r="J312" s="18">
        <f>IFERROR(
                  Andel_oberoende_av_klimat*VLOOKUP($A312,Leveranser_per_nät,'Leveranser per nät'!J$1,FALSE)
               +Andel_beroende_av_klimat*VLOOKUP($A312,Leveranser_per_nät,'Leveranser per nät'!J$1,FALSE)/VLOOKUP($B312,Korrigeringsfaktor_EI,'Korrigeringsfaktor EI'!J$1,FALSE),
"")</f>
        <v>0</v>
      </c>
      <c r="K312" s="18">
        <f>IFERROR(
                  Andel_oberoende_av_klimat*VLOOKUP($A312,Leveranser_per_nät,'Leveranser per nät'!K$1,FALSE)
               +Andel_beroende_av_klimat*VLOOKUP($A312,Leveranser_per_nät,'Leveranser per nät'!K$1,FALSE)/VLOOKUP($B312,Korrigeringsfaktor_EI,'Korrigeringsfaktor EI'!K$1,FALSE),
"")</f>
        <v>0</v>
      </c>
      <c r="L312" s="18">
        <f>IFERROR(
                  Andel_oberoende_av_klimat*VLOOKUP($A312,Leveranser_per_nät,'Leveranser per nät'!L$1,FALSE)
               +Andel_beroende_av_klimat*VLOOKUP($A312,Leveranser_per_nät,'Leveranser per nät'!L$1,FALSE)/VLOOKUP($B312,Korrigeringsfaktor_EI,'Korrigeringsfaktor EI'!L$1,FALSE),
"")</f>
        <v>0</v>
      </c>
      <c r="M312" s="18">
        <f>IFERROR(
                  Andel_oberoende_av_klimat*VLOOKUP($A312,Leveranser_per_nät,'Leveranser per nät'!M$1,FALSE)
               +Andel_beroende_av_klimat*VLOOKUP($A312,Leveranser_per_nät,'Leveranser per nät'!M$1,FALSE)/VLOOKUP($B312,Korrigeringsfaktor_EI,'Korrigeringsfaktor EI'!M$1,FALSE),
"")</f>
        <v>0</v>
      </c>
      <c r="N312" s="18">
        <f>IFERROR(
                  Andel_oberoende_av_klimat*VLOOKUP($A312,Leveranser_per_nät,'Leveranser per nät'!N$1,FALSE)
               +Andel_beroende_av_klimat*VLOOKUP($A312,Leveranser_per_nät,'Leveranser per nät'!N$1,FALSE)/VLOOKUP($B312,Korrigeringsfaktor_EI,'Korrigeringsfaktor EI'!N$1,FALSE),
"")</f>
        <v>0</v>
      </c>
      <c r="O312" s="18">
        <f>IFERROR(
                  Andel_oberoende_av_klimat*VLOOKUP($A312,Leveranser_per_nät,'Leveranser per nät'!O$1,FALSE)
               +Andel_beroende_av_klimat*VLOOKUP($A312,Leveranser_per_nät,'Leveranser per nät'!O$1,FALSE)/VLOOKUP($B312,Korrigeringsfaktor_EI,'Korrigeringsfaktor EI'!O$1,FALSE),
"")</f>
        <v>0</v>
      </c>
      <c r="P312" s="18">
        <f>IFERROR(
                  Andel_oberoende_av_klimat*VLOOKUP($A312,Leveranser_per_nät,'Leveranser per nät'!P$1,FALSE)
               +Andel_beroende_av_klimat*VLOOKUP($A312,Leveranser_per_nät,'Leveranser per nät'!P$1,FALSE)/VLOOKUP($B312,Korrigeringsfaktor_EI,'Korrigeringsfaktor EI'!P$1,FALSE),
"")</f>
        <v>25.357142857142858</v>
      </c>
      <c r="Q312" s="18">
        <f>IFERROR(
                  Andel_oberoende_av_klimat*VLOOKUP($A312,Leveranser_per_nät,'Leveranser per nät'!Q$1,FALSE)
               +Andel_beroende_av_klimat*VLOOKUP($A312,Leveranser_per_nät,'Leveranser per nät'!Q$1,FALSE)/VLOOKUP($B312,Korrigeringsfaktor_EI,'Korrigeringsfaktor EI'!Q$1,FALSE),
"")</f>
        <v>23.402500000000003</v>
      </c>
      <c r="R312" s="18">
        <f>IFERROR(
                  Andel_oberoende_av_klimat*VLOOKUP($A312,Leveranser_per_nät,'Leveranser per nät'!R$1,FALSE)
               +Andel_beroende_av_klimat*VLOOKUP($A312,Leveranser_per_nät,'Leveranser per nät'!R$1,FALSE)/VLOOKUP($B312,Korrigeringsfaktor_EI,'Korrigeringsfaktor EI'!R$1,FALSE),
"")</f>
        <v>22.667692307692306</v>
      </c>
      <c r="S312" s="18">
        <f>IFERROR(
                  Andel_oberoende_av_klimat*VLOOKUP($A312,Leveranser_per_nät,'Leveranser per nät'!S$1,FALSE)
               +Andel_beroende_av_klimat*VLOOKUP($A312,Leveranser_per_nät,'Leveranser per nät'!S$1,FALSE)/VLOOKUP($B312,Korrigeringsfaktor_EI,'Korrigeringsfaktor EI'!S$1,FALSE),
"")</f>
        <v>22.840594059405941</v>
      </c>
      <c r="T312" s="18">
        <f>IFERROR(
                  Andel_oberoende_av_klimat*VLOOKUP($A312,Leveranser_per_nät,'Leveranser per nät'!T$1,FALSE)
               +Andel_beroende_av_klimat*VLOOKUP($A312,Leveranser_per_nät,'Leveranser per nät'!T$1,FALSE)/VLOOKUP($B312,Korrigeringsfaktor_EI,'Korrigeringsfaktor EI'!T$1,FALSE),
"")</f>
        <v>22.476288659793816</v>
      </c>
      <c r="U312" s="18">
        <f>IFERROR(
                  Andel_oberoende_av_klimat*VLOOKUP($A312,Leveranser_per_nät,'Leveranser per nät'!U$1,FALSE)
               +Andel_beroende_av_klimat*VLOOKUP($A312,Leveranser_per_nät,'Leveranser per nät'!U$1,FALSE)/VLOOKUP($B312,Korrigeringsfaktor_EI,'Korrigeringsfaktor EI'!U$1,FALSE),
"")</f>
        <v>22.823547826086955</v>
      </c>
      <c r="V312" s="18">
        <f>IFERROR(
                  Andel_oberoende_av_klimat*VLOOKUP($A312,Leveranser_per_nät,'Leveranser per nät'!V$1,FALSE)
               +Andel_beroende_av_klimat*VLOOKUP($A312,Leveranser_per_nät,'Leveranser per nät'!V$1,FALSE)/VLOOKUP($B312,Korrigeringsfaktor_EI,'Korrigeringsfaktor EI'!V$1,FALSE),
"")</f>
        <v>23.728644086021504</v>
      </c>
      <c r="W312" s="18">
        <f>IFERROR(
                  Andel_oberoende_av_klimat*VLOOKUP($A312,Leveranser_per_nät,'Leveranser per nät'!W$1,FALSE)
               +Andel_beroende_av_klimat*VLOOKUP($A312,Leveranser_per_nät,'Leveranser per nät'!W$1,FALSE)/VLOOKUP($B312,Korrigeringsfaktor_EI,'Korrigeringsfaktor EI'!W$1,FALSE),
"")</f>
        <v>22.893812500000003</v>
      </c>
      <c r="X312" s="18">
        <f>IFERROR(
                  Andel_oberoende_av_klimat*VLOOKUP($A312,Leveranser_per_nät,'Leveranser per nät'!X$1,FALSE)
               +Andel_beroende_av_klimat*VLOOKUP($A312,Leveranser_per_nät,'Leveranser per nät'!X$1,FALSE)/VLOOKUP($B312,Korrigeringsfaktor_EI,'Korrigeringsfaktor EI'!X$1,FALSE),
"")</f>
        <v>22.374123711340204</v>
      </c>
      <c r="Y312" s="18">
        <f>IFERROR(
                  Andel_oberoende_av_klimat*VLOOKUP($A312,Leveranser_per_nät,'Leveranser per nät'!Y$1,FALSE)
               +Andel_beroende_av_klimat*VLOOKUP($A312,Leveranser_per_nät,'Leveranser per nät'!Y$1,FALSE)/VLOOKUP($B312,Korrigeringsfaktor_EI,'Korrigeringsfaktor EI'!Y$1,FALSE),
"")</f>
        <v>22.316989247311824</v>
      </c>
      <c r="Z312" s="18">
        <f>IFERROR(
                  Andel_oberoende_av_klimat*VLOOKUP($A312,Leveranser_per_nät,'Leveranser per nät'!Z$1,FALSE)
               +Andel_beroende_av_klimat*VLOOKUP($A312,Leveranser_per_nät,'Leveranser per nät'!Z$1,FALSE)/VLOOKUP($B312,Korrigeringsfaktor_EI,'Korrigeringsfaktor EI'!Z$1,FALSE),
"")</f>
        <v>22.084736842105265</v>
      </c>
      <c r="AA312" s="18">
        <f>IFERROR(
                  Andel_oberoende_av_klimat*VLOOKUP($A312,Leveranser_per_nät,'Leveranser per nät'!AA$1,FALSE)
               +Andel_beroende_av_klimat*VLOOKUP($A312,Leveranser_per_nät,'Leveranser per nät'!AA$1,FALSE)/VLOOKUP($B312,Korrigeringsfaktor_EI,'Korrigeringsfaktor EI'!AA$1,FALSE),
"")</f>
        <v>21.905511589791615</v>
      </c>
      <c r="AB312" s="18">
        <f>IFERROR(
                  Andel_oberoende_av_klimat*VLOOKUP($A312,Leveranser_per_nät,'Leveranser per nät'!AB$1,FALSE)
               +Andel_beroende_av_klimat*VLOOKUP($A312,Leveranser_per_nät,'Leveranser per nät'!AB$1,FALSE)/VLOOKUP($B312,Korrigeringsfaktor_EI,'Korrigeringsfaktor EI'!AB$1,FALSE),
"")</f>
        <v>21.575628140703518</v>
      </c>
      <c r="AC312" s="18">
        <f>IFERROR(
                  Andel_oberoende_av_klimat*VLOOKUP($A312,Leveranser_per_nät,'Leveranser per nät'!AC$1,FALSE)
               +Andel_beroende_av_klimat*VLOOKUP($A312,Leveranser_per_nät,'Leveranser per nät'!AC$1,FALSE)/VLOOKUP($B312,Korrigeringsfaktor_EI,'Korrigeringsfaktor EI'!AC$1,FALSE),
"")</f>
        <v>20.716165615141954</v>
      </c>
      <c r="AD312" t="e">
        <v>#N/A</v>
      </c>
    </row>
    <row r="313" spans="1:30" x14ac:dyDescent="0.25">
      <c r="A313" t="s">
        <v>56</v>
      </c>
      <c r="B313" t="s">
        <v>521</v>
      </c>
      <c r="C313" s="18">
        <f>IFERROR(
                  Andel_oberoende_av_klimat*VLOOKUP($A313,Leveranser_per_nät,'Leveranser per nät'!C$1,FALSE)
               +Andel_beroende_av_klimat*VLOOKUP($A313,Leveranser_per_nät,'Leveranser per nät'!C$1,FALSE)/VLOOKUP($B313,Korrigeringsfaktor_EI,'Korrigeringsfaktor EI'!C$1,FALSE),
"")</f>
        <v>4.7110091743119265</v>
      </c>
      <c r="D313" s="18">
        <f>IFERROR(
                  Andel_oberoende_av_klimat*VLOOKUP($A313,Leveranser_per_nät,'Leveranser per nät'!D$1,FALSE)
               +Andel_beroende_av_klimat*VLOOKUP($A313,Leveranser_per_nät,'Leveranser per nät'!D$1,FALSE)/VLOOKUP($B313,Korrigeringsfaktor_EI,'Korrigeringsfaktor EI'!D$1,FALSE),
"")</f>
        <v>4.9395714285714289</v>
      </c>
      <c r="E313" s="18">
        <f>IFERROR(
                  Andel_oberoende_av_klimat*VLOOKUP($A313,Leveranser_per_nät,'Leveranser per nät'!E$1,FALSE)
               +Andel_beroende_av_klimat*VLOOKUP($A313,Leveranser_per_nät,'Leveranser per nät'!E$1,FALSE)/VLOOKUP($B313,Korrigeringsfaktor_EI,'Korrigeringsfaktor EI'!E$1,FALSE),
"")</f>
        <v>4.8980582524271847</v>
      </c>
      <c r="F313" s="18">
        <f>IFERROR(
                  Andel_oberoende_av_klimat*VLOOKUP($A313,Leveranser_per_nät,'Leveranser per nät'!F$1,FALSE)
               +Andel_beroende_av_klimat*VLOOKUP($A313,Leveranser_per_nät,'Leveranser per nät'!F$1,FALSE)/VLOOKUP($B313,Korrigeringsfaktor_EI,'Korrigeringsfaktor EI'!F$1,FALSE),
"")</f>
        <v>4.1166666666666671</v>
      </c>
      <c r="G313" s="18">
        <f>IFERROR(
                  Andel_oberoende_av_klimat*VLOOKUP($A313,Leveranser_per_nät,'Leveranser per nät'!G$1,FALSE)
               +Andel_beroende_av_klimat*VLOOKUP($A313,Leveranser_per_nät,'Leveranser per nät'!G$1,FALSE)/VLOOKUP($B313,Korrigeringsfaktor_EI,'Korrigeringsfaktor EI'!G$1,FALSE),
"")</f>
        <v>4.3460674157303369</v>
      </c>
      <c r="H313" s="18">
        <f>IFERROR(
                  Andel_oberoende_av_klimat*VLOOKUP($A313,Leveranser_per_nät,'Leveranser per nät'!H$1,FALSE)
               +Andel_beroende_av_klimat*VLOOKUP($A313,Leveranser_per_nät,'Leveranser per nät'!H$1,FALSE)/VLOOKUP($B313,Korrigeringsfaktor_EI,'Korrigeringsfaktor EI'!H$1,FALSE),
"")</f>
        <v>5</v>
      </c>
      <c r="I313" s="18">
        <f>IFERROR(
                  Andel_oberoende_av_klimat*VLOOKUP($A313,Leveranser_per_nät,'Leveranser per nät'!I$1,FALSE)
               +Andel_beroende_av_klimat*VLOOKUP($A313,Leveranser_per_nät,'Leveranser per nät'!I$1,FALSE)/VLOOKUP($B313,Korrigeringsfaktor_EI,'Korrigeringsfaktor EI'!I$1,FALSE),
"")</f>
        <v>5.1458333333333339</v>
      </c>
      <c r="J313" s="18">
        <f>IFERROR(
                  Andel_oberoende_av_klimat*VLOOKUP($A313,Leveranser_per_nät,'Leveranser per nät'!J$1,FALSE)
               +Andel_beroende_av_klimat*VLOOKUP($A313,Leveranser_per_nät,'Leveranser per nät'!J$1,FALSE)/VLOOKUP($B313,Korrigeringsfaktor_EI,'Korrigeringsfaktor EI'!J$1,FALSE),
"")</f>
        <v>5.0714285714285721</v>
      </c>
      <c r="K313" s="18">
        <f>IFERROR(
                  Andel_oberoende_av_klimat*VLOOKUP($A313,Leveranser_per_nät,'Leveranser per nät'!K$1,FALSE)
               +Andel_beroende_av_klimat*VLOOKUP($A313,Leveranser_per_nät,'Leveranser per nät'!K$1,FALSE)/VLOOKUP($B313,Korrigeringsfaktor_EI,'Korrigeringsfaktor EI'!K$1,FALSE),
"")</f>
        <v>5.1082474226804129</v>
      </c>
      <c r="L313" s="18">
        <f>IFERROR(
                  Andel_oberoende_av_klimat*VLOOKUP($A313,Leveranser_per_nät,'Leveranser per nät'!L$1,FALSE)
               +Andel_beroende_av_klimat*VLOOKUP($A313,Leveranser_per_nät,'Leveranser per nät'!L$1,FALSE)/VLOOKUP($B313,Korrigeringsfaktor_EI,'Korrigeringsfaktor EI'!L$1,FALSE),
"")</f>
        <v>6.2272663890986122</v>
      </c>
      <c r="M313" s="18">
        <f>IFERROR(
                  Andel_oberoende_av_klimat*VLOOKUP($A313,Leveranser_per_nät,'Leveranser per nät'!M$1,FALSE)
               +Andel_beroende_av_klimat*VLOOKUP($A313,Leveranser_per_nät,'Leveranser per nät'!M$1,FALSE)/VLOOKUP($B313,Korrigeringsfaktor_EI,'Korrigeringsfaktor EI'!M$1,FALSE),
"")</f>
        <v>4.4906608695652164</v>
      </c>
      <c r="N313" s="18">
        <f>IFERROR(
                  Andel_oberoende_av_klimat*VLOOKUP($A313,Leveranser_per_nät,'Leveranser per nät'!N$1,FALSE)
               +Andel_beroende_av_klimat*VLOOKUP($A313,Leveranser_per_nät,'Leveranser per nät'!N$1,FALSE)/VLOOKUP($B313,Korrigeringsfaktor_EI,'Korrigeringsfaktor EI'!N$1,FALSE),
"")</f>
        <v>5.1982608695652175</v>
      </c>
      <c r="O313" s="18">
        <f>IFERROR(
                  Andel_oberoende_av_klimat*VLOOKUP($A313,Leveranser_per_nät,'Leveranser per nät'!O$1,FALSE)
               +Andel_beroende_av_klimat*VLOOKUP($A313,Leveranser_per_nät,'Leveranser per nät'!O$1,FALSE)/VLOOKUP($B313,Korrigeringsfaktor_EI,'Korrigeringsfaktor EI'!O$1,FALSE),
"")</f>
        <v>5.2811111111111115</v>
      </c>
      <c r="P313" s="18">
        <f>IFERROR(
                  Andel_oberoende_av_klimat*VLOOKUP($A313,Leveranser_per_nät,'Leveranser per nät'!P$1,FALSE)
               +Andel_beroende_av_klimat*VLOOKUP($A313,Leveranser_per_nät,'Leveranser per nät'!P$1,FALSE)/VLOOKUP($B313,Korrigeringsfaktor_EI,'Korrigeringsfaktor EI'!P$1,FALSE),
"")</f>
        <v>6.1749999999999989</v>
      </c>
      <c r="Q313" s="18">
        <f>IFERROR(
                  Andel_oberoende_av_klimat*VLOOKUP($A313,Leveranser_per_nät,'Leveranser per nät'!Q$1,FALSE)
               +Andel_beroende_av_klimat*VLOOKUP($A313,Leveranser_per_nät,'Leveranser per nät'!Q$1,FALSE)/VLOOKUP($B313,Korrigeringsfaktor_EI,'Korrigeringsfaktor EI'!Q$1,FALSE),
"")</f>
        <v>6.1974999999999998</v>
      </c>
      <c r="R313" s="18">
        <f>IFERROR(
                  Andel_oberoende_av_klimat*VLOOKUP($A313,Leveranser_per_nät,'Leveranser per nät'!R$1,FALSE)
               +Andel_beroende_av_klimat*VLOOKUP($A313,Leveranser_per_nät,'Leveranser per nät'!R$1,FALSE)/VLOOKUP($B313,Korrigeringsfaktor_EI,'Korrigeringsfaktor EI'!R$1,FALSE),
"")</f>
        <v>5.6281573033707861</v>
      </c>
      <c r="S313" s="18">
        <f>IFERROR(
                  Andel_oberoende_av_klimat*VLOOKUP($A313,Leveranser_per_nät,'Leveranser per nät'!S$1,FALSE)
               +Andel_beroende_av_klimat*VLOOKUP($A313,Leveranser_per_nät,'Leveranser per nät'!S$1,FALSE)/VLOOKUP($B313,Korrigeringsfaktor_EI,'Korrigeringsfaktor EI'!S$1,FALSE),
"")</f>
        <v>5.8422857142857154</v>
      </c>
      <c r="T313" s="18">
        <f>IFERROR(
                  Andel_oberoende_av_klimat*VLOOKUP($A313,Leveranser_per_nät,'Leveranser per nät'!T$1,FALSE)
               +Andel_beroende_av_klimat*VLOOKUP($A313,Leveranser_per_nät,'Leveranser per nät'!T$1,FALSE)/VLOOKUP($B313,Korrigeringsfaktor_EI,'Korrigeringsfaktor EI'!T$1,FALSE),
"")</f>
        <v>5.752709219858156</v>
      </c>
      <c r="U313" s="18">
        <f>IFERROR(
                  Andel_oberoende_av_klimat*VLOOKUP($A313,Leveranser_per_nät,'Leveranser per nät'!U$1,FALSE)
               +Andel_beroende_av_klimat*VLOOKUP($A313,Leveranser_per_nät,'Leveranser per nät'!U$1,FALSE)/VLOOKUP($B313,Korrigeringsfaktor_EI,'Korrigeringsfaktor EI'!U$1,FALSE),
"")</f>
        <v>5.7078352059925095</v>
      </c>
      <c r="V313" s="18">
        <f>IFERROR(
                  Andel_oberoende_av_klimat*VLOOKUP($A313,Leveranser_per_nät,'Leveranser per nät'!V$1,FALSE)
               +Andel_beroende_av_klimat*VLOOKUP($A313,Leveranser_per_nät,'Leveranser per nät'!V$1,FALSE)/VLOOKUP($B313,Korrigeringsfaktor_EI,'Korrigeringsfaktor EI'!V$1,FALSE),
"")</f>
        <v>5.4325842696629216</v>
      </c>
      <c r="W313" s="18">
        <f>IFERROR(
                  Andel_oberoende_av_klimat*VLOOKUP($A313,Leveranser_per_nät,'Leveranser per nät'!W$1,FALSE)
               +Andel_beroende_av_klimat*VLOOKUP($A313,Leveranser_per_nät,'Leveranser per nät'!W$1,FALSE)/VLOOKUP($B313,Korrigeringsfaktor_EI,'Korrigeringsfaktor EI'!W$1,FALSE),
"")</f>
        <v>5.3278723404255315</v>
      </c>
      <c r="X313" s="18">
        <f>IFERROR(
                  Andel_oberoende_av_klimat*VLOOKUP($A313,Leveranser_per_nät,'Leveranser per nät'!X$1,FALSE)
               +Andel_beroende_av_klimat*VLOOKUP($A313,Leveranser_per_nät,'Leveranser per nät'!X$1,FALSE)/VLOOKUP($B313,Korrigeringsfaktor_EI,'Korrigeringsfaktor EI'!X$1,FALSE),
"")</f>
        <v>5.579247311827956</v>
      </c>
      <c r="Y313" s="18">
        <f>IFERROR(
                  Andel_oberoende_av_klimat*VLOOKUP($A313,Leveranser_per_nät,'Leveranser per nät'!Y$1,FALSE)
               +Andel_beroende_av_klimat*VLOOKUP($A313,Leveranser_per_nät,'Leveranser per nät'!Y$1,FALSE)/VLOOKUP($B313,Korrigeringsfaktor_EI,'Korrigeringsfaktor EI'!Y$1,FALSE),
"")</f>
        <v>5.6669230769230765</v>
      </c>
      <c r="Z313" s="18">
        <f>IFERROR(
                  Andel_oberoende_av_klimat*VLOOKUP($A313,Leveranser_per_nät,'Leveranser per nät'!Z$1,FALSE)
               +Andel_beroende_av_klimat*VLOOKUP($A313,Leveranser_per_nät,'Leveranser per nät'!Z$1,FALSE)/VLOOKUP($B313,Korrigeringsfaktor_EI,'Korrigeringsfaktor EI'!Z$1,FALSE),
"")</f>
        <v>5.2392307692307698</v>
      </c>
      <c r="AA313" s="18">
        <f>IFERROR(
                  Andel_oberoende_av_klimat*VLOOKUP($A313,Leveranser_per_nät,'Leveranser per nät'!AA$1,FALSE)
               +Andel_beroende_av_klimat*VLOOKUP($A313,Leveranser_per_nät,'Leveranser per nät'!AA$1,FALSE)/VLOOKUP($B313,Korrigeringsfaktor_EI,'Korrigeringsfaktor EI'!AA$1,FALSE),
"")</f>
        <v>5.2272979511426323</v>
      </c>
      <c r="AB313" s="18">
        <f>IFERROR(
                  Andel_oberoende_av_klimat*VLOOKUP($A313,Leveranser_per_nät,'Leveranser per nät'!AB$1,FALSE)
               +Andel_beroende_av_klimat*VLOOKUP($A313,Leveranser_per_nät,'Leveranser per nät'!AB$1,FALSE)/VLOOKUP($B313,Korrigeringsfaktor_EI,'Korrigeringsfaktor EI'!AB$1,FALSE),
"")</f>
        <v>5.4060336967294349</v>
      </c>
      <c r="AC313" s="18">
        <f>IFERROR(
                  Andel_oberoende_av_klimat*VLOOKUP($A313,Leveranser_per_nät,'Leveranser per nät'!AC$1,FALSE)
               +Andel_beroende_av_klimat*VLOOKUP($A313,Leveranser_per_nät,'Leveranser per nät'!AC$1,FALSE)/VLOOKUP($B313,Korrigeringsfaktor_EI,'Korrigeringsfaktor EI'!AC$1,FALSE),
"")</f>
        <v>5.1169054662379416</v>
      </c>
      <c r="AD313" t="e">
        <v>#N/A</v>
      </c>
    </row>
    <row r="314" spans="1:30" x14ac:dyDescent="0.25">
      <c r="A314" t="s">
        <v>411</v>
      </c>
      <c r="B314" t="s">
        <v>207</v>
      </c>
      <c r="C314" s="18">
        <f>IFERROR(
                  Andel_oberoende_av_klimat*VLOOKUP($A314,Leveranser_per_nät,'Leveranser per nät'!C$1,FALSE)
               +Andel_beroende_av_klimat*VLOOKUP($A314,Leveranser_per_nät,'Leveranser per nät'!C$1,FALSE)/VLOOKUP($B314,Korrigeringsfaktor_EI,'Korrigeringsfaktor EI'!C$1,FALSE),
"")</f>
        <v>0</v>
      </c>
      <c r="D314" s="18">
        <f>IFERROR(
                  Andel_oberoende_av_klimat*VLOOKUP($A314,Leveranser_per_nät,'Leveranser per nät'!D$1,FALSE)
               +Andel_beroende_av_klimat*VLOOKUP($A314,Leveranser_per_nät,'Leveranser per nät'!D$1,FALSE)/VLOOKUP($B314,Korrigeringsfaktor_EI,'Korrigeringsfaktor EI'!D$1,FALSE),
"")</f>
        <v>0.48685714285714282</v>
      </c>
      <c r="E314" s="18">
        <f>IFERROR(
                  Andel_oberoende_av_klimat*VLOOKUP($A314,Leveranser_per_nät,'Leveranser per nät'!E$1,FALSE)
               +Andel_beroende_av_klimat*VLOOKUP($A314,Leveranser_per_nät,'Leveranser per nät'!E$1,FALSE)/VLOOKUP($B314,Korrigeringsfaktor_EI,'Korrigeringsfaktor EI'!E$1,FALSE),
"")</f>
        <v>0.97961165048543686</v>
      </c>
      <c r="F314" s="18">
        <f>IFERROR(
                  Andel_oberoende_av_klimat*VLOOKUP($A314,Leveranser_per_nät,'Leveranser per nät'!F$1,FALSE)
               +Andel_beroende_av_klimat*VLOOKUP($A314,Leveranser_per_nät,'Leveranser per nät'!F$1,FALSE)/VLOOKUP($B314,Korrigeringsfaktor_EI,'Korrigeringsfaktor EI'!F$1,FALSE),
"")</f>
        <v>1.0368421052631578</v>
      </c>
      <c r="G314" s="18">
        <f>IFERROR(
                  Andel_oberoende_av_klimat*VLOOKUP($A314,Leveranser_per_nät,'Leveranser per nät'!G$1,FALSE)
               +Andel_beroende_av_klimat*VLOOKUP($A314,Leveranser_per_nät,'Leveranser per nät'!G$1,FALSE)/VLOOKUP($B314,Korrigeringsfaktor_EI,'Korrigeringsfaktor EI'!G$1,FALSE),
"")</f>
        <v>0</v>
      </c>
      <c r="H314" s="18">
        <f>IFERROR(
                  Andel_oberoende_av_klimat*VLOOKUP($A314,Leveranser_per_nät,'Leveranser per nät'!H$1,FALSE)
               +Andel_beroende_av_klimat*VLOOKUP($A314,Leveranser_per_nät,'Leveranser per nät'!H$1,FALSE)/VLOOKUP($B314,Korrigeringsfaktor_EI,'Korrigeringsfaktor EI'!H$1,FALSE),
"")</f>
        <v>0</v>
      </c>
      <c r="I314" s="18">
        <f>IFERROR(
                  Andel_oberoende_av_klimat*VLOOKUP($A314,Leveranser_per_nät,'Leveranser per nät'!I$1,FALSE)
               +Andel_beroende_av_klimat*VLOOKUP($A314,Leveranser_per_nät,'Leveranser per nät'!I$1,FALSE)/VLOOKUP($B314,Korrigeringsfaktor_EI,'Korrigeringsfaktor EI'!I$1,FALSE),
"")</f>
        <v>0</v>
      </c>
      <c r="J314" s="18">
        <f>IFERROR(
                  Andel_oberoende_av_klimat*VLOOKUP($A314,Leveranser_per_nät,'Leveranser per nät'!J$1,FALSE)
               +Andel_beroende_av_klimat*VLOOKUP($A314,Leveranser_per_nät,'Leveranser per nät'!J$1,FALSE)/VLOOKUP($B314,Korrigeringsfaktor_EI,'Korrigeringsfaktor EI'!J$1,FALSE),
"")</f>
        <v>0</v>
      </c>
      <c r="K314" s="18">
        <f>IFERROR(
                  Andel_oberoende_av_klimat*VLOOKUP($A314,Leveranser_per_nät,'Leveranser per nät'!K$1,FALSE)
               +Andel_beroende_av_klimat*VLOOKUP($A314,Leveranser_per_nät,'Leveranser per nät'!K$1,FALSE)/VLOOKUP($B314,Korrigeringsfaktor_EI,'Korrigeringsfaktor EI'!K$1,FALSE),
"")</f>
        <v>0</v>
      </c>
      <c r="L314" s="18">
        <f>IFERROR(
                  Andel_oberoende_av_klimat*VLOOKUP($A314,Leveranser_per_nät,'Leveranser per nät'!L$1,FALSE)
               +Andel_beroende_av_klimat*VLOOKUP($A314,Leveranser_per_nät,'Leveranser per nät'!L$1,FALSE)/VLOOKUP($B314,Korrigeringsfaktor_EI,'Korrigeringsfaktor EI'!L$1,FALSE),
"")</f>
        <v>0</v>
      </c>
      <c r="M314" s="18">
        <f>IFERROR(
                  Andel_oberoende_av_klimat*VLOOKUP($A314,Leveranser_per_nät,'Leveranser per nät'!M$1,FALSE)
               +Andel_beroende_av_klimat*VLOOKUP($A314,Leveranser_per_nät,'Leveranser per nät'!M$1,FALSE)/VLOOKUP($B314,Korrigeringsfaktor_EI,'Korrigeringsfaktor EI'!M$1,FALSE),
"")</f>
        <v>0</v>
      </c>
      <c r="N314" s="18">
        <f>IFERROR(
                  Andel_oberoende_av_klimat*VLOOKUP($A314,Leveranser_per_nät,'Leveranser per nät'!N$1,FALSE)
               +Andel_beroende_av_klimat*VLOOKUP($A314,Leveranser_per_nät,'Leveranser per nät'!N$1,FALSE)/VLOOKUP($B314,Korrigeringsfaktor_EI,'Korrigeringsfaktor EI'!N$1,FALSE),
"")</f>
        <v>0</v>
      </c>
      <c r="O314" s="18">
        <f>IFERROR(
                  Andel_oberoende_av_klimat*VLOOKUP($A314,Leveranser_per_nät,'Leveranser per nät'!O$1,FALSE)
               +Andel_beroende_av_klimat*VLOOKUP($A314,Leveranser_per_nät,'Leveranser per nät'!O$1,FALSE)/VLOOKUP($B314,Korrigeringsfaktor_EI,'Korrigeringsfaktor EI'!O$1,FALSE),
"")</f>
        <v>0</v>
      </c>
      <c r="P314" s="18">
        <f>IFERROR(
                  Andel_oberoende_av_klimat*VLOOKUP($A314,Leveranser_per_nät,'Leveranser per nät'!P$1,FALSE)
               +Andel_beroende_av_klimat*VLOOKUP($A314,Leveranser_per_nät,'Leveranser per nät'!P$1,FALSE)/VLOOKUP($B314,Korrigeringsfaktor_EI,'Korrigeringsfaktor EI'!P$1,FALSE),
"")</f>
        <v>0</v>
      </c>
      <c r="Q314" s="18">
        <f>IFERROR(
                  Andel_oberoende_av_klimat*VLOOKUP($A314,Leveranser_per_nät,'Leveranser per nät'!Q$1,FALSE)
               +Andel_beroende_av_klimat*VLOOKUP($A314,Leveranser_per_nät,'Leveranser per nät'!Q$1,FALSE)/VLOOKUP($B314,Korrigeringsfaktor_EI,'Korrigeringsfaktor EI'!Q$1,FALSE),
"")</f>
        <v>0</v>
      </c>
      <c r="R314" s="18">
        <f>IFERROR(
                  Andel_oberoende_av_klimat*VLOOKUP($A314,Leveranser_per_nät,'Leveranser per nät'!R$1,FALSE)
               +Andel_beroende_av_klimat*VLOOKUP($A314,Leveranser_per_nät,'Leveranser per nät'!R$1,FALSE)/VLOOKUP($B314,Korrigeringsfaktor_EI,'Korrigeringsfaktor EI'!R$1,FALSE),
"")</f>
        <v>0</v>
      </c>
      <c r="S314" s="18" t="str">
        <f>IFERROR(
                  Andel_oberoende_av_klimat*VLOOKUP($A314,Leveranser_per_nät,'Leveranser per nät'!S$1,FALSE)
               +Andel_beroende_av_klimat*VLOOKUP($A314,Leveranser_per_nät,'Leveranser per nät'!S$1,FALSE)/VLOOKUP($B314,Korrigeringsfaktor_EI,'Korrigeringsfaktor EI'!S$1,FALSE),
"")</f>
        <v/>
      </c>
      <c r="T314" s="18" t="str">
        <f>IFERROR(
                  Andel_oberoende_av_klimat*VLOOKUP($A314,Leveranser_per_nät,'Leveranser per nät'!T$1,FALSE)
               +Andel_beroende_av_klimat*VLOOKUP($A314,Leveranser_per_nät,'Leveranser per nät'!T$1,FALSE)/VLOOKUP($B314,Korrigeringsfaktor_EI,'Korrigeringsfaktor EI'!T$1,FALSE),
"")</f>
        <v/>
      </c>
      <c r="U314" s="18" t="str">
        <f>IFERROR(
                  Andel_oberoende_av_klimat*VLOOKUP($A314,Leveranser_per_nät,'Leveranser per nät'!U$1,FALSE)
               +Andel_beroende_av_klimat*VLOOKUP($A314,Leveranser_per_nät,'Leveranser per nät'!U$1,FALSE)/VLOOKUP($B314,Korrigeringsfaktor_EI,'Korrigeringsfaktor EI'!U$1,FALSE),
"")</f>
        <v/>
      </c>
      <c r="V314" s="18" t="str">
        <f>IFERROR(
                  Andel_oberoende_av_klimat*VLOOKUP($A314,Leveranser_per_nät,'Leveranser per nät'!V$1,FALSE)
               +Andel_beroende_av_klimat*VLOOKUP($A314,Leveranser_per_nät,'Leveranser per nät'!V$1,FALSE)/VLOOKUP($B314,Korrigeringsfaktor_EI,'Korrigeringsfaktor EI'!V$1,FALSE),
"")</f>
        <v/>
      </c>
      <c r="W314" s="18" t="str">
        <f>IFERROR(
                  Andel_oberoende_av_klimat*VLOOKUP($A314,Leveranser_per_nät,'Leveranser per nät'!W$1,FALSE)
               +Andel_beroende_av_klimat*VLOOKUP($A314,Leveranser_per_nät,'Leveranser per nät'!W$1,FALSE)/VLOOKUP($B314,Korrigeringsfaktor_EI,'Korrigeringsfaktor EI'!W$1,FALSE),
"")</f>
        <v/>
      </c>
      <c r="X314" s="18" t="str">
        <f>IFERROR(
                  Andel_oberoende_av_klimat*VLOOKUP($A314,Leveranser_per_nät,'Leveranser per nät'!X$1,FALSE)
               +Andel_beroende_av_klimat*VLOOKUP($A314,Leveranser_per_nät,'Leveranser per nät'!X$1,FALSE)/VLOOKUP($B314,Korrigeringsfaktor_EI,'Korrigeringsfaktor EI'!X$1,FALSE),
"")</f>
        <v/>
      </c>
      <c r="Y314" s="18" t="str">
        <f>IFERROR(
                  Andel_oberoende_av_klimat*VLOOKUP($A314,Leveranser_per_nät,'Leveranser per nät'!Y$1,FALSE)
               +Andel_beroende_av_klimat*VLOOKUP($A314,Leveranser_per_nät,'Leveranser per nät'!Y$1,FALSE)/VLOOKUP($B314,Korrigeringsfaktor_EI,'Korrigeringsfaktor EI'!Y$1,FALSE),
"")</f>
        <v/>
      </c>
      <c r="Z314" s="18">
        <f>IFERROR(
                  Andel_oberoende_av_klimat*VLOOKUP($A314,Leveranser_per_nät,'Leveranser per nät'!Z$1,FALSE)
               +Andel_beroende_av_klimat*VLOOKUP($A314,Leveranser_per_nät,'Leveranser per nät'!Z$1,FALSE)/VLOOKUP($B314,Korrigeringsfaktor_EI,'Korrigeringsfaktor EI'!Z$1,FALSE),
"")</f>
        <v>0</v>
      </c>
      <c r="AA314" s="18" t="str">
        <f>IFERROR(
                  Andel_oberoende_av_klimat*VLOOKUP($A314,Leveranser_per_nät,'Leveranser per nät'!AA$1,FALSE)
               +Andel_beroende_av_klimat*VLOOKUP($A314,Leveranser_per_nät,'Leveranser per nät'!AA$1,FALSE)/VLOOKUP($B314,Korrigeringsfaktor_EI,'Korrigeringsfaktor EI'!AA$1,FALSE),
"")</f>
        <v/>
      </c>
      <c r="AB314" s="18">
        <f>IFERROR(
                  Andel_oberoende_av_klimat*VLOOKUP($A314,Leveranser_per_nät,'Leveranser per nät'!AB$1,FALSE)
               +Andel_beroende_av_klimat*VLOOKUP($A314,Leveranser_per_nät,'Leveranser per nät'!AB$1,FALSE)/VLOOKUP($B314,Korrigeringsfaktor_EI,'Korrigeringsfaktor EI'!AB$1,FALSE),
"")</f>
        <v>0</v>
      </c>
      <c r="AC314" s="18">
        <f>IFERROR(
                  Andel_oberoende_av_klimat*VLOOKUP($A314,Leveranser_per_nät,'Leveranser per nät'!AC$1,FALSE)
               +Andel_beroende_av_klimat*VLOOKUP($A314,Leveranser_per_nät,'Leveranser per nät'!AC$1,FALSE)/VLOOKUP($B314,Korrigeringsfaktor_EI,'Korrigeringsfaktor EI'!AC$1,FALSE),
"")</f>
        <v>0</v>
      </c>
      <c r="AD314">
        <v>1373.4</v>
      </c>
    </row>
    <row r="315" spans="1:30" x14ac:dyDescent="0.25">
      <c r="A315" t="s">
        <v>226</v>
      </c>
      <c r="B315" t="s">
        <v>226</v>
      </c>
      <c r="C315" s="18">
        <f>IFERROR(
                  Andel_oberoende_av_klimat*VLOOKUP($A315,Leveranser_per_nät,'Leveranser per nät'!C$1,FALSE)
               +Andel_beroende_av_klimat*VLOOKUP($A315,Leveranser_per_nät,'Leveranser per nät'!C$1,FALSE)/VLOOKUP($B315,Korrigeringsfaktor_EI,'Korrigeringsfaktor EI'!C$1,FALSE),
"")</f>
        <v>0</v>
      </c>
      <c r="D315" s="18">
        <f>IFERROR(
                  Andel_oberoende_av_klimat*VLOOKUP($A315,Leveranser_per_nät,'Leveranser per nät'!D$1,FALSE)
               +Andel_beroende_av_klimat*VLOOKUP($A315,Leveranser_per_nät,'Leveranser per nät'!D$1,FALSE)/VLOOKUP($B315,Korrigeringsfaktor_EI,'Korrigeringsfaktor EI'!D$1,FALSE),
"")</f>
        <v>0</v>
      </c>
      <c r="E315" s="18">
        <f>IFERROR(
                  Andel_oberoende_av_klimat*VLOOKUP($A315,Leveranser_per_nät,'Leveranser per nät'!E$1,FALSE)
               +Andel_beroende_av_klimat*VLOOKUP($A315,Leveranser_per_nät,'Leveranser per nät'!E$1,FALSE)/VLOOKUP($B315,Korrigeringsfaktor_EI,'Korrigeringsfaktor EI'!E$1,FALSE),
"")</f>
        <v>0</v>
      </c>
      <c r="F315" s="18">
        <f>IFERROR(
                  Andel_oberoende_av_klimat*VLOOKUP($A315,Leveranser_per_nät,'Leveranser per nät'!F$1,FALSE)
               +Andel_beroende_av_klimat*VLOOKUP($A315,Leveranser_per_nät,'Leveranser per nät'!F$1,FALSE)/VLOOKUP($B315,Korrigeringsfaktor_EI,'Korrigeringsfaktor EI'!F$1,FALSE),
"")</f>
        <v>0</v>
      </c>
      <c r="G315" s="18">
        <f>IFERROR(
                  Andel_oberoende_av_klimat*VLOOKUP($A315,Leveranser_per_nät,'Leveranser per nät'!G$1,FALSE)
               +Andel_beroende_av_klimat*VLOOKUP($A315,Leveranser_per_nät,'Leveranser per nät'!G$1,FALSE)/VLOOKUP($B315,Korrigeringsfaktor_EI,'Korrigeringsfaktor EI'!G$1,FALSE),
"")</f>
        <v>0</v>
      </c>
      <c r="H315" s="18">
        <f>IFERROR(
                  Andel_oberoende_av_klimat*VLOOKUP($A315,Leveranser_per_nät,'Leveranser per nät'!H$1,FALSE)
               +Andel_beroende_av_klimat*VLOOKUP($A315,Leveranser_per_nät,'Leveranser per nät'!H$1,FALSE)/VLOOKUP($B315,Korrigeringsfaktor_EI,'Korrigeringsfaktor EI'!H$1,FALSE),
"")</f>
        <v>0</v>
      </c>
      <c r="I315" s="18">
        <f>IFERROR(
                  Andel_oberoende_av_klimat*VLOOKUP($A315,Leveranser_per_nät,'Leveranser per nät'!I$1,FALSE)
               +Andel_beroende_av_klimat*VLOOKUP($A315,Leveranser_per_nät,'Leveranser per nät'!I$1,FALSE)/VLOOKUP($B315,Korrigeringsfaktor_EI,'Korrigeringsfaktor EI'!I$1,FALSE),
"")</f>
        <v>0</v>
      </c>
      <c r="J315" s="18">
        <f>IFERROR(
                  Andel_oberoende_av_klimat*VLOOKUP($A315,Leveranser_per_nät,'Leveranser per nät'!J$1,FALSE)
               +Andel_beroende_av_klimat*VLOOKUP($A315,Leveranser_per_nät,'Leveranser per nät'!J$1,FALSE)/VLOOKUP($B315,Korrigeringsfaktor_EI,'Korrigeringsfaktor EI'!J$1,FALSE),
"")</f>
        <v>0</v>
      </c>
      <c r="K315" s="18">
        <f>IFERROR(
                  Andel_oberoende_av_klimat*VLOOKUP($A315,Leveranser_per_nät,'Leveranser per nät'!K$1,FALSE)
               +Andel_beroende_av_klimat*VLOOKUP($A315,Leveranser_per_nät,'Leveranser per nät'!K$1,FALSE)/VLOOKUP($B315,Korrigeringsfaktor_EI,'Korrigeringsfaktor EI'!K$1,FALSE),
"")</f>
        <v>0</v>
      </c>
      <c r="L315" s="18">
        <f>IFERROR(
                  Andel_oberoende_av_klimat*VLOOKUP($A315,Leveranser_per_nät,'Leveranser per nät'!L$1,FALSE)
               +Andel_beroende_av_klimat*VLOOKUP($A315,Leveranser_per_nät,'Leveranser per nät'!L$1,FALSE)/VLOOKUP($B315,Korrigeringsfaktor_EI,'Korrigeringsfaktor EI'!L$1,FALSE),
"")</f>
        <v>0</v>
      </c>
      <c r="M315" s="18">
        <f>IFERROR(
                  Andel_oberoende_av_klimat*VLOOKUP($A315,Leveranser_per_nät,'Leveranser per nät'!M$1,FALSE)
               +Andel_beroende_av_klimat*VLOOKUP($A315,Leveranser_per_nät,'Leveranser per nät'!M$1,FALSE)/VLOOKUP($B315,Korrigeringsfaktor_EI,'Korrigeringsfaktor EI'!M$1,FALSE),
"")</f>
        <v>42.733947826086947</v>
      </c>
      <c r="N315" s="18">
        <f>IFERROR(
                  Andel_oberoende_av_klimat*VLOOKUP($A315,Leveranser_per_nät,'Leveranser per nät'!N$1,FALSE)
               +Andel_beroende_av_klimat*VLOOKUP($A315,Leveranser_per_nät,'Leveranser per nät'!N$1,FALSE)/VLOOKUP($B315,Korrigeringsfaktor_EI,'Korrigeringsfaktor EI'!N$1,FALSE),
"")</f>
        <v>42.713411111111114</v>
      </c>
      <c r="O315" s="18">
        <f>IFERROR(
                  Andel_oberoende_av_klimat*VLOOKUP($A315,Leveranser_per_nät,'Leveranser per nät'!O$1,FALSE)
               +Andel_beroende_av_klimat*VLOOKUP($A315,Leveranser_per_nät,'Leveranser per nät'!O$1,FALSE)/VLOOKUP($B315,Korrigeringsfaktor_EI,'Korrigeringsfaktor EI'!O$1,FALSE),
"")</f>
        <v>44.059555555555562</v>
      </c>
      <c r="P315" s="18">
        <f>IFERROR(
                  Andel_oberoende_av_klimat*VLOOKUP($A315,Leveranser_per_nät,'Leveranser per nät'!P$1,FALSE)
               +Andel_beroende_av_klimat*VLOOKUP($A315,Leveranser_per_nät,'Leveranser per nät'!P$1,FALSE)/VLOOKUP($B315,Korrigeringsfaktor_EI,'Korrigeringsfaktor EI'!P$1,FALSE),
"")</f>
        <v>43.236315789473693</v>
      </c>
      <c r="Q315" s="18">
        <f>IFERROR(
                  Andel_oberoende_av_klimat*VLOOKUP($A315,Leveranser_per_nät,'Leveranser per nät'!Q$1,FALSE)
               +Andel_beroende_av_klimat*VLOOKUP($A315,Leveranser_per_nät,'Leveranser per nät'!Q$1,FALSE)/VLOOKUP($B315,Korrigeringsfaktor_EI,'Korrigeringsfaktor EI'!Q$1,FALSE),
"")</f>
        <v>43.553513513513508</v>
      </c>
      <c r="R315" s="18">
        <f>IFERROR(
                  Andel_oberoende_av_klimat*VLOOKUP($A315,Leveranser_per_nät,'Leveranser per nät'!R$1,FALSE)
               +Andel_beroende_av_klimat*VLOOKUP($A315,Leveranser_per_nät,'Leveranser per nät'!R$1,FALSE)/VLOOKUP($B315,Korrigeringsfaktor_EI,'Korrigeringsfaktor EI'!R$1,FALSE),
"")</f>
        <v>42.22260869565217</v>
      </c>
      <c r="S315" s="18">
        <f>IFERROR(
                  Andel_oberoende_av_klimat*VLOOKUP($A315,Leveranser_per_nät,'Leveranser per nät'!S$1,FALSE)
               +Andel_beroende_av_klimat*VLOOKUP($A315,Leveranser_per_nät,'Leveranser per nät'!S$1,FALSE)/VLOOKUP($B315,Korrigeringsfaktor_EI,'Korrigeringsfaktor EI'!S$1,FALSE),
"")</f>
        <v>42.701980198019797</v>
      </c>
      <c r="T315" s="18">
        <f>IFERROR(
                  Andel_oberoende_av_klimat*VLOOKUP($A315,Leveranser_per_nät,'Leveranser per nät'!T$1,FALSE)
               +Andel_beroende_av_klimat*VLOOKUP($A315,Leveranser_per_nät,'Leveranser per nät'!T$1,FALSE)/VLOOKUP($B315,Korrigeringsfaktor_EI,'Korrigeringsfaktor EI'!T$1,FALSE),
"")</f>
        <v>42.296288659793817</v>
      </c>
      <c r="U315" s="18">
        <f>IFERROR(
                  Andel_oberoende_av_klimat*VLOOKUP($A315,Leveranser_per_nät,'Leveranser per nät'!U$1,FALSE)
               +Andel_beroende_av_klimat*VLOOKUP($A315,Leveranser_per_nät,'Leveranser per nät'!U$1,FALSE)/VLOOKUP($B315,Korrigeringsfaktor_EI,'Korrigeringsfaktor EI'!U$1,FALSE),
"")</f>
        <v>41.891277272727272</v>
      </c>
      <c r="V315" s="18">
        <f>IFERROR(
                  Andel_oberoende_av_klimat*VLOOKUP($A315,Leveranser_per_nät,'Leveranser per nät'!V$1,FALSE)
               +Andel_beroende_av_klimat*VLOOKUP($A315,Leveranser_per_nät,'Leveranser per nät'!V$1,FALSE)/VLOOKUP($B315,Korrigeringsfaktor_EI,'Korrigeringsfaktor EI'!V$1,FALSE),
"")</f>
        <v>45.129391304347827</v>
      </c>
      <c r="W315" s="18">
        <f>IFERROR(
                  Andel_oberoende_av_klimat*VLOOKUP($A315,Leveranser_per_nät,'Leveranser per nät'!W$1,FALSE)
               +Andel_beroende_av_klimat*VLOOKUP($A315,Leveranser_per_nät,'Leveranser per nät'!W$1,FALSE)/VLOOKUP($B315,Korrigeringsfaktor_EI,'Korrigeringsfaktor EI'!W$1,FALSE),
"")</f>
        <v>51.489578947368422</v>
      </c>
      <c r="X315" s="18">
        <f>IFERROR(
                  Andel_oberoende_av_klimat*VLOOKUP($A315,Leveranser_per_nät,'Leveranser per nät'!X$1,FALSE)
               +Andel_beroende_av_klimat*VLOOKUP($A315,Leveranser_per_nät,'Leveranser per nät'!X$1,FALSE)/VLOOKUP($B315,Korrigeringsfaktor_EI,'Korrigeringsfaktor EI'!X$1,FALSE),
"")</f>
        <v>51.494608695652161</v>
      </c>
      <c r="Y315" s="18">
        <f>IFERROR(
                  Andel_oberoende_av_klimat*VLOOKUP($A315,Leveranser_per_nät,'Leveranser per nät'!Y$1,FALSE)
               +Andel_beroende_av_klimat*VLOOKUP($A315,Leveranser_per_nät,'Leveranser per nät'!Y$1,FALSE)/VLOOKUP($B315,Korrigeringsfaktor_EI,'Korrigeringsfaktor EI'!Y$1,FALSE),
"")</f>
        <v>53.677272727272729</v>
      </c>
      <c r="Z315" s="18">
        <f>IFERROR(
                  Andel_oberoende_av_klimat*VLOOKUP($A315,Leveranser_per_nät,'Leveranser per nät'!Z$1,FALSE)
               +Andel_beroende_av_klimat*VLOOKUP($A315,Leveranser_per_nät,'Leveranser per nät'!Z$1,FALSE)/VLOOKUP($B315,Korrigeringsfaktor_EI,'Korrigeringsfaktor EI'!Z$1,FALSE),
"")</f>
        <v>50.573488372093024</v>
      </c>
      <c r="AA315" s="18">
        <f>IFERROR(
                  Andel_oberoende_av_klimat*VLOOKUP($A315,Leveranser_per_nät,'Leveranser per nät'!AA$1,FALSE)
               +Andel_beroende_av_klimat*VLOOKUP($A315,Leveranser_per_nät,'Leveranser per nät'!AA$1,FALSE)/VLOOKUP($B315,Korrigeringsfaktor_EI,'Korrigeringsfaktor EI'!AA$1,FALSE),
"")</f>
        <v>49.837006993006995</v>
      </c>
      <c r="AB315" s="18">
        <f>IFERROR(
                  Andel_oberoende_av_klimat*VLOOKUP($A315,Leveranser_per_nät,'Leveranser per nät'!AB$1,FALSE)
               +Andel_beroende_av_klimat*VLOOKUP($A315,Leveranser_per_nät,'Leveranser per nät'!AB$1,FALSE)/VLOOKUP($B315,Korrigeringsfaktor_EI,'Korrigeringsfaktor EI'!AB$1,FALSE),
"")</f>
        <v>49.851500000000001</v>
      </c>
      <c r="AC315" s="18">
        <f>IFERROR(
                  Andel_oberoende_av_klimat*VLOOKUP($A315,Leveranser_per_nät,'Leveranser per nät'!AC$1,FALSE)
               +Andel_beroende_av_klimat*VLOOKUP($A315,Leveranser_per_nät,'Leveranser per nät'!AC$1,FALSE)/VLOOKUP($B315,Korrigeringsfaktor_EI,'Korrigeringsfaktor EI'!AC$1,FALSE),
"")</f>
        <v>49.931833865814689</v>
      </c>
      <c r="AD315">
        <v>47.76</v>
      </c>
    </row>
    <row r="316" spans="1:30" x14ac:dyDescent="0.25">
      <c r="A316" t="s">
        <v>26</v>
      </c>
      <c r="B316" t="s">
        <v>25</v>
      </c>
      <c r="C316" s="18">
        <f>IFERROR(
                  Andel_oberoende_av_klimat*VLOOKUP($A316,Leveranser_per_nät,'Leveranser per nät'!C$1,FALSE)
               +Andel_beroende_av_klimat*VLOOKUP($A316,Leveranser_per_nät,'Leveranser per nät'!C$1,FALSE)/VLOOKUP($B316,Korrigeringsfaktor_EI,'Korrigeringsfaktor EI'!C$1,FALSE),
"")</f>
        <v>0</v>
      </c>
      <c r="D316" s="18">
        <f>IFERROR(
                  Andel_oberoende_av_klimat*VLOOKUP($A316,Leveranser_per_nät,'Leveranser per nät'!D$1,FALSE)
               +Andel_beroende_av_klimat*VLOOKUP($A316,Leveranser_per_nät,'Leveranser per nät'!D$1,FALSE)/VLOOKUP($B316,Korrigeringsfaktor_EI,'Korrigeringsfaktor EI'!D$1,FALSE),
"")</f>
        <v>0</v>
      </c>
      <c r="E316" s="18">
        <f>IFERROR(
                  Andel_oberoende_av_klimat*VLOOKUP($A316,Leveranser_per_nät,'Leveranser per nät'!E$1,FALSE)
               +Andel_beroende_av_klimat*VLOOKUP($A316,Leveranser_per_nät,'Leveranser per nät'!E$1,FALSE)/VLOOKUP($B316,Korrigeringsfaktor_EI,'Korrigeringsfaktor EI'!E$1,FALSE),
"")</f>
        <v>0</v>
      </c>
      <c r="F316" s="18">
        <f>IFERROR(
                  Andel_oberoende_av_klimat*VLOOKUP($A316,Leveranser_per_nät,'Leveranser per nät'!F$1,FALSE)
               +Andel_beroende_av_klimat*VLOOKUP($A316,Leveranser_per_nät,'Leveranser per nät'!F$1,FALSE)/VLOOKUP($B316,Korrigeringsfaktor_EI,'Korrigeringsfaktor EI'!F$1,FALSE),
"")</f>
        <v>0</v>
      </c>
      <c r="G316" s="18">
        <f>IFERROR(
                  Andel_oberoende_av_klimat*VLOOKUP($A316,Leveranser_per_nät,'Leveranser per nät'!G$1,FALSE)
               +Andel_beroende_av_klimat*VLOOKUP($A316,Leveranser_per_nät,'Leveranser per nät'!G$1,FALSE)/VLOOKUP($B316,Korrigeringsfaktor_EI,'Korrigeringsfaktor EI'!G$1,FALSE),
"")</f>
        <v>0</v>
      </c>
      <c r="H316" s="18">
        <f>IFERROR(
                  Andel_oberoende_av_klimat*VLOOKUP($A316,Leveranser_per_nät,'Leveranser per nät'!H$1,FALSE)
               +Andel_beroende_av_klimat*VLOOKUP($A316,Leveranser_per_nät,'Leveranser per nät'!H$1,FALSE)/VLOOKUP($B316,Korrigeringsfaktor_EI,'Korrigeringsfaktor EI'!H$1,FALSE),
"")</f>
        <v>0</v>
      </c>
      <c r="I316" s="18">
        <f>IFERROR(
                  Andel_oberoende_av_klimat*VLOOKUP($A316,Leveranser_per_nät,'Leveranser per nät'!I$1,FALSE)
               +Andel_beroende_av_klimat*VLOOKUP($A316,Leveranser_per_nät,'Leveranser per nät'!I$1,FALSE)/VLOOKUP($B316,Korrigeringsfaktor_EI,'Korrigeringsfaktor EI'!I$1,FALSE),
"")</f>
        <v>0</v>
      </c>
      <c r="J316" s="18">
        <f>IFERROR(
                  Andel_oberoende_av_klimat*VLOOKUP($A316,Leveranser_per_nät,'Leveranser per nät'!J$1,FALSE)
               +Andel_beroende_av_klimat*VLOOKUP($A316,Leveranser_per_nät,'Leveranser per nät'!J$1,FALSE)/VLOOKUP($B316,Korrigeringsfaktor_EI,'Korrigeringsfaktor EI'!J$1,FALSE),
"")</f>
        <v>0</v>
      </c>
      <c r="K316" s="18">
        <f>IFERROR(
                  Andel_oberoende_av_klimat*VLOOKUP($A316,Leveranser_per_nät,'Leveranser per nät'!K$1,FALSE)
               +Andel_beroende_av_klimat*VLOOKUP($A316,Leveranser_per_nät,'Leveranser per nät'!K$1,FALSE)/VLOOKUP($B316,Korrigeringsfaktor_EI,'Korrigeringsfaktor EI'!K$1,FALSE),
"")</f>
        <v>0</v>
      </c>
      <c r="L316" s="18">
        <f>IFERROR(
                  Andel_oberoende_av_klimat*VLOOKUP($A316,Leveranser_per_nät,'Leveranser per nät'!L$1,FALSE)
               +Andel_beroende_av_klimat*VLOOKUP($A316,Leveranser_per_nät,'Leveranser per nät'!L$1,FALSE)/VLOOKUP($B316,Korrigeringsfaktor_EI,'Korrigeringsfaktor EI'!L$1,FALSE),
"")</f>
        <v>0</v>
      </c>
      <c r="M316" s="18">
        <f>IFERROR(
                  Andel_oberoende_av_klimat*VLOOKUP($A316,Leveranser_per_nät,'Leveranser per nät'!M$1,FALSE)
               +Andel_beroende_av_klimat*VLOOKUP($A316,Leveranser_per_nät,'Leveranser per nät'!M$1,FALSE)/VLOOKUP($B316,Korrigeringsfaktor_EI,'Korrigeringsfaktor EI'!M$1,FALSE),
"")</f>
        <v>0</v>
      </c>
      <c r="N316" s="18">
        <f>IFERROR(
                  Andel_oberoende_av_klimat*VLOOKUP($A316,Leveranser_per_nät,'Leveranser per nät'!N$1,FALSE)
               +Andel_beroende_av_klimat*VLOOKUP($A316,Leveranser_per_nät,'Leveranser per nät'!N$1,FALSE)/VLOOKUP($B316,Korrigeringsfaktor_EI,'Korrigeringsfaktor EI'!N$1,FALSE),
"")</f>
        <v>0.8421505376344085</v>
      </c>
      <c r="O316" s="18">
        <f>IFERROR(
                  Andel_oberoende_av_klimat*VLOOKUP($A316,Leveranser_per_nät,'Leveranser per nät'!O$1,FALSE)
               +Andel_beroende_av_klimat*VLOOKUP($A316,Leveranser_per_nät,'Leveranser per nät'!O$1,FALSE)/VLOOKUP($B316,Korrigeringsfaktor_EI,'Korrigeringsfaktor EI'!O$1,FALSE),
"")</f>
        <v>1.5913043478260867</v>
      </c>
      <c r="P316" s="18">
        <f>IFERROR(
                  Andel_oberoende_av_klimat*VLOOKUP($A316,Leveranser_per_nät,'Leveranser per nät'!P$1,FALSE)
               +Andel_beroende_av_klimat*VLOOKUP($A316,Leveranser_per_nät,'Leveranser per nät'!P$1,FALSE)/VLOOKUP($B316,Korrigeringsfaktor_EI,'Korrigeringsfaktor EI'!P$1,FALSE),
"")</f>
        <v>2.145463917525773</v>
      </c>
      <c r="Q316" s="18">
        <f>IFERROR(
                  Andel_oberoende_av_klimat*VLOOKUP($A316,Leveranser_per_nät,'Leveranser per nät'!Q$1,FALSE)
               +Andel_beroende_av_klimat*VLOOKUP($A316,Leveranser_per_nät,'Leveranser per nät'!Q$1,FALSE)/VLOOKUP($B316,Korrigeringsfaktor_EI,'Korrigeringsfaktor EI'!Q$1,FALSE),
"")</f>
        <v>2.1274999999999999</v>
      </c>
      <c r="R316" s="18">
        <f>IFERROR(
                  Andel_oberoende_av_klimat*VLOOKUP($A316,Leveranser_per_nät,'Leveranser per nät'!R$1,FALSE)
               +Andel_beroende_av_klimat*VLOOKUP($A316,Leveranser_per_nät,'Leveranser per nät'!R$1,FALSE)/VLOOKUP($B316,Korrigeringsfaktor_EI,'Korrigeringsfaktor EI'!R$1,FALSE),
"")</f>
        <v>2.2453846153846153</v>
      </c>
      <c r="S316" s="18">
        <f>IFERROR(
                  Andel_oberoende_av_klimat*VLOOKUP($A316,Leveranser_per_nät,'Leveranser per nät'!S$1,FALSE)
               +Andel_beroende_av_klimat*VLOOKUP($A316,Leveranser_per_nät,'Leveranser per nät'!S$1,FALSE)/VLOOKUP($B316,Korrigeringsfaktor_EI,'Korrigeringsfaktor EI'!S$1,FALSE),
"")</f>
        <v>2.1152376237623765</v>
      </c>
      <c r="T316" s="18">
        <f>IFERROR(
                  Andel_oberoende_av_klimat*VLOOKUP($A316,Leveranser_per_nät,'Leveranser per nät'!T$1,FALSE)
               +Andel_beroende_av_klimat*VLOOKUP($A316,Leveranser_per_nät,'Leveranser per nät'!T$1,FALSE)/VLOOKUP($B316,Korrigeringsfaktor_EI,'Korrigeringsfaktor EI'!T$1,FALSE),
"")</f>
        <v>2.0580212765957446</v>
      </c>
      <c r="U316" s="18">
        <f>IFERROR(
                  Andel_oberoende_av_klimat*VLOOKUP($A316,Leveranser_per_nät,'Leveranser per nät'!U$1,FALSE)
               +Andel_beroende_av_klimat*VLOOKUP($A316,Leveranser_per_nät,'Leveranser per nät'!U$1,FALSE)/VLOOKUP($B316,Korrigeringsfaktor_EI,'Korrigeringsfaktor EI'!U$1,FALSE),
"")</f>
        <v>1.9302999999999999</v>
      </c>
      <c r="V316" s="18">
        <f>IFERROR(
                  Andel_oberoende_av_klimat*VLOOKUP($A316,Leveranser_per_nät,'Leveranser per nät'!V$1,FALSE)
               +Andel_beroende_av_klimat*VLOOKUP($A316,Leveranser_per_nät,'Leveranser per nät'!V$1,FALSE)/VLOOKUP($B316,Korrigeringsfaktor_EI,'Korrigeringsfaktor EI'!V$1,FALSE),
"")</f>
        <v>1.7332230769230765</v>
      </c>
      <c r="W316" s="18">
        <f>IFERROR(
                  Andel_oberoende_av_klimat*VLOOKUP($A316,Leveranser_per_nät,'Leveranser per nät'!W$1,FALSE)
               +Andel_beroende_av_klimat*VLOOKUP($A316,Leveranser_per_nät,'Leveranser per nät'!W$1,FALSE)/VLOOKUP($B316,Korrigeringsfaktor_EI,'Korrigeringsfaktor EI'!W$1,FALSE),
"")</f>
        <v>1.9224833333333335</v>
      </c>
      <c r="X316" s="18">
        <f>IFERROR(
                  Andel_oberoende_av_klimat*VLOOKUP($A316,Leveranser_per_nät,'Leveranser per nät'!X$1,FALSE)
               +Andel_beroende_av_klimat*VLOOKUP($A316,Leveranser_per_nät,'Leveranser per nät'!X$1,FALSE)/VLOOKUP($B316,Korrigeringsfaktor_EI,'Korrigeringsfaktor EI'!X$1,FALSE),
"")</f>
        <v>1.8844041666666667</v>
      </c>
      <c r="Y316" s="18">
        <f>IFERROR(
                  Andel_oberoende_av_klimat*VLOOKUP($A316,Leveranser_per_nät,'Leveranser per nät'!Y$1,FALSE)
               +Andel_beroende_av_klimat*VLOOKUP($A316,Leveranser_per_nät,'Leveranser per nät'!Y$1,FALSE)/VLOOKUP($B316,Korrigeringsfaktor_EI,'Korrigeringsfaktor EI'!Y$1,FALSE),
"")</f>
        <v>2.063268817204301</v>
      </c>
      <c r="Z316" s="18">
        <f>IFERROR(
                  Andel_oberoende_av_klimat*VLOOKUP($A316,Leveranser_per_nät,'Leveranser per nät'!Z$1,FALSE)
               +Andel_beroende_av_klimat*VLOOKUP($A316,Leveranser_per_nät,'Leveranser per nät'!Z$1,FALSE)/VLOOKUP($B316,Korrigeringsfaktor_EI,'Korrigeringsfaktor EI'!Z$1,FALSE),
"")</f>
        <v>1.9590526881720431</v>
      </c>
      <c r="AA316" s="18">
        <f>IFERROR(
                  Andel_oberoende_av_klimat*VLOOKUP($A316,Leveranser_per_nät,'Leveranser per nät'!AA$1,FALSE)
               +Andel_beroende_av_klimat*VLOOKUP($A316,Leveranser_per_nät,'Leveranser per nät'!AA$1,FALSE)/VLOOKUP($B316,Korrigeringsfaktor_EI,'Korrigeringsfaktor EI'!AA$1,FALSE),
"")</f>
        <v>1.8342932348187484</v>
      </c>
      <c r="AB316" s="18">
        <f>IFERROR(
                  Andel_oberoende_av_klimat*VLOOKUP($A316,Leveranser_per_nät,'Leveranser per nät'!AB$1,FALSE)
               +Andel_beroende_av_klimat*VLOOKUP($A316,Leveranser_per_nät,'Leveranser per nät'!AB$1,FALSE)/VLOOKUP($B316,Korrigeringsfaktor_EI,'Korrigeringsfaktor EI'!AB$1,FALSE),
"")</f>
        <v>1.8280897838899803</v>
      </c>
      <c r="AC316" s="18">
        <f>IFERROR(
                  Andel_oberoende_av_klimat*VLOOKUP($A316,Leveranser_per_nät,'Leveranser per nät'!AC$1,FALSE)
               +Andel_beroende_av_klimat*VLOOKUP($A316,Leveranser_per_nät,'Leveranser per nät'!AC$1,FALSE)/VLOOKUP($B316,Korrigeringsfaktor_EI,'Korrigeringsfaktor EI'!AC$1,FALSE),
"")</f>
        <v>1.9337355371900826</v>
      </c>
      <c r="AD316">
        <v>393.77699999999999</v>
      </c>
    </row>
    <row r="317" spans="1:30" x14ac:dyDescent="0.25">
      <c r="A317" t="s">
        <v>53</v>
      </c>
      <c r="B317" t="s">
        <v>53</v>
      </c>
      <c r="C317" s="18">
        <f>IFERROR(
                  Andel_oberoende_av_klimat*VLOOKUP($A317,Leveranser_per_nät,'Leveranser per nät'!C$1,FALSE)
               +Andel_beroende_av_klimat*VLOOKUP($A317,Leveranser_per_nät,'Leveranser per nät'!C$1,FALSE)/VLOOKUP("Mora",Korrigeringsfaktor_EI,'Korrigeringsfaktor EI'!C$1,FALSE),
"")</f>
        <v>0</v>
      </c>
      <c r="D317" s="18">
        <f>IFERROR(
                  Andel_oberoende_av_klimat*VLOOKUP($A317,Leveranser_per_nät,'Leveranser per nät'!D$1,FALSE)
               +Andel_beroende_av_klimat*VLOOKUP($A317,Leveranser_per_nät,'Leveranser per nät'!D$1,FALSE)/VLOOKUP("Mora",Korrigeringsfaktor_EI,'Korrigeringsfaktor EI'!D$1,FALSE),
"")</f>
        <v>0</v>
      </c>
      <c r="E317" s="18">
        <f>IFERROR(
                  Andel_oberoende_av_klimat*VLOOKUP($A317,Leveranser_per_nät,'Leveranser per nät'!E$1,FALSE)
               +Andel_beroende_av_klimat*VLOOKUP($A317,Leveranser_per_nät,'Leveranser per nät'!E$1,FALSE)/VLOOKUP("Mora",Korrigeringsfaktor_EI,'Korrigeringsfaktor EI'!E$1,FALSE),
"")</f>
        <v>0</v>
      </c>
      <c r="F317" s="18">
        <f>IFERROR(
                  Andel_oberoende_av_klimat*VLOOKUP($A317,Leveranser_per_nät,'Leveranser per nät'!F$1,FALSE)
               +Andel_beroende_av_klimat*VLOOKUP($A317,Leveranser_per_nät,'Leveranser per nät'!F$1,FALSE)/VLOOKUP("Mora",Korrigeringsfaktor_EI,'Korrigeringsfaktor EI'!F$1,FALSE),
"")</f>
        <v>0</v>
      </c>
      <c r="G317" s="18">
        <f>IFERROR(
                  Andel_oberoende_av_klimat*VLOOKUP($A317,Leveranser_per_nät,'Leveranser per nät'!G$1,FALSE)
               +Andel_beroende_av_klimat*VLOOKUP($A317,Leveranser_per_nät,'Leveranser per nät'!G$1,FALSE)/VLOOKUP("Mora",Korrigeringsfaktor_EI,'Korrigeringsfaktor EI'!G$1,FALSE),
"")</f>
        <v>0</v>
      </c>
      <c r="H317" s="18">
        <f>IFERROR(
                  Andel_oberoende_av_klimat*VLOOKUP($A317,Leveranser_per_nät,'Leveranser per nät'!H$1,FALSE)
               +Andel_beroende_av_klimat*VLOOKUP($A317,Leveranser_per_nät,'Leveranser per nät'!H$1,FALSE)/VLOOKUP("Mora",Korrigeringsfaktor_EI,'Korrigeringsfaktor EI'!H$1,FALSE),
"")</f>
        <v>0</v>
      </c>
      <c r="I317" s="18">
        <f>IFERROR(
                  Andel_oberoende_av_klimat*VLOOKUP($A317,Leveranser_per_nät,'Leveranser per nät'!I$1,FALSE)
               +Andel_beroende_av_klimat*VLOOKUP($A317,Leveranser_per_nät,'Leveranser per nät'!I$1,FALSE)/VLOOKUP("Mora",Korrigeringsfaktor_EI,'Korrigeringsfaktor EI'!I$1,FALSE),
"")</f>
        <v>0</v>
      </c>
      <c r="J317" s="18">
        <f>IFERROR(
                  Andel_oberoende_av_klimat*VLOOKUP($A317,Leveranser_per_nät,'Leveranser per nät'!J$1,FALSE)
               +Andel_beroende_av_klimat*VLOOKUP($A317,Leveranser_per_nät,'Leveranser per nät'!J$1,FALSE)/VLOOKUP("Mora",Korrigeringsfaktor_EI,'Korrigeringsfaktor EI'!J$1,FALSE),
"")</f>
        <v>0</v>
      </c>
      <c r="K317" s="18">
        <f>IFERROR(
                  Andel_oberoende_av_klimat*VLOOKUP($A317,Leveranser_per_nät,'Leveranser per nät'!K$1,FALSE)
               +Andel_beroende_av_klimat*VLOOKUP($A317,Leveranser_per_nät,'Leveranser per nät'!K$1,FALSE)/VLOOKUP("Mora",Korrigeringsfaktor_EI,'Korrigeringsfaktor EI'!K$1,FALSE),
"")</f>
        <v>18.677846236559137</v>
      </c>
      <c r="L317" s="18">
        <f>IFERROR(
                  Andel_oberoende_av_klimat*VLOOKUP($A317,Leveranser_per_nät,'Leveranser per nät'!L$1,FALSE)
               +Andel_beroende_av_klimat*VLOOKUP($A317,Leveranser_per_nät,'Leveranser per nät'!L$1,FALSE)/VLOOKUP("Mora",Korrigeringsfaktor_EI,'Korrigeringsfaktor EI'!L$1,FALSE),
"")</f>
        <v>23.766522706739007</v>
      </c>
      <c r="M317" s="18">
        <f>IFERROR(
                  Andel_oberoende_av_klimat*VLOOKUP($A317,Leveranser_per_nät,'Leveranser per nät'!M$1,FALSE)
               +Andel_beroende_av_klimat*VLOOKUP($A317,Leveranser_per_nät,'Leveranser per nät'!M$1,FALSE)/VLOOKUP("Mora",Korrigeringsfaktor_EI,'Korrigeringsfaktor EI'!M$1,FALSE),
"")</f>
        <v>21.39860909090909</v>
      </c>
      <c r="N317" s="18">
        <f>IFERROR(
                  Andel_oberoende_av_klimat*VLOOKUP($A317,Leveranser_per_nät,'Leveranser per nät'!N$1,FALSE)
               +Andel_beroende_av_klimat*VLOOKUP($A317,Leveranser_per_nät,'Leveranser per nät'!N$1,FALSE)/VLOOKUP("Mora",Korrigeringsfaktor_EI,'Korrigeringsfaktor EI'!N$1,FALSE),
"")</f>
        <v>22.417777777777779</v>
      </c>
      <c r="O317" s="18">
        <f>IFERROR(
                  Andel_oberoende_av_klimat*VLOOKUP($A317,Leveranser_per_nät,'Leveranser per nät'!O$1,FALSE)
               +Andel_beroende_av_klimat*VLOOKUP($A317,Leveranser_per_nät,'Leveranser per nät'!O$1,FALSE)/VLOOKUP("Mora",Korrigeringsfaktor_EI,'Korrigeringsfaktor EI'!O$1,FALSE),
"")</f>
        <v>23.251460674157304</v>
      </c>
      <c r="P317" s="18">
        <f>IFERROR(
                  Andel_oberoende_av_klimat*VLOOKUP($A317,Leveranser_per_nät,'Leveranser per nät'!P$1,FALSE)
               +Andel_beroende_av_klimat*VLOOKUP($A317,Leveranser_per_nät,'Leveranser per nät'!P$1,FALSE)/VLOOKUP("Mora",Korrigeringsfaktor_EI,'Korrigeringsfaktor EI'!P$1,FALSE),
"")</f>
        <v>24.699999999999996</v>
      </c>
      <c r="Q317" s="18">
        <f>IFERROR(
                  Andel_oberoende_av_klimat*VLOOKUP($A317,Leveranser_per_nät,'Leveranser per nät'!Q$1,FALSE)
               +Andel_beroende_av_klimat*VLOOKUP($A317,Leveranser_per_nät,'Leveranser per nät'!Q$1,FALSE)/VLOOKUP("Mora",Korrigeringsfaktor_EI,'Korrigeringsfaktor EI'!Q$1,FALSE),
"")</f>
        <v>24.907272727272726</v>
      </c>
      <c r="R317" s="18">
        <f>IFERROR(
                  Andel_oberoende_av_klimat*VLOOKUP($A317,Leveranser_per_nät,'Leveranser per nät'!R$1,FALSE)
               +Andel_beroende_av_klimat*VLOOKUP($A317,Leveranser_per_nät,'Leveranser per nät'!R$1,FALSE)/VLOOKUP("Mora",Korrigeringsfaktor_EI,'Korrigeringsfaktor EI'!R$1,FALSE),
"")</f>
        <v>23.639909090909089</v>
      </c>
      <c r="S317" s="18">
        <f>IFERROR(
                  Andel_oberoende_av_klimat*VLOOKUP($A317,Leveranser_per_nät,'Leveranser per nät'!S$1,FALSE)
               +Andel_beroende_av_klimat*VLOOKUP($A317,Leveranser_per_nät,'Leveranser per nät'!S$1,FALSE)/VLOOKUP("Mora",Korrigeringsfaktor_EI,'Korrigeringsfaktor EI'!S$1,FALSE),
"")</f>
        <v>24.699999999999996</v>
      </c>
      <c r="T317" s="18">
        <f>IFERROR(
                  Andel_oberoende_av_klimat*VLOOKUP($A317,Leveranser_per_nät,'Leveranser per nät'!T$1,FALSE)
               +Andel_beroende_av_klimat*VLOOKUP($A317,Leveranser_per_nät,'Leveranser per nät'!T$1,FALSE)/VLOOKUP("Mora",Korrigeringsfaktor_EI,'Korrigeringsfaktor EI'!T$1,FALSE),
"")</f>
        <v>25.72926956521739</v>
      </c>
      <c r="U317" s="18">
        <f>IFERROR(
                  Andel_oberoende_av_klimat*VLOOKUP($A317,Leveranser_per_nät,'Leveranser per nät'!U$1,FALSE)
               +Andel_beroende_av_klimat*VLOOKUP($A317,Leveranser_per_nät,'Leveranser per nät'!U$1,FALSE)/VLOOKUP("Mora",Korrigeringsfaktor_EI,'Korrigeringsfaktor EI'!U$1,FALSE),
"")</f>
        <v>24.791799999999999</v>
      </c>
      <c r="V317" s="18">
        <f>IFERROR(
                  Andel_oberoende_av_klimat*VLOOKUP($A317,Leveranser_per_nät,'Leveranser per nät'!V$1,FALSE)
               +Andel_beroende_av_klimat*VLOOKUP($A317,Leveranser_per_nät,'Leveranser per nät'!V$1,FALSE)/VLOOKUP("Mora",Korrigeringsfaktor_EI,'Korrigeringsfaktor EI'!V$1,FALSE),
"")</f>
        <v>25.030183908045977</v>
      </c>
      <c r="W317" s="18">
        <f>IFERROR(
                  Andel_oberoende_av_klimat*VLOOKUP($A317,Leveranser_per_nät,'Leveranser per nät'!W$1,FALSE)
               +Andel_beroende_av_klimat*VLOOKUP($A317,Leveranser_per_nät,'Leveranser per nät'!W$1,FALSE)/VLOOKUP("Mora",Korrigeringsfaktor_EI,'Korrigeringsfaktor EI'!W$1,FALSE),
"")</f>
        <v>25.460869565217386</v>
      </c>
      <c r="X317" s="18">
        <f>IFERROR(
                  Andel_oberoende_av_klimat*VLOOKUP($A317,Leveranser_per_nät,'Leveranser per nät'!X$1,FALSE)
               +Andel_beroende_av_klimat*VLOOKUP($A317,Leveranser_per_nät,'Leveranser per nät'!X$1,FALSE)/VLOOKUP("Mora",Korrigeringsfaktor_EI,'Korrigeringsfaktor EI'!X$1,FALSE),
"")</f>
        <v>24.292173684210525</v>
      </c>
      <c r="Y317" s="18">
        <f>IFERROR(
                  Andel_oberoende_av_klimat*VLOOKUP($A317,Leveranser_per_nät,'Leveranser per nät'!Y$1,FALSE)
               +Andel_beroende_av_klimat*VLOOKUP($A317,Leveranser_per_nät,'Leveranser per nät'!Y$1,FALSE)/VLOOKUP($B317,Korrigeringsfaktor_EI,'Korrigeringsfaktor EI'!Y$1,FALSE),
"")</f>
        <v>23.474946236559141</v>
      </c>
      <c r="Z317" s="18">
        <f>IFERROR(
                  Andel_oberoende_av_klimat*VLOOKUP($A317,Leveranser_per_nät,'Leveranser per nät'!Z$1,FALSE)
               +Andel_beroende_av_klimat*VLOOKUP($A317,Leveranser_per_nät,'Leveranser per nät'!Z$1,FALSE)/VLOOKUP($B317,Korrigeringsfaktor_EI,'Korrigeringsfaktor EI'!Z$1,FALSE),
"")</f>
        <v>23.781278494623653</v>
      </c>
      <c r="AA317" s="18">
        <f>IFERROR(
                  Andel_oberoende_av_klimat*VLOOKUP($A317,Leveranser_per_nät,'Leveranser per nät'!AA$1,FALSE)
               +Andel_beroende_av_klimat*VLOOKUP($A317,Leveranser_per_nät,'Leveranser per nät'!AA$1,FALSE)/VLOOKUP($B317,Korrigeringsfaktor_EI,'Korrigeringsfaktor EI'!AA$1,FALSE),
"")</f>
        <v>22.806906304728543</v>
      </c>
      <c r="AB317" s="18">
        <f>IFERROR(
                  Andel_oberoende_av_klimat*VLOOKUP($A317,Leveranser_per_nät,'Leveranser per nät'!AB$1,FALSE)
               +Andel_beroende_av_klimat*VLOOKUP($A317,Leveranser_per_nät,'Leveranser per nät'!AB$1,FALSE)/VLOOKUP($B317,Korrigeringsfaktor_EI,'Korrigeringsfaktor EI'!AB$1,FALSE),
"")</f>
        <v>23.545598703888334</v>
      </c>
      <c r="AC317" s="18">
        <f>IFERROR(
                  Andel_oberoende_av_klimat*VLOOKUP($A317,Leveranser_per_nät,'Leveranser per nät'!AC$1,FALSE)
               +Andel_beroende_av_klimat*VLOOKUP($A317,Leveranser_per_nät,'Leveranser per nät'!AC$1,FALSE)/VLOOKUP($B317,Korrigeringsfaktor_EI,'Korrigeringsfaktor EI'!AC$1,FALSE),
"")</f>
        <v>23.031708108108106</v>
      </c>
      <c r="AD317">
        <v>22.411999999999999</v>
      </c>
    </row>
    <row r="318" spans="1:30" x14ac:dyDescent="0.25">
      <c r="A318" t="s">
        <v>114</v>
      </c>
      <c r="B318" t="s">
        <v>114</v>
      </c>
      <c r="C318" s="18">
        <f>IFERROR(
                  Andel_oberoende_av_klimat*VLOOKUP($A318,Leveranser_per_nät,'Leveranser per nät'!C$1,FALSE)
               +Andel_beroende_av_klimat*VLOOKUP($A318,Leveranser_per_nät,'Leveranser per nät'!C$1,FALSE)/VLOOKUP($B318,Korrigeringsfaktor_EI,'Korrigeringsfaktor EI'!C$1,FALSE),
"")</f>
        <v>34.43333333333333</v>
      </c>
      <c r="D318" s="18">
        <f>IFERROR(
                  Andel_oberoende_av_klimat*VLOOKUP($A318,Leveranser_per_nät,'Leveranser per nät'!D$1,FALSE)
               +Andel_beroende_av_klimat*VLOOKUP($A318,Leveranser_per_nät,'Leveranser per nät'!D$1,FALSE)/VLOOKUP($B318,Korrigeringsfaktor_EI,'Korrigeringsfaktor EI'!D$1,FALSE),
"")</f>
        <v>33.336078431372542</v>
      </c>
      <c r="E318" s="18">
        <f>IFERROR(
                  Andel_oberoende_av_klimat*VLOOKUP($A318,Leveranser_per_nät,'Leveranser per nät'!E$1,FALSE)
               +Andel_beroende_av_klimat*VLOOKUP($A318,Leveranser_per_nät,'Leveranser per nät'!E$1,FALSE)/VLOOKUP($B318,Korrigeringsfaktor_EI,'Korrigeringsfaktor EI'!E$1,FALSE),
"")</f>
        <v>37.225242718446601</v>
      </c>
      <c r="F318" s="18">
        <f>IFERROR(
                  Andel_oberoende_av_klimat*VLOOKUP($A318,Leveranser_per_nät,'Leveranser per nät'!F$1,FALSE)
               +Andel_beroende_av_klimat*VLOOKUP($A318,Leveranser_per_nät,'Leveranser per nät'!F$1,FALSE)/VLOOKUP($B318,Korrigeringsfaktor_EI,'Korrigeringsfaktor EI'!F$1,FALSE),
"")</f>
        <v>34.991666666666667</v>
      </c>
      <c r="G318" s="18">
        <f>IFERROR(
                  Andel_oberoende_av_klimat*VLOOKUP($A318,Leveranser_per_nät,'Leveranser per nät'!G$1,FALSE)
               +Andel_beroende_av_klimat*VLOOKUP($A318,Leveranser_per_nät,'Leveranser per nät'!G$1,FALSE)/VLOOKUP($B318,Korrigeringsfaktor_EI,'Korrigeringsfaktor EI'!G$1,FALSE),
"")</f>
        <v>33.411111111111111</v>
      </c>
      <c r="H318" s="18">
        <f>IFERROR(
                  Andel_oberoende_av_klimat*VLOOKUP($A318,Leveranser_per_nät,'Leveranser per nät'!H$1,FALSE)
               +Andel_beroende_av_klimat*VLOOKUP($A318,Leveranser_per_nät,'Leveranser per nät'!H$1,FALSE)/VLOOKUP($B318,Korrigeringsfaktor_EI,'Korrigeringsfaktor EI'!H$1,FALSE),
"")</f>
        <v>35.5</v>
      </c>
      <c r="I318" s="18">
        <f>IFERROR(
                  Andel_oberoende_av_klimat*VLOOKUP($A318,Leveranser_per_nät,'Leveranser per nät'!I$1,FALSE)
               +Andel_beroende_av_klimat*VLOOKUP($A318,Leveranser_per_nät,'Leveranser per nät'!I$1,FALSE)/VLOOKUP($B318,Korrigeringsfaktor_EI,'Korrigeringsfaktor EI'!I$1,FALSE),
"")</f>
        <v>40.002150537634407</v>
      </c>
      <c r="J318" s="18">
        <f>IFERROR(
                  Andel_oberoende_av_klimat*VLOOKUP($A318,Leveranser_per_nät,'Leveranser per nät'!J$1,FALSE)
               +Andel_beroende_av_klimat*VLOOKUP($A318,Leveranser_per_nät,'Leveranser per nät'!J$1,FALSE)/VLOOKUP($B318,Korrigeringsfaktor_EI,'Korrigeringsfaktor EI'!J$1,FALSE),
"")</f>
        <v>37.517012371134022</v>
      </c>
      <c r="K318" s="18">
        <f>IFERROR(
                  Andel_oberoende_av_klimat*VLOOKUP($A318,Leveranser_per_nät,'Leveranser per nät'!K$1,FALSE)
               +Andel_beroende_av_klimat*VLOOKUP($A318,Leveranser_per_nät,'Leveranser per nät'!K$1,FALSE)/VLOOKUP($B318,Korrigeringsfaktor_EI,'Korrigeringsfaktor EI'!K$1,FALSE),
"")</f>
        <v>40.231642857142859</v>
      </c>
      <c r="L318" s="18">
        <f>IFERROR(
                  Andel_oberoende_av_klimat*VLOOKUP($A318,Leveranser_per_nät,'Leveranser per nät'!L$1,FALSE)
               +Andel_beroende_av_klimat*VLOOKUP($A318,Leveranser_per_nät,'Leveranser per nät'!L$1,FALSE)/VLOOKUP($B318,Korrigeringsfaktor_EI,'Korrigeringsfaktor EI'!L$1,FALSE),
"")</f>
        <v>41.126342105263163</v>
      </c>
      <c r="M318" s="18">
        <f>IFERROR(
                  Andel_oberoende_av_klimat*VLOOKUP($A318,Leveranser_per_nät,'Leveranser per nät'!M$1,FALSE)
               +Andel_beroende_av_klimat*VLOOKUP($A318,Leveranser_per_nät,'Leveranser per nät'!M$1,FALSE)/VLOOKUP($B318,Korrigeringsfaktor_EI,'Korrigeringsfaktor EI'!M$1,FALSE),
"")</f>
        <v>41.678615384615384</v>
      </c>
      <c r="N318" s="18">
        <f>IFERROR(
                  Andel_oberoende_av_klimat*VLOOKUP($A318,Leveranser_per_nät,'Leveranser per nät'!N$1,FALSE)
               +Andel_beroende_av_klimat*VLOOKUP($A318,Leveranser_per_nät,'Leveranser per nät'!N$1,FALSE)/VLOOKUP($B318,Korrigeringsfaktor_EI,'Korrigeringsfaktor EI'!N$1,FALSE),
"")</f>
        <v>43.562806741573034</v>
      </c>
      <c r="O318" s="18">
        <f>IFERROR(
                  Andel_oberoende_av_klimat*VLOOKUP($A318,Leveranser_per_nät,'Leveranser per nät'!O$1,FALSE)
               +Andel_beroende_av_klimat*VLOOKUP($A318,Leveranser_per_nät,'Leveranser per nät'!O$1,FALSE)/VLOOKUP($B318,Korrigeringsfaktor_EI,'Korrigeringsfaktor EI'!O$1,FALSE),
"")</f>
        <v>41.85657777777778</v>
      </c>
      <c r="P318" s="18">
        <f>IFERROR(
                  Andel_oberoende_av_klimat*VLOOKUP($A318,Leveranser_per_nät,'Leveranser per nät'!P$1,FALSE)
               +Andel_beroende_av_klimat*VLOOKUP($A318,Leveranser_per_nät,'Leveranser per nät'!P$1,FALSE)/VLOOKUP($B318,Korrigeringsfaktor_EI,'Korrigeringsfaktor EI'!P$1,FALSE),
"")</f>
        <v>47.01063829787234</v>
      </c>
      <c r="Q318" s="18">
        <f>IFERROR(
                  Andel_oberoende_av_klimat*VLOOKUP($A318,Leveranser_per_nät,'Leveranser per nät'!Q$1,FALSE)
               +Andel_beroende_av_klimat*VLOOKUP($A318,Leveranser_per_nät,'Leveranser per nät'!Q$1,FALSE)/VLOOKUP($B318,Korrigeringsfaktor_EI,'Korrigeringsfaktor EI'!Q$1,FALSE),
"")</f>
        <v>44.577207207207195</v>
      </c>
      <c r="R318" s="18">
        <f>IFERROR(
                  Andel_oberoende_av_klimat*VLOOKUP($A318,Leveranser_per_nät,'Leveranser per nät'!R$1,FALSE)
               +Andel_beroende_av_klimat*VLOOKUP($A318,Leveranser_per_nät,'Leveranser per nät'!R$1,FALSE)/VLOOKUP($B318,Korrigeringsfaktor_EI,'Korrigeringsfaktor EI'!R$1,FALSE),
"")</f>
        <v>44.768695652173918</v>
      </c>
      <c r="S318" s="18">
        <f>IFERROR(
                  Andel_oberoende_av_klimat*VLOOKUP($A318,Leveranser_per_nät,'Leveranser per nät'!S$1,FALSE)
               +Andel_beroende_av_klimat*VLOOKUP($A318,Leveranser_per_nät,'Leveranser per nät'!S$1,FALSE)/VLOOKUP($B318,Korrigeringsfaktor_EI,'Korrigeringsfaktor EI'!S$1,FALSE),
"")</f>
        <v>46.354901960784311</v>
      </c>
      <c r="T318" s="18">
        <f>IFERROR(
                  Andel_oberoende_av_klimat*VLOOKUP($A318,Leveranser_per_nät,'Leveranser per nät'!T$1,FALSE)
               +Andel_beroende_av_klimat*VLOOKUP($A318,Leveranser_per_nät,'Leveranser per nät'!T$1,FALSE)/VLOOKUP($B318,Korrigeringsfaktor_EI,'Korrigeringsfaktor EI'!T$1,FALSE),
"")</f>
        <v>48.017525773195878</v>
      </c>
      <c r="U318" s="18">
        <f>IFERROR(
                  Andel_oberoende_av_klimat*VLOOKUP($A318,Leveranser_per_nät,'Leveranser per nät'!U$1,FALSE)
               +Andel_beroende_av_klimat*VLOOKUP($A318,Leveranser_per_nät,'Leveranser per nät'!U$1,FALSE)/VLOOKUP($B318,Korrigeringsfaktor_EI,'Korrigeringsfaktor EI'!U$1,FALSE),
"")</f>
        <v>50.259195402298857</v>
      </c>
      <c r="V318" s="18">
        <f>IFERROR(
                  Andel_oberoende_av_klimat*VLOOKUP($A318,Leveranser_per_nät,'Leveranser per nät'!V$1,FALSE)
               +Andel_beroende_av_klimat*VLOOKUP($A318,Leveranser_per_nät,'Leveranser per nät'!V$1,FALSE)/VLOOKUP($B318,Korrigeringsfaktor_EI,'Korrigeringsfaktor EI'!V$1,FALSE),
"")</f>
        <v>44.132173913043474</v>
      </c>
      <c r="W318" s="18">
        <f>IFERROR(
                  Andel_oberoende_av_klimat*VLOOKUP($A318,Leveranser_per_nät,'Leveranser per nät'!W$1,FALSE)
               +Andel_beroende_av_klimat*VLOOKUP($A318,Leveranser_per_nät,'Leveranser per nät'!W$1,FALSE)/VLOOKUP($B318,Korrigeringsfaktor_EI,'Korrigeringsfaktor EI'!W$1,FALSE),
"")</f>
        <v>52.234042553191493</v>
      </c>
      <c r="X318" s="18">
        <f>IFERROR(
                  Andel_oberoende_av_klimat*VLOOKUP($A318,Leveranser_per_nät,'Leveranser per nät'!X$1,FALSE)
               +Andel_beroende_av_klimat*VLOOKUP($A318,Leveranser_per_nät,'Leveranser per nät'!X$1,FALSE)/VLOOKUP($B318,Korrigeringsfaktor_EI,'Korrigeringsfaktor EI'!X$1,FALSE),
"")</f>
        <v>46.21301075268817</v>
      </c>
      <c r="Y318" s="18">
        <f>IFERROR(
                  Andel_oberoende_av_klimat*VLOOKUP($A318,Leveranser_per_nät,'Leveranser per nät'!Y$1,FALSE)
               +Andel_beroende_av_klimat*VLOOKUP($A318,Leveranser_per_nät,'Leveranser per nät'!Y$1,FALSE)/VLOOKUP($B318,Korrigeringsfaktor_EI,'Korrigeringsfaktor EI'!Y$1,FALSE),
"")</f>
        <v>51.032413793103458</v>
      </c>
      <c r="Z318" s="18">
        <f>IFERROR(
                  Andel_oberoende_av_klimat*VLOOKUP($A318,Leveranser_per_nät,'Leveranser per nät'!Z$1,FALSE)
               +Andel_beroende_av_klimat*VLOOKUP($A318,Leveranser_per_nät,'Leveranser per nät'!Z$1,FALSE)/VLOOKUP($B318,Korrigeringsfaktor_EI,'Korrigeringsfaktor EI'!Z$1,FALSE),
"")</f>
        <v>47.343023255813947</v>
      </c>
      <c r="AA318" s="18">
        <f>IFERROR(
                  Andel_oberoende_av_klimat*VLOOKUP($A318,Leveranser_per_nät,'Leveranser per nät'!AA$1,FALSE)
               +Andel_beroende_av_klimat*VLOOKUP($A318,Leveranser_per_nät,'Leveranser per nät'!AA$1,FALSE)/VLOOKUP($B318,Korrigeringsfaktor_EI,'Korrigeringsfaktor EI'!AA$1,FALSE),
"")</f>
        <v>51.307759459459461</v>
      </c>
      <c r="AB318" s="18">
        <f>IFERROR(
                  Andel_oberoende_av_klimat*VLOOKUP($A318,Leveranser_per_nät,'Leveranser per nät'!AB$1,FALSE)
               +Andel_beroende_av_klimat*VLOOKUP($A318,Leveranser_per_nät,'Leveranser per nät'!AB$1,FALSE)/VLOOKUP($B318,Korrigeringsfaktor_EI,'Korrigeringsfaktor EI'!AB$1,FALSE),
"")</f>
        <v>46.181382033563679</v>
      </c>
      <c r="AC318" s="18">
        <f>IFERROR(
                  Andel_oberoende_av_klimat*VLOOKUP($A318,Leveranser_per_nät,'Leveranser per nät'!AC$1,FALSE)
               +Andel_beroende_av_klimat*VLOOKUP($A318,Leveranser_per_nät,'Leveranser per nät'!AC$1,FALSE)/VLOOKUP($B318,Korrigeringsfaktor_EI,'Korrigeringsfaktor EI'!AC$1,FALSE),
"")</f>
        <v>45.412297435897436</v>
      </c>
      <c r="AD318" t="e">
        <v>#N/A</v>
      </c>
    </row>
    <row r="319" spans="1:30" x14ac:dyDescent="0.25">
      <c r="A319" t="s">
        <v>227</v>
      </c>
      <c r="B319" t="s">
        <v>227</v>
      </c>
      <c r="C319" s="18">
        <f>IFERROR(
                  Andel_oberoende_av_klimat*VLOOKUP($A319,Leveranser_per_nät,'Leveranser per nät'!C$1,FALSE)
               +Andel_beroende_av_klimat*VLOOKUP($A319,Leveranser_per_nät,'Leveranser per nät'!C$1,FALSE)/VLOOKUP($B319,Korrigeringsfaktor_EI,'Korrigeringsfaktor EI'!C$1,FALSE),
"")</f>
        <v>64.213513513513504</v>
      </c>
      <c r="D319" s="18">
        <f>IFERROR(
                  Andel_oberoende_av_klimat*VLOOKUP($A319,Leveranser_per_nät,'Leveranser per nät'!D$1,FALSE)
               +Andel_beroende_av_klimat*VLOOKUP($A319,Leveranser_per_nät,'Leveranser per nät'!D$1,FALSE)/VLOOKUP($B319,Korrigeringsfaktor_EI,'Korrigeringsfaktor EI'!D$1,FALSE),
"")</f>
        <v>71.371101010101015</v>
      </c>
      <c r="E319" s="18">
        <f>IFERROR(
                  Andel_oberoende_av_klimat*VLOOKUP($A319,Leveranser_per_nät,'Leveranser per nät'!E$1,FALSE)
               +Andel_beroende_av_klimat*VLOOKUP($A319,Leveranser_per_nät,'Leveranser per nät'!E$1,FALSE)/VLOOKUP($B319,Korrigeringsfaktor_EI,'Korrigeringsfaktor EI'!E$1,FALSE),
"")</f>
        <v>69.039215686274517</v>
      </c>
      <c r="F319" s="18">
        <f>IFERROR(
                  Andel_oberoende_av_klimat*VLOOKUP($A319,Leveranser_per_nät,'Leveranser per nät'!F$1,FALSE)
               +Andel_beroende_av_klimat*VLOOKUP($A319,Leveranser_per_nät,'Leveranser per nät'!F$1,FALSE)/VLOOKUP($B319,Korrigeringsfaktor_EI,'Korrigeringsfaktor EI'!F$1,FALSE),
"")</f>
        <v>70.505263157894731</v>
      </c>
      <c r="G319" s="18">
        <f>IFERROR(
                  Andel_oberoende_av_klimat*VLOOKUP($A319,Leveranser_per_nät,'Leveranser per nät'!G$1,FALSE)
               +Andel_beroende_av_klimat*VLOOKUP($A319,Leveranser_per_nät,'Leveranser per nät'!G$1,FALSE)/VLOOKUP($B319,Korrigeringsfaktor_EI,'Korrigeringsfaktor EI'!G$1,FALSE),
"")</f>
        <v>70.694252873563215</v>
      </c>
      <c r="H319" s="18">
        <f>IFERROR(
                  Andel_oberoende_av_klimat*VLOOKUP($A319,Leveranser_per_nät,'Leveranser per nät'!H$1,FALSE)
               +Andel_beroende_av_klimat*VLOOKUP($A319,Leveranser_per_nät,'Leveranser per nät'!H$1,FALSE)/VLOOKUP($B319,Korrigeringsfaktor_EI,'Korrigeringsfaktor EI'!H$1,FALSE),
"")</f>
        <v>73</v>
      </c>
      <c r="I319" s="18">
        <f>IFERROR(
                  Andel_oberoende_av_klimat*VLOOKUP($A319,Leveranser_per_nät,'Leveranser per nät'!I$1,FALSE)
               +Andel_beroende_av_klimat*VLOOKUP($A319,Leveranser_per_nät,'Leveranser per nät'!I$1,FALSE)/VLOOKUP($B319,Korrigeringsfaktor_EI,'Korrigeringsfaktor EI'!I$1,FALSE),
"")</f>
        <v>94.352631578947381</v>
      </c>
      <c r="J319" s="18">
        <f>IFERROR(
                  Andel_oberoende_av_klimat*VLOOKUP($A319,Leveranser_per_nät,'Leveranser per nät'!J$1,FALSE)
               +Andel_beroende_av_klimat*VLOOKUP($A319,Leveranser_per_nät,'Leveranser per nät'!J$1,FALSE)/VLOOKUP($B319,Korrigeringsfaktor_EI,'Korrigeringsfaktor EI'!J$1,FALSE),
"")</f>
        <v>94.664646464646466</v>
      </c>
      <c r="K319" s="18">
        <f>IFERROR(
                  Andel_oberoende_av_klimat*VLOOKUP($A319,Leveranser_per_nät,'Leveranser per nät'!K$1,FALSE)
               +Andel_beroende_av_klimat*VLOOKUP($A319,Leveranser_per_nät,'Leveranser per nät'!K$1,FALSE)/VLOOKUP($B319,Korrigeringsfaktor_EI,'Korrigeringsfaktor EI'!K$1,FALSE),
"")</f>
        <v>97.644568686868695</v>
      </c>
      <c r="L319" s="18">
        <f>IFERROR(
                  Andel_oberoende_av_klimat*VLOOKUP($A319,Leveranser_per_nät,'Leveranser per nät'!L$1,FALSE)
               +Andel_beroende_av_klimat*VLOOKUP($A319,Leveranser_per_nät,'Leveranser per nät'!L$1,FALSE)/VLOOKUP($B319,Korrigeringsfaktor_EI,'Korrigeringsfaktor EI'!L$1,FALSE),
"")</f>
        <v>99.187995833333332</v>
      </c>
      <c r="M319" s="18">
        <f>IFERROR(
                  Andel_oberoende_av_klimat*VLOOKUP($A319,Leveranser_per_nät,'Leveranser per nät'!M$1,FALSE)
               +Andel_beroende_av_klimat*VLOOKUP($A319,Leveranser_per_nät,'Leveranser per nät'!M$1,FALSE)/VLOOKUP($B319,Korrigeringsfaktor_EI,'Korrigeringsfaktor EI'!M$1,FALSE),
"")</f>
        <v>100.14608695652174</v>
      </c>
      <c r="N319" s="18">
        <f>IFERROR(
                  Andel_oberoende_av_klimat*VLOOKUP($A319,Leveranser_per_nät,'Leveranser per nät'!N$1,FALSE)
               +Andel_beroende_av_klimat*VLOOKUP($A319,Leveranser_per_nät,'Leveranser per nät'!N$1,FALSE)/VLOOKUP($B319,Korrigeringsfaktor_EI,'Korrigeringsfaktor EI'!N$1,FALSE),
"")</f>
        <v>103.22260869565218</v>
      </c>
      <c r="O319" s="18">
        <f>IFERROR(
                  Andel_oberoende_av_klimat*VLOOKUP($A319,Leveranser_per_nät,'Leveranser per nät'!O$1,FALSE)
               +Andel_beroende_av_klimat*VLOOKUP($A319,Leveranser_per_nät,'Leveranser per nät'!O$1,FALSE)/VLOOKUP($B319,Korrigeringsfaktor_EI,'Korrigeringsfaktor EI'!O$1,FALSE),
"")</f>
        <v>112.80384615384615</v>
      </c>
      <c r="P319" s="18">
        <f>IFERROR(
                  Andel_oberoende_av_klimat*VLOOKUP($A319,Leveranser_per_nät,'Leveranser per nät'!P$1,FALSE)
               +Andel_beroende_av_klimat*VLOOKUP($A319,Leveranser_per_nät,'Leveranser per nät'!P$1,FALSE)/VLOOKUP($B319,Korrigeringsfaktor_EI,'Korrigeringsfaktor EI'!P$1,FALSE),
"")</f>
        <v>121.91714285714286</v>
      </c>
      <c r="Q319" s="18">
        <f>IFERROR(
                  Andel_oberoende_av_klimat*VLOOKUP($A319,Leveranser_per_nät,'Leveranser per nät'!Q$1,FALSE)
               +Andel_beroende_av_klimat*VLOOKUP($A319,Leveranser_per_nät,'Leveranser per nät'!Q$1,FALSE)/VLOOKUP($B319,Korrigeringsfaktor_EI,'Korrigeringsfaktor EI'!Q$1,FALSE),
"")</f>
        <v>136.63309734513277</v>
      </c>
      <c r="R319" s="18">
        <f>IFERROR(
                  Andel_oberoende_av_klimat*VLOOKUP($A319,Leveranser_per_nät,'Leveranser per nät'!R$1,FALSE)
               +Andel_beroende_av_klimat*VLOOKUP($A319,Leveranser_per_nät,'Leveranser per nät'!R$1,FALSE)/VLOOKUP($B319,Korrigeringsfaktor_EI,'Korrigeringsfaktor EI'!R$1,FALSE),
"")</f>
        <v>133.51021276595745</v>
      </c>
      <c r="S319" s="18">
        <f>IFERROR(
                  Andel_oberoende_av_klimat*VLOOKUP($A319,Leveranser_per_nät,'Leveranser per nät'!S$1,FALSE)
               +Andel_beroende_av_klimat*VLOOKUP($A319,Leveranser_per_nät,'Leveranser per nät'!S$1,FALSE)/VLOOKUP($B319,Korrigeringsfaktor_EI,'Korrigeringsfaktor EI'!S$1,FALSE),
"")</f>
        <v>129.30873786407767</v>
      </c>
      <c r="T319" s="18">
        <f>IFERROR(
                  Andel_oberoende_av_klimat*VLOOKUP($A319,Leveranser_per_nät,'Leveranser per nät'!T$1,FALSE)
               +Andel_beroende_av_klimat*VLOOKUP($A319,Leveranser_per_nät,'Leveranser per nät'!T$1,FALSE)/VLOOKUP($B319,Korrigeringsfaktor_EI,'Korrigeringsfaktor EI'!T$1,FALSE),
"")</f>
        <v>132.30000000000001</v>
      </c>
      <c r="U319" s="18">
        <f>IFERROR(
                  Andel_oberoende_av_klimat*VLOOKUP($A319,Leveranser_per_nät,'Leveranser per nät'!U$1,FALSE)
               +Andel_beroende_av_klimat*VLOOKUP($A319,Leveranser_per_nät,'Leveranser per nät'!U$1,FALSE)/VLOOKUP($B319,Korrigeringsfaktor_EI,'Korrigeringsfaktor EI'!U$1,FALSE),
"")</f>
        <v>129.97999999999999</v>
      </c>
      <c r="V319" s="18">
        <f>IFERROR(
                  Andel_oberoende_av_klimat*VLOOKUP($A319,Leveranser_per_nät,'Leveranser per nät'!V$1,FALSE)
               +Andel_beroende_av_klimat*VLOOKUP($A319,Leveranser_per_nät,'Leveranser per nät'!V$1,FALSE)/VLOOKUP($B319,Korrigeringsfaktor_EI,'Korrigeringsfaktor EI'!V$1,FALSE),
"")</f>
        <v>138.24636363636364</v>
      </c>
      <c r="W319" s="18">
        <f>IFERROR(
                  Andel_oberoende_av_klimat*VLOOKUP($A319,Leveranser_per_nät,'Leveranser per nät'!W$1,FALSE)
               +Andel_beroende_av_klimat*VLOOKUP($A319,Leveranser_per_nät,'Leveranser per nät'!W$1,FALSE)/VLOOKUP($B319,Korrigeringsfaktor_EI,'Korrigeringsfaktor EI'!W$1,FALSE),
"")</f>
        <v>148.86702127659575</v>
      </c>
      <c r="X319" s="18">
        <f>IFERROR(
                  Andel_oberoende_av_klimat*VLOOKUP($A319,Leveranser_per_nät,'Leveranser per nät'!X$1,FALSE)
               +Andel_beroende_av_klimat*VLOOKUP($A319,Leveranser_per_nät,'Leveranser per nät'!X$1,FALSE)/VLOOKUP($B319,Korrigeringsfaktor_EI,'Korrigeringsfaktor EI'!X$1,FALSE),
"")</f>
        <v>149.18042553191492</v>
      </c>
      <c r="Y319" s="18">
        <f>IFERROR(
                  Andel_oberoende_av_klimat*VLOOKUP($A319,Leveranser_per_nät,'Leveranser per nät'!Y$1,FALSE)
               +Andel_beroende_av_klimat*VLOOKUP($A319,Leveranser_per_nät,'Leveranser per nät'!Y$1,FALSE)/VLOOKUP($B319,Korrigeringsfaktor_EI,'Korrigeringsfaktor EI'!Y$1,FALSE),
"")</f>
        <v>158.8876923076923</v>
      </c>
      <c r="Z319" s="18">
        <f>IFERROR(
                  Andel_oberoende_av_klimat*VLOOKUP($A319,Leveranser_per_nät,'Leveranser per nät'!Z$1,FALSE)
               +Andel_beroende_av_klimat*VLOOKUP($A319,Leveranser_per_nät,'Leveranser per nät'!Z$1,FALSE)/VLOOKUP($B319,Korrigeringsfaktor_EI,'Korrigeringsfaktor EI'!Z$1,FALSE),
"")</f>
        <v>158.95741573033709</v>
      </c>
      <c r="AA319" s="18">
        <f>IFERROR(
                  Andel_oberoende_av_klimat*VLOOKUP($A319,Leveranser_per_nät,'Leveranser per nät'!AA$1,FALSE)
               +Andel_beroende_av_klimat*VLOOKUP($A319,Leveranser_per_nät,'Leveranser per nät'!AA$1,FALSE)/VLOOKUP($B319,Korrigeringsfaktor_EI,'Korrigeringsfaktor EI'!AA$1,FALSE),
"")</f>
        <v>145.84296806167404</v>
      </c>
      <c r="AB319" s="18">
        <f>IFERROR(
                  Andel_oberoende_av_klimat*VLOOKUP($A319,Leveranser_per_nät,'Leveranser per nät'!AB$1,FALSE)
               +Andel_beroende_av_klimat*VLOOKUP($A319,Leveranser_per_nät,'Leveranser per nät'!AB$1,FALSE)/VLOOKUP($B319,Korrigeringsfaktor_EI,'Korrigeringsfaktor EI'!AB$1,FALSE),
"")</f>
        <v>148.2590909090909</v>
      </c>
      <c r="AC319" s="18">
        <f>IFERROR(
                  Andel_oberoende_av_klimat*VLOOKUP($A319,Leveranser_per_nät,'Leveranser per nät'!AC$1,FALSE)
               +Andel_beroende_av_klimat*VLOOKUP($A319,Leveranser_per_nät,'Leveranser per nät'!AC$1,FALSE)/VLOOKUP($B319,Korrigeringsfaktor_EI,'Korrigeringsfaktor EI'!AC$1,FALSE),
"")</f>
        <v>144.39555555555557</v>
      </c>
      <c r="AD319">
        <v>137.80000000000001</v>
      </c>
    </row>
    <row r="320" spans="1:30" x14ac:dyDescent="0.25">
      <c r="A320" t="s">
        <v>228</v>
      </c>
      <c r="B320" t="s">
        <v>228</v>
      </c>
      <c r="C320" s="18">
        <f>IFERROR(
                  Andel_oberoende_av_klimat*VLOOKUP($A320,Leveranser_per_nät,'Leveranser per nät'!C$1,FALSE)
               +Andel_beroende_av_klimat*VLOOKUP($A320,Leveranser_per_nät,'Leveranser per nät'!C$1,FALSE)/VLOOKUP($B320,Korrigeringsfaktor_EI,'Korrigeringsfaktor EI'!C$1,FALSE),
"")</f>
        <v>90.451376146788988</v>
      </c>
      <c r="D320" s="18">
        <f>IFERROR(
                  Andel_oberoende_av_klimat*VLOOKUP($A320,Leveranser_per_nät,'Leveranser per nät'!D$1,FALSE)
               +Andel_beroende_av_klimat*VLOOKUP($A320,Leveranser_per_nät,'Leveranser per nät'!D$1,FALSE)/VLOOKUP($B320,Korrigeringsfaktor_EI,'Korrigeringsfaktor EI'!D$1,FALSE),
"")</f>
        <v>85.991142857142862</v>
      </c>
      <c r="E320" s="18">
        <f>IFERROR(
                  Andel_oberoende_av_klimat*VLOOKUP($A320,Leveranser_per_nät,'Leveranser per nät'!E$1,FALSE)
               +Andel_beroende_av_klimat*VLOOKUP($A320,Leveranser_per_nät,'Leveranser per nät'!E$1,FALSE)/VLOOKUP($B320,Korrigeringsfaktor_EI,'Korrigeringsfaktor EI'!E$1,FALSE),
"")</f>
        <v>83.266990291262132</v>
      </c>
      <c r="F320" s="18">
        <f>IFERROR(
                  Andel_oberoende_av_klimat*VLOOKUP($A320,Leveranser_per_nät,'Leveranser per nät'!F$1,FALSE)
               +Andel_beroende_av_klimat*VLOOKUP($A320,Leveranser_per_nät,'Leveranser per nät'!F$1,FALSE)/VLOOKUP($B320,Korrigeringsfaktor_EI,'Korrigeringsfaktor EI'!F$1,FALSE),
"")</f>
        <v>84.619148936170205</v>
      </c>
      <c r="G320" s="18">
        <f>IFERROR(
                  Andel_oberoende_av_klimat*VLOOKUP($A320,Leveranser_per_nät,'Leveranser per nät'!G$1,FALSE)
               +Andel_beroende_av_klimat*VLOOKUP($A320,Leveranser_per_nät,'Leveranser per nät'!G$1,FALSE)/VLOOKUP($B320,Korrigeringsfaktor_EI,'Korrigeringsfaktor EI'!G$1,FALSE),
"")</f>
        <v>82.5752808988764</v>
      </c>
      <c r="H320" s="18">
        <f>IFERROR(
                  Andel_oberoende_av_klimat*VLOOKUP($A320,Leveranser_per_nät,'Leveranser per nät'!H$1,FALSE)
               +Andel_beroende_av_klimat*VLOOKUP($A320,Leveranser_per_nät,'Leveranser per nät'!H$1,FALSE)/VLOOKUP($B320,Korrigeringsfaktor_EI,'Korrigeringsfaktor EI'!H$1,FALSE),
"")</f>
        <v>79.480903921568625</v>
      </c>
      <c r="I320" s="18">
        <f>IFERROR(
                  Andel_oberoende_av_klimat*VLOOKUP($A320,Leveranser_per_nät,'Leveranser per nät'!I$1,FALSE)
               +Andel_beroende_av_klimat*VLOOKUP($A320,Leveranser_per_nät,'Leveranser per nät'!I$1,FALSE)/VLOOKUP($B320,Korrigeringsfaktor_EI,'Korrigeringsfaktor EI'!I$1,FALSE),
"")</f>
        <v>80.128571428571433</v>
      </c>
      <c r="J320" s="18">
        <f>IFERROR(
                  Andel_oberoende_av_klimat*VLOOKUP($A320,Leveranser_per_nät,'Leveranser per nät'!J$1,FALSE)
               +Andel_beroende_av_klimat*VLOOKUP($A320,Leveranser_per_nät,'Leveranser per nät'!J$1,FALSE)/VLOOKUP($B320,Korrigeringsfaktor_EI,'Korrigeringsfaktor EI'!J$1,FALSE),
"")</f>
        <v>85.593636633663365</v>
      </c>
      <c r="K320" s="18">
        <f>IFERROR(
                  Andel_oberoende_av_klimat*VLOOKUP($A320,Leveranser_per_nät,'Leveranser per nät'!K$1,FALSE)
               +Andel_beroende_av_klimat*VLOOKUP($A320,Leveranser_per_nät,'Leveranser per nät'!K$1,FALSE)/VLOOKUP($B320,Korrigeringsfaktor_EI,'Korrigeringsfaktor EI'!K$1,FALSE),
"")</f>
        <v>82.206000000000003</v>
      </c>
      <c r="L320" s="18">
        <f>IFERROR(
                  Andel_oberoende_av_klimat*VLOOKUP($A320,Leveranser_per_nät,'Leveranser per nät'!L$1,FALSE)
               +Andel_beroende_av_klimat*VLOOKUP($A320,Leveranser_per_nät,'Leveranser per nät'!L$1,FALSE)/VLOOKUP($B320,Korrigeringsfaktor_EI,'Korrigeringsfaktor EI'!L$1,FALSE),
"")</f>
        <v>86.25560606060607</v>
      </c>
      <c r="M320" s="18">
        <f>IFERROR(
                  Andel_oberoende_av_klimat*VLOOKUP($A320,Leveranser_per_nät,'Leveranser per nät'!M$1,FALSE)
               +Andel_beroende_av_klimat*VLOOKUP($A320,Leveranser_per_nät,'Leveranser per nät'!M$1,FALSE)/VLOOKUP($B320,Korrigeringsfaktor_EI,'Korrigeringsfaktor EI'!M$1,FALSE),
"")</f>
        <v>89.529148936170216</v>
      </c>
      <c r="N320" s="18">
        <f>IFERROR(
                  Andel_oberoende_av_klimat*VLOOKUP($A320,Leveranser_per_nät,'Leveranser per nät'!N$1,FALSE)
               +Andel_beroende_av_klimat*VLOOKUP($A320,Leveranser_per_nät,'Leveranser per nät'!N$1,FALSE)/VLOOKUP($B320,Korrigeringsfaktor_EI,'Korrigeringsfaktor EI'!N$1,FALSE),
"")</f>
        <v>88.199583333333337</v>
      </c>
      <c r="O320" s="18">
        <f>IFERROR(
                  Andel_oberoende_av_klimat*VLOOKUP($A320,Leveranser_per_nät,'Leveranser per nät'!O$1,FALSE)
               +Andel_beroende_av_klimat*VLOOKUP($A320,Leveranser_per_nät,'Leveranser per nät'!O$1,FALSE)/VLOOKUP($B320,Korrigeringsfaktor_EI,'Korrigeringsfaktor EI'!O$1,FALSE),
"")</f>
        <v>82.111914893617026</v>
      </c>
      <c r="P320" s="18">
        <f>IFERROR(
                  Andel_oberoende_av_klimat*VLOOKUP($A320,Leveranser_per_nät,'Leveranser per nät'!P$1,FALSE)
               +Andel_beroende_av_klimat*VLOOKUP($A320,Leveranser_per_nät,'Leveranser per nät'!P$1,FALSE)/VLOOKUP($B320,Korrigeringsfaktor_EI,'Korrigeringsfaktor EI'!P$1,FALSE),
"")</f>
        <v>82.3</v>
      </c>
      <c r="Q320" s="18">
        <f>IFERROR(
                  Andel_oberoende_av_klimat*VLOOKUP($A320,Leveranser_per_nät,'Leveranser per nät'!Q$1,FALSE)
               +Andel_beroende_av_klimat*VLOOKUP($A320,Leveranser_per_nät,'Leveranser per nät'!Q$1,FALSE)/VLOOKUP($B320,Korrigeringsfaktor_EI,'Korrigeringsfaktor EI'!Q$1,FALSE),
"")</f>
        <v>91.769122807017553</v>
      </c>
      <c r="R320" s="18">
        <f>IFERROR(
                  Andel_oberoende_av_klimat*VLOOKUP($A320,Leveranser_per_nät,'Leveranser per nät'!R$1,FALSE)
               +Andel_beroende_av_klimat*VLOOKUP($A320,Leveranser_per_nät,'Leveranser per nät'!R$1,FALSE)/VLOOKUP($B320,Korrigeringsfaktor_EI,'Korrigeringsfaktor EI'!R$1,FALSE),
"")</f>
        <v>86.290638297872334</v>
      </c>
      <c r="S320" s="18">
        <f>IFERROR(
                  Andel_oberoende_av_klimat*VLOOKUP($A320,Leveranser_per_nät,'Leveranser per nät'!S$1,FALSE)
               +Andel_beroende_av_klimat*VLOOKUP($A320,Leveranser_per_nät,'Leveranser per nät'!S$1,FALSE)/VLOOKUP($B320,Korrigeringsfaktor_EI,'Korrigeringsfaktor EI'!S$1,FALSE),
"")</f>
        <v>80.874509803921569</v>
      </c>
      <c r="T320" s="18">
        <f>IFERROR(
                  Andel_oberoende_av_klimat*VLOOKUP($A320,Leveranser_per_nät,'Leveranser per nät'!T$1,FALSE)
               +Andel_beroende_av_klimat*VLOOKUP($A320,Leveranser_per_nät,'Leveranser per nät'!T$1,FALSE)/VLOOKUP($B320,Korrigeringsfaktor_EI,'Korrigeringsfaktor EI'!T$1,FALSE),
"")</f>
        <v>84.287142857142854</v>
      </c>
      <c r="U320" s="18">
        <f>IFERROR(
                  Andel_oberoende_av_klimat*VLOOKUP($A320,Leveranser_per_nät,'Leveranser per nät'!U$1,FALSE)
               +Andel_beroende_av_klimat*VLOOKUP($A320,Leveranser_per_nät,'Leveranser per nät'!U$1,FALSE)/VLOOKUP($B320,Korrigeringsfaktor_EI,'Korrigeringsfaktor EI'!U$1,FALSE),
"")</f>
        <v>83.186153846153843</v>
      </c>
      <c r="V320" s="18">
        <f>IFERROR(
                  Andel_oberoende_av_klimat*VLOOKUP($A320,Leveranser_per_nät,'Leveranser per nät'!V$1,FALSE)
               +Andel_beroende_av_klimat*VLOOKUP($A320,Leveranser_per_nät,'Leveranser per nät'!V$1,FALSE)/VLOOKUP($B320,Korrigeringsfaktor_EI,'Korrigeringsfaktor EI'!V$1,FALSE),
"")</f>
        <v>84.130909090909086</v>
      </c>
      <c r="W320" s="18">
        <f>IFERROR(
                  Andel_oberoende_av_klimat*VLOOKUP($A320,Leveranser_per_nät,'Leveranser per nät'!W$1,FALSE)
               +Andel_beroende_av_klimat*VLOOKUP($A320,Leveranser_per_nät,'Leveranser per nät'!W$1,FALSE)/VLOOKUP($B320,Korrigeringsfaktor_EI,'Korrigeringsfaktor EI'!W$1,FALSE),
"")</f>
        <v>82.867142857142852</v>
      </c>
      <c r="X320" s="18">
        <f>IFERROR(
                  Andel_oberoende_av_klimat*VLOOKUP($A320,Leveranser_per_nät,'Leveranser per nät'!X$1,FALSE)
               +Andel_beroende_av_klimat*VLOOKUP($A320,Leveranser_per_nät,'Leveranser per nät'!X$1,FALSE)/VLOOKUP($B320,Korrigeringsfaktor_EI,'Korrigeringsfaktor EI'!X$1,FALSE),
"")</f>
        <v>84.803333333333342</v>
      </c>
      <c r="Y320" s="18">
        <f>IFERROR(
                  Andel_oberoende_av_klimat*VLOOKUP($A320,Leveranser_per_nät,'Leveranser per nät'!Y$1,FALSE)
               +Andel_beroende_av_klimat*VLOOKUP($A320,Leveranser_per_nät,'Leveranser per nät'!Y$1,FALSE)/VLOOKUP($B320,Korrigeringsfaktor_EI,'Korrigeringsfaktor EI'!Y$1,FALSE),
"")</f>
        <v>86.604042553191505</v>
      </c>
      <c r="Z320" s="18">
        <f>IFERROR(
                  Andel_oberoende_av_klimat*VLOOKUP($A320,Leveranser_per_nät,'Leveranser per nät'!Z$1,FALSE)
               +Andel_beroende_av_klimat*VLOOKUP($A320,Leveranser_per_nät,'Leveranser per nät'!Z$1,FALSE)/VLOOKUP($B320,Korrigeringsfaktor_EI,'Korrigeringsfaktor EI'!Z$1,FALSE),
"")</f>
        <v>85.612173913043478</v>
      </c>
      <c r="AA320" s="18">
        <f>IFERROR(
                  Andel_oberoende_av_klimat*VLOOKUP($A320,Leveranser_per_nät,'Leveranser per nät'!AA$1,FALSE)
               +Andel_beroende_av_klimat*VLOOKUP($A320,Leveranser_per_nät,'Leveranser per nät'!AA$1,FALSE)/VLOOKUP($B320,Korrigeringsfaktor_EI,'Korrigeringsfaktor EI'!AA$1,FALSE),
"")</f>
        <v>89.363379978471485</v>
      </c>
      <c r="AB320" s="18">
        <f>IFERROR(
                  Andel_oberoende_av_klimat*VLOOKUP($A320,Leveranser_per_nät,'Leveranser per nät'!AB$1,FALSE)
               +Andel_beroende_av_klimat*VLOOKUP($A320,Leveranser_per_nät,'Leveranser per nät'!AB$1,FALSE)/VLOOKUP($B320,Korrigeringsfaktor_EI,'Korrigeringsfaktor EI'!AB$1,FALSE),
"")</f>
        <v>87.941775147928993</v>
      </c>
      <c r="AC320" s="18">
        <f>IFERROR(
                  Andel_oberoende_av_klimat*VLOOKUP($A320,Leveranser_per_nät,'Leveranser per nät'!AC$1,FALSE)
               +Andel_beroende_av_klimat*VLOOKUP($A320,Leveranser_per_nät,'Leveranser per nät'!AC$1,FALSE)/VLOOKUP($B320,Korrigeringsfaktor_EI,'Korrigeringsfaktor EI'!AC$1,FALSE),
"")</f>
        <v>77.639259259259262</v>
      </c>
      <c r="AD320">
        <v>74.599999999999994</v>
      </c>
    </row>
    <row r="321" spans="1:30" x14ac:dyDescent="0.25">
      <c r="A321" t="s">
        <v>412</v>
      </c>
      <c r="B321" t="s">
        <v>412</v>
      </c>
      <c r="C321" s="18">
        <f>IFERROR(
                  Andel_oberoende_av_klimat*VLOOKUP($A321,Leveranser_per_nät,'Leveranser per nät'!C$1,FALSE)
               +Andel_beroende_av_klimat*VLOOKUP($A321,Leveranser_per_nät,'Leveranser per nät'!C$1,FALSE)/VLOOKUP($B321,Korrigeringsfaktor_EI,'Korrigeringsfaktor EI'!C$1,FALSE),
"")</f>
        <v>18.651437254901964</v>
      </c>
      <c r="D321" s="18">
        <f>IFERROR(
                  Andel_oberoende_av_klimat*VLOOKUP($A321,Leveranser_per_nät,'Leveranser per nät'!D$1,FALSE)
               +Andel_beroende_av_klimat*VLOOKUP($A321,Leveranser_per_nät,'Leveranser per nät'!D$1,FALSE)/VLOOKUP($B321,Korrigeringsfaktor_EI,'Korrigeringsfaktor EI'!D$1,FALSE),
"")</f>
        <v>19.166569696969699</v>
      </c>
      <c r="E321" s="18">
        <f>IFERROR(
                  Andel_oberoende_av_klimat*VLOOKUP($A321,Leveranser_per_nät,'Leveranser per nät'!E$1,FALSE)
               +Andel_beroende_av_klimat*VLOOKUP($A321,Leveranser_per_nät,'Leveranser per nät'!E$1,FALSE)/VLOOKUP($B321,Korrigeringsfaktor_EI,'Korrigeringsfaktor EI'!E$1,FALSE),
"")</f>
        <v>22.088679245283018</v>
      </c>
      <c r="F321" s="18">
        <f>IFERROR(
                  Andel_oberoende_av_klimat*VLOOKUP($A321,Leveranser_per_nät,'Leveranser per nät'!F$1,FALSE)
               +Andel_beroende_av_klimat*VLOOKUP($A321,Leveranser_per_nät,'Leveranser per nät'!F$1,FALSE)/VLOOKUP($B321,Korrigeringsfaktor_EI,'Korrigeringsfaktor EI'!F$1,FALSE),
"")</f>
        <v>21.047999999999998</v>
      </c>
      <c r="G321" s="18">
        <f>IFERROR(
                  Andel_oberoende_av_klimat*VLOOKUP($A321,Leveranser_per_nät,'Leveranser per nät'!G$1,FALSE)
               +Andel_beroende_av_klimat*VLOOKUP($A321,Leveranser_per_nät,'Leveranser per nät'!G$1,FALSE)/VLOOKUP($B321,Korrigeringsfaktor_EI,'Korrigeringsfaktor EI'!G$1,FALSE),
"")</f>
        <v>20.001075268817203</v>
      </c>
      <c r="H321" s="18">
        <f>IFERROR(
                  Andel_oberoende_av_klimat*VLOOKUP($A321,Leveranser_per_nät,'Leveranser per nät'!H$1,FALSE)
               +Andel_beroende_av_klimat*VLOOKUP($A321,Leveranser_per_nät,'Leveranser per nät'!H$1,FALSE)/VLOOKUP($B321,Korrigeringsfaktor_EI,'Korrigeringsfaktor EI'!H$1,FALSE),
"")</f>
        <v>21.148484848484848</v>
      </c>
      <c r="I321" s="18">
        <f>IFERROR(
                  Andel_oberoende_av_klimat*VLOOKUP($A321,Leveranser_per_nät,'Leveranser per nät'!I$1,FALSE)
               +Andel_beroende_av_klimat*VLOOKUP($A321,Leveranser_per_nät,'Leveranser per nät'!I$1,FALSE)/VLOOKUP($B321,Korrigeringsfaktor_EI,'Korrigeringsfaktor EI'!I$1,FALSE),
"")</f>
        <v>23.162626262626262</v>
      </c>
      <c r="J321" s="18">
        <f>IFERROR(
                  Andel_oberoende_av_klimat*VLOOKUP($A321,Leveranser_per_nät,'Leveranser per nät'!J$1,FALSE)
               +Andel_beroende_av_klimat*VLOOKUP($A321,Leveranser_per_nät,'Leveranser per nät'!J$1,FALSE)/VLOOKUP($B321,Korrigeringsfaktor_EI,'Korrigeringsfaktor EI'!J$1,FALSE),
"")</f>
        <v>23.497938144329897</v>
      </c>
      <c r="K321" s="18">
        <f>IFERROR(
                  Andel_oberoende_av_klimat*VLOOKUP($A321,Leveranser_per_nät,'Leveranser per nät'!K$1,FALSE)
               +Andel_beroende_av_klimat*VLOOKUP($A321,Leveranser_per_nät,'Leveranser per nät'!K$1,FALSE)/VLOOKUP($B321,Korrigeringsfaktor_EI,'Korrigeringsfaktor EI'!K$1,FALSE),
"")</f>
        <v>22.807228571428574</v>
      </c>
      <c r="L321" s="18">
        <f>IFERROR(
                  Andel_oberoende_av_klimat*VLOOKUP($A321,Leveranser_per_nät,'Leveranser per nät'!L$1,FALSE)
               +Andel_beroende_av_klimat*VLOOKUP($A321,Leveranser_per_nät,'Leveranser per nät'!L$1,FALSE)/VLOOKUP($B321,Korrigeringsfaktor_EI,'Korrigeringsfaktor EI'!L$1,FALSE),
"")</f>
        <v>23.67074623655914</v>
      </c>
      <c r="M321" s="18">
        <f>IFERROR(
                  Andel_oberoende_av_klimat*VLOOKUP($A321,Leveranser_per_nät,'Leveranser per nät'!M$1,FALSE)
               +Andel_beroende_av_klimat*VLOOKUP($A321,Leveranser_per_nät,'Leveranser per nät'!M$1,FALSE)/VLOOKUP($B321,Korrigeringsfaktor_EI,'Korrigeringsfaktor EI'!M$1,FALSE),
"")</f>
        <v>21.455373684210524</v>
      </c>
      <c r="N321" s="18">
        <f>IFERROR(
                  Andel_oberoende_av_klimat*VLOOKUP($A321,Leveranser_per_nät,'Leveranser per nät'!N$1,FALSE)
               +Andel_beroende_av_klimat*VLOOKUP($A321,Leveranser_per_nät,'Leveranser per nät'!N$1,FALSE)/VLOOKUP($B321,Korrigeringsfaktor_EI,'Korrigeringsfaktor EI'!N$1,FALSE),
"")</f>
        <v>19.451249999999998</v>
      </c>
      <c r="O321" s="18">
        <f>IFERROR(
                  Andel_oberoende_av_klimat*VLOOKUP($A321,Leveranser_per_nät,'Leveranser per nät'!O$1,FALSE)
               +Andel_beroende_av_klimat*VLOOKUP($A321,Leveranser_per_nät,'Leveranser per nät'!O$1,FALSE)/VLOOKUP($B321,Korrigeringsfaktor_EI,'Korrigeringsfaktor EI'!O$1,FALSE),
"")</f>
        <v>22.415714285714287</v>
      </c>
      <c r="P321" s="18">
        <f>IFERROR(
                  Andel_oberoende_av_klimat*VLOOKUP($A321,Leveranser_per_nät,'Leveranser per nät'!P$1,FALSE)
               +Andel_beroende_av_klimat*VLOOKUP($A321,Leveranser_per_nät,'Leveranser per nät'!P$1,FALSE)/VLOOKUP($B321,Korrigeringsfaktor_EI,'Korrigeringsfaktor EI'!P$1,FALSE),
"")</f>
        <v>24.519587628865978</v>
      </c>
      <c r="Q321" s="18">
        <f>IFERROR(
                  Andel_oberoende_av_klimat*VLOOKUP($A321,Leveranser_per_nät,'Leveranser per nät'!Q$1,FALSE)
               +Andel_beroende_av_klimat*VLOOKUP($A321,Leveranser_per_nät,'Leveranser per nät'!Q$1,FALSE)/VLOOKUP($B321,Korrigeringsfaktor_EI,'Korrigeringsfaktor EI'!Q$1,FALSE),
"")</f>
        <v>23.241132075471697</v>
      </c>
      <c r="R321" s="18">
        <f>IFERROR(
                  Andel_oberoende_av_klimat*VLOOKUP($A321,Leveranser_per_nät,'Leveranser per nät'!R$1,FALSE)
               +Andel_beroende_av_klimat*VLOOKUP($A321,Leveranser_per_nät,'Leveranser per nät'!R$1,FALSE)/VLOOKUP($B321,Korrigeringsfaktor_EI,'Korrigeringsfaktor EI'!R$1,FALSE),
"")</f>
        <v>22.84333333333333</v>
      </c>
      <c r="S321" s="18">
        <f>IFERROR(
                  Andel_oberoende_av_klimat*VLOOKUP($A321,Leveranser_per_nät,'Leveranser per nät'!S$1,FALSE)
               +Andel_beroende_av_klimat*VLOOKUP($A321,Leveranser_per_nät,'Leveranser per nät'!S$1,FALSE)/VLOOKUP($B321,Korrigeringsfaktor_EI,'Korrigeringsfaktor EI'!S$1,FALSE),
"")</f>
        <v>22.922912621359224</v>
      </c>
      <c r="T321" s="18">
        <f>IFERROR(
                  Andel_oberoende_av_klimat*VLOOKUP($A321,Leveranser_per_nät,'Leveranser per nät'!T$1,FALSE)
               +Andel_beroende_av_klimat*VLOOKUP($A321,Leveranser_per_nät,'Leveranser per nät'!T$1,FALSE)/VLOOKUP($B321,Korrigeringsfaktor_EI,'Korrigeringsfaktor EI'!T$1,FALSE),
"")</f>
        <v>24.158421052631581</v>
      </c>
      <c r="U321" s="18">
        <f>IFERROR(
                  Andel_oberoende_av_klimat*VLOOKUP($A321,Leveranser_per_nät,'Leveranser per nät'!U$1,FALSE)
               +Andel_beroende_av_klimat*VLOOKUP($A321,Leveranser_per_nät,'Leveranser per nät'!U$1,FALSE)/VLOOKUP($B321,Korrigeringsfaktor_EI,'Korrigeringsfaktor EI'!U$1,FALSE),
"")</f>
        <v>24.132127659574472</v>
      </c>
      <c r="V321" s="18">
        <f>IFERROR(
                  Andel_oberoende_av_klimat*VLOOKUP($A321,Leveranser_per_nät,'Leveranser per nät'!V$1,FALSE)
               +Andel_beroende_av_klimat*VLOOKUP($A321,Leveranser_per_nät,'Leveranser per nät'!V$1,FALSE)/VLOOKUP($B321,Korrigeringsfaktor_EI,'Korrigeringsfaktor EI'!V$1,FALSE),
"")</f>
        <v>24.930434782608696</v>
      </c>
      <c r="W321" s="18">
        <f>IFERROR(
                  Andel_oberoende_av_klimat*VLOOKUP($A321,Leveranser_per_nät,'Leveranser per nät'!W$1,FALSE)
               +Andel_beroende_av_klimat*VLOOKUP($A321,Leveranser_per_nät,'Leveranser per nät'!W$1,FALSE)/VLOOKUP($B321,Korrigeringsfaktor_EI,'Korrigeringsfaktor EI'!W$1,FALSE),
"")</f>
        <v>24.676842105263159</v>
      </c>
      <c r="X321" s="18">
        <f>IFERROR(
                  Andel_oberoende_av_klimat*VLOOKUP($A321,Leveranser_per_nät,'Leveranser per nät'!X$1,FALSE)
               +Andel_beroende_av_klimat*VLOOKUP($A321,Leveranser_per_nät,'Leveranser per nät'!X$1,FALSE)/VLOOKUP($B321,Korrigeringsfaktor_EI,'Korrigeringsfaktor EI'!X$1,FALSE),
"")</f>
        <v>24.9</v>
      </c>
      <c r="Y321" s="18">
        <f>IFERROR(
                  Andel_oberoende_av_klimat*VLOOKUP($A321,Leveranser_per_nät,'Leveranser per nät'!Y$1,FALSE)
               +Andel_beroende_av_klimat*VLOOKUP($A321,Leveranser_per_nät,'Leveranser per nät'!Y$1,FALSE)/VLOOKUP($B321,Korrigeringsfaktor_EI,'Korrigeringsfaktor EI'!Y$1,FALSE),
"")</f>
        <v>24.723917525773196</v>
      </c>
      <c r="Z321" s="18">
        <f>IFERROR(
                  Andel_oberoende_av_klimat*VLOOKUP($A321,Leveranser_per_nät,'Leveranser per nät'!Z$1,FALSE)
               +Andel_beroende_av_klimat*VLOOKUP($A321,Leveranser_per_nät,'Leveranser per nät'!Z$1,FALSE)/VLOOKUP($B321,Korrigeringsfaktor_EI,'Korrigeringsfaktor EI'!Z$1,FALSE),
"")</f>
        <v>24.647980198019802</v>
      </c>
      <c r="AA321" s="18">
        <f>IFERROR(
                  Andel_oberoende_av_klimat*VLOOKUP($A321,Leveranser_per_nät,'Leveranser per nät'!AA$1,FALSE)
               +Andel_beroende_av_klimat*VLOOKUP($A321,Leveranser_per_nät,'Leveranser per nät'!AA$1,FALSE)/VLOOKUP($B321,Korrigeringsfaktor_EI,'Korrigeringsfaktor EI'!AA$1,FALSE),
"")</f>
        <v>24.257347038668627</v>
      </c>
      <c r="AB321" s="18">
        <f>IFERROR(
                  Andel_oberoende_av_klimat*VLOOKUP($A321,Leveranser_per_nät,'Leveranser per nät'!AB$1,FALSE)
               +Andel_beroende_av_klimat*VLOOKUP($A321,Leveranser_per_nät,'Leveranser per nät'!AB$1,FALSE)/VLOOKUP($B321,Korrigeringsfaktor_EI,'Korrigeringsfaktor EI'!AB$1,FALSE),
"")</f>
        <v>24.509813176007864</v>
      </c>
      <c r="AC321" s="18">
        <f>IFERROR(
                  Andel_oberoende_av_klimat*VLOOKUP($A321,Leveranser_per_nät,'Leveranser per nät'!AC$1,FALSE)
               +Andel_beroende_av_klimat*VLOOKUP($A321,Leveranser_per_nät,'Leveranser per nät'!AC$1,FALSE)/VLOOKUP($B321,Korrigeringsfaktor_EI,'Korrigeringsfaktor EI'!AC$1,FALSE),
"")</f>
        <v>23.754236496350362</v>
      </c>
      <c r="AD321" t="s">
        <v>805</v>
      </c>
    </row>
    <row r="322" spans="1:30" x14ac:dyDescent="0.25">
      <c r="A322" t="s">
        <v>932</v>
      </c>
      <c r="B322" t="s">
        <v>932</v>
      </c>
      <c r="C322" s="18">
        <f>IFERROR(
                  Andel_oberoende_av_klimat*VLOOKUP($A322,Leveranser_per_nät,'Leveranser per nät'!C$1,FALSE)
               +Andel_beroende_av_klimat*VLOOKUP($A322,Leveranser_per_nät,'Leveranser per nät'!C$1,FALSE)/VLOOKUP("Göteborg",Korrigeringsfaktor_EI,'Korrigeringsfaktor EI'!C$1,FALSE),
"")</f>
        <v>0</v>
      </c>
      <c r="D322" s="18">
        <f>IFERROR(
                  Andel_oberoende_av_klimat*VLOOKUP($A322,Leveranser_per_nät,'Leveranser per nät'!D$1,FALSE)
               +Andel_beroende_av_klimat*VLOOKUP($A322,Leveranser_per_nät,'Leveranser per nät'!D$1,FALSE)/VLOOKUP("Göteborg",Korrigeringsfaktor_EI,'Korrigeringsfaktor EI'!D$1,FALSE),
"")</f>
        <v>0</v>
      </c>
      <c r="E322" s="18">
        <f>IFERROR(
                  Andel_oberoende_av_klimat*VLOOKUP($A322,Leveranser_per_nät,'Leveranser per nät'!E$1,FALSE)
               +Andel_beroende_av_klimat*VLOOKUP($A322,Leveranser_per_nät,'Leveranser per nät'!E$1,FALSE)/VLOOKUP("Göteborg",Korrigeringsfaktor_EI,'Korrigeringsfaktor EI'!E$1,FALSE),
"")</f>
        <v>0</v>
      </c>
      <c r="F322" s="18">
        <f>IFERROR(
                  Andel_oberoende_av_klimat*VLOOKUP($A322,Leveranser_per_nät,'Leveranser per nät'!F$1,FALSE)
               +Andel_beroende_av_klimat*VLOOKUP($A322,Leveranser_per_nät,'Leveranser per nät'!F$1,FALSE)/VLOOKUP("Göteborg",Korrigeringsfaktor_EI,'Korrigeringsfaktor EI'!F$1,FALSE),
"")</f>
        <v>0</v>
      </c>
      <c r="G322" s="18">
        <f>IFERROR(
                  Andel_oberoende_av_klimat*VLOOKUP($A322,Leveranser_per_nät,'Leveranser per nät'!G$1,FALSE)
               +Andel_beroende_av_klimat*VLOOKUP($A322,Leveranser_per_nät,'Leveranser per nät'!G$1,FALSE)/VLOOKUP("Göteborg",Korrigeringsfaktor_EI,'Korrigeringsfaktor EI'!G$1,FALSE),
"")</f>
        <v>0</v>
      </c>
      <c r="H322" s="18">
        <f>IFERROR(
                  Andel_oberoende_av_klimat*VLOOKUP($A322,Leveranser_per_nät,'Leveranser per nät'!H$1,FALSE)
               +Andel_beroende_av_klimat*VLOOKUP($A322,Leveranser_per_nät,'Leveranser per nät'!H$1,FALSE)/VLOOKUP("Göteborg",Korrigeringsfaktor_EI,'Korrigeringsfaktor EI'!H$1,FALSE),
"")</f>
        <v>0</v>
      </c>
      <c r="I322" s="18">
        <f>IFERROR(
                  Andel_oberoende_av_klimat*VLOOKUP($A322,Leveranser_per_nät,'Leveranser per nät'!I$1,FALSE)
               +Andel_beroende_av_klimat*VLOOKUP($A322,Leveranser_per_nät,'Leveranser per nät'!I$1,FALSE)/VLOOKUP("Göteborg",Korrigeringsfaktor_EI,'Korrigeringsfaktor EI'!I$1,FALSE),
"")</f>
        <v>0</v>
      </c>
      <c r="J322" s="18">
        <f>IFERROR(
                  Andel_oberoende_av_klimat*VLOOKUP($A322,Leveranser_per_nät,'Leveranser per nät'!J$1,FALSE)
               +Andel_beroende_av_klimat*VLOOKUP($A322,Leveranser_per_nät,'Leveranser per nät'!J$1,FALSE)/VLOOKUP("Göteborg",Korrigeringsfaktor_EI,'Korrigeringsfaktor EI'!J$1,FALSE),
"")</f>
        <v>0</v>
      </c>
      <c r="K322" s="18">
        <f>IFERROR(
                  Andel_oberoende_av_klimat*VLOOKUP($A322,Leveranser_per_nät,'Leveranser per nät'!K$1,FALSE)
               +Andel_beroende_av_klimat*VLOOKUP($A322,Leveranser_per_nät,'Leveranser per nät'!K$1,FALSE)/VLOOKUP("Göteborg",Korrigeringsfaktor_EI,'Korrigeringsfaktor EI'!K$1,FALSE),
"")</f>
        <v>0</v>
      </c>
      <c r="L322" s="18">
        <f>IFERROR(
                  Andel_oberoende_av_klimat*VLOOKUP($A322,Leveranser_per_nät,'Leveranser per nät'!L$1,FALSE)
               +Andel_beroende_av_klimat*VLOOKUP($A322,Leveranser_per_nät,'Leveranser per nät'!L$1,FALSE)/VLOOKUP("Göteborg",Korrigeringsfaktor_EI,'Korrigeringsfaktor EI'!L$1,FALSE),
"")</f>
        <v>0</v>
      </c>
      <c r="M322" s="18">
        <f>IFERROR(
                  Andel_oberoende_av_klimat*VLOOKUP($A322,Leveranser_per_nät,'Leveranser per nät'!M$1,FALSE)
               +Andel_beroende_av_klimat*VLOOKUP($A322,Leveranser_per_nät,'Leveranser per nät'!M$1,FALSE)/VLOOKUP("Göteborg",Korrigeringsfaktor_EI,'Korrigeringsfaktor EI'!M$1,FALSE),
"")</f>
        <v>0</v>
      </c>
      <c r="N322" s="18">
        <f>IFERROR(
                  Andel_oberoende_av_klimat*VLOOKUP($A322,Leveranser_per_nät,'Leveranser per nät'!N$1,FALSE)
               +Andel_beroende_av_klimat*VLOOKUP($A322,Leveranser_per_nät,'Leveranser per nät'!N$1,FALSE)/VLOOKUP("Göteborg",Korrigeringsfaktor_EI,'Korrigeringsfaktor EI'!N$1,FALSE),
"")</f>
        <v>0</v>
      </c>
      <c r="O322" s="18">
        <f>IFERROR(
                  Andel_oberoende_av_klimat*VLOOKUP($A322,Leveranser_per_nät,'Leveranser per nät'!O$1,FALSE)
               +Andel_beroende_av_klimat*VLOOKUP($A322,Leveranser_per_nät,'Leveranser per nät'!O$1,FALSE)/VLOOKUP("Göteborg",Korrigeringsfaktor_EI,'Korrigeringsfaktor EI'!O$1,FALSE),
"")</f>
        <v>0</v>
      </c>
      <c r="P322" s="18">
        <f>IFERROR(
                  Andel_oberoende_av_klimat*VLOOKUP($A322,Leveranser_per_nät,'Leveranser per nät'!P$1,FALSE)
               +Andel_beroende_av_klimat*VLOOKUP($A322,Leveranser_per_nät,'Leveranser per nät'!P$1,FALSE)/VLOOKUP("Göteborg",Korrigeringsfaktor_EI,'Korrigeringsfaktor EI'!P$1,FALSE),
"")</f>
        <v>0</v>
      </c>
      <c r="Q322" s="18">
        <f>IFERROR(
                  Andel_oberoende_av_klimat*VLOOKUP($A322,Leveranser_per_nät,'Leveranser per nät'!Q$1,FALSE)
               +Andel_beroende_av_klimat*VLOOKUP($A322,Leveranser_per_nät,'Leveranser per nät'!Q$1,FALSE)/VLOOKUP("Göteborg",Korrigeringsfaktor_EI,'Korrigeringsfaktor EI'!Q$1,FALSE),
"")</f>
        <v>0</v>
      </c>
      <c r="R322" s="18">
        <f>IFERROR(
                  Andel_oberoende_av_klimat*VLOOKUP($A322,Leveranser_per_nät,'Leveranser per nät'!R$1,FALSE)
               +Andel_beroende_av_klimat*VLOOKUP($A322,Leveranser_per_nät,'Leveranser per nät'!R$1,FALSE)/VLOOKUP("Göteborg",Korrigeringsfaktor_EI,'Korrigeringsfaktor EI'!R$1,FALSE),
"")</f>
        <v>0</v>
      </c>
      <c r="S322" s="18">
        <f>IFERROR(
                  Andel_oberoende_av_klimat*VLOOKUP($A322,Leveranser_per_nät,'Leveranser per nät'!S$1,FALSE)
               +Andel_beroende_av_klimat*VLOOKUP($A322,Leveranser_per_nät,'Leveranser per nät'!S$1,FALSE)/VLOOKUP("Göteborg",Korrigeringsfaktor_EI,'Korrigeringsfaktor EI'!S$1,FALSE),
"")</f>
        <v>0</v>
      </c>
      <c r="T322" s="18">
        <f>IFERROR(
                  Andel_oberoende_av_klimat*VLOOKUP($A322,Leveranser_per_nät,'Leveranser per nät'!T$1,FALSE)
               +Andel_beroende_av_klimat*VLOOKUP($A322,Leveranser_per_nät,'Leveranser per nät'!T$1,FALSE)/VLOOKUP("Göteborg",Korrigeringsfaktor_EI,'Korrigeringsfaktor EI'!T$1,FALSE),
"")</f>
        <v>0</v>
      </c>
      <c r="U322" s="18">
        <f>IFERROR(
                  Andel_oberoende_av_klimat*VLOOKUP($A322,Leveranser_per_nät,'Leveranser per nät'!U$1,FALSE)
               +Andel_beroende_av_klimat*VLOOKUP($A322,Leveranser_per_nät,'Leveranser per nät'!U$1,FALSE)/VLOOKUP("Göteborg",Korrigeringsfaktor_EI,'Korrigeringsfaktor EI'!U$1,FALSE),
"")</f>
        <v>0</v>
      </c>
      <c r="V322" s="18">
        <f>IFERROR(
                  Andel_oberoende_av_klimat*VLOOKUP($A322,Leveranser_per_nät,'Leveranser per nät'!V$1,FALSE)
               +Andel_beroende_av_klimat*VLOOKUP($A322,Leveranser_per_nät,'Leveranser per nät'!V$1,FALSE)/VLOOKUP("Göteborg",Korrigeringsfaktor_EI,'Korrigeringsfaktor EI'!V$1,FALSE),
"")</f>
        <v>0</v>
      </c>
      <c r="W322" s="18">
        <f>IFERROR(
                  Andel_oberoende_av_klimat*VLOOKUP($A322,Leveranser_per_nät,'Leveranser per nät'!W$1,FALSE)
               +Andel_beroende_av_klimat*VLOOKUP($A322,Leveranser_per_nät,'Leveranser per nät'!W$1,FALSE)/VLOOKUP("Göteborg",Korrigeringsfaktor_EI,'Korrigeringsfaktor EI'!W$1,FALSE),
"")</f>
        <v>0</v>
      </c>
      <c r="X322" s="18">
        <f>IFERROR(
                  Andel_oberoende_av_klimat*VLOOKUP($A322,Leveranser_per_nät,'Leveranser per nät'!X$1,FALSE)
               +Andel_beroende_av_klimat*VLOOKUP($A322,Leveranser_per_nät,'Leveranser per nät'!X$1,FALSE)/VLOOKUP("Göteborg",Korrigeringsfaktor_EI,'Korrigeringsfaktor EI'!X$1,FALSE),
"")</f>
        <v>0</v>
      </c>
      <c r="Y322" s="18">
        <f>IFERROR(
                  Andel_oberoende_av_klimat*VLOOKUP($A322,Leveranser_per_nät,'Leveranser per nät'!Y$1,FALSE)
               +Andel_beroende_av_klimat*VLOOKUP($A322,Leveranser_per_nät,'Leveranser per nät'!Y$1,FALSE)/VLOOKUP($B322,Korrigeringsfaktor_EI,'Korrigeringsfaktor EI'!Y$1,FALSE),
"")</f>
        <v>170.28888888888889</v>
      </c>
      <c r="Z322" s="18">
        <f>IFERROR(
                  Andel_oberoende_av_klimat*VLOOKUP($A322,Leveranser_per_nät,'Leveranser per nät'!Z$1,FALSE)
               +Andel_beroende_av_klimat*VLOOKUP($A322,Leveranser_per_nät,'Leveranser per nät'!Z$1,FALSE)/VLOOKUP($B322,Korrigeringsfaktor_EI,'Korrigeringsfaktor EI'!Z$1,FALSE),
"")</f>
        <v>165.41363636363636</v>
      </c>
      <c r="AA322" s="18"/>
      <c r="AB322" s="18"/>
      <c r="AC322" s="18"/>
      <c r="AD322">
        <v>147</v>
      </c>
    </row>
    <row r="323" spans="1:30" x14ac:dyDescent="0.25">
      <c r="A323" t="s">
        <v>229</v>
      </c>
      <c r="B323" t="s">
        <v>229</v>
      </c>
      <c r="C323" s="18">
        <f>IFERROR(
                  Andel_oberoende_av_klimat*VLOOKUP($A323,Leveranser_per_nät,'Leveranser per nät'!C$1,FALSE)
               +Andel_beroende_av_klimat*VLOOKUP($A323,Leveranser_per_nät,'Leveranser per nät'!C$1,FALSE)/VLOOKUP("Klippan",Korrigeringsfaktor_EI,'Korrigeringsfaktor EI'!C$1,FALSE),
"")</f>
        <v>34.062199999999997</v>
      </c>
      <c r="D323" s="18">
        <f>IFERROR(
                  Andel_oberoende_av_klimat*VLOOKUP($A323,Leveranser_per_nät,'Leveranser per nät'!D$1,FALSE)
               +Andel_beroende_av_klimat*VLOOKUP($A323,Leveranser_per_nät,'Leveranser per nät'!D$1,FALSE)/VLOOKUP("Klippan",Korrigeringsfaktor_EI,'Korrigeringsfaktor EI'!D$1,FALSE),
"")</f>
        <v>32.678865048543692</v>
      </c>
      <c r="E323" s="18">
        <f>IFERROR(
                  Andel_oberoende_av_klimat*VLOOKUP($A323,Leveranser_per_nät,'Leveranser per nät'!E$1,FALSE)
               +Andel_beroende_av_klimat*VLOOKUP($A323,Leveranser_per_nät,'Leveranser per nät'!E$1,FALSE)/VLOOKUP("Klippan",Korrigeringsfaktor_EI,'Korrigeringsfaktor EI'!E$1,FALSE),
"")</f>
        <v>33.350878640776699</v>
      </c>
      <c r="F323" s="18">
        <f>IFERROR(
                  Andel_oberoende_av_klimat*VLOOKUP($A323,Leveranser_per_nät,'Leveranser per nät'!F$1,FALSE)
               +Andel_beroende_av_klimat*VLOOKUP($A323,Leveranser_per_nät,'Leveranser per nät'!F$1,FALSE)/VLOOKUP("Klippan",Korrigeringsfaktor_EI,'Korrigeringsfaktor EI'!F$1,FALSE),
"")</f>
        <v>32.496626804123707</v>
      </c>
      <c r="G323" s="18">
        <f>IFERROR(
                  Andel_oberoende_av_klimat*VLOOKUP($A323,Leveranser_per_nät,'Leveranser per nät'!G$1,FALSE)
               +Andel_beroende_av_klimat*VLOOKUP($A323,Leveranser_per_nät,'Leveranser per nät'!G$1,FALSE)/VLOOKUP("Klippan",Korrigeringsfaktor_EI,'Korrigeringsfaktor EI'!G$1,FALSE),
"")</f>
        <v>33.629565217391303</v>
      </c>
      <c r="H323" s="18">
        <f>IFERROR(
                  Andel_oberoende_av_klimat*VLOOKUP($A323,Leveranser_per_nät,'Leveranser per nät'!H$1,FALSE)
               +Andel_beroende_av_klimat*VLOOKUP($A323,Leveranser_per_nät,'Leveranser per nät'!H$1,FALSE)/VLOOKUP("Klippan",Korrigeringsfaktor_EI,'Korrigeringsfaktor EI'!H$1,FALSE),
"")</f>
        <v>33.167142857142863</v>
      </c>
      <c r="I323" s="18">
        <f>IFERROR(
                  Andel_oberoende_av_klimat*VLOOKUP($A323,Leveranser_per_nät,'Leveranser per nät'!I$1,FALSE)
               +Andel_beroende_av_klimat*VLOOKUP($A323,Leveranser_per_nät,'Leveranser per nät'!I$1,FALSE)/VLOOKUP("Klippan",Korrigeringsfaktor_EI,'Korrigeringsfaktor EI'!I$1,FALSE),
"")</f>
        <v>34.212365591397848</v>
      </c>
      <c r="J323" s="18">
        <f>IFERROR(
                  Andel_oberoende_av_klimat*VLOOKUP($A323,Leveranser_per_nät,'Leveranser per nät'!J$1,FALSE)
               +Andel_beroende_av_klimat*VLOOKUP($A323,Leveranser_per_nät,'Leveranser per nät'!J$1,FALSE)/VLOOKUP("Klippan",Korrigeringsfaktor_EI,'Korrigeringsfaktor EI'!J$1,FALSE),
"")</f>
        <v>33.519958333333335</v>
      </c>
      <c r="K323" s="18">
        <f>IFERROR(
                  Andel_oberoende_av_klimat*VLOOKUP($A323,Leveranser_per_nät,'Leveranser per nät'!K$1,FALSE)
               +Andel_beroende_av_klimat*VLOOKUP($A323,Leveranser_per_nät,'Leveranser per nät'!K$1,FALSE)/VLOOKUP("Klippan",Korrigeringsfaktor_EI,'Korrigeringsfaktor EI'!K$1,FALSE),
"")</f>
        <v>35.553402061855664</v>
      </c>
      <c r="L323" s="18">
        <f>IFERROR(
                  Andel_oberoende_av_klimat*VLOOKUP($A323,Leveranser_per_nät,'Leveranser per nät'!L$1,FALSE)
               +Andel_beroende_av_klimat*VLOOKUP($A323,Leveranser_per_nät,'Leveranser per nät'!L$1,FALSE)/VLOOKUP("Klippan",Korrigeringsfaktor_EI,'Korrigeringsfaktor EI'!L$1,FALSE),
"")</f>
        <v>38.466842105263161</v>
      </c>
      <c r="M323" s="18">
        <f>IFERROR(
                  Andel_oberoende_av_klimat*VLOOKUP($A323,Leveranser_per_nät,'Leveranser per nät'!M$1,FALSE)
               +Andel_beroende_av_klimat*VLOOKUP($A323,Leveranser_per_nät,'Leveranser per nät'!M$1,FALSE)/VLOOKUP("Klippan",Korrigeringsfaktor_EI,'Korrigeringsfaktor EI'!M$1,FALSE),
"")</f>
        <v>41.720817391304344</v>
      </c>
      <c r="N323" s="18">
        <f>IFERROR(
                  Andel_oberoende_av_klimat*VLOOKUP($A323,Leveranser_per_nät,'Leveranser per nät'!N$1,FALSE)
               +Andel_beroende_av_klimat*VLOOKUP($A323,Leveranser_per_nät,'Leveranser per nät'!N$1,FALSE)/VLOOKUP("Klippan",Korrigeringsfaktor_EI,'Korrigeringsfaktor EI'!N$1,FALSE),
"")</f>
        <v>42.895555555555546</v>
      </c>
      <c r="O323" s="18">
        <f>IFERROR(
                  Andel_oberoende_av_klimat*VLOOKUP($A323,Leveranser_per_nät,'Leveranser per nät'!O$1,FALSE)
               +Andel_beroende_av_klimat*VLOOKUP($A323,Leveranser_per_nät,'Leveranser per nät'!O$1,FALSE)/VLOOKUP("Klippan",Korrigeringsfaktor_EI,'Korrigeringsfaktor EI'!O$1,FALSE),
"")</f>
        <v>44.325766666666667</v>
      </c>
      <c r="P323" s="18">
        <f>IFERROR(
                  Andel_oberoende_av_klimat*VLOOKUP($A323,Leveranser_per_nät,'Leveranser per nät'!P$1,FALSE)
               +Andel_beroende_av_klimat*VLOOKUP($A323,Leveranser_per_nät,'Leveranser per nät'!P$1,FALSE)/VLOOKUP("Klippan",Korrigeringsfaktor_EI,'Korrigeringsfaktor EI'!P$1,FALSE),
"")</f>
        <v>45.757021276595744</v>
      </c>
      <c r="Q323" s="18">
        <f>IFERROR(
                  Andel_oberoende_av_klimat*VLOOKUP($A323,Leveranser_per_nät,'Leveranser per nät'!Q$1,FALSE)
               +Andel_beroende_av_klimat*VLOOKUP($A323,Leveranser_per_nät,'Leveranser per nät'!Q$1,FALSE)/VLOOKUP("Klippan",Korrigeringsfaktor_EI,'Korrigeringsfaktor EI'!Q$1,FALSE),
"")</f>
        <v>46.61999999999999</v>
      </c>
      <c r="R323" s="18">
        <f>IFERROR(
                  Andel_oberoende_av_klimat*VLOOKUP($A323,Leveranser_per_nät,'Leveranser per nät'!R$1,FALSE)
               +Andel_beroende_av_klimat*VLOOKUP($A323,Leveranser_per_nät,'Leveranser per nät'!R$1,FALSE)/VLOOKUP("Klippan",Korrigeringsfaktor_EI,'Korrigeringsfaktor EI'!R$1,FALSE),
"")</f>
        <v>46.14782608695652</v>
      </c>
      <c r="S323" s="18">
        <f>IFERROR(
                  Andel_oberoende_av_klimat*VLOOKUP($A323,Leveranser_per_nät,'Leveranser per nät'!S$1,FALSE)
               +Andel_beroende_av_klimat*VLOOKUP($A323,Leveranser_per_nät,'Leveranser per nät'!S$1,FALSE)/VLOOKUP("Klippan",Korrigeringsfaktor_EI,'Korrigeringsfaktor EI'!S$1,FALSE),
"")</f>
        <v>47</v>
      </c>
      <c r="T323" s="18">
        <f>IFERROR(
                  Andel_oberoende_av_klimat*VLOOKUP($A323,Leveranser_per_nät,'Leveranser per nät'!T$1,FALSE)
               +Andel_beroende_av_klimat*VLOOKUP($A323,Leveranser_per_nät,'Leveranser per nät'!T$1,FALSE)/VLOOKUP("Klippan",Korrigeringsfaktor_EI,'Korrigeringsfaktor EI'!T$1,FALSE),
"")</f>
        <v>46.485051546391759</v>
      </c>
      <c r="U323" s="18">
        <f>IFERROR(
                  Andel_oberoende_av_klimat*VLOOKUP($A323,Leveranser_per_nät,'Leveranser per nät'!U$1,FALSE)
               +Andel_beroende_av_klimat*VLOOKUP($A323,Leveranser_per_nät,'Leveranser per nät'!U$1,FALSE)/VLOOKUP("Klippan",Korrigeringsfaktor_EI,'Korrigeringsfaktor EI'!U$1,FALSE),
"")</f>
        <v>46.563255813953482</v>
      </c>
      <c r="V323" s="18">
        <f>IFERROR(
                  Andel_oberoende_av_klimat*VLOOKUP($A323,Leveranser_per_nät,'Leveranser per nät'!V$1,FALSE)
               +Andel_beroende_av_klimat*VLOOKUP($A323,Leveranser_per_nät,'Leveranser per nät'!V$1,FALSE)/VLOOKUP("Klippan",Korrigeringsfaktor_EI,'Korrigeringsfaktor EI'!V$1,FALSE),
"")</f>
        <v>46.784347826086957</v>
      </c>
      <c r="W323" s="18">
        <f>IFERROR(
                  Andel_oberoende_av_klimat*VLOOKUP($A323,Leveranser_per_nät,'Leveranser per nät'!W$1,FALSE)
               +Andel_beroende_av_klimat*VLOOKUP($A323,Leveranser_per_nät,'Leveranser per nät'!W$1,FALSE)/VLOOKUP("Klippan",Korrigeringsfaktor_EI,'Korrigeringsfaktor EI'!W$1,FALSE),
"")</f>
        <v>48.055319148936171</v>
      </c>
      <c r="X323" s="18">
        <f>IFERROR(
                  Andel_oberoende_av_klimat*VLOOKUP($A323,Leveranser_per_nät,'Leveranser per nät'!X$1,FALSE)
               +Andel_beroende_av_klimat*VLOOKUP($A323,Leveranser_per_nät,'Leveranser per nät'!X$1,FALSE)/VLOOKUP("Klippan",Korrigeringsfaktor_EI,'Korrigeringsfaktor EI'!X$1,FALSE),
"")</f>
        <v>48.423655913978493</v>
      </c>
      <c r="Y323" s="18">
        <f>IFERROR(
                  Andel_oberoende_av_klimat*VLOOKUP($A323,Leveranser_per_nät,'Leveranser per nät'!Y$1,FALSE)
               +Andel_beroende_av_klimat*VLOOKUP($A323,Leveranser_per_nät,'Leveranser per nät'!Y$1,FALSE)/VLOOKUP($B323,Korrigeringsfaktor_EI,'Korrigeringsfaktor EI'!Y$1,FALSE),
"")</f>
        <v>50.590574712643672</v>
      </c>
      <c r="Z323" s="18">
        <f>IFERROR(
                  Andel_oberoende_av_klimat*VLOOKUP($A323,Leveranser_per_nät,'Leveranser per nät'!Z$1,FALSE)
               +Andel_beroende_av_klimat*VLOOKUP($A323,Leveranser_per_nät,'Leveranser per nät'!Z$1,FALSE)/VLOOKUP($B323,Korrigeringsfaktor_EI,'Korrigeringsfaktor EI'!Z$1,FALSE),
"")</f>
        <v>50.446470588235286</v>
      </c>
      <c r="AA323" s="18">
        <f>IFERROR(
                  Andel_oberoende_av_klimat*VLOOKUP($A323,Leveranser_per_nät,'Leveranser per nät'!AA$1,FALSE)
               +Andel_beroende_av_klimat*VLOOKUP($A323,Leveranser_per_nät,'Leveranser per nät'!AA$1,FALSE)/VLOOKUP($B323,Korrigeringsfaktor_EI,'Korrigeringsfaktor EI'!AA$1,FALSE),
"")</f>
        <v>50.22187919463088</v>
      </c>
      <c r="AB323" s="18">
        <f>IFERROR(
                  Andel_oberoende_av_klimat*VLOOKUP($A323,Leveranser_per_nät,'Leveranser per nät'!AB$1,FALSE)
               +Andel_beroende_av_klimat*VLOOKUP($A323,Leveranser_per_nät,'Leveranser per nät'!AB$1,FALSE)/VLOOKUP($B323,Korrigeringsfaktor_EI,'Korrigeringsfaktor EI'!AB$1,FALSE),
"")</f>
        <v>48.561089108910892</v>
      </c>
      <c r="AC323" s="18">
        <f>IFERROR(
                  Andel_oberoende_av_klimat*VLOOKUP($A323,Leveranser_per_nät,'Leveranser per nät'!AC$1,FALSE)
               +Andel_beroende_av_klimat*VLOOKUP($A323,Leveranser_per_nät,'Leveranser per nät'!AC$1,FALSE)/VLOOKUP($B323,Korrigeringsfaktor_EI,'Korrigeringsfaktor EI'!AC$1,FALSE),
"")</f>
        <v>47.705749202975561</v>
      </c>
      <c r="AD323">
        <v>45.7</v>
      </c>
    </row>
    <row r="324" spans="1:30" x14ac:dyDescent="0.25">
      <c r="A324" t="s">
        <v>230</v>
      </c>
      <c r="B324" t="s">
        <v>230</v>
      </c>
      <c r="C324" s="18">
        <f>IFERROR(
                  Andel_oberoende_av_klimat*VLOOKUP($A324,Leveranser_per_nät,'Leveranser per nät'!C$1,FALSE)
               +Andel_beroende_av_klimat*VLOOKUP($A324,Leveranser_per_nät,'Leveranser per nät'!C$1,FALSE)/VLOOKUP($B324,Korrigeringsfaktor_EI,'Korrigeringsfaktor EI'!C$1,FALSE),
"")</f>
        <v>157.89801980198021</v>
      </c>
      <c r="D324" s="18">
        <f>IFERROR(
                  Andel_oberoende_av_klimat*VLOOKUP($A324,Leveranser_per_nät,'Leveranser per nät'!D$1,FALSE)
               +Andel_beroende_av_klimat*VLOOKUP($A324,Leveranser_per_nät,'Leveranser per nät'!D$1,FALSE)/VLOOKUP($B324,Korrigeringsfaktor_EI,'Korrigeringsfaktor EI'!D$1,FALSE),
"")</f>
        <v>157.89474999999999</v>
      </c>
      <c r="E324" s="18">
        <f>IFERROR(
                  Andel_oberoende_av_klimat*VLOOKUP($A324,Leveranser_per_nät,'Leveranser per nät'!E$1,FALSE)
               +Andel_beroende_av_klimat*VLOOKUP($A324,Leveranser_per_nät,'Leveranser per nät'!E$1,FALSE)/VLOOKUP($B324,Korrigeringsfaktor_EI,'Korrigeringsfaktor EI'!E$1,FALSE),
"")</f>
        <v>158.61153846153846</v>
      </c>
      <c r="F324" s="18">
        <f>IFERROR(
                  Andel_oberoende_av_klimat*VLOOKUP($A324,Leveranser_per_nät,'Leveranser per nät'!F$1,FALSE)
               +Andel_beroende_av_klimat*VLOOKUP($A324,Leveranser_per_nät,'Leveranser per nät'!F$1,FALSE)/VLOOKUP($B324,Korrigeringsfaktor_EI,'Korrigeringsfaktor EI'!F$1,FALSE),
"")</f>
        <v>170</v>
      </c>
      <c r="G324" s="18">
        <f>IFERROR(
                  Andel_oberoende_av_klimat*VLOOKUP($A324,Leveranser_per_nät,'Leveranser per nät'!G$1,FALSE)
               +Andel_beroende_av_klimat*VLOOKUP($A324,Leveranser_per_nät,'Leveranser per nät'!G$1,FALSE)/VLOOKUP($B324,Korrigeringsfaktor_EI,'Korrigeringsfaktor EI'!G$1,FALSE),
"")</f>
        <v>172.98333333333335</v>
      </c>
      <c r="H324" s="18">
        <f>IFERROR(
                  Andel_oberoende_av_klimat*VLOOKUP($A324,Leveranser_per_nät,'Leveranser per nät'!H$1,FALSE)
               +Andel_beroende_av_klimat*VLOOKUP($A324,Leveranser_per_nät,'Leveranser per nät'!H$1,FALSE)/VLOOKUP($B324,Korrigeringsfaktor_EI,'Korrigeringsfaktor EI'!H$1,FALSE),
"")</f>
        <v>167.82871287128714</v>
      </c>
      <c r="I324" s="18">
        <f>IFERROR(
                  Andel_oberoende_av_klimat*VLOOKUP($A324,Leveranser_per_nät,'Leveranser per nät'!I$1,FALSE)
               +Andel_beroende_av_klimat*VLOOKUP($A324,Leveranser_per_nät,'Leveranser per nät'!I$1,FALSE)/VLOOKUP($B324,Korrigeringsfaktor_EI,'Korrigeringsfaktor EI'!I$1,FALSE),
"")</f>
        <v>173.44285714285715</v>
      </c>
      <c r="J324" s="18">
        <f>IFERROR(
                  Andel_oberoende_av_klimat*VLOOKUP($A324,Leveranser_per_nät,'Leveranser per nät'!J$1,FALSE)
               +Andel_beroende_av_klimat*VLOOKUP($A324,Leveranser_per_nät,'Leveranser per nät'!J$1,FALSE)/VLOOKUP($B324,Korrigeringsfaktor_EI,'Korrigeringsfaktor EI'!J$1,FALSE),
"")</f>
        <v>177.45817916666667</v>
      </c>
      <c r="K324" s="18">
        <f>IFERROR(
                  Andel_oberoende_av_klimat*VLOOKUP($A324,Leveranser_per_nät,'Leveranser per nät'!K$1,FALSE)
               +Andel_beroende_av_klimat*VLOOKUP($A324,Leveranser_per_nät,'Leveranser per nät'!K$1,FALSE)/VLOOKUP($B324,Korrigeringsfaktor_EI,'Korrigeringsfaktor EI'!K$1,FALSE),
"")</f>
        <v>181.238</v>
      </c>
      <c r="L324" s="18">
        <f>IFERROR(
                  Andel_oberoende_av_klimat*VLOOKUP($A324,Leveranser_per_nät,'Leveranser per nät'!L$1,FALSE)
               +Andel_beroende_av_klimat*VLOOKUP($A324,Leveranser_per_nät,'Leveranser per nät'!L$1,FALSE)/VLOOKUP($B324,Korrigeringsfaktor_EI,'Korrigeringsfaktor EI'!L$1,FALSE),
"")</f>
        <v>183.14091063829787</v>
      </c>
      <c r="M324" s="18">
        <f>IFERROR(
                  Andel_oberoende_av_klimat*VLOOKUP($A324,Leveranser_per_nät,'Leveranser per nät'!M$1,FALSE)
               +Andel_beroende_av_klimat*VLOOKUP($A324,Leveranser_per_nät,'Leveranser per nät'!M$1,FALSE)/VLOOKUP($B324,Korrigeringsfaktor_EI,'Korrigeringsfaktor EI'!M$1,FALSE),
"")</f>
        <v>197.90537634408602</v>
      </c>
      <c r="N324" s="18">
        <f>IFERROR(
                  Andel_oberoende_av_klimat*VLOOKUP($A324,Leveranser_per_nät,'Leveranser per nät'!N$1,FALSE)
               +Andel_beroende_av_klimat*VLOOKUP($A324,Leveranser_per_nät,'Leveranser per nät'!N$1,FALSE)/VLOOKUP($B324,Korrigeringsfaktor_EI,'Korrigeringsfaktor EI'!N$1,FALSE),
"")</f>
        <v>194.92631578947368</v>
      </c>
      <c r="O324" s="18">
        <f>IFERROR(
                  Andel_oberoende_av_klimat*VLOOKUP($A324,Leveranser_per_nät,'Leveranser per nät'!O$1,FALSE)
               +Andel_beroende_av_klimat*VLOOKUP($A324,Leveranser_per_nät,'Leveranser per nät'!O$1,FALSE)/VLOOKUP($B324,Korrigeringsfaktor_EI,'Korrigeringsfaktor EI'!O$1,FALSE),
"")</f>
        <v>212.11125000000001</v>
      </c>
      <c r="P324" s="18">
        <f>IFERROR(
                  Andel_oberoende_av_klimat*VLOOKUP($A324,Leveranser_per_nät,'Leveranser per nät'!P$1,FALSE)
               +Andel_beroende_av_klimat*VLOOKUP($A324,Leveranser_per_nät,'Leveranser per nät'!P$1,FALSE)/VLOOKUP($B324,Korrigeringsfaktor_EI,'Korrigeringsfaktor EI'!P$1,FALSE),
"")</f>
        <v>215.670206185567</v>
      </c>
      <c r="Q324" s="18">
        <f>IFERROR(
                  Andel_oberoende_av_klimat*VLOOKUP($A324,Leveranser_per_nät,'Leveranser per nät'!Q$1,FALSE)
               +Andel_beroende_av_klimat*VLOOKUP($A324,Leveranser_per_nät,'Leveranser per nät'!Q$1,FALSE)/VLOOKUP($B324,Korrigeringsfaktor_EI,'Korrigeringsfaktor EI'!Q$1,FALSE),
"")</f>
        <v>239.60192660550459</v>
      </c>
      <c r="R324" s="18">
        <f>IFERROR(
                  Andel_oberoende_av_klimat*VLOOKUP($A324,Leveranser_per_nät,'Leveranser per nät'!R$1,FALSE)
               +Andel_beroende_av_klimat*VLOOKUP($A324,Leveranser_per_nät,'Leveranser per nät'!R$1,FALSE)/VLOOKUP($B324,Korrigeringsfaktor_EI,'Korrigeringsfaktor EI'!R$1,FALSE),
"")</f>
        <v>248.90121739130433</v>
      </c>
      <c r="S324" s="18">
        <f>IFERROR(
                  Andel_oberoende_av_klimat*VLOOKUP($A324,Leveranser_per_nät,'Leveranser per nät'!S$1,FALSE)
               +Andel_beroende_av_klimat*VLOOKUP($A324,Leveranser_per_nät,'Leveranser per nät'!S$1,FALSE)/VLOOKUP($B324,Korrigeringsfaktor_EI,'Korrigeringsfaktor EI'!S$1,FALSE),
"")</f>
        <v>239</v>
      </c>
      <c r="T324" s="18">
        <f>IFERROR(
                  Andel_oberoende_av_klimat*VLOOKUP($A324,Leveranser_per_nät,'Leveranser per nät'!T$1,FALSE)
               +Andel_beroende_av_klimat*VLOOKUP($A324,Leveranser_per_nät,'Leveranser per nät'!T$1,FALSE)/VLOOKUP($B324,Korrigeringsfaktor_EI,'Korrigeringsfaktor EI'!T$1,FALSE),
"")</f>
        <v>231.51770967741936</v>
      </c>
      <c r="U324" s="18">
        <f>IFERROR(
                  Andel_oberoende_av_klimat*VLOOKUP($A324,Leveranser_per_nät,'Leveranser per nät'!U$1,FALSE)
               +Andel_beroende_av_klimat*VLOOKUP($A324,Leveranser_per_nät,'Leveranser per nät'!U$1,FALSE)/VLOOKUP($B324,Korrigeringsfaktor_EI,'Korrigeringsfaktor EI'!U$1,FALSE),
"")</f>
        <v>232.52561538461538</v>
      </c>
      <c r="V324" s="18">
        <f>IFERROR(
                  Andel_oberoende_av_klimat*VLOOKUP($A324,Leveranser_per_nät,'Leveranser per nät'!V$1,FALSE)
               +Andel_beroende_av_klimat*VLOOKUP($A324,Leveranser_per_nät,'Leveranser per nät'!V$1,FALSE)/VLOOKUP($B324,Korrigeringsfaktor_EI,'Korrigeringsfaktor EI'!V$1,FALSE),
"")</f>
        <v>230.88483146067415</v>
      </c>
      <c r="W324" s="18">
        <f>IFERROR(
                  Andel_oberoende_av_klimat*VLOOKUP($A324,Leveranser_per_nät,'Leveranser per nät'!W$1,FALSE)
               +Andel_beroende_av_klimat*VLOOKUP($A324,Leveranser_per_nät,'Leveranser per nät'!W$1,FALSE)/VLOOKUP($B324,Korrigeringsfaktor_EI,'Korrigeringsfaktor EI'!W$1,FALSE),
"")</f>
        <v>241.50142857142856</v>
      </c>
      <c r="X324" s="18">
        <f>IFERROR(
                  Andel_oberoende_av_klimat*VLOOKUP($A324,Leveranser_per_nät,'Leveranser per nät'!X$1,FALSE)
               +Andel_beroende_av_klimat*VLOOKUP($A324,Leveranser_per_nät,'Leveranser per nät'!X$1,FALSE)/VLOOKUP($B324,Korrigeringsfaktor_EI,'Korrigeringsfaktor EI'!X$1,FALSE),
"")</f>
        <v>246.21752577319589</v>
      </c>
      <c r="Y324" s="18">
        <f>IFERROR(
                  Andel_oberoende_av_klimat*VLOOKUP($A324,Leveranser_per_nät,'Leveranser per nät'!Y$1,FALSE)
               +Andel_beroende_av_klimat*VLOOKUP($A324,Leveranser_per_nät,'Leveranser per nät'!Y$1,FALSE)/VLOOKUP($B324,Korrigeringsfaktor_EI,'Korrigeringsfaktor EI'!Y$1,FALSE),
"")</f>
        <v>253.99833333333336</v>
      </c>
      <c r="Z324" s="18">
        <f>IFERROR(
                  Andel_oberoende_av_klimat*VLOOKUP($A324,Leveranser_per_nät,'Leveranser per nät'!Z$1,FALSE)
               +Andel_beroende_av_klimat*VLOOKUP($A324,Leveranser_per_nät,'Leveranser per nät'!Z$1,FALSE)/VLOOKUP($B324,Korrigeringsfaktor_EI,'Korrigeringsfaktor EI'!Z$1,FALSE),
"")</f>
        <v>257.63889898989896</v>
      </c>
      <c r="AA324" s="18">
        <f>IFERROR(
                  Andel_oberoende_av_klimat*VLOOKUP($A324,Leveranser_per_nät,'Leveranser per nät'!AA$1,FALSE)
               +Andel_beroende_av_klimat*VLOOKUP($A324,Leveranser_per_nät,'Leveranser per nät'!AA$1,FALSE)/VLOOKUP($B324,Korrigeringsfaktor_EI,'Korrigeringsfaktor EI'!AA$1,FALSE),
"")</f>
        <v>246.30115434205536</v>
      </c>
      <c r="AB324" s="18">
        <f>IFERROR(
                  Andel_oberoende_av_klimat*VLOOKUP($A324,Leveranser_per_nät,'Leveranser per nät'!AB$1,FALSE)
               +Andel_beroende_av_klimat*VLOOKUP($A324,Leveranser_per_nät,'Leveranser per nät'!AB$1,FALSE)/VLOOKUP($B324,Korrigeringsfaktor_EI,'Korrigeringsfaktor EI'!AB$1,FALSE),
"")</f>
        <v>255.34093750000002</v>
      </c>
      <c r="AC324" s="18">
        <f>IFERROR(
                  Andel_oberoende_av_klimat*VLOOKUP($A324,Leveranser_per_nät,'Leveranser per nät'!AC$1,FALSE)
               +Andel_beroende_av_klimat*VLOOKUP($A324,Leveranser_per_nät,'Leveranser per nät'!AC$1,FALSE)/VLOOKUP($B324,Korrigeringsfaktor_EI,'Korrigeringsfaktor EI'!AC$1,FALSE),
"")</f>
        <v>247.98375782881001</v>
      </c>
      <c r="AD324">
        <v>240.6</v>
      </c>
    </row>
    <row r="325" spans="1:30" x14ac:dyDescent="0.25">
      <c r="A325" t="s">
        <v>295</v>
      </c>
      <c r="B325" t="s">
        <v>207</v>
      </c>
      <c r="C325" s="18">
        <f>IFERROR(
                  Andel_oberoende_av_klimat*VLOOKUP($A325,Leveranser_per_nät,'Leveranser per nät'!C$1,FALSE)
               +Andel_beroende_av_klimat*VLOOKUP($A325,Leveranser_per_nät,'Leveranser per nät'!C$1,FALSE)/VLOOKUP($B325,Korrigeringsfaktor_EI,'Korrigeringsfaktor EI'!C$1,FALSE),
"")</f>
        <v>0</v>
      </c>
      <c r="D325" s="18">
        <f>IFERROR(
                  Andel_oberoende_av_klimat*VLOOKUP($A325,Leveranser_per_nät,'Leveranser per nät'!D$1,FALSE)
               +Andel_beroende_av_klimat*VLOOKUP($A325,Leveranser_per_nät,'Leveranser per nät'!D$1,FALSE)/VLOOKUP($B325,Korrigeringsfaktor_EI,'Korrigeringsfaktor EI'!D$1,FALSE),
"")</f>
        <v>0</v>
      </c>
      <c r="E325" s="18">
        <f>IFERROR(
                  Andel_oberoende_av_klimat*VLOOKUP($A325,Leveranser_per_nät,'Leveranser per nät'!E$1,FALSE)
               +Andel_beroende_av_klimat*VLOOKUP($A325,Leveranser_per_nät,'Leveranser per nät'!E$1,FALSE)/VLOOKUP($B325,Korrigeringsfaktor_EI,'Korrigeringsfaktor EI'!E$1,FALSE),
"")</f>
        <v>0</v>
      </c>
      <c r="F325" s="18">
        <f>IFERROR(
                  Andel_oberoende_av_klimat*VLOOKUP($A325,Leveranser_per_nät,'Leveranser per nät'!F$1,FALSE)
               +Andel_beroende_av_klimat*VLOOKUP($A325,Leveranser_per_nät,'Leveranser per nät'!F$1,FALSE)/VLOOKUP($B325,Korrigeringsfaktor_EI,'Korrigeringsfaktor EI'!F$1,FALSE),
"")</f>
        <v>0</v>
      </c>
      <c r="G325" s="18">
        <f>IFERROR(
                  Andel_oberoende_av_klimat*VLOOKUP($A325,Leveranser_per_nät,'Leveranser per nät'!G$1,FALSE)
               +Andel_beroende_av_klimat*VLOOKUP($A325,Leveranser_per_nät,'Leveranser per nät'!G$1,FALSE)/VLOOKUP($B325,Korrigeringsfaktor_EI,'Korrigeringsfaktor EI'!G$1,FALSE),
"")</f>
        <v>0</v>
      </c>
      <c r="H325" s="18">
        <f>IFERROR(
                  Andel_oberoende_av_klimat*VLOOKUP($A325,Leveranser_per_nät,'Leveranser per nät'!H$1,FALSE)
               +Andel_beroende_av_klimat*VLOOKUP($A325,Leveranser_per_nät,'Leveranser per nät'!H$1,FALSE)/VLOOKUP($B325,Korrigeringsfaktor_EI,'Korrigeringsfaktor EI'!H$1,FALSE),
"")</f>
        <v>0</v>
      </c>
      <c r="I325" s="18">
        <f>IFERROR(
                  Andel_oberoende_av_klimat*VLOOKUP($A325,Leveranser_per_nät,'Leveranser per nät'!I$1,FALSE)
               +Andel_beroende_av_klimat*VLOOKUP($A325,Leveranser_per_nät,'Leveranser per nät'!I$1,FALSE)/VLOOKUP($B325,Korrigeringsfaktor_EI,'Korrigeringsfaktor EI'!I$1,FALSE),
"")</f>
        <v>0</v>
      </c>
      <c r="J325" s="18">
        <f>IFERROR(
                  Andel_oberoende_av_klimat*VLOOKUP($A325,Leveranser_per_nät,'Leveranser per nät'!J$1,FALSE)
               +Andel_beroende_av_klimat*VLOOKUP($A325,Leveranser_per_nät,'Leveranser per nät'!J$1,FALSE)/VLOOKUP($B325,Korrigeringsfaktor_EI,'Korrigeringsfaktor EI'!J$1,FALSE),
"")</f>
        <v>0</v>
      </c>
      <c r="K325" s="18">
        <f>IFERROR(
                  Andel_oberoende_av_klimat*VLOOKUP($A325,Leveranser_per_nät,'Leveranser per nät'!K$1,FALSE)
               +Andel_beroende_av_klimat*VLOOKUP($A325,Leveranser_per_nät,'Leveranser per nät'!K$1,FALSE)/VLOOKUP($B325,Korrigeringsfaktor_EI,'Korrigeringsfaktor EI'!K$1,FALSE),
"")</f>
        <v>4.0774285714285714</v>
      </c>
      <c r="L325" s="18">
        <f>IFERROR(
                  Andel_oberoende_av_klimat*VLOOKUP($A325,Leveranser_per_nät,'Leveranser per nät'!L$1,FALSE)
               +Andel_beroende_av_klimat*VLOOKUP($A325,Leveranser_per_nät,'Leveranser per nät'!L$1,FALSE)/VLOOKUP($B325,Korrigeringsfaktor_EI,'Korrigeringsfaktor EI'!L$1,FALSE),
"")</f>
        <v>4.2622978723404259</v>
      </c>
      <c r="M325" s="18">
        <f>IFERROR(
                  Andel_oberoende_av_klimat*VLOOKUP($A325,Leveranser_per_nät,'Leveranser per nät'!M$1,FALSE)
               +Andel_beroende_av_klimat*VLOOKUP($A325,Leveranser_per_nät,'Leveranser per nät'!M$1,FALSE)/VLOOKUP($B325,Korrigeringsfaktor_EI,'Korrigeringsfaktor EI'!M$1,FALSE),
"")</f>
        <v>4.0313043478260866</v>
      </c>
      <c r="N325" s="18">
        <f>IFERROR(
                  Andel_oberoende_av_klimat*VLOOKUP($A325,Leveranser_per_nät,'Leveranser per nät'!N$1,FALSE)
               +Andel_beroende_av_klimat*VLOOKUP($A325,Leveranser_per_nät,'Leveranser per nät'!N$1,FALSE)/VLOOKUP($B325,Korrigeringsfaktor_EI,'Korrigeringsfaktor EI'!N$1,FALSE),
"")</f>
        <v>10.820869565217389</v>
      </c>
      <c r="O325" s="18">
        <f>IFERROR(
                  Andel_oberoende_av_klimat*VLOOKUP($A325,Leveranser_per_nät,'Leveranser per nät'!O$1,FALSE)
               +Andel_beroende_av_klimat*VLOOKUP($A325,Leveranser_per_nät,'Leveranser per nät'!O$1,FALSE)/VLOOKUP($B325,Korrigeringsfaktor_EI,'Korrigeringsfaktor EI'!O$1,FALSE),
"")</f>
        <v>5.3782584269662923</v>
      </c>
      <c r="P325" s="18">
        <f>IFERROR(
                  Andel_oberoende_av_klimat*VLOOKUP($A325,Leveranser_per_nät,'Leveranser per nät'!P$1,FALSE)
               +Andel_beroende_av_klimat*VLOOKUP($A325,Leveranser_per_nät,'Leveranser per nät'!P$1,FALSE)/VLOOKUP($B325,Korrigeringsfaktor_EI,'Korrigeringsfaktor EI'!P$1,FALSE),
"")</f>
        <v>4.6312499999999996</v>
      </c>
      <c r="Q325" s="18">
        <f>IFERROR(
                  Andel_oberoende_av_klimat*VLOOKUP($A325,Leveranser_per_nät,'Leveranser per nät'!Q$1,FALSE)
               +Andel_beroende_av_klimat*VLOOKUP($A325,Leveranser_per_nät,'Leveranser per nät'!Q$1,FALSE)/VLOOKUP($B325,Korrigeringsfaktor_EI,'Korrigeringsfaktor EI'!Q$1,FALSE),
"")</f>
        <v>4.902499999999999</v>
      </c>
      <c r="R325" s="18">
        <f>IFERROR(
                  Andel_oberoende_av_klimat*VLOOKUP($A325,Leveranser_per_nät,'Leveranser per nät'!R$1,FALSE)
               +Andel_beroende_av_klimat*VLOOKUP($A325,Leveranser_per_nät,'Leveranser per nät'!R$1,FALSE)/VLOOKUP($B325,Korrigeringsfaktor_EI,'Korrigeringsfaktor EI'!R$1,FALSE),
"")</f>
        <v>5.065555555555556</v>
      </c>
      <c r="S325" s="18">
        <f>IFERROR(
                  Andel_oberoende_av_klimat*VLOOKUP($A325,Leveranser_per_nät,'Leveranser per nät'!S$1,FALSE)
               +Andel_beroende_av_klimat*VLOOKUP($A325,Leveranser_per_nät,'Leveranser per nät'!S$1,FALSE)/VLOOKUP($B325,Korrigeringsfaktor_EI,'Korrigeringsfaktor EI'!S$1,FALSE),
"")</f>
        <v>4.7332323232323237</v>
      </c>
      <c r="T325" s="18">
        <f>IFERROR(
                  Andel_oberoende_av_klimat*VLOOKUP($A325,Leveranser_per_nät,'Leveranser per nät'!T$1,FALSE)
               +Andel_beroende_av_klimat*VLOOKUP($A325,Leveranser_per_nät,'Leveranser per nät'!T$1,FALSE)/VLOOKUP($B325,Korrigeringsfaktor_EI,'Korrigeringsfaktor EI'!T$1,FALSE),
"")</f>
        <v>3.8653191489361705</v>
      </c>
      <c r="U325" s="18" t="str">
        <f>IFERROR(
                  Andel_oberoende_av_klimat*VLOOKUP($A325,Leveranser_per_nät,'Leveranser per nät'!U$1,FALSE)
               +Andel_beroende_av_klimat*VLOOKUP($A325,Leveranser_per_nät,'Leveranser per nät'!U$1,FALSE)/VLOOKUP($B325,Korrigeringsfaktor_EI,'Korrigeringsfaktor EI'!U$1,FALSE),
"")</f>
        <v/>
      </c>
      <c r="V325" s="18" t="str">
        <f>IFERROR(
                  Andel_oberoende_av_klimat*VLOOKUP($A325,Leveranser_per_nät,'Leveranser per nät'!V$1,FALSE)
               +Andel_beroende_av_klimat*VLOOKUP($A325,Leveranser_per_nät,'Leveranser per nät'!V$1,FALSE)/VLOOKUP($B325,Korrigeringsfaktor_EI,'Korrigeringsfaktor EI'!V$1,FALSE),
"")</f>
        <v/>
      </c>
      <c r="W325" s="18" t="str">
        <f>IFERROR(
                  Andel_oberoende_av_klimat*VLOOKUP($A325,Leveranser_per_nät,'Leveranser per nät'!W$1,FALSE)
               +Andel_beroende_av_klimat*VLOOKUP($A325,Leveranser_per_nät,'Leveranser per nät'!W$1,FALSE)/VLOOKUP($B325,Korrigeringsfaktor_EI,'Korrigeringsfaktor EI'!W$1,FALSE),
"")</f>
        <v/>
      </c>
      <c r="X325" s="18" t="str">
        <f>IFERROR(
                  Andel_oberoende_av_klimat*VLOOKUP($A325,Leveranser_per_nät,'Leveranser per nät'!X$1,FALSE)
               +Andel_beroende_av_klimat*VLOOKUP($A325,Leveranser_per_nät,'Leveranser per nät'!X$1,FALSE)/VLOOKUP($B325,Korrigeringsfaktor_EI,'Korrigeringsfaktor EI'!X$1,FALSE),
"")</f>
        <v/>
      </c>
      <c r="Y325" s="18" t="str">
        <f>IFERROR(
                  Andel_oberoende_av_klimat*VLOOKUP($A325,Leveranser_per_nät,'Leveranser per nät'!Y$1,FALSE)
               +Andel_beroende_av_klimat*VLOOKUP($A325,Leveranser_per_nät,'Leveranser per nät'!Y$1,FALSE)/VLOOKUP($B325,Korrigeringsfaktor_EI,'Korrigeringsfaktor EI'!Y$1,FALSE),
"")</f>
        <v/>
      </c>
      <c r="Z325" s="18">
        <f>IFERROR(
                  Andel_oberoende_av_klimat*VLOOKUP($A325,Leveranser_per_nät,'Leveranser per nät'!Z$1,FALSE)
               +Andel_beroende_av_klimat*VLOOKUP($A325,Leveranser_per_nät,'Leveranser per nät'!Z$1,FALSE)/VLOOKUP($B325,Korrigeringsfaktor_EI,'Korrigeringsfaktor EI'!Z$1,FALSE),
"")</f>
        <v>0</v>
      </c>
      <c r="AA325" s="18" t="str">
        <f>IFERROR(
                  Andel_oberoende_av_klimat*VLOOKUP($A325,Leveranser_per_nät,'Leveranser per nät'!AA$1,FALSE)
               +Andel_beroende_av_klimat*VLOOKUP($A325,Leveranser_per_nät,'Leveranser per nät'!AA$1,FALSE)/VLOOKUP($B325,Korrigeringsfaktor_EI,'Korrigeringsfaktor EI'!AA$1,FALSE),
"")</f>
        <v/>
      </c>
      <c r="AB325" s="18">
        <f>IFERROR(
                  Andel_oberoende_av_klimat*VLOOKUP($A325,Leveranser_per_nät,'Leveranser per nät'!AB$1,FALSE)
               +Andel_beroende_av_klimat*VLOOKUP($A325,Leveranser_per_nät,'Leveranser per nät'!AB$1,FALSE)/VLOOKUP($B325,Korrigeringsfaktor_EI,'Korrigeringsfaktor EI'!AB$1,FALSE),
"")</f>
        <v>0</v>
      </c>
      <c r="AC325" s="18">
        <f>IFERROR(
                  Andel_oberoende_av_klimat*VLOOKUP($A325,Leveranser_per_nät,'Leveranser per nät'!AC$1,FALSE)
               +Andel_beroende_av_klimat*VLOOKUP($A325,Leveranser_per_nät,'Leveranser per nät'!AC$1,FALSE)/VLOOKUP($B325,Korrigeringsfaktor_EI,'Korrigeringsfaktor EI'!AC$1,FALSE),
"")</f>
        <v>0</v>
      </c>
      <c r="AD325">
        <v>1373.4</v>
      </c>
    </row>
    <row r="326" spans="1:30" x14ac:dyDescent="0.25">
      <c r="A326" t="s">
        <v>72</v>
      </c>
      <c r="B326" t="s">
        <v>47</v>
      </c>
      <c r="C326" s="18">
        <f>IFERROR(
                  Andel_oberoende_av_klimat*VLOOKUP($A326,Leveranser_per_nät,'Leveranser per nät'!C$1,FALSE)
               +Andel_beroende_av_klimat*VLOOKUP($A326,Leveranser_per_nät,'Leveranser per nät'!C$1,FALSE)/VLOOKUP($B326,Korrigeringsfaktor_EI,'Korrigeringsfaktor EI'!C$1,FALSE),
"")</f>
        <v>7.6336448598130842</v>
      </c>
      <c r="D326" s="18">
        <f>IFERROR(
                  Andel_oberoende_av_klimat*VLOOKUP($A326,Leveranser_per_nät,'Leveranser per nät'!D$1,FALSE)
               +Andel_beroende_av_klimat*VLOOKUP($A326,Leveranser_per_nät,'Leveranser per nät'!D$1,FALSE)/VLOOKUP($B326,Korrigeringsfaktor_EI,'Korrigeringsfaktor EI'!D$1,FALSE),
"")</f>
        <v>6.4139154639175251</v>
      </c>
      <c r="E326" s="18">
        <f>IFERROR(
                  Andel_oberoende_av_klimat*VLOOKUP($A326,Leveranser_per_nät,'Leveranser per nät'!E$1,FALSE)
               +Andel_beroende_av_klimat*VLOOKUP($A326,Leveranser_per_nät,'Leveranser per nät'!E$1,FALSE)/VLOOKUP($B326,Korrigeringsfaktor_EI,'Korrigeringsfaktor EI'!E$1,FALSE),
"")</f>
        <v>6.7061970297029703</v>
      </c>
      <c r="F326" s="18">
        <f>IFERROR(
                  Andel_oberoende_av_klimat*VLOOKUP($A326,Leveranser_per_nät,'Leveranser per nät'!F$1,FALSE)
               +Andel_beroende_av_klimat*VLOOKUP($A326,Leveranser_per_nät,'Leveranser per nät'!F$1,FALSE)/VLOOKUP($B326,Korrigeringsfaktor_EI,'Korrigeringsfaktor EI'!F$1,FALSE),
"")</f>
        <v>6.3476990099009907</v>
      </c>
      <c r="G326" s="18">
        <f>IFERROR(
                  Andel_oberoende_av_klimat*VLOOKUP($A326,Leveranser_per_nät,'Leveranser per nät'!G$1,FALSE)
               +Andel_beroende_av_klimat*VLOOKUP($A326,Leveranser_per_nät,'Leveranser per nät'!G$1,FALSE)/VLOOKUP($B326,Korrigeringsfaktor_EI,'Korrigeringsfaktor EI'!G$1,FALSE),
"")</f>
        <v>6.3934468085106388</v>
      </c>
      <c r="H326" s="18">
        <f>IFERROR(
                  Andel_oberoende_av_klimat*VLOOKUP($A326,Leveranser_per_nät,'Leveranser per nät'!H$1,FALSE)
               +Andel_beroende_av_klimat*VLOOKUP($A326,Leveranser_per_nät,'Leveranser per nät'!H$1,FALSE)/VLOOKUP($B326,Korrigeringsfaktor_EI,'Korrigeringsfaktor EI'!H$1,FALSE),
"")</f>
        <v>7.0974663366336639</v>
      </c>
      <c r="I326" s="18">
        <f>IFERROR(
                  Andel_oberoende_av_klimat*VLOOKUP($A326,Leveranser_per_nät,'Leveranser per nät'!I$1,FALSE)
               +Andel_beroende_av_klimat*VLOOKUP($A326,Leveranser_per_nät,'Leveranser per nät'!I$1,FALSE)/VLOOKUP($B326,Korrigeringsfaktor_EI,'Korrigeringsfaktor EI'!I$1,FALSE),
"")</f>
        <v>7.3127659574468087</v>
      </c>
      <c r="J326" s="18">
        <f>IFERROR(
                  Andel_oberoende_av_klimat*VLOOKUP($A326,Leveranser_per_nät,'Leveranser per nät'!J$1,FALSE)
               +Andel_beroende_av_klimat*VLOOKUP($A326,Leveranser_per_nät,'Leveranser per nät'!J$1,FALSE)/VLOOKUP($B326,Korrigeringsfaktor_EI,'Korrigeringsfaktor EI'!J$1,FALSE),
"")</f>
        <v>6.7020206185567011</v>
      </c>
      <c r="K326" s="18">
        <f>IFERROR(
                  Andel_oberoende_av_klimat*VLOOKUP($A326,Leveranser_per_nät,'Leveranser per nät'!K$1,FALSE)
               +Andel_beroende_av_klimat*VLOOKUP($A326,Leveranser_per_nät,'Leveranser per nät'!K$1,FALSE)/VLOOKUP($B326,Korrigeringsfaktor_EI,'Korrigeringsfaktor EI'!K$1,FALSE),
"")</f>
        <v>6.7020206185567011</v>
      </c>
      <c r="L326" s="18">
        <f>IFERROR(
                  Andel_oberoende_av_klimat*VLOOKUP($A326,Leveranser_per_nät,'Leveranser per nät'!L$1,FALSE)
               +Andel_beroende_av_klimat*VLOOKUP($A326,Leveranser_per_nät,'Leveranser per nät'!L$1,FALSE)/VLOOKUP($B326,Korrigeringsfaktor_EI,'Korrigeringsfaktor EI'!L$1,FALSE),
"")</f>
        <v>9.4110978531112828</v>
      </c>
      <c r="M326" s="18">
        <f>IFERROR(
                  Andel_oberoende_av_klimat*VLOOKUP($A326,Leveranser_per_nät,'Leveranser per nät'!M$1,FALSE)
               +Andel_beroende_av_klimat*VLOOKUP($A326,Leveranser_per_nät,'Leveranser per nät'!M$1,FALSE)/VLOOKUP($B326,Korrigeringsfaktor_EI,'Korrigeringsfaktor EI'!M$1,FALSE),
"")</f>
        <v>6.0946153846153841</v>
      </c>
      <c r="N326" s="18">
        <f>IFERROR(
                  Andel_oberoende_av_klimat*VLOOKUP($A326,Leveranser_per_nät,'Leveranser per nät'!N$1,FALSE)
               +Andel_beroende_av_klimat*VLOOKUP($A326,Leveranser_per_nät,'Leveranser per nät'!N$1,FALSE)/VLOOKUP($B326,Korrigeringsfaktor_EI,'Korrigeringsfaktor EI'!N$1,FALSE),
"")</f>
        <v>6.1173684210526318</v>
      </c>
      <c r="O326" s="18">
        <f>IFERROR(
                  Andel_oberoende_av_klimat*VLOOKUP($A326,Leveranser_per_nät,'Leveranser per nät'!O$1,FALSE)
               +Andel_beroende_av_klimat*VLOOKUP($A326,Leveranser_per_nät,'Leveranser per nät'!O$1,FALSE)/VLOOKUP($B326,Korrigeringsfaktor_EI,'Korrigeringsfaktor EI'!O$1,FALSE),
"")</f>
        <v>6.1636170212765959</v>
      </c>
      <c r="P326" s="18">
        <f>IFERROR(
                  Andel_oberoende_av_klimat*VLOOKUP($A326,Leveranser_per_nät,'Leveranser per nät'!P$1,FALSE)
               +Andel_beroende_av_klimat*VLOOKUP($A326,Leveranser_per_nät,'Leveranser per nät'!P$1,FALSE)/VLOOKUP($B326,Korrigeringsfaktor_EI,'Korrigeringsfaktor EI'!P$1,FALSE),
"")</f>
        <v>6.0424242424242411</v>
      </c>
      <c r="Q326" s="18">
        <f>IFERROR(
                  Andel_oberoende_av_klimat*VLOOKUP($A326,Leveranser_per_nät,'Leveranser per nät'!Q$1,FALSE)
               +Andel_beroende_av_klimat*VLOOKUP($A326,Leveranser_per_nät,'Leveranser per nät'!Q$1,FALSE)/VLOOKUP($B326,Korrigeringsfaktor_EI,'Korrigeringsfaktor EI'!Q$1,FALSE),
"")</f>
        <v>6.2899999999999991</v>
      </c>
      <c r="R326" s="18">
        <f>IFERROR(
                  Andel_oberoende_av_klimat*VLOOKUP($A326,Leveranser_per_nät,'Leveranser per nät'!R$1,FALSE)
               +Andel_beroende_av_klimat*VLOOKUP($A326,Leveranser_per_nät,'Leveranser per nät'!R$1,FALSE)/VLOOKUP($B326,Korrigeringsfaktor_EI,'Korrigeringsfaktor EI'!R$1,FALSE),
"")</f>
        <v>6.8532173913043479</v>
      </c>
      <c r="S326" s="18">
        <f>IFERROR(
                  Andel_oberoende_av_klimat*VLOOKUP($A326,Leveranser_per_nät,'Leveranser per nät'!S$1,FALSE)
               +Andel_beroende_av_klimat*VLOOKUP($A326,Leveranser_per_nät,'Leveranser per nät'!S$1,FALSE)/VLOOKUP($B326,Korrigeringsfaktor_EI,'Korrigeringsfaktor EI'!S$1,FALSE),
"")</f>
        <v>6.12</v>
      </c>
      <c r="T326" s="18">
        <f>IFERROR(
                  Andel_oberoende_av_klimat*VLOOKUP($A326,Leveranser_per_nät,'Leveranser per nät'!T$1,FALSE)
               +Andel_beroende_av_klimat*VLOOKUP($A326,Leveranser_per_nät,'Leveranser per nät'!T$1,FALSE)/VLOOKUP($B326,Korrigeringsfaktor_EI,'Korrigeringsfaktor EI'!T$1,FALSE),
"")</f>
        <v>5.7797999999999998</v>
      </c>
      <c r="U326" s="18">
        <f>IFERROR(
                  Andel_oberoende_av_klimat*VLOOKUP($A326,Leveranser_per_nät,'Leveranser per nät'!U$1,FALSE)
               +Andel_beroende_av_klimat*VLOOKUP($A326,Leveranser_per_nät,'Leveranser per nät'!U$1,FALSE)/VLOOKUP($B326,Korrigeringsfaktor_EI,'Korrigeringsfaktor EI'!U$1,FALSE),
"")</f>
        <v>5.6044444444444448</v>
      </c>
      <c r="V326" s="18">
        <f>IFERROR(
                  Andel_oberoende_av_klimat*VLOOKUP($A326,Leveranser_per_nät,'Leveranser per nät'!V$1,FALSE)
               +Andel_beroende_av_klimat*VLOOKUP($A326,Leveranser_per_nät,'Leveranser per nät'!V$1,FALSE)/VLOOKUP($B326,Korrigeringsfaktor_EI,'Korrigeringsfaktor EI'!V$1,FALSE),
"")</f>
        <v>5.304347826086957</v>
      </c>
      <c r="W326" s="18">
        <f>IFERROR(
                  Andel_oberoende_av_klimat*VLOOKUP($A326,Leveranser_per_nät,'Leveranser per nät'!W$1,FALSE)
               +Andel_beroende_av_klimat*VLOOKUP($A326,Leveranser_per_nät,'Leveranser per nät'!W$1,FALSE)/VLOOKUP($B326,Korrigeringsfaktor_EI,'Korrigeringsfaktor EI'!W$1,FALSE),
"")</f>
        <v>5.5169072164948458</v>
      </c>
      <c r="X326" s="18">
        <f>IFERROR(
                  Andel_oberoende_av_klimat*VLOOKUP($A326,Leveranser_per_nät,'Leveranser per nät'!X$1,FALSE)
               +Andel_beroende_av_klimat*VLOOKUP($A326,Leveranser_per_nät,'Leveranser per nät'!X$1,FALSE)/VLOOKUP($B326,Korrigeringsfaktor_EI,'Korrigeringsfaktor EI'!X$1,FALSE),
"")</f>
        <v>5.4147422680412367</v>
      </c>
      <c r="Y326" s="18">
        <f>IFERROR(
                  Andel_oberoende_av_klimat*VLOOKUP($A326,Leveranser_per_nät,'Leveranser per nät'!Y$1,FALSE)
               +Andel_beroende_av_klimat*VLOOKUP($A326,Leveranser_per_nät,'Leveranser per nät'!Y$1,FALSE)/VLOOKUP($B326,Korrigeringsfaktor_EI,'Korrigeringsfaktor EI'!Y$1,FALSE),
"")</f>
        <v>5.6604166666666664</v>
      </c>
      <c r="Z326" s="18">
        <f>IFERROR(
                  Andel_oberoende_av_klimat*VLOOKUP($A326,Leveranser_per_nät,'Leveranser per nät'!Z$1,FALSE)
               +Andel_beroende_av_klimat*VLOOKUP($A326,Leveranser_per_nät,'Leveranser per nät'!Z$1,FALSE)/VLOOKUP($B326,Korrigeringsfaktor_EI,'Korrigeringsfaktor EI'!Z$1,FALSE),
"")</f>
        <v>5.2899684210526319</v>
      </c>
      <c r="AA326" s="18">
        <f>IFERROR(
                  Andel_oberoende_av_klimat*VLOOKUP($A326,Leveranser_per_nät,'Leveranser per nät'!AA$1,FALSE)
               +Andel_beroende_av_klimat*VLOOKUP($A326,Leveranser_per_nät,'Leveranser per nät'!AA$1,FALSE)/VLOOKUP($B326,Korrigeringsfaktor_EI,'Korrigeringsfaktor EI'!AA$1,FALSE),
"")</f>
        <v>5.1162548486009971</v>
      </c>
      <c r="AB326" s="18">
        <f>IFERROR(
                  Andel_oberoende_av_klimat*VLOOKUP($A326,Leveranser_per_nät,'Leveranser per nät'!AB$1,FALSE)
               +Andel_beroende_av_klimat*VLOOKUP($A326,Leveranser_per_nät,'Leveranser per nät'!AB$1,FALSE)/VLOOKUP($B326,Korrigeringsfaktor_EI,'Korrigeringsfaktor EI'!AB$1,FALSE),
"")</f>
        <v>5.2721568646543329</v>
      </c>
      <c r="AC326" s="18">
        <f>IFERROR(
                  Andel_oberoende_av_klimat*VLOOKUP($A326,Leveranser_per_nät,'Leveranser per nät'!AC$1,FALSE)
               +Andel_beroende_av_klimat*VLOOKUP($A326,Leveranser_per_nät,'Leveranser per nät'!AC$1,FALSE)/VLOOKUP($B326,Korrigeringsfaktor_EI,'Korrigeringsfaktor EI'!AC$1,FALSE),
"")</f>
        <v>5.0993322314049587</v>
      </c>
      <c r="AD326" t="e">
        <v>#N/A</v>
      </c>
    </row>
    <row r="327" spans="1:30" x14ac:dyDescent="0.25">
      <c r="A327" s="4" t="s">
        <v>413</v>
      </c>
      <c r="B327" t="s">
        <v>443</v>
      </c>
      <c r="C327" s="18">
        <f>IFERROR(
                  Andel_oberoende_av_klimat*VLOOKUP($A327,Leveranser_per_nät,'Leveranser per nät'!C$1,FALSE)
               +Andel_beroende_av_klimat*VLOOKUP($A327,Leveranser_per_nät,'Leveranser per nät'!C$1,FALSE)/VLOOKUP($B327,Korrigeringsfaktor_EI,'Korrigeringsfaktor EI'!C$1,FALSE),
"")</f>
        <v>0</v>
      </c>
      <c r="D327" s="18">
        <f>IFERROR(
                  Andel_oberoende_av_klimat*VLOOKUP($A327,Leveranser_per_nät,'Leveranser per nät'!D$1,FALSE)
               +Andel_beroende_av_klimat*VLOOKUP($A327,Leveranser_per_nät,'Leveranser per nät'!D$1,FALSE)/VLOOKUP($B327,Korrigeringsfaktor_EI,'Korrigeringsfaktor EI'!D$1,FALSE),
"")</f>
        <v>0</v>
      </c>
      <c r="E327" s="18">
        <f>IFERROR(
                  Andel_oberoende_av_klimat*VLOOKUP($A327,Leveranser_per_nät,'Leveranser per nät'!E$1,FALSE)
               +Andel_beroende_av_klimat*VLOOKUP($A327,Leveranser_per_nät,'Leveranser per nät'!E$1,FALSE)/VLOOKUP($B327,Korrigeringsfaktor_EI,'Korrigeringsfaktor EI'!E$1,FALSE),
"")</f>
        <v>0</v>
      </c>
      <c r="F327" s="18">
        <f>IFERROR(
                  Andel_oberoende_av_klimat*VLOOKUP($A327,Leveranser_per_nät,'Leveranser per nät'!F$1,FALSE)
               +Andel_beroende_av_klimat*VLOOKUP($A327,Leveranser_per_nät,'Leveranser per nät'!F$1,FALSE)/VLOOKUP($B327,Korrigeringsfaktor_EI,'Korrigeringsfaktor EI'!F$1,FALSE),
"")</f>
        <v>0</v>
      </c>
      <c r="G327" s="18">
        <f>IFERROR(
                  Andel_oberoende_av_klimat*VLOOKUP($A327,Leveranser_per_nät,'Leveranser per nät'!G$1,FALSE)
               +Andel_beroende_av_klimat*VLOOKUP($A327,Leveranser_per_nät,'Leveranser per nät'!G$1,FALSE)/VLOOKUP($B327,Korrigeringsfaktor_EI,'Korrigeringsfaktor EI'!G$1,FALSE),
"")</f>
        <v>0</v>
      </c>
      <c r="H327" s="18">
        <f>IFERROR(
                  Andel_oberoende_av_klimat*VLOOKUP($A327,Leveranser_per_nät,'Leveranser per nät'!H$1,FALSE)
               +Andel_beroende_av_klimat*VLOOKUP($A327,Leveranser_per_nät,'Leveranser per nät'!H$1,FALSE)/VLOOKUP($B327,Korrigeringsfaktor_EI,'Korrigeringsfaktor EI'!H$1,FALSE),
"")</f>
        <v>0</v>
      </c>
      <c r="I327" s="18">
        <f>IFERROR(
                  Andel_oberoende_av_klimat*VLOOKUP($A327,Leveranser_per_nät,'Leveranser per nät'!I$1,FALSE)
               +Andel_beroende_av_klimat*VLOOKUP($A327,Leveranser_per_nät,'Leveranser per nät'!I$1,FALSE)/VLOOKUP($B327,Korrigeringsfaktor_EI,'Korrigeringsfaktor EI'!I$1,FALSE),
"")</f>
        <v>0</v>
      </c>
      <c r="J327" s="18">
        <f>IFERROR(
                  Andel_oberoende_av_klimat*VLOOKUP($A327,Leveranser_per_nät,'Leveranser per nät'!J$1,FALSE)
               +Andel_beroende_av_klimat*VLOOKUP($A327,Leveranser_per_nät,'Leveranser per nät'!J$1,FALSE)/VLOOKUP($B327,Korrigeringsfaktor_EI,'Korrigeringsfaktor EI'!J$1,FALSE),
"")</f>
        <v>0</v>
      </c>
      <c r="K327" s="18">
        <f>IFERROR(
                  Andel_oberoende_av_klimat*VLOOKUP($A327,Leveranser_per_nät,'Leveranser per nät'!K$1,FALSE)
               +Andel_beroende_av_klimat*VLOOKUP($A327,Leveranser_per_nät,'Leveranser per nät'!K$1,FALSE)/VLOOKUP($B327,Korrigeringsfaktor_EI,'Korrigeringsfaktor EI'!K$1,FALSE),
"")</f>
        <v>0</v>
      </c>
      <c r="L327" s="18">
        <f>IFERROR(
                  Andel_oberoende_av_klimat*VLOOKUP($A327,Leveranser_per_nät,'Leveranser per nät'!L$1,FALSE)
               +Andel_beroende_av_klimat*VLOOKUP($A327,Leveranser_per_nät,'Leveranser per nät'!L$1,FALSE)/VLOOKUP($B327,Korrigeringsfaktor_EI,'Korrigeringsfaktor EI'!L$1,FALSE),
"")</f>
        <v>0</v>
      </c>
      <c r="M327" s="18">
        <f>IFERROR(
                  Andel_oberoende_av_klimat*VLOOKUP($A327,Leveranser_per_nät,'Leveranser per nät'!M$1,FALSE)
               +Andel_beroende_av_klimat*VLOOKUP($A327,Leveranser_per_nät,'Leveranser per nät'!M$1,FALSE)/VLOOKUP($B327,Korrigeringsfaktor_EI,'Korrigeringsfaktor EI'!M$1,FALSE),
"")</f>
        <v>0</v>
      </c>
      <c r="N327" s="18">
        <f>IFERROR(
                  Andel_oberoende_av_klimat*VLOOKUP($A327,Leveranser_per_nät,'Leveranser per nät'!N$1,FALSE)
               +Andel_beroende_av_klimat*VLOOKUP($A327,Leveranser_per_nät,'Leveranser per nät'!N$1,FALSE)/VLOOKUP($B327,Korrigeringsfaktor_EI,'Korrigeringsfaktor EI'!N$1,FALSE),
"")</f>
        <v>0</v>
      </c>
      <c r="O327" s="18">
        <f>IFERROR(
                  Andel_oberoende_av_klimat*VLOOKUP($A327,Leveranser_per_nät,'Leveranser per nät'!O$1,FALSE)
               +Andel_beroende_av_klimat*VLOOKUP($A327,Leveranser_per_nät,'Leveranser per nät'!O$1,FALSE)/VLOOKUP($B327,Korrigeringsfaktor_EI,'Korrigeringsfaktor EI'!O$1,FALSE),
"")</f>
        <v>0</v>
      </c>
      <c r="P327" s="18">
        <f>IFERROR(
                  Andel_oberoende_av_klimat*VLOOKUP($A327,Leveranser_per_nät,'Leveranser per nät'!P$1,FALSE)
               +Andel_beroende_av_klimat*VLOOKUP($A327,Leveranser_per_nät,'Leveranser per nät'!P$1,FALSE)/VLOOKUP($B327,Korrigeringsfaktor_EI,'Korrigeringsfaktor EI'!P$1,FALSE),
"")</f>
        <v>0</v>
      </c>
      <c r="Q327" s="18">
        <f>IFERROR(
                  Andel_oberoende_av_klimat*VLOOKUP($A327,Leveranser_per_nät,'Leveranser per nät'!Q$1,FALSE)
               +Andel_beroende_av_klimat*VLOOKUP($A327,Leveranser_per_nät,'Leveranser per nät'!Q$1,FALSE)/VLOOKUP($B327,Korrigeringsfaktor_EI,'Korrigeringsfaktor EI'!Q$1,FALSE),
"")</f>
        <v>2.3228540540540541</v>
      </c>
      <c r="R327" s="18">
        <f>IFERROR(
                  Andel_oberoende_av_klimat*VLOOKUP($A327,Leveranser_per_nät,'Leveranser per nät'!R$1,FALSE)
               +Andel_beroende_av_klimat*VLOOKUP($A327,Leveranser_per_nät,'Leveranser per nät'!R$1,FALSE)/VLOOKUP($B327,Korrigeringsfaktor_EI,'Korrigeringsfaktor EI'!R$1,FALSE),
"")</f>
        <v>2.3392173913043477</v>
      </c>
      <c r="S327" s="18">
        <f>IFERROR(
                  Andel_oberoende_av_klimat*VLOOKUP($A327,Leveranser_per_nät,'Leveranser per nät'!S$1,FALSE)
               +Andel_beroende_av_klimat*VLOOKUP($A327,Leveranser_per_nät,'Leveranser per nät'!S$1,FALSE)/VLOOKUP($B327,Korrigeringsfaktor_EI,'Korrigeringsfaktor EI'!S$1,FALSE),
"")</f>
        <v>2.1453495145631067</v>
      </c>
      <c r="T327" s="18">
        <f>IFERROR(
                  Andel_oberoende_av_klimat*VLOOKUP($A327,Leveranser_per_nät,'Leveranser per nät'!T$1,FALSE)
               +Andel_beroende_av_klimat*VLOOKUP($A327,Leveranser_per_nät,'Leveranser per nät'!T$1,FALSE)/VLOOKUP($B327,Korrigeringsfaktor_EI,'Korrigeringsfaktor EI'!T$1,FALSE),
"")</f>
        <v>2.1823222222222221</v>
      </c>
      <c r="U327" s="18">
        <f>IFERROR(
                  Andel_oberoende_av_klimat*VLOOKUP($A327,Leveranser_per_nät,'Leveranser per nät'!U$1,FALSE)
               +Andel_beroende_av_klimat*VLOOKUP($A327,Leveranser_per_nät,'Leveranser per nät'!U$1,FALSE)/VLOOKUP($B327,Korrigeringsfaktor_EI,'Korrigeringsfaktor EI'!U$1,FALSE),
"")</f>
        <v>2.1371786516853932</v>
      </c>
      <c r="V327" s="18">
        <f>IFERROR(
                  Andel_oberoende_av_klimat*VLOOKUP($A327,Leveranser_per_nät,'Leveranser per nät'!V$1,FALSE)
               +Andel_beroende_av_klimat*VLOOKUP($A327,Leveranser_per_nät,'Leveranser per nät'!V$1,FALSE)/VLOOKUP($B327,Korrigeringsfaktor_EI,'Korrigeringsfaktor EI'!V$1,FALSE),
"")</f>
        <v>2.1295881720430105</v>
      </c>
      <c r="W327" s="18">
        <f>IFERROR(
                  Andel_oberoende_av_klimat*VLOOKUP($A327,Leveranser_per_nät,'Leveranser per nät'!W$1,FALSE)
               +Andel_beroende_av_klimat*VLOOKUP($A327,Leveranser_per_nät,'Leveranser per nät'!W$1,FALSE)/VLOOKUP($B327,Korrigeringsfaktor_EI,'Korrigeringsfaktor EI'!W$1,FALSE),
"")</f>
        <v>2.1808041666666669</v>
      </c>
      <c r="X327" s="18">
        <f>IFERROR(
                  Andel_oberoende_av_klimat*VLOOKUP($A327,Leveranser_per_nät,'Leveranser per nät'!X$1,FALSE)
               +Andel_beroende_av_klimat*VLOOKUP($A327,Leveranser_per_nät,'Leveranser per nät'!X$1,FALSE)/VLOOKUP($B327,Korrigeringsfaktor_EI,'Korrigeringsfaktor EI'!X$1,FALSE),
"")</f>
        <v>2.1669999999999998</v>
      </c>
      <c r="Y327" s="18">
        <f>IFERROR(
                  Andel_oberoende_av_klimat*VLOOKUP($A327,Leveranser_per_nät,'Leveranser per nät'!Y$1,FALSE)
               +Andel_beroende_av_klimat*VLOOKUP($A327,Leveranser_per_nät,'Leveranser per nät'!Y$1,FALSE)/VLOOKUP($B327,Korrigeringsfaktor_EI,'Korrigeringsfaktor EI'!Y$1,FALSE),
"")</f>
        <v>2.3226111111111107</v>
      </c>
      <c r="Z327" s="18">
        <f>IFERROR(
                  Andel_oberoende_av_klimat*VLOOKUP($A327,Leveranser_per_nät,'Leveranser per nät'!Z$1,FALSE)
               +Andel_beroende_av_klimat*VLOOKUP($A327,Leveranser_per_nät,'Leveranser per nät'!Z$1,FALSE)/VLOOKUP($B327,Korrigeringsfaktor_EI,'Korrigeringsfaktor EI'!Z$1,FALSE),
"")</f>
        <v>2.257731818181818</v>
      </c>
      <c r="AA327" s="18">
        <f>IFERROR(
                  Andel_oberoende_av_klimat*VLOOKUP($A327,Leveranser_per_nät,'Leveranser per nät'!AA$1,FALSE)
               +Andel_beroende_av_klimat*VLOOKUP($A327,Leveranser_per_nät,'Leveranser per nät'!AA$1,FALSE)/VLOOKUP($B327,Korrigeringsfaktor_EI,'Korrigeringsfaktor EI'!AA$1,FALSE),
"")</f>
        <v>2.2556666666666665</v>
      </c>
      <c r="AB327" s="18">
        <f>IFERROR(
                  Andel_oberoende_av_klimat*VLOOKUP($A327,Leveranser_per_nät,'Leveranser per nät'!AB$1,FALSE)
               +Andel_beroende_av_klimat*VLOOKUP($A327,Leveranser_per_nät,'Leveranser per nät'!AB$1,FALSE)/VLOOKUP($B327,Korrigeringsfaktor_EI,'Korrigeringsfaktor EI'!AB$1,FALSE),
"")</f>
        <v>2.2528452923686815</v>
      </c>
      <c r="AC327" s="18">
        <f>IFERROR(
                  Andel_oberoende_av_klimat*VLOOKUP($A327,Leveranser_per_nät,'Leveranser per nät'!AC$1,FALSE)
               +Andel_beroende_av_klimat*VLOOKUP($A327,Leveranser_per_nät,'Leveranser per nät'!AC$1,FALSE)/VLOOKUP($B327,Korrigeringsfaktor_EI,'Korrigeringsfaktor EI'!AC$1,FALSE),
"")</f>
        <v>2.1172907172995785</v>
      </c>
      <c r="AD327">
        <v>44.570999999999998</v>
      </c>
    </row>
    <row r="328" spans="1:30" x14ac:dyDescent="0.25">
      <c r="A328" t="s">
        <v>222</v>
      </c>
      <c r="B328" t="s">
        <v>221</v>
      </c>
      <c r="C328" s="18">
        <f>IFERROR(
                  Andel_oberoende_av_klimat*VLOOKUP($A328,Leveranser_per_nät,'Leveranser per nät'!C$1,FALSE)
               +Andel_beroende_av_klimat*VLOOKUP($A328,Leveranser_per_nät,'Leveranser per nät'!C$1,FALSE)/VLOOKUP($B328,Korrigeringsfaktor_EI,'Korrigeringsfaktor EI'!C$1,FALSE),
"")</f>
        <v>0</v>
      </c>
      <c r="D328" s="18">
        <f>IFERROR(
                  Andel_oberoende_av_klimat*VLOOKUP($A328,Leveranser_per_nät,'Leveranser per nät'!D$1,FALSE)
               +Andel_beroende_av_klimat*VLOOKUP($A328,Leveranser_per_nät,'Leveranser per nät'!D$1,FALSE)/VLOOKUP($B328,Korrigeringsfaktor_EI,'Korrigeringsfaktor EI'!D$1,FALSE),
"")</f>
        <v>0</v>
      </c>
      <c r="E328" s="18">
        <f>IFERROR(
                  Andel_oberoende_av_klimat*VLOOKUP($A328,Leveranser_per_nät,'Leveranser per nät'!E$1,FALSE)
               +Andel_beroende_av_klimat*VLOOKUP($A328,Leveranser_per_nät,'Leveranser per nät'!E$1,FALSE)/VLOOKUP($B328,Korrigeringsfaktor_EI,'Korrigeringsfaktor EI'!E$1,FALSE),
"")</f>
        <v>0</v>
      </c>
      <c r="F328" s="18">
        <f>IFERROR(
                  Andel_oberoende_av_klimat*VLOOKUP($A328,Leveranser_per_nät,'Leveranser per nät'!F$1,FALSE)
               +Andel_beroende_av_klimat*VLOOKUP($A328,Leveranser_per_nät,'Leveranser per nät'!F$1,FALSE)/VLOOKUP($B328,Korrigeringsfaktor_EI,'Korrigeringsfaktor EI'!F$1,FALSE),
"")</f>
        <v>15.670212765957448</v>
      </c>
      <c r="G328" s="18">
        <f>IFERROR(
                  Andel_oberoende_av_klimat*VLOOKUP($A328,Leveranser_per_nät,'Leveranser per nät'!G$1,FALSE)
               +Andel_beroende_av_klimat*VLOOKUP($A328,Leveranser_per_nät,'Leveranser per nät'!G$1,FALSE)/VLOOKUP($B328,Korrigeringsfaktor_EI,'Korrigeringsfaktor EI'!G$1,FALSE),
"")</f>
        <v>16.03846153846154</v>
      </c>
      <c r="H328" s="18">
        <f>IFERROR(
                  Andel_oberoende_av_klimat*VLOOKUP($A328,Leveranser_per_nät,'Leveranser per nät'!H$1,FALSE)
               +Andel_beroende_av_klimat*VLOOKUP($A328,Leveranser_per_nät,'Leveranser per nät'!H$1,FALSE)/VLOOKUP($B328,Korrigeringsfaktor_EI,'Korrigeringsfaktor EI'!H$1,FALSE),
"")</f>
        <v>18</v>
      </c>
      <c r="I328" s="18">
        <f>IFERROR(
                  Andel_oberoende_av_klimat*VLOOKUP($A328,Leveranser_per_nät,'Leveranser per nät'!I$1,FALSE)
               +Andel_beroende_av_klimat*VLOOKUP($A328,Leveranser_per_nät,'Leveranser per nät'!I$1,FALSE)/VLOOKUP($B328,Korrigeringsfaktor_EI,'Korrigeringsfaktor EI'!I$1,FALSE),
"")</f>
        <v>17.242857142857144</v>
      </c>
      <c r="J328" s="18">
        <f>IFERROR(
                  Andel_oberoende_av_klimat*VLOOKUP($A328,Leveranser_per_nät,'Leveranser per nät'!J$1,FALSE)
               +Andel_beroende_av_klimat*VLOOKUP($A328,Leveranser_per_nät,'Leveranser per nät'!J$1,FALSE)/VLOOKUP($B328,Korrigeringsfaktor_EI,'Korrigeringsfaktor EI'!J$1,FALSE),
"")</f>
        <v>17</v>
      </c>
      <c r="K328" s="18">
        <f>IFERROR(
                  Andel_oberoende_av_klimat*VLOOKUP($A328,Leveranser_per_nät,'Leveranser per nät'!K$1,FALSE)
               +Andel_beroende_av_klimat*VLOOKUP($A328,Leveranser_per_nät,'Leveranser per nät'!K$1,FALSE)/VLOOKUP($B328,Korrigeringsfaktor_EI,'Korrigeringsfaktor EI'!K$1,FALSE),
"")</f>
        <v>18.629980198019801</v>
      </c>
      <c r="L328" s="18">
        <f>IFERROR(
                  Andel_oberoende_av_klimat*VLOOKUP($A328,Leveranser_per_nät,'Leveranser per nät'!L$1,FALSE)
               +Andel_beroende_av_klimat*VLOOKUP($A328,Leveranser_per_nät,'Leveranser per nät'!L$1,FALSE)/VLOOKUP($B328,Korrigeringsfaktor_EI,'Korrigeringsfaktor EI'!L$1,FALSE),
"")</f>
        <v>19.32041340206186</v>
      </c>
      <c r="M328" s="18">
        <f>IFERROR(
                  Andel_oberoende_av_klimat*VLOOKUP($A328,Leveranser_per_nät,'Leveranser per nät'!M$1,FALSE)
               +Andel_beroende_av_klimat*VLOOKUP($A328,Leveranser_per_nät,'Leveranser per nät'!M$1,FALSE)/VLOOKUP($B328,Korrigeringsfaktor_EI,'Korrigeringsfaktor EI'!M$1,FALSE),
"")</f>
        <v>20.258983870967743</v>
      </c>
      <c r="N328" s="18">
        <f>IFERROR(
                  Andel_oberoende_av_klimat*VLOOKUP($A328,Leveranser_per_nät,'Leveranser per nät'!N$1,FALSE)
               +Andel_beroende_av_klimat*VLOOKUP($A328,Leveranser_per_nät,'Leveranser per nät'!N$1,FALSE)/VLOOKUP($B328,Korrigeringsfaktor_EI,'Korrigeringsfaktor EI'!N$1,FALSE),
"")</f>
        <v>19.714139130434781</v>
      </c>
      <c r="O328" s="18">
        <f>IFERROR(
                  Andel_oberoende_av_klimat*VLOOKUP($A328,Leveranser_per_nät,'Leveranser per nät'!O$1,FALSE)
               +Andel_beroende_av_klimat*VLOOKUP($A328,Leveranser_per_nät,'Leveranser per nät'!O$1,FALSE)/VLOOKUP($B328,Korrigeringsfaktor_EI,'Korrigeringsfaktor EI'!O$1,FALSE),
"")</f>
        <v>18.709400000000002</v>
      </c>
      <c r="P328" s="18">
        <f>IFERROR(
                  Andel_oberoende_av_klimat*VLOOKUP($A328,Leveranser_per_nät,'Leveranser per nät'!P$1,FALSE)
               +Andel_beroende_av_klimat*VLOOKUP($A328,Leveranser_per_nät,'Leveranser per nät'!P$1,FALSE)/VLOOKUP($B328,Korrigeringsfaktor_EI,'Korrigeringsfaktor EI'!P$1,FALSE),
"")</f>
        <v>18.134945833333333</v>
      </c>
      <c r="Q328" s="18">
        <f>IFERROR(
                  Andel_oberoende_av_klimat*VLOOKUP($A328,Leveranser_per_nät,'Leveranser per nät'!Q$1,FALSE)
               +Andel_beroende_av_klimat*VLOOKUP($A328,Leveranser_per_nät,'Leveranser per nät'!Q$1,FALSE)/VLOOKUP($B328,Korrigeringsfaktor_EI,'Korrigeringsfaktor EI'!Q$1,FALSE),
"")</f>
        <v>19.303824999999996</v>
      </c>
      <c r="R328" s="18">
        <f>IFERROR(
                  Andel_oberoende_av_klimat*VLOOKUP($A328,Leveranser_per_nät,'Leveranser per nät'!R$1,FALSE)
               +Andel_beroende_av_klimat*VLOOKUP($A328,Leveranser_per_nät,'Leveranser per nät'!R$1,FALSE)/VLOOKUP($B328,Korrigeringsfaktor_EI,'Korrigeringsfaktor EI'!R$1,FALSE),
"")</f>
        <v>18.635234782608691</v>
      </c>
      <c r="S328" s="18">
        <f>IFERROR(
                  Andel_oberoende_av_klimat*VLOOKUP($A328,Leveranser_per_nät,'Leveranser per nät'!S$1,FALSE)
               +Andel_beroende_av_klimat*VLOOKUP($A328,Leveranser_per_nät,'Leveranser per nät'!S$1,FALSE)/VLOOKUP($B328,Korrigeringsfaktor_EI,'Korrigeringsfaktor EI'!S$1,FALSE),
"")</f>
        <v>19.513811881188118</v>
      </c>
      <c r="T328" s="18">
        <f>IFERROR(
                  Andel_oberoende_av_klimat*VLOOKUP($A328,Leveranser_per_nät,'Leveranser per nät'!T$1,FALSE)
               +Andel_beroende_av_klimat*VLOOKUP($A328,Leveranser_per_nät,'Leveranser per nät'!T$1,FALSE)/VLOOKUP($B328,Korrigeringsfaktor_EI,'Korrigeringsfaktor EI'!T$1,FALSE),
"")</f>
        <v>19.551079166666668</v>
      </c>
      <c r="U328" s="18">
        <f>IFERROR(
                  Andel_oberoende_av_klimat*VLOOKUP($A328,Leveranser_per_nät,'Leveranser per nät'!U$1,FALSE)
               +Andel_beroende_av_klimat*VLOOKUP($A328,Leveranser_per_nät,'Leveranser per nät'!U$1,FALSE)/VLOOKUP($B328,Korrigeringsfaktor_EI,'Korrigeringsfaktor EI'!U$1,FALSE),
"")</f>
        <v>19.300684615384611</v>
      </c>
      <c r="V328" s="18">
        <f>IFERROR(
                  Andel_oberoende_av_klimat*VLOOKUP($A328,Leveranser_per_nät,'Leveranser per nät'!V$1,FALSE)
               +Andel_beroende_av_klimat*VLOOKUP($A328,Leveranser_per_nät,'Leveranser per nät'!V$1,FALSE)/VLOOKUP($B328,Korrigeringsfaktor_EI,'Korrigeringsfaktor EI'!V$1,FALSE),
"")</f>
        <v>20.918588888888888</v>
      </c>
      <c r="W328" s="18">
        <f>IFERROR(
                  Andel_oberoende_av_klimat*VLOOKUP($A328,Leveranser_per_nät,'Leveranser per nät'!W$1,FALSE)
               +Andel_beroende_av_klimat*VLOOKUP($A328,Leveranser_per_nät,'Leveranser per nät'!W$1,FALSE)/VLOOKUP($B328,Korrigeringsfaktor_EI,'Korrigeringsfaktor EI'!W$1,FALSE),
"")</f>
        <v>17.873537500000001</v>
      </c>
      <c r="X328" s="18">
        <f>IFERROR(
                  Andel_oberoende_av_klimat*VLOOKUP($A328,Leveranser_per_nät,'Leveranser per nät'!X$1,FALSE)
               +Andel_beroende_av_klimat*VLOOKUP($A328,Leveranser_per_nät,'Leveranser per nät'!X$1,FALSE)/VLOOKUP($B328,Korrigeringsfaktor_EI,'Korrigeringsfaktor EI'!X$1,FALSE),
"")</f>
        <v>18.049347368421056</v>
      </c>
      <c r="Y328" s="18">
        <f>IFERROR(
                  Andel_oberoende_av_klimat*VLOOKUP($A328,Leveranser_per_nät,'Leveranser per nät'!Y$1,FALSE)
               +Andel_beroende_av_klimat*VLOOKUP($A328,Leveranser_per_nät,'Leveranser per nät'!Y$1,FALSE)/VLOOKUP($B328,Korrigeringsfaktor_EI,'Korrigeringsfaktor EI'!Y$1,FALSE),
"")</f>
        <v>18.191504301075266</v>
      </c>
      <c r="Z328" s="18">
        <f>IFERROR(
                  Andel_oberoende_av_klimat*VLOOKUP($A328,Leveranser_per_nät,'Leveranser per nät'!Z$1,FALSE)
               +Andel_beroende_av_klimat*VLOOKUP($A328,Leveranser_per_nät,'Leveranser per nät'!Z$1,FALSE)/VLOOKUP($B328,Korrigeringsfaktor_EI,'Korrigeringsfaktor EI'!Z$1,FALSE),
"")</f>
        <v>17.885200000000001</v>
      </c>
      <c r="AA328" s="18">
        <f>IFERROR(
                  Andel_oberoende_av_klimat*VLOOKUP($A328,Leveranser_per_nät,'Leveranser per nät'!AA$1,FALSE)
               +Andel_beroende_av_klimat*VLOOKUP($A328,Leveranser_per_nät,'Leveranser per nät'!AA$1,FALSE)/VLOOKUP($B328,Korrigeringsfaktor_EI,'Korrigeringsfaktor EI'!AA$1,FALSE),
"")</f>
        <v>17.333125513654096</v>
      </c>
      <c r="AB328" s="18">
        <f>IFERROR(
                  Andel_oberoende_av_klimat*VLOOKUP($A328,Leveranser_per_nät,'Leveranser per nät'!AB$1,FALSE)
               +Andel_beroende_av_klimat*VLOOKUP($A328,Leveranser_per_nät,'Leveranser per nät'!AB$1,FALSE)/VLOOKUP($B328,Korrigeringsfaktor_EI,'Korrigeringsfaktor EI'!AB$1,FALSE),
"")</f>
        <v>17.551913545816731</v>
      </c>
      <c r="AC328" s="18">
        <f>IFERROR(
                  Andel_oberoende_av_klimat*VLOOKUP($A328,Leveranser_per_nät,'Leveranser per nät'!AC$1,FALSE)
               +Andel_beroende_av_klimat*VLOOKUP($A328,Leveranser_per_nät,'Leveranser per nät'!AC$1,FALSE)/VLOOKUP($B328,Korrigeringsfaktor_EI,'Korrigeringsfaktor EI'!AC$1,FALSE),
"")</f>
        <v>17.871815062761506</v>
      </c>
      <c r="AD328">
        <v>128.52099999999999</v>
      </c>
    </row>
    <row r="329" spans="1:30" x14ac:dyDescent="0.25">
      <c r="A329" t="s">
        <v>262</v>
      </c>
      <c r="B329" t="s">
        <v>262</v>
      </c>
      <c r="C329" s="18">
        <f>IFERROR(
                  Andel_oberoende_av_klimat*VLOOKUP($A329,Leveranser_per_nät,'Leveranser per nät'!C$1,FALSE)
               +Andel_beroende_av_klimat*VLOOKUP($A329,Leveranser_per_nät,'Leveranser per nät'!C$1,FALSE)/VLOOKUP($B329,Korrigeringsfaktor_EI,'Korrigeringsfaktor EI'!C$1,FALSE),
"")</f>
        <v>0</v>
      </c>
      <c r="D329" s="18">
        <f>IFERROR(
                  Andel_oberoende_av_klimat*VLOOKUP($A329,Leveranser_per_nät,'Leveranser per nät'!D$1,FALSE)
               +Andel_beroende_av_klimat*VLOOKUP($A329,Leveranser_per_nät,'Leveranser per nät'!D$1,FALSE)/VLOOKUP($B329,Korrigeringsfaktor_EI,'Korrigeringsfaktor EI'!D$1,FALSE),
"")</f>
        <v>0</v>
      </c>
      <c r="E329" s="18">
        <f>IFERROR(
                  Andel_oberoende_av_klimat*VLOOKUP($A329,Leveranser_per_nät,'Leveranser per nät'!E$1,FALSE)
               +Andel_beroende_av_klimat*VLOOKUP($A329,Leveranser_per_nät,'Leveranser per nät'!E$1,FALSE)/VLOOKUP($B329,Korrigeringsfaktor_EI,'Korrigeringsfaktor EI'!E$1,FALSE),
"")</f>
        <v>0</v>
      </c>
      <c r="F329" s="18">
        <f>IFERROR(
                  Andel_oberoende_av_klimat*VLOOKUP($A329,Leveranser_per_nät,'Leveranser per nät'!F$1,FALSE)
               +Andel_beroende_av_klimat*VLOOKUP($A329,Leveranser_per_nät,'Leveranser per nät'!F$1,FALSE)/VLOOKUP($B329,Korrigeringsfaktor_EI,'Korrigeringsfaktor EI'!F$1,FALSE),
"")</f>
        <v>0</v>
      </c>
      <c r="G329" s="18">
        <f>IFERROR(
                  Andel_oberoende_av_klimat*VLOOKUP($A329,Leveranser_per_nät,'Leveranser per nät'!G$1,FALSE)
               +Andel_beroende_av_klimat*VLOOKUP($A329,Leveranser_per_nät,'Leveranser per nät'!G$1,FALSE)/VLOOKUP($B329,Korrigeringsfaktor_EI,'Korrigeringsfaktor EI'!G$1,FALSE),
"")</f>
        <v>0</v>
      </c>
      <c r="H329" s="18">
        <f>IFERROR(
                  Andel_oberoende_av_klimat*VLOOKUP($A329,Leveranser_per_nät,'Leveranser per nät'!H$1,FALSE)
               +Andel_beroende_av_klimat*VLOOKUP($A329,Leveranser_per_nät,'Leveranser per nät'!H$1,FALSE)/VLOOKUP($B329,Korrigeringsfaktor_EI,'Korrigeringsfaktor EI'!H$1,FALSE),
"")</f>
        <v>0</v>
      </c>
      <c r="I329" s="18">
        <f>IFERROR(
                  Andel_oberoende_av_klimat*VLOOKUP($A329,Leveranser_per_nät,'Leveranser per nät'!I$1,FALSE)
               +Andel_beroende_av_klimat*VLOOKUP($A329,Leveranser_per_nät,'Leveranser per nät'!I$1,FALSE)/VLOOKUP($B329,Korrigeringsfaktor_EI,'Korrigeringsfaktor EI'!I$1,FALSE),
"")</f>
        <v>0</v>
      </c>
      <c r="J329" s="18">
        <f>IFERROR(
                  Andel_oberoende_av_klimat*VLOOKUP($A329,Leveranser_per_nät,'Leveranser per nät'!J$1,FALSE)
               +Andel_beroende_av_klimat*VLOOKUP($A329,Leveranser_per_nät,'Leveranser per nät'!J$1,FALSE)/VLOOKUP($B329,Korrigeringsfaktor_EI,'Korrigeringsfaktor EI'!J$1,FALSE),
"")</f>
        <v>0</v>
      </c>
      <c r="K329" s="18">
        <f>IFERROR(
                  Andel_oberoende_av_klimat*VLOOKUP($A329,Leveranser_per_nät,'Leveranser per nät'!K$1,FALSE)
               +Andel_beroende_av_klimat*VLOOKUP($A329,Leveranser_per_nät,'Leveranser per nät'!K$1,FALSE)/VLOOKUP($B329,Korrigeringsfaktor_EI,'Korrigeringsfaktor EI'!K$1,FALSE),
"")</f>
        <v>0</v>
      </c>
      <c r="L329" s="18">
        <f>IFERROR(
                  Andel_oberoende_av_klimat*VLOOKUP($A329,Leveranser_per_nät,'Leveranser per nät'!L$1,FALSE)
               +Andel_beroende_av_klimat*VLOOKUP($A329,Leveranser_per_nät,'Leveranser per nät'!L$1,FALSE)/VLOOKUP($B329,Korrigeringsfaktor_EI,'Korrigeringsfaktor EI'!L$1,FALSE),
"")</f>
        <v>0</v>
      </c>
      <c r="M329" s="18">
        <f>IFERROR(
                  Andel_oberoende_av_klimat*VLOOKUP($A329,Leveranser_per_nät,'Leveranser per nät'!M$1,FALSE)
               +Andel_beroende_av_klimat*VLOOKUP($A329,Leveranser_per_nät,'Leveranser per nät'!M$1,FALSE)/VLOOKUP($B329,Korrigeringsfaktor_EI,'Korrigeringsfaktor EI'!M$1,FALSE),
"")</f>
        <v>6.7418260869565216</v>
      </c>
      <c r="N329" s="18">
        <f>IFERROR(
                  Andel_oberoende_av_klimat*VLOOKUP($A329,Leveranser_per_nät,'Leveranser per nät'!N$1,FALSE)
               +Andel_beroende_av_klimat*VLOOKUP($A329,Leveranser_per_nät,'Leveranser per nät'!N$1,FALSE)/VLOOKUP($B329,Korrigeringsfaktor_EI,'Korrigeringsfaktor EI'!N$1,FALSE),
"")</f>
        <v>7.1435419354838698</v>
      </c>
      <c r="O329" s="18">
        <f>IFERROR(
                  Andel_oberoende_av_klimat*VLOOKUP($A329,Leveranser_per_nät,'Leveranser per nät'!O$1,FALSE)
               +Andel_beroende_av_klimat*VLOOKUP($A329,Leveranser_per_nät,'Leveranser per nät'!O$1,FALSE)/VLOOKUP($B329,Korrigeringsfaktor_EI,'Korrigeringsfaktor EI'!O$1,FALSE),
"")</f>
        <v>8.3330795698924724</v>
      </c>
      <c r="P329" s="18">
        <f>IFERROR(
                  Andel_oberoende_av_klimat*VLOOKUP($A329,Leveranser_per_nät,'Leveranser per nät'!P$1,FALSE)
               +Andel_beroende_av_klimat*VLOOKUP($A329,Leveranser_per_nät,'Leveranser per nät'!P$1,FALSE)/VLOOKUP($B329,Korrigeringsfaktor_EI,'Korrigeringsfaktor EI'!P$1,FALSE),
"")</f>
        <v>11.04709587628866</v>
      </c>
      <c r="Q329" s="18">
        <f>IFERROR(
                  Andel_oberoende_av_klimat*VLOOKUP($A329,Leveranser_per_nät,'Leveranser per nät'!Q$1,FALSE)
               +Andel_beroende_av_klimat*VLOOKUP($A329,Leveranser_per_nät,'Leveranser per nät'!Q$1,FALSE)/VLOOKUP($B329,Korrigeringsfaktor_EI,'Korrigeringsfaktor EI'!Q$1,FALSE),
"")</f>
        <v>11.371828301886792</v>
      </c>
      <c r="R329" s="18">
        <f>IFERROR(
                  Andel_oberoende_av_klimat*VLOOKUP($A329,Leveranser_per_nät,'Leveranser per nät'!R$1,FALSE)
               +Andel_beroende_av_klimat*VLOOKUP($A329,Leveranser_per_nät,'Leveranser per nät'!R$1,FALSE)/VLOOKUP($B329,Korrigeringsfaktor_EI,'Korrigeringsfaktor EI'!R$1,FALSE),
"")</f>
        <v>9.5932999999999993</v>
      </c>
      <c r="S329" s="18">
        <f>IFERROR(
                  Andel_oberoende_av_klimat*VLOOKUP($A329,Leveranser_per_nät,'Leveranser per nät'!S$1,FALSE)
               +Andel_beroende_av_klimat*VLOOKUP($A329,Leveranser_per_nät,'Leveranser per nät'!S$1,FALSE)/VLOOKUP($B329,Korrigeringsfaktor_EI,'Korrigeringsfaktor EI'!S$1,FALSE),
"")</f>
        <v>9.7987979797979801</v>
      </c>
      <c r="T329" s="18">
        <f>IFERROR(
                  Andel_oberoende_av_klimat*VLOOKUP($A329,Leveranser_per_nät,'Leveranser per nät'!T$1,FALSE)
               +Andel_beroende_av_klimat*VLOOKUP($A329,Leveranser_per_nät,'Leveranser per nät'!T$1,FALSE)/VLOOKUP($B329,Korrigeringsfaktor_EI,'Korrigeringsfaktor EI'!T$1,FALSE),
"")</f>
        <v>9.7759130434782602</v>
      </c>
      <c r="U329" s="18">
        <f>IFERROR(
                  Andel_oberoende_av_klimat*VLOOKUP($A329,Leveranser_per_nät,'Leveranser per nät'!U$1,FALSE)
               +Andel_beroende_av_klimat*VLOOKUP($A329,Leveranser_per_nät,'Leveranser per nät'!U$1,FALSE)/VLOOKUP($B329,Korrigeringsfaktor_EI,'Korrigeringsfaktor EI'!U$1,FALSE),
"")</f>
        <v>9.6029999999999998</v>
      </c>
      <c r="V329" s="18">
        <f>IFERROR(
                  Andel_oberoende_av_klimat*VLOOKUP($A329,Leveranser_per_nät,'Leveranser per nät'!V$1,FALSE)
               +Andel_beroende_av_klimat*VLOOKUP($A329,Leveranser_per_nät,'Leveranser per nät'!V$1,FALSE)/VLOOKUP($B329,Korrigeringsfaktor_EI,'Korrigeringsfaktor EI'!V$1,FALSE),
"")</f>
        <v>10.148290909090909</v>
      </c>
      <c r="W329" s="18">
        <f>IFERROR(
                  Andel_oberoende_av_klimat*VLOOKUP($A329,Leveranser_per_nät,'Leveranser per nät'!W$1,FALSE)
               +Andel_beroende_av_klimat*VLOOKUP($A329,Leveranser_per_nät,'Leveranser per nät'!W$1,FALSE)/VLOOKUP($B329,Korrigeringsfaktor_EI,'Korrigeringsfaktor EI'!W$1,FALSE),
"")</f>
        <v>11.37300206185567</v>
      </c>
      <c r="X329" s="18">
        <f>IFERROR(
                  Andel_oberoende_av_klimat*VLOOKUP($A329,Leveranser_per_nät,'Leveranser per nät'!X$1,FALSE)
               +Andel_beroende_av_klimat*VLOOKUP($A329,Leveranser_per_nät,'Leveranser per nät'!X$1,FALSE)/VLOOKUP($B329,Korrigeringsfaktor_EI,'Korrigeringsfaktor EI'!X$1,FALSE),
"")</f>
        <v>11.210559793814433</v>
      </c>
      <c r="Y329" s="18">
        <f>IFERROR(
                  Andel_oberoende_av_klimat*VLOOKUP($A329,Leveranser_per_nät,'Leveranser per nät'!Y$1,FALSE)
               +Andel_beroende_av_klimat*VLOOKUP($A329,Leveranser_per_nät,'Leveranser per nät'!Y$1,FALSE)/VLOOKUP($B329,Korrigeringsfaktor_EI,'Korrigeringsfaktor EI'!Y$1,FALSE),
"")</f>
        <v>10.196305263157894</v>
      </c>
      <c r="Z329" s="18">
        <f>IFERROR(
                  Andel_oberoende_av_klimat*VLOOKUP($A329,Leveranser_per_nät,'Leveranser per nät'!Z$1,FALSE)
               +Andel_beroende_av_klimat*VLOOKUP($A329,Leveranser_per_nät,'Leveranser per nät'!Z$1,FALSE)/VLOOKUP($B329,Korrigeringsfaktor_EI,'Korrigeringsfaktor EI'!Z$1,FALSE),
"")</f>
        <v>9.4612571428571428</v>
      </c>
      <c r="AA329" s="18">
        <f>IFERROR(
                  Andel_oberoende_av_klimat*VLOOKUP($A329,Leveranser_per_nät,'Leveranser per nät'!AA$1,FALSE)
               +Andel_beroende_av_klimat*VLOOKUP($A329,Leveranser_per_nät,'Leveranser per nät'!AA$1,FALSE)/VLOOKUP($B329,Korrigeringsfaktor_EI,'Korrigeringsfaktor EI'!AA$1,FALSE),
"")</f>
        <v>8.7199771905424193</v>
      </c>
      <c r="AB329" s="18">
        <f>IFERROR(
                  Andel_oberoende_av_klimat*VLOOKUP($A329,Leveranser_per_nät,'Leveranser per nät'!AB$1,FALSE)
               +Andel_beroende_av_klimat*VLOOKUP($A329,Leveranser_per_nät,'Leveranser per nät'!AB$1,FALSE)/VLOOKUP($B329,Korrigeringsfaktor_EI,'Korrigeringsfaktor EI'!AB$1,FALSE),
"")</f>
        <v>9.7973563530552852</v>
      </c>
      <c r="AC329" s="18">
        <f>IFERROR(
                  Andel_oberoende_av_klimat*VLOOKUP($A329,Leveranser_per_nät,'Leveranser per nät'!AC$1,FALSE)
               +Andel_beroende_av_klimat*VLOOKUP($A329,Leveranser_per_nät,'Leveranser per nät'!AC$1,FALSE)/VLOOKUP($B329,Korrigeringsfaktor_EI,'Korrigeringsfaktor EI'!AC$1,FALSE),
"")</f>
        <v>9.3252391963377406</v>
      </c>
      <c r="AD329">
        <v>9.2136999999999993</v>
      </c>
    </row>
    <row r="330" spans="1:30" x14ac:dyDescent="0.25">
      <c r="A330" t="s">
        <v>414</v>
      </c>
      <c r="B330" t="s">
        <v>507</v>
      </c>
      <c r="C330" s="18">
        <f>IFERROR(
                  Andel_oberoende_av_klimat*VLOOKUP($A330,Leveranser_per_nät,'Leveranser per nät'!C$1,FALSE)
               +Andel_beroende_av_klimat*VLOOKUP($A330,Leveranser_per_nät,'Leveranser per nät'!C$1,FALSE)/VLOOKUP($B330,Korrigeringsfaktor_EI,'Korrigeringsfaktor EI'!C$1,FALSE),
"")</f>
        <v>0</v>
      </c>
      <c r="D330" s="18">
        <f>IFERROR(
                  Andel_oberoende_av_klimat*VLOOKUP($A330,Leveranser_per_nät,'Leveranser per nät'!D$1,FALSE)
               +Andel_beroende_av_klimat*VLOOKUP($A330,Leveranser_per_nät,'Leveranser per nät'!D$1,FALSE)/VLOOKUP($B330,Korrigeringsfaktor_EI,'Korrigeringsfaktor EI'!D$1,FALSE),
"")</f>
        <v>0</v>
      </c>
      <c r="E330" s="18">
        <f>IFERROR(
                  Andel_oberoende_av_klimat*VLOOKUP($A330,Leveranser_per_nät,'Leveranser per nät'!E$1,FALSE)
               +Andel_beroende_av_klimat*VLOOKUP($A330,Leveranser_per_nät,'Leveranser per nät'!E$1,FALSE)/VLOOKUP($B330,Korrigeringsfaktor_EI,'Korrigeringsfaktor EI'!E$1,FALSE),
"")</f>
        <v>41.143689320388347</v>
      </c>
      <c r="F330" s="18">
        <f>IFERROR(
                  Andel_oberoende_av_klimat*VLOOKUP($A330,Leveranser_per_nät,'Leveranser per nät'!F$1,FALSE)
               +Andel_beroende_av_klimat*VLOOKUP($A330,Leveranser_per_nät,'Leveranser per nät'!F$1,FALSE)/VLOOKUP($B330,Korrigeringsfaktor_EI,'Korrigeringsfaktor EI'!F$1,FALSE),
"")</f>
        <v>87.457799999999992</v>
      </c>
      <c r="G330" s="18">
        <f>IFERROR(
                  Andel_oberoende_av_klimat*VLOOKUP($A330,Leveranser_per_nät,'Leveranser per nät'!G$1,FALSE)
               +Andel_beroende_av_klimat*VLOOKUP($A330,Leveranser_per_nät,'Leveranser per nät'!G$1,FALSE)/VLOOKUP($B330,Korrigeringsfaktor_EI,'Korrigeringsfaktor EI'!G$1,FALSE),
"")</f>
        <v>94.736666666666665</v>
      </c>
      <c r="H330" s="18">
        <f>IFERROR(
                  Andel_oberoende_av_klimat*VLOOKUP($A330,Leveranser_per_nät,'Leveranser per nät'!H$1,FALSE)
               +Andel_beroende_av_klimat*VLOOKUP($A330,Leveranser_per_nät,'Leveranser per nät'!H$1,FALSE)/VLOOKUP($B330,Korrigeringsfaktor_EI,'Korrigeringsfaktor EI'!H$1,FALSE),
"")</f>
        <v>108.34386138613861</v>
      </c>
      <c r="I330" s="18">
        <f>IFERROR(
                  Andel_oberoende_av_klimat*VLOOKUP($A330,Leveranser_per_nät,'Leveranser per nät'!I$1,FALSE)
               +Andel_beroende_av_klimat*VLOOKUP($A330,Leveranser_per_nät,'Leveranser per nät'!I$1,FALSE)/VLOOKUP($B330,Korrigeringsfaktor_EI,'Korrigeringsfaktor EI'!I$1,FALSE),
"")</f>
        <v>113.19428571428571</v>
      </c>
      <c r="J330" s="18">
        <f>IFERROR(
                  Andel_oberoende_av_klimat*VLOOKUP($A330,Leveranser_per_nät,'Leveranser per nät'!J$1,FALSE)
               +Andel_beroende_av_klimat*VLOOKUP($A330,Leveranser_per_nät,'Leveranser per nät'!J$1,FALSE)/VLOOKUP($B330,Korrigeringsfaktor_EI,'Korrigeringsfaktor EI'!J$1,FALSE),
"")</f>
        <v>119.94212121212121</v>
      </c>
      <c r="K330" s="18">
        <f>IFERROR(
                  Andel_oberoende_av_klimat*VLOOKUP($A330,Leveranser_per_nät,'Leveranser per nät'!K$1,FALSE)
               +Andel_beroende_av_klimat*VLOOKUP($A330,Leveranser_per_nät,'Leveranser per nät'!K$1,FALSE)/VLOOKUP($B330,Korrigeringsfaktor_EI,'Korrigeringsfaktor EI'!K$1,FALSE),
"")</f>
        <v>115.79188118811881</v>
      </c>
      <c r="L330" s="18">
        <f>IFERROR(
                  Andel_oberoende_av_klimat*VLOOKUP($A330,Leveranser_per_nät,'Leveranser per nät'!L$1,FALSE)
               +Andel_beroende_av_klimat*VLOOKUP($A330,Leveranser_per_nät,'Leveranser per nät'!L$1,FALSE)/VLOOKUP($B330,Korrigeringsfaktor_EI,'Korrigeringsfaktor EI'!L$1,FALSE),
"")</f>
        <v>174.86568673268798</v>
      </c>
      <c r="M330" s="18">
        <f>IFERROR(
                  Andel_oberoende_av_klimat*VLOOKUP($A330,Leveranser_per_nät,'Leveranser per nät'!M$1,FALSE)
               +Andel_beroende_av_klimat*VLOOKUP($A330,Leveranser_per_nät,'Leveranser per nät'!M$1,FALSE)/VLOOKUP($B330,Korrigeringsfaktor_EI,'Korrigeringsfaktor EI'!M$1,FALSE),
"")</f>
        <v>88.547148936170231</v>
      </c>
      <c r="N330" s="18">
        <f>IFERROR(
                  Andel_oberoende_av_klimat*VLOOKUP($A330,Leveranser_per_nät,'Leveranser per nät'!N$1,FALSE)
               +Andel_beroende_av_klimat*VLOOKUP($A330,Leveranser_per_nät,'Leveranser per nät'!N$1,FALSE)/VLOOKUP($B330,Korrigeringsfaktor_EI,'Korrigeringsfaktor EI'!N$1,FALSE),
"")</f>
        <v>89.919304347826085</v>
      </c>
      <c r="O330" s="18">
        <f>IFERROR(
                  Andel_oberoende_av_klimat*VLOOKUP($A330,Leveranser_per_nät,'Leveranser per nät'!O$1,FALSE)
               +Andel_beroende_av_klimat*VLOOKUP($A330,Leveranser_per_nät,'Leveranser per nät'!O$1,FALSE)/VLOOKUP($B330,Korrigeringsfaktor_EI,'Korrigeringsfaktor EI'!O$1,FALSE),
"")</f>
        <v>90.670769230769253</v>
      </c>
      <c r="P330" s="18">
        <f>IFERROR(
                  Andel_oberoende_av_klimat*VLOOKUP($A330,Leveranser_per_nät,'Leveranser per nät'!P$1,FALSE)
               +Andel_beroende_av_klimat*VLOOKUP($A330,Leveranser_per_nät,'Leveranser per nät'!P$1,FALSE)/VLOOKUP($B330,Korrigeringsfaktor_EI,'Korrigeringsfaktor EI'!P$1,FALSE),
"")</f>
        <v>99.005833333333356</v>
      </c>
      <c r="Q330" s="18">
        <f>IFERROR(
                  Andel_oberoende_av_klimat*VLOOKUP($A330,Leveranser_per_nät,'Leveranser per nät'!Q$1,FALSE)
               +Andel_beroende_av_klimat*VLOOKUP($A330,Leveranser_per_nät,'Leveranser per nät'!Q$1,FALSE)/VLOOKUP($B330,Korrigeringsfaktor_EI,'Korrigeringsfaktor EI'!Q$1,FALSE),
"")</f>
        <v>115.67738738738738</v>
      </c>
      <c r="R330" s="18">
        <f>IFERROR(
                  Andel_oberoende_av_klimat*VLOOKUP($A330,Leveranser_per_nät,'Leveranser per nät'!R$1,FALSE)
               +Andel_beroende_av_klimat*VLOOKUP($A330,Leveranser_per_nät,'Leveranser per nät'!R$1,FALSE)/VLOOKUP($B330,Korrigeringsfaktor_EI,'Korrigeringsfaktor EI'!R$1,FALSE),
"")</f>
        <v>97.706086956521744</v>
      </c>
      <c r="S330" s="18">
        <f>IFERROR(
                  Andel_oberoende_av_klimat*VLOOKUP($A330,Leveranser_per_nät,'Leveranser per nät'!S$1,FALSE)
               +Andel_beroende_av_klimat*VLOOKUP($A330,Leveranser_per_nät,'Leveranser per nät'!S$1,FALSE)/VLOOKUP($B330,Korrigeringsfaktor_EI,'Korrigeringsfaktor EI'!S$1,FALSE),
"")</f>
        <v>96.678787878787858</v>
      </c>
      <c r="T330" s="18">
        <f>IFERROR(
                  Andel_oberoende_av_klimat*VLOOKUP($A330,Leveranser_per_nät,'Leveranser per nät'!T$1,FALSE)
               +Andel_beroende_av_klimat*VLOOKUP($A330,Leveranser_per_nät,'Leveranser per nät'!T$1,FALSE)/VLOOKUP($B330,Korrigeringsfaktor_EI,'Korrigeringsfaktor EI'!T$1,FALSE),
"")</f>
        <v>96.741666666666674</v>
      </c>
      <c r="U330" s="18">
        <f>IFERROR(
                  Andel_oberoende_av_klimat*VLOOKUP($A330,Leveranser_per_nät,'Leveranser per nät'!U$1,FALSE)
               +Andel_beroende_av_klimat*VLOOKUP($A330,Leveranser_per_nät,'Leveranser per nät'!U$1,FALSE)/VLOOKUP($B330,Korrigeringsfaktor_EI,'Korrigeringsfaktor EI'!U$1,FALSE),
"")</f>
        <v>91.571149425287359</v>
      </c>
      <c r="V330" s="18">
        <f>IFERROR(
                  Andel_oberoende_av_klimat*VLOOKUP($A330,Leveranser_per_nät,'Leveranser per nät'!V$1,FALSE)
               +Andel_beroende_av_klimat*VLOOKUP($A330,Leveranser_per_nät,'Leveranser per nät'!V$1,FALSE)/VLOOKUP($B330,Korrigeringsfaktor_EI,'Korrigeringsfaktor EI'!V$1,FALSE),
"")</f>
        <v>99.198988764044941</v>
      </c>
      <c r="W330" s="18">
        <f>IFERROR(
                  Andel_oberoende_av_klimat*VLOOKUP($A330,Leveranser_per_nät,'Leveranser per nät'!W$1,FALSE)
               +Andel_beroende_av_klimat*VLOOKUP($A330,Leveranser_per_nät,'Leveranser per nät'!W$1,FALSE)/VLOOKUP($B330,Korrigeringsfaktor_EI,'Korrigeringsfaktor EI'!W$1,FALSE),
"")</f>
        <v>108.97210526315789</v>
      </c>
      <c r="X330" s="18">
        <f>IFERROR(
                  Andel_oberoende_av_klimat*VLOOKUP($A330,Leveranser_per_nät,'Leveranser per nät'!X$1,FALSE)
               +Andel_beroende_av_klimat*VLOOKUP($A330,Leveranser_per_nät,'Leveranser per nät'!X$1,FALSE)/VLOOKUP($B330,Korrigeringsfaktor_EI,'Korrigeringsfaktor EI'!X$1,FALSE),
"")</f>
        <v>111.79548387096776</v>
      </c>
      <c r="Y330" s="18">
        <f>IFERROR(
                  Andel_oberoende_av_klimat*VLOOKUP($A330,Leveranser_per_nät,'Leveranser per nät'!Y$1,FALSE)
               +Andel_beroende_av_klimat*VLOOKUP($A330,Leveranser_per_nät,'Leveranser per nät'!Y$1,FALSE)/VLOOKUP($B330,Korrigeringsfaktor_EI,'Korrigeringsfaktor EI'!Y$1,FALSE),
"")</f>
        <v>115.21444444444445</v>
      </c>
      <c r="Z330" s="18">
        <f>IFERROR(
                  Andel_oberoende_av_klimat*VLOOKUP($A330,Leveranser_per_nät,'Leveranser per nät'!Z$1,FALSE)
               +Andel_beroende_av_klimat*VLOOKUP($A330,Leveranser_per_nät,'Leveranser per nät'!Z$1,FALSE)/VLOOKUP($B330,Korrigeringsfaktor_EI,'Korrigeringsfaktor EI'!Z$1,FALSE),
"")</f>
        <v>109.90747126436781</v>
      </c>
      <c r="AA330" s="18">
        <f>IFERROR(
                  Andel_oberoende_av_klimat*VLOOKUP($A330,Leveranser_per_nät,'Leveranser per nät'!AA$1,FALSE)
               +Andel_beroende_av_klimat*VLOOKUP($A330,Leveranser_per_nät,'Leveranser per nät'!AA$1,FALSE)/VLOOKUP($B330,Korrigeringsfaktor_EI,'Korrigeringsfaktor EI'!AA$1,FALSE),
"")</f>
        <v>110.91415322580644</v>
      </c>
      <c r="AB330" s="18">
        <f>IFERROR(
                  Andel_oberoende_av_klimat*VLOOKUP($A330,Leveranser_per_nät,'Leveranser per nät'!AB$1,FALSE)
               +Andel_beroende_av_klimat*VLOOKUP($A330,Leveranser_per_nät,'Leveranser per nät'!AB$1,FALSE)/VLOOKUP($B330,Korrigeringsfaktor_EI,'Korrigeringsfaktor EI'!AB$1,FALSE),
"")</f>
        <v>111.45763779527559</v>
      </c>
      <c r="AC330" s="18">
        <f>IFERROR(
                  Andel_oberoende_av_klimat*VLOOKUP($A330,Leveranser_per_nät,'Leveranser per nät'!AC$1,FALSE)
               +Andel_beroende_av_klimat*VLOOKUP($A330,Leveranser_per_nät,'Leveranser per nät'!AC$1,FALSE)/VLOOKUP($B330,Korrigeringsfaktor_EI,'Korrigeringsfaktor EI'!AC$1,FALSE),
"")</f>
        <v>106.84743343982959</v>
      </c>
      <c r="AD330" t="e">
        <v>#N/A</v>
      </c>
    </row>
    <row r="331" spans="1:30" x14ac:dyDescent="0.25">
      <c r="A331" t="s">
        <v>233</v>
      </c>
      <c r="B331" t="s">
        <v>230</v>
      </c>
      <c r="C331" s="18">
        <f>IFERROR(
                  Andel_oberoende_av_klimat*VLOOKUP($A331,Leveranser_per_nät,'Leveranser per nät'!C$1,FALSE)
               +Andel_beroende_av_klimat*VLOOKUP($A331,Leveranser_per_nät,'Leveranser per nät'!C$1,FALSE)/VLOOKUP($B331,Korrigeringsfaktor_EI,'Korrigeringsfaktor EI'!C$1,FALSE),
"")</f>
        <v>0.99306930693069306</v>
      </c>
      <c r="D331" s="18">
        <f>IFERROR(
                  Andel_oberoende_av_klimat*VLOOKUP($A331,Leveranser_per_nät,'Leveranser per nät'!D$1,FALSE)
               +Andel_beroende_av_klimat*VLOOKUP($A331,Leveranser_per_nät,'Leveranser per nät'!D$1,FALSE)/VLOOKUP($B331,Korrigeringsfaktor_EI,'Korrigeringsfaktor EI'!D$1,FALSE),
"")</f>
        <v>0.84391666666666665</v>
      </c>
      <c r="E331" s="18">
        <f>IFERROR(
                  Andel_oberoende_av_klimat*VLOOKUP($A331,Leveranser_per_nät,'Leveranser per nät'!E$1,FALSE)
               +Andel_beroende_av_klimat*VLOOKUP($A331,Leveranser_per_nät,'Leveranser per nät'!E$1,FALSE)/VLOOKUP($B331,Korrigeringsfaktor_EI,'Korrigeringsfaktor EI'!E$1,FALSE),
"")</f>
        <v>0.97307692307692306</v>
      </c>
      <c r="F331" s="18">
        <f>IFERROR(
                  Andel_oberoende_av_klimat*VLOOKUP($A331,Leveranser_per_nät,'Leveranser per nät'!F$1,FALSE)
               +Andel_beroende_av_klimat*VLOOKUP($A331,Leveranser_per_nät,'Leveranser per nät'!F$1,FALSE)/VLOOKUP($B331,Korrigeringsfaktor_EI,'Korrigeringsfaktor EI'!F$1,FALSE),
"")</f>
        <v>1</v>
      </c>
      <c r="G331" s="18">
        <f>IFERROR(
                  Andel_oberoende_av_klimat*VLOOKUP($A331,Leveranser_per_nät,'Leveranser per nät'!G$1,FALSE)
               +Andel_beroende_av_klimat*VLOOKUP($A331,Leveranser_per_nät,'Leveranser per nät'!G$1,FALSE)/VLOOKUP($B331,Korrigeringsfaktor_EI,'Korrigeringsfaktor EI'!G$1,FALSE),
"")</f>
        <v>1.0777777777777777</v>
      </c>
      <c r="H331" s="18">
        <f>IFERROR(
                  Andel_oberoende_av_klimat*VLOOKUP($A331,Leveranser_per_nät,'Leveranser per nät'!H$1,FALSE)
               +Andel_beroende_av_klimat*VLOOKUP($A331,Leveranser_per_nät,'Leveranser per nät'!H$1,FALSE)/VLOOKUP($B331,Korrigeringsfaktor_EI,'Korrigeringsfaktor EI'!H$1,FALSE),
"")</f>
        <v>0.99306930693069306</v>
      </c>
      <c r="I331" s="18">
        <f>IFERROR(
                  Andel_oberoende_av_klimat*VLOOKUP($A331,Leveranser_per_nät,'Leveranser per nät'!I$1,FALSE)
               +Andel_beroende_av_klimat*VLOOKUP($A331,Leveranser_per_nät,'Leveranser per nät'!I$1,FALSE)/VLOOKUP($B331,Korrigeringsfaktor_EI,'Korrigeringsfaktor EI'!I$1,FALSE),
"")</f>
        <v>1.0142857142857142</v>
      </c>
      <c r="J331" s="18">
        <f>IFERROR(
                  Andel_oberoende_av_klimat*VLOOKUP($A331,Leveranser_per_nät,'Leveranser per nät'!J$1,FALSE)
               +Andel_beroende_av_klimat*VLOOKUP($A331,Leveranser_per_nät,'Leveranser per nät'!J$1,FALSE)/VLOOKUP($B331,Korrigeringsfaktor_EI,'Korrigeringsfaktor EI'!J$1,FALSE),
"")</f>
        <v>1.0291666666666668</v>
      </c>
      <c r="K331" s="18">
        <f>IFERROR(
                  Andel_oberoende_av_klimat*VLOOKUP($A331,Leveranser_per_nät,'Leveranser per nät'!K$1,FALSE)
               +Andel_beroende_av_klimat*VLOOKUP($A331,Leveranser_per_nät,'Leveranser per nät'!K$1,FALSE)/VLOOKUP($B331,Korrigeringsfaktor_EI,'Korrigeringsfaktor EI'!K$1,FALSE),
"")</f>
        <v>1.0812999999999999</v>
      </c>
      <c r="L331" s="18">
        <f>IFERROR(
                  Andel_oberoende_av_klimat*VLOOKUP($A331,Leveranser_per_nät,'Leveranser per nät'!L$1,FALSE)
               +Andel_beroende_av_klimat*VLOOKUP($A331,Leveranser_per_nät,'Leveranser per nät'!L$1,FALSE)/VLOOKUP($B331,Korrigeringsfaktor_EI,'Korrigeringsfaktor EI'!L$1,FALSE),
"")</f>
        <v>0.96632978723404261</v>
      </c>
      <c r="M331" s="18">
        <f>IFERROR(
                  Andel_oberoende_av_klimat*VLOOKUP($A331,Leveranser_per_nät,'Leveranser per nät'!M$1,FALSE)
               +Andel_beroende_av_klimat*VLOOKUP($A331,Leveranser_per_nät,'Leveranser per nät'!M$1,FALSE)/VLOOKUP($B331,Korrigeringsfaktor_EI,'Korrigeringsfaktor EI'!M$1,FALSE),
"")</f>
        <v>0.91583870967741932</v>
      </c>
      <c r="N331" s="18">
        <f>IFERROR(
                  Andel_oberoende_av_klimat*VLOOKUP($A331,Leveranser_per_nät,'Leveranser per nät'!N$1,FALSE)
               +Andel_beroende_av_klimat*VLOOKUP($A331,Leveranser_per_nät,'Leveranser per nät'!N$1,FALSE)/VLOOKUP($B331,Korrigeringsfaktor_EI,'Korrigeringsfaktor EI'!N$1,FALSE),
"")</f>
        <v>0.84502631578947374</v>
      </c>
      <c r="O331" s="18">
        <f>IFERROR(
                  Andel_oberoende_av_klimat*VLOOKUP($A331,Leveranser_per_nät,'Leveranser per nät'!O$1,FALSE)
               +Andel_beroende_av_klimat*VLOOKUP($A331,Leveranser_per_nät,'Leveranser per nät'!O$1,FALSE)/VLOOKUP($B331,Korrigeringsfaktor_EI,'Korrigeringsfaktor EI'!O$1,FALSE),
"")</f>
        <v>0.78216666666666668</v>
      </c>
      <c r="P331" s="18">
        <f>IFERROR(
                  Andel_oberoende_av_klimat*VLOOKUP($A331,Leveranser_per_nät,'Leveranser per nät'!P$1,FALSE)
               +Andel_beroende_av_klimat*VLOOKUP($A331,Leveranser_per_nät,'Leveranser per nät'!P$1,FALSE)/VLOOKUP($B331,Korrigeringsfaktor_EI,'Korrigeringsfaktor EI'!P$1,FALSE),
"")</f>
        <v>0.71515463917525768</v>
      </c>
      <c r="Q331" s="18">
        <f>IFERROR(
                  Andel_oberoende_av_klimat*VLOOKUP($A331,Leveranser_per_nät,'Leveranser per nät'!Q$1,FALSE)
               +Andel_beroende_av_klimat*VLOOKUP($A331,Leveranser_per_nät,'Leveranser per nät'!Q$1,FALSE)/VLOOKUP($B331,Korrigeringsfaktor_EI,'Korrigeringsfaktor EI'!Q$1,FALSE),
"")</f>
        <v>0.75376146788990828</v>
      </c>
      <c r="R331" s="18">
        <f>IFERROR(
                  Andel_oberoende_av_klimat*VLOOKUP($A331,Leveranser_per_nät,'Leveranser per nät'!R$1,FALSE)
               +Andel_beroende_av_klimat*VLOOKUP($A331,Leveranser_per_nät,'Leveranser per nät'!R$1,FALSE)/VLOOKUP($B331,Korrigeringsfaktor_EI,'Korrigeringsfaktor EI'!R$1,FALSE),
"")</f>
        <v>1.1987826086956521</v>
      </c>
      <c r="S331" s="18">
        <f>IFERROR(
                  Andel_oberoende_av_klimat*VLOOKUP($A331,Leveranser_per_nät,'Leveranser per nät'!S$1,FALSE)
               +Andel_beroende_av_klimat*VLOOKUP($A331,Leveranser_per_nät,'Leveranser per nät'!S$1,FALSE)/VLOOKUP($B331,Korrigeringsfaktor_EI,'Korrigeringsfaktor EI'!S$1,FALSE),
"")</f>
        <v>1.53</v>
      </c>
      <c r="T331" s="18">
        <f>IFERROR(
                  Andel_oberoende_av_klimat*VLOOKUP($A331,Leveranser_per_nät,'Leveranser per nät'!T$1,FALSE)
               +Andel_beroende_av_klimat*VLOOKUP($A331,Leveranser_per_nät,'Leveranser per nät'!T$1,FALSE)/VLOOKUP($B331,Korrigeringsfaktor_EI,'Korrigeringsfaktor EI'!T$1,FALSE),
"")</f>
        <v>1.4316559139784946</v>
      </c>
      <c r="U331" s="18">
        <f>IFERROR(
                  Andel_oberoende_av_klimat*VLOOKUP($A331,Leveranser_per_nät,'Leveranser per nät'!U$1,FALSE)
               +Andel_beroende_av_klimat*VLOOKUP($A331,Leveranser_per_nät,'Leveranser per nät'!U$1,FALSE)/VLOOKUP($B331,Korrigeringsfaktor_EI,'Korrigeringsfaktor EI'!U$1,FALSE),
"")</f>
        <v>1.4113846153846155</v>
      </c>
      <c r="V331" s="18">
        <f>IFERROR(
                  Andel_oberoende_av_klimat*VLOOKUP($A331,Leveranser_per_nät,'Leveranser per nät'!V$1,FALSE)
               +Andel_beroende_av_klimat*VLOOKUP($A331,Leveranser_per_nät,'Leveranser per nät'!V$1,FALSE)/VLOOKUP($B331,Korrigeringsfaktor_EI,'Korrigeringsfaktor EI'!V$1,FALSE),
"")</f>
        <v>1.3907415730337078</v>
      </c>
      <c r="W331" s="18">
        <f>IFERROR(
                  Andel_oberoende_av_klimat*VLOOKUP($A331,Leveranser_per_nät,'Leveranser per nät'!W$1,FALSE)
               +Andel_beroende_av_klimat*VLOOKUP($A331,Leveranser_per_nät,'Leveranser per nät'!W$1,FALSE)/VLOOKUP($B331,Korrigeringsfaktor_EI,'Korrigeringsfaktor EI'!W$1,FALSE),
"")</f>
        <v>1.4402857142857144</v>
      </c>
      <c r="X331" s="18">
        <f>IFERROR(
                  Andel_oberoende_av_klimat*VLOOKUP($A331,Leveranser_per_nät,'Leveranser per nät'!X$1,FALSE)
               +Andel_beroende_av_klimat*VLOOKUP($A331,Leveranser_per_nät,'Leveranser per nät'!X$1,FALSE)/VLOOKUP($B331,Korrigeringsfaktor_EI,'Korrigeringsfaktor EI'!X$1,FALSE),
"")</f>
        <v>1.459937113402062</v>
      </c>
      <c r="Y331" s="18">
        <f>IFERROR(
                  Andel_oberoende_av_klimat*VLOOKUP($A331,Leveranser_per_nät,'Leveranser per nät'!Y$1,FALSE)
               +Andel_beroende_av_klimat*VLOOKUP($A331,Leveranser_per_nät,'Leveranser per nät'!Y$1,FALSE)/VLOOKUP($B331,Korrigeringsfaktor_EI,'Korrigeringsfaktor EI'!Y$1,FALSE),
"")</f>
        <v>1.5108166666666667</v>
      </c>
      <c r="Z331" s="18">
        <f>IFERROR(
                  Andel_oberoende_av_klimat*VLOOKUP($A331,Leveranser_per_nät,'Leveranser per nät'!Z$1,FALSE)
               +Andel_beroende_av_klimat*VLOOKUP($A331,Leveranser_per_nät,'Leveranser per nät'!Z$1,FALSE)/VLOOKUP($B331,Korrigeringsfaktor_EI,'Korrigeringsfaktor EI'!Z$1,FALSE),
"")</f>
        <v>1.5206767676767676</v>
      </c>
      <c r="AA331" s="18">
        <f>IFERROR(
                  Andel_oberoende_av_klimat*VLOOKUP($A331,Leveranser_per_nät,'Leveranser per nät'!AA$1,FALSE)
               +Andel_beroende_av_klimat*VLOOKUP($A331,Leveranser_per_nät,'Leveranser per nät'!AA$1,FALSE)/VLOOKUP($B331,Korrigeringsfaktor_EI,'Korrigeringsfaktor EI'!AA$1,FALSE),
"")</f>
        <v>1.3255062571103526</v>
      </c>
      <c r="AB331" s="18">
        <f>IFERROR(
                  Andel_oberoende_av_klimat*VLOOKUP($A331,Leveranser_per_nät,'Leveranser per nät'!AB$1,FALSE)
               +Andel_beroende_av_klimat*VLOOKUP($A331,Leveranser_per_nät,'Leveranser per nät'!AB$1,FALSE)/VLOOKUP($B331,Korrigeringsfaktor_EI,'Korrigeringsfaktor EI'!AB$1,FALSE),
"")</f>
        <v>1.6229296874999999</v>
      </c>
      <c r="AC331" s="18">
        <f>IFERROR(
                  Andel_oberoende_av_klimat*VLOOKUP($A331,Leveranser_per_nät,'Leveranser per nät'!AC$1,FALSE)
               +Andel_beroende_av_klimat*VLOOKUP($A331,Leveranser_per_nät,'Leveranser per nät'!AC$1,FALSE)/VLOOKUP($B331,Korrigeringsfaktor_EI,'Korrigeringsfaktor EI'!AC$1,FALSE),
"")</f>
        <v>1.7006367432150313</v>
      </c>
      <c r="AD331">
        <v>240.6</v>
      </c>
    </row>
    <row r="332" spans="1:30" x14ac:dyDescent="0.25">
      <c r="A332" t="s">
        <v>366</v>
      </c>
      <c r="B332" t="s">
        <v>363</v>
      </c>
      <c r="C332" s="18">
        <f>IFERROR(
                  Andel_oberoende_av_klimat*VLOOKUP($A332,Leveranser_per_nät,'Leveranser per nät'!C$1,FALSE)
               +Andel_beroende_av_klimat*VLOOKUP($A332,Leveranser_per_nät,'Leveranser per nät'!C$1,FALSE)/VLOOKUP($B332,Korrigeringsfaktor_EI,'Korrigeringsfaktor EI'!C$1,FALSE),
"")</f>
        <v>0</v>
      </c>
      <c r="D332" s="18">
        <f>IFERROR(
                  Andel_oberoende_av_klimat*VLOOKUP($A332,Leveranser_per_nät,'Leveranser per nät'!D$1,FALSE)
               +Andel_beroende_av_klimat*VLOOKUP($A332,Leveranser_per_nät,'Leveranser per nät'!D$1,FALSE)/VLOOKUP($B332,Korrigeringsfaktor_EI,'Korrigeringsfaktor EI'!D$1,FALSE),
"")</f>
        <v>0</v>
      </c>
      <c r="E332" s="18">
        <f>IFERROR(
                  Andel_oberoende_av_klimat*VLOOKUP($A332,Leveranser_per_nät,'Leveranser per nät'!E$1,FALSE)
               +Andel_beroende_av_klimat*VLOOKUP($A332,Leveranser_per_nät,'Leveranser per nät'!E$1,FALSE)/VLOOKUP($B332,Korrigeringsfaktor_EI,'Korrigeringsfaktor EI'!E$1,FALSE),
"")</f>
        <v>4.8653846153846159</v>
      </c>
      <c r="F332" s="18">
        <f>IFERROR(
                  Andel_oberoende_av_klimat*VLOOKUP($A332,Leveranser_per_nät,'Leveranser per nät'!F$1,FALSE)
               +Andel_beroende_av_klimat*VLOOKUP($A332,Leveranser_per_nät,'Leveranser per nät'!F$1,FALSE)/VLOOKUP($B332,Korrigeringsfaktor_EI,'Korrigeringsfaktor EI'!F$1,FALSE),
"")</f>
        <v>5.1082474226804129</v>
      </c>
      <c r="G332" s="18">
        <f>IFERROR(
                  Andel_oberoende_av_klimat*VLOOKUP($A332,Leveranser_per_nät,'Leveranser per nät'!G$1,FALSE)
               +Andel_beroende_av_klimat*VLOOKUP($A332,Leveranser_per_nät,'Leveranser per nät'!G$1,FALSE)/VLOOKUP($B332,Korrigeringsfaktor_EI,'Korrigeringsfaktor EI'!G$1,FALSE),
"")</f>
        <v>5.3461538461538458</v>
      </c>
      <c r="H332" s="18">
        <f>IFERROR(
                  Andel_oberoende_av_klimat*VLOOKUP($A332,Leveranser_per_nät,'Leveranser per nät'!H$1,FALSE)
               +Andel_beroende_av_klimat*VLOOKUP($A332,Leveranser_per_nät,'Leveranser per nät'!H$1,FALSE)/VLOOKUP($B332,Korrigeringsfaktor_EI,'Korrigeringsfaktor EI'!H$1,FALSE),
"")</f>
        <v>6.5983272727272722</v>
      </c>
      <c r="I332" s="18">
        <f>IFERROR(
                  Andel_oberoende_av_klimat*VLOOKUP($A332,Leveranser_per_nät,'Leveranser per nät'!I$1,FALSE)
               +Andel_beroende_av_klimat*VLOOKUP($A332,Leveranser_per_nät,'Leveranser per nät'!I$1,FALSE)/VLOOKUP($B332,Korrigeringsfaktor_EI,'Korrigeringsfaktor EI'!I$1,FALSE),
"")</f>
        <v>7.3127659574468087</v>
      </c>
      <c r="J332" s="18">
        <f>IFERROR(
                  Andel_oberoende_av_klimat*VLOOKUP($A332,Leveranser_per_nät,'Leveranser per nät'!J$1,FALSE)
               +Andel_beroende_av_klimat*VLOOKUP($A332,Leveranser_per_nät,'Leveranser per nät'!J$1,FALSE)/VLOOKUP($B332,Korrigeringsfaktor_EI,'Korrigeringsfaktor EI'!J$1,FALSE),
"")</f>
        <v>7.1515463917525777</v>
      </c>
      <c r="K332" s="18">
        <f>IFERROR(
                  Andel_oberoende_av_klimat*VLOOKUP($A332,Leveranser_per_nät,'Leveranser per nät'!K$1,FALSE)
               +Andel_beroende_av_klimat*VLOOKUP($A332,Leveranser_per_nät,'Leveranser per nät'!K$1,FALSE)/VLOOKUP($B332,Korrigeringsfaktor_EI,'Korrigeringsfaktor EI'!K$1,FALSE),
"")</f>
        <v>13.162414141414141</v>
      </c>
      <c r="L332" s="18">
        <f>IFERROR(
                  Andel_oberoende_av_klimat*VLOOKUP($A332,Leveranser_per_nät,'Leveranser per nät'!L$1,FALSE)
               +Andel_beroende_av_klimat*VLOOKUP($A332,Leveranser_per_nät,'Leveranser per nät'!L$1,FALSE)/VLOOKUP($B332,Korrigeringsfaktor_EI,'Korrigeringsfaktor EI'!L$1,FALSE),
"")</f>
        <v>7.2724105263157899</v>
      </c>
      <c r="M332" s="18">
        <f>IFERROR(
                  Andel_oberoende_av_klimat*VLOOKUP($A332,Leveranser_per_nät,'Leveranser per nät'!M$1,FALSE)
               +Andel_beroende_av_klimat*VLOOKUP($A332,Leveranser_per_nät,'Leveranser per nät'!M$1,FALSE)/VLOOKUP($B332,Korrigeringsfaktor_EI,'Korrigeringsfaktor EI'!M$1,FALSE),
"")</f>
        <v>8.3581769230769218</v>
      </c>
      <c r="N332" s="18">
        <f>IFERROR(
                  Andel_oberoende_av_klimat*VLOOKUP($A332,Leveranser_per_nät,'Leveranser per nät'!N$1,FALSE)
               +Andel_beroende_av_klimat*VLOOKUP($A332,Leveranser_per_nät,'Leveranser per nät'!N$1,FALSE)/VLOOKUP($B332,Korrigeringsfaktor_EI,'Korrigeringsfaktor EI'!N$1,FALSE),
"")</f>
        <v>8.4249888888888886</v>
      </c>
      <c r="O332" s="18">
        <f>IFERROR(
                  Andel_oberoende_av_klimat*VLOOKUP($A332,Leveranser_per_nät,'Leveranser per nät'!O$1,FALSE)
               +Andel_beroende_av_klimat*VLOOKUP($A332,Leveranser_per_nät,'Leveranser per nät'!O$1,FALSE)/VLOOKUP($B332,Korrigeringsfaktor_EI,'Korrigeringsfaktor EI'!O$1,FALSE),
"")</f>
        <v>9.9352923076923076</v>
      </c>
      <c r="P332" s="18">
        <f>IFERROR(
                  Andel_oberoende_av_klimat*VLOOKUP($A332,Leveranser_per_nät,'Leveranser per nät'!P$1,FALSE)
               +Andel_beroende_av_klimat*VLOOKUP($A332,Leveranser_per_nät,'Leveranser per nät'!P$1,FALSE)/VLOOKUP($B332,Korrigeringsfaktor_EI,'Korrigeringsfaktor EI'!P$1,FALSE),
"")</f>
        <v>10.168310526315789</v>
      </c>
      <c r="Q332" s="18">
        <f>IFERROR(
                  Andel_oberoende_av_klimat*VLOOKUP($A332,Leveranser_per_nät,'Leveranser per nät'!Q$1,FALSE)
               +Andel_beroende_av_klimat*VLOOKUP($A332,Leveranser_per_nät,'Leveranser per nät'!Q$1,FALSE)/VLOOKUP($B332,Korrigeringsfaktor_EI,'Korrigeringsfaktor EI'!Q$1,FALSE),
"")</f>
        <v>10.709190909090907</v>
      </c>
      <c r="R332" s="18">
        <f>IFERROR(
                  Andel_oberoende_av_klimat*VLOOKUP($A332,Leveranser_per_nät,'Leveranser per nät'!R$1,FALSE)
               +Andel_beroende_av_klimat*VLOOKUP($A332,Leveranser_per_nät,'Leveranser per nät'!R$1,FALSE)/VLOOKUP($B332,Korrigeringsfaktor_EI,'Korrigeringsfaktor EI'!R$1,FALSE),
"")</f>
        <v>12.754834782608693</v>
      </c>
      <c r="S332" s="18">
        <f>IFERROR(
                  Andel_oberoende_av_klimat*VLOOKUP($A332,Leveranser_per_nät,'Leveranser per nät'!S$1,FALSE)
               +Andel_beroende_av_klimat*VLOOKUP($A332,Leveranser_per_nät,'Leveranser per nät'!S$1,FALSE)/VLOOKUP($B332,Korrigeringsfaktor_EI,'Korrigeringsfaktor EI'!S$1,FALSE),
"")</f>
        <v>10.473535353535354</v>
      </c>
      <c r="T332" s="18">
        <f>IFERROR(
                  Andel_oberoende_av_klimat*VLOOKUP($A332,Leveranser_per_nät,'Leveranser per nät'!T$1,FALSE)
               +Andel_beroende_av_klimat*VLOOKUP($A332,Leveranser_per_nät,'Leveranser per nät'!T$1,FALSE)/VLOOKUP($B332,Korrigeringsfaktor_EI,'Korrigeringsfaktor EI'!T$1,FALSE),
"")</f>
        <v>11.235079381443299</v>
      </c>
      <c r="U332" s="18">
        <f>IFERROR(
                  Andel_oberoende_av_klimat*VLOOKUP($A332,Leveranser_per_nät,'Leveranser per nät'!U$1,FALSE)
               +Andel_beroende_av_klimat*VLOOKUP($A332,Leveranser_per_nät,'Leveranser per nät'!U$1,FALSE)/VLOOKUP($B332,Korrigeringsfaktor_EI,'Korrigeringsfaktor EI'!U$1,FALSE),
"")</f>
        <v>11.461305747126437</v>
      </c>
      <c r="V332" s="18">
        <f>IFERROR(
                  Andel_oberoende_av_klimat*VLOOKUP($A332,Leveranser_per_nät,'Leveranser per nät'!V$1,FALSE)
               +Andel_beroende_av_klimat*VLOOKUP($A332,Leveranser_per_nät,'Leveranser per nät'!V$1,FALSE)/VLOOKUP($B332,Korrigeringsfaktor_EI,'Korrigeringsfaktor EI'!V$1,FALSE),
"")</f>
        <v>10.655953846153846</v>
      </c>
      <c r="W332" s="18">
        <f>IFERROR(
                  Andel_oberoende_av_klimat*VLOOKUP($A332,Leveranser_per_nät,'Leveranser per nät'!W$1,FALSE)
               +Andel_beroende_av_klimat*VLOOKUP($A332,Leveranser_per_nät,'Leveranser per nät'!W$1,FALSE)/VLOOKUP($B332,Korrigeringsfaktor_EI,'Korrigeringsfaktor EI'!W$1,FALSE),
"")</f>
        <v>11.157457894736842</v>
      </c>
      <c r="X332" s="18">
        <f>IFERROR(
                  Andel_oberoende_av_klimat*VLOOKUP($A332,Leveranser_per_nät,'Leveranser per nät'!X$1,FALSE)
               +Andel_beroende_av_klimat*VLOOKUP($A332,Leveranser_per_nät,'Leveranser per nät'!X$1,FALSE)/VLOOKUP($B332,Korrigeringsfaktor_EI,'Korrigeringsfaktor EI'!X$1,FALSE),
"")</f>
        <v>10.965852688172042</v>
      </c>
      <c r="Y332" s="18">
        <f>IFERROR(
                  Andel_oberoende_av_klimat*VLOOKUP($A332,Leveranser_per_nät,'Leveranser per nät'!Y$1,FALSE)
               +Andel_beroende_av_klimat*VLOOKUP($A332,Leveranser_per_nät,'Leveranser per nät'!Y$1,FALSE)/VLOOKUP($B332,Korrigeringsfaktor_EI,'Korrigeringsfaktor EI'!Y$1,FALSE),
"")</f>
        <v>11.133104545454547</v>
      </c>
      <c r="Z332" s="18">
        <f>IFERROR(
                  Andel_oberoende_av_klimat*VLOOKUP($A332,Leveranser_per_nät,'Leveranser per nät'!Z$1,FALSE)
               +Andel_beroende_av_klimat*VLOOKUP($A332,Leveranser_per_nät,'Leveranser per nät'!Z$1,FALSE)/VLOOKUP($B332,Korrigeringsfaktor_EI,'Korrigeringsfaktor EI'!Z$1,FALSE),
"")</f>
        <v>10.810697701149426</v>
      </c>
      <c r="AA332" s="18">
        <f>IFERROR(
                  Andel_oberoende_av_klimat*VLOOKUP($A332,Leveranser_per_nät,'Leveranser per nät'!AA$1,FALSE)
               +Andel_beroende_av_klimat*VLOOKUP($A332,Leveranser_per_nät,'Leveranser per nät'!AA$1,FALSE)/VLOOKUP($B332,Korrigeringsfaktor_EI,'Korrigeringsfaktor EI'!AA$1,FALSE),
"")</f>
        <v>10.699831147540984</v>
      </c>
      <c r="AB332" s="18">
        <f>IFERROR(
                  Andel_oberoende_av_klimat*VLOOKUP($A332,Leveranser_per_nät,'Leveranser per nät'!AB$1,FALSE)
               +Andel_beroende_av_klimat*VLOOKUP($A332,Leveranser_per_nät,'Leveranser per nät'!AB$1,FALSE)/VLOOKUP($B332,Korrigeringsfaktor_EI,'Korrigeringsfaktor EI'!AB$1,FALSE),
"")</f>
        <v>9.7000722606120444</v>
      </c>
      <c r="AC332" s="18">
        <f>IFERROR(
                  Andel_oberoende_av_klimat*VLOOKUP($A332,Leveranser_per_nät,'Leveranser per nät'!AC$1,FALSE)
               +Andel_beroende_av_klimat*VLOOKUP($A332,Leveranser_per_nät,'Leveranser per nät'!AC$1,FALSE)/VLOOKUP($B332,Korrigeringsfaktor_EI,'Korrigeringsfaktor EI'!AC$1,FALSE),
"")</f>
        <v>10.134757537154988</v>
      </c>
      <c r="AD332" t="e">
        <v>#N/A</v>
      </c>
    </row>
    <row r="333" spans="1:30" x14ac:dyDescent="0.25">
      <c r="A333" t="s">
        <v>73</v>
      </c>
      <c r="B333" t="s">
        <v>376</v>
      </c>
      <c r="C333" s="18">
        <f>IFERROR(
                  Andel_oberoende_av_klimat*VLOOKUP($A333,Leveranser_per_nät,'Leveranser per nät'!C$1,FALSE)
               +Andel_beroende_av_klimat*VLOOKUP($A333,Leveranser_per_nät,'Leveranser per nät'!C$1,FALSE)/VLOOKUP($B333,Korrigeringsfaktor_EI,'Korrigeringsfaktor EI'!C$1,FALSE),
"")</f>
        <v>0</v>
      </c>
      <c r="D333" s="18">
        <f>IFERROR(
                  Andel_oberoende_av_klimat*VLOOKUP($A333,Leveranser_per_nät,'Leveranser per nät'!D$1,FALSE)
               +Andel_beroende_av_klimat*VLOOKUP($A333,Leveranser_per_nät,'Leveranser per nät'!D$1,FALSE)/VLOOKUP($B333,Korrigeringsfaktor_EI,'Korrigeringsfaktor EI'!D$1,FALSE),
"")</f>
        <v>0</v>
      </c>
      <c r="E333" s="18">
        <f>IFERROR(
                  Andel_oberoende_av_klimat*VLOOKUP($A333,Leveranser_per_nät,'Leveranser per nät'!E$1,FALSE)
               +Andel_beroende_av_klimat*VLOOKUP($A333,Leveranser_per_nät,'Leveranser per nät'!E$1,FALSE)/VLOOKUP($B333,Korrigeringsfaktor_EI,'Korrigeringsfaktor EI'!E$1,FALSE),
"")</f>
        <v>0</v>
      </c>
      <c r="F333" s="18">
        <f>IFERROR(
                  Andel_oberoende_av_klimat*VLOOKUP($A333,Leveranser_per_nät,'Leveranser per nät'!F$1,FALSE)
               +Andel_beroende_av_klimat*VLOOKUP($A333,Leveranser_per_nät,'Leveranser per nät'!F$1,FALSE)/VLOOKUP($B333,Korrigeringsfaktor_EI,'Korrigeringsfaktor EI'!F$1,FALSE),
"")</f>
        <v>1.0826010101010102</v>
      </c>
      <c r="G333" s="18">
        <f>IFERROR(
                  Andel_oberoende_av_klimat*VLOOKUP($A333,Leveranser_per_nät,'Leveranser per nät'!G$1,FALSE)
               +Andel_beroende_av_klimat*VLOOKUP($A333,Leveranser_per_nät,'Leveranser per nät'!G$1,FALSE)/VLOOKUP($B333,Korrigeringsfaktor_EI,'Korrigeringsfaktor EI'!G$1,FALSE),
"")</f>
        <v>1.0526881720430108</v>
      </c>
      <c r="H333" s="18">
        <f>IFERROR(
                  Andel_oberoende_av_klimat*VLOOKUP($A333,Leveranser_per_nät,'Leveranser per nät'!H$1,FALSE)
               +Andel_beroende_av_klimat*VLOOKUP($A333,Leveranser_per_nät,'Leveranser per nät'!H$1,FALSE)/VLOOKUP($B333,Korrigeringsfaktor_EI,'Korrigeringsfaktor EI'!H$1,FALSE),
"")</f>
        <v>1</v>
      </c>
      <c r="I333" s="18">
        <f>IFERROR(
                  Andel_oberoende_av_klimat*VLOOKUP($A333,Leveranser_per_nät,'Leveranser per nät'!I$1,FALSE)
               +Andel_beroende_av_klimat*VLOOKUP($A333,Leveranser_per_nät,'Leveranser per nät'!I$1,FALSE)/VLOOKUP($B333,Korrigeringsfaktor_EI,'Korrigeringsfaktor EI'!I$1,FALSE),
"")</f>
        <v>1.0368421052631578</v>
      </c>
      <c r="J333" s="18">
        <f>IFERROR(
                  Andel_oberoende_av_klimat*VLOOKUP($A333,Leveranser_per_nät,'Leveranser per nät'!J$1,FALSE)
               +Andel_beroende_av_klimat*VLOOKUP($A333,Leveranser_per_nät,'Leveranser per nät'!J$1,FALSE)/VLOOKUP($B333,Korrigeringsfaktor_EI,'Korrigeringsfaktor EI'!J$1,FALSE),
"")</f>
        <v>1.532946868191519</v>
      </c>
      <c r="K333" s="18">
        <f>IFERROR(
                  Andel_oberoende_av_klimat*VLOOKUP($A333,Leveranser_per_nät,'Leveranser per nät'!K$1,FALSE)
               +Andel_beroende_av_klimat*VLOOKUP($A333,Leveranser_per_nät,'Leveranser per nät'!K$1,FALSE)/VLOOKUP($B333,Korrigeringsfaktor_EI,'Korrigeringsfaktor EI'!K$1,FALSE),
"")</f>
        <v>2.0218505207285022</v>
      </c>
      <c r="L333" s="18">
        <f>IFERROR(
                  Andel_oberoende_av_klimat*VLOOKUP($A333,Leveranser_per_nät,'Leveranser per nät'!L$1,FALSE)
               +Andel_beroende_av_klimat*VLOOKUP($A333,Leveranser_per_nät,'Leveranser per nät'!L$1,FALSE)/VLOOKUP($B333,Korrigeringsfaktor_EI,'Korrigeringsfaktor EI'!L$1,FALSE),
"")</f>
        <v>2.0519168092092488</v>
      </c>
      <c r="M333" s="18">
        <f>IFERROR(
                  Andel_oberoende_av_klimat*VLOOKUP($A333,Leveranser_per_nät,'Leveranser per nät'!M$1,FALSE)
               +Andel_beroende_av_klimat*VLOOKUP($A333,Leveranser_per_nät,'Leveranser per nät'!M$1,FALSE)/VLOOKUP($B333,Korrigeringsfaktor_EI,'Korrigeringsfaktor EI'!M$1,FALSE),
"")</f>
        <v>1.9103643765856302</v>
      </c>
      <c r="N333" s="18">
        <f>IFERROR(
                  Andel_oberoende_av_klimat*VLOOKUP($A333,Leveranser_per_nät,'Leveranser per nät'!N$1,FALSE)
               +Andel_beroende_av_klimat*VLOOKUP($A333,Leveranser_per_nät,'Leveranser per nät'!N$1,FALSE)/VLOOKUP($B333,Korrigeringsfaktor_EI,'Korrigeringsfaktor EI'!N$1,FALSE),
"")</f>
        <v>1.6613217391304351</v>
      </c>
      <c r="O333" s="18">
        <f>IFERROR(
                  Andel_oberoende_av_klimat*VLOOKUP($A333,Leveranser_per_nät,'Leveranser per nät'!O$1,FALSE)
               +Andel_beroende_av_klimat*VLOOKUP($A333,Leveranser_per_nät,'Leveranser per nät'!O$1,FALSE)/VLOOKUP($B333,Korrigeringsfaktor_EI,'Korrigeringsfaktor EI'!O$1,FALSE),
"")</f>
        <v>1.6038461538461535</v>
      </c>
      <c r="P333" s="18">
        <f>IFERROR(
                  Andel_oberoende_av_klimat*VLOOKUP($A333,Leveranser_per_nät,'Leveranser per nät'!P$1,FALSE)
               +Andel_beroende_av_klimat*VLOOKUP($A333,Leveranser_per_nät,'Leveranser per nät'!P$1,FALSE)/VLOOKUP($B333,Korrigeringsfaktor_EI,'Korrigeringsfaktor EI'!P$1,FALSE),
"")</f>
        <v>1.7495833333333333</v>
      </c>
      <c r="Q333" s="18">
        <f>IFERROR(
                  Andel_oberoende_av_klimat*VLOOKUP($A333,Leveranser_per_nät,'Leveranser per nät'!Q$1,FALSE)
               +Andel_beroende_av_klimat*VLOOKUP($A333,Leveranser_per_nät,'Leveranser per nät'!Q$1,FALSE)/VLOOKUP($B333,Korrigeringsfaktor_EI,'Korrigeringsfaktor EI'!Q$1,FALSE),
"")</f>
        <v>1.8129906542056073</v>
      </c>
      <c r="R333" s="18">
        <f>IFERROR(
                  Andel_oberoende_av_klimat*VLOOKUP($A333,Leveranser_per_nät,'Leveranser per nät'!R$1,FALSE)
               +Andel_beroende_av_klimat*VLOOKUP($A333,Leveranser_per_nät,'Leveranser per nät'!R$1,FALSE)/VLOOKUP($B333,Korrigeringsfaktor_EI,'Korrigeringsfaktor EI'!R$1,FALSE),
"")</f>
        <v>2.0643820224719098</v>
      </c>
      <c r="S333" s="18">
        <f>IFERROR(
                  Andel_oberoende_av_klimat*VLOOKUP($A333,Leveranser_per_nät,'Leveranser per nät'!S$1,FALSE)
               +Andel_beroende_av_klimat*VLOOKUP($A333,Leveranser_per_nät,'Leveranser per nät'!S$1,FALSE)/VLOOKUP($B333,Korrigeringsfaktor_EI,'Korrigeringsfaktor EI'!S$1,FALSE),
"")</f>
        <v>1.8389690721649488</v>
      </c>
      <c r="T333" s="18">
        <f>IFERROR(
                  Andel_oberoende_av_klimat*VLOOKUP($A333,Leveranser_per_nät,'Leveranser per nät'!T$1,FALSE)
               +Andel_beroende_av_klimat*VLOOKUP($A333,Leveranser_per_nät,'Leveranser per nät'!T$1,FALSE)/VLOOKUP($B333,Korrigeringsfaktor_EI,'Korrigeringsfaktor EI'!T$1,FALSE),
"")</f>
        <v>1.962608695652174</v>
      </c>
      <c r="U333" s="18">
        <f>IFERROR(
                  Andel_oberoende_av_klimat*VLOOKUP($A333,Leveranser_per_nät,'Leveranser per nät'!U$1,FALSE)
               +Andel_beroende_av_klimat*VLOOKUP($A333,Leveranser_per_nät,'Leveranser per nät'!U$1,FALSE)/VLOOKUP($B333,Korrigeringsfaktor_EI,'Korrigeringsfaktor EI'!U$1,FALSE),
"")</f>
        <v>2.0643820224719098</v>
      </c>
      <c r="V333" s="18">
        <f>IFERROR(
                  Andel_oberoende_av_klimat*VLOOKUP($A333,Leveranser_per_nät,'Leveranser per nät'!V$1,FALSE)
               +Andel_beroende_av_klimat*VLOOKUP($A333,Leveranser_per_nät,'Leveranser per nät'!V$1,FALSE)/VLOOKUP($B333,Korrigeringsfaktor_EI,'Korrigeringsfaktor EI'!V$1,FALSE),
"")</f>
        <v>6.0844943820224717</v>
      </c>
      <c r="W333" s="18">
        <f>IFERROR(
                  Andel_oberoende_av_klimat*VLOOKUP($A333,Leveranser_per_nät,'Leveranser per nät'!W$1,FALSE)
               +Andel_beroende_av_klimat*VLOOKUP($A333,Leveranser_per_nät,'Leveranser per nät'!W$1,FALSE)/VLOOKUP($B333,Korrigeringsfaktor_EI,'Korrigeringsfaktor EI'!W$1,FALSE),
"")</f>
        <v>7.2041666666666666</v>
      </c>
      <c r="X333" s="18">
        <f>IFERROR(
                  Andel_oberoende_av_klimat*VLOOKUP($A333,Leveranser_per_nät,'Leveranser per nät'!X$1,FALSE)
               +Andel_beroende_av_klimat*VLOOKUP($A333,Leveranser_per_nät,'Leveranser per nät'!X$1,FALSE)/VLOOKUP($B333,Korrigeringsfaktor_EI,'Korrigeringsfaktor EI'!X$1,FALSE),
"")</f>
        <v>7.5129166666666665</v>
      </c>
      <c r="Y333" s="18">
        <f>IFERROR(
                  Andel_oberoende_av_klimat*VLOOKUP($A333,Leveranser_per_nät,'Leveranser per nät'!Y$1,FALSE)
               +Andel_beroende_av_klimat*VLOOKUP($A333,Leveranser_per_nät,'Leveranser per nät'!Y$1,FALSE)/VLOOKUP($B333,Korrigeringsfaktor_EI,'Korrigeringsfaktor EI'!Y$1,FALSE),
"")</f>
        <v>7.4652631578947375</v>
      </c>
      <c r="Z333" s="18">
        <f>IFERROR(
                  Andel_oberoende_av_klimat*VLOOKUP($A333,Leveranser_per_nät,'Leveranser per nät'!Z$1,FALSE)
               +Andel_beroende_av_klimat*VLOOKUP($A333,Leveranser_per_nät,'Leveranser per nät'!Z$1,FALSE)/VLOOKUP($B333,Korrigeringsfaktor_EI,'Korrigeringsfaktor EI'!Z$1,FALSE),
"")</f>
        <v>7.88</v>
      </c>
      <c r="AA333" s="18">
        <f>IFERROR(
                  Andel_oberoende_av_klimat*VLOOKUP($A333,Leveranser_per_nät,'Leveranser per nät'!AA$1,FALSE)
               +Andel_beroende_av_klimat*VLOOKUP($A333,Leveranser_per_nät,'Leveranser per nät'!AA$1,FALSE)/VLOOKUP($B333,Korrigeringsfaktor_EI,'Korrigeringsfaktor EI'!AA$1,FALSE),
"")</f>
        <v>7.5461348595213318</v>
      </c>
      <c r="AB333" s="18">
        <f>IFERROR(
                  Andel_oberoende_av_klimat*VLOOKUP($A333,Leveranser_per_nät,'Leveranser per nät'!AB$1,FALSE)
               +Andel_beroende_av_klimat*VLOOKUP($A333,Leveranser_per_nät,'Leveranser per nät'!AB$1,FALSE)/VLOOKUP($B333,Korrigeringsfaktor_EI,'Korrigeringsfaktor EI'!AB$1,FALSE),
"")</f>
        <v>7.4997551059730245</v>
      </c>
      <c r="AC333" s="18">
        <f>IFERROR(
                  Andel_oberoende_av_klimat*VLOOKUP($A333,Leveranser_per_nät,'Leveranser per nät'!AC$1,FALSE)
               +Andel_beroende_av_klimat*VLOOKUP($A333,Leveranser_per_nät,'Leveranser per nät'!AC$1,FALSE)/VLOOKUP($B333,Korrigeringsfaktor_EI,'Korrigeringsfaktor EI'!AC$1,FALSE),
"")</f>
        <v>7.4481824310520937</v>
      </c>
      <c r="AD333">
        <v>223.7</v>
      </c>
    </row>
    <row r="334" spans="1:30" x14ac:dyDescent="0.25">
      <c r="A334" t="s">
        <v>87</v>
      </c>
      <c r="B334" t="s">
        <v>464</v>
      </c>
      <c r="C334" s="18">
        <f>IFERROR(
                  Andel_oberoende_av_klimat*VLOOKUP($A334,Leveranser_per_nät,'Leveranser per nät'!C$1,FALSE)
               +Andel_beroende_av_klimat*VLOOKUP($A334,Leveranser_per_nät,'Leveranser per nät'!C$1,FALSE)/VLOOKUP($B334,Korrigeringsfaktor_EI,'Korrigeringsfaktor EI'!C$1,FALSE),
"")</f>
        <v>0</v>
      </c>
      <c r="D334" s="18">
        <f>IFERROR(
                  Andel_oberoende_av_klimat*VLOOKUP($A334,Leveranser_per_nät,'Leveranser per nät'!D$1,FALSE)
               +Andel_beroende_av_klimat*VLOOKUP($A334,Leveranser_per_nät,'Leveranser per nät'!D$1,FALSE)/VLOOKUP($B334,Korrigeringsfaktor_EI,'Korrigeringsfaktor EI'!D$1,FALSE),
"")</f>
        <v>0</v>
      </c>
      <c r="E334" s="18">
        <f>IFERROR(
                  Andel_oberoende_av_klimat*VLOOKUP($A334,Leveranser_per_nät,'Leveranser per nät'!E$1,FALSE)
               +Andel_beroende_av_klimat*VLOOKUP($A334,Leveranser_per_nät,'Leveranser per nät'!E$1,FALSE)/VLOOKUP($B334,Korrigeringsfaktor_EI,'Korrigeringsfaktor EI'!E$1,FALSE),
"")</f>
        <v>0</v>
      </c>
      <c r="F334" s="18">
        <f>IFERROR(
                  Andel_oberoende_av_klimat*VLOOKUP($A334,Leveranser_per_nät,'Leveranser per nät'!F$1,FALSE)
               +Andel_beroende_av_klimat*VLOOKUP($A334,Leveranser_per_nät,'Leveranser per nät'!F$1,FALSE)/VLOOKUP($B334,Korrigeringsfaktor_EI,'Korrigeringsfaktor EI'!F$1,FALSE),
"")</f>
        <v>0</v>
      </c>
      <c r="G334" s="18">
        <f>IFERROR(
                  Andel_oberoende_av_klimat*VLOOKUP($A334,Leveranser_per_nät,'Leveranser per nät'!G$1,FALSE)
               +Andel_beroende_av_klimat*VLOOKUP($A334,Leveranser_per_nät,'Leveranser per nät'!G$1,FALSE)/VLOOKUP($B334,Korrigeringsfaktor_EI,'Korrigeringsfaktor EI'!G$1,FALSE),
"")</f>
        <v>0</v>
      </c>
      <c r="H334" s="18">
        <f>IFERROR(
                  Andel_oberoende_av_klimat*VLOOKUP($A334,Leveranser_per_nät,'Leveranser per nät'!H$1,FALSE)
               +Andel_beroende_av_klimat*VLOOKUP($A334,Leveranser_per_nät,'Leveranser per nät'!H$1,FALSE)/VLOOKUP($B334,Korrigeringsfaktor_EI,'Korrigeringsfaktor EI'!H$1,FALSE),
"")</f>
        <v>0</v>
      </c>
      <c r="I334" s="18">
        <f>IFERROR(
                  Andel_oberoende_av_klimat*VLOOKUP($A334,Leveranser_per_nät,'Leveranser per nät'!I$1,FALSE)
               +Andel_beroende_av_klimat*VLOOKUP($A334,Leveranser_per_nät,'Leveranser per nät'!I$1,FALSE)/VLOOKUP($B334,Korrigeringsfaktor_EI,'Korrigeringsfaktor EI'!I$1,FALSE),
"")</f>
        <v>0</v>
      </c>
      <c r="J334" s="18">
        <f>IFERROR(
                  Andel_oberoende_av_klimat*VLOOKUP($A334,Leveranser_per_nät,'Leveranser per nät'!J$1,FALSE)
               +Andel_beroende_av_klimat*VLOOKUP($A334,Leveranser_per_nät,'Leveranser per nät'!J$1,FALSE)/VLOOKUP($B334,Korrigeringsfaktor_EI,'Korrigeringsfaktor EI'!J$1,FALSE),
"")</f>
        <v>0</v>
      </c>
      <c r="K334" s="18">
        <f>IFERROR(
                  Andel_oberoende_av_klimat*VLOOKUP($A334,Leveranser_per_nät,'Leveranser per nät'!K$1,FALSE)
               +Andel_beroende_av_klimat*VLOOKUP($A334,Leveranser_per_nät,'Leveranser per nät'!K$1,FALSE)/VLOOKUP($B334,Korrigeringsfaktor_EI,'Korrigeringsfaktor EI'!K$1,FALSE),
"")</f>
        <v>0</v>
      </c>
      <c r="L334" s="18">
        <f>IFERROR(
                  Andel_oberoende_av_klimat*VLOOKUP($A334,Leveranser_per_nät,'Leveranser per nät'!L$1,FALSE)
               +Andel_beroende_av_klimat*VLOOKUP($A334,Leveranser_per_nät,'Leveranser per nät'!L$1,FALSE)/VLOOKUP($B334,Korrigeringsfaktor_EI,'Korrigeringsfaktor EI'!L$1,FALSE),
"")</f>
        <v>15.029780193378187</v>
      </c>
      <c r="M334" s="18">
        <f>IFERROR(
                  Andel_oberoende_av_klimat*VLOOKUP($A334,Leveranser_per_nät,'Leveranser per nät'!M$1,FALSE)
               +Andel_beroende_av_klimat*VLOOKUP($A334,Leveranser_per_nät,'Leveranser per nät'!M$1,FALSE)/VLOOKUP($B334,Korrigeringsfaktor_EI,'Korrigeringsfaktor EI'!M$1,FALSE),
"")</f>
        <v>12.647951063829787</v>
      </c>
      <c r="N334" s="18">
        <f>IFERROR(
                  Andel_oberoende_av_klimat*VLOOKUP($A334,Leveranser_per_nät,'Leveranser per nät'!N$1,FALSE)
               +Andel_beroende_av_klimat*VLOOKUP($A334,Leveranser_per_nät,'Leveranser per nät'!N$1,FALSE)/VLOOKUP($B334,Korrigeringsfaktor_EI,'Korrigeringsfaktor EI'!N$1,FALSE),
"")</f>
        <v>12.843947826086954</v>
      </c>
      <c r="O334" s="18">
        <f>IFERROR(
                  Andel_oberoende_av_klimat*VLOOKUP($A334,Leveranser_per_nät,'Leveranser per nät'!O$1,FALSE)
               +Andel_beroende_av_klimat*VLOOKUP($A334,Leveranser_per_nät,'Leveranser per nät'!O$1,FALSE)/VLOOKUP($B334,Korrigeringsfaktor_EI,'Korrigeringsfaktor EI'!O$1,FALSE),
"")</f>
        <v>10.891111827956989</v>
      </c>
      <c r="P334" s="18">
        <f>IFERROR(
                  Andel_oberoende_av_klimat*VLOOKUP($A334,Leveranser_per_nät,'Leveranser per nät'!P$1,FALSE)
               +Andel_beroende_av_klimat*VLOOKUP($A334,Leveranser_per_nät,'Leveranser per nät'!P$1,FALSE)/VLOOKUP($B334,Korrigeringsfaktor_EI,'Korrigeringsfaktor EI'!P$1,FALSE),
"")</f>
        <v>13.470762500000001</v>
      </c>
      <c r="Q334" s="18">
        <f>IFERROR(
                  Andel_oberoende_av_klimat*VLOOKUP($A334,Leveranser_per_nät,'Leveranser per nät'!Q$1,FALSE)
               +Andel_beroende_av_klimat*VLOOKUP($A334,Leveranser_per_nät,'Leveranser per nät'!Q$1,FALSE)/VLOOKUP($B334,Korrigeringsfaktor_EI,'Korrigeringsfaktor EI'!Q$1,FALSE),
"")</f>
        <v>12.95</v>
      </c>
      <c r="R334" s="18">
        <f>IFERROR(
                  Andel_oberoende_av_klimat*VLOOKUP($A334,Leveranser_per_nät,'Leveranser per nät'!R$1,FALSE)
               +Andel_beroende_av_klimat*VLOOKUP($A334,Leveranser_per_nät,'Leveranser per nät'!R$1,FALSE)/VLOOKUP($B334,Korrigeringsfaktor_EI,'Korrigeringsfaktor EI'!R$1,FALSE),
"")</f>
        <v>13.390736737589247</v>
      </c>
      <c r="S334" s="18">
        <f>IFERROR(
                  Andel_oberoende_av_klimat*VLOOKUP($A334,Leveranser_per_nät,'Leveranser per nät'!S$1,FALSE)
               +Andel_beroende_av_klimat*VLOOKUP($A334,Leveranser_per_nät,'Leveranser per nät'!S$1,FALSE)/VLOOKUP($B334,Korrigeringsfaktor_EI,'Korrigeringsfaktor EI'!S$1,FALSE),
"")</f>
        <v>12.681495049504949</v>
      </c>
      <c r="T334" s="18">
        <f>IFERROR(
                  Andel_oberoende_av_klimat*VLOOKUP($A334,Leveranser_per_nät,'Leveranser per nät'!T$1,FALSE)
               +Andel_beroende_av_klimat*VLOOKUP($A334,Leveranser_per_nät,'Leveranser per nät'!T$1,FALSE)/VLOOKUP($B334,Korrigeringsfaktor_EI,'Korrigeringsfaktor EI'!T$1,FALSE),
"")</f>
        <v>12.374285714285714</v>
      </c>
      <c r="U334" s="18">
        <f>IFERROR(
                  Andel_oberoende_av_klimat*VLOOKUP($A334,Leveranser_per_nät,'Leveranser per nät'!U$1,FALSE)
               +Andel_beroende_av_klimat*VLOOKUP($A334,Leveranser_per_nät,'Leveranser per nät'!U$1,FALSE)/VLOOKUP($B334,Korrigeringsfaktor_EI,'Korrigeringsfaktor EI'!U$1,FALSE),
"")</f>
        <v>13.145454545454545</v>
      </c>
      <c r="V334" s="18">
        <f>IFERROR(
                  Andel_oberoende_av_klimat*VLOOKUP($A334,Leveranser_per_nät,'Leveranser per nät'!V$1,FALSE)
               +Andel_beroende_av_klimat*VLOOKUP($A334,Leveranser_per_nät,'Leveranser per nät'!V$1,FALSE)/VLOOKUP($B334,Korrigeringsfaktor_EI,'Korrigeringsfaktor EI'!V$1,FALSE),
"")</f>
        <v>12.518260869565218</v>
      </c>
      <c r="W334" s="18">
        <f>IFERROR(
                  Andel_oberoende_av_klimat*VLOOKUP($A334,Leveranser_per_nät,'Leveranser per nät'!W$1,FALSE)
               +Andel_beroende_av_klimat*VLOOKUP($A334,Leveranser_per_nät,'Leveranser per nät'!W$1,FALSE)/VLOOKUP($B334,Korrigeringsfaktor_EI,'Korrigeringsfaktor EI'!W$1,FALSE),
"")</f>
        <v>12.349999999999998</v>
      </c>
      <c r="X334" s="18">
        <f>IFERROR(
                  Andel_oberoende_av_klimat*VLOOKUP($A334,Leveranser_per_nät,'Leveranser per nät'!X$1,FALSE)
               +Andel_beroende_av_klimat*VLOOKUP($A334,Leveranser_per_nät,'Leveranser per nät'!X$1,FALSE)/VLOOKUP($B334,Korrigeringsfaktor_EI,'Korrigeringsfaktor EI'!X$1,FALSE),
"")</f>
        <v>12.745106382978722</v>
      </c>
      <c r="Y334" s="18">
        <f>IFERROR(
                  Andel_oberoende_av_klimat*VLOOKUP($A334,Leveranser_per_nät,'Leveranser per nät'!Y$1,FALSE)
               +Andel_beroende_av_klimat*VLOOKUP($A334,Leveranser_per_nät,'Leveranser per nät'!Y$1,FALSE)/VLOOKUP($B334,Korrigeringsfaktor_EI,'Korrigeringsfaktor EI'!Y$1,FALSE),
"")</f>
        <v>12.712247191011235</v>
      </c>
      <c r="Z334" s="18">
        <f>IFERROR(
                  Andel_oberoende_av_klimat*VLOOKUP($A334,Leveranser_per_nät,'Leveranser per nät'!Z$1,FALSE)
               +Andel_beroende_av_klimat*VLOOKUP($A334,Leveranser_per_nät,'Leveranser per nät'!Z$1,FALSE)/VLOOKUP($B334,Korrigeringsfaktor_EI,'Korrigeringsfaktor EI'!Z$1,FALSE),
"")</f>
        <v>12.040114942528735</v>
      </c>
      <c r="AA334" s="18">
        <f>IFERROR(
                  Andel_oberoende_av_klimat*VLOOKUP($A334,Leveranser_per_nät,'Leveranser per nät'!AA$1,FALSE)
               +Andel_beroende_av_klimat*VLOOKUP($A334,Leveranser_per_nät,'Leveranser per nät'!AA$1,FALSE)/VLOOKUP($B334,Korrigeringsfaktor_EI,'Korrigeringsfaktor EI'!AA$1,FALSE),
"")</f>
        <v>12.239882572724845</v>
      </c>
      <c r="AB334" s="18">
        <f>IFERROR(
                  Andel_oberoende_av_klimat*VLOOKUP($A334,Leveranser_per_nät,'Leveranser per nät'!AB$1,FALSE)
               +Andel_beroende_av_klimat*VLOOKUP($A334,Leveranser_per_nät,'Leveranser per nät'!AB$1,FALSE)/VLOOKUP($B334,Korrigeringsfaktor_EI,'Korrigeringsfaktor EI'!AB$1,FALSE),
"")</f>
        <v>12.348230616302187</v>
      </c>
      <c r="AC334" s="18">
        <f>IFERROR(
                  Andel_oberoende_av_klimat*VLOOKUP($A334,Leveranser_per_nät,'Leveranser per nät'!AC$1,FALSE)
               +Andel_beroende_av_klimat*VLOOKUP($A334,Leveranser_per_nät,'Leveranser per nät'!AC$1,FALSE)/VLOOKUP($B334,Korrigeringsfaktor_EI,'Korrigeringsfaktor EI'!AC$1,FALSE),
"")</f>
        <v>12.149240506329114</v>
      </c>
      <c r="AD334" t="e">
        <v>#N/A</v>
      </c>
    </row>
    <row r="335" spans="1:30" x14ac:dyDescent="0.25">
      <c r="A335" t="s">
        <v>354</v>
      </c>
      <c r="B335" t="s">
        <v>2</v>
      </c>
      <c r="C335" s="18">
        <f>IFERROR(
                  Andel_oberoende_av_klimat*VLOOKUP($A335,Leveranser_per_nät,'Leveranser per nät'!C$1,FALSE)
               +Andel_beroende_av_klimat*VLOOKUP($A335,Leveranser_per_nät,'Leveranser per nät'!C$1,FALSE)/VLOOKUP($B335,Korrigeringsfaktor_EI,'Korrigeringsfaktor EI'!C$1,FALSE),
"")</f>
        <v>0</v>
      </c>
      <c r="D335" s="18">
        <f>IFERROR(
                  Andel_oberoende_av_klimat*VLOOKUP($A335,Leveranser_per_nät,'Leveranser per nät'!D$1,FALSE)
               +Andel_beroende_av_klimat*VLOOKUP($A335,Leveranser_per_nät,'Leveranser per nät'!D$1,FALSE)/VLOOKUP($B335,Korrigeringsfaktor_EI,'Korrigeringsfaktor EI'!D$1,FALSE),
"")</f>
        <v>0</v>
      </c>
      <c r="E335" s="18">
        <f>IFERROR(
                  Andel_oberoende_av_klimat*VLOOKUP($A335,Leveranser_per_nät,'Leveranser per nät'!E$1,FALSE)
               +Andel_beroende_av_klimat*VLOOKUP($A335,Leveranser_per_nät,'Leveranser per nät'!E$1,FALSE)/VLOOKUP($B335,Korrigeringsfaktor_EI,'Korrigeringsfaktor EI'!E$1,FALSE),
"")</f>
        <v>0</v>
      </c>
      <c r="F335" s="18">
        <f>IFERROR(
                  Andel_oberoende_av_klimat*VLOOKUP($A335,Leveranser_per_nät,'Leveranser per nät'!F$1,FALSE)
               +Andel_beroende_av_klimat*VLOOKUP($A335,Leveranser_per_nät,'Leveranser per nät'!F$1,FALSE)/VLOOKUP($B335,Korrigeringsfaktor_EI,'Korrigeringsfaktor EI'!F$1,FALSE),
"")</f>
        <v>0</v>
      </c>
      <c r="G335" s="18">
        <f>IFERROR(
                  Andel_oberoende_av_klimat*VLOOKUP($A335,Leveranser_per_nät,'Leveranser per nät'!G$1,FALSE)
               +Andel_beroende_av_klimat*VLOOKUP($A335,Leveranser_per_nät,'Leveranser per nät'!G$1,FALSE)/VLOOKUP($B335,Korrigeringsfaktor_EI,'Korrigeringsfaktor EI'!G$1,FALSE),
"")</f>
        <v>0</v>
      </c>
      <c r="H335" s="18">
        <f>IFERROR(
                  Andel_oberoende_av_klimat*VLOOKUP($A335,Leveranser_per_nät,'Leveranser per nät'!H$1,FALSE)
               +Andel_beroende_av_klimat*VLOOKUP($A335,Leveranser_per_nät,'Leveranser per nät'!H$1,FALSE)/VLOOKUP($B335,Korrigeringsfaktor_EI,'Korrigeringsfaktor EI'!H$1,FALSE),
"")</f>
        <v>3</v>
      </c>
      <c r="I335" s="18">
        <f>IFERROR(
                  Andel_oberoende_av_klimat*VLOOKUP($A335,Leveranser_per_nät,'Leveranser per nät'!I$1,FALSE)
               +Andel_beroende_av_klimat*VLOOKUP($A335,Leveranser_per_nät,'Leveranser per nät'!I$1,FALSE)/VLOOKUP($B335,Korrigeringsfaktor_EI,'Korrigeringsfaktor EI'!I$1,FALSE),
"")</f>
        <v>8.2947368421052623</v>
      </c>
      <c r="J335" s="18">
        <f>IFERROR(
                  Andel_oberoende_av_klimat*VLOOKUP($A335,Leveranser_per_nät,'Leveranser per nät'!J$1,FALSE)
               +Andel_beroende_av_klimat*VLOOKUP($A335,Leveranser_per_nät,'Leveranser per nät'!J$1,FALSE)/VLOOKUP($B335,Korrigeringsfaktor_EI,'Korrigeringsfaktor EI'!J$1,FALSE),
"")</f>
        <v>9.1285714285714299</v>
      </c>
      <c r="K335" s="18">
        <f>IFERROR(
                  Andel_oberoende_av_klimat*VLOOKUP($A335,Leveranser_per_nät,'Leveranser per nät'!K$1,FALSE)
               +Andel_beroende_av_klimat*VLOOKUP($A335,Leveranser_per_nät,'Leveranser per nät'!K$1,FALSE)/VLOOKUP($B335,Korrigeringsfaktor_EI,'Korrigeringsfaktor EI'!K$1,FALSE),
"")</f>
        <v>9.557101010101011</v>
      </c>
      <c r="L335" s="18">
        <f>IFERROR(
                  Andel_oberoende_av_klimat*VLOOKUP($A335,Leveranser_per_nät,'Leveranser per nät'!L$1,FALSE)
               +Andel_beroende_av_klimat*VLOOKUP($A335,Leveranser_per_nät,'Leveranser per nät'!L$1,FALSE)/VLOOKUP($B335,Korrigeringsfaktor_EI,'Korrigeringsfaktor EI'!L$1,FALSE),
"")</f>
        <v>9.5959500000000002</v>
      </c>
      <c r="M335" s="18">
        <f>IFERROR(
                  Andel_oberoende_av_klimat*VLOOKUP($A335,Leveranser_per_nät,'Leveranser per nät'!M$1,FALSE)
               +Andel_beroende_av_klimat*VLOOKUP($A335,Leveranser_per_nät,'Leveranser per nät'!M$1,FALSE)/VLOOKUP($B335,Korrigeringsfaktor_EI,'Korrigeringsfaktor EI'!M$1,FALSE),
"")</f>
        <v>9.9042782608695639</v>
      </c>
      <c r="N335" s="18">
        <f>IFERROR(
                  Andel_oberoende_av_klimat*VLOOKUP($A335,Leveranser_per_nät,'Leveranser per nät'!N$1,FALSE)
               +Andel_beroende_av_klimat*VLOOKUP($A335,Leveranser_per_nät,'Leveranser per nät'!N$1,FALSE)/VLOOKUP($B335,Korrigeringsfaktor_EI,'Korrigeringsfaktor EI'!N$1,FALSE),
"")</f>
        <v>9.8732341538461537</v>
      </c>
      <c r="O335" s="18">
        <f>IFERROR(
                  Andel_oberoende_av_klimat*VLOOKUP($A335,Leveranser_per_nät,'Leveranser per nät'!O$1,FALSE)
               +Andel_beroende_av_klimat*VLOOKUP($A335,Leveranser_per_nät,'Leveranser per nät'!O$1,FALSE)/VLOOKUP($B335,Korrigeringsfaktor_EI,'Korrigeringsfaktor EI'!O$1,FALSE),
"")</f>
        <v>10.153965582608695</v>
      </c>
      <c r="P335" s="18">
        <f>IFERROR(
                  Andel_oberoende_av_klimat*VLOOKUP($A335,Leveranser_per_nät,'Leveranser per nät'!P$1,FALSE)
               +Andel_beroende_av_klimat*VLOOKUP($A335,Leveranser_per_nät,'Leveranser per nät'!P$1,FALSE)/VLOOKUP($B335,Korrigeringsfaktor_EI,'Korrigeringsfaktor EI'!P$1,FALSE),
"")</f>
        <v>10.222726908333334</v>
      </c>
      <c r="Q335" s="18">
        <f>IFERROR(
                  Andel_oberoende_av_klimat*VLOOKUP($A335,Leveranser_per_nät,'Leveranser per nät'!Q$1,FALSE)
               +Andel_beroende_av_klimat*VLOOKUP($A335,Leveranser_per_nät,'Leveranser per nät'!Q$1,FALSE)/VLOOKUP($B335,Korrigeringsfaktor_EI,'Korrigeringsfaktor EI'!Q$1,FALSE),
"")</f>
        <v>10.384901924999999</v>
      </c>
      <c r="R335" s="18">
        <f>IFERROR(
                  Andel_oberoende_av_klimat*VLOOKUP($A335,Leveranser_per_nät,'Leveranser per nät'!R$1,FALSE)
               +Andel_beroende_av_klimat*VLOOKUP($A335,Leveranser_per_nät,'Leveranser per nät'!R$1,FALSE)/VLOOKUP($B335,Korrigeringsfaktor_EI,'Korrigeringsfaktor EI'!R$1,FALSE),
"")</f>
        <v>9.7103757193548379</v>
      </c>
      <c r="S335" s="18">
        <f>IFERROR(
                  Andel_oberoende_av_klimat*VLOOKUP($A335,Leveranser_per_nät,'Leveranser per nät'!S$1,FALSE)
               +Andel_beroende_av_klimat*VLOOKUP($A335,Leveranser_per_nät,'Leveranser per nät'!S$1,FALSE)/VLOOKUP($B335,Korrigeringsfaktor_EI,'Korrigeringsfaktor EI'!S$1,FALSE),
"")</f>
        <v>9.6625643564356452</v>
      </c>
      <c r="T335" s="18">
        <f>IFERROR(
                  Andel_oberoende_av_klimat*VLOOKUP($A335,Leveranser_per_nät,'Leveranser per nät'!T$1,FALSE)
               +Andel_beroende_av_klimat*VLOOKUP($A335,Leveranser_per_nät,'Leveranser per nät'!T$1,FALSE)/VLOOKUP($B335,Korrigeringsfaktor_EI,'Korrigeringsfaktor EI'!T$1,FALSE),
"")</f>
        <v>9.4946626262626275</v>
      </c>
      <c r="U335" s="18">
        <f>IFERROR(
                  Andel_oberoende_av_klimat*VLOOKUP($A335,Leveranser_per_nät,'Leveranser per nät'!U$1,FALSE)
               +Andel_beroende_av_klimat*VLOOKUP($A335,Leveranser_per_nät,'Leveranser per nät'!U$1,FALSE)/VLOOKUP($B335,Korrigeringsfaktor_EI,'Korrigeringsfaktor EI'!U$1,FALSE),
"")</f>
        <v>9.0528363636363629</v>
      </c>
      <c r="V335" s="18">
        <f>IFERROR(
                  Andel_oberoende_av_klimat*VLOOKUP($A335,Leveranser_per_nät,'Leveranser per nät'!V$1,FALSE)
               +Andel_beroende_av_klimat*VLOOKUP($A335,Leveranser_per_nät,'Leveranser per nät'!V$1,FALSE)/VLOOKUP($B335,Korrigeringsfaktor_EI,'Korrigeringsfaktor EI'!V$1,FALSE),
"")</f>
        <v>9.0224505913043469</v>
      </c>
      <c r="W335" s="18">
        <f>IFERROR(
                  Andel_oberoende_av_klimat*VLOOKUP($A335,Leveranser_per_nät,'Leveranser per nät'!W$1,FALSE)
               +Andel_beroende_av_klimat*VLOOKUP($A335,Leveranser_per_nät,'Leveranser per nät'!W$1,FALSE)/VLOOKUP($B335,Korrigeringsfaktor_EI,'Korrigeringsfaktor EI'!W$1,FALSE),
"")</f>
        <v>9.4186736842105265</v>
      </c>
      <c r="X335" s="18">
        <f>IFERROR(
                  Andel_oberoende_av_klimat*VLOOKUP($A335,Leveranser_per_nät,'Leveranser per nät'!X$1,FALSE)
               +Andel_beroende_av_klimat*VLOOKUP($A335,Leveranser_per_nät,'Leveranser per nät'!X$1,FALSE)/VLOOKUP($B335,Korrigeringsfaktor_EI,'Korrigeringsfaktor EI'!X$1,FALSE),
"")</f>
        <v>9.626734042553192</v>
      </c>
      <c r="Y335" s="18">
        <f>IFERROR(
                  Andel_oberoende_av_klimat*VLOOKUP($A335,Leveranser_per_nät,'Leveranser per nät'!Y$1,FALSE)
               +Andel_beroende_av_klimat*VLOOKUP($A335,Leveranser_per_nät,'Leveranser per nät'!Y$1,FALSE)/VLOOKUP($B335,Korrigeringsfaktor_EI,'Korrigeringsfaktor EI'!Y$1,FALSE),
"")</f>
        <v>10.429475280898878</v>
      </c>
      <c r="Z335" s="18">
        <f>IFERROR(
                  Andel_oberoende_av_klimat*VLOOKUP($A335,Leveranser_per_nät,'Leveranser per nät'!Z$1,FALSE)
               +Andel_beroende_av_klimat*VLOOKUP($A335,Leveranser_per_nät,'Leveranser per nät'!Z$1,FALSE)/VLOOKUP($B335,Korrigeringsfaktor_EI,'Korrigeringsfaktor EI'!Z$1,FALSE),
"")</f>
        <v>10.0015</v>
      </c>
      <c r="AA335" s="18">
        <f>IFERROR(
                  Andel_oberoende_av_klimat*VLOOKUP($A335,Leveranser_per_nät,'Leveranser per nät'!AA$1,FALSE)
               +Andel_beroende_av_klimat*VLOOKUP($A335,Leveranser_per_nät,'Leveranser per nät'!AA$1,FALSE)/VLOOKUP($B335,Korrigeringsfaktor_EI,'Korrigeringsfaktor EI'!AA$1,FALSE),
"")</f>
        <v>10.375831266284523</v>
      </c>
      <c r="AB335" s="18">
        <f>IFERROR(
                  Andel_oberoende_av_klimat*VLOOKUP($A335,Leveranser_per_nät,'Leveranser per nät'!AB$1,FALSE)
               +Andel_beroende_av_klimat*VLOOKUP($A335,Leveranser_per_nät,'Leveranser per nät'!AB$1,FALSE)/VLOOKUP($B335,Korrigeringsfaktor_EI,'Korrigeringsfaktor EI'!AB$1,FALSE),
"")</f>
        <v>10.054922834645669</v>
      </c>
      <c r="AC335" s="18">
        <f>IFERROR(
                  Andel_oberoende_av_klimat*VLOOKUP($A335,Leveranser_per_nät,'Leveranser per nät'!AC$1,FALSE)
               +Andel_beroende_av_klimat*VLOOKUP($A335,Leveranser_per_nät,'Leveranser per nät'!AC$1,FALSE)/VLOOKUP($B335,Korrigeringsfaktor_EI,'Korrigeringsfaktor EI'!AC$1,FALSE),
"")</f>
        <v>9.7121236286919839</v>
      </c>
      <c r="AD335">
        <v>53.42</v>
      </c>
    </row>
    <row r="336" spans="1:30" x14ac:dyDescent="0.25">
      <c r="A336" t="s">
        <v>197</v>
      </c>
      <c r="B336" t="s">
        <v>196</v>
      </c>
      <c r="C336" s="18">
        <f>IFERROR(
                  Andel_oberoende_av_klimat*VLOOKUP($A336,Leveranser_per_nät,'Leveranser per nät'!C$1,FALSE)
               +Andel_beroende_av_klimat*VLOOKUP($A336,Leveranser_per_nät,'Leveranser per nät'!C$1,FALSE)/VLOOKUP($B336,Korrigeringsfaktor_EI,'Korrigeringsfaktor EI'!C$1,FALSE),
"")</f>
        <v>0</v>
      </c>
      <c r="D336" s="18">
        <f>IFERROR(
                  Andel_oberoende_av_klimat*VLOOKUP($A336,Leveranser_per_nät,'Leveranser per nät'!D$1,FALSE)
               +Andel_beroende_av_klimat*VLOOKUP($A336,Leveranser_per_nät,'Leveranser per nät'!D$1,FALSE)/VLOOKUP($B336,Korrigeringsfaktor_EI,'Korrigeringsfaktor EI'!D$1,FALSE),
"")</f>
        <v>0</v>
      </c>
      <c r="E336" s="18">
        <f>IFERROR(
                  Andel_oberoende_av_klimat*VLOOKUP($A336,Leveranser_per_nät,'Leveranser per nät'!E$1,FALSE)
               +Andel_beroende_av_klimat*VLOOKUP($A336,Leveranser_per_nät,'Leveranser per nät'!E$1,FALSE)/VLOOKUP($B336,Korrigeringsfaktor_EI,'Korrigeringsfaktor EI'!E$1,FALSE),
"")</f>
        <v>0</v>
      </c>
      <c r="F336" s="18">
        <f>IFERROR(
                  Andel_oberoende_av_klimat*VLOOKUP($A336,Leveranser_per_nät,'Leveranser per nät'!F$1,FALSE)
               +Andel_beroende_av_klimat*VLOOKUP($A336,Leveranser_per_nät,'Leveranser per nät'!F$1,FALSE)/VLOOKUP($B336,Korrigeringsfaktor_EI,'Korrigeringsfaktor EI'!F$1,FALSE),
"")</f>
        <v>0</v>
      </c>
      <c r="G336" s="18">
        <f>IFERROR(
                  Andel_oberoende_av_klimat*VLOOKUP($A336,Leveranser_per_nät,'Leveranser per nät'!G$1,FALSE)
               +Andel_beroende_av_klimat*VLOOKUP($A336,Leveranser_per_nät,'Leveranser per nät'!G$1,FALSE)/VLOOKUP($B336,Korrigeringsfaktor_EI,'Korrigeringsfaktor EI'!G$1,FALSE),
"")</f>
        <v>0</v>
      </c>
      <c r="H336" s="18">
        <f>IFERROR(
                  Andel_oberoende_av_klimat*VLOOKUP($A336,Leveranser_per_nät,'Leveranser per nät'!H$1,FALSE)
               +Andel_beroende_av_klimat*VLOOKUP($A336,Leveranser_per_nät,'Leveranser per nät'!H$1,FALSE)/VLOOKUP($B336,Korrigeringsfaktor_EI,'Korrigeringsfaktor EI'!H$1,FALSE),
"")</f>
        <v>0</v>
      </c>
      <c r="I336" s="18">
        <f>IFERROR(
                  Andel_oberoende_av_klimat*VLOOKUP($A336,Leveranser_per_nät,'Leveranser per nät'!I$1,FALSE)
               +Andel_beroende_av_klimat*VLOOKUP($A336,Leveranser_per_nät,'Leveranser per nät'!I$1,FALSE)/VLOOKUP($B336,Korrigeringsfaktor_EI,'Korrigeringsfaktor EI'!I$1,FALSE),
"")</f>
        <v>0</v>
      </c>
      <c r="J336" s="18">
        <f>IFERROR(
                  Andel_oberoende_av_klimat*VLOOKUP($A336,Leveranser_per_nät,'Leveranser per nät'!J$1,FALSE)
               +Andel_beroende_av_klimat*VLOOKUP($A336,Leveranser_per_nät,'Leveranser per nät'!J$1,FALSE)/VLOOKUP($B336,Korrigeringsfaktor_EI,'Korrigeringsfaktor EI'!J$1,FALSE),
"")</f>
        <v>0</v>
      </c>
      <c r="K336" s="18">
        <f>IFERROR(
                  Andel_oberoende_av_klimat*VLOOKUP($A336,Leveranser_per_nät,'Leveranser per nät'!K$1,FALSE)
               +Andel_beroende_av_klimat*VLOOKUP($A336,Leveranser_per_nät,'Leveranser per nät'!K$1,FALSE)/VLOOKUP($B336,Korrigeringsfaktor_EI,'Korrigeringsfaktor EI'!K$1,FALSE),
"")</f>
        <v>0</v>
      </c>
      <c r="L336" s="18">
        <f>IFERROR(
                  Andel_oberoende_av_klimat*VLOOKUP($A336,Leveranser_per_nät,'Leveranser per nät'!L$1,FALSE)
               +Andel_beroende_av_klimat*VLOOKUP($A336,Leveranser_per_nät,'Leveranser per nät'!L$1,FALSE)/VLOOKUP($B336,Korrigeringsfaktor_EI,'Korrigeringsfaktor EI'!L$1,FALSE),
"")</f>
        <v>0</v>
      </c>
      <c r="M336" s="18">
        <f>IFERROR(
                  Andel_oberoende_av_klimat*VLOOKUP($A336,Leveranser_per_nät,'Leveranser per nät'!M$1,FALSE)
               +Andel_beroende_av_klimat*VLOOKUP($A336,Leveranser_per_nät,'Leveranser per nät'!M$1,FALSE)/VLOOKUP($B336,Korrigeringsfaktor_EI,'Korrigeringsfaktor EI'!M$1,FALSE),
"")</f>
        <v>18.671304347826087</v>
      </c>
      <c r="N336" s="18">
        <f>IFERROR(
                  Andel_oberoende_av_klimat*VLOOKUP($A336,Leveranser_per_nät,'Leveranser per nät'!N$1,FALSE)
               +Andel_beroende_av_klimat*VLOOKUP($A336,Leveranser_per_nät,'Leveranser per nät'!N$1,FALSE)/VLOOKUP($B336,Korrigeringsfaktor_EI,'Korrigeringsfaktor EI'!N$1,FALSE),
"")</f>
        <v>20.211612903225806</v>
      </c>
      <c r="O336" s="18">
        <f>IFERROR(
                  Andel_oberoende_av_klimat*VLOOKUP($A336,Leveranser_per_nät,'Leveranser per nät'!O$1,FALSE)
               +Andel_beroende_av_klimat*VLOOKUP($A336,Leveranser_per_nät,'Leveranser per nät'!O$1,FALSE)/VLOOKUP($B336,Korrigeringsfaktor_EI,'Korrigeringsfaktor EI'!O$1,FALSE),
"")</f>
        <v>20.948494623655911</v>
      </c>
      <c r="P336" s="18">
        <f>IFERROR(
                  Andel_oberoende_av_klimat*VLOOKUP($A336,Leveranser_per_nät,'Leveranser per nät'!P$1,FALSE)
               +Andel_beroende_av_klimat*VLOOKUP($A336,Leveranser_per_nät,'Leveranser per nät'!P$1,FALSE)/VLOOKUP($B336,Korrigeringsfaktor_EI,'Korrigeringsfaktor EI'!P$1,FALSE),
"")</f>
        <v>21.938297872340428</v>
      </c>
      <c r="Q336" s="18">
        <f>IFERROR(
                  Andel_oberoende_av_klimat*VLOOKUP($A336,Leveranser_per_nät,'Leveranser per nät'!Q$1,FALSE)
               +Andel_beroende_av_klimat*VLOOKUP($A336,Leveranser_per_nät,'Leveranser per nät'!Q$1,FALSE)/VLOOKUP($B336,Korrigeringsfaktor_EI,'Korrigeringsfaktor EI'!Q$1,FALSE),
"")</f>
        <v>22.280754716981129</v>
      </c>
      <c r="R336" s="18">
        <f>IFERROR(
                  Andel_oberoende_av_klimat*VLOOKUP($A336,Leveranser_per_nät,'Leveranser per nät'!R$1,FALSE)
               +Andel_beroende_av_klimat*VLOOKUP($A336,Leveranser_per_nät,'Leveranser per nät'!R$1,FALSE)/VLOOKUP($B336,Korrigeringsfaktor_EI,'Korrigeringsfaktor EI'!R$1,FALSE),
"")</f>
        <v>21.947640449438204</v>
      </c>
      <c r="S336" s="18">
        <f>IFERROR(
                  Andel_oberoende_av_klimat*VLOOKUP($A336,Leveranser_per_nät,'Leveranser per nät'!S$1,FALSE)
               +Andel_beroende_av_klimat*VLOOKUP($A336,Leveranser_per_nät,'Leveranser per nät'!S$1,FALSE)/VLOOKUP($B336,Korrigeringsfaktor_EI,'Korrigeringsfaktor EI'!S$1,FALSE),
"")</f>
        <v>22.314285714285717</v>
      </c>
      <c r="T336" s="18">
        <f>IFERROR(
                  Andel_oberoende_av_klimat*VLOOKUP($A336,Leveranser_per_nät,'Leveranser per nät'!T$1,FALSE)
               +Andel_beroende_av_klimat*VLOOKUP($A336,Leveranser_per_nät,'Leveranser per nät'!T$1,FALSE)/VLOOKUP($B336,Korrigeringsfaktor_EI,'Korrigeringsfaktor EI'!T$1,FALSE),
"")</f>
        <v>23.896021505376339</v>
      </c>
      <c r="U336" s="18">
        <f>IFERROR(
                  Andel_oberoende_av_klimat*VLOOKUP($A336,Leveranser_per_nät,'Leveranser per nät'!U$1,FALSE)
               +Andel_beroende_av_klimat*VLOOKUP($A336,Leveranser_per_nät,'Leveranser per nät'!U$1,FALSE)/VLOOKUP($B336,Korrigeringsfaktor_EI,'Korrigeringsfaktor EI'!U$1,FALSE),
"")</f>
        <v>22.925505617977528</v>
      </c>
      <c r="V336" s="18">
        <f>IFERROR(
                  Andel_oberoende_av_klimat*VLOOKUP($A336,Leveranser_per_nät,'Leveranser per nät'!V$1,FALSE)
               +Andel_beroende_av_klimat*VLOOKUP($A336,Leveranser_per_nät,'Leveranser per nät'!V$1,FALSE)/VLOOKUP($B336,Korrigeringsfaktor_EI,'Korrigeringsfaktor EI'!V$1,FALSE),
"")</f>
        <v>22.836046511627909</v>
      </c>
      <c r="W336" s="18">
        <f>IFERROR(
                  Andel_oberoende_av_klimat*VLOOKUP($A336,Leveranser_per_nät,'Leveranser per nät'!W$1,FALSE)
               +Andel_beroende_av_klimat*VLOOKUP($A336,Leveranser_per_nät,'Leveranser per nät'!W$1,FALSE)/VLOOKUP($B336,Korrigeringsfaktor_EI,'Korrigeringsfaktor EI'!W$1,FALSE),
"")</f>
        <v>22.8475</v>
      </c>
      <c r="X336" s="18">
        <f>IFERROR(
                  Andel_oberoende_av_klimat*VLOOKUP($A336,Leveranser_per_nät,'Leveranser per nät'!X$1,FALSE)
               +Andel_beroende_av_klimat*VLOOKUP($A336,Leveranser_per_nät,'Leveranser per nät'!X$1,FALSE)/VLOOKUP($B336,Korrigeringsfaktor_EI,'Korrigeringsfaktor EI'!X$1,FALSE),
"")</f>
        <v>23.19144329896907</v>
      </c>
      <c r="Y336" s="18">
        <f>IFERROR(
                  Andel_oberoende_av_klimat*VLOOKUP($A336,Leveranser_per_nät,'Leveranser per nät'!Y$1,FALSE)
               +Andel_beroende_av_klimat*VLOOKUP($A336,Leveranser_per_nät,'Leveranser per nät'!Y$1,FALSE)/VLOOKUP($B336,Korrigeringsfaktor_EI,'Korrigeringsfaktor EI'!Y$1,FALSE),
"")</f>
        <v>22.884948453608246</v>
      </c>
      <c r="Z336" s="18">
        <f>IFERROR(
                  Andel_oberoende_av_klimat*VLOOKUP($A336,Leveranser_per_nät,'Leveranser per nät'!Z$1,FALSE)
               +Andel_beroende_av_klimat*VLOOKUP($A336,Leveranser_per_nät,'Leveranser per nät'!Z$1,FALSE)/VLOOKUP($B336,Korrigeringsfaktor_EI,'Korrigeringsfaktor EI'!Z$1,FALSE),
"")</f>
        <v>22.517142857142858</v>
      </c>
      <c r="AA336" s="18">
        <f>IFERROR(
                  Andel_oberoende_av_klimat*VLOOKUP($A336,Leveranser_per_nät,'Leveranser per nät'!AA$1,FALSE)
               +Andel_beroende_av_klimat*VLOOKUP($A336,Leveranser_per_nät,'Leveranser per nät'!AA$1,FALSE)/VLOOKUP($B336,Korrigeringsfaktor_EI,'Korrigeringsfaktor EI'!AA$1,FALSE),
"")</f>
        <v>21.924891447989427</v>
      </c>
      <c r="AB336" s="18">
        <f>IFERROR(
                  Andel_oberoende_av_klimat*VLOOKUP($A336,Leveranser_per_nät,'Leveranser per nät'!AB$1,FALSE)
               +Andel_beroende_av_klimat*VLOOKUP($A336,Leveranser_per_nät,'Leveranser per nät'!AB$1,FALSE)/VLOOKUP($B336,Korrigeringsfaktor_EI,'Korrigeringsfaktor EI'!AB$1,FALSE),
"")</f>
        <v>22.002651072124756</v>
      </c>
      <c r="AC336" s="18">
        <f>IFERROR(
                  Andel_oberoende_av_klimat*VLOOKUP($A336,Leveranser_per_nät,'Leveranser per nät'!AC$1,FALSE)
               +Andel_beroende_av_klimat*VLOOKUP($A336,Leveranser_per_nät,'Leveranser per nät'!AC$1,FALSE)/VLOOKUP($B336,Korrigeringsfaktor_EI,'Korrigeringsfaktor EI'!AC$1,FALSE),
"")</f>
        <v>21.612500000000001</v>
      </c>
      <c r="AD336">
        <v>765</v>
      </c>
    </row>
    <row r="337" spans="1:30" x14ac:dyDescent="0.25">
      <c r="A337" t="s">
        <v>252</v>
      </c>
      <c r="B337" t="s">
        <v>252</v>
      </c>
      <c r="C337" s="18">
        <f>IFERROR(
                  Andel_oberoende_av_klimat*VLOOKUP($A337,Leveranser_per_nät,'Leveranser per nät'!C$1,FALSE)
               +Andel_beroende_av_klimat*VLOOKUP($A337,Leveranser_per_nät,'Leveranser per nät'!C$1,FALSE)/VLOOKUP($B337,Korrigeringsfaktor_EI,'Korrigeringsfaktor EI'!C$1,FALSE),
"")</f>
        <v>32.652830188679239</v>
      </c>
      <c r="D337" s="18">
        <f>IFERROR(
                  Andel_oberoende_av_klimat*VLOOKUP($A337,Leveranser_per_nät,'Leveranser per nät'!D$1,FALSE)
               +Andel_beroende_av_klimat*VLOOKUP($A337,Leveranser_per_nät,'Leveranser per nät'!D$1,FALSE)/VLOOKUP($B337,Korrigeringsfaktor_EI,'Korrigeringsfaktor EI'!D$1,FALSE),
"")</f>
        <v>30.185458333333337</v>
      </c>
      <c r="E337" s="18">
        <f>IFERROR(
                  Andel_oberoende_av_klimat*VLOOKUP($A337,Leveranser_per_nät,'Leveranser per nät'!E$1,FALSE)
               +Andel_beroende_av_klimat*VLOOKUP($A337,Leveranser_per_nät,'Leveranser per nät'!E$1,FALSE)/VLOOKUP($B337,Korrigeringsfaktor_EI,'Korrigeringsfaktor EI'!E$1,FALSE),
"")</f>
        <v>28</v>
      </c>
      <c r="F337" s="18">
        <f>IFERROR(
                  Andel_oberoende_av_klimat*VLOOKUP($A337,Leveranser_per_nät,'Leveranser per nät'!F$1,FALSE)
               +Andel_beroende_av_klimat*VLOOKUP($A337,Leveranser_per_nät,'Leveranser per nät'!F$1,FALSE)/VLOOKUP($B337,Korrigeringsfaktor_EI,'Korrigeringsfaktor EI'!F$1,FALSE),
"")</f>
        <v>28.4</v>
      </c>
      <c r="G337" s="18">
        <f>IFERROR(
                  Andel_oberoende_av_klimat*VLOOKUP($A337,Leveranser_per_nät,'Leveranser per nät'!G$1,FALSE)
               +Andel_beroende_av_klimat*VLOOKUP($A337,Leveranser_per_nät,'Leveranser per nät'!G$1,FALSE)/VLOOKUP($B337,Korrigeringsfaktor_EI,'Korrigeringsfaktor EI'!G$1,FALSE),
"")</f>
        <v>30.765217391304347</v>
      </c>
      <c r="H337" s="18">
        <f>IFERROR(
                  Andel_oberoende_av_klimat*VLOOKUP($A337,Leveranser_per_nät,'Leveranser per nät'!H$1,FALSE)
               +Andel_beroende_av_klimat*VLOOKUP($A337,Leveranser_per_nät,'Leveranser per nät'!H$1,FALSE)/VLOOKUP($B337,Korrigeringsfaktor_EI,'Korrigeringsfaktor EI'!H$1,FALSE),
"")</f>
        <v>33.233333333333334</v>
      </c>
      <c r="I337" s="18">
        <f>IFERROR(
                  Andel_oberoende_av_klimat*VLOOKUP($A337,Leveranser_per_nät,'Leveranser per nät'!I$1,FALSE)
               +Andel_beroende_av_klimat*VLOOKUP($A337,Leveranser_per_nät,'Leveranser per nät'!I$1,FALSE)/VLOOKUP($B337,Korrigeringsfaktor_EI,'Korrigeringsfaktor EI'!I$1,FALSE),
"")</f>
        <v>33.42978723404255</v>
      </c>
      <c r="J337" s="18">
        <f>IFERROR(
                  Andel_oberoende_av_klimat*VLOOKUP($A337,Leveranser_per_nät,'Leveranser per nät'!J$1,FALSE)
               +Andel_beroende_av_klimat*VLOOKUP($A337,Leveranser_per_nät,'Leveranser per nät'!J$1,FALSE)/VLOOKUP($B337,Korrigeringsfaktor_EI,'Korrigeringsfaktor EI'!J$1,FALSE),
"")</f>
        <v>35.194523655913976</v>
      </c>
      <c r="K337" s="18">
        <f>IFERROR(
                  Andel_oberoende_av_klimat*VLOOKUP($A337,Leveranser_per_nät,'Leveranser per nät'!K$1,FALSE)
               +Andel_beroende_av_klimat*VLOOKUP($A337,Leveranser_per_nät,'Leveranser per nät'!K$1,FALSE)/VLOOKUP($B337,Korrigeringsfaktor_EI,'Korrigeringsfaktor EI'!K$1,FALSE),
"")</f>
        <v>35.792450537634402</v>
      </c>
      <c r="L337" s="18">
        <f>IFERROR(
                  Andel_oberoende_av_klimat*VLOOKUP($A337,Leveranser_per_nät,'Leveranser per nät'!L$1,FALSE)
               +Andel_beroende_av_klimat*VLOOKUP($A337,Leveranser_per_nät,'Leveranser per nät'!L$1,FALSE)/VLOOKUP($B337,Korrigeringsfaktor_EI,'Korrigeringsfaktor EI'!L$1,FALSE),
"")</f>
        <v>38.011153846153846</v>
      </c>
      <c r="M337" s="18">
        <f>IFERROR(
                  Andel_oberoende_av_klimat*VLOOKUP($A337,Leveranser_per_nät,'Leveranser per nät'!M$1,FALSE)
               +Andel_beroende_av_klimat*VLOOKUP($A337,Leveranser_per_nät,'Leveranser per nät'!M$1,FALSE)/VLOOKUP($B337,Korrigeringsfaktor_EI,'Korrigeringsfaktor EI'!M$1,FALSE),
"")</f>
        <v>38.799999999999997</v>
      </c>
      <c r="N337" s="18">
        <f>IFERROR(
                  Andel_oberoende_av_klimat*VLOOKUP($A337,Leveranser_per_nät,'Leveranser per nät'!N$1,FALSE)
               +Andel_beroende_av_klimat*VLOOKUP($A337,Leveranser_per_nät,'Leveranser per nät'!N$1,FALSE)/VLOOKUP($B337,Korrigeringsfaktor_EI,'Korrigeringsfaktor EI'!N$1,FALSE),
"")</f>
        <v>40.633763440860214</v>
      </c>
      <c r="O337" s="18">
        <f>IFERROR(
                  Andel_oberoende_av_klimat*VLOOKUP($A337,Leveranser_per_nät,'Leveranser per nät'!O$1,FALSE)
               +Andel_beroende_av_klimat*VLOOKUP($A337,Leveranser_per_nät,'Leveranser per nät'!O$1,FALSE)/VLOOKUP($B337,Korrigeringsfaktor_EI,'Korrigeringsfaktor EI'!O$1,FALSE),
"")</f>
        <v>44.238260869565224</v>
      </c>
      <c r="P337" s="18">
        <f>IFERROR(
                  Andel_oberoende_av_klimat*VLOOKUP($A337,Leveranser_per_nät,'Leveranser per nät'!P$1,FALSE)
               +Andel_beroende_av_klimat*VLOOKUP($A337,Leveranser_per_nät,'Leveranser per nät'!P$1,FALSE)/VLOOKUP($B337,Korrigeringsfaktor_EI,'Korrigeringsfaktor EI'!P$1,FALSE),
"")</f>
        <v>46.35285714285714</v>
      </c>
      <c r="Q337" s="18">
        <f>IFERROR(
                  Andel_oberoende_av_klimat*VLOOKUP($A337,Leveranser_per_nät,'Leveranser per nät'!Q$1,FALSE)
               +Andel_beroende_av_klimat*VLOOKUP($A337,Leveranser_per_nät,'Leveranser per nät'!Q$1,FALSE)/VLOOKUP($B337,Korrigeringsfaktor_EI,'Korrigeringsfaktor EI'!Q$1,FALSE),
"")</f>
        <v>49.302499999999995</v>
      </c>
      <c r="R337" s="18">
        <f>IFERROR(
                  Andel_oberoende_av_klimat*VLOOKUP($A337,Leveranser_per_nät,'Leveranser per nät'!R$1,FALSE)
               +Andel_beroende_av_klimat*VLOOKUP($A337,Leveranser_per_nät,'Leveranser per nät'!R$1,FALSE)/VLOOKUP($B337,Korrigeringsfaktor_EI,'Korrigeringsfaktor EI'!R$1,FALSE),
"")</f>
        <v>53.46153846153846</v>
      </c>
      <c r="S337" s="18">
        <f>IFERROR(
                  Andel_oberoende_av_klimat*VLOOKUP($A337,Leveranser_per_nät,'Leveranser per nät'!S$1,FALSE)
               +Andel_beroende_av_klimat*VLOOKUP($A337,Leveranser_per_nät,'Leveranser per nät'!S$1,FALSE)/VLOOKUP($B337,Korrigeringsfaktor_EI,'Korrigeringsfaktor EI'!S$1,FALSE),
"")</f>
        <v>48</v>
      </c>
      <c r="T337" s="18">
        <f>IFERROR(
                  Andel_oberoende_av_klimat*VLOOKUP($A337,Leveranser_per_nät,'Leveranser per nät'!T$1,FALSE)
               +Andel_beroende_av_klimat*VLOOKUP($A337,Leveranser_per_nät,'Leveranser per nät'!T$1,FALSE)/VLOOKUP($B337,Korrigeringsfaktor_EI,'Korrigeringsfaktor EI'!T$1,FALSE),
"")</f>
        <v>48.00578947368421</v>
      </c>
      <c r="U337" s="18">
        <f>IFERROR(
                  Andel_oberoende_av_klimat*VLOOKUP($A337,Leveranser_per_nät,'Leveranser per nät'!U$1,FALSE)
               +Andel_beroende_av_klimat*VLOOKUP($A337,Leveranser_per_nät,'Leveranser per nät'!U$1,FALSE)/VLOOKUP($B337,Korrigeringsfaktor_EI,'Korrigeringsfaktor EI'!U$1,FALSE),
"")</f>
        <v>46.82887640449438</v>
      </c>
      <c r="V337" s="18">
        <f>IFERROR(
                  Andel_oberoende_av_klimat*VLOOKUP($A337,Leveranser_per_nät,'Leveranser per nät'!V$1,FALSE)
               +Andel_beroende_av_klimat*VLOOKUP($A337,Leveranser_per_nät,'Leveranser per nät'!V$1,FALSE)/VLOOKUP($B337,Korrigeringsfaktor_EI,'Korrigeringsfaktor EI'!V$1,FALSE),
"")</f>
        <v>45.86999999999999</v>
      </c>
      <c r="W337" s="18">
        <f>IFERROR(
                  Andel_oberoende_av_klimat*VLOOKUP($A337,Leveranser_per_nät,'Leveranser per nät'!W$1,FALSE)
               +Andel_beroende_av_klimat*VLOOKUP($A337,Leveranser_per_nät,'Leveranser per nät'!W$1,FALSE)/VLOOKUP($B337,Korrigeringsfaktor_EI,'Korrigeringsfaktor EI'!W$1,FALSE),
"")</f>
        <v>46.488297872340425</v>
      </c>
      <c r="X337" s="18">
        <f>IFERROR(
                  Andel_oberoende_av_klimat*VLOOKUP($A337,Leveranser_per_nät,'Leveranser per nät'!X$1,FALSE)
               +Andel_beroende_av_klimat*VLOOKUP($A337,Leveranser_per_nät,'Leveranser per nät'!X$1,FALSE)/VLOOKUP($B337,Korrigeringsfaktor_EI,'Korrigeringsfaktor EI'!X$1,FALSE),
"")</f>
        <v>46.415416666666673</v>
      </c>
      <c r="Y337" s="18">
        <f>IFERROR(
                  Andel_oberoende_av_klimat*VLOOKUP($A337,Leveranser_per_nät,'Leveranser per nät'!Y$1,FALSE)
               +Andel_beroende_av_klimat*VLOOKUP($A337,Leveranser_per_nät,'Leveranser per nät'!Y$1,FALSE)/VLOOKUP($B337,Korrigeringsfaktor_EI,'Korrigeringsfaktor EI'!Y$1,FALSE),
"")</f>
        <v>47.633043478260873</v>
      </c>
      <c r="Z337" s="18">
        <f>IFERROR(
                  Andel_oberoende_av_klimat*VLOOKUP($A337,Leveranser_per_nät,'Leveranser per nät'!Z$1,FALSE)
               +Andel_beroende_av_klimat*VLOOKUP($A337,Leveranser_per_nät,'Leveranser per nät'!Z$1,FALSE)/VLOOKUP($B337,Korrigeringsfaktor_EI,'Korrigeringsfaktor EI'!Z$1,FALSE),
"")</f>
        <v>47.05516129032258</v>
      </c>
      <c r="AA337" s="18">
        <f>IFERROR(
                  Andel_oberoende_av_klimat*VLOOKUP($A337,Leveranser_per_nät,'Leveranser per nät'!AA$1,FALSE)
               +Andel_beroende_av_klimat*VLOOKUP($A337,Leveranser_per_nät,'Leveranser per nät'!AA$1,FALSE)/VLOOKUP($B337,Korrigeringsfaktor_EI,'Korrigeringsfaktor EI'!AA$1,FALSE),
"")</f>
        <v>42.636428120167878</v>
      </c>
      <c r="AB337" s="18">
        <f>IFERROR(
                  Andel_oberoende_av_klimat*VLOOKUP($A337,Leveranser_per_nät,'Leveranser per nät'!AB$1,FALSE)
               +Andel_beroende_av_klimat*VLOOKUP($A337,Leveranser_per_nät,'Leveranser per nät'!AB$1,FALSE)/VLOOKUP($B337,Korrigeringsfaktor_EI,'Korrigeringsfaktor EI'!AB$1,FALSE),
"")</f>
        <v>44.126003777335981</v>
      </c>
      <c r="AC337" s="18">
        <f>IFERROR(
                  Andel_oberoende_av_klimat*VLOOKUP($A337,Leveranser_per_nät,'Leveranser per nät'!AC$1,FALSE)
               +Andel_beroende_av_klimat*VLOOKUP($A337,Leveranser_per_nät,'Leveranser per nät'!AC$1,FALSE)/VLOOKUP($B337,Korrigeringsfaktor_EI,'Korrigeringsfaktor EI'!AC$1,FALSE),
"")</f>
        <v>43.246715767634853</v>
      </c>
      <c r="AD337">
        <v>42.145000000000003</v>
      </c>
    </row>
    <row r="338" spans="1:30" x14ac:dyDescent="0.25">
      <c r="A338" s="3" t="s">
        <v>11</v>
      </c>
      <c r="B338" t="s">
        <v>138</v>
      </c>
      <c r="C338" s="18">
        <f>IFERROR(
                  Andel_oberoende_av_klimat*VLOOKUP($A338,Leveranser_per_nät,'Leveranser per nät'!C$1,FALSE)
               +Andel_beroende_av_klimat*VLOOKUP($A338,Leveranser_per_nät,'Leveranser per nät'!C$1,FALSE)/VLOOKUP($B338,Korrigeringsfaktor_EI,'Korrigeringsfaktor EI'!C$1,FALSE),
"")</f>
        <v>0</v>
      </c>
      <c r="D338" s="18">
        <f>IFERROR(
                  Andel_oberoende_av_klimat*VLOOKUP($A338,Leveranser_per_nät,'Leveranser per nät'!D$1,FALSE)
               +Andel_beroende_av_klimat*VLOOKUP($A338,Leveranser_per_nät,'Leveranser per nät'!D$1,FALSE)/VLOOKUP($B338,Korrigeringsfaktor_EI,'Korrigeringsfaktor EI'!D$1,FALSE),
"")</f>
        <v>0</v>
      </c>
      <c r="E338" s="18">
        <f>IFERROR(
                  Andel_oberoende_av_klimat*VLOOKUP($A338,Leveranser_per_nät,'Leveranser per nät'!E$1,FALSE)
               +Andel_beroende_av_klimat*VLOOKUP($A338,Leveranser_per_nät,'Leveranser per nät'!E$1,FALSE)/VLOOKUP($B338,Korrigeringsfaktor_EI,'Korrigeringsfaktor EI'!E$1,FALSE),
"")</f>
        <v>0</v>
      </c>
      <c r="F338" s="18">
        <f>IFERROR(
                  Andel_oberoende_av_klimat*VLOOKUP($A338,Leveranser_per_nät,'Leveranser per nät'!F$1,FALSE)
               +Andel_beroende_av_klimat*VLOOKUP($A338,Leveranser_per_nät,'Leveranser per nät'!F$1,FALSE)/VLOOKUP($B338,Korrigeringsfaktor_EI,'Korrigeringsfaktor EI'!F$1,FALSE),
"")</f>
        <v>0</v>
      </c>
      <c r="G338" s="18">
        <f>IFERROR(
                  Andel_oberoende_av_klimat*VLOOKUP($A338,Leveranser_per_nät,'Leveranser per nät'!G$1,FALSE)
               +Andel_beroende_av_klimat*VLOOKUP($A338,Leveranser_per_nät,'Leveranser per nät'!G$1,FALSE)/VLOOKUP($B338,Korrigeringsfaktor_EI,'Korrigeringsfaktor EI'!G$1,FALSE),
"")</f>
        <v>0</v>
      </c>
      <c r="H338" s="18">
        <f>IFERROR(
                  Andel_oberoende_av_klimat*VLOOKUP($A338,Leveranser_per_nät,'Leveranser per nät'!H$1,FALSE)
               +Andel_beroende_av_klimat*VLOOKUP($A338,Leveranser_per_nät,'Leveranser per nät'!H$1,FALSE)/VLOOKUP($B338,Korrigeringsfaktor_EI,'Korrigeringsfaktor EI'!H$1,FALSE),
"")</f>
        <v>0</v>
      </c>
      <c r="I338" s="18">
        <f>IFERROR(
                  Andel_oberoende_av_klimat*VLOOKUP($A338,Leveranser_per_nät,'Leveranser per nät'!I$1,FALSE)
               +Andel_beroende_av_klimat*VLOOKUP($A338,Leveranser_per_nät,'Leveranser per nät'!I$1,FALSE)/VLOOKUP($B338,Korrigeringsfaktor_EI,'Korrigeringsfaktor EI'!I$1,FALSE),
"")</f>
        <v>0</v>
      </c>
      <c r="J338" s="18">
        <f>IFERROR(
                  Andel_oberoende_av_klimat*VLOOKUP($A338,Leveranser_per_nät,'Leveranser per nät'!J$1,FALSE)
               +Andel_beroende_av_klimat*VLOOKUP($A338,Leveranser_per_nät,'Leveranser per nät'!J$1,FALSE)/VLOOKUP($B338,Korrigeringsfaktor_EI,'Korrigeringsfaktor EI'!J$1,FALSE),
"")</f>
        <v>0</v>
      </c>
      <c r="K338" s="18">
        <f>IFERROR(
                  Andel_oberoende_av_klimat*VLOOKUP($A338,Leveranser_per_nät,'Leveranser per nät'!K$1,FALSE)
               +Andel_beroende_av_klimat*VLOOKUP($A338,Leveranser_per_nät,'Leveranser per nät'!K$1,FALSE)/VLOOKUP($B338,Korrigeringsfaktor_EI,'Korrigeringsfaktor EI'!K$1,FALSE),
"")</f>
        <v>0</v>
      </c>
      <c r="L338" s="18">
        <f>IFERROR(
                  Andel_oberoende_av_klimat*VLOOKUP($A338,Leveranser_per_nät,'Leveranser per nät'!L$1,FALSE)
               +Andel_beroende_av_klimat*VLOOKUP($A338,Leveranser_per_nät,'Leveranser per nät'!L$1,FALSE)/VLOOKUP($B338,Korrigeringsfaktor_EI,'Korrigeringsfaktor EI'!L$1,FALSE),
"")</f>
        <v>0</v>
      </c>
      <c r="M338" s="18">
        <f>IFERROR(
                  Andel_oberoende_av_klimat*VLOOKUP($A338,Leveranser_per_nät,'Leveranser per nät'!M$1,FALSE)
               +Andel_beroende_av_klimat*VLOOKUP($A338,Leveranser_per_nät,'Leveranser per nät'!M$1,FALSE)/VLOOKUP($B338,Korrigeringsfaktor_EI,'Korrigeringsfaktor EI'!M$1,FALSE),
"")</f>
        <v>0</v>
      </c>
      <c r="N338" s="18">
        <f>IFERROR(
                  Andel_oberoende_av_klimat*VLOOKUP($A338,Leveranser_per_nät,'Leveranser per nät'!N$1,FALSE)
               +Andel_beroende_av_klimat*VLOOKUP($A338,Leveranser_per_nät,'Leveranser per nät'!N$1,FALSE)/VLOOKUP($B338,Korrigeringsfaktor_EI,'Korrigeringsfaktor EI'!N$1,FALSE),
"")</f>
        <v>0</v>
      </c>
      <c r="O338" s="18">
        <f>IFERROR(
                  Andel_oberoende_av_klimat*VLOOKUP($A338,Leveranser_per_nät,'Leveranser per nät'!O$1,FALSE)
               +Andel_beroende_av_klimat*VLOOKUP($A338,Leveranser_per_nät,'Leveranser per nät'!O$1,FALSE)/VLOOKUP($B338,Korrigeringsfaktor_EI,'Korrigeringsfaktor EI'!O$1,FALSE),
"")</f>
        <v>0</v>
      </c>
      <c r="P338" s="18">
        <f>IFERROR(
                  Andel_oberoende_av_klimat*VLOOKUP($A338,Leveranser_per_nät,'Leveranser per nät'!P$1,FALSE)
               +Andel_beroende_av_klimat*VLOOKUP($A338,Leveranser_per_nät,'Leveranser per nät'!P$1,FALSE)/VLOOKUP($B338,Korrigeringsfaktor_EI,'Korrigeringsfaktor EI'!P$1,FALSE),
"")</f>
        <v>0</v>
      </c>
      <c r="Q338" s="18">
        <f>IFERROR(
                  Andel_oberoende_av_klimat*VLOOKUP($A338,Leveranser_per_nät,'Leveranser per nät'!Q$1,FALSE)
               +Andel_beroende_av_klimat*VLOOKUP($A338,Leveranser_per_nät,'Leveranser per nät'!Q$1,FALSE)/VLOOKUP($B338,Korrigeringsfaktor_EI,'Korrigeringsfaktor EI'!Q$1,FALSE),
"")</f>
        <v>0.36561403508771928</v>
      </c>
      <c r="R338" s="18">
        <f>IFERROR(
                  Andel_oberoende_av_klimat*VLOOKUP($A338,Leveranser_per_nät,'Leveranser per nät'!R$1,FALSE)
               +Andel_beroende_av_klimat*VLOOKUP($A338,Leveranser_per_nät,'Leveranser per nät'!R$1,FALSE)/VLOOKUP($B338,Korrigeringsfaktor_EI,'Korrigeringsfaktor EI'!R$1,FALSE),
"")</f>
        <v>0.31105263157894736</v>
      </c>
      <c r="S338" s="18">
        <f>IFERROR(
                  Andel_oberoende_av_klimat*VLOOKUP($A338,Leveranser_per_nät,'Leveranser per nät'!S$1,FALSE)
               +Andel_beroende_av_klimat*VLOOKUP($A338,Leveranser_per_nät,'Leveranser per nät'!S$1,FALSE)/VLOOKUP($B338,Korrigeringsfaktor_EI,'Korrigeringsfaktor EI'!S$1,FALSE),
"")</f>
        <v>0.39722772277227725</v>
      </c>
      <c r="T338" s="18" t="str">
        <f>IFERROR(
                  Andel_oberoende_av_klimat*VLOOKUP($A338,Leveranser_per_nät,'Leveranser per nät'!T$1,FALSE)
               +Andel_beroende_av_klimat*VLOOKUP($A338,Leveranser_per_nät,'Leveranser per nät'!T$1,FALSE)/VLOOKUP($B338,Korrigeringsfaktor_EI,'Korrigeringsfaktor EI'!T$1,FALSE),
"")</f>
        <v/>
      </c>
      <c r="U338" s="18" t="str">
        <f>IFERROR(
                  Andel_oberoende_av_klimat*VLOOKUP($A338,Leveranser_per_nät,'Leveranser per nät'!U$1,FALSE)
               +Andel_beroende_av_klimat*VLOOKUP($A338,Leveranser_per_nät,'Leveranser per nät'!U$1,FALSE)/VLOOKUP($B338,Korrigeringsfaktor_EI,'Korrigeringsfaktor EI'!U$1,FALSE),
"")</f>
        <v/>
      </c>
      <c r="V338" s="18" t="str">
        <f>IFERROR(
                  Andel_oberoende_av_klimat*VLOOKUP($A338,Leveranser_per_nät,'Leveranser per nät'!V$1,FALSE)
               +Andel_beroende_av_klimat*VLOOKUP($A338,Leveranser_per_nät,'Leveranser per nät'!V$1,FALSE)/VLOOKUP($B338,Korrigeringsfaktor_EI,'Korrigeringsfaktor EI'!V$1,FALSE),
"")</f>
        <v/>
      </c>
      <c r="W338" s="18" t="str">
        <f>IFERROR(
                  Andel_oberoende_av_klimat*VLOOKUP($A338,Leveranser_per_nät,'Leveranser per nät'!W$1,FALSE)
               +Andel_beroende_av_klimat*VLOOKUP($A338,Leveranser_per_nät,'Leveranser per nät'!W$1,FALSE)/VLOOKUP($B338,Korrigeringsfaktor_EI,'Korrigeringsfaktor EI'!W$1,FALSE),
"")</f>
        <v/>
      </c>
      <c r="X338" s="18" t="str">
        <f>IFERROR(
                  Andel_oberoende_av_klimat*VLOOKUP($A338,Leveranser_per_nät,'Leveranser per nät'!X$1,FALSE)
               +Andel_beroende_av_klimat*VLOOKUP($A338,Leveranser_per_nät,'Leveranser per nät'!X$1,FALSE)/VLOOKUP($B338,Korrigeringsfaktor_EI,'Korrigeringsfaktor EI'!X$1,FALSE),
"")</f>
        <v/>
      </c>
      <c r="Y338" s="18" t="str">
        <f>IFERROR(
                  Andel_oberoende_av_klimat*VLOOKUP($A338,Leveranser_per_nät,'Leveranser per nät'!Y$1,FALSE)
               +Andel_beroende_av_klimat*VLOOKUP($A338,Leveranser_per_nät,'Leveranser per nät'!Y$1,FALSE)/VLOOKUP($B338,Korrigeringsfaktor_EI,'Korrigeringsfaktor EI'!Y$1,FALSE),
"")</f>
        <v/>
      </c>
      <c r="Z338" s="18">
        <f>IFERROR(
                  Andel_oberoende_av_klimat*VLOOKUP($A338,Leveranser_per_nät,'Leveranser per nät'!Z$1,FALSE)
               +Andel_beroende_av_klimat*VLOOKUP($A338,Leveranser_per_nät,'Leveranser per nät'!Z$1,FALSE)/VLOOKUP($B338,Korrigeringsfaktor_EI,'Korrigeringsfaktor EI'!Z$1,FALSE),
"")</f>
        <v>0</v>
      </c>
      <c r="AA338" s="18" t="str">
        <f>IFERROR(
                  Andel_oberoende_av_klimat*VLOOKUP($A338,Leveranser_per_nät,'Leveranser per nät'!AA$1,FALSE)
               +Andel_beroende_av_klimat*VLOOKUP($A338,Leveranser_per_nät,'Leveranser per nät'!AA$1,FALSE)/VLOOKUP($B338,Korrigeringsfaktor_EI,'Korrigeringsfaktor EI'!AA$1,FALSE),
"")</f>
        <v/>
      </c>
      <c r="AB338" s="18">
        <f>IFERROR(
                  Andel_oberoende_av_klimat*VLOOKUP($A338,Leveranser_per_nät,'Leveranser per nät'!AB$1,FALSE)
               +Andel_beroende_av_klimat*VLOOKUP($A338,Leveranser_per_nät,'Leveranser per nät'!AB$1,FALSE)/VLOOKUP($B338,Korrigeringsfaktor_EI,'Korrigeringsfaktor EI'!AB$1,FALSE),
"")</f>
        <v>0</v>
      </c>
      <c r="AC338" s="18">
        <f>IFERROR(
                  Andel_oberoende_av_klimat*VLOOKUP($A338,Leveranser_per_nät,'Leveranser per nät'!AC$1,FALSE)
               +Andel_beroende_av_klimat*VLOOKUP($A338,Leveranser_per_nät,'Leveranser per nät'!AC$1,FALSE)/VLOOKUP($B338,Korrigeringsfaktor_EI,'Korrigeringsfaktor EI'!AC$1,FALSE),
"")</f>
        <v>0</v>
      </c>
      <c r="AD338">
        <v>662.10699999999997</v>
      </c>
    </row>
    <row r="339" spans="1:30" x14ac:dyDescent="0.25">
      <c r="A339" t="s">
        <v>300</v>
      </c>
      <c r="B339" t="s">
        <v>299</v>
      </c>
      <c r="C339" s="18">
        <f>IFERROR(
                  Andel_oberoende_av_klimat*VLOOKUP($A339,Leveranser_per_nät,'Leveranser per nät'!C$1,FALSE)
               +Andel_beroende_av_klimat*VLOOKUP($A339,Leveranser_per_nät,'Leveranser per nät'!C$1,FALSE)/VLOOKUP($B339,Korrigeringsfaktor_EI,'Korrigeringsfaktor EI'!C$1,FALSE),
"")</f>
        <v>0</v>
      </c>
      <c r="D339" s="18">
        <f>IFERROR(
                  Andel_oberoende_av_klimat*VLOOKUP($A339,Leveranser_per_nät,'Leveranser per nät'!D$1,FALSE)
               +Andel_beroende_av_klimat*VLOOKUP($A339,Leveranser_per_nät,'Leveranser per nät'!D$1,FALSE)/VLOOKUP($B339,Korrigeringsfaktor_EI,'Korrigeringsfaktor EI'!D$1,FALSE),
"")</f>
        <v>0</v>
      </c>
      <c r="E339" s="18">
        <f>IFERROR(
                  Andel_oberoende_av_klimat*VLOOKUP($A339,Leveranser_per_nät,'Leveranser per nät'!E$1,FALSE)
               +Andel_beroende_av_klimat*VLOOKUP($A339,Leveranser_per_nät,'Leveranser per nät'!E$1,FALSE)/VLOOKUP($B339,Korrigeringsfaktor_EI,'Korrigeringsfaktor EI'!E$1,FALSE),
"")</f>
        <v>0</v>
      </c>
      <c r="F339" s="18">
        <f>IFERROR(
                  Andel_oberoende_av_klimat*VLOOKUP($A339,Leveranser_per_nät,'Leveranser per nät'!F$1,FALSE)
               +Andel_beroende_av_klimat*VLOOKUP($A339,Leveranser_per_nät,'Leveranser per nät'!F$1,FALSE)/VLOOKUP($B339,Korrigeringsfaktor_EI,'Korrigeringsfaktor EI'!F$1,FALSE),
"")</f>
        <v>0</v>
      </c>
      <c r="G339" s="18">
        <f>IFERROR(
                  Andel_oberoende_av_klimat*VLOOKUP($A339,Leveranser_per_nät,'Leveranser per nät'!G$1,FALSE)
               +Andel_beroende_av_klimat*VLOOKUP($A339,Leveranser_per_nät,'Leveranser per nät'!G$1,FALSE)/VLOOKUP($B339,Korrigeringsfaktor_EI,'Korrigeringsfaktor EI'!G$1,FALSE),
"")</f>
        <v>2.1053763440860216</v>
      </c>
      <c r="H339" s="18">
        <f>IFERROR(
                  Andel_oberoende_av_klimat*VLOOKUP($A339,Leveranser_per_nät,'Leveranser per nät'!H$1,FALSE)
               +Andel_beroende_av_klimat*VLOOKUP($A339,Leveranser_per_nät,'Leveranser per nät'!H$1,FALSE)/VLOOKUP($B339,Korrigeringsfaktor_EI,'Korrigeringsfaktor EI'!H$1,FALSE),
"")</f>
        <v>1.9861386138613861</v>
      </c>
      <c r="I339" s="18">
        <f>IFERROR(
                  Andel_oberoende_av_klimat*VLOOKUP($A339,Leveranser_per_nät,'Leveranser per nät'!I$1,FALSE)
               +Andel_beroende_av_klimat*VLOOKUP($A339,Leveranser_per_nät,'Leveranser per nät'!I$1,FALSE)/VLOOKUP($B339,Korrigeringsfaktor_EI,'Korrigeringsfaktor EI'!I$1,FALSE),
"")</f>
        <v>2.0583333333333336</v>
      </c>
      <c r="J339" s="18">
        <f>IFERROR(
                  Andel_oberoende_av_klimat*VLOOKUP($A339,Leveranser_per_nät,'Leveranser per nät'!J$1,FALSE)
               +Andel_beroende_av_klimat*VLOOKUP($A339,Leveranser_per_nät,'Leveranser per nät'!J$1,FALSE)/VLOOKUP($B339,Korrigeringsfaktor_EI,'Korrigeringsfaktor EI'!J$1,FALSE),
"")</f>
        <v>2.2425857142857142</v>
      </c>
      <c r="K339" s="18">
        <f>IFERROR(
                  Andel_oberoende_av_klimat*VLOOKUP($A339,Leveranser_per_nät,'Leveranser per nät'!K$1,FALSE)
               +Andel_beroende_av_klimat*VLOOKUP($A339,Leveranser_per_nät,'Leveranser per nät'!K$1,FALSE)/VLOOKUP($B339,Korrigeringsfaktor_EI,'Korrigeringsfaktor EI'!K$1,FALSE),
"")</f>
        <v>0</v>
      </c>
      <c r="L339" s="18">
        <f>IFERROR(
                  Andel_oberoende_av_klimat*VLOOKUP($A339,Leveranser_per_nät,'Leveranser per nät'!L$1,FALSE)
               +Andel_beroende_av_klimat*VLOOKUP($A339,Leveranser_per_nät,'Leveranser per nät'!L$1,FALSE)/VLOOKUP($B339,Korrigeringsfaktor_EI,'Korrigeringsfaktor EI'!L$1,FALSE),
"")</f>
        <v>0</v>
      </c>
      <c r="M339" s="18">
        <f>IFERROR(
                  Andel_oberoende_av_klimat*VLOOKUP($A339,Leveranser_per_nät,'Leveranser per nät'!M$1,FALSE)
               +Andel_beroende_av_klimat*VLOOKUP($A339,Leveranser_per_nät,'Leveranser per nät'!M$1,FALSE)/VLOOKUP($B339,Korrigeringsfaktor_EI,'Korrigeringsfaktor EI'!M$1,FALSE),
"")</f>
        <v>0</v>
      </c>
      <c r="N339" s="18">
        <f>IFERROR(
                  Andel_oberoende_av_klimat*VLOOKUP($A339,Leveranser_per_nät,'Leveranser per nät'!N$1,FALSE)
               +Andel_beroende_av_klimat*VLOOKUP($A339,Leveranser_per_nät,'Leveranser per nät'!N$1,FALSE)/VLOOKUP($B339,Korrigeringsfaktor_EI,'Korrigeringsfaktor EI'!N$1,FALSE),
"")</f>
        <v>2.5264516129032257</v>
      </c>
      <c r="O339" s="18">
        <f>IFERROR(
                  Andel_oberoende_av_klimat*VLOOKUP($A339,Leveranser_per_nät,'Leveranser per nät'!O$1,FALSE)
               +Andel_beroende_av_klimat*VLOOKUP($A339,Leveranser_per_nät,'Leveranser per nät'!O$1,FALSE)/VLOOKUP($B339,Korrigeringsfaktor_EI,'Korrigeringsfaktor EI'!O$1,FALSE),
"")</f>
        <v>2.631720430107527</v>
      </c>
      <c r="P339" s="18">
        <f>IFERROR(
                  Andel_oberoende_av_klimat*VLOOKUP($A339,Leveranser_per_nät,'Leveranser per nät'!P$1,FALSE)
               +Andel_beroende_av_klimat*VLOOKUP($A339,Leveranser_per_nät,'Leveranser per nät'!P$1,FALSE)/VLOOKUP($B339,Korrigeringsfaktor_EI,'Korrigeringsfaktor EI'!P$1,FALSE),
"")</f>
        <v>2.962783505154639</v>
      </c>
      <c r="Q339" s="18">
        <f>IFERROR(
                  Andel_oberoende_av_klimat*VLOOKUP($A339,Leveranser_per_nät,'Leveranser per nät'!Q$1,FALSE)
               +Andel_beroende_av_klimat*VLOOKUP($A339,Leveranser_per_nät,'Leveranser per nät'!Q$1,FALSE)/VLOOKUP($B339,Korrigeringsfaktor_EI,'Korrigeringsfaktor EI'!Q$1,FALSE),
"")</f>
        <v>3.5149999999999997</v>
      </c>
      <c r="R339" s="18">
        <f>IFERROR(
                  Andel_oberoende_av_klimat*VLOOKUP($A339,Leveranser_per_nät,'Leveranser per nät'!R$1,FALSE)
               +Andel_beroende_av_klimat*VLOOKUP($A339,Leveranser_per_nät,'Leveranser per nät'!R$1,FALSE)/VLOOKUP($B339,Korrigeringsfaktor_EI,'Korrigeringsfaktor EI'!R$1,FALSE),
"")</f>
        <v>3.0527956989247311</v>
      </c>
      <c r="S339" s="18">
        <f>IFERROR(
                  Andel_oberoende_av_klimat*VLOOKUP($A339,Leveranser_per_nät,'Leveranser per nät'!S$1,FALSE)
               +Andel_beroende_av_klimat*VLOOKUP($A339,Leveranser_per_nät,'Leveranser per nät'!S$1,FALSE)/VLOOKUP($B339,Korrigeringsfaktor_EI,'Korrigeringsfaktor EI'!S$1,FALSE),
"")</f>
        <v>3.2547058823529409</v>
      </c>
      <c r="T339" s="18">
        <f>IFERROR(
                  Andel_oberoende_av_klimat*VLOOKUP($A339,Leveranser_per_nät,'Leveranser per nät'!T$1,FALSE)
               +Andel_beroende_av_klimat*VLOOKUP($A339,Leveranser_per_nät,'Leveranser per nät'!T$1,FALSE)/VLOOKUP($B339,Korrigeringsfaktor_EI,'Korrigeringsfaktor EI'!T$1,FALSE),
"")</f>
        <v>3.4</v>
      </c>
      <c r="U339" s="18">
        <f>IFERROR(
                  Andel_oberoende_av_klimat*VLOOKUP($A339,Leveranser_per_nät,'Leveranser per nät'!U$1,FALSE)
               +Andel_beroende_av_klimat*VLOOKUP($A339,Leveranser_per_nät,'Leveranser per nät'!U$1,FALSE)/VLOOKUP($B339,Korrigeringsfaktor_EI,'Korrigeringsfaktor EI'!U$1,FALSE),
"")</f>
        <v>3.3411111111111111</v>
      </c>
      <c r="V339" s="18">
        <f>IFERROR(
                  Andel_oberoende_av_klimat*VLOOKUP($A339,Leveranser_per_nät,'Leveranser per nät'!V$1,FALSE)
               +Andel_beroende_av_klimat*VLOOKUP($A339,Leveranser_per_nät,'Leveranser per nät'!V$1,FALSE)/VLOOKUP($B339,Korrigeringsfaktor_EI,'Korrigeringsfaktor EI'!V$1,FALSE),
"")</f>
        <v>3.4892340425531909</v>
      </c>
      <c r="W339" s="18">
        <f>IFERROR(
                  Andel_oberoende_av_klimat*VLOOKUP($A339,Leveranser_per_nät,'Leveranser per nät'!W$1,FALSE)
               +Andel_beroende_av_klimat*VLOOKUP($A339,Leveranser_per_nät,'Leveranser per nät'!W$1,FALSE)/VLOOKUP($B339,Korrigeringsfaktor_EI,'Korrigeringsfaktor EI'!W$1,FALSE),
"")</f>
        <v>3.8079166666666668</v>
      </c>
      <c r="X339" s="18">
        <f>IFERROR(
                  Andel_oberoende_av_klimat*VLOOKUP($A339,Leveranser_per_nät,'Leveranser per nät'!X$1,FALSE)
               +Andel_beroende_av_klimat*VLOOKUP($A339,Leveranser_per_nät,'Leveranser per nät'!X$1,FALSE)/VLOOKUP($B339,Korrigeringsfaktor_EI,'Korrigeringsfaktor EI'!X$1,FALSE),
"")</f>
        <v>3.822836842105263</v>
      </c>
      <c r="Y339" s="18">
        <f>IFERROR(
                  Andel_oberoende_av_klimat*VLOOKUP($A339,Leveranser_per_nät,'Leveranser per nät'!Y$1,FALSE)
               +Andel_beroende_av_klimat*VLOOKUP($A339,Leveranser_per_nät,'Leveranser per nät'!Y$1,FALSE)/VLOOKUP($B339,Korrigeringsfaktor_EI,'Korrigeringsfaktor EI'!Y$1,FALSE),
"")</f>
        <v>4.0211888888888891</v>
      </c>
      <c r="Z339" s="18">
        <f>IFERROR(
                  Andel_oberoende_av_klimat*VLOOKUP($A339,Leveranser_per_nät,'Leveranser per nät'!Z$1,FALSE)
               +Andel_beroende_av_klimat*VLOOKUP($A339,Leveranser_per_nät,'Leveranser per nät'!Z$1,FALSE)/VLOOKUP($B339,Korrigeringsfaktor_EI,'Korrigeringsfaktor EI'!Z$1,FALSE),
"")</f>
        <v>4.1494444444444447</v>
      </c>
      <c r="AA339" s="18">
        <f>IFERROR(
                  Andel_oberoende_av_klimat*VLOOKUP($A339,Leveranser_per_nät,'Leveranser per nät'!AA$1,FALSE)
               +Andel_beroende_av_klimat*VLOOKUP($A339,Leveranser_per_nät,'Leveranser per nät'!AA$1,FALSE)/VLOOKUP($B339,Korrigeringsfaktor_EI,'Korrigeringsfaktor EI'!AA$1,FALSE),
"")</f>
        <v>4.1603045925925928</v>
      </c>
      <c r="AB339" s="18">
        <f>IFERROR(
                  Andel_oberoende_av_klimat*VLOOKUP($A339,Leveranser_per_nät,'Leveranser per nät'!AB$1,FALSE)
               +Andel_beroende_av_klimat*VLOOKUP($A339,Leveranser_per_nät,'Leveranser per nät'!AB$1,FALSE)/VLOOKUP($B339,Korrigeringsfaktor_EI,'Korrigeringsfaktor EI'!AB$1,FALSE),
"")</f>
        <v>4.3218960199004979</v>
      </c>
      <c r="AC339" s="18">
        <f>IFERROR(
                  Andel_oberoende_av_klimat*VLOOKUP($A339,Leveranser_per_nät,'Leveranser per nät'!AC$1,FALSE)
               +Andel_beroende_av_klimat*VLOOKUP($A339,Leveranser_per_nät,'Leveranser per nät'!AC$1,FALSE)/VLOOKUP($B339,Korrigeringsfaktor_EI,'Korrigeringsfaktor EI'!AC$1,FALSE),
"")</f>
        <v>3.9454481481481483</v>
      </c>
      <c r="AD339">
        <v>47.075000000000003</v>
      </c>
    </row>
    <row r="340" spans="1:30" x14ac:dyDescent="0.25">
      <c r="A340" t="s">
        <v>693</v>
      </c>
      <c r="B340" t="s">
        <v>253</v>
      </c>
      <c r="C340" s="18">
        <f>IFERROR(
                  Andel_oberoende_av_klimat*VLOOKUP($A340,Leveranser_per_nät,'Leveranser per nät'!C$1,FALSE)
               +Andel_beroende_av_klimat*VLOOKUP($A340,Leveranser_per_nät,'Leveranser per nät'!C$1,FALSE)/VLOOKUP($B340,Korrigeringsfaktor_EI,'Korrigeringsfaktor EI'!C$1,FALSE),
"")</f>
        <v>105.52660550458715</v>
      </c>
      <c r="D340" s="18">
        <f>IFERROR(
                  Andel_oberoende_av_klimat*VLOOKUP($A340,Leveranser_per_nät,'Leveranser per nät'!D$1,FALSE)
               +Andel_beroende_av_klimat*VLOOKUP($A340,Leveranser_per_nät,'Leveranser per nät'!D$1,FALSE)/VLOOKUP($B340,Korrigeringsfaktor_EI,'Korrigeringsfaktor EI'!D$1,FALSE),
"")</f>
        <v>105.08686597938144</v>
      </c>
      <c r="E340" s="18">
        <f>IFERROR(
                  Andel_oberoende_av_klimat*VLOOKUP($A340,Leveranser_per_nät,'Leveranser per nät'!E$1,FALSE)
               +Andel_beroende_av_klimat*VLOOKUP($A340,Leveranser_per_nät,'Leveranser per nät'!E$1,FALSE)/VLOOKUP($B340,Korrigeringsfaktor_EI,'Korrigeringsfaktor EI'!E$1,FALSE),
"")</f>
        <v>105.79805825242718</v>
      </c>
      <c r="F340" s="18">
        <f>IFERROR(
                  Andel_oberoende_av_klimat*VLOOKUP($A340,Leveranser_per_nät,'Leveranser per nät'!F$1,FALSE)
               +Andel_beroende_av_klimat*VLOOKUP($A340,Leveranser_per_nät,'Leveranser per nät'!F$1,FALSE)/VLOOKUP($B340,Korrigeringsfaktor_EI,'Korrigeringsfaktor EI'!F$1,FALSE),
"")</f>
        <v>111.15</v>
      </c>
      <c r="G340" s="18">
        <f>IFERROR(
                  Andel_oberoende_av_klimat*VLOOKUP($A340,Leveranser_per_nät,'Leveranser per nät'!G$1,FALSE)
               +Andel_beroende_av_klimat*VLOOKUP($A340,Leveranser_per_nät,'Leveranser per nät'!G$1,FALSE)/VLOOKUP($B340,Korrigeringsfaktor_EI,'Korrigeringsfaktor EI'!G$1,FALSE),
"")</f>
        <v>103.46666666666667</v>
      </c>
      <c r="H340" s="18">
        <f>IFERROR(
                  Andel_oberoende_av_klimat*VLOOKUP($A340,Leveranser_per_nät,'Leveranser per nät'!H$1,FALSE)
               +Andel_beroende_av_klimat*VLOOKUP($A340,Leveranser_per_nät,'Leveranser per nät'!H$1,FALSE)/VLOOKUP($B340,Korrigeringsfaktor_EI,'Korrigeringsfaktor EI'!H$1,FALSE),
"")</f>
        <v>113.93595151515152</v>
      </c>
      <c r="I340" s="18">
        <f>IFERROR(
                  Andel_oberoende_av_klimat*VLOOKUP($A340,Leveranser_per_nät,'Leveranser per nät'!I$1,FALSE)
               +Andel_beroende_av_klimat*VLOOKUP($A340,Leveranser_per_nät,'Leveranser per nät'!I$1,FALSE)/VLOOKUP($B340,Korrigeringsfaktor_EI,'Korrigeringsfaktor EI'!I$1,FALSE),
"")</f>
        <v>123.5</v>
      </c>
      <c r="J340" s="18">
        <f>IFERROR(
                  Andel_oberoende_av_klimat*VLOOKUP($A340,Leveranser_per_nät,'Leveranser per nät'!J$1,FALSE)
               +Andel_beroende_av_klimat*VLOOKUP($A340,Leveranser_per_nät,'Leveranser per nät'!J$1,FALSE)/VLOOKUP($B340,Korrigeringsfaktor_EI,'Korrigeringsfaktor EI'!J$1,FALSE),
"")</f>
        <v>135.91428571428571</v>
      </c>
      <c r="K340" s="18">
        <f>IFERROR(
                  Andel_oberoende_av_klimat*VLOOKUP($A340,Leveranser_per_nät,'Leveranser per nät'!K$1,FALSE)
               +Andel_beroende_av_klimat*VLOOKUP($A340,Leveranser_per_nät,'Leveranser per nät'!K$1,FALSE)/VLOOKUP($B340,Korrigeringsfaktor_EI,'Korrigeringsfaktor EI'!K$1,FALSE),
"")</f>
        <v>134.9</v>
      </c>
      <c r="L340" s="18">
        <f>IFERROR(
                  Andel_oberoende_av_klimat*VLOOKUP($A340,Leveranser_per_nät,'Leveranser per nät'!L$1,FALSE)
               +Andel_beroende_av_klimat*VLOOKUP($A340,Leveranser_per_nät,'Leveranser per nät'!L$1,FALSE)/VLOOKUP($B340,Korrigeringsfaktor_EI,'Korrigeringsfaktor EI'!L$1,FALSE),
"")</f>
        <v>152.35834468085108</v>
      </c>
      <c r="M340" s="18">
        <f>IFERROR(
                  Andel_oberoende_av_klimat*VLOOKUP($A340,Leveranser_per_nät,'Leveranser per nät'!M$1,FALSE)
               +Andel_beroende_av_klimat*VLOOKUP($A340,Leveranser_per_nät,'Leveranser per nät'!M$1,FALSE)/VLOOKUP($B340,Korrigeringsfaktor_EI,'Korrigeringsfaktor EI'!M$1,FALSE),
"")</f>
        <v>150.11304347826086</v>
      </c>
      <c r="N340" s="18">
        <f>IFERROR(
                  Andel_oberoende_av_klimat*VLOOKUP($A340,Leveranser_per_nät,'Leveranser per nät'!N$1,FALSE)
               +Andel_beroende_av_klimat*VLOOKUP($A340,Leveranser_per_nät,'Leveranser per nät'!N$1,FALSE)/VLOOKUP($B340,Korrigeringsfaktor_EI,'Korrigeringsfaktor EI'!N$1,FALSE),
"")</f>
        <v>118.04893617021277</v>
      </c>
      <c r="O340" s="18">
        <f>IFERROR(
                  Andel_oberoende_av_klimat*VLOOKUP($A340,Leveranser_per_nät,'Leveranser per nät'!O$1,FALSE)
               +Andel_beroende_av_klimat*VLOOKUP($A340,Leveranser_per_nät,'Leveranser per nät'!O$1,FALSE)/VLOOKUP($B340,Korrigeringsfaktor_EI,'Korrigeringsfaktor EI'!O$1,FALSE),
"")</f>
        <v>114.57391304347826</v>
      </c>
      <c r="P340" s="18">
        <f>IFERROR(
                  Andel_oberoende_av_klimat*VLOOKUP($A340,Leveranser_per_nät,'Leveranser per nät'!P$1,FALSE)
               +Andel_beroende_av_klimat*VLOOKUP($A340,Leveranser_per_nät,'Leveranser per nät'!P$1,FALSE)/VLOOKUP($B340,Korrigeringsfaktor_EI,'Korrigeringsfaktor EI'!P$1,FALSE),
"")</f>
        <v>115.02000000000001</v>
      </c>
      <c r="Q340" s="18">
        <f>IFERROR(
                  Andel_oberoende_av_klimat*VLOOKUP($A340,Leveranser_per_nät,'Leveranser per nät'!Q$1,FALSE)
               +Andel_beroende_av_klimat*VLOOKUP($A340,Leveranser_per_nät,'Leveranser per nät'!Q$1,FALSE)/VLOOKUP($B340,Korrigeringsfaktor_EI,'Korrigeringsfaktor EI'!Q$1,FALSE),
"")</f>
        <v>121.36991150442479</v>
      </c>
      <c r="R340" s="18">
        <f>IFERROR(
                  Andel_oberoende_av_klimat*VLOOKUP($A340,Leveranser_per_nät,'Leveranser per nät'!R$1,FALSE)
               +Andel_beroende_av_klimat*VLOOKUP($A340,Leveranser_per_nät,'Leveranser per nät'!R$1,FALSE)/VLOOKUP($B340,Korrigeringsfaktor_EI,'Korrigeringsfaktor EI'!R$1,FALSE),
"")</f>
        <v>110.34461538461538</v>
      </c>
      <c r="S340" s="18">
        <f>IFERROR(
                  Andel_oberoende_av_klimat*VLOOKUP($A340,Leveranser_per_nät,'Leveranser per nät'!S$1,FALSE)
               +Andel_beroende_av_klimat*VLOOKUP($A340,Leveranser_per_nät,'Leveranser per nät'!S$1,FALSE)/VLOOKUP($B340,Korrigeringsfaktor_EI,'Korrigeringsfaktor EI'!S$1,FALSE),
"")</f>
        <v>156.90495049504949</v>
      </c>
      <c r="T340" s="18">
        <f>IFERROR(
                  Andel_oberoende_av_klimat*VLOOKUP($A340,Leveranser_per_nät,'Leveranser per nät'!T$1,FALSE)
               +Andel_beroende_av_klimat*VLOOKUP($A340,Leveranser_per_nät,'Leveranser per nät'!T$1,FALSE)/VLOOKUP($B340,Korrigeringsfaktor_EI,'Korrigeringsfaktor EI'!T$1,FALSE),
"")</f>
        <v>154.06625</v>
      </c>
      <c r="U340" s="18">
        <f>IFERROR(
                  Andel_oberoende_av_klimat*VLOOKUP($A340,Leveranser_per_nät,'Leveranser per nät'!U$1,FALSE)
               +Andel_beroende_av_klimat*VLOOKUP($A340,Leveranser_per_nät,'Leveranser per nät'!U$1,FALSE)/VLOOKUP($B340,Korrigeringsfaktor_EI,'Korrigeringsfaktor EI'!U$1,FALSE),
"")</f>
        <v>146.94438461538462</v>
      </c>
      <c r="V340" s="18">
        <f>IFERROR(
                  Andel_oberoende_av_klimat*VLOOKUP($A340,Leveranser_per_nät,'Leveranser per nät'!V$1,FALSE)
               +Andel_beroende_av_klimat*VLOOKUP($A340,Leveranser_per_nät,'Leveranser per nät'!V$1,FALSE)/VLOOKUP($B340,Korrigeringsfaktor_EI,'Korrigeringsfaktor EI'!V$1,FALSE),
"")</f>
        <v>144.88076923076923</v>
      </c>
      <c r="W340" s="18">
        <f>IFERROR(
                  Andel_oberoende_av_klimat*VLOOKUP($A340,Leveranser_per_nät,'Leveranser per nät'!W$1,FALSE)
               +Andel_beroende_av_klimat*VLOOKUP($A340,Leveranser_per_nät,'Leveranser per nät'!W$1,FALSE)/VLOOKUP($B340,Korrigeringsfaktor_EI,'Korrigeringsfaktor EI'!W$1,FALSE),
"")</f>
        <v>152.93416666666667</v>
      </c>
      <c r="X340" s="18">
        <f>IFERROR(
                  Andel_oberoende_av_klimat*VLOOKUP($A340,Leveranser_per_nät,'Leveranser per nät'!X$1,FALSE)
               +Andel_beroende_av_klimat*VLOOKUP($A340,Leveranser_per_nät,'Leveranser per nät'!X$1,FALSE)/VLOOKUP($B340,Korrigeringsfaktor_EI,'Korrigeringsfaktor EI'!X$1,FALSE),
"")</f>
        <v>152.21375</v>
      </c>
      <c r="Y340" s="18">
        <f>IFERROR(
                  Andel_oberoende_av_klimat*VLOOKUP($A340,Leveranser_per_nät,'Leveranser per nät'!Y$1,FALSE)
               +Andel_beroende_av_klimat*VLOOKUP($A340,Leveranser_per_nät,'Leveranser per nät'!Y$1,FALSE)/VLOOKUP($B340,Korrigeringsfaktor_EI,'Korrigeringsfaktor EI'!Y$1,FALSE),
"")</f>
        <v>153.73458064516129</v>
      </c>
      <c r="Z340" s="18">
        <f>IFERROR(
                  Andel_oberoende_av_klimat*VLOOKUP($A340,Leveranser_per_nät,'Leveranser per nät'!Z$1,FALSE)
               +Andel_beroende_av_klimat*VLOOKUP($A340,Leveranser_per_nät,'Leveranser per nät'!Z$1,FALSE)/VLOOKUP($B340,Korrigeringsfaktor_EI,'Korrigeringsfaktor EI'!Z$1,FALSE),
"")</f>
        <v>151.21865591397849</v>
      </c>
      <c r="AA340" s="18">
        <f>IFERROR(
                  Andel_oberoende_av_klimat*VLOOKUP($A340,Leveranser_per_nät,'Leveranser per nät'!AA$1,FALSE)
               +Andel_beroende_av_klimat*VLOOKUP($A340,Leveranser_per_nät,'Leveranser per nät'!AA$1,FALSE)/VLOOKUP($B340,Korrigeringsfaktor_EI,'Korrigeringsfaktor EI'!AA$1,FALSE),
"")</f>
        <v>146.66066969741743</v>
      </c>
      <c r="AB340" s="18">
        <f>IFERROR(
                  Andel_oberoende_av_klimat*VLOOKUP($A340,Leveranser_per_nät,'Leveranser per nät'!AB$1,FALSE)
               +Andel_beroende_av_klimat*VLOOKUP($A340,Leveranser_per_nät,'Leveranser per nät'!AB$1,FALSE)/VLOOKUP($B340,Korrigeringsfaktor_EI,'Korrigeringsfaktor EI'!AB$1,FALSE),
"")</f>
        <v>150.99751524626868</v>
      </c>
      <c r="AC340" s="18">
        <f>IFERROR(
                  Andel_oberoende_av_klimat*VLOOKUP($A340,Leveranser_per_nät,'Leveranser per nät'!AC$1,FALSE)
               +Andel_beroende_av_klimat*VLOOKUP($A340,Leveranser_per_nät,'Leveranser per nät'!AC$1,FALSE)/VLOOKUP($B340,Korrigeringsfaktor_EI,'Korrigeringsfaktor EI'!AC$1,FALSE),
"")</f>
        <v>146.02051975555557</v>
      </c>
      <c r="AD340" t="e">
        <v>#N/A</v>
      </c>
    </row>
    <row r="341" spans="1:30" x14ac:dyDescent="0.25">
      <c r="A341" t="s">
        <v>342</v>
      </c>
      <c r="B341" t="s">
        <v>529</v>
      </c>
      <c r="C341" s="18">
        <f>IFERROR(
                  Andel_oberoende_av_klimat*VLOOKUP($A341,Leveranser_per_nät,'Leveranser per nät'!C$1,FALSE)
               +Andel_beroende_av_klimat*VLOOKUP($A341,Leveranser_per_nät,'Leveranser per nät'!C$1,FALSE)/VLOOKUP($B341,Korrigeringsfaktor_EI,'Korrigeringsfaktor EI'!C$1,FALSE),
"")</f>
        <v>0</v>
      </c>
      <c r="D341" s="18">
        <f>IFERROR(
                  Andel_oberoende_av_klimat*VLOOKUP($A341,Leveranser_per_nät,'Leveranser per nät'!D$1,FALSE)
               +Andel_beroende_av_klimat*VLOOKUP($A341,Leveranser_per_nät,'Leveranser per nät'!D$1,FALSE)/VLOOKUP($B341,Korrigeringsfaktor_EI,'Korrigeringsfaktor EI'!D$1,FALSE),
"")</f>
        <v>0</v>
      </c>
      <c r="E341" s="18">
        <f>IFERROR(
                  Andel_oberoende_av_klimat*VLOOKUP($A341,Leveranser_per_nät,'Leveranser per nät'!E$1,FALSE)
               +Andel_beroende_av_klimat*VLOOKUP($A341,Leveranser_per_nät,'Leveranser per nät'!E$1,FALSE)/VLOOKUP($B341,Korrigeringsfaktor_EI,'Korrigeringsfaktor EI'!E$1,FALSE),
"")</f>
        <v>0</v>
      </c>
      <c r="F341" s="18">
        <f>IFERROR(
                  Andel_oberoende_av_klimat*VLOOKUP($A341,Leveranser_per_nät,'Leveranser per nät'!F$1,FALSE)
               +Andel_beroende_av_klimat*VLOOKUP($A341,Leveranser_per_nät,'Leveranser per nät'!F$1,FALSE)/VLOOKUP($B341,Korrigeringsfaktor_EI,'Korrigeringsfaktor EI'!F$1,FALSE),
"")</f>
        <v>0</v>
      </c>
      <c r="G341" s="18">
        <f>IFERROR(
                  Andel_oberoende_av_klimat*VLOOKUP($A341,Leveranser_per_nät,'Leveranser per nät'!G$1,FALSE)
               +Andel_beroende_av_klimat*VLOOKUP($A341,Leveranser_per_nät,'Leveranser per nät'!G$1,FALSE)/VLOOKUP($B341,Korrigeringsfaktor_EI,'Korrigeringsfaktor EI'!G$1,FALSE),
"")</f>
        <v>0</v>
      </c>
      <c r="H341" s="18">
        <f>IFERROR(
                  Andel_oberoende_av_klimat*VLOOKUP($A341,Leveranser_per_nät,'Leveranser per nät'!H$1,FALSE)
               +Andel_beroende_av_klimat*VLOOKUP($A341,Leveranser_per_nät,'Leveranser per nät'!H$1,FALSE)/VLOOKUP($B341,Korrigeringsfaktor_EI,'Korrigeringsfaktor EI'!H$1,FALSE),
"")</f>
        <v>0</v>
      </c>
      <c r="I341" s="18">
        <f>IFERROR(
                  Andel_oberoende_av_klimat*VLOOKUP($A341,Leveranser_per_nät,'Leveranser per nät'!I$1,FALSE)
               +Andel_beroende_av_klimat*VLOOKUP($A341,Leveranser_per_nät,'Leveranser per nät'!I$1,FALSE)/VLOOKUP($B341,Korrigeringsfaktor_EI,'Korrigeringsfaktor EI'!I$1,FALSE),
"")</f>
        <v>0</v>
      </c>
      <c r="J341" s="18">
        <f>IFERROR(
                  Andel_oberoende_av_klimat*VLOOKUP($A341,Leveranser_per_nät,'Leveranser per nät'!J$1,FALSE)
               +Andel_beroende_av_klimat*VLOOKUP($A341,Leveranser_per_nät,'Leveranser per nät'!J$1,FALSE)/VLOOKUP($B341,Korrigeringsfaktor_EI,'Korrigeringsfaktor EI'!J$1,FALSE),
"")</f>
        <v>0</v>
      </c>
      <c r="K341" s="18">
        <f>IFERROR(
                  Andel_oberoende_av_klimat*VLOOKUP($A341,Leveranser_per_nät,'Leveranser per nät'!K$1,FALSE)
               +Andel_beroende_av_klimat*VLOOKUP($A341,Leveranser_per_nät,'Leveranser per nät'!K$1,FALSE)/VLOOKUP($B341,Korrigeringsfaktor_EI,'Korrigeringsfaktor EI'!K$1,FALSE),
"")</f>
        <v>0</v>
      </c>
      <c r="L341" s="18">
        <f>IFERROR(
                  Andel_oberoende_av_klimat*VLOOKUP($A341,Leveranser_per_nät,'Leveranser per nät'!L$1,FALSE)
               +Andel_beroende_av_klimat*VLOOKUP($A341,Leveranser_per_nät,'Leveranser per nät'!L$1,FALSE)/VLOOKUP($B341,Korrigeringsfaktor_EI,'Korrigeringsfaktor EI'!L$1,FALSE),
"")</f>
        <v>0</v>
      </c>
      <c r="M341" s="18">
        <f>IFERROR(
                  Andel_oberoende_av_klimat*VLOOKUP($A341,Leveranser_per_nät,'Leveranser per nät'!M$1,FALSE)
               +Andel_beroende_av_klimat*VLOOKUP($A341,Leveranser_per_nät,'Leveranser per nät'!M$1,FALSE)/VLOOKUP($B341,Korrigeringsfaktor_EI,'Korrigeringsfaktor EI'!M$1,FALSE),
"")</f>
        <v>38.668730769230763</v>
      </c>
      <c r="N341" s="18">
        <f>IFERROR(
                  Andel_oberoende_av_klimat*VLOOKUP($A341,Leveranser_per_nät,'Leveranser per nät'!N$1,FALSE)
               +Andel_beroende_av_klimat*VLOOKUP($A341,Leveranser_per_nät,'Leveranser per nät'!N$1,FALSE)/VLOOKUP($B341,Korrigeringsfaktor_EI,'Korrigeringsfaktor EI'!N$1,FALSE),
"")</f>
        <v>40.853033707865173</v>
      </c>
      <c r="O341" s="18">
        <f>IFERROR(
                  Andel_oberoende_av_klimat*VLOOKUP($A341,Leveranser_per_nät,'Leveranser per nät'!O$1,FALSE)
               +Andel_beroende_av_klimat*VLOOKUP($A341,Leveranser_per_nät,'Leveranser per nät'!O$1,FALSE)/VLOOKUP($B341,Korrigeringsfaktor_EI,'Korrigeringsfaktor EI'!O$1,FALSE),
"")</f>
        <v>40.759655172413794</v>
      </c>
      <c r="P341" s="18">
        <f>IFERROR(
                  Andel_oberoende_av_klimat*VLOOKUP($A341,Leveranser_per_nät,'Leveranser per nät'!P$1,FALSE)
               +Andel_beroende_av_klimat*VLOOKUP($A341,Leveranser_per_nät,'Leveranser per nät'!P$1,FALSE)/VLOOKUP($B341,Korrigeringsfaktor_EI,'Korrigeringsfaktor EI'!P$1,FALSE),
"")</f>
        <v>40.317956989247307</v>
      </c>
      <c r="Q341" s="18">
        <f>IFERROR(
                  Andel_oberoende_av_klimat*VLOOKUP($A341,Leveranser_per_nät,'Leveranser per nät'!Q$1,FALSE)
               +Andel_beroende_av_klimat*VLOOKUP($A341,Leveranser_per_nät,'Leveranser per nät'!Q$1,FALSE)/VLOOKUP($B341,Korrigeringsfaktor_EI,'Korrigeringsfaktor EI'!Q$1,FALSE),
"")</f>
        <v>0</v>
      </c>
      <c r="R341" s="18">
        <f>IFERROR(
                  Andel_oberoende_av_klimat*VLOOKUP($A341,Leveranser_per_nät,'Leveranser per nät'!R$1,FALSE)
               +Andel_beroende_av_klimat*VLOOKUP($A341,Leveranser_per_nät,'Leveranser per nät'!R$1,FALSE)/VLOOKUP($B341,Korrigeringsfaktor_EI,'Korrigeringsfaktor EI'!R$1,FALSE),
"")</f>
        <v>0</v>
      </c>
      <c r="S341" s="18" t="str">
        <f>IFERROR(
                  Andel_oberoende_av_klimat*VLOOKUP($A341,Leveranser_per_nät,'Leveranser per nät'!S$1,FALSE)
               +Andel_beroende_av_klimat*VLOOKUP($A341,Leveranser_per_nät,'Leveranser per nät'!S$1,FALSE)/VLOOKUP($B341,Korrigeringsfaktor_EI,'Korrigeringsfaktor EI'!S$1,FALSE),
"")</f>
        <v/>
      </c>
      <c r="T341" s="18">
        <f>IFERROR(
                  Andel_oberoende_av_klimat*VLOOKUP($A341,Leveranser_per_nät,'Leveranser per nät'!T$1,FALSE)
               +Andel_beroende_av_klimat*VLOOKUP($A341,Leveranser_per_nät,'Leveranser per nät'!T$1,FALSE)/VLOOKUP($B341,Korrigeringsfaktor_EI,'Korrigeringsfaktor EI'!T$1,FALSE),
"")</f>
        <v>30.943538461538463</v>
      </c>
      <c r="U341" s="18">
        <f>IFERROR(
                  Andel_oberoende_av_klimat*VLOOKUP($A341,Leveranser_per_nät,'Leveranser per nät'!U$1,FALSE)
               +Andel_beroende_av_klimat*VLOOKUP($A341,Leveranser_per_nät,'Leveranser per nät'!U$1,FALSE)/VLOOKUP($B341,Korrigeringsfaktor_EI,'Korrigeringsfaktor EI'!U$1,FALSE),
"")</f>
        <v>30.045057471264368</v>
      </c>
      <c r="V341" s="18">
        <f>IFERROR(
                  Andel_oberoende_av_klimat*VLOOKUP($A341,Leveranser_per_nät,'Leveranser per nät'!V$1,FALSE)
               +Andel_beroende_av_klimat*VLOOKUP($A341,Leveranser_per_nät,'Leveranser per nät'!V$1,FALSE)/VLOOKUP($B341,Korrigeringsfaktor_EI,'Korrigeringsfaktor EI'!V$1,FALSE),
"")</f>
        <v>30.713333333333331</v>
      </c>
      <c r="W341" s="18">
        <f>IFERROR(
                  Andel_oberoende_av_klimat*VLOOKUP($A341,Leveranser_per_nät,'Leveranser per nät'!W$1,FALSE)
               +Andel_beroende_av_klimat*VLOOKUP($A341,Leveranser_per_nät,'Leveranser per nät'!W$1,FALSE)/VLOOKUP($B341,Korrigeringsfaktor_EI,'Korrigeringsfaktor EI'!W$1,FALSE),
"")</f>
        <v>29.981230769230763</v>
      </c>
      <c r="X341" s="18">
        <f>IFERROR(
                  Andel_oberoende_av_klimat*VLOOKUP($A341,Leveranser_per_nät,'Leveranser per nät'!X$1,FALSE)
               +Andel_beroende_av_klimat*VLOOKUP($A341,Leveranser_per_nät,'Leveranser per nät'!X$1,FALSE)/VLOOKUP($B341,Korrigeringsfaktor_EI,'Korrigeringsfaktor EI'!X$1,FALSE),
"")</f>
        <v>29.617692307692302</v>
      </c>
      <c r="Y341" s="18">
        <f>IFERROR(
                  Andel_oberoende_av_klimat*VLOOKUP($A341,Leveranser_per_nät,'Leveranser per nät'!Y$1,FALSE)
               +Andel_beroende_av_klimat*VLOOKUP($A341,Leveranser_per_nät,'Leveranser per nät'!Y$1,FALSE)/VLOOKUP($B341,Korrigeringsfaktor_EI,'Korrigeringsfaktor EI'!Y$1,FALSE),
"")</f>
        <v>29.445693258426964</v>
      </c>
      <c r="Z341" s="18">
        <f>IFERROR(
                  Andel_oberoende_av_klimat*VLOOKUP($A341,Leveranser_per_nät,'Leveranser per nät'!Z$1,FALSE)
               +Andel_beroende_av_klimat*VLOOKUP($A341,Leveranser_per_nät,'Leveranser per nät'!Z$1,FALSE)/VLOOKUP($B341,Korrigeringsfaktor_EI,'Korrigeringsfaktor EI'!Z$1,FALSE),
"")</f>
        <v>28.148800000000001</v>
      </c>
      <c r="AA341" s="18">
        <f>IFERROR(
                  Andel_oberoende_av_klimat*VLOOKUP($A341,Leveranser_per_nät,'Leveranser per nät'!AA$1,FALSE)
               +Andel_beroende_av_klimat*VLOOKUP($A341,Leveranser_per_nät,'Leveranser per nät'!AA$1,FALSE)/VLOOKUP($B341,Korrigeringsfaktor_EI,'Korrigeringsfaktor EI'!AA$1,FALSE),
"")</f>
        <v>28.330319024257292</v>
      </c>
      <c r="AB341" s="18">
        <f>IFERROR(
                  Andel_oberoende_av_klimat*VLOOKUP($A341,Leveranser_per_nät,'Leveranser per nät'!AB$1,FALSE)
               +Andel_beroende_av_klimat*VLOOKUP($A341,Leveranser_per_nät,'Leveranser per nät'!AB$1,FALSE)/VLOOKUP($B341,Korrigeringsfaktor_EI,'Korrigeringsfaktor EI'!AB$1,FALSE),
"")</f>
        <v>27.986884102060841</v>
      </c>
      <c r="AC341" s="18">
        <f>IFERROR(
                  Andel_oberoende_av_klimat*VLOOKUP($A341,Leveranser_per_nät,'Leveranser per nät'!AC$1,FALSE)
               +Andel_beroende_av_klimat*VLOOKUP($A341,Leveranser_per_nät,'Leveranser per nät'!AC$1,FALSE)/VLOOKUP($B341,Korrigeringsfaktor_EI,'Korrigeringsfaktor EI'!AC$1,FALSE),
"")</f>
        <v>26.521847933884299</v>
      </c>
      <c r="AD341" t="e">
        <v>#N/A</v>
      </c>
    </row>
    <row r="342" spans="1:30" x14ac:dyDescent="0.25">
      <c r="A342" t="s">
        <v>796</v>
      </c>
      <c r="B342" t="s">
        <v>301</v>
      </c>
      <c r="C342" s="18">
        <f>IFERROR(
                  Andel_oberoende_av_klimat*VLOOKUP($A342,Leveranser_per_nät,'Leveranser per nät'!C$1,FALSE)
               +Andel_beroende_av_klimat*VLOOKUP($A342,Leveranser_per_nät,'Leveranser per nät'!C$1,FALSE)/VLOOKUP($B342,Korrigeringsfaktor_EI,'Korrigeringsfaktor EI'!C$1,FALSE),
"")</f>
        <v>0</v>
      </c>
      <c r="D342" s="18">
        <f>IFERROR(
                  Andel_oberoende_av_klimat*VLOOKUP($A342,Leveranser_per_nät,'Leveranser per nät'!D$1,FALSE)
               +Andel_beroende_av_klimat*VLOOKUP($A342,Leveranser_per_nät,'Leveranser per nät'!D$1,FALSE)/VLOOKUP($B342,Korrigeringsfaktor_EI,'Korrigeringsfaktor EI'!D$1,FALSE),
"")</f>
        <v>0</v>
      </c>
      <c r="E342" s="18">
        <f>IFERROR(
                  Andel_oberoende_av_klimat*VLOOKUP($A342,Leveranser_per_nät,'Leveranser per nät'!E$1,FALSE)
               +Andel_beroende_av_klimat*VLOOKUP($A342,Leveranser_per_nät,'Leveranser per nät'!E$1,FALSE)/VLOOKUP($B342,Korrigeringsfaktor_EI,'Korrigeringsfaktor EI'!E$1,FALSE),
"")</f>
        <v>0</v>
      </c>
      <c r="F342" s="18">
        <f>IFERROR(
                  Andel_oberoende_av_klimat*VLOOKUP($A342,Leveranser_per_nät,'Leveranser per nät'!F$1,FALSE)
               +Andel_beroende_av_klimat*VLOOKUP($A342,Leveranser_per_nät,'Leveranser per nät'!F$1,FALSE)/VLOOKUP($B342,Korrigeringsfaktor_EI,'Korrigeringsfaktor EI'!F$1,FALSE),
"")</f>
        <v>0</v>
      </c>
      <c r="G342" s="18">
        <f>IFERROR(
                  Andel_oberoende_av_klimat*VLOOKUP($A342,Leveranser_per_nät,'Leveranser per nät'!G$1,FALSE)
               +Andel_beroende_av_klimat*VLOOKUP($A342,Leveranser_per_nät,'Leveranser per nät'!G$1,FALSE)/VLOOKUP($B342,Korrigeringsfaktor_EI,'Korrigeringsfaktor EI'!G$1,FALSE),
"")</f>
        <v>0</v>
      </c>
      <c r="H342" s="18">
        <f>IFERROR(
                  Andel_oberoende_av_klimat*VLOOKUP($A342,Leveranser_per_nät,'Leveranser per nät'!H$1,FALSE)
               +Andel_beroende_av_klimat*VLOOKUP($A342,Leveranser_per_nät,'Leveranser per nät'!H$1,FALSE)/VLOOKUP($B342,Korrigeringsfaktor_EI,'Korrigeringsfaktor EI'!H$1,FALSE),
"")</f>
        <v>0</v>
      </c>
      <c r="I342" s="18">
        <f>IFERROR(
                  Andel_oberoende_av_klimat*VLOOKUP($A342,Leveranser_per_nät,'Leveranser per nät'!I$1,FALSE)
               +Andel_beroende_av_klimat*VLOOKUP($A342,Leveranser_per_nät,'Leveranser per nät'!I$1,FALSE)/VLOOKUP($B342,Korrigeringsfaktor_EI,'Korrigeringsfaktor EI'!I$1,FALSE),
"")</f>
        <v>0</v>
      </c>
      <c r="J342" s="18">
        <f>IFERROR(
                  Andel_oberoende_av_klimat*VLOOKUP($A342,Leveranser_per_nät,'Leveranser per nät'!J$1,FALSE)
               +Andel_beroende_av_klimat*VLOOKUP($A342,Leveranser_per_nät,'Leveranser per nät'!J$1,FALSE)/VLOOKUP($B342,Korrigeringsfaktor_EI,'Korrigeringsfaktor EI'!J$1,FALSE),
"")</f>
        <v>0</v>
      </c>
      <c r="K342" s="18">
        <f>IFERROR(
                  Andel_oberoende_av_klimat*VLOOKUP($A342,Leveranser_per_nät,'Leveranser per nät'!K$1,FALSE)
               +Andel_beroende_av_klimat*VLOOKUP($A342,Leveranser_per_nät,'Leveranser per nät'!K$1,FALSE)/VLOOKUP($B342,Korrigeringsfaktor_EI,'Korrigeringsfaktor EI'!K$1,FALSE),
"")</f>
        <v>0</v>
      </c>
      <c r="L342" s="18">
        <f>IFERROR(
                  Andel_oberoende_av_klimat*VLOOKUP($A342,Leveranser_per_nät,'Leveranser per nät'!L$1,FALSE)
               +Andel_beroende_av_klimat*VLOOKUP($A342,Leveranser_per_nät,'Leveranser per nät'!L$1,FALSE)/VLOOKUP($B342,Korrigeringsfaktor_EI,'Korrigeringsfaktor EI'!L$1,FALSE),
"")</f>
        <v>0</v>
      </c>
      <c r="M342" s="18">
        <f>IFERROR(
                  Andel_oberoende_av_klimat*VLOOKUP($A342,Leveranser_per_nät,'Leveranser per nät'!M$1,FALSE)
               +Andel_beroende_av_klimat*VLOOKUP($A342,Leveranser_per_nät,'Leveranser per nät'!M$1,FALSE)/VLOOKUP($B342,Korrigeringsfaktor_EI,'Korrigeringsfaktor EI'!M$1,FALSE),
"")</f>
        <v>0</v>
      </c>
      <c r="N342" s="18">
        <f>IFERROR(
                  Andel_oberoende_av_klimat*VLOOKUP($A342,Leveranser_per_nät,'Leveranser per nät'!N$1,FALSE)
               +Andel_beroende_av_klimat*VLOOKUP($A342,Leveranser_per_nät,'Leveranser per nät'!N$1,FALSE)/VLOOKUP($B342,Korrigeringsfaktor_EI,'Korrigeringsfaktor EI'!N$1,FALSE),
"")</f>
        <v>0</v>
      </c>
      <c r="O342" s="18">
        <f>IFERROR(
                  Andel_oberoende_av_klimat*VLOOKUP($A342,Leveranser_per_nät,'Leveranser per nät'!O$1,FALSE)
               +Andel_beroende_av_klimat*VLOOKUP($A342,Leveranser_per_nät,'Leveranser per nät'!O$1,FALSE)/VLOOKUP($B342,Korrigeringsfaktor_EI,'Korrigeringsfaktor EI'!O$1,FALSE),
"")</f>
        <v>0</v>
      </c>
      <c r="P342" s="18">
        <f>IFERROR(
                  Andel_oberoende_av_klimat*VLOOKUP($A342,Leveranser_per_nät,'Leveranser per nät'!P$1,FALSE)
               +Andel_beroende_av_klimat*VLOOKUP($A342,Leveranser_per_nät,'Leveranser per nät'!P$1,FALSE)/VLOOKUP($B342,Korrigeringsfaktor_EI,'Korrigeringsfaktor EI'!P$1,FALSE),
"")</f>
        <v>0</v>
      </c>
      <c r="Q342" s="18">
        <f>IFERROR(
                  Andel_oberoende_av_klimat*VLOOKUP($A342,Leveranser_per_nät,'Leveranser per nät'!Q$1,FALSE)
               +Andel_beroende_av_klimat*VLOOKUP($A342,Leveranser_per_nät,'Leveranser per nät'!Q$1,FALSE)/VLOOKUP($B342,Korrigeringsfaktor_EI,'Korrigeringsfaktor EI'!Q$1,FALSE),
"")</f>
        <v>0</v>
      </c>
      <c r="R342" s="18">
        <f>IFERROR(
                  Andel_oberoende_av_klimat*VLOOKUP($A342,Leveranser_per_nät,'Leveranser per nät'!R$1,FALSE)
               +Andel_beroende_av_klimat*VLOOKUP($A342,Leveranser_per_nät,'Leveranser per nät'!R$1,FALSE)/VLOOKUP($B342,Korrigeringsfaktor_EI,'Korrigeringsfaktor EI'!R$1,FALSE),
"")</f>
        <v>0</v>
      </c>
      <c r="S342" s="18">
        <f>IFERROR(
                  Andel_oberoende_av_klimat*VLOOKUP($A342,Leveranser_per_nät,'Leveranser per nät'!S$1,FALSE)
               +Andel_beroende_av_klimat*VLOOKUP($A342,Leveranser_per_nät,'Leveranser per nät'!S$1,FALSE)/VLOOKUP($B342,Korrigeringsfaktor_EI,'Korrigeringsfaktor EI'!S$1,FALSE),
"")</f>
        <v>0</v>
      </c>
      <c r="T342" s="18">
        <f>IFERROR(
                  Andel_oberoende_av_klimat*VLOOKUP($A342,Leveranser_per_nät,'Leveranser per nät'!T$1,FALSE)
               +Andel_beroende_av_klimat*VLOOKUP($A342,Leveranser_per_nät,'Leveranser per nät'!T$1,FALSE)/VLOOKUP($B342,Korrigeringsfaktor_EI,'Korrigeringsfaktor EI'!T$1,FALSE),
"")</f>
        <v>3.3429787234042552</v>
      </c>
      <c r="U342" s="18">
        <f>IFERROR(
                  Andel_oberoende_av_klimat*VLOOKUP($A342,Leveranser_per_nät,'Leveranser per nät'!U$1,FALSE)
               +Andel_beroende_av_klimat*VLOOKUP($A342,Leveranser_per_nät,'Leveranser per nät'!U$1,FALSE)/VLOOKUP($B342,Korrigeringsfaktor_EI,'Korrigeringsfaktor EI'!U$1,FALSE),
"")</f>
        <v>3.268894606741573</v>
      </c>
      <c r="V342" s="18">
        <f>IFERROR(
                  Andel_oberoende_av_klimat*VLOOKUP($A342,Leveranser_per_nät,'Leveranser per nät'!V$1,FALSE)
               +Andel_beroende_av_klimat*VLOOKUP($A342,Leveranser_per_nät,'Leveranser per nät'!V$1,FALSE)/VLOOKUP($B342,Korrigeringsfaktor_EI,'Korrigeringsfaktor EI'!V$1,FALSE),
"")</f>
        <v>3.2964921348314604</v>
      </c>
      <c r="W342" s="18">
        <f>IFERROR(
                  Andel_oberoende_av_klimat*VLOOKUP($A342,Leveranser_per_nät,'Leveranser per nät'!W$1,FALSE)
               +Andel_beroende_av_klimat*VLOOKUP($A342,Leveranser_per_nät,'Leveranser per nät'!W$1,FALSE)/VLOOKUP($B342,Korrigeringsfaktor_EI,'Korrigeringsfaktor EI'!W$1,FALSE),
"")</f>
        <v>3.2270191489361704</v>
      </c>
      <c r="X342" s="18">
        <f>IFERROR(
                  Andel_oberoende_av_klimat*VLOOKUP($A342,Leveranser_per_nät,'Leveranser per nät'!X$1,FALSE)
               +Andel_beroende_av_klimat*VLOOKUP($A342,Leveranser_per_nät,'Leveranser per nät'!X$1,FALSE)/VLOOKUP($B342,Korrigeringsfaktor_EI,'Korrigeringsfaktor EI'!X$1,FALSE),
"")</f>
        <v>3.1841421052631587</v>
      </c>
      <c r="Y342" s="18">
        <f>IFERROR(
                  Andel_oberoende_av_klimat*VLOOKUP($A342,Leveranser_per_nät,'Leveranser per nät'!Y$1,FALSE)
               +Andel_beroende_av_klimat*VLOOKUP($A342,Leveranser_per_nät,'Leveranser per nät'!Y$1,FALSE)/VLOOKUP($B342,Korrigeringsfaktor_EI,'Korrigeringsfaktor EI'!Y$1,FALSE),
"")</f>
        <v>3.3149150537634409</v>
      </c>
      <c r="Z342" s="18">
        <f>IFERROR(
                  Andel_oberoende_av_klimat*VLOOKUP($A342,Leveranser_per_nät,'Leveranser per nät'!Z$1,FALSE)
               +Andel_beroende_av_klimat*VLOOKUP($A342,Leveranser_per_nät,'Leveranser per nät'!Z$1,FALSE)/VLOOKUP($B342,Korrigeringsfaktor_EI,'Korrigeringsfaktor EI'!Z$1,FALSE),
"")</f>
        <v>3.2050808510638298</v>
      </c>
      <c r="AA342" s="18"/>
      <c r="AB342" s="18"/>
      <c r="AC342" s="18"/>
      <c r="AD342">
        <v>115.232</v>
      </c>
    </row>
    <row r="343" spans="1:30" x14ac:dyDescent="0.25">
      <c r="A343" t="s">
        <v>255</v>
      </c>
      <c r="B343" t="s">
        <v>255</v>
      </c>
      <c r="C343" s="18">
        <f>IFERROR(
                  Andel_oberoende_av_klimat*VLOOKUP($A343,Leveranser_per_nät,'Leveranser per nät'!C$1,FALSE)
               +Andel_beroende_av_klimat*VLOOKUP($A343,Leveranser_per_nät,'Leveranser per nät'!C$1,FALSE)/VLOOKUP($B343,Korrigeringsfaktor_EI,'Korrigeringsfaktor EI'!C$1,FALSE),
"")</f>
        <v>214.82201834862386</v>
      </c>
      <c r="D343" s="18">
        <f>IFERROR(
                  Andel_oberoende_av_klimat*VLOOKUP($A343,Leveranser_per_nät,'Leveranser per nät'!D$1,FALSE)
               +Andel_beroende_av_klimat*VLOOKUP($A343,Leveranser_per_nät,'Leveranser per nät'!D$1,FALSE)/VLOOKUP($B343,Korrigeringsfaktor_EI,'Korrigeringsfaktor EI'!D$1,FALSE),
"")</f>
        <v>204.36054639175259</v>
      </c>
      <c r="E343" s="18">
        <f>IFERROR(
                  Andel_oberoende_av_klimat*VLOOKUP($A343,Leveranser_per_nät,'Leveranser per nät'!E$1,FALSE)
               +Andel_beroende_av_klimat*VLOOKUP($A343,Leveranser_per_nät,'Leveranser per nät'!E$1,FALSE)/VLOOKUP($B343,Korrigeringsfaktor_EI,'Korrigeringsfaktor EI'!E$1,FALSE),
"")</f>
        <v>209.21153846153845</v>
      </c>
      <c r="F343" s="18">
        <f>IFERROR(
                  Andel_oberoende_av_klimat*VLOOKUP($A343,Leveranser_per_nät,'Leveranser per nät'!F$1,FALSE)
               +Andel_beroende_av_klimat*VLOOKUP($A343,Leveranser_per_nät,'Leveranser per nät'!F$1,FALSE)/VLOOKUP($B343,Korrigeringsfaktor_EI,'Korrigeringsfaktor EI'!F$1,FALSE),
"")</f>
        <v>208.46363636363634</v>
      </c>
      <c r="G343" s="18">
        <f>IFERROR(
                  Andel_oberoende_av_klimat*VLOOKUP($A343,Leveranser_per_nät,'Leveranser per nät'!G$1,FALSE)
               +Andel_beroende_av_klimat*VLOOKUP($A343,Leveranser_per_nät,'Leveranser per nät'!G$1,FALSE)/VLOOKUP($B343,Korrigeringsfaktor_EI,'Korrigeringsfaktor EI'!G$1,FALSE),
"")</f>
        <v>211.11304347826086</v>
      </c>
      <c r="H343" s="18">
        <f>IFERROR(
                  Andel_oberoende_av_klimat*VLOOKUP($A343,Leveranser_per_nät,'Leveranser per nät'!H$1,FALSE)
               +Andel_beroende_av_klimat*VLOOKUP($A343,Leveranser_per_nät,'Leveranser per nät'!H$1,FALSE)/VLOOKUP($B343,Korrigeringsfaktor_EI,'Korrigeringsfaktor EI'!H$1,FALSE),
"")</f>
        <v>223.9302282828283</v>
      </c>
      <c r="I343" s="18">
        <f>IFERROR(
                  Andel_oberoende_av_klimat*VLOOKUP($A343,Leveranser_per_nät,'Leveranser per nät'!I$1,FALSE)
               +Andel_beroende_av_klimat*VLOOKUP($A343,Leveranser_per_nät,'Leveranser per nät'!I$1,FALSE)/VLOOKUP($B343,Korrigeringsfaktor_EI,'Korrigeringsfaktor EI'!I$1,FALSE),
"")</f>
        <v>227.44583333333333</v>
      </c>
      <c r="J343" s="18">
        <f>IFERROR(
                  Andel_oberoende_av_klimat*VLOOKUP($A343,Leveranser_per_nät,'Leveranser per nät'!J$1,FALSE)
               +Andel_beroende_av_klimat*VLOOKUP($A343,Leveranser_per_nät,'Leveranser per nät'!J$1,FALSE)/VLOOKUP($B343,Korrigeringsfaktor_EI,'Korrigeringsfaktor EI'!J$1,FALSE),
"")</f>
        <v>237.95238144329898</v>
      </c>
      <c r="K343" s="18">
        <f>IFERROR(
                  Andel_oberoende_av_klimat*VLOOKUP($A343,Leveranser_per_nät,'Leveranser per nät'!K$1,FALSE)
               +Andel_beroende_av_klimat*VLOOKUP($A343,Leveranser_per_nät,'Leveranser per nät'!K$1,FALSE)/VLOOKUP($B343,Korrigeringsfaktor_EI,'Korrigeringsfaktor EI'!K$1,FALSE),
"")</f>
        <v>226.17658571428575</v>
      </c>
      <c r="L343" s="18">
        <f>IFERROR(
                  Andel_oberoende_av_klimat*VLOOKUP($A343,Leveranser_per_nät,'Leveranser per nät'!L$1,FALSE)
               +Andel_beroende_av_klimat*VLOOKUP($A343,Leveranser_per_nät,'Leveranser per nät'!L$1,FALSE)/VLOOKUP($B343,Korrigeringsfaktor_EI,'Korrigeringsfaktor EI'!L$1,FALSE),
"")</f>
        <v>216.12766315789474</v>
      </c>
      <c r="M343" s="18">
        <f>IFERROR(
                  Andel_oberoende_av_klimat*VLOOKUP($A343,Leveranser_per_nät,'Leveranser per nät'!M$1,FALSE)
               +Andel_beroende_av_klimat*VLOOKUP($A343,Leveranser_per_nät,'Leveranser per nät'!M$1,FALSE)/VLOOKUP($B343,Korrigeringsfaktor_EI,'Korrigeringsfaktor EI'!M$1,FALSE),
"")</f>
        <v>244.85384615384615</v>
      </c>
      <c r="N343" s="18">
        <f>IFERROR(
                  Andel_oberoende_av_klimat*VLOOKUP($A343,Leveranser_per_nät,'Leveranser per nät'!N$1,FALSE)
               +Andel_beroende_av_klimat*VLOOKUP($A343,Leveranser_per_nät,'Leveranser per nät'!N$1,FALSE)/VLOOKUP($B343,Korrigeringsfaktor_EI,'Korrigeringsfaktor EI'!N$1,FALSE),
"")</f>
        <v>241.17086021505372</v>
      </c>
      <c r="O343" s="18">
        <f>IFERROR(
                  Andel_oberoende_av_klimat*VLOOKUP($A343,Leveranser_per_nät,'Leveranser per nät'!O$1,FALSE)
               +Andel_beroende_av_klimat*VLOOKUP($A343,Leveranser_per_nät,'Leveranser per nät'!O$1,FALSE)/VLOOKUP($B343,Korrigeringsfaktor_EI,'Korrigeringsfaktor EI'!O$1,FALSE),
"")</f>
        <v>241.48666666666662</v>
      </c>
      <c r="P343" s="18">
        <f>IFERROR(
                  Andel_oberoende_av_klimat*VLOOKUP($A343,Leveranser_per_nät,'Leveranser per nät'!P$1,FALSE)
               +Andel_beroende_av_klimat*VLOOKUP($A343,Leveranser_per_nät,'Leveranser per nät'!P$1,FALSE)/VLOOKUP($B343,Korrigeringsfaktor_EI,'Korrigeringsfaktor EI'!P$1,FALSE),
"")</f>
        <v>244.17422680412372</v>
      </c>
      <c r="Q343" s="18">
        <f>IFERROR(
                  Andel_oberoende_av_klimat*VLOOKUP($A343,Leveranser_per_nät,'Leveranser per nät'!Q$1,FALSE)
               +Andel_beroende_av_klimat*VLOOKUP($A343,Leveranser_per_nät,'Leveranser per nät'!Q$1,FALSE)/VLOOKUP($B343,Korrigeringsfaktor_EI,'Korrigeringsfaktor EI'!Q$1,FALSE),
"")</f>
        <v>245.96567567567567</v>
      </c>
      <c r="R343" s="18">
        <f>IFERROR(
                  Andel_oberoende_av_klimat*VLOOKUP($A343,Leveranser_per_nät,'Leveranser per nät'!R$1,FALSE)
               +Andel_beroende_av_klimat*VLOOKUP($A343,Leveranser_per_nät,'Leveranser per nät'!R$1,FALSE)/VLOOKUP($B343,Korrigeringsfaktor_EI,'Korrigeringsfaktor EI'!R$1,FALSE),
"")</f>
        <v>213.73885913978492</v>
      </c>
      <c r="S343" s="18">
        <f>IFERROR(
                  Andel_oberoende_av_klimat*VLOOKUP($A343,Leveranser_per_nät,'Leveranser per nät'!S$1,FALSE)
               +Andel_beroende_av_klimat*VLOOKUP($A343,Leveranser_per_nät,'Leveranser per nät'!S$1,FALSE)/VLOOKUP($B343,Korrigeringsfaktor_EI,'Korrigeringsfaktor EI'!S$1,FALSE),
"")</f>
        <v>230.3920792079208</v>
      </c>
      <c r="T343" s="18">
        <f>IFERROR(
                  Andel_oberoende_av_klimat*VLOOKUP($A343,Leveranser_per_nät,'Leveranser per nät'!T$1,FALSE)
               +Andel_beroende_av_klimat*VLOOKUP($A343,Leveranser_per_nät,'Leveranser per nät'!T$1,FALSE)/VLOOKUP($B343,Korrigeringsfaktor_EI,'Korrigeringsfaktor EI'!T$1,FALSE),
"")</f>
        <v>233.38170212765959</v>
      </c>
      <c r="U343" s="18">
        <f>IFERROR(
                  Andel_oberoende_av_klimat*VLOOKUP($A343,Leveranser_per_nät,'Leveranser per nät'!U$1,FALSE)
               +Andel_beroende_av_klimat*VLOOKUP($A343,Leveranser_per_nät,'Leveranser per nät'!U$1,FALSE)/VLOOKUP($B343,Korrigeringsfaktor_EI,'Korrigeringsfaktor EI'!U$1,FALSE),
"")</f>
        <v>228.3876923076923</v>
      </c>
      <c r="V343" s="18">
        <f>IFERROR(
                  Andel_oberoende_av_klimat*VLOOKUP($A343,Leveranser_per_nät,'Leveranser per nät'!V$1,FALSE)
               +Andel_beroende_av_klimat*VLOOKUP($A343,Leveranser_per_nät,'Leveranser per nät'!V$1,FALSE)/VLOOKUP($B343,Korrigeringsfaktor_EI,'Korrigeringsfaktor EI'!V$1,FALSE),
"")</f>
        <v>231.93777777777777</v>
      </c>
      <c r="W343" s="18">
        <f>IFERROR(
                  Andel_oberoende_av_klimat*VLOOKUP($A343,Leveranser_per_nät,'Leveranser per nät'!W$1,FALSE)
               +Andel_beroende_av_klimat*VLOOKUP($A343,Leveranser_per_nät,'Leveranser per nät'!W$1,FALSE)/VLOOKUP($B343,Korrigeringsfaktor_EI,'Korrigeringsfaktor EI'!W$1,FALSE),
"")</f>
        <v>236.71105263157898</v>
      </c>
      <c r="X343" s="18">
        <f>IFERROR(
                  Andel_oberoende_av_klimat*VLOOKUP($A343,Leveranser_per_nät,'Leveranser per nät'!X$1,FALSE)
               +Andel_beroende_av_klimat*VLOOKUP($A343,Leveranser_per_nät,'Leveranser per nät'!X$1,FALSE)/VLOOKUP($B343,Korrigeringsfaktor_EI,'Korrigeringsfaktor EI'!X$1,FALSE),
"")</f>
        <v>236.4</v>
      </c>
      <c r="Y343" s="18">
        <f>IFERROR(
                  Andel_oberoende_av_klimat*VLOOKUP($A343,Leveranser_per_nät,'Leveranser per nät'!Y$1,FALSE)
               +Andel_beroende_av_klimat*VLOOKUP($A343,Leveranser_per_nät,'Leveranser per nät'!Y$1,FALSE)/VLOOKUP($B343,Korrigeringsfaktor_EI,'Korrigeringsfaktor EI'!Y$1,FALSE),
"")</f>
        <v>229.88461538461542</v>
      </c>
      <c r="Z343" s="18">
        <f>IFERROR(
                  Andel_oberoende_av_klimat*VLOOKUP($A343,Leveranser_per_nät,'Leveranser per nät'!Z$1,FALSE)
               +Andel_beroende_av_klimat*VLOOKUP($A343,Leveranser_per_nät,'Leveranser per nät'!Z$1,FALSE)/VLOOKUP($B343,Korrigeringsfaktor_EI,'Korrigeringsfaktor EI'!Z$1,FALSE),
"")</f>
        <v>238.27130434782606</v>
      </c>
      <c r="AA343" s="18">
        <f>IFERROR(
                  Andel_oberoende_av_klimat*VLOOKUP($A343,Leveranser_per_nät,'Leveranser per nät'!AA$1,FALSE)
               +Andel_beroende_av_klimat*VLOOKUP($A343,Leveranser_per_nät,'Leveranser per nät'!AA$1,FALSE)/VLOOKUP($B343,Korrigeringsfaktor_EI,'Korrigeringsfaktor EI'!AA$1,FALSE),
"")</f>
        <v>227.640306122449</v>
      </c>
      <c r="AB343" s="18">
        <f>IFERROR(
                  Andel_oberoende_av_klimat*VLOOKUP($A343,Leveranser_per_nät,'Leveranser per nät'!AB$1,FALSE)
               +Andel_beroende_av_klimat*VLOOKUP($A343,Leveranser_per_nät,'Leveranser per nät'!AB$1,FALSE)/VLOOKUP($B343,Korrigeringsfaktor_EI,'Korrigeringsfaktor EI'!AB$1,FALSE),
"")</f>
        <v>229.13165991902832</v>
      </c>
      <c r="AC343" s="18">
        <f>IFERROR(
                  Andel_oberoende_av_klimat*VLOOKUP($A343,Leveranser_per_nät,'Leveranser per nät'!AC$1,FALSE)
               +Andel_beroende_av_klimat*VLOOKUP($A343,Leveranser_per_nät,'Leveranser per nät'!AC$1,FALSE)/VLOOKUP($B343,Korrigeringsfaktor_EI,'Korrigeringsfaktor EI'!AC$1,FALSE),
"")</f>
        <v>225.97319194061504</v>
      </c>
      <c r="AD343">
        <v>216.8</v>
      </c>
    </row>
    <row r="344" spans="1:30" x14ac:dyDescent="0.25">
      <c r="A344" t="s">
        <v>375</v>
      </c>
      <c r="B344" t="s">
        <v>375</v>
      </c>
      <c r="C344" s="18">
        <f>IFERROR(
                  Andel_oberoende_av_klimat*VLOOKUP($A344,Leveranser_per_nät,'Leveranser per nät'!C$1,FALSE)
               +Andel_beroende_av_klimat*VLOOKUP($A344,Leveranser_per_nät,'Leveranser per nät'!C$1,FALSE)/VLOOKUP($B344,Korrigeringsfaktor_EI,'Korrigeringsfaktor EI'!C$1,FALSE),
"")</f>
        <v>0</v>
      </c>
      <c r="D344" s="18">
        <f>IFERROR(
                  Andel_oberoende_av_klimat*VLOOKUP($A344,Leveranser_per_nät,'Leveranser per nät'!D$1,FALSE)
               +Andel_beroende_av_klimat*VLOOKUP($A344,Leveranser_per_nät,'Leveranser per nät'!D$1,FALSE)/VLOOKUP($B344,Korrigeringsfaktor_EI,'Korrigeringsfaktor EI'!D$1,FALSE),
"")</f>
        <v>32.6</v>
      </c>
      <c r="E344" s="18">
        <f>IFERROR(
                  Andel_oberoende_av_klimat*VLOOKUP($A344,Leveranser_per_nät,'Leveranser per nät'!E$1,FALSE)
               +Andel_beroende_av_klimat*VLOOKUP($A344,Leveranser_per_nät,'Leveranser per nät'!E$1,FALSE)/VLOOKUP($B344,Korrigeringsfaktor_EI,'Korrigeringsfaktor EI'!E$1,FALSE),
"")</f>
        <v>32.111538461538458</v>
      </c>
      <c r="F344" s="18">
        <f>IFERROR(
                  Andel_oberoende_av_klimat*VLOOKUP($A344,Leveranser_per_nät,'Leveranser per nät'!F$1,FALSE)
               +Andel_beroende_av_klimat*VLOOKUP($A344,Leveranser_per_nät,'Leveranser per nät'!F$1,FALSE)/VLOOKUP($B344,Korrigeringsfaktor_EI,'Korrigeringsfaktor EI'!F$1,FALSE),
"")</f>
        <v>33.714432989690721</v>
      </c>
      <c r="G344" s="18">
        <f>IFERROR(
                  Andel_oberoende_av_klimat*VLOOKUP($A344,Leveranser_per_nät,'Leveranser per nät'!G$1,FALSE)
               +Andel_beroende_av_klimat*VLOOKUP($A344,Leveranser_per_nät,'Leveranser per nät'!G$1,FALSE)/VLOOKUP($B344,Korrigeringsfaktor_EI,'Korrigeringsfaktor EI'!G$1,FALSE),
"")</f>
        <v>40.955555555555556</v>
      </c>
      <c r="H344" s="18">
        <f>IFERROR(
                  Andel_oberoende_av_klimat*VLOOKUP($A344,Leveranser_per_nät,'Leveranser per nät'!H$1,FALSE)
               +Andel_beroende_av_klimat*VLOOKUP($A344,Leveranser_per_nät,'Leveranser per nät'!H$1,FALSE)/VLOOKUP($B344,Korrigeringsfaktor_EI,'Korrigeringsfaktor EI'!H$1,FALSE),
"")</f>
        <v>47.231616161616159</v>
      </c>
      <c r="I344" s="18">
        <f>IFERROR(
                  Andel_oberoende_av_klimat*VLOOKUP($A344,Leveranser_per_nät,'Leveranser per nät'!I$1,FALSE)
               +Andel_beroende_av_klimat*VLOOKUP($A344,Leveranser_per_nät,'Leveranser per nät'!I$1,FALSE)/VLOOKUP($B344,Korrigeringsfaktor_EI,'Korrigeringsfaktor EI'!I$1,FALSE),
"")</f>
        <v>48.444373684210525</v>
      </c>
      <c r="J344" s="18">
        <f>IFERROR(
                  Andel_oberoende_av_klimat*VLOOKUP($A344,Leveranser_per_nät,'Leveranser per nät'!J$1,FALSE)
               +Andel_beroende_av_klimat*VLOOKUP($A344,Leveranser_per_nät,'Leveranser per nät'!J$1,FALSE)/VLOOKUP($B344,Korrigeringsfaktor_EI,'Korrigeringsfaktor EI'!J$1,FALSE),
"")</f>
        <v>43.417514285714283</v>
      </c>
      <c r="K344" s="18">
        <f>IFERROR(
                  Andel_oberoende_av_klimat*VLOOKUP($A344,Leveranser_per_nät,'Leveranser per nät'!K$1,FALSE)
               +Andel_beroende_av_klimat*VLOOKUP($A344,Leveranser_per_nät,'Leveranser per nät'!K$1,FALSE)/VLOOKUP($B344,Korrigeringsfaktor_EI,'Korrigeringsfaktor EI'!K$1,FALSE),
"")</f>
        <v>44.043999999999997</v>
      </c>
      <c r="L344" s="18">
        <f>IFERROR(
                  Andel_oberoende_av_klimat*VLOOKUP($A344,Leveranser_per_nät,'Leveranser per nät'!L$1,FALSE)
               +Andel_beroende_av_klimat*VLOOKUP($A344,Leveranser_per_nät,'Leveranser per nät'!L$1,FALSE)/VLOOKUP($B344,Korrigeringsfaktor_EI,'Korrigeringsfaktor EI'!L$1,FALSE),
"")</f>
        <v>43.333262886597936</v>
      </c>
      <c r="M344" s="18">
        <f>IFERROR(
                  Andel_oberoende_av_klimat*VLOOKUP($A344,Leveranser_per_nät,'Leveranser per nät'!M$1,FALSE)
               +Andel_beroende_av_klimat*VLOOKUP($A344,Leveranser_per_nät,'Leveranser per nät'!M$1,FALSE)/VLOOKUP($B344,Korrigeringsfaktor_EI,'Korrigeringsfaktor EI'!M$1,FALSE),
"")</f>
        <v>43.977657894736844</v>
      </c>
      <c r="N344" s="18">
        <f>IFERROR(
                  Andel_oberoende_av_klimat*VLOOKUP($A344,Leveranser_per_nät,'Leveranser per nät'!N$1,FALSE)
               +Andel_beroende_av_klimat*VLOOKUP($A344,Leveranser_per_nät,'Leveranser per nät'!N$1,FALSE)/VLOOKUP($B344,Korrigeringsfaktor_EI,'Korrigeringsfaktor EI'!N$1,FALSE),
"")</f>
        <v>47.244765217391304</v>
      </c>
      <c r="O344" s="18">
        <f>IFERROR(
                  Andel_oberoende_av_klimat*VLOOKUP($A344,Leveranser_per_nät,'Leveranser per nät'!O$1,FALSE)
               +Andel_beroende_av_klimat*VLOOKUP($A344,Leveranser_per_nät,'Leveranser per nät'!O$1,FALSE)/VLOOKUP($B344,Korrigeringsfaktor_EI,'Korrigeringsfaktor EI'!O$1,FALSE),
"")</f>
        <v>46.939230769230768</v>
      </c>
      <c r="P344" s="18">
        <f>IFERROR(
                  Andel_oberoende_av_klimat*VLOOKUP($A344,Leveranser_per_nät,'Leveranser per nät'!P$1,FALSE)
               +Andel_beroende_av_klimat*VLOOKUP($A344,Leveranser_per_nät,'Leveranser per nät'!P$1,FALSE)/VLOOKUP($B344,Korrigeringsfaktor_EI,'Korrigeringsfaktor EI'!P$1,FALSE),
"")</f>
        <v>48.221855670103096</v>
      </c>
      <c r="Q344" s="18">
        <f>IFERROR(
                  Andel_oberoende_av_klimat*VLOOKUP($A344,Leveranser_per_nät,'Leveranser per nät'!Q$1,FALSE)
               +Andel_beroende_av_klimat*VLOOKUP($A344,Leveranser_per_nät,'Leveranser per nät'!Q$1,FALSE)/VLOOKUP($B344,Korrigeringsfaktor_EI,'Korrigeringsfaktor EI'!Q$1,FALSE),
"")</f>
        <v>48.839999999999996</v>
      </c>
      <c r="R344" s="18">
        <f>IFERROR(
                  Andel_oberoende_av_klimat*VLOOKUP($A344,Leveranser_per_nät,'Leveranser per nät'!R$1,FALSE)
               +Andel_beroende_av_klimat*VLOOKUP($A344,Leveranser_per_nät,'Leveranser per nät'!R$1,FALSE)/VLOOKUP($B344,Korrigeringsfaktor_EI,'Korrigeringsfaktor EI'!R$1,FALSE),
"")</f>
        <v>47.238750000000003</v>
      </c>
      <c r="S344" s="18">
        <f>IFERROR(
                  Andel_oberoende_av_klimat*VLOOKUP($A344,Leveranser_per_nät,'Leveranser per nät'!S$1,FALSE)
               +Andel_beroende_av_klimat*VLOOKUP($A344,Leveranser_per_nät,'Leveranser per nät'!S$1,FALSE)/VLOOKUP($B344,Korrigeringsfaktor_EI,'Korrigeringsfaktor EI'!S$1,FALSE),
"")</f>
        <v>48</v>
      </c>
      <c r="T344" s="18">
        <f>IFERROR(
                  Andel_oberoende_av_klimat*VLOOKUP($A344,Leveranser_per_nät,'Leveranser per nät'!T$1,FALSE)
               +Andel_beroende_av_klimat*VLOOKUP($A344,Leveranser_per_nät,'Leveranser per nät'!T$1,FALSE)/VLOOKUP($B344,Korrigeringsfaktor_EI,'Korrigeringsfaktor EI'!T$1,FALSE),
"")</f>
        <v>47.164285714285718</v>
      </c>
      <c r="U344" s="18">
        <f>IFERROR(
                  Andel_oberoende_av_klimat*VLOOKUP($A344,Leveranser_per_nät,'Leveranser per nät'!U$1,FALSE)
               +Andel_beroende_av_klimat*VLOOKUP($A344,Leveranser_per_nät,'Leveranser per nät'!U$1,FALSE)/VLOOKUP($B344,Korrigeringsfaktor_EI,'Korrigeringsfaktor EI'!U$1,FALSE),
"")</f>
        <v>48.568372093023257</v>
      </c>
      <c r="V344" s="18">
        <f>IFERROR(
                  Andel_oberoende_av_klimat*VLOOKUP($A344,Leveranser_per_nät,'Leveranser per nät'!V$1,FALSE)
               +Andel_beroende_av_klimat*VLOOKUP($A344,Leveranser_per_nät,'Leveranser per nät'!V$1,FALSE)/VLOOKUP($B344,Korrigeringsfaktor_EI,'Korrigeringsfaktor EI'!V$1,FALSE),
"")</f>
        <v>50.116666666666667</v>
      </c>
      <c r="W344" s="18">
        <f>IFERROR(
                  Andel_oberoende_av_klimat*VLOOKUP($A344,Leveranser_per_nät,'Leveranser per nät'!W$1,FALSE)
               +Andel_beroende_av_klimat*VLOOKUP($A344,Leveranser_per_nät,'Leveranser per nät'!W$1,FALSE)/VLOOKUP($B344,Korrigeringsfaktor_EI,'Korrigeringsfaktor EI'!W$1,FALSE),
"")</f>
        <v>50.739569892473121</v>
      </c>
      <c r="X344" s="18">
        <f>IFERROR(
                  Andel_oberoende_av_klimat*VLOOKUP($A344,Leveranser_per_nät,'Leveranser per nät'!X$1,FALSE)
               +Andel_beroende_av_klimat*VLOOKUP($A344,Leveranser_per_nät,'Leveranser per nät'!X$1,FALSE)/VLOOKUP($B344,Korrigeringsfaktor_EI,'Korrigeringsfaktor EI'!X$1,FALSE),
"")</f>
        <v>50.249148936170215</v>
      </c>
      <c r="Y344" s="18">
        <f>IFERROR(
                  Andel_oberoende_av_klimat*VLOOKUP($A344,Leveranser_per_nät,'Leveranser per nät'!Y$1,FALSE)
               +Andel_beroende_av_klimat*VLOOKUP($A344,Leveranser_per_nät,'Leveranser per nät'!Y$1,FALSE)/VLOOKUP($B344,Korrigeringsfaktor_EI,'Korrigeringsfaktor EI'!Y$1,FALSE),
"")</f>
        <v>50.574615384615385</v>
      </c>
      <c r="Z344" s="18">
        <f>IFERROR(
                  Andel_oberoende_av_klimat*VLOOKUP($A344,Leveranser_per_nät,'Leveranser per nät'!Z$1,FALSE)
               +Andel_beroende_av_klimat*VLOOKUP($A344,Leveranser_per_nät,'Leveranser per nät'!Z$1,FALSE)/VLOOKUP($B344,Korrigeringsfaktor_EI,'Korrigeringsfaktor EI'!Z$1,FALSE),
"")</f>
        <v>50.921954022988501</v>
      </c>
      <c r="AA344" s="18">
        <f>IFERROR(
                  Andel_oberoende_av_klimat*VLOOKUP($A344,Leveranser_per_nät,'Leveranser per nät'!AA$1,FALSE)
               +Andel_beroende_av_klimat*VLOOKUP($A344,Leveranser_per_nät,'Leveranser per nät'!AA$1,FALSE)/VLOOKUP($B344,Korrigeringsfaktor_EI,'Korrigeringsfaktor EI'!AA$1,FALSE),
"")</f>
        <v>50.016159442255223</v>
      </c>
      <c r="AB344" s="18">
        <f>IFERROR(
                  Andel_oberoende_av_klimat*VLOOKUP($A344,Leveranser_per_nät,'Leveranser per nät'!AB$1,FALSE)
               +Andel_beroende_av_klimat*VLOOKUP($A344,Leveranser_per_nät,'Leveranser per nät'!AB$1,FALSE)/VLOOKUP($B344,Korrigeringsfaktor_EI,'Korrigeringsfaktor EI'!AB$1,FALSE),
"")</f>
        <v>49.658861788617884</v>
      </c>
      <c r="AC344" s="18">
        <f>IFERROR(
                  Andel_oberoende_av_klimat*VLOOKUP($A344,Leveranser_per_nät,'Leveranser per nät'!AC$1,FALSE)
               +Andel_beroende_av_klimat*VLOOKUP($A344,Leveranser_per_nät,'Leveranser per nät'!AC$1,FALSE)/VLOOKUP($B344,Korrigeringsfaktor_EI,'Korrigeringsfaktor EI'!AC$1,FALSE),
"")</f>
        <v>47.500218579234975</v>
      </c>
      <c r="AD344">
        <v>44.6</v>
      </c>
    </row>
    <row r="345" spans="1:30" x14ac:dyDescent="0.25">
      <c r="A345" t="s">
        <v>234</v>
      </c>
      <c r="B345" t="s">
        <v>230</v>
      </c>
      <c r="C345" s="18">
        <f>IFERROR(
                  Andel_oberoende_av_klimat*VLOOKUP($A345,Leveranser_per_nät,'Leveranser per nät'!C$1,FALSE)
               +Andel_beroende_av_klimat*VLOOKUP($A345,Leveranser_per_nät,'Leveranser per nät'!C$1,FALSE)/VLOOKUP($B345,Korrigeringsfaktor_EI,'Korrigeringsfaktor EI'!C$1,FALSE),
"")</f>
        <v>1.9861386138613861</v>
      </c>
      <c r="D345" s="18">
        <f>IFERROR(
                  Andel_oberoende_av_klimat*VLOOKUP($A345,Leveranser_per_nät,'Leveranser per nät'!D$1,FALSE)
               +Andel_beroende_av_klimat*VLOOKUP($A345,Leveranser_per_nät,'Leveranser per nät'!D$1,FALSE)/VLOOKUP($B345,Korrigeringsfaktor_EI,'Korrigeringsfaktor EI'!D$1,FALSE),
"")</f>
        <v>2.511166666666667</v>
      </c>
      <c r="E345" s="18">
        <f>IFERROR(
                  Andel_oberoende_av_klimat*VLOOKUP($A345,Leveranser_per_nät,'Leveranser per nät'!E$1,FALSE)
               +Andel_beroende_av_klimat*VLOOKUP($A345,Leveranser_per_nät,'Leveranser per nät'!E$1,FALSE)/VLOOKUP($B345,Korrigeringsfaktor_EI,'Korrigeringsfaktor EI'!E$1,FALSE),
"")</f>
        <v>2.9192307692307686</v>
      </c>
      <c r="F345" s="18">
        <f>IFERROR(
                  Andel_oberoende_av_klimat*VLOOKUP($A345,Leveranser_per_nät,'Leveranser per nät'!F$1,FALSE)
               +Andel_beroende_av_klimat*VLOOKUP($A345,Leveranser_per_nät,'Leveranser per nät'!F$1,FALSE)/VLOOKUP($B345,Korrigeringsfaktor_EI,'Korrigeringsfaktor EI'!F$1,FALSE),
"")</f>
        <v>2</v>
      </c>
      <c r="G345" s="18">
        <f>IFERROR(
                  Andel_oberoende_av_klimat*VLOOKUP($A345,Leveranser_per_nät,'Leveranser per nät'!G$1,FALSE)
               +Andel_beroende_av_klimat*VLOOKUP($A345,Leveranser_per_nät,'Leveranser per nät'!G$1,FALSE)/VLOOKUP($B345,Korrigeringsfaktor_EI,'Korrigeringsfaktor EI'!G$1,FALSE),
"")</f>
        <v>2.1555555555555554</v>
      </c>
      <c r="H345" s="18">
        <f>IFERROR(
                  Andel_oberoende_av_klimat*VLOOKUP($A345,Leveranser_per_nät,'Leveranser per nät'!H$1,FALSE)
               +Andel_beroende_av_klimat*VLOOKUP($A345,Leveranser_per_nät,'Leveranser per nät'!H$1,FALSE)/VLOOKUP($B345,Korrigeringsfaktor_EI,'Korrigeringsfaktor EI'!H$1,FALSE),
"")</f>
        <v>1.9861386138613861</v>
      </c>
      <c r="I345" s="18">
        <f>IFERROR(
                  Andel_oberoende_av_klimat*VLOOKUP($A345,Leveranser_per_nät,'Leveranser per nät'!I$1,FALSE)
               +Andel_beroende_av_klimat*VLOOKUP($A345,Leveranser_per_nät,'Leveranser per nät'!I$1,FALSE)/VLOOKUP($B345,Korrigeringsfaktor_EI,'Korrigeringsfaktor EI'!I$1,FALSE),
"")</f>
        <v>2.0285714285714285</v>
      </c>
      <c r="J345" s="18">
        <f>IFERROR(
                  Andel_oberoende_av_klimat*VLOOKUP($A345,Leveranser_per_nät,'Leveranser per nät'!J$1,FALSE)
               +Andel_beroende_av_klimat*VLOOKUP($A345,Leveranser_per_nät,'Leveranser per nät'!J$1,FALSE)/VLOOKUP($B345,Korrigeringsfaktor_EI,'Korrigeringsfaktor EI'!J$1,FALSE),
"")</f>
        <v>2.0583333333333336</v>
      </c>
      <c r="K345" s="18">
        <f>IFERROR(
                  Andel_oberoende_av_klimat*VLOOKUP($A345,Leveranser_per_nät,'Leveranser per nät'!K$1,FALSE)
               +Andel_beroende_av_klimat*VLOOKUP($A345,Leveranser_per_nät,'Leveranser per nät'!K$1,FALSE)/VLOOKUP($B345,Korrigeringsfaktor_EI,'Korrigeringsfaktor EI'!K$1,FALSE),
"")</f>
        <v>2.3555999999999999</v>
      </c>
      <c r="L345" s="18">
        <f>IFERROR(
                  Andel_oberoende_av_klimat*VLOOKUP($A345,Leveranser_per_nät,'Leveranser per nät'!L$1,FALSE)
               +Andel_beroende_av_klimat*VLOOKUP($A345,Leveranser_per_nät,'Leveranser per nät'!L$1,FALSE)/VLOOKUP($B345,Korrigeringsfaktor_EI,'Korrigeringsfaktor EI'!L$1,FALSE),
"")</f>
        <v>2.2303936170212761</v>
      </c>
      <c r="M345" s="18">
        <f>IFERROR(
                  Andel_oberoende_av_klimat*VLOOKUP($A345,Leveranser_per_nät,'Leveranser per nät'!M$1,FALSE)
               +Andel_beroende_av_klimat*VLOOKUP($A345,Leveranser_per_nät,'Leveranser per nät'!M$1,FALSE)/VLOOKUP($B345,Korrigeringsfaktor_EI,'Korrigeringsfaktor EI'!M$1,FALSE),
"")</f>
        <v>2.2352078853046589</v>
      </c>
      <c r="N345" s="18">
        <f>IFERROR(
                  Andel_oberoende_av_klimat*VLOOKUP($A345,Leveranser_per_nät,'Leveranser per nät'!N$1,FALSE)
               +Andel_beroende_av_klimat*VLOOKUP($A345,Leveranser_per_nät,'Leveranser per nät'!N$1,FALSE)/VLOOKUP($B345,Korrigeringsfaktor_EI,'Korrigeringsfaktor EI'!N$1,FALSE),
"")</f>
        <v>2.1894649122807017</v>
      </c>
      <c r="O345" s="18">
        <f>IFERROR(
                  Andel_oberoende_av_klimat*VLOOKUP($A345,Leveranser_per_nät,'Leveranser per nät'!O$1,FALSE)
               +Andel_beroende_av_klimat*VLOOKUP($A345,Leveranser_per_nät,'Leveranser per nät'!O$1,FALSE)/VLOOKUP($B345,Korrigeringsfaktor_EI,'Korrigeringsfaktor EI'!O$1,FALSE),
"")</f>
        <v>2.1612499999999999</v>
      </c>
      <c r="P345" s="18">
        <f>IFERROR(
                  Andel_oberoende_av_klimat*VLOOKUP($A345,Leveranser_per_nät,'Leveranser per nät'!P$1,FALSE)
               +Andel_beroende_av_klimat*VLOOKUP($A345,Leveranser_per_nät,'Leveranser per nät'!P$1,FALSE)/VLOOKUP($B345,Korrigeringsfaktor_EI,'Korrigeringsfaktor EI'!P$1,FALSE),
"")</f>
        <v>2.145463917525773</v>
      </c>
      <c r="Q345" s="18">
        <f>IFERROR(
                  Andel_oberoende_av_klimat*VLOOKUP($A345,Leveranser_per_nät,'Leveranser per nät'!Q$1,FALSE)
               +Andel_beroende_av_klimat*VLOOKUP($A345,Leveranser_per_nät,'Leveranser per nät'!Q$1,FALSE)/VLOOKUP($B345,Korrigeringsfaktor_EI,'Korrigeringsfaktor EI'!Q$1,FALSE),
"")</f>
        <v>2.3555045871559632</v>
      </c>
      <c r="R345" s="18">
        <f>IFERROR(
                  Andel_oberoende_av_klimat*VLOOKUP($A345,Leveranser_per_nät,'Leveranser per nät'!R$1,FALSE)
               +Andel_beroende_av_klimat*VLOOKUP($A345,Leveranser_per_nät,'Leveranser per nät'!R$1,FALSE)/VLOOKUP($B345,Korrigeringsfaktor_EI,'Korrigeringsfaktor EI'!R$1,FALSE),
"")</f>
        <v>2.1429565217391304</v>
      </c>
      <c r="S345" s="18">
        <f>IFERROR(
                  Andel_oberoende_av_klimat*VLOOKUP($A345,Leveranser_per_nät,'Leveranser per nät'!S$1,FALSE)
               +Andel_beroende_av_klimat*VLOOKUP($A345,Leveranser_per_nät,'Leveranser per nät'!S$1,FALSE)/VLOOKUP($B345,Korrigeringsfaktor_EI,'Korrigeringsfaktor EI'!S$1,FALSE),
"")</f>
        <v>2.02</v>
      </c>
      <c r="T345" s="18">
        <f>IFERROR(
                  Andel_oberoende_av_klimat*VLOOKUP($A345,Leveranser_per_nät,'Leveranser per nät'!T$1,FALSE)
               +Andel_beroende_av_klimat*VLOOKUP($A345,Leveranser_per_nät,'Leveranser per nät'!T$1,FALSE)/VLOOKUP($B345,Korrigeringsfaktor_EI,'Korrigeringsfaktor EI'!T$1,FALSE),
"")</f>
        <v>2.0843225806451615</v>
      </c>
      <c r="U345" s="18">
        <f>IFERROR(
                  Andel_oberoende_av_klimat*VLOOKUP($A345,Leveranser_per_nät,'Leveranser per nät'!U$1,FALSE)
               +Andel_beroende_av_klimat*VLOOKUP($A345,Leveranser_per_nät,'Leveranser per nät'!U$1,FALSE)/VLOOKUP($B345,Korrigeringsfaktor_EI,'Korrigeringsfaktor EI'!U$1,FALSE),
"")</f>
        <v>2.0743076923076922</v>
      </c>
      <c r="V345" s="18">
        <f>IFERROR(
                  Andel_oberoende_av_klimat*VLOOKUP($A345,Leveranser_per_nät,'Leveranser per nät'!V$1,FALSE)
               +Andel_beroende_av_klimat*VLOOKUP($A345,Leveranser_per_nät,'Leveranser per nät'!V$1,FALSE)/VLOOKUP($B345,Korrigeringsfaktor_EI,'Korrigeringsfaktor EI'!V$1,FALSE),
"")</f>
        <v>1.9991910112359554</v>
      </c>
      <c r="W345" s="18">
        <f>IFERROR(
                  Andel_oberoende_av_klimat*VLOOKUP($A345,Leveranser_per_nät,'Leveranser per nät'!W$1,FALSE)
               +Andel_beroende_av_klimat*VLOOKUP($A345,Leveranser_per_nät,'Leveranser per nät'!W$1,FALSE)/VLOOKUP($B345,Korrigeringsfaktor_EI,'Korrigeringsfaktor EI'!W$1,FALSE),
"")</f>
        <v>1.8764285714285716</v>
      </c>
      <c r="X345" s="18">
        <f>IFERROR(
                  Andel_oberoende_av_klimat*VLOOKUP($A345,Leveranser_per_nät,'Leveranser per nät'!X$1,FALSE)
               +Andel_beroende_av_klimat*VLOOKUP($A345,Leveranser_per_nät,'Leveranser per nät'!X$1,FALSE)/VLOOKUP($B345,Korrigeringsfaktor_EI,'Korrigeringsfaktor EI'!X$1,FALSE),
"")</f>
        <v>1.9809783505154641</v>
      </c>
      <c r="Y345" s="18">
        <f>IFERROR(
                  Andel_oberoende_av_klimat*VLOOKUP($A345,Leveranser_per_nät,'Leveranser per nät'!Y$1,FALSE)
               +Andel_beroende_av_klimat*VLOOKUP($A345,Leveranser_per_nät,'Leveranser per nät'!Y$1,FALSE)/VLOOKUP($B345,Korrigeringsfaktor_EI,'Korrigeringsfaktor EI'!Y$1,FALSE),
"")</f>
        <v>2.1509583333333335</v>
      </c>
      <c r="Z345" s="18">
        <f>IFERROR(
                  Andel_oberoende_av_klimat*VLOOKUP($A345,Leveranser_per_nät,'Leveranser per nät'!Z$1,FALSE)
               +Andel_beroende_av_klimat*VLOOKUP($A345,Leveranser_per_nät,'Leveranser per nät'!Z$1,FALSE)/VLOOKUP($B345,Korrigeringsfaktor_EI,'Korrigeringsfaktor EI'!Z$1,FALSE),
"")</f>
        <v>2.0846363636363634</v>
      </c>
      <c r="AA345" s="18">
        <f>IFERROR(
                  Andel_oberoende_av_klimat*VLOOKUP($A345,Leveranser_per_nät,'Leveranser per nät'!AA$1,FALSE)
               +Andel_beroende_av_klimat*VLOOKUP($A345,Leveranser_per_nät,'Leveranser per nät'!AA$1,FALSE)/VLOOKUP($B345,Korrigeringsfaktor_EI,'Korrigeringsfaktor EI'!AA$1,FALSE),
"")</f>
        <v>1.9551217292377703</v>
      </c>
      <c r="AB345" s="18">
        <f>IFERROR(
                  Andel_oberoende_av_klimat*VLOOKUP($A345,Leveranser_per_nät,'Leveranser per nät'!AB$1,FALSE)
               +Andel_beroende_av_klimat*VLOOKUP($A345,Leveranser_per_nät,'Leveranser per nät'!AB$1,FALSE)/VLOOKUP($B345,Korrigeringsfaktor_EI,'Korrigeringsfaktor EI'!AB$1,FALSE),
"")</f>
        <v>2.0360390624999996</v>
      </c>
      <c r="AC345" s="18">
        <f>IFERROR(
                  Andel_oberoende_av_klimat*VLOOKUP($A345,Leveranser_per_nät,'Leveranser per nät'!AC$1,FALSE)
               +Andel_beroende_av_klimat*VLOOKUP($A345,Leveranser_per_nät,'Leveranser per nät'!AC$1,FALSE)/VLOOKUP($B345,Korrigeringsfaktor_EI,'Korrigeringsfaktor EI'!AC$1,FALSE),
"")</f>
        <v>2.1304340292275574</v>
      </c>
      <c r="AD345">
        <v>240.6</v>
      </c>
    </row>
    <row r="346" spans="1:30" x14ac:dyDescent="0.25">
      <c r="A346" t="s">
        <v>415</v>
      </c>
      <c r="B346" t="s">
        <v>318</v>
      </c>
      <c r="C346" s="18">
        <f>IFERROR(
                  Andel_oberoende_av_klimat*VLOOKUP($A346,Leveranser_per_nät,'Leveranser per nät'!C$1,FALSE)
               +Andel_beroende_av_klimat*VLOOKUP($A346,Leveranser_per_nät,'Leveranser per nät'!C$1,FALSE)/VLOOKUP($B346,Korrigeringsfaktor_EI,'Korrigeringsfaktor EI'!C$1,FALSE),
"")</f>
        <v>0</v>
      </c>
      <c r="D346" s="18">
        <f>IFERROR(
                  Andel_oberoende_av_klimat*VLOOKUP($A346,Leveranser_per_nät,'Leveranser per nät'!D$1,FALSE)
               +Andel_beroende_av_klimat*VLOOKUP($A346,Leveranser_per_nät,'Leveranser per nät'!D$1,FALSE)/VLOOKUP($B346,Korrigeringsfaktor_EI,'Korrigeringsfaktor EI'!D$1,FALSE),
"")</f>
        <v>0</v>
      </c>
      <c r="E346" s="18">
        <f>IFERROR(
                  Andel_oberoende_av_klimat*VLOOKUP($A346,Leveranser_per_nät,'Leveranser per nät'!E$1,FALSE)
               +Andel_beroende_av_klimat*VLOOKUP($A346,Leveranser_per_nät,'Leveranser per nät'!E$1,FALSE)/VLOOKUP($B346,Korrigeringsfaktor_EI,'Korrigeringsfaktor EI'!E$1,FALSE),
"")</f>
        <v>0</v>
      </c>
      <c r="F346" s="18">
        <f>IFERROR(
                  Andel_oberoende_av_klimat*VLOOKUP($A346,Leveranser_per_nät,'Leveranser per nät'!F$1,FALSE)
               +Andel_beroende_av_klimat*VLOOKUP($A346,Leveranser_per_nät,'Leveranser per nät'!F$1,FALSE)/VLOOKUP($B346,Korrigeringsfaktor_EI,'Korrigeringsfaktor EI'!F$1,FALSE),
"")</f>
        <v>0</v>
      </c>
      <c r="G346" s="18">
        <f>IFERROR(
                  Andel_oberoende_av_klimat*VLOOKUP($A346,Leveranser_per_nät,'Leveranser per nät'!G$1,FALSE)
               +Andel_beroende_av_klimat*VLOOKUP($A346,Leveranser_per_nät,'Leveranser per nät'!G$1,FALSE)/VLOOKUP($B346,Korrigeringsfaktor_EI,'Korrigeringsfaktor EI'!G$1,FALSE),
"")</f>
        <v>0</v>
      </c>
      <c r="H346" s="18">
        <f>IFERROR(
                  Andel_oberoende_av_klimat*VLOOKUP($A346,Leveranser_per_nät,'Leveranser per nät'!H$1,FALSE)
               +Andel_beroende_av_klimat*VLOOKUP($A346,Leveranser_per_nät,'Leveranser per nät'!H$1,FALSE)/VLOOKUP($B346,Korrigeringsfaktor_EI,'Korrigeringsfaktor EI'!H$1,FALSE),
"")</f>
        <v>0</v>
      </c>
      <c r="I346" s="18">
        <f>IFERROR(
                  Andel_oberoende_av_klimat*VLOOKUP($A346,Leveranser_per_nät,'Leveranser per nät'!I$1,FALSE)
               +Andel_beroende_av_klimat*VLOOKUP($A346,Leveranser_per_nät,'Leveranser per nät'!I$1,FALSE)/VLOOKUP($B346,Korrigeringsfaktor_EI,'Korrigeringsfaktor EI'!I$1,FALSE),
"")</f>
        <v>0</v>
      </c>
      <c r="J346" s="18">
        <f>IFERROR(
                  Andel_oberoende_av_klimat*VLOOKUP($A346,Leveranser_per_nät,'Leveranser per nät'!J$1,FALSE)
               +Andel_beroende_av_klimat*VLOOKUP($A346,Leveranser_per_nät,'Leveranser per nät'!J$1,FALSE)/VLOOKUP($B346,Korrigeringsfaktor_EI,'Korrigeringsfaktor EI'!J$1,FALSE),
"")</f>
        <v>0</v>
      </c>
      <c r="K346" s="18">
        <f>IFERROR(
                  Andel_oberoende_av_klimat*VLOOKUP($A346,Leveranser_per_nät,'Leveranser per nät'!K$1,FALSE)
               +Andel_beroende_av_klimat*VLOOKUP($A346,Leveranser_per_nät,'Leveranser per nät'!K$1,FALSE)/VLOOKUP($B346,Korrigeringsfaktor_EI,'Korrigeringsfaktor EI'!K$1,FALSE),
"")</f>
        <v>0</v>
      </c>
      <c r="L346" s="18">
        <f>IFERROR(
                  Andel_oberoende_av_klimat*VLOOKUP($A346,Leveranser_per_nät,'Leveranser per nät'!L$1,FALSE)
               +Andel_beroende_av_klimat*VLOOKUP($A346,Leveranser_per_nät,'Leveranser per nät'!L$1,FALSE)/VLOOKUP($B346,Korrigeringsfaktor_EI,'Korrigeringsfaktor EI'!L$1,FALSE),
"")</f>
        <v>2.3474105263157892</v>
      </c>
      <c r="M346" s="18">
        <f>IFERROR(
                  Andel_oberoende_av_klimat*VLOOKUP($A346,Leveranser_per_nät,'Leveranser per nät'!M$1,FALSE)
               +Andel_beroende_av_klimat*VLOOKUP($A346,Leveranser_per_nät,'Leveranser per nät'!M$1,FALSE)/VLOOKUP($B346,Korrigeringsfaktor_EI,'Korrigeringsfaktor EI'!M$1,FALSE),
"")</f>
        <v>0</v>
      </c>
      <c r="N346" s="18">
        <f>IFERROR(
                  Andel_oberoende_av_klimat*VLOOKUP($A346,Leveranser_per_nät,'Leveranser per nät'!N$1,FALSE)
               +Andel_beroende_av_klimat*VLOOKUP($A346,Leveranser_per_nät,'Leveranser per nät'!N$1,FALSE)/VLOOKUP($B346,Korrigeringsfaktor_EI,'Korrigeringsfaktor EI'!N$1,FALSE),
"")</f>
        <v>0</v>
      </c>
      <c r="O346" s="18">
        <f>IFERROR(
                  Andel_oberoende_av_klimat*VLOOKUP($A346,Leveranser_per_nät,'Leveranser per nät'!O$1,FALSE)
               +Andel_beroende_av_klimat*VLOOKUP($A346,Leveranser_per_nät,'Leveranser per nät'!O$1,FALSE)/VLOOKUP($B346,Korrigeringsfaktor_EI,'Korrigeringsfaktor EI'!O$1,FALSE),
"")</f>
        <v>0</v>
      </c>
      <c r="P346" s="18">
        <f>IFERROR(
                  Andel_oberoende_av_klimat*VLOOKUP($A346,Leveranser_per_nät,'Leveranser per nät'!P$1,FALSE)
               +Andel_beroende_av_klimat*VLOOKUP($A346,Leveranser_per_nät,'Leveranser per nät'!P$1,FALSE)/VLOOKUP($B346,Korrigeringsfaktor_EI,'Korrigeringsfaktor EI'!P$1,FALSE),
"")</f>
        <v>0</v>
      </c>
      <c r="Q346" s="18">
        <f>IFERROR(
                  Andel_oberoende_av_klimat*VLOOKUP($A346,Leveranser_per_nät,'Leveranser per nät'!Q$1,FALSE)
               +Andel_beroende_av_klimat*VLOOKUP($A346,Leveranser_per_nät,'Leveranser per nät'!Q$1,FALSE)/VLOOKUP($B346,Korrigeringsfaktor_EI,'Korrigeringsfaktor EI'!Q$1,FALSE),
"")</f>
        <v>0</v>
      </c>
      <c r="R346" s="18">
        <f>IFERROR(
                  Andel_oberoende_av_klimat*VLOOKUP($A346,Leveranser_per_nät,'Leveranser per nät'!R$1,FALSE)
               +Andel_beroende_av_klimat*VLOOKUP($A346,Leveranser_per_nät,'Leveranser per nät'!R$1,FALSE)/VLOOKUP($B346,Korrigeringsfaktor_EI,'Korrigeringsfaktor EI'!R$1,FALSE),
"")</f>
        <v>0</v>
      </c>
      <c r="S346" s="18" t="str">
        <f>IFERROR(
                  Andel_oberoende_av_klimat*VLOOKUP($A346,Leveranser_per_nät,'Leveranser per nät'!S$1,FALSE)
               +Andel_beroende_av_klimat*VLOOKUP($A346,Leveranser_per_nät,'Leveranser per nät'!S$1,FALSE)/VLOOKUP($B346,Korrigeringsfaktor_EI,'Korrigeringsfaktor EI'!S$1,FALSE),
"")</f>
        <v/>
      </c>
      <c r="T346" s="18" t="str">
        <f>IFERROR(
                  Andel_oberoende_av_klimat*VLOOKUP($A346,Leveranser_per_nät,'Leveranser per nät'!T$1,FALSE)
               +Andel_beroende_av_klimat*VLOOKUP($A346,Leveranser_per_nät,'Leveranser per nät'!T$1,FALSE)/VLOOKUP($B346,Korrigeringsfaktor_EI,'Korrigeringsfaktor EI'!T$1,FALSE),
"")</f>
        <v/>
      </c>
      <c r="U346" s="18" t="str">
        <f>IFERROR(
                  Andel_oberoende_av_klimat*VLOOKUP($A346,Leveranser_per_nät,'Leveranser per nät'!U$1,FALSE)
               +Andel_beroende_av_klimat*VLOOKUP($A346,Leveranser_per_nät,'Leveranser per nät'!U$1,FALSE)/VLOOKUP($B346,Korrigeringsfaktor_EI,'Korrigeringsfaktor EI'!U$1,FALSE),
"")</f>
        <v/>
      </c>
      <c r="V346" s="18" t="str">
        <f>IFERROR(
                  Andel_oberoende_av_klimat*VLOOKUP($A346,Leveranser_per_nät,'Leveranser per nät'!V$1,FALSE)
               +Andel_beroende_av_klimat*VLOOKUP($A346,Leveranser_per_nät,'Leveranser per nät'!V$1,FALSE)/VLOOKUP($B346,Korrigeringsfaktor_EI,'Korrigeringsfaktor EI'!V$1,FALSE),
"")</f>
        <v/>
      </c>
      <c r="W346" s="18" t="str">
        <f>IFERROR(
                  Andel_oberoende_av_klimat*VLOOKUP($A346,Leveranser_per_nät,'Leveranser per nät'!W$1,FALSE)
               +Andel_beroende_av_klimat*VLOOKUP($A346,Leveranser_per_nät,'Leveranser per nät'!W$1,FALSE)/VLOOKUP($B346,Korrigeringsfaktor_EI,'Korrigeringsfaktor EI'!W$1,FALSE),
"")</f>
        <v/>
      </c>
      <c r="X346" s="18" t="str">
        <f>IFERROR(
                  Andel_oberoende_av_klimat*VLOOKUP($A346,Leveranser_per_nät,'Leveranser per nät'!X$1,FALSE)
               +Andel_beroende_av_klimat*VLOOKUP($A346,Leveranser_per_nät,'Leveranser per nät'!X$1,FALSE)/VLOOKUP($B346,Korrigeringsfaktor_EI,'Korrigeringsfaktor EI'!X$1,FALSE),
"")</f>
        <v/>
      </c>
      <c r="Y346" s="18" t="str">
        <f>IFERROR(
                  Andel_oberoende_av_klimat*VLOOKUP($A346,Leveranser_per_nät,'Leveranser per nät'!Y$1,FALSE)
               +Andel_beroende_av_klimat*VLOOKUP($A346,Leveranser_per_nät,'Leveranser per nät'!Y$1,FALSE)/VLOOKUP($B346,Korrigeringsfaktor_EI,'Korrigeringsfaktor EI'!Y$1,FALSE),
"")</f>
        <v/>
      </c>
      <c r="Z346" s="18">
        <f>IFERROR(
                  Andel_oberoende_av_klimat*VLOOKUP($A346,Leveranser_per_nät,'Leveranser per nät'!Z$1,FALSE)
               +Andel_beroende_av_klimat*VLOOKUP($A346,Leveranser_per_nät,'Leveranser per nät'!Z$1,FALSE)/VLOOKUP($B346,Korrigeringsfaktor_EI,'Korrigeringsfaktor EI'!Z$1,FALSE),
"")</f>
        <v>0</v>
      </c>
      <c r="AA346" s="18" t="str">
        <f>IFERROR(
                  Andel_oberoende_av_klimat*VLOOKUP($A346,Leveranser_per_nät,'Leveranser per nät'!AA$1,FALSE)
               +Andel_beroende_av_klimat*VLOOKUP($A346,Leveranser_per_nät,'Leveranser per nät'!AA$1,FALSE)/VLOOKUP($B346,Korrigeringsfaktor_EI,'Korrigeringsfaktor EI'!AA$1,FALSE),
"")</f>
        <v/>
      </c>
      <c r="AB346" s="18">
        <f>IFERROR(
                  Andel_oberoende_av_klimat*VLOOKUP($A346,Leveranser_per_nät,'Leveranser per nät'!AB$1,FALSE)
               +Andel_beroende_av_klimat*VLOOKUP($A346,Leveranser_per_nät,'Leveranser per nät'!AB$1,FALSE)/VLOOKUP($B346,Korrigeringsfaktor_EI,'Korrigeringsfaktor EI'!AB$1,FALSE),
"")</f>
        <v>0</v>
      </c>
      <c r="AC346" s="18">
        <f>IFERROR(
                  Andel_oberoende_av_klimat*VLOOKUP($A346,Leveranser_per_nät,'Leveranser per nät'!AC$1,FALSE)
               +Andel_beroende_av_klimat*VLOOKUP($A346,Leveranser_per_nät,'Leveranser per nät'!AC$1,FALSE)/VLOOKUP($B346,Korrigeringsfaktor_EI,'Korrigeringsfaktor EI'!AC$1,FALSE),
"")</f>
        <v>0</v>
      </c>
      <c r="AD346">
        <v>306.2</v>
      </c>
    </row>
    <row r="347" spans="1:30" x14ac:dyDescent="0.25">
      <c r="A347" t="s">
        <v>244</v>
      </c>
      <c r="B347" t="s">
        <v>244</v>
      </c>
      <c r="C347" s="18">
        <f>IFERROR(
                  Andel_oberoende_av_klimat*VLOOKUP($A347,Leveranser_per_nät,'Leveranser per nät'!C$1,FALSE)
               +Andel_beroende_av_klimat*VLOOKUP($A347,Leveranser_per_nät,'Leveranser per nät'!C$1,FALSE)/VLOOKUP($B347,Korrigeringsfaktor_EI,'Korrigeringsfaktor EI'!C$1,FALSE),
"")</f>
        <v>0</v>
      </c>
      <c r="D347" s="18">
        <f>IFERROR(
                  Andel_oberoende_av_klimat*VLOOKUP($A347,Leveranser_per_nät,'Leveranser per nät'!D$1,FALSE)
               +Andel_beroende_av_klimat*VLOOKUP($A347,Leveranser_per_nät,'Leveranser per nät'!D$1,FALSE)/VLOOKUP($B347,Korrigeringsfaktor_EI,'Korrigeringsfaktor EI'!D$1,FALSE),
"")</f>
        <v>0</v>
      </c>
      <c r="E347" s="18">
        <f>IFERROR(
                  Andel_oberoende_av_klimat*VLOOKUP($A347,Leveranser_per_nät,'Leveranser per nät'!E$1,FALSE)
               +Andel_beroende_av_klimat*VLOOKUP($A347,Leveranser_per_nät,'Leveranser per nät'!E$1,FALSE)/VLOOKUP($B347,Korrigeringsfaktor_EI,'Korrigeringsfaktor EI'!E$1,FALSE),
"")</f>
        <v>0</v>
      </c>
      <c r="F347" s="18">
        <f>IFERROR(
                  Andel_oberoende_av_klimat*VLOOKUP($A347,Leveranser_per_nät,'Leveranser per nät'!F$1,FALSE)
               +Andel_beroende_av_klimat*VLOOKUP($A347,Leveranser_per_nät,'Leveranser per nät'!F$1,FALSE)/VLOOKUP($B347,Korrigeringsfaktor_EI,'Korrigeringsfaktor EI'!F$1,FALSE),
"")</f>
        <v>0</v>
      </c>
      <c r="G347" s="18">
        <f>IFERROR(
                  Andel_oberoende_av_klimat*VLOOKUP($A347,Leveranser_per_nät,'Leveranser per nät'!G$1,FALSE)
               +Andel_beroende_av_klimat*VLOOKUP($A347,Leveranser_per_nät,'Leveranser per nät'!G$1,FALSE)/VLOOKUP($B347,Korrigeringsfaktor_EI,'Korrigeringsfaktor EI'!G$1,FALSE),
"")</f>
        <v>0</v>
      </c>
      <c r="H347" s="18">
        <f>IFERROR(
                  Andel_oberoende_av_klimat*VLOOKUP($A347,Leveranser_per_nät,'Leveranser per nät'!H$1,FALSE)
               +Andel_beroende_av_klimat*VLOOKUP($A347,Leveranser_per_nät,'Leveranser per nät'!H$1,FALSE)/VLOOKUP($B347,Korrigeringsfaktor_EI,'Korrigeringsfaktor EI'!H$1,FALSE),
"")</f>
        <v>0</v>
      </c>
      <c r="I347" s="18">
        <f>IFERROR(
                  Andel_oberoende_av_klimat*VLOOKUP($A347,Leveranser_per_nät,'Leveranser per nät'!I$1,FALSE)
               +Andel_beroende_av_klimat*VLOOKUP($A347,Leveranser_per_nät,'Leveranser per nät'!I$1,FALSE)/VLOOKUP($B347,Korrigeringsfaktor_EI,'Korrigeringsfaktor EI'!I$1,FALSE),
"")</f>
        <v>0</v>
      </c>
      <c r="J347" s="18">
        <f>IFERROR(
                  Andel_oberoende_av_klimat*VLOOKUP($A347,Leveranser_per_nät,'Leveranser per nät'!J$1,FALSE)
               +Andel_beroende_av_klimat*VLOOKUP($A347,Leveranser_per_nät,'Leveranser per nät'!J$1,FALSE)/VLOOKUP($B347,Korrigeringsfaktor_EI,'Korrigeringsfaktor EI'!J$1,FALSE),
"")</f>
        <v>0</v>
      </c>
      <c r="K347" s="18">
        <f>IFERROR(
                  Andel_oberoende_av_klimat*VLOOKUP($A347,Leveranser_per_nät,'Leveranser per nät'!K$1,FALSE)
               +Andel_beroende_av_klimat*VLOOKUP($A347,Leveranser_per_nät,'Leveranser per nät'!K$1,FALSE)/VLOOKUP($B347,Korrigeringsfaktor_EI,'Korrigeringsfaktor EI'!K$1,FALSE),
"")</f>
        <v>19.289432323232326</v>
      </c>
      <c r="L347" s="18">
        <f>IFERROR(
                  Andel_oberoende_av_klimat*VLOOKUP($A347,Leveranser_per_nät,'Leveranser per nät'!L$1,FALSE)
               +Andel_beroende_av_klimat*VLOOKUP($A347,Leveranser_per_nät,'Leveranser per nät'!L$1,FALSE)/VLOOKUP($B347,Korrigeringsfaktor_EI,'Korrigeringsfaktor EI'!L$1,FALSE),
"")</f>
        <v>22.689008333333334</v>
      </c>
      <c r="M347" s="18">
        <f>IFERROR(
                  Andel_oberoende_av_klimat*VLOOKUP($A347,Leveranser_per_nät,'Leveranser per nät'!M$1,FALSE)
               +Andel_beroende_av_klimat*VLOOKUP($A347,Leveranser_per_nät,'Leveranser per nät'!M$1,FALSE)/VLOOKUP($B347,Korrigeringsfaktor_EI,'Korrigeringsfaktor EI'!M$1,FALSE),
"")</f>
        <v>23.977078494623655</v>
      </c>
      <c r="N347" s="18">
        <f>IFERROR(
                  Andel_oberoende_av_klimat*VLOOKUP($A347,Leveranser_per_nät,'Leveranser per nät'!N$1,FALSE)
               +Andel_beroende_av_klimat*VLOOKUP($A347,Leveranser_per_nät,'Leveranser per nät'!N$1,FALSE)/VLOOKUP($B347,Korrigeringsfaktor_EI,'Korrigeringsfaktor EI'!N$1,FALSE),
"")</f>
        <v>20.046666666666667</v>
      </c>
      <c r="O347" s="18">
        <f>IFERROR(
                  Andel_oberoende_av_klimat*VLOOKUP($A347,Leveranser_per_nät,'Leveranser per nät'!O$1,FALSE)
               +Andel_beroende_av_klimat*VLOOKUP($A347,Leveranser_per_nät,'Leveranser per nät'!O$1,FALSE)/VLOOKUP($B347,Korrigeringsfaktor_EI,'Korrigeringsfaktor EI'!O$1,FALSE),
"")</f>
        <v>20.046666666666667</v>
      </c>
      <c r="P347" s="18">
        <f>IFERROR(
                  Andel_oberoende_av_klimat*VLOOKUP($A347,Leveranser_per_nät,'Leveranser per nät'!P$1,FALSE)
               +Andel_beroende_av_klimat*VLOOKUP($A347,Leveranser_per_nät,'Leveranser per nät'!P$1,FALSE)/VLOOKUP($B347,Korrigeringsfaktor_EI,'Korrigeringsfaktor EI'!P$1,FALSE),
"")</f>
        <v>27.849578947368421</v>
      </c>
      <c r="Q347" s="18">
        <f>IFERROR(
                  Andel_oberoende_av_klimat*VLOOKUP($A347,Leveranser_per_nät,'Leveranser per nät'!Q$1,FALSE)
               +Andel_beroende_av_klimat*VLOOKUP($A347,Leveranser_per_nät,'Leveranser per nät'!Q$1,FALSE)/VLOOKUP($B347,Korrigeringsfaktor_EI,'Korrigeringsfaktor EI'!Q$1,FALSE),
"")</f>
        <v>30.117068468468467</v>
      </c>
      <c r="R347" s="18">
        <f>IFERROR(
                  Andel_oberoende_av_klimat*VLOOKUP($A347,Leveranser_per_nät,'Leveranser per nät'!R$1,FALSE)
               +Andel_beroende_av_klimat*VLOOKUP($A347,Leveranser_per_nät,'Leveranser per nät'!R$1,FALSE)/VLOOKUP($B347,Korrigeringsfaktor_EI,'Korrigeringsfaktor EI'!R$1,FALSE),
"")</f>
        <v>26.587745161290322</v>
      </c>
      <c r="S347" s="18">
        <f>IFERROR(
                  Andel_oberoende_av_klimat*VLOOKUP($A347,Leveranser_per_nät,'Leveranser per nät'!S$1,FALSE)
               +Andel_beroende_av_klimat*VLOOKUP($A347,Leveranser_per_nät,'Leveranser per nät'!S$1,FALSE)/VLOOKUP($B347,Korrigeringsfaktor_EI,'Korrigeringsfaktor EI'!S$1,FALSE),
"")</f>
        <v>25.819801980198019</v>
      </c>
      <c r="T347" s="18">
        <f>IFERROR(
                  Andel_oberoende_av_klimat*VLOOKUP($A347,Leveranser_per_nät,'Leveranser per nät'!T$1,FALSE)
               +Andel_beroende_av_klimat*VLOOKUP($A347,Leveranser_per_nät,'Leveranser per nät'!T$1,FALSE)/VLOOKUP($B347,Korrigeringsfaktor_EI,'Korrigeringsfaktor EI'!T$1,FALSE),
"")</f>
        <v>26.067142857142859</v>
      </c>
      <c r="U347" s="18">
        <f>IFERROR(
                  Andel_oberoende_av_klimat*VLOOKUP($A347,Leveranser_per_nät,'Leveranser per nät'!U$1,FALSE)
               +Andel_beroende_av_klimat*VLOOKUP($A347,Leveranser_per_nät,'Leveranser per nät'!U$1,FALSE)/VLOOKUP($B347,Korrigeringsfaktor_EI,'Korrigeringsfaktor EI'!U$1,FALSE),
"")</f>
        <v>24.853448275862068</v>
      </c>
      <c r="V347" s="18">
        <f>IFERROR(
                  Andel_oberoende_av_klimat*VLOOKUP($A347,Leveranser_per_nät,'Leveranser per nät'!V$1,FALSE)
               +Andel_beroende_av_klimat*VLOOKUP($A347,Leveranser_per_nät,'Leveranser per nät'!V$1,FALSE)/VLOOKUP($B347,Korrigeringsfaktor_EI,'Korrigeringsfaktor EI'!V$1,FALSE),
"")</f>
        <v>25.768461538461541</v>
      </c>
      <c r="W347" s="18">
        <f>IFERROR(
                  Andel_oberoende_av_klimat*VLOOKUP($A347,Leveranser_per_nät,'Leveranser per nät'!W$1,FALSE)
               +Andel_beroende_av_klimat*VLOOKUP($A347,Leveranser_per_nät,'Leveranser per nät'!W$1,FALSE)/VLOOKUP($B347,Korrigeringsfaktor_EI,'Korrigeringsfaktor EI'!W$1,FALSE),
"")</f>
        <v>27.900869565217391</v>
      </c>
      <c r="X347" s="18">
        <f>IFERROR(
                  Andel_oberoende_av_klimat*VLOOKUP($A347,Leveranser_per_nät,'Leveranser per nät'!X$1,FALSE)
               +Andel_beroende_av_klimat*VLOOKUP($A347,Leveranser_per_nät,'Leveranser per nät'!X$1,FALSE)/VLOOKUP($B347,Korrigeringsfaktor_EI,'Korrigeringsfaktor EI'!X$1,FALSE),
"")</f>
        <v>27.89623655913978</v>
      </c>
      <c r="Y347" s="18">
        <f>IFERROR(
                  Andel_oberoende_av_klimat*VLOOKUP($A347,Leveranser_per_nät,'Leveranser per nät'!Y$1,FALSE)
               +Andel_beroende_av_klimat*VLOOKUP($A347,Leveranser_per_nät,'Leveranser per nät'!Y$1,FALSE)/VLOOKUP($B347,Korrigeringsfaktor_EI,'Korrigeringsfaktor EI'!Y$1,FALSE),
"")</f>
        <v>28.481818181818181</v>
      </c>
      <c r="Z347" s="18">
        <f>IFERROR(
                  Andel_oberoende_av_klimat*VLOOKUP($A347,Leveranser_per_nät,'Leveranser per nät'!Z$1,FALSE)
               +Andel_beroende_av_klimat*VLOOKUP($A347,Leveranser_per_nät,'Leveranser per nät'!Z$1,FALSE)/VLOOKUP($B347,Korrigeringsfaktor_EI,'Korrigeringsfaktor EI'!Z$1,FALSE),
"")</f>
        <v>27.283563218390803</v>
      </c>
      <c r="AA347" s="18">
        <f>IFERROR(
                  Andel_oberoende_av_klimat*VLOOKUP($A347,Leveranser_per_nät,'Leveranser per nät'!AA$1,FALSE)
               +Andel_beroende_av_klimat*VLOOKUP($A347,Leveranser_per_nät,'Leveranser per nät'!AA$1,FALSE)/VLOOKUP($B347,Korrigeringsfaktor_EI,'Korrigeringsfaktor EI'!AA$1,FALSE),
"")</f>
        <v>27.294086897767336</v>
      </c>
      <c r="AB347" s="18">
        <f>IFERROR(
                  Andel_oberoende_av_klimat*VLOOKUP($A347,Leveranser_per_nät,'Leveranser per nät'!AB$1,FALSE)
               +Andel_beroende_av_klimat*VLOOKUP($A347,Leveranser_per_nät,'Leveranser per nät'!AB$1,FALSE)/VLOOKUP($B347,Korrigeringsfaktor_EI,'Korrigeringsfaktor EI'!AB$1,FALSE),
"")</f>
        <v>27.219059059059056</v>
      </c>
      <c r="AC347" s="18">
        <f>IFERROR(
                  Andel_oberoende_av_klimat*VLOOKUP($A347,Leveranser_per_nät,'Leveranser per nät'!AC$1,FALSE)
               +Andel_beroende_av_klimat*VLOOKUP($A347,Leveranser_per_nät,'Leveranser per nät'!AC$1,FALSE)/VLOOKUP($B347,Korrigeringsfaktor_EI,'Korrigeringsfaktor EI'!AC$1,FALSE),
"")</f>
        <v>27.161702127659577</v>
      </c>
      <c r="AD347">
        <v>26</v>
      </c>
    </row>
    <row r="348" spans="1:30" x14ac:dyDescent="0.25">
      <c r="A348" t="s">
        <v>256</v>
      </c>
      <c r="B348" t="s">
        <v>256</v>
      </c>
      <c r="C348" s="18">
        <f>IFERROR(
                  Andel_oberoende_av_klimat*VLOOKUP($A348,Leveranser_per_nät,'Leveranser per nät'!C$1,FALSE)
               +Andel_beroende_av_klimat*VLOOKUP($A348,Leveranser_per_nät,'Leveranser per nät'!C$1,FALSE)/VLOOKUP($B348,Korrigeringsfaktor_EI,'Korrigeringsfaktor EI'!C$1,FALSE),
"")</f>
        <v>13.109090909090909</v>
      </c>
      <c r="D348" s="18">
        <f>IFERROR(
                  Andel_oberoende_av_klimat*VLOOKUP($A348,Leveranser_per_nät,'Leveranser per nät'!D$1,FALSE)
               +Andel_beroende_av_klimat*VLOOKUP($A348,Leveranser_per_nät,'Leveranser per nät'!D$1,FALSE)/VLOOKUP($B348,Korrigeringsfaktor_EI,'Korrigeringsfaktor EI'!D$1,FALSE),
"")</f>
        <v>13.454464646464643</v>
      </c>
      <c r="E348" s="18">
        <f>IFERROR(
                  Andel_oberoende_av_klimat*VLOOKUP($A348,Leveranser_per_nät,'Leveranser per nät'!E$1,FALSE)
               +Andel_beroende_av_klimat*VLOOKUP($A348,Leveranser_per_nät,'Leveranser per nät'!E$1,FALSE)/VLOOKUP($B348,Korrigeringsfaktor_EI,'Korrigeringsfaktor EI'!E$1,FALSE),
"")</f>
        <v>13.714563106796117</v>
      </c>
      <c r="F348" s="18">
        <f>IFERROR(
                  Andel_oberoende_av_klimat*VLOOKUP($A348,Leveranser_per_nät,'Leveranser per nät'!F$1,FALSE)
               +Andel_beroende_av_klimat*VLOOKUP($A348,Leveranser_per_nät,'Leveranser per nät'!F$1,FALSE)/VLOOKUP($B348,Korrigeringsfaktor_EI,'Korrigeringsfaktor EI'!F$1,FALSE),
"")</f>
        <v>14.408333333333333</v>
      </c>
      <c r="G348" s="18">
        <f>IFERROR(
                  Andel_oberoende_av_klimat*VLOOKUP($A348,Leveranser_per_nät,'Leveranser per nät'!G$1,FALSE)
               +Andel_beroende_av_klimat*VLOOKUP($A348,Leveranser_per_nät,'Leveranser per nät'!G$1,FALSE)/VLOOKUP($B348,Korrigeringsfaktor_EI,'Korrigeringsfaktor EI'!G$1,FALSE),
"")</f>
        <v>22.633333333333333</v>
      </c>
      <c r="H348" s="18">
        <f>IFERROR(
                  Andel_oberoende_av_klimat*VLOOKUP($A348,Leveranser_per_nät,'Leveranser per nät'!H$1,FALSE)
               +Andel_beroende_av_klimat*VLOOKUP($A348,Leveranser_per_nät,'Leveranser per nät'!H$1,FALSE)/VLOOKUP($B348,Korrigeringsfaktor_EI,'Korrigeringsfaktor EI'!H$1,FALSE),
"")</f>
        <v>41.108907843137253</v>
      </c>
      <c r="I348" s="18">
        <f>IFERROR(
                  Andel_oberoende_av_klimat*VLOOKUP($A348,Leveranser_per_nät,'Leveranser per nät'!I$1,FALSE)
               +Andel_beroende_av_klimat*VLOOKUP($A348,Leveranser_per_nät,'Leveranser per nät'!I$1,FALSE)/VLOOKUP($B348,Korrigeringsfaktor_EI,'Korrigeringsfaktor EI'!I$1,FALSE),
"")</f>
        <v>42.896695833333332</v>
      </c>
      <c r="J348" s="18">
        <f>IFERROR(
                  Andel_oberoende_av_klimat*VLOOKUP($A348,Leveranser_per_nät,'Leveranser per nät'!J$1,FALSE)
               +Andel_beroende_av_klimat*VLOOKUP($A348,Leveranser_per_nät,'Leveranser per nät'!J$1,FALSE)/VLOOKUP($B348,Korrigeringsfaktor_EI,'Korrigeringsfaktor EI'!J$1,FALSE),
"")</f>
        <v>61.119121212121208</v>
      </c>
      <c r="K348" s="18">
        <f>IFERROR(
                  Andel_oberoende_av_klimat*VLOOKUP($A348,Leveranser_per_nät,'Leveranser per nät'!K$1,FALSE)
               +Andel_beroende_av_klimat*VLOOKUP($A348,Leveranser_per_nät,'Leveranser per nät'!K$1,FALSE)/VLOOKUP($B348,Korrigeringsfaktor_EI,'Korrigeringsfaktor EI'!K$1,FALSE),
"")</f>
        <v>61.181714285714285</v>
      </c>
      <c r="L348" s="18">
        <f>IFERROR(
                  Andel_oberoende_av_klimat*VLOOKUP($A348,Leveranser_per_nät,'Leveranser per nät'!L$1,FALSE)
               +Andel_beroende_av_klimat*VLOOKUP($A348,Leveranser_per_nät,'Leveranser per nät'!L$1,FALSE)/VLOOKUP($B348,Korrigeringsfaktor_EI,'Korrigeringsfaktor EI'!L$1,FALSE),
"")</f>
        <v>61.612268421052633</v>
      </c>
      <c r="M348" s="18">
        <f>IFERROR(
                  Andel_oberoende_av_klimat*VLOOKUP($A348,Leveranser_per_nät,'Leveranser per nät'!M$1,FALSE)
               +Andel_beroende_av_klimat*VLOOKUP($A348,Leveranser_per_nät,'Leveranser per nät'!M$1,FALSE)/VLOOKUP($B348,Korrigeringsfaktor_EI,'Korrigeringsfaktor EI'!M$1,FALSE),
"")</f>
        <v>62.745478494623647</v>
      </c>
      <c r="N348" s="18">
        <f>IFERROR(
                  Andel_oberoende_av_klimat*VLOOKUP($A348,Leveranser_per_nät,'Leveranser per nät'!N$1,FALSE)
               +Andel_beroende_av_klimat*VLOOKUP($A348,Leveranser_per_nät,'Leveranser per nät'!N$1,FALSE)/VLOOKUP($B348,Korrigeringsfaktor_EI,'Korrigeringsfaktor EI'!N$1,FALSE),
"")</f>
        <v>70.249721739130422</v>
      </c>
      <c r="O348" s="18">
        <f>IFERROR(
                  Andel_oberoende_av_klimat*VLOOKUP($A348,Leveranser_per_nät,'Leveranser per nät'!O$1,FALSE)
               +Andel_beroende_av_klimat*VLOOKUP($A348,Leveranser_per_nät,'Leveranser per nät'!O$1,FALSE)/VLOOKUP($B348,Korrigeringsfaktor_EI,'Korrigeringsfaktor EI'!O$1,FALSE),
"")</f>
        <v>74.551046153846158</v>
      </c>
      <c r="P348" s="18">
        <f>IFERROR(
                  Andel_oberoende_av_klimat*VLOOKUP($A348,Leveranser_per_nät,'Leveranser per nät'!P$1,FALSE)
               +Andel_beroende_av_klimat*VLOOKUP($A348,Leveranser_per_nät,'Leveranser per nät'!P$1,FALSE)/VLOOKUP($B348,Korrigeringsfaktor_EI,'Korrigeringsfaktor EI'!P$1,FALSE),
"")</f>
        <v>82.646200000000007</v>
      </c>
      <c r="Q348" s="18">
        <f>IFERROR(
                  Andel_oberoende_av_klimat*VLOOKUP($A348,Leveranser_per_nät,'Leveranser per nät'!Q$1,FALSE)
               +Andel_beroende_av_klimat*VLOOKUP($A348,Leveranser_per_nät,'Leveranser per nät'!Q$1,FALSE)/VLOOKUP($B348,Korrigeringsfaktor_EI,'Korrigeringsfaktor EI'!Q$1,FALSE),
"")</f>
        <v>86.408021238938062</v>
      </c>
      <c r="R348" s="18">
        <f>IFERROR(
                  Andel_oberoende_av_klimat*VLOOKUP($A348,Leveranser_per_nät,'Leveranser per nät'!R$1,FALSE)
               +Andel_beroende_av_klimat*VLOOKUP($A348,Leveranser_per_nät,'Leveranser per nät'!R$1,FALSE)/VLOOKUP($B348,Korrigeringsfaktor_EI,'Korrigeringsfaktor EI'!R$1,FALSE),
"")</f>
        <v>94.960523076923067</v>
      </c>
      <c r="S348" s="18">
        <f>IFERROR(
                  Andel_oberoende_av_klimat*VLOOKUP($A348,Leveranser_per_nät,'Leveranser per nät'!S$1,FALSE)
               +Andel_beroende_av_klimat*VLOOKUP($A348,Leveranser_per_nät,'Leveranser per nät'!S$1,FALSE)/VLOOKUP($B348,Korrigeringsfaktor_EI,'Korrigeringsfaktor EI'!S$1,FALSE),
"")</f>
        <v>86</v>
      </c>
      <c r="T348" s="18">
        <f>IFERROR(
                  Andel_oberoende_av_klimat*VLOOKUP($A348,Leveranser_per_nät,'Leveranser per nät'!T$1,FALSE)
               +Andel_beroende_av_klimat*VLOOKUP($A348,Leveranser_per_nät,'Leveranser per nät'!T$1,FALSE)/VLOOKUP($B348,Korrigeringsfaktor_EI,'Korrigeringsfaktor EI'!T$1,FALSE),
"")</f>
        <v>87.431428571428569</v>
      </c>
      <c r="U348" s="18">
        <f>IFERROR(
                  Andel_oberoende_av_klimat*VLOOKUP($A348,Leveranser_per_nät,'Leveranser per nät'!U$1,FALSE)
               +Andel_beroende_av_klimat*VLOOKUP($A348,Leveranser_per_nät,'Leveranser per nät'!U$1,FALSE)/VLOOKUP($B348,Korrigeringsfaktor_EI,'Korrigeringsfaktor EI'!U$1,FALSE),
"")</f>
        <v>93.047909090909073</v>
      </c>
      <c r="V348" s="18">
        <f>IFERROR(
                  Andel_oberoende_av_klimat*VLOOKUP($A348,Leveranser_per_nät,'Leveranser per nät'!V$1,FALSE)
               +Andel_beroende_av_klimat*VLOOKUP($A348,Leveranser_per_nät,'Leveranser per nät'!V$1,FALSE)/VLOOKUP($B348,Korrigeringsfaktor_EI,'Korrigeringsfaktor EI'!V$1,FALSE),
"")</f>
        <v>88.794782608695655</v>
      </c>
      <c r="W348" s="18">
        <f>IFERROR(
                  Andel_oberoende_av_klimat*VLOOKUP($A348,Leveranser_per_nät,'Leveranser per nät'!W$1,FALSE)
               +Andel_beroende_av_klimat*VLOOKUP($A348,Leveranser_per_nät,'Leveranser per nät'!W$1,FALSE)/VLOOKUP($B348,Korrigeringsfaktor_EI,'Korrigeringsfaktor EI'!W$1,FALSE),
"")</f>
        <v>93.523157894736855</v>
      </c>
      <c r="X348" s="18">
        <f>IFERROR(
                  Andel_oberoende_av_klimat*VLOOKUP($A348,Leveranser_per_nät,'Leveranser per nät'!X$1,FALSE)
               +Andel_beroende_av_klimat*VLOOKUP($A348,Leveranser_per_nät,'Leveranser per nät'!X$1,FALSE)/VLOOKUP($B348,Korrigeringsfaktor_EI,'Korrigeringsfaktor EI'!X$1,FALSE),
"")</f>
        <v>93.478709677419346</v>
      </c>
      <c r="Y348" s="18">
        <f>IFERROR(
                  Andel_oberoende_av_klimat*VLOOKUP($A348,Leveranser_per_nät,'Leveranser per nät'!Y$1,FALSE)
               +Andel_beroende_av_klimat*VLOOKUP($A348,Leveranser_per_nät,'Leveranser per nät'!Y$1,FALSE)/VLOOKUP($B348,Korrigeringsfaktor_EI,'Korrigeringsfaktor EI'!Y$1,FALSE),
"")</f>
        <v>95.27555555555557</v>
      </c>
      <c r="Z348" s="18">
        <f>IFERROR(
                  Andel_oberoende_av_klimat*VLOOKUP($A348,Leveranser_per_nät,'Leveranser per nät'!Z$1,FALSE)
               +Andel_beroende_av_klimat*VLOOKUP($A348,Leveranser_per_nät,'Leveranser per nät'!Z$1,FALSE)/VLOOKUP($B348,Korrigeringsfaktor_EI,'Korrigeringsfaktor EI'!Z$1,FALSE),
"")</f>
        <v>95.396179775280899</v>
      </c>
      <c r="AA348" s="18">
        <f>IFERROR(
                  Andel_oberoende_av_klimat*VLOOKUP($A348,Leveranser_per_nät,'Leveranser per nät'!AA$1,FALSE)
               +Andel_beroende_av_klimat*VLOOKUP($A348,Leveranser_per_nät,'Leveranser per nät'!AA$1,FALSE)/VLOOKUP($B348,Korrigeringsfaktor_EI,'Korrigeringsfaktor EI'!AA$1,FALSE),
"")</f>
        <v>96.1847748940678</v>
      </c>
      <c r="AB348" s="18">
        <f>IFERROR(
                  Andel_oberoende_av_klimat*VLOOKUP($A348,Leveranser_per_nät,'Leveranser per nät'!AB$1,FALSE)
               +Andel_beroende_av_klimat*VLOOKUP($A348,Leveranser_per_nät,'Leveranser per nät'!AB$1,FALSE)/VLOOKUP($B348,Korrigeringsfaktor_EI,'Korrigeringsfaktor EI'!AB$1,FALSE),
"")</f>
        <v>92.570479041916172</v>
      </c>
      <c r="AC348" s="18">
        <f>IFERROR(
                  Andel_oberoende_av_klimat*VLOOKUP($A348,Leveranser_per_nät,'Leveranser per nät'!AC$1,FALSE)
               +Andel_beroende_av_klimat*VLOOKUP($A348,Leveranser_per_nät,'Leveranser per nät'!AC$1,FALSE)/VLOOKUP($B348,Korrigeringsfaktor_EI,'Korrigeringsfaktor EI'!AC$1,FALSE),
"")</f>
        <v>92.503856988082362</v>
      </c>
      <c r="AD348">
        <v>87.4</v>
      </c>
    </row>
    <row r="349" spans="1:30" x14ac:dyDescent="0.25">
      <c r="A349" t="s">
        <v>261</v>
      </c>
      <c r="B349" t="s">
        <v>261</v>
      </c>
      <c r="C349" s="18">
        <f>IFERROR(
                  Andel_oberoende_av_klimat*VLOOKUP($A349,Leveranser_per_nät,'Leveranser per nät'!C$1,FALSE)
               +Andel_beroende_av_klimat*VLOOKUP($A349,Leveranser_per_nät,'Leveranser per nät'!C$1,FALSE)/VLOOKUP($B349,Korrigeringsfaktor_EI,'Korrigeringsfaktor EI'!C$1,FALSE),
"")</f>
        <v>259.59708737864077</v>
      </c>
      <c r="D349" s="18">
        <f>IFERROR(
                  Andel_oberoende_av_klimat*VLOOKUP($A349,Leveranser_per_nät,'Leveranser per nät'!D$1,FALSE)
               +Andel_beroende_av_klimat*VLOOKUP($A349,Leveranser_per_nät,'Leveranser per nät'!D$1,FALSE)/VLOOKUP($B349,Korrigeringsfaktor_EI,'Korrigeringsfaktor EI'!D$1,FALSE),
"")</f>
        <v>267.41642857142858</v>
      </c>
      <c r="E349" s="18">
        <f>IFERROR(
                  Andel_oberoende_av_klimat*VLOOKUP($A349,Leveranser_per_nät,'Leveranser per nät'!E$1,FALSE)
               +Andel_beroende_av_klimat*VLOOKUP($A349,Leveranser_per_nät,'Leveranser per nät'!E$1,FALSE)/VLOOKUP($B349,Korrigeringsfaktor_EI,'Korrigeringsfaktor EI'!E$1,FALSE),
"")</f>
        <v>274.5333333333333</v>
      </c>
      <c r="F349" s="18">
        <f>IFERROR(
                  Andel_oberoende_av_klimat*VLOOKUP($A349,Leveranser_per_nät,'Leveranser per nät'!F$1,FALSE)
               +Andel_beroende_av_klimat*VLOOKUP($A349,Leveranser_per_nät,'Leveranser per nät'!F$1,FALSE)/VLOOKUP($B349,Korrigeringsfaktor_EI,'Korrigeringsfaktor EI'!F$1,FALSE),
"")</f>
        <v>262</v>
      </c>
      <c r="G349" s="18">
        <f>IFERROR(
                  Andel_oberoende_av_klimat*VLOOKUP($A349,Leveranser_per_nät,'Leveranser per nät'!G$1,FALSE)
               +Andel_beroende_av_klimat*VLOOKUP($A349,Leveranser_per_nät,'Leveranser per nät'!G$1,FALSE)/VLOOKUP($B349,Korrigeringsfaktor_EI,'Korrigeringsfaktor EI'!G$1,FALSE),
"")</f>
        <v>277.94782608695652</v>
      </c>
      <c r="H349" s="18">
        <f>IFERROR(
                  Andel_oberoende_av_klimat*VLOOKUP($A349,Leveranser_per_nät,'Leveranser per nät'!H$1,FALSE)
               +Andel_beroende_av_klimat*VLOOKUP($A349,Leveranser_per_nät,'Leveranser per nät'!H$1,FALSE)/VLOOKUP($B349,Korrigeringsfaktor_EI,'Korrigeringsfaktor EI'!H$1,FALSE),
"")</f>
        <v>293.10000000000002</v>
      </c>
      <c r="I349" s="18">
        <f>IFERROR(
                  Andel_oberoende_av_klimat*VLOOKUP($A349,Leveranser_per_nät,'Leveranser per nät'!I$1,FALSE)
               +Andel_beroende_av_klimat*VLOOKUP($A349,Leveranser_per_nät,'Leveranser per nät'!I$1,FALSE)/VLOOKUP($B349,Korrigeringsfaktor_EI,'Korrigeringsfaktor EI'!I$1,FALSE),
"")</f>
        <v>291.25416666666666</v>
      </c>
      <c r="J349" s="18">
        <f>IFERROR(
                  Andel_oberoende_av_klimat*VLOOKUP($A349,Leveranser_per_nät,'Leveranser per nät'!J$1,FALSE)
               +Andel_beroende_av_klimat*VLOOKUP($A349,Leveranser_per_nät,'Leveranser per nät'!J$1,FALSE)/VLOOKUP($B349,Korrigeringsfaktor_EI,'Korrigeringsfaktor EI'!J$1,FALSE),
"")</f>
        <v>280.31752105263161</v>
      </c>
      <c r="K349" s="18">
        <f>IFERROR(
                  Andel_oberoende_av_klimat*VLOOKUP($A349,Leveranser_per_nät,'Leveranser per nät'!K$1,FALSE)
               +Andel_beroende_av_klimat*VLOOKUP($A349,Leveranser_per_nät,'Leveranser per nät'!K$1,FALSE)/VLOOKUP($B349,Korrigeringsfaktor_EI,'Korrigeringsfaktor EI'!K$1,FALSE),
"")</f>
        <v>277.45826285714293</v>
      </c>
      <c r="L349" s="18">
        <f>IFERROR(
                  Andel_oberoende_av_klimat*VLOOKUP($A349,Leveranser_per_nät,'Leveranser per nät'!L$1,FALSE)
               +Andel_beroende_av_klimat*VLOOKUP($A349,Leveranser_per_nät,'Leveranser per nät'!L$1,FALSE)/VLOOKUP($B349,Korrigeringsfaktor_EI,'Korrigeringsfaktor EI'!L$1,FALSE),
"")</f>
        <v>274.20453086021507</v>
      </c>
      <c r="M349" s="18">
        <f>IFERROR(
                  Andel_oberoende_av_klimat*VLOOKUP($A349,Leveranser_per_nät,'Leveranser per nät'!M$1,FALSE)
               +Andel_beroende_av_klimat*VLOOKUP($A349,Leveranser_per_nät,'Leveranser per nät'!M$1,FALSE)/VLOOKUP($B349,Korrigeringsfaktor_EI,'Korrigeringsfaktor EI'!M$1,FALSE),
"")</f>
        <v>299.75081739130439</v>
      </c>
      <c r="N349" s="18">
        <f>IFERROR(
                  Andel_oberoende_av_klimat*VLOOKUP($A349,Leveranser_per_nät,'Leveranser per nät'!N$1,FALSE)
               +Andel_beroende_av_klimat*VLOOKUP($A349,Leveranser_per_nät,'Leveranser per nät'!N$1,FALSE)/VLOOKUP($B349,Korrigeringsfaktor_EI,'Korrigeringsfaktor EI'!N$1,FALSE),
"")</f>
        <v>301.25937391304342</v>
      </c>
      <c r="O349" s="18">
        <f>IFERROR(
                  Andel_oberoende_av_klimat*VLOOKUP($A349,Leveranser_per_nät,'Leveranser per nät'!O$1,FALSE)
               +Andel_beroende_av_klimat*VLOOKUP($A349,Leveranser_per_nät,'Leveranser per nät'!O$1,FALSE)/VLOOKUP($B349,Korrigeringsfaktor_EI,'Korrigeringsfaktor EI'!O$1,FALSE),
"")</f>
        <v>307.11651075268816</v>
      </c>
      <c r="P349" s="18">
        <f>IFERROR(
                  Andel_oberoende_av_klimat*VLOOKUP($A349,Leveranser_per_nät,'Leveranser per nät'!P$1,FALSE)
               +Andel_beroende_av_klimat*VLOOKUP($A349,Leveranser_per_nät,'Leveranser per nät'!P$1,FALSE)/VLOOKUP($B349,Korrigeringsfaktor_EI,'Korrigeringsfaktor EI'!P$1,FALSE),
"")</f>
        <v>311.51434166666661</v>
      </c>
      <c r="Q349" s="18">
        <f>IFERROR(
                  Andel_oberoende_av_klimat*VLOOKUP($A349,Leveranser_per_nät,'Leveranser per nät'!Q$1,FALSE)
               +Andel_beroende_av_klimat*VLOOKUP($A349,Leveranser_per_nät,'Leveranser per nät'!Q$1,FALSE)/VLOOKUP($B349,Korrigeringsfaktor_EI,'Korrigeringsfaktor EI'!Q$1,FALSE),
"")</f>
        <v>331.65801401869157</v>
      </c>
      <c r="R349" s="18">
        <f>IFERROR(
                  Andel_oberoende_av_klimat*VLOOKUP($A349,Leveranser_per_nät,'Leveranser per nät'!R$1,FALSE)
               +Andel_beroende_av_klimat*VLOOKUP($A349,Leveranser_per_nät,'Leveranser per nät'!R$1,FALSE)/VLOOKUP($B349,Korrigeringsfaktor_EI,'Korrigeringsfaktor EI'!R$1,FALSE),
"")</f>
        <v>321.83824382022476</v>
      </c>
      <c r="S349" s="18">
        <f>IFERROR(
                  Andel_oberoende_av_klimat*VLOOKUP($A349,Leveranser_per_nät,'Leveranser per nät'!S$1,FALSE)
               +Andel_beroende_av_klimat*VLOOKUP($A349,Leveranser_per_nät,'Leveranser per nät'!S$1,FALSE)/VLOOKUP($B349,Korrigeringsfaktor_EI,'Korrigeringsfaktor EI'!S$1,FALSE),
"")</f>
        <v>343.41111111111115</v>
      </c>
      <c r="T349" s="18">
        <f>IFERROR(
                  Andel_oberoende_av_klimat*VLOOKUP($A349,Leveranser_per_nät,'Leveranser per nät'!T$1,FALSE)
               +Andel_beroende_av_klimat*VLOOKUP($A349,Leveranser_per_nät,'Leveranser per nät'!T$1,FALSE)/VLOOKUP($B349,Korrigeringsfaktor_EI,'Korrigeringsfaktor EI'!T$1,FALSE),
"")</f>
        <v>335.38436521739129</v>
      </c>
      <c r="U349" s="18">
        <f>IFERROR(
                  Andel_oberoende_av_klimat*VLOOKUP($A349,Leveranser_per_nät,'Leveranser per nät'!U$1,FALSE)
               +Andel_beroende_av_klimat*VLOOKUP($A349,Leveranser_per_nät,'Leveranser per nät'!U$1,FALSE)/VLOOKUP($B349,Korrigeringsfaktor_EI,'Korrigeringsfaktor EI'!U$1,FALSE),
"")</f>
        <v>328.10573333333332</v>
      </c>
      <c r="V349" s="18">
        <f>IFERROR(
                  Andel_oberoende_av_klimat*VLOOKUP($A349,Leveranser_per_nät,'Leveranser per nät'!V$1,FALSE)
               +Andel_beroende_av_klimat*VLOOKUP($A349,Leveranser_per_nät,'Leveranser per nät'!V$1,FALSE)/VLOOKUP($B349,Korrigeringsfaktor_EI,'Korrigeringsfaktor EI'!V$1,FALSE),
"")</f>
        <v>323.97961034482756</v>
      </c>
      <c r="W349" s="18">
        <f>IFERROR(
                  Andel_oberoende_av_klimat*VLOOKUP($A349,Leveranser_per_nät,'Leveranser per nät'!W$1,FALSE)
               +Andel_beroende_av_klimat*VLOOKUP($A349,Leveranser_per_nät,'Leveranser per nät'!W$1,FALSE)/VLOOKUP($B349,Korrigeringsfaktor_EI,'Korrigeringsfaktor EI'!W$1,FALSE),
"")</f>
        <v>334.48526315789474</v>
      </c>
      <c r="X349" s="18">
        <f>IFERROR(
                  Andel_oberoende_av_klimat*VLOOKUP($A349,Leveranser_per_nät,'Leveranser per nät'!X$1,FALSE)
               +Andel_beroende_av_klimat*VLOOKUP($A349,Leveranser_per_nät,'Leveranser per nät'!X$1,FALSE)/VLOOKUP($B349,Korrigeringsfaktor_EI,'Korrigeringsfaktor EI'!X$1,FALSE),
"")</f>
        <v>334.21158333333335</v>
      </c>
      <c r="Y349" s="18">
        <f>IFERROR(
                  Andel_oberoende_av_klimat*VLOOKUP($A349,Leveranser_per_nät,'Leveranser per nät'!Y$1,FALSE)
               +Andel_beroende_av_klimat*VLOOKUP($A349,Leveranser_per_nät,'Leveranser per nät'!Y$1,FALSE)/VLOOKUP($B349,Korrigeringsfaktor_EI,'Korrigeringsfaktor EI'!Y$1,FALSE),
"")</f>
        <v>340.18144623655905</v>
      </c>
      <c r="Z349" s="18">
        <f>IFERROR(
                  Andel_oberoende_av_klimat*VLOOKUP($A349,Leveranser_per_nät,'Leveranser per nät'!Z$1,FALSE)
               +Andel_beroende_av_klimat*VLOOKUP($A349,Leveranser_per_nät,'Leveranser per nät'!Z$1,FALSE)/VLOOKUP($B349,Korrigeringsfaktor_EI,'Korrigeringsfaktor EI'!Z$1,FALSE),
"")</f>
        <v>359.84640309278353</v>
      </c>
      <c r="AA349" s="18">
        <f>IFERROR(
                  Andel_oberoende_av_klimat*VLOOKUP($A349,Leveranser_per_nät,'Leveranser per nät'!AA$1,FALSE)
               +Andel_beroende_av_klimat*VLOOKUP($A349,Leveranser_per_nät,'Leveranser per nät'!AA$1,FALSE)/VLOOKUP($B349,Korrigeringsfaktor_EI,'Korrigeringsfaktor EI'!AA$1,FALSE),
"")</f>
        <v>351.44188478773589</v>
      </c>
      <c r="AB349" s="18">
        <f>IFERROR(
                  Andel_oberoende_av_klimat*VLOOKUP($A349,Leveranser_per_nät,'Leveranser per nät'!AB$1,FALSE)
               +Andel_beroende_av_klimat*VLOOKUP($A349,Leveranser_per_nät,'Leveranser per nät'!AB$1,FALSE)/VLOOKUP($B349,Korrigeringsfaktor_EI,'Korrigeringsfaktor EI'!AB$1,FALSE),
"")</f>
        <v>354.94174299212597</v>
      </c>
      <c r="AC349" s="18">
        <f>IFERROR(
                  Andel_oberoende_av_klimat*VLOOKUP($A349,Leveranser_per_nät,'Leveranser per nät'!AC$1,FALSE)
               +Andel_beroende_av_klimat*VLOOKUP($A349,Leveranser_per_nät,'Leveranser per nät'!AC$1,FALSE)/VLOOKUP($B349,Korrigeringsfaktor_EI,'Korrigeringsfaktor EI'!AC$1,FALSE),
"")</f>
        <v>364.10362903462755</v>
      </c>
      <c r="AD349">
        <v>351.95330000000001</v>
      </c>
    </row>
    <row r="350" spans="1:30" x14ac:dyDescent="0.25">
      <c r="A350" t="s">
        <v>329</v>
      </c>
      <c r="B350" t="s">
        <v>328</v>
      </c>
      <c r="C350" s="18">
        <f>IFERROR(
                  Andel_oberoende_av_klimat*VLOOKUP($A350,Leveranser_per_nät,'Leveranser per nät'!C$1,FALSE)
               +Andel_beroende_av_klimat*VLOOKUP($A350,Leveranser_per_nät,'Leveranser per nät'!C$1,FALSE)/VLOOKUP($B350,Korrigeringsfaktor_EI,'Korrigeringsfaktor EI'!C$1,FALSE),
"")</f>
        <v>11.167567567567566</v>
      </c>
      <c r="D350" s="18">
        <f>IFERROR(
                  Andel_oberoende_av_klimat*VLOOKUP($A350,Leveranser_per_nät,'Leveranser per nät'!D$1,FALSE)
               +Andel_beroende_av_klimat*VLOOKUP($A350,Leveranser_per_nät,'Leveranser per nät'!D$1,FALSE)/VLOOKUP($B350,Korrigeringsfaktor_EI,'Korrigeringsfaktor EI'!D$1,FALSE),
"")</f>
        <v>11.817524752475247</v>
      </c>
      <c r="E350" s="18">
        <f>IFERROR(
                  Andel_oberoende_av_klimat*VLOOKUP($A350,Leveranser_per_nät,'Leveranser per nät'!E$1,FALSE)
               +Andel_beroende_av_klimat*VLOOKUP($A350,Leveranser_per_nät,'Leveranser per nät'!E$1,FALSE)/VLOOKUP($B350,Korrigeringsfaktor_EI,'Korrigeringsfaktor EI'!E$1,FALSE),
"")</f>
        <v>11.599999999999998</v>
      </c>
      <c r="F350" s="18">
        <f>IFERROR(
                  Andel_oberoende_av_klimat*VLOOKUP($A350,Leveranser_per_nät,'Leveranser per nät'!F$1,FALSE)
               +Andel_beroende_av_klimat*VLOOKUP($A350,Leveranser_per_nät,'Leveranser per nät'!F$1,FALSE)/VLOOKUP($B350,Korrigeringsfaktor_EI,'Korrigeringsfaktor EI'!F$1,FALSE),
"")</f>
        <v>12.171428571428571</v>
      </c>
      <c r="G350" s="18">
        <f>IFERROR(
                  Andel_oberoende_av_klimat*VLOOKUP($A350,Leveranser_per_nät,'Leveranser per nät'!G$1,FALSE)
               +Andel_beroende_av_klimat*VLOOKUP($A350,Leveranser_per_nät,'Leveranser per nät'!G$1,FALSE)/VLOOKUP($B350,Korrigeringsfaktor_EI,'Korrigeringsfaktor EI'!G$1,FALSE),
"")</f>
        <v>11.669565217391304</v>
      </c>
      <c r="H350" s="18">
        <f>IFERROR(
                  Andel_oberoende_av_klimat*VLOOKUP($A350,Leveranser_per_nät,'Leveranser per nät'!H$1,FALSE)
               +Andel_beroende_av_klimat*VLOOKUP($A350,Leveranser_per_nät,'Leveranser per nät'!H$1,FALSE)/VLOOKUP($B350,Korrigeringsfaktor_EI,'Korrigeringsfaktor EI'!H$1,FALSE),
"")</f>
        <v>13.902970297029704</v>
      </c>
      <c r="I350" s="18">
        <f>IFERROR(
                  Andel_oberoende_av_klimat*VLOOKUP($A350,Leveranser_per_nät,'Leveranser per nät'!I$1,FALSE)
               +Andel_beroende_av_klimat*VLOOKUP($A350,Leveranser_per_nät,'Leveranser per nät'!I$1,FALSE)/VLOOKUP($B350,Korrigeringsfaktor_EI,'Korrigeringsfaktor EI'!I$1,FALSE),
"")</f>
        <v>15.55263157894737</v>
      </c>
      <c r="J350" s="18">
        <f>IFERROR(
                  Andel_oberoende_av_klimat*VLOOKUP($A350,Leveranser_per_nät,'Leveranser per nät'!J$1,FALSE)
               +Andel_beroende_av_klimat*VLOOKUP($A350,Leveranser_per_nät,'Leveranser per nät'!J$1,FALSE)/VLOOKUP($B350,Korrigeringsfaktor_EI,'Korrigeringsfaktor EI'!J$1,FALSE),
"")</f>
        <v>15.214285714285715</v>
      </c>
      <c r="K350" s="18">
        <f>IFERROR(
                  Andel_oberoende_av_klimat*VLOOKUP($A350,Leveranser_per_nät,'Leveranser per nät'!K$1,FALSE)
               +Andel_beroende_av_klimat*VLOOKUP($A350,Leveranser_per_nät,'Leveranser per nät'!K$1,FALSE)/VLOOKUP($B350,Korrigeringsfaktor_EI,'Korrigeringsfaktor EI'!K$1,FALSE),
"")</f>
        <v>14.105</v>
      </c>
      <c r="L350" s="18">
        <f>IFERROR(
                  Andel_oberoende_av_klimat*VLOOKUP($A350,Leveranser_per_nät,'Leveranser per nät'!L$1,FALSE)
               +Andel_beroende_av_klimat*VLOOKUP($A350,Leveranser_per_nät,'Leveranser per nät'!L$1,FALSE)/VLOOKUP($B350,Korrigeringsfaktor_EI,'Korrigeringsfaktor EI'!L$1,FALSE),
"")</f>
        <v>15.372759793814433</v>
      </c>
      <c r="M350" s="18">
        <f>IFERROR(
                  Andel_oberoende_av_klimat*VLOOKUP($A350,Leveranser_per_nät,'Leveranser per nät'!M$1,FALSE)
               +Andel_beroende_av_klimat*VLOOKUP($A350,Leveranser_per_nät,'Leveranser per nät'!M$1,FALSE)/VLOOKUP($B350,Korrigeringsfaktor_EI,'Korrigeringsfaktor EI'!M$1,FALSE),
"")</f>
        <v>14.842903225806451</v>
      </c>
      <c r="N350" s="18">
        <f>IFERROR(
                  Andel_oberoende_av_klimat*VLOOKUP($A350,Leveranser_per_nät,'Leveranser per nät'!N$1,FALSE)
               +Andel_beroende_av_klimat*VLOOKUP($A350,Leveranser_per_nät,'Leveranser per nät'!N$1,FALSE)/VLOOKUP($B350,Korrigeringsfaktor_EI,'Korrigeringsfaktor EI'!N$1,FALSE),
"")</f>
        <v>15.824615384615385</v>
      </c>
      <c r="O350" s="18">
        <f>IFERROR(
                  Andel_oberoende_av_klimat*VLOOKUP($A350,Leveranser_per_nät,'Leveranser per nät'!O$1,FALSE)
               +Andel_beroende_av_klimat*VLOOKUP($A350,Leveranser_per_nät,'Leveranser per nät'!O$1,FALSE)/VLOOKUP($B350,Korrigeringsfaktor_EI,'Korrigeringsfaktor EI'!O$1,FALSE),
"")</f>
        <v>16.893846153846155</v>
      </c>
      <c r="P350" s="18">
        <f>IFERROR(
                  Andel_oberoende_av_klimat*VLOOKUP($A350,Leveranser_per_nät,'Leveranser per nät'!P$1,FALSE)
               +Andel_beroende_av_klimat*VLOOKUP($A350,Leveranser_per_nät,'Leveranser per nät'!P$1,FALSE)/VLOOKUP($B350,Korrigeringsfaktor_EI,'Korrigeringsfaktor EI'!P$1,FALSE),
"")</f>
        <v>18.319166666666668</v>
      </c>
      <c r="Q350" s="18">
        <f>IFERROR(
                  Andel_oberoende_av_klimat*VLOOKUP($A350,Leveranser_per_nät,'Leveranser per nät'!Q$1,FALSE)
               +Andel_beroende_av_klimat*VLOOKUP($A350,Leveranser_per_nät,'Leveranser per nät'!Q$1,FALSE)/VLOOKUP($B350,Korrigeringsfaktor_EI,'Korrigeringsfaktor EI'!Q$1,FALSE),
"")</f>
        <v>20.287747747747748</v>
      </c>
      <c r="R350" s="18">
        <f>IFERROR(
                  Andel_oberoende_av_klimat*VLOOKUP($A350,Leveranser_per_nät,'Leveranser per nät'!R$1,FALSE)
               +Andel_beroende_av_klimat*VLOOKUP($A350,Leveranser_per_nät,'Leveranser per nät'!R$1,FALSE)/VLOOKUP($B350,Korrigeringsfaktor_EI,'Korrigeringsfaktor EI'!R$1,FALSE),
"")</f>
        <v>20.68695652173913</v>
      </c>
      <c r="S350" s="18">
        <f>IFERROR(
                  Andel_oberoende_av_klimat*VLOOKUP($A350,Leveranser_per_nät,'Leveranser per nät'!S$1,FALSE)
               +Andel_beroende_av_klimat*VLOOKUP($A350,Leveranser_per_nät,'Leveranser per nät'!S$1,FALSE)/VLOOKUP($B350,Korrigeringsfaktor_EI,'Korrigeringsfaktor EI'!S$1,FALSE),
"")</f>
        <v>21.847524752475248</v>
      </c>
      <c r="T350" s="18">
        <f>IFERROR(
                  Andel_oberoende_av_klimat*VLOOKUP($A350,Leveranser_per_nät,'Leveranser per nät'!T$1,FALSE)
               +Andel_beroende_av_klimat*VLOOKUP($A350,Leveranser_per_nät,'Leveranser per nät'!T$1,FALSE)/VLOOKUP($B350,Korrigeringsfaktor_EI,'Korrigeringsfaktor EI'!T$1,FALSE),
"")</f>
        <v>22.314285714285717</v>
      </c>
      <c r="U350" s="18">
        <f>IFERROR(
                  Andel_oberoende_av_klimat*VLOOKUP($A350,Leveranser_per_nät,'Leveranser per nät'!U$1,FALSE)
               +Andel_beroende_av_klimat*VLOOKUP($A350,Leveranser_per_nät,'Leveranser per nät'!U$1,FALSE)/VLOOKUP($B350,Korrigeringsfaktor_EI,'Korrigeringsfaktor EI'!U$1,FALSE),
"")</f>
        <v>20.813636363636363</v>
      </c>
      <c r="V350" s="18">
        <f>IFERROR(
                  Andel_oberoende_av_klimat*VLOOKUP($A350,Leveranser_per_nät,'Leveranser per nät'!V$1,FALSE)
               +Andel_beroende_av_klimat*VLOOKUP($A350,Leveranser_per_nät,'Leveranser per nät'!V$1,FALSE)/VLOOKUP($B350,Korrigeringsfaktor_EI,'Korrigeringsfaktor EI'!V$1,FALSE),
"")</f>
        <v>21.051015384615383</v>
      </c>
      <c r="W350" s="18">
        <f>IFERROR(
                  Andel_oberoende_av_klimat*VLOOKUP($A350,Leveranser_per_nät,'Leveranser per nät'!W$1,FALSE)
               +Andel_beroende_av_klimat*VLOOKUP($A350,Leveranser_per_nät,'Leveranser per nät'!W$1,FALSE)/VLOOKUP($B350,Korrigeringsfaktor_EI,'Korrigeringsfaktor EI'!W$1,FALSE),
"")</f>
        <v>22.381273684210523</v>
      </c>
      <c r="X350" s="18">
        <f>IFERROR(
                  Andel_oberoende_av_klimat*VLOOKUP($A350,Leveranser_per_nät,'Leveranser per nät'!X$1,FALSE)
               +Andel_beroende_av_klimat*VLOOKUP($A350,Leveranser_per_nät,'Leveranser per nät'!X$1,FALSE)/VLOOKUP($B350,Korrigeringsfaktor_EI,'Korrigeringsfaktor EI'!X$1,FALSE),
"")</f>
        <v>22.883335483870965</v>
      </c>
      <c r="Y350" s="18">
        <f>IFERROR(
                  Andel_oberoende_av_klimat*VLOOKUP($A350,Leveranser_per_nät,'Leveranser per nät'!Y$1,FALSE)
               +Andel_beroende_av_klimat*VLOOKUP($A350,Leveranser_per_nät,'Leveranser per nät'!Y$1,FALSE)/VLOOKUP($B350,Korrigeringsfaktor_EI,'Korrigeringsfaktor EI'!Y$1,FALSE),
"")</f>
        <v>24.682403370786513</v>
      </c>
      <c r="Z350" s="18">
        <f>IFERROR(
                  Andel_oberoende_av_klimat*VLOOKUP($A350,Leveranser_per_nät,'Leveranser per nät'!Z$1,FALSE)
               +Andel_beroende_av_klimat*VLOOKUP($A350,Leveranser_per_nät,'Leveranser per nät'!Z$1,FALSE)/VLOOKUP($B350,Korrigeringsfaktor_EI,'Korrigeringsfaktor EI'!Z$1,FALSE),
"")</f>
        <v>23.496404545454546</v>
      </c>
      <c r="AA350" s="18">
        <f>IFERROR(
                  Andel_oberoende_av_klimat*VLOOKUP($A350,Leveranser_per_nät,'Leveranser per nät'!AA$1,FALSE)
               +Andel_beroende_av_klimat*VLOOKUP($A350,Leveranser_per_nät,'Leveranser per nät'!AA$1,FALSE)/VLOOKUP($B350,Korrigeringsfaktor_EI,'Korrigeringsfaktor EI'!AA$1,FALSE),
"")</f>
        <v>24.400043760984182</v>
      </c>
      <c r="AB350" s="18">
        <f>IFERROR(
                  Andel_oberoende_av_klimat*VLOOKUP($A350,Leveranser_per_nät,'Leveranser per nät'!AB$1,FALSE)
               +Andel_beroende_av_klimat*VLOOKUP($A350,Leveranser_per_nät,'Leveranser per nät'!AB$1,FALSE)/VLOOKUP($B350,Korrigeringsfaktor_EI,'Korrigeringsfaktor EI'!AB$1,FALSE),
"")</f>
        <v>29.141694779116463</v>
      </c>
      <c r="AC350" s="18">
        <f>IFERROR(
                  Andel_oberoende_av_klimat*VLOOKUP($A350,Leveranser_per_nät,'Leveranser per nät'!AC$1,FALSE)
               +Andel_beroende_av_klimat*VLOOKUP($A350,Leveranser_per_nät,'Leveranser per nät'!AC$1,FALSE)/VLOOKUP($B350,Korrigeringsfaktor_EI,'Korrigeringsfaktor EI'!AC$1,FALSE),
"")</f>
        <v>29.883506423982872</v>
      </c>
      <c r="AD350">
        <v>29.428000000000001</v>
      </c>
    </row>
    <row r="351" spans="1:30" x14ac:dyDescent="0.25">
      <c r="A351" t="s">
        <v>55</v>
      </c>
      <c r="B351" t="s">
        <v>55</v>
      </c>
      <c r="C351" s="18">
        <f>IFERROR(
                  Andel_oberoende_av_klimat*VLOOKUP($A351,Leveranser_per_nät,'Leveranser per nät'!C$1,FALSE)
               +Andel_beroende_av_klimat*VLOOKUP($A351,Leveranser_per_nät,'Leveranser per nät'!C$1,FALSE)/VLOOKUP("Fagersta",Korrigeringsfaktor_EI,'Korrigeringsfaktor EI'!C$1,FALSE),
"")</f>
        <v>13.274074074074074</v>
      </c>
      <c r="D351" s="18">
        <f>IFERROR(
                  Andel_oberoende_av_klimat*VLOOKUP($A351,Leveranser_per_nät,'Leveranser per nät'!D$1,FALSE)
               +Andel_beroende_av_klimat*VLOOKUP($A351,Leveranser_per_nät,'Leveranser per nät'!D$1,FALSE)/VLOOKUP("Fagersta",Korrigeringsfaktor_EI,'Korrigeringsfaktor EI'!D$1,FALSE),
"")</f>
        <v>12.370583333333332</v>
      </c>
      <c r="E351" s="18">
        <f>IFERROR(
                  Andel_oberoende_av_klimat*VLOOKUP($A351,Leveranser_per_nät,'Leveranser per nät'!E$1,FALSE)
               +Andel_beroende_av_klimat*VLOOKUP($A351,Leveranser_per_nät,'Leveranser per nät'!E$1,FALSE)/VLOOKUP("Fagersta",Korrigeringsfaktor_EI,'Korrigeringsfaktor EI'!E$1,FALSE),
"")</f>
        <v>10.775728155339806</v>
      </c>
      <c r="F351" s="18">
        <f>IFERROR(
                  Andel_oberoende_av_klimat*VLOOKUP($A351,Leveranser_per_nät,'Leveranser per nät'!F$1,FALSE)
               +Andel_beroende_av_klimat*VLOOKUP($A351,Leveranser_per_nät,'Leveranser per nät'!F$1,FALSE)/VLOOKUP("Fagersta",Korrigeringsfaktor_EI,'Korrigeringsfaktor EI'!F$1,FALSE),
"")</f>
        <v>11.238144329896908</v>
      </c>
      <c r="G351" s="18">
        <f>IFERROR(
                  Andel_oberoende_av_klimat*VLOOKUP($A351,Leveranser_per_nät,'Leveranser per nät'!G$1,FALSE)
               +Andel_beroende_av_klimat*VLOOKUP($A351,Leveranser_per_nät,'Leveranser per nät'!G$1,FALSE)/VLOOKUP("Fagersta",Korrigeringsfaktor_EI,'Korrigeringsfaktor EI'!G$1,FALSE),
"")</f>
        <v>10.777777777777779</v>
      </c>
      <c r="H351" s="18">
        <f>IFERROR(
                  Andel_oberoende_av_klimat*VLOOKUP($A351,Leveranser_per_nät,'Leveranser per nät'!H$1,FALSE)
               +Andel_beroende_av_klimat*VLOOKUP($A351,Leveranser_per_nät,'Leveranser per nät'!H$1,FALSE)/VLOOKUP("Fagersta",Korrigeringsfaktor_EI,'Korrigeringsfaktor EI'!H$1,FALSE),
"")</f>
        <v>11.077777777777778</v>
      </c>
      <c r="I351" s="18">
        <f>IFERROR(
                  Andel_oberoende_av_klimat*VLOOKUP($A351,Leveranser_per_nät,'Leveranser per nät'!I$1,FALSE)
               +Andel_beroende_av_klimat*VLOOKUP($A351,Leveranser_per_nät,'Leveranser per nät'!I$1,FALSE)/VLOOKUP("Fagersta",Korrigeringsfaktor_EI,'Korrigeringsfaktor EI'!I$1,FALSE),
"")</f>
        <v>12.665954166666669</v>
      </c>
      <c r="J351" s="18">
        <f>IFERROR(
                  Andel_oberoende_av_klimat*VLOOKUP($A351,Leveranser_per_nät,'Leveranser per nät'!J$1,FALSE)
               +Andel_beroende_av_klimat*VLOOKUP($A351,Leveranser_per_nät,'Leveranser per nät'!J$1,FALSE)/VLOOKUP("Fagersta",Korrigeringsfaktor_EI,'Korrigeringsfaktor EI'!J$1,FALSE),
"")</f>
        <v>6.1298969072164944</v>
      </c>
      <c r="K351" s="18">
        <f>IFERROR(
                  Andel_oberoende_av_klimat*VLOOKUP($A351,Leveranser_per_nät,'Leveranser per nät'!K$1,FALSE)
               +Andel_beroende_av_klimat*VLOOKUP($A351,Leveranser_per_nät,'Leveranser per nät'!K$1,FALSE)/VLOOKUP("Fagersta",Korrigeringsfaktor_EI,'Korrigeringsfaktor EI'!K$1,FALSE),
"")</f>
        <v>11.209288145414833</v>
      </c>
      <c r="L351" s="18">
        <f>IFERROR(
                  Andel_oberoende_av_klimat*VLOOKUP($A351,Leveranser_per_nät,'Leveranser per nät'!L$1,FALSE)
               +Andel_beroende_av_klimat*VLOOKUP($A351,Leveranser_per_nät,'Leveranser per nät'!L$1,FALSE)/VLOOKUP("Fagersta",Korrigeringsfaktor_EI,'Korrigeringsfaktor EI'!L$1,FALSE),
"")</f>
        <v>16.764596639715045</v>
      </c>
      <c r="M351" s="18">
        <f>IFERROR(
                  Andel_oberoende_av_klimat*VLOOKUP($A351,Leveranser_per_nät,'Leveranser per nät'!M$1,FALSE)
               +Andel_beroende_av_klimat*VLOOKUP($A351,Leveranser_per_nät,'Leveranser per nät'!M$1,FALSE)/VLOOKUP("Fagersta",Korrigeringsfaktor_EI,'Korrigeringsfaktor EI'!M$1,FALSE),
"")</f>
        <v>14.08198260869565</v>
      </c>
      <c r="N351" s="18">
        <f>IFERROR(
                  Andel_oberoende_av_klimat*VLOOKUP($A351,Leveranser_per_nät,'Leveranser per nät'!N$1,FALSE)
               +Andel_beroende_av_klimat*VLOOKUP($A351,Leveranser_per_nät,'Leveranser per nät'!N$1,FALSE)/VLOOKUP("Fagersta",Korrigeringsfaktor_EI,'Korrigeringsfaktor EI'!N$1,FALSE),
"")</f>
        <v>15.241578947368421</v>
      </c>
      <c r="O351" s="18">
        <f>IFERROR(
                  Andel_oberoende_av_klimat*VLOOKUP($A351,Leveranser_per_nät,'Leveranser per nät'!O$1,FALSE)
               +Andel_beroende_av_klimat*VLOOKUP($A351,Leveranser_per_nät,'Leveranser per nät'!O$1,FALSE)/VLOOKUP("Fagersta",Korrigeringsfaktor_EI,'Korrigeringsfaktor EI'!O$1,FALSE),
"")</f>
        <v>13.895483870967741</v>
      </c>
      <c r="P351" s="18">
        <f>IFERROR(
                  Andel_oberoende_av_klimat*VLOOKUP($A351,Leveranser_per_nät,'Leveranser per nät'!P$1,FALSE)
               +Andel_beroende_av_klimat*VLOOKUP($A351,Leveranser_per_nät,'Leveranser per nät'!P$1,FALSE)/VLOOKUP("Fagersta",Korrigeringsfaktor_EI,'Korrigeringsfaktor EI'!P$1,FALSE),
"")</f>
        <v>14.098989898989899</v>
      </c>
      <c r="Q351" s="18">
        <f>IFERROR(
                  Andel_oberoende_av_klimat*VLOOKUP($A351,Leveranser_per_nät,'Leveranser per nät'!Q$1,FALSE)
               +Andel_beroende_av_klimat*VLOOKUP($A351,Leveranser_per_nät,'Leveranser per nät'!Q$1,FALSE)/VLOOKUP("Fagersta",Korrigeringsfaktor_EI,'Korrigeringsfaktor EI'!Q$1,FALSE),
"")</f>
        <v>14.987345132743364</v>
      </c>
      <c r="R351" s="18">
        <f>IFERROR(
                  Andel_oberoende_av_klimat*VLOOKUP($A351,Leveranser_per_nät,'Leveranser per nät'!R$1,FALSE)
               +Andel_beroende_av_klimat*VLOOKUP($A351,Leveranser_per_nät,'Leveranser per nät'!R$1,FALSE)/VLOOKUP("Fagersta",Korrigeringsfaktor_EI,'Korrigeringsfaktor EI'!R$1,FALSE),
"")</f>
        <v>13.674608695652173</v>
      </c>
      <c r="S351" s="18">
        <f>IFERROR(
                  Andel_oberoende_av_klimat*VLOOKUP($A351,Leveranser_per_nät,'Leveranser per nät'!S$1,FALSE)
               +Andel_beroende_av_klimat*VLOOKUP($A351,Leveranser_per_nät,'Leveranser per nät'!S$1,FALSE)/VLOOKUP("Fagersta",Korrigeringsfaktor_EI,'Korrigeringsfaktor EI'!S$1,FALSE),
"")</f>
        <v>15.154237623762373</v>
      </c>
      <c r="T351" s="18">
        <f>IFERROR(
                  Andel_oberoende_av_klimat*VLOOKUP($A351,Leveranser_per_nät,'Leveranser per nät'!T$1,FALSE)
               +Andel_beroende_av_klimat*VLOOKUP($A351,Leveranser_per_nät,'Leveranser per nät'!T$1,FALSE)/VLOOKUP("Fagersta",Korrigeringsfaktor_EI,'Korrigeringsfaktor EI'!T$1,FALSE),
"")</f>
        <v>14.609587628865981</v>
      </c>
      <c r="U351" s="18">
        <f>IFERROR(
                  Andel_oberoende_av_klimat*VLOOKUP($A351,Leveranser_per_nät,'Leveranser per nät'!U$1,FALSE)
               +Andel_beroende_av_klimat*VLOOKUP($A351,Leveranser_per_nät,'Leveranser per nät'!U$1,FALSE)/VLOOKUP("Fagersta",Korrigeringsfaktor_EI,'Korrigeringsfaktor EI'!U$1,FALSE),
"")</f>
        <v>14.958260869565219</v>
      </c>
      <c r="V351" s="18">
        <f>IFERROR(
                  Andel_oberoende_av_klimat*VLOOKUP($A351,Leveranser_per_nät,'Leveranser per nät'!V$1,FALSE)
               +Andel_beroende_av_klimat*VLOOKUP($A351,Leveranser_per_nät,'Leveranser per nät'!V$1,FALSE)/VLOOKUP("Fagersta",Korrigeringsfaktor_EI,'Korrigeringsfaktor EI'!V$1,FALSE),
"")</f>
        <v>14.74608695652174</v>
      </c>
      <c r="W351" s="18">
        <f>IFERROR(
                  Andel_oberoende_av_klimat*VLOOKUP($A351,Leveranser_per_nät,'Leveranser per nät'!W$1,FALSE)
               +Andel_beroende_av_klimat*VLOOKUP($A351,Leveranser_per_nät,'Leveranser per nät'!W$1,FALSE)/VLOOKUP("Fagersta",Korrigeringsfaktor_EI,'Korrigeringsfaktor EI'!W$1,FALSE),
"")</f>
        <v>14.408333333333333</v>
      </c>
      <c r="X351" s="18">
        <f>IFERROR(
                  Andel_oberoende_av_klimat*VLOOKUP($A351,Leveranser_per_nät,'Leveranser per nät'!X$1,FALSE)
               +Andel_beroende_av_klimat*VLOOKUP($A351,Leveranser_per_nät,'Leveranser per nät'!X$1,FALSE)/VLOOKUP("Fagersta",Korrigeringsfaktor_EI,'Korrigeringsfaktor EI'!X$1,FALSE),
"")</f>
        <v>14.834468085106383</v>
      </c>
      <c r="Y351" s="18">
        <f>IFERROR(
                  Andel_oberoende_av_klimat*VLOOKUP($A351,Leveranser_per_nät,'Leveranser per nät'!Y$1,FALSE)
               +Andel_beroende_av_klimat*VLOOKUP($A351,Leveranser_per_nät,'Leveranser per nät'!Y$1,FALSE)/VLOOKUP($B351,Korrigeringsfaktor_EI,'Korrigeringsfaktor EI'!Y$1,FALSE),
"")</f>
        <v>15.579784946236559</v>
      </c>
      <c r="Z351" s="18">
        <f>IFERROR(
                  Andel_oberoende_av_klimat*VLOOKUP($A351,Leveranser_per_nät,'Leveranser per nät'!Z$1,FALSE)
               +Andel_beroende_av_klimat*VLOOKUP($A351,Leveranser_per_nät,'Leveranser per nät'!Z$1,FALSE)/VLOOKUP($B351,Korrigeringsfaktor_EI,'Korrigeringsfaktor EI'!Z$1,FALSE),
"")</f>
        <v>15.158709677419356</v>
      </c>
      <c r="AA351" s="18">
        <f>IFERROR(
                  Andel_oberoende_av_klimat*VLOOKUP($A351,Leveranser_per_nät,'Leveranser per nät'!AA$1,FALSE)
               +Andel_beroende_av_klimat*VLOOKUP($A351,Leveranser_per_nät,'Leveranser per nät'!AA$1,FALSE)/VLOOKUP($B351,Korrigeringsfaktor_EI,'Korrigeringsfaktor EI'!AA$1,FALSE),
"")</f>
        <v>15.066828405235094</v>
      </c>
      <c r="AB351" s="18">
        <f>IFERROR(
                  Andel_oberoende_av_klimat*VLOOKUP($A351,Leveranser_per_nät,'Leveranser per nät'!AB$1,FALSE)
               +Andel_beroende_av_klimat*VLOOKUP($A351,Leveranser_per_nät,'Leveranser per nät'!AB$1,FALSE)/VLOOKUP($B351,Korrigeringsfaktor_EI,'Korrigeringsfaktor EI'!AB$1,FALSE),
"")</f>
        <v>14.576723733862957</v>
      </c>
      <c r="AC351" s="18">
        <f>IFERROR(
                  Andel_oberoende_av_klimat*VLOOKUP($A351,Leveranser_per_nät,'Leveranser per nät'!AC$1,FALSE)
               +Andel_beroende_av_klimat*VLOOKUP($A351,Leveranser_per_nät,'Leveranser per nät'!AC$1,FALSE)/VLOOKUP($B351,Korrigeringsfaktor_EI,'Korrigeringsfaktor EI'!AC$1,FALSE),
"")</f>
        <v>13.917432004197273</v>
      </c>
      <c r="AD351">
        <v>13.452999999999999</v>
      </c>
    </row>
    <row r="352" spans="1:30" x14ac:dyDescent="0.25">
      <c r="A352" t="s">
        <v>143</v>
      </c>
      <c r="B352" t="s">
        <v>166</v>
      </c>
      <c r="C352" s="18">
        <f>IFERROR(
                  Andel_oberoende_av_klimat*VLOOKUP($A352,Leveranser_per_nät,'Leveranser per nät'!C$1,FALSE)
               +Andel_beroende_av_klimat*VLOOKUP($A352,Leveranser_per_nät,'Leveranser per nät'!C$1,FALSE)/VLOOKUP($B352,Korrigeringsfaktor_EI,'Korrigeringsfaktor EI'!C$1,FALSE),
"")</f>
        <v>25.763551401869158</v>
      </c>
      <c r="D352" s="18">
        <f>IFERROR(
                  Andel_oberoende_av_klimat*VLOOKUP($A352,Leveranser_per_nät,'Leveranser per nät'!D$1,FALSE)
               +Andel_beroende_av_klimat*VLOOKUP($A352,Leveranser_per_nät,'Leveranser per nät'!D$1,FALSE)/VLOOKUP($B352,Korrigeringsfaktor_EI,'Korrigeringsfaktor EI'!D$1,FALSE),
"")</f>
        <v>23.835714285714285</v>
      </c>
      <c r="E352" s="18">
        <f>IFERROR(
                  Andel_oberoende_av_klimat*VLOOKUP($A352,Leveranser_per_nät,'Leveranser per nät'!E$1,FALSE)
               +Andel_beroende_av_klimat*VLOOKUP($A352,Leveranser_per_nät,'Leveranser per nät'!E$1,FALSE)/VLOOKUP($B352,Korrigeringsfaktor_EI,'Korrigeringsfaktor EI'!E$1,FALSE),
"")</f>
        <v>23.510679611650481</v>
      </c>
      <c r="F352" s="18">
        <f>IFERROR(
                  Andel_oberoende_av_klimat*VLOOKUP($A352,Leveranser_per_nät,'Leveranser per nät'!F$1,FALSE)
               +Andel_beroende_av_klimat*VLOOKUP($A352,Leveranser_per_nät,'Leveranser per nät'!F$1,FALSE)/VLOOKUP($B352,Korrigeringsfaktor_EI,'Korrigeringsfaktor EI'!F$1,FALSE),
"")</f>
        <v>23.162626262626262</v>
      </c>
      <c r="G352" s="18">
        <f>IFERROR(
                  Andel_oberoende_av_klimat*VLOOKUP($A352,Leveranser_per_nät,'Leveranser per nät'!G$1,FALSE)
               +Andel_beroende_av_klimat*VLOOKUP($A352,Leveranser_per_nät,'Leveranser per nät'!G$1,FALSE)/VLOOKUP($B352,Korrigeringsfaktor_EI,'Korrigeringsfaktor EI'!G$1,FALSE),
"")</f>
        <v>23.523076923076921</v>
      </c>
      <c r="H352" s="18">
        <f>IFERROR(
                  Andel_oberoende_av_klimat*VLOOKUP($A352,Leveranser_per_nät,'Leveranser per nät'!H$1,FALSE)
               +Andel_beroende_av_klimat*VLOOKUP($A352,Leveranser_per_nät,'Leveranser per nät'!H$1,FALSE)/VLOOKUP($B352,Korrigeringsfaktor_EI,'Korrigeringsfaktor EI'!H$1,FALSE),
"")</f>
        <v>25</v>
      </c>
      <c r="I352" s="18">
        <f>IFERROR(
                  Andel_oberoende_av_klimat*VLOOKUP($A352,Leveranser_per_nät,'Leveranser per nät'!I$1,FALSE)
               +Andel_beroende_av_klimat*VLOOKUP($A352,Leveranser_per_nät,'Leveranser per nät'!I$1,FALSE)/VLOOKUP($B352,Korrigeringsfaktor_EI,'Korrigeringsfaktor EI'!I$1,FALSE),
"")</f>
        <v>24.699999999999996</v>
      </c>
      <c r="J352" s="18">
        <f>IFERROR(
                  Andel_oberoende_av_klimat*VLOOKUP($A352,Leveranser_per_nät,'Leveranser per nät'!J$1,FALSE)
               +Andel_beroende_av_klimat*VLOOKUP($A352,Leveranser_per_nät,'Leveranser per nät'!J$1,FALSE)/VLOOKUP($B352,Korrigeringsfaktor_EI,'Korrigeringsfaktor EI'!J$1,FALSE),
"")</f>
        <v>27.787500000000001</v>
      </c>
      <c r="K352" s="18">
        <f>IFERROR(
                  Andel_oberoende_av_klimat*VLOOKUP($A352,Leveranser_per_nät,'Leveranser per nät'!K$1,FALSE)
               +Andel_beroende_av_klimat*VLOOKUP($A352,Leveranser_per_nät,'Leveranser per nät'!K$1,FALSE)/VLOOKUP($B352,Korrigeringsfaktor_EI,'Korrigeringsfaktor EI'!K$1,FALSE),
"")</f>
        <v>27.478240425531915</v>
      </c>
      <c r="L352" s="18">
        <f>IFERROR(
                  Andel_oberoende_av_klimat*VLOOKUP($A352,Leveranser_per_nät,'Leveranser per nät'!L$1,FALSE)
               +Andel_beroende_av_klimat*VLOOKUP($A352,Leveranser_per_nät,'Leveranser per nät'!L$1,FALSE)/VLOOKUP($B352,Korrigeringsfaktor_EI,'Korrigeringsfaktor EI'!L$1,FALSE),
"")</f>
        <v>31.202730107526875</v>
      </c>
      <c r="M352" s="18">
        <f>IFERROR(
                  Andel_oberoende_av_klimat*VLOOKUP($A352,Leveranser_per_nät,'Leveranser per nät'!M$1,FALSE)
               +Andel_beroende_av_klimat*VLOOKUP($A352,Leveranser_per_nät,'Leveranser per nät'!M$1,FALSE)/VLOOKUP($B352,Korrigeringsfaktor_EI,'Korrigeringsfaktor EI'!M$1,FALSE),
"")</f>
        <v>31.826086956521742</v>
      </c>
      <c r="N352" s="18">
        <f>IFERROR(
                  Andel_oberoende_av_klimat*VLOOKUP($A352,Leveranser_per_nät,'Leveranser per nät'!N$1,FALSE)
               +Andel_beroende_av_klimat*VLOOKUP($A352,Leveranser_per_nät,'Leveranser per nät'!N$1,FALSE)/VLOOKUP($B352,Korrigeringsfaktor_EI,'Korrigeringsfaktor EI'!N$1,FALSE),
"")</f>
        <v>47.994799999999998</v>
      </c>
      <c r="O352" s="18">
        <f>IFERROR(
                  Andel_oberoende_av_klimat*VLOOKUP($A352,Leveranser_per_nät,'Leveranser per nät'!O$1,FALSE)
               +Andel_beroende_av_klimat*VLOOKUP($A352,Leveranser_per_nät,'Leveranser per nät'!O$1,FALSE)/VLOOKUP($B352,Korrigeringsfaktor_EI,'Korrigeringsfaktor EI'!O$1,FALSE),
"")</f>
        <v>46.303488888888893</v>
      </c>
      <c r="P352" s="18">
        <f>IFERROR(
                  Andel_oberoende_av_klimat*VLOOKUP($A352,Leveranser_per_nät,'Leveranser per nät'!P$1,FALSE)
               +Andel_beroende_av_klimat*VLOOKUP($A352,Leveranser_per_nät,'Leveranser per nät'!P$1,FALSE)/VLOOKUP($B352,Korrigeringsfaktor_EI,'Korrigeringsfaktor EI'!P$1,FALSE),
"")</f>
        <v>52.013196907216496</v>
      </c>
      <c r="Q352" s="18">
        <f>IFERROR(
                  Andel_oberoende_av_klimat*VLOOKUP($A352,Leveranser_per_nät,'Leveranser per nät'!Q$1,FALSE)
               +Andel_beroende_av_klimat*VLOOKUP($A352,Leveranser_per_nät,'Leveranser per nät'!Q$1,FALSE)/VLOOKUP($B352,Korrigeringsfaktor_EI,'Korrigeringsfaktor EI'!Q$1,FALSE),
"")</f>
        <v>54.657470175438604</v>
      </c>
      <c r="R352" s="18">
        <f>IFERROR(
                  Andel_oberoende_av_klimat*VLOOKUP($A352,Leveranser_per_nät,'Leveranser per nät'!R$1,FALSE)
               +Andel_beroende_av_klimat*VLOOKUP($A352,Leveranser_per_nät,'Leveranser per nät'!R$1,FALSE)/VLOOKUP($B352,Korrigeringsfaktor_EI,'Korrigeringsfaktor EI'!R$1,FALSE),
"")</f>
        <v>51.826853932584271</v>
      </c>
      <c r="S352" s="18">
        <f>IFERROR(
                  Andel_oberoende_av_klimat*VLOOKUP($A352,Leveranser_per_nät,'Leveranser per nät'!S$1,FALSE)
               +Andel_beroende_av_klimat*VLOOKUP($A352,Leveranser_per_nät,'Leveranser per nät'!S$1,FALSE)/VLOOKUP($B352,Korrigeringsfaktor_EI,'Korrigeringsfaktor EI'!S$1,FALSE),
"")</f>
        <v>54.147422680412362</v>
      </c>
      <c r="T352" s="18">
        <f>IFERROR(
                  Andel_oberoende_av_klimat*VLOOKUP($A352,Leveranser_per_nät,'Leveranser per nät'!T$1,FALSE)
               +Andel_beroende_av_klimat*VLOOKUP($A352,Leveranser_per_nät,'Leveranser per nät'!T$1,FALSE)/VLOOKUP($B352,Korrigeringsfaktor_EI,'Korrigeringsfaktor EI'!T$1,FALSE),
"")</f>
        <v>53.501052631578951</v>
      </c>
      <c r="U352" s="18">
        <f>IFERROR(
                  Andel_oberoende_av_klimat*VLOOKUP($A352,Leveranser_per_nät,'Leveranser per nät'!U$1,FALSE)
               +Andel_beroende_av_klimat*VLOOKUP($A352,Leveranser_per_nät,'Leveranser per nät'!U$1,FALSE)/VLOOKUP($B352,Korrigeringsfaktor_EI,'Korrigeringsfaktor EI'!U$1,FALSE),
"")</f>
        <v>47.718620689655168</v>
      </c>
      <c r="V352" s="18">
        <f>IFERROR(
                  Andel_oberoende_av_klimat*VLOOKUP($A352,Leveranser_per_nät,'Leveranser per nät'!V$1,FALSE)
               +Andel_beroende_av_klimat*VLOOKUP($A352,Leveranser_per_nät,'Leveranser per nät'!V$1,FALSE)/VLOOKUP($B352,Korrigeringsfaktor_EI,'Korrigeringsfaktor EI'!V$1,FALSE),
"")</f>
        <v>47.761818181818185</v>
      </c>
      <c r="W352" s="18">
        <f>IFERROR(
                  Andel_oberoende_av_klimat*VLOOKUP($A352,Leveranser_per_nät,'Leveranser per nät'!W$1,FALSE)
               +Andel_beroende_av_klimat*VLOOKUP($A352,Leveranser_per_nät,'Leveranser per nät'!W$1,FALSE)/VLOOKUP($B352,Korrigeringsfaktor_EI,'Korrigeringsfaktor EI'!W$1,FALSE),
"")</f>
        <v>51.08489361702128</v>
      </c>
      <c r="X352" s="18">
        <f>IFERROR(
                  Andel_oberoende_av_klimat*VLOOKUP($A352,Leveranser_per_nät,'Leveranser per nät'!X$1,FALSE)
               +Andel_beroende_av_klimat*VLOOKUP($A352,Leveranser_per_nät,'Leveranser per nät'!X$1,FALSE)/VLOOKUP($B352,Korrigeringsfaktor_EI,'Korrigeringsfaktor EI'!X$1,FALSE),
"")</f>
        <v>49.055268817204301</v>
      </c>
      <c r="Y352" s="18">
        <f>IFERROR(
                  Andel_oberoende_av_klimat*VLOOKUP($A352,Leveranser_per_nät,'Leveranser per nät'!Y$1,FALSE)
               +Andel_beroende_av_klimat*VLOOKUP($A352,Leveranser_per_nät,'Leveranser per nät'!Y$1,FALSE)/VLOOKUP($B352,Korrigeringsfaktor_EI,'Korrigeringsfaktor EI'!Y$1,FALSE),
"")</f>
        <v>50.574615384615385</v>
      </c>
      <c r="Z352" s="18">
        <f>IFERROR(
                  Andel_oberoende_av_klimat*VLOOKUP($A352,Leveranser_per_nät,'Leveranser per nät'!Z$1,FALSE)
               +Andel_beroende_av_klimat*VLOOKUP($A352,Leveranser_per_nät,'Leveranser per nät'!Z$1,FALSE)/VLOOKUP($B352,Korrigeringsfaktor_EI,'Korrigeringsfaktor EI'!Z$1,FALSE),
"")</f>
        <v>49.685555555555553</v>
      </c>
      <c r="AA352" s="18">
        <f>IFERROR(
                  Andel_oberoende_av_klimat*VLOOKUP($A352,Leveranser_per_nät,'Leveranser per nät'!AA$1,FALSE)
               +Andel_beroende_av_klimat*VLOOKUP($A352,Leveranser_per_nät,'Leveranser per nät'!AA$1,FALSE)/VLOOKUP($B352,Korrigeringsfaktor_EI,'Korrigeringsfaktor EI'!AA$1,FALSE),
"")</f>
        <v>46.634082106893885</v>
      </c>
      <c r="AB352" s="18">
        <f>IFERROR(
                  Andel_oberoende_av_klimat*VLOOKUP($A352,Leveranser_per_nät,'Leveranser per nät'!AB$1,FALSE)
               +Andel_beroende_av_klimat*VLOOKUP($A352,Leveranser_per_nät,'Leveranser per nät'!AB$1,FALSE)/VLOOKUP($B352,Korrigeringsfaktor_EI,'Korrigeringsfaktor EI'!AB$1,FALSE),
"")</f>
        <v>50.893220338983056</v>
      </c>
      <c r="AC352" s="18">
        <f>IFERROR(
                  Andel_oberoende_av_klimat*VLOOKUP($A352,Leveranser_per_nät,'Leveranser per nät'!AC$1,FALSE)
               +Andel_beroende_av_klimat*VLOOKUP($A352,Leveranser_per_nät,'Leveranser per nät'!AC$1,FALSE)/VLOOKUP($B352,Korrigeringsfaktor_EI,'Korrigeringsfaktor EI'!AC$1,FALSE),
"")</f>
        <v>50.249148936170215</v>
      </c>
      <c r="AD352">
        <v>564.79999999999995</v>
      </c>
    </row>
    <row r="353" spans="1:30" x14ac:dyDescent="0.25">
      <c r="A353" s="3" t="s">
        <v>12</v>
      </c>
      <c r="B353" t="s">
        <v>138</v>
      </c>
      <c r="C353" s="18">
        <f>IFERROR(
                  Andel_oberoende_av_klimat*VLOOKUP($A353,Leveranser_per_nät,'Leveranser per nät'!C$1,FALSE)
               +Andel_beroende_av_klimat*VLOOKUP($A353,Leveranser_per_nät,'Leveranser per nät'!C$1,FALSE)/VLOOKUP($B353,Korrigeringsfaktor_EI,'Korrigeringsfaktor EI'!C$1,FALSE),
"")</f>
        <v>0</v>
      </c>
      <c r="D353" s="18">
        <f>IFERROR(
                  Andel_oberoende_av_klimat*VLOOKUP($A353,Leveranser_per_nät,'Leveranser per nät'!D$1,FALSE)
               +Andel_beroende_av_klimat*VLOOKUP($A353,Leveranser_per_nät,'Leveranser per nät'!D$1,FALSE)/VLOOKUP($B353,Korrigeringsfaktor_EI,'Korrigeringsfaktor EI'!D$1,FALSE),
"")</f>
        <v>0</v>
      </c>
      <c r="E353" s="18">
        <f>IFERROR(
                  Andel_oberoende_av_klimat*VLOOKUP($A353,Leveranser_per_nät,'Leveranser per nät'!E$1,FALSE)
               +Andel_beroende_av_klimat*VLOOKUP($A353,Leveranser_per_nät,'Leveranser per nät'!E$1,FALSE)/VLOOKUP($B353,Korrigeringsfaktor_EI,'Korrigeringsfaktor EI'!E$1,FALSE),
"")</f>
        <v>0</v>
      </c>
      <c r="F353" s="18">
        <f>IFERROR(
                  Andel_oberoende_av_klimat*VLOOKUP($A353,Leveranser_per_nät,'Leveranser per nät'!F$1,FALSE)
               +Andel_beroende_av_klimat*VLOOKUP($A353,Leveranser_per_nät,'Leveranser per nät'!F$1,FALSE)/VLOOKUP($B353,Korrigeringsfaktor_EI,'Korrigeringsfaktor EI'!F$1,FALSE),
"")</f>
        <v>0</v>
      </c>
      <c r="G353" s="18">
        <f>IFERROR(
                  Andel_oberoende_av_klimat*VLOOKUP($A353,Leveranser_per_nät,'Leveranser per nät'!G$1,FALSE)
               +Andel_beroende_av_klimat*VLOOKUP($A353,Leveranser_per_nät,'Leveranser per nät'!G$1,FALSE)/VLOOKUP($B353,Korrigeringsfaktor_EI,'Korrigeringsfaktor EI'!G$1,FALSE),
"")</f>
        <v>0</v>
      </c>
      <c r="H353" s="18">
        <f>IFERROR(
                  Andel_oberoende_av_klimat*VLOOKUP($A353,Leveranser_per_nät,'Leveranser per nät'!H$1,FALSE)
               +Andel_beroende_av_klimat*VLOOKUP($A353,Leveranser_per_nät,'Leveranser per nät'!H$1,FALSE)/VLOOKUP($B353,Korrigeringsfaktor_EI,'Korrigeringsfaktor EI'!H$1,FALSE),
"")</f>
        <v>0</v>
      </c>
      <c r="I353" s="18">
        <f>IFERROR(
                  Andel_oberoende_av_klimat*VLOOKUP($A353,Leveranser_per_nät,'Leveranser per nät'!I$1,FALSE)
               +Andel_beroende_av_klimat*VLOOKUP($A353,Leveranser_per_nät,'Leveranser per nät'!I$1,FALSE)/VLOOKUP($B353,Korrigeringsfaktor_EI,'Korrigeringsfaktor EI'!I$1,FALSE),
"")</f>
        <v>0</v>
      </c>
      <c r="J353" s="18">
        <f>IFERROR(
                  Andel_oberoende_av_klimat*VLOOKUP($A353,Leveranser_per_nät,'Leveranser per nät'!J$1,FALSE)
               +Andel_beroende_av_klimat*VLOOKUP($A353,Leveranser_per_nät,'Leveranser per nät'!J$1,FALSE)/VLOOKUP($B353,Korrigeringsfaktor_EI,'Korrigeringsfaktor EI'!J$1,FALSE),
"")</f>
        <v>0</v>
      </c>
      <c r="K353" s="18">
        <f>IFERROR(
                  Andel_oberoende_av_klimat*VLOOKUP($A353,Leveranser_per_nät,'Leveranser per nät'!K$1,FALSE)
               +Andel_beroende_av_klimat*VLOOKUP($A353,Leveranser_per_nät,'Leveranser per nät'!K$1,FALSE)/VLOOKUP($B353,Korrigeringsfaktor_EI,'Korrigeringsfaktor EI'!K$1,FALSE),
"")</f>
        <v>0</v>
      </c>
      <c r="L353" s="18">
        <f>IFERROR(
                  Andel_oberoende_av_klimat*VLOOKUP($A353,Leveranser_per_nät,'Leveranser per nät'!L$1,FALSE)
               +Andel_beroende_av_klimat*VLOOKUP($A353,Leveranser_per_nät,'Leveranser per nät'!L$1,FALSE)/VLOOKUP($B353,Korrigeringsfaktor_EI,'Korrigeringsfaktor EI'!L$1,FALSE),
"")</f>
        <v>0</v>
      </c>
      <c r="M353" s="18">
        <f>IFERROR(
                  Andel_oberoende_av_klimat*VLOOKUP($A353,Leveranser_per_nät,'Leveranser per nät'!M$1,FALSE)
               +Andel_beroende_av_klimat*VLOOKUP($A353,Leveranser_per_nät,'Leveranser per nät'!M$1,FALSE)/VLOOKUP($B353,Korrigeringsfaktor_EI,'Korrigeringsfaktor EI'!M$1,FALSE),
"")</f>
        <v>0</v>
      </c>
      <c r="N353" s="18">
        <f>IFERROR(
                  Andel_oberoende_av_klimat*VLOOKUP($A353,Leveranser_per_nät,'Leveranser per nät'!N$1,FALSE)
               +Andel_beroende_av_klimat*VLOOKUP($A353,Leveranser_per_nät,'Leveranser per nät'!N$1,FALSE)/VLOOKUP($B353,Korrigeringsfaktor_EI,'Korrigeringsfaktor EI'!N$1,FALSE),
"")</f>
        <v>0</v>
      </c>
      <c r="O353" s="18">
        <f>IFERROR(
                  Andel_oberoende_av_klimat*VLOOKUP($A353,Leveranser_per_nät,'Leveranser per nät'!O$1,FALSE)
               +Andel_beroende_av_klimat*VLOOKUP($A353,Leveranser_per_nät,'Leveranser per nät'!O$1,FALSE)/VLOOKUP($B353,Korrigeringsfaktor_EI,'Korrigeringsfaktor EI'!O$1,FALSE),
"")</f>
        <v>0</v>
      </c>
      <c r="P353" s="18">
        <f>IFERROR(
                  Andel_oberoende_av_klimat*VLOOKUP($A353,Leveranser_per_nät,'Leveranser per nät'!P$1,FALSE)
               +Andel_beroende_av_klimat*VLOOKUP($A353,Leveranser_per_nät,'Leveranser per nät'!P$1,FALSE)/VLOOKUP($B353,Korrigeringsfaktor_EI,'Korrigeringsfaktor EI'!P$1,FALSE),
"")</f>
        <v>0</v>
      </c>
      <c r="Q353" s="18">
        <f>IFERROR(
                  Andel_oberoende_av_klimat*VLOOKUP($A353,Leveranser_per_nät,'Leveranser per nät'!Q$1,FALSE)
               +Andel_beroende_av_klimat*VLOOKUP($A353,Leveranser_per_nät,'Leveranser per nät'!Q$1,FALSE)/VLOOKUP($B353,Korrigeringsfaktor_EI,'Korrigeringsfaktor EI'!Q$1,FALSE),
"")</f>
        <v>0.18280701754385964</v>
      </c>
      <c r="R353" s="18">
        <f>IFERROR(
                  Andel_oberoende_av_klimat*VLOOKUP($A353,Leveranser_per_nät,'Leveranser per nät'!R$1,FALSE)
               +Andel_beroende_av_klimat*VLOOKUP($A353,Leveranser_per_nät,'Leveranser per nät'!R$1,FALSE)/VLOOKUP($B353,Korrigeringsfaktor_EI,'Korrigeringsfaktor EI'!R$1,FALSE),
"")</f>
        <v>0.20736842105263159</v>
      </c>
      <c r="S353" s="18">
        <f>IFERROR(
                  Andel_oberoende_av_klimat*VLOOKUP($A353,Leveranser_per_nät,'Leveranser per nät'!S$1,FALSE)
               +Andel_beroende_av_klimat*VLOOKUP($A353,Leveranser_per_nät,'Leveranser per nät'!S$1,FALSE)/VLOOKUP($B353,Korrigeringsfaktor_EI,'Korrigeringsfaktor EI'!S$1,FALSE),
"")</f>
        <v>0.19861386138613862</v>
      </c>
      <c r="T353" s="18" t="str">
        <f>IFERROR(
                  Andel_oberoende_av_klimat*VLOOKUP($A353,Leveranser_per_nät,'Leveranser per nät'!T$1,FALSE)
               +Andel_beroende_av_klimat*VLOOKUP($A353,Leveranser_per_nät,'Leveranser per nät'!T$1,FALSE)/VLOOKUP($B353,Korrigeringsfaktor_EI,'Korrigeringsfaktor EI'!T$1,FALSE),
"")</f>
        <v/>
      </c>
      <c r="U353" s="18" t="str">
        <f>IFERROR(
                  Andel_oberoende_av_klimat*VLOOKUP($A353,Leveranser_per_nät,'Leveranser per nät'!U$1,FALSE)
               +Andel_beroende_av_klimat*VLOOKUP($A353,Leveranser_per_nät,'Leveranser per nät'!U$1,FALSE)/VLOOKUP($B353,Korrigeringsfaktor_EI,'Korrigeringsfaktor EI'!U$1,FALSE),
"")</f>
        <v/>
      </c>
      <c r="V353" s="18" t="str">
        <f>IFERROR(
                  Andel_oberoende_av_klimat*VLOOKUP($A353,Leveranser_per_nät,'Leveranser per nät'!V$1,FALSE)
               +Andel_beroende_av_klimat*VLOOKUP($A353,Leveranser_per_nät,'Leveranser per nät'!V$1,FALSE)/VLOOKUP($B353,Korrigeringsfaktor_EI,'Korrigeringsfaktor EI'!V$1,FALSE),
"")</f>
        <v/>
      </c>
      <c r="W353" s="18" t="str">
        <f>IFERROR(
                  Andel_oberoende_av_klimat*VLOOKUP($A353,Leveranser_per_nät,'Leveranser per nät'!W$1,FALSE)
               +Andel_beroende_av_klimat*VLOOKUP($A353,Leveranser_per_nät,'Leveranser per nät'!W$1,FALSE)/VLOOKUP($B353,Korrigeringsfaktor_EI,'Korrigeringsfaktor EI'!W$1,FALSE),
"")</f>
        <v/>
      </c>
      <c r="X353" s="18" t="str">
        <f>IFERROR(
                  Andel_oberoende_av_klimat*VLOOKUP($A353,Leveranser_per_nät,'Leveranser per nät'!X$1,FALSE)
               +Andel_beroende_av_klimat*VLOOKUP($A353,Leveranser_per_nät,'Leveranser per nät'!X$1,FALSE)/VLOOKUP($B353,Korrigeringsfaktor_EI,'Korrigeringsfaktor EI'!X$1,FALSE),
"")</f>
        <v/>
      </c>
      <c r="Y353" s="18" t="str">
        <f>IFERROR(
                  Andel_oberoende_av_klimat*VLOOKUP($A353,Leveranser_per_nät,'Leveranser per nät'!Y$1,FALSE)
               +Andel_beroende_av_klimat*VLOOKUP($A353,Leveranser_per_nät,'Leveranser per nät'!Y$1,FALSE)/VLOOKUP($B353,Korrigeringsfaktor_EI,'Korrigeringsfaktor EI'!Y$1,FALSE),
"")</f>
        <v/>
      </c>
      <c r="Z353" s="18">
        <f>IFERROR(
                  Andel_oberoende_av_klimat*VLOOKUP($A353,Leveranser_per_nät,'Leveranser per nät'!Z$1,FALSE)
               +Andel_beroende_av_klimat*VLOOKUP($A353,Leveranser_per_nät,'Leveranser per nät'!Z$1,FALSE)/VLOOKUP($B353,Korrigeringsfaktor_EI,'Korrigeringsfaktor EI'!Z$1,FALSE),
"")</f>
        <v>0</v>
      </c>
      <c r="AA353" s="18" t="str">
        <f>IFERROR(
                  Andel_oberoende_av_klimat*VLOOKUP($A353,Leveranser_per_nät,'Leveranser per nät'!AA$1,FALSE)
               +Andel_beroende_av_klimat*VLOOKUP($A353,Leveranser_per_nät,'Leveranser per nät'!AA$1,FALSE)/VLOOKUP($B353,Korrigeringsfaktor_EI,'Korrigeringsfaktor EI'!AA$1,FALSE),
"")</f>
        <v/>
      </c>
      <c r="AB353" s="18">
        <f>IFERROR(
                  Andel_oberoende_av_klimat*VLOOKUP($A353,Leveranser_per_nät,'Leveranser per nät'!AB$1,FALSE)
               +Andel_beroende_av_klimat*VLOOKUP($A353,Leveranser_per_nät,'Leveranser per nät'!AB$1,FALSE)/VLOOKUP($B353,Korrigeringsfaktor_EI,'Korrigeringsfaktor EI'!AB$1,FALSE),
"")</f>
        <v>0</v>
      </c>
      <c r="AC353" s="18">
        <f>IFERROR(
                  Andel_oberoende_av_klimat*VLOOKUP($A353,Leveranser_per_nät,'Leveranser per nät'!AC$1,FALSE)
               +Andel_beroende_av_klimat*VLOOKUP($A353,Leveranser_per_nät,'Leveranser per nät'!AC$1,FALSE)/VLOOKUP($B353,Korrigeringsfaktor_EI,'Korrigeringsfaktor EI'!AC$1,FALSE),
"")</f>
        <v>0</v>
      </c>
      <c r="AD353">
        <v>662.10699999999997</v>
      </c>
    </row>
    <row r="354" spans="1:30" x14ac:dyDescent="0.25">
      <c r="A354" t="s">
        <v>276</v>
      </c>
      <c r="B354" t="s">
        <v>275</v>
      </c>
      <c r="C354" s="18">
        <f>IFERROR(
                  Andel_oberoende_av_klimat*VLOOKUP($A354,Leveranser_per_nät,'Leveranser per nät'!C$1,FALSE)
               +Andel_beroende_av_klimat*VLOOKUP($A354,Leveranser_per_nät,'Leveranser per nät'!C$1,FALSE)/VLOOKUP($B354,Korrigeringsfaktor_EI,'Korrigeringsfaktor EI'!C$1,FALSE),
"")</f>
        <v>0</v>
      </c>
      <c r="D354" s="18">
        <f>IFERROR(
                  Andel_oberoende_av_klimat*VLOOKUP($A354,Leveranser_per_nät,'Leveranser per nät'!D$1,FALSE)
               +Andel_beroende_av_klimat*VLOOKUP($A354,Leveranser_per_nät,'Leveranser per nät'!D$1,FALSE)/VLOOKUP($B354,Korrigeringsfaktor_EI,'Korrigeringsfaktor EI'!D$1,FALSE),
"")</f>
        <v>0</v>
      </c>
      <c r="E354" s="18">
        <f>IFERROR(
                  Andel_oberoende_av_klimat*VLOOKUP($A354,Leveranser_per_nät,'Leveranser per nät'!E$1,FALSE)
               +Andel_beroende_av_klimat*VLOOKUP($A354,Leveranser_per_nät,'Leveranser per nät'!E$1,FALSE)/VLOOKUP($B354,Korrigeringsfaktor_EI,'Korrigeringsfaktor EI'!E$1,FALSE),
"")</f>
        <v>0</v>
      </c>
      <c r="F354" s="18">
        <f>IFERROR(
                  Andel_oberoende_av_klimat*VLOOKUP($A354,Leveranser_per_nät,'Leveranser per nät'!F$1,FALSE)
               +Andel_beroende_av_klimat*VLOOKUP($A354,Leveranser_per_nät,'Leveranser per nät'!F$1,FALSE)/VLOOKUP($B354,Korrigeringsfaktor_EI,'Korrigeringsfaktor EI'!F$1,FALSE),
"")</f>
        <v>0</v>
      </c>
      <c r="G354" s="18">
        <f>IFERROR(
                  Andel_oberoende_av_klimat*VLOOKUP($A354,Leveranser_per_nät,'Leveranser per nät'!G$1,FALSE)
               +Andel_beroende_av_klimat*VLOOKUP($A354,Leveranser_per_nät,'Leveranser per nät'!G$1,FALSE)/VLOOKUP($B354,Korrigeringsfaktor_EI,'Korrigeringsfaktor EI'!G$1,FALSE),
"")</f>
        <v>0</v>
      </c>
      <c r="H354" s="18">
        <f>IFERROR(
                  Andel_oberoende_av_klimat*VLOOKUP($A354,Leveranser_per_nät,'Leveranser per nät'!H$1,FALSE)
               +Andel_beroende_av_klimat*VLOOKUP($A354,Leveranser_per_nät,'Leveranser per nät'!H$1,FALSE)/VLOOKUP($B354,Korrigeringsfaktor_EI,'Korrigeringsfaktor EI'!H$1,FALSE),
"")</f>
        <v>0</v>
      </c>
      <c r="I354" s="18">
        <f>IFERROR(
                  Andel_oberoende_av_klimat*VLOOKUP($A354,Leveranser_per_nät,'Leveranser per nät'!I$1,FALSE)
               +Andel_beroende_av_klimat*VLOOKUP($A354,Leveranser_per_nät,'Leveranser per nät'!I$1,FALSE)/VLOOKUP($B354,Korrigeringsfaktor_EI,'Korrigeringsfaktor EI'!I$1,FALSE),
"")</f>
        <v>0</v>
      </c>
      <c r="J354" s="18">
        <f>IFERROR(
                  Andel_oberoende_av_klimat*VLOOKUP($A354,Leveranser_per_nät,'Leveranser per nät'!J$1,FALSE)
               +Andel_beroende_av_klimat*VLOOKUP($A354,Leveranser_per_nät,'Leveranser per nät'!J$1,FALSE)/VLOOKUP($B354,Korrigeringsfaktor_EI,'Korrigeringsfaktor EI'!J$1,FALSE),
"")</f>
        <v>0</v>
      </c>
      <c r="K354" s="18">
        <f>IFERROR(
                  Andel_oberoende_av_klimat*VLOOKUP($A354,Leveranser_per_nät,'Leveranser per nät'!K$1,FALSE)
               +Andel_beroende_av_klimat*VLOOKUP($A354,Leveranser_per_nät,'Leveranser per nät'!K$1,FALSE)/VLOOKUP($B354,Korrigeringsfaktor_EI,'Korrigeringsfaktor EI'!K$1,FALSE),
"")</f>
        <v>0</v>
      </c>
      <c r="L354" s="18">
        <f>IFERROR(
                  Andel_oberoende_av_klimat*VLOOKUP($A354,Leveranser_per_nät,'Leveranser per nät'!L$1,FALSE)
               +Andel_beroende_av_klimat*VLOOKUP($A354,Leveranser_per_nät,'Leveranser per nät'!L$1,FALSE)/VLOOKUP($B354,Korrigeringsfaktor_EI,'Korrigeringsfaktor EI'!L$1,FALSE),
"")</f>
        <v>0</v>
      </c>
      <c r="M354" s="18">
        <f>IFERROR(
                  Andel_oberoende_av_klimat*VLOOKUP($A354,Leveranser_per_nät,'Leveranser per nät'!M$1,FALSE)
               +Andel_beroende_av_klimat*VLOOKUP($A354,Leveranser_per_nät,'Leveranser per nät'!M$1,FALSE)/VLOOKUP($B354,Korrigeringsfaktor_EI,'Korrigeringsfaktor EI'!M$1,FALSE),
"")</f>
        <v>8.2109677419354838</v>
      </c>
      <c r="N354" s="18">
        <f>IFERROR(
                  Andel_oberoende_av_klimat*VLOOKUP($A354,Leveranser_per_nät,'Leveranser per nät'!N$1,FALSE)
               +Andel_beroende_av_klimat*VLOOKUP($A354,Leveranser_per_nät,'Leveranser per nät'!N$1,FALSE)/VLOOKUP($B354,Korrigeringsfaktor_EI,'Korrigeringsfaktor EI'!N$1,FALSE),
"")</f>
        <v>7.850434782608696</v>
      </c>
      <c r="O354" s="18">
        <f>IFERROR(
                  Andel_oberoende_av_klimat*VLOOKUP($A354,Leveranser_per_nät,'Leveranser per nät'!O$1,FALSE)
               +Andel_beroende_av_klimat*VLOOKUP($A354,Leveranser_per_nät,'Leveranser per nät'!O$1,FALSE)/VLOOKUP($B354,Korrigeringsfaktor_EI,'Korrigeringsfaktor EI'!O$1,FALSE),
"")</f>
        <v>7.850434782608696</v>
      </c>
      <c r="P354" s="18">
        <f>IFERROR(
                  Andel_oberoende_av_klimat*VLOOKUP($A354,Leveranser_per_nät,'Leveranser per nät'!P$1,FALSE)
               +Andel_beroende_av_klimat*VLOOKUP($A354,Leveranser_per_nät,'Leveranser per nät'!P$1,FALSE)/VLOOKUP($B354,Korrigeringsfaktor_EI,'Korrigeringsfaktor EI'!P$1,FALSE),
"")</f>
        <v>8.0128571428571433</v>
      </c>
      <c r="Q354" s="18">
        <f>IFERROR(
                  Andel_oberoende_av_klimat*VLOOKUP($A354,Leveranser_per_nät,'Leveranser per nät'!Q$1,FALSE)
               +Andel_beroende_av_klimat*VLOOKUP($A354,Leveranser_per_nät,'Leveranser per nät'!Q$1,FALSE)/VLOOKUP($B354,Korrigeringsfaktor_EI,'Korrigeringsfaktor EI'!Q$1,FALSE),
"")</f>
        <v>7.2208771929824564</v>
      </c>
      <c r="R354" s="18">
        <f>IFERROR(
                  Andel_oberoende_av_klimat*VLOOKUP($A354,Leveranser_per_nät,'Leveranser per nät'!R$1,FALSE)
               +Andel_beroende_av_klimat*VLOOKUP($A354,Leveranser_per_nät,'Leveranser per nät'!R$1,FALSE)/VLOOKUP($B354,Korrigeringsfaktor_EI,'Korrigeringsfaktor EI'!R$1,FALSE),
"")</f>
        <v>9.5478260869565226</v>
      </c>
      <c r="S354" s="18">
        <f>IFERROR(
                  Andel_oberoende_av_klimat*VLOOKUP($A354,Leveranser_per_nät,'Leveranser per nät'!S$1,FALSE)
               +Andel_beroende_av_klimat*VLOOKUP($A354,Leveranser_per_nät,'Leveranser per nät'!S$1,FALSE)/VLOOKUP($B354,Korrigeringsfaktor_EI,'Korrigeringsfaktor EI'!S$1,FALSE),
"")</f>
        <v>8.4212277227722776</v>
      </c>
      <c r="T354" s="18">
        <f>IFERROR(
                  Andel_oberoende_av_klimat*VLOOKUP($A354,Leveranser_per_nät,'Leveranser per nät'!T$1,FALSE)
               +Andel_beroende_av_klimat*VLOOKUP($A354,Leveranser_per_nät,'Leveranser per nät'!T$1,FALSE)/VLOOKUP($B354,Korrigeringsfaktor_EI,'Korrigeringsfaktor EI'!T$1,FALSE),
"")</f>
        <v>8.5731929292929294</v>
      </c>
      <c r="U354" s="18">
        <f>IFERROR(
                  Andel_oberoende_av_klimat*VLOOKUP($A354,Leveranser_per_nät,'Leveranser per nät'!U$1,FALSE)
               +Andel_beroende_av_klimat*VLOOKUP($A354,Leveranser_per_nät,'Leveranser per nät'!U$1,FALSE)/VLOOKUP($B354,Korrigeringsfaktor_EI,'Korrigeringsfaktor EI'!U$1,FALSE),
"")</f>
        <v>8.6236842696629221</v>
      </c>
      <c r="V354" s="18">
        <f>IFERROR(
                  Andel_oberoende_av_klimat*VLOOKUP($A354,Leveranser_per_nät,'Leveranser per nät'!V$1,FALSE)
               +Andel_beroende_av_klimat*VLOOKUP($A354,Leveranser_per_nät,'Leveranser per nät'!V$1,FALSE)/VLOOKUP($B354,Korrigeringsfaktor_EI,'Korrigeringsfaktor EI'!V$1,FALSE),
"")</f>
        <v>9.2436548387096771</v>
      </c>
      <c r="W354" s="18">
        <f>IFERROR(
                  Andel_oberoende_av_klimat*VLOOKUP($A354,Leveranser_per_nät,'Leveranser per nät'!W$1,FALSE)
               +Andel_beroende_av_klimat*VLOOKUP($A354,Leveranser_per_nät,'Leveranser per nät'!W$1,FALSE)/VLOOKUP($B354,Korrigeringsfaktor_EI,'Korrigeringsfaktor EI'!W$1,FALSE),
"")</f>
        <v>9.9354378631578939</v>
      </c>
      <c r="X354" s="18">
        <f>IFERROR(
                  Andel_oberoende_av_klimat*VLOOKUP($A354,Leveranser_per_nät,'Leveranser per nät'!X$1,FALSE)
               +Andel_beroende_av_klimat*VLOOKUP($A354,Leveranser_per_nät,'Leveranser per nät'!X$1,FALSE)/VLOOKUP($B354,Korrigeringsfaktor_EI,'Korrigeringsfaktor EI'!X$1,FALSE),
"")</f>
        <v>10.308083251063829</v>
      </c>
      <c r="Y354" s="18">
        <f>IFERROR(
                  Andel_oberoende_av_klimat*VLOOKUP($A354,Leveranser_per_nät,'Leveranser per nät'!Y$1,FALSE)
               +Andel_beroende_av_klimat*VLOOKUP($A354,Leveranser_per_nät,'Leveranser per nät'!Y$1,FALSE)/VLOOKUP($B354,Korrigeringsfaktor_EI,'Korrigeringsfaktor EI'!Y$1,FALSE),
"")</f>
        <v>10.4389</v>
      </c>
      <c r="Z354" s="18">
        <f>IFERROR(
                  Andel_oberoende_av_klimat*VLOOKUP($A354,Leveranser_per_nät,'Leveranser per nät'!Z$1,FALSE)
               +Andel_beroende_av_klimat*VLOOKUP($A354,Leveranser_per_nät,'Leveranser per nät'!Z$1,FALSE)/VLOOKUP($B354,Korrigeringsfaktor_EI,'Korrigeringsfaktor EI'!Z$1,FALSE),
"")</f>
        <v>10.276611111111112</v>
      </c>
      <c r="AA354" s="18">
        <f>IFERROR(
                  Andel_oberoende_av_klimat*VLOOKUP($A354,Leveranser_per_nät,'Leveranser per nät'!AA$1,FALSE)
               +Andel_beroende_av_klimat*VLOOKUP($A354,Leveranser_per_nät,'Leveranser per nät'!AA$1,FALSE)/VLOOKUP($B354,Korrigeringsfaktor_EI,'Korrigeringsfaktor EI'!AA$1,FALSE),
"")</f>
        <v>10.436521590023382</v>
      </c>
      <c r="AB354" s="18">
        <f>IFERROR(
                  Andel_oberoende_av_klimat*VLOOKUP($A354,Leveranser_per_nät,'Leveranser per nät'!AB$1,FALSE)
               +Andel_beroende_av_klimat*VLOOKUP($A354,Leveranser_per_nät,'Leveranser per nät'!AB$1,FALSE)/VLOOKUP($B354,Korrigeringsfaktor_EI,'Korrigeringsfaktor EI'!AB$1,FALSE),
"")</f>
        <v>10.724753583084578</v>
      </c>
      <c r="AC354" s="18">
        <f>IFERROR(
                  Andel_oberoende_av_klimat*VLOOKUP($A354,Leveranser_per_nät,'Leveranser per nät'!AC$1,FALSE)
               +Andel_beroende_av_klimat*VLOOKUP($A354,Leveranser_per_nät,'Leveranser per nät'!AC$1,FALSE)/VLOOKUP($B354,Korrigeringsfaktor_EI,'Korrigeringsfaktor EI'!AC$1,FALSE),
"")</f>
        <v>10.286963522257722</v>
      </c>
      <c r="AD354">
        <v>366.39353699999998</v>
      </c>
    </row>
    <row r="355" spans="1:30" x14ac:dyDescent="0.25">
      <c r="A355" t="s">
        <v>183</v>
      </c>
      <c r="B355" t="s">
        <v>183</v>
      </c>
      <c r="C355" s="18">
        <f>IFERROR(
                  Andel_oberoende_av_klimat*VLOOKUP($A355,Leveranser_per_nät,'Leveranser per nät'!C$1,FALSE)
               +Andel_beroende_av_klimat*VLOOKUP($A355,Leveranser_per_nät,'Leveranser per nät'!C$1,FALSE)/VLOOKUP("Ystad",Korrigeringsfaktor_EI,'Korrigeringsfaktor EI'!C$1,FALSE),
"")</f>
        <v>0</v>
      </c>
      <c r="D355" s="18">
        <f>IFERROR(
                  Andel_oberoende_av_klimat*VLOOKUP($A355,Leveranser_per_nät,'Leveranser per nät'!D$1,FALSE)
               +Andel_beroende_av_klimat*VLOOKUP($A355,Leveranser_per_nät,'Leveranser per nät'!D$1,FALSE)/VLOOKUP("Ystad",Korrigeringsfaktor_EI,'Korrigeringsfaktor EI'!D$1,FALSE),
"")</f>
        <v>0</v>
      </c>
      <c r="E355" s="18">
        <f>IFERROR(
                  Andel_oberoende_av_klimat*VLOOKUP($A355,Leveranser_per_nät,'Leveranser per nät'!E$1,FALSE)
               +Andel_beroende_av_klimat*VLOOKUP($A355,Leveranser_per_nät,'Leveranser per nät'!E$1,FALSE)/VLOOKUP("Ystad",Korrigeringsfaktor_EI,'Korrigeringsfaktor EI'!E$1,FALSE),
"")</f>
        <v>0</v>
      </c>
      <c r="F355" s="18">
        <f>IFERROR(
                  Andel_oberoende_av_klimat*VLOOKUP($A355,Leveranser_per_nät,'Leveranser per nät'!F$1,FALSE)
               +Andel_beroende_av_klimat*VLOOKUP($A355,Leveranser_per_nät,'Leveranser per nät'!F$1,FALSE)/VLOOKUP("Ystad",Korrigeringsfaktor_EI,'Korrigeringsfaktor EI'!F$1,FALSE),
"")</f>
        <v>0</v>
      </c>
      <c r="G355" s="18">
        <f>IFERROR(
                  Andel_oberoende_av_klimat*VLOOKUP($A355,Leveranser_per_nät,'Leveranser per nät'!G$1,FALSE)
               +Andel_beroende_av_klimat*VLOOKUP($A355,Leveranser_per_nät,'Leveranser per nät'!G$1,FALSE)/VLOOKUP("Ystad",Korrigeringsfaktor_EI,'Korrigeringsfaktor EI'!G$1,FALSE),
"")</f>
        <v>0</v>
      </c>
      <c r="H355" s="18">
        <f>IFERROR(
                  Andel_oberoende_av_klimat*VLOOKUP($A355,Leveranser_per_nät,'Leveranser per nät'!H$1,FALSE)
               +Andel_beroende_av_klimat*VLOOKUP($A355,Leveranser_per_nät,'Leveranser per nät'!H$1,FALSE)/VLOOKUP("Ystad",Korrigeringsfaktor_EI,'Korrigeringsfaktor EI'!H$1,FALSE),
"")</f>
        <v>0</v>
      </c>
      <c r="I355" s="18">
        <f>IFERROR(
                  Andel_oberoende_av_klimat*VLOOKUP($A355,Leveranser_per_nät,'Leveranser per nät'!I$1,FALSE)
               +Andel_beroende_av_klimat*VLOOKUP($A355,Leveranser_per_nät,'Leveranser per nät'!I$1,FALSE)/VLOOKUP("Ystad",Korrigeringsfaktor_EI,'Korrigeringsfaktor EI'!I$1,FALSE),
"")</f>
        <v>0</v>
      </c>
      <c r="J355" s="18">
        <f>IFERROR(
                  Andel_oberoende_av_klimat*VLOOKUP($A355,Leveranser_per_nät,'Leveranser per nät'!J$1,FALSE)
               +Andel_beroende_av_klimat*VLOOKUP($A355,Leveranser_per_nät,'Leveranser per nät'!J$1,FALSE)/VLOOKUP("Ystad",Korrigeringsfaktor_EI,'Korrigeringsfaktor EI'!J$1,FALSE),
"")</f>
        <v>0</v>
      </c>
      <c r="K355" s="18">
        <f>IFERROR(
                  Andel_oberoende_av_klimat*VLOOKUP($A355,Leveranser_per_nät,'Leveranser per nät'!K$1,FALSE)
               +Andel_beroende_av_klimat*VLOOKUP($A355,Leveranser_per_nät,'Leveranser per nät'!K$1,FALSE)/VLOOKUP("Ystad",Korrigeringsfaktor_EI,'Korrigeringsfaktor EI'!K$1,FALSE),
"")</f>
        <v>0</v>
      </c>
      <c r="L355" s="18">
        <f>IFERROR(
                  Andel_oberoende_av_klimat*VLOOKUP($A355,Leveranser_per_nät,'Leveranser per nät'!L$1,FALSE)
               +Andel_beroende_av_klimat*VLOOKUP($A355,Leveranser_per_nät,'Leveranser per nät'!L$1,FALSE)/VLOOKUP("Ystad",Korrigeringsfaktor_EI,'Korrigeringsfaktor EI'!L$1,FALSE),
"")</f>
        <v>0</v>
      </c>
      <c r="M355" s="18">
        <f>IFERROR(
                  Andel_oberoende_av_klimat*VLOOKUP($A355,Leveranser_per_nät,'Leveranser per nät'!M$1,FALSE)
               +Andel_beroende_av_klimat*VLOOKUP($A355,Leveranser_per_nät,'Leveranser per nät'!M$1,FALSE)/VLOOKUP("Ystad",Korrigeringsfaktor_EI,'Korrigeringsfaktor EI'!M$1,FALSE),
"")</f>
        <v>18.125036842105267</v>
      </c>
      <c r="N355" s="18">
        <f>IFERROR(
                  Andel_oberoende_av_klimat*VLOOKUP($A355,Leveranser_per_nät,'Leveranser per nät'!N$1,FALSE)
               +Andel_beroende_av_klimat*VLOOKUP($A355,Leveranser_per_nät,'Leveranser per nät'!N$1,FALSE)/VLOOKUP("Ystad",Korrigeringsfaktor_EI,'Korrigeringsfaktor EI'!N$1,FALSE),
"")</f>
        <v>18.545060869565219</v>
      </c>
      <c r="O355" s="18">
        <f>IFERROR(
                  Andel_oberoende_av_klimat*VLOOKUP($A355,Leveranser_per_nät,'Leveranser per nät'!O$1,FALSE)
               +Andel_beroende_av_klimat*VLOOKUP($A355,Leveranser_per_nät,'Leveranser per nät'!O$1,FALSE)/VLOOKUP("Ystad",Korrigeringsfaktor_EI,'Korrigeringsfaktor EI'!O$1,FALSE),
"")</f>
        <v>22.336078260869563</v>
      </c>
      <c r="P355" s="18">
        <f>IFERROR(
                  Andel_oberoende_av_klimat*VLOOKUP($A355,Leveranser_per_nät,'Leveranser per nät'!P$1,FALSE)
               +Andel_beroende_av_klimat*VLOOKUP($A355,Leveranser_per_nät,'Leveranser per nät'!P$1,FALSE)/VLOOKUP("Ystad",Korrigeringsfaktor_EI,'Korrigeringsfaktor EI'!P$1,FALSE),
"")</f>
        <v>25.161183505154639</v>
      </c>
      <c r="Q355" s="18">
        <f>IFERROR(
                  Andel_oberoende_av_klimat*VLOOKUP($A355,Leveranser_per_nät,'Leveranser per nät'!Q$1,FALSE)
               +Andel_beroende_av_klimat*VLOOKUP($A355,Leveranser_per_nät,'Leveranser per nät'!Q$1,FALSE)/VLOOKUP("Ystad",Korrigeringsfaktor_EI,'Korrigeringsfaktor EI'!Q$1,FALSE),
"")</f>
        <v>26.112920353982304</v>
      </c>
      <c r="R355" s="18">
        <f>IFERROR(
                  Andel_oberoende_av_klimat*VLOOKUP($A355,Leveranser_per_nät,'Leveranser per nät'!R$1,FALSE)
               +Andel_beroende_av_klimat*VLOOKUP($A355,Leveranser_per_nät,'Leveranser per nät'!R$1,FALSE)/VLOOKUP("Ystad",Korrigeringsfaktor_EI,'Korrigeringsfaktor EI'!R$1,FALSE),
"")</f>
        <v>26.194071134020618</v>
      </c>
      <c r="S355" s="18">
        <f>IFERROR(
                  Andel_oberoende_av_klimat*VLOOKUP($A355,Leveranser_per_nät,'Leveranser per nät'!S$1,FALSE)
               +Andel_beroende_av_klimat*VLOOKUP($A355,Leveranser_per_nät,'Leveranser per nät'!S$1,FALSE)/VLOOKUP("Ystad",Korrigeringsfaktor_EI,'Korrigeringsfaktor EI'!S$1,FALSE),
"")</f>
        <v>26.812871287128711</v>
      </c>
      <c r="T355" s="18">
        <f>IFERROR(
                  Andel_oberoende_av_klimat*VLOOKUP($A355,Leveranser_per_nät,'Leveranser per nät'!T$1,FALSE)
               +Andel_beroende_av_klimat*VLOOKUP($A355,Leveranser_per_nät,'Leveranser per nät'!T$1,FALSE)/VLOOKUP("Ystad",Korrigeringsfaktor_EI,'Korrigeringsfaktor EI'!T$1,FALSE),
"")</f>
        <v>26.585999999999999</v>
      </c>
      <c r="U355" s="18">
        <f>IFERROR(
                  Andel_oberoende_av_klimat*VLOOKUP($A355,Leveranser_per_nät,'Leveranser per nät'!U$1,FALSE)
               +Andel_beroende_av_klimat*VLOOKUP($A355,Leveranser_per_nät,'Leveranser per nät'!U$1,FALSE)/VLOOKUP("Ystad",Korrigeringsfaktor_EI,'Korrigeringsfaktor EI'!U$1,FALSE),
"")</f>
        <v>27.269203448275864</v>
      </c>
      <c r="V355" s="18">
        <f>IFERROR(
                  Andel_oberoende_av_klimat*VLOOKUP($A355,Leveranser_per_nät,'Leveranser per nät'!V$1,FALSE)
               +Andel_beroende_av_klimat*VLOOKUP($A355,Leveranser_per_nät,'Leveranser per nät'!V$1,FALSE)/VLOOKUP("Ystad",Korrigeringsfaktor_EI,'Korrigeringsfaktor EI'!V$1,FALSE),
"")</f>
        <v>28.596799999999998</v>
      </c>
      <c r="W355" s="18">
        <f>IFERROR(
                  Andel_oberoende_av_klimat*VLOOKUP($A355,Leveranser_per_nät,'Leveranser per nät'!W$1,FALSE)
               +Andel_beroende_av_klimat*VLOOKUP($A355,Leveranser_per_nät,'Leveranser per nät'!W$1,FALSE)/VLOOKUP("Ystad",Korrigeringsfaktor_EI,'Korrigeringsfaktor EI'!W$1,FALSE),
"")</f>
        <v>29.044021052631582</v>
      </c>
      <c r="X355" s="18">
        <f>IFERROR(
                  Andel_oberoende_av_klimat*VLOOKUP($A355,Leveranser_per_nät,'Leveranser per nät'!X$1,FALSE)
               +Andel_beroende_av_klimat*VLOOKUP($A355,Leveranser_per_nät,'Leveranser per nät'!X$1,FALSE)/VLOOKUP("Ystad",Korrigeringsfaktor_EI,'Korrigeringsfaktor EI'!X$1,FALSE),
"")</f>
        <v>30.915113402061856</v>
      </c>
      <c r="Y355" s="18">
        <f>IFERROR(
                  Andel_oberoende_av_klimat*VLOOKUP($A355,Leveranser_per_nät,'Leveranser per nät'!Y$1,FALSE)
               +Andel_beroende_av_klimat*VLOOKUP($A355,Leveranser_per_nät,'Leveranser per nät'!Y$1,FALSE)/VLOOKUP($B355,Korrigeringsfaktor_EI,'Korrigeringsfaktor EI'!Y$1,FALSE),
"")</f>
        <v>30.672727272727272</v>
      </c>
      <c r="Z355" s="18">
        <f>IFERROR(
                  Andel_oberoende_av_klimat*VLOOKUP($A355,Leveranser_per_nät,'Leveranser per nät'!Z$1,FALSE)
               +Andel_beroende_av_klimat*VLOOKUP($A355,Leveranser_per_nät,'Leveranser per nät'!Z$1,FALSE)/VLOOKUP($B355,Korrigeringsfaktor_EI,'Korrigeringsfaktor EI'!Z$1,FALSE),
"")</f>
        <v>29.912505747126431</v>
      </c>
      <c r="AA355" s="18">
        <f>IFERROR(
                  Andel_oberoende_av_klimat*VLOOKUP($A355,Leveranser_per_nät,'Leveranser per nät'!AA$1,FALSE)
               +Andel_beroende_av_klimat*VLOOKUP($A355,Leveranser_per_nät,'Leveranser per nät'!AA$1,FALSE)/VLOOKUP($B355,Korrigeringsfaktor_EI,'Korrigeringsfaktor EI'!AA$1,FALSE),
"")</f>
        <v>30.135572751717955</v>
      </c>
      <c r="AB355" s="18">
        <f>IFERROR(
                  Andel_oberoende_av_klimat*VLOOKUP($A355,Leveranser_per_nät,'Leveranser per nät'!AB$1,FALSE)
               +Andel_beroende_av_klimat*VLOOKUP($A355,Leveranser_per_nät,'Leveranser per nät'!AB$1,FALSE)/VLOOKUP($B355,Korrigeringsfaktor_EI,'Korrigeringsfaktor EI'!AB$1,FALSE),
"")</f>
        <v>28.802222222222223</v>
      </c>
      <c r="AC355" s="18">
        <f>IFERROR(
                  Andel_oberoende_av_klimat*VLOOKUP($A355,Leveranser_per_nät,'Leveranser per nät'!AC$1,FALSE)
               +Andel_beroende_av_klimat*VLOOKUP($A355,Leveranser_per_nät,'Leveranser per nät'!AC$1,FALSE)/VLOOKUP($B355,Korrigeringsfaktor_EI,'Korrigeringsfaktor EI'!AC$1,FALSE),
"")</f>
        <v>32.033566343042068</v>
      </c>
      <c r="AD355">
        <v>30.36</v>
      </c>
    </row>
    <row r="356" spans="1:30" x14ac:dyDescent="0.25">
      <c r="A356" t="s">
        <v>15</v>
      </c>
      <c r="B356" t="s">
        <v>15</v>
      </c>
      <c r="C356" s="18">
        <f>IFERROR(
                  Andel_oberoende_av_klimat*VLOOKUP($A356,Leveranser_per_nät,'Leveranser per nät'!C$1,FALSE)
               +Andel_beroende_av_klimat*VLOOKUP($A356,Leveranser_per_nät,'Leveranser per nät'!C$1,FALSE)/VLOOKUP($B356,Korrigeringsfaktor_EI,'Korrigeringsfaktor EI'!C$1,FALSE),
"")</f>
        <v>21.807407407407407</v>
      </c>
      <c r="D356" s="18">
        <f>IFERROR(
                  Andel_oberoende_av_klimat*VLOOKUP($A356,Leveranser_per_nät,'Leveranser per nät'!D$1,FALSE)
               +Andel_beroende_av_klimat*VLOOKUP($A356,Leveranser_per_nät,'Leveranser per nät'!D$1,FALSE)/VLOOKUP($B356,Korrigeringsfaktor_EI,'Korrigeringsfaktor EI'!D$1,FALSE),
"")</f>
        <v>21.863298969072165</v>
      </c>
      <c r="E356" s="18">
        <f>IFERROR(
                  Andel_oberoende_av_klimat*VLOOKUP($A356,Leveranser_per_nät,'Leveranser per nät'!E$1,FALSE)
               +Andel_beroende_av_klimat*VLOOKUP($A356,Leveranser_per_nät,'Leveranser per nät'!E$1,FALSE)/VLOOKUP($B356,Korrigeringsfaktor_EI,'Korrigeringsfaktor EI'!E$1,FALSE),
"")</f>
        <v>22.380769230769229</v>
      </c>
      <c r="F356" s="18">
        <f>IFERROR(
                  Andel_oberoende_av_klimat*VLOOKUP($A356,Leveranser_per_nät,'Leveranser per nät'!F$1,FALSE)
               +Andel_beroende_av_klimat*VLOOKUP($A356,Leveranser_per_nät,'Leveranser per nät'!F$1,FALSE)/VLOOKUP($B356,Korrigeringsfaktor_EI,'Korrigeringsfaktor EI'!F$1,FALSE),
"")</f>
        <v>21.3</v>
      </c>
      <c r="G356" s="18">
        <f>IFERROR(
                  Andel_oberoende_av_klimat*VLOOKUP($A356,Leveranser_per_nät,'Leveranser per nät'!G$1,FALSE)
               +Andel_beroende_av_klimat*VLOOKUP($A356,Leveranser_per_nät,'Leveranser per nät'!G$1,FALSE)/VLOOKUP($B356,Korrigeringsfaktor_EI,'Korrigeringsfaktor EI'!G$1,FALSE),
"")</f>
        <v>22.106451612903225</v>
      </c>
      <c r="H356" s="18">
        <f>IFERROR(
                  Andel_oberoende_av_klimat*VLOOKUP($A356,Leveranser_per_nät,'Leveranser per nät'!H$1,FALSE)
               +Andel_beroende_av_klimat*VLOOKUP($A356,Leveranser_per_nät,'Leveranser per nät'!H$1,FALSE)/VLOOKUP($B356,Korrigeringsfaktor_EI,'Korrigeringsfaktor EI'!H$1,FALSE),
"")</f>
        <v>21.612500000000001</v>
      </c>
      <c r="I356" s="18">
        <f>IFERROR(
                  Andel_oberoende_av_klimat*VLOOKUP($A356,Leveranser_per_nät,'Leveranser per nät'!I$1,FALSE)
               +Andel_beroende_av_klimat*VLOOKUP($A356,Leveranser_per_nät,'Leveranser per nät'!I$1,FALSE)/VLOOKUP($B356,Korrigeringsfaktor_EI,'Korrigeringsfaktor EI'!I$1,FALSE),
"")</f>
        <v>25.160093617021278</v>
      </c>
      <c r="J356" s="18">
        <f>IFERROR(
                  Andel_oberoende_av_klimat*VLOOKUP($A356,Leveranser_per_nät,'Leveranser per nät'!J$1,FALSE)
               +Andel_beroende_av_klimat*VLOOKUP($A356,Leveranser_per_nät,'Leveranser per nät'!J$1,FALSE)/VLOOKUP($B356,Korrigeringsfaktor_EI,'Korrigeringsfaktor EI'!J$1,FALSE),
"")</f>
        <v>26.518955670103093</v>
      </c>
      <c r="K356" s="18">
        <f>IFERROR(
                  Andel_oberoende_av_klimat*VLOOKUP($A356,Leveranser_per_nät,'Leveranser per nät'!K$1,FALSE)
               +Andel_beroende_av_klimat*VLOOKUP($A356,Leveranser_per_nät,'Leveranser per nät'!K$1,FALSE)/VLOOKUP($B356,Korrigeringsfaktor_EI,'Korrigeringsfaktor EI'!K$1,FALSE),
"")</f>
        <v>26.671150000000001</v>
      </c>
      <c r="L356" s="18">
        <f>IFERROR(
                  Andel_oberoende_av_klimat*VLOOKUP($A356,Leveranser_per_nät,'Leveranser per nät'!L$1,FALSE)
               +Andel_beroende_av_klimat*VLOOKUP($A356,Leveranser_per_nät,'Leveranser per nät'!L$1,FALSE)/VLOOKUP($B356,Korrigeringsfaktor_EI,'Korrigeringsfaktor EI'!L$1,FALSE),
"")</f>
        <v>26.165533333333332</v>
      </c>
      <c r="M356" s="18">
        <f>IFERROR(
                  Andel_oberoende_av_klimat*VLOOKUP($A356,Leveranser_per_nät,'Leveranser per nät'!M$1,FALSE)
               +Andel_beroende_av_klimat*VLOOKUP($A356,Leveranser_per_nät,'Leveranser per nät'!M$1,FALSE)/VLOOKUP($B356,Korrigeringsfaktor_EI,'Korrigeringsfaktor EI'!M$1,FALSE),
"")</f>
        <v>27.184123076923076</v>
      </c>
      <c r="N356" s="18">
        <f>IFERROR(
                  Andel_oberoende_av_klimat*VLOOKUP($A356,Leveranser_per_nät,'Leveranser per nät'!N$1,FALSE)
               +Andel_beroende_av_klimat*VLOOKUP($A356,Leveranser_per_nät,'Leveranser per nät'!N$1,FALSE)/VLOOKUP($B356,Korrigeringsfaktor_EI,'Korrigeringsfaktor EI'!N$1,FALSE),
"")</f>
        <v>26.763544086021504</v>
      </c>
      <c r="O356" s="18">
        <f>IFERROR(
                  Andel_oberoende_av_klimat*VLOOKUP($A356,Leveranser_per_nät,'Leveranser per nät'!O$1,FALSE)
               +Andel_beroende_av_klimat*VLOOKUP($A356,Leveranser_per_nät,'Leveranser per nät'!O$1,FALSE)/VLOOKUP($B356,Korrigeringsfaktor_EI,'Korrigeringsfaktor EI'!O$1,FALSE),
"")</f>
        <v>20.646643478260867</v>
      </c>
      <c r="P356" s="18">
        <f>IFERROR(
                  Andel_oberoende_av_klimat*VLOOKUP($A356,Leveranser_per_nät,'Leveranser per nät'!P$1,FALSE)
               +Andel_beroende_av_klimat*VLOOKUP($A356,Leveranser_per_nät,'Leveranser per nät'!P$1,FALSE)/VLOOKUP($B356,Korrigeringsfaktor_EI,'Korrigeringsfaktor EI'!P$1,FALSE),
"")</f>
        <v>13.792268041237113</v>
      </c>
      <c r="Q356" s="18">
        <f>IFERROR(
                  Andel_oberoende_av_klimat*VLOOKUP($A356,Leveranser_per_nät,'Leveranser per nät'!Q$1,FALSE)
               +Andel_beroende_av_klimat*VLOOKUP($A356,Leveranser_per_nät,'Leveranser per nät'!Q$1,FALSE)/VLOOKUP($B356,Korrigeringsfaktor_EI,'Korrigeringsfaktor EI'!Q$1,FALSE),
"")</f>
        <v>27.400176991150445</v>
      </c>
      <c r="R356" s="18">
        <f>IFERROR(
                  Andel_oberoende_av_klimat*VLOOKUP($A356,Leveranser_per_nät,'Leveranser per nät'!R$1,FALSE)
               +Andel_beroende_av_klimat*VLOOKUP($A356,Leveranser_per_nät,'Leveranser per nät'!R$1,FALSE)/VLOOKUP($B356,Korrigeringsfaktor_EI,'Korrigeringsfaktor EI'!R$1,FALSE),
"")</f>
        <v>24.987894736842108</v>
      </c>
      <c r="S356" s="18">
        <f>IFERROR(
                  Andel_oberoende_av_klimat*VLOOKUP($A356,Leveranser_per_nät,'Leveranser per nät'!S$1,FALSE)
               +Andel_beroende_av_klimat*VLOOKUP($A356,Leveranser_per_nät,'Leveranser per nät'!S$1,FALSE)/VLOOKUP($B356,Korrigeringsfaktor_EI,'Korrigeringsfaktor EI'!S$1,FALSE),
"")</f>
        <v>24.826732673267326</v>
      </c>
      <c r="T356" s="18">
        <f>IFERROR(
                  Andel_oberoende_av_klimat*VLOOKUP($A356,Leveranser_per_nät,'Leveranser per nät'!T$1,FALSE)
               +Andel_beroende_av_klimat*VLOOKUP($A356,Leveranser_per_nät,'Leveranser per nät'!T$1,FALSE)/VLOOKUP($B356,Korrigeringsfaktor_EI,'Korrigeringsfaktor EI'!T$1,FALSE),
"")</f>
        <v>26.335789473684208</v>
      </c>
      <c r="U356" s="18">
        <f>IFERROR(
                  Andel_oberoende_av_klimat*VLOOKUP($A356,Leveranser_per_nät,'Leveranser per nät'!U$1,FALSE)
               +Andel_beroende_av_klimat*VLOOKUP($A356,Leveranser_per_nät,'Leveranser per nät'!U$1,FALSE)/VLOOKUP($B356,Korrigeringsfaktor_EI,'Korrigeringsfaktor EI'!U$1,FALSE),
"")</f>
        <v>25.803077777777776</v>
      </c>
      <c r="V356" s="18">
        <f>IFERROR(
                  Andel_oberoende_av_klimat*VLOOKUP($A356,Leveranser_per_nät,'Leveranser per nät'!V$1,FALSE)
               +Andel_beroende_av_klimat*VLOOKUP($A356,Leveranser_per_nät,'Leveranser per nät'!V$1,FALSE)/VLOOKUP($B356,Korrigeringsfaktor_EI,'Korrigeringsfaktor EI'!V$1,FALSE),
"")</f>
        <v>26.779544444444447</v>
      </c>
      <c r="W356" s="18">
        <f>IFERROR(
                  Andel_oberoende_av_klimat*VLOOKUP($A356,Leveranser_per_nät,'Leveranser per nät'!W$1,FALSE)
               +Andel_beroende_av_klimat*VLOOKUP($A356,Leveranser_per_nät,'Leveranser per nät'!W$1,FALSE)/VLOOKUP($B356,Korrigeringsfaktor_EI,'Korrigeringsfaktor EI'!W$1,FALSE),
"")</f>
        <v>27.324375000000003</v>
      </c>
      <c r="X356" s="18">
        <f>IFERROR(
                  Andel_oberoende_av_klimat*VLOOKUP($A356,Leveranser_per_nät,'Leveranser per nät'!X$1,FALSE)
               +Andel_beroende_av_klimat*VLOOKUP($A356,Leveranser_per_nät,'Leveranser per nät'!X$1,FALSE)/VLOOKUP($B356,Korrigeringsfaktor_EI,'Korrigeringsfaktor EI'!X$1,FALSE),
"")</f>
        <v>26.552500000000002</v>
      </c>
      <c r="Y356" s="18">
        <f>IFERROR(
                  Andel_oberoende_av_klimat*VLOOKUP($A356,Leveranser_per_nät,'Leveranser per nät'!Y$1,FALSE)
               +Andel_beroende_av_klimat*VLOOKUP($A356,Leveranser_per_nät,'Leveranser per nät'!Y$1,FALSE)/VLOOKUP($B356,Korrigeringsfaktor_EI,'Korrigeringsfaktor EI'!Y$1,FALSE),
"")</f>
        <v>25.885217391304344</v>
      </c>
      <c r="Z356" s="18">
        <f>IFERROR(
                  Andel_oberoende_av_klimat*VLOOKUP($A356,Leveranser_per_nät,'Leveranser per nät'!Z$1,FALSE)
               +Andel_beroende_av_klimat*VLOOKUP($A356,Leveranser_per_nät,'Leveranser per nät'!Z$1,FALSE)/VLOOKUP($B356,Korrigeringsfaktor_EI,'Korrigeringsfaktor EI'!Z$1,FALSE),
"")</f>
        <v>25.699148936170214</v>
      </c>
      <c r="AA356" s="18">
        <f>IFERROR(
                  Andel_oberoende_av_klimat*VLOOKUP($A356,Leveranser_per_nät,'Leveranser per nät'!AA$1,FALSE)
               +Andel_beroende_av_klimat*VLOOKUP($A356,Leveranser_per_nät,'Leveranser per nät'!AA$1,FALSE)/VLOOKUP($B356,Korrigeringsfaktor_EI,'Korrigeringsfaktor EI'!AA$1,FALSE),
"")</f>
        <v>25.383740196078431</v>
      </c>
      <c r="AB356" s="18">
        <f>IFERROR(
                  Andel_oberoende_av_klimat*VLOOKUP($A356,Leveranser_per_nät,'Leveranser per nät'!AB$1,FALSE)
               +Andel_beroende_av_klimat*VLOOKUP($A356,Leveranser_per_nät,'Leveranser per nät'!AB$1,FALSE)/VLOOKUP($B356,Korrigeringsfaktor_EI,'Korrigeringsfaktor EI'!AB$1,FALSE),
"")</f>
        <v>25.414251012145748</v>
      </c>
      <c r="AC356" s="18">
        <f>IFERROR(
                  Andel_oberoende_av_klimat*VLOOKUP($A356,Leveranser_per_nät,'Leveranser per nät'!AC$1,FALSE)
               +Andel_beroende_av_klimat*VLOOKUP($A356,Leveranser_per_nät,'Leveranser per nät'!AC$1,FALSE)/VLOOKUP($B356,Korrigeringsfaktor_EI,'Korrigeringsfaktor EI'!AC$1,FALSE),
"")</f>
        <v>24.61407974276527</v>
      </c>
      <c r="AD356" t="e">
        <v>#N/A</v>
      </c>
    </row>
    <row r="357" spans="1:30" x14ac:dyDescent="0.25">
      <c r="A357" t="s">
        <v>167</v>
      </c>
      <c r="B357" t="s">
        <v>166</v>
      </c>
      <c r="C357" s="18">
        <f>IFERROR(
                  Andel_oberoende_av_klimat*VLOOKUP($A357,Leveranser_per_nät,'Leveranser per nät'!C$1,FALSE)
               +Andel_beroende_av_klimat*VLOOKUP($A357,Leveranser_per_nät,'Leveranser per nät'!C$1,FALSE)/VLOOKUP($B357,Korrigeringsfaktor_EI,'Korrigeringsfaktor EI'!C$1,FALSE),
"")</f>
        <v>0</v>
      </c>
      <c r="D357" s="18">
        <f>IFERROR(
                  Andel_oberoende_av_klimat*VLOOKUP($A357,Leveranser_per_nät,'Leveranser per nät'!D$1,FALSE)
               +Andel_beroende_av_klimat*VLOOKUP($A357,Leveranser_per_nät,'Leveranser per nät'!D$1,FALSE)/VLOOKUP($B357,Korrigeringsfaktor_EI,'Korrigeringsfaktor EI'!D$1,FALSE),
"")</f>
        <v>0</v>
      </c>
      <c r="E357" s="18">
        <f>IFERROR(
                  Andel_oberoende_av_klimat*VLOOKUP($A357,Leveranser_per_nät,'Leveranser per nät'!E$1,FALSE)
               +Andel_beroende_av_klimat*VLOOKUP($A357,Leveranser_per_nät,'Leveranser per nät'!E$1,FALSE)/VLOOKUP($B357,Korrigeringsfaktor_EI,'Korrigeringsfaktor EI'!E$1,FALSE),
"")</f>
        <v>0.97961165048543686</v>
      </c>
      <c r="F357" s="18">
        <f>IFERROR(
                  Andel_oberoende_av_klimat*VLOOKUP($A357,Leveranser_per_nät,'Leveranser per nät'!F$1,FALSE)
               +Andel_beroende_av_klimat*VLOOKUP($A357,Leveranser_per_nät,'Leveranser per nät'!F$1,FALSE)/VLOOKUP($B357,Korrigeringsfaktor_EI,'Korrigeringsfaktor EI'!F$1,FALSE),
"")</f>
        <v>5.0353535353535355</v>
      </c>
      <c r="G357" s="18">
        <f>IFERROR(
                  Andel_oberoende_av_klimat*VLOOKUP($A357,Leveranser_per_nät,'Leveranser per nät'!G$1,FALSE)
               +Andel_beroende_av_klimat*VLOOKUP($A357,Leveranser_per_nät,'Leveranser per nät'!G$1,FALSE)/VLOOKUP($B357,Korrigeringsfaktor_EI,'Korrigeringsfaktor EI'!G$1,FALSE),
"")</f>
        <v>6.4153846153846139</v>
      </c>
      <c r="H357" s="18">
        <f>IFERROR(
                  Andel_oberoende_av_klimat*VLOOKUP($A357,Leveranser_per_nät,'Leveranser per nät'!H$1,FALSE)
               +Andel_beroende_av_klimat*VLOOKUP($A357,Leveranser_per_nät,'Leveranser per nät'!H$1,FALSE)/VLOOKUP($B357,Korrigeringsfaktor_EI,'Korrigeringsfaktor EI'!H$1,FALSE),
"")</f>
        <v>7</v>
      </c>
      <c r="I357" s="18">
        <f>IFERROR(
                  Andel_oberoende_av_klimat*VLOOKUP($A357,Leveranser_per_nät,'Leveranser per nät'!I$1,FALSE)
               +Andel_beroende_av_klimat*VLOOKUP($A357,Leveranser_per_nät,'Leveranser per nät'!I$1,FALSE)/VLOOKUP($B357,Korrigeringsfaktor_EI,'Korrigeringsfaktor EI'!I$1,FALSE),
"")</f>
        <v>7.2041666666666666</v>
      </c>
      <c r="J357" s="18">
        <f>IFERROR(
                  Andel_oberoende_av_klimat*VLOOKUP($A357,Leveranser_per_nät,'Leveranser per nät'!J$1,FALSE)
               +Andel_beroende_av_klimat*VLOOKUP($A357,Leveranser_per_nät,'Leveranser per nät'!J$1,FALSE)/VLOOKUP($B357,Korrigeringsfaktor_EI,'Korrigeringsfaktor EI'!J$1,FALSE),
"")</f>
        <v>7.2041666666666666</v>
      </c>
      <c r="K357" s="18">
        <f>IFERROR(
                  Andel_oberoende_av_klimat*VLOOKUP($A357,Leveranser_per_nät,'Leveranser per nät'!K$1,FALSE)
               +Andel_beroende_av_klimat*VLOOKUP($A357,Leveranser_per_nät,'Leveranser per nät'!K$1,FALSE)/VLOOKUP($B357,Korrigeringsfaktor_EI,'Korrigeringsfaktor EI'!K$1,FALSE),
"")</f>
        <v>6.8363914893617022</v>
      </c>
      <c r="L357" s="18">
        <f>IFERROR(
                  Andel_oberoende_av_klimat*VLOOKUP($A357,Leveranser_per_nät,'Leveranser per nät'!L$1,FALSE)
               +Andel_beroende_av_klimat*VLOOKUP($A357,Leveranser_per_nät,'Leveranser per nät'!L$1,FALSE)/VLOOKUP($B357,Korrigeringsfaktor_EI,'Korrigeringsfaktor EI'!L$1,FALSE),
"")</f>
        <v>6.8887913978494613</v>
      </c>
      <c r="M357" s="18">
        <f>IFERROR(
                  Andel_oberoende_av_klimat*VLOOKUP($A357,Leveranser_per_nät,'Leveranser per nät'!M$1,FALSE)
               +Andel_beroende_av_klimat*VLOOKUP($A357,Leveranser_per_nät,'Leveranser per nät'!M$1,FALSE)/VLOOKUP($B357,Korrigeringsfaktor_EI,'Korrigeringsfaktor EI'!M$1,FALSE),
"")</f>
        <v>6.9879478260869554</v>
      </c>
      <c r="N357" s="18">
        <f>IFERROR(
                  Andel_oberoende_av_klimat*VLOOKUP($A357,Leveranser_per_nät,'Leveranser per nät'!N$1,FALSE)
               +Andel_beroende_av_klimat*VLOOKUP($A357,Leveranser_per_nät,'Leveranser per nät'!N$1,FALSE)/VLOOKUP($B357,Korrigeringsfaktor_EI,'Korrigeringsfaktor EI'!N$1,FALSE),
"")</f>
        <v>7.3253043478260871</v>
      </c>
      <c r="O357" s="18">
        <f>IFERROR(
                  Andel_oberoende_av_klimat*VLOOKUP($A357,Leveranser_per_nät,'Leveranser per nät'!O$1,FALSE)
               +Andel_beroende_av_klimat*VLOOKUP($A357,Leveranser_per_nät,'Leveranser per nät'!O$1,FALSE)/VLOOKUP($B357,Korrigeringsfaktor_EI,'Korrigeringsfaktor EI'!O$1,FALSE),
"")</f>
        <v>7.5649222222222221</v>
      </c>
      <c r="P357" s="18">
        <f>IFERROR(
                  Andel_oberoende_av_klimat*VLOOKUP($A357,Leveranser_per_nät,'Leveranser per nät'!P$1,FALSE)
               +Andel_beroende_av_klimat*VLOOKUP($A357,Leveranser_per_nät,'Leveranser per nät'!P$1,FALSE)/VLOOKUP($B357,Korrigeringsfaktor_EI,'Korrigeringsfaktor EI'!P$1,FALSE),
"")</f>
        <v>0</v>
      </c>
      <c r="Q357" s="18">
        <f>IFERROR(
                  Andel_oberoende_av_klimat*VLOOKUP($A357,Leveranser_per_nät,'Leveranser per nät'!Q$1,FALSE)
               +Andel_beroende_av_klimat*VLOOKUP($A357,Leveranser_per_nät,'Leveranser per nät'!Q$1,FALSE)/VLOOKUP($B357,Korrigeringsfaktor_EI,'Korrigeringsfaktor EI'!Q$1,FALSE),
"")</f>
        <v>0</v>
      </c>
      <c r="R357" s="18">
        <f>IFERROR(
                  Andel_oberoende_av_klimat*VLOOKUP($A357,Leveranser_per_nät,'Leveranser per nät'!R$1,FALSE)
               +Andel_beroende_av_klimat*VLOOKUP($A357,Leveranser_per_nät,'Leveranser per nät'!R$1,FALSE)/VLOOKUP($B357,Korrigeringsfaktor_EI,'Korrigeringsfaktor EI'!R$1,FALSE),
"")</f>
        <v>0</v>
      </c>
      <c r="S357" s="18" t="str">
        <f>IFERROR(
                  Andel_oberoende_av_klimat*VLOOKUP($A357,Leveranser_per_nät,'Leveranser per nät'!S$1,FALSE)
               +Andel_beroende_av_klimat*VLOOKUP($A357,Leveranser_per_nät,'Leveranser per nät'!S$1,FALSE)/VLOOKUP($B357,Korrigeringsfaktor_EI,'Korrigeringsfaktor EI'!S$1,FALSE),
"")</f>
        <v/>
      </c>
      <c r="T357" s="18" t="str">
        <f>IFERROR(
                  Andel_oberoende_av_klimat*VLOOKUP($A357,Leveranser_per_nät,'Leveranser per nät'!T$1,FALSE)
               +Andel_beroende_av_klimat*VLOOKUP($A357,Leveranser_per_nät,'Leveranser per nät'!T$1,FALSE)/VLOOKUP($B357,Korrigeringsfaktor_EI,'Korrigeringsfaktor EI'!T$1,FALSE),
"")</f>
        <v/>
      </c>
      <c r="U357" s="18" t="str">
        <f>IFERROR(
                  Andel_oberoende_av_klimat*VLOOKUP($A357,Leveranser_per_nät,'Leveranser per nät'!U$1,FALSE)
               +Andel_beroende_av_klimat*VLOOKUP($A357,Leveranser_per_nät,'Leveranser per nät'!U$1,FALSE)/VLOOKUP($B357,Korrigeringsfaktor_EI,'Korrigeringsfaktor EI'!U$1,FALSE),
"")</f>
        <v/>
      </c>
      <c r="V357" s="18" t="str">
        <f>IFERROR(
                  Andel_oberoende_av_klimat*VLOOKUP($A357,Leveranser_per_nät,'Leveranser per nät'!V$1,FALSE)
               +Andel_beroende_av_klimat*VLOOKUP($A357,Leveranser_per_nät,'Leveranser per nät'!V$1,FALSE)/VLOOKUP($B357,Korrigeringsfaktor_EI,'Korrigeringsfaktor EI'!V$1,FALSE),
"")</f>
        <v/>
      </c>
      <c r="W357" s="18" t="str">
        <f>IFERROR(
                  Andel_oberoende_av_klimat*VLOOKUP($A357,Leveranser_per_nät,'Leveranser per nät'!W$1,FALSE)
               +Andel_beroende_av_klimat*VLOOKUP($A357,Leveranser_per_nät,'Leveranser per nät'!W$1,FALSE)/VLOOKUP($B357,Korrigeringsfaktor_EI,'Korrigeringsfaktor EI'!W$1,FALSE),
"")</f>
        <v/>
      </c>
      <c r="X357" s="18" t="str">
        <f>IFERROR(
                  Andel_oberoende_av_klimat*VLOOKUP($A357,Leveranser_per_nät,'Leveranser per nät'!X$1,FALSE)
               +Andel_beroende_av_klimat*VLOOKUP($A357,Leveranser_per_nät,'Leveranser per nät'!X$1,FALSE)/VLOOKUP($B357,Korrigeringsfaktor_EI,'Korrigeringsfaktor EI'!X$1,FALSE),
"")</f>
        <v/>
      </c>
      <c r="Y357" s="18" t="str">
        <f>IFERROR(
                  Andel_oberoende_av_klimat*VLOOKUP($A357,Leveranser_per_nät,'Leveranser per nät'!Y$1,FALSE)
               +Andel_beroende_av_klimat*VLOOKUP($A357,Leveranser_per_nät,'Leveranser per nät'!Y$1,FALSE)/VLOOKUP($B357,Korrigeringsfaktor_EI,'Korrigeringsfaktor EI'!Y$1,FALSE),
"")</f>
        <v/>
      </c>
      <c r="Z357" s="18">
        <f>IFERROR(
                  Andel_oberoende_av_klimat*VLOOKUP($A357,Leveranser_per_nät,'Leveranser per nät'!Z$1,FALSE)
               +Andel_beroende_av_klimat*VLOOKUP($A357,Leveranser_per_nät,'Leveranser per nät'!Z$1,FALSE)/VLOOKUP($B357,Korrigeringsfaktor_EI,'Korrigeringsfaktor EI'!Z$1,FALSE),
"")</f>
        <v>0</v>
      </c>
      <c r="AA357" s="18" t="str">
        <f>IFERROR(
                  Andel_oberoende_av_klimat*VLOOKUP($A357,Leveranser_per_nät,'Leveranser per nät'!AA$1,FALSE)
               +Andel_beroende_av_klimat*VLOOKUP($A357,Leveranser_per_nät,'Leveranser per nät'!AA$1,FALSE)/VLOOKUP($B357,Korrigeringsfaktor_EI,'Korrigeringsfaktor EI'!AA$1,FALSE),
"")</f>
        <v/>
      </c>
      <c r="AB357" s="18">
        <f>IFERROR(
                  Andel_oberoende_av_klimat*VLOOKUP($A357,Leveranser_per_nät,'Leveranser per nät'!AB$1,FALSE)
               +Andel_beroende_av_klimat*VLOOKUP($A357,Leveranser_per_nät,'Leveranser per nät'!AB$1,FALSE)/VLOOKUP($B357,Korrigeringsfaktor_EI,'Korrigeringsfaktor EI'!AB$1,FALSE),
"")</f>
        <v>0</v>
      </c>
      <c r="AC357" s="18">
        <f>IFERROR(
                  Andel_oberoende_av_klimat*VLOOKUP($A357,Leveranser_per_nät,'Leveranser per nät'!AC$1,FALSE)
               +Andel_beroende_av_klimat*VLOOKUP($A357,Leveranser_per_nät,'Leveranser per nät'!AC$1,FALSE)/VLOOKUP($B357,Korrigeringsfaktor_EI,'Korrigeringsfaktor EI'!AC$1,FALSE),
"")</f>
        <v>0</v>
      </c>
      <c r="AD357">
        <v>564.79999999999995</v>
      </c>
    </row>
    <row r="358" spans="1:30" x14ac:dyDescent="0.25">
      <c r="A358" t="s">
        <v>481</v>
      </c>
      <c r="B358" t="s">
        <v>441</v>
      </c>
      <c r="C358" s="18">
        <f>IFERROR(
                  Andel_oberoende_av_klimat*VLOOKUP($A358,Leveranser_per_nät,'Leveranser per nät'!C$1,FALSE)
               +Andel_beroende_av_klimat*VLOOKUP($A358,Leveranser_per_nät,'Leveranser per nät'!C$1,FALSE)/VLOOKUP($B358,Korrigeringsfaktor_EI,'Korrigeringsfaktor EI'!C$1,FALSE),
"")</f>
        <v>0</v>
      </c>
      <c r="D358" s="18">
        <f>IFERROR(
                  Andel_oberoende_av_klimat*VLOOKUP($A358,Leveranser_per_nät,'Leveranser per nät'!D$1,FALSE)
               +Andel_beroende_av_klimat*VLOOKUP($A358,Leveranser_per_nät,'Leveranser per nät'!D$1,FALSE)/VLOOKUP($B358,Korrigeringsfaktor_EI,'Korrigeringsfaktor EI'!D$1,FALSE),
"")</f>
        <v>0</v>
      </c>
      <c r="E358" s="18">
        <f>IFERROR(
                  Andel_oberoende_av_klimat*VLOOKUP($A358,Leveranser_per_nät,'Leveranser per nät'!E$1,FALSE)
               +Andel_beroende_av_klimat*VLOOKUP($A358,Leveranser_per_nät,'Leveranser per nät'!E$1,FALSE)/VLOOKUP($B358,Korrigeringsfaktor_EI,'Korrigeringsfaktor EI'!E$1,FALSE),
"")</f>
        <v>0</v>
      </c>
      <c r="F358" s="18">
        <f>IFERROR(
                  Andel_oberoende_av_klimat*VLOOKUP($A358,Leveranser_per_nät,'Leveranser per nät'!F$1,FALSE)
               +Andel_beroende_av_klimat*VLOOKUP($A358,Leveranser_per_nät,'Leveranser per nät'!F$1,FALSE)/VLOOKUP($B358,Korrigeringsfaktor_EI,'Korrigeringsfaktor EI'!F$1,FALSE),
"")</f>
        <v>0</v>
      </c>
      <c r="G358" s="18">
        <f>IFERROR(
                  Andel_oberoende_av_klimat*VLOOKUP($A358,Leveranser_per_nät,'Leveranser per nät'!G$1,FALSE)
               +Andel_beroende_av_klimat*VLOOKUP($A358,Leveranser_per_nät,'Leveranser per nät'!G$1,FALSE)/VLOOKUP($B358,Korrigeringsfaktor_EI,'Korrigeringsfaktor EI'!G$1,FALSE),
"")</f>
        <v>0</v>
      </c>
      <c r="H358" s="18">
        <f>IFERROR(
                  Andel_oberoende_av_klimat*VLOOKUP($A358,Leveranser_per_nät,'Leveranser per nät'!H$1,FALSE)
               +Andel_beroende_av_klimat*VLOOKUP($A358,Leveranser_per_nät,'Leveranser per nät'!H$1,FALSE)/VLOOKUP($B358,Korrigeringsfaktor_EI,'Korrigeringsfaktor EI'!H$1,FALSE),
"")</f>
        <v>0</v>
      </c>
      <c r="I358" s="18">
        <f>IFERROR(
                  Andel_oberoende_av_klimat*VLOOKUP($A358,Leveranser_per_nät,'Leveranser per nät'!I$1,FALSE)
               +Andel_beroende_av_klimat*VLOOKUP($A358,Leveranser_per_nät,'Leveranser per nät'!I$1,FALSE)/VLOOKUP($B358,Korrigeringsfaktor_EI,'Korrigeringsfaktor EI'!I$1,FALSE),
"")</f>
        <v>0</v>
      </c>
      <c r="J358" s="18">
        <f>IFERROR(
                  Andel_oberoende_av_klimat*VLOOKUP($A358,Leveranser_per_nät,'Leveranser per nät'!J$1,FALSE)
               +Andel_beroende_av_klimat*VLOOKUP($A358,Leveranser_per_nät,'Leveranser per nät'!J$1,FALSE)/VLOOKUP($B358,Korrigeringsfaktor_EI,'Korrigeringsfaktor EI'!J$1,FALSE),
"")</f>
        <v>0</v>
      </c>
      <c r="K358" s="18">
        <f>IFERROR(
                  Andel_oberoende_av_klimat*VLOOKUP($A358,Leveranser_per_nät,'Leveranser per nät'!K$1,FALSE)
               +Andel_beroende_av_klimat*VLOOKUP($A358,Leveranser_per_nät,'Leveranser per nät'!K$1,FALSE)/VLOOKUP($B358,Korrigeringsfaktor_EI,'Korrigeringsfaktor EI'!K$1,FALSE),
"")</f>
        <v>0</v>
      </c>
      <c r="L358" s="18">
        <f>IFERROR(
                  Andel_oberoende_av_klimat*VLOOKUP($A358,Leveranser_per_nät,'Leveranser per nät'!L$1,FALSE)
               +Andel_beroende_av_klimat*VLOOKUP($A358,Leveranser_per_nät,'Leveranser per nät'!L$1,FALSE)/VLOOKUP($B358,Korrigeringsfaktor_EI,'Korrigeringsfaktor EI'!L$1,FALSE),
"")</f>
        <v>0</v>
      </c>
      <c r="M358" s="18">
        <f>IFERROR(
                  Andel_oberoende_av_klimat*VLOOKUP($A358,Leveranser_per_nät,'Leveranser per nät'!M$1,FALSE)
               +Andel_beroende_av_klimat*VLOOKUP($A358,Leveranser_per_nät,'Leveranser per nät'!M$1,FALSE)/VLOOKUP($B358,Korrigeringsfaktor_EI,'Korrigeringsfaktor EI'!M$1,FALSE),
"")</f>
        <v>0.35645217391304346</v>
      </c>
      <c r="N358" s="18">
        <f>IFERROR(
                  Andel_oberoende_av_klimat*VLOOKUP($A358,Leveranser_per_nät,'Leveranser per nät'!N$1,FALSE)
               +Andel_beroende_av_klimat*VLOOKUP($A358,Leveranser_per_nät,'Leveranser per nät'!N$1,FALSE)/VLOOKUP($B358,Korrigeringsfaktor_EI,'Korrigeringsfaktor EI'!N$1,FALSE),
"")</f>
        <v>0.32076923076923075</v>
      </c>
      <c r="O358" s="18">
        <f>IFERROR(
                  Andel_oberoende_av_klimat*VLOOKUP($A358,Leveranser_per_nät,'Leveranser per nät'!O$1,FALSE)
               +Andel_beroende_av_klimat*VLOOKUP($A358,Leveranser_per_nät,'Leveranser per nät'!O$1,FALSE)/VLOOKUP($B358,Korrigeringsfaktor_EI,'Korrigeringsfaktor EI'!O$1,FALSE),
"")</f>
        <v>0.32333333333333331</v>
      </c>
      <c r="P358" s="18">
        <f>IFERROR(
                  Andel_oberoende_av_klimat*VLOOKUP($A358,Leveranser_per_nät,'Leveranser per nät'!P$1,FALSE)
               +Andel_beroende_av_klimat*VLOOKUP($A358,Leveranser_per_nät,'Leveranser per nät'!P$1,FALSE)/VLOOKUP($B358,Korrigeringsfaktor_EI,'Korrigeringsfaktor EI'!P$1,FALSE),
"")</f>
        <v>0</v>
      </c>
      <c r="Q358" s="18">
        <f>IFERROR(
                  Andel_oberoende_av_klimat*VLOOKUP($A358,Leveranser_per_nät,'Leveranser per nät'!Q$1,FALSE)
               +Andel_beroende_av_klimat*VLOOKUP($A358,Leveranser_per_nät,'Leveranser per nät'!Q$1,FALSE)/VLOOKUP($B358,Korrigeringsfaktor_EI,'Korrigeringsfaktor EI'!Q$1,FALSE),
"")</f>
        <v>0</v>
      </c>
      <c r="R358" s="18">
        <f>IFERROR(
                  Andel_oberoende_av_klimat*VLOOKUP($A358,Leveranser_per_nät,'Leveranser per nät'!R$1,FALSE)
               +Andel_beroende_av_klimat*VLOOKUP($A358,Leveranser_per_nät,'Leveranser per nät'!R$1,FALSE)/VLOOKUP($B358,Korrigeringsfaktor_EI,'Korrigeringsfaktor EI'!R$1,FALSE),
"")</f>
        <v>0</v>
      </c>
      <c r="S358" s="18" t="str">
        <f>IFERROR(
                  Andel_oberoende_av_klimat*VLOOKUP($A358,Leveranser_per_nät,'Leveranser per nät'!S$1,FALSE)
               +Andel_beroende_av_klimat*VLOOKUP($A358,Leveranser_per_nät,'Leveranser per nät'!S$1,FALSE)/VLOOKUP($B358,Korrigeringsfaktor_EI,'Korrigeringsfaktor EI'!S$1,FALSE),
"")</f>
        <v/>
      </c>
      <c r="T358" s="18" t="str">
        <f>IFERROR(
                  Andel_oberoende_av_klimat*VLOOKUP($A358,Leveranser_per_nät,'Leveranser per nät'!T$1,FALSE)
               +Andel_beroende_av_klimat*VLOOKUP($A358,Leveranser_per_nät,'Leveranser per nät'!T$1,FALSE)/VLOOKUP($B358,Korrigeringsfaktor_EI,'Korrigeringsfaktor EI'!T$1,FALSE),
"")</f>
        <v/>
      </c>
      <c r="U358" s="18" t="str">
        <f>IFERROR(
                  Andel_oberoende_av_klimat*VLOOKUP($A358,Leveranser_per_nät,'Leveranser per nät'!U$1,FALSE)
               +Andel_beroende_av_klimat*VLOOKUP($A358,Leveranser_per_nät,'Leveranser per nät'!U$1,FALSE)/VLOOKUP($B358,Korrigeringsfaktor_EI,'Korrigeringsfaktor EI'!U$1,FALSE),
"")</f>
        <v/>
      </c>
      <c r="V358" s="18" t="str">
        <f>IFERROR(
                  Andel_oberoende_av_klimat*VLOOKUP($A358,Leveranser_per_nät,'Leveranser per nät'!V$1,FALSE)
               +Andel_beroende_av_klimat*VLOOKUP($A358,Leveranser_per_nät,'Leveranser per nät'!V$1,FALSE)/VLOOKUP($B358,Korrigeringsfaktor_EI,'Korrigeringsfaktor EI'!V$1,FALSE),
"")</f>
        <v/>
      </c>
      <c r="W358" s="18" t="str">
        <f>IFERROR(
                  Andel_oberoende_av_klimat*VLOOKUP($A358,Leveranser_per_nät,'Leveranser per nät'!W$1,FALSE)
               +Andel_beroende_av_klimat*VLOOKUP($A358,Leveranser_per_nät,'Leveranser per nät'!W$1,FALSE)/VLOOKUP($B358,Korrigeringsfaktor_EI,'Korrigeringsfaktor EI'!W$1,FALSE),
"")</f>
        <v/>
      </c>
      <c r="X358" s="18" t="str">
        <f>IFERROR(
                  Andel_oberoende_av_klimat*VLOOKUP($A358,Leveranser_per_nät,'Leveranser per nät'!X$1,FALSE)
               +Andel_beroende_av_klimat*VLOOKUP($A358,Leveranser_per_nät,'Leveranser per nät'!X$1,FALSE)/VLOOKUP($B358,Korrigeringsfaktor_EI,'Korrigeringsfaktor EI'!X$1,FALSE),
"")</f>
        <v/>
      </c>
      <c r="Y358" s="18" t="str">
        <f>IFERROR(
                  Andel_oberoende_av_klimat*VLOOKUP($A358,Leveranser_per_nät,'Leveranser per nät'!Y$1,FALSE)
               +Andel_beroende_av_klimat*VLOOKUP($A358,Leveranser_per_nät,'Leveranser per nät'!Y$1,FALSE)/VLOOKUP($B358,Korrigeringsfaktor_EI,'Korrigeringsfaktor EI'!Y$1,FALSE),
"")</f>
        <v/>
      </c>
      <c r="Z358" s="18">
        <f>IFERROR(
                  Andel_oberoende_av_klimat*VLOOKUP($A358,Leveranser_per_nät,'Leveranser per nät'!Z$1,FALSE)
               +Andel_beroende_av_klimat*VLOOKUP($A358,Leveranser_per_nät,'Leveranser per nät'!Z$1,FALSE)/VLOOKUP($B358,Korrigeringsfaktor_EI,'Korrigeringsfaktor EI'!Z$1,FALSE),
"")</f>
        <v>0</v>
      </c>
      <c r="AA358" s="18" t="str">
        <f>IFERROR(
                  Andel_oberoende_av_klimat*VLOOKUP($A358,Leveranser_per_nät,'Leveranser per nät'!AA$1,FALSE)
               +Andel_beroende_av_klimat*VLOOKUP($A358,Leveranser_per_nät,'Leveranser per nät'!AA$1,FALSE)/VLOOKUP($B358,Korrigeringsfaktor_EI,'Korrigeringsfaktor EI'!AA$1,FALSE),
"")</f>
        <v/>
      </c>
      <c r="AB358" s="18">
        <f>IFERROR(
                  Andel_oberoende_av_klimat*VLOOKUP($A358,Leveranser_per_nät,'Leveranser per nät'!AB$1,FALSE)
               +Andel_beroende_av_klimat*VLOOKUP($A358,Leveranser_per_nät,'Leveranser per nät'!AB$1,FALSE)/VLOOKUP($B358,Korrigeringsfaktor_EI,'Korrigeringsfaktor EI'!AB$1,FALSE),
"")</f>
        <v>0</v>
      </c>
      <c r="AC358" s="18">
        <f>IFERROR(
                  Andel_oberoende_av_klimat*VLOOKUP($A358,Leveranser_per_nät,'Leveranser per nät'!AC$1,FALSE)
               +Andel_beroende_av_klimat*VLOOKUP($A358,Leveranser_per_nät,'Leveranser per nät'!AC$1,FALSE)/VLOOKUP($B358,Korrigeringsfaktor_EI,'Korrigeringsfaktor EI'!AC$1,FALSE),
"")</f>
        <v>0</v>
      </c>
      <c r="AD358" t="e">
        <v>#N/A</v>
      </c>
    </row>
    <row r="359" spans="1:30" x14ac:dyDescent="0.25">
      <c r="A359" t="s">
        <v>309</v>
      </c>
      <c r="B359" t="s">
        <v>88</v>
      </c>
      <c r="C359" s="18">
        <f>IFERROR(
                  Andel_oberoende_av_klimat*VLOOKUP($A359,Leveranser_per_nät,'Leveranser per nät'!C$1,FALSE)
               +Andel_beroende_av_klimat*VLOOKUP($A359,Leveranser_per_nät,'Leveranser per nät'!C$1,FALSE)/VLOOKUP($B359,Korrigeringsfaktor_EI,'Korrigeringsfaktor EI'!C$1,FALSE),
"")</f>
        <v>0</v>
      </c>
      <c r="D359" s="18">
        <f>IFERROR(
                  Andel_oberoende_av_klimat*VLOOKUP($A359,Leveranser_per_nät,'Leveranser per nät'!D$1,FALSE)
               +Andel_beroende_av_klimat*VLOOKUP($A359,Leveranser_per_nät,'Leveranser per nät'!D$1,FALSE)/VLOOKUP($B359,Korrigeringsfaktor_EI,'Korrigeringsfaktor EI'!D$1,FALSE),
"")</f>
        <v>0</v>
      </c>
      <c r="E359" s="18">
        <f>IFERROR(
                  Andel_oberoende_av_klimat*VLOOKUP($A359,Leveranser_per_nät,'Leveranser per nät'!E$1,FALSE)
               +Andel_beroende_av_klimat*VLOOKUP($A359,Leveranser_per_nät,'Leveranser per nät'!E$1,FALSE)/VLOOKUP($B359,Korrigeringsfaktor_EI,'Korrigeringsfaktor EI'!E$1,FALSE),
"")</f>
        <v>0</v>
      </c>
      <c r="F359" s="18">
        <f>IFERROR(
                  Andel_oberoende_av_klimat*VLOOKUP($A359,Leveranser_per_nät,'Leveranser per nät'!F$1,FALSE)
               +Andel_beroende_av_klimat*VLOOKUP($A359,Leveranser_per_nät,'Leveranser per nät'!F$1,FALSE)/VLOOKUP($B359,Korrigeringsfaktor_EI,'Korrigeringsfaktor EI'!F$1,FALSE),
"")</f>
        <v>0</v>
      </c>
      <c r="G359" s="18">
        <f>IFERROR(
                  Andel_oberoende_av_klimat*VLOOKUP($A359,Leveranser_per_nät,'Leveranser per nät'!G$1,FALSE)
               +Andel_beroende_av_klimat*VLOOKUP($A359,Leveranser_per_nät,'Leveranser per nät'!G$1,FALSE)/VLOOKUP($B359,Korrigeringsfaktor_EI,'Korrigeringsfaktor EI'!G$1,FALSE),
"")</f>
        <v>0</v>
      </c>
      <c r="H359" s="18">
        <f>IFERROR(
                  Andel_oberoende_av_klimat*VLOOKUP($A359,Leveranser_per_nät,'Leveranser per nät'!H$1,FALSE)
               +Andel_beroende_av_klimat*VLOOKUP($A359,Leveranser_per_nät,'Leveranser per nät'!H$1,FALSE)/VLOOKUP($B359,Korrigeringsfaktor_EI,'Korrigeringsfaktor EI'!H$1,FALSE),
"")</f>
        <v>0</v>
      </c>
      <c r="I359" s="18">
        <f>IFERROR(
                  Andel_oberoende_av_klimat*VLOOKUP($A359,Leveranser_per_nät,'Leveranser per nät'!I$1,FALSE)
               +Andel_beroende_av_klimat*VLOOKUP($A359,Leveranser_per_nät,'Leveranser per nät'!I$1,FALSE)/VLOOKUP($B359,Korrigeringsfaktor_EI,'Korrigeringsfaktor EI'!I$1,FALSE),
"")</f>
        <v>0</v>
      </c>
      <c r="J359" s="18">
        <f>IFERROR(
                  Andel_oberoende_av_klimat*VLOOKUP($A359,Leveranser_per_nät,'Leveranser per nät'!J$1,FALSE)
               +Andel_beroende_av_klimat*VLOOKUP($A359,Leveranser_per_nät,'Leveranser per nät'!J$1,FALSE)/VLOOKUP($B359,Korrigeringsfaktor_EI,'Korrigeringsfaktor EI'!J$1,FALSE),
"")</f>
        <v>0</v>
      </c>
      <c r="K359" s="18">
        <f>IFERROR(
                  Andel_oberoende_av_klimat*VLOOKUP($A359,Leveranser_per_nät,'Leveranser per nät'!K$1,FALSE)
               +Andel_beroende_av_klimat*VLOOKUP($A359,Leveranser_per_nät,'Leveranser per nät'!K$1,FALSE)/VLOOKUP($B359,Korrigeringsfaktor_EI,'Korrigeringsfaktor EI'!K$1,FALSE),
"")</f>
        <v>1.5958164948453608</v>
      </c>
      <c r="L359" s="18">
        <f>IFERROR(
                  Andel_oberoende_av_klimat*VLOOKUP($A359,Leveranser_per_nät,'Leveranser per nät'!L$1,FALSE)
               +Andel_beroende_av_klimat*VLOOKUP($A359,Leveranser_per_nät,'Leveranser per nät'!L$1,FALSE)/VLOOKUP($B359,Korrigeringsfaktor_EI,'Korrigeringsfaktor EI'!L$1,FALSE),
"")</f>
        <v>5.6412765957446807</v>
      </c>
      <c r="M359" s="18">
        <f>IFERROR(
                  Andel_oberoende_av_klimat*VLOOKUP($A359,Leveranser_per_nät,'Leveranser per nät'!M$1,FALSE)
               +Andel_beroende_av_klimat*VLOOKUP($A359,Leveranser_per_nät,'Leveranser per nät'!M$1,FALSE)/VLOOKUP($B359,Korrigeringsfaktor_EI,'Korrigeringsfaktor EI'!M$1,FALSE),
"")</f>
        <v>9.3356521739130436</v>
      </c>
      <c r="N359" s="18">
        <f>IFERROR(
                  Andel_oberoende_av_klimat*VLOOKUP($A359,Leveranser_per_nät,'Leveranser per nät'!N$1,FALSE)
               +Andel_beroende_av_klimat*VLOOKUP($A359,Leveranser_per_nät,'Leveranser per nät'!N$1,FALSE)/VLOOKUP($B359,Korrigeringsfaktor_EI,'Korrigeringsfaktor EI'!N$1,FALSE),
"")</f>
        <v>14.393984615384614</v>
      </c>
      <c r="O359" s="18">
        <f>IFERROR(
                  Andel_oberoende_av_klimat*VLOOKUP($A359,Leveranser_per_nät,'Leveranser per nät'!O$1,FALSE)
               +Andel_beroende_av_klimat*VLOOKUP($A359,Leveranser_per_nät,'Leveranser per nät'!O$1,FALSE)/VLOOKUP($B359,Korrigeringsfaktor_EI,'Korrigeringsfaktor EI'!O$1,FALSE),
"")</f>
        <v>14.937999999999999</v>
      </c>
      <c r="P359" s="18">
        <f>IFERROR(
                  Andel_oberoende_av_klimat*VLOOKUP($A359,Leveranser_per_nät,'Leveranser per nät'!P$1,FALSE)
               +Andel_beroende_av_klimat*VLOOKUP($A359,Leveranser_per_nät,'Leveranser per nät'!P$1,FALSE)/VLOOKUP($B359,Korrigeringsfaktor_EI,'Korrigeringsfaktor EI'!P$1,FALSE),
"")</f>
        <v>15.334583333333335</v>
      </c>
      <c r="Q359" s="18">
        <f>IFERROR(
                  Andel_oberoende_av_klimat*VLOOKUP($A359,Leveranser_per_nät,'Leveranser per nät'!Q$1,FALSE)
               +Andel_beroende_av_klimat*VLOOKUP($A359,Leveranser_per_nät,'Leveranser per nät'!Q$1,FALSE)/VLOOKUP($B359,Korrigeringsfaktor_EI,'Korrigeringsfaktor EI'!Q$1,FALSE),
"")</f>
        <v>16.458495575221239</v>
      </c>
      <c r="R359" s="18">
        <f>IFERROR(
                  Andel_oberoende_av_klimat*VLOOKUP($A359,Leveranser_per_nät,'Leveranser per nät'!R$1,FALSE)
               +Andel_beroende_av_klimat*VLOOKUP($A359,Leveranser_per_nät,'Leveranser per nät'!R$1,FALSE)/VLOOKUP($B359,Korrigeringsfaktor_EI,'Korrigeringsfaktor EI'!R$1,FALSE),
"")</f>
        <v>17.244444444444444</v>
      </c>
      <c r="S359" s="18">
        <f>IFERROR(
                  Andel_oberoende_av_klimat*VLOOKUP($A359,Leveranser_per_nät,'Leveranser per nät'!S$1,FALSE)
               +Andel_beroende_av_klimat*VLOOKUP($A359,Leveranser_per_nät,'Leveranser per nät'!S$1,FALSE)/VLOOKUP($B359,Korrigeringsfaktor_EI,'Korrigeringsfaktor EI'!S$1,FALSE),
"")</f>
        <v>18.227979797979799</v>
      </c>
      <c r="T359" s="18">
        <f>IFERROR(
                  Andel_oberoende_av_klimat*VLOOKUP($A359,Leveranser_per_nät,'Leveranser per nät'!T$1,FALSE)
               +Andel_beroende_av_klimat*VLOOKUP($A359,Leveranser_per_nät,'Leveranser per nät'!T$1,FALSE)/VLOOKUP($B359,Korrigeringsfaktor_EI,'Korrigeringsfaktor EI'!T$1,FALSE),
"")</f>
        <v>18.113333333333337</v>
      </c>
      <c r="U359" s="18">
        <f>IFERROR(
                  Andel_oberoende_av_klimat*VLOOKUP($A359,Leveranser_per_nät,'Leveranser per nät'!U$1,FALSE)
               +Andel_beroende_av_klimat*VLOOKUP($A359,Leveranser_per_nät,'Leveranser per nät'!U$1,FALSE)/VLOOKUP($B359,Korrigeringsfaktor_EI,'Korrigeringsfaktor EI'!U$1,FALSE),
"")</f>
        <v>17.384269662921348</v>
      </c>
      <c r="V359" s="18">
        <f>IFERROR(
                  Andel_oberoende_av_klimat*VLOOKUP($A359,Leveranser_per_nät,'Leveranser per nät'!V$1,FALSE)
               +Andel_beroende_av_klimat*VLOOKUP($A359,Leveranser_per_nät,'Leveranser per nät'!V$1,FALSE)/VLOOKUP($B359,Korrigeringsfaktor_EI,'Korrigeringsfaktor EI'!V$1,FALSE),
"")</f>
        <v>17.855909090909094</v>
      </c>
      <c r="W359" s="18">
        <f>IFERROR(
                  Andel_oberoende_av_klimat*VLOOKUP($A359,Leveranser_per_nät,'Leveranser per nät'!W$1,FALSE)
               +Andel_beroende_av_klimat*VLOOKUP($A359,Leveranser_per_nät,'Leveranser per nät'!W$1,FALSE)/VLOOKUP($B359,Korrigeringsfaktor_EI,'Korrigeringsfaktor EI'!W$1,FALSE),
"")</f>
        <v>17.759574468085106</v>
      </c>
      <c r="X359" s="18">
        <f>IFERROR(
                  Andel_oberoende_av_klimat*VLOOKUP($A359,Leveranser_per_nät,'Leveranser per nät'!X$1,FALSE)
               +Andel_beroende_av_klimat*VLOOKUP($A359,Leveranser_per_nät,'Leveranser per nät'!X$1,FALSE)/VLOOKUP($B359,Korrigeringsfaktor_EI,'Korrigeringsfaktor EI'!X$1,FALSE),
"")</f>
        <v>17.79043010752688</v>
      </c>
      <c r="Y359" s="18">
        <f>IFERROR(
                  Andel_oberoende_av_klimat*VLOOKUP($A359,Leveranser_per_nät,'Leveranser per nät'!Y$1,FALSE)
               +Andel_beroende_av_klimat*VLOOKUP($A359,Leveranser_per_nät,'Leveranser per nät'!Y$1,FALSE)/VLOOKUP($B359,Korrigeringsfaktor_EI,'Korrigeringsfaktor EI'!Y$1,FALSE),
"")</f>
        <v>18.39076923076923</v>
      </c>
      <c r="Z359" s="18">
        <f>IFERROR(
                  Andel_oberoende_av_klimat*VLOOKUP($A359,Leveranser_per_nät,'Leveranser per nät'!Z$1,FALSE)
               +Andel_beroende_av_klimat*VLOOKUP($A359,Leveranser_per_nät,'Leveranser per nät'!Z$1,FALSE)/VLOOKUP($B359,Korrigeringsfaktor_EI,'Korrigeringsfaktor EI'!Z$1,FALSE),
"")</f>
        <v>18.881254545454546</v>
      </c>
      <c r="AA359" s="18">
        <f>IFERROR(
                  Andel_oberoende_av_klimat*VLOOKUP($A359,Leveranser_per_nät,'Leveranser per nät'!AA$1,FALSE)
               +Andel_beroende_av_klimat*VLOOKUP($A359,Leveranser_per_nät,'Leveranser per nät'!AA$1,FALSE)/VLOOKUP($B359,Korrigeringsfaktor_EI,'Korrigeringsfaktor EI'!AA$1,FALSE),
"")</f>
        <v>18.666653118040088</v>
      </c>
      <c r="AB359" s="18">
        <f>IFERROR(
                  Andel_oberoende_av_klimat*VLOOKUP($A359,Leveranser_per_nät,'Leveranser per nät'!AB$1,FALSE)
               +Andel_beroende_av_klimat*VLOOKUP($A359,Leveranser_per_nät,'Leveranser per nät'!AB$1,FALSE)/VLOOKUP($B359,Korrigeringsfaktor_EI,'Korrigeringsfaktor EI'!AB$1,FALSE),
"")</f>
        <v>18.420820158102767</v>
      </c>
      <c r="AC359" s="18">
        <f>IFERROR(
                  Andel_oberoende_av_klimat*VLOOKUP($A359,Leveranser_per_nät,'Leveranser per nät'!AC$1,FALSE)
               +Andel_beroende_av_klimat*VLOOKUP($A359,Leveranser_per_nät,'Leveranser per nät'!AC$1,FALSE)/VLOOKUP($B359,Korrigeringsfaktor_EI,'Korrigeringsfaktor EI'!AC$1,FALSE),
"")</f>
        <v>18.428770940170939</v>
      </c>
      <c r="AD359" t="e">
        <v>#N/A</v>
      </c>
    </row>
    <row r="360" spans="1:30" x14ac:dyDescent="0.25">
      <c r="A360" t="s">
        <v>275</v>
      </c>
      <c r="B360" t="s">
        <v>275</v>
      </c>
      <c r="C360" s="18">
        <f>IFERROR(
                  Andel_oberoende_av_klimat*VLOOKUP($A360,Leveranser_per_nät,'Leveranser per nät'!C$1,FALSE)
               +Andel_beroende_av_klimat*VLOOKUP($A360,Leveranser_per_nät,'Leveranser per nät'!C$1,FALSE)/VLOOKUP($B360,Korrigeringsfaktor_EI,'Korrigeringsfaktor EI'!C$1,FALSE),
"")</f>
        <v>178.84545454545452</v>
      </c>
      <c r="D360" s="18">
        <f>IFERROR(
                  Andel_oberoende_av_klimat*VLOOKUP($A360,Leveranser_per_nät,'Leveranser per nät'!D$1,FALSE)
               +Andel_beroende_av_klimat*VLOOKUP($A360,Leveranser_per_nät,'Leveranser per nät'!D$1,FALSE)/VLOOKUP($B360,Korrigeringsfaktor_EI,'Korrigeringsfaktor EI'!D$1,FALSE),
"")</f>
        <v>180.23544444444445</v>
      </c>
      <c r="E360" s="18">
        <f>IFERROR(
                  Andel_oberoende_av_klimat*VLOOKUP($A360,Leveranser_per_nät,'Leveranser per nät'!E$1,FALSE)
               +Andel_beroende_av_klimat*VLOOKUP($A360,Leveranser_per_nät,'Leveranser per nät'!E$1,FALSE)/VLOOKUP($B360,Korrigeringsfaktor_EI,'Korrigeringsfaktor EI'!E$1,FALSE),
"")</f>
        <v>198.86116504854368</v>
      </c>
      <c r="F360" s="18">
        <f>IFERROR(
                  Andel_oberoende_av_klimat*VLOOKUP($A360,Leveranser_per_nät,'Leveranser per nät'!F$1,FALSE)
               +Andel_beroende_av_klimat*VLOOKUP($A360,Leveranser_per_nät,'Leveranser per nät'!F$1,FALSE)/VLOOKUP($B360,Korrigeringsfaktor_EI,'Korrigeringsfaktor EI'!F$1,FALSE),
"")</f>
        <v>202.28659793814433</v>
      </c>
      <c r="G360" s="18">
        <f>IFERROR(
                  Andel_oberoende_av_klimat*VLOOKUP($A360,Leveranser_per_nät,'Leveranser per nät'!G$1,FALSE)
               +Andel_beroende_av_klimat*VLOOKUP($A360,Leveranser_per_nät,'Leveranser per nät'!G$1,FALSE)/VLOOKUP($B360,Korrigeringsfaktor_EI,'Korrigeringsfaktor EI'!G$1,FALSE),
"")</f>
        <v>203.15384615384616</v>
      </c>
      <c r="H360" s="18">
        <f>IFERROR(
                  Andel_oberoende_av_klimat*VLOOKUP($A360,Leveranser_per_nät,'Leveranser per nät'!H$1,FALSE)
               +Andel_beroende_av_klimat*VLOOKUP($A360,Leveranser_per_nät,'Leveranser per nät'!H$1,FALSE)/VLOOKUP($B360,Korrigeringsfaktor_EI,'Korrigeringsfaktor EI'!H$1,FALSE),
"")</f>
        <v>216.4158058252427</v>
      </c>
      <c r="I360" s="18">
        <f>IFERROR(
                  Andel_oberoende_av_klimat*VLOOKUP($A360,Leveranser_per_nät,'Leveranser per nät'!I$1,FALSE)
               +Andel_beroende_av_klimat*VLOOKUP($A360,Leveranser_per_nät,'Leveranser per nät'!I$1,FALSE)/VLOOKUP($B360,Korrigeringsfaktor_EI,'Korrigeringsfaktor EI'!I$1,FALSE),
"")</f>
        <v>229.59528865979379</v>
      </c>
      <c r="J360" s="18">
        <f>IFERROR(
                  Andel_oberoende_av_klimat*VLOOKUP($A360,Leveranser_per_nät,'Leveranser per nät'!J$1,FALSE)
               +Andel_beroende_av_klimat*VLOOKUP($A360,Leveranser_per_nät,'Leveranser per nät'!J$1,FALSE)/VLOOKUP($B360,Korrigeringsfaktor_EI,'Korrigeringsfaktor EI'!J$1,FALSE),
"")</f>
        <v>241.97492121212122</v>
      </c>
      <c r="K360" s="18">
        <f>IFERROR(
                  Andel_oberoende_av_klimat*VLOOKUP($A360,Leveranser_per_nät,'Leveranser per nät'!K$1,FALSE)
               +Andel_beroende_av_klimat*VLOOKUP($A360,Leveranser_per_nät,'Leveranser per nät'!K$1,FALSE)/VLOOKUP($B360,Korrigeringsfaktor_EI,'Korrigeringsfaktor EI'!K$1,FALSE),
"")</f>
        <v>247.60444646464649</v>
      </c>
      <c r="L360" s="18">
        <f>IFERROR(
                  Andel_oberoende_av_klimat*VLOOKUP($A360,Leveranser_per_nät,'Leveranser per nät'!L$1,FALSE)
               +Andel_beroende_av_klimat*VLOOKUP($A360,Leveranser_per_nät,'Leveranser per nät'!L$1,FALSE)/VLOOKUP($B360,Korrigeringsfaktor_EI,'Korrigeringsfaktor EI'!L$1,FALSE),
"")</f>
        <v>261.79329999999999</v>
      </c>
      <c r="M360" s="18">
        <f>IFERROR(
                  Andel_oberoende_av_klimat*VLOOKUP($A360,Leveranser_per_nät,'Leveranser per nät'!M$1,FALSE)
               +Andel_beroende_av_klimat*VLOOKUP($A360,Leveranser_per_nät,'Leveranser per nät'!M$1,FALSE)/VLOOKUP($B360,Korrigeringsfaktor_EI,'Korrigeringsfaktor EI'!M$1,FALSE),
"")</f>
        <v>252.5398924731183</v>
      </c>
      <c r="N360" s="18">
        <f>IFERROR(
                  Andel_oberoende_av_klimat*VLOOKUP($A360,Leveranser_per_nät,'Leveranser per nät'!N$1,FALSE)
               +Andel_beroende_av_klimat*VLOOKUP($A360,Leveranser_per_nät,'Leveranser per nät'!N$1,FALSE)/VLOOKUP($B360,Korrigeringsfaktor_EI,'Korrigeringsfaktor EI'!N$1,FALSE),
"")</f>
        <v>246.86434782608694</v>
      </c>
      <c r="O360" s="18">
        <f>IFERROR(
                  Andel_oberoende_av_klimat*VLOOKUP($A360,Leveranser_per_nät,'Leveranser per nät'!O$1,FALSE)
               +Andel_beroende_av_klimat*VLOOKUP($A360,Leveranser_per_nät,'Leveranser per nät'!O$1,FALSE)/VLOOKUP($B360,Korrigeringsfaktor_EI,'Korrigeringsfaktor EI'!O$1,FALSE),
"")</f>
        <v>312.85043478260866</v>
      </c>
      <c r="P360" s="18">
        <f>IFERROR(
                  Andel_oberoende_av_klimat*VLOOKUP($A360,Leveranser_per_nät,'Leveranser per nät'!P$1,FALSE)
               +Andel_beroende_av_klimat*VLOOKUP($A360,Leveranser_per_nät,'Leveranser per nät'!P$1,FALSE)/VLOOKUP($B360,Korrigeringsfaktor_EI,'Korrigeringsfaktor EI'!P$1,FALSE),
"")</f>
        <v>277.40714285714284</v>
      </c>
      <c r="Q360" s="18">
        <f>IFERROR(
                  Andel_oberoende_av_klimat*VLOOKUP($A360,Leveranser_per_nät,'Leveranser per nät'!Q$1,FALSE)
               +Andel_beroende_av_klimat*VLOOKUP($A360,Leveranser_per_nät,'Leveranser per nät'!Q$1,FALSE)/VLOOKUP($B360,Korrigeringsfaktor_EI,'Korrigeringsfaktor EI'!Q$1,FALSE),
"")</f>
        <v>373.38333333333333</v>
      </c>
      <c r="R360" s="18">
        <f>IFERROR(
                  Andel_oberoende_av_klimat*VLOOKUP($A360,Leveranser_per_nät,'Leveranser per nät'!R$1,FALSE)
               +Andel_beroende_av_klimat*VLOOKUP($A360,Leveranser_per_nät,'Leveranser per nät'!R$1,FALSE)/VLOOKUP($B360,Korrigeringsfaktor_EI,'Korrigeringsfaktor EI'!R$1,FALSE),
"")</f>
        <v>331.62782608695653</v>
      </c>
      <c r="S360" s="18">
        <f>IFERROR(
                  Andel_oberoende_av_klimat*VLOOKUP($A360,Leveranser_per_nät,'Leveranser per nät'!S$1,FALSE)
               +Andel_beroende_av_klimat*VLOOKUP($A360,Leveranser_per_nät,'Leveranser per nät'!S$1,FALSE)/VLOOKUP($B360,Korrigeringsfaktor_EI,'Korrigeringsfaktor EI'!S$1,FALSE),
"")</f>
        <v>363.46336633663367</v>
      </c>
      <c r="T360" s="18">
        <f>IFERROR(
                  Andel_oberoende_av_klimat*VLOOKUP($A360,Leveranser_per_nät,'Leveranser per nät'!T$1,FALSE)
               +Andel_beroende_av_klimat*VLOOKUP($A360,Leveranser_per_nät,'Leveranser per nät'!T$1,FALSE)/VLOOKUP($B360,Korrigeringsfaktor_EI,'Korrigeringsfaktor EI'!T$1,FALSE),
"")</f>
        <v>364.67540909090906</v>
      </c>
      <c r="U360" s="18">
        <f>IFERROR(
                  Andel_oberoende_av_klimat*VLOOKUP($A360,Leveranser_per_nät,'Leveranser per nät'!U$1,FALSE)
               +Andel_beroende_av_klimat*VLOOKUP($A360,Leveranser_per_nät,'Leveranser per nät'!U$1,FALSE)/VLOOKUP($B360,Korrigeringsfaktor_EI,'Korrigeringsfaktor EI'!U$1,FALSE),
"")</f>
        <v>342.89711348314609</v>
      </c>
      <c r="V360" s="18">
        <f>IFERROR(
                  Andel_oberoende_av_klimat*VLOOKUP($A360,Leveranser_per_nät,'Leveranser per nät'!V$1,FALSE)
               +Andel_beroende_av_klimat*VLOOKUP($A360,Leveranser_per_nät,'Leveranser per nät'!V$1,FALSE)/VLOOKUP($B360,Korrigeringsfaktor_EI,'Korrigeringsfaktor EI'!V$1,FALSE),
"")</f>
        <v>356.46547956989252</v>
      </c>
      <c r="W360" s="18">
        <f>IFERROR(
                  Andel_oberoende_av_klimat*VLOOKUP($A360,Leveranser_per_nät,'Leveranser per nät'!W$1,FALSE)
               +Andel_beroende_av_klimat*VLOOKUP($A360,Leveranser_per_nät,'Leveranser per nät'!W$1,FALSE)/VLOOKUP($B360,Korrigeringsfaktor_EI,'Korrigeringsfaktor EI'!W$1,FALSE),
"")</f>
        <v>388.18953684210527</v>
      </c>
      <c r="X360" s="18">
        <f>IFERROR(
                  Andel_oberoende_av_klimat*VLOOKUP($A360,Leveranser_per_nät,'Leveranser per nät'!X$1,FALSE)
               +Andel_beroende_av_klimat*VLOOKUP($A360,Leveranser_per_nät,'Leveranser per nät'!X$1,FALSE)/VLOOKUP($B360,Korrigeringsfaktor_EI,'Korrigeringsfaktor EI'!X$1,FALSE),
"")</f>
        <v>357.94004468085109</v>
      </c>
      <c r="Y360" s="18">
        <f>IFERROR(
                  Andel_oberoende_av_klimat*VLOOKUP($A360,Leveranser_per_nät,'Leveranser per nät'!Y$1,FALSE)
               +Andel_beroende_av_klimat*VLOOKUP($A360,Leveranser_per_nät,'Leveranser per nät'!Y$1,FALSE)/VLOOKUP($B360,Korrigeringsfaktor_EI,'Korrigeringsfaktor EI'!Y$1,FALSE),
"")</f>
        <v>384.16392307692308</v>
      </c>
      <c r="Z360" s="18">
        <f>IFERROR(
                  Andel_oberoende_av_klimat*VLOOKUP($A360,Leveranser_per_nät,'Leveranser per nät'!Z$1,FALSE)
               +Andel_beroende_av_klimat*VLOOKUP($A360,Leveranser_per_nät,'Leveranser per nät'!Z$1,FALSE)/VLOOKUP($B360,Korrigeringsfaktor_EI,'Korrigeringsfaktor EI'!Z$1,FALSE),
"")</f>
        <v>362.85221111111105</v>
      </c>
      <c r="AA360" s="18">
        <f>IFERROR(
                  Andel_oberoende_av_klimat*VLOOKUP($A360,Leveranser_per_nät,'Leveranser per nät'!AA$1,FALSE)
               +Andel_beroende_av_klimat*VLOOKUP($A360,Leveranser_per_nät,'Leveranser per nät'!AA$1,FALSE)/VLOOKUP($B360,Korrigeringsfaktor_EI,'Korrigeringsfaktor EI'!AA$1,FALSE),
"")</f>
        <v>355.13634060795016</v>
      </c>
      <c r="AB360" s="18">
        <f>IFERROR(
                  Andel_oberoende_av_klimat*VLOOKUP($A360,Leveranser_per_nät,'Leveranser per nät'!AB$1,FALSE)
               +Andel_beroende_av_klimat*VLOOKUP($A360,Leveranser_per_nät,'Leveranser per nät'!AB$1,FALSE)/VLOOKUP($B360,Korrigeringsfaktor_EI,'Korrigeringsfaktor EI'!AB$1,FALSE),
"")</f>
        <v>381.81434830398018</v>
      </c>
      <c r="AC360" s="18">
        <f>IFERROR(
                  Andel_oberoende_av_klimat*VLOOKUP($A360,Leveranser_per_nät,'Leveranser per nät'!AC$1,FALSE)
               +Andel_beroende_av_klimat*VLOOKUP($A360,Leveranser_per_nät,'Leveranser per nät'!AC$1,FALSE)/VLOOKUP($B360,Korrigeringsfaktor_EI,'Korrigeringsfaktor EI'!AC$1,FALSE),
"")</f>
        <v>383.05488314472848</v>
      </c>
      <c r="AD360">
        <v>366.39353699999998</v>
      </c>
    </row>
    <row r="361" spans="1:30" x14ac:dyDescent="0.25">
      <c r="A361" t="s">
        <v>136</v>
      </c>
      <c r="B361" t="s">
        <v>133</v>
      </c>
      <c r="C361" s="18">
        <f>IFERROR(
                  Andel_oberoende_av_klimat*VLOOKUP($A361,Leveranser_per_nät,'Leveranser per nät'!C$1,FALSE)
               +Andel_beroende_av_klimat*VLOOKUP($A361,Leveranser_per_nät,'Leveranser per nät'!C$1,FALSE)/VLOOKUP($B361,Korrigeringsfaktor_EI,'Korrigeringsfaktor EI'!C$1,FALSE),
"")</f>
        <v>25.127027027027026</v>
      </c>
      <c r="D361" s="18">
        <f>IFERROR(
                  Andel_oberoende_av_klimat*VLOOKUP($A361,Leveranser_per_nät,'Leveranser per nät'!D$1,FALSE)
               +Andel_beroende_av_klimat*VLOOKUP($A361,Leveranser_per_nät,'Leveranser per nät'!D$1,FALSE)/VLOOKUP($B361,Korrigeringsfaktor_EI,'Korrigeringsfaktor EI'!D$1,FALSE),
"")</f>
        <v>25.07</v>
      </c>
      <c r="E361" s="18">
        <f>IFERROR(
                  Andel_oberoende_av_klimat*VLOOKUP($A361,Leveranser_per_nät,'Leveranser per nät'!E$1,FALSE)
               +Andel_beroende_av_klimat*VLOOKUP($A361,Leveranser_per_nät,'Leveranser per nät'!E$1,FALSE)/VLOOKUP($B361,Korrigeringsfaktor_EI,'Korrigeringsfaktor EI'!E$1,FALSE),
"")</f>
        <v>25.3</v>
      </c>
      <c r="F361" s="18">
        <f>IFERROR(
                  Andel_oberoende_av_klimat*VLOOKUP($A361,Leveranser_per_nät,'Leveranser per nät'!F$1,FALSE)
               +Andel_beroende_av_klimat*VLOOKUP($A361,Leveranser_per_nät,'Leveranser per nät'!F$1,FALSE)/VLOOKUP($B361,Korrigeringsfaktor_EI,'Korrigeringsfaktor EI'!F$1,FALSE),
"")</f>
        <v>23.847368421052632</v>
      </c>
      <c r="G361" s="18">
        <f>IFERROR(
                  Andel_oberoende_av_klimat*VLOOKUP($A361,Leveranser_per_nät,'Leveranser per nät'!G$1,FALSE)
               +Andel_beroende_av_klimat*VLOOKUP($A361,Leveranser_per_nät,'Leveranser per nät'!G$1,FALSE)/VLOOKUP($B361,Korrigeringsfaktor_EI,'Korrigeringsfaktor EI'!G$1,FALSE),
"")</f>
        <v>24.788888888888888</v>
      </c>
      <c r="H361" s="18">
        <f>IFERROR(
                  Andel_oberoende_av_klimat*VLOOKUP($A361,Leveranser_per_nät,'Leveranser per nät'!H$1,FALSE)
               +Andel_beroende_av_klimat*VLOOKUP($A361,Leveranser_per_nät,'Leveranser per nät'!H$1,FALSE)/VLOOKUP($B361,Korrigeringsfaktor_EI,'Korrigeringsfaktor EI'!H$1,FALSE),
"")</f>
        <v>23</v>
      </c>
      <c r="I361" s="18">
        <f>IFERROR(
                  Andel_oberoende_av_klimat*VLOOKUP($A361,Leveranser_per_nät,'Leveranser per nät'!I$1,FALSE)
               +Andel_beroende_av_klimat*VLOOKUP($A361,Leveranser_per_nät,'Leveranser per nät'!I$1,FALSE)/VLOOKUP($B361,Korrigeringsfaktor_EI,'Korrigeringsfaktor EI'!I$1,FALSE),
"")</f>
        <v>22.866233105086536</v>
      </c>
      <c r="J361" s="18">
        <f>IFERROR(
                  Andel_oberoende_av_klimat*VLOOKUP($A361,Leveranser_per_nät,'Leveranser per nät'!J$1,FALSE)
               +Andel_beroende_av_klimat*VLOOKUP($A361,Leveranser_per_nät,'Leveranser per nät'!J$1,FALSE)/VLOOKUP($B361,Korrigeringsfaktor_EI,'Korrigeringsfaktor EI'!J$1,FALSE),
"")</f>
        <v>21.763362486244073</v>
      </c>
      <c r="K361" s="18">
        <f>IFERROR(
                  Andel_oberoende_av_klimat*VLOOKUP($A361,Leveranser_per_nät,'Leveranser per nät'!K$1,FALSE)
               +Andel_beroende_av_klimat*VLOOKUP($A361,Leveranser_per_nät,'Leveranser per nät'!K$1,FALSE)/VLOOKUP($B361,Korrigeringsfaktor_EI,'Korrigeringsfaktor EI'!K$1,FALSE),
"")</f>
        <v>20.674999999999997</v>
      </c>
      <c r="L361" s="18">
        <f>IFERROR(
                  Andel_oberoende_av_klimat*VLOOKUP($A361,Leveranser_per_nät,'Leveranser per nät'!L$1,FALSE)
               +Andel_beroende_av_klimat*VLOOKUP($A361,Leveranser_per_nät,'Leveranser per nät'!L$1,FALSE)/VLOOKUP($B361,Korrigeringsfaktor_EI,'Korrigeringsfaktor EI'!L$1,FALSE),
"")</f>
        <v>20.526724972488147</v>
      </c>
      <c r="M361" s="18">
        <f>IFERROR(
                  Andel_oberoende_av_klimat*VLOOKUP($A361,Leveranser_per_nät,'Leveranser per nät'!M$1,FALSE)
               +Andel_beroende_av_klimat*VLOOKUP($A361,Leveranser_per_nät,'Leveranser per nät'!M$1,FALSE)/VLOOKUP($B361,Korrigeringsfaktor_EI,'Korrigeringsfaktor EI'!M$1,FALSE),
"")</f>
        <v>20.948494623655911</v>
      </c>
      <c r="N361" s="18">
        <f>IFERROR(
                  Andel_oberoende_av_klimat*VLOOKUP($A361,Leveranser_per_nät,'Leveranser per nät'!N$1,FALSE)
               +Andel_beroende_av_klimat*VLOOKUP($A361,Leveranser_per_nät,'Leveranser per nät'!N$1,FALSE)/VLOOKUP($B361,Korrigeringsfaktor_EI,'Korrigeringsfaktor EI'!N$1,FALSE),
"")</f>
        <v>20.001075268817203</v>
      </c>
      <c r="O361" s="18">
        <f>IFERROR(
                  Andel_oberoende_av_klimat*VLOOKUP($A361,Leveranser_per_nät,'Leveranser per nät'!O$1,FALSE)
               +Andel_beroende_av_klimat*VLOOKUP($A361,Leveranser_per_nät,'Leveranser per nät'!O$1,FALSE)/VLOOKUP($B361,Korrigeringsfaktor_EI,'Korrigeringsfaktor EI'!O$1,FALSE),
"")</f>
        <v>18.353043478260872</v>
      </c>
      <c r="P361" s="18">
        <f>IFERROR(
                  Andel_oberoende_av_klimat*VLOOKUP($A361,Leveranser_per_nät,'Leveranser per nät'!P$1,FALSE)
               +Andel_beroende_av_klimat*VLOOKUP($A361,Leveranser_per_nät,'Leveranser per nät'!P$1,FALSE)/VLOOKUP($B361,Korrigeringsfaktor_EI,'Korrigeringsfaktor EI'!P$1,FALSE),
"")</f>
        <v>19.575714285714287</v>
      </c>
      <c r="Q361" s="18">
        <f>IFERROR(
                  Andel_oberoende_av_klimat*VLOOKUP($A361,Leveranser_per_nät,'Leveranser per nät'!Q$1,FALSE)
               +Andel_beroende_av_klimat*VLOOKUP($A361,Leveranser_per_nät,'Leveranser per nät'!Q$1,FALSE)/VLOOKUP($B361,Korrigeringsfaktor_EI,'Korrigeringsfaktor EI'!Q$1,FALSE),
"")</f>
        <v>19.822432432432432</v>
      </c>
      <c r="R361" s="18">
        <f>IFERROR(
                  Andel_oberoende_av_klimat*VLOOKUP($A361,Leveranser_per_nät,'Leveranser per nät'!R$1,FALSE)
               +Andel_beroende_av_klimat*VLOOKUP($A361,Leveranser_per_nät,'Leveranser per nät'!R$1,FALSE)/VLOOKUP($B361,Korrigeringsfaktor_EI,'Korrigeringsfaktor EI'!R$1,FALSE),
"")</f>
        <v>22.127083333333331</v>
      </c>
      <c r="S361" s="18">
        <f>IFERROR(
                  Andel_oberoende_av_klimat*VLOOKUP($A361,Leveranser_per_nät,'Leveranser per nät'!S$1,FALSE)
               +Andel_beroende_av_klimat*VLOOKUP($A361,Leveranser_per_nät,'Leveranser per nät'!S$1,FALSE)/VLOOKUP($B361,Korrigeringsfaktor_EI,'Korrigeringsfaktor EI'!S$1,FALSE),
"")</f>
        <v>17.555686274509803</v>
      </c>
      <c r="T361" s="18">
        <f>IFERROR(
                  Andel_oberoende_av_klimat*VLOOKUP($A361,Leveranser_per_nät,'Leveranser per nät'!T$1,FALSE)
               +Andel_beroende_av_klimat*VLOOKUP($A361,Leveranser_per_nät,'Leveranser per nät'!T$1,FALSE)/VLOOKUP($B361,Korrigeringsfaktor_EI,'Korrigeringsfaktor EI'!T$1,FALSE),
"")</f>
        <v>17.75</v>
      </c>
      <c r="U361" s="18">
        <f>IFERROR(
                  Andel_oberoende_av_klimat*VLOOKUP($A361,Leveranser_per_nät,'Leveranser per nät'!U$1,FALSE)
               +Andel_beroende_av_klimat*VLOOKUP($A361,Leveranser_per_nät,'Leveranser per nät'!U$1,FALSE)/VLOOKUP($B361,Korrigeringsfaktor_EI,'Korrigeringsfaktor EI'!U$1,FALSE),
"")</f>
        <v>16.948279569892474</v>
      </c>
      <c r="V361" s="18">
        <f>IFERROR(
                  Andel_oberoende_av_klimat*VLOOKUP($A361,Leveranser_per_nät,'Leveranser per nät'!V$1,FALSE)
               +Andel_beroende_av_klimat*VLOOKUP($A361,Leveranser_per_nät,'Leveranser per nät'!V$1,FALSE)/VLOOKUP($B361,Korrigeringsfaktor_EI,'Korrigeringsfaktor EI'!V$1,FALSE),
"")</f>
        <v>16.705555555555556</v>
      </c>
      <c r="W361" s="18">
        <f>IFERROR(
                  Andel_oberoende_av_klimat*VLOOKUP($A361,Leveranser_per_nät,'Leveranser per nät'!W$1,FALSE)
               +Andel_beroende_av_klimat*VLOOKUP($A361,Leveranser_per_nät,'Leveranser per nät'!W$1,FALSE)/VLOOKUP($B361,Korrigeringsfaktor_EI,'Korrigeringsfaktor EI'!W$1,FALSE),
"")</f>
        <v>16.571154639175258</v>
      </c>
      <c r="X361" s="18">
        <f>IFERROR(
                  Andel_oberoende_av_klimat*VLOOKUP($A361,Leveranser_per_nät,'Leveranser per nät'!X$1,FALSE)
               +Andel_beroende_av_klimat*VLOOKUP($A361,Leveranser_per_nät,'Leveranser per nät'!X$1,FALSE)/VLOOKUP($B361,Korrigeringsfaktor_EI,'Korrigeringsfaktor EI'!X$1,FALSE),
"")</f>
        <v>16.848299999999998</v>
      </c>
      <c r="Y361" s="18">
        <f>IFERROR(
                  Andel_oberoende_av_klimat*VLOOKUP($A361,Leveranser_per_nät,'Leveranser per nät'!Y$1,FALSE)
               +Andel_beroende_av_klimat*VLOOKUP($A361,Leveranser_per_nät,'Leveranser per nät'!Y$1,FALSE)/VLOOKUP($B361,Korrigeringsfaktor_EI,'Korrigeringsfaktor EI'!Y$1,FALSE),
"")</f>
        <v>16.684295652173912</v>
      </c>
      <c r="Z361" s="18">
        <f>IFERROR(
                  Andel_oberoende_av_klimat*VLOOKUP($A361,Leveranser_per_nät,'Leveranser per nät'!Z$1,FALSE)
               +Andel_beroende_av_klimat*VLOOKUP($A361,Leveranser_per_nät,'Leveranser per nät'!Z$1,FALSE)/VLOOKUP($B361,Korrigeringsfaktor_EI,'Korrigeringsfaktor EI'!Z$1,FALSE),
"")</f>
        <v>16.808417391304349</v>
      </c>
      <c r="AA361" s="18">
        <f>IFERROR(
                  Andel_oberoende_av_klimat*VLOOKUP($A361,Leveranser_per_nät,'Leveranser per nät'!AA$1,FALSE)
               +Andel_beroende_av_klimat*VLOOKUP($A361,Leveranser_per_nät,'Leveranser per nät'!AA$1,FALSE)/VLOOKUP($B361,Korrigeringsfaktor_EI,'Korrigeringsfaktor EI'!AA$1,FALSE),
"")</f>
        <v>15.658338622014824</v>
      </c>
      <c r="AB361" s="18">
        <f>IFERROR(
                  Andel_oberoende_av_klimat*VLOOKUP($A361,Leveranser_per_nät,'Leveranser per nät'!AB$1,FALSE)
               +Andel_beroende_av_klimat*VLOOKUP($A361,Leveranser_per_nät,'Leveranser per nät'!AB$1,FALSE)/VLOOKUP($B361,Korrigeringsfaktor_EI,'Korrigeringsfaktor EI'!AB$1,FALSE),
"")</f>
        <v>15.488167605633802</v>
      </c>
      <c r="AC361" s="18">
        <f>IFERROR(
                  Andel_oberoende_av_klimat*VLOOKUP($A361,Leveranser_per_nät,'Leveranser per nät'!AC$1,FALSE)
               +Andel_beroende_av_klimat*VLOOKUP($A361,Leveranser_per_nät,'Leveranser per nät'!AC$1,FALSE)/VLOOKUP($B361,Korrigeringsfaktor_EI,'Korrigeringsfaktor EI'!AC$1,FALSE),
"")</f>
        <v>15.287234035827186</v>
      </c>
      <c r="AD361">
        <v>174.447</v>
      </c>
    </row>
    <row r="362" spans="1:30" x14ac:dyDescent="0.25">
      <c r="A362" t="s">
        <v>278</v>
      </c>
      <c r="B362" t="s">
        <v>278</v>
      </c>
      <c r="C362" s="18">
        <f>IFERROR(
                  Andel_oberoende_av_klimat*VLOOKUP($A362,Leveranser_per_nät,'Leveranser per nät'!C$1,FALSE)
               +Andel_beroende_av_klimat*VLOOKUP($A362,Leveranser_per_nät,'Leveranser per nät'!C$1,FALSE)/VLOOKUP("Fagersta",Korrigeringsfaktor_EI,'Korrigeringsfaktor EI'!C$1,FALSE),
"")</f>
        <v>43.614814814814814</v>
      </c>
      <c r="D362" s="18">
        <f>IFERROR(
                  Andel_oberoende_av_klimat*VLOOKUP($A362,Leveranser_per_nät,'Leveranser per nät'!D$1,FALSE)
               +Andel_beroende_av_klimat*VLOOKUP($A362,Leveranser_per_nät,'Leveranser per nät'!D$1,FALSE)/VLOOKUP("Fagersta",Korrigeringsfaktor_EI,'Korrigeringsfaktor EI'!D$1,FALSE),
"")</f>
        <v>40.096333333333334</v>
      </c>
      <c r="E362" s="18">
        <f>IFERROR(
                  Andel_oberoende_av_klimat*VLOOKUP($A362,Leveranser_per_nät,'Leveranser per nät'!E$1,FALSE)
               +Andel_beroende_av_klimat*VLOOKUP($A362,Leveranser_per_nät,'Leveranser per nät'!E$1,FALSE)/VLOOKUP("Fagersta",Korrigeringsfaktor_EI,'Korrigeringsfaktor EI'!E$1,FALSE),
"")</f>
        <v>39.184466019417478</v>
      </c>
      <c r="F362" s="18">
        <f>IFERROR(
                  Andel_oberoende_av_klimat*VLOOKUP($A362,Leveranser_per_nät,'Leveranser per nät'!F$1,FALSE)
               +Andel_beroende_av_klimat*VLOOKUP($A362,Leveranser_per_nät,'Leveranser per nät'!F$1,FALSE)/VLOOKUP("Fagersta",Korrigeringsfaktor_EI,'Korrigeringsfaktor EI'!F$1,FALSE),
"")</f>
        <v>42.084807216494845</v>
      </c>
      <c r="G362" s="18">
        <f>IFERROR(
                  Andel_oberoende_av_klimat*VLOOKUP($A362,Leveranser_per_nät,'Leveranser per nät'!G$1,FALSE)
               +Andel_beroende_av_klimat*VLOOKUP($A362,Leveranser_per_nät,'Leveranser per nät'!G$1,FALSE)/VLOOKUP("Fagersta",Korrigeringsfaktor_EI,'Korrigeringsfaktor EI'!G$1,FALSE),
"")</f>
        <v>49.577777777777776</v>
      </c>
      <c r="H362" s="18">
        <f>IFERROR(
                  Andel_oberoende_av_klimat*VLOOKUP($A362,Leveranser_per_nät,'Leveranser per nät'!H$1,FALSE)
               +Andel_beroende_av_klimat*VLOOKUP($A362,Leveranser_per_nät,'Leveranser per nät'!H$1,FALSE)/VLOOKUP("Fagersta",Korrigeringsfaktor_EI,'Korrigeringsfaktor EI'!H$1,FALSE),
"")</f>
        <v>41.345287878787879</v>
      </c>
      <c r="I362" s="18">
        <f>IFERROR(
                  Andel_oberoende_av_klimat*VLOOKUP($A362,Leveranser_per_nät,'Leveranser per nät'!I$1,FALSE)
               +Andel_beroende_av_klimat*VLOOKUP($A362,Leveranser_per_nät,'Leveranser per nät'!I$1,FALSE)/VLOOKUP("Fagersta",Korrigeringsfaktor_EI,'Korrigeringsfaktor EI'!I$1,FALSE),
"")</f>
        <v>37.049999999999997</v>
      </c>
      <c r="J362" s="18">
        <f>IFERROR(
                  Andel_oberoende_av_klimat*VLOOKUP($A362,Leveranser_per_nät,'Leveranser per nät'!J$1,FALSE)
               +Andel_beroende_av_klimat*VLOOKUP($A362,Leveranser_per_nät,'Leveranser per nät'!J$1,FALSE)/VLOOKUP("Fagersta",Korrigeringsfaktor_EI,'Korrigeringsfaktor EI'!J$1,FALSE),
"")</f>
        <v>34.736082474226805</v>
      </c>
      <c r="K362" s="18">
        <f>IFERROR(
                  Andel_oberoende_av_klimat*VLOOKUP($A362,Leveranser_per_nät,'Leveranser per nät'!K$1,FALSE)
               +Andel_beroende_av_klimat*VLOOKUP($A362,Leveranser_per_nät,'Leveranser per nät'!K$1,FALSE)/VLOOKUP("Fagersta",Korrigeringsfaktor_EI,'Korrigeringsfaktor EI'!K$1,FALSE),
"")</f>
        <v>33.658242268041235</v>
      </c>
      <c r="L362" s="18">
        <f>IFERROR(
                  Andel_oberoende_av_klimat*VLOOKUP($A362,Leveranser_per_nät,'Leveranser per nät'!L$1,FALSE)
               +Andel_beroende_av_klimat*VLOOKUP($A362,Leveranser_per_nät,'Leveranser per nät'!L$1,FALSE)/VLOOKUP("Fagersta",Korrigeringsfaktor_EI,'Korrigeringsfaktor EI'!L$1,FALSE),
"")</f>
        <v>44.621977849462361</v>
      </c>
      <c r="M362" s="18">
        <f>IFERROR(
                  Andel_oberoende_av_klimat*VLOOKUP($A362,Leveranser_per_nät,'Leveranser per nät'!M$1,FALSE)
               +Andel_beroende_av_klimat*VLOOKUP($A362,Leveranser_per_nät,'Leveranser per nät'!M$1,FALSE)/VLOOKUP("Fagersta",Korrigeringsfaktor_EI,'Korrigeringsfaktor EI'!M$1,FALSE),
"")</f>
        <v>44.768695652173918</v>
      </c>
      <c r="N362" s="18">
        <f>IFERROR(
                  Andel_oberoende_av_klimat*VLOOKUP($A362,Leveranser_per_nät,'Leveranser per nät'!N$1,FALSE)
               +Andel_beroende_av_klimat*VLOOKUP($A362,Leveranser_per_nät,'Leveranser per nät'!N$1,FALSE)/VLOOKUP("Fagersta",Korrigeringsfaktor_EI,'Korrigeringsfaktor EI'!N$1,FALSE),
"")</f>
        <v>43.754736842105267</v>
      </c>
      <c r="O362" s="18">
        <f>IFERROR(
                  Andel_oberoende_av_klimat*VLOOKUP($A362,Leveranser_per_nät,'Leveranser per nät'!O$1,FALSE)
               +Andel_beroende_av_klimat*VLOOKUP($A362,Leveranser_per_nät,'Leveranser per nät'!O$1,FALSE)/VLOOKUP("Fagersta",Korrigeringsfaktor_EI,'Korrigeringsfaktor EI'!O$1,FALSE),
"")</f>
        <v>44.423440860215052</v>
      </c>
      <c r="P362" s="18">
        <f>IFERROR(
                  Andel_oberoende_av_klimat*VLOOKUP($A362,Leveranser_per_nät,'Leveranser per nät'!P$1,FALSE)
               +Andel_beroende_av_klimat*VLOOKUP($A362,Leveranser_per_nät,'Leveranser per nät'!P$1,FALSE)/VLOOKUP("Fagersta",Korrigeringsfaktor_EI,'Korrigeringsfaktor EI'!P$1,FALSE),
"")</f>
        <v>44.713939393939391</v>
      </c>
      <c r="Q362" s="18">
        <f>IFERROR(
                  Andel_oberoende_av_klimat*VLOOKUP($A362,Leveranser_per_nät,'Leveranser per nät'!Q$1,FALSE)
               +Andel_beroende_av_klimat*VLOOKUP($A362,Leveranser_per_nät,'Leveranser per nät'!Q$1,FALSE)/VLOOKUP("Fagersta",Korrigeringsfaktor_EI,'Korrigeringsfaktor EI'!Q$1,FALSE),
"")</f>
        <v>46.065398230088505</v>
      </c>
      <c r="R362" s="18">
        <f>IFERROR(
                  Andel_oberoende_av_klimat*VLOOKUP($A362,Leveranser_per_nät,'Leveranser per nät'!R$1,FALSE)
               +Andel_beroende_av_klimat*VLOOKUP($A362,Leveranser_per_nät,'Leveranser per nät'!R$1,FALSE)/VLOOKUP("Fagersta",Korrigeringsfaktor_EI,'Korrigeringsfaktor EI'!R$1,FALSE),
"")</f>
        <v>42.753043478260864</v>
      </c>
      <c r="S362" s="18">
        <f>IFERROR(
                  Andel_oberoende_av_klimat*VLOOKUP($A362,Leveranser_per_nät,'Leveranser per nät'!S$1,FALSE)
               +Andel_beroende_av_klimat*VLOOKUP($A362,Leveranser_per_nät,'Leveranser per nät'!S$1,FALSE)/VLOOKUP("Fagersta",Korrigeringsfaktor_EI,'Korrigeringsfaktor EI'!S$1,FALSE),
"")</f>
        <v>44.688118811881189</v>
      </c>
      <c r="T362" s="18">
        <f>IFERROR(
                  Andel_oberoende_av_klimat*VLOOKUP($A362,Leveranser_per_nät,'Leveranser per nät'!T$1,FALSE)
               +Andel_beroende_av_klimat*VLOOKUP($A362,Leveranser_per_nät,'Leveranser per nät'!T$1,FALSE)/VLOOKUP("Fagersta",Korrigeringsfaktor_EI,'Korrigeringsfaktor EI'!T$1,FALSE),
"")</f>
        <v>43.055885051546397</v>
      </c>
      <c r="U362" s="18">
        <f>IFERROR(
                  Andel_oberoende_av_klimat*VLOOKUP($A362,Leveranser_per_nät,'Leveranser per nät'!U$1,FALSE)
               +Andel_beroende_av_klimat*VLOOKUP($A362,Leveranser_per_nät,'Leveranser per nät'!U$1,FALSE)/VLOOKUP("Fagersta",Korrigeringsfaktor_EI,'Korrigeringsfaktor EI'!U$1,FALSE),
"")</f>
        <v>41.678382608695649</v>
      </c>
      <c r="V362" s="18">
        <f>IFERROR(
                  Andel_oberoende_av_klimat*VLOOKUP($A362,Leveranser_per_nät,'Leveranser per nät'!V$1,FALSE)
               +Andel_beroende_av_klimat*VLOOKUP($A362,Leveranser_per_nät,'Leveranser per nät'!V$1,FALSE)/VLOOKUP("Fagersta",Korrigeringsfaktor_EI,'Korrigeringsfaktor EI'!V$1,FALSE),
"")</f>
        <v>41.846000000000004</v>
      </c>
      <c r="W362" s="18">
        <f>IFERROR(
                  Andel_oberoende_av_klimat*VLOOKUP($A362,Leveranser_per_nät,'Leveranser per nät'!W$1,FALSE)
               +Andel_beroende_av_klimat*VLOOKUP($A362,Leveranser_per_nät,'Leveranser per nät'!W$1,FALSE)/VLOOKUP("Fagersta",Korrigeringsfaktor_EI,'Korrigeringsfaktor EI'!W$1,FALSE),
"")</f>
        <v>44.239758333333327</v>
      </c>
      <c r="X362" s="18">
        <f>IFERROR(
                  Andel_oberoende_av_klimat*VLOOKUP($A362,Leveranser_per_nät,'Leveranser per nät'!X$1,FALSE)
               +Andel_beroende_av_klimat*VLOOKUP($A362,Leveranser_per_nät,'Leveranser per nät'!X$1,FALSE)/VLOOKUP("Fagersta",Korrigeringsfaktor_EI,'Korrigeringsfaktor EI'!X$1,FALSE),
"")</f>
        <v>44.63712340425532</v>
      </c>
      <c r="Y362" s="18">
        <f>IFERROR(
                  Andel_oberoende_av_klimat*VLOOKUP($A362,Leveranser_per_nät,'Leveranser per nät'!Y$1,FALSE)
               +Andel_beroende_av_klimat*VLOOKUP($A362,Leveranser_per_nät,'Leveranser per nät'!Y$1,FALSE)/VLOOKUP($B362,Korrigeringsfaktor_EI,'Korrigeringsfaktor EI'!Y$1,FALSE),
"")</f>
        <v>45.480339784946239</v>
      </c>
      <c r="Z362" s="18">
        <f>IFERROR(
                  Andel_oberoende_av_klimat*VLOOKUP($A362,Leveranser_per_nät,'Leveranser per nät'!Z$1,FALSE)
               +Andel_beroende_av_klimat*VLOOKUP($A362,Leveranser_per_nät,'Leveranser per nät'!Z$1,FALSE)/VLOOKUP($B362,Korrigeringsfaktor_EI,'Korrigeringsfaktor EI'!Z$1,FALSE),
"")</f>
        <v>45.193043478260869</v>
      </c>
      <c r="AA362" s="18">
        <f>IFERROR(
                  Andel_oberoende_av_klimat*VLOOKUP($A362,Leveranser_per_nät,'Leveranser per nät'!AA$1,FALSE)
               +Andel_beroende_av_klimat*VLOOKUP($A362,Leveranser_per_nät,'Leveranser per nät'!AA$1,FALSE)/VLOOKUP($B362,Korrigeringsfaktor_EI,'Korrigeringsfaktor EI'!AA$1,FALSE),
"")</f>
        <v>42.930722540592164</v>
      </c>
      <c r="AB362" s="18">
        <f>IFERROR(
                  Andel_oberoende_av_klimat*VLOOKUP($A362,Leveranser_per_nät,'Leveranser per nät'!AB$1,FALSE)
               +Andel_beroende_av_klimat*VLOOKUP($A362,Leveranser_per_nät,'Leveranser per nät'!AB$1,FALSE)/VLOOKUP($B362,Korrigeringsfaktor_EI,'Korrigeringsfaktor EI'!AB$1,FALSE),
"")</f>
        <v>44.267543594836141</v>
      </c>
      <c r="AC362" s="18">
        <f>IFERROR(
                  Andel_oberoende_av_klimat*VLOOKUP($A362,Leveranser_per_nät,'Leveranser per nät'!AC$1,FALSE)
               +Andel_beroende_av_klimat*VLOOKUP($A362,Leveranser_per_nät,'Leveranser per nät'!AC$1,FALSE)/VLOOKUP($B362,Korrigeringsfaktor_EI,'Korrigeringsfaktor EI'!AC$1,FALSE),
"")</f>
        <v>42.74075811518324</v>
      </c>
      <c r="AD362">
        <v>41.375999999999998</v>
      </c>
    </row>
    <row r="363" spans="1:30" x14ac:dyDescent="0.25">
      <c r="A363" t="s">
        <v>931</v>
      </c>
      <c r="B363" t="s">
        <v>443</v>
      </c>
      <c r="C363" s="18">
        <f>IFERROR(
                  Andel_oberoende_av_klimat*VLOOKUP($A363,Leveranser_per_nät,'Leveranser per nät'!C$1,FALSE)
               +Andel_beroende_av_klimat*VLOOKUP($A363,Leveranser_per_nät,'Leveranser per nät'!C$1,FALSE)/VLOOKUP($B363,Korrigeringsfaktor_EI,'Korrigeringsfaktor EI'!C$1,FALSE),
"")</f>
        <v>0</v>
      </c>
      <c r="D363" s="18">
        <f>IFERROR(
                  Andel_oberoende_av_klimat*VLOOKUP($A363,Leveranser_per_nät,'Leveranser per nät'!D$1,FALSE)
               +Andel_beroende_av_klimat*VLOOKUP($A363,Leveranser_per_nät,'Leveranser per nät'!D$1,FALSE)/VLOOKUP($B363,Korrigeringsfaktor_EI,'Korrigeringsfaktor EI'!D$1,FALSE),
"")</f>
        <v>0</v>
      </c>
      <c r="E363" s="18">
        <f>IFERROR(
                  Andel_oberoende_av_klimat*VLOOKUP($A363,Leveranser_per_nät,'Leveranser per nät'!E$1,FALSE)
               +Andel_beroende_av_klimat*VLOOKUP($A363,Leveranser_per_nät,'Leveranser per nät'!E$1,FALSE)/VLOOKUP($B363,Korrigeringsfaktor_EI,'Korrigeringsfaktor EI'!E$1,FALSE),
"")</f>
        <v>0</v>
      </c>
      <c r="F363" s="18">
        <f>IFERROR(
                  Andel_oberoende_av_klimat*VLOOKUP($A363,Leveranser_per_nät,'Leveranser per nät'!F$1,FALSE)
               +Andel_beroende_av_klimat*VLOOKUP($A363,Leveranser_per_nät,'Leveranser per nät'!F$1,FALSE)/VLOOKUP($B363,Korrigeringsfaktor_EI,'Korrigeringsfaktor EI'!F$1,FALSE),
"")</f>
        <v>0</v>
      </c>
      <c r="G363" s="18">
        <f>IFERROR(
                  Andel_oberoende_av_klimat*VLOOKUP($A363,Leveranser_per_nät,'Leveranser per nät'!G$1,FALSE)
               +Andel_beroende_av_klimat*VLOOKUP($A363,Leveranser_per_nät,'Leveranser per nät'!G$1,FALSE)/VLOOKUP($B363,Korrigeringsfaktor_EI,'Korrigeringsfaktor EI'!G$1,FALSE),
"")</f>
        <v>0</v>
      </c>
      <c r="H363" s="18">
        <f>IFERROR(
                  Andel_oberoende_av_klimat*VLOOKUP($A363,Leveranser_per_nät,'Leveranser per nät'!H$1,FALSE)
               +Andel_beroende_av_klimat*VLOOKUP($A363,Leveranser_per_nät,'Leveranser per nät'!H$1,FALSE)/VLOOKUP($B363,Korrigeringsfaktor_EI,'Korrigeringsfaktor EI'!H$1,FALSE),
"")</f>
        <v>0</v>
      </c>
      <c r="I363" s="18">
        <f>IFERROR(
                  Andel_oberoende_av_klimat*VLOOKUP($A363,Leveranser_per_nät,'Leveranser per nät'!I$1,FALSE)
               +Andel_beroende_av_klimat*VLOOKUP($A363,Leveranser_per_nät,'Leveranser per nät'!I$1,FALSE)/VLOOKUP($B363,Korrigeringsfaktor_EI,'Korrigeringsfaktor EI'!I$1,FALSE),
"")</f>
        <v>0</v>
      </c>
      <c r="J363" s="18">
        <f>IFERROR(
                  Andel_oberoende_av_klimat*VLOOKUP($A363,Leveranser_per_nät,'Leveranser per nät'!J$1,FALSE)
               +Andel_beroende_av_klimat*VLOOKUP($A363,Leveranser_per_nät,'Leveranser per nät'!J$1,FALSE)/VLOOKUP($B363,Korrigeringsfaktor_EI,'Korrigeringsfaktor EI'!J$1,FALSE),
"")</f>
        <v>0</v>
      </c>
      <c r="K363" s="18">
        <f>IFERROR(
                  Andel_oberoende_av_klimat*VLOOKUP($A363,Leveranser_per_nät,'Leveranser per nät'!K$1,FALSE)
               +Andel_beroende_av_klimat*VLOOKUP($A363,Leveranser_per_nät,'Leveranser per nät'!K$1,FALSE)/VLOOKUP($B363,Korrigeringsfaktor_EI,'Korrigeringsfaktor EI'!K$1,FALSE),
"")</f>
        <v>0</v>
      </c>
      <c r="L363" s="18">
        <f>IFERROR(
                  Andel_oberoende_av_klimat*VLOOKUP($A363,Leveranser_per_nät,'Leveranser per nät'!L$1,FALSE)
               +Andel_beroende_av_klimat*VLOOKUP($A363,Leveranser_per_nät,'Leveranser per nät'!L$1,FALSE)/VLOOKUP($B363,Korrigeringsfaktor_EI,'Korrigeringsfaktor EI'!L$1,FALSE),
"")</f>
        <v>0</v>
      </c>
      <c r="M363" s="18">
        <f>IFERROR(
                  Andel_oberoende_av_klimat*VLOOKUP($A363,Leveranser_per_nät,'Leveranser per nät'!M$1,FALSE)
               +Andel_beroende_av_klimat*VLOOKUP($A363,Leveranser_per_nät,'Leveranser per nät'!M$1,FALSE)/VLOOKUP($B363,Korrigeringsfaktor_EI,'Korrigeringsfaktor EI'!M$1,FALSE),
"")</f>
        <v>0</v>
      </c>
      <c r="N363" s="18">
        <f>IFERROR(
                  Andel_oberoende_av_klimat*VLOOKUP($A363,Leveranser_per_nät,'Leveranser per nät'!N$1,FALSE)
               +Andel_beroende_av_klimat*VLOOKUP($A363,Leveranser_per_nät,'Leveranser per nät'!N$1,FALSE)/VLOOKUP($B363,Korrigeringsfaktor_EI,'Korrigeringsfaktor EI'!N$1,FALSE),
"")</f>
        <v>0</v>
      </c>
      <c r="O363" s="18">
        <f>IFERROR(
                  Andel_oberoende_av_klimat*VLOOKUP($A363,Leveranser_per_nät,'Leveranser per nät'!O$1,FALSE)
               +Andel_beroende_av_klimat*VLOOKUP($A363,Leveranser_per_nät,'Leveranser per nät'!O$1,FALSE)/VLOOKUP($B363,Korrigeringsfaktor_EI,'Korrigeringsfaktor EI'!O$1,FALSE),
"")</f>
        <v>0</v>
      </c>
      <c r="P363" s="18">
        <f>IFERROR(
                  Andel_oberoende_av_klimat*VLOOKUP($A363,Leveranser_per_nät,'Leveranser per nät'!P$1,FALSE)
               +Andel_beroende_av_klimat*VLOOKUP($A363,Leveranser_per_nät,'Leveranser per nät'!P$1,FALSE)/VLOOKUP($B363,Korrigeringsfaktor_EI,'Korrigeringsfaktor EI'!P$1,FALSE),
"")</f>
        <v>0</v>
      </c>
      <c r="Q363" s="18">
        <f>IFERROR(
                  Andel_oberoende_av_klimat*VLOOKUP($A363,Leveranser_per_nät,'Leveranser per nät'!Q$1,FALSE)
               +Andel_beroende_av_klimat*VLOOKUP($A363,Leveranser_per_nät,'Leveranser per nät'!Q$1,FALSE)/VLOOKUP($B363,Korrigeringsfaktor_EI,'Korrigeringsfaktor EI'!Q$1,FALSE),
"")</f>
        <v>0</v>
      </c>
      <c r="R363" s="18">
        <f>IFERROR(
                  Andel_oberoende_av_klimat*VLOOKUP($A363,Leveranser_per_nät,'Leveranser per nät'!R$1,FALSE)
               +Andel_beroende_av_klimat*VLOOKUP($A363,Leveranser_per_nät,'Leveranser per nät'!R$1,FALSE)/VLOOKUP($B363,Korrigeringsfaktor_EI,'Korrigeringsfaktor EI'!R$1,FALSE),
"")</f>
        <v>0</v>
      </c>
      <c r="S363" s="18">
        <f>IFERROR(
                  Andel_oberoende_av_klimat*VLOOKUP($A363,Leveranser_per_nät,'Leveranser per nät'!S$1,FALSE)
               +Andel_beroende_av_klimat*VLOOKUP($A363,Leveranser_per_nät,'Leveranser per nät'!S$1,FALSE)/VLOOKUP($B363,Korrigeringsfaktor_EI,'Korrigeringsfaktor EI'!S$1,FALSE),
"")</f>
        <v>0</v>
      </c>
      <c r="T363" s="18">
        <f>IFERROR(
                  Andel_oberoende_av_klimat*VLOOKUP($A363,Leveranser_per_nät,'Leveranser per nät'!T$1,FALSE)
               +Andel_beroende_av_klimat*VLOOKUP($A363,Leveranser_per_nät,'Leveranser per nät'!T$1,FALSE)/VLOOKUP($B363,Korrigeringsfaktor_EI,'Korrigeringsfaktor EI'!T$1,FALSE),
"")</f>
        <v>0</v>
      </c>
      <c r="U363" s="18">
        <f>IFERROR(
                  Andel_oberoende_av_klimat*VLOOKUP($A363,Leveranser_per_nät,'Leveranser per nät'!U$1,FALSE)
               +Andel_beroende_av_klimat*VLOOKUP($A363,Leveranser_per_nät,'Leveranser per nät'!U$1,FALSE)/VLOOKUP($B363,Korrigeringsfaktor_EI,'Korrigeringsfaktor EI'!U$1,FALSE),
"")</f>
        <v>0</v>
      </c>
      <c r="V363" s="18" t="str">
        <f>IFERROR(
                  Andel_oberoende_av_klimat*VLOOKUP($A363,Leveranser_per_nät,'Leveranser per nät'!V$1,FALSE)
               +Andel_beroende_av_klimat*VLOOKUP($A363,Leveranser_per_nät,'Leveranser per nät'!V$1,FALSE)/VLOOKUP($B363,Korrigeringsfaktor_EI,'Korrigeringsfaktor EI'!V$1,FALSE),
"")</f>
        <v/>
      </c>
      <c r="W363" s="18" t="str">
        <f>IFERROR(
                  Andel_oberoende_av_klimat*VLOOKUP($A363,Leveranser_per_nät,'Leveranser per nät'!W$1,FALSE)
               +Andel_beroende_av_klimat*VLOOKUP($A363,Leveranser_per_nät,'Leveranser per nät'!W$1,FALSE)/VLOOKUP($B363,Korrigeringsfaktor_EI,'Korrigeringsfaktor EI'!W$1,FALSE),
"")</f>
        <v/>
      </c>
      <c r="X363" s="18">
        <f>IFERROR(
                  Andel_oberoende_av_klimat*VLOOKUP($A363,Leveranser_per_nät,'Leveranser per nät'!X$1,FALSE)
               +Andel_beroende_av_klimat*VLOOKUP($A363,Leveranser_per_nät,'Leveranser per nät'!X$1,FALSE)/VLOOKUP($B363,Korrigeringsfaktor_EI,'Korrigeringsfaktor EI'!X$1,FALSE),
"")</f>
        <v>0</v>
      </c>
      <c r="Y363" s="18">
        <f>IFERROR(
                  Andel_oberoende_av_klimat*VLOOKUP($A363,Leveranser_per_nät,'Leveranser per nät'!Y$1,FALSE)
               +Andel_beroende_av_klimat*VLOOKUP($A363,Leveranser_per_nät,'Leveranser per nät'!Y$1,FALSE)/VLOOKUP($B363,Korrigeringsfaktor_EI,'Korrigeringsfaktor EI'!Y$1,FALSE),
"")</f>
        <v>3.2926111111111114</v>
      </c>
      <c r="Z363" s="18">
        <f>IFERROR(
                  Andel_oberoende_av_klimat*VLOOKUP($A363,Leveranser_per_nät,'Leveranser per nät'!Z$1,FALSE)
               +Andel_beroende_av_klimat*VLOOKUP($A363,Leveranser_per_nät,'Leveranser per nät'!Z$1,FALSE)/VLOOKUP($B363,Korrigeringsfaktor_EI,'Korrigeringsfaktor EI'!Z$1,FALSE),
"")</f>
        <v>6.946277272727273</v>
      </c>
      <c r="AA363" s="18"/>
      <c r="AB363" s="18"/>
      <c r="AC363" s="18"/>
      <c r="AD363">
        <v>44.570999999999998</v>
      </c>
    </row>
    <row r="364" spans="1:30" x14ac:dyDescent="0.25">
      <c r="A364" t="s">
        <v>49</v>
      </c>
      <c r="B364" t="s">
        <v>49</v>
      </c>
      <c r="C364" s="18">
        <f>IFERROR(
                  Andel_oberoende_av_klimat*VLOOKUP($A364,Leveranser_per_nät,'Leveranser per nät'!C$1,FALSE)
               +Andel_beroende_av_klimat*VLOOKUP($A364,Leveranser_per_nät,'Leveranser per nät'!C$1,FALSE)/VLOOKUP($B364,Korrigeringsfaktor_EI,'Korrigeringsfaktor EI'!C$1,FALSE),
"")</f>
        <v>58.206542056074767</v>
      </c>
      <c r="D364" s="18">
        <f>IFERROR(
                  Andel_oberoende_av_klimat*VLOOKUP($A364,Leveranser_per_nät,'Leveranser per nät'!D$1,FALSE)
               +Andel_beroende_av_klimat*VLOOKUP($A364,Leveranser_per_nät,'Leveranser per nät'!D$1,FALSE)/VLOOKUP($B364,Korrigeringsfaktor_EI,'Korrigeringsfaktor EI'!D$1,FALSE),
"")</f>
        <v>65.804916666666657</v>
      </c>
      <c r="E364" s="18">
        <f>IFERROR(
                  Andel_oberoende_av_klimat*VLOOKUP($A364,Leveranser_per_nät,'Leveranser per nät'!E$1,FALSE)
               +Andel_beroende_av_klimat*VLOOKUP($A364,Leveranser_per_nät,'Leveranser per nät'!E$1,FALSE)/VLOOKUP($B364,Korrigeringsfaktor_EI,'Korrigeringsfaktor EI'!E$1,FALSE),
"")</f>
        <v>58.12335346534654</v>
      </c>
      <c r="F364" s="18">
        <f>IFERROR(
                  Andel_oberoende_av_klimat*VLOOKUP($A364,Leveranser_per_nät,'Leveranser per nät'!F$1,FALSE)
               +Andel_beroende_av_klimat*VLOOKUP($A364,Leveranser_per_nät,'Leveranser per nät'!F$1,FALSE)/VLOOKUP($B364,Korrigeringsfaktor_EI,'Korrigeringsfaktor EI'!F$1,FALSE),
"")</f>
        <v>61.018150495049497</v>
      </c>
      <c r="G364" s="18">
        <f>IFERROR(
                  Andel_oberoende_av_klimat*VLOOKUP($A364,Leveranser_per_nät,'Leveranser per nät'!G$1,FALSE)
               +Andel_beroende_av_klimat*VLOOKUP($A364,Leveranser_per_nät,'Leveranser per nät'!G$1,FALSE)/VLOOKUP($B364,Korrigeringsfaktor_EI,'Korrigeringsfaktor EI'!G$1,FALSE),
"")</f>
        <v>63.213924731182793</v>
      </c>
      <c r="H364" s="18">
        <f>IFERROR(
                  Andel_oberoende_av_klimat*VLOOKUP($A364,Leveranser_per_nät,'Leveranser per nät'!H$1,FALSE)
               +Andel_beroende_av_klimat*VLOOKUP($A364,Leveranser_per_nät,'Leveranser per nät'!H$1,FALSE)/VLOOKUP($B364,Korrigeringsfaktor_EI,'Korrigeringsfaktor EI'!H$1,FALSE),
"")</f>
        <v>66.007330693069321</v>
      </c>
      <c r="I364" s="18">
        <f>IFERROR(
                  Andel_oberoende_av_klimat*VLOOKUP($A364,Leveranser_per_nät,'Leveranser per nät'!I$1,FALSE)
               +Andel_beroende_av_klimat*VLOOKUP($A364,Leveranser_per_nät,'Leveranser per nät'!I$1,FALSE)/VLOOKUP($B364,Korrigeringsfaktor_EI,'Korrigeringsfaktor EI'!I$1,FALSE),
"")</f>
        <v>68.638947368421057</v>
      </c>
      <c r="J364" s="18">
        <f>IFERROR(
                  Andel_oberoende_av_klimat*VLOOKUP($A364,Leveranser_per_nät,'Leveranser per nät'!J$1,FALSE)
               +Andel_beroende_av_klimat*VLOOKUP($A364,Leveranser_per_nät,'Leveranser per nät'!J$1,FALSE)/VLOOKUP($B364,Korrigeringsfaktor_EI,'Korrigeringsfaktor EI'!J$1,FALSE),
"")</f>
        <v>71.454164948453609</v>
      </c>
      <c r="K364" s="18">
        <f>IFERROR(
                  Andel_oberoende_av_klimat*VLOOKUP($A364,Leveranser_per_nät,'Leveranser per nät'!K$1,FALSE)
               +Andel_beroende_av_klimat*VLOOKUP($A364,Leveranser_per_nät,'Leveranser per nät'!K$1,FALSE)/VLOOKUP($B364,Korrigeringsfaktor_EI,'Korrigeringsfaktor EI'!K$1,FALSE),
"")</f>
        <v>71.454164948453609</v>
      </c>
      <c r="L364" s="18">
        <f>IFERROR(
                  Andel_oberoende_av_klimat*VLOOKUP($A364,Leveranser_per_nät,'Leveranser per nät'!L$1,FALSE)
               +Andel_beroende_av_klimat*VLOOKUP($A364,Leveranser_per_nät,'Leveranser per nät'!L$1,FALSE)/VLOOKUP($B364,Korrigeringsfaktor_EI,'Korrigeringsfaktor EI'!L$1,FALSE),
"")</f>
        <v>92.099626798856633</v>
      </c>
      <c r="M364" s="18">
        <f>IFERROR(
                  Andel_oberoende_av_klimat*VLOOKUP($A364,Leveranser_per_nät,'Leveranser per nät'!M$1,FALSE)
               +Andel_beroende_av_klimat*VLOOKUP($A364,Leveranser_per_nät,'Leveranser per nät'!M$1,FALSE)/VLOOKUP($B364,Korrigeringsfaktor_EI,'Korrigeringsfaktor EI'!M$1,FALSE),
"")</f>
        <v>64.046923076923079</v>
      </c>
      <c r="N364" s="18">
        <f>IFERROR(
                  Andel_oberoende_av_klimat*VLOOKUP($A364,Leveranser_per_nät,'Leveranser per nät'!N$1,FALSE)
               +Andel_beroende_av_klimat*VLOOKUP($A364,Leveranser_per_nät,'Leveranser per nät'!N$1,FALSE)/VLOOKUP($B364,Korrigeringsfaktor_EI,'Korrigeringsfaktor EI'!N$1,FALSE),
"")</f>
        <v>67.904255319148945</v>
      </c>
      <c r="O364" s="18">
        <f>IFERROR(
                  Andel_oberoende_av_klimat*VLOOKUP($A364,Leveranser_per_nät,'Leveranser per nät'!O$1,FALSE)
               +Andel_beroende_av_klimat*VLOOKUP($A364,Leveranser_per_nät,'Leveranser per nät'!O$1,FALSE)/VLOOKUP($B364,Korrigeringsfaktor_EI,'Korrigeringsfaktor EI'!O$1,FALSE),
"")</f>
        <v>62.909565217391304</v>
      </c>
      <c r="P364" s="18">
        <f>IFERROR(
                  Andel_oberoende_av_klimat*VLOOKUP($A364,Leveranser_per_nät,'Leveranser per nät'!P$1,FALSE)
               +Andel_beroende_av_klimat*VLOOKUP($A364,Leveranser_per_nät,'Leveranser per nät'!P$1,FALSE)/VLOOKUP($B364,Korrigeringsfaktor_EI,'Korrigeringsfaktor EI'!P$1,FALSE),
"")</f>
        <v>63.445454545454538</v>
      </c>
      <c r="Q364" s="18">
        <f>IFERROR(
                  Andel_oberoende_av_klimat*VLOOKUP($A364,Leveranser_per_nät,'Leveranser per nät'!Q$1,FALSE)
               +Andel_beroende_av_klimat*VLOOKUP($A364,Leveranser_per_nät,'Leveranser per nät'!Q$1,FALSE)/VLOOKUP($B364,Korrigeringsfaktor_EI,'Korrigeringsfaktor EI'!Q$1,FALSE),
"")</f>
        <v>66.074774774774767</v>
      </c>
      <c r="R364" s="18">
        <f>IFERROR(
                  Andel_oberoende_av_klimat*VLOOKUP($A364,Leveranser_per_nät,'Leveranser per nät'!R$1,FALSE)
               +Andel_beroende_av_klimat*VLOOKUP($A364,Leveranser_per_nät,'Leveranser per nät'!R$1,FALSE)/VLOOKUP($B364,Korrigeringsfaktor_EI,'Korrigeringsfaktor EI'!R$1,FALSE),
"")</f>
        <v>60.013391304347827</v>
      </c>
      <c r="S364" s="18">
        <f>IFERROR(
                  Andel_oberoende_av_klimat*VLOOKUP($A364,Leveranser_per_nät,'Leveranser per nät'!S$1,FALSE)
               +Andel_beroende_av_klimat*VLOOKUP($A364,Leveranser_per_nät,'Leveranser per nät'!S$1,FALSE)/VLOOKUP($B364,Korrigeringsfaktor_EI,'Korrigeringsfaktor EI'!S$1,FALSE),
"")</f>
        <v>61</v>
      </c>
      <c r="T364" s="18">
        <f>IFERROR(
                  Andel_oberoende_av_klimat*VLOOKUP($A364,Leveranser_per_nät,'Leveranser per nät'!T$1,FALSE)
               +Andel_beroende_av_klimat*VLOOKUP($A364,Leveranser_per_nät,'Leveranser per nät'!T$1,FALSE)/VLOOKUP($B364,Korrigeringsfaktor_EI,'Korrigeringsfaktor EI'!T$1,FALSE),
"")</f>
        <v>59.714308333333335</v>
      </c>
      <c r="U364" s="18">
        <f>IFERROR(
                  Andel_oberoende_av_klimat*VLOOKUP($A364,Leveranser_per_nät,'Leveranser per nät'!U$1,FALSE)
               +Andel_beroende_av_klimat*VLOOKUP($A364,Leveranser_per_nät,'Leveranser per nät'!U$1,FALSE)/VLOOKUP($B364,Korrigeringsfaktor_EI,'Korrigeringsfaktor EI'!U$1,FALSE),
"")</f>
        <v>58.854738461538446</v>
      </c>
      <c r="V364" s="18">
        <f>IFERROR(
                  Andel_oberoende_av_klimat*VLOOKUP($A364,Leveranser_per_nät,'Leveranser per nät'!V$1,FALSE)
               +Andel_beroende_av_klimat*VLOOKUP($A364,Leveranser_per_nät,'Leveranser per nät'!V$1,FALSE)/VLOOKUP($B364,Korrigeringsfaktor_EI,'Korrigeringsfaktor EI'!V$1,FALSE),
"")</f>
        <v>57.897849462365599</v>
      </c>
      <c r="W364" s="18">
        <f>IFERROR(
                  Andel_oberoende_av_klimat*VLOOKUP($A364,Leveranser_per_nät,'Leveranser per nät'!W$1,FALSE)
               +Andel_beroende_av_klimat*VLOOKUP($A364,Leveranser_per_nät,'Leveranser per nät'!W$1,FALSE)/VLOOKUP($B364,Korrigeringsfaktor_EI,'Korrigeringsfaktor EI'!W$1,FALSE),
"")</f>
        <v>62.014123711340218</v>
      </c>
      <c r="X364" s="18">
        <f>IFERROR(
                  Andel_oberoende_av_klimat*VLOOKUP($A364,Leveranser_per_nät,'Leveranser per nät'!X$1,FALSE)
               +Andel_beroende_av_klimat*VLOOKUP($A364,Leveranser_per_nät,'Leveranser per nät'!X$1,FALSE)/VLOOKUP($B364,Korrigeringsfaktor_EI,'Korrigeringsfaktor EI'!X$1,FALSE),
"")</f>
        <v>62.613470833333338</v>
      </c>
      <c r="Y364" s="18">
        <f>IFERROR(
                  Andel_oberoende_av_klimat*VLOOKUP($A364,Leveranser_per_nät,'Leveranser per nät'!Y$1,FALSE)
               +Andel_beroende_av_klimat*VLOOKUP($A364,Leveranser_per_nät,'Leveranser per nät'!Y$1,FALSE)/VLOOKUP($B364,Korrigeringsfaktor_EI,'Korrigeringsfaktor EI'!Y$1,FALSE),
"")</f>
        <v>63.911250000000003</v>
      </c>
      <c r="Z364" s="18">
        <f>IFERROR(
                  Andel_oberoende_av_klimat*VLOOKUP($A364,Leveranser_per_nät,'Leveranser per nät'!Z$1,FALSE)
               +Andel_beroende_av_klimat*VLOOKUP($A364,Leveranser_per_nät,'Leveranser per nät'!Z$1,FALSE)/VLOOKUP($B364,Korrigeringsfaktor_EI,'Korrigeringsfaktor EI'!Z$1,FALSE),
"")</f>
        <v>61.921247368421049</v>
      </c>
      <c r="AA364" s="18">
        <f>IFERROR(
                  Andel_oberoende_av_klimat*VLOOKUP($A364,Leveranser_per_nät,'Leveranser per nät'!AA$1,FALSE)
               +Andel_beroende_av_klimat*VLOOKUP($A364,Leveranser_per_nät,'Leveranser per nät'!AA$1,FALSE)/VLOOKUP($B364,Korrigeringsfaktor_EI,'Korrigeringsfaktor EI'!AA$1,FALSE),
"")</f>
        <v>59.887754900398406</v>
      </c>
      <c r="AB364" s="18">
        <f>IFERROR(
                  Andel_oberoende_av_klimat*VLOOKUP($A364,Leveranser_per_nät,'Leveranser per nät'!AB$1,FALSE)
               +Andel_beroende_av_klimat*VLOOKUP($A364,Leveranser_per_nät,'Leveranser per nät'!AB$1,FALSE)/VLOOKUP($B364,Korrigeringsfaktor_EI,'Korrigeringsfaktor EI'!AB$1,FALSE),
"")</f>
        <v>64.062771014492753</v>
      </c>
      <c r="AC364" s="18">
        <f>IFERROR(
                  Andel_oberoende_av_klimat*VLOOKUP($A364,Leveranser_per_nät,'Leveranser per nät'!AC$1,FALSE)
               +Andel_beroende_av_klimat*VLOOKUP($A364,Leveranser_per_nät,'Leveranser per nät'!AC$1,FALSE)/VLOOKUP($B364,Korrigeringsfaktor_EI,'Korrigeringsfaktor EI'!AC$1,FALSE),
"")</f>
        <v>63.734504918032783</v>
      </c>
      <c r="AD364">
        <v>62.655999999999999</v>
      </c>
    </row>
    <row r="365" spans="1:30" x14ac:dyDescent="0.25">
      <c r="A365" t="s">
        <v>280</v>
      </c>
      <c r="B365" t="s">
        <v>280</v>
      </c>
      <c r="C365" s="18">
        <f>IFERROR(
                  Andel_oberoende_av_klimat*VLOOKUP($A365,Leveranser_per_nät,'Leveranser per nät'!C$1,FALSE)
               +Andel_beroende_av_klimat*VLOOKUP($A365,Leveranser_per_nät,'Leveranser per nät'!C$1,FALSE)/VLOOKUP($B365,Korrigeringsfaktor_EI,'Korrigeringsfaktor EI'!C$1,FALSE),
"")</f>
        <v>281.84545454545457</v>
      </c>
      <c r="D365" s="18">
        <f>IFERROR(
                  Andel_oberoende_av_klimat*VLOOKUP($A365,Leveranser_per_nät,'Leveranser per nät'!D$1,FALSE)
               +Andel_beroende_av_klimat*VLOOKUP($A365,Leveranser_per_nät,'Leveranser per nät'!D$1,FALSE)/VLOOKUP($B365,Korrigeringsfaktor_EI,'Korrigeringsfaktor EI'!D$1,FALSE),
"")</f>
        <v>281.54507920792082</v>
      </c>
      <c r="E365" s="18">
        <f>IFERROR(
                  Andel_oberoende_av_klimat*VLOOKUP($A365,Leveranser_per_nät,'Leveranser per nät'!E$1,FALSE)
               +Andel_beroende_av_klimat*VLOOKUP($A365,Leveranser_per_nät,'Leveranser per nät'!E$1,FALSE)/VLOOKUP($B365,Korrigeringsfaktor_EI,'Korrigeringsfaktor EI'!E$1,FALSE),
"")</f>
        <v>281.21923076923076</v>
      </c>
      <c r="F365" s="18">
        <f>IFERROR(
                  Andel_oberoende_av_klimat*VLOOKUP($A365,Leveranser_per_nät,'Leveranser per nät'!F$1,FALSE)
               +Andel_beroende_av_klimat*VLOOKUP($A365,Leveranser_per_nät,'Leveranser per nät'!F$1,FALSE)/VLOOKUP($B365,Korrigeringsfaktor_EI,'Korrigeringsfaktor EI'!F$1,FALSE),
"")</f>
        <v>293.55531914893618</v>
      </c>
      <c r="G365" s="18">
        <f>IFERROR(
                  Andel_oberoende_av_klimat*VLOOKUP($A365,Leveranser_per_nät,'Leveranser per nät'!G$1,FALSE)
               +Andel_beroende_av_klimat*VLOOKUP($A365,Leveranser_per_nät,'Leveranser per nät'!G$1,FALSE)/VLOOKUP($B365,Korrigeringsfaktor_EI,'Korrigeringsfaktor EI'!G$1,FALSE),
"")</f>
        <v>302.05168539325842</v>
      </c>
      <c r="H365" s="18">
        <f>IFERROR(
                  Andel_oberoende_av_klimat*VLOOKUP($A365,Leveranser_per_nät,'Leveranser per nät'!H$1,FALSE)
               +Andel_beroende_av_klimat*VLOOKUP($A365,Leveranser_per_nät,'Leveranser per nät'!H$1,FALSE)/VLOOKUP($B365,Korrigeringsfaktor_EI,'Korrigeringsfaktor EI'!H$1,FALSE),
"")</f>
        <v>306.69166666666666</v>
      </c>
      <c r="I365" s="18">
        <f>IFERROR(
                  Andel_oberoende_av_klimat*VLOOKUP($A365,Leveranser_per_nät,'Leveranser per nät'!I$1,FALSE)
               +Andel_beroende_av_klimat*VLOOKUP($A365,Leveranser_per_nät,'Leveranser per nät'!I$1,FALSE)/VLOOKUP($B365,Korrigeringsfaktor_EI,'Korrigeringsfaktor EI'!I$1,FALSE),
"")</f>
        <v>313.70107526881719</v>
      </c>
      <c r="J365" s="18">
        <f>IFERROR(
                  Andel_oberoende_av_klimat*VLOOKUP($A365,Leveranser_per_nät,'Leveranser per nät'!J$1,FALSE)
               +Andel_beroende_av_klimat*VLOOKUP($A365,Leveranser_per_nät,'Leveranser per nät'!J$1,FALSE)/VLOOKUP($B365,Korrigeringsfaktor_EI,'Korrigeringsfaktor EI'!J$1,FALSE),
"")</f>
        <v>316.98333333333335</v>
      </c>
      <c r="K365" s="18">
        <f>IFERROR(
                  Andel_oberoende_av_klimat*VLOOKUP($A365,Leveranser_per_nät,'Leveranser per nät'!K$1,FALSE)
               +Andel_beroende_av_klimat*VLOOKUP($A365,Leveranser_per_nät,'Leveranser per nät'!K$1,FALSE)/VLOOKUP($B365,Korrigeringsfaktor_EI,'Korrigeringsfaktor EI'!K$1,FALSE),
"")</f>
        <v>314.95665106382978</v>
      </c>
      <c r="L365" s="18">
        <f>IFERROR(
                  Andel_oberoende_av_klimat*VLOOKUP($A365,Leveranser_per_nät,'Leveranser per nät'!L$1,FALSE)
               +Andel_beroende_av_klimat*VLOOKUP($A365,Leveranser_per_nät,'Leveranser per nät'!L$1,FALSE)/VLOOKUP($B365,Korrigeringsfaktor_EI,'Korrigeringsfaktor EI'!L$1,FALSE),
"")</f>
        <v>316.11897391304342</v>
      </c>
      <c r="M365" s="18">
        <f>IFERROR(
                  Andel_oberoende_av_klimat*VLOOKUP($A365,Leveranser_per_nät,'Leveranser per nät'!M$1,FALSE)
               +Andel_beroende_av_klimat*VLOOKUP($A365,Leveranser_per_nät,'Leveranser per nät'!M$1,FALSE)/VLOOKUP($B365,Korrigeringsfaktor_EI,'Korrigeringsfaktor EI'!M$1,FALSE),
"")</f>
        <v>316.65111111111111</v>
      </c>
      <c r="N365" s="18">
        <f>IFERROR(
                  Andel_oberoende_av_klimat*VLOOKUP($A365,Leveranser_per_nät,'Leveranser per nät'!N$1,FALSE)
               +Andel_beroende_av_klimat*VLOOKUP($A365,Leveranser_per_nät,'Leveranser per nät'!N$1,FALSE)/VLOOKUP($B365,Korrigeringsfaktor_EI,'Korrigeringsfaktor EI'!N$1,FALSE),
"")</f>
        <v>320.52247191011236</v>
      </c>
      <c r="O365" s="18">
        <f>IFERROR(
                  Andel_oberoende_av_klimat*VLOOKUP($A365,Leveranser_per_nät,'Leveranser per nät'!O$1,FALSE)
               +Andel_beroende_av_klimat*VLOOKUP($A365,Leveranser_per_nät,'Leveranser per nät'!O$1,FALSE)/VLOOKUP($B365,Korrigeringsfaktor_EI,'Korrigeringsfaktor EI'!O$1,FALSE),
"")</f>
        <v>337.30511627906981</v>
      </c>
      <c r="P365" s="18">
        <f>IFERROR(
                  Andel_oberoende_av_klimat*VLOOKUP($A365,Leveranser_per_nät,'Leveranser per nät'!P$1,FALSE)
               +Andel_beroende_av_klimat*VLOOKUP($A365,Leveranser_per_nät,'Leveranser per nät'!P$1,FALSE)/VLOOKUP($B365,Korrigeringsfaktor_EI,'Korrigeringsfaktor EI'!P$1,FALSE),
"")</f>
        <v>339.91301075268814</v>
      </c>
      <c r="Q365" s="18">
        <f>IFERROR(
                  Andel_oberoende_av_klimat*VLOOKUP($A365,Leveranser_per_nät,'Leveranser per nät'!Q$1,FALSE)
               +Andel_beroende_av_klimat*VLOOKUP($A365,Leveranser_per_nät,'Leveranser per nät'!Q$1,FALSE)/VLOOKUP($B365,Korrigeringsfaktor_EI,'Korrigeringsfaktor EI'!Q$1,FALSE),
"")</f>
        <v>351.44128440366967</v>
      </c>
      <c r="R365" s="18">
        <f>IFERROR(
                  Andel_oberoende_av_klimat*VLOOKUP($A365,Leveranser_per_nät,'Leveranser per nät'!R$1,FALSE)
               +Andel_beroende_av_klimat*VLOOKUP($A365,Leveranser_per_nät,'Leveranser per nät'!R$1,FALSE)/VLOOKUP($B365,Korrigeringsfaktor_EI,'Korrigeringsfaktor EI'!R$1,FALSE),
"")</f>
        <v>335.79770114942528</v>
      </c>
      <c r="S365" s="18">
        <f>IFERROR(
                  Andel_oberoende_av_klimat*VLOOKUP($A365,Leveranser_per_nät,'Leveranser per nät'!S$1,FALSE)
               +Andel_beroende_av_klimat*VLOOKUP($A365,Leveranser_per_nät,'Leveranser per nät'!S$1,FALSE)/VLOOKUP($B365,Korrigeringsfaktor_EI,'Korrigeringsfaktor EI'!S$1,FALSE),
"")</f>
        <v>338.16597938144332</v>
      </c>
      <c r="T365" s="18">
        <f>IFERROR(
                  Andel_oberoende_av_klimat*VLOOKUP($A365,Leveranser_per_nät,'Leveranser per nät'!T$1,FALSE)
               +Andel_beroende_av_klimat*VLOOKUP($A365,Leveranser_per_nät,'Leveranser per nät'!T$1,FALSE)/VLOOKUP($B365,Korrigeringsfaktor_EI,'Korrigeringsfaktor EI'!T$1,FALSE),
"")</f>
        <v>338.62956521739125</v>
      </c>
      <c r="U365" s="18">
        <f>IFERROR(
                  Andel_oberoende_av_klimat*VLOOKUP($A365,Leveranser_per_nät,'Leveranser per nät'!U$1,FALSE)
               +Andel_beroende_av_klimat*VLOOKUP($A365,Leveranser_per_nät,'Leveranser per nät'!U$1,FALSE)/VLOOKUP($B365,Korrigeringsfaktor_EI,'Korrigeringsfaktor EI'!U$1,FALSE),
"")</f>
        <v>322.06363636363636</v>
      </c>
      <c r="V365" s="18">
        <f>IFERROR(
                  Andel_oberoende_av_klimat*VLOOKUP($A365,Leveranser_per_nät,'Leveranser per nät'!V$1,FALSE)
               +Andel_beroende_av_klimat*VLOOKUP($A365,Leveranser_per_nät,'Leveranser per nät'!V$1,FALSE)/VLOOKUP($B365,Korrigeringsfaktor_EI,'Korrigeringsfaktor EI'!V$1,FALSE),
"")</f>
        <v>372.06046511627903</v>
      </c>
      <c r="W365" s="18">
        <f>IFERROR(
                  Andel_oberoende_av_klimat*VLOOKUP($A365,Leveranser_per_nät,'Leveranser per nät'!W$1,FALSE)
               +Andel_beroende_av_klimat*VLOOKUP($A365,Leveranser_per_nät,'Leveranser per nät'!W$1,FALSE)/VLOOKUP($B365,Korrigeringsfaktor_EI,'Korrigeringsfaktor EI'!W$1,FALSE),
"")</f>
        <v>335.73846153846154</v>
      </c>
      <c r="X365" s="18">
        <f>IFERROR(
                  Andel_oberoende_av_klimat*VLOOKUP($A365,Leveranser_per_nät,'Leveranser per nät'!X$1,FALSE)
               +Andel_beroende_av_klimat*VLOOKUP($A365,Leveranser_per_nät,'Leveranser per nät'!X$1,FALSE)/VLOOKUP($B365,Korrigeringsfaktor_EI,'Korrigeringsfaktor EI'!X$1,FALSE),
"")</f>
        <v>330.87777777777774</v>
      </c>
      <c r="Y365" s="18">
        <f>IFERROR(
                  Andel_oberoende_av_klimat*VLOOKUP($A365,Leveranser_per_nät,'Leveranser per nät'!Y$1,FALSE)
               +Andel_beroende_av_klimat*VLOOKUP($A365,Leveranser_per_nät,'Leveranser per nät'!Y$1,FALSE)/VLOOKUP($B365,Korrigeringsfaktor_EI,'Korrigeringsfaktor EI'!Y$1,FALSE),
"")</f>
        <v>333.58850574712642</v>
      </c>
      <c r="Z365" s="18">
        <f>IFERROR(
                  Andel_oberoende_av_klimat*VLOOKUP($A365,Leveranser_per_nät,'Leveranser per nät'!Z$1,FALSE)
               +Andel_beroende_av_klimat*VLOOKUP($A365,Leveranser_per_nät,'Leveranser per nät'!Z$1,FALSE)/VLOOKUP($B365,Korrigeringsfaktor_EI,'Korrigeringsfaktor EI'!Z$1,FALSE),
"")</f>
        <v>325.85632183908046</v>
      </c>
      <c r="AA365" s="18">
        <f>IFERROR(
                  Andel_oberoende_av_klimat*VLOOKUP($A365,Leveranser_per_nät,'Leveranser per nät'!AA$1,FALSE)
               +Andel_beroende_av_klimat*VLOOKUP($A365,Leveranser_per_nät,'Leveranser per nät'!AA$1,FALSE)/VLOOKUP($B365,Korrigeringsfaktor_EI,'Korrigeringsfaktor EI'!AA$1,FALSE),
"")</f>
        <v>314.10756488128112</v>
      </c>
      <c r="AB365" s="18">
        <f>IFERROR(
                  Andel_oberoende_av_klimat*VLOOKUP($A365,Leveranser_per_nät,'Leveranser per nät'!AB$1,FALSE)
               +Andel_beroende_av_klimat*VLOOKUP($A365,Leveranser_per_nät,'Leveranser per nät'!AB$1,FALSE)/VLOOKUP($B365,Korrigeringsfaktor_EI,'Korrigeringsfaktor EI'!AB$1,FALSE),
"")</f>
        <v>314.7289534246575</v>
      </c>
      <c r="AC365" s="18">
        <f>IFERROR(
                  Andel_oberoende_av_klimat*VLOOKUP($A365,Leveranser_per_nät,'Leveranser per nät'!AC$1,FALSE)
               +Andel_beroende_av_klimat*VLOOKUP($A365,Leveranser_per_nät,'Leveranser per nät'!AC$1,FALSE)/VLOOKUP($B365,Korrigeringsfaktor_EI,'Korrigeringsfaktor EI'!AC$1,FALSE),
"")</f>
        <v>313.17481171548116</v>
      </c>
      <c r="AD365">
        <v>303.39999999999998</v>
      </c>
    </row>
    <row r="366" spans="1:30" x14ac:dyDescent="0.25">
      <c r="A366" s="4" t="s">
        <v>416</v>
      </c>
      <c r="B366" t="s">
        <v>144</v>
      </c>
      <c r="C366" s="18">
        <f>IFERROR(
                  Andel_oberoende_av_klimat*VLOOKUP($A366,Leveranser_per_nät,'Leveranser per nät'!C$1,FALSE)
               +Andel_beroende_av_klimat*VLOOKUP($A366,Leveranser_per_nät,'Leveranser per nät'!C$1,FALSE)/VLOOKUP($B366,Korrigeringsfaktor_EI,'Korrigeringsfaktor EI'!C$1,FALSE),
"")</f>
        <v>1.908411214953271</v>
      </c>
      <c r="D366" s="18">
        <f>IFERROR(
                  Andel_oberoende_av_klimat*VLOOKUP($A366,Leveranser_per_nät,'Leveranser per nät'!D$1,FALSE)
               +Andel_beroende_av_klimat*VLOOKUP($A366,Leveranser_per_nät,'Leveranser per nät'!D$1,FALSE)/VLOOKUP($B366,Korrigeringsfaktor_EI,'Korrigeringsfaktor EI'!D$1,FALSE),
"")</f>
        <v>2.2641666666666671</v>
      </c>
      <c r="E366" s="18">
        <f>IFERROR(
                  Andel_oberoende_av_klimat*VLOOKUP($A366,Leveranser_per_nät,'Leveranser per nät'!E$1,FALSE)
               +Andel_beroende_av_klimat*VLOOKUP($A366,Leveranser_per_nät,'Leveranser per nät'!E$1,FALSE)/VLOOKUP($B366,Korrigeringsfaktor_EI,'Korrigeringsfaktor EI'!E$1,FALSE),
"")</f>
        <v>2.7615686274509801</v>
      </c>
      <c r="F366" s="18">
        <f>IFERROR(
                  Andel_oberoende_av_klimat*VLOOKUP($A366,Leveranser_per_nät,'Leveranser per nät'!F$1,FALSE)
               +Andel_beroende_av_klimat*VLOOKUP($A366,Leveranser_per_nät,'Leveranser per nät'!F$1,FALSE)/VLOOKUP($B366,Korrigeringsfaktor_EI,'Korrigeringsfaktor EI'!F$1,FALSE),
"")</f>
        <v>3.424040404040404</v>
      </c>
      <c r="G366" s="18">
        <f>IFERROR(
                  Andel_oberoende_av_klimat*VLOOKUP($A366,Leveranser_per_nät,'Leveranser per nät'!G$1,FALSE)
               +Andel_beroende_av_klimat*VLOOKUP($A366,Leveranser_per_nät,'Leveranser per nät'!G$1,FALSE)/VLOOKUP($B366,Korrigeringsfaktor_EI,'Korrigeringsfaktor EI'!G$1,FALSE),
"")</f>
        <v>4.2434782608695656</v>
      </c>
      <c r="H366" s="18">
        <f>IFERROR(
                  Andel_oberoende_av_klimat*VLOOKUP($A366,Leveranser_per_nät,'Leveranser per nät'!H$1,FALSE)
               +Andel_beroende_av_klimat*VLOOKUP($A366,Leveranser_per_nät,'Leveranser per nät'!H$1,FALSE)/VLOOKUP($B366,Korrigeringsfaktor_EI,'Korrigeringsfaktor EI'!H$1,FALSE),
"")</f>
        <v>2.4660000000000002</v>
      </c>
      <c r="I366" s="18">
        <f>IFERROR(
                  Andel_oberoende_av_klimat*VLOOKUP($A366,Leveranser_per_nät,'Leveranser per nät'!I$1,FALSE)
               +Andel_beroende_av_klimat*VLOOKUP($A366,Leveranser_per_nät,'Leveranser per nät'!I$1,FALSE)/VLOOKUP($B366,Korrigeringsfaktor_EI,'Korrigeringsfaktor EI'!I$1,FALSE),
"")</f>
        <v>2.5924708333333335</v>
      </c>
      <c r="J366" s="18">
        <f>IFERROR(
                  Andel_oberoende_av_klimat*VLOOKUP($A366,Leveranser_per_nät,'Leveranser per nät'!J$1,FALSE)
               +Andel_beroende_av_klimat*VLOOKUP($A366,Leveranser_per_nät,'Leveranser per nät'!J$1,FALSE)/VLOOKUP($B366,Korrigeringsfaktor_EI,'Korrigeringsfaktor EI'!J$1,FALSE),
"")</f>
        <v>2.5924708333333335</v>
      </c>
      <c r="K366" s="18">
        <f>IFERROR(
                  Andel_oberoende_av_klimat*VLOOKUP($A366,Leveranser_per_nät,'Leveranser per nät'!K$1,FALSE)
               +Andel_beroende_av_klimat*VLOOKUP($A366,Leveranser_per_nät,'Leveranser per nät'!K$1,FALSE)/VLOOKUP($B366,Korrigeringsfaktor_EI,'Korrigeringsfaktor EI'!K$1,FALSE),
"")</f>
        <v>2.4288333333333334</v>
      </c>
      <c r="L366" s="18">
        <f>IFERROR(
                  Andel_oberoende_av_klimat*VLOOKUP($A366,Leveranser_per_nät,'Leveranser per nät'!L$1,FALSE)
               +Andel_beroende_av_klimat*VLOOKUP($A366,Leveranser_per_nät,'Leveranser per nät'!L$1,FALSE)/VLOOKUP($B366,Korrigeringsfaktor_EI,'Korrigeringsfaktor EI'!L$1,FALSE),
"")</f>
        <v>2.4843440860215051</v>
      </c>
      <c r="M366" s="18">
        <f>IFERROR(
                  Andel_oberoende_av_klimat*VLOOKUP($A366,Leveranser_per_nät,'Leveranser per nät'!M$1,FALSE)
               +Andel_beroende_av_klimat*VLOOKUP($A366,Leveranser_per_nät,'Leveranser per nät'!M$1,FALSE)/VLOOKUP($B366,Korrigeringsfaktor_EI,'Korrigeringsfaktor EI'!M$1,FALSE),
"")</f>
        <v>2.4877391304347825</v>
      </c>
      <c r="N366" s="18">
        <f>IFERROR(
                  Andel_oberoende_av_klimat*VLOOKUP($A366,Leveranser_per_nät,'Leveranser per nät'!N$1,FALSE)
               +Andel_beroende_av_klimat*VLOOKUP($A366,Leveranser_per_nät,'Leveranser per nät'!N$1,FALSE)/VLOOKUP($B366,Korrigeringsfaktor_EI,'Korrigeringsfaktor EI'!N$1,FALSE),
"")</f>
        <v>2.4718260869565221</v>
      </c>
      <c r="O366" s="18">
        <f>IFERROR(
                  Andel_oberoende_av_klimat*VLOOKUP($A366,Leveranser_per_nät,'Leveranser per nät'!O$1,FALSE)
               +Andel_beroende_av_klimat*VLOOKUP($A366,Leveranser_per_nät,'Leveranser per nät'!O$1,FALSE)/VLOOKUP($B366,Korrigeringsfaktor_EI,'Korrigeringsfaktor EI'!O$1,FALSE),
"")</f>
        <v>2.5896769230769232</v>
      </c>
      <c r="P366" s="18">
        <f>IFERROR(
                  Andel_oberoende_av_klimat*VLOOKUP($A366,Leveranser_per_nät,'Leveranser per nät'!P$1,FALSE)
               +Andel_beroende_av_klimat*VLOOKUP($A366,Leveranser_per_nät,'Leveranser per nät'!P$1,FALSE)/VLOOKUP($B366,Korrigeringsfaktor_EI,'Korrigeringsfaktor EI'!P$1,FALSE),
"")</f>
        <v>2.6068791666666669</v>
      </c>
      <c r="Q366" s="18">
        <f>IFERROR(
                  Andel_oberoende_av_klimat*VLOOKUP($A366,Leveranser_per_nät,'Leveranser per nät'!Q$1,FALSE)
               +Andel_beroende_av_klimat*VLOOKUP($A366,Leveranser_per_nät,'Leveranser per nät'!Q$1,FALSE)/VLOOKUP($B366,Korrigeringsfaktor_EI,'Korrigeringsfaktor EI'!Q$1,FALSE),
"")</f>
        <v>2.3289031531531532</v>
      </c>
      <c r="R366" s="18">
        <f>IFERROR(
                  Andel_oberoende_av_klimat*VLOOKUP($A366,Leveranser_per_nät,'Leveranser per nät'!R$1,FALSE)
               +Andel_beroende_av_klimat*VLOOKUP($A366,Leveranser_per_nät,'Leveranser per nät'!R$1,FALSE)/VLOOKUP($B366,Korrigeringsfaktor_EI,'Korrigeringsfaktor EI'!R$1,FALSE),
"")</f>
        <v>2.6642666666666668</v>
      </c>
      <c r="S366" s="18">
        <f>IFERROR(
                  Andel_oberoende_av_klimat*VLOOKUP($A366,Leveranser_per_nät,'Leveranser per nät'!S$1,FALSE)
               +Andel_beroende_av_klimat*VLOOKUP($A366,Leveranser_per_nät,'Leveranser per nät'!S$1,FALSE)/VLOOKUP($B366,Korrigeringsfaktor_EI,'Korrigeringsfaktor EI'!S$1,FALSE),
"")</f>
        <v>2.4673232323232326</v>
      </c>
      <c r="T366" s="18">
        <f>IFERROR(
                  Andel_oberoende_av_klimat*VLOOKUP($A366,Leveranser_per_nät,'Leveranser per nät'!T$1,FALSE)
               +Andel_beroende_av_klimat*VLOOKUP($A366,Leveranser_per_nät,'Leveranser per nät'!T$1,FALSE)/VLOOKUP($B366,Korrigeringsfaktor_EI,'Korrigeringsfaktor EI'!T$1,FALSE),
"")</f>
        <v>2.6148774193548388</v>
      </c>
      <c r="U366" s="18">
        <f>IFERROR(
                  Andel_oberoende_av_klimat*VLOOKUP($A366,Leveranser_per_nät,'Leveranser per nät'!U$1,FALSE)
               +Andel_beroende_av_klimat*VLOOKUP($A366,Leveranser_per_nät,'Leveranser per nät'!U$1,FALSE)/VLOOKUP($B366,Korrigeringsfaktor_EI,'Korrigeringsfaktor EI'!U$1,FALSE),
"")</f>
        <v>2.1286111111111112</v>
      </c>
      <c r="V366" s="18">
        <f>IFERROR(
                  Andel_oberoende_av_klimat*VLOOKUP($A366,Leveranser_per_nät,'Leveranser per nät'!V$1,FALSE)
               +Andel_beroende_av_klimat*VLOOKUP($A366,Leveranser_per_nät,'Leveranser per nät'!V$1,FALSE)/VLOOKUP($B366,Korrigeringsfaktor_EI,'Korrigeringsfaktor EI'!V$1,FALSE),
"")</f>
        <v>2.3523076923076927</v>
      </c>
      <c r="W366" s="18">
        <f>IFERROR(
                  Andel_oberoende_av_klimat*VLOOKUP($A366,Leveranser_per_nät,'Leveranser per nät'!W$1,FALSE)
               +Andel_beroende_av_klimat*VLOOKUP($A366,Leveranser_per_nät,'Leveranser per nät'!W$1,FALSE)/VLOOKUP($B366,Korrigeringsfaktor_EI,'Korrigeringsfaktor EI'!W$1,FALSE),
"")</f>
        <v>2.2847500000000003</v>
      </c>
      <c r="X366" s="18">
        <f>IFERROR(
                  Andel_oberoende_av_klimat*VLOOKUP($A366,Leveranser_per_nät,'Leveranser per nät'!X$1,FALSE)
               +Andel_beroende_av_klimat*VLOOKUP($A366,Leveranser_per_nät,'Leveranser per nät'!X$1,FALSE)/VLOOKUP($B366,Korrigeringsfaktor_EI,'Korrigeringsfaktor EI'!X$1,FALSE),
"")</f>
        <v>2.3277105263157893</v>
      </c>
      <c r="Y366" s="18">
        <f>IFERROR(
                  Andel_oberoende_av_klimat*VLOOKUP($A366,Leveranser_per_nät,'Leveranser per nät'!Y$1,FALSE)
               +Andel_beroende_av_klimat*VLOOKUP($A366,Leveranser_per_nät,'Leveranser per nät'!Y$1,FALSE)/VLOOKUP($B366,Korrigeringsfaktor_EI,'Korrigeringsfaktor EI'!Y$1,FALSE),
"")</f>
        <v>2.3896021505376344</v>
      </c>
      <c r="Z366" s="18">
        <f>IFERROR(
                  Andel_oberoende_av_klimat*VLOOKUP($A366,Leveranser_per_nät,'Leveranser per nät'!Z$1,FALSE)
               +Andel_beroende_av_klimat*VLOOKUP($A366,Leveranser_per_nät,'Leveranser per nät'!Z$1,FALSE)/VLOOKUP($B366,Korrigeringsfaktor_EI,'Korrigeringsfaktor EI'!Z$1,FALSE),
"")</f>
        <v>2.3580215053763443</v>
      </c>
      <c r="AA366" s="18">
        <f>IFERROR(
                  Andel_oberoende_av_klimat*VLOOKUP($A366,Leveranser_per_nät,'Leveranser per nät'!AA$1,FALSE)
               +Andel_beroende_av_klimat*VLOOKUP($A366,Leveranser_per_nät,'Leveranser per nät'!AA$1,FALSE)/VLOOKUP($B366,Korrigeringsfaktor_EI,'Korrigeringsfaktor EI'!AA$1,FALSE),
"")</f>
        <v>2.2177755775577559</v>
      </c>
      <c r="AB366" s="18">
        <f>IFERROR(
                  Andel_oberoende_av_klimat*VLOOKUP($A366,Leveranser_per_nät,'Leveranser per nät'!AB$1,FALSE)
               +Andel_beroende_av_klimat*VLOOKUP($A366,Leveranser_per_nät,'Leveranser per nät'!AB$1,FALSE)/VLOOKUP($B366,Korrigeringsfaktor_EI,'Korrigeringsfaktor EI'!AB$1,FALSE),
"")</f>
        <v>0</v>
      </c>
      <c r="AC366" s="18">
        <f>IFERROR(
                  Andel_oberoende_av_klimat*VLOOKUP($A366,Leveranser_per_nät,'Leveranser per nät'!AC$1,FALSE)
               +Andel_beroende_av_klimat*VLOOKUP($A366,Leveranser_per_nät,'Leveranser per nät'!AC$1,FALSE)/VLOOKUP($B366,Korrigeringsfaktor_EI,'Korrigeringsfaktor EI'!AC$1,FALSE),
"")</f>
        <v>2.1931878279118573</v>
      </c>
      <c r="AD366">
        <v>48.8</v>
      </c>
    </row>
    <row r="367" spans="1:30" x14ac:dyDescent="0.25">
      <c r="A367" t="s">
        <v>44</v>
      </c>
      <c r="B367" t="s">
        <v>44</v>
      </c>
      <c r="C367" s="18">
        <f>IFERROR(
                  Andel_oberoende_av_klimat*VLOOKUP($A367,Leveranser_per_nät,'Leveranser per nät'!C$1,FALSE)
               +Andel_beroende_av_klimat*VLOOKUP($A367,Leveranser_per_nät,'Leveranser per nät'!C$1,FALSE)/VLOOKUP("Lund",Korrigeringsfaktor_EI,'Korrigeringsfaktor EI'!C$1,FALSE),
"")</f>
        <v>24.974999999999998</v>
      </c>
      <c r="D367" s="18">
        <f>IFERROR(
                  Andel_oberoende_av_klimat*VLOOKUP($A367,Leveranser_per_nät,'Leveranser per nät'!D$1,FALSE)
               +Andel_beroende_av_klimat*VLOOKUP($A367,Leveranser_per_nät,'Leveranser per nät'!D$1,FALSE)/VLOOKUP("Lund",Korrigeringsfaktor_EI,'Korrigeringsfaktor EI'!D$1,FALSE),
"")</f>
        <v>24.230891089108908</v>
      </c>
      <c r="E367" s="18">
        <f>IFERROR(
                  Andel_oberoende_av_klimat*VLOOKUP($A367,Leveranser_per_nät,'Leveranser per nät'!E$1,FALSE)
               +Andel_beroende_av_klimat*VLOOKUP($A367,Leveranser_per_nät,'Leveranser per nät'!E$1,FALSE)/VLOOKUP("Lund",Korrigeringsfaktor_EI,'Korrigeringsfaktor EI'!E$1,FALSE),
"")</f>
        <v>24.826732673267326</v>
      </c>
      <c r="F367" s="18">
        <f>IFERROR(
                  Andel_oberoende_av_klimat*VLOOKUP($A367,Leveranser_per_nät,'Leveranser per nät'!F$1,FALSE)
               +Andel_beroende_av_klimat*VLOOKUP($A367,Leveranser_per_nät,'Leveranser per nät'!F$1,FALSE)/VLOOKUP("Lund",Korrigeringsfaktor_EI,'Korrigeringsfaktor EI'!F$1,FALSE),
"")</f>
        <v>25.729166666666668</v>
      </c>
      <c r="G367" s="18">
        <f>IFERROR(
                  Andel_oberoende_av_klimat*VLOOKUP($A367,Leveranser_per_nät,'Leveranser per nät'!G$1,FALSE)
               +Andel_beroende_av_klimat*VLOOKUP($A367,Leveranser_per_nät,'Leveranser per nät'!G$1,FALSE)/VLOOKUP("Lund",Korrigeringsfaktor_EI,'Korrigeringsfaktor EI'!G$1,FALSE),
"")</f>
        <v>26.944444444444443</v>
      </c>
      <c r="H367" s="18">
        <f>IFERROR(
                  Andel_oberoende_av_klimat*VLOOKUP($A367,Leveranser_per_nät,'Leveranser per nät'!H$1,FALSE)
               +Andel_beroende_av_klimat*VLOOKUP($A367,Leveranser_per_nät,'Leveranser per nät'!H$1,FALSE)/VLOOKUP("Lund",Korrigeringsfaktor_EI,'Korrigeringsfaktor EI'!H$1,FALSE),
"")</f>
        <v>24.499564285714285</v>
      </c>
      <c r="I367" s="18">
        <f>IFERROR(
                  Andel_oberoende_av_klimat*VLOOKUP($A367,Leveranser_per_nät,'Leveranser per nät'!I$1,FALSE)
               +Andel_beroende_av_klimat*VLOOKUP($A367,Leveranser_per_nät,'Leveranser per nät'!I$1,FALSE)/VLOOKUP("Lund",Korrigeringsfaktor_EI,'Korrigeringsfaktor EI'!I$1,FALSE),
"")</f>
        <v>24.537108602150539</v>
      </c>
      <c r="J367" s="18">
        <f>IFERROR(
                  Andel_oberoende_av_klimat*VLOOKUP($A367,Leveranser_per_nät,'Leveranser per nät'!J$1,FALSE)
               +Andel_beroende_av_klimat*VLOOKUP($A367,Leveranser_per_nät,'Leveranser per nät'!J$1,FALSE)/VLOOKUP("Lund",Korrigeringsfaktor_EI,'Korrigeringsfaktor EI'!J$1,FALSE),
"")</f>
        <v>24.903727835051548</v>
      </c>
      <c r="K367" s="18">
        <f>IFERROR(
                  Andel_oberoende_av_klimat*VLOOKUP($A367,Leveranser_per_nät,'Leveranser per nät'!K$1,FALSE)
               +Andel_beroende_av_klimat*VLOOKUP($A367,Leveranser_per_nät,'Leveranser per nät'!K$1,FALSE)/VLOOKUP("Lund",Korrigeringsfaktor_EI,'Korrigeringsfaktor EI'!K$1,FALSE),
"")</f>
        <v>30.056730395653794</v>
      </c>
      <c r="L367" s="18">
        <f>IFERROR(
                  Andel_oberoende_av_klimat*VLOOKUP($A367,Leveranser_per_nät,'Leveranser per nät'!L$1,FALSE)
               +Andel_beroende_av_klimat*VLOOKUP($A367,Leveranser_per_nät,'Leveranser per nät'!L$1,FALSE)/VLOOKUP("Lund",Korrigeringsfaktor_EI,'Korrigeringsfaktor EI'!L$1,FALSE),
"")</f>
        <v>35.73332556487847</v>
      </c>
      <c r="M367" s="18">
        <f>IFERROR(
                  Andel_oberoende_av_klimat*VLOOKUP($A367,Leveranser_per_nät,'Leveranser per nät'!M$1,FALSE)
               +Andel_beroende_av_klimat*VLOOKUP($A367,Leveranser_per_nät,'Leveranser per nät'!M$1,FALSE)/VLOOKUP("Lund",Korrigeringsfaktor_EI,'Korrigeringsfaktor EI'!M$1,FALSE),
"")</f>
        <v>26.73076923076923</v>
      </c>
      <c r="N367" s="18">
        <f>IFERROR(
                  Andel_oberoende_av_klimat*VLOOKUP($A367,Leveranser_per_nät,'Leveranser per nät'!N$1,FALSE)
               +Andel_beroende_av_klimat*VLOOKUP($A367,Leveranser_per_nät,'Leveranser per nät'!N$1,FALSE)/VLOOKUP("Lund",Korrigeringsfaktor_EI,'Korrigeringsfaktor EI'!N$1,FALSE),
"")</f>
        <v>25.405747126436783</v>
      </c>
      <c r="O367" s="18">
        <f>IFERROR(
                  Andel_oberoende_av_klimat*VLOOKUP($A367,Leveranser_per_nät,'Leveranser per nät'!O$1,FALSE)
               +Andel_beroende_av_klimat*VLOOKUP($A367,Leveranser_per_nät,'Leveranser per nät'!O$1,FALSE)/VLOOKUP("Lund",Korrigeringsfaktor_EI,'Korrigeringsfaktor EI'!O$1,FALSE),
"")</f>
        <v>27.835862068965511</v>
      </c>
      <c r="P367" s="18">
        <f>IFERROR(
                  Andel_oberoende_av_klimat*VLOOKUP($A367,Leveranser_per_nät,'Leveranser per nät'!P$1,FALSE)
               +Andel_beroende_av_klimat*VLOOKUP($A367,Leveranser_per_nät,'Leveranser per nät'!P$1,FALSE)/VLOOKUP("Lund",Korrigeringsfaktor_EI,'Korrigeringsfaktor EI'!P$1,FALSE),
"")</f>
        <v>27.215147311827959</v>
      </c>
      <c r="Q367" s="18">
        <f>IFERROR(
                  Andel_oberoende_av_klimat*VLOOKUP($A367,Leveranser_per_nät,'Leveranser per nät'!Q$1,FALSE)
               +Andel_beroende_av_klimat*VLOOKUP($A367,Leveranser_per_nät,'Leveranser per nät'!Q$1,FALSE)/VLOOKUP("Lund",Korrigeringsfaktor_EI,'Korrigeringsfaktor EI'!Q$1,FALSE),
"")</f>
        <v>28.090909090909093</v>
      </c>
      <c r="R367" s="18">
        <f>IFERROR(
                  Andel_oberoende_av_klimat*VLOOKUP($A367,Leveranser_per_nät,'Leveranser per nät'!R$1,FALSE)
               +Andel_beroende_av_klimat*VLOOKUP($A367,Leveranser_per_nät,'Leveranser per nät'!R$1,FALSE)/VLOOKUP("Lund",Korrigeringsfaktor_EI,'Korrigeringsfaktor EI'!R$1,FALSE),
"")</f>
        <v>27.091412215384615</v>
      </c>
      <c r="S367" s="18">
        <f>IFERROR(
                  Andel_oberoende_av_klimat*VLOOKUP($A367,Leveranser_per_nät,'Leveranser per nät'!S$1,FALSE)
               +Andel_beroende_av_klimat*VLOOKUP($A367,Leveranser_per_nät,'Leveranser per nät'!S$1,FALSE)/VLOOKUP("Lund",Korrigeringsfaktor_EI,'Korrigeringsfaktor EI'!S$1,FALSE),
"")</f>
        <v>26.562886597938146</v>
      </c>
      <c r="T367" s="18">
        <f>IFERROR(
                  Andel_oberoende_av_klimat*VLOOKUP($A367,Leveranser_per_nät,'Leveranser per nät'!T$1,FALSE)
               +Andel_beroende_av_klimat*VLOOKUP($A367,Leveranser_per_nät,'Leveranser per nät'!T$1,FALSE)/VLOOKUP("Lund",Korrigeringsfaktor_EI,'Korrigeringsfaktor EI'!T$1,FALSE),
"")</f>
        <v>26.25595263157895</v>
      </c>
      <c r="U367" s="18">
        <f>IFERROR(
                  Andel_oberoende_av_klimat*VLOOKUP($A367,Leveranser_per_nät,'Leveranser per nät'!U$1,FALSE)
               +Andel_beroende_av_klimat*VLOOKUP($A367,Leveranser_per_nät,'Leveranser per nät'!U$1,FALSE)/VLOOKUP("Lund",Korrigeringsfaktor_EI,'Korrigeringsfaktor EI'!U$1,FALSE),
"")</f>
        <v>31.465638554216866</v>
      </c>
      <c r="V367" s="18">
        <f>IFERROR(
                  Andel_oberoende_av_klimat*VLOOKUP($A367,Leveranser_per_nät,'Leveranser per nät'!V$1,FALSE)
               +Andel_beroende_av_klimat*VLOOKUP($A367,Leveranser_per_nät,'Leveranser per nät'!V$1,FALSE)/VLOOKUP("Lund",Korrigeringsfaktor_EI,'Korrigeringsfaktor EI'!V$1,FALSE),
"")</f>
        <v>24.910636363636364</v>
      </c>
      <c r="W367" s="18">
        <f>IFERROR(
                  Andel_oberoende_av_klimat*VLOOKUP($A367,Leveranser_per_nät,'Leveranser per nät'!W$1,FALSE)
               +Andel_beroende_av_klimat*VLOOKUP($A367,Leveranser_per_nät,'Leveranser per nät'!W$1,FALSE)/VLOOKUP("Lund",Korrigeringsfaktor_EI,'Korrigeringsfaktor EI'!W$1,FALSE),
"")</f>
        <v>25.661538461538456</v>
      </c>
      <c r="X367" s="18">
        <f>IFERROR(
                  Andel_oberoende_av_klimat*VLOOKUP($A367,Leveranser_per_nät,'Leveranser per nät'!X$1,FALSE)
               +Andel_beroende_av_klimat*VLOOKUP($A367,Leveranser_per_nät,'Leveranser per nät'!X$1,FALSE)/VLOOKUP("Lund",Korrigeringsfaktor_EI,'Korrigeringsfaktor EI'!X$1,FALSE),
"")</f>
        <v>24.883138461538458</v>
      </c>
      <c r="Y367" s="18">
        <f>IFERROR(
                  Andel_oberoende_av_klimat*VLOOKUP($A367,Leveranser_per_nät,'Leveranser per nät'!Y$1,FALSE)
               +Andel_beroende_av_klimat*VLOOKUP($A367,Leveranser_per_nät,'Leveranser per nät'!Y$1,FALSE)/VLOOKUP($B367,Korrigeringsfaktor_EI,'Korrigeringsfaktor EI'!Y$1,FALSE),
"")</f>
        <v>26.623488372093021</v>
      </c>
      <c r="Z367" s="18">
        <f>IFERROR(
                  Andel_oberoende_av_klimat*VLOOKUP($A367,Leveranser_per_nät,'Leveranser per nät'!Z$1,FALSE)
               +Andel_beroende_av_klimat*VLOOKUP($A367,Leveranser_per_nät,'Leveranser per nät'!Z$1,FALSE)/VLOOKUP($B367,Korrigeringsfaktor_EI,'Korrigeringsfaktor EI'!Z$1,FALSE),
"")</f>
        <v>28.953266666666668</v>
      </c>
      <c r="AA367" s="18">
        <f>IFERROR(
                  Andel_oberoende_av_klimat*VLOOKUP($A367,Leveranser_per_nät,'Leveranser per nät'!AA$1,FALSE)
               +Andel_beroende_av_klimat*VLOOKUP($A367,Leveranser_per_nät,'Leveranser per nät'!AA$1,FALSE)/VLOOKUP($B367,Korrigeringsfaktor_EI,'Korrigeringsfaktor EI'!AA$1,FALSE),
"")</f>
        <v>30.226266469305077</v>
      </c>
      <c r="AB367" s="18">
        <f>IFERROR(
                  Andel_oberoende_av_klimat*VLOOKUP($A367,Leveranser_per_nät,'Leveranser per nät'!AB$1,FALSE)
               +Andel_beroende_av_klimat*VLOOKUP($A367,Leveranser_per_nät,'Leveranser per nät'!AB$1,FALSE)/VLOOKUP($B367,Korrigeringsfaktor_EI,'Korrigeringsfaktor EI'!AB$1,FALSE),
"")</f>
        <v>29.839525075834175</v>
      </c>
      <c r="AC367" s="18">
        <f>IFERROR(
                  Andel_oberoende_av_klimat*VLOOKUP($A367,Leveranser_per_nät,'Leveranser per nät'!AC$1,FALSE)
               +Andel_beroende_av_klimat*VLOOKUP($A367,Leveranser_per_nät,'Leveranser per nät'!AC$1,FALSE)/VLOOKUP($B367,Korrigeringsfaktor_EI,'Korrigeringsfaktor EI'!AC$1,FALSE),
"")</f>
        <v>29.199373913043477</v>
      </c>
      <c r="AD367">
        <v>27.524000000000001</v>
      </c>
    </row>
    <row r="368" spans="1:30" x14ac:dyDescent="0.25">
      <c r="A368" s="4" t="s">
        <v>417</v>
      </c>
      <c r="B368" t="s">
        <v>510</v>
      </c>
      <c r="C368" s="18">
        <f>IFERROR(
                  Andel_oberoende_av_klimat*VLOOKUP($A368,Leveranser_per_nät,'Leveranser per nät'!C$1,FALSE)
               +Andel_beroende_av_klimat*VLOOKUP($A368,Leveranser_per_nät,'Leveranser per nät'!C$1,FALSE)/VLOOKUP($B368,Korrigeringsfaktor_EI,'Korrigeringsfaktor EI'!C$1,FALSE),
"")</f>
        <v>0</v>
      </c>
      <c r="D368" s="18">
        <f>IFERROR(
                  Andel_oberoende_av_klimat*VLOOKUP($A368,Leveranser_per_nät,'Leveranser per nät'!D$1,FALSE)
               +Andel_beroende_av_klimat*VLOOKUP($A368,Leveranser_per_nät,'Leveranser per nät'!D$1,FALSE)/VLOOKUP($B368,Korrigeringsfaktor_EI,'Korrigeringsfaktor EI'!D$1,FALSE),
"")</f>
        <v>0</v>
      </c>
      <c r="E368" s="18">
        <f>IFERROR(
                  Andel_oberoende_av_klimat*VLOOKUP($A368,Leveranser_per_nät,'Leveranser per nät'!E$1,FALSE)
               +Andel_beroende_av_klimat*VLOOKUP($A368,Leveranser_per_nät,'Leveranser per nät'!E$1,FALSE)/VLOOKUP($B368,Korrigeringsfaktor_EI,'Korrigeringsfaktor EI'!E$1,FALSE),
"")</f>
        <v>0</v>
      </c>
      <c r="F368" s="18">
        <f>IFERROR(
                  Andel_oberoende_av_klimat*VLOOKUP($A368,Leveranser_per_nät,'Leveranser per nät'!F$1,FALSE)
               +Andel_beroende_av_klimat*VLOOKUP($A368,Leveranser_per_nät,'Leveranser per nät'!F$1,FALSE)/VLOOKUP($B368,Korrigeringsfaktor_EI,'Korrigeringsfaktor EI'!F$1,FALSE),
"")</f>
        <v>0</v>
      </c>
      <c r="G368" s="18">
        <f>IFERROR(
                  Andel_oberoende_av_klimat*VLOOKUP($A368,Leveranser_per_nät,'Leveranser per nät'!G$1,FALSE)
               +Andel_beroende_av_klimat*VLOOKUP($A368,Leveranser_per_nät,'Leveranser per nät'!G$1,FALSE)/VLOOKUP($B368,Korrigeringsfaktor_EI,'Korrigeringsfaktor EI'!G$1,FALSE),
"")</f>
        <v>0</v>
      </c>
      <c r="H368" s="18">
        <f>IFERROR(
                  Andel_oberoende_av_klimat*VLOOKUP($A368,Leveranser_per_nät,'Leveranser per nät'!H$1,FALSE)
               +Andel_beroende_av_klimat*VLOOKUP($A368,Leveranser_per_nät,'Leveranser per nät'!H$1,FALSE)/VLOOKUP($B368,Korrigeringsfaktor_EI,'Korrigeringsfaktor EI'!H$1,FALSE),
"")</f>
        <v>0</v>
      </c>
      <c r="I368" s="18">
        <f>IFERROR(
                  Andel_oberoende_av_klimat*VLOOKUP($A368,Leveranser_per_nät,'Leveranser per nät'!I$1,FALSE)
               +Andel_beroende_av_klimat*VLOOKUP($A368,Leveranser_per_nät,'Leveranser per nät'!I$1,FALSE)/VLOOKUP($B368,Korrigeringsfaktor_EI,'Korrigeringsfaktor EI'!I$1,FALSE),
"")</f>
        <v>0</v>
      </c>
      <c r="J368" s="18">
        <f>IFERROR(
                  Andel_oberoende_av_klimat*VLOOKUP($A368,Leveranser_per_nät,'Leveranser per nät'!J$1,FALSE)
               +Andel_beroende_av_klimat*VLOOKUP($A368,Leveranser_per_nät,'Leveranser per nät'!J$1,FALSE)/VLOOKUP($B368,Korrigeringsfaktor_EI,'Korrigeringsfaktor EI'!J$1,FALSE),
"")</f>
        <v>0</v>
      </c>
      <c r="K368" s="18">
        <f>IFERROR(
                  Andel_oberoende_av_klimat*VLOOKUP($A368,Leveranser_per_nät,'Leveranser per nät'!K$1,FALSE)
               +Andel_beroende_av_klimat*VLOOKUP($A368,Leveranser_per_nät,'Leveranser per nät'!K$1,FALSE)/VLOOKUP($B368,Korrigeringsfaktor_EI,'Korrigeringsfaktor EI'!K$1,FALSE),
"")</f>
        <v>0</v>
      </c>
      <c r="L368" s="18">
        <f>IFERROR(
                  Andel_oberoende_av_klimat*VLOOKUP($A368,Leveranser_per_nät,'Leveranser per nät'!L$1,FALSE)
               +Andel_beroende_av_klimat*VLOOKUP($A368,Leveranser_per_nät,'Leveranser per nät'!L$1,FALSE)/VLOOKUP($B368,Korrigeringsfaktor_EI,'Korrigeringsfaktor EI'!L$1,FALSE),
"")</f>
        <v>0</v>
      </c>
      <c r="M368" s="18">
        <f>IFERROR(
                  Andel_oberoende_av_klimat*VLOOKUP($A368,Leveranser_per_nät,'Leveranser per nät'!M$1,FALSE)
               +Andel_beroende_av_klimat*VLOOKUP($A368,Leveranser_per_nät,'Leveranser per nät'!M$1,FALSE)/VLOOKUP($B368,Korrigeringsfaktor_EI,'Korrigeringsfaktor EI'!M$1,FALSE),
"")</f>
        <v>0</v>
      </c>
      <c r="N368" s="18">
        <f>IFERROR(
                  Andel_oberoende_av_klimat*VLOOKUP($A368,Leveranser_per_nät,'Leveranser per nät'!N$1,FALSE)
               +Andel_beroende_av_klimat*VLOOKUP($A368,Leveranser_per_nät,'Leveranser per nät'!N$1,FALSE)/VLOOKUP($B368,Korrigeringsfaktor_EI,'Korrigeringsfaktor EI'!N$1,FALSE),
"")</f>
        <v>0</v>
      </c>
      <c r="O368" s="18">
        <f>IFERROR(
                  Andel_oberoende_av_klimat*VLOOKUP($A368,Leveranser_per_nät,'Leveranser per nät'!O$1,FALSE)
               +Andel_beroende_av_klimat*VLOOKUP($A368,Leveranser_per_nät,'Leveranser per nät'!O$1,FALSE)/VLOOKUP($B368,Korrigeringsfaktor_EI,'Korrigeringsfaktor EI'!O$1,FALSE),
"")</f>
        <v>0</v>
      </c>
      <c r="P368" s="18">
        <f>IFERROR(
                  Andel_oberoende_av_klimat*VLOOKUP($A368,Leveranser_per_nät,'Leveranser per nät'!P$1,FALSE)
               +Andel_beroende_av_klimat*VLOOKUP($A368,Leveranser_per_nät,'Leveranser per nät'!P$1,FALSE)/VLOOKUP($B368,Korrigeringsfaktor_EI,'Korrigeringsfaktor EI'!P$1,FALSE),
"")</f>
        <v>0</v>
      </c>
      <c r="Q368" s="18">
        <f>IFERROR(
                  Andel_oberoende_av_klimat*VLOOKUP($A368,Leveranser_per_nät,'Leveranser per nät'!Q$1,FALSE)
               +Andel_beroende_av_klimat*VLOOKUP($A368,Leveranser_per_nät,'Leveranser per nät'!Q$1,FALSE)/VLOOKUP($B368,Korrigeringsfaktor_EI,'Korrigeringsfaktor EI'!Q$1,FALSE),
"")</f>
        <v>1.806896551724138</v>
      </c>
      <c r="R368" s="18">
        <f>IFERROR(
                  Andel_oberoende_av_klimat*VLOOKUP($A368,Leveranser_per_nät,'Leveranser per nät'!R$1,FALSE)
               +Andel_beroende_av_klimat*VLOOKUP($A368,Leveranser_per_nät,'Leveranser per nät'!R$1,FALSE)/VLOOKUP($B368,Korrigeringsfaktor_EI,'Korrigeringsfaktor EI'!R$1,FALSE),
"")</f>
        <v>1.4625531914893615</v>
      </c>
      <c r="S368" s="18">
        <f>IFERROR(
                  Andel_oberoende_av_klimat*VLOOKUP($A368,Leveranser_per_nät,'Leveranser per nät'!S$1,FALSE)
               +Andel_beroende_av_klimat*VLOOKUP($A368,Leveranser_per_nät,'Leveranser per nät'!S$1,FALSE)/VLOOKUP($B368,Korrigeringsfaktor_EI,'Korrigeringsfaktor EI'!S$1,FALSE),
"")</f>
        <v>1.4794117647058824</v>
      </c>
      <c r="T368" s="18">
        <f>IFERROR(
                  Andel_oberoende_av_klimat*VLOOKUP($A368,Leveranser_per_nät,'Leveranser per nät'!T$1,FALSE)
               +Andel_beroende_av_klimat*VLOOKUP($A368,Leveranser_per_nät,'Leveranser per nät'!T$1,FALSE)/VLOOKUP($B368,Korrigeringsfaktor_EI,'Korrigeringsfaktor EI'!T$1,FALSE),
"")</f>
        <v>2.014141414141414</v>
      </c>
      <c r="U368" s="18">
        <f>IFERROR(
                  Andel_oberoende_av_klimat*VLOOKUP($A368,Leveranser_per_nät,'Leveranser per nät'!U$1,FALSE)
               +Andel_beroende_av_klimat*VLOOKUP($A368,Leveranser_per_nät,'Leveranser per nät'!U$1,FALSE)/VLOOKUP($B368,Korrigeringsfaktor_EI,'Korrigeringsfaktor EI'!U$1,FALSE),
"")</f>
        <v>1.5464367816091955</v>
      </c>
      <c r="V368" s="18">
        <f>IFERROR(
                  Andel_oberoende_av_klimat*VLOOKUP($A368,Leveranser_per_nät,'Leveranser per nät'!V$1,FALSE)
               +Andel_beroende_av_klimat*VLOOKUP($A368,Leveranser_per_nät,'Leveranser per nät'!V$1,FALSE)/VLOOKUP($B368,Korrigeringsfaktor_EI,'Korrigeringsfaktor EI'!V$1,FALSE),
"")</f>
        <v>1.5913043478260867</v>
      </c>
      <c r="W368" s="18">
        <f>IFERROR(
                  Andel_oberoende_av_klimat*VLOOKUP($A368,Leveranser_per_nät,'Leveranser per nät'!W$1,FALSE)
               +Andel_beroende_av_klimat*VLOOKUP($A368,Leveranser_per_nät,'Leveranser per nät'!W$1,FALSE)/VLOOKUP($B368,Korrigeringsfaktor_EI,'Korrigeringsfaktor EI'!W$1,FALSE),
"")</f>
        <v>2.5072340425531916</v>
      </c>
      <c r="X368" s="18">
        <f>IFERROR(
                  Andel_oberoende_av_klimat*VLOOKUP($A368,Leveranser_per_nät,'Leveranser per nät'!X$1,FALSE)
               +Andel_beroende_av_klimat*VLOOKUP($A368,Leveranser_per_nät,'Leveranser per nät'!X$1,FALSE)/VLOOKUP($B368,Korrigeringsfaktor_EI,'Korrigeringsfaktor EI'!X$1,FALSE),
"")</f>
        <v>3.6069565217391304</v>
      </c>
      <c r="Y368" s="18">
        <f>IFERROR(
                  Andel_oberoende_av_klimat*VLOOKUP($A368,Leveranser_per_nät,'Leveranser per nät'!Y$1,FALSE)
               +Andel_beroende_av_klimat*VLOOKUP($A368,Leveranser_per_nät,'Leveranser per nät'!Y$1,FALSE)/VLOOKUP($B368,Korrigeringsfaktor_EI,'Korrigeringsfaktor EI'!Y$1,FALSE),
"")</f>
        <v>3.3411111111111111</v>
      </c>
      <c r="Z368" s="18">
        <f>IFERROR(
                  Andel_oberoende_av_klimat*VLOOKUP($A368,Leveranser_per_nät,'Leveranser per nät'!Z$1,FALSE)
               +Andel_beroende_av_klimat*VLOOKUP($A368,Leveranser_per_nät,'Leveranser per nät'!Z$1,FALSE)/VLOOKUP($B368,Korrigeringsfaktor_EI,'Korrigeringsfaktor EI'!Z$1,FALSE),
"")</f>
        <v>3.4794827586206889</v>
      </c>
      <c r="AA368" s="18">
        <f>IFERROR(
                  Andel_oberoende_av_klimat*VLOOKUP($A368,Leveranser_per_nät,'Leveranser per nät'!AA$1,FALSE)
               +Andel_beroende_av_klimat*VLOOKUP($A368,Leveranser_per_nät,'Leveranser per nät'!AA$1,FALSE)/VLOOKUP($B368,Korrigeringsfaktor_EI,'Korrigeringsfaktor EI'!AA$1,FALSE),
"")</f>
        <v>3.48232666086452</v>
      </c>
      <c r="AB368" s="18">
        <f>IFERROR(
                  Andel_oberoende_av_klimat*VLOOKUP($A368,Leveranser_per_nät,'Leveranser per nät'!AB$1,FALSE)
               +Andel_beroende_av_klimat*VLOOKUP($A368,Leveranser_per_nät,'Leveranser per nät'!AB$1,FALSE)/VLOOKUP($B368,Korrigeringsfaktor_EI,'Korrigeringsfaktor EI'!AB$1,FALSE),
"")</f>
        <v>4.4787425742574261</v>
      </c>
      <c r="AC368" s="18">
        <f>IFERROR(
                  Andel_oberoende_av_klimat*VLOOKUP($A368,Leveranser_per_nät,'Leveranser per nät'!AC$1,FALSE)
               +Andel_beroende_av_klimat*VLOOKUP($A368,Leveranser_per_nät,'Leveranser per nät'!AC$1,FALSE)/VLOOKUP($B368,Korrigeringsfaktor_EI,'Korrigeringsfaktor EI'!AC$1,FALSE),
"")</f>
        <v>4.4556521739130437</v>
      </c>
      <c r="AD368">
        <v>3143.35</v>
      </c>
    </row>
    <row r="369" spans="1:30" x14ac:dyDescent="0.25">
      <c r="A369" s="4" t="s">
        <v>704</v>
      </c>
      <c r="B369" t="s">
        <v>160</v>
      </c>
      <c r="C369" s="18">
        <f>IFERROR(
                  Andel_oberoende_av_klimat*VLOOKUP($A369,Leveranser_per_nät,'Leveranser per nät'!C$1,FALSE)
               +Andel_beroende_av_klimat*VLOOKUP($A369,Leveranser_per_nät,'Leveranser per nät'!C$1,FALSE)/VLOOKUP($B369,Korrigeringsfaktor_EI,'Korrigeringsfaktor EI'!C$1,FALSE),
"")</f>
        <v>0</v>
      </c>
      <c r="D369" s="18">
        <f>IFERROR(
                  Andel_oberoende_av_klimat*VLOOKUP($A369,Leveranser_per_nät,'Leveranser per nät'!D$1,FALSE)
               +Andel_beroende_av_klimat*VLOOKUP($A369,Leveranser_per_nät,'Leveranser per nät'!D$1,FALSE)/VLOOKUP($B369,Korrigeringsfaktor_EI,'Korrigeringsfaktor EI'!D$1,FALSE),
"")</f>
        <v>0</v>
      </c>
      <c r="E369" s="18">
        <f>IFERROR(
                  Andel_oberoende_av_klimat*VLOOKUP($A369,Leveranser_per_nät,'Leveranser per nät'!E$1,FALSE)
               +Andel_beroende_av_klimat*VLOOKUP($A369,Leveranser_per_nät,'Leveranser per nät'!E$1,FALSE)/VLOOKUP($B369,Korrigeringsfaktor_EI,'Korrigeringsfaktor EI'!E$1,FALSE),
"")</f>
        <v>0</v>
      </c>
      <c r="F369" s="18">
        <f>IFERROR(
                  Andel_oberoende_av_klimat*VLOOKUP($A369,Leveranser_per_nät,'Leveranser per nät'!F$1,FALSE)
               +Andel_beroende_av_klimat*VLOOKUP($A369,Leveranser_per_nät,'Leveranser per nät'!F$1,FALSE)/VLOOKUP($B369,Korrigeringsfaktor_EI,'Korrigeringsfaktor EI'!F$1,FALSE),
"")</f>
        <v>0</v>
      </c>
      <c r="G369" s="18">
        <f>IFERROR(
                  Andel_oberoende_av_klimat*VLOOKUP($A369,Leveranser_per_nät,'Leveranser per nät'!G$1,FALSE)
               +Andel_beroende_av_klimat*VLOOKUP($A369,Leveranser_per_nät,'Leveranser per nät'!G$1,FALSE)/VLOOKUP($B369,Korrigeringsfaktor_EI,'Korrigeringsfaktor EI'!G$1,FALSE),
"")</f>
        <v>0</v>
      </c>
      <c r="H369" s="18">
        <f>IFERROR(
                  Andel_oberoende_av_klimat*VLOOKUP($A369,Leveranser_per_nät,'Leveranser per nät'!H$1,FALSE)
               +Andel_beroende_av_klimat*VLOOKUP($A369,Leveranser_per_nät,'Leveranser per nät'!H$1,FALSE)/VLOOKUP($B369,Korrigeringsfaktor_EI,'Korrigeringsfaktor EI'!H$1,FALSE),
"")</f>
        <v>0</v>
      </c>
      <c r="I369" s="18">
        <f>IFERROR(
                  Andel_oberoende_av_klimat*VLOOKUP($A369,Leveranser_per_nät,'Leveranser per nät'!I$1,FALSE)
               +Andel_beroende_av_klimat*VLOOKUP($A369,Leveranser_per_nät,'Leveranser per nät'!I$1,FALSE)/VLOOKUP($B369,Korrigeringsfaktor_EI,'Korrigeringsfaktor EI'!I$1,FALSE),
"")</f>
        <v>0</v>
      </c>
      <c r="J369" s="18">
        <f>IFERROR(
                  Andel_oberoende_av_klimat*VLOOKUP($A369,Leveranser_per_nät,'Leveranser per nät'!J$1,FALSE)
               +Andel_beroende_av_klimat*VLOOKUP($A369,Leveranser_per_nät,'Leveranser per nät'!J$1,FALSE)/VLOOKUP($B369,Korrigeringsfaktor_EI,'Korrigeringsfaktor EI'!J$1,FALSE),
"")</f>
        <v>0</v>
      </c>
      <c r="K369" s="18">
        <f>IFERROR(
                  Andel_oberoende_av_klimat*VLOOKUP($A369,Leveranser_per_nät,'Leveranser per nät'!K$1,FALSE)
               +Andel_beroende_av_klimat*VLOOKUP($A369,Leveranser_per_nät,'Leveranser per nät'!K$1,FALSE)/VLOOKUP($B369,Korrigeringsfaktor_EI,'Korrigeringsfaktor EI'!K$1,FALSE),
"")</f>
        <v>0</v>
      </c>
      <c r="L369" s="18">
        <f>IFERROR(
                  Andel_oberoende_av_klimat*VLOOKUP($A369,Leveranser_per_nät,'Leveranser per nät'!L$1,FALSE)
               +Andel_beroende_av_klimat*VLOOKUP($A369,Leveranser_per_nät,'Leveranser per nät'!L$1,FALSE)/VLOOKUP($B369,Korrigeringsfaktor_EI,'Korrigeringsfaktor EI'!L$1,FALSE),
"")</f>
        <v>0</v>
      </c>
      <c r="M369" s="18">
        <f>IFERROR(
                  Andel_oberoende_av_klimat*VLOOKUP($A369,Leveranser_per_nät,'Leveranser per nät'!M$1,FALSE)
               +Andel_beroende_av_klimat*VLOOKUP($A369,Leveranser_per_nät,'Leveranser per nät'!M$1,FALSE)/VLOOKUP($B369,Korrigeringsfaktor_EI,'Korrigeringsfaktor EI'!M$1,FALSE),
"")</f>
        <v>0</v>
      </c>
      <c r="N369" s="18">
        <f>IFERROR(
                  Andel_oberoende_av_klimat*VLOOKUP($A369,Leveranser_per_nät,'Leveranser per nät'!N$1,FALSE)
               +Andel_beroende_av_klimat*VLOOKUP($A369,Leveranser_per_nät,'Leveranser per nät'!N$1,FALSE)/VLOOKUP($B369,Korrigeringsfaktor_EI,'Korrigeringsfaktor EI'!N$1,FALSE),
"")</f>
        <v>0</v>
      </c>
      <c r="O369" s="18">
        <f>IFERROR(
                  Andel_oberoende_av_klimat*VLOOKUP($A369,Leveranser_per_nät,'Leveranser per nät'!O$1,FALSE)
               +Andel_beroende_av_klimat*VLOOKUP($A369,Leveranser_per_nät,'Leveranser per nät'!O$1,FALSE)/VLOOKUP($B369,Korrigeringsfaktor_EI,'Korrigeringsfaktor EI'!O$1,FALSE),
"")</f>
        <v>0</v>
      </c>
      <c r="P369" s="18">
        <f>IFERROR(
                  Andel_oberoende_av_klimat*VLOOKUP($A369,Leveranser_per_nät,'Leveranser per nät'!P$1,FALSE)
               +Andel_beroende_av_klimat*VLOOKUP($A369,Leveranser_per_nät,'Leveranser per nät'!P$1,FALSE)/VLOOKUP($B369,Korrigeringsfaktor_EI,'Korrigeringsfaktor EI'!P$1,FALSE),
"")</f>
        <v>0</v>
      </c>
      <c r="Q369" s="18">
        <f>IFERROR(
                  Andel_oberoende_av_klimat*VLOOKUP($A369,Leveranser_per_nät,'Leveranser per nät'!Q$1,FALSE)
               +Andel_beroende_av_klimat*VLOOKUP($A369,Leveranser_per_nät,'Leveranser per nät'!Q$1,FALSE)/VLOOKUP($B369,Korrigeringsfaktor_EI,'Korrigeringsfaktor EI'!Q$1,FALSE),
"")</f>
        <v>0</v>
      </c>
      <c r="R369" s="18">
        <f>IFERROR(
                  Andel_oberoende_av_klimat*VLOOKUP($A369,Leveranser_per_nät,'Leveranser per nät'!R$1,FALSE)
               +Andel_beroende_av_klimat*VLOOKUP($A369,Leveranser_per_nät,'Leveranser per nät'!R$1,FALSE)/VLOOKUP($B369,Korrigeringsfaktor_EI,'Korrigeringsfaktor EI'!R$1,FALSE),
"")</f>
        <v>0</v>
      </c>
      <c r="S369" s="18">
        <f>IFERROR(
                  Andel_oberoende_av_klimat*VLOOKUP($A369,Leveranser_per_nät,'Leveranser per nät'!S$1,FALSE)
               +Andel_beroende_av_klimat*VLOOKUP($A369,Leveranser_per_nät,'Leveranser per nät'!S$1,FALSE)/VLOOKUP($B369,Korrigeringsfaktor_EI,'Korrigeringsfaktor EI'!S$1,FALSE),
"")</f>
        <v>2.637142857142857</v>
      </c>
      <c r="T369" s="18">
        <f>IFERROR(
                  Andel_oberoende_av_klimat*VLOOKUP($A369,Leveranser_per_nät,'Leveranser per nät'!T$1,FALSE)
               +Andel_beroende_av_klimat*VLOOKUP($A369,Leveranser_per_nät,'Leveranser per nät'!T$1,FALSE)/VLOOKUP($B369,Korrigeringsfaktor_EI,'Korrigeringsfaktor EI'!T$1,FALSE),
"")</f>
        <v>2.5949896907216496</v>
      </c>
      <c r="U369" s="18">
        <f>IFERROR(
                  Andel_oberoende_av_klimat*VLOOKUP($A369,Leveranser_per_nät,'Leveranser per nät'!U$1,FALSE)
               +Andel_beroende_av_klimat*VLOOKUP($A369,Leveranser_per_nät,'Leveranser per nät'!U$1,FALSE)/VLOOKUP($B369,Korrigeringsfaktor_EI,'Korrigeringsfaktor EI'!U$1,FALSE),
"")</f>
        <v>3.2143793103448277</v>
      </c>
      <c r="V369" s="18">
        <f>IFERROR(
                  Andel_oberoende_av_klimat*VLOOKUP($A369,Leveranser_per_nät,'Leveranser per nät'!V$1,FALSE)
               +Andel_beroende_av_klimat*VLOOKUP($A369,Leveranser_per_nät,'Leveranser per nät'!V$1,FALSE)/VLOOKUP($B369,Korrigeringsfaktor_EI,'Korrigeringsfaktor EI'!V$1,FALSE),
"")</f>
        <v>3.1291685393258426</v>
      </c>
      <c r="W369" s="18" t="str">
        <f>IFERROR(
                  Andel_oberoende_av_klimat*VLOOKUP($A369,Leveranser_per_nät,'Leveranser per nät'!W$1,FALSE)
               +Andel_beroende_av_klimat*VLOOKUP($A369,Leveranser_per_nät,'Leveranser per nät'!W$1,FALSE)/VLOOKUP($B369,Korrigeringsfaktor_EI,'Korrigeringsfaktor EI'!W$1,FALSE),
"")</f>
        <v/>
      </c>
      <c r="X369" s="18" t="str">
        <f>IFERROR(
                  Andel_oberoende_av_klimat*VLOOKUP($A369,Leveranser_per_nät,'Leveranser per nät'!X$1,FALSE)
               +Andel_beroende_av_klimat*VLOOKUP($A369,Leveranser_per_nät,'Leveranser per nät'!X$1,FALSE)/VLOOKUP($B369,Korrigeringsfaktor_EI,'Korrigeringsfaktor EI'!X$1,FALSE),
"")</f>
        <v/>
      </c>
      <c r="Y369" s="18" t="str">
        <f>IFERROR(
                  Andel_oberoende_av_klimat*VLOOKUP($A369,Leveranser_per_nät,'Leveranser per nät'!Y$1,FALSE)
               +Andel_beroende_av_klimat*VLOOKUP($A369,Leveranser_per_nät,'Leveranser per nät'!Y$1,FALSE)/VLOOKUP($B369,Korrigeringsfaktor_EI,'Korrigeringsfaktor EI'!Y$1,FALSE),
"")</f>
        <v/>
      </c>
      <c r="Z369" s="18">
        <f>IFERROR(
                  Andel_oberoende_av_klimat*VLOOKUP($A369,Leveranser_per_nät,'Leveranser per nät'!Z$1,FALSE)
               +Andel_beroende_av_klimat*VLOOKUP($A369,Leveranser_per_nät,'Leveranser per nät'!Z$1,FALSE)/VLOOKUP($B369,Korrigeringsfaktor_EI,'Korrigeringsfaktor EI'!Z$1,FALSE),
"")</f>
        <v>0</v>
      </c>
      <c r="AA369" s="18" t="str">
        <f>IFERROR(
                  Andel_oberoende_av_klimat*VLOOKUP($A369,Leveranser_per_nät,'Leveranser per nät'!AA$1,FALSE)
               +Andel_beroende_av_klimat*VLOOKUP($A369,Leveranser_per_nät,'Leveranser per nät'!AA$1,FALSE)/VLOOKUP($B369,Korrigeringsfaktor_EI,'Korrigeringsfaktor EI'!AA$1,FALSE),
"")</f>
        <v/>
      </c>
      <c r="AB369" s="18">
        <f>IFERROR(
                  Andel_oberoende_av_klimat*VLOOKUP($A369,Leveranser_per_nät,'Leveranser per nät'!AB$1,FALSE)
               +Andel_beroende_av_klimat*VLOOKUP($A369,Leveranser_per_nät,'Leveranser per nät'!AB$1,FALSE)/VLOOKUP($B369,Korrigeringsfaktor_EI,'Korrigeringsfaktor EI'!AB$1,FALSE),
"")</f>
        <v>0</v>
      </c>
      <c r="AC369" s="18">
        <f>IFERROR(
                  Andel_oberoende_av_klimat*VLOOKUP($A369,Leveranser_per_nät,'Leveranser per nät'!AC$1,FALSE)
               +Andel_beroende_av_klimat*VLOOKUP($A369,Leveranser_per_nät,'Leveranser per nät'!AC$1,FALSE)/VLOOKUP($B369,Korrigeringsfaktor_EI,'Korrigeringsfaktor EI'!AC$1,FALSE),
"")</f>
        <v>0</v>
      </c>
      <c r="AD369">
        <v>711.67200000000003</v>
      </c>
    </row>
    <row r="370" spans="1:30" x14ac:dyDescent="0.25">
      <c r="A370" s="4" t="s">
        <v>705</v>
      </c>
      <c r="B370" t="s">
        <v>106</v>
      </c>
      <c r="C370" s="18">
        <f>IFERROR(
                  Andel_oberoende_av_klimat*VLOOKUP($A370,Leveranser_per_nät,'Leveranser per nät'!C$1,FALSE)
               +Andel_beroende_av_klimat*VLOOKUP($A370,Leveranser_per_nät,'Leveranser per nät'!C$1,FALSE)/VLOOKUP($B370,Korrigeringsfaktor_EI,'Korrigeringsfaktor EI'!C$1,FALSE),
"")</f>
        <v>0</v>
      </c>
      <c r="D370" s="18">
        <f>IFERROR(
                  Andel_oberoende_av_klimat*VLOOKUP($A370,Leveranser_per_nät,'Leveranser per nät'!D$1,FALSE)
               +Andel_beroende_av_klimat*VLOOKUP($A370,Leveranser_per_nät,'Leveranser per nät'!D$1,FALSE)/VLOOKUP($B370,Korrigeringsfaktor_EI,'Korrigeringsfaktor EI'!D$1,FALSE),
"")</f>
        <v>0</v>
      </c>
      <c r="E370" s="18">
        <f>IFERROR(
                  Andel_oberoende_av_klimat*VLOOKUP($A370,Leveranser_per_nät,'Leveranser per nät'!E$1,FALSE)
               +Andel_beroende_av_klimat*VLOOKUP($A370,Leveranser_per_nät,'Leveranser per nät'!E$1,FALSE)/VLOOKUP($B370,Korrigeringsfaktor_EI,'Korrigeringsfaktor EI'!E$1,FALSE),
"")</f>
        <v>0</v>
      </c>
      <c r="F370" s="18">
        <f>IFERROR(
                  Andel_oberoende_av_klimat*VLOOKUP($A370,Leveranser_per_nät,'Leveranser per nät'!F$1,FALSE)
               +Andel_beroende_av_klimat*VLOOKUP($A370,Leveranser_per_nät,'Leveranser per nät'!F$1,FALSE)/VLOOKUP($B370,Korrigeringsfaktor_EI,'Korrigeringsfaktor EI'!F$1,FALSE),
"")</f>
        <v>0</v>
      </c>
      <c r="G370" s="18">
        <f>IFERROR(
                  Andel_oberoende_av_klimat*VLOOKUP($A370,Leveranser_per_nät,'Leveranser per nät'!G$1,FALSE)
               +Andel_beroende_av_klimat*VLOOKUP($A370,Leveranser_per_nät,'Leveranser per nät'!G$1,FALSE)/VLOOKUP($B370,Korrigeringsfaktor_EI,'Korrigeringsfaktor EI'!G$1,FALSE),
"")</f>
        <v>0</v>
      </c>
      <c r="H370" s="18">
        <f>IFERROR(
                  Andel_oberoende_av_klimat*VLOOKUP($A370,Leveranser_per_nät,'Leveranser per nät'!H$1,FALSE)
               +Andel_beroende_av_klimat*VLOOKUP($A370,Leveranser_per_nät,'Leveranser per nät'!H$1,FALSE)/VLOOKUP($B370,Korrigeringsfaktor_EI,'Korrigeringsfaktor EI'!H$1,FALSE),
"")</f>
        <v>0</v>
      </c>
      <c r="I370" s="18">
        <f>IFERROR(
                  Andel_oberoende_av_klimat*VLOOKUP($A370,Leveranser_per_nät,'Leveranser per nät'!I$1,FALSE)
               +Andel_beroende_av_klimat*VLOOKUP($A370,Leveranser_per_nät,'Leveranser per nät'!I$1,FALSE)/VLOOKUP($B370,Korrigeringsfaktor_EI,'Korrigeringsfaktor EI'!I$1,FALSE),
"")</f>
        <v>0</v>
      </c>
      <c r="J370" s="18">
        <f>IFERROR(
                  Andel_oberoende_av_klimat*VLOOKUP($A370,Leveranser_per_nät,'Leveranser per nät'!J$1,FALSE)
               +Andel_beroende_av_klimat*VLOOKUP($A370,Leveranser_per_nät,'Leveranser per nät'!J$1,FALSE)/VLOOKUP($B370,Korrigeringsfaktor_EI,'Korrigeringsfaktor EI'!J$1,FALSE),
"")</f>
        <v>0</v>
      </c>
      <c r="K370" s="18">
        <f>IFERROR(
                  Andel_oberoende_av_klimat*VLOOKUP($A370,Leveranser_per_nät,'Leveranser per nät'!K$1,FALSE)
               +Andel_beroende_av_klimat*VLOOKUP($A370,Leveranser_per_nät,'Leveranser per nät'!K$1,FALSE)/VLOOKUP($B370,Korrigeringsfaktor_EI,'Korrigeringsfaktor EI'!K$1,FALSE),
"")</f>
        <v>0</v>
      </c>
      <c r="L370" s="18">
        <f>IFERROR(
                  Andel_oberoende_av_klimat*VLOOKUP($A370,Leveranser_per_nät,'Leveranser per nät'!L$1,FALSE)
               +Andel_beroende_av_klimat*VLOOKUP($A370,Leveranser_per_nät,'Leveranser per nät'!L$1,FALSE)/VLOOKUP($B370,Korrigeringsfaktor_EI,'Korrigeringsfaktor EI'!L$1,FALSE),
"")</f>
        <v>0</v>
      </c>
      <c r="M370" s="18">
        <f>IFERROR(
                  Andel_oberoende_av_klimat*VLOOKUP($A370,Leveranser_per_nät,'Leveranser per nät'!M$1,FALSE)
               +Andel_beroende_av_klimat*VLOOKUP($A370,Leveranser_per_nät,'Leveranser per nät'!M$1,FALSE)/VLOOKUP($B370,Korrigeringsfaktor_EI,'Korrigeringsfaktor EI'!M$1,FALSE),
"")</f>
        <v>0</v>
      </c>
      <c r="N370" s="18">
        <f>IFERROR(
                  Andel_oberoende_av_klimat*VLOOKUP($A370,Leveranser_per_nät,'Leveranser per nät'!N$1,FALSE)
               +Andel_beroende_av_klimat*VLOOKUP($A370,Leveranser_per_nät,'Leveranser per nät'!N$1,FALSE)/VLOOKUP($B370,Korrigeringsfaktor_EI,'Korrigeringsfaktor EI'!N$1,FALSE),
"")</f>
        <v>0</v>
      </c>
      <c r="O370" s="18">
        <f>IFERROR(
                  Andel_oberoende_av_klimat*VLOOKUP($A370,Leveranser_per_nät,'Leveranser per nät'!O$1,FALSE)
               +Andel_beroende_av_klimat*VLOOKUP($A370,Leveranser_per_nät,'Leveranser per nät'!O$1,FALSE)/VLOOKUP($B370,Korrigeringsfaktor_EI,'Korrigeringsfaktor EI'!O$1,FALSE),
"")</f>
        <v>0</v>
      </c>
      <c r="P370" s="18">
        <f>IFERROR(
                  Andel_oberoende_av_klimat*VLOOKUP($A370,Leveranser_per_nät,'Leveranser per nät'!P$1,FALSE)
               +Andel_beroende_av_klimat*VLOOKUP($A370,Leveranser_per_nät,'Leveranser per nät'!P$1,FALSE)/VLOOKUP($B370,Korrigeringsfaktor_EI,'Korrigeringsfaktor EI'!P$1,FALSE),
"")</f>
        <v>0</v>
      </c>
      <c r="Q370" s="18">
        <f>IFERROR(
                  Andel_oberoende_av_klimat*VLOOKUP($A370,Leveranser_per_nät,'Leveranser per nät'!Q$1,FALSE)
               +Andel_beroende_av_klimat*VLOOKUP($A370,Leveranser_per_nät,'Leveranser per nät'!Q$1,FALSE)/VLOOKUP($B370,Korrigeringsfaktor_EI,'Korrigeringsfaktor EI'!Q$1,FALSE),
"")</f>
        <v>0</v>
      </c>
      <c r="R370" s="18">
        <f>IFERROR(
                  Andel_oberoende_av_klimat*VLOOKUP($A370,Leveranser_per_nät,'Leveranser per nät'!R$1,FALSE)
               +Andel_beroende_av_klimat*VLOOKUP($A370,Leveranser_per_nät,'Leveranser per nät'!R$1,FALSE)/VLOOKUP($B370,Korrigeringsfaktor_EI,'Korrigeringsfaktor EI'!R$1,FALSE),
"")</f>
        <v>0</v>
      </c>
      <c r="S370" s="18" t="str">
        <f>IFERROR(
                  Andel_oberoende_av_klimat*VLOOKUP($A370,Leveranser_per_nät,'Leveranser per nät'!S$1,FALSE)
               +Andel_beroende_av_klimat*VLOOKUP($A370,Leveranser_per_nät,'Leveranser per nät'!S$1,FALSE)/VLOOKUP($B370,Korrigeringsfaktor_EI,'Korrigeringsfaktor EI'!S$1,FALSE),
"")</f>
        <v/>
      </c>
      <c r="T370" s="18">
        <f>IFERROR(
                  Andel_oberoende_av_klimat*VLOOKUP($A370,Leveranser_per_nät,'Leveranser per nät'!T$1,FALSE)
               +Andel_beroende_av_klimat*VLOOKUP($A370,Leveranser_per_nät,'Leveranser per nät'!T$1,FALSE)/VLOOKUP($B370,Korrigeringsfaktor_EI,'Korrigeringsfaktor EI'!T$1,FALSE),
"")</f>
        <v>5.0898577319587632</v>
      </c>
      <c r="U370" s="18">
        <f>IFERROR(
                  Andel_oberoende_av_klimat*VLOOKUP($A370,Leveranser_per_nät,'Leveranser per nät'!U$1,FALSE)
               +Andel_beroende_av_klimat*VLOOKUP($A370,Leveranser_per_nät,'Leveranser per nät'!U$1,FALSE)/VLOOKUP($B370,Korrigeringsfaktor_EI,'Korrigeringsfaktor EI'!U$1,FALSE),
"")</f>
        <v>4.82</v>
      </c>
      <c r="V370" s="18">
        <f>IFERROR(
                  Andel_oberoende_av_klimat*VLOOKUP($A370,Leveranser_per_nät,'Leveranser per nät'!V$1,FALSE)
               +Andel_beroende_av_klimat*VLOOKUP($A370,Leveranser_per_nät,'Leveranser per nät'!V$1,FALSE)/VLOOKUP($B370,Korrigeringsfaktor_EI,'Korrigeringsfaktor EI'!V$1,FALSE),
"")</f>
        <v>5.092173913043478</v>
      </c>
      <c r="W370" s="18">
        <f>IFERROR(
                  Andel_oberoende_av_klimat*VLOOKUP($A370,Leveranser_per_nät,'Leveranser per nät'!W$1,FALSE)
               +Andel_beroende_av_klimat*VLOOKUP($A370,Leveranser_per_nät,'Leveranser per nät'!W$1,FALSE)/VLOOKUP($B370,Korrigeringsfaktor_EI,'Korrigeringsfaktor EI'!W$1,FALSE),
"")</f>
        <v>4.5642857142857149</v>
      </c>
      <c r="X370" s="18">
        <f>IFERROR(
                  Andel_oberoende_av_klimat*VLOOKUP($A370,Leveranser_per_nät,'Leveranser per nät'!X$1,FALSE)
               +Andel_beroende_av_klimat*VLOOKUP($A370,Leveranser_per_nät,'Leveranser per nät'!X$1,FALSE)/VLOOKUP($B370,Korrigeringsfaktor_EI,'Korrigeringsfaktor EI'!X$1,FALSE),
"")</f>
        <v>4.425416666666667</v>
      </c>
      <c r="Y370" s="18">
        <f>IFERROR(
                  Andel_oberoende_av_klimat*VLOOKUP($A370,Leveranser_per_nät,'Leveranser per nät'!Y$1,FALSE)
               +Andel_beroende_av_klimat*VLOOKUP($A370,Leveranser_per_nät,'Leveranser per nät'!Y$1,FALSE)/VLOOKUP($B370,Korrigeringsfaktor_EI,'Korrigeringsfaktor EI'!Y$1,FALSE),
"")</f>
        <v>4.3495652173913033</v>
      </c>
      <c r="Z370" s="18">
        <f>IFERROR(
                  Andel_oberoende_av_klimat*VLOOKUP($A370,Leveranser_per_nät,'Leveranser per nät'!Z$1,FALSE)
               +Andel_beroende_av_klimat*VLOOKUP($A370,Leveranser_per_nät,'Leveranser per nät'!Z$1,FALSE)/VLOOKUP($B370,Korrigeringsfaktor_EI,'Korrigeringsfaktor EI'!Z$1,FALSE),
"")</f>
        <v>4.2769230769230768</v>
      </c>
      <c r="AA370" s="18">
        <f>IFERROR(
                  Andel_oberoende_av_klimat*VLOOKUP($A370,Leveranser_per_nät,'Leveranser per nät'!AA$1,FALSE)
               +Andel_beroende_av_klimat*VLOOKUP($A370,Leveranser_per_nät,'Leveranser per nät'!AA$1,FALSE)/VLOOKUP($B370,Korrigeringsfaktor_EI,'Korrigeringsfaktor EI'!AA$1,FALSE),
"")</f>
        <v>3.8739666334661353</v>
      </c>
      <c r="AB370" s="18">
        <f>IFERROR(
                  Andel_oberoende_av_klimat*VLOOKUP($A370,Leveranser_per_nät,'Leveranser per nät'!AB$1,FALSE)
               +Andel_beroende_av_klimat*VLOOKUP($A370,Leveranser_per_nät,'Leveranser per nät'!AB$1,FALSE)/VLOOKUP($B370,Korrigeringsfaktor_EI,'Korrigeringsfaktor EI'!AB$1,FALSE),
"")</f>
        <v>3.7710583580613255</v>
      </c>
      <c r="AC370" s="18">
        <f>IFERROR(
                  Andel_oberoende_av_klimat*VLOOKUP($A370,Leveranser_per_nät,'Leveranser per nät'!AC$1,FALSE)
               +Andel_beroende_av_klimat*VLOOKUP($A370,Leveranser_per_nät,'Leveranser per nät'!AC$1,FALSE)/VLOOKUP($B370,Korrigeringsfaktor_EI,'Korrigeringsfaktor EI'!AC$1,FALSE),
"")</f>
        <v>3.7523223753976671</v>
      </c>
      <c r="AD370">
        <v>98.03</v>
      </c>
    </row>
    <row r="371" spans="1:30" x14ac:dyDescent="0.25">
      <c r="A371" s="4" t="s">
        <v>418</v>
      </c>
      <c r="B371" t="s">
        <v>418</v>
      </c>
      <c r="C371" s="18">
        <f>IFERROR(
                  Andel_oberoende_av_klimat*VLOOKUP($A371,Leveranser_per_nät,'Leveranser per nät'!C$1,FALSE)
               +Andel_beroende_av_klimat*VLOOKUP($A371,Leveranser_per_nät,'Leveranser per nät'!C$1,FALSE)/VLOOKUP($B371,Korrigeringsfaktor_EI,'Korrigeringsfaktor EI'!C$1,FALSE),
"")</f>
        <v>51.821100917431195</v>
      </c>
      <c r="D371" s="18">
        <f>IFERROR(
                  Andel_oberoende_av_klimat*VLOOKUP($A371,Leveranser_per_nät,'Leveranser per nät'!D$1,FALSE)
               +Andel_beroende_av_klimat*VLOOKUP($A371,Leveranser_per_nät,'Leveranser per nät'!D$1,FALSE)/VLOOKUP($B371,Korrigeringsfaktor_EI,'Korrigeringsfaktor EI'!D$1,FALSE),
"")</f>
        <v>55.388888888888886</v>
      </c>
      <c r="E371" s="18">
        <f>IFERROR(
                  Andel_oberoende_av_klimat*VLOOKUP($A371,Leveranser_per_nät,'Leveranser per nät'!E$1,FALSE)
               +Andel_beroende_av_klimat*VLOOKUP($A371,Leveranser_per_nät,'Leveranser per nät'!E$1,FALSE)/VLOOKUP($B371,Korrigeringsfaktor_EI,'Korrigeringsfaktor EI'!E$1,FALSE),
"")</f>
        <v>56.442517647058821</v>
      </c>
      <c r="F371" s="18">
        <f>IFERROR(
                  Andel_oberoende_av_klimat*VLOOKUP($A371,Leveranser_per_nät,'Leveranser per nät'!F$1,FALSE)
               +Andel_beroende_av_klimat*VLOOKUP($A371,Leveranser_per_nät,'Leveranser per nät'!F$1,FALSE)/VLOOKUP($B371,Korrigeringsfaktor_EI,'Korrigeringsfaktor EI'!F$1,FALSE),
"")</f>
        <v>55.575000000000003</v>
      </c>
      <c r="G371" s="18">
        <f>IFERROR(
                  Andel_oberoende_av_klimat*VLOOKUP($A371,Leveranser_per_nät,'Leveranser per nät'!G$1,FALSE)
               +Andel_beroende_av_klimat*VLOOKUP($A371,Leveranser_per_nät,'Leveranser per nät'!G$1,FALSE)/VLOOKUP($B371,Korrigeringsfaktor_EI,'Korrigeringsfaktor EI'!G$1,FALSE),
"")</f>
        <v>51.486363636363635</v>
      </c>
      <c r="H371" s="18">
        <f>IFERROR(
                  Andel_oberoende_av_klimat*VLOOKUP($A371,Leveranser_per_nät,'Leveranser per nät'!H$1,FALSE)
               +Andel_beroende_av_klimat*VLOOKUP($A371,Leveranser_per_nät,'Leveranser per nät'!H$1,FALSE)/VLOOKUP($B371,Korrigeringsfaktor_EI,'Korrigeringsfaktor EI'!H$1,FALSE),
"")</f>
        <v>56.21764705882353</v>
      </c>
      <c r="I371" s="18">
        <f>IFERROR(
                  Andel_oberoende_av_klimat*VLOOKUP($A371,Leveranser_per_nät,'Leveranser per nät'!I$1,FALSE)
               +Andel_beroende_av_klimat*VLOOKUP($A371,Leveranser_per_nät,'Leveranser per nät'!I$1,FALSE)/VLOOKUP($B371,Korrigeringsfaktor_EI,'Korrigeringsfaktor EI'!I$1,FALSE),
"")</f>
        <v>56.717375000000004</v>
      </c>
      <c r="J371" s="18">
        <f>IFERROR(
                  Andel_oberoende_av_klimat*VLOOKUP($A371,Leveranser_per_nät,'Leveranser per nät'!J$1,FALSE)
               +Andel_beroende_av_klimat*VLOOKUP($A371,Leveranser_per_nät,'Leveranser per nät'!J$1,FALSE)/VLOOKUP($B371,Korrigeringsfaktor_EI,'Korrigeringsfaktor EI'!J$1,FALSE),
"")</f>
        <v>60.122121212121215</v>
      </c>
      <c r="K371" s="18">
        <f>IFERROR(
                  Andel_oberoende_av_klimat*VLOOKUP($A371,Leveranser_per_nät,'Leveranser per nät'!K$1,FALSE)
               +Andel_beroende_av_klimat*VLOOKUP($A371,Leveranser_per_nät,'Leveranser per nät'!K$1,FALSE)/VLOOKUP($B371,Korrigeringsfaktor_EI,'Korrigeringsfaktor EI'!K$1,FALSE),
"")</f>
        <v>55.897285714285715</v>
      </c>
      <c r="L371" s="18">
        <f>IFERROR(
                  Andel_oberoende_av_klimat*VLOOKUP($A371,Leveranser_per_nät,'Leveranser per nät'!L$1,FALSE)
               +Andel_beroende_av_klimat*VLOOKUP($A371,Leveranser_per_nät,'Leveranser per nät'!L$1,FALSE)/VLOOKUP($B371,Korrigeringsfaktor_EI,'Korrigeringsfaktor EI'!L$1,FALSE),
"")</f>
        <v>56.717375000000004</v>
      </c>
      <c r="M371" s="18">
        <f>IFERROR(
                  Andel_oberoende_av_klimat*VLOOKUP($A371,Leveranser_per_nät,'Leveranser per nät'!M$1,FALSE)
               +Andel_beroende_av_klimat*VLOOKUP($A371,Leveranser_per_nät,'Leveranser per nät'!M$1,FALSE)/VLOOKUP($B371,Korrigeringsfaktor_EI,'Korrigeringsfaktor EI'!M$1,FALSE),
"")</f>
        <v>65.266666666666666</v>
      </c>
      <c r="N371" s="18">
        <f>IFERROR(
                  Andel_oberoende_av_klimat*VLOOKUP($A371,Leveranser_per_nät,'Leveranser per nät'!N$1,FALSE)
               +Andel_beroende_av_klimat*VLOOKUP($A371,Leveranser_per_nät,'Leveranser per nät'!N$1,FALSE)/VLOOKUP($B371,Korrigeringsfaktor_EI,'Korrigeringsfaktor EI'!N$1,FALSE),
"")</f>
        <v>65.371935483870971</v>
      </c>
      <c r="O371" s="18">
        <f>IFERROR(
                  Andel_oberoende_av_klimat*VLOOKUP($A371,Leveranser_per_nät,'Leveranser per nät'!O$1,FALSE)
               +Andel_beroende_av_klimat*VLOOKUP($A371,Leveranser_per_nät,'Leveranser per nät'!O$1,FALSE)/VLOOKUP($B371,Korrigeringsfaktor_EI,'Korrigeringsfaktor EI'!O$1,FALSE),
"")</f>
        <v>66.728695652173911</v>
      </c>
      <c r="P371" s="18">
        <f>IFERROR(
                  Andel_oberoende_av_klimat*VLOOKUP($A371,Leveranser_per_nät,'Leveranser per nät'!P$1,FALSE)
               +Andel_beroende_av_klimat*VLOOKUP($A371,Leveranser_per_nät,'Leveranser per nät'!P$1,FALSE)/VLOOKUP($B371,Korrigeringsfaktor_EI,'Korrigeringsfaktor EI'!P$1,FALSE),
"")</f>
        <v>70.394242424242435</v>
      </c>
      <c r="Q371" s="18">
        <f>IFERROR(
                  Andel_oberoende_av_klimat*VLOOKUP($A371,Leveranser_per_nät,'Leveranser per nät'!Q$1,FALSE)
               +Andel_beroende_av_klimat*VLOOKUP($A371,Leveranser_per_nät,'Leveranser per nät'!Q$1,FALSE)/VLOOKUP($B371,Korrigeringsfaktor_EI,'Korrigeringsfaktor EI'!Q$1,FALSE),
"")</f>
        <v>74.624827586206891</v>
      </c>
      <c r="R371" s="18">
        <f>IFERROR(
                  Andel_oberoende_av_klimat*VLOOKUP($A371,Leveranser_per_nät,'Leveranser per nät'!R$1,FALSE)
               +Andel_beroende_av_klimat*VLOOKUP($A371,Leveranser_per_nät,'Leveranser per nät'!R$1,FALSE)/VLOOKUP($B371,Korrigeringsfaktor_EI,'Korrigeringsfaktor EI'!R$1,FALSE),
"")</f>
        <v>72.635483870967732</v>
      </c>
      <c r="S371" s="18">
        <f>IFERROR(
                  Andel_oberoende_av_klimat*VLOOKUP($A371,Leveranser_per_nät,'Leveranser per nät'!S$1,FALSE)
               +Andel_beroende_av_klimat*VLOOKUP($A371,Leveranser_per_nät,'Leveranser per nät'!S$1,FALSE)/VLOOKUP($B371,Korrigeringsfaktor_EI,'Korrigeringsfaktor EI'!S$1,FALSE),
"")</f>
        <v>74.956862745098036</v>
      </c>
      <c r="T371" s="18">
        <f>IFERROR(
                  Andel_oberoende_av_klimat*VLOOKUP($A371,Leveranser_per_nät,'Leveranser per nät'!T$1,FALSE)
               +Andel_beroende_av_klimat*VLOOKUP($A371,Leveranser_per_nät,'Leveranser per nät'!T$1,FALSE)/VLOOKUP($B371,Korrigeringsfaktor_EI,'Korrigeringsfaktor EI'!T$1,FALSE),
"")</f>
        <v>76.706561616161622</v>
      </c>
      <c r="U371" s="18">
        <f>IFERROR(
                  Andel_oberoende_av_klimat*VLOOKUP($A371,Leveranser_per_nät,'Leveranser per nät'!U$1,FALSE)
               +Andel_beroende_av_klimat*VLOOKUP($A371,Leveranser_per_nät,'Leveranser per nät'!U$1,FALSE)/VLOOKUP($B371,Korrigeringsfaktor_EI,'Korrigeringsfaktor EI'!U$1,FALSE),
"")</f>
        <v>76.217241379310337</v>
      </c>
      <c r="V371" s="18">
        <f>IFERROR(
                  Andel_oberoende_av_klimat*VLOOKUP($A371,Leveranser_per_nät,'Leveranser per nät'!V$1,FALSE)
               +Andel_beroende_av_klimat*VLOOKUP($A371,Leveranser_per_nät,'Leveranser per nät'!V$1,FALSE)/VLOOKUP($B371,Korrigeringsfaktor_EI,'Korrigeringsfaktor EI'!V$1,FALSE),
"")</f>
        <v>75.91538461538461</v>
      </c>
      <c r="W371" s="18">
        <f>IFERROR(
                  Andel_oberoende_av_klimat*VLOOKUP($A371,Leveranser_per_nät,'Leveranser per nät'!W$1,FALSE)
               +Andel_beroende_av_klimat*VLOOKUP($A371,Leveranser_per_nät,'Leveranser per nät'!W$1,FALSE)/VLOOKUP($B371,Korrigeringsfaktor_EI,'Korrigeringsfaktor EI'!W$1,FALSE),
"")</f>
        <v>78.667010309278353</v>
      </c>
      <c r="X371" s="18">
        <f>IFERROR(
                  Andel_oberoende_av_klimat*VLOOKUP($A371,Leveranser_per_nät,'Leveranser per nät'!X$1,FALSE)
               +Andel_beroende_av_klimat*VLOOKUP($A371,Leveranser_per_nät,'Leveranser per nät'!X$1,FALSE)/VLOOKUP($B371,Korrigeringsfaktor_EI,'Korrigeringsfaktor EI'!X$1,FALSE),
"")</f>
        <v>78.696315789473701</v>
      </c>
      <c r="Y371" s="18">
        <f>IFERROR(
                  Andel_oberoende_av_klimat*VLOOKUP($A371,Leveranser_per_nät,'Leveranser per nät'!Y$1,FALSE)
               +Andel_beroende_av_klimat*VLOOKUP($A371,Leveranser_per_nät,'Leveranser per nät'!Y$1,FALSE)/VLOOKUP($B371,Korrigeringsfaktor_EI,'Korrigeringsfaktor EI'!Y$1,FALSE),
"")</f>
        <v>81.372795698924719</v>
      </c>
      <c r="Z371" s="18">
        <f>IFERROR(
                  Andel_oberoende_av_klimat*VLOOKUP($A371,Leveranser_per_nät,'Leveranser per nät'!Z$1,FALSE)
               +Andel_beroende_av_klimat*VLOOKUP($A371,Leveranser_per_nät,'Leveranser per nät'!Z$1,FALSE)/VLOOKUP($B371,Korrigeringsfaktor_EI,'Korrigeringsfaktor EI'!Z$1,FALSE),
"")</f>
        <v>80.62</v>
      </c>
      <c r="AA371" s="18">
        <f>IFERROR(
                  Andel_oberoende_av_klimat*VLOOKUP($A371,Leveranser_per_nät,'Leveranser per nät'!AA$1,FALSE)
               +Andel_beroende_av_klimat*VLOOKUP($A371,Leveranser_per_nät,'Leveranser per nät'!AA$1,FALSE)/VLOOKUP($B371,Korrigeringsfaktor_EI,'Korrigeringsfaktor EI'!AA$1,FALSE),
"")</f>
        <v>81.460174492914689</v>
      </c>
      <c r="AB371" s="18">
        <f>IFERROR(
                  Andel_oberoende_av_klimat*VLOOKUP($A371,Leveranser_per_nät,'Leveranser per nät'!AB$1,FALSE)
               +Andel_beroende_av_klimat*VLOOKUP($A371,Leveranser_per_nät,'Leveranser per nät'!AB$1,FALSE)/VLOOKUP($B371,Korrigeringsfaktor_EI,'Korrigeringsfaktor EI'!AB$1,FALSE),
"")</f>
        <v>83.832454017424979</v>
      </c>
      <c r="AC371" s="18">
        <f>IFERROR(
                  Andel_oberoende_av_klimat*VLOOKUP($A371,Leveranser_per_nät,'Leveranser per nät'!AC$1,FALSE)
               +Andel_beroende_av_klimat*VLOOKUP($A371,Leveranser_per_nät,'Leveranser per nät'!AC$1,FALSE)/VLOOKUP($B371,Korrigeringsfaktor_EI,'Korrigeringsfaktor EI'!AC$1,FALSE),
"")</f>
        <v>83.093094379639453</v>
      </c>
      <c r="AD371">
        <v>79.72</v>
      </c>
    </row>
    <row r="372" spans="1:30" x14ac:dyDescent="0.25">
      <c r="A372" s="4" t="s">
        <v>816</v>
      </c>
      <c r="B372" t="s">
        <v>160</v>
      </c>
      <c r="C372" s="18">
        <f>IFERROR(
                  Andel_oberoende_av_klimat*VLOOKUP($A372,Leveranser_per_nät,'Leveranser per nät'!C$1,FALSE)
               +Andel_beroende_av_klimat*VLOOKUP($A372,Leveranser_per_nät,'Leveranser per nät'!C$1,FALSE)/VLOOKUP($B372,Korrigeringsfaktor_EI,'Korrigeringsfaktor EI'!C$1,FALSE),
"")</f>
        <v>0</v>
      </c>
      <c r="D372" s="18">
        <f>IFERROR(
                  Andel_oberoende_av_klimat*VLOOKUP($A372,Leveranser_per_nät,'Leveranser per nät'!D$1,FALSE)
               +Andel_beroende_av_klimat*VLOOKUP($A372,Leveranser_per_nät,'Leveranser per nät'!D$1,FALSE)/VLOOKUP($B372,Korrigeringsfaktor_EI,'Korrigeringsfaktor EI'!D$1,FALSE),
"")</f>
        <v>0</v>
      </c>
      <c r="E372" s="18">
        <f>IFERROR(
                  Andel_oberoende_av_klimat*VLOOKUP($A372,Leveranser_per_nät,'Leveranser per nät'!E$1,FALSE)
               +Andel_beroende_av_klimat*VLOOKUP($A372,Leveranser_per_nät,'Leveranser per nät'!E$1,FALSE)/VLOOKUP($B372,Korrigeringsfaktor_EI,'Korrigeringsfaktor EI'!E$1,FALSE),
"")</f>
        <v>0</v>
      </c>
      <c r="F372" s="18">
        <f>IFERROR(
                  Andel_oberoende_av_klimat*VLOOKUP($A372,Leveranser_per_nät,'Leveranser per nät'!F$1,FALSE)
               +Andel_beroende_av_klimat*VLOOKUP($A372,Leveranser_per_nät,'Leveranser per nät'!F$1,FALSE)/VLOOKUP($B372,Korrigeringsfaktor_EI,'Korrigeringsfaktor EI'!F$1,FALSE),
"")</f>
        <v>0</v>
      </c>
      <c r="G372" s="18">
        <f>IFERROR(
                  Andel_oberoende_av_klimat*VLOOKUP($A372,Leveranser_per_nät,'Leveranser per nät'!G$1,FALSE)
               +Andel_beroende_av_klimat*VLOOKUP($A372,Leveranser_per_nät,'Leveranser per nät'!G$1,FALSE)/VLOOKUP($B372,Korrigeringsfaktor_EI,'Korrigeringsfaktor EI'!G$1,FALSE),
"")</f>
        <v>0</v>
      </c>
      <c r="H372" s="18">
        <f>IFERROR(
                  Andel_oberoende_av_klimat*VLOOKUP($A372,Leveranser_per_nät,'Leveranser per nät'!H$1,FALSE)
               +Andel_beroende_av_klimat*VLOOKUP($A372,Leveranser_per_nät,'Leveranser per nät'!H$1,FALSE)/VLOOKUP($B372,Korrigeringsfaktor_EI,'Korrigeringsfaktor EI'!H$1,FALSE),
"")</f>
        <v>0</v>
      </c>
      <c r="I372" s="18">
        <f>IFERROR(
                  Andel_oberoende_av_klimat*VLOOKUP($A372,Leveranser_per_nät,'Leveranser per nät'!I$1,FALSE)
               +Andel_beroende_av_klimat*VLOOKUP($A372,Leveranser_per_nät,'Leveranser per nät'!I$1,FALSE)/VLOOKUP($B372,Korrigeringsfaktor_EI,'Korrigeringsfaktor EI'!I$1,FALSE),
"")</f>
        <v>0</v>
      </c>
      <c r="J372" s="18">
        <f>IFERROR(
                  Andel_oberoende_av_klimat*VLOOKUP($A372,Leveranser_per_nät,'Leveranser per nät'!J$1,FALSE)
               +Andel_beroende_av_klimat*VLOOKUP($A372,Leveranser_per_nät,'Leveranser per nät'!J$1,FALSE)/VLOOKUP($B372,Korrigeringsfaktor_EI,'Korrigeringsfaktor EI'!J$1,FALSE),
"")</f>
        <v>0</v>
      </c>
      <c r="K372" s="18">
        <f>IFERROR(
                  Andel_oberoende_av_klimat*VLOOKUP($A372,Leveranser_per_nät,'Leveranser per nät'!K$1,FALSE)
               +Andel_beroende_av_klimat*VLOOKUP($A372,Leveranser_per_nät,'Leveranser per nät'!K$1,FALSE)/VLOOKUP($B372,Korrigeringsfaktor_EI,'Korrigeringsfaktor EI'!K$1,FALSE),
"")</f>
        <v>0</v>
      </c>
      <c r="L372" s="18">
        <f>IFERROR(
                  Andel_oberoende_av_klimat*VLOOKUP($A372,Leveranser_per_nät,'Leveranser per nät'!L$1,FALSE)
               +Andel_beroende_av_klimat*VLOOKUP($A372,Leveranser_per_nät,'Leveranser per nät'!L$1,FALSE)/VLOOKUP($B372,Korrigeringsfaktor_EI,'Korrigeringsfaktor EI'!L$1,FALSE),
"")</f>
        <v>0</v>
      </c>
      <c r="M372" s="18">
        <f>IFERROR(
                  Andel_oberoende_av_klimat*VLOOKUP($A372,Leveranser_per_nät,'Leveranser per nät'!M$1,FALSE)
               +Andel_beroende_av_klimat*VLOOKUP($A372,Leveranser_per_nät,'Leveranser per nät'!M$1,FALSE)/VLOOKUP($B372,Korrigeringsfaktor_EI,'Korrigeringsfaktor EI'!M$1,FALSE),
"")</f>
        <v>0</v>
      </c>
      <c r="N372" s="18">
        <f>IFERROR(
                  Andel_oberoende_av_klimat*VLOOKUP($A372,Leveranser_per_nät,'Leveranser per nät'!N$1,FALSE)
               +Andel_beroende_av_klimat*VLOOKUP($A372,Leveranser_per_nät,'Leveranser per nät'!N$1,FALSE)/VLOOKUP($B372,Korrigeringsfaktor_EI,'Korrigeringsfaktor EI'!N$1,FALSE),
"")</f>
        <v>0</v>
      </c>
      <c r="O372" s="18">
        <f>IFERROR(
                  Andel_oberoende_av_klimat*VLOOKUP($A372,Leveranser_per_nät,'Leveranser per nät'!O$1,FALSE)
               +Andel_beroende_av_klimat*VLOOKUP($A372,Leveranser_per_nät,'Leveranser per nät'!O$1,FALSE)/VLOOKUP($B372,Korrigeringsfaktor_EI,'Korrigeringsfaktor EI'!O$1,FALSE),
"")</f>
        <v>0</v>
      </c>
      <c r="P372" s="18">
        <f>IFERROR(
                  Andel_oberoende_av_klimat*VLOOKUP($A372,Leveranser_per_nät,'Leveranser per nät'!P$1,FALSE)
               +Andel_beroende_av_klimat*VLOOKUP($A372,Leveranser_per_nät,'Leveranser per nät'!P$1,FALSE)/VLOOKUP($B372,Korrigeringsfaktor_EI,'Korrigeringsfaktor EI'!P$1,FALSE),
"")</f>
        <v>0</v>
      </c>
      <c r="Q372" s="18">
        <f>IFERROR(
                  Andel_oberoende_av_klimat*VLOOKUP($A372,Leveranser_per_nät,'Leveranser per nät'!Q$1,FALSE)
               +Andel_beroende_av_klimat*VLOOKUP($A372,Leveranser_per_nät,'Leveranser per nät'!Q$1,FALSE)/VLOOKUP($B372,Korrigeringsfaktor_EI,'Korrigeringsfaktor EI'!Q$1,FALSE),
"")</f>
        <v>0</v>
      </c>
      <c r="R372" s="18">
        <f>IFERROR(
                  Andel_oberoende_av_klimat*VLOOKUP($A372,Leveranser_per_nät,'Leveranser per nät'!R$1,FALSE)
               +Andel_beroende_av_klimat*VLOOKUP($A372,Leveranser_per_nät,'Leveranser per nät'!R$1,FALSE)/VLOOKUP($B372,Korrigeringsfaktor_EI,'Korrigeringsfaktor EI'!R$1,FALSE),
"")</f>
        <v>0</v>
      </c>
      <c r="S372" s="18" t="str">
        <f>IFERROR(
                  Andel_oberoende_av_klimat*VLOOKUP($A372,Leveranser_per_nät,'Leveranser per nät'!S$1,FALSE)
               +Andel_beroende_av_klimat*VLOOKUP($A372,Leveranser_per_nät,'Leveranser per nät'!S$1,FALSE)/VLOOKUP($B372,Korrigeringsfaktor_EI,'Korrigeringsfaktor EI'!S$1,FALSE),
"")</f>
        <v/>
      </c>
      <c r="T372" s="18" t="str">
        <f>IFERROR(
                  Andel_oberoende_av_klimat*VLOOKUP($A372,Leveranser_per_nät,'Leveranser per nät'!T$1,FALSE)
               +Andel_beroende_av_klimat*VLOOKUP($A372,Leveranser_per_nät,'Leveranser per nät'!T$1,FALSE)/VLOOKUP($B372,Korrigeringsfaktor_EI,'Korrigeringsfaktor EI'!T$1,FALSE),
"")</f>
        <v/>
      </c>
      <c r="U372" s="18" t="str">
        <f>IFERROR(
                  Andel_oberoende_av_klimat*VLOOKUP($A372,Leveranser_per_nät,'Leveranser per nät'!U$1,FALSE)
               +Andel_beroende_av_klimat*VLOOKUP($A372,Leveranser_per_nät,'Leveranser per nät'!U$1,FALSE)/VLOOKUP($B372,Korrigeringsfaktor_EI,'Korrigeringsfaktor EI'!U$1,FALSE),
"")</f>
        <v/>
      </c>
      <c r="V372" s="18">
        <f>IFERROR(
                  Andel_oberoende_av_klimat*VLOOKUP($A372,Leveranser_per_nät,'Leveranser per nät'!V$1,FALSE)
               +Andel_beroende_av_klimat*VLOOKUP($A372,Leveranser_per_nät,'Leveranser per nät'!V$1,FALSE)/VLOOKUP($B372,Korrigeringsfaktor_EI,'Korrigeringsfaktor EI'!V$1,FALSE),
"")</f>
        <v>9.7786516853932581E-2</v>
      </c>
      <c r="W372" s="18">
        <f>IFERROR(
                  Andel_oberoende_av_klimat*VLOOKUP($A372,Leveranser_per_nät,'Leveranser per nät'!W$1,FALSE)
               +Andel_beroende_av_klimat*VLOOKUP($A372,Leveranser_per_nät,'Leveranser per nät'!W$1,FALSE)/VLOOKUP($B372,Korrigeringsfaktor_EI,'Korrigeringsfaktor EI'!W$1,FALSE),
"")</f>
        <v>0.68431578947368421</v>
      </c>
      <c r="X372" s="18">
        <f>IFERROR(
                  Andel_oberoende_av_klimat*VLOOKUP($A372,Leveranser_per_nät,'Leveranser per nät'!X$1,FALSE)
               +Andel_beroende_av_klimat*VLOOKUP($A372,Leveranser_per_nät,'Leveranser per nät'!X$1,FALSE)/VLOOKUP($B372,Korrigeringsfaktor_EI,'Korrigeringsfaktor EI'!X$1,FALSE),
"")</f>
        <v>1.1337451612903224</v>
      </c>
      <c r="Y372" s="18">
        <f>IFERROR(
                  Andel_oberoende_av_klimat*VLOOKUP($A372,Leveranser_per_nät,'Leveranser per nät'!Y$1,FALSE)
               +Andel_beroende_av_klimat*VLOOKUP($A372,Leveranser_per_nät,'Leveranser per nät'!Y$1,FALSE)/VLOOKUP($B372,Korrigeringsfaktor_EI,'Korrigeringsfaktor EI'!Y$1,FALSE),
"")</f>
        <v>3.4116629213483147</v>
      </c>
      <c r="Z372" s="18">
        <f>IFERROR(
                  Andel_oberoende_av_klimat*VLOOKUP($A372,Leveranser_per_nät,'Leveranser per nät'!Z$1,FALSE)
               +Andel_beroende_av_klimat*VLOOKUP($A372,Leveranser_per_nät,'Leveranser per nät'!Z$1,FALSE)/VLOOKUP($B372,Korrigeringsfaktor_EI,'Korrigeringsfaktor EI'!Z$1,FALSE),
"")</f>
        <v>5.6522264367816089</v>
      </c>
      <c r="AA372" s="18">
        <f>IFERROR(
                  Andel_oberoende_av_klimat*VLOOKUP($A372,Leveranser_per_nät,'Leveranser per nät'!AA$1,FALSE)
               +Andel_beroende_av_klimat*VLOOKUP($A372,Leveranser_per_nät,'Leveranser per nät'!AA$1,FALSE)/VLOOKUP($B372,Korrigeringsfaktor_EI,'Korrigeringsfaktor EI'!AA$1,FALSE),
"")</f>
        <v>6.0140703008485463</v>
      </c>
      <c r="AB372" s="18">
        <f>IFERROR(
                  Andel_oberoende_av_klimat*VLOOKUP($A372,Leveranser_per_nät,'Leveranser per nät'!AB$1,FALSE)
               +Andel_beroende_av_klimat*VLOOKUP($A372,Leveranser_per_nät,'Leveranser per nät'!AB$1,FALSE)/VLOOKUP($B372,Korrigeringsfaktor_EI,'Korrigeringsfaktor EI'!AB$1,FALSE),
"")</f>
        <v>0</v>
      </c>
      <c r="AC372" s="18">
        <f>IFERROR(
                  Andel_oberoende_av_klimat*VLOOKUP($A372,Leveranser_per_nät,'Leveranser per nät'!AC$1,FALSE)
               +Andel_beroende_av_klimat*VLOOKUP($A372,Leveranser_per_nät,'Leveranser per nät'!AC$1,FALSE)/VLOOKUP($B372,Korrigeringsfaktor_EI,'Korrigeringsfaktor EI'!AC$1,FALSE),
"")</f>
        <v>2.0785943905070119</v>
      </c>
      <c r="AD372">
        <v>711.67200000000003</v>
      </c>
    </row>
    <row r="373" spans="1:30" x14ac:dyDescent="0.25">
      <c r="A373" t="s">
        <v>419</v>
      </c>
      <c r="B373" t="s">
        <v>166</v>
      </c>
      <c r="C373" s="18">
        <f>IFERROR(
                  Andel_oberoende_av_klimat*VLOOKUP($A373,Leveranser_per_nät,'Leveranser per nät'!C$1,FALSE)
               +Andel_beroende_av_klimat*VLOOKUP($A373,Leveranser_per_nät,'Leveranser per nät'!C$1,FALSE)/VLOOKUP($B373,Korrigeringsfaktor_EI,'Korrigeringsfaktor EI'!C$1,FALSE),
"")</f>
        <v>0</v>
      </c>
      <c r="D373" s="18">
        <f>IFERROR(
                  Andel_oberoende_av_klimat*VLOOKUP($A373,Leveranser_per_nät,'Leveranser per nät'!D$1,FALSE)
               +Andel_beroende_av_klimat*VLOOKUP($A373,Leveranser_per_nät,'Leveranser per nät'!D$1,FALSE)/VLOOKUP($B373,Korrigeringsfaktor_EI,'Korrigeringsfaktor EI'!D$1,FALSE),
"")</f>
        <v>0</v>
      </c>
      <c r="E373" s="18">
        <f>IFERROR(
                  Andel_oberoende_av_klimat*VLOOKUP($A373,Leveranser_per_nät,'Leveranser per nät'!E$1,FALSE)
               +Andel_beroende_av_klimat*VLOOKUP($A373,Leveranser_per_nät,'Leveranser per nät'!E$1,FALSE)/VLOOKUP($B373,Korrigeringsfaktor_EI,'Korrigeringsfaktor EI'!E$1,FALSE),
"")</f>
        <v>1.9592233009708737</v>
      </c>
      <c r="F373" s="18">
        <f>IFERROR(
                  Andel_oberoende_av_klimat*VLOOKUP($A373,Leveranser_per_nät,'Leveranser per nät'!F$1,FALSE)
               +Andel_beroende_av_klimat*VLOOKUP($A373,Leveranser_per_nät,'Leveranser per nät'!F$1,FALSE)/VLOOKUP($B373,Korrigeringsfaktor_EI,'Korrigeringsfaktor EI'!F$1,FALSE),
"")</f>
        <v>4.028282828282828</v>
      </c>
      <c r="G373" s="18">
        <f>IFERROR(
                  Andel_oberoende_av_klimat*VLOOKUP($A373,Leveranser_per_nät,'Leveranser per nät'!G$1,FALSE)
               +Andel_beroende_av_klimat*VLOOKUP($A373,Leveranser_per_nät,'Leveranser per nät'!G$1,FALSE)/VLOOKUP($B373,Korrigeringsfaktor_EI,'Korrigeringsfaktor EI'!G$1,FALSE),
"")</f>
        <v>4.2769230769230768</v>
      </c>
      <c r="H373" s="18">
        <f>IFERROR(
                  Andel_oberoende_av_klimat*VLOOKUP($A373,Leveranser_per_nät,'Leveranser per nät'!H$1,FALSE)
               +Andel_beroende_av_klimat*VLOOKUP($A373,Leveranser_per_nät,'Leveranser per nät'!H$1,FALSE)/VLOOKUP($B373,Korrigeringsfaktor_EI,'Korrigeringsfaktor EI'!H$1,FALSE),
"")</f>
        <v>0</v>
      </c>
      <c r="I373" s="18">
        <f>IFERROR(
                  Andel_oberoende_av_klimat*VLOOKUP($A373,Leveranser_per_nät,'Leveranser per nät'!I$1,FALSE)
               +Andel_beroende_av_klimat*VLOOKUP($A373,Leveranser_per_nät,'Leveranser per nät'!I$1,FALSE)/VLOOKUP($B373,Korrigeringsfaktor_EI,'Korrigeringsfaktor EI'!I$1,FALSE),
"")</f>
        <v>0</v>
      </c>
      <c r="J373" s="18">
        <f>IFERROR(
                  Andel_oberoende_av_klimat*VLOOKUP($A373,Leveranser_per_nät,'Leveranser per nät'!J$1,FALSE)
               +Andel_beroende_av_klimat*VLOOKUP($A373,Leveranser_per_nät,'Leveranser per nät'!J$1,FALSE)/VLOOKUP($B373,Korrigeringsfaktor_EI,'Korrigeringsfaktor EI'!J$1,FALSE),
"")</f>
        <v>0</v>
      </c>
      <c r="K373" s="18">
        <f>IFERROR(
                  Andel_oberoende_av_klimat*VLOOKUP($A373,Leveranser_per_nät,'Leveranser per nät'!K$1,FALSE)
               +Andel_beroende_av_klimat*VLOOKUP($A373,Leveranser_per_nät,'Leveranser per nät'!K$1,FALSE)/VLOOKUP($B373,Korrigeringsfaktor_EI,'Korrigeringsfaktor EI'!K$1,FALSE),
"")</f>
        <v>0</v>
      </c>
      <c r="L373" s="18">
        <f>IFERROR(
                  Andel_oberoende_av_klimat*VLOOKUP($A373,Leveranser_per_nät,'Leveranser per nät'!L$1,FALSE)
               +Andel_beroende_av_klimat*VLOOKUP($A373,Leveranser_per_nät,'Leveranser per nät'!L$1,FALSE)/VLOOKUP($B373,Korrigeringsfaktor_EI,'Korrigeringsfaktor EI'!L$1,FALSE),
"")</f>
        <v>0</v>
      </c>
      <c r="M373" s="18">
        <f>IFERROR(
                  Andel_oberoende_av_klimat*VLOOKUP($A373,Leveranser_per_nät,'Leveranser per nät'!M$1,FALSE)
               +Andel_beroende_av_klimat*VLOOKUP($A373,Leveranser_per_nät,'Leveranser per nät'!M$1,FALSE)/VLOOKUP($B373,Korrigeringsfaktor_EI,'Korrigeringsfaktor EI'!M$1,FALSE),
"")</f>
        <v>0</v>
      </c>
      <c r="N373" s="18">
        <f>IFERROR(
                  Andel_oberoende_av_klimat*VLOOKUP($A373,Leveranser_per_nät,'Leveranser per nät'!N$1,FALSE)
               +Andel_beroende_av_klimat*VLOOKUP($A373,Leveranser_per_nät,'Leveranser per nät'!N$1,FALSE)/VLOOKUP($B373,Korrigeringsfaktor_EI,'Korrigeringsfaktor EI'!N$1,FALSE),
"")</f>
        <v>0</v>
      </c>
      <c r="O373" s="18">
        <f>IFERROR(
                  Andel_oberoende_av_klimat*VLOOKUP($A373,Leveranser_per_nät,'Leveranser per nät'!O$1,FALSE)
               +Andel_beroende_av_klimat*VLOOKUP($A373,Leveranser_per_nät,'Leveranser per nät'!O$1,FALSE)/VLOOKUP($B373,Korrigeringsfaktor_EI,'Korrigeringsfaktor EI'!O$1,FALSE),
"")</f>
        <v>0</v>
      </c>
      <c r="P373" s="18">
        <f>IFERROR(
                  Andel_oberoende_av_klimat*VLOOKUP($A373,Leveranser_per_nät,'Leveranser per nät'!P$1,FALSE)
               +Andel_beroende_av_klimat*VLOOKUP($A373,Leveranser_per_nät,'Leveranser per nät'!P$1,FALSE)/VLOOKUP($B373,Korrigeringsfaktor_EI,'Korrigeringsfaktor EI'!P$1,FALSE),
"")</f>
        <v>0</v>
      </c>
      <c r="Q373" s="18">
        <f>IFERROR(
                  Andel_oberoende_av_klimat*VLOOKUP($A373,Leveranser_per_nät,'Leveranser per nät'!Q$1,FALSE)
               +Andel_beroende_av_klimat*VLOOKUP($A373,Leveranser_per_nät,'Leveranser per nät'!Q$1,FALSE)/VLOOKUP($B373,Korrigeringsfaktor_EI,'Korrigeringsfaktor EI'!Q$1,FALSE),
"")</f>
        <v>0</v>
      </c>
      <c r="R373" s="18">
        <f>IFERROR(
                  Andel_oberoende_av_klimat*VLOOKUP($A373,Leveranser_per_nät,'Leveranser per nät'!R$1,FALSE)
               +Andel_beroende_av_klimat*VLOOKUP($A373,Leveranser_per_nät,'Leveranser per nät'!R$1,FALSE)/VLOOKUP($B373,Korrigeringsfaktor_EI,'Korrigeringsfaktor EI'!R$1,FALSE),
"")</f>
        <v>0</v>
      </c>
      <c r="S373" s="18">
        <f>IFERROR(
                  Andel_oberoende_av_klimat*VLOOKUP($A373,Leveranser_per_nät,'Leveranser per nät'!S$1,FALSE)
               +Andel_beroende_av_klimat*VLOOKUP($A373,Leveranser_per_nät,'Leveranser per nät'!S$1,FALSE)/VLOOKUP($B373,Korrigeringsfaktor_EI,'Korrigeringsfaktor EI'!S$1,FALSE),
"")</f>
        <v>0</v>
      </c>
      <c r="T373" s="18" t="str">
        <f>IFERROR(
                  Andel_oberoende_av_klimat*VLOOKUP($A373,Leveranser_per_nät,'Leveranser per nät'!T$1,FALSE)
               +Andel_beroende_av_klimat*VLOOKUP($A373,Leveranser_per_nät,'Leveranser per nät'!T$1,FALSE)/VLOOKUP($B373,Korrigeringsfaktor_EI,'Korrigeringsfaktor EI'!T$1,FALSE),
"")</f>
        <v/>
      </c>
      <c r="U373" s="18" t="str">
        <f>IFERROR(
                  Andel_oberoende_av_klimat*VLOOKUP($A373,Leveranser_per_nät,'Leveranser per nät'!U$1,FALSE)
               +Andel_beroende_av_klimat*VLOOKUP($A373,Leveranser_per_nät,'Leveranser per nät'!U$1,FALSE)/VLOOKUP($B373,Korrigeringsfaktor_EI,'Korrigeringsfaktor EI'!U$1,FALSE),
"")</f>
        <v/>
      </c>
      <c r="V373" s="18" t="str">
        <f>IFERROR(
                  Andel_oberoende_av_klimat*VLOOKUP($A373,Leveranser_per_nät,'Leveranser per nät'!V$1,FALSE)
               +Andel_beroende_av_klimat*VLOOKUP($A373,Leveranser_per_nät,'Leveranser per nät'!V$1,FALSE)/VLOOKUP($B373,Korrigeringsfaktor_EI,'Korrigeringsfaktor EI'!V$1,FALSE),
"")</f>
        <v/>
      </c>
      <c r="W373" s="18" t="str">
        <f>IFERROR(
                  Andel_oberoende_av_klimat*VLOOKUP($A373,Leveranser_per_nät,'Leveranser per nät'!W$1,FALSE)
               +Andel_beroende_av_klimat*VLOOKUP($A373,Leveranser_per_nät,'Leveranser per nät'!W$1,FALSE)/VLOOKUP($B373,Korrigeringsfaktor_EI,'Korrigeringsfaktor EI'!W$1,FALSE),
"")</f>
        <v/>
      </c>
      <c r="X373" s="18" t="str">
        <f>IFERROR(
                  Andel_oberoende_av_klimat*VLOOKUP($A373,Leveranser_per_nät,'Leveranser per nät'!X$1,FALSE)
               +Andel_beroende_av_klimat*VLOOKUP($A373,Leveranser_per_nät,'Leveranser per nät'!X$1,FALSE)/VLOOKUP($B373,Korrigeringsfaktor_EI,'Korrigeringsfaktor EI'!X$1,FALSE),
"")</f>
        <v/>
      </c>
      <c r="Y373" s="18" t="str">
        <f>IFERROR(
                  Andel_oberoende_av_klimat*VLOOKUP($A373,Leveranser_per_nät,'Leveranser per nät'!Y$1,FALSE)
               +Andel_beroende_av_klimat*VLOOKUP($A373,Leveranser_per_nät,'Leveranser per nät'!Y$1,FALSE)/VLOOKUP($B373,Korrigeringsfaktor_EI,'Korrigeringsfaktor EI'!Y$1,FALSE),
"")</f>
        <v/>
      </c>
      <c r="Z373" s="18">
        <f>IFERROR(
                  Andel_oberoende_av_klimat*VLOOKUP($A373,Leveranser_per_nät,'Leveranser per nät'!Z$1,FALSE)
               +Andel_beroende_av_klimat*VLOOKUP($A373,Leveranser_per_nät,'Leveranser per nät'!Z$1,FALSE)/VLOOKUP($B373,Korrigeringsfaktor_EI,'Korrigeringsfaktor EI'!Z$1,FALSE),
"")</f>
        <v>0</v>
      </c>
      <c r="AA373" s="18" t="str">
        <f>IFERROR(
                  Andel_oberoende_av_klimat*VLOOKUP($A373,Leveranser_per_nät,'Leveranser per nät'!AA$1,FALSE)
               +Andel_beroende_av_klimat*VLOOKUP($A373,Leveranser_per_nät,'Leveranser per nät'!AA$1,FALSE)/VLOOKUP($B373,Korrigeringsfaktor_EI,'Korrigeringsfaktor EI'!AA$1,FALSE),
"")</f>
        <v/>
      </c>
      <c r="AB373" s="18">
        <f>IFERROR(
                  Andel_oberoende_av_klimat*VLOOKUP($A373,Leveranser_per_nät,'Leveranser per nät'!AB$1,FALSE)
               +Andel_beroende_av_klimat*VLOOKUP($A373,Leveranser_per_nät,'Leveranser per nät'!AB$1,FALSE)/VLOOKUP($B373,Korrigeringsfaktor_EI,'Korrigeringsfaktor EI'!AB$1,FALSE),
"")</f>
        <v>0</v>
      </c>
      <c r="AC373" s="18">
        <f>IFERROR(
                  Andel_oberoende_av_klimat*VLOOKUP($A373,Leveranser_per_nät,'Leveranser per nät'!AC$1,FALSE)
               +Andel_beroende_av_klimat*VLOOKUP($A373,Leveranser_per_nät,'Leveranser per nät'!AC$1,FALSE)/VLOOKUP($B373,Korrigeringsfaktor_EI,'Korrigeringsfaktor EI'!AC$1,FALSE),
"")</f>
        <v>0</v>
      </c>
      <c r="AD373">
        <v>564.79999999999995</v>
      </c>
    </row>
    <row r="374" spans="1:30" x14ac:dyDescent="0.25">
      <c r="A374" t="s">
        <v>420</v>
      </c>
      <c r="B374" t="s">
        <v>420</v>
      </c>
      <c r="C374" s="18">
        <f>IFERROR(
                  Andel_oberoende_av_klimat*VLOOKUP($A374,Leveranser_per_nät,'Leveranser per nät'!C$1,FALSE)
               +Andel_beroende_av_klimat*VLOOKUP($A374,Leveranser_per_nät,'Leveranser per nät'!C$1,FALSE)/VLOOKUP($B374,Korrigeringsfaktor_EI,'Korrigeringsfaktor EI'!C$1,FALSE),
"")</f>
        <v>2751.229357798165</v>
      </c>
      <c r="D374" s="18">
        <f>IFERROR(
                  Andel_oberoende_av_klimat*VLOOKUP($A374,Leveranser_per_nät,'Leveranser per nät'!D$1,FALSE)
               +Andel_beroende_av_klimat*VLOOKUP($A374,Leveranser_per_nät,'Leveranser per nät'!D$1,FALSE)/VLOOKUP($B374,Korrigeringsfaktor_EI,'Korrigeringsfaktor EI'!D$1,FALSE),
"")</f>
        <v>2698.2388217821785</v>
      </c>
      <c r="E374" s="18">
        <f>IFERROR(
                  Andel_oberoende_av_klimat*VLOOKUP($A374,Leveranser_per_nät,'Leveranser per nät'!E$1,FALSE)
               +Andel_beroende_av_klimat*VLOOKUP($A374,Leveranser_per_nät,'Leveranser per nät'!E$1,FALSE)/VLOOKUP($B374,Korrigeringsfaktor_EI,'Korrigeringsfaktor EI'!E$1,FALSE),
"")</f>
        <v>2664.9171153846155</v>
      </c>
      <c r="F374" s="18">
        <f>IFERROR(
                  Andel_oberoende_av_klimat*VLOOKUP($A374,Leveranser_per_nät,'Leveranser per nät'!F$1,FALSE)
               +Andel_beroende_av_klimat*VLOOKUP($A374,Leveranser_per_nät,'Leveranser per nät'!F$1,FALSE)/VLOOKUP($B374,Korrigeringsfaktor_EI,'Korrigeringsfaktor EI'!F$1,FALSE),
"")</f>
        <v>2830.2160526315788</v>
      </c>
      <c r="G374" s="18">
        <f>IFERROR(
                  Andel_oberoende_av_klimat*VLOOKUP($A374,Leveranser_per_nät,'Leveranser per nät'!G$1,FALSE)
               +Andel_beroende_av_klimat*VLOOKUP($A374,Leveranser_per_nät,'Leveranser per nät'!G$1,FALSE)/VLOOKUP($B374,Korrigeringsfaktor_EI,'Korrigeringsfaktor EI'!G$1,FALSE),
"")</f>
        <v>2661.3153846153846</v>
      </c>
      <c r="H374" s="18">
        <f>IFERROR(
                  Andel_oberoende_av_klimat*VLOOKUP($A374,Leveranser_per_nät,'Leveranser per nät'!H$1,FALSE)
               +Andel_beroende_av_klimat*VLOOKUP($A374,Leveranser_per_nät,'Leveranser per nät'!H$1,FALSE)/VLOOKUP($B374,Korrigeringsfaktor_EI,'Korrigeringsfaktor EI'!H$1,FALSE),
"")</f>
        <v>2902.25</v>
      </c>
      <c r="I374" s="18">
        <f>IFERROR(
                  Andel_oberoende_av_klimat*VLOOKUP($A374,Leveranser_per_nät,'Leveranser per nät'!I$1,FALSE)
               +Andel_beroende_av_klimat*VLOOKUP($A374,Leveranser_per_nät,'Leveranser per nät'!I$1,FALSE)/VLOOKUP($B374,Korrigeringsfaktor_EI,'Korrigeringsfaktor EI'!I$1,FALSE),
"")</f>
        <v>3018.0569892473113</v>
      </c>
      <c r="J374" s="18">
        <f>IFERROR(
                  Andel_oberoende_av_klimat*VLOOKUP($A374,Leveranser_per_nät,'Leveranser per nät'!J$1,FALSE)
               +Andel_beroende_av_klimat*VLOOKUP($A374,Leveranser_per_nät,'Leveranser per nät'!J$1,FALSE)/VLOOKUP($B374,Korrigeringsfaktor_EI,'Korrigeringsfaktor EI'!J$1,FALSE),
"")</f>
        <v>2979.1298969072163</v>
      </c>
      <c r="K374" s="18">
        <f>IFERROR(
                  Andel_oberoende_av_klimat*VLOOKUP($A374,Leveranser_per_nät,'Leveranser per nät'!K$1,FALSE)
               +Andel_beroende_av_klimat*VLOOKUP($A374,Leveranser_per_nät,'Leveranser per nät'!K$1,FALSE)/VLOOKUP($B374,Korrigeringsfaktor_EI,'Korrigeringsfaktor EI'!K$1,FALSE),
"")</f>
        <v>0</v>
      </c>
      <c r="L374" s="18">
        <f>IFERROR(
                  Andel_oberoende_av_klimat*VLOOKUP($A374,Leveranser_per_nät,'Leveranser per nät'!L$1,FALSE)
               +Andel_beroende_av_klimat*VLOOKUP($A374,Leveranser_per_nät,'Leveranser per nät'!L$1,FALSE)/VLOOKUP($B374,Korrigeringsfaktor_EI,'Korrigeringsfaktor EI'!L$1,FALSE),
"")</f>
        <v>0</v>
      </c>
      <c r="M374" s="18">
        <f>IFERROR(
                  Andel_oberoende_av_klimat*VLOOKUP($A374,Leveranser_per_nät,'Leveranser per nät'!M$1,FALSE)
               +Andel_beroende_av_klimat*VLOOKUP($A374,Leveranser_per_nät,'Leveranser per nät'!M$1,FALSE)/VLOOKUP($B374,Korrigeringsfaktor_EI,'Korrigeringsfaktor EI'!M$1,FALSE),
"")</f>
        <v>0</v>
      </c>
      <c r="N374" s="18">
        <f>IFERROR(
                  Andel_oberoende_av_klimat*VLOOKUP($A374,Leveranser_per_nät,'Leveranser per nät'!N$1,FALSE)
               +Andel_beroende_av_klimat*VLOOKUP($A374,Leveranser_per_nät,'Leveranser per nät'!N$1,FALSE)/VLOOKUP($B374,Korrigeringsfaktor_EI,'Korrigeringsfaktor EI'!N$1,FALSE),
"")</f>
        <v>0</v>
      </c>
      <c r="O374" s="18">
        <f>IFERROR(
                  Andel_oberoende_av_klimat*VLOOKUP($A374,Leveranser_per_nät,'Leveranser per nät'!O$1,FALSE)
               +Andel_beroende_av_klimat*VLOOKUP($A374,Leveranser_per_nät,'Leveranser per nät'!O$1,FALSE)/VLOOKUP($B374,Korrigeringsfaktor_EI,'Korrigeringsfaktor EI'!O$1,FALSE),
"")</f>
        <v>0</v>
      </c>
      <c r="P374" s="18">
        <f>IFERROR(
                  Andel_oberoende_av_klimat*VLOOKUP($A374,Leveranser_per_nät,'Leveranser per nät'!P$1,FALSE)
               +Andel_beroende_av_klimat*VLOOKUP($A374,Leveranser_per_nät,'Leveranser per nät'!P$1,FALSE)/VLOOKUP($B374,Korrigeringsfaktor_EI,'Korrigeringsfaktor EI'!P$1,FALSE),
"")</f>
        <v>8163.1756989247315</v>
      </c>
      <c r="Q374" s="18">
        <f>IFERROR(
                  Andel_oberoende_av_klimat*VLOOKUP($A374,Leveranser_per_nät,'Leveranser per nät'!Q$1,FALSE)
               +Andel_beroende_av_klimat*VLOOKUP($A374,Leveranser_per_nät,'Leveranser per nät'!Q$1,FALSE)/VLOOKUP($B374,Korrigeringsfaktor_EI,'Korrigeringsfaktor EI'!Q$1,FALSE),
"")</f>
        <v>8393.1339449541283</v>
      </c>
      <c r="R374" s="18">
        <f>IFERROR(
                  Andel_oberoende_av_klimat*VLOOKUP($A374,Leveranser_per_nät,'Leveranser per nät'!R$1,FALSE)
               +Andel_beroende_av_klimat*VLOOKUP($A374,Leveranser_per_nät,'Leveranser per nät'!R$1,FALSE)/VLOOKUP($B374,Korrigeringsfaktor_EI,'Korrigeringsfaktor EI'!R$1,FALSE),
"")</f>
        <v>8739.7806500000006</v>
      </c>
      <c r="S374" s="18">
        <f>IFERROR(
                  Andel_oberoende_av_klimat*VLOOKUP($A374,Leveranser_per_nät,'Leveranser per nät'!S$1,FALSE)
               +Andel_beroende_av_klimat*VLOOKUP($A374,Leveranser_per_nät,'Leveranser per nät'!S$1,FALSE)/VLOOKUP($B374,Korrigeringsfaktor_EI,'Korrigeringsfaktor EI'!S$1,FALSE),
"")</f>
        <v>8011.8854833333353</v>
      </c>
      <c r="T374" s="18">
        <f>IFERROR(
                  Andel_oberoende_av_klimat*VLOOKUP($A374,Leveranser_per_nät,'Leveranser per nät'!T$1,FALSE)
               +Andel_beroende_av_klimat*VLOOKUP($A374,Leveranser_per_nät,'Leveranser per nät'!T$1,FALSE)/VLOOKUP($B374,Korrigeringsfaktor_EI,'Korrigeringsfaktor EI'!T$1,FALSE),
"")</f>
        <v>8000.0099652173913</v>
      </c>
      <c r="U374" s="18">
        <f>IFERROR(
                  Andel_oberoende_av_klimat*VLOOKUP($A374,Leveranser_per_nät,'Leveranser per nät'!U$1,FALSE)
               +Andel_beroende_av_klimat*VLOOKUP($A374,Leveranser_per_nät,'Leveranser per nät'!U$1,FALSE)/VLOOKUP($B374,Korrigeringsfaktor_EI,'Korrigeringsfaktor EI'!U$1,FALSE),
"")</f>
        <v>7582.3847227272727</v>
      </c>
      <c r="V374" s="18">
        <f>IFERROR(
                  Andel_oberoende_av_klimat*VLOOKUP($A374,Leveranser_per_nät,'Leveranser per nät'!V$1,FALSE)
               +Andel_beroende_av_klimat*VLOOKUP($A374,Leveranser_per_nät,'Leveranser per nät'!V$1,FALSE)/VLOOKUP($B374,Korrigeringsfaktor_EI,'Korrigeringsfaktor EI'!V$1,FALSE),
"")</f>
        <v>7568.1177117647057</v>
      </c>
      <c r="W374" s="18">
        <f>IFERROR(
                  Andel_oberoende_av_klimat*VLOOKUP($A374,Leveranser_per_nät,'Leveranser per nät'!W$1,FALSE)
               +Andel_beroende_av_klimat*VLOOKUP($A374,Leveranser_per_nät,'Leveranser per nät'!W$1,FALSE)/VLOOKUP($B374,Korrigeringsfaktor_EI,'Korrigeringsfaktor EI'!W$1,FALSE),
"")</f>
        <v>7979.3124112359546</v>
      </c>
      <c r="X374" s="18">
        <f>IFERROR(
                  Andel_oberoende_av_klimat*VLOOKUP($A374,Leveranser_per_nät,'Leveranser per nät'!X$1,FALSE)
               +Andel_beroende_av_klimat*VLOOKUP($A374,Leveranser_per_nät,'Leveranser per nät'!X$1,FALSE)/VLOOKUP($B374,Korrigeringsfaktor_EI,'Korrigeringsfaktor EI'!X$1,FALSE),
"")</f>
        <v>7885.0051363636358</v>
      </c>
      <c r="Y374" s="18">
        <f>IFERROR(
                  Andel_oberoende_av_klimat*VLOOKUP($A374,Leveranser_per_nät,'Leveranser per nät'!Y$1,FALSE)
               +Andel_beroende_av_klimat*VLOOKUP($A374,Leveranser_per_nät,'Leveranser per nät'!Y$1,FALSE)/VLOOKUP($B374,Korrigeringsfaktor_EI,'Korrigeringsfaktor EI'!Y$1,FALSE),
"")</f>
        <v>7982.3534255813956</v>
      </c>
      <c r="Z374" s="18">
        <f>IFERROR(
                  Andel_oberoende_av_klimat*VLOOKUP($A374,Leveranser_per_nät,'Leveranser per nät'!Z$1,FALSE)
               +Andel_beroende_av_klimat*VLOOKUP($A374,Leveranser_per_nät,'Leveranser per nät'!Z$1,FALSE)/VLOOKUP($B374,Korrigeringsfaktor_EI,'Korrigeringsfaktor EI'!Z$1,FALSE),
"")</f>
        <v>9024.4196823529401</v>
      </c>
      <c r="AA374" s="18">
        <f>IFERROR(
                  Andel_oberoende_av_klimat*VLOOKUP($A374,Leveranser_per_nät,'Leveranser per nät'!AA$1,FALSE)
               +Andel_beroende_av_klimat*VLOOKUP($A374,Leveranser_per_nät,'Leveranser per nät'!AA$1,FALSE)/VLOOKUP($B374,Korrigeringsfaktor_EI,'Korrigeringsfaktor EI'!AA$1,FALSE),
"")</f>
        <v>8650.1829053481888</v>
      </c>
      <c r="AB374" s="18">
        <f>IFERROR(
                  Andel_oberoende_av_klimat*VLOOKUP($A374,Leveranser_per_nät,'Leveranser per nät'!AB$1,FALSE)
               +Andel_beroende_av_klimat*VLOOKUP($A374,Leveranser_per_nät,'Leveranser per nät'!AB$1,FALSE)/VLOOKUP($B374,Korrigeringsfaktor_EI,'Korrigeringsfaktor EI'!AB$1,FALSE),
"")</f>
        <v>8232.820962075848</v>
      </c>
      <c r="AC374" s="18">
        <f>IFERROR(
                  Andel_oberoende_av_klimat*VLOOKUP($A374,Leveranser_per_nät,'Leveranser per nät'!AC$1,FALSE)
               +Andel_beroende_av_klimat*VLOOKUP($A374,Leveranser_per_nät,'Leveranser per nät'!AC$1,FALSE)/VLOOKUP($B374,Korrigeringsfaktor_EI,'Korrigeringsfaktor EI'!AC$1,FALSE),
"")</f>
        <v>8084.8202820895522</v>
      </c>
      <c r="AD374">
        <v>7723.8890000000001</v>
      </c>
    </row>
    <row r="375" spans="1:30" x14ac:dyDescent="0.25">
      <c r="A375" s="4" t="s">
        <v>421</v>
      </c>
      <c r="B375" t="s">
        <v>418</v>
      </c>
      <c r="C375" s="18">
        <f>IFERROR(
                  Andel_oberoende_av_klimat*VLOOKUP($A375,Leveranser_per_nät,'Leveranser per nät'!C$1,FALSE)
               +Andel_beroende_av_klimat*VLOOKUP($A375,Leveranser_per_nät,'Leveranser per nät'!C$1,FALSE)/VLOOKUP($B375,Korrigeringsfaktor_EI,'Korrigeringsfaktor EI'!C$1,FALSE),
"")</f>
        <v>0</v>
      </c>
      <c r="D375" s="18">
        <f>IFERROR(
                  Andel_oberoende_av_klimat*VLOOKUP($A375,Leveranser_per_nät,'Leveranser per nät'!D$1,FALSE)
               +Andel_beroende_av_klimat*VLOOKUP($A375,Leveranser_per_nät,'Leveranser per nät'!D$1,FALSE)/VLOOKUP($B375,Korrigeringsfaktor_EI,'Korrigeringsfaktor EI'!D$1,FALSE),
"")</f>
        <v>0</v>
      </c>
      <c r="E375" s="18">
        <f>IFERROR(
                  Andel_oberoende_av_klimat*VLOOKUP($A375,Leveranser_per_nät,'Leveranser per nät'!E$1,FALSE)
               +Andel_beroende_av_klimat*VLOOKUP($A375,Leveranser_per_nät,'Leveranser per nät'!E$1,FALSE)/VLOOKUP($B375,Korrigeringsfaktor_EI,'Korrigeringsfaktor EI'!E$1,FALSE),
"")</f>
        <v>0</v>
      </c>
      <c r="F375" s="18">
        <f>IFERROR(
                  Andel_oberoende_av_klimat*VLOOKUP($A375,Leveranser_per_nät,'Leveranser per nät'!F$1,FALSE)
               +Andel_beroende_av_klimat*VLOOKUP($A375,Leveranser_per_nät,'Leveranser per nät'!F$1,FALSE)/VLOOKUP($B375,Korrigeringsfaktor_EI,'Korrigeringsfaktor EI'!F$1,FALSE),
"")</f>
        <v>0</v>
      </c>
      <c r="G375" s="18">
        <f>IFERROR(
                  Andel_oberoende_av_klimat*VLOOKUP($A375,Leveranser_per_nät,'Leveranser per nät'!G$1,FALSE)
               +Andel_beroende_av_klimat*VLOOKUP($A375,Leveranser_per_nät,'Leveranser per nät'!G$1,FALSE)/VLOOKUP($B375,Korrigeringsfaktor_EI,'Korrigeringsfaktor EI'!G$1,FALSE),
"")</f>
        <v>0</v>
      </c>
      <c r="H375" s="18">
        <f>IFERROR(
                  Andel_oberoende_av_klimat*VLOOKUP($A375,Leveranser_per_nät,'Leveranser per nät'!H$1,FALSE)
               +Andel_beroende_av_klimat*VLOOKUP($A375,Leveranser_per_nät,'Leveranser per nät'!H$1,FALSE)/VLOOKUP($B375,Korrigeringsfaktor_EI,'Korrigeringsfaktor EI'!H$1,FALSE),
"")</f>
        <v>0</v>
      </c>
      <c r="I375" s="18">
        <f>IFERROR(
                  Andel_oberoende_av_klimat*VLOOKUP($A375,Leveranser_per_nät,'Leveranser per nät'!I$1,FALSE)
               +Andel_beroende_av_klimat*VLOOKUP($A375,Leveranser_per_nät,'Leveranser per nät'!I$1,FALSE)/VLOOKUP($B375,Korrigeringsfaktor_EI,'Korrigeringsfaktor EI'!I$1,FALSE),
"")</f>
        <v>0</v>
      </c>
      <c r="J375" s="18">
        <f>IFERROR(
                  Andel_oberoende_av_klimat*VLOOKUP($A375,Leveranser_per_nät,'Leveranser per nät'!J$1,FALSE)
               +Andel_beroende_av_klimat*VLOOKUP($A375,Leveranser_per_nät,'Leveranser per nät'!J$1,FALSE)/VLOOKUP($B375,Korrigeringsfaktor_EI,'Korrigeringsfaktor EI'!J$1,FALSE),
"")</f>
        <v>0</v>
      </c>
      <c r="K375" s="18">
        <f>IFERROR(
                  Andel_oberoende_av_klimat*VLOOKUP($A375,Leveranser_per_nät,'Leveranser per nät'!K$1,FALSE)
               +Andel_beroende_av_klimat*VLOOKUP($A375,Leveranser_per_nät,'Leveranser per nät'!K$1,FALSE)/VLOOKUP($B375,Korrigeringsfaktor_EI,'Korrigeringsfaktor EI'!K$1,FALSE),
"")</f>
        <v>0</v>
      </c>
      <c r="L375" s="18">
        <f>IFERROR(
                  Andel_oberoende_av_klimat*VLOOKUP($A375,Leveranser_per_nät,'Leveranser per nät'!L$1,FALSE)
               +Andel_beroende_av_klimat*VLOOKUP($A375,Leveranser_per_nät,'Leveranser per nät'!L$1,FALSE)/VLOOKUP($B375,Korrigeringsfaktor_EI,'Korrigeringsfaktor EI'!L$1,FALSE),
"")</f>
        <v>0</v>
      </c>
      <c r="M375" s="18">
        <f>IFERROR(
                  Andel_oberoende_av_klimat*VLOOKUP($A375,Leveranser_per_nät,'Leveranser per nät'!M$1,FALSE)
               +Andel_beroende_av_klimat*VLOOKUP($A375,Leveranser_per_nät,'Leveranser per nät'!M$1,FALSE)/VLOOKUP($B375,Korrigeringsfaktor_EI,'Korrigeringsfaktor EI'!M$1,FALSE),
"")</f>
        <v>0</v>
      </c>
      <c r="N375" s="18">
        <f>IFERROR(
                  Andel_oberoende_av_klimat*VLOOKUP($A375,Leveranser_per_nät,'Leveranser per nät'!N$1,FALSE)
               +Andel_beroende_av_klimat*VLOOKUP($A375,Leveranser_per_nät,'Leveranser per nät'!N$1,FALSE)/VLOOKUP($B375,Korrigeringsfaktor_EI,'Korrigeringsfaktor EI'!N$1,FALSE),
"")</f>
        <v>0</v>
      </c>
      <c r="O375" s="18">
        <f>IFERROR(
                  Andel_oberoende_av_klimat*VLOOKUP($A375,Leveranser_per_nät,'Leveranser per nät'!O$1,FALSE)
               +Andel_beroende_av_klimat*VLOOKUP($A375,Leveranser_per_nät,'Leveranser per nät'!O$1,FALSE)/VLOOKUP($B375,Korrigeringsfaktor_EI,'Korrigeringsfaktor EI'!O$1,FALSE),
"")</f>
        <v>0</v>
      </c>
      <c r="P375" s="18">
        <f>IFERROR(
                  Andel_oberoende_av_klimat*VLOOKUP($A375,Leveranser_per_nät,'Leveranser per nät'!P$1,FALSE)
               +Andel_beroende_av_klimat*VLOOKUP($A375,Leveranser_per_nät,'Leveranser per nät'!P$1,FALSE)/VLOOKUP($B375,Korrigeringsfaktor_EI,'Korrigeringsfaktor EI'!P$1,FALSE),
"")</f>
        <v>0</v>
      </c>
      <c r="Q375" s="18">
        <f>IFERROR(
                  Andel_oberoende_av_klimat*VLOOKUP($A375,Leveranser_per_nät,'Leveranser per nät'!Q$1,FALSE)
               +Andel_beroende_av_klimat*VLOOKUP($A375,Leveranser_per_nät,'Leveranser per nät'!Q$1,FALSE)/VLOOKUP($B375,Korrigeringsfaktor_EI,'Korrigeringsfaktor EI'!Q$1,FALSE),
"")</f>
        <v>0.99379310344827598</v>
      </c>
      <c r="R375" s="18">
        <f>IFERROR(
                  Andel_oberoende_av_klimat*VLOOKUP($A375,Leveranser_per_nät,'Leveranser per nät'!R$1,FALSE)
               +Andel_beroende_av_klimat*VLOOKUP($A375,Leveranser_per_nät,'Leveranser per nät'!R$1,FALSE)/VLOOKUP($B375,Korrigeringsfaktor_EI,'Korrigeringsfaktor EI'!R$1,FALSE),
"")</f>
        <v>0.94741935483870976</v>
      </c>
      <c r="S375" s="18">
        <f>IFERROR(
                  Andel_oberoende_av_klimat*VLOOKUP($A375,Leveranser_per_nät,'Leveranser per nät'!S$1,FALSE)
               +Andel_beroende_av_klimat*VLOOKUP($A375,Leveranser_per_nät,'Leveranser per nät'!S$1,FALSE)/VLOOKUP($B375,Korrigeringsfaktor_EI,'Korrigeringsfaktor EI'!S$1,FALSE),
"")</f>
        <v>0.98627450980392151</v>
      </c>
      <c r="T375" s="18">
        <f>IFERROR(
                  Andel_oberoende_av_klimat*VLOOKUP($A375,Leveranser_per_nät,'Leveranser per nät'!T$1,FALSE)
               +Andel_beroende_av_klimat*VLOOKUP($A375,Leveranser_per_nät,'Leveranser per nät'!T$1,FALSE)/VLOOKUP($B375,Korrigeringsfaktor_EI,'Korrigeringsfaktor EI'!T$1,FALSE),
"")</f>
        <v>0.90636363636363648</v>
      </c>
      <c r="U375" s="18">
        <f>IFERROR(
                  Andel_oberoende_av_klimat*VLOOKUP($A375,Leveranser_per_nät,'Leveranser per nät'!U$1,FALSE)
               +Andel_beroende_av_klimat*VLOOKUP($A375,Leveranser_per_nät,'Leveranser per nät'!U$1,FALSE)/VLOOKUP($B375,Korrigeringsfaktor_EI,'Korrigeringsfaktor EI'!U$1,FALSE),
"")</f>
        <v>0.92786206896551726</v>
      </c>
      <c r="V375" s="18">
        <f>IFERROR(
                  Andel_oberoende_av_klimat*VLOOKUP($A375,Leveranser_per_nät,'Leveranser per nät'!V$1,FALSE)
               +Andel_beroende_av_klimat*VLOOKUP($A375,Leveranser_per_nät,'Leveranser per nät'!V$1,FALSE)/VLOOKUP($B375,Korrigeringsfaktor_EI,'Korrigeringsfaktor EI'!V$1,FALSE),
"")</f>
        <v>0.90136153846153844</v>
      </c>
      <c r="W375" s="18">
        <f>IFERROR(
                  Andel_oberoende_av_klimat*VLOOKUP($A375,Leveranser_per_nät,'Leveranser per nät'!W$1,FALSE)
               +Andel_beroende_av_klimat*VLOOKUP($A375,Leveranser_per_nät,'Leveranser per nät'!W$1,FALSE)/VLOOKUP($B375,Korrigeringsfaktor_EI,'Korrigeringsfaktor EI'!W$1,FALSE),
"")</f>
        <v>0.90620309278350519</v>
      </c>
      <c r="X375" s="18">
        <f>IFERROR(
                  Andel_oberoende_av_klimat*VLOOKUP($A375,Leveranser_per_nät,'Leveranser per nät'!X$1,FALSE)
               +Andel_beroende_av_klimat*VLOOKUP($A375,Leveranser_per_nät,'Leveranser per nät'!X$1,FALSE)/VLOOKUP($B375,Korrigeringsfaktor_EI,'Korrigeringsfaktor EI'!X$1,FALSE),
"")</f>
        <v>0.93730526315789486</v>
      </c>
      <c r="Y375" s="18">
        <f>IFERROR(
                  Andel_oberoende_av_klimat*VLOOKUP($A375,Leveranser_per_nät,'Leveranser per nät'!Y$1,FALSE)
               +Andel_beroende_av_klimat*VLOOKUP($A375,Leveranser_per_nät,'Leveranser per nät'!Y$1,FALSE)/VLOOKUP($B375,Korrigeringsfaktor_EI,'Korrigeringsfaktor EI'!Y$1,FALSE),
"")</f>
        <v>0.91794408602150535</v>
      </c>
      <c r="Z375" s="18">
        <f>IFERROR(
                  Andel_oberoende_av_klimat*VLOOKUP($A375,Leveranser_per_nät,'Leveranser per nät'!Z$1,FALSE)
               +Andel_beroende_av_klimat*VLOOKUP($A375,Leveranser_per_nät,'Leveranser per nät'!Z$1,FALSE)/VLOOKUP($B375,Korrigeringsfaktor_EI,'Korrigeringsfaktor EI'!Z$1,FALSE),
"")</f>
        <v>1.005076923076923</v>
      </c>
      <c r="AA375" s="18">
        <f>IFERROR(
                  Andel_oberoende_av_klimat*VLOOKUP($A375,Leveranser_per_nät,'Leveranser per nät'!AA$1,FALSE)
               +Andel_beroende_av_klimat*VLOOKUP($A375,Leveranser_per_nät,'Leveranser per nät'!AA$1,FALSE)/VLOOKUP($B375,Korrigeringsfaktor_EI,'Korrigeringsfaktor EI'!AA$1,FALSE),
"")</f>
        <v>0.88650464017782726</v>
      </c>
      <c r="AB375" s="18">
        <f>IFERROR(
                  Andel_oberoende_av_klimat*VLOOKUP($A375,Leveranser_per_nät,'Leveranser per nät'!AB$1,FALSE)
               +Andel_beroende_av_klimat*VLOOKUP($A375,Leveranser_per_nät,'Leveranser per nät'!AB$1,FALSE)/VLOOKUP($B375,Korrigeringsfaktor_EI,'Korrigeringsfaktor EI'!AB$1,FALSE),
"")</f>
        <v>1.1281941916747338</v>
      </c>
      <c r="AC375" s="18">
        <f>IFERROR(
                  Andel_oberoende_av_klimat*VLOOKUP($A375,Leveranser_per_nät,'Leveranser per nät'!AC$1,FALSE)
               +Andel_beroende_av_klimat*VLOOKUP($A375,Leveranser_per_nät,'Leveranser per nät'!AC$1,FALSE)/VLOOKUP($B375,Korrigeringsfaktor_EI,'Korrigeringsfaktor EI'!AC$1,FALSE),
"")</f>
        <v>1.3935708377518559</v>
      </c>
      <c r="AD375">
        <v>79.72</v>
      </c>
    </row>
    <row r="376" spans="1:30" x14ac:dyDescent="0.25">
      <c r="A376" t="s">
        <v>422</v>
      </c>
      <c r="B376" t="s">
        <v>121</v>
      </c>
      <c r="C376" s="18">
        <f>IFERROR(
                  Andel_oberoende_av_klimat*VLOOKUP($A376,Leveranser_per_nät,'Leveranser per nät'!C$1,FALSE)
               +Andel_beroende_av_klimat*VLOOKUP($A376,Leveranser_per_nät,'Leveranser per nät'!C$1,FALSE)/VLOOKUP($B376,Korrigeringsfaktor_EI,'Korrigeringsfaktor EI'!C$1,FALSE),
"")</f>
        <v>0</v>
      </c>
      <c r="D376" s="18">
        <f>IFERROR(
                  Andel_oberoende_av_klimat*VLOOKUP($A376,Leveranser_per_nät,'Leveranser per nät'!D$1,FALSE)
               +Andel_beroende_av_klimat*VLOOKUP($A376,Leveranser_per_nät,'Leveranser per nät'!D$1,FALSE)/VLOOKUP($B376,Korrigeringsfaktor_EI,'Korrigeringsfaktor EI'!D$1,FALSE),
"")</f>
        <v>3.0816363636363637</v>
      </c>
      <c r="E376" s="18">
        <f>IFERROR(
                  Andel_oberoende_av_klimat*VLOOKUP($A376,Leveranser_per_nät,'Leveranser per nät'!E$1,FALSE)
               +Andel_beroende_av_klimat*VLOOKUP($A376,Leveranser_per_nät,'Leveranser per nät'!E$1,FALSE)/VLOOKUP($B376,Korrigeringsfaktor_EI,'Korrigeringsfaktor EI'!E$1,FALSE),
"")</f>
        <v>2.9388349514563101</v>
      </c>
      <c r="F376" s="18">
        <f>IFERROR(
                  Andel_oberoende_av_klimat*VLOOKUP($A376,Leveranser_per_nät,'Leveranser per nät'!F$1,FALSE)
               +Andel_beroende_av_klimat*VLOOKUP($A376,Leveranser_per_nät,'Leveranser per nät'!F$1,FALSE)/VLOOKUP($B376,Korrigeringsfaktor_EI,'Korrigeringsfaktor EI'!F$1,FALSE),
"")</f>
        <v>0</v>
      </c>
      <c r="G376" s="18">
        <f>IFERROR(
                  Andel_oberoende_av_klimat*VLOOKUP($A376,Leveranser_per_nät,'Leveranser per nät'!G$1,FALSE)
               +Andel_beroende_av_klimat*VLOOKUP($A376,Leveranser_per_nät,'Leveranser per nät'!G$1,FALSE)/VLOOKUP($B376,Korrigeringsfaktor_EI,'Korrigeringsfaktor EI'!G$1,FALSE),
"")</f>
        <v>0</v>
      </c>
      <c r="H376" s="18">
        <f>IFERROR(
                  Andel_oberoende_av_klimat*VLOOKUP($A376,Leveranser_per_nät,'Leveranser per nät'!H$1,FALSE)
               +Andel_beroende_av_klimat*VLOOKUP($A376,Leveranser_per_nät,'Leveranser per nät'!H$1,FALSE)/VLOOKUP($B376,Korrigeringsfaktor_EI,'Korrigeringsfaktor EI'!H$1,FALSE),
"")</f>
        <v>2.9792079207920787</v>
      </c>
      <c r="I376" s="18">
        <f>IFERROR(
                  Andel_oberoende_av_klimat*VLOOKUP($A376,Leveranser_per_nät,'Leveranser per nät'!I$1,FALSE)
               +Andel_beroende_av_klimat*VLOOKUP($A376,Leveranser_per_nät,'Leveranser per nät'!I$1,FALSE)/VLOOKUP($B376,Korrigeringsfaktor_EI,'Korrigeringsfaktor EI'!I$1,FALSE),
"")</f>
        <v>0</v>
      </c>
      <c r="J376" s="18">
        <f>IFERROR(
                  Andel_oberoende_av_klimat*VLOOKUP($A376,Leveranser_per_nät,'Leveranser per nät'!J$1,FALSE)
               +Andel_beroende_av_klimat*VLOOKUP($A376,Leveranser_per_nät,'Leveranser per nät'!J$1,FALSE)/VLOOKUP($B376,Korrigeringsfaktor_EI,'Korrigeringsfaktor EI'!J$1,FALSE),
"")</f>
        <v>2.9588235294117649</v>
      </c>
      <c r="K376" s="18">
        <f>IFERROR(
                  Andel_oberoende_av_klimat*VLOOKUP($A376,Leveranser_per_nät,'Leveranser per nät'!K$1,FALSE)
               +Andel_beroende_av_klimat*VLOOKUP($A376,Leveranser_per_nät,'Leveranser per nät'!K$1,FALSE)/VLOOKUP($B376,Korrigeringsfaktor_EI,'Korrigeringsfaktor EI'!K$1,FALSE),
"")</f>
        <v>0</v>
      </c>
      <c r="L376" s="18">
        <f>IFERROR(
                  Andel_oberoende_av_klimat*VLOOKUP($A376,Leveranser_per_nät,'Leveranser per nät'!L$1,FALSE)
               +Andel_beroende_av_klimat*VLOOKUP($A376,Leveranser_per_nät,'Leveranser per nät'!L$1,FALSE)/VLOOKUP($B376,Korrigeringsfaktor_EI,'Korrigeringsfaktor EI'!L$1,FALSE),
"")</f>
        <v>0</v>
      </c>
      <c r="M376" s="18">
        <f>IFERROR(
                  Andel_oberoende_av_klimat*VLOOKUP($A376,Leveranser_per_nät,'Leveranser per nät'!M$1,FALSE)
               +Andel_beroende_av_klimat*VLOOKUP($A376,Leveranser_per_nät,'Leveranser per nät'!M$1,FALSE)/VLOOKUP($B376,Korrigeringsfaktor_EI,'Korrigeringsfaktor EI'!M$1,FALSE),
"")</f>
        <v>0</v>
      </c>
      <c r="N376" s="18">
        <f>IFERROR(
                  Andel_oberoende_av_klimat*VLOOKUP($A376,Leveranser_per_nät,'Leveranser per nät'!N$1,FALSE)
               +Andel_beroende_av_klimat*VLOOKUP($A376,Leveranser_per_nät,'Leveranser per nät'!N$1,FALSE)/VLOOKUP($B376,Korrigeringsfaktor_EI,'Korrigeringsfaktor EI'!N$1,FALSE),
"")</f>
        <v>0</v>
      </c>
      <c r="O376" s="18">
        <f>IFERROR(
                  Andel_oberoende_av_klimat*VLOOKUP($A376,Leveranser_per_nät,'Leveranser per nät'!O$1,FALSE)
               +Andel_beroende_av_klimat*VLOOKUP($A376,Leveranser_per_nät,'Leveranser per nät'!O$1,FALSE)/VLOOKUP($B376,Korrigeringsfaktor_EI,'Korrigeringsfaktor EI'!O$1,FALSE),
"")</f>
        <v>0</v>
      </c>
      <c r="P376" s="18">
        <f>IFERROR(
                  Andel_oberoende_av_klimat*VLOOKUP($A376,Leveranser_per_nät,'Leveranser per nät'!P$1,FALSE)
               +Andel_beroende_av_klimat*VLOOKUP($A376,Leveranser_per_nät,'Leveranser per nät'!P$1,FALSE)/VLOOKUP($B376,Korrigeringsfaktor_EI,'Korrigeringsfaktor EI'!P$1,FALSE),
"")</f>
        <v>0</v>
      </c>
      <c r="Q376" s="18">
        <f>IFERROR(
                  Andel_oberoende_av_klimat*VLOOKUP($A376,Leveranser_per_nät,'Leveranser per nät'!Q$1,FALSE)
               +Andel_beroende_av_klimat*VLOOKUP($A376,Leveranser_per_nät,'Leveranser per nät'!Q$1,FALSE)/VLOOKUP($B376,Korrigeringsfaktor_EI,'Korrigeringsfaktor EI'!Q$1,FALSE),
"")</f>
        <v>0</v>
      </c>
      <c r="R376" s="18">
        <f>IFERROR(
                  Andel_oberoende_av_klimat*VLOOKUP($A376,Leveranser_per_nät,'Leveranser per nät'!R$1,FALSE)
               +Andel_beroende_av_klimat*VLOOKUP($A376,Leveranser_per_nät,'Leveranser per nät'!R$1,FALSE)/VLOOKUP($B376,Korrigeringsfaktor_EI,'Korrigeringsfaktor EI'!R$1,FALSE),
"")</f>
        <v>0</v>
      </c>
      <c r="S376" s="18">
        <f>IFERROR(
                  Andel_oberoende_av_klimat*VLOOKUP($A376,Leveranser_per_nät,'Leveranser per nät'!S$1,FALSE)
               +Andel_beroende_av_klimat*VLOOKUP($A376,Leveranser_per_nät,'Leveranser per nät'!S$1,FALSE)/VLOOKUP($B376,Korrigeringsfaktor_EI,'Korrigeringsfaktor EI'!S$1,FALSE),
"")</f>
        <v>0</v>
      </c>
      <c r="T376" s="18" t="str">
        <f>IFERROR(
                  Andel_oberoende_av_klimat*VLOOKUP($A376,Leveranser_per_nät,'Leveranser per nät'!T$1,FALSE)
               +Andel_beroende_av_klimat*VLOOKUP($A376,Leveranser_per_nät,'Leveranser per nät'!T$1,FALSE)/VLOOKUP($B376,Korrigeringsfaktor_EI,'Korrigeringsfaktor EI'!T$1,FALSE),
"")</f>
        <v/>
      </c>
      <c r="U376" s="18" t="str">
        <f>IFERROR(
                  Andel_oberoende_av_klimat*VLOOKUP($A376,Leveranser_per_nät,'Leveranser per nät'!U$1,FALSE)
               +Andel_beroende_av_klimat*VLOOKUP($A376,Leveranser_per_nät,'Leveranser per nät'!U$1,FALSE)/VLOOKUP($B376,Korrigeringsfaktor_EI,'Korrigeringsfaktor EI'!U$1,FALSE),
"")</f>
        <v/>
      </c>
      <c r="V376" s="18" t="str">
        <f>IFERROR(
                  Andel_oberoende_av_klimat*VLOOKUP($A376,Leveranser_per_nät,'Leveranser per nät'!V$1,FALSE)
               +Andel_beroende_av_klimat*VLOOKUP($A376,Leveranser_per_nät,'Leveranser per nät'!V$1,FALSE)/VLOOKUP($B376,Korrigeringsfaktor_EI,'Korrigeringsfaktor EI'!V$1,FALSE),
"")</f>
        <v/>
      </c>
      <c r="W376" s="18" t="str">
        <f>IFERROR(
                  Andel_oberoende_av_klimat*VLOOKUP($A376,Leveranser_per_nät,'Leveranser per nät'!W$1,FALSE)
               +Andel_beroende_av_klimat*VLOOKUP($A376,Leveranser_per_nät,'Leveranser per nät'!W$1,FALSE)/VLOOKUP($B376,Korrigeringsfaktor_EI,'Korrigeringsfaktor EI'!W$1,FALSE),
"")</f>
        <v/>
      </c>
      <c r="X376" s="18" t="str">
        <f>IFERROR(
                  Andel_oberoende_av_klimat*VLOOKUP($A376,Leveranser_per_nät,'Leveranser per nät'!X$1,FALSE)
               +Andel_beroende_av_klimat*VLOOKUP($A376,Leveranser_per_nät,'Leveranser per nät'!X$1,FALSE)/VLOOKUP($B376,Korrigeringsfaktor_EI,'Korrigeringsfaktor EI'!X$1,FALSE),
"")</f>
        <v/>
      </c>
      <c r="Y376" s="18" t="str">
        <f>IFERROR(
                  Andel_oberoende_av_klimat*VLOOKUP($A376,Leveranser_per_nät,'Leveranser per nät'!Y$1,FALSE)
               +Andel_beroende_av_klimat*VLOOKUP($A376,Leveranser_per_nät,'Leveranser per nät'!Y$1,FALSE)/VLOOKUP($B376,Korrigeringsfaktor_EI,'Korrigeringsfaktor EI'!Y$1,FALSE),
"")</f>
        <v/>
      </c>
      <c r="Z376" s="18">
        <f>IFERROR(
                  Andel_oberoende_av_klimat*VLOOKUP($A376,Leveranser_per_nät,'Leveranser per nät'!Z$1,FALSE)
               +Andel_beroende_av_klimat*VLOOKUP($A376,Leveranser_per_nät,'Leveranser per nät'!Z$1,FALSE)/VLOOKUP($B376,Korrigeringsfaktor_EI,'Korrigeringsfaktor EI'!Z$1,FALSE),
"")</f>
        <v>0</v>
      </c>
      <c r="AA376" s="18" t="str">
        <f>IFERROR(
                  Andel_oberoende_av_klimat*VLOOKUP($A376,Leveranser_per_nät,'Leveranser per nät'!AA$1,FALSE)
               +Andel_beroende_av_klimat*VLOOKUP($A376,Leveranser_per_nät,'Leveranser per nät'!AA$1,FALSE)/VLOOKUP($B376,Korrigeringsfaktor_EI,'Korrigeringsfaktor EI'!AA$1,FALSE),
"")</f>
        <v/>
      </c>
      <c r="AB376" s="18">
        <f>IFERROR(
                  Andel_oberoende_av_klimat*VLOOKUP($A376,Leveranser_per_nät,'Leveranser per nät'!AB$1,FALSE)
               +Andel_beroende_av_klimat*VLOOKUP($A376,Leveranser_per_nät,'Leveranser per nät'!AB$1,FALSE)/VLOOKUP($B376,Korrigeringsfaktor_EI,'Korrigeringsfaktor EI'!AB$1,FALSE),
"")</f>
        <v>0</v>
      </c>
      <c r="AC376" s="18">
        <f>IFERROR(
                  Andel_oberoende_av_klimat*VLOOKUP($A376,Leveranser_per_nät,'Leveranser per nät'!AC$1,FALSE)
               +Andel_beroende_av_klimat*VLOOKUP($A376,Leveranser_per_nät,'Leveranser per nät'!AC$1,FALSE)/VLOOKUP($B376,Korrigeringsfaktor_EI,'Korrigeringsfaktor EI'!AC$1,FALSE),
"")</f>
        <v>0</v>
      </c>
      <c r="AD376">
        <v>57.290999999999997</v>
      </c>
    </row>
    <row r="377" spans="1:30" x14ac:dyDescent="0.25">
      <c r="A377" t="s">
        <v>353</v>
      </c>
      <c r="B377" t="s">
        <v>350</v>
      </c>
      <c r="C377" s="18">
        <f>IFERROR(
                  Andel_oberoende_av_klimat*VLOOKUP($A377,Leveranser_per_nät,'Leveranser per nät'!C$1,FALSE)
               +Andel_beroende_av_klimat*VLOOKUP($A377,Leveranser_per_nät,'Leveranser per nät'!C$1,FALSE)/VLOOKUP($B377,Korrigeringsfaktor_EI,'Korrigeringsfaktor EI'!C$1,FALSE),
"")</f>
        <v>0</v>
      </c>
      <c r="D377" s="18">
        <f>IFERROR(
                  Andel_oberoende_av_klimat*VLOOKUP($A377,Leveranser_per_nät,'Leveranser per nät'!D$1,FALSE)
               +Andel_beroende_av_klimat*VLOOKUP($A377,Leveranser_per_nät,'Leveranser per nät'!D$1,FALSE)/VLOOKUP($B377,Korrigeringsfaktor_EI,'Korrigeringsfaktor EI'!D$1,FALSE),
"")</f>
        <v>0</v>
      </c>
      <c r="E377" s="18">
        <f>IFERROR(
                  Andel_oberoende_av_klimat*VLOOKUP($A377,Leveranser_per_nät,'Leveranser per nät'!E$1,FALSE)
               +Andel_beroende_av_klimat*VLOOKUP($A377,Leveranser_per_nät,'Leveranser per nät'!E$1,FALSE)/VLOOKUP($B377,Korrigeringsfaktor_EI,'Korrigeringsfaktor EI'!E$1,FALSE),
"")</f>
        <v>0</v>
      </c>
      <c r="F377" s="18">
        <f>IFERROR(
                  Andel_oberoende_av_klimat*VLOOKUP($A377,Leveranser_per_nät,'Leveranser per nät'!F$1,FALSE)
               +Andel_beroende_av_klimat*VLOOKUP($A377,Leveranser_per_nät,'Leveranser per nät'!F$1,FALSE)/VLOOKUP($B377,Korrigeringsfaktor_EI,'Korrigeringsfaktor EI'!F$1,FALSE),
"")</f>
        <v>0</v>
      </c>
      <c r="G377" s="18">
        <f>IFERROR(
                  Andel_oberoende_av_klimat*VLOOKUP($A377,Leveranser_per_nät,'Leveranser per nät'!G$1,FALSE)
               +Andel_beroende_av_klimat*VLOOKUP($A377,Leveranser_per_nät,'Leveranser per nät'!G$1,FALSE)/VLOOKUP($B377,Korrigeringsfaktor_EI,'Korrigeringsfaktor EI'!G$1,FALSE),
"")</f>
        <v>0</v>
      </c>
      <c r="H377" s="18">
        <f>IFERROR(
                  Andel_oberoende_av_klimat*VLOOKUP($A377,Leveranser_per_nät,'Leveranser per nät'!H$1,FALSE)
               +Andel_beroende_av_klimat*VLOOKUP($A377,Leveranser_per_nät,'Leveranser per nät'!H$1,FALSE)/VLOOKUP($B377,Korrigeringsfaktor_EI,'Korrigeringsfaktor EI'!H$1,FALSE),
"")</f>
        <v>0</v>
      </c>
      <c r="I377" s="18">
        <f>IFERROR(
                  Andel_oberoende_av_klimat*VLOOKUP($A377,Leveranser_per_nät,'Leveranser per nät'!I$1,FALSE)
               +Andel_beroende_av_klimat*VLOOKUP($A377,Leveranser_per_nät,'Leveranser per nät'!I$1,FALSE)/VLOOKUP($B377,Korrigeringsfaktor_EI,'Korrigeringsfaktor EI'!I$1,FALSE),
"")</f>
        <v>0</v>
      </c>
      <c r="J377" s="18">
        <f>IFERROR(
                  Andel_oberoende_av_klimat*VLOOKUP($A377,Leveranser_per_nät,'Leveranser per nät'!J$1,FALSE)
               +Andel_beroende_av_klimat*VLOOKUP($A377,Leveranser_per_nät,'Leveranser per nät'!J$1,FALSE)/VLOOKUP($B377,Korrigeringsfaktor_EI,'Korrigeringsfaktor EI'!J$1,FALSE),
"")</f>
        <v>0</v>
      </c>
      <c r="K377" s="18">
        <f>IFERROR(
                  Andel_oberoende_av_klimat*VLOOKUP($A377,Leveranser_per_nät,'Leveranser per nät'!K$1,FALSE)
               +Andel_beroende_av_klimat*VLOOKUP($A377,Leveranser_per_nät,'Leveranser per nät'!K$1,FALSE)/VLOOKUP($B377,Korrigeringsfaktor_EI,'Korrigeringsfaktor EI'!K$1,FALSE),
"")</f>
        <v>0</v>
      </c>
      <c r="L377" s="18">
        <f>IFERROR(
                  Andel_oberoende_av_klimat*VLOOKUP($A377,Leveranser_per_nät,'Leveranser per nät'!L$1,FALSE)
               +Andel_beroende_av_klimat*VLOOKUP($A377,Leveranser_per_nät,'Leveranser per nät'!L$1,FALSE)/VLOOKUP($B377,Korrigeringsfaktor_EI,'Korrigeringsfaktor EI'!L$1,FALSE),
"")</f>
        <v>0</v>
      </c>
      <c r="M377" s="18">
        <f>IFERROR(
                  Andel_oberoende_av_klimat*VLOOKUP($A377,Leveranser_per_nät,'Leveranser per nät'!M$1,FALSE)
               +Andel_beroende_av_klimat*VLOOKUP($A377,Leveranser_per_nät,'Leveranser per nät'!M$1,FALSE)/VLOOKUP($B377,Korrigeringsfaktor_EI,'Korrigeringsfaktor EI'!M$1,FALSE),
"")</f>
        <v>0</v>
      </c>
      <c r="N377" s="18">
        <f>IFERROR(
                  Andel_oberoende_av_klimat*VLOOKUP($A377,Leveranser_per_nät,'Leveranser per nät'!N$1,FALSE)
               +Andel_beroende_av_klimat*VLOOKUP($A377,Leveranser_per_nät,'Leveranser per nät'!N$1,FALSE)/VLOOKUP($B377,Korrigeringsfaktor_EI,'Korrigeringsfaktor EI'!N$1,FALSE),
"")</f>
        <v>0</v>
      </c>
      <c r="O377" s="18">
        <f>IFERROR(
                  Andel_oberoende_av_klimat*VLOOKUP($A377,Leveranser_per_nät,'Leveranser per nät'!O$1,FALSE)
               +Andel_beroende_av_klimat*VLOOKUP($A377,Leveranser_per_nät,'Leveranser per nät'!O$1,FALSE)/VLOOKUP($B377,Korrigeringsfaktor_EI,'Korrigeringsfaktor EI'!O$1,FALSE),
"")</f>
        <v>4.5265591397849461</v>
      </c>
      <c r="P377" s="18">
        <f>IFERROR(
                  Andel_oberoende_av_klimat*VLOOKUP($A377,Leveranser_per_nät,'Leveranser per nät'!P$1,FALSE)
               +Andel_beroende_av_klimat*VLOOKUP($A377,Leveranser_per_nät,'Leveranser per nät'!P$1,FALSE)/VLOOKUP($B377,Korrigeringsfaktor_EI,'Korrigeringsfaktor EI'!P$1,FALSE),
"")</f>
        <v>5.781428571428572</v>
      </c>
      <c r="Q377" s="18">
        <f>IFERROR(
                  Andel_oberoende_av_klimat*VLOOKUP($A377,Leveranser_per_nät,'Leveranser per nät'!Q$1,FALSE)
               +Andel_beroende_av_klimat*VLOOKUP($A377,Leveranser_per_nät,'Leveranser per nät'!Q$1,FALSE)/VLOOKUP($B377,Korrigeringsfaktor_EI,'Korrigeringsfaktor EI'!Q$1,FALSE),
"")</f>
        <v>8.1556902654867258</v>
      </c>
      <c r="R377" s="18">
        <f>IFERROR(
                  Andel_oberoende_av_klimat*VLOOKUP($A377,Leveranser_per_nät,'Leveranser per nät'!R$1,FALSE)
               +Andel_beroende_av_klimat*VLOOKUP($A377,Leveranser_per_nät,'Leveranser per nät'!R$1,FALSE)/VLOOKUP($B377,Korrigeringsfaktor_EI,'Korrigeringsfaktor EI'!R$1,FALSE),
"")</f>
        <v>7.9989565217391299</v>
      </c>
      <c r="S377" s="18">
        <f>IFERROR(
                  Andel_oberoende_av_klimat*VLOOKUP($A377,Leveranser_per_nät,'Leveranser per nät'!S$1,FALSE)
               +Andel_beroende_av_klimat*VLOOKUP($A377,Leveranser_per_nät,'Leveranser per nät'!S$1,FALSE)/VLOOKUP($B377,Korrigeringsfaktor_EI,'Korrigeringsfaktor EI'!S$1,FALSE),
"")</f>
        <v>6.9356504854368932</v>
      </c>
      <c r="T377" s="18">
        <f>IFERROR(
                  Andel_oberoende_av_klimat*VLOOKUP($A377,Leveranser_per_nät,'Leveranser per nät'!T$1,FALSE)
               +Andel_beroende_av_klimat*VLOOKUP($A377,Leveranser_per_nät,'Leveranser per nät'!T$1,FALSE)/VLOOKUP($B377,Korrigeringsfaktor_EI,'Korrigeringsfaktor EI'!T$1,FALSE),
"")</f>
        <v>7.3390000000000004</v>
      </c>
      <c r="U377" s="18">
        <f>IFERROR(
                  Andel_oberoende_av_klimat*VLOOKUP($A377,Leveranser_per_nät,'Leveranser per nät'!U$1,FALSE)
               +Andel_beroende_av_klimat*VLOOKUP($A377,Leveranser_per_nät,'Leveranser per nät'!U$1,FALSE)/VLOOKUP($B377,Korrigeringsfaktor_EI,'Korrigeringsfaktor EI'!U$1,FALSE),
"")</f>
        <v>6.5593555555555554</v>
      </c>
      <c r="V377" s="18">
        <f>IFERROR(
                  Andel_oberoende_av_klimat*VLOOKUP($A377,Leveranser_per_nät,'Leveranser per nät'!V$1,FALSE)
               +Andel_beroende_av_klimat*VLOOKUP($A377,Leveranser_per_nät,'Leveranser per nät'!V$1,FALSE)/VLOOKUP($B377,Korrigeringsfaktor_EI,'Korrigeringsfaktor EI'!V$1,FALSE),
"")</f>
        <v>6.7799923076923081</v>
      </c>
      <c r="W377" s="18">
        <f>IFERROR(
                  Andel_oberoende_av_klimat*VLOOKUP($A377,Leveranser_per_nät,'Leveranser per nät'!W$1,FALSE)
               +Andel_beroende_av_klimat*VLOOKUP($A377,Leveranser_per_nät,'Leveranser per nät'!W$1,FALSE)/VLOOKUP($B377,Korrigeringsfaktor_EI,'Korrigeringsfaktor EI'!W$1,FALSE),
"")</f>
        <v>6.7239210526315798</v>
      </c>
      <c r="X377" s="18">
        <f>IFERROR(
                  Andel_oberoende_av_klimat*VLOOKUP($A377,Leveranser_per_nät,'Leveranser per nät'!X$1,FALSE)
               +Andel_beroende_av_klimat*VLOOKUP($A377,Leveranser_per_nät,'Leveranser per nät'!X$1,FALSE)/VLOOKUP($B377,Korrigeringsfaktor_EI,'Korrigeringsfaktor EI'!X$1,FALSE),
"")</f>
        <v>7.121589361702128</v>
      </c>
      <c r="Y377" s="18">
        <f>IFERROR(
                  Andel_oberoende_av_klimat*VLOOKUP($A377,Leveranser_per_nät,'Leveranser per nät'!Y$1,FALSE)
               +Andel_beroende_av_klimat*VLOOKUP($A377,Leveranser_per_nät,'Leveranser per nät'!Y$1,FALSE)/VLOOKUP($B377,Korrigeringsfaktor_EI,'Korrigeringsfaktor EI'!Y$1,FALSE),
"")</f>
        <v>7.2034076923076924</v>
      </c>
      <c r="Z377" s="18">
        <f>IFERROR(
                  Andel_oberoende_av_klimat*VLOOKUP($A377,Leveranser_per_nät,'Leveranser per nät'!Z$1,FALSE)
               +Andel_beroende_av_klimat*VLOOKUP($A377,Leveranser_per_nät,'Leveranser per nät'!Z$1,FALSE)/VLOOKUP($B377,Korrigeringsfaktor_EI,'Korrigeringsfaktor EI'!Z$1,FALSE),
"")</f>
        <v>7.2220775280898879</v>
      </c>
      <c r="AA377" s="18">
        <f>IFERROR(
                  Andel_oberoende_av_klimat*VLOOKUP($A377,Leveranser_per_nät,'Leveranser per nät'!AA$1,FALSE)
               +Andel_beroende_av_klimat*VLOOKUP($A377,Leveranser_per_nät,'Leveranser per nät'!AA$1,FALSE)/VLOOKUP($B377,Korrigeringsfaktor_EI,'Korrigeringsfaktor EI'!AA$1,FALSE),
"")</f>
        <v>7.2443368616035988</v>
      </c>
      <c r="AB377" s="18">
        <f>IFERROR(
                  Andel_oberoende_av_klimat*VLOOKUP($A377,Leveranser_per_nät,'Leveranser per nät'!AB$1,FALSE)
               +Andel_beroende_av_klimat*VLOOKUP($A377,Leveranser_per_nät,'Leveranser per nät'!AB$1,FALSE)/VLOOKUP($B377,Korrigeringsfaktor_EI,'Korrigeringsfaktor EI'!AB$1,FALSE),
"")</f>
        <v>5.454929702970297</v>
      </c>
      <c r="AC377" s="18">
        <f>IFERROR(
                  Andel_oberoende_av_klimat*VLOOKUP($A377,Leveranser_per_nät,'Leveranser per nät'!AC$1,FALSE)
               +Andel_beroende_av_klimat*VLOOKUP($A377,Leveranser_per_nät,'Leveranser per nät'!AC$1,FALSE)/VLOOKUP($B377,Korrigeringsfaktor_EI,'Korrigeringsfaktor EI'!AC$1,FALSE),
"")</f>
        <v>4.2750537313432835</v>
      </c>
      <c r="AD377">
        <v>99.975999999999999</v>
      </c>
    </row>
    <row r="378" spans="1:30" x14ac:dyDescent="0.25">
      <c r="A378" t="s">
        <v>247</v>
      </c>
      <c r="B378" t="s">
        <v>247</v>
      </c>
      <c r="C378" s="18">
        <f>IFERROR(
                  Andel_oberoende_av_klimat*VLOOKUP($A378,Leveranser_per_nät,'Leveranser per nät'!C$1,FALSE)
               +Andel_beroende_av_klimat*VLOOKUP($A378,Leveranser_per_nät,'Leveranser per nät'!C$1,FALSE)/VLOOKUP("Karlskoga",Korrigeringsfaktor_EI,'Korrigeringsfaktor EI'!C$1,FALSE),
"")</f>
        <v>0</v>
      </c>
      <c r="D378" s="18">
        <f>IFERROR(
                  Andel_oberoende_av_klimat*VLOOKUP($A378,Leveranser_per_nät,'Leveranser per nät'!D$1,FALSE)
               +Andel_beroende_av_klimat*VLOOKUP($A378,Leveranser_per_nät,'Leveranser per nät'!D$1,FALSE)/VLOOKUP("Karlskoga",Korrigeringsfaktor_EI,'Korrigeringsfaktor EI'!D$1,FALSE),
"")</f>
        <v>0</v>
      </c>
      <c r="E378" s="18">
        <f>IFERROR(
                  Andel_oberoende_av_klimat*VLOOKUP($A378,Leveranser_per_nät,'Leveranser per nät'!E$1,FALSE)
               +Andel_beroende_av_klimat*VLOOKUP($A378,Leveranser_per_nät,'Leveranser per nät'!E$1,FALSE)/VLOOKUP("Karlskoga",Korrigeringsfaktor_EI,'Korrigeringsfaktor EI'!E$1,FALSE),
"")</f>
        <v>0</v>
      </c>
      <c r="F378" s="18">
        <f>IFERROR(
                  Andel_oberoende_av_klimat*VLOOKUP($A378,Leveranser_per_nät,'Leveranser per nät'!F$1,FALSE)
               +Andel_beroende_av_klimat*VLOOKUP($A378,Leveranser_per_nät,'Leveranser per nät'!F$1,FALSE)/VLOOKUP("Karlskoga",Korrigeringsfaktor_EI,'Korrigeringsfaktor EI'!F$1,FALSE),
"")</f>
        <v>0</v>
      </c>
      <c r="G378" s="18">
        <f>IFERROR(
                  Andel_oberoende_av_klimat*VLOOKUP($A378,Leveranser_per_nät,'Leveranser per nät'!G$1,FALSE)
               +Andel_beroende_av_klimat*VLOOKUP($A378,Leveranser_per_nät,'Leveranser per nät'!G$1,FALSE)/VLOOKUP("Karlskoga",Korrigeringsfaktor_EI,'Korrigeringsfaktor EI'!G$1,FALSE),
"")</f>
        <v>26.944444444444443</v>
      </c>
      <c r="H378" s="18">
        <f>IFERROR(
                  Andel_oberoende_av_klimat*VLOOKUP($A378,Leveranser_per_nät,'Leveranser per nät'!H$1,FALSE)
               +Andel_beroende_av_klimat*VLOOKUP($A378,Leveranser_per_nät,'Leveranser per nät'!H$1,FALSE)/VLOOKUP("Karlskoga",Korrigeringsfaktor_EI,'Korrigeringsfaktor EI'!H$1,FALSE),
"")</f>
        <v>29.124686274509806</v>
      </c>
      <c r="I378" s="18">
        <f>IFERROR(
                  Andel_oberoende_av_klimat*VLOOKUP($A378,Leveranser_per_nät,'Leveranser per nät'!I$1,FALSE)
               +Andel_beroende_av_klimat*VLOOKUP($A378,Leveranser_per_nät,'Leveranser per nät'!I$1,FALSE)/VLOOKUP("Karlskoga",Korrigeringsfaktor_EI,'Korrigeringsfaktor EI'!I$1,FALSE),
"")</f>
        <v>29.778017525773194</v>
      </c>
      <c r="J378" s="18">
        <f>IFERROR(
                  Andel_oberoende_av_klimat*VLOOKUP($A378,Leveranser_per_nät,'Leveranser per nät'!J$1,FALSE)
               +Andel_beroende_av_klimat*VLOOKUP($A378,Leveranser_per_nät,'Leveranser per nät'!J$1,FALSE)/VLOOKUP("Karlskoga",Korrigeringsfaktor_EI,'Korrigeringsfaktor EI'!J$1,FALSE),
"")</f>
        <v>12.825045454545455</v>
      </c>
      <c r="K378" s="18">
        <f>IFERROR(
                  Andel_oberoende_av_klimat*VLOOKUP($A378,Leveranser_per_nät,'Leveranser per nät'!K$1,FALSE)
               +Andel_beroende_av_klimat*VLOOKUP($A378,Leveranser_per_nät,'Leveranser per nät'!K$1,FALSE)/VLOOKUP("Karlskoga",Korrigeringsfaktor_EI,'Korrigeringsfaktor EI'!K$1,FALSE),
"")</f>
        <v>24.230231077622413</v>
      </c>
      <c r="L378" s="18">
        <f>IFERROR(
                  Andel_oberoende_av_klimat*VLOOKUP($A378,Leveranser_per_nät,'Leveranser per nät'!L$1,FALSE)
               +Andel_beroende_av_klimat*VLOOKUP($A378,Leveranser_per_nät,'Leveranser per nät'!L$1,FALSE)/VLOOKUP("Karlskoga",Korrigeringsfaktor_EI,'Korrigeringsfaktor EI'!L$1,FALSE),
"")</f>
        <v>24.585721557047624</v>
      </c>
      <c r="M378" s="18">
        <f>IFERROR(
                  Andel_oberoende_av_klimat*VLOOKUP($A378,Leveranser_per_nät,'Leveranser per nät'!M$1,FALSE)
               +Andel_beroende_av_klimat*VLOOKUP($A378,Leveranser_per_nät,'Leveranser per nät'!M$1,FALSE)/VLOOKUP("Karlskoga",Korrigeringsfaktor_EI,'Korrigeringsfaktor EI'!M$1,FALSE),
"")</f>
        <v>6.7904255319148943</v>
      </c>
      <c r="N378" s="18">
        <f>IFERROR(
                  Andel_oberoende_av_klimat*VLOOKUP($A378,Leveranser_per_nät,'Leveranser per nät'!N$1,FALSE)
               +Andel_beroende_av_klimat*VLOOKUP($A378,Leveranser_per_nät,'Leveranser per nät'!N$1,FALSE)/VLOOKUP("Karlskoga",Korrigeringsfaktor_EI,'Korrigeringsfaktor EI'!N$1,FALSE),
"")</f>
        <v>23.490694736842105</v>
      </c>
      <c r="O378" s="18">
        <f>IFERROR(
                  Andel_oberoende_av_klimat*VLOOKUP($A378,Leveranser_per_nät,'Leveranser per nät'!O$1,FALSE)
               +Andel_beroende_av_klimat*VLOOKUP($A378,Leveranser_per_nät,'Leveranser per nät'!O$1,FALSE)/VLOOKUP("Karlskoga",Korrigeringsfaktor_EI,'Korrigeringsfaktor EI'!O$1,FALSE),
"")</f>
        <v>23.06018709677419</v>
      </c>
      <c r="P378" s="18">
        <f>IFERROR(
                  Andel_oberoende_av_klimat*VLOOKUP($A378,Leveranser_per_nät,'Leveranser per nät'!P$1,FALSE)
               +Andel_beroende_av_klimat*VLOOKUP($A378,Leveranser_per_nät,'Leveranser per nät'!P$1,FALSE)/VLOOKUP("Karlskoga",Korrigeringsfaktor_EI,'Korrigeringsfaktor EI'!P$1,FALSE),
"")</f>
        <v>21.394685148514853</v>
      </c>
      <c r="Q378" s="18">
        <f>IFERROR(
                  Andel_oberoende_av_klimat*VLOOKUP($A378,Leveranser_per_nät,'Leveranser per nät'!Q$1,FALSE)
               +Andel_beroende_av_klimat*VLOOKUP($A378,Leveranser_per_nät,'Leveranser per nät'!Q$1,FALSE)/VLOOKUP("Karlskoga",Korrigeringsfaktor_EI,'Korrigeringsfaktor EI'!Q$1,FALSE),
"")</f>
        <v>24.176756521739129</v>
      </c>
      <c r="R378" s="18">
        <f>IFERROR(
                  Andel_oberoende_av_klimat*VLOOKUP($A378,Leveranser_per_nät,'Leveranser per nät'!R$1,FALSE)
               +Andel_beroende_av_klimat*VLOOKUP($A378,Leveranser_per_nät,'Leveranser per nät'!R$1,FALSE)/VLOOKUP("Karlskoga",Korrigeringsfaktor_EI,'Korrigeringsfaktor EI'!R$1,FALSE),
"")</f>
        <v>20.789148936170214</v>
      </c>
      <c r="S378" s="18">
        <f>IFERROR(
                  Andel_oberoende_av_klimat*VLOOKUP($A378,Leveranser_per_nät,'Leveranser per nät'!S$1,FALSE)
               +Andel_beroende_av_klimat*VLOOKUP($A378,Leveranser_per_nät,'Leveranser per nät'!S$1,FALSE)/VLOOKUP("Karlskoga",Korrigeringsfaktor_EI,'Korrigeringsfaktor EI'!S$1,FALSE),
"")</f>
        <v>18.788529411764706</v>
      </c>
      <c r="T378" s="18">
        <f>IFERROR(
                  Andel_oberoende_av_klimat*VLOOKUP($A378,Leveranser_per_nät,'Leveranser per nät'!T$1,FALSE)
               +Andel_beroende_av_klimat*VLOOKUP($A378,Leveranser_per_nät,'Leveranser per nät'!T$1,FALSE)/VLOOKUP("Karlskoga",Korrigeringsfaktor_EI,'Korrigeringsfaktor EI'!T$1,FALSE),
"")</f>
        <v>17.598871428571428</v>
      </c>
      <c r="U378" s="18">
        <f>IFERROR(
                  Andel_oberoende_av_klimat*VLOOKUP($A378,Leveranser_per_nät,'Leveranser per nät'!U$1,FALSE)
               +Andel_beroende_av_klimat*VLOOKUP($A378,Leveranser_per_nät,'Leveranser per nät'!U$1,FALSE)/VLOOKUP("Karlskoga",Korrigeringsfaktor_EI,'Korrigeringsfaktor EI'!U$1,FALSE),
"")</f>
        <v>14.941286956521738</v>
      </c>
      <c r="V378" s="18">
        <f>IFERROR(
                  Andel_oberoende_av_klimat*VLOOKUP($A378,Leveranser_per_nät,'Leveranser per nät'!V$1,FALSE)
               +Andel_beroende_av_klimat*VLOOKUP($A378,Leveranser_per_nät,'Leveranser per nät'!V$1,FALSE)/VLOOKUP("Karlskoga",Korrigeringsfaktor_EI,'Korrigeringsfaktor EI'!V$1,FALSE),
"")</f>
        <v>14.597325531914896</v>
      </c>
      <c r="W378" s="18" t="str">
        <f>IFERROR(
                  Andel_oberoende_av_klimat*VLOOKUP($A378,Leveranser_per_nät,'Leveranser per nät'!W$1,FALSE)
               +Andel_beroende_av_klimat*VLOOKUP($A378,Leveranser_per_nät,'Leveranser per nät'!W$1,FALSE)/VLOOKUP("Karlskoga",Korrigeringsfaktor_EI,'Korrigeringsfaktor EI'!W$1,FALSE),
"")</f>
        <v/>
      </c>
      <c r="X378" s="18">
        <f>IFERROR(
                  Andel_oberoende_av_klimat*VLOOKUP($A378,Leveranser_per_nät,'Leveranser per nät'!X$1,FALSE)
               +Andel_beroende_av_klimat*VLOOKUP($A378,Leveranser_per_nät,'Leveranser per nät'!X$1,FALSE)/VLOOKUP("Karlskoga",Korrigeringsfaktor_EI,'Korrigeringsfaktor EI'!X$1,FALSE),
"")</f>
        <v>0</v>
      </c>
      <c r="Y378" s="18" t="str">
        <f>IFERROR(
                  Andel_oberoende_av_klimat*VLOOKUP($A378,Leveranser_per_nät,'Leveranser per nät'!Y$1,FALSE)
               +Andel_beroende_av_klimat*VLOOKUP($A378,Leveranser_per_nät,'Leveranser per nät'!Y$1,FALSE)/VLOOKUP($B378,Korrigeringsfaktor_EI,'Korrigeringsfaktor EI'!Y$1,FALSE),
"")</f>
        <v/>
      </c>
      <c r="Z378" s="18">
        <f>IFERROR(
                  Andel_oberoende_av_klimat*VLOOKUP($A378,Leveranser_per_nät,'Leveranser per nät'!Z$1,FALSE)
               +Andel_beroende_av_klimat*VLOOKUP($A378,Leveranser_per_nät,'Leveranser per nät'!Z$1,FALSE)/VLOOKUP($B378,Korrigeringsfaktor_EI,'Korrigeringsfaktor EI'!Z$1,FALSE),
"")</f>
        <v>0</v>
      </c>
      <c r="AA378" s="18" t="str">
        <f>IFERROR(
                  Andel_oberoende_av_klimat*VLOOKUP($A378,Leveranser_per_nät,'Leveranser per nät'!AA$1,FALSE)
               +Andel_beroende_av_klimat*VLOOKUP($A378,Leveranser_per_nät,'Leveranser per nät'!AA$1,FALSE)/VLOOKUP($B378,Korrigeringsfaktor_EI,'Korrigeringsfaktor EI'!AA$1,FALSE),
"")</f>
        <v/>
      </c>
      <c r="AB378" s="18">
        <f>IFERROR(
                  Andel_oberoende_av_klimat*VLOOKUP($A378,Leveranser_per_nät,'Leveranser per nät'!AB$1,FALSE)
               +Andel_beroende_av_klimat*VLOOKUP($A378,Leveranser_per_nät,'Leveranser per nät'!AB$1,FALSE)/VLOOKUP($B378,Korrigeringsfaktor_EI,'Korrigeringsfaktor EI'!AB$1,FALSE),
"")</f>
        <v>0</v>
      </c>
      <c r="AC378" s="18">
        <f>IFERROR(
                  Andel_oberoende_av_klimat*VLOOKUP($A378,Leveranser_per_nät,'Leveranser per nät'!AC$1,FALSE)
               +Andel_beroende_av_klimat*VLOOKUP($A378,Leveranser_per_nät,'Leveranser per nät'!AC$1,FALSE)/VLOOKUP($B378,Korrigeringsfaktor_EI,'Korrigeringsfaktor EI'!AC$1,FALSE),
"")</f>
        <v>0</v>
      </c>
      <c r="AD378" t="e">
        <v>#N/A</v>
      </c>
    </row>
    <row r="379" spans="1:30" x14ac:dyDescent="0.25">
      <c r="A379" t="s">
        <v>272</v>
      </c>
      <c r="B379" t="s">
        <v>272</v>
      </c>
      <c r="C379" s="18">
        <f>IFERROR(
                  Andel_oberoende_av_klimat*VLOOKUP($A379,Leveranser_per_nät,'Leveranser per nät'!C$1,FALSE)
               +Andel_beroende_av_klimat*VLOOKUP($A379,Leveranser_per_nät,'Leveranser per nät'!C$1,FALSE)/VLOOKUP($B379,Korrigeringsfaktor_EI,'Korrigeringsfaktor EI'!C$1,FALSE),
"")</f>
        <v>0</v>
      </c>
      <c r="D379" s="18">
        <f>IFERROR(
                  Andel_oberoende_av_klimat*VLOOKUP($A379,Leveranser_per_nät,'Leveranser per nät'!D$1,FALSE)
               +Andel_beroende_av_klimat*VLOOKUP($A379,Leveranser_per_nät,'Leveranser per nät'!D$1,FALSE)/VLOOKUP($B379,Korrigeringsfaktor_EI,'Korrigeringsfaktor EI'!D$1,FALSE),
"")</f>
        <v>0</v>
      </c>
      <c r="E379" s="18">
        <f>IFERROR(
                  Andel_oberoende_av_klimat*VLOOKUP($A379,Leveranser_per_nät,'Leveranser per nät'!E$1,FALSE)
               +Andel_beroende_av_klimat*VLOOKUP($A379,Leveranser_per_nät,'Leveranser per nät'!E$1,FALSE)/VLOOKUP($B379,Korrigeringsfaktor_EI,'Korrigeringsfaktor EI'!E$1,FALSE),
"")</f>
        <v>0</v>
      </c>
      <c r="F379" s="18">
        <f>IFERROR(
                  Andel_oberoende_av_klimat*VLOOKUP($A379,Leveranser_per_nät,'Leveranser per nät'!F$1,FALSE)
               +Andel_beroende_av_klimat*VLOOKUP($A379,Leveranser_per_nät,'Leveranser per nät'!F$1,FALSE)/VLOOKUP($B379,Korrigeringsfaktor_EI,'Korrigeringsfaktor EI'!F$1,FALSE),
"")</f>
        <v>0</v>
      </c>
      <c r="G379" s="18">
        <f>IFERROR(
                  Andel_oberoende_av_klimat*VLOOKUP($A379,Leveranser_per_nät,'Leveranser per nät'!G$1,FALSE)
               +Andel_beroende_av_klimat*VLOOKUP($A379,Leveranser_per_nät,'Leveranser per nät'!G$1,FALSE)/VLOOKUP($B379,Korrigeringsfaktor_EI,'Korrigeringsfaktor EI'!G$1,FALSE),
"")</f>
        <v>0</v>
      </c>
      <c r="H379" s="18">
        <f>IFERROR(
                  Andel_oberoende_av_klimat*VLOOKUP($A379,Leveranser_per_nät,'Leveranser per nät'!H$1,FALSE)
               +Andel_beroende_av_klimat*VLOOKUP($A379,Leveranser_per_nät,'Leveranser per nät'!H$1,FALSE)/VLOOKUP($B379,Korrigeringsfaktor_EI,'Korrigeringsfaktor EI'!H$1,FALSE),
"")</f>
        <v>0</v>
      </c>
      <c r="I379" s="18">
        <f>IFERROR(
                  Andel_oberoende_av_klimat*VLOOKUP($A379,Leveranser_per_nät,'Leveranser per nät'!I$1,FALSE)
               +Andel_beroende_av_klimat*VLOOKUP($A379,Leveranser_per_nät,'Leveranser per nät'!I$1,FALSE)/VLOOKUP($B379,Korrigeringsfaktor_EI,'Korrigeringsfaktor EI'!I$1,FALSE),
"")</f>
        <v>0</v>
      </c>
      <c r="J379" s="18">
        <f>IFERROR(
                  Andel_oberoende_av_klimat*VLOOKUP($A379,Leveranser_per_nät,'Leveranser per nät'!J$1,FALSE)
               +Andel_beroende_av_klimat*VLOOKUP($A379,Leveranser_per_nät,'Leveranser per nät'!J$1,FALSE)/VLOOKUP($B379,Korrigeringsfaktor_EI,'Korrigeringsfaktor EI'!J$1,FALSE),
"")</f>
        <v>0</v>
      </c>
      <c r="K379" s="18">
        <f>IFERROR(
                  Andel_oberoende_av_klimat*VLOOKUP($A379,Leveranser_per_nät,'Leveranser per nät'!K$1,FALSE)
               +Andel_beroende_av_klimat*VLOOKUP($A379,Leveranser_per_nät,'Leveranser per nät'!K$1,FALSE)/VLOOKUP($B379,Korrigeringsfaktor_EI,'Korrigeringsfaktor EI'!K$1,FALSE),
"")</f>
        <v>0</v>
      </c>
      <c r="L379" s="18">
        <f>IFERROR(
                  Andel_oberoende_av_klimat*VLOOKUP($A379,Leveranser_per_nät,'Leveranser per nät'!L$1,FALSE)
               +Andel_beroende_av_klimat*VLOOKUP($A379,Leveranser_per_nät,'Leveranser per nät'!L$1,FALSE)/VLOOKUP($B379,Korrigeringsfaktor_EI,'Korrigeringsfaktor EI'!L$1,FALSE),
"")</f>
        <v>0</v>
      </c>
      <c r="M379" s="18">
        <f>IFERROR(
                  Andel_oberoende_av_klimat*VLOOKUP($A379,Leveranser_per_nät,'Leveranser per nät'!M$1,FALSE)
               +Andel_beroende_av_klimat*VLOOKUP($A379,Leveranser_per_nät,'Leveranser per nät'!M$1,FALSE)/VLOOKUP($B379,Korrigeringsfaktor_EI,'Korrigeringsfaktor EI'!M$1,FALSE),
"")</f>
        <v>0</v>
      </c>
      <c r="N379" s="18">
        <f>IFERROR(
                  Andel_oberoende_av_klimat*VLOOKUP($A379,Leveranser_per_nät,'Leveranser per nät'!N$1,FALSE)
               +Andel_beroende_av_klimat*VLOOKUP($A379,Leveranser_per_nät,'Leveranser per nät'!N$1,FALSE)/VLOOKUP($B379,Korrigeringsfaktor_EI,'Korrigeringsfaktor EI'!N$1,FALSE),
"")</f>
        <v>32.460945833333334</v>
      </c>
      <c r="O379" s="18">
        <f>IFERROR(
                  Andel_oberoende_av_klimat*VLOOKUP($A379,Leveranser_per_nät,'Leveranser per nät'!O$1,FALSE)
               +Andel_beroende_av_klimat*VLOOKUP($A379,Leveranser_per_nät,'Leveranser per nät'!O$1,FALSE)/VLOOKUP($B379,Korrigeringsfaktor_EI,'Korrigeringsfaktor EI'!O$1,FALSE),
"")</f>
        <v>30.550552631578949</v>
      </c>
      <c r="P379" s="18">
        <f>IFERROR(
                  Andel_oberoende_av_klimat*VLOOKUP($A379,Leveranser_per_nät,'Leveranser per nät'!P$1,FALSE)
               +Andel_beroende_av_klimat*VLOOKUP($A379,Leveranser_per_nät,'Leveranser per nät'!P$1,FALSE)/VLOOKUP($B379,Korrigeringsfaktor_EI,'Korrigeringsfaktor EI'!P$1,FALSE),
"")</f>
        <v>31.988542857142857</v>
      </c>
      <c r="Q379" s="18">
        <f>IFERROR(
                  Andel_oberoende_av_klimat*VLOOKUP($A379,Leveranser_per_nät,'Leveranser per nät'!Q$1,FALSE)
               +Andel_beroende_av_klimat*VLOOKUP($A379,Leveranser_per_nät,'Leveranser per nät'!Q$1,FALSE)/VLOOKUP($B379,Korrigeringsfaktor_EI,'Korrigeringsfaktor EI'!Q$1,FALSE),
"")</f>
        <v>32.811614814814817</v>
      </c>
      <c r="R379" s="18">
        <f>IFERROR(
                  Andel_oberoende_av_klimat*VLOOKUP($A379,Leveranser_per_nät,'Leveranser per nät'!R$1,FALSE)
               +Andel_beroende_av_klimat*VLOOKUP($A379,Leveranser_per_nät,'Leveranser per nät'!R$1,FALSE)/VLOOKUP($B379,Korrigeringsfaktor_EI,'Korrigeringsfaktor EI'!R$1,FALSE),
"")</f>
        <v>31.578888888888891</v>
      </c>
      <c r="S379" s="18">
        <f>IFERROR(
                  Andel_oberoende_av_klimat*VLOOKUP($A379,Leveranser_per_nät,'Leveranser per nät'!S$1,FALSE)
               +Andel_beroende_av_klimat*VLOOKUP($A379,Leveranser_per_nät,'Leveranser per nät'!S$1,FALSE)/VLOOKUP($B379,Korrigeringsfaktor_EI,'Korrigeringsfaktor EI'!S$1,FALSE),
"")</f>
        <v>31.560784313725488</v>
      </c>
      <c r="T379" s="18">
        <f>IFERROR(
                  Andel_oberoende_av_klimat*VLOOKUP($A379,Leveranser_per_nät,'Leveranser per nät'!T$1,FALSE)
               +Andel_beroende_av_klimat*VLOOKUP($A379,Leveranser_per_nät,'Leveranser per nät'!T$1,FALSE)/VLOOKUP($B379,Korrigeringsfaktor_EI,'Korrigeringsfaktor EI'!T$1,FALSE),
"")</f>
        <v>30.921508510638304</v>
      </c>
      <c r="U379" s="18">
        <f>IFERROR(
                  Andel_oberoende_av_klimat*VLOOKUP($A379,Leveranser_per_nät,'Leveranser per nät'!U$1,FALSE)
               +Andel_beroende_av_klimat*VLOOKUP($A379,Leveranser_per_nät,'Leveranser per nät'!U$1,FALSE)/VLOOKUP($B379,Korrigeringsfaktor_EI,'Korrigeringsfaktor EI'!U$1,FALSE),
"")</f>
        <v>30.210111111111111</v>
      </c>
      <c r="V379" s="18">
        <f>IFERROR(
                  Andel_oberoende_av_klimat*VLOOKUP($A379,Leveranser_per_nät,'Leveranser per nät'!V$1,FALSE)
               +Andel_beroende_av_klimat*VLOOKUP($A379,Leveranser_per_nät,'Leveranser per nät'!V$1,FALSE)/VLOOKUP($B379,Korrigeringsfaktor_EI,'Korrigeringsfaktor EI'!V$1,FALSE),
"")</f>
        <v>30.5976</v>
      </c>
      <c r="W379" s="18">
        <f>IFERROR(
                  Andel_oberoende_av_klimat*VLOOKUP($A379,Leveranser_per_nät,'Leveranser per nät'!W$1,FALSE)
               +Andel_beroende_av_klimat*VLOOKUP($A379,Leveranser_per_nät,'Leveranser per nät'!W$1,FALSE)/VLOOKUP($B379,Korrigeringsfaktor_EI,'Korrigeringsfaktor EI'!W$1,FALSE),
"")</f>
        <v>31.229684210526319</v>
      </c>
      <c r="X379" s="18">
        <f>IFERROR(
                  Andel_oberoende_av_klimat*VLOOKUP($A379,Leveranser_per_nät,'Leveranser per nät'!X$1,FALSE)
               +Andel_beroende_av_klimat*VLOOKUP($A379,Leveranser_per_nät,'Leveranser per nät'!X$1,FALSE)/VLOOKUP($B379,Korrigeringsfaktor_EI,'Korrigeringsfaktor EI'!X$1,FALSE),
"")</f>
        <v>30.627008247422683</v>
      </c>
      <c r="Y379" s="18">
        <f>IFERROR(
                  Andel_oberoende_av_klimat*VLOOKUP($A379,Leveranser_per_nät,'Leveranser per nät'!Y$1,FALSE)
               +Andel_beroende_av_klimat*VLOOKUP($A379,Leveranser_per_nät,'Leveranser per nät'!Y$1,FALSE)/VLOOKUP($B379,Korrigeringsfaktor_EI,'Korrigeringsfaktor EI'!Y$1,FALSE),
"")</f>
        <v>31.786841666666668</v>
      </c>
      <c r="Z379" s="18">
        <f>IFERROR(
                  Andel_oberoende_av_klimat*VLOOKUP($A379,Leveranser_per_nät,'Leveranser per nät'!Z$1,FALSE)
               +Andel_beroende_av_klimat*VLOOKUP($A379,Leveranser_per_nät,'Leveranser per nät'!Z$1,FALSE)/VLOOKUP($B379,Korrigeringsfaktor_EI,'Korrigeringsfaktor EI'!Z$1,FALSE),
"")</f>
        <v>31.990910309278348</v>
      </c>
      <c r="AA379" s="18">
        <f>IFERROR(
                  Andel_oberoende_av_klimat*VLOOKUP($A379,Leveranser_per_nät,'Leveranser per nät'!AA$1,FALSE)
               +Andel_beroende_av_klimat*VLOOKUP($A379,Leveranser_per_nät,'Leveranser per nät'!AA$1,FALSE)/VLOOKUP($B379,Korrigeringsfaktor_EI,'Korrigeringsfaktor EI'!AA$1,FALSE),
"")</f>
        <v>29.710538217754305</v>
      </c>
      <c r="AB379" s="18">
        <f>IFERROR(
                  Andel_oberoende_av_klimat*VLOOKUP($A379,Leveranser_per_nät,'Leveranser per nät'!AB$1,FALSE)
               +Andel_beroende_av_klimat*VLOOKUP($A379,Leveranser_per_nät,'Leveranser per nät'!AB$1,FALSE)/VLOOKUP($B379,Korrigeringsfaktor_EI,'Korrigeringsfaktor EI'!AB$1,FALSE),
"")</f>
        <v>31.040205093228654</v>
      </c>
      <c r="AC379" s="18">
        <f>IFERROR(
                  Andel_oberoende_av_klimat*VLOOKUP($A379,Leveranser_per_nät,'Leveranser per nät'!AC$1,FALSE)
               +Andel_beroende_av_klimat*VLOOKUP($A379,Leveranser_per_nät,'Leveranser per nät'!AC$1,FALSE)/VLOOKUP($B379,Korrigeringsfaktor_EI,'Korrigeringsfaktor EI'!AC$1,FALSE),
"")</f>
        <v>30.378383160083157</v>
      </c>
      <c r="AD379">
        <v>29.561</v>
      </c>
    </row>
    <row r="380" spans="1:30" x14ac:dyDescent="0.25">
      <c r="A380" t="s">
        <v>423</v>
      </c>
      <c r="B380" t="s">
        <v>255</v>
      </c>
      <c r="C380" s="18">
        <f>IFERROR(
                  Andel_oberoende_av_klimat*VLOOKUP($A380,Leveranser_per_nät,'Leveranser per nät'!C$1,FALSE)
               +Andel_beroende_av_klimat*VLOOKUP($A380,Leveranser_per_nät,'Leveranser per nät'!C$1,FALSE)/VLOOKUP($B380,Korrigeringsfaktor_EI,'Korrigeringsfaktor EI'!C$1,FALSE),
"")</f>
        <v>0</v>
      </c>
      <c r="D380" s="18">
        <f>IFERROR(
                  Andel_oberoende_av_klimat*VLOOKUP($A380,Leveranser_per_nät,'Leveranser per nät'!D$1,FALSE)
               +Andel_beroende_av_klimat*VLOOKUP($A380,Leveranser_per_nät,'Leveranser per nät'!D$1,FALSE)/VLOOKUP($B380,Korrigeringsfaktor_EI,'Korrigeringsfaktor EI'!D$1,FALSE),
"")</f>
        <v>0</v>
      </c>
      <c r="E380" s="18">
        <f>IFERROR(
                  Andel_oberoende_av_klimat*VLOOKUP($A380,Leveranser_per_nät,'Leveranser per nät'!E$1,FALSE)
               +Andel_beroende_av_klimat*VLOOKUP($A380,Leveranser_per_nät,'Leveranser per nät'!E$1,FALSE)/VLOOKUP($B380,Korrigeringsfaktor_EI,'Korrigeringsfaktor EI'!E$1,FALSE),
"")</f>
        <v>0</v>
      </c>
      <c r="F380" s="18">
        <f>IFERROR(
                  Andel_oberoende_av_klimat*VLOOKUP($A380,Leveranser_per_nät,'Leveranser per nät'!F$1,FALSE)
               +Andel_beroende_av_klimat*VLOOKUP($A380,Leveranser_per_nät,'Leveranser per nät'!F$1,FALSE)/VLOOKUP($B380,Korrigeringsfaktor_EI,'Korrigeringsfaktor EI'!F$1,FALSE),
"")</f>
        <v>0</v>
      </c>
      <c r="G380" s="18">
        <f>IFERROR(
                  Andel_oberoende_av_klimat*VLOOKUP($A380,Leveranser_per_nät,'Leveranser per nät'!G$1,FALSE)
               +Andel_beroende_av_klimat*VLOOKUP($A380,Leveranser_per_nät,'Leveranser per nät'!G$1,FALSE)/VLOOKUP($B380,Korrigeringsfaktor_EI,'Korrigeringsfaktor EI'!G$1,FALSE),
"")</f>
        <v>0</v>
      </c>
      <c r="H380" s="18">
        <f>IFERROR(
                  Andel_oberoende_av_klimat*VLOOKUP($A380,Leveranser_per_nät,'Leveranser per nät'!H$1,FALSE)
               +Andel_beroende_av_klimat*VLOOKUP($A380,Leveranser_per_nät,'Leveranser per nät'!H$1,FALSE)/VLOOKUP($B380,Korrigeringsfaktor_EI,'Korrigeringsfaktor EI'!H$1,FALSE),
"")</f>
        <v>0</v>
      </c>
      <c r="I380" s="18">
        <f>IFERROR(
                  Andel_oberoende_av_klimat*VLOOKUP($A380,Leveranser_per_nät,'Leveranser per nät'!I$1,FALSE)
               +Andel_beroende_av_klimat*VLOOKUP($A380,Leveranser_per_nät,'Leveranser per nät'!I$1,FALSE)/VLOOKUP($B380,Korrigeringsfaktor_EI,'Korrigeringsfaktor EI'!I$1,FALSE),
"")</f>
        <v>0</v>
      </c>
      <c r="J380" s="18">
        <f>IFERROR(
                  Andel_oberoende_av_klimat*VLOOKUP($A380,Leveranser_per_nät,'Leveranser per nät'!J$1,FALSE)
               +Andel_beroende_av_klimat*VLOOKUP($A380,Leveranser_per_nät,'Leveranser per nät'!J$1,FALSE)/VLOOKUP($B380,Korrigeringsfaktor_EI,'Korrigeringsfaktor EI'!J$1,FALSE),
"")</f>
        <v>0</v>
      </c>
      <c r="K380" s="18">
        <f>IFERROR(
                  Andel_oberoende_av_klimat*VLOOKUP($A380,Leveranser_per_nät,'Leveranser per nät'!K$1,FALSE)
               +Andel_beroende_av_klimat*VLOOKUP($A380,Leveranser_per_nät,'Leveranser per nät'!K$1,FALSE)/VLOOKUP($B380,Korrigeringsfaktor_EI,'Korrigeringsfaktor EI'!K$1,FALSE),
"")</f>
        <v>0</v>
      </c>
      <c r="L380" s="18">
        <f>IFERROR(
                  Andel_oberoende_av_klimat*VLOOKUP($A380,Leveranser_per_nät,'Leveranser per nät'!L$1,FALSE)
               +Andel_beroende_av_klimat*VLOOKUP($A380,Leveranser_per_nät,'Leveranser per nät'!L$1,FALSE)/VLOOKUP($B380,Korrigeringsfaktor_EI,'Korrigeringsfaktor EI'!L$1,FALSE),
"")</f>
        <v>9.8728105263157904</v>
      </c>
      <c r="M380" s="18">
        <f>IFERROR(
                  Andel_oberoende_av_klimat*VLOOKUP($A380,Leveranser_per_nät,'Leveranser per nät'!M$1,FALSE)
               +Andel_beroende_av_klimat*VLOOKUP($A380,Leveranser_per_nät,'Leveranser per nät'!M$1,FALSE)/VLOOKUP($B380,Korrigeringsfaktor_EI,'Korrigeringsfaktor EI'!M$1,FALSE),
"")</f>
        <v>0</v>
      </c>
      <c r="N380" s="18">
        <f>IFERROR(
                  Andel_oberoende_av_klimat*VLOOKUP($A380,Leveranser_per_nät,'Leveranser per nät'!N$1,FALSE)
               +Andel_beroende_av_klimat*VLOOKUP($A380,Leveranser_per_nät,'Leveranser per nät'!N$1,FALSE)/VLOOKUP($B380,Korrigeringsfaktor_EI,'Korrigeringsfaktor EI'!N$1,FALSE),
"")</f>
        <v>0</v>
      </c>
      <c r="O380" s="18">
        <f>IFERROR(
                  Andel_oberoende_av_klimat*VLOOKUP($A380,Leveranser_per_nät,'Leveranser per nät'!O$1,FALSE)
               +Andel_beroende_av_klimat*VLOOKUP($A380,Leveranser_per_nät,'Leveranser per nät'!O$1,FALSE)/VLOOKUP($B380,Korrigeringsfaktor_EI,'Korrigeringsfaktor EI'!O$1,FALSE),
"")</f>
        <v>0</v>
      </c>
      <c r="P380" s="18">
        <f>IFERROR(
                  Andel_oberoende_av_klimat*VLOOKUP($A380,Leveranser_per_nät,'Leveranser per nät'!P$1,FALSE)
               +Andel_beroende_av_klimat*VLOOKUP($A380,Leveranser_per_nät,'Leveranser per nät'!P$1,FALSE)/VLOOKUP($B380,Korrigeringsfaktor_EI,'Korrigeringsfaktor EI'!P$1,FALSE),
"")</f>
        <v>0</v>
      </c>
      <c r="Q380" s="18">
        <f>IFERROR(
                  Andel_oberoende_av_klimat*VLOOKUP($A380,Leveranser_per_nät,'Leveranser per nät'!Q$1,FALSE)
               +Andel_beroende_av_klimat*VLOOKUP($A380,Leveranser_per_nät,'Leveranser per nät'!Q$1,FALSE)/VLOOKUP($B380,Korrigeringsfaktor_EI,'Korrigeringsfaktor EI'!Q$1,FALSE),
"")</f>
        <v>0</v>
      </c>
      <c r="R380" s="18">
        <f>IFERROR(
                  Andel_oberoende_av_klimat*VLOOKUP($A380,Leveranser_per_nät,'Leveranser per nät'!R$1,FALSE)
               +Andel_beroende_av_klimat*VLOOKUP($A380,Leveranser_per_nät,'Leveranser per nät'!R$1,FALSE)/VLOOKUP($B380,Korrigeringsfaktor_EI,'Korrigeringsfaktor EI'!R$1,FALSE),
"")</f>
        <v>0</v>
      </c>
      <c r="S380" s="18">
        <f>IFERROR(
                  Andel_oberoende_av_klimat*VLOOKUP($A380,Leveranser_per_nät,'Leveranser per nät'!S$1,FALSE)
               +Andel_beroende_av_klimat*VLOOKUP($A380,Leveranser_per_nät,'Leveranser per nät'!S$1,FALSE)/VLOOKUP($B380,Korrigeringsfaktor_EI,'Korrigeringsfaktor EI'!S$1,FALSE),
"")</f>
        <v>1.4896039603960394</v>
      </c>
      <c r="T380" s="18" t="str">
        <f>IFERROR(
                  Andel_oberoende_av_klimat*VLOOKUP($A380,Leveranser_per_nät,'Leveranser per nät'!T$1,FALSE)
               +Andel_beroende_av_klimat*VLOOKUP($A380,Leveranser_per_nät,'Leveranser per nät'!T$1,FALSE)/VLOOKUP($B380,Korrigeringsfaktor_EI,'Korrigeringsfaktor EI'!T$1,FALSE),
"")</f>
        <v/>
      </c>
      <c r="U380" s="18" t="str">
        <f>IFERROR(
                  Andel_oberoende_av_klimat*VLOOKUP($A380,Leveranser_per_nät,'Leveranser per nät'!U$1,FALSE)
               +Andel_beroende_av_klimat*VLOOKUP($A380,Leveranser_per_nät,'Leveranser per nät'!U$1,FALSE)/VLOOKUP($B380,Korrigeringsfaktor_EI,'Korrigeringsfaktor EI'!U$1,FALSE),
"")</f>
        <v/>
      </c>
      <c r="V380" s="18" t="str">
        <f>IFERROR(
                  Andel_oberoende_av_klimat*VLOOKUP($A380,Leveranser_per_nät,'Leveranser per nät'!V$1,FALSE)
               +Andel_beroende_av_klimat*VLOOKUP($A380,Leveranser_per_nät,'Leveranser per nät'!V$1,FALSE)/VLOOKUP($B380,Korrigeringsfaktor_EI,'Korrigeringsfaktor EI'!V$1,FALSE),
"")</f>
        <v/>
      </c>
      <c r="W380" s="18" t="str">
        <f>IFERROR(
                  Andel_oberoende_av_klimat*VLOOKUP($A380,Leveranser_per_nät,'Leveranser per nät'!W$1,FALSE)
               +Andel_beroende_av_klimat*VLOOKUP($A380,Leveranser_per_nät,'Leveranser per nät'!W$1,FALSE)/VLOOKUP($B380,Korrigeringsfaktor_EI,'Korrigeringsfaktor EI'!W$1,FALSE),
"")</f>
        <v/>
      </c>
      <c r="X380" s="18" t="str">
        <f>IFERROR(
                  Andel_oberoende_av_klimat*VLOOKUP($A380,Leveranser_per_nät,'Leveranser per nät'!X$1,FALSE)
               +Andel_beroende_av_klimat*VLOOKUP($A380,Leveranser_per_nät,'Leveranser per nät'!X$1,FALSE)/VLOOKUP($B380,Korrigeringsfaktor_EI,'Korrigeringsfaktor EI'!X$1,FALSE),
"")</f>
        <v/>
      </c>
      <c r="Y380" s="18" t="str">
        <f>IFERROR(
                  Andel_oberoende_av_klimat*VLOOKUP($A380,Leveranser_per_nät,'Leveranser per nät'!Y$1,FALSE)
               +Andel_beroende_av_klimat*VLOOKUP($A380,Leveranser_per_nät,'Leveranser per nät'!Y$1,FALSE)/VLOOKUP($B380,Korrigeringsfaktor_EI,'Korrigeringsfaktor EI'!Y$1,FALSE),
"")</f>
        <v/>
      </c>
      <c r="Z380" s="18">
        <f>IFERROR(
                  Andel_oberoende_av_klimat*VLOOKUP($A380,Leveranser_per_nät,'Leveranser per nät'!Z$1,FALSE)
               +Andel_beroende_av_klimat*VLOOKUP($A380,Leveranser_per_nät,'Leveranser per nät'!Z$1,FALSE)/VLOOKUP($B380,Korrigeringsfaktor_EI,'Korrigeringsfaktor EI'!Z$1,FALSE),
"")</f>
        <v>0</v>
      </c>
      <c r="AA380" s="18" t="str">
        <f>IFERROR(
                  Andel_oberoende_av_klimat*VLOOKUP($A380,Leveranser_per_nät,'Leveranser per nät'!AA$1,FALSE)
               +Andel_beroende_av_klimat*VLOOKUP($A380,Leveranser_per_nät,'Leveranser per nät'!AA$1,FALSE)/VLOOKUP($B380,Korrigeringsfaktor_EI,'Korrigeringsfaktor EI'!AA$1,FALSE),
"")</f>
        <v/>
      </c>
      <c r="AB380" s="18">
        <f>IFERROR(
                  Andel_oberoende_av_klimat*VLOOKUP($A380,Leveranser_per_nät,'Leveranser per nät'!AB$1,FALSE)
               +Andel_beroende_av_klimat*VLOOKUP($A380,Leveranser_per_nät,'Leveranser per nät'!AB$1,FALSE)/VLOOKUP($B380,Korrigeringsfaktor_EI,'Korrigeringsfaktor EI'!AB$1,FALSE),
"")</f>
        <v>0</v>
      </c>
      <c r="AC380" s="18">
        <f>IFERROR(
                  Andel_oberoende_av_klimat*VLOOKUP($A380,Leveranser_per_nät,'Leveranser per nät'!AC$1,FALSE)
               +Andel_beroende_av_klimat*VLOOKUP($A380,Leveranser_per_nät,'Leveranser per nät'!AC$1,FALSE)/VLOOKUP($B380,Korrigeringsfaktor_EI,'Korrigeringsfaktor EI'!AC$1,FALSE),
"")</f>
        <v>0</v>
      </c>
      <c r="AD380">
        <v>216.8</v>
      </c>
    </row>
    <row r="381" spans="1:30" x14ac:dyDescent="0.25">
      <c r="A381" t="s">
        <v>343</v>
      </c>
      <c r="B381" t="s">
        <v>335</v>
      </c>
      <c r="C381" s="18">
        <f>IFERROR(
                  Andel_oberoende_av_klimat*VLOOKUP($A381,Leveranser_per_nät,'Leveranser per nät'!C$1,FALSE)
               +Andel_beroende_av_klimat*VLOOKUP($A381,Leveranser_per_nät,'Leveranser per nät'!C$1,FALSE)/VLOOKUP($B381,Korrigeringsfaktor_EI,'Korrigeringsfaktor EI'!C$1,FALSE),
"")</f>
        <v>0</v>
      </c>
      <c r="D381" s="18">
        <f>IFERROR(
                  Andel_oberoende_av_klimat*VLOOKUP($A381,Leveranser_per_nät,'Leveranser per nät'!D$1,FALSE)
               +Andel_beroende_av_klimat*VLOOKUP($A381,Leveranser_per_nät,'Leveranser per nät'!D$1,FALSE)/VLOOKUP($B381,Korrigeringsfaktor_EI,'Korrigeringsfaktor EI'!D$1,FALSE),
"")</f>
        <v>0</v>
      </c>
      <c r="E381" s="18">
        <f>IFERROR(
                  Andel_oberoende_av_klimat*VLOOKUP($A381,Leveranser_per_nät,'Leveranser per nät'!E$1,FALSE)
               +Andel_beroende_av_klimat*VLOOKUP($A381,Leveranser_per_nät,'Leveranser per nät'!E$1,FALSE)/VLOOKUP($B381,Korrigeringsfaktor_EI,'Korrigeringsfaktor EI'!E$1,FALSE),
"")</f>
        <v>13.714563106796117</v>
      </c>
      <c r="F381" s="18">
        <f>IFERROR(
                  Andel_oberoende_av_klimat*VLOOKUP($A381,Leveranser_per_nät,'Leveranser per nät'!F$1,FALSE)
               +Andel_beroende_av_klimat*VLOOKUP($A381,Leveranser_per_nät,'Leveranser per nät'!F$1,FALSE)/VLOOKUP($B381,Korrigeringsfaktor_EI,'Korrigeringsfaktor EI'!F$1,FALSE),
"")</f>
        <v>14.515789473684212</v>
      </c>
      <c r="G381" s="18">
        <f>IFERROR(
                  Andel_oberoende_av_klimat*VLOOKUP($A381,Leveranser_per_nät,'Leveranser per nät'!G$1,FALSE)
               +Andel_beroende_av_klimat*VLOOKUP($A381,Leveranser_per_nät,'Leveranser per nät'!G$1,FALSE)/VLOOKUP($B381,Korrigeringsfaktor_EI,'Korrigeringsfaktor EI'!G$1,FALSE),
"")</f>
        <v>0</v>
      </c>
      <c r="H381" s="18">
        <f>IFERROR(
                  Andel_oberoende_av_klimat*VLOOKUP($A381,Leveranser_per_nät,'Leveranser per nät'!H$1,FALSE)
               +Andel_beroende_av_klimat*VLOOKUP($A381,Leveranser_per_nät,'Leveranser per nät'!H$1,FALSE)/VLOOKUP($B381,Korrigeringsfaktor_EI,'Korrigeringsfaktor EI'!H$1,FALSE),
"")</f>
        <v>0</v>
      </c>
      <c r="I381" s="18">
        <f>IFERROR(
                  Andel_oberoende_av_klimat*VLOOKUP($A381,Leveranser_per_nät,'Leveranser per nät'!I$1,FALSE)
               +Andel_beroende_av_klimat*VLOOKUP($A381,Leveranser_per_nät,'Leveranser per nät'!I$1,FALSE)/VLOOKUP($B381,Korrigeringsfaktor_EI,'Korrigeringsfaktor EI'!I$1,FALSE),
"")</f>
        <v>14.408333333333333</v>
      </c>
      <c r="J381" s="18">
        <f>IFERROR(
                  Andel_oberoende_av_klimat*VLOOKUP($A381,Leveranser_per_nät,'Leveranser per nät'!J$1,FALSE)
               +Andel_beroende_av_klimat*VLOOKUP($A381,Leveranser_per_nät,'Leveranser per nät'!J$1,FALSE)/VLOOKUP($B381,Korrigeringsfaktor_EI,'Korrigeringsfaktor EI'!J$1,FALSE),
"")</f>
        <v>16.209300000000002</v>
      </c>
      <c r="K381" s="18">
        <f>IFERROR(
                  Andel_oberoende_av_klimat*VLOOKUP($A381,Leveranser_per_nät,'Leveranser per nät'!K$1,FALSE)
               +Andel_beroende_av_klimat*VLOOKUP($A381,Leveranser_per_nät,'Leveranser per nät'!K$1,FALSE)/VLOOKUP($B381,Korrigeringsfaktor_EI,'Korrigeringsfaktor EI'!K$1,FALSE),
"")</f>
        <v>17.612516617090751</v>
      </c>
      <c r="L381" s="18">
        <f>IFERROR(
                  Andel_oberoende_av_klimat*VLOOKUP($A381,Leveranser_per_nät,'Leveranser per nät'!L$1,FALSE)
               +Andel_beroende_av_klimat*VLOOKUP($A381,Leveranser_per_nät,'Leveranser per nät'!L$1,FALSE)/VLOOKUP($B381,Korrigeringsfaktor_EI,'Korrigeringsfaktor EI'!L$1,FALSE),
"")</f>
        <v>17.874426684156735</v>
      </c>
      <c r="M381" s="18">
        <f>IFERROR(
                  Andel_oberoende_av_klimat*VLOOKUP($A381,Leveranser_per_nät,'Leveranser per nät'!M$1,FALSE)
               +Andel_beroende_av_klimat*VLOOKUP($A381,Leveranser_per_nät,'Leveranser per nät'!M$1,FALSE)/VLOOKUP($B381,Korrigeringsfaktor_EI,'Korrigeringsfaktor EI'!M$1,FALSE),
"")</f>
        <v>17.261661538461539</v>
      </c>
      <c r="N381" s="18">
        <f>IFERROR(
                  Andel_oberoende_av_klimat*VLOOKUP($A381,Leveranser_per_nät,'Leveranser per nät'!N$1,FALSE)
               +Andel_beroende_av_klimat*VLOOKUP($A381,Leveranser_per_nät,'Leveranser per nät'!N$1,FALSE)/VLOOKUP($B381,Korrigeringsfaktor_EI,'Korrigeringsfaktor EI'!N$1,FALSE),
"")</f>
        <v>15.064347826086955</v>
      </c>
      <c r="O381" s="18">
        <f>IFERROR(
                  Andel_oberoende_av_klimat*VLOOKUP($A381,Leveranser_per_nät,'Leveranser per nät'!O$1,FALSE)
               +Andel_beroende_av_klimat*VLOOKUP($A381,Leveranser_per_nät,'Leveranser per nät'!O$1,FALSE)/VLOOKUP($B381,Korrigeringsfaktor_EI,'Korrigeringsfaktor EI'!O$1,FALSE),
"")</f>
        <v>15.412222222222223</v>
      </c>
      <c r="P381" s="18">
        <f>IFERROR(
                  Andel_oberoende_av_klimat*VLOOKUP($A381,Leveranser_per_nät,'Leveranser per nät'!P$1,FALSE)
               +Andel_beroende_av_klimat*VLOOKUP($A381,Leveranser_per_nät,'Leveranser per nät'!P$1,FALSE)/VLOOKUP($B381,Korrigeringsfaktor_EI,'Korrigeringsfaktor EI'!P$1,FALSE),
"")</f>
        <v>14.808571428571428</v>
      </c>
      <c r="Q381" s="18">
        <f>IFERROR(
                  Andel_oberoende_av_klimat*VLOOKUP($A381,Leveranser_per_nät,'Leveranser per nät'!Q$1,FALSE)
               +Andel_beroende_av_klimat*VLOOKUP($A381,Leveranser_per_nät,'Leveranser per nät'!Q$1,FALSE)/VLOOKUP($B381,Korrigeringsfaktor_EI,'Korrigeringsfaktor EI'!Q$1,FALSE),
"")</f>
        <v>14.322929824561404</v>
      </c>
      <c r="R381" s="18">
        <f>IFERROR(
                  Andel_oberoende_av_klimat*VLOOKUP($A381,Leveranser_per_nät,'Leveranser per nät'!R$1,FALSE)
               +Andel_beroende_av_klimat*VLOOKUP($A381,Leveranser_per_nät,'Leveranser per nät'!R$1,FALSE)/VLOOKUP($B381,Korrigeringsfaktor_EI,'Korrigeringsfaktor EI'!R$1,FALSE),
"")</f>
        <v>14.427826086956522</v>
      </c>
      <c r="S381" s="18">
        <f>IFERROR(
                  Andel_oberoende_av_klimat*VLOOKUP($A381,Leveranser_per_nät,'Leveranser per nät'!S$1,FALSE)
               +Andel_beroende_av_klimat*VLOOKUP($A381,Leveranser_per_nät,'Leveranser per nät'!S$1,FALSE)/VLOOKUP($B381,Korrigeringsfaktor_EI,'Korrigeringsfaktor EI'!S$1,FALSE),
"")</f>
        <v>14.598118811881188</v>
      </c>
      <c r="T381" s="18">
        <f>IFERROR(
                  Andel_oberoende_av_klimat*VLOOKUP($A381,Leveranser_per_nät,'Leveranser per nät'!T$1,FALSE)
               +Andel_beroende_av_klimat*VLOOKUP($A381,Leveranser_per_nät,'Leveranser per nät'!T$1,FALSE)/VLOOKUP($B381,Korrigeringsfaktor_EI,'Korrigeringsfaktor EI'!T$1,FALSE),
"")</f>
        <v>15.12875</v>
      </c>
      <c r="U381" s="18">
        <f>IFERROR(
                  Andel_oberoende_av_klimat*VLOOKUP($A381,Leveranser_per_nät,'Leveranser per nät'!U$1,FALSE)
               +Andel_beroende_av_klimat*VLOOKUP($A381,Leveranser_per_nät,'Leveranser per nät'!U$1,FALSE)/VLOOKUP($B381,Korrigeringsfaktor_EI,'Korrigeringsfaktor EI'!U$1,FALSE),
"")</f>
        <v>14.711666666666666</v>
      </c>
      <c r="V381" s="18">
        <f>IFERROR(
                  Andel_oberoende_av_klimat*VLOOKUP($A381,Leveranser_per_nät,'Leveranser per nät'!V$1,FALSE)
               +Andel_beroende_av_klimat*VLOOKUP($A381,Leveranser_per_nät,'Leveranser per nät'!V$1,FALSE)/VLOOKUP($B381,Korrigeringsfaktor_EI,'Korrigeringsfaktor EI'!V$1,FALSE),
"")</f>
        <v>14.667977528089887</v>
      </c>
      <c r="W381" s="18">
        <f>IFERROR(
                  Andel_oberoende_av_klimat*VLOOKUP($A381,Leveranser_per_nät,'Leveranser per nät'!W$1,FALSE)
               +Andel_beroende_av_klimat*VLOOKUP($A381,Leveranser_per_nät,'Leveranser per nät'!W$1,FALSE)/VLOOKUP($B381,Korrigeringsfaktor_EI,'Korrigeringsfaktor EI'!W$1,FALSE),
"")</f>
        <v>14.510617021276595</v>
      </c>
      <c r="X381" s="18">
        <f>IFERROR(
                  Andel_oberoende_av_klimat*VLOOKUP($A381,Leveranser_per_nät,'Leveranser per nät'!X$1,FALSE)
               +Andel_beroende_av_klimat*VLOOKUP($A381,Leveranser_per_nät,'Leveranser per nät'!X$1,FALSE)/VLOOKUP($B381,Korrigeringsfaktor_EI,'Korrigeringsfaktor EI'!X$1,FALSE),
"")</f>
        <v>14.625531914893617</v>
      </c>
      <c r="Y381" s="18">
        <f>IFERROR(
                  Andel_oberoende_av_klimat*VLOOKUP($A381,Leveranser_per_nät,'Leveranser per nät'!Y$1,FALSE)
               +Andel_beroende_av_klimat*VLOOKUP($A381,Leveranser_per_nät,'Leveranser per nät'!Y$1,FALSE)/VLOOKUP($B381,Korrigeringsfaktor_EI,'Korrigeringsfaktor EI'!Y$1,FALSE),
"")</f>
        <v>15.022692307692306</v>
      </c>
      <c r="Z381" s="18">
        <f>IFERROR(
                  Andel_oberoende_av_klimat*VLOOKUP($A381,Leveranser_per_nät,'Leveranser per nät'!Z$1,FALSE)
               +Andel_beroende_av_klimat*VLOOKUP($A381,Leveranser_per_nät,'Leveranser per nät'!Z$1,FALSE)/VLOOKUP($B381,Korrigeringsfaktor_EI,'Korrigeringsfaktor EI'!Z$1,FALSE),
"")</f>
        <v>15.374469230769229</v>
      </c>
      <c r="AA381" s="18">
        <f>IFERROR(
                  Andel_oberoende_av_klimat*VLOOKUP($A381,Leveranser_per_nät,'Leveranser per nät'!AA$1,FALSE)
               +Andel_beroende_av_klimat*VLOOKUP($A381,Leveranser_per_nät,'Leveranser per nät'!AA$1,FALSE)/VLOOKUP($B381,Korrigeringsfaktor_EI,'Korrigeringsfaktor EI'!AA$1,FALSE),
"")</f>
        <v>15.198369474778993</v>
      </c>
      <c r="AB381" s="18">
        <f>IFERROR(
                  Andel_oberoende_av_klimat*VLOOKUP($A381,Leveranser_per_nät,'Leveranser per nät'!AB$1,FALSE)
               +Andel_beroende_av_klimat*VLOOKUP($A381,Leveranser_per_nät,'Leveranser per nät'!AB$1,FALSE)/VLOOKUP($B381,Korrigeringsfaktor_EI,'Korrigeringsfaktor EI'!AB$1,FALSE),
"")</f>
        <v>14.658324726911617</v>
      </c>
      <c r="AC381" s="18">
        <f>IFERROR(
                  Andel_oberoende_av_klimat*VLOOKUP($A381,Leveranser_per_nät,'Leveranser per nät'!AC$1,FALSE)
               +Andel_beroende_av_klimat*VLOOKUP($A381,Leveranser_per_nät,'Leveranser per nät'!AC$1,FALSE)/VLOOKUP($B381,Korrigeringsfaktor_EI,'Korrigeringsfaktor EI'!AC$1,FALSE),
"")</f>
        <v>14.18932950369588</v>
      </c>
      <c r="AD381">
        <v>1157.2149999999999</v>
      </c>
    </row>
    <row r="382" spans="1:30" x14ac:dyDescent="0.25">
      <c r="A382" t="s">
        <v>285</v>
      </c>
      <c r="B382" t="s">
        <v>285</v>
      </c>
      <c r="C382" s="18">
        <f>IFERROR(
                  Andel_oberoende_av_klimat*VLOOKUP($A382,Leveranser_per_nät,'Leveranser per nät'!C$1,FALSE)
               +Andel_beroende_av_klimat*VLOOKUP($A382,Leveranser_per_nät,'Leveranser per nät'!C$1,FALSE)/VLOOKUP($B382,Korrigeringsfaktor_EI,'Korrigeringsfaktor EI'!C$1,FALSE),
"")</f>
        <v>0</v>
      </c>
      <c r="D382" s="18">
        <f>IFERROR(
                  Andel_oberoende_av_klimat*VLOOKUP($A382,Leveranser_per_nät,'Leveranser per nät'!D$1,FALSE)
               +Andel_beroende_av_klimat*VLOOKUP($A382,Leveranser_per_nät,'Leveranser per nät'!D$1,FALSE)/VLOOKUP($B382,Korrigeringsfaktor_EI,'Korrigeringsfaktor EI'!D$1,FALSE),
"")</f>
        <v>0</v>
      </c>
      <c r="E382" s="18">
        <f>IFERROR(
                  Andel_oberoende_av_klimat*VLOOKUP($A382,Leveranser_per_nät,'Leveranser per nät'!E$1,FALSE)
               +Andel_beroende_av_klimat*VLOOKUP($A382,Leveranser_per_nät,'Leveranser per nät'!E$1,FALSE)/VLOOKUP($B382,Korrigeringsfaktor_EI,'Korrigeringsfaktor EI'!E$1,FALSE),
"")</f>
        <v>0</v>
      </c>
      <c r="F382" s="18">
        <f>IFERROR(
                  Andel_oberoende_av_klimat*VLOOKUP($A382,Leveranser_per_nät,'Leveranser per nät'!F$1,FALSE)
               +Andel_beroende_av_klimat*VLOOKUP($A382,Leveranser_per_nät,'Leveranser per nät'!F$1,FALSE)/VLOOKUP($B382,Korrigeringsfaktor_EI,'Korrigeringsfaktor EI'!F$1,FALSE),
"")</f>
        <v>0</v>
      </c>
      <c r="G382" s="18">
        <f>IFERROR(
                  Andel_oberoende_av_klimat*VLOOKUP($A382,Leveranser_per_nät,'Leveranser per nät'!G$1,FALSE)
               +Andel_beroende_av_klimat*VLOOKUP($A382,Leveranser_per_nät,'Leveranser per nät'!G$1,FALSE)/VLOOKUP($B382,Korrigeringsfaktor_EI,'Korrigeringsfaktor EI'!G$1,FALSE),
"")</f>
        <v>0</v>
      </c>
      <c r="H382" s="18">
        <f>IFERROR(
                  Andel_oberoende_av_klimat*VLOOKUP($A382,Leveranser_per_nät,'Leveranser per nät'!H$1,FALSE)
               +Andel_beroende_av_klimat*VLOOKUP($A382,Leveranser_per_nät,'Leveranser per nät'!H$1,FALSE)/VLOOKUP($B382,Korrigeringsfaktor_EI,'Korrigeringsfaktor EI'!H$1,FALSE),
"")</f>
        <v>67.473737373737379</v>
      </c>
      <c r="I382" s="18">
        <f>IFERROR(
                  Andel_oberoende_av_klimat*VLOOKUP($A382,Leveranser_per_nät,'Leveranser per nät'!I$1,FALSE)
               +Andel_beroende_av_klimat*VLOOKUP($A382,Leveranser_per_nät,'Leveranser per nät'!I$1,FALSE)/VLOOKUP($B382,Korrigeringsfaktor_EI,'Korrigeringsfaktor EI'!I$1,FALSE),
"")</f>
        <v>84.391666666666666</v>
      </c>
      <c r="J382" s="18">
        <f>IFERROR(
                  Andel_oberoende_av_klimat*VLOOKUP($A382,Leveranser_per_nät,'Leveranser per nät'!J$1,FALSE)
               +Andel_beroende_av_klimat*VLOOKUP($A382,Leveranser_per_nät,'Leveranser per nät'!J$1,FALSE)/VLOOKUP($B382,Korrigeringsfaktor_EI,'Korrigeringsfaktor EI'!J$1,FALSE),
"")</f>
        <v>96.678787878787858</v>
      </c>
      <c r="K382" s="18">
        <f>IFERROR(
                  Andel_oberoende_av_klimat*VLOOKUP($A382,Leveranser_per_nät,'Leveranser per nät'!K$1,FALSE)
               +Andel_beroende_av_klimat*VLOOKUP($A382,Leveranser_per_nät,'Leveranser per nät'!K$1,FALSE)/VLOOKUP($B382,Korrigeringsfaktor_EI,'Korrigeringsfaktor EI'!K$1,FALSE),
"")</f>
        <v>87.228571428571428</v>
      </c>
      <c r="L382" s="18">
        <f>IFERROR(
                  Andel_oberoende_av_klimat*VLOOKUP($A382,Leveranser_per_nät,'Leveranser per nät'!L$1,FALSE)
               +Andel_beroende_av_klimat*VLOOKUP($A382,Leveranser_per_nät,'Leveranser per nät'!L$1,FALSE)/VLOOKUP($B382,Korrigeringsfaktor_EI,'Korrigeringsfaktor EI'!L$1,FALSE),
"")</f>
        <v>88.857368421052627</v>
      </c>
      <c r="M382" s="18">
        <f>IFERROR(
                  Andel_oberoende_av_klimat*VLOOKUP($A382,Leveranser_per_nät,'Leveranser per nät'!M$1,FALSE)
               +Andel_beroende_av_klimat*VLOOKUP($A382,Leveranser_per_nät,'Leveranser per nät'!M$1,FALSE)/VLOOKUP($B382,Korrigeringsfaktor_EI,'Korrigeringsfaktor EI'!M$1,FALSE),
"")</f>
        <v>90.916521739130431</v>
      </c>
      <c r="N382" s="18">
        <f>IFERROR(
                  Andel_oberoende_av_klimat*VLOOKUP($A382,Leveranser_per_nät,'Leveranser per nät'!N$1,FALSE)
               +Andel_beroende_av_klimat*VLOOKUP($A382,Leveranser_per_nät,'Leveranser per nät'!N$1,FALSE)/VLOOKUP($B382,Korrigeringsfaktor_EI,'Korrigeringsfaktor EI'!N$1,FALSE),
"")</f>
        <v>91.633076923076928</v>
      </c>
      <c r="O382" s="18">
        <f>IFERROR(
                  Andel_oberoende_av_klimat*VLOOKUP($A382,Leveranser_per_nät,'Leveranser per nät'!O$1,FALSE)
               +Andel_beroende_av_klimat*VLOOKUP($A382,Leveranser_per_nät,'Leveranser per nät'!O$1,FALSE)/VLOOKUP($B382,Korrigeringsfaktor_EI,'Korrigeringsfaktor EI'!O$1,FALSE),
"")</f>
        <v>110.68777777777778</v>
      </c>
      <c r="P382" s="18">
        <f>IFERROR(
                  Andel_oberoende_av_klimat*VLOOKUP($A382,Leveranser_per_nät,'Leveranser per nät'!P$1,FALSE)
               +Andel_beroende_av_klimat*VLOOKUP($A382,Leveranser_per_nät,'Leveranser per nät'!P$1,FALSE)/VLOOKUP($B382,Korrigeringsfaktor_EI,'Korrigeringsfaktor EI'!P$1,FALSE),
"")</f>
        <v>129.46916666666667</v>
      </c>
      <c r="Q382" s="18">
        <f>IFERROR(
                  Andel_oberoende_av_klimat*VLOOKUP($A382,Leveranser_per_nät,'Leveranser per nät'!Q$1,FALSE)
               +Andel_beroende_av_klimat*VLOOKUP($A382,Leveranser_per_nät,'Leveranser per nät'!Q$1,FALSE)/VLOOKUP($B382,Korrigeringsfaktor_EI,'Korrigeringsfaktor EI'!Q$1,FALSE),
"")</f>
        <v>132.91200619469026</v>
      </c>
      <c r="R382" s="18">
        <f>IFERROR(
                  Andel_oberoende_av_klimat*VLOOKUP($A382,Leveranser_per_nät,'Leveranser per nät'!R$1,FALSE)
               +Andel_beroende_av_klimat*VLOOKUP($A382,Leveranser_per_nät,'Leveranser per nät'!R$1,FALSE)/VLOOKUP($B382,Korrigeringsfaktor_EI,'Korrigeringsfaktor EI'!R$1,FALSE),
"")</f>
        <v>160.81230769230771</v>
      </c>
      <c r="S382" s="18">
        <f>IFERROR(
                  Andel_oberoende_av_klimat*VLOOKUP($A382,Leveranser_per_nät,'Leveranser per nät'!S$1,FALSE)
               +Andel_beroende_av_klimat*VLOOKUP($A382,Leveranser_per_nät,'Leveranser per nät'!S$1,FALSE)/VLOOKUP($B382,Korrigeringsfaktor_EI,'Korrigeringsfaktor EI'!S$1,FALSE),
"")</f>
        <v>151.06060606060606</v>
      </c>
      <c r="T382" s="18">
        <f>IFERROR(
                  Andel_oberoende_av_klimat*VLOOKUP($A382,Leveranser_per_nät,'Leveranser per nät'!T$1,FALSE)
               +Andel_beroende_av_klimat*VLOOKUP($A382,Leveranser_per_nät,'Leveranser per nät'!T$1,FALSE)/VLOOKUP($B382,Korrigeringsfaktor_EI,'Korrigeringsfaktor EI'!T$1,FALSE),
"")</f>
        <v>154.27928750000001</v>
      </c>
      <c r="U382" s="18">
        <f>IFERROR(
                  Andel_oberoende_av_klimat*VLOOKUP($A382,Leveranser_per_nät,'Leveranser per nät'!U$1,FALSE)
               +Andel_beroende_av_klimat*VLOOKUP($A382,Leveranser_per_nät,'Leveranser per nät'!U$1,FALSE)/VLOOKUP($B382,Korrigeringsfaktor_EI,'Korrigeringsfaktor EI'!U$1,FALSE),
"")</f>
        <v>146.79333333333332</v>
      </c>
      <c r="V382" s="18">
        <f>IFERROR(
                  Andel_oberoende_av_klimat*VLOOKUP($A382,Leveranser_per_nät,'Leveranser per nät'!V$1,FALSE)
               +Andel_beroende_av_klimat*VLOOKUP($A382,Leveranser_per_nät,'Leveranser per nät'!V$1,FALSE)/VLOOKUP($B382,Korrigeringsfaktor_EI,'Korrigeringsfaktor EI'!V$1,FALSE),
"")</f>
        <v>131.35988764044944</v>
      </c>
      <c r="W382" s="18">
        <f>IFERROR(
                  Andel_oberoende_av_klimat*VLOOKUP($A382,Leveranser_per_nät,'Leveranser per nät'!W$1,FALSE)
               +Andel_beroende_av_klimat*VLOOKUP($A382,Leveranser_per_nät,'Leveranser per nät'!W$1,FALSE)/VLOOKUP($B382,Korrigeringsfaktor_EI,'Korrigeringsfaktor EI'!W$1,FALSE),
"")</f>
        <v>153.60815789473685</v>
      </c>
      <c r="X382" s="18">
        <f>IFERROR(
                  Andel_oberoende_av_klimat*VLOOKUP($A382,Leveranser_per_nät,'Leveranser per nät'!X$1,FALSE)
               +Andel_beroende_av_klimat*VLOOKUP($A382,Leveranser_per_nät,'Leveranser per nät'!X$1,FALSE)/VLOOKUP($B382,Korrigeringsfaktor_EI,'Korrigeringsfaktor EI'!X$1,FALSE),
"")</f>
        <v>135.78940537634406</v>
      </c>
      <c r="Y382" s="18">
        <f>IFERROR(
                  Andel_oberoende_av_klimat*VLOOKUP($A382,Leveranser_per_nät,'Leveranser per nät'!Y$1,FALSE)
               +Andel_beroende_av_klimat*VLOOKUP($A382,Leveranser_per_nät,'Leveranser per nät'!Y$1,FALSE)/VLOOKUP($B382,Korrigeringsfaktor_EI,'Korrigeringsfaktor EI'!Y$1,FALSE),
"")</f>
        <v>159.71313846153848</v>
      </c>
      <c r="Z382" s="18">
        <f>IFERROR(
                  Andel_oberoende_av_klimat*VLOOKUP($A382,Leveranser_per_nät,'Leveranser per nät'!Z$1,FALSE)
               +Andel_beroende_av_klimat*VLOOKUP($A382,Leveranser_per_nät,'Leveranser per nät'!Z$1,FALSE)/VLOOKUP($B382,Korrigeringsfaktor_EI,'Korrigeringsfaktor EI'!Z$1,FALSE),
"")</f>
        <v>160.91545555555555</v>
      </c>
      <c r="AA382" s="18">
        <f>IFERROR(
                  Andel_oberoende_av_klimat*VLOOKUP($A382,Leveranser_per_nät,'Leveranser per nät'!AA$1,FALSE)
               +Andel_beroende_av_klimat*VLOOKUP($A382,Leveranser_per_nät,'Leveranser per nät'!AA$1,FALSE)/VLOOKUP($B382,Korrigeringsfaktor_EI,'Korrigeringsfaktor EI'!AA$1,FALSE),
"")</f>
        <v>160.49715942028985</v>
      </c>
      <c r="AB382" s="18">
        <f>IFERROR(
                  Andel_oberoende_av_klimat*VLOOKUP($A382,Leveranser_per_nät,'Leveranser per nät'!AB$1,FALSE)
               +Andel_beroende_av_klimat*VLOOKUP($A382,Leveranser_per_nät,'Leveranser per nät'!AB$1,FALSE)/VLOOKUP($B382,Korrigeringsfaktor_EI,'Korrigeringsfaktor EI'!AB$1,FALSE),
"")</f>
        <v>160.08921836734694</v>
      </c>
      <c r="AC382" s="18">
        <f>IFERROR(
                  Andel_oberoende_av_klimat*VLOOKUP($A382,Leveranser_per_nät,'Leveranser per nät'!AC$1,FALSE)
               +Andel_beroende_av_klimat*VLOOKUP($A382,Leveranser_per_nät,'Leveranser per nät'!AC$1,FALSE)/VLOOKUP($B382,Korrigeringsfaktor_EI,'Korrigeringsfaktor EI'!AC$1,FALSE),
"")</f>
        <v>143.45643684210526</v>
      </c>
      <c r="AD382">
        <v>138.35900000000001</v>
      </c>
    </row>
    <row r="383" spans="1:30" x14ac:dyDescent="0.25">
      <c r="A383" s="3" t="s">
        <v>13</v>
      </c>
      <c r="B383" t="s">
        <v>138</v>
      </c>
      <c r="C383" s="18">
        <f>IFERROR(
                  Andel_oberoende_av_klimat*VLOOKUP($A383,Leveranser_per_nät,'Leveranser per nät'!C$1,FALSE)
               +Andel_beroende_av_klimat*VLOOKUP($A383,Leveranser_per_nät,'Leveranser per nät'!C$1,FALSE)/VLOOKUP($B383,Korrigeringsfaktor_EI,'Korrigeringsfaktor EI'!C$1,FALSE),
"")</f>
        <v>0</v>
      </c>
      <c r="D383" s="18">
        <f>IFERROR(
                  Andel_oberoende_av_klimat*VLOOKUP($A383,Leveranser_per_nät,'Leveranser per nät'!D$1,FALSE)
               +Andel_beroende_av_klimat*VLOOKUP($A383,Leveranser_per_nät,'Leveranser per nät'!D$1,FALSE)/VLOOKUP($B383,Korrigeringsfaktor_EI,'Korrigeringsfaktor EI'!D$1,FALSE),
"")</f>
        <v>0</v>
      </c>
      <c r="E383" s="18">
        <f>IFERROR(
                  Andel_oberoende_av_klimat*VLOOKUP($A383,Leveranser_per_nät,'Leveranser per nät'!E$1,FALSE)
               +Andel_beroende_av_klimat*VLOOKUP($A383,Leveranser_per_nät,'Leveranser per nät'!E$1,FALSE)/VLOOKUP($B383,Korrigeringsfaktor_EI,'Korrigeringsfaktor EI'!E$1,FALSE),
"")</f>
        <v>0</v>
      </c>
      <c r="F383" s="18">
        <f>IFERROR(
                  Andel_oberoende_av_klimat*VLOOKUP($A383,Leveranser_per_nät,'Leveranser per nät'!F$1,FALSE)
               +Andel_beroende_av_klimat*VLOOKUP($A383,Leveranser_per_nät,'Leveranser per nät'!F$1,FALSE)/VLOOKUP($B383,Korrigeringsfaktor_EI,'Korrigeringsfaktor EI'!F$1,FALSE),
"")</f>
        <v>0</v>
      </c>
      <c r="G383" s="18">
        <f>IFERROR(
                  Andel_oberoende_av_klimat*VLOOKUP($A383,Leveranser_per_nät,'Leveranser per nät'!G$1,FALSE)
               +Andel_beroende_av_klimat*VLOOKUP($A383,Leveranser_per_nät,'Leveranser per nät'!G$1,FALSE)/VLOOKUP($B383,Korrigeringsfaktor_EI,'Korrigeringsfaktor EI'!G$1,FALSE),
"")</f>
        <v>0</v>
      </c>
      <c r="H383" s="18">
        <f>IFERROR(
                  Andel_oberoende_av_klimat*VLOOKUP($A383,Leveranser_per_nät,'Leveranser per nät'!H$1,FALSE)
               +Andel_beroende_av_klimat*VLOOKUP($A383,Leveranser_per_nät,'Leveranser per nät'!H$1,FALSE)/VLOOKUP($B383,Korrigeringsfaktor_EI,'Korrigeringsfaktor EI'!H$1,FALSE),
"")</f>
        <v>0</v>
      </c>
      <c r="I383" s="18">
        <f>IFERROR(
                  Andel_oberoende_av_klimat*VLOOKUP($A383,Leveranser_per_nät,'Leveranser per nät'!I$1,FALSE)
               +Andel_beroende_av_klimat*VLOOKUP($A383,Leveranser_per_nät,'Leveranser per nät'!I$1,FALSE)/VLOOKUP($B383,Korrigeringsfaktor_EI,'Korrigeringsfaktor EI'!I$1,FALSE),
"")</f>
        <v>0</v>
      </c>
      <c r="J383" s="18">
        <f>IFERROR(
                  Andel_oberoende_av_klimat*VLOOKUP($A383,Leveranser_per_nät,'Leveranser per nät'!J$1,FALSE)
               +Andel_beroende_av_klimat*VLOOKUP($A383,Leveranser_per_nät,'Leveranser per nät'!J$1,FALSE)/VLOOKUP($B383,Korrigeringsfaktor_EI,'Korrigeringsfaktor EI'!J$1,FALSE),
"")</f>
        <v>0</v>
      </c>
      <c r="K383" s="18">
        <f>IFERROR(
                  Andel_oberoende_av_klimat*VLOOKUP($A383,Leveranser_per_nät,'Leveranser per nät'!K$1,FALSE)
               +Andel_beroende_av_klimat*VLOOKUP($A383,Leveranser_per_nät,'Leveranser per nät'!K$1,FALSE)/VLOOKUP($B383,Korrigeringsfaktor_EI,'Korrigeringsfaktor EI'!K$1,FALSE),
"")</f>
        <v>0</v>
      </c>
      <c r="L383" s="18">
        <f>IFERROR(
                  Andel_oberoende_av_klimat*VLOOKUP($A383,Leveranser_per_nät,'Leveranser per nät'!L$1,FALSE)
               +Andel_beroende_av_klimat*VLOOKUP($A383,Leveranser_per_nät,'Leveranser per nät'!L$1,FALSE)/VLOOKUP($B383,Korrigeringsfaktor_EI,'Korrigeringsfaktor EI'!L$1,FALSE),
"")</f>
        <v>0</v>
      </c>
      <c r="M383" s="18">
        <f>IFERROR(
                  Andel_oberoende_av_klimat*VLOOKUP($A383,Leveranser_per_nät,'Leveranser per nät'!M$1,FALSE)
               +Andel_beroende_av_klimat*VLOOKUP($A383,Leveranser_per_nät,'Leveranser per nät'!M$1,FALSE)/VLOOKUP($B383,Korrigeringsfaktor_EI,'Korrigeringsfaktor EI'!M$1,FALSE),
"")</f>
        <v>0</v>
      </c>
      <c r="N383" s="18">
        <f>IFERROR(
                  Andel_oberoende_av_klimat*VLOOKUP($A383,Leveranser_per_nät,'Leveranser per nät'!N$1,FALSE)
               +Andel_beroende_av_klimat*VLOOKUP($A383,Leveranser_per_nät,'Leveranser per nät'!N$1,FALSE)/VLOOKUP($B383,Korrigeringsfaktor_EI,'Korrigeringsfaktor EI'!N$1,FALSE),
"")</f>
        <v>0</v>
      </c>
      <c r="O383" s="18">
        <f>IFERROR(
                  Andel_oberoende_av_klimat*VLOOKUP($A383,Leveranser_per_nät,'Leveranser per nät'!O$1,FALSE)
               +Andel_beroende_av_klimat*VLOOKUP($A383,Leveranser_per_nät,'Leveranser per nät'!O$1,FALSE)/VLOOKUP($B383,Korrigeringsfaktor_EI,'Korrigeringsfaktor EI'!O$1,FALSE),
"")</f>
        <v>0</v>
      </c>
      <c r="P383" s="18">
        <f>IFERROR(
                  Andel_oberoende_av_klimat*VLOOKUP($A383,Leveranser_per_nät,'Leveranser per nät'!P$1,FALSE)
               +Andel_beroende_av_klimat*VLOOKUP($A383,Leveranser_per_nät,'Leveranser per nät'!P$1,FALSE)/VLOOKUP($B383,Korrigeringsfaktor_EI,'Korrigeringsfaktor EI'!P$1,FALSE),
"")</f>
        <v>0</v>
      </c>
      <c r="Q383" s="18">
        <f>IFERROR(
                  Andel_oberoende_av_klimat*VLOOKUP($A383,Leveranser_per_nät,'Leveranser per nät'!Q$1,FALSE)
               +Andel_beroende_av_klimat*VLOOKUP($A383,Leveranser_per_nät,'Leveranser per nät'!Q$1,FALSE)/VLOOKUP($B383,Korrigeringsfaktor_EI,'Korrigeringsfaktor EI'!Q$1,FALSE),
"")</f>
        <v>0.18280701754385964</v>
      </c>
      <c r="R383" s="18">
        <f>IFERROR(
                  Andel_oberoende_av_klimat*VLOOKUP($A383,Leveranser_per_nät,'Leveranser per nät'!R$1,FALSE)
               +Andel_beroende_av_klimat*VLOOKUP($A383,Leveranser_per_nät,'Leveranser per nät'!R$1,FALSE)/VLOOKUP($B383,Korrigeringsfaktor_EI,'Korrigeringsfaktor EI'!R$1,FALSE),
"")</f>
        <v>0</v>
      </c>
      <c r="S383" s="18" t="str">
        <f>IFERROR(
                  Andel_oberoende_av_klimat*VLOOKUP($A383,Leveranser_per_nät,'Leveranser per nät'!S$1,FALSE)
               +Andel_beroende_av_klimat*VLOOKUP($A383,Leveranser_per_nät,'Leveranser per nät'!S$1,FALSE)/VLOOKUP($B383,Korrigeringsfaktor_EI,'Korrigeringsfaktor EI'!S$1,FALSE),
"")</f>
        <v/>
      </c>
      <c r="T383" s="18" t="str">
        <f>IFERROR(
                  Andel_oberoende_av_klimat*VLOOKUP($A383,Leveranser_per_nät,'Leveranser per nät'!T$1,FALSE)
               +Andel_beroende_av_klimat*VLOOKUP($A383,Leveranser_per_nät,'Leveranser per nät'!T$1,FALSE)/VLOOKUP($B383,Korrigeringsfaktor_EI,'Korrigeringsfaktor EI'!T$1,FALSE),
"")</f>
        <v/>
      </c>
      <c r="U383" s="18" t="str">
        <f>IFERROR(
                  Andel_oberoende_av_klimat*VLOOKUP($A383,Leveranser_per_nät,'Leveranser per nät'!U$1,FALSE)
               +Andel_beroende_av_klimat*VLOOKUP($A383,Leveranser_per_nät,'Leveranser per nät'!U$1,FALSE)/VLOOKUP($B383,Korrigeringsfaktor_EI,'Korrigeringsfaktor EI'!U$1,FALSE),
"")</f>
        <v/>
      </c>
      <c r="V383" s="18" t="str">
        <f>IFERROR(
                  Andel_oberoende_av_klimat*VLOOKUP($A383,Leveranser_per_nät,'Leveranser per nät'!V$1,FALSE)
               +Andel_beroende_av_klimat*VLOOKUP($A383,Leveranser_per_nät,'Leveranser per nät'!V$1,FALSE)/VLOOKUP($B383,Korrigeringsfaktor_EI,'Korrigeringsfaktor EI'!V$1,FALSE),
"")</f>
        <v/>
      </c>
      <c r="W383" s="18" t="str">
        <f>IFERROR(
                  Andel_oberoende_av_klimat*VLOOKUP($A383,Leveranser_per_nät,'Leveranser per nät'!W$1,FALSE)
               +Andel_beroende_av_klimat*VLOOKUP($A383,Leveranser_per_nät,'Leveranser per nät'!W$1,FALSE)/VLOOKUP($B383,Korrigeringsfaktor_EI,'Korrigeringsfaktor EI'!W$1,FALSE),
"")</f>
        <v/>
      </c>
      <c r="X383" s="18" t="str">
        <f>IFERROR(
                  Andel_oberoende_av_klimat*VLOOKUP($A383,Leveranser_per_nät,'Leveranser per nät'!X$1,FALSE)
               +Andel_beroende_av_klimat*VLOOKUP($A383,Leveranser_per_nät,'Leveranser per nät'!X$1,FALSE)/VLOOKUP($B383,Korrigeringsfaktor_EI,'Korrigeringsfaktor EI'!X$1,FALSE),
"")</f>
        <v/>
      </c>
      <c r="Y383" s="18" t="str">
        <f>IFERROR(
                  Andel_oberoende_av_klimat*VLOOKUP($A383,Leveranser_per_nät,'Leveranser per nät'!Y$1,FALSE)
               +Andel_beroende_av_klimat*VLOOKUP($A383,Leveranser_per_nät,'Leveranser per nät'!Y$1,FALSE)/VLOOKUP($B383,Korrigeringsfaktor_EI,'Korrigeringsfaktor EI'!Y$1,FALSE),
"")</f>
        <v/>
      </c>
      <c r="Z383" s="18">
        <f>IFERROR(
                  Andel_oberoende_av_klimat*VLOOKUP($A383,Leveranser_per_nät,'Leveranser per nät'!Z$1,FALSE)
               +Andel_beroende_av_klimat*VLOOKUP($A383,Leveranser_per_nät,'Leveranser per nät'!Z$1,FALSE)/VLOOKUP($B383,Korrigeringsfaktor_EI,'Korrigeringsfaktor EI'!Z$1,FALSE),
"")</f>
        <v>0</v>
      </c>
      <c r="AA383" s="18" t="str">
        <f>IFERROR(
                  Andel_oberoende_av_klimat*VLOOKUP($A383,Leveranser_per_nät,'Leveranser per nät'!AA$1,FALSE)
               +Andel_beroende_av_klimat*VLOOKUP($A383,Leveranser_per_nät,'Leveranser per nät'!AA$1,FALSE)/VLOOKUP($B383,Korrigeringsfaktor_EI,'Korrigeringsfaktor EI'!AA$1,FALSE),
"")</f>
        <v/>
      </c>
      <c r="AB383" s="18">
        <f>IFERROR(
                  Andel_oberoende_av_klimat*VLOOKUP($A383,Leveranser_per_nät,'Leveranser per nät'!AB$1,FALSE)
               +Andel_beroende_av_klimat*VLOOKUP($A383,Leveranser_per_nät,'Leveranser per nät'!AB$1,FALSE)/VLOOKUP($B383,Korrigeringsfaktor_EI,'Korrigeringsfaktor EI'!AB$1,FALSE),
"")</f>
        <v>0</v>
      </c>
      <c r="AC383" s="18">
        <f>IFERROR(
                  Andel_oberoende_av_klimat*VLOOKUP($A383,Leveranser_per_nät,'Leveranser per nät'!AC$1,FALSE)
               +Andel_beroende_av_klimat*VLOOKUP($A383,Leveranser_per_nät,'Leveranser per nät'!AC$1,FALSE)/VLOOKUP($B383,Korrigeringsfaktor_EI,'Korrigeringsfaktor EI'!AC$1,FALSE),
"")</f>
        <v>0</v>
      </c>
      <c r="AD383">
        <v>662.10699999999997</v>
      </c>
    </row>
    <row r="384" spans="1:30" x14ac:dyDescent="0.25">
      <c r="A384" s="3" t="s">
        <v>495</v>
      </c>
      <c r="B384" t="s">
        <v>82</v>
      </c>
      <c r="C384" s="18">
        <f>IFERROR(
                  Andel_oberoende_av_klimat*VLOOKUP($A384,Leveranser_per_nät,'Leveranser per nät'!C$1,FALSE)
               +Andel_beroende_av_klimat*VLOOKUP($A384,Leveranser_per_nät,'Leveranser per nät'!C$1,FALSE)/VLOOKUP($B384,Korrigeringsfaktor_EI,'Korrigeringsfaktor EI'!C$1,FALSE),
"")</f>
        <v>0</v>
      </c>
      <c r="D384" s="18">
        <f>IFERROR(
                  Andel_oberoende_av_klimat*VLOOKUP($A384,Leveranser_per_nät,'Leveranser per nät'!D$1,FALSE)
               +Andel_beroende_av_klimat*VLOOKUP($A384,Leveranser_per_nät,'Leveranser per nät'!D$1,FALSE)/VLOOKUP($B384,Korrigeringsfaktor_EI,'Korrigeringsfaktor EI'!D$1,FALSE),
"")</f>
        <v>0</v>
      </c>
      <c r="E384" s="18">
        <f>IFERROR(
                  Andel_oberoende_av_klimat*VLOOKUP($A384,Leveranser_per_nät,'Leveranser per nät'!E$1,FALSE)
               +Andel_beroende_av_klimat*VLOOKUP($A384,Leveranser_per_nät,'Leveranser per nät'!E$1,FALSE)/VLOOKUP($B384,Korrigeringsfaktor_EI,'Korrigeringsfaktor EI'!E$1,FALSE),
"")</f>
        <v>0</v>
      </c>
      <c r="F384" s="18">
        <f>IFERROR(
                  Andel_oberoende_av_klimat*VLOOKUP($A384,Leveranser_per_nät,'Leveranser per nät'!F$1,FALSE)
               +Andel_beroende_av_klimat*VLOOKUP($A384,Leveranser_per_nät,'Leveranser per nät'!F$1,FALSE)/VLOOKUP($B384,Korrigeringsfaktor_EI,'Korrigeringsfaktor EI'!F$1,FALSE),
"")</f>
        <v>0</v>
      </c>
      <c r="G384" s="18">
        <f>IFERROR(
                  Andel_oberoende_av_klimat*VLOOKUP($A384,Leveranser_per_nät,'Leveranser per nät'!G$1,FALSE)
               +Andel_beroende_av_klimat*VLOOKUP($A384,Leveranser_per_nät,'Leveranser per nät'!G$1,FALSE)/VLOOKUP($B384,Korrigeringsfaktor_EI,'Korrigeringsfaktor EI'!G$1,FALSE),
"")</f>
        <v>0</v>
      </c>
      <c r="H384" s="18">
        <f>IFERROR(
                  Andel_oberoende_av_klimat*VLOOKUP($A384,Leveranser_per_nät,'Leveranser per nät'!H$1,FALSE)
               +Andel_beroende_av_klimat*VLOOKUP($A384,Leveranser_per_nät,'Leveranser per nät'!H$1,FALSE)/VLOOKUP($B384,Korrigeringsfaktor_EI,'Korrigeringsfaktor EI'!H$1,FALSE),
"")</f>
        <v>0</v>
      </c>
      <c r="I384" s="18">
        <f>IFERROR(
                  Andel_oberoende_av_klimat*VLOOKUP($A384,Leveranser_per_nät,'Leveranser per nät'!I$1,FALSE)
               +Andel_beroende_av_klimat*VLOOKUP($A384,Leveranser_per_nät,'Leveranser per nät'!I$1,FALSE)/VLOOKUP($B384,Korrigeringsfaktor_EI,'Korrigeringsfaktor EI'!I$1,FALSE),
"")</f>
        <v>0</v>
      </c>
      <c r="J384" s="18">
        <f>IFERROR(
                  Andel_oberoende_av_klimat*VLOOKUP($A384,Leveranser_per_nät,'Leveranser per nät'!J$1,FALSE)
               +Andel_beroende_av_klimat*VLOOKUP($A384,Leveranser_per_nät,'Leveranser per nät'!J$1,FALSE)/VLOOKUP($B384,Korrigeringsfaktor_EI,'Korrigeringsfaktor EI'!J$1,FALSE),
"")</f>
        <v>0</v>
      </c>
      <c r="K384" s="18">
        <f>IFERROR(
                  Andel_oberoende_av_klimat*VLOOKUP($A384,Leveranser_per_nät,'Leveranser per nät'!K$1,FALSE)
               +Andel_beroende_av_klimat*VLOOKUP($A384,Leveranser_per_nät,'Leveranser per nät'!K$1,FALSE)/VLOOKUP($B384,Korrigeringsfaktor_EI,'Korrigeringsfaktor EI'!K$1,FALSE),
"")</f>
        <v>0</v>
      </c>
      <c r="L384" s="18">
        <f>IFERROR(
                  Andel_oberoende_av_klimat*VLOOKUP($A384,Leveranser_per_nät,'Leveranser per nät'!L$1,FALSE)
               +Andel_beroende_av_klimat*VLOOKUP($A384,Leveranser_per_nät,'Leveranser per nät'!L$1,FALSE)/VLOOKUP($B384,Korrigeringsfaktor_EI,'Korrigeringsfaktor EI'!L$1,FALSE),
"")</f>
        <v>0</v>
      </c>
      <c r="M384" s="18">
        <f>IFERROR(
                  Andel_oberoende_av_klimat*VLOOKUP($A384,Leveranser_per_nät,'Leveranser per nät'!M$1,FALSE)
               +Andel_beroende_av_klimat*VLOOKUP($A384,Leveranser_per_nät,'Leveranser per nät'!M$1,FALSE)/VLOOKUP($B384,Korrigeringsfaktor_EI,'Korrigeringsfaktor EI'!M$1,FALSE),
"")</f>
        <v>0</v>
      </c>
      <c r="N384" s="18">
        <f>IFERROR(
                  Andel_oberoende_av_klimat*VLOOKUP($A384,Leveranser_per_nät,'Leveranser per nät'!N$1,FALSE)
               +Andel_beroende_av_klimat*VLOOKUP($A384,Leveranser_per_nät,'Leveranser per nät'!N$1,FALSE)/VLOOKUP($B384,Korrigeringsfaktor_EI,'Korrigeringsfaktor EI'!N$1,FALSE),
"")</f>
        <v>0</v>
      </c>
      <c r="O384" s="18">
        <f>IFERROR(
                  Andel_oberoende_av_klimat*VLOOKUP($A384,Leveranser_per_nät,'Leveranser per nät'!O$1,FALSE)
               +Andel_beroende_av_klimat*VLOOKUP($A384,Leveranser_per_nät,'Leveranser per nät'!O$1,FALSE)/VLOOKUP($B384,Korrigeringsfaktor_EI,'Korrigeringsfaktor EI'!O$1,FALSE),
"")</f>
        <v>0</v>
      </c>
      <c r="P384" s="18">
        <f>IFERROR(
                  Andel_oberoende_av_klimat*VLOOKUP($A384,Leveranser_per_nät,'Leveranser per nät'!P$1,FALSE)
               +Andel_beroende_av_klimat*VLOOKUP($A384,Leveranser_per_nät,'Leveranser per nät'!P$1,FALSE)/VLOOKUP($B384,Korrigeringsfaktor_EI,'Korrigeringsfaktor EI'!P$1,FALSE),
"")</f>
        <v>0</v>
      </c>
      <c r="Q384" s="18">
        <f>IFERROR(
                  Andel_oberoende_av_klimat*VLOOKUP($A384,Leveranser_per_nät,'Leveranser per nät'!Q$1,FALSE)
               +Andel_beroende_av_klimat*VLOOKUP($A384,Leveranser_per_nät,'Leveranser per nät'!Q$1,FALSE)/VLOOKUP($B384,Korrigeringsfaktor_EI,'Korrigeringsfaktor EI'!Q$1,FALSE),
"")</f>
        <v>7.77</v>
      </c>
      <c r="R384" s="18">
        <f>IFERROR(
                  Andel_oberoende_av_klimat*VLOOKUP($A384,Leveranser_per_nät,'Leveranser per nät'!R$1,FALSE)
               +Andel_beroende_av_klimat*VLOOKUP($A384,Leveranser_per_nät,'Leveranser per nät'!R$1,FALSE)/VLOOKUP($B384,Korrigeringsfaktor_EI,'Korrigeringsfaktor EI'!R$1,FALSE),
"")</f>
        <v>3.8166841354612902</v>
      </c>
      <c r="S384" s="18">
        <f>IFERROR(
                  Andel_oberoende_av_klimat*VLOOKUP($A384,Leveranser_per_nät,'Leveranser per nät'!S$1,FALSE)
               +Andel_beroende_av_klimat*VLOOKUP($A384,Leveranser_per_nät,'Leveranser per nät'!S$1,FALSE)/VLOOKUP($B384,Korrigeringsfaktor_EI,'Korrigeringsfaktor EI'!S$1,FALSE),
"")</f>
        <v>4.556588235294118</v>
      </c>
      <c r="T384" s="18">
        <f>IFERROR(
                  Andel_oberoende_av_klimat*VLOOKUP($A384,Leveranser_per_nät,'Leveranser per nät'!T$1,FALSE)
               +Andel_beroende_av_klimat*VLOOKUP($A384,Leveranser_per_nät,'Leveranser per nät'!T$1,FALSE)/VLOOKUP($B384,Korrigeringsfaktor_EI,'Korrigeringsfaktor EI'!T$1,FALSE),
"")</f>
        <v>10.345714285714285</v>
      </c>
      <c r="U384" s="18">
        <f>IFERROR(
                  Andel_oberoende_av_klimat*VLOOKUP($A384,Leveranser_per_nät,'Leveranser per nät'!U$1,FALSE)
               +Andel_beroende_av_klimat*VLOOKUP($A384,Leveranser_per_nät,'Leveranser per nät'!U$1,FALSE)/VLOOKUP($B384,Korrigeringsfaktor_EI,'Korrigeringsfaktor EI'!U$1,FALSE),
"")</f>
        <v>10.162298850574713</v>
      </c>
      <c r="V384" s="18">
        <f>IFERROR(
                  Andel_oberoende_av_klimat*VLOOKUP($A384,Leveranser_per_nät,'Leveranser per nät'!V$1,FALSE)
               +Andel_beroende_av_klimat*VLOOKUP($A384,Leveranser_per_nät,'Leveranser per nät'!V$1,FALSE)/VLOOKUP($B384,Korrigeringsfaktor_EI,'Korrigeringsfaktor EI'!V$1,FALSE),
"")</f>
        <v>8.6320430107526871</v>
      </c>
      <c r="W384" s="18">
        <f>IFERROR(
                  Andel_oberoende_av_klimat*VLOOKUP($A384,Leveranser_per_nät,'Leveranser per nät'!W$1,FALSE)
               +Andel_beroende_av_klimat*VLOOKUP($A384,Leveranser_per_nät,'Leveranser per nät'!W$1,FALSE)/VLOOKUP($B384,Korrigeringsfaktor_EI,'Korrigeringsfaktor EI'!W$1,FALSE),
"")</f>
        <v>8.8425806451612914</v>
      </c>
      <c r="X384" s="18">
        <f>IFERROR(
                  Andel_oberoende_av_klimat*VLOOKUP($A384,Leveranser_per_nät,'Leveranser per nät'!X$1,FALSE)
               +Andel_beroende_av_klimat*VLOOKUP($A384,Leveranser_per_nät,'Leveranser per nät'!X$1,FALSE)/VLOOKUP($B384,Korrigeringsfaktor_EI,'Korrigeringsfaktor EI'!X$1,FALSE),
"")</f>
        <v>10.290434782608695</v>
      </c>
      <c r="Y384" s="18">
        <f>IFERROR(
                  Andel_oberoende_av_klimat*VLOOKUP($A384,Leveranser_per_nät,'Leveranser per nät'!Y$1,FALSE)
               +Andel_beroende_av_klimat*VLOOKUP($A384,Leveranser_per_nät,'Leveranser per nät'!Y$1,FALSE)/VLOOKUP($B384,Korrigeringsfaktor_EI,'Korrigeringsfaktor EI'!Y$1,FALSE),
"")</f>
        <v>11.028139534883721</v>
      </c>
      <c r="Z384" s="18">
        <f>IFERROR(
                  Andel_oberoende_av_klimat*VLOOKUP($A384,Leveranser_per_nät,'Leveranser per nät'!Z$1,FALSE)
               +Andel_beroende_av_klimat*VLOOKUP($A384,Leveranser_per_nät,'Leveranser per nät'!Z$1,FALSE)/VLOOKUP($B384,Korrigeringsfaktor_EI,'Korrigeringsfaktor EI'!Z$1,FALSE),
"")</f>
        <v>10.540000000000001</v>
      </c>
      <c r="AA384" s="18">
        <f>IFERROR(
                  Andel_oberoende_av_klimat*VLOOKUP($A384,Leveranser_per_nät,'Leveranser per nät'!AA$1,FALSE)
               +Andel_beroende_av_klimat*VLOOKUP($A384,Leveranser_per_nät,'Leveranser per nät'!AA$1,FALSE)/VLOOKUP($B384,Korrigeringsfaktor_EI,'Korrigeringsfaktor EI'!AA$1,FALSE),
"")</f>
        <v>10.809108159392791</v>
      </c>
      <c r="AB384" s="18">
        <f>IFERROR(
                  Andel_oberoende_av_klimat*VLOOKUP($A384,Leveranser_per_nät,'Leveranser per nät'!AB$1,FALSE)
               +Andel_beroende_av_klimat*VLOOKUP($A384,Leveranser_per_nät,'Leveranser per nät'!AB$1,FALSE)/VLOOKUP($B384,Korrigeringsfaktor_EI,'Korrigeringsfaktor EI'!AB$1,FALSE),
"")</f>
        <v>10.618506429277943</v>
      </c>
      <c r="AC384" s="18">
        <f>IFERROR(
                  Andel_oberoende_av_klimat*VLOOKUP($A384,Leveranser_per_nät,'Leveranser per nät'!AC$1,FALSE)
               +Andel_beroende_av_klimat*VLOOKUP($A384,Leveranser_per_nät,'Leveranser per nät'!AC$1,FALSE)/VLOOKUP($B384,Korrigeringsfaktor_EI,'Korrigeringsfaktor EI'!AC$1,FALSE),
"")</f>
        <v>10.373846153846156</v>
      </c>
      <c r="AD384">
        <v>18.5</v>
      </c>
    </row>
    <row r="385" spans="1:30" x14ac:dyDescent="0.25">
      <c r="A385" t="s">
        <v>466</v>
      </c>
      <c r="B385" t="s">
        <v>46</v>
      </c>
      <c r="C385" s="18">
        <f>IFERROR(
                  Andel_oberoende_av_klimat*VLOOKUP($A385,Leveranser_per_nät,'Leveranser per nät'!C$1,FALSE)
               +Andel_beroende_av_klimat*VLOOKUP($A385,Leveranser_per_nät,'Leveranser per nät'!C$1,FALSE)/VLOOKUP($B385,Korrigeringsfaktor_EI,'Korrigeringsfaktor EI'!C$1,FALSE),
"")</f>
        <v>35.305607476635515</v>
      </c>
      <c r="D385" s="18">
        <f>IFERROR(
                  Andel_oberoende_av_klimat*VLOOKUP($A385,Leveranser_per_nät,'Leveranser per nät'!D$1,FALSE)
               +Andel_beroende_av_klimat*VLOOKUP($A385,Leveranser_per_nät,'Leveranser per nät'!D$1,FALSE)/VLOOKUP($B385,Korrigeringsfaktor_EI,'Korrigeringsfaktor EI'!D$1,FALSE),
"")</f>
        <v>30.739957142857143</v>
      </c>
      <c r="E385" s="18">
        <f>IFERROR(
                  Andel_oberoende_av_klimat*VLOOKUP($A385,Leveranser_per_nät,'Leveranser per nät'!E$1,FALSE)
               +Andel_beroende_av_klimat*VLOOKUP($A385,Leveranser_per_nät,'Leveranser per nät'!E$1,FALSE)/VLOOKUP($B385,Korrigeringsfaktor_EI,'Korrigeringsfaktor EI'!E$1,FALSE),
"")</f>
        <v>37.707211650485434</v>
      </c>
      <c r="F385" s="18">
        <f>IFERROR(
                  Andel_oberoende_av_klimat*VLOOKUP($A385,Leveranser_per_nät,'Leveranser per nät'!F$1,FALSE)
               +Andel_beroende_av_klimat*VLOOKUP($A385,Leveranser_per_nät,'Leveranser per nät'!F$1,FALSE)/VLOOKUP($B385,Korrigeringsfaktor_EI,'Korrigeringsfaktor EI'!F$1,FALSE),
"")</f>
        <v>29.588235294117645</v>
      </c>
      <c r="G385" s="18">
        <f>IFERROR(
                  Andel_oberoende_av_klimat*VLOOKUP($A385,Leveranser_per_nät,'Leveranser per nät'!G$1,FALSE)
               +Andel_beroende_av_klimat*VLOOKUP($A385,Leveranser_per_nät,'Leveranser per nät'!G$1,FALSE)/VLOOKUP($B385,Korrigeringsfaktor_EI,'Korrigeringsfaktor EI'!G$1,FALSE),
"")</f>
        <v>31.904166666666669</v>
      </c>
      <c r="H385" s="18">
        <f>IFERROR(
                  Andel_oberoende_av_klimat*VLOOKUP($A385,Leveranser_per_nät,'Leveranser per nät'!H$1,FALSE)
               +Andel_beroende_av_klimat*VLOOKUP($A385,Leveranser_per_nät,'Leveranser per nät'!H$1,FALSE)/VLOOKUP($B385,Korrigeringsfaktor_EI,'Korrigeringsfaktor EI'!H$1,FALSE),
"")</f>
        <v>32.547058823529412</v>
      </c>
      <c r="I385" s="18">
        <f>IFERROR(
                  Andel_oberoende_av_klimat*VLOOKUP($A385,Leveranser_per_nät,'Leveranser per nät'!I$1,FALSE)
               +Andel_beroende_av_klimat*VLOOKUP($A385,Leveranser_per_nät,'Leveranser per nät'!I$1,FALSE)/VLOOKUP($B385,Korrigeringsfaktor_EI,'Korrigeringsfaktor EI'!I$1,FALSE),
"")</f>
        <v>30.295744680851065</v>
      </c>
      <c r="J385" s="18">
        <f>IFERROR(
                  Andel_oberoende_av_klimat*VLOOKUP($A385,Leveranser_per_nät,'Leveranser per nät'!J$1,FALSE)
               +Andel_beroende_av_klimat*VLOOKUP($A385,Leveranser_per_nät,'Leveranser per nät'!J$1,FALSE)/VLOOKUP($B385,Korrigeringsfaktor_EI,'Korrigeringsfaktor EI'!J$1,FALSE),
"")</f>
        <v>29.281495876288663</v>
      </c>
      <c r="K385" s="18">
        <f>IFERROR(
                  Andel_oberoende_av_klimat*VLOOKUP($A385,Leveranser_per_nät,'Leveranser per nät'!K$1,FALSE)
               +Andel_beroende_av_klimat*VLOOKUP($A385,Leveranser_per_nät,'Leveranser per nät'!K$1,FALSE)/VLOOKUP($B385,Korrigeringsfaktor_EI,'Korrigeringsfaktor EI'!K$1,FALSE),
"")</f>
        <v>29.365442105263156</v>
      </c>
      <c r="L385" s="18">
        <f>IFERROR(
                  Andel_oberoende_av_klimat*VLOOKUP($A385,Leveranser_per_nät,'Leveranser per nät'!L$1,FALSE)
               +Andel_beroende_av_klimat*VLOOKUP($A385,Leveranser_per_nät,'Leveranser per nät'!L$1,FALSE)/VLOOKUP($B385,Korrigeringsfaktor_EI,'Korrigeringsfaktor EI'!L$1,FALSE),
"")</f>
        <v>36.265737514489871</v>
      </c>
      <c r="M385" s="18">
        <f>IFERROR(
                  Andel_oberoende_av_klimat*VLOOKUP($A385,Leveranser_per_nät,'Leveranser per nät'!M$1,FALSE)
               +Andel_beroende_av_klimat*VLOOKUP($A385,Leveranser_per_nät,'Leveranser per nät'!M$1,FALSE)/VLOOKUP($B385,Korrigeringsfaktor_EI,'Korrigeringsfaktor EI'!M$1,FALSE),
"")</f>
        <v>0</v>
      </c>
      <c r="N385" s="18">
        <f>IFERROR(
                  Andel_oberoende_av_klimat*VLOOKUP($A385,Leveranser_per_nät,'Leveranser per nät'!N$1,FALSE)
               +Andel_beroende_av_klimat*VLOOKUP($A385,Leveranser_per_nät,'Leveranser per nät'!N$1,FALSE)/VLOOKUP($B385,Korrigeringsfaktor_EI,'Korrigeringsfaktor EI'!N$1,FALSE),
"")</f>
        <v>0</v>
      </c>
      <c r="O385" s="18">
        <f>IFERROR(
                  Andel_oberoende_av_klimat*VLOOKUP($A385,Leveranser_per_nät,'Leveranser per nät'!O$1,FALSE)
               +Andel_beroende_av_klimat*VLOOKUP($A385,Leveranser_per_nät,'Leveranser per nät'!O$1,FALSE)/VLOOKUP($B385,Korrigeringsfaktor_EI,'Korrigeringsfaktor EI'!O$1,FALSE),
"")</f>
        <v>0</v>
      </c>
      <c r="P385" s="18">
        <f>IFERROR(
                  Andel_oberoende_av_klimat*VLOOKUP($A385,Leveranser_per_nät,'Leveranser per nät'!P$1,FALSE)
               +Andel_beroende_av_klimat*VLOOKUP($A385,Leveranser_per_nät,'Leveranser per nät'!P$1,FALSE)/VLOOKUP($B385,Korrigeringsfaktor_EI,'Korrigeringsfaktor EI'!P$1,FALSE),
"")</f>
        <v>0</v>
      </c>
      <c r="Q385" s="18">
        <f>IFERROR(
                  Andel_oberoende_av_klimat*VLOOKUP($A385,Leveranser_per_nät,'Leveranser per nät'!Q$1,FALSE)
               +Andel_beroende_av_klimat*VLOOKUP($A385,Leveranser_per_nät,'Leveranser per nät'!Q$1,FALSE)/VLOOKUP($B385,Korrigeringsfaktor_EI,'Korrigeringsfaktor EI'!Q$1,FALSE),
"")</f>
        <v>0</v>
      </c>
      <c r="R385" s="18">
        <f>IFERROR(
                  Andel_oberoende_av_klimat*VLOOKUP($A385,Leveranser_per_nät,'Leveranser per nät'!R$1,FALSE)
               +Andel_beroende_av_klimat*VLOOKUP($A385,Leveranser_per_nät,'Leveranser per nät'!R$1,FALSE)/VLOOKUP($B385,Korrigeringsfaktor_EI,'Korrigeringsfaktor EI'!R$1,FALSE),
"")</f>
        <v>0</v>
      </c>
      <c r="S385" s="18">
        <f>IFERROR(
                  Andel_oberoende_av_klimat*VLOOKUP($A385,Leveranser_per_nät,'Leveranser per nät'!S$1,FALSE)
               +Andel_beroende_av_klimat*VLOOKUP($A385,Leveranser_per_nät,'Leveranser per nät'!S$1,FALSE)/VLOOKUP($B385,Korrigeringsfaktor_EI,'Korrigeringsfaktor EI'!S$1,FALSE),
"")</f>
        <v>51.143069306930691</v>
      </c>
      <c r="T385" s="18">
        <f>IFERROR(
                  Andel_oberoende_av_klimat*VLOOKUP($A385,Leveranser_per_nät,'Leveranser per nät'!T$1,FALSE)
               +Andel_beroende_av_klimat*VLOOKUP($A385,Leveranser_per_nät,'Leveranser per nät'!T$1,FALSE)/VLOOKUP($B385,Korrigeringsfaktor_EI,'Korrigeringsfaktor EI'!T$1,FALSE),
"")</f>
        <v>51.046666666666667</v>
      </c>
      <c r="U385" s="18">
        <f>IFERROR(
                  Andel_oberoende_av_klimat*VLOOKUP($A385,Leveranser_per_nät,'Leveranser per nät'!U$1,FALSE)
               +Andel_beroende_av_klimat*VLOOKUP($A385,Leveranser_per_nät,'Leveranser per nät'!U$1,FALSE)/VLOOKUP($B385,Korrigeringsfaktor_EI,'Korrigeringsfaktor EI'!U$1,FALSE),
"")</f>
        <v>51.948888888888888</v>
      </c>
      <c r="V385" s="18">
        <f>IFERROR(
                  Andel_oberoende_av_klimat*VLOOKUP($A385,Leveranser_per_nät,'Leveranser per nät'!V$1,FALSE)
               +Andel_beroende_av_klimat*VLOOKUP($A385,Leveranser_per_nät,'Leveranser per nät'!V$1,FALSE)/VLOOKUP($B385,Korrigeringsfaktor_EI,'Korrigeringsfaktor EI'!V$1,FALSE),
"")</f>
        <v>50.950107526881716</v>
      </c>
      <c r="W385" s="18">
        <f>IFERROR(
                  Andel_oberoende_av_klimat*VLOOKUP($A385,Leveranser_per_nät,'Leveranser per nät'!W$1,FALSE)
               +Andel_beroende_av_klimat*VLOOKUP($A385,Leveranser_per_nät,'Leveranser per nät'!W$1,FALSE)/VLOOKUP($B385,Korrigeringsfaktor_EI,'Korrigeringsfaktor EI'!W$1,FALSE),
"")</f>
        <v>53.41375</v>
      </c>
      <c r="X385" s="18">
        <f>IFERROR(
                  Andel_oberoende_av_klimat*VLOOKUP($A385,Leveranser_per_nät,'Leveranser per nät'!X$1,FALSE)
               +Andel_beroende_av_klimat*VLOOKUP($A385,Leveranser_per_nät,'Leveranser per nät'!X$1,FALSE)/VLOOKUP($B385,Korrigeringsfaktor_EI,'Korrigeringsfaktor EI'!X$1,FALSE),
"")</f>
        <v>52.717113402061855</v>
      </c>
      <c r="Y385" s="18">
        <f>IFERROR(
                  Andel_oberoende_av_klimat*VLOOKUP($A385,Leveranser_per_nät,'Leveranser per nät'!Y$1,FALSE)
               +Andel_beroende_av_klimat*VLOOKUP($A385,Leveranser_per_nät,'Leveranser per nät'!Y$1,FALSE)/VLOOKUP($B385,Korrigeringsfaktor_EI,'Korrigeringsfaktor EI'!Y$1,FALSE),
"")</f>
        <v>57.324583333333337</v>
      </c>
      <c r="Z385" s="18">
        <f>IFERROR(
                  Andel_oberoende_av_klimat*VLOOKUP($A385,Leveranser_per_nät,'Leveranser per nät'!Z$1,FALSE)
               +Andel_beroende_av_klimat*VLOOKUP($A385,Leveranser_per_nät,'Leveranser per nät'!Z$1,FALSE)/VLOOKUP($B385,Korrigeringsfaktor_EI,'Korrigeringsfaktor EI'!Z$1,FALSE),
"")</f>
        <v>55.986666666666665</v>
      </c>
      <c r="AA385" s="18">
        <f>IFERROR(
                  Andel_oberoende_av_klimat*VLOOKUP($A385,Leveranser_per_nät,'Leveranser per nät'!AA$1,FALSE)
               +Andel_beroende_av_klimat*VLOOKUP($A385,Leveranser_per_nät,'Leveranser per nät'!AA$1,FALSE)/VLOOKUP($B385,Korrigeringsfaktor_EI,'Korrigeringsfaktor EI'!AA$1,FALSE),
"")</f>
        <v>55.794458598726109</v>
      </c>
      <c r="AB385" s="18">
        <f>IFERROR(
                  Andel_oberoende_av_klimat*VLOOKUP($A385,Leveranser_per_nät,'Leveranser per nät'!AB$1,FALSE)
               +Andel_beroende_av_klimat*VLOOKUP($A385,Leveranser_per_nät,'Leveranser per nät'!AB$1,FALSE)/VLOOKUP($B385,Korrigeringsfaktor_EI,'Korrigeringsfaktor EI'!AB$1,FALSE),
"")</f>
        <v>54.813064833005896</v>
      </c>
      <c r="AC385" s="18">
        <f>IFERROR(
                  Andel_oberoende_av_klimat*VLOOKUP($A385,Leveranser_per_nät,'Leveranser per nät'!AC$1,FALSE)
               +Andel_beroende_av_klimat*VLOOKUP($A385,Leveranser_per_nät,'Leveranser per nät'!AC$1,FALSE)/VLOOKUP($B385,Korrigeringsfaktor_EI,'Korrigeringsfaktor EI'!AC$1,FALSE),
"")</f>
        <v>55.336393442622949</v>
      </c>
      <c r="AD385">
        <v>16.463999999999999</v>
      </c>
    </row>
    <row r="386" spans="1:30" x14ac:dyDescent="0.25">
      <c r="A386" t="s">
        <v>424</v>
      </c>
      <c r="B386" t="s">
        <v>301</v>
      </c>
      <c r="C386" s="18">
        <f>IFERROR(
                  Andel_oberoende_av_klimat*VLOOKUP($A386,Leveranser_per_nät,'Leveranser per nät'!C$1,FALSE)
               +Andel_beroende_av_klimat*VLOOKUP($A386,Leveranser_per_nät,'Leveranser per nät'!C$1,FALSE)/VLOOKUP($B386,Korrigeringsfaktor_EI,'Korrigeringsfaktor EI'!C$1,FALSE),
"")</f>
        <v>0</v>
      </c>
      <c r="D386" s="18">
        <f>IFERROR(
                  Andel_oberoende_av_klimat*VLOOKUP($A386,Leveranser_per_nät,'Leveranser per nät'!D$1,FALSE)
               +Andel_beroende_av_klimat*VLOOKUP($A386,Leveranser_per_nät,'Leveranser per nät'!D$1,FALSE)/VLOOKUP($B386,Korrigeringsfaktor_EI,'Korrigeringsfaktor EI'!D$1,FALSE),
"")</f>
        <v>2.3362083333333334</v>
      </c>
      <c r="E386" s="18">
        <f>IFERROR(
                  Andel_oberoende_av_klimat*VLOOKUP($A386,Leveranser_per_nät,'Leveranser per nät'!E$1,FALSE)
               +Andel_beroende_av_klimat*VLOOKUP($A386,Leveranser_per_nät,'Leveranser per nät'!E$1,FALSE)/VLOOKUP($B386,Korrigeringsfaktor_EI,'Korrigeringsfaktor EI'!E$1,FALSE),
"")</f>
        <v>1.9861386138613861</v>
      </c>
      <c r="F386" s="18">
        <f>IFERROR(
                  Andel_oberoende_av_klimat*VLOOKUP($A386,Leveranser_per_nät,'Leveranser per nät'!F$1,FALSE)
               +Andel_beroende_av_klimat*VLOOKUP($A386,Leveranser_per_nät,'Leveranser per nät'!F$1,FALSE)/VLOOKUP($B386,Korrigeringsfaktor_EI,'Korrigeringsfaktor EI'!F$1,FALSE),
"")</f>
        <v>0</v>
      </c>
      <c r="G386" s="18">
        <f>IFERROR(
                  Andel_oberoende_av_klimat*VLOOKUP($A386,Leveranser_per_nät,'Leveranser per nät'!G$1,FALSE)
               +Andel_beroende_av_klimat*VLOOKUP($A386,Leveranser_per_nät,'Leveranser per nät'!G$1,FALSE)/VLOOKUP($B386,Korrigeringsfaktor_EI,'Korrigeringsfaktor EI'!G$1,FALSE),
"")</f>
        <v>0</v>
      </c>
      <c r="H386" s="18">
        <f>IFERROR(
                  Andel_oberoende_av_klimat*VLOOKUP($A386,Leveranser_per_nät,'Leveranser per nät'!H$1,FALSE)
               +Andel_beroende_av_klimat*VLOOKUP($A386,Leveranser_per_nät,'Leveranser per nät'!H$1,FALSE)/VLOOKUP($B386,Korrigeringsfaktor_EI,'Korrigeringsfaktor EI'!H$1,FALSE),
"")</f>
        <v>0</v>
      </c>
      <c r="I386" s="18">
        <f>IFERROR(
                  Andel_oberoende_av_klimat*VLOOKUP($A386,Leveranser_per_nät,'Leveranser per nät'!I$1,FALSE)
               +Andel_beroende_av_klimat*VLOOKUP($A386,Leveranser_per_nät,'Leveranser per nät'!I$1,FALSE)/VLOOKUP($B386,Korrigeringsfaktor_EI,'Korrigeringsfaktor EI'!I$1,FALSE),
"")</f>
        <v>0</v>
      </c>
      <c r="J386" s="18">
        <f>IFERROR(
                  Andel_oberoende_av_klimat*VLOOKUP($A386,Leveranser_per_nät,'Leveranser per nät'!J$1,FALSE)
               +Andel_beroende_av_klimat*VLOOKUP($A386,Leveranser_per_nät,'Leveranser per nät'!J$1,FALSE)/VLOOKUP($B386,Korrigeringsfaktor_EI,'Korrigeringsfaktor EI'!J$1,FALSE),
"")</f>
        <v>0</v>
      </c>
      <c r="K386" s="18">
        <f>IFERROR(
                  Andel_oberoende_av_klimat*VLOOKUP($A386,Leveranser_per_nät,'Leveranser per nät'!K$1,FALSE)
               +Andel_beroende_av_klimat*VLOOKUP($A386,Leveranser_per_nät,'Leveranser per nät'!K$1,FALSE)/VLOOKUP($B386,Korrigeringsfaktor_EI,'Korrigeringsfaktor EI'!K$1,FALSE),
"")</f>
        <v>0</v>
      </c>
      <c r="L386" s="18">
        <f>IFERROR(
                  Andel_oberoende_av_klimat*VLOOKUP($A386,Leveranser_per_nät,'Leveranser per nät'!L$1,FALSE)
               +Andel_beroende_av_klimat*VLOOKUP($A386,Leveranser_per_nät,'Leveranser per nät'!L$1,FALSE)/VLOOKUP($B386,Korrigeringsfaktor_EI,'Korrigeringsfaktor EI'!L$1,FALSE),
"")</f>
        <v>0</v>
      </c>
      <c r="M386" s="18">
        <f>IFERROR(
                  Andel_oberoende_av_klimat*VLOOKUP($A386,Leveranser_per_nät,'Leveranser per nät'!M$1,FALSE)
               +Andel_beroende_av_klimat*VLOOKUP($A386,Leveranser_per_nät,'Leveranser per nät'!M$1,FALSE)/VLOOKUP($B386,Korrigeringsfaktor_EI,'Korrigeringsfaktor EI'!M$1,FALSE),
"")</f>
        <v>0</v>
      </c>
      <c r="N386" s="18">
        <f>IFERROR(
                  Andel_oberoende_av_klimat*VLOOKUP($A386,Leveranser_per_nät,'Leveranser per nät'!N$1,FALSE)
               +Andel_beroende_av_klimat*VLOOKUP($A386,Leveranser_per_nät,'Leveranser per nät'!N$1,FALSE)/VLOOKUP($B386,Korrigeringsfaktor_EI,'Korrigeringsfaktor EI'!N$1,FALSE),
"")</f>
        <v>0</v>
      </c>
      <c r="O386" s="18">
        <f>IFERROR(
                  Andel_oberoende_av_klimat*VLOOKUP($A386,Leveranser_per_nät,'Leveranser per nät'!O$1,FALSE)
               +Andel_beroende_av_klimat*VLOOKUP($A386,Leveranser_per_nät,'Leveranser per nät'!O$1,FALSE)/VLOOKUP($B386,Korrigeringsfaktor_EI,'Korrigeringsfaktor EI'!O$1,FALSE),
"")</f>
        <v>0</v>
      </c>
      <c r="P386" s="18">
        <f>IFERROR(
                  Andel_oberoende_av_klimat*VLOOKUP($A386,Leveranser_per_nät,'Leveranser per nät'!P$1,FALSE)
               +Andel_beroende_av_klimat*VLOOKUP($A386,Leveranser_per_nät,'Leveranser per nät'!P$1,FALSE)/VLOOKUP($B386,Korrigeringsfaktor_EI,'Korrigeringsfaktor EI'!P$1,FALSE),
"")</f>
        <v>0</v>
      </c>
      <c r="Q386" s="18">
        <f>IFERROR(
                  Andel_oberoende_av_klimat*VLOOKUP($A386,Leveranser_per_nät,'Leveranser per nät'!Q$1,FALSE)
               +Andel_beroende_av_klimat*VLOOKUP($A386,Leveranser_per_nät,'Leveranser per nät'!Q$1,FALSE)/VLOOKUP($B386,Korrigeringsfaktor_EI,'Korrigeringsfaktor EI'!Q$1,FALSE),
"")</f>
        <v>0</v>
      </c>
      <c r="R386" s="18">
        <f>IFERROR(
                  Andel_oberoende_av_klimat*VLOOKUP($A386,Leveranser_per_nät,'Leveranser per nät'!R$1,FALSE)
               +Andel_beroende_av_klimat*VLOOKUP($A386,Leveranser_per_nät,'Leveranser per nät'!R$1,FALSE)/VLOOKUP($B386,Korrigeringsfaktor_EI,'Korrigeringsfaktor EI'!R$1,FALSE),
"")</f>
        <v>0</v>
      </c>
      <c r="S386" s="18">
        <f>IFERROR(
                  Andel_oberoende_av_klimat*VLOOKUP($A386,Leveranser_per_nät,'Leveranser per nät'!S$1,FALSE)
               +Andel_beroende_av_klimat*VLOOKUP($A386,Leveranser_per_nät,'Leveranser per nät'!S$1,FALSE)/VLOOKUP($B386,Korrigeringsfaktor_EI,'Korrigeringsfaktor EI'!S$1,FALSE),
"")</f>
        <v>0</v>
      </c>
      <c r="T386" s="18" t="str">
        <f>IFERROR(
                  Andel_oberoende_av_klimat*VLOOKUP($A386,Leveranser_per_nät,'Leveranser per nät'!T$1,FALSE)
               +Andel_beroende_av_klimat*VLOOKUP($A386,Leveranser_per_nät,'Leveranser per nät'!T$1,FALSE)/VLOOKUP($B386,Korrigeringsfaktor_EI,'Korrigeringsfaktor EI'!T$1,FALSE),
"")</f>
        <v/>
      </c>
      <c r="U386" s="18" t="str">
        <f>IFERROR(
                  Andel_oberoende_av_klimat*VLOOKUP($A386,Leveranser_per_nät,'Leveranser per nät'!U$1,FALSE)
               +Andel_beroende_av_klimat*VLOOKUP($A386,Leveranser_per_nät,'Leveranser per nät'!U$1,FALSE)/VLOOKUP($B386,Korrigeringsfaktor_EI,'Korrigeringsfaktor EI'!U$1,FALSE),
"")</f>
        <v/>
      </c>
      <c r="V386" s="18" t="str">
        <f>IFERROR(
                  Andel_oberoende_av_klimat*VLOOKUP($A386,Leveranser_per_nät,'Leveranser per nät'!V$1,FALSE)
               +Andel_beroende_av_klimat*VLOOKUP($A386,Leveranser_per_nät,'Leveranser per nät'!V$1,FALSE)/VLOOKUP($B386,Korrigeringsfaktor_EI,'Korrigeringsfaktor EI'!V$1,FALSE),
"")</f>
        <v/>
      </c>
      <c r="W386" s="18" t="str">
        <f>IFERROR(
                  Andel_oberoende_av_klimat*VLOOKUP($A386,Leveranser_per_nät,'Leveranser per nät'!W$1,FALSE)
               +Andel_beroende_av_klimat*VLOOKUP($A386,Leveranser_per_nät,'Leveranser per nät'!W$1,FALSE)/VLOOKUP($B386,Korrigeringsfaktor_EI,'Korrigeringsfaktor EI'!W$1,FALSE),
"")</f>
        <v/>
      </c>
      <c r="X386" s="18" t="str">
        <f>IFERROR(
                  Andel_oberoende_av_klimat*VLOOKUP($A386,Leveranser_per_nät,'Leveranser per nät'!X$1,FALSE)
               +Andel_beroende_av_klimat*VLOOKUP($A386,Leveranser_per_nät,'Leveranser per nät'!X$1,FALSE)/VLOOKUP($B386,Korrigeringsfaktor_EI,'Korrigeringsfaktor EI'!X$1,FALSE),
"")</f>
        <v/>
      </c>
      <c r="Y386" s="18" t="str">
        <f>IFERROR(
                  Andel_oberoende_av_klimat*VLOOKUP($A386,Leveranser_per_nät,'Leveranser per nät'!Y$1,FALSE)
               +Andel_beroende_av_klimat*VLOOKUP($A386,Leveranser_per_nät,'Leveranser per nät'!Y$1,FALSE)/VLOOKUP($B386,Korrigeringsfaktor_EI,'Korrigeringsfaktor EI'!Y$1,FALSE),
"")</f>
        <v/>
      </c>
      <c r="Z386" s="18">
        <f>IFERROR(
                  Andel_oberoende_av_klimat*VLOOKUP($A386,Leveranser_per_nät,'Leveranser per nät'!Z$1,FALSE)
               +Andel_beroende_av_klimat*VLOOKUP($A386,Leveranser_per_nät,'Leveranser per nät'!Z$1,FALSE)/VLOOKUP($B386,Korrigeringsfaktor_EI,'Korrigeringsfaktor EI'!Z$1,FALSE),
"")</f>
        <v>0</v>
      </c>
      <c r="AA386" s="18" t="str">
        <f>IFERROR(
                  Andel_oberoende_av_klimat*VLOOKUP($A386,Leveranser_per_nät,'Leveranser per nät'!AA$1,FALSE)
               +Andel_beroende_av_klimat*VLOOKUP($A386,Leveranser_per_nät,'Leveranser per nät'!AA$1,FALSE)/VLOOKUP($B386,Korrigeringsfaktor_EI,'Korrigeringsfaktor EI'!AA$1,FALSE),
"")</f>
        <v/>
      </c>
      <c r="AB386" s="18">
        <f>IFERROR(
                  Andel_oberoende_av_klimat*VLOOKUP($A386,Leveranser_per_nät,'Leveranser per nät'!AB$1,FALSE)
               +Andel_beroende_av_klimat*VLOOKUP($A386,Leveranser_per_nät,'Leveranser per nät'!AB$1,FALSE)/VLOOKUP($B386,Korrigeringsfaktor_EI,'Korrigeringsfaktor EI'!AB$1,FALSE),
"")</f>
        <v>0</v>
      </c>
      <c r="AC386" s="18">
        <f>IFERROR(
                  Andel_oberoende_av_klimat*VLOOKUP($A386,Leveranser_per_nät,'Leveranser per nät'!AC$1,FALSE)
               +Andel_beroende_av_klimat*VLOOKUP($A386,Leveranser_per_nät,'Leveranser per nät'!AC$1,FALSE)/VLOOKUP($B386,Korrigeringsfaktor_EI,'Korrigeringsfaktor EI'!AC$1,FALSE),
"")</f>
        <v>0</v>
      </c>
      <c r="AD386">
        <v>115.232</v>
      </c>
    </row>
    <row r="387" spans="1:30" x14ac:dyDescent="0.25">
      <c r="A387" t="s">
        <v>710</v>
      </c>
      <c r="B387" t="s">
        <v>0</v>
      </c>
      <c r="C387" s="18">
        <f>IFERROR(
                  Andel_oberoende_av_klimat*VLOOKUP($A387,Leveranser_per_nät,'Leveranser per nät'!C$1,FALSE)
               +Andel_beroende_av_klimat*VLOOKUP($A387,Leveranser_per_nät,'Leveranser per nät'!C$1,FALSE)/VLOOKUP($B387,Korrigeringsfaktor_EI,'Korrigeringsfaktor EI'!C$1,FALSE),
"")</f>
        <v>0</v>
      </c>
      <c r="D387" s="18">
        <f>IFERROR(
                  Andel_oberoende_av_klimat*VLOOKUP($A387,Leveranser_per_nät,'Leveranser per nät'!D$1,FALSE)
               +Andel_beroende_av_klimat*VLOOKUP($A387,Leveranser_per_nät,'Leveranser per nät'!D$1,FALSE)/VLOOKUP($B387,Korrigeringsfaktor_EI,'Korrigeringsfaktor EI'!D$1,FALSE),
"")</f>
        <v>0</v>
      </c>
      <c r="E387" s="18">
        <f>IFERROR(
                  Andel_oberoende_av_klimat*VLOOKUP($A387,Leveranser_per_nät,'Leveranser per nät'!E$1,FALSE)
               +Andel_beroende_av_klimat*VLOOKUP($A387,Leveranser_per_nät,'Leveranser per nät'!E$1,FALSE)/VLOOKUP($B387,Korrigeringsfaktor_EI,'Korrigeringsfaktor EI'!E$1,FALSE),
"")</f>
        <v>0</v>
      </c>
      <c r="F387" s="18">
        <f>IFERROR(
                  Andel_oberoende_av_klimat*VLOOKUP($A387,Leveranser_per_nät,'Leveranser per nät'!F$1,FALSE)
               +Andel_beroende_av_klimat*VLOOKUP($A387,Leveranser_per_nät,'Leveranser per nät'!F$1,FALSE)/VLOOKUP($B387,Korrigeringsfaktor_EI,'Korrigeringsfaktor EI'!F$1,FALSE),
"")</f>
        <v>0</v>
      </c>
      <c r="G387" s="18">
        <f>IFERROR(
                  Andel_oberoende_av_klimat*VLOOKUP($A387,Leveranser_per_nät,'Leveranser per nät'!G$1,FALSE)
               +Andel_beroende_av_klimat*VLOOKUP($A387,Leveranser_per_nät,'Leveranser per nät'!G$1,FALSE)/VLOOKUP($B387,Korrigeringsfaktor_EI,'Korrigeringsfaktor EI'!G$1,FALSE),
"")</f>
        <v>0</v>
      </c>
      <c r="H387" s="18">
        <f>IFERROR(
                  Andel_oberoende_av_klimat*VLOOKUP($A387,Leveranser_per_nät,'Leveranser per nät'!H$1,FALSE)
               +Andel_beroende_av_klimat*VLOOKUP($A387,Leveranser_per_nät,'Leveranser per nät'!H$1,FALSE)/VLOOKUP($B387,Korrigeringsfaktor_EI,'Korrigeringsfaktor EI'!H$1,FALSE),
"")</f>
        <v>0</v>
      </c>
      <c r="I387" s="18">
        <f>IFERROR(
                  Andel_oberoende_av_klimat*VLOOKUP($A387,Leveranser_per_nät,'Leveranser per nät'!I$1,FALSE)
               +Andel_beroende_av_klimat*VLOOKUP($A387,Leveranser_per_nät,'Leveranser per nät'!I$1,FALSE)/VLOOKUP($B387,Korrigeringsfaktor_EI,'Korrigeringsfaktor EI'!I$1,FALSE),
"")</f>
        <v>0</v>
      </c>
      <c r="J387" s="18">
        <f>IFERROR(
                  Andel_oberoende_av_klimat*VLOOKUP($A387,Leveranser_per_nät,'Leveranser per nät'!J$1,FALSE)
               +Andel_beroende_av_klimat*VLOOKUP($A387,Leveranser_per_nät,'Leveranser per nät'!J$1,FALSE)/VLOOKUP($B387,Korrigeringsfaktor_EI,'Korrigeringsfaktor EI'!J$1,FALSE),
"")</f>
        <v>0</v>
      </c>
      <c r="K387" s="18">
        <f>IFERROR(
                  Andel_oberoende_av_klimat*VLOOKUP($A387,Leveranser_per_nät,'Leveranser per nät'!K$1,FALSE)
               +Andel_beroende_av_klimat*VLOOKUP($A387,Leveranser_per_nät,'Leveranser per nät'!K$1,FALSE)/VLOOKUP($B387,Korrigeringsfaktor_EI,'Korrigeringsfaktor EI'!K$1,FALSE),
"")</f>
        <v>0</v>
      </c>
      <c r="L387" s="18">
        <f>IFERROR(
                  Andel_oberoende_av_klimat*VLOOKUP($A387,Leveranser_per_nät,'Leveranser per nät'!L$1,FALSE)
               +Andel_beroende_av_klimat*VLOOKUP($A387,Leveranser_per_nät,'Leveranser per nät'!L$1,FALSE)/VLOOKUP($B387,Korrigeringsfaktor_EI,'Korrigeringsfaktor EI'!L$1,FALSE),
"")</f>
        <v>0</v>
      </c>
      <c r="M387" s="18">
        <f>IFERROR(
                  Andel_oberoende_av_klimat*VLOOKUP($A387,Leveranser_per_nät,'Leveranser per nät'!M$1,FALSE)
               +Andel_beroende_av_klimat*VLOOKUP($A387,Leveranser_per_nät,'Leveranser per nät'!M$1,FALSE)/VLOOKUP($B387,Korrigeringsfaktor_EI,'Korrigeringsfaktor EI'!M$1,FALSE),
"")</f>
        <v>0</v>
      </c>
      <c r="N387" s="18">
        <f>IFERROR(
                  Andel_oberoende_av_klimat*VLOOKUP($A387,Leveranser_per_nät,'Leveranser per nät'!N$1,FALSE)
               +Andel_beroende_av_klimat*VLOOKUP($A387,Leveranser_per_nät,'Leveranser per nät'!N$1,FALSE)/VLOOKUP($B387,Korrigeringsfaktor_EI,'Korrigeringsfaktor EI'!N$1,FALSE),
"")</f>
        <v>0</v>
      </c>
      <c r="O387" s="18">
        <f>IFERROR(
                  Andel_oberoende_av_klimat*VLOOKUP($A387,Leveranser_per_nät,'Leveranser per nät'!O$1,FALSE)
               +Andel_beroende_av_klimat*VLOOKUP($A387,Leveranser_per_nät,'Leveranser per nät'!O$1,FALSE)/VLOOKUP($B387,Korrigeringsfaktor_EI,'Korrigeringsfaktor EI'!O$1,FALSE),
"")</f>
        <v>0</v>
      </c>
      <c r="P387" s="18">
        <f>IFERROR(
                  Andel_oberoende_av_klimat*VLOOKUP($A387,Leveranser_per_nät,'Leveranser per nät'!P$1,FALSE)
               +Andel_beroende_av_klimat*VLOOKUP($A387,Leveranser_per_nät,'Leveranser per nät'!P$1,FALSE)/VLOOKUP($B387,Korrigeringsfaktor_EI,'Korrigeringsfaktor EI'!P$1,FALSE),
"")</f>
        <v>0</v>
      </c>
      <c r="Q387" s="18">
        <f>IFERROR(
                  Andel_oberoende_av_klimat*VLOOKUP($A387,Leveranser_per_nät,'Leveranser per nät'!Q$1,FALSE)
               +Andel_beroende_av_klimat*VLOOKUP($A387,Leveranser_per_nät,'Leveranser per nät'!Q$1,FALSE)/VLOOKUP($B387,Korrigeringsfaktor_EI,'Korrigeringsfaktor EI'!Q$1,FALSE),
"")</f>
        <v>0</v>
      </c>
      <c r="R387" s="18">
        <f>IFERROR(
                  Andel_oberoende_av_klimat*VLOOKUP($A387,Leveranser_per_nät,'Leveranser per nät'!R$1,FALSE)
               +Andel_beroende_av_klimat*VLOOKUP($A387,Leveranser_per_nät,'Leveranser per nät'!R$1,FALSE)/VLOOKUP($B387,Korrigeringsfaktor_EI,'Korrigeringsfaktor EI'!R$1,FALSE),
"")</f>
        <v>0</v>
      </c>
      <c r="S387" s="18">
        <f>IFERROR(
                  Andel_oberoende_av_klimat*VLOOKUP($A387,Leveranser_per_nät,'Leveranser per nät'!S$1,FALSE)
               +Andel_beroende_av_klimat*VLOOKUP($A387,Leveranser_per_nät,'Leveranser per nät'!S$1,FALSE)/VLOOKUP($B387,Korrigeringsfaktor_EI,'Korrigeringsfaktor EI'!S$1,FALSE),
"")</f>
        <v>0.80565656565656574</v>
      </c>
      <c r="T387" s="18">
        <f>IFERROR(
                  Andel_oberoende_av_klimat*VLOOKUP($A387,Leveranser_per_nät,'Leveranser per nät'!T$1,FALSE)
               +Andel_beroende_av_klimat*VLOOKUP($A387,Leveranser_per_nät,'Leveranser per nät'!T$1,FALSE)/VLOOKUP($B387,Korrigeringsfaktor_EI,'Korrigeringsfaktor EI'!T$1,FALSE),
"")</f>
        <v>0.82333333333333325</v>
      </c>
      <c r="U387" s="18">
        <f>IFERROR(
                  Andel_oberoende_av_klimat*VLOOKUP($A387,Leveranser_per_nät,'Leveranser per nät'!U$1,FALSE)
               +Andel_beroende_av_klimat*VLOOKUP($A387,Leveranser_per_nät,'Leveranser per nät'!U$1,FALSE)/VLOOKUP($B387,Korrigeringsfaktor_EI,'Korrigeringsfaktor EI'!U$1,FALSE),
"")</f>
        <v>0.74634883720930234</v>
      </c>
      <c r="V387" s="18">
        <f>IFERROR(
                  Andel_oberoende_av_klimat*VLOOKUP($A387,Leveranser_per_nät,'Leveranser per nät'!V$1,FALSE)
               +Andel_beroende_av_klimat*VLOOKUP($A387,Leveranser_per_nät,'Leveranser per nät'!V$1,FALSE)/VLOOKUP($B387,Korrigeringsfaktor_EI,'Korrigeringsfaktor EI'!V$1,FALSE),
"")</f>
        <v>0.82357977528089887</v>
      </c>
      <c r="W387" s="18">
        <f>IFERROR(
                  Andel_oberoende_av_klimat*VLOOKUP($A387,Leveranser_per_nät,'Leveranser per nät'!W$1,FALSE)
               +Andel_beroende_av_klimat*VLOOKUP($A387,Leveranser_per_nät,'Leveranser per nät'!W$1,FALSE)/VLOOKUP($B387,Korrigeringsfaktor_EI,'Korrigeringsfaktor EI'!W$1,FALSE),
"")</f>
        <v>0.78951612903225787</v>
      </c>
      <c r="X387" s="18">
        <f>IFERROR(
                  Andel_oberoende_av_klimat*VLOOKUP($A387,Leveranser_per_nät,'Leveranser per nät'!X$1,FALSE)
               +Andel_beroende_av_klimat*VLOOKUP($A387,Leveranser_per_nät,'Leveranser per nät'!X$1,FALSE)/VLOOKUP($B387,Korrigeringsfaktor_EI,'Korrigeringsfaktor EI'!X$1,FALSE),
"")</f>
        <v>0.75852173913043475</v>
      </c>
      <c r="Y387" s="18">
        <f>IFERROR(
                  Andel_oberoende_av_klimat*VLOOKUP($A387,Leveranser_per_nät,'Leveranser per nät'!Y$1,FALSE)
               +Andel_beroende_av_klimat*VLOOKUP($A387,Leveranser_per_nät,'Leveranser per nät'!Y$1,FALSE)/VLOOKUP($B387,Korrigeringsfaktor_EI,'Korrigeringsfaktor EI'!Y$1,FALSE),
"")</f>
        <v>0.76056179775280897</v>
      </c>
      <c r="Z387" s="18">
        <f>IFERROR(
                  Andel_oberoende_av_klimat*VLOOKUP($A387,Leveranser_per_nät,'Leveranser per nät'!Z$1,FALSE)
               +Andel_beroende_av_klimat*VLOOKUP($A387,Leveranser_per_nät,'Leveranser per nät'!Z$1,FALSE)/VLOOKUP($B387,Korrigeringsfaktor_EI,'Korrigeringsfaktor EI'!Z$1,FALSE),
"")</f>
        <v>0.7017906976744186</v>
      </c>
      <c r="AA387" s="18">
        <f>IFERROR(
                  Andel_oberoende_av_klimat*VLOOKUP($A387,Leveranser_per_nät,'Leveranser per nät'!AA$1,FALSE)
               +Andel_beroende_av_klimat*VLOOKUP($A387,Leveranser_per_nät,'Leveranser per nät'!AA$1,FALSE)/VLOOKUP($B387,Korrigeringsfaktor_EI,'Korrigeringsfaktor EI'!AA$1,FALSE),
"")</f>
        <v>0.66988036137440754</v>
      </c>
      <c r="AB387" s="18">
        <f>IFERROR(
                  Andel_oberoende_av_klimat*VLOOKUP($A387,Leveranser_per_nät,'Leveranser per nät'!AB$1,FALSE)
               +Andel_beroende_av_klimat*VLOOKUP($A387,Leveranser_per_nät,'Leveranser per nät'!AB$1,FALSE)/VLOOKUP($B387,Korrigeringsfaktor_EI,'Korrigeringsfaktor EI'!AB$1,FALSE),
"")</f>
        <v>0.68859353233830844</v>
      </c>
      <c r="AC387" s="18">
        <f>IFERROR(
                  Andel_oberoende_av_klimat*VLOOKUP($A387,Leveranser_per_nät,'Leveranser per nät'!AC$1,FALSE)
               +Andel_beroende_av_klimat*VLOOKUP($A387,Leveranser_per_nät,'Leveranser per nät'!AC$1,FALSE)/VLOOKUP($B387,Korrigeringsfaktor_EI,'Korrigeringsfaktor EI'!AC$1,FALSE),
"")</f>
        <v>0.64845591397849467</v>
      </c>
      <c r="AD387">
        <v>240.09800000000001</v>
      </c>
    </row>
    <row r="388" spans="1:30" x14ac:dyDescent="0.25">
      <c r="A388" t="s">
        <v>128</v>
      </c>
      <c r="B388" t="s">
        <v>522</v>
      </c>
      <c r="C388" s="18">
        <f>IFERROR(
                  Andel_oberoende_av_klimat*VLOOKUP($A388,Leveranser_per_nät,'Leveranser per nät'!C$1,FALSE)
               +Andel_beroende_av_klimat*VLOOKUP($A388,Leveranser_per_nät,'Leveranser per nät'!C$1,FALSE)/VLOOKUP($B388,Korrigeringsfaktor_EI,'Korrigeringsfaktor EI'!C$1,FALSE),
"")</f>
        <v>0</v>
      </c>
      <c r="D388" s="18">
        <f>IFERROR(
                  Andel_oberoende_av_klimat*VLOOKUP($A388,Leveranser_per_nät,'Leveranser per nät'!D$1,FALSE)
               +Andel_beroende_av_klimat*VLOOKUP($A388,Leveranser_per_nät,'Leveranser per nät'!D$1,FALSE)/VLOOKUP($B388,Korrigeringsfaktor_EI,'Korrigeringsfaktor EI'!D$1,FALSE),
"")</f>
        <v>0</v>
      </c>
      <c r="E388" s="18">
        <f>IFERROR(
                  Andel_oberoende_av_klimat*VLOOKUP($A388,Leveranser_per_nät,'Leveranser per nät'!E$1,FALSE)
               +Andel_beroende_av_klimat*VLOOKUP($A388,Leveranser_per_nät,'Leveranser per nät'!E$1,FALSE)/VLOOKUP($B388,Korrigeringsfaktor_EI,'Korrigeringsfaktor EI'!E$1,FALSE),
"")</f>
        <v>0</v>
      </c>
      <c r="F388" s="18">
        <f>IFERROR(
                  Andel_oberoende_av_klimat*VLOOKUP($A388,Leveranser_per_nät,'Leveranser per nät'!F$1,FALSE)
               +Andel_beroende_av_klimat*VLOOKUP($A388,Leveranser_per_nät,'Leveranser per nät'!F$1,FALSE)/VLOOKUP($B388,Korrigeringsfaktor_EI,'Korrigeringsfaktor EI'!F$1,FALSE),
"")</f>
        <v>0</v>
      </c>
      <c r="G388" s="18">
        <f>IFERROR(
                  Andel_oberoende_av_klimat*VLOOKUP($A388,Leveranser_per_nät,'Leveranser per nät'!G$1,FALSE)
               +Andel_beroende_av_klimat*VLOOKUP($A388,Leveranser_per_nät,'Leveranser per nät'!G$1,FALSE)/VLOOKUP($B388,Korrigeringsfaktor_EI,'Korrigeringsfaktor EI'!G$1,FALSE),
"")</f>
        <v>0</v>
      </c>
      <c r="H388" s="18">
        <f>IFERROR(
                  Andel_oberoende_av_klimat*VLOOKUP($A388,Leveranser_per_nät,'Leveranser per nät'!H$1,FALSE)
               +Andel_beroende_av_klimat*VLOOKUP($A388,Leveranser_per_nät,'Leveranser per nät'!H$1,FALSE)/VLOOKUP($B388,Korrigeringsfaktor_EI,'Korrigeringsfaktor EI'!H$1,FALSE),
"")</f>
        <v>0</v>
      </c>
      <c r="I388" s="18">
        <f>IFERROR(
                  Andel_oberoende_av_klimat*VLOOKUP($A388,Leveranser_per_nät,'Leveranser per nät'!I$1,FALSE)
               +Andel_beroende_av_klimat*VLOOKUP($A388,Leveranser_per_nät,'Leveranser per nät'!I$1,FALSE)/VLOOKUP($B388,Korrigeringsfaktor_EI,'Korrigeringsfaktor EI'!I$1,FALSE),
"")</f>
        <v>0</v>
      </c>
      <c r="J388" s="18">
        <f>IFERROR(
                  Andel_oberoende_av_klimat*VLOOKUP($A388,Leveranser_per_nät,'Leveranser per nät'!J$1,FALSE)
               +Andel_beroende_av_klimat*VLOOKUP($A388,Leveranser_per_nät,'Leveranser per nät'!J$1,FALSE)/VLOOKUP($B388,Korrigeringsfaktor_EI,'Korrigeringsfaktor EI'!J$1,FALSE),
"")</f>
        <v>0</v>
      </c>
      <c r="K388" s="18">
        <f>IFERROR(
                  Andel_oberoende_av_klimat*VLOOKUP($A388,Leveranser_per_nät,'Leveranser per nät'!K$1,FALSE)
               +Andel_beroende_av_klimat*VLOOKUP($A388,Leveranser_per_nät,'Leveranser per nät'!K$1,FALSE)/VLOOKUP($B388,Korrigeringsfaktor_EI,'Korrigeringsfaktor EI'!K$1,FALSE),
"")</f>
        <v>0</v>
      </c>
      <c r="L388" s="18">
        <f>IFERROR(
                  Andel_oberoende_av_klimat*VLOOKUP($A388,Leveranser_per_nät,'Leveranser per nät'!L$1,FALSE)
               +Andel_beroende_av_klimat*VLOOKUP($A388,Leveranser_per_nät,'Leveranser per nät'!L$1,FALSE)/VLOOKUP($B388,Korrigeringsfaktor_EI,'Korrigeringsfaktor EI'!L$1,FALSE),
"")</f>
        <v>0</v>
      </c>
      <c r="M388" s="18">
        <f>IFERROR(
                  Andel_oberoende_av_klimat*VLOOKUP($A388,Leveranser_per_nät,'Leveranser per nät'!M$1,FALSE)
               +Andel_beroende_av_klimat*VLOOKUP($A388,Leveranser_per_nät,'Leveranser per nät'!M$1,FALSE)/VLOOKUP($B388,Korrigeringsfaktor_EI,'Korrigeringsfaktor EI'!M$1,FALSE),
"")</f>
        <v>0</v>
      </c>
      <c r="N388" s="18">
        <f>IFERROR(
                  Andel_oberoende_av_klimat*VLOOKUP($A388,Leveranser_per_nät,'Leveranser per nät'!N$1,FALSE)
               +Andel_beroende_av_klimat*VLOOKUP($A388,Leveranser_per_nät,'Leveranser per nät'!N$1,FALSE)/VLOOKUP($B388,Korrigeringsfaktor_EI,'Korrigeringsfaktor EI'!N$1,FALSE),
"")</f>
        <v>0</v>
      </c>
      <c r="O388" s="18">
        <f>IFERROR(
                  Andel_oberoende_av_klimat*VLOOKUP($A388,Leveranser_per_nät,'Leveranser per nät'!O$1,FALSE)
               +Andel_beroende_av_klimat*VLOOKUP($A388,Leveranser_per_nät,'Leveranser per nät'!O$1,FALSE)/VLOOKUP($B388,Korrigeringsfaktor_EI,'Korrigeringsfaktor EI'!O$1,FALSE),
"")</f>
        <v>0</v>
      </c>
      <c r="P388" s="18">
        <f>IFERROR(
                  Andel_oberoende_av_klimat*VLOOKUP($A388,Leveranser_per_nät,'Leveranser per nät'!P$1,FALSE)
               +Andel_beroende_av_klimat*VLOOKUP($A388,Leveranser_per_nät,'Leveranser per nät'!P$1,FALSE)/VLOOKUP($B388,Korrigeringsfaktor_EI,'Korrigeringsfaktor EI'!P$1,FALSE),
"")</f>
        <v>2.416969696969697</v>
      </c>
      <c r="Q388" s="18">
        <f>IFERROR(
                  Andel_oberoende_av_klimat*VLOOKUP($A388,Leveranser_per_nät,'Leveranser per nät'!Q$1,FALSE)
               +Andel_beroende_av_klimat*VLOOKUP($A388,Leveranser_per_nät,'Leveranser per nät'!Q$1,FALSE)/VLOOKUP($B388,Korrigeringsfaktor_EI,'Korrigeringsfaktor EI'!Q$1,FALSE),
"")</f>
        <v>2.742105263157895</v>
      </c>
      <c r="R388" s="18">
        <f>IFERROR(
                  Andel_oberoende_av_klimat*VLOOKUP($A388,Leveranser_per_nät,'Leveranser per nät'!R$1,FALSE)
               +Andel_beroende_av_klimat*VLOOKUP($A388,Leveranser_per_nät,'Leveranser per nät'!R$1,FALSE)/VLOOKUP($B388,Korrigeringsfaktor_EI,'Korrigeringsfaktor EI'!R$1,FALSE),
"")</f>
        <v>2.1037043478260871</v>
      </c>
      <c r="S388" s="18">
        <f>IFERROR(
                  Andel_oberoende_av_klimat*VLOOKUP($A388,Leveranser_per_nät,'Leveranser per nät'!S$1,FALSE)
               +Andel_beroende_av_klimat*VLOOKUP($A388,Leveranser_per_nät,'Leveranser per nät'!S$1,FALSE)/VLOOKUP($B388,Korrigeringsfaktor_EI,'Korrigeringsfaktor EI'!S$1,FALSE),
"")</f>
        <v>2.0854455445544557</v>
      </c>
      <c r="T388" s="18">
        <f>IFERROR(
                  Andel_oberoende_av_klimat*VLOOKUP($A388,Leveranser_per_nät,'Leveranser per nät'!T$1,FALSE)
               +Andel_beroende_av_klimat*VLOOKUP($A388,Leveranser_per_nät,'Leveranser per nät'!T$1,FALSE)/VLOOKUP($B388,Korrigeringsfaktor_EI,'Korrigeringsfaktor EI'!T$1,FALSE),
"")</f>
        <v>1.9078714285714287</v>
      </c>
      <c r="U388" s="18">
        <f>IFERROR(
                  Andel_oberoende_av_klimat*VLOOKUP($A388,Leveranser_per_nät,'Leveranser per nät'!U$1,FALSE)
               +Andel_beroende_av_klimat*VLOOKUP($A388,Leveranser_per_nät,'Leveranser per nät'!U$1,FALSE)/VLOOKUP($B388,Korrigeringsfaktor_EI,'Korrigeringsfaktor EI'!U$1,FALSE),
"")</f>
        <v>1.7242454545454544</v>
      </c>
      <c r="V388" s="18">
        <f>IFERROR(
                  Andel_oberoende_av_klimat*VLOOKUP($A388,Leveranser_per_nät,'Leveranser per nät'!V$1,FALSE)
               +Andel_beroende_av_klimat*VLOOKUP($A388,Leveranser_per_nät,'Leveranser per nät'!V$1,FALSE)/VLOOKUP($B388,Korrigeringsfaktor_EI,'Korrigeringsfaktor EI'!V$1,FALSE),
"")</f>
        <v>1.6242978494623654</v>
      </c>
      <c r="W388" s="18">
        <f>IFERROR(
                  Andel_oberoende_av_klimat*VLOOKUP($A388,Leveranser_per_nät,'Leveranser per nät'!W$1,FALSE)
               +Andel_beroende_av_klimat*VLOOKUP($A388,Leveranser_per_nät,'Leveranser per nät'!W$1,FALSE)/VLOOKUP($B388,Korrigeringsfaktor_EI,'Korrigeringsfaktor EI'!W$1,FALSE),
"")</f>
        <v>1.7325631578947369</v>
      </c>
      <c r="X388" s="18">
        <f>IFERROR(
                  Andel_oberoende_av_klimat*VLOOKUP($A388,Leveranser_per_nät,'Leveranser per nät'!X$1,FALSE)
               +Andel_beroende_av_klimat*VLOOKUP($A388,Leveranser_per_nät,'Leveranser per nät'!X$1,FALSE)/VLOOKUP($B388,Korrigeringsfaktor_EI,'Korrigeringsfaktor EI'!X$1,FALSE),
"")</f>
        <v>1.7711958333333335</v>
      </c>
      <c r="Y388" s="18">
        <f>IFERROR(
                  Andel_oberoende_av_klimat*VLOOKUP($A388,Leveranser_per_nät,'Leveranser per nät'!Y$1,FALSE)
               +Andel_beroende_av_klimat*VLOOKUP($A388,Leveranser_per_nät,'Leveranser per nät'!Y$1,FALSE)/VLOOKUP($B388,Korrigeringsfaktor_EI,'Korrigeringsfaktor EI'!Y$1,FALSE),
"")</f>
        <v>1.8034782608695652</v>
      </c>
      <c r="Z388" s="18">
        <f>IFERROR(
                  Andel_oberoende_av_klimat*VLOOKUP($A388,Leveranser_per_nät,'Leveranser per nät'!Z$1,FALSE)
               +Andel_beroende_av_klimat*VLOOKUP($A388,Leveranser_per_nät,'Leveranser per nät'!Z$1,FALSE)/VLOOKUP($B388,Korrigeringsfaktor_EI,'Korrigeringsfaktor EI'!Z$1,FALSE),
"")</f>
        <v>1.7895698924731183</v>
      </c>
      <c r="AA388" s="18">
        <f>IFERROR(
                  Andel_oberoende_av_klimat*VLOOKUP($A388,Leveranser_per_nät,'Leveranser per nät'!AA$1,FALSE)
               +Andel_beroende_av_klimat*VLOOKUP($A388,Leveranser_per_nät,'Leveranser per nät'!AA$1,FALSE)/VLOOKUP($B388,Korrigeringsfaktor_EI,'Korrigeringsfaktor EI'!AA$1,FALSE),
"")</f>
        <v>1.6844619625137818</v>
      </c>
      <c r="AB388" s="18">
        <f>IFERROR(
                  Andel_oberoende_av_klimat*VLOOKUP($A388,Leveranser_per_nät,'Leveranser per nät'!AB$1,FALSE)
               +Andel_beroende_av_klimat*VLOOKUP($A388,Leveranser_per_nät,'Leveranser per nät'!AB$1,FALSE)/VLOOKUP($B388,Korrigeringsfaktor_EI,'Korrigeringsfaktor EI'!AB$1,FALSE),
"")</f>
        <v>1.6844658025922237</v>
      </c>
      <c r="AC388" s="18">
        <f>IFERROR(
                  Andel_oberoende_av_klimat*VLOOKUP($A388,Leveranser_per_nät,'Leveranser per nät'!AC$1,FALSE)
               +Andel_beroende_av_klimat*VLOOKUP($A388,Leveranser_per_nät,'Leveranser per nät'!AC$1,FALSE)/VLOOKUP($B388,Korrigeringsfaktor_EI,'Korrigeringsfaktor EI'!AC$1,FALSE),
"")</f>
        <v>1.4972000000000001</v>
      </c>
      <c r="AD388" t="e">
        <v>#N/A</v>
      </c>
    </row>
    <row r="389" spans="1:30" x14ac:dyDescent="0.25">
      <c r="A389" t="s">
        <v>277</v>
      </c>
      <c r="B389" t="s">
        <v>275</v>
      </c>
      <c r="C389" s="18">
        <f>IFERROR(
                  Andel_oberoende_av_klimat*VLOOKUP($A389,Leveranser_per_nät,'Leveranser per nät'!C$1,FALSE)
               +Andel_beroende_av_klimat*VLOOKUP($A389,Leveranser_per_nät,'Leveranser per nät'!C$1,FALSE)/VLOOKUP($B389,Korrigeringsfaktor_EI,'Korrigeringsfaktor EI'!C$1,FALSE),
"")</f>
        <v>0</v>
      </c>
      <c r="D389" s="18">
        <f>IFERROR(
                  Andel_oberoende_av_klimat*VLOOKUP($A389,Leveranser_per_nät,'Leveranser per nät'!D$1,FALSE)
               +Andel_beroende_av_klimat*VLOOKUP($A389,Leveranser_per_nät,'Leveranser per nät'!D$1,FALSE)/VLOOKUP($B389,Korrigeringsfaktor_EI,'Korrigeringsfaktor EI'!D$1,FALSE),
"")</f>
        <v>0</v>
      </c>
      <c r="E389" s="18">
        <f>IFERROR(
                  Andel_oberoende_av_klimat*VLOOKUP($A389,Leveranser_per_nät,'Leveranser per nät'!E$1,FALSE)
               +Andel_beroende_av_klimat*VLOOKUP($A389,Leveranser_per_nät,'Leveranser per nät'!E$1,FALSE)/VLOOKUP($B389,Korrigeringsfaktor_EI,'Korrigeringsfaktor EI'!E$1,FALSE),
"")</f>
        <v>0</v>
      </c>
      <c r="F389" s="18">
        <f>IFERROR(
                  Andel_oberoende_av_klimat*VLOOKUP($A389,Leveranser_per_nät,'Leveranser per nät'!F$1,FALSE)
               +Andel_beroende_av_klimat*VLOOKUP($A389,Leveranser_per_nät,'Leveranser per nät'!F$1,FALSE)/VLOOKUP($B389,Korrigeringsfaktor_EI,'Korrigeringsfaktor EI'!F$1,FALSE),
"")</f>
        <v>0</v>
      </c>
      <c r="G389" s="18">
        <f>IFERROR(
                  Andel_oberoende_av_klimat*VLOOKUP($A389,Leveranser_per_nät,'Leveranser per nät'!G$1,FALSE)
               +Andel_beroende_av_klimat*VLOOKUP($A389,Leveranser_per_nät,'Leveranser per nät'!G$1,FALSE)/VLOOKUP($B389,Korrigeringsfaktor_EI,'Korrigeringsfaktor EI'!G$1,FALSE),
"")</f>
        <v>0</v>
      </c>
      <c r="H389" s="18">
        <f>IFERROR(
                  Andel_oberoende_av_klimat*VLOOKUP($A389,Leveranser_per_nät,'Leveranser per nät'!H$1,FALSE)
               +Andel_beroende_av_klimat*VLOOKUP($A389,Leveranser_per_nät,'Leveranser per nät'!H$1,FALSE)/VLOOKUP($B389,Korrigeringsfaktor_EI,'Korrigeringsfaktor EI'!H$1,FALSE),
"")</f>
        <v>0</v>
      </c>
      <c r="I389" s="18">
        <f>IFERROR(
                  Andel_oberoende_av_klimat*VLOOKUP($A389,Leveranser_per_nät,'Leveranser per nät'!I$1,FALSE)
               +Andel_beroende_av_klimat*VLOOKUP($A389,Leveranser_per_nät,'Leveranser per nät'!I$1,FALSE)/VLOOKUP($B389,Korrigeringsfaktor_EI,'Korrigeringsfaktor EI'!I$1,FALSE),
"")</f>
        <v>0</v>
      </c>
      <c r="J389" s="18">
        <f>IFERROR(
                  Andel_oberoende_av_klimat*VLOOKUP($A389,Leveranser_per_nät,'Leveranser per nät'!J$1,FALSE)
               +Andel_beroende_av_klimat*VLOOKUP($A389,Leveranser_per_nät,'Leveranser per nät'!J$1,FALSE)/VLOOKUP($B389,Korrigeringsfaktor_EI,'Korrigeringsfaktor EI'!J$1,FALSE),
"")</f>
        <v>0</v>
      </c>
      <c r="K389" s="18">
        <f>IFERROR(
                  Andel_oberoende_av_klimat*VLOOKUP($A389,Leveranser_per_nät,'Leveranser per nät'!K$1,FALSE)
               +Andel_beroende_av_klimat*VLOOKUP($A389,Leveranser_per_nät,'Leveranser per nät'!K$1,FALSE)/VLOOKUP($B389,Korrigeringsfaktor_EI,'Korrigeringsfaktor EI'!K$1,FALSE),
"")</f>
        <v>0</v>
      </c>
      <c r="L389" s="18">
        <f>IFERROR(
                  Andel_oberoende_av_klimat*VLOOKUP($A389,Leveranser_per_nät,'Leveranser per nät'!L$1,FALSE)
               +Andel_beroende_av_klimat*VLOOKUP($A389,Leveranser_per_nät,'Leveranser per nät'!L$1,FALSE)/VLOOKUP($B389,Korrigeringsfaktor_EI,'Korrigeringsfaktor EI'!L$1,FALSE),
"")</f>
        <v>0</v>
      </c>
      <c r="M389" s="18">
        <f>IFERROR(
                  Andel_oberoende_av_klimat*VLOOKUP($A389,Leveranser_per_nät,'Leveranser per nät'!M$1,FALSE)
               +Andel_beroende_av_klimat*VLOOKUP($A389,Leveranser_per_nät,'Leveranser per nät'!M$1,FALSE)/VLOOKUP($B389,Korrigeringsfaktor_EI,'Korrigeringsfaktor EI'!M$1,FALSE),
"")</f>
        <v>3.4738709677419353</v>
      </c>
      <c r="N389" s="18">
        <f>IFERROR(
                  Andel_oberoende_av_klimat*VLOOKUP($A389,Leveranser_per_nät,'Leveranser per nät'!N$1,FALSE)
               +Andel_beroende_av_klimat*VLOOKUP($A389,Leveranser_per_nät,'Leveranser per nät'!N$1,FALSE)/VLOOKUP($B389,Korrigeringsfaktor_EI,'Korrigeringsfaktor EI'!N$1,FALSE),
"")</f>
        <v>3.7130434782608694</v>
      </c>
      <c r="O389" s="18">
        <f>IFERROR(
                  Andel_oberoende_av_klimat*VLOOKUP($A389,Leveranser_per_nät,'Leveranser per nät'!O$1,FALSE)
               +Andel_beroende_av_klimat*VLOOKUP($A389,Leveranser_per_nät,'Leveranser per nät'!O$1,FALSE)/VLOOKUP($B389,Korrigeringsfaktor_EI,'Korrigeringsfaktor EI'!O$1,FALSE),
"")</f>
        <v>3.3947826086956523</v>
      </c>
      <c r="P389" s="18">
        <f>IFERROR(
                  Andel_oberoende_av_klimat*VLOOKUP($A389,Leveranser_per_nät,'Leveranser per nät'!P$1,FALSE)
               +Andel_beroende_av_klimat*VLOOKUP($A389,Leveranser_per_nät,'Leveranser per nät'!P$1,FALSE)/VLOOKUP($B389,Korrigeringsfaktor_EI,'Korrigeringsfaktor EI'!P$1,FALSE),
"")</f>
        <v>3.4485714285714284</v>
      </c>
      <c r="Q389" s="18">
        <f>IFERROR(
                  Andel_oberoende_av_klimat*VLOOKUP($A389,Leveranser_per_nät,'Leveranser per nät'!Q$1,FALSE)
               +Andel_beroende_av_klimat*VLOOKUP($A389,Leveranser_per_nät,'Leveranser per nät'!Q$1,FALSE)/VLOOKUP($B389,Korrigeringsfaktor_EI,'Korrigeringsfaktor EI'!Q$1,FALSE),
"")</f>
        <v>3.1077192982456143</v>
      </c>
      <c r="R389" s="18">
        <f>IFERROR(
                  Andel_oberoende_av_klimat*VLOOKUP($A389,Leveranser_per_nät,'Leveranser per nät'!R$1,FALSE)
               +Andel_beroende_av_klimat*VLOOKUP($A389,Leveranser_per_nät,'Leveranser per nät'!R$1,FALSE)/VLOOKUP($B389,Korrigeringsfaktor_EI,'Korrigeringsfaktor EI'!R$1,FALSE),
"")</f>
        <v>4.3495652173913033</v>
      </c>
      <c r="S389" s="18">
        <f>IFERROR(
                  Andel_oberoende_av_klimat*VLOOKUP($A389,Leveranser_per_nät,'Leveranser per nät'!S$1,FALSE)
               +Andel_beroende_av_klimat*VLOOKUP($A389,Leveranser_per_nät,'Leveranser per nät'!S$1,FALSE)/VLOOKUP($B389,Korrigeringsfaktor_EI,'Korrigeringsfaktor EI'!S$1,FALSE),
"")</f>
        <v>4.2304752475247529</v>
      </c>
      <c r="T389" s="18">
        <f>IFERROR(
                  Andel_oberoende_av_klimat*VLOOKUP($A389,Leveranser_per_nät,'Leveranser per nät'!T$1,FALSE)
               +Andel_beroende_av_klimat*VLOOKUP($A389,Leveranser_per_nät,'Leveranser per nät'!T$1,FALSE)/VLOOKUP($B389,Korrigeringsfaktor_EI,'Korrigeringsfaktor EI'!T$1,FALSE),
"")</f>
        <v>4.3737080808080808</v>
      </c>
      <c r="U389" s="18">
        <f>IFERROR(
                  Andel_oberoende_av_klimat*VLOOKUP($A389,Leveranser_per_nät,'Leveranser per nät'!U$1,FALSE)
               +Andel_beroende_av_klimat*VLOOKUP($A389,Leveranser_per_nät,'Leveranser per nät'!U$1,FALSE)/VLOOKUP($B389,Korrigeringsfaktor_EI,'Korrigeringsfaktor EI'!U$1,FALSE),
"")</f>
        <v>4.3080393258426959</v>
      </c>
      <c r="V389" s="18">
        <f>IFERROR(
                  Andel_oberoende_av_klimat*VLOOKUP($A389,Leveranser_per_nät,'Leveranser per nät'!V$1,FALSE)
               +Andel_beroende_av_klimat*VLOOKUP($A389,Leveranser_per_nät,'Leveranser per nät'!V$1,FALSE)/VLOOKUP($B389,Korrigeringsfaktor_EI,'Korrigeringsfaktor EI'!V$1,FALSE),
"")</f>
        <v>4.4886623655913978</v>
      </c>
      <c r="W389" s="18">
        <f>IFERROR(
                  Andel_oberoende_av_klimat*VLOOKUP($A389,Leveranser_per_nät,'Leveranser per nät'!W$1,FALSE)
               +Andel_beroende_av_klimat*VLOOKUP($A389,Leveranser_per_nät,'Leveranser per nät'!W$1,FALSE)/VLOOKUP($B389,Korrigeringsfaktor_EI,'Korrigeringsfaktor EI'!W$1,FALSE),
"")</f>
        <v>4.7120834368421054</v>
      </c>
      <c r="X389" s="18">
        <f>IFERROR(
                  Andel_oberoende_av_klimat*VLOOKUP($A389,Leveranser_per_nät,'Leveranser per nät'!X$1,FALSE)
               +Andel_beroende_av_klimat*VLOOKUP($A389,Leveranser_per_nät,'Leveranser per nät'!X$1,FALSE)/VLOOKUP($B389,Korrigeringsfaktor_EI,'Korrigeringsfaktor EI'!X$1,FALSE),
"")</f>
        <v>4.6355038382978719</v>
      </c>
      <c r="Y389" s="18">
        <f>IFERROR(
                  Andel_oberoende_av_klimat*VLOOKUP($A389,Leveranser_per_nät,'Leveranser per nät'!Y$1,FALSE)
               +Andel_beroende_av_klimat*VLOOKUP($A389,Leveranser_per_nät,'Leveranser per nät'!Y$1,FALSE)/VLOOKUP($B389,Korrigeringsfaktor_EI,'Korrigeringsfaktor EI'!Y$1,FALSE),
"")</f>
        <v>4.7957245384615383</v>
      </c>
      <c r="Z389" s="18">
        <f>IFERROR(
                  Andel_oberoende_av_klimat*VLOOKUP($A389,Leveranser_per_nät,'Leveranser per nät'!Z$1,FALSE)
               +Andel_beroende_av_klimat*VLOOKUP($A389,Leveranser_per_nät,'Leveranser per nät'!Z$1,FALSE)/VLOOKUP($B389,Korrigeringsfaktor_EI,'Korrigeringsfaktor EI'!Z$1,FALSE),
"")</f>
        <v>4.7292888888888882</v>
      </c>
      <c r="AA389" s="18">
        <f>IFERROR(
                  Andel_oberoende_av_klimat*VLOOKUP($A389,Leveranser_per_nät,'Leveranser per nät'!AA$1,FALSE)
               +Andel_beroende_av_klimat*VLOOKUP($A389,Leveranser_per_nät,'Leveranser per nät'!AA$1,FALSE)/VLOOKUP($B389,Korrigeringsfaktor_EI,'Korrigeringsfaktor EI'!AA$1,FALSE),
"")</f>
        <v>4.680970693686672</v>
      </c>
      <c r="AB389" s="18">
        <f>IFERROR(
                  Andel_oberoende_av_klimat*VLOOKUP($A389,Leveranser_per_nät,'Leveranser per nät'!AB$1,FALSE)
               +Andel_beroende_av_klimat*VLOOKUP($A389,Leveranser_per_nät,'Leveranser per nät'!AB$1,FALSE)/VLOOKUP($B389,Korrigeringsfaktor_EI,'Korrigeringsfaktor EI'!AB$1,FALSE),
"")</f>
        <v>4.6928506233830856</v>
      </c>
      <c r="AC389" s="18">
        <f>IFERROR(
                  Andel_oberoende_av_klimat*VLOOKUP($A389,Leveranser_per_nät,'Leveranser per nät'!AC$1,FALSE)
               +Andel_beroende_av_klimat*VLOOKUP($A389,Leveranser_per_nät,'Leveranser per nät'!AC$1,FALSE)/VLOOKUP($B389,Korrigeringsfaktor_EI,'Korrigeringsfaktor EI'!AC$1,FALSE),
"")</f>
        <v>4.5092366507987212</v>
      </c>
      <c r="AD389">
        <v>366.39353699999998</v>
      </c>
    </row>
    <row r="390" spans="1:30" x14ac:dyDescent="0.25">
      <c r="A390" t="s">
        <v>286</v>
      </c>
      <c r="B390" t="s">
        <v>285</v>
      </c>
      <c r="C390" s="18">
        <f>IFERROR(
                  Andel_oberoende_av_klimat*VLOOKUP($A390,Leveranser_per_nät,'Leveranser per nät'!C$1,FALSE)
               +Andel_beroende_av_klimat*VLOOKUP($A390,Leveranser_per_nät,'Leveranser per nät'!C$1,FALSE)/VLOOKUP($B390,Korrigeringsfaktor_EI,'Korrigeringsfaktor EI'!C$1,FALSE),
"")</f>
        <v>0</v>
      </c>
      <c r="D390" s="18">
        <f>IFERROR(
                  Andel_oberoende_av_klimat*VLOOKUP($A390,Leveranser_per_nät,'Leveranser per nät'!D$1,FALSE)
               +Andel_beroende_av_klimat*VLOOKUP($A390,Leveranser_per_nät,'Leveranser per nät'!D$1,FALSE)/VLOOKUP($B390,Korrigeringsfaktor_EI,'Korrigeringsfaktor EI'!D$1,FALSE),
"")</f>
        <v>0</v>
      </c>
      <c r="E390" s="18">
        <f>IFERROR(
                  Andel_oberoende_av_klimat*VLOOKUP($A390,Leveranser_per_nät,'Leveranser per nät'!E$1,FALSE)
               +Andel_beroende_av_klimat*VLOOKUP($A390,Leveranser_per_nät,'Leveranser per nät'!E$1,FALSE)/VLOOKUP($B390,Korrigeringsfaktor_EI,'Korrigeringsfaktor EI'!E$1,FALSE),
"")</f>
        <v>0</v>
      </c>
      <c r="F390" s="18">
        <f>IFERROR(
                  Andel_oberoende_av_klimat*VLOOKUP($A390,Leveranser_per_nät,'Leveranser per nät'!F$1,FALSE)
               +Andel_beroende_av_klimat*VLOOKUP($A390,Leveranser_per_nät,'Leveranser per nät'!F$1,FALSE)/VLOOKUP($B390,Korrigeringsfaktor_EI,'Korrigeringsfaktor EI'!F$1,FALSE),
"")</f>
        <v>0</v>
      </c>
      <c r="G390" s="18">
        <f>IFERROR(
                  Andel_oberoende_av_klimat*VLOOKUP($A390,Leveranser_per_nät,'Leveranser per nät'!G$1,FALSE)
               +Andel_beroende_av_klimat*VLOOKUP($A390,Leveranser_per_nät,'Leveranser per nät'!G$1,FALSE)/VLOOKUP($B390,Korrigeringsfaktor_EI,'Korrigeringsfaktor EI'!G$1,FALSE),
"")</f>
        <v>0</v>
      </c>
      <c r="H390" s="18">
        <f>IFERROR(
                  Andel_oberoende_av_klimat*VLOOKUP($A390,Leveranser_per_nät,'Leveranser per nät'!H$1,FALSE)
               +Andel_beroende_av_klimat*VLOOKUP($A390,Leveranser_per_nät,'Leveranser per nät'!H$1,FALSE)/VLOOKUP($B390,Korrigeringsfaktor_EI,'Korrigeringsfaktor EI'!H$1,FALSE),
"")</f>
        <v>0</v>
      </c>
      <c r="I390" s="18">
        <f>IFERROR(
                  Andel_oberoende_av_klimat*VLOOKUP($A390,Leveranser_per_nät,'Leveranser per nät'!I$1,FALSE)
               +Andel_beroende_av_klimat*VLOOKUP($A390,Leveranser_per_nät,'Leveranser per nät'!I$1,FALSE)/VLOOKUP($B390,Korrigeringsfaktor_EI,'Korrigeringsfaktor EI'!I$1,FALSE),
"")</f>
        <v>0</v>
      </c>
      <c r="J390" s="18">
        <f>IFERROR(
                  Andel_oberoende_av_klimat*VLOOKUP($A390,Leveranser_per_nät,'Leveranser per nät'!J$1,FALSE)
               +Andel_beroende_av_klimat*VLOOKUP($A390,Leveranser_per_nät,'Leveranser per nät'!J$1,FALSE)/VLOOKUP($B390,Korrigeringsfaktor_EI,'Korrigeringsfaktor EI'!J$1,FALSE),
"")</f>
        <v>0</v>
      </c>
      <c r="K390" s="18">
        <f>IFERROR(
                  Andel_oberoende_av_klimat*VLOOKUP($A390,Leveranser_per_nät,'Leveranser per nät'!K$1,FALSE)
               +Andel_beroende_av_klimat*VLOOKUP($A390,Leveranser_per_nät,'Leveranser per nät'!K$1,FALSE)/VLOOKUP($B390,Korrigeringsfaktor_EI,'Korrigeringsfaktor EI'!K$1,FALSE),
"")</f>
        <v>0</v>
      </c>
      <c r="L390" s="18">
        <f>IFERROR(
                  Andel_oberoende_av_klimat*VLOOKUP($A390,Leveranser_per_nät,'Leveranser per nät'!L$1,FALSE)
               +Andel_beroende_av_klimat*VLOOKUP($A390,Leveranser_per_nät,'Leveranser per nät'!L$1,FALSE)/VLOOKUP($B390,Korrigeringsfaktor_EI,'Korrigeringsfaktor EI'!L$1,FALSE),
"")</f>
        <v>11.503763157894738</v>
      </c>
      <c r="M390" s="18">
        <f>IFERROR(
                  Andel_oberoende_av_klimat*VLOOKUP($A390,Leveranser_per_nät,'Leveranser per nät'!M$1,FALSE)
               +Andel_beroende_av_klimat*VLOOKUP($A390,Leveranser_per_nät,'Leveranser per nät'!M$1,FALSE)/VLOOKUP($B390,Korrigeringsfaktor_EI,'Korrigeringsfaktor EI'!M$1,FALSE),
"")</f>
        <v>11.770347826086958</v>
      </c>
      <c r="N390" s="18">
        <f>IFERROR(
                  Andel_oberoende_av_klimat*VLOOKUP($A390,Leveranser_per_nät,'Leveranser per nät'!N$1,FALSE)
               +Andel_beroende_av_klimat*VLOOKUP($A390,Leveranser_per_nät,'Leveranser per nät'!N$1,FALSE)/VLOOKUP($B390,Korrigeringsfaktor_EI,'Korrigeringsfaktor EI'!N$1,FALSE),
"")</f>
        <v>11.863115384615384</v>
      </c>
      <c r="O390" s="18">
        <f>IFERROR(
                  Andel_oberoende_av_klimat*VLOOKUP($A390,Leveranser_per_nät,'Leveranser per nät'!O$1,FALSE)
               +Andel_beroende_av_klimat*VLOOKUP($A390,Leveranser_per_nät,'Leveranser per nät'!O$1,FALSE)/VLOOKUP($B390,Korrigeringsfaktor_EI,'Korrigeringsfaktor EI'!O$1,FALSE),
"")</f>
        <v>18.861111111111111</v>
      </c>
      <c r="P390" s="18">
        <f>IFERROR(
                  Andel_oberoende_av_klimat*VLOOKUP($A390,Leveranser_per_nät,'Leveranser per nät'!P$1,FALSE)
               +Andel_beroende_av_klimat*VLOOKUP($A390,Leveranser_per_nät,'Leveranser per nät'!P$1,FALSE)/VLOOKUP($B390,Korrigeringsfaktor_EI,'Korrigeringsfaktor EI'!P$1,FALSE),
"")</f>
        <v>0</v>
      </c>
      <c r="Q390" s="18">
        <f>IFERROR(
                  Andel_oberoende_av_klimat*VLOOKUP($A390,Leveranser_per_nät,'Leveranser per nät'!Q$1,FALSE)
               +Andel_beroende_av_klimat*VLOOKUP($A390,Leveranser_per_nät,'Leveranser per nät'!Q$1,FALSE)/VLOOKUP($B390,Korrigeringsfaktor_EI,'Korrigeringsfaktor EI'!Q$1,FALSE),
"")</f>
        <v>0</v>
      </c>
      <c r="R390" s="18">
        <f>IFERROR(
                  Andel_oberoende_av_klimat*VLOOKUP($A390,Leveranser_per_nät,'Leveranser per nät'!R$1,FALSE)
               +Andel_beroende_av_klimat*VLOOKUP($A390,Leveranser_per_nät,'Leveranser per nät'!R$1,FALSE)/VLOOKUP($B390,Korrigeringsfaktor_EI,'Korrigeringsfaktor EI'!R$1,FALSE),
"")</f>
        <v>0</v>
      </c>
      <c r="S390" s="18" t="str">
        <f>IFERROR(
                  Andel_oberoende_av_klimat*VLOOKUP($A390,Leveranser_per_nät,'Leveranser per nät'!S$1,FALSE)
               +Andel_beroende_av_klimat*VLOOKUP($A390,Leveranser_per_nät,'Leveranser per nät'!S$1,FALSE)/VLOOKUP($B390,Korrigeringsfaktor_EI,'Korrigeringsfaktor EI'!S$1,FALSE),
"")</f>
        <v/>
      </c>
      <c r="T390" s="18" t="str">
        <f>IFERROR(
                  Andel_oberoende_av_klimat*VLOOKUP($A390,Leveranser_per_nät,'Leveranser per nät'!T$1,FALSE)
               +Andel_beroende_av_klimat*VLOOKUP($A390,Leveranser_per_nät,'Leveranser per nät'!T$1,FALSE)/VLOOKUP($B390,Korrigeringsfaktor_EI,'Korrigeringsfaktor EI'!T$1,FALSE),
"")</f>
        <v/>
      </c>
      <c r="U390" s="18" t="str">
        <f>IFERROR(
                  Andel_oberoende_av_klimat*VLOOKUP($A390,Leveranser_per_nät,'Leveranser per nät'!U$1,FALSE)
               +Andel_beroende_av_klimat*VLOOKUP($A390,Leveranser_per_nät,'Leveranser per nät'!U$1,FALSE)/VLOOKUP($B390,Korrigeringsfaktor_EI,'Korrigeringsfaktor EI'!U$1,FALSE),
"")</f>
        <v/>
      </c>
      <c r="V390" s="18" t="str">
        <f>IFERROR(
                  Andel_oberoende_av_klimat*VLOOKUP($A390,Leveranser_per_nät,'Leveranser per nät'!V$1,FALSE)
               +Andel_beroende_av_klimat*VLOOKUP($A390,Leveranser_per_nät,'Leveranser per nät'!V$1,FALSE)/VLOOKUP($B390,Korrigeringsfaktor_EI,'Korrigeringsfaktor EI'!V$1,FALSE),
"")</f>
        <v/>
      </c>
      <c r="W390" s="18" t="str">
        <f>IFERROR(
                  Andel_oberoende_av_klimat*VLOOKUP($A390,Leveranser_per_nät,'Leveranser per nät'!W$1,FALSE)
               +Andel_beroende_av_klimat*VLOOKUP($A390,Leveranser_per_nät,'Leveranser per nät'!W$1,FALSE)/VLOOKUP($B390,Korrigeringsfaktor_EI,'Korrigeringsfaktor EI'!W$1,FALSE),
"")</f>
        <v/>
      </c>
      <c r="X390" s="18" t="str">
        <f>IFERROR(
                  Andel_oberoende_av_klimat*VLOOKUP($A390,Leveranser_per_nät,'Leveranser per nät'!X$1,FALSE)
               +Andel_beroende_av_klimat*VLOOKUP($A390,Leveranser_per_nät,'Leveranser per nät'!X$1,FALSE)/VLOOKUP($B390,Korrigeringsfaktor_EI,'Korrigeringsfaktor EI'!X$1,FALSE),
"")</f>
        <v/>
      </c>
      <c r="Y390" s="18" t="str">
        <f>IFERROR(
                  Andel_oberoende_av_klimat*VLOOKUP($A390,Leveranser_per_nät,'Leveranser per nät'!Y$1,FALSE)
               +Andel_beroende_av_klimat*VLOOKUP($A390,Leveranser_per_nät,'Leveranser per nät'!Y$1,FALSE)/VLOOKUP($B390,Korrigeringsfaktor_EI,'Korrigeringsfaktor EI'!Y$1,FALSE),
"")</f>
        <v/>
      </c>
      <c r="Z390" s="18">
        <f>IFERROR(
                  Andel_oberoende_av_klimat*VLOOKUP($A390,Leveranser_per_nät,'Leveranser per nät'!Z$1,FALSE)
               +Andel_beroende_av_klimat*VLOOKUP($A390,Leveranser_per_nät,'Leveranser per nät'!Z$1,FALSE)/VLOOKUP($B390,Korrigeringsfaktor_EI,'Korrigeringsfaktor EI'!Z$1,FALSE),
"")</f>
        <v>0</v>
      </c>
      <c r="AA390" s="18" t="str">
        <f>IFERROR(
                  Andel_oberoende_av_klimat*VLOOKUP($A390,Leveranser_per_nät,'Leveranser per nät'!AA$1,FALSE)
               +Andel_beroende_av_klimat*VLOOKUP($A390,Leveranser_per_nät,'Leveranser per nät'!AA$1,FALSE)/VLOOKUP($B390,Korrigeringsfaktor_EI,'Korrigeringsfaktor EI'!AA$1,FALSE),
"")</f>
        <v/>
      </c>
      <c r="AB390" s="18">
        <f>IFERROR(
                  Andel_oberoende_av_klimat*VLOOKUP($A390,Leveranser_per_nät,'Leveranser per nät'!AB$1,FALSE)
               +Andel_beroende_av_klimat*VLOOKUP($A390,Leveranser_per_nät,'Leveranser per nät'!AB$1,FALSE)/VLOOKUP($B390,Korrigeringsfaktor_EI,'Korrigeringsfaktor EI'!AB$1,FALSE),
"")</f>
        <v>0</v>
      </c>
      <c r="AC390" s="18">
        <f>IFERROR(
                  Andel_oberoende_av_klimat*VLOOKUP($A390,Leveranser_per_nät,'Leveranser per nät'!AC$1,FALSE)
               +Andel_beroende_av_klimat*VLOOKUP($A390,Leveranser_per_nät,'Leveranser per nät'!AC$1,FALSE)/VLOOKUP($B390,Korrigeringsfaktor_EI,'Korrigeringsfaktor EI'!AC$1,FALSE),
"")</f>
        <v>0</v>
      </c>
      <c r="AD390">
        <v>138.35900000000001</v>
      </c>
    </row>
    <row r="391" spans="1:30" x14ac:dyDescent="0.25">
      <c r="A391" t="s">
        <v>219</v>
      </c>
      <c r="B391" t="s">
        <v>219</v>
      </c>
      <c r="C391" s="18">
        <f>IFERROR(
                  Andel_oberoende_av_klimat*VLOOKUP($A391,Leveranser_per_nät,'Leveranser per nät'!C$1,FALSE)
               +Andel_beroende_av_klimat*VLOOKUP($A391,Leveranser_per_nät,'Leveranser per nät'!C$1,FALSE)/VLOOKUP("Stockholm-Bromma",Korrigeringsfaktor_EI,'Korrigeringsfaktor EI'!C$1,FALSE),
"")</f>
        <v>875.14074074074074</v>
      </c>
      <c r="D391" s="18">
        <f>IFERROR(
                  Andel_oberoende_av_klimat*VLOOKUP($A391,Leveranser_per_nät,'Leveranser per nät'!D$1,FALSE)
               +Andel_beroende_av_klimat*VLOOKUP($A391,Leveranser_per_nät,'Leveranser per nät'!D$1,FALSE)/VLOOKUP("Stockholm-Bromma",Korrigeringsfaktor_EI,'Korrigeringsfaktor EI'!D$1,FALSE),
"")</f>
        <v>858.05160396039605</v>
      </c>
      <c r="E391" s="18">
        <f>IFERROR(
                  Andel_oberoende_av_klimat*VLOOKUP($A391,Leveranser_per_nät,'Leveranser per nät'!E$1,FALSE)
               +Andel_beroende_av_klimat*VLOOKUP($A391,Leveranser_per_nät,'Leveranser per nät'!E$1,FALSE)/VLOOKUP("Stockholm-Bromma",Korrigeringsfaktor_EI,'Korrigeringsfaktor EI'!E$1,FALSE),
"")</f>
        <v>902.04230769230765</v>
      </c>
      <c r="F391" s="18">
        <f>IFERROR(
                  Andel_oberoende_av_klimat*VLOOKUP($A391,Leveranser_per_nät,'Leveranser per nät'!F$1,FALSE)
               +Andel_beroende_av_klimat*VLOOKUP($A391,Leveranser_per_nät,'Leveranser per nät'!F$1,FALSE)/VLOOKUP("Stockholm-Bromma",Korrigeringsfaktor_EI,'Korrigeringsfaktor EI'!F$1,FALSE),
"")</f>
        <v>938.1234042553192</v>
      </c>
      <c r="G391" s="18">
        <f>IFERROR(
                  Andel_oberoende_av_klimat*VLOOKUP($A391,Leveranser_per_nät,'Leveranser per nät'!G$1,FALSE)
               +Andel_beroende_av_klimat*VLOOKUP($A391,Leveranser_per_nät,'Leveranser per nät'!G$1,FALSE)/VLOOKUP("Stockholm-Bromma",Korrigeringsfaktor_EI,'Korrigeringsfaktor EI'!G$1,FALSE),
"")</f>
        <v>975.69213483146063</v>
      </c>
      <c r="H391" s="18">
        <f>IFERROR(
                  Andel_oberoende_av_klimat*VLOOKUP($A391,Leveranser_per_nät,'Leveranser per nät'!H$1,FALSE)
               +Andel_beroende_av_klimat*VLOOKUP($A391,Leveranser_per_nät,'Leveranser per nät'!H$1,FALSE)/VLOOKUP("Stockholm-Bromma",Korrigeringsfaktor_EI,'Korrigeringsfaktor EI'!H$1,FALSE),
"")</f>
        <v>995.20416666666665</v>
      </c>
      <c r="I391" s="18">
        <f>IFERROR(
                  Andel_oberoende_av_klimat*VLOOKUP($A391,Leveranser_per_nät,'Leveranser per nät'!I$1,FALSE)
               +Andel_beroende_av_klimat*VLOOKUP($A391,Leveranser_per_nät,'Leveranser per nät'!I$1,FALSE)/VLOOKUP("Stockholm-Bromma",Korrigeringsfaktor_EI,'Korrigeringsfaktor EI'!I$1,FALSE),
"")</f>
        <v>934.98936170212778</v>
      </c>
      <c r="J391" s="18">
        <f>IFERROR(
                  Andel_oberoende_av_klimat*VLOOKUP($A391,Leveranser_per_nät,'Leveranser per nät'!J$1,FALSE)
               +Andel_beroende_av_klimat*VLOOKUP($A391,Leveranser_per_nät,'Leveranser per nät'!J$1,FALSE)/VLOOKUP("Stockholm-Bromma",Korrigeringsfaktor_EI,'Korrigeringsfaktor EI'!J$1,FALSE),
"")</f>
        <v>1029.822680412371</v>
      </c>
      <c r="K391" s="18">
        <f>IFERROR(
                  Andel_oberoende_av_klimat*VLOOKUP($A391,Leveranser_per_nät,'Leveranser per nät'!K$1,FALSE)
               +Andel_beroende_av_klimat*VLOOKUP($A391,Leveranser_per_nät,'Leveranser per nät'!K$1,FALSE)/VLOOKUP("Stockholm-Bromma",Korrigeringsfaktor_EI,'Korrigeringsfaktor EI'!K$1,FALSE),
"")</f>
        <v>1033.4837736842105</v>
      </c>
      <c r="L391" s="18">
        <f>IFERROR(
                  Andel_oberoende_av_klimat*VLOOKUP($A391,Leveranser_per_nät,'Leveranser per nät'!L$1,FALSE)
               +Andel_beroende_av_klimat*VLOOKUP($A391,Leveranser_per_nät,'Leveranser per nät'!L$1,FALSE)/VLOOKUP("Stockholm-Bromma",Korrigeringsfaktor_EI,'Korrigeringsfaktor EI'!L$1,FALSE),
"")</f>
        <v>1030.3774989247311</v>
      </c>
      <c r="M391" s="18">
        <f>IFERROR(
                  Andel_oberoende_av_klimat*VLOOKUP($A391,Leveranser_per_nät,'Leveranser per nät'!M$1,FALSE)
               +Andel_beroende_av_klimat*VLOOKUP($A391,Leveranser_per_nät,'Leveranser per nät'!M$1,FALSE)/VLOOKUP("Stockholm-Bromma",Korrigeringsfaktor_EI,'Korrigeringsfaktor EI'!M$1,FALSE),
"")</f>
        <v>1055.0366666666666</v>
      </c>
      <c r="N391" s="18">
        <f>IFERROR(
                  Andel_oberoende_av_klimat*VLOOKUP($A391,Leveranser_per_nät,'Leveranser per nät'!N$1,FALSE)
               +Andel_beroende_av_klimat*VLOOKUP($A391,Leveranser_per_nät,'Leveranser per nät'!N$1,FALSE)/VLOOKUP("Stockholm-Bromma",Korrigeringsfaktor_EI,'Korrigeringsfaktor EI'!N$1,FALSE),
"")</f>
        <v>1058.1871818181817</v>
      </c>
      <c r="O391" s="18">
        <f>IFERROR(
                  Andel_oberoende_av_klimat*VLOOKUP($A391,Leveranser_per_nät,'Leveranser per nät'!O$1,FALSE)
               +Andel_beroende_av_klimat*VLOOKUP($A391,Leveranser_per_nät,'Leveranser per nät'!O$1,FALSE)/VLOOKUP("Stockholm-Bromma",Korrigeringsfaktor_EI,'Korrigeringsfaktor EI'!O$1,FALSE),
"")</f>
        <v>1034.6335873563219</v>
      </c>
      <c r="P391" s="18">
        <f>IFERROR(
                  Andel_oberoende_av_klimat*VLOOKUP($A391,Leveranser_per_nät,'Leveranser per nät'!P$1,FALSE)
               +Andel_beroende_av_klimat*VLOOKUP($A391,Leveranser_per_nät,'Leveranser per nät'!P$1,FALSE)/VLOOKUP("Stockholm-Bromma",Korrigeringsfaktor_EI,'Korrigeringsfaktor EI'!P$1,FALSE),
"")</f>
        <v>1060.0385923076924</v>
      </c>
      <c r="Q391" s="18">
        <f>IFERROR(
                  Andel_oberoende_av_klimat*VLOOKUP($A391,Leveranser_per_nät,'Leveranser per nät'!Q$1,FALSE)
               +Andel_beroende_av_klimat*VLOOKUP($A391,Leveranser_per_nät,'Leveranser per nät'!Q$1,FALSE)/VLOOKUP("Stockholm-Bromma",Korrigeringsfaktor_EI,'Korrigeringsfaktor EI'!Q$1,FALSE),
"")</f>
        <v>1105.7938962962962</v>
      </c>
      <c r="R391" s="18">
        <f>IFERROR(
                  Andel_oberoende_av_klimat*VLOOKUP($A391,Leveranser_per_nät,'Leveranser per nät'!R$1,FALSE)
               +Andel_beroende_av_klimat*VLOOKUP($A391,Leveranser_per_nät,'Leveranser per nät'!R$1,FALSE)/VLOOKUP("Stockholm-Bromma",Korrigeringsfaktor_EI,'Korrigeringsfaktor EI'!R$1,FALSE),
"")</f>
        <v>1067.4592976744184</v>
      </c>
      <c r="S391" s="18">
        <f>IFERROR(
                  Andel_oberoende_av_klimat*VLOOKUP($A391,Leveranser_per_nät,'Leveranser per nät'!S$1,FALSE)
               +Andel_beroende_av_klimat*VLOOKUP($A391,Leveranser_per_nät,'Leveranser per nät'!S$1,FALSE)/VLOOKUP("Stockholm-Bromma",Korrigeringsfaktor_EI,'Korrigeringsfaktor EI'!S$1,FALSE),
"")</f>
        <v>1084.744210526316</v>
      </c>
      <c r="T391" s="18">
        <f>IFERROR(
                  Andel_oberoende_av_klimat*VLOOKUP($A391,Leveranser_per_nät,'Leveranser per nät'!T$1,FALSE)
               +Andel_beroende_av_klimat*VLOOKUP($A391,Leveranser_per_nät,'Leveranser per nät'!T$1,FALSE)/VLOOKUP("Stockholm-Bromma",Korrigeringsfaktor_EI,'Korrigeringsfaktor EI'!T$1,FALSE),
"")</f>
        <v>1105.8</v>
      </c>
      <c r="U391" s="18">
        <f>IFERROR(
                  Andel_oberoende_av_klimat*VLOOKUP($A391,Leveranser_per_nät,'Leveranser per nät'!U$1,FALSE)
               +Andel_beroende_av_klimat*VLOOKUP($A391,Leveranser_per_nät,'Leveranser per nät'!U$1,FALSE)/VLOOKUP("Stockholm-Bromma",Korrigeringsfaktor_EI,'Korrigeringsfaktor EI'!U$1,FALSE),
"")</f>
        <v>1051.3660333333332</v>
      </c>
      <c r="V391" s="18">
        <f>IFERROR(
                  Andel_oberoende_av_klimat*VLOOKUP($A391,Leveranser_per_nät,'Leveranser per nät'!V$1,FALSE)
               +Andel_beroende_av_klimat*VLOOKUP($A391,Leveranser_per_nät,'Leveranser per nät'!V$1,FALSE)/VLOOKUP("Stockholm-Bromma",Korrigeringsfaktor_EI,'Korrigeringsfaktor EI'!V$1,FALSE),
"")</f>
        <v>1060.1438000000001</v>
      </c>
      <c r="W391" s="18">
        <f>IFERROR(
                  Andel_oberoende_av_klimat*VLOOKUP($A391,Leveranser_per_nät,'Leveranser per nät'!W$1,FALSE)
               +Andel_beroende_av_klimat*VLOOKUP($A391,Leveranser_per_nät,'Leveranser per nät'!W$1,FALSE)/VLOOKUP("Stockholm-Bromma",Korrigeringsfaktor_EI,'Korrigeringsfaktor EI'!W$1,FALSE),
"")</f>
        <v>1108.8991011235955</v>
      </c>
      <c r="X391" s="18">
        <f>IFERROR(
                  Andel_oberoende_av_klimat*VLOOKUP($A391,Leveranser_per_nät,'Leveranser per nät'!X$1,FALSE)
               +Andel_beroende_av_klimat*VLOOKUP($A391,Leveranser_per_nät,'Leveranser per nät'!X$1,FALSE)/VLOOKUP("Stockholm-Bromma",Korrigeringsfaktor_EI,'Korrigeringsfaktor EI'!X$1,FALSE),
"")</f>
        <v>1082.3522348314607</v>
      </c>
      <c r="Y391" s="18">
        <f>IFERROR(
                  Andel_oberoende_av_klimat*VLOOKUP($A391,Leveranser_per_nät,'Leveranser per nät'!Y$1,FALSE)
               +Andel_beroende_av_klimat*VLOOKUP($A391,Leveranser_per_nät,'Leveranser per nät'!Y$1,FALSE)/VLOOKUP($B391,Korrigeringsfaktor_EI,'Korrigeringsfaktor EI'!Y$1,FALSE),
"")</f>
        <v>1105.8050264367816</v>
      </c>
      <c r="Z391" s="18">
        <f>IFERROR(
                  Andel_oberoende_av_klimat*VLOOKUP($A391,Leveranser_per_nät,'Leveranser per nät'!Z$1,FALSE)
               +Andel_beroende_av_klimat*VLOOKUP($A391,Leveranser_per_nät,'Leveranser per nät'!Z$1,FALSE)/VLOOKUP($B391,Korrigeringsfaktor_EI,'Korrigeringsfaktor EI'!Z$1,FALSE),
"")</f>
        <v>1087.6781075144509</v>
      </c>
      <c r="AA391" s="18">
        <f>IFERROR(
                  Andel_oberoende_av_klimat*VLOOKUP($A391,Leveranser_per_nät,'Leveranser per nät'!AA$1,FALSE)
               +Andel_beroende_av_klimat*VLOOKUP($A391,Leveranser_per_nät,'Leveranser per nät'!AA$1,FALSE)/VLOOKUP($B391,Korrigeringsfaktor_EI,'Korrigeringsfaktor EI'!AA$1,FALSE),
"")</f>
        <v>1041.8092038739578</v>
      </c>
      <c r="AB391" s="18">
        <f>IFERROR(
                  Andel_oberoende_av_klimat*VLOOKUP($A391,Leveranser_per_nät,'Leveranser per nät'!AB$1,FALSE)
               +Andel_beroende_av_klimat*VLOOKUP($A391,Leveranser_per_nät,'Leveranser per nät'!AB$1,FALSE)/VLOOKUP($B391,Korrigeringsfaktor_EI,'Korrigeringsfaktor EI'!AB$1,FALSE),
"")</f>
        <v>1026.8992012345682</v>
      </c>
      <c r="AC391" s="18">
        <f>IFERROR(
                  Andel_oberoende_av_klimat*VLOOKUP($A391,Leveranser_per_nät,'Leveranser per nät'!AC$1,FALSE)
               +Andel_beroende_av_klimat*VLOOKUP($A391,Leveranser_per_nät,'Leveranser per nät'!AC$1,FALSE)/VLOOKUP($B391,Korrigeringsfaktor_EI,'Korrigeringsfaktor EI'!AC$1,FALSE),
"")</f>
        <v>1003.1981000000001</v>
      </c>
      <c r="AD391">
        <v>964</v>
      </c>
    </row>
    <row r="392" spans="1:30" x14ac:dyDescent="0.25">
      <c r="A392" t="s">
        <v>288</v>
      </c>
      <c r="B392" t="s">
        <v>288</v>
      </c>
      <c r="C392" s="18">
        <f>IFERROR(
                  Andel_oberoende_av_klimat*VLOOKUP($A392,Leveranser_per_nät,'Leveranser per nät'!C$1,FALSE)
               +Andel_beroende_av_klimat*VLOOKUP($A392,Leveranser_per_nät,'Leveranser per nät'!C$1,FALSE)/VLOOKUP($B392,Korrigeringsfaktor_EI,'Korrigeringsfaktor EI'!C$1,FALSE),
"")</f>
        <v>554.39345794392523</v>
      </c>
      <c r="D392" s="18">
        <f>IFERROR(
                  Andel_oberoende_av_klimat*VLOOKUP($A392,Leveranser_per_nät,'Leveranser per nät'!D$1,FALSE)
               +Andel_beroende_av_klimat*VLOOKUP($A392,Leveranser_per_nät,'Leveranser per nät'!D$1,FALSE)/VLOOKUP($B392,Korrigeringsfaktor_EI,'Korrigeringsfaktor EI'!D$1,FALSE),
"")</f>
        <v>543.1808421052632</v>
      </c>
      <c r="E392" s="18">
        <f>IFERROR(
                  Andel_oberoende_av_klimat*VLOOKUP($A392,Leveranser_per_nät,'Leveranser per nät'!E$1,FALSE)
               +Andel_beroende_av_klimat*VLOOKUP($A392,Leveranser_per_nät,'Leveranser per nät'!E$1,FALSE)/VLOOKUP($B392,Korrigeringsfaktor_EI,'Korrigeringsfaktor EI'!E$1,FALSE),
"")</f>
        <v>539.49215686274511</v>
      </c>
      <c r="F392" s="18">
        <f>IFERROR(
                  Andel_oberoende_av_klimat*VLOOKUP($A392,Leveranser_per_nät,'Leveranser per nät'!F$1,FALSE)
               +Andel_beroende_av_klimat*VLOOKUP($A392,Leveranser_per_nät,'Leveranser per nät'!F$1,FALSE)/VLOOKUP($B392,Korrigeringsfaktor_EI,'Korrigeringsfaktor EI'!F$1,FALSE),
"")</f>
        <v>546</v>
      </c>
      <c r="G392" s="18">
        <f>IFERROR(
                  Andel_oberoende_av_klimat*VLOOKUP($A392,Leveranser_per_nät,'Leveranser per nät'!G$1,FALSE)
               +Andel_beroende_av_klimat*VLOOKUP($A392,Leveranser_per_nät,'Leveranser per nät'!G$1,FALSE)/VLOOKUP($B392,Korrigeringsfaktor_EI,'Korrigeringsfaktor EI'!G$1,FALSE),
"")</f>
        <v>533.71290322580649</v>
      </c>
      <c r="H392" s="18">
        <f>IFERROR(
                  Andel_oberoende_av_klimat*VLOOKUP($A392,Leveranser_per_nät,'Leveranser per nät'!H$1,FALSE)
               +Andel_beroende_av_klimat*VLOOKUP($A392,Leveranser_per_nät,'Leveranser per nät'!H$1,FALSE)/VLOOKUP($B392,Korrigeringsfaktor_EI,'Korrigeringsfaktor EI'!H$1,FALSE),
"")</f>
        <v>572.38777070707079</v>
      </c>
      <c r="I392" s="18">
        <f>IFERROR(
                  Andel_oberoende_av_klimat*VLOOKUP($A392,Leveranser_per_nät,'Leveranser per nät'!I$1,FALSE)
               +Andel_beroende_av_klimat*VLOOKUP($A392,Leveranser_per_nät,'Leveranser per nät'!I$1,FALSE)/VLOOKUP($B392,Korrigeringsfaktor_EI,'Korrigeringsfaktor EI'!I$1,FALSE),
"")</f>
        <v>575.61914893617018</v>
      </c>
      <c r="J392" s="18">
        <f>IFERROR(
                  Andel_oberoende_av_klimat*VLOOKUP($A392,Leveranser_per_nät,'Leveranser per nät'!J$1,FALSE)
               +Andel_beroende_av_klimat*VLOOKUP($A392,Leveranser_per_nät,'Leveranser per nät'!J$1,FALSE)/VLOOKUP($B392,Korrigeringsfaktor_EI,'Korrigeringsfaktor EI'!J$1,FALSE),
"")</f>
        <v>582.70526315789471</v>
      </c>
      <c r="K392" s="18">
        <f>IFERROR(
                  Andel_oberoende_av_klimat*VLOOKUP($A392,Leveranser_per_nät,'Leveranser per nät'!K$1,FALSE)
               +Andel_beroende_av_klimat*VLOOKUP($A392,Leveranser_per_nät,'Leveranser per nät'!K$1,FALSE)/VLOOKUP($B392,Korrigeringsfaktor_EI,'Korrigeringsfaktor EI'!K$1,FALSE),
"")</f>
        <v>576.05791489361707</v>
      </c>
      <c r="L392" s="18">
        <f>IFERROR(
                  Andel_oberoende_av_klimat*VLOOKUP($A392,Leveranser_per_nät,'Leveranser per nät'!L$1,FALSE)
               +Andel_beroende_av_klimat*VLOOKUP($A392,Leveranser_per_nät,'Leveranser per nät'!L$1,FALSE)/VLOOKUP($B392,Korrigeringsfaktor_EI,'Korrigeringsfaktor EI'!L$1,FALSE),
"")</f>
        <v>562.50004680851066</v>
      </c>
      <c r="M392" s="18">
        <f>IFERROR(
                  Andel_oberoende_av_klimat*VLOOKUP($A392,Leveranser_per_nät,'Leveranser per nät'!M$1,FALSE)
               +Andel_beroende_av_klimat*VLOOKUP($A392,Leveranser_per_nät,'Leveranser per nät'!M$1,FALSE)/VLOOKUP($B392,Korrigeringsfaktor_EI,'Korrigeringsfaktor EI'!M$1,FALSE),
"")</f>
        <v>545.78882222222217</v>
      </c>
      <c r="N392" s="18">
        <f>IFERROR(
                  Andel_oberoende_av_klimat*VLOOKUP($A392,Leveranser_per_nät,'Leveranser per nät'!N$1,FALSE)
               +Andel_beroende_av_klimat*VLOOKUP($A392,Leveranser_per_nät,'Leveranser per nät'!N$1,FALSE)/VLOOKUP($B392,Korrigeringsfaktor_EI,'Korrigeringsfaktor EI'!N$1,FALSE),
"")</f>
        <v>541.95458461538453</v>
      </c>
      <c r="O392" s="18">
        <f>IFERROR(
                  Andel_oberoende_av_klimat*VLOOKUP($A392,Leveranser_per_nät,'Leveranser per nät'!O$1,FALSE)
               +Andel_beroende_av_klimat*VLOOKUP($A392,Leveranser_per_nät,'Leveranser per nät'!O$1,FALSE)/VLOOKUP($B392,Korrigeringsfaktor_EI,'Korrigeringsfaktor EI'!O$1,FALSE),
"")</f>
        <v>535.40340769230772</v>
      </c>
      <c r="P392" s="18">
        <f>IFERROR(
                  Andel_oberoende_av_klimat*VLOOKUP($A392,Leveranser_per_nät,'Leveranser per nät'!P$1,FALSE)
               +Andel_beroende_av_klimat*VLOOKUP($A392,Leveranser_per_nät,'Leveranser per nät'!P$1,FALSE)/VLOOKUP($B392,Korrigeringsfaktor_EI,'Korrigeringsfaktor EI'!P$1,FALSE),
"")</f>
        <v>579.134725</v>
      </c>
      <c r="Q392" s="18">
        <f>IFERROR(
                  Andel_oberoende_av_klimat*VLOOKUP($A392,Leveranser_per_nät,'Leveranser per nät'!Q$1,FALSE)
               +Andel_beroende_av_klimat*VLOOKUP($A392,Leveranser_per_nät,'Leveranser per nät'!Q$1,FALSE)/VLOOKUP($B392,Korrigeringsfaktor_EI,'Korrigeringsfaktor EI'!Q$1,FALSE),
"")</f>
        <v>607.93312110091733</v>
      </c>
      <c r="R392" s="18">
        <f>IFERROR(
                  Andel_oberoende_av_klimat*VLOOKUP($A392,Leveranser_per_nät,'Leveranser per nät'!R$1,FALSE)
               +Andel_beroende_av_klimat*VLOOKUP($A392,Leveranser_per_nät,'Leveranser per nät'!R$1,FALSE)/VLOOKUP($B392,Korrigeringsfaktor_EI,'Korrigeringsfaktor EI'!R$1,FALSE),
"")</f>
        <v>792.17943820224718</v>
      </c>
      <c r="S392" s="18">
        <f>IFERROR(
                  Andel_oberoende_av_klimat*VLOOKUP($A392,Leveranser_per_nät,'Leveranser per nät'!S$1,FALSE)
               +Andel_beroende_av_klimat*VLOOKUP($A392,Leveranser_per_nät,'Leveranser per nät'!S$1,FALSE)/VLOOKUP($B392,Korrigeringsfaktor_EI,'Korrigeringsfaktor EI'!S$1,FALSE),
"")</f>
        <v>665.47285714285715</v>
      </c>
      <c r="T392" s="18">
        <f>IFERROR(
                  Andel_oberoende_av_klimat*VLOOKUP($A392,Leveranser_per_nät,'Leveranser per nät'!T$1,FALSE)
               +Andel_beroende_av_klimat*VLOOKUP($A392,Leveranser_per_nät,'Leveranser per nät'!T$1,FALSE)/VLOOKUP($B392,Korrigeringsfaktor_EI,'Korrigeringsfaktor EI'!T$1,FALSE),
"")</f>
        <v>683.09040752688168</v>
      </c>
      <c r="U392" s="18">
        <f>IFERROR(
                  Andel_oberoende_av_klimat*VLOOKUP($A392,Leveranser_per_nät,'Leveranser per nät'!U$1,FALSE)
               +Andel_beroende_av_klimat*VLOOKUP($A392,Leveranser_per_nät,'Leveranser per nät'!U$1,FALSE)/VLOOKUP($B392,Korrigeringsfaktor_EI,'Korrigeringsfaktor EI'!U$1,FALSE),
"")</f>
        <v>561.42045454545462</v>
      </c>
      <c r="V392" s="18">
        <f>IFERROR(
                  Andel_oberoende_av_klimat*VLOOKUP($A392,Leveranser_per_nät,'Leveranser per nät'!V$1,FALSE)
               +Andel_beroende_av_klimat*VLOOKUP($A392,Leveranser_per_nät,'Leveranser per nät'!V$1,FALSE)/VLOOKUP($B392,Korrigeringsfaktor_EI,'Korrigeringsfaktor EI'!V$1,FALSE),
"")</f>
        <v>562.9482853932584</v>
      </c>
      <c r="W392" s="18">
        <f>IFERROR(
                  Andel_oberoende_av_klimat*VLOOKUP($A392,Leveranser_per_nät,'Leveranser per nät'!W$1,FALSE)
               +Andel_beroende_av_klimat*VLOOKUP($A392,Leveranser_per_nät,'Leveranser per nät'!W$1,FALSE)/VLOOKUP($B392,Korrigeringsfaktor_EI,'Korrigeringsfaktor EI'!W$1,FALSE),
"")</f>
        <v>569.47272043010753</v>
      </c>
      <c r="X392" s="18">
        <f>IFERROR(
                  Andel_oberoende_av_klimat*VLOOKUP($A392,Leveranser_per_nät,'Leveranser per nät'!X$1,FALSE)
               +Andel_beroende_av_klimat*VLOOKUP($A392,Leveranser_per_nät,'Leveranser per nät'!X$1,FALSE)/VLOOKUP($B392,Korrigeringsfaktor_EI,'Korrigeringsfaktor EI'!X$1,FALSE),
"")</f>
        <v>566.40413440860209</v>
      </c>
      <c r="Y392" s="18">
        <f>IFERROR(
                  Andel_oberoende_av_klimat*VLOOKUP($A392,Leveranser_per_nät,'Leveranser per nät'!Y$1,FALSE)
               +Andel_beroende_av_klimat*VLOOKUP($A392,Leveranser_per_nät,'Leveranser per nät'!Y$1,FALSE)/VLOOKUP($B392,Korrigeringsfaktor_EI,'Korrigeringsfaktor EI'!Y$1,FALSE),
"")</f>
        <v>589.48278260869552</v>
      </c>
      <c r="Z392" s="18">
        <f>IFERROR(
                  Andel_oberoende_av_klimat*VLOOKUP($A392,Leveranser_per_nät,'Leveranser per nät'!Z$1,FALSE)
               +Andel_beroende_av_klimat*VLOOKUP($A392,Leveranser_per_nät,'Leveranser per nät'!Z$1,FALSE)/VLOOKUP($B392,Korrigeringsfaktor_EI,'Korrigeringsfaktor EI'!Z$1,FALSE),
"")</f>
        <v>580.4781217391303</v>
      </c>
      <c r="AA392" s="18">
        <f>IFERROR(
                  Andel_oberoende_av_klimat*VLOOKUP($A392,Leveranser_per_nät,'Leveranser per nät'!AA$1,FALSE)
               +Andel_beroende_av_klimat*VLOOKUP($A392,Leveranser_per_nät,'Leveranser per nät'!AA$1,FALSE)/VLOOKUP($B392,Korrigeringsfaktor_EI,'Korrigeringsfaktor EI'!AA$1,FALSE),
"")</f>
        <v>545.03449157028467</v>
      </c>
      <c r="AB392" s="18">
        <f>IFERROR(
                  Andel_oberoende_av_klimat*VLOOKUP($A392,Leveranser_per_nät,'Leveranser per nät'!AB$1,FALSE)
               +Andel_beroende_av_klimat*VLOOKUP($A392,Leveranser_per_nät,'Leveranser per nät'!AB$1,FALSE)/VLOOKUP($B392,Korrigeringsfaktor_EI,'Korrigeringsfaktor EI'!AB$1,FALSE),
"")</f>
        <v>564.24200804369411</v>
      </c>
      <c r="AC392" s="18">
        <f>IFERROR(
                  Andel_oberoende_av_klimat*VLOOKUP($A392,Leveranser_per_nät,'Leveranser per nät'!AC$1,FALSE)
               +Andel_beroende_av_klimat*VLOOKUP($A392,Leveranser_per_nät,'Leveranser per nät'!AC$1,FALSE)/VLOOKUP($B392,Korrigeringsfaktor_EI,'Korrigeringsfaktor EI'!AC$1,FALSE),
"")</f>
        <v>534.39554295833341</v>
      </c>
      <c r="AD392">
        <v>513.26678000000004</v>
      </c>
    </row>
    <row r="393" spans="1:30" x14ac:dyDescent="0.25">
      <c r="A393" t="s">
        <v>236</v>
      </c>
      <c r="B393" t="s">
        <v>236</v>
      </c>
      <c r="C393" s="18">
        <f>IFERROR(
                  Andel_oberoende_av_klimat*VLOOKUP($A393,Leveranser_per_nät,'Leveranser per nät'!C$1,FALSE)
               +Andel_beroende_av_klimat*VLOOKUP($A393,Leveranser_per_nät,'Leveranser per nät'!C$1,FALSE)/VLOOKUP($B393,Korrigeringsfaktor_EI,'Korrigeringsfaktor EI'!C$1,FALSE),
"")</f>
        <v>0</v>
      </c>
      <c r="D393" s="18">
        <f>IFERROR(
                  Andel_oberoende_av_klimat*VLOOKUP($A393,Leveranser_per_nät,'Leveranser per nät'!D$1,FALSE)
               +Andel_beroende_av_klimat*VLOOKUP($A393,Leveranser_per_nät,'Leveranser per nät'!D$1,FALSE)/VLOOKUP($B393,Korrigeringsfaktor_EI,'Korrigeringsfaktor EI'!D$1,FALSE),
"")</f>
        <v>0</v>
      </c>
      <c r="E393" s="18">
        <f>IFERROR(
                  Andel_oberoende_av_klimat*VLOOKUP($A393,Leveranser_per_nät,'Leveranser per nät'!E$1,FALSE)
               +Andel_beroende_av_klimat*VLOOKUP($A393,Leveranser_per_nät,'Leveranser per nät'!E$1,FALSE)/VLOOKUP($B393,Korrigeringsfaktor_EI,'Korrigeringsfaktor EI'!E$1,FALSE),
"")</f>
        <v>0</v>
      </c>
      <c r="F393" s="18">
        <f>IFERROR(
                  Andel_oberoende_av_klimat*VLOOKUP($A393,Leveranser_per_nät,'Leveranser per nät'!F$1,FALSE)
               +Andel_beroende_av_klimat*VLOOKUP($A393,Leveranser_per_nät,'Leveranser per nät'!F$1,FALSE)/VLOOKUP($B393,Korrigeringsfaktor_EI,'Korrigeringsfaktor EI'!F$1,FALSE),
"")</f>
        <v>0</v>
      </c>
      <c r="G393" s="18">
        <f>IFERROR(
                  Andel_oberoende_av_klimat*VLOOKUP($A393,Leveranser_per_nät,'Leveranser per nät'!G$1,FALSE)
               +Andel_beroende_av_klimat*VLOOKUP($A393,Leveranser_per_nät,'Leveranser per nät'!G$1,FALSE)/VLOOKUP($B393,Korrigeringsfaktor_EI,'Korrigeringsfaktor EI'!G$1,FALSE),
"")</f>
        <v>31.508988764044943</v>
      </c>
      <c r="H393" s="18">
        <f>IFERROR(
                  Andel_oberoende_av_klimat*VLOOKUP($A393,Leveranser_per_nät,'Leveranser per nät'!H$1,FALSE)
               +Andel_beroende_av_klimat*VLOOKUP($A393,Leveranser_per_nät,'Leveranser per nät'!H$1,FALSE)/VLOOKUP($B393,Korrigeringsfaktor_EI,'Korrigeringsfaktor EI'!H$1,FALSE),
"")</f>
        <v>30.288613861386139</v>
      </c>
      <c r="I393" s="18">
        <f>IFERROR(
                  Andel_oberoende_av_klimat*VLOOKUP($A393,Leveranser_per_nät,'Leveranser per nät'!I$1,FALSE)
               +Andel_beroende_av_klimat*VLOOKUP($A393,Leveranser_per_nät,'Leveranser per nät'!I$1,FALSE)/VLOOKUP($B393,Korrigeringsfaktor_EI,'Korrigeringsfaktor EI'!I$1,FALSE),
"")</f>
        <v>32.692783505154637</v>
      </c>
      <c r="J393" s="18">
        <f>IFERROR(
                  Andel_oberoende_av_klimat*VLOOKUP($A393,Leveranser_per_nät,'Leveranser per nät'!J$1,FALSE)
               +Andel_beroende_av_klimat*VLOOKUP($A393,Leveranser_per_nät,'Leveranser per nät'!J$1,FALSE)/VLOOKUP($B393,Korrigeringsfaktor_EI,'Korrigeringsfaktor EI'!J$1,FALSE),
"")</f>
        <v>34.920654166666665</v>
      </c>
      <c r="K393" s="18">
        <f>IFERROR(
                  Andel_oberoende_av_klimat*VLOOKUP($A393,Leveranser_per_nät,'Leveranser per nät'!K$1,FALSE)
               +Andel_beroende_av_klimat*VLOOKUP($A393,Leveranser_per_nät,'Leveranser per nät'!K$1,FALSE)/VLOOKUP($B393,Korrigeringsfaktor_EI,'Korrigeringsfaktor EI'!K$1,FALSE),
"")</f>
        <v>34.13025416666666</v>
      </c>
      <c r="L393" s="18">
        <f>IFERROR(
                  Andel_oberoende_av_klimat*VLOOKUP($A393,Leveranser_per_nät,'Leveranser per nät'!L$1,FALSE)
               +Andel_beroende_av_klimat*VLOOKUP($A393,Leveranser_per_nät,'Leveranser per nät'!L$1,FALSE)/VLOOKUP($B393,Korrigeringsfaktor_EI,'Korrigeringsfaktor EI'!L$1,FALSE),
"")</f>
        <v>32.625982608695651</v>
      </c>
      <c r="M393" s="18">
        <f>IFERROR(
                  Andel_oberoende_av_klimat*VLOOKUP($A393,Leveranser_per_nät,'Leveranser per nät'!M$1,FALSE)
               +Andel_beroende_av_klimat*VLOOKUP($A393,Leveranser_per_nät,'Leveranser per nät'!M$1,FALSE)/VLOOKUP($B393,Korrigeringsfaktor_EI,'Korrigeringsfaktor EI'!M$1,FALSE),
"")</f>
        <v>34.643076923076919</v>
      </c>
      <c r="N393" s="18">
        <f>IFERROR(
                  Andel_oberoende_av_klimat*VLOOKUP($A393,Leveranser_per_nät,'Leveranser per nät'!N$1,FALSE)
               +Andel_beroende_av_klimat*VLOOKUP($A393,Leveranser_per_nät,'Leveranser per nät'!N$1,FALSE)/VLOOKUP($B393,Korrigeringsfaktor_EI,'Korrigeringsfaktor EI'!N$1,FALSE),
"")</f>
        <v>32.611130434782609</v>
      </c>
      <c r="O393" s="18">
        <f>IFERROR(
                  Andel_oberoende_av_klimat*VLOOKUP($A393,Leveranser_per_nät,'Leveranser per nät'!O$1,FALSE)
               +Andel_beroende_av_klimat*VLOOKUP($A393,Leveranser_per_nät,'Leveranser per nät'!O$1,FALSE)/VLOOKUP($B393,Korrigeringsfaktor_EI,'Korrigeringsfaktor EI'!O$1,FALSE),
"")</f>
        <v>35.418579999999999</v>
      </c>
      <c r="P393" s="18">
        <f>IFERROR(
                  Andel_oberoende_av_klimat*VLOOKUP($A393,Leveranser_per_nät,'Leveranser per nät'!P$1,FALSE)
               +Andel_beroende_av_klimat*VLOOKUP($A393,Leveranser_per_nät,'Leveranser per nät'!P$1,FALSE)/VLOOKUP($B393,Korrigeringsfaktor_EI,'Korrigeringsfaktor EI'!P$1,FALSE),
"")</f>
        <v>36.13507083333333</v>
      </c>
      <c r="Q393" s="18">
        <f>IFERROR(
                  Andel_oberoende_av_klimat*VLOOKUP($A393,Leveranser_per_nät,'Leveranser per nät'!Q$1,FALSE)
               +Andel_beroende_av_klimat*VLOOKUP($A393,Leveranser_per_nät,'Leveranser per nät'!Q$1,FALSE)/VLOOKUP($B393,Korrigeringsfaktor_EI,'Korrigeringsfaktor EI'!Q$1,FALSE),
"")</f>
        <v>38.581839823008849</v>
      </c>
      <c r="R393" s="18">
        <f>IFERROR(
                  Andel_oberoende_av_klimat*VLOOKUP($A393,Leveranser_per_nät,'Leveranser per nät'!R$1,FALSE)
               +Andel_beroende_av_klimat*VLOOKUP($A393,Leveranser_per_nät,'Leveranser per nät'!R$1,FALSE)/VLOOKUP($B393,Korrigeringsfaktor_EI,'Korrigeringsfaktor EI'!R$1,FALSE),
"")</f>
        <v>35.462107692307683</v>
      </c>
      <c r="S393" s="18">
        <f>IFERROR(
                  Andel_oberoende_av_klimat*VLOOKUP($A393,Leveranser_per_nät,'Leveranser per nät'!S$1,FALSE)
               +Andel_beroende_av_klimat*VLOOKUP($A393,Leveranser_per_nät,'Leveranser per nät'!S$1,FALSE)/VLOOKUP($B393,Korrigeringsfaktor_EI,'Korrigeringsfaktor EI'!S$1,FALSE),
"")</f>
        <v>35.247474747474747</v>
      </c>
      <c r="T393" s="18">
        <f>IFERROR(
                  Andel_oberoende_av_klimat*VLOOKUP($A393,Leveranser_per_nät,'Leveranser per nät'!T$1,FALSE)
               +Andel_beroende_av_klimat*VLOOKUP($A393,Leveranser_per_nät,'Leveranser per nät'!T$1,FALSE)/VLOOKUP($B393,Korrigeringsfaktor_EI,'Korrigeringsfaktor EI'!T$1,FALSE),
"")</f>
        <v>35.876750000000001</v>
      </c>
      <c r="U393" s="18">
        <f>IFERROR(
                  Andel_oberoende_av_klimat*VLOOKUP($A393,Leveranser_per_nät,'Leveranser per nät'!U$1,FALSE)
               +Andel_beroende_av_klimat*VLOOKUP($A393,Leveranser_per_nät,'Leveranser per nät'!U$1,FALSE)/VLOOKUP($B393,Korrigeringsfaktor_EI,'Korrigeringsfaktor EI'!U$1,FALSE),
"")</f>
        <v>35.236390909090908</v>
      </c>
      <c r="V393" s="18">
        <f>IFERROR(
                  Andel_oberoende_av_klimat*VLOOKUP($A393,Leveranser_per_nät,'Leveranser per nät'!V$1,FALSE)
               +Andel_beroende_av_klimat*VLOOKUP($A393,Leveranser_per_nät,'Leveranser per nät'!V$1,FALSE)/VLOOKUP($B393,Korrigeringsfaktor_EI,'Korrigeringsfaktor EI'!V$1,FALSE),
"")</f>
        <v>35.485833333333332</v>
      </c>
      <c r="W393" s="18">
        <f>IFERROR(
                  Andel_oberoende_av_klimat*VLOOKUP($A393,Leveranser_per_nät,'Leveranser per nät'!W$1,FALSE)
               +Andel_beroende_av_klimat*VLOOKUP($A393,Leveranser_per_nät,'Leveranser per nät'!W$1,FALSE)/VLOOKUP($B393,Korrigeringsfaktor_EI,'Korrigeringsfaktor EI'!W$1,FALSE),
"")</f>
        <v>38.026382978723404</v>
      </c>
      <c r="X393" s="18">
        <f>IFERROR(
                  Andel_oberoende_av_klimat*VLOOKUP($A393,Leveranser_per_nät,'Leveranser per nät'!X$1,FALSE)
               +Andel_beroende_av_klimat*VLOOKUP($A393,Leveranser_per_nät,'Leveranser per nät'!X$1,FALSE)/VLOOKUP($B393,Korrigeringsfaktor_EI,'Korrigeringsfaktor EI'!X$1,FALSE),
"")</f>
        <v>37.015263157894744</v>
      </c>
      <c r="Y393" s="18">
        <f>IFERROR(
                  Andel_oberoende_av_klimat*VLOOKUP($A393,Leveranser_per_nät,'Leveranser per nät'!Y$1,FALSE)
               +Andel_beroende_av_klimat*VLOOKUP($A393,Leveranser_per_nät,'Leveranser per nät'!Y$1,FALSE)/VLOOKUP($B393,Korrigeringsfaktor_EI,'Korrigeringsfaktor EI'!Y$1,FALSE),
"")</f>
        <v>37.74384615384615</v>
      </c>
      <c r="Z393" s="18">
        <f>IFERROR(
                  Andel_oberoende_av_klimat*VLOOKUP($A393,Leveranser_per_nät,'Leveranser per nät'!Z$1,FALSE)
               +Andel_beroende_av_klimat*VLOOKUP($A393,Leveranser_per_nät,'Leveranser per nät'!Z$1,FALSE)/VLOOKUP($B393,Korrigeringsfaktor_EI,'Korrigeringsfaktor EI'!Z$1,FALSE),
"")</f>
        <v>35.751304347826093</v>
      </c>
      <c r="AA393" s="18">
        <f>IFERROR(
                  Andel_oberoende_av_klimat*VLOOKUP($A393,Leveranser_per_nät,'Leveranser per nät'!AA$1,FALSE)
               +Andel_beroende_av_klimat*VLOOKUP($A393,Leveranser_per_nät,'Leveranser per nät'!AA$1,FALSE)/VLOOKUP($B393,Korrigeringsfaktor_EI,'Korrigeringsfaktor EI'!AA$1,FALSE),
"")</f>
        <v>33.360565489721886</v>
      </c>
      <c r="AB393" s="18">
        <f>IFERROR(
                  Andel_oberoende_av_klimat*VLOOKUP($A393,Leveranser_per_nät,'Leveranser per nät'!AB$1,FALSE)
               +Andel_beroende_av_klimat*VLOOKUP($A393,Leveranser_per_nät,'Leveranser per nät'!AB$1,FALSE)/VLOOKUP($B393,Korrigeringsfaktor_EI,'Korrigeringsfaktor EI'!AB$1,FALSE),
"")</f>
        <v>35.925529083665339</v>
      </c>
      <c r="AC393" s="18">
        <f>IFERROR(
                  Andel_oberoende_av_klimat*VLOOKUP($A393,Leveranser_per_nät,'Leveranser per nät'!AC$1,FALSE)
               +Andel_beroende_av_klimat*VLOOKUP($A393,Leveranser_per_nät,'Leveranser per nät'!AC$1,FALSE)/VLOOKUP($B393,Korrigeringsfaktor_EI,'Korrigeringsfaktor EI'!AC$1,FALSE),
"")</f>
        <v>34.685315727948989</v>
      </c>
      <c r="AD393">
        <v>33.226999999999997</v>
      </c>
    </row>
    <row r="394" spans="1:30" x14ac:dyDescent="0.25">
      <c r="A394" t="s">
        <v>712</v>
      </c>
      <c r="B394" t="s">
        <v>520</v>
      </c>
      <c r="C394" s="18">
        <f>IFERROR(
                  Andel_oberoende_av_klimat*VLOOKUP($A394,Leveranser_per_nät,'Leveranser per nät'!C$1,FALSE)
               +Andel_beroende_av_klimat*VLOOKUP($A394,Leveranser_per_nät,'Leveranser per nät'!C$1,FALSE)/VLOOKUP($B394,Korrigeringsfaktor_EI,'Korrigeringsfaktor EI'!C$1,FALSE),
"")</f>
        <v>0</v>
      </c>
      <c r="D394" s="18">
        <f>IFERROR(
                  Andel_oberoende_av_klimat*VLOOKUP($A394,Leveranser_per_nät,'Leveranser per nät'!D$1,FALSE)
               +Andel_beroende_av_klimat*VLOOKUP($A394,Leveranser_per_nät,'Leveranser per nät'!D$1,FALSE)/VLOOKUP($B394,Korrigeringsfaktor_EI,'Korrigeringsfaktor EI'!D$1,FALSE),
"")</f>
        <v>0</v>
      </c>
      <c r="E394" s="18">
        <f>IFERROR(
                  Andel_oberoende_av_klimat*VLOOKUP($A394,Leveranser_per_nät,'Leveranser per nät'!E$1,FALSE)
               +Andel_beroende_av_klimat*VLOOKUP($A394,Leveranser_per_nät,'Leveranser per nät'!E$1,FALSE)/VLOOKUP($B394,Korrigeringsfaktor_EI,'Korrigeringsfaktor EI'!E$1,FALSE),
"")</f>
        <v>0</v>
      </c>
      <c r="F394" s="18">
        <f>IFERROR(
                  Andel_oberoende_av_klimat*VLOOKUP($A394,Leveranser_per_nät,'Leveranser per nät'!F$1,FALSE)
               +Andel_beroende_av_klimat*VLOOKUP($A394,Leveranser_per_nät,'Leveranser per nät'!F$1,FALSE)/VLOOKUP($B394,Korrigeringsfaktor_EI,'Korrigeringsfaktor EI'!F$1,FALSE),
"")</f>
        <v>0</v>
      </c>
      <c r="G394" s="18">
        <f>IFERROR(
                  Andel_oberoende_av_klimat*VLOOKUP($A394,Leveranser_per_nät,'Leveranser per nät'!G$1,FALSE)
               +Andel_beroende_av_klimat*VLOOKUP($A394,Leveranser_per_nät,'Leveranser per nät'!G$1,FALSE)/VLOOKUP($B394,Korrigeringsfaktor_EI,'Korrigeringsfaktor EI'!G$1,FALSE),
"")</f>
        <v>0</v>
      </c>
      <c r="H394" s="18">
        <f>IFERROR(
                  Andel_oberoende_av_klimat*VLOOKUP($A394,Leveranser_per_nät,'Leveranser per nät'!H$1,FALSE)
               +Andel_beroende_av_klimat*VLOOKUP($A394,Leveranser_per_nät,'Leveranser per nät'!H$1,FALSE)/VLOOKUP($B394,Korrigeringsfaktor_EI,'Korrigeringsfaktor EI'!H$1,FALSE),
"")</f>
        <v>0</v>
      </c>
      <c r="I394" s="18">
        <f>IFERROR(
                  Andel_oberoende_av_klimat*VLOOKUP($A394,Leveranser_per_nät,'Leveranser per nät'!I$1,FALSE)
               +Andel_beroende_av_klimat*VLOOKUP($A394,Leveranser_per_nät,'Leveranser per nät'!I$1,FALSE)/VLOOKUP($B394,Korrigeringsfaktor_EI,'Korrigeringsfaktor EI'!I$1,FALSE),
"")</f>
        <v>0</v>
      </c>
      <c r="J394" s="18">
        <f>IFERROR(
                  Andel_oberoende_av_klimat*VLOOKUP($A394,Leveranser_per_nät,'Leveranser per nät'!J$1,FALSE)
               +Andel_beroende_av_klimat*VLOOKUP($A394,Leveranser_per_nät,'Leveranser per nät'!J$1,FALSE)/VLOOKUP($B394,Korrigeringsfaktor_EI,'Korrigeringsfaktor EI'!J$1,FALSE),
"")</f>
        <v>0</v>
      </c>
      <c r="K394" s="18">
        <f>IFERROR(
                  Andel_oberoende_av_klimat*VLOOKUP($A394,Leveranser_per_nät,'Leveranser per nät'!K$1,FALSE)
               +Andel_beroende_av_klimat*VLOOKUP($A394,Leveranser_per_nät,'Leveranser per nät'!K$1,FALSE)/VLOOKUP($B394,Korrigeringsfaktor_EI,'Korrigeringsfaktor EI'!K$1,FALSE),
"")</f>
        <v>0</v>
      </c>
      <c r="L394" s="18">
        <f>IFERROR(
                  Andel_oberoende_av_klimat*VLOOKUP($A394,Leveranser_per_nät,'Leveranser per nät'!L$1,FALSE)
               +Andel_beroende_av_klimat*VLOOKUP($A394,Leveranser_per_nät,'Leveranser per nät'!L$1,FALSE)/VLOOKUP($B394,Korrigeringsfaktor_EI,'Korrigeringsfaktor EI'!L$1,FALSE),
"")</f>
        <v>0</v>
      </c>
      <c r="M394" s="18">
        <f>IFERROR(
                  Andel_oberoende_av_klimat*VLOOKUP($A394,Leveranser_per_nät,'Leveranser per nät'!M$1,FALSE)
               +Andel_beroende_av_klimat*VLOOKUP($A394,Leveranser_per_nät,'Leveranser per nät'!M$1,FALSE)/VLOOKUP($B394,Korrigeringsfaktor_EI,'Korrigeringsfaktor EI'!M$1,FALSE),
"")</f>
        <v>0</v>
      </c>
      <c r="N394" s="18">
        <f>IFERROR(
                  Andel_oberoende_av_klimat*VLOOKUP($A394,Leveranser_per_nät,'Leveranser per nät'!N$1,FALSE)
               +Andel_beroende_av_klimat*VLOOKUP($A394,Leveranser_per_nät,'Leveranser per nät'!N$1,FALSE)/VLOOKUP($B394,Korrigeringsfaktor_EI,'Korrigeringsfaktor EI'!N$1,FALSE),
"")</f>
        <v>0</v>
      </c>
      <c r="O394" s="18">
        <f>IFERROR(
                  Andel_oberoende_av_klimat*VLOOKUP($A394,Leveranser_per_nät,'Leveranser per nät'!O$1,FALSE)
               +Andel_beroende_av_klimat*VLOOKUP($A394,Leveranser_per_nät,'Leveranser per nät'!O$1,FALSE)/VLOOKUP($B394,Korrigeringsfaktor_EI,'Korrigeringsfaktor EI'!O$1,FALSE),
"")</f>
        <v>0</v>
      </c>
      <c r="P394" s="18">
        <f>IFERROR(
                  Andel_oberoende_av_klimat*VLOOKUP($A394,Leveranser_per_nät,'Leveranser per nät'!P$1,FALSE)
               +Andel_beroende_av_klimat*VLOOKUP($A394,Leveranser_per_nät,'Leveranser per nät'!P$1,FALSE)/VLOOKUP($B394,Korrigeringsfaktor_EI,'Korrigeringsfaktor EI'!P$1,FALSE),
"")</f>
        <v>0</v>
      </c>
      <c r="Q394" s="18">
        <f>IFERROR(
                  Andel_oberoende_av_klimat*VLOOKUP($A394,Leveranser_per_nät,'Leveranser per nät'!Q$1,FALSE)
               +Andel_beroende_av_klimat*VLOOKUP($A394,Leveranser_per_nät,'Leveranser per nät'!Q$1,FALSE)/VLOOKUP($B394,Korrigeringsfaktor_EI,'Korrigeringsfaktor EI'!Q$1,FALSE),
"")</f>
        <v>0</v>
      </c>
      <c r="R394" s="18">
        <f>IFERROR(
                  Andel_oberoende_av_klimat*VLOOKUP($A394,Leveranser_per_nät,'Leveranser per nät'!R$1,FALSE)
               +Andel_beroende_av_klimat*VLOOKUP($A394,Leveranser_per_nät,'Leveranser per nät'!R$1,FALSE)/VLOOKUP($B394,Korrigeringsfaktor_EI,'Korrigeringsfaktor EI'!R$1,FALSE),
"")</f>
        <v>0</v>
      </c>
      <c r="S394" s="18" t="str">
        <f>IFERROR(
                  Andel_oberoende_av_klimat*VLOOKUP($A394,Leveranser_per_nät,'Leveranser per nät'!S$1,FALSE)
               +Andel_beroende_av_klimat*VLOOKUP($A394,Leveranser_per_nät,'Leveranser per nät'!S$1,FALSE)/VLOOKUP($B394,Korrigeringsfaktor_EI,'Korrigeringsfaktor EI'!S$1,FALSE),
"")</f>
        <v/>
      </c>
      <c r="T394" s="18">
        <f>IFERROR(
                  Andel_oberoende_av_klimat*VLOOKUP($A394,Leveranser_per_nät,'Leveranser per nät'!T$1,FALSE)
               +Andel_beroende_av_klimat*VLOOKUP($A394,Leveranser_per_nät,'Leveranser per nät'!T$1,FALSE)/VLOOKUP($B394,Korrigeringsfaktor_EI,'Korrigeringsfaktor EI'!T$1,FALSE),
"")</f>
        <v>0.23979583333333335</v>
      </c>
      <c r="U394" s="18">
        <f>IFERROR(
                  Andel_oberoende_av_klimat*VLOOKUP($A394,Leveranser_per_nät,'Leveranser per nät'!U$1,FALSE)
               +Andel_beroende_av_klimat*VLOOKUP($A394,Leveranser_per_nät,'Leveranser per nät'!U$1,FALSE)/VLOOKUP($B394,Korrigeringsfaktor_EI,'Korrigeringsfaktor EI'!U$1,FALSE),
"")</f>
        <v>0.25847586206896556</v>
      </c>
      <c r="V394" s="18">
        <f>IFERROR(
                  Andel_oberoende_av_klimat*VLOOKUP($A394,Leveranser_per_nät,'Leveranser per nät'!V$1,FALSE)
               +Andel_beroende_av_klimat*VLOOKUP($A394,Leveranser_per_nät,'Leveranser per nät'!V$1,FALSE)/VLOOKUP($B394,Korrigeringsfaktor_EI,'Korrigeringsfaktor EI'!V$1,FALSE),
"")</f>
        <v>0.24913076923076924</v>
      </c>
      <c r="W394" s="18">
        <f>IFERROR(
                  Andel_oberoende_av_klimat*VLOOKUP($A394,Leveranser_per_nät,'Leveranser per nät'!W$1,FALSE)
               +Andel_beroende_av_klimat*VLOOKUP($A394,Leveranser_per_nät,'Leveranser per nät'!W$1,FALSE)/VLOOKUP($B394,Korrigeringsfaktor_EI,'Korrigeringsfaktor EI'!W$1,FALSE),
"")</f>
        <v>0.25713684210526316</v>
      </c>
      <c r="X394" s="18">
        <f>IFERROR(
                  Andel_oberoende_av_klimat*VLOOKUP($A394,Leveranser_per_nät,'Leveranser per nät'!X$1,FALSE)
               +Andel_beroende_av_klimat*VLOOKUP($A394,Leveranser_per_nät,'Leveranser per nät'!X$1,FALSE)/VLOOKUP($B394,Korrigeringsfaktor_EI,'Korrigeringsfaktor EI'!X$1,FALSE),
"")</f>
        <v>0.26449583333333337</v>
      </c>
      <c r="Y394" s="18">
        <f>IFERROR(
                  Andel_oberoende_av_klimat*VLOOKUP($A394,Leveranser_per_nät,'Leveranser per nät'!Y$1,FALSE)
               +Andel_beroende_av_klimat*VLOOKUP($A394,Leveranser_per_nät,'Leveranser per nät'!Y$1,FALSE)/VLOOKUP($B394,Korrigeringsfaktor_EI,'Korrigeringsfaktor EI'!Y$1,FALSE),
"")</f>
        <v>0.26946086956521742</v>
      </c>
      <c r="Z394" s="18">
        <f>IFERROR(
                  Andel_oberoende_av_klimat*VLOOKUP($A394,Leveranser_per_nät,'Leveranser per nät'!Z$1,FALSE)
               +Andel_beroende_av_klimat*VLOOKUP($A394,Leveranser_per_nät,'Leveranser per nät'!Z$1,FALSE)/VLOOKUP($B394,Korrigeringsfaktor_EI,'Korrigeringsfaktor EI'!Z$1,FALSE),
"")</f>
        <v>0.28633118279569897</v>
      </c>
      <c r="AA394" s="18">
        <f>IFERROR(
                  Andel_oberoende_av_klimat*VLOOKUP($A394,Leveranser_per_nät,'Leveranser per nät'!AA$1,FALSE)
               +Andel_beroende_av_klimat*VLOOKUP($A394,Leveranser_per_nät,'Leveranser per nät'!AA$1,FALSE)/VLOOKUP($B394,Korrigeringsfaktor_EI,'Korrigeringsfaktor EI'!AA$1,FALSE),
"")</f>
        <v>0.28145395799676898</v>
      </c>
      <c r="AB394" s="18">
        <f>IFERROR(
                  Andel_oberoende_av_klimat*VLOOKUP($A394,Leveranser_per_nät,'Leveranser per nät'!AB$1,FALSE)
               +Andel_beroende_av_klimat*VLOOKUP($A394,Leveranser_per_nät,'Leveranser per nät'!AB$1,FALSE)/VLOOKUP($B394,Korrigeringsfaktor_EI,'Korrigeringsfaktor EI'!AB$1,FALSE),
"")</f>
        <v>0.30267705242334325</v>
      </c>
      <c r="AC394" s="18">
        <f>IFERROR(
                  Andel_oberoende_av_klimat*VLOOKUP($A394,Leveranser_per_nät,'Leveranser per nät'!AC$1,FALSE)
               +Andel_beroende_av_klimat*VLOOKUP($A394,Leveranser_per_nät,'Leveranser per nät'!AC$1,FALSE)/VLOOKUP($B394,Korrigeringsfaktor_EI,'Korrigeringsfaktor EI'!AC$1,FALSE),
"")</f>
        <v>0.27475555555555559</v>
      </c>
      <c r="AD394">
        <v>48.96</v>
      </c>
    </row>
    <row r="395" spans="1:30" x14ac:dyDescent="0.25">
      <c r="A395" t="s">
        <v>296</v>
      </c>
      <c r="B395" t="s">
        <v>296</v>
      </c>
      <c r="C395" s="18">
        <f>IFERROR(
                  Andel_oberoende_av_klimat*VLOOKUP($A395,Leveranser_per_nät,'Leveranser per nät'!C$1,FALSE)
               +Andel_beroende_av_klimat*VLOOKUP($A395,Leveranser_per_nät,'Leveranser per nät'!C$1,FALSE)/VLOOKUP("Västerås",Korrigeringsfaktor_EI,'Korrigeringsfaktor EI'!C$1,FALSE),
"")</f>
        <v>42.666666666666664</v>
      </c>
      <c r="D395" s="18">
        <f>IFERROR(
                  Andel_oberoende_av_klimat*VLOOKUP($A395,Leveranser_per_nät,'Leveranser per nät'!D$1,FALSE)
               +Andel_beroende_av_klimat*VLOOKUP($A395,Leveranser_per_nät,'Leveranser per nät'!D$1,FALSE)/VLOOKUP("Västerås",Korrigeringsfaktor_EI,'Korrigeringsfaktor EI'!D$1,FALSE),
"")</f>
        <v>40.165714285714287</v>
      </c>
      <c r="E395" s="18">
        <f>IFERROR(
                  Andel_oberoende_av_klimat*VLOOKUP($A395,Leveranser_per_nät,'Leveranser per nät'!E$1,FALSE)
               +Andel_beroende_av_klimat*VLOOKUP($A395,Leveranser_per_nät,'Leveranser per nät'!E$1,FALSE)/VLOOKUP("Västerås",Korrigeringsfaktor_EI,'Korrigeringsfaktor EI'!E$1,FALSE),
"")</f>
        <v>42.123300970873785</v>
      </c>
      <c r="F395" s="18">
        <f>IFERROR(
                  Andel_oberoende_av_klimat*VLOOKUP($A395,Leveranser_per_nät,'Leveranser per nät'!F$1,FALSE)
               +Andel_beroende_av_klimat*VLOOKUP($A395,Leveranser_per_nät,'Leveranser per nät'!F$1,FALSE)/VLOOKUP("Västerås",Korrigeringsfaktor_EI,'Korrigeringsfaktor EI'!F$1,FALSE),
"")</f>
        <v>44.584210526315786</v>
      </c>
      <c r="G395" s="18">
        <f>IFERROR(
                  Andel_oberoende_av_klimat*VLOOKUP($A395,Leveranser_per_nät,'Leveranser per nät'!G$1,FALSE)
               +Andel_beroende_av_klimat*VLOOKUP($A395,Leveranser_per_nät,'Leveranser per nät'!G$1,FALSE)/VLOOKUP("Västerås",Korrigeringsfaktor_EI,'Korrigeringsfaktor EI'!G$1,FALSE),
"")</f>
        <v>41.2876404494382</v>
      </c>
      <c r="H395" s="18">
        <f>IFERROR(
                  Andel_oberoende_av_klimat*VLOOKUP($A395,Leveranser_per_nät,'Leveranser per nät'!H$1,FALSE)
               +Andel_beroende_av_klimat*VLOOKUP($A395,Leveranser_per_nät,'Leveranser per nät'!H$1,FALSE)/VLOOKUP("Västerås",Korrigeringsfaktor_EI,'Korrigeringsfaktor EI'!H$1,FALSE),
"")</f>
        <v>44.31111111111111</v>
      </c>
      <c r="I395" s="18">
        <f>IFERROR(
                  Andel_oberoende_av_klimat*VLOOKUP($A395,Leveranser_per_nät,'Leveranser per nät'!I$1,FALSE)
               +Andel_beroende_av_klimat*VLOOKUP($A395,Leveranser_per_nät,'Leveranser per nät'!I$1,FALSE)/VLOOKUP("Västerås",Korrigeringsfaktor_EI,'Korrigeringsfaktor EI'!I$1,FALSE),
"")</f>
        <v>45.283333333333331</v>
      </c>
      <c r="J395" s="18">
        <f>IFERROR(
                  Andel_oberoende_av_klimat*VLOOKUP($A395,Leveranser_per_nät,'Leveranser per nät'!J$1,FALSE)
               +Andel_beroende_av_klimat*VLOOKUP($A395,Leveranser_per_nät,'Leveranser per nät'!J$1,FALSE)/VLOOKUP("Västerås",Korrigeringsfaktor_EI,'Korrigeringsfaktor EI'!J$1,FALSE),
"")</f>
        <v>47.671428571428571</v>
      </c>
      <c r="K395" s="18">
        <f>IFERROR(
                  Andel_oberoende_av_klimat*VLOOKUP($A395,Leveranser_per_nät,'Leveranser per nät'!K$1,FALSE)
               +Andel_beroende_av_klimat*VLOOKUP($A395,Leveranser_per_nät,'Leveranser per nät'!K$1,FALSE)/VLOOKUP("Västerås",Korrigeringsfaktor_EI,'Korrigeringsfaktor EI'!K$1,FALSE),
"")</f>
        <v>45.135714285714286</v>
      </c>
      <c r="L395" s="18">
        <f>IFERROR(
                  Andel_oberoende_av_klimat*VLOOKUP($A395,Leveranser_per_nät,'Leveranser per nät'!L$1,FALSE)
               +Andel_beroende_av_klimat*VLOOKUP($A395,Leveranser_per_nät,'Leveranser per nät'!L$1,FALSE)/VLOOKUP("Västerås",Korrigeringsfaktor_EI,'Korrigeringsfaktor EI'!L$1,FALSE),
"")</f>
        <v>45.548085106382985</v>
      </c>
      <c r="M395" s="18">
        <f>IFERROR(
                  Andel_oberoende_av_klimat*VLOOKUP($A395,Leveranser_per_nät,'Leveranser per nät'!M$1,FALSE)
               +Andel_beroende_av_klimat*VLOOKUP($A395,Leveranser_per_nät,'Leveranser per nät'!M$1,FALSE)/VLOOKUP("Västerås",Korrigeringsfaktor_EI,'Korrigeringsfaktor EI'!M$1,FALSE),
"")</f>
        <v>37.44869565217391</v>
      </c>
      <c r="N395" s="18">
        <f>IFERROR(
                  Andel_oberoende_av_klimat*VLOOKUP($A395,Leveranser_per_nät,'Leveranser per nät'!N$1,FALSE)
               +Andel_beroende_av_klimat*VLOOKUP($A395,Leveranser_per_nät,'Leveranser per nät'!N$1,FALSE)/VLOOKUP("Västerås",Korrigeringsfaktor_EI,'Korrigeringsfaktor EI'!N$1,FALSE),
"")</f>
        <v>39.093043478260867</v>
      </c>
      <c r="O395" s="18">
        <f>IFERROR(
                  Andel_oberoende_av_klimat*VLOOKUP($A395,Leveranser_per_nät,'Leveranser per nät'!O$1,FALSE)
               +Andel_beroende_av_klimat*VLOOKUP($A395,Leveranser_per_nät,'Leveranser per nät'!O$1,FALSE)/VLOOKUP("Västerås",Korrigeringsfaktor_EI,'Korrigeringsfaktor EI'!O$1,FALSE),
"")</f>
        <v>44.351617977528086</v>
      </c>
      <c r="P395" s="18">
        <f>IFERROR(
                  Andel_oberoende_av_klimat*VLOOKUP($A395,Leveranser_per_nät,'Leveranser per nät'!P$1,FALSE)
               +Andel_beroende_av_klimat*VLOOKUP($A395,Leveranser_per_nät,'Leveranser per nät'!P$1,FALSE)/VLOOKUP("Västerås",Korrigeringsfaktor_EI,'Korrigeringsfaktor EI'!P$1,FALSE),
"")</f>
        <v>46.3125</v>
      </c>
      <c r="Q395" s="18">
        <f>IFERROR(
                  Andel_oberoende_av_klimat*VLOOKUP($A395,Leveranser_per_nät,'Leveranser per nät'!Q$1,FALSE)
               +Andel_beroende_av_klimat*VLOOKUP($A395,Leveranser_per_nät,'Leveranser per nät'!Q$1,FALSE)/VLOOKUP("Västerås",Korrigeringsfaktor_EI,'Korrigeringsfaktor EI'!Q$1,FALSE),
"")</f>
        <v>41.624999999999993</v>
      </c>
      <c r="R395" s="18">
        <f>IFERROR(
                  Andel_oberoende_av_klimat*VLOOKUP($A395,Leveranser_per_nät,'Leveranser per nät'!R$1,FALSE)
               +Andel_beroende_av_klimat*VLOOKUP($A395,Leveranser_per_nät,'Leveranser per nät'!R$1,FALSE)/VLOOKUP("Västerås",Korrigeringsfaktor_EI,'Korrigeringsfaktor EI'!R$1,FALSE),
"")</f>
        <v>49.577777777777776</v>
      </c>
      <c r="S395" s="18">
        <f>IFERROR(
                  Andel_oberoende_av_klimat*VLOOKUP($A395,Leveranser_per_nät,'Leveranser per nät'!S$1,FALSE)
               +Andel_beroende_av_klimat*VLOOKUP($A395,Leveranser_per_nät,'Leveranser per nät'!S$1,FALSE)/VLOOKUP("Västerås",Korrigeringsfaktor_EI,'Korrigeringsfaktor EI'!S$1,FALSE),
"")</f>
        <v>39.275757575757574</v>
      </c>
      <c r="T395" s="18">
        <f>IFERROR(
                  Andel_oberoende_av_klimat*VLOOKUP($A395,Leveranser_per_nät,'Leveranser per nät'!T$1,FALSE)
               +Andel_beroende_av_klimat*VLOOKUP($A395,Leveranser_per_nät,'Leveranser per nät'!T$1,FALSE)/VLOOKUP("Västerås",Korrigeringsfaktor_EI,'Korrigeringsfaktor EI'!T$1,FALSE),
"")</f>
        <v>36.563829787234049</v>
      </c>
      <c r="U395" s="18">
        <f>IFERROR(
                  Andel_oberoende_av_klimat*VLOOKUP($A395,Leveranser_per_nät,'Leveranser per nät'!U$1,FALSE)
               +Andel_beroende_av_klimat*VLOOKUP($A395,Leveranser_per_nät,'Leveranser per nät'!U$1,FALSE)/VLOOKUP("Västerås",Korrigeringsfaktor_EI,'Korrigeringsfaktor EI'!U$1,FALSE),
"")</f>
        <v>43.65</v>
      </c>
      <c r="V395" s="18">
        <f>IFERROR(
                  Andel_oberoende_av_klimat*VLOOKUP($A395,Leveranser_per_nät,'Leveranser per nät'!V$1,FALSE)
               +Andel_beroende_av_klimat*VLOOKUP($A395,Leveranser_per_nät,'Leveranser per nät'!V$1,FALSE)/VLOOKUP("Västerås",Korrigeringsfaktor_EI,'Korrigeringsfaktor EI'!V$1,FALSE),
"")</f>
        <v>44.256363636363631</v>
      </c>
      <c r="W395" s="18">
        <f>IFERROR(
                  Andel_oberoende_av_klimat*VLOOKUP($A395,Leveranser_per_nät,'Leveranser per nät'!W$1,FALSE)
               +Andel_beroende_av_klimat*VLOOKUP($A395,Leveranser_per_nät,'Leveranser per nät'!W$1,FALSE)/VLOOKUP("Västerås",Korrigeringsfaktor_EI,'Korrigeringsfaktor EI'!W$1,FALSE),
"")</f>
        <v>29.042127659574469</v>
      </c>
      <c r="X395" s="18">
        <f>IFERROR(
                  Andel_oberoende_av_klimat*VLOOKUP($A395,Leveranser_per_nät,'Leveranser per nät'!X$1,FALSE)
               +Andel_beroende_av_klimat*VLOOKUP($A395,Leveranser_per_nät,'Leveranser per nät'!X$1,FALSE)/VLOOKUP("Västerås",Korrigeringsfaktor_EI,'Korrigeringsfaktor EI'!X$1,FALSE),
"")</f>
        <v>0</v>
      </c>
      <c r="Y395" s="18">
        <f>IFERROR(
                  Andel_oberoende_av_klimat*VLOOKUP($A395,Leveranser_per_nät,'Leveranser per nät'!Y$1,FALSE)
               +Andel_beroende_av_klimat*VLOOKUP($A395,Leveranser_per_nät,'Leveranser per nät'!Y$1,FALSE)/VLOOKUP($B395,Korrigeringsfaktor_EI,'Korrigeringsfaktor EI'!Y$1,FALSE),
"")</f>
        <v>0</v>
      </c>
      <c r="Z395" s="18">
        <f>IFERROR(
                  Andel_oberoende_av_klimat*VLOOKUP($A395,Leveranser_per_nät,'Leveranser per nät'!Z$1,FALSE)
               +Andel_beroende_av_klimat*VLOOKUP($A395,Leveranser_per_nät,'Leveranser per nät'!Z$1,FALSE)/VLOOKUP($B395,Korrigeringsfaktor_EI,'Korrigeringsfaktor EI'!Z$1,FALSE),
"")</f>
        <v>0</v>
      </c>
      <c r="AA395" s="18">
        <f>IFERROR(
                  Andel_oberoende_av_klimat*VLOOKUP($A395,Leveranser_per_nät,'Leveranser per nät'!AA$1,FALSE)
               +Andel_beroende_av_klimat*VLOOKUP($A395,Leveranser_per_nät,'Leveranser per nät'!AA$1,FALSE)/VLOOKUP($B395,Korrigeringsfaktor_EI,'Korrigeringsfaktor EI'!AA$1,FALSE),
"")</f>
        <v>0</v>
      </c>
      <c r="AB395" s="18">
        <f>IFERROR(
                  Andel_oberoende_av_klimat*VLOOKUP($A395,Leveranser_per_nät,'Leveranser per nät'!AB$1,FALSE)
               +Andel_beroende_av_klimat*VLOOKUP($A395,Leveranser_per_nät,'Leveranser per nät'!AB$1,FALSE)/VLOOKUP($B395,Korrigeringsfaktor_EI,'Korrigeringsfaktor EI'!AB$1,FALSE),
"")</f>
        <v>0</v>
      </c>
      <c r="AC395" s="18">
        <f>IFERROR(
                  Andel_oberoende_av_klimat*VLOOKUP($A395,Leveranser_per_nät,'Leveranser per nät'!AC$1,FALSE)
               +Andel_beroende_av_klimat*VLOOKUP($A395,Leveranser_per_nät,'Leveranser per nät'!AC$1,FALSE)/VLOOKUP($B395,Korrigeringsfaktor_EI,'Korrigeringsfaktor EI'!AC$1,FALSE),
"")</f>
        <v>0</v>
      </c>
      <c r="AD395" t="e">
        <v>#N/A</v>
      </c>
    </row>
    <row r="396" spans="1:30" x14ac:dyDescent="0.25">
      <c r="A396" t="s">
        <v>42</v>
      </c>
      <c r="B396" t="s">
        <v>42</v>
      </c>
      <c r="C396" s="18">
        <f>IFERROR(
                  Andel_oberoende_av_klimat*VLOOKUP($A396,Leveranser_per_nät,'Leveranser per nät'!C$1,FALSE)
               +Andel_beroende_av_klimat*VLOOKUP($A396,Leveranser_per_nät,'Leveranser per nät'!C$1,FALSE)/VLOOKUP($B396,Korrigeringsfaktor_EI,'Korrigeringsfaktor EI'!C$1,FALSE),
"")</f>
        <v>20.712115315315312</v>
      </c>
      <c r="D396" s="18">
        <f>IFERROR(
                  Andel_oberoende_av_klimat*VLOOKUP($A396,Leveranser_per_nät,'Leveranser per nät'!D$1,FALSE)
               +Andel_beroende_av_klimat*VLOOKUP($A396,Leveranser_per_nät,'Leveranser per nät'!D$1,FALSE)/VLOOKUP($B396,Korrigeringsfaktor_EI,'Korrigeringsfaktor EI'!D$1,FALSE),
"")</f>
        <v>19.335059405940591</v>
      </c>
      <c r="E396" s="18">
        <f>IFERROR(
                  Andel_oberoende_av_klimat*VLOOKUP($A396,Leveranser_per_nät,'Leveranser per nät'!E$1,FALSE)
               +Andel_beroende_av_klimat*VLOOKUP($A396,Leveranser_per_nät,'Leveranser per nät'!E$1,FALSE)/VLOOKUP($B396,Korrigeringsfaktor_EI,'Korrigeringsfaktor EI'!E$1,FALSE),
"")</f>
        <v>17.875247524752474</v>
      </c>
      <c r="F396" s="18">
        <f>IFERROR(
                  Andel_oberoende_av_klimat*VLOOKUP($A396,Leveranser_per_nät,'Leveranser per nät'!F$1,FALSE)
               +Andel_beroende_av_klimat*VLOOKUP($A396,Leveranser_per_nät,'Leveranser per nät'!F$1,FALSE)/VLOOKUP($B396,Korrigeringsfaktor_EI,'Korrigeringsfaktor EI'!F$1,FALSE),
"")</f>
        <v>17.495833333333334</v>
      </c>
      <c r="G396" s="18">
        <f>IFERROR(
                  Andel_oberoende_av_klimat*VLOOKUP($A396,Leveranser_per_nät,'Leveranser per nät'!G$1,FALSE)
               +Andel_beroende_av_klimat*VLOOKUP($A396,Leveranser_per_nät,'Leveranser per nät'!G$1,FALSE)/VLOOKUP($B396,Korrigeringsfaktor_EI,'Korrigeringsfaktor EI'!G$1,FALSE),
"")</f>
        <v>17.107692307692307</v>
      </c>
      <c r="H396" s="18">
        <f>IFERROR(
                  Andel_oberoende_av_klimat*VLOOKUP($A396,Leveranser_per_nät,'Leveranser per nät'!H$1,FALSE)
               +Andel_beroende_av_klimat*VLOOKUP($A396,Leveranser_per_nät,'Leveranser per nät'!H$1,FALSE)/VLOOKUP($B396,Korrigeringsfaktor_EI,'Korrigeringsfaktor EI'!H$1,FALSE),
"")</f>
        <v>19.271428571428572</v>
      </c>
      <c r="I396" s="18">
        <f>IFERROR(
                  Andel_oberoende_av_klimat*VLOOKUP($A396,Leveranser_per_nät,'Leveranser per nät'!I$1,FALSE)
               +Andel_beroende_av_klimat*VLOOKUP($A396,Leveranser_per_nät,'Leveranser per nät'!I$1,FALSE)/VLOOKUP($B396,Korrigeringsfaktor_EI,'Korrigeringsfaktor EI'!I$1,FALSE),
"")</f>
        <v>21.053763440860216</v>
      </c>
      <c r="J396" s="18">
        <f>IFERROR(
                  Andel_oberoende_av_klimat*VLOOKUP($A396,Leveranser_per_nät,'Leveranser per nät'!J$1,FALSE)
               +Andel_beroende_av_klimat*VLOOKUP($A396,Leveranser_per_nät,'Leveranser per nät'!J$1,FALSE)/VLOOKUP($B396,Korrigeringsfaktor_EI,'Korrigeringsfaktor EI'!J$1,FALSE),
"")</f>
        <v>19.411340206185567</v>
      </c>
      <c r="K396" s="18">
        <f>IFERROR(
                  Andel_oberoende_av_klimat*VLOOKUP($A396,Leveranser_per_nät,'Leveranser per nät'!K$1,FALSE)
               +Andel_beroende_av_klimat*VLOOKUP($A396,Leveranser_per_nät,'Leveranser per nät'!K$1,FALSE)/VLOOKUP($B396,Korrigeringsfaktor_EI,'Korrigeringsfaktor EI'!K$1,FALSE),
"")</f>
        <v>18.674014285714289</v>
      </c>
      <c r="L396" s="18">
        <f>IFERROR(
                  Andel_oberoende_av_klimat*VLOOKUP($A396,Leveranser_per_nät,'Leveranser per nät'!L$1,FALSE)
               +Andel_beroende_av_klimat*VLOOKUP($A396,Leveranser_per_nät,'Leveranser per nät'!L$1,FALSE)/VLOOKUP($B396,Korrigeringsfaktor_EI,'Korrigeringsfaktor EI'!L$1,FALSE),
"")</f>
        <v>19.257268421052633</v>
      </c>
      <c r="M396" s="18">
        <f>IFERROR(
                  Andel_oberoende_av_klimat*VLOOKUP($A396,Leveranser_per_nät,'Leveranser per nät'!M$1,FALSE)
               +Andel_beroende_av_klimat*VLOOKUP($A396,Leveranser_per_nät,'Leveranser per nät'!M$1,FALSE)/VLOOKUP($B396,Korrigeringsfaktor_EI,'Korrigeringsfaktor EI'!M$1,FALSE),
"")</f>
        <v>19.307826086956521</v>
      </c>
      <c r="N396" s="18">
        <f>IFERROR(
                  Andel_oberoende_av_klimat*VLOOKUP($A396,Leveranser_per_nät,'Leveranser per nät'!N$1,FALSE)
               +Andel_beroende_av_klimat*VLOOKUP($A396,Leveranser_per_nät,'Leveranser per nät'!N$1,FALSE)/VLOOKUP($B396,Korrigeringsfaktor_EI,'Korrigeringsfaktor EI'!N$1,FALSE),
"")</f>
        <v>18.959031818181817</v>
      </c>
      <c r="O396" s="18">
        <f>IFERROR(
                  Andel_oberoende_av_klimat*VLOOKUP($A396,Leveranser_per_nät,'Leveranser per nät'!O$1,FALSE)
               +Andel_beroende_av_klimat*VLOOKUP($A396,Leveranser_per_nät,'Leveranser per nät'!O$1,FALSE)/VLOOKUP($B396,Korrigeringsfaktor_EI,'Korrigeringsfaktor EI'!O$1,FALSE),
"")</f>
        <v>17.017026966292136</v>
      </c>
      <c r="P396" s="18">
        <f>IFERROR(
                  Andel_oberoende_av_klimat*VLOOKUP($A396,Leveranser_per_nät,'Leveranser per nät'!P$1,FALSE)
               +Andel_beroende_av_klimat*VLOOKUP($A396,Leveranser_per_nät,'Leveranser per nät'!P$1,FALSE)/VLOOKUP($B396,Korrigeringsfaktor_EI,'Korrigeringsfaktor EI'!P$1,FALSE),
"")</f>
        <v>20.525889361702127</v>
      </c>
      <c r="Q396" s="18">
        <f>IFERROR(
                  Andel_oberoende_av_klimat*VLOOKUP($A396,Leveranser_per_nät,'Leveranser per nät'!Q$1,FALSE)
               +Andel_beroende_av_klimat*VLOOKUP($A396,Leveranser_per_nät,'Leveranser per nät'!Q$1,FALSE)/VLOOKUP($B396,Korrigeringsfaktor_EI,'Korrigeringsfaktor EI'!Q$1,FALSE),
"")</f>
        <v>21.404504504504501</v>
      </c>
      <c r="R396" s="18">
        <f>IFERROR(
                  Andel_oberoende_av_klimat*VLOOKUP($A396,Leveranser_per_nät,'Leveranser per nät'!R$1,FALSE)
               +Andel_beroende_av_klimat*VLOOKUP($A396,Leveranser_per_nät,'Leveranser per nät'!R$1,FALSE)/VLOOKUP($B396,Korrigeringsfaktor_EI,'Korrigeringsfaktor EI'!R$1,FALSE),
"")</f>
        <v>20.740812626086957</v>
      </c>
      <c r="S396" s="18">
        <f>IFERROR(
                  Andel_oberoende_av_klimat*VLOOKUP($A396,Leveranser_per_nät,'Leveranser per nät'!S$1,FALSE)
               +Andel_beroende_av_klimat*VLOOKUP($A396,Leveranser_per_nät,'Leveranser per nät'!S$1,FALSE)/VLOOKUP($B396,Korrigeringsfaktor_EI,'Korrigeringsfaktor EI'!S$1,FALSE),
"")</f>
        <v>20.010494949494952</v>
      </c>
      <c r="T396" s="18">
        <f>IFERROR(
                  Andel_oberoende_av_klimat*VLOOKUP($A396,Leveranser_per_nät,'Leveranser per nät'!T$1,FALSE)
               +Andel_beroende_av_klimat*VLOOKUP($A396,Leveranser_per_nät,'Leveranser per nät'!T$1,FALSE)/VLOOKUP($B396,Korrigeringsfaktor_EI,'Korrigeringsfaktor EI'!T$1,FALSE),
"")</f>
        <v>20.17166666666667</v>
      </c>
      <c r="U396" s="18">
        <f>IFERROR(
                  Andel_oberoende_av_klimat*VLOOKUP($A396,Leveranser_per_nät,'Leveranser per nät'!U$1,FALSE)
               +Andel_beroende_av_klimat*VLOOKUP($A396,Leveranser_per_nät,'Leveranser per nät'!U$1,FALSE)/VLOOKUP($B396,Korrigeringsfaktor_EI,'Korrigeringsfaktor EI'!U$1,FALSE),
"")</f>
        <v>21.122352941176473</v>
      </c>
      <c r="V396" s="18">
        <f>IFERROR(
                  Andel_oberoende_av_klimat*VLOOKUP($A396,Leveranser_per_nät,'Leveranser per nät'!V$1,FALSE)
               +Andel_beroende_av_klimat*VLOOKUP($A396,Leveranser_per_nät,'Leveranser per nät'!V$1,FALSE)/VLOOKUP($B396,Korrigeringsfaktor_EI,'Korrigeringsfaktor EI'!V$1,FALSE),
"")</f>
        <v>19.399999999999999</v>
      </c>
      <c r="W396" s="18">
        <f>IFERROR(
                  Andel_oberoende_av_klimat*VLOOKUP($A396,Leveranser_per_nät,'Leveranser per nät'!W$1,FALSE)
               +Andel_beroende_av_klimat*VLOOKUP($A396,Leveranser_per_nät,'Leveranser per nät'!W$1,FALSE)/VLOOKUP($B396,Korrigeringsfaktor_EI,'Korrigeringsfaktor EI'!W$1,FALSE),
"")</f>
        <v>19.895806451612902</v>
      </c>
      <c r="X396" s="18">
        <f>IFERROR(
                  Andel_oberoende_av_klimat*VLOOKUP($A396,Leveranser_per_nät,'Leveranser per nät'!X$1,FALSE)
               +Andel_beroende_av_klimat*VLOOKUP($A396,Leveranser_per_nät,'Leveranser per nät'!X$1,FALSE)/VLOOKUP($B396,Korrigeringsfaktor_EI,'Korrigeringsfaktor EI'!X$1,FALSE),
"")</f>
        <v>18.989565217391302</v>
      </c>
      <c r="Y396" s="18">
        <f>IFERROR(
                  Andel_oberoende_av_klimat*VLOOKUP($A396,Leveranser_per_nät,'Leveranser per nät'!Y$1,FALSE)
               +Andel_beroende_av_klimat*VLOOKUP($A396,Leveranser_per_nät,'Leveranser per nät'!Y$1,FALSE)/VLOOKUP($B396,Korrigeringsfaktor_EI,'Korrigeringsfaktor EI'!Y$1,FALSE),
"")</f>
        <v>17.894482758620686</v>
      </c>
      <c r="Z396" s="18">
        <f>IFERROR(
                  Andel_oberoende_av_klimat*VLOOKUP($A396,Leveranser_per_nät,'Leveranser per nät'!Z$1,FALSE)
               +Andel_beroende_av_klimat*VLOOKUP($A396,Leveranser_per_nät,'Leveranser per nät'!Z$1,FALSE)/VLOOKUP($B396,Korrigeringsfaktor_EI,'Korrigeringsfaktor EI'!Z$1,FALSE),
"")</f>
        <v>17.976470588235294</v>
      </c>
      <c r="AA396" s="18">
        <f>IFERROR(
                  Andel_oberoende_av_klimat*VLOOKUP($A396,Leveranser_per_nät,'Leveranser per nät'!AA$1,FALSE)
               +Andel_beroende_av_klimat*VLOOKUP($A396,Leveranser_per_nät,'Leveranser per nät'!AA$1,FALSE)/VLOOKUP($B396,Korrigeringsfaktor_EI,'Korrigeringsfaktor EI'!AA$1,FALSE),
"")</f>
        <v>17.664539578947366</v>
      </c>
      <c r="AB396" s="18">
        <f>IFERROR(
                  Andel_oberoende_av_klimat*VLOOKUP($A396,Leveranser_per_nät,'Leveranser per nät'!AB$1,FALSE)
               +Andel_beroende_av_klimat*VLOOKUP($A396,Leveranser_per_nät,'Leveranser per nät'!AB$1,FALSE)/VLOOKUP($B396,Korrigeringsfaktor_EI,'Korrigeringsfaktor EI'!AB$1,FALSE),
"")</f>
        <v>17.100000000000001</v>
      </c>
      <c r="AC396" s="18">
        <f>IFERROR(
                  Andel_oberoende_av_klimat*VLOOKUP($A396,Leveranser_per_nät,'Leveranser per nät'!AC$1,FALSE)
               +Andel_beroende_av_klimat*VLOOKUP($A396,Leveranser_per_nät,'Leveranser per nät'!AC$1,FALSE)/VLOOKUP($B396,Korrigeringsfaktor_EI,'Korrigeringsfaktor EI'!AC$1,FALSE),
"")</f>
        <v>16.606952789699573</v>
      </c>
      <c r="AD396">
        <v>15.8</v>
      </c>
    </row>
    <row r="397" spans="1:30" x14ac:dyDescent="0.25">
      <c r="A397" t="s">
        <v>39</v>
      </c>
      <c r="B397" t="s">
        <v>165</v>
      </c>
      <c r="C397" s="18">
        <f>IFERROR(
                  Andel_oberoende_av_klimat*VLOOKUP($A397,Leveranser_per_nät,'Leveranser per nät'!C$1,FALSE)
               +Andel_beroende_av_klimat*VLOOKUP($A397,Leveranser_per_nät,'Leveranser per nät'!C$1,FALSE)/VLOOKUP($B397,Korrigeringsfaktor_EI,'Korrigeringsfaktor EI'!C$1,FALSE),
"")</f>
        <v>0</v>
      </c>
      <c r="D397" s="18">
        <f>IFERROR(
                  Andel_oberoende_av_klimat*VLOOKUP($A397,Leveranser_per_nät,'Leveranser per nät'!D$1,FALSE)
               +Andel_beroende_av_klimat*VLOOKUP($A397,Leveranser_per_nät,'Leveranser per nät'!D$1,FALSE)/VLOOKUP($B397,Korrigeringsfaktor_EI,'Korrigeringsfaktor EI'!D$1,FALSE),
"")</f>
        <v>0</v>
      </c>
      <c r="E397" s="18">
        <f>IFERROR(
                  Andel_oberoende_av_klimat*VLOOKUP($A397,Leveranser_per_nät,'Leveranser per nät'!E$1,FALSE)
               +Andel_beroende_av_klimat*VLOOKUP($A397,Leveranser_per_nät,'Leveranser per nät'!E$1,FALSE)/VLOOKUP($B397,Korrigeringsfaktor_EI,'Korrigeringsfaktor EI'!E$1,FALSE),
"")</f>
        <v>0</v>
      </c>
      <c r="F397" s="18">
        <f>IFERROR(
                  Andel_oberoende_av_klimat*VLOOKUP($A397,Leveranser_per_nät,'Leveranser per nät'!F$1,FALSE)
               +Andel_beroende_av_klimat*VLOOKUP($A397,Leveranser_per_nät,'Leveranser per nät'!F$1,FALSE)/VLOOKUP($B397,Korrigeringsfaktor_EI,'Korrigeringsfaktor EI'!F$1,FALSE),
"")</f>
        <v>0</v>
      </c>
      <c r="G397" s="18">
        <f>IFERROR(
                  Andel_oberoende_av_klimat*VLOOKUP($A397,Leveranser_per_nät,'Leveranser per nät'!G$1,FALSE)
               +Andel_beroende_av_klimat*VLOOKUP($A397,Leveranser_per_nät,'Leveranser per nät'!G$1,FALSE)/VLOOKUP($B397,Korrigeringsfaktor_EI,'Korrigeringsfaktor EI'!G$1,FALSE),
"")</f>
        <v>0</v>
      </c>
      <c r="H397" s="18">
        <f>IFERROR(
                  Andel_oberoende_av_klimat*VLOOKUP($A397,Leveranser_per_nät,'Leveranser per nät'!H$1,FALSE)
               +Andel_beroende_av_klimat*VLOOKUP($A397,Leveranser_per_nät,'Leveranser per nät'!H$1,FALSE)/VLOOKUP($B397,Korrigeringsfaktor_EI,'Korrigeringsfaktor EI'!H$1,FALSE),
"")</f>
        <v>0</v>
      </c>
      <c r="I397" s="18">
        <f>IFERROR(
                  Andel_oberoende_av_klimat*VLOOKUP($A397,Leveranser_per_nät,'Leveranser per nät'!I$1,FALSE)
               +Andel_beroende_av_klimat*VLOOKUP($A397,Leveranser_per_nät,'Leveranser per nät'!I$1,FALSE)/VLOOKUP($B397,Korrigeringsfaktor_EI,'Korrigeringsfaktor EI'!I$1,FALSE),
"")</f>
        <v>0</v>
      </c>
      <c r="J397" s="18">
        <f>IFERROR(
                  Andel_oberoende_av_klimat*VLOOKUP($A397,Leveranser_per_nät,'Leveranser per nät'!J$1,FALSE)
               +Andel_beroende_av_klimat*VLOOKUP($A397,Leveranser_per_nät,'Leveranser per nät'!J$1,FALSE)/VLOOKUP($B397,Korrigeringsfaktor_EI,'Korrigeringsfaktor EI'!J$1,FALSE),
"")</f>
        <v>0</v>
      </c>
      <c r="K397" s="18">
        <f>IFERROR(
                  Andel_oberoende_av_klimat*VLOOKUP($A397,Leveranser_per_nät,'Leveranser per nät'!K$1,FALSE)
               +Andel_beroende_av_klimat*VLOOKUP($A397,Leveranser_per_nät,'Leveranser per nät'!K$1,FALSE)/VLOOKUP($B397,Korrigeringsfaktor_EI,'Korrigeringsfaktor EI'!K$1,FALSE),
"")</f>
        <v>1.9717714285714285</v>
      </c>
      <c r="L397" s="18">
        <f>IFERROR(
                  Andel_oberoende_av_klimat*VLOOKUP($A397,Leveranser_per_nät,'Leveranser per nät'!L$1,FALSE)
               +Andel_beroende_av_klimat*VLOOKUP($A397,Leveranser_per_nät,'Leveranser per nät'!L$1,FALSE)/VLOOKUP($B397,Korrigeringsfaktor_EI,'Korrigeringsfaktor EI'!L$1,FALSE),
"")</f>
        <v>2.5718874999999999</v>
      </c>
      <c r="M397" s="18">
        <f>IFERROR(
                  Andel_oberoende_av_klimat*VLOOKUP($A397,Leveranser_per_nät,'Leveranser per nät'!M$1,FALSE)
               +Andel_beroende_av_klimat*VLOOKUP($A397,Leveranser_per_nät,'Leveranser per nät'!M$1,FALSE)/VLOOKUP($B397,Korrigeringsfaktor_EI,'Korrigeringsfaktor EI'!M$1,FALSE),
"")</f>
        <v>3.2802978723404257</v>
      </c>
      <c r="N397" s="18">
        <f>IFERROR(
                  Andel_oberoende_av_klimat*VLOOKUP($A397,Leveranser_per_nät,'Leveranser per nät'!N$1,FALSE)
               +Andel_beroende_av_klimat*VLOOKUP($A397,Leveranser_per_nät,'Leveranser per nät'!N$1,FALSE)/VLOOKUP($B397,Korrigeringsfaktor_EI,'Korrigeringsfaktor EI'!N$1,FALSE),
"")</f>
        <v>3.3178947368421055</v>
      </c>
      <c r="O397" s="18">
        <f>IFERROR(
                  Andel_oberoende_av_klimat*VLOOKUP($A397,Leveranser_per_nät,'Leveranser per nät'!O$1,FALSE)
               +Andel_beroende_av_klimat*VLOOKUP($A397,Leveranser_per_nät,'Leveranser per nät'!O$1,FALSE)/VLOOKUP($B397,Korrigeringsfaktor_EI,'Korrigeringsfaktor EI'!O$1,FALSE),
"")</f>
        <v>3.0527956989247311</v>
      </c>
      <c r="P397" s="18">
        <f>IFERROR(
                  Andel_oberoende_av_klimat*VLOOKUP($A397,Leveranser_per_nät,'Leveranser per nät'!P$1,FALSE)
               +Andel_beroende_av_klimat*VLOOKUP($A397,Leveranser_per_nät,'Leveranser per nät'!P$1,FALSE)/VLOOKUP($B397,Korrigeringsfaktor_EI,'Korrigeringsfaktor EI'!P$1,FALSE),
"")</f>
        <v>3.0785148514851488</v>
      </c>
      <c r="Q397" s="18">
        <f>IFERROR(
                  Andel_oberoende_av_klimat*VLOOKUP($A397,Leveranser_per_nät,'Leveranser per nät'!Q$1,FALSE)
               +Andel_beroende_av_klimat*VLOOKUP($A397,Leveranser_per_nät,'Leveranser per nät'!Q$1,FALSE)/VLOOKUP($B397,Korrigeringsfaktor_EI,'Korrigeringsfaktor EI'!Q$1,FALSE),
"")</f>
        <v>3.2713043478260877</v>
      </c>
      <c r="R397" s="18">
        <f>IFERROR(
                  Andel_oberoende_av_klimat*VLOOKUP($A397,Leveranser_per_nät,'Leveranser per nät'!R$1,FALSE)
               +Andel_beroende_av_klimat*VLOOKUP($A397,Leveranser_per_nät,'Leveranser per nät'!R$1,FALSE)/VLOOKUP($B397,Korrigeringsfaktor_EI,'Korrigeringsfaktor EI'!R$1,FALSE),
"")</f>
        <v>2.8937659574468082</v>
      </c>
      <c r="S397" s="18">
        <f>IFERROR(
                  Andel_oberoende_av_klimat*VLOOKUP($A397,Leveranser_per_nät,'Leveranser per nät'!S$1,FALSE)
               +Andel_beroende_av_klimat*VLOOKUP($A397,Leveranser_per_nät,'Leveranser per nät'!S$1,FALSE)/VLOOKUP($B397,Korrigeringsfaktor_EI,'Korrigeringsfaktor EI'!S$1,FALSE),
"")</f>
        <v>2.7714313725490198</v>
      </c>
      <c r="T397" s="18">
        <f>IFERROR(
                  Andel_oberoende_av_klimat*VLOOKUP($A397,Leveranser_per_nät,'Leveranser per nät'!T$1,FALSE)
               +Andel_beroende_av_klimat*VLOOKUP($A397,Leveranser_per_nät,'Leveranser per nät'!T$1,FALSE)/VLOOKUP($B397,Korrigeringsfaktor_EI,'Korrigeringsfaktor EI'!T$1,FALSE),
"")</f>
        <v>2.6462714285714286</v>
      </c>
      <c r="U397" s="18">
        <f>IFERROR(
                  Andel_oberoende_av_klimat*VLOOKUP($A397,Leveranser_per_nät,'Leveranser per nät'!U$1,FALSE)
               +Andel_beroende_av_klimat*VLOOKUP($A397,Leveranser_per_nät,'Leveranser per nät'!U$1,FALSE)/VLOOKUP($B397,Korrigeringsfaktor_EI,'Korrigeringsfaktor EI'!U$1,FALSE),
"")</f>
        <v>2.3190608695652171</v>
      </c>
      <c r="V397" s="18">
        <f>IFERROR(
                  Andel_oberoende_av_klimat*VLOOKUP($A397,Leveranser_per_nät,'Leveranser per nät'!V$1,FALSE)
               +Andel_beroende_av_klimat*VLOOKUP($A397,Leveranser_per_nät,'Leveranser per nät'!V$1,FALSE)/VLOOKUP($B397,Korrigeringsfaktor_EI,'Korrigeringsfaktor EI'!V$1,FALSE),
"")</f>
        <v>2.246063829787234</v>
      </c>
      <c r="W397" s="18">
        <f>IFERROR(
                  Andel_oberoende_av_klimat*VLOOKUP($A397,Leveranser_per_nät,'Leveranser per nät'!W$1,FALSE)
               +Andel_beroende_av_klimat*VLOOKUP($A397,Leveranser_per_nät,'Leveranser per nät'!W$1,FALSE)/VLOOKUP($B397,Korrigeringsfaktor_EI,'Korrigeringsfaktor EI'!W$1,FALSE),
"")</f>
        <v>1.9002680412371138</v>
      </c>
      <c r="X397" s="18">
        <f>IFERROR(
                  Andel_oberoende_av_klimat*VLOOKUP($A397,Leveranser_per_nät,'Leveranser per nät'!X$1,FALSE)
               +Andel_beroende_av_klimat*VLOOKUP($A397,Leveranser_per_nät,'Leveranser per nät'!X$1,FALSE)/VLOOKUP($B397,Korrigeringsfaktor_EI,'Korrigeringsfaktor EI'!X$1,FALSE),
"")</f>
        <v>1.4922916666666666</v>
      </c>
      <c r="Y397" s="18">
        <f>IFERROR(
                  Andel_oberoende_av_klimat*VLOOKUP($A397,Leveranser_per_nät,'Leveranser per nät'!Y$1,FALSE)
               +Andel_beroende_av_klimat*VLOOKUP($A397,Leveranser_per_nät,'Leveranser per nät'!Y$1,FALSE)/VLOOKUP($B397,Korrigeringsfaktor_EI,'Korrigeringsfaktor EI'!Y$1,FALSE),
"")</f>
        <v>1.873784946236559</v>
      </c>
      <c r="Z397" s="18">
        <f>IFERROR(
                  Andel_oberoende_av_klimat*VLOOKUP($A397,Leveranser_per_nät,'Leveranser per nät'!Z$1,FALSE)
               +Andel_beroende_av_klimat*VLOOKUP($A397,Leveranser_per_nät,'Leveranser per nät'!Z$1,FALSE)/VLOOKUP($B397,Korrigeringsfaktor_EI,'Korrigeringsfaktor EI'!Z$1,FALSE),
"")</f>
        <v>1.4527096774193549</v>
      </c>
      <c r="AA397" s="18">
        <f>IFERROR(
                  Andel_oberoende_av_klimat*VLOOKUP($A397,Leveranser_per_nät,'Leveranser per nät'!AA$1,FALSE)
               +Andel_beroende_av_klimat*VLOOKUP($A397,Leveranser_per_nät,'Leveranser per nät'!AA$1,FALSE)/VLOOKUP($B397,Korrigeringsfaktor_EI,'Korrigeringsfaktor EI'!AA$1,FALSE),
"")</f>
        <v>1.4239403312226009</v>
      </c>
      <c r="AB397" s="18">
        <f>IFERROR(
                  Andel_oberoende_av_klimat*VLOOKUP($A397,Leveranser_per_nät,'Leveranser per nät'!AB$1,FALSE)
               +Andel_beroende_av_klimat*VLOOKUP($A397,Leveranser_per_nät,'Leveranser per nät'!AB$1,FALSE)/VLOOKUP($B397,Korrigeringsfaktor_EI,'Korrigeringsfaktor EI'!AB$1,FALSE),
"")</f>
        <v>1.4794117647058824</v>
      </c>
      <c r="AC397" s="18">
        <f>IFERROR(
                  Andel_oberoende_av_klimat*VLOOKUP($A397,Leveranser_per_nät,'Leveranser per nät'!AC$1,FALSE)
               +Andel_beroende_av_klimat*VLOOKUP($A397,Leveranser_per_nät,'Leveranser per nät'!AC$1,FALSE)/VLOOKUP($B397,Korrigeringsfaktor_EI,'Korrigeringsfaktor EI'!AC$1,FALSE),
"")</f>
        <v>1.4226033755274261</v>
      </c>
      <c r="AD397">
        <v>301.7</v>
      </c>
    </row>
    <row r="398" spans="1:30" x14ac:dyDescent="0.25">
      <c r="A398" t="s">
        <v>48</v>
      </c>
      <c r="B398" t="s">
        <v>48</v>
      </c>
      <c r="C398" s="18">
        <f>IFERROR(
                  Andel_oberoende_av_klimat*VLOOKUP($A398,Leveranser_per_nät,'Leveranser per nät'!C$1,FALSE)
               +Andel_beroende_av_klimat*VLOOKUP($A398,Leveranser_per_nät,'Leveranser per nät'!C$1,FALSE)/VLOOKUP($B398,Korrigeringsfaktor_EI,'Korrigeringsfaktor EI'!C$1,FALSE),
"")</f>
        <v>21.946728971962614</v>
      </c>
      <c r="D398" s="18">
        <f>IFERROR(
                  Andel_oberoende_av_klimat*VLOOKUP($A398,Leveranser_per_nät,'Leveranser per nät'!D$1,FALSE)
               +Andel_beroende_av_klimat*VLOOKUP($A398,Leveranser_per_nät,'Leveranser per nät'!D$1,FALSE)/VLOOKUP($B398,Korrigeringsfaktor_EI,'Korrigeringsfaktor EI'!D$1,FALSE),
"")</f>
        <v>22.188421052631579</v>
      </c>
      <c r="E398" s="18">
        <f>IFERROR(
                  Andel_oberoende_av_klimat*VLOOKUP($A398,Leveranser_per_nät,'Leveranser per nät'!E$1,FALSE)
               +Andel_beroende_av_klimat*VLOOKUP($A398,Leveranser_per_nät,'Leveranser per nät'!E$1,FALSE)/VLOOKUP($B398,Korrigeringsfaktor_EI,'Korrigeringsfaktor EI'!E$1,FALSE),
"")</f>
        <v>26.183838383838385</v>
      </c>
      <c r="F398" s="18">
        <f>IFERROR(
                  Andel_oberoende_av_klimat*VLOOKUP($A398,Leveranser_per_nät,'Leveranser per nät'!F$1,FALSE)
               +Andel_beroende_av_klimat*VLOOKUP($A398,Leveranser_per_nät,'Leveranser per nät'!F$1,FALSE)/VLOOKUP($B398,Korrigeringsfaktor_EI,'Korrigeringsfaktor EI'!F$1,FALSE),
"")</f>
        <v>23.670833333333334</v>
      </c>
      <c r="G398" s="18">
        <f>IFERROR(
                  Andel_oberoende_av_klimat*VLOOKUP($A398,Leveranser_per_nät,'Leveranser per nät'!G$1,FALSE)
               +Andel_beroende_av_klimat*VLOOKUP($A398,Leveranser_per_nät,'Leveranser per nät'!G$1,FALSE)/VLOOKUP($B398,Korrigeringsfaktor_EI,'Korrigeringsfaktor EI'!G$1,FALSE),
"")</f>
        <v>22.278260869565216</v>
      </c>
      <c r="H398" s="18">
        <f>IFERROR(
                  Andel_oberoende_av_klimat*VLOOKUP($A398,Leveranser_per_nät,'Leveranser per nät'!H$1,FALSE)
               +Andel_beroende_av_klimat*VLOOKUP($A398,Leveranser_per_nät,'Leveranser per nät'!H$1,FALSE)/VLOOKUP($B398,Korrigeringsfaktor_EI,'Korrigeringsfaktor EI'!H$1,FALSE),
"")</f>
        <v>20.711764705882352</v>
      </c>
      <c r="I398" s="18">
        <f>IFERROR(
                  Andel_oberoende_av_klimat*VLOOKUP($A398,Leveranser_per_nät,'Leveranser per nät'!I$1,FALSE)
               +Andel_beroende_av_klimat*VLOOKUP($A398,Leveranser_per_nät,'Leveranser per nät'!I$1,FALSE)/VLOOKUP($B398,Korrigeringsfaktor_EI,'Korrigeringsfaktor EI'!I$1,FALSE),
"")</f>
        <v>22.511991666666667</v>
      </c>
      <c r="J398" s="18">
        <f>IFERROR(
                  Andel_oberoende_av_klimat*VLOOKUP($A398,Leveranser_per_nät,'Leveranser per nät'!J$1,FALSE)
               +Andel_beroende_av_klimat*VLOOKUP($A398,Leveranser_per_nät,'Leveranser per nät'!J$1,FALSE)/VLOOKUP($B398,Korrigeringsfaktor_EI,'Korrigeringsfaktor EI'!J$1,FALSE),
"")</f>
        <v>22.553389473684209</v>
      </c>
      <c r="K398" s="18">
        <f>IFERROR(
                  Andel_oberoende_av_klimat*VLOOKUP($A398,Leveranser_per_nät,'Leveranser per nät'!K$1,FALSE)
               +Andel_beroende_av_klimat*VLOOKUP($A398,Leveranser_per_nät,'Leveranser per nät'!K$1,FALSE)/VLOOKUP($B398,Korrigeringsfaktor_EI,'Korrigeringsfaktor EI'!K$1,FALSE),
"")</f>
        <v>24.38548947368421</v>
      </c>
      <c r="L398" s="18">
        <f>IFERROR(
                  Andel_oberoende_av_klimat*VLOOKUP($A398,Leveranser_per_nät,'Leveranser per nät'!L$1,FALSE)
               +Andel_beroende_av_klimat*VLOOKUP($A398,Leveranser_per_nät,'Leveranser per nät'!L$1,FALSE)/VLOOKUP($B398,Korrigeringsfaktor_EI,'Korrigeringsfaktor EI'!L$1,FALSE),
"")</f>
        <v>31.718186826881038</v>
      </c>
      <c r="M398" s="18">
        <f>IFERROR(
                  Andel_oberoende_av_klimat*VLOOKUP($A398,Leveranser_per_nät,'Leveranser per nät'!M$1,FALSE)
               +Andel_beroende_av_klimat*VLOOKUP($A398,Leveranser_per_nät,'Leveranser per nät'!M$1,FALSE)/VLOOKUP($B398,Korrigeringsfaktor_EI,'Korrigeringsfaktor EI'!M$1,FALSE),
"")</f>
        <v>24.672499999999999</v>
      </c>
      <c r="N398" s="18">
        <f>IFERROR(
                  Andel_oberoende_av_klimat*VLOOKUP($A398,Leveranser_per_nät,'Leveranser per nät'!N$1,FALSE)
               +Andel_beroende_av_klimat*VLOOKUP($A398,Leveranser_per_nät,'Leveranser per nät'!N$1,FALSE)/VLOOKUP($B398,Korrigeringsfaktor_EI,'Korrigeringsfaktor EI'!N$1,FALSE),
"")</f>
        <v>25.729166666666668</v>
      </c>
      <c r="O398" s="18">
        <f>IFERROR(
                  Andel_oberoende_av_klimat*VLOOKUP($A398,Leveranser_per_nät,'Leveranser per nät'!O$1,FALSE)
               +Andel_beroende_av_klimat*VLOOKUP($A398,Leveranser_per_nät,'Leveranser per nät'!O$1,FALSE)/VLOOKUP($B398,Korrigeringsfaktor_EI,'Korrigeringsfaktor EI'!O$1,FALSE),
"")</f>
        <v>26.552500000000002</v>
      </c>
      <c r="P398" s="18">
        <f>IFERROR(
                  Andel_oberoende_av_klimat*VLOOKUP($A398,Leveranser_per_nät,'Leveranser per nät'!P$1,FALSE)
               +Andel_beroende_av_klimat*VLOOKUP($A398,Leveranser_per_nät,'Leveranser per nät'!P$1,FALSE)/VLOOKUP($B398,Korrigeringsfaktor_EI,'Korrigeringsfaktor EI'!P$1,FALSE),
"")</f>
        <v>27.805940594059408</v>
      </c>
      <c r="Q398" s="18">
        <f>IFERROR(
                  Andel_oberoende_av_klimat*VLOOKUP($A398,Leveranser_per_nät,'Leveranser per nät'!Q$1,FALSE)
               +Andel_beroende_av_klimat*VLOOKUP($A398,Leveranser_per_nät,'Leveranser per nät'!Q$1,FALSE)/VLOOKUP($B398,Korrigeringsfaktor_EI,'Korrigeringsfaktor EI'!Q$1,FALSE),
"")</f>
        <v>30.163157894736845</v>
      </c>
      <c r="R398" s="18">
        <f>IFERROR(
                  Andel_oberoende_av_klimat*VLOOKUP($A398,Leveranser_per_nät,'Leveranser per nät'!R$1,FALSE)
               +Andel_beroende_av_klimat*VLOOKUP($A398,Leveranser_per_nät,'Leveranser per nät'!R$1,FALSE)/VLOOKUP($B398,Korrigeringsfaktor_EI,'Korrigeringsfaktor EI'!R$1,FALSE),
"")</f>
        <v>28.317311827956985</v>
      </c>
      <c r="S398" s="18">
        <f>IFERROR(
                  Andel_oberoende_av_klimat*VLOOKUP($A398,Leveranser_per_nät,'Leveranser per nät'!S$1,FALSE)
               +Andel_beroende_av_klimat*VLOOKUP($A398,Leveranser_per_nät,'Leveranser per nät'!S$1,FALSE)/VLOOKUP($B398,Korrigeringsfaktor_EI,'Korrigeringsfaktor EI'!S$1,FALSE),
"")</f>
        <v>27.429126213592234</v>
      </c>
      <c r="T398" s="18">
        <f>IFERROR(
                  Andel_oberoende_av_klimat*VLOOKUP($A398,Leveranser_per_nät,'Leveranser per nät'!T$1,FALSE)
               +Andel_beroende_av_klimat*VLOOKUP($A398,Leveranser_per_nät,'Leveranser per nät'!T$1,FALSE)/VLOOKUP($B398,Korrigeringsfaktor_EI,'Korrigeringsfaktor EI'!T$1,FALSE),
"")</f>
        <v>27.487142857142857</v>
      </c>
      <c r="U398" s="18">
        <f>IFERROR(
                  Andel_oberoende_av_klimat*VLOOKUP($A398,Leveranser_per_nät,'Leveranser per nät'!U$1,FALSE)
               +Andel_beroende_av_klimat*VLOOKUP($A398,Leveranser_per_nät,'Leveranser per nät'!U$1,FALSE)/VLOOKUP($B398,Korrigeringsfaktor_EI,'Korrigeringsfaktor EI'!U$1,FALSE),
"")</f>
        <v>28.013846153846153</v>
      </c>
      <c r="V398" s="18">
        <f>IFERROR(
                  Andel_oberoende_av_klimat*VLOOKUP($A398,Leveranser_per_nät,'Leveranser per nät'!V$1,FALSE)
               +Andel_beroende_av_klimat*VLOOKUP($A398,Leveranser_per_nät,'Leveranser per nät'!V$1,FALSE)/VLOOKUP($B398,Korrigeringsfaktor_EI,'Korrigeringsfaktor EI'!V$1,FALSE),
"")</f>
        <v>26.430425531914899</v>
      </c>
      <c r="W398" s="18">
        <f>IFERROR(
                  Andel_oberoende_av_klimat*VLOOKUP($A398,Leveranser_per_nät,'Leveranser per nät'!W$1,FALSE)
               +Andel_beroende_av_klimat*VLOOKUP($A398,Leveranser_per_nät,'Leveranser per nät'!W$1,FALSE)/VLOOKUP($B398,Korrigeringsfaktor_EI,'Korrigeringsfaktor EI'!W$1,FALSE),
"")</f>
        <v>27.584536082474227</v>
      </c>
      <c r="X398" s="18">
        <f>IFERROR(
                  Andel_oberoende_av_klimat*VLOOKUP($A398,Leveranser_per_nät,'Leveranser per nät'!X$1,FALSE)
               +Andel_beroende_av_klimat*VLOOKUP($A398,Leveranser_per_nät,'Leveranser per nät'!X$1,FALSE)/VLOOKUP($B398,Korrigeringsfaktor_EI,'Korrigeringsfaktor EI'!X$1,FALSE),
"")</f>
        <v>28.197979797979798</v>
      </c>
      <c r="Y398" s="18">
        <f>IFERROR(
                  Andel_oberoende_av_klimat*VLOOKUP($A398,Leveranser_per_nät,'Leveranser per nät'!Y$1,FALSE)
               +Andel_beroende_av_klimat*VLOOKUP($A398,Leveranser_per_nät,'Leveranser per nät'!Y$1,FALSE)/VLOOKUP($B398,Korrigeringsfaktor_EI,'Korrigeringsfaktor EI'!Y$1,FALSE),
"")</f>
        <v>28.197525773195878</v>
      </c>
      <c r="Z398" s="18">
        <f>IFERROR(
                  Andel_oberoende_av_klimat*VLOOKUP($A398,Leveranser_per_nät,'Leveranser per nät'!Z$1,FALSE)
               +Andel_beroende_av_klimat*VLOOKUP($A398,Leveranser_per_nät,'Leveranser per nät'!Z$1,FALSE)/VLOOKUP($B398,Korrigeringsfaktor_EI,'Korrigeringsfaktor EI'!Z$1,FALSE),
"")</f>
        <v>28.302083333333336</v>
      </c>
      <c r="AA398" s="18">
        <f>IFERROR(
                  Andel_oberoende_av_klimat*VLOOKUP($A398,Leveranser_per_nät,'Leveranser per nät'!AA$1,FALSE)
               +Andel_beroende_av_klimat*VLOOKUP($A398,Leveranser_per_nät,'Leveranser per nät'!AA$1,FALSE)/VLOOKUP($B398,Korrigeringsfaktor_EI,'Korrigeringsfaktor EI'!AA$1,FALSE),
"")</f>
        <v>27.214501235037051</v>
      </c>
      <c r="AB398" s="18">
        <f>IFERROR(
                  Andel_oberoende_av_klimat*VLOOKUP($A398,Leveranser_per_nät,'Leveranser per nät'!AB$1,FALSE)
               +Andel_beroende_av_klimat*VLOOKUP($A398,Leveranser_per_nät,'Leveranser per nät'!AB$1,FALSE)/VLOOKUP($B398,Korrigeringsfaktor_EI,'Korrigeringsfaktor EI'!AB$1,FALSE),
"")</f>
        <v>27.470703921568628</v>
      </c>
      <c r="AC398" s="18">
        <f>IFERROR(
                  Andel_oberoende_av_klimat*VLOOKUP($A398,Leveranser_per_nät,'Leveranser per nät'!AC$1,FALSE)
               +Andel_beroende_av_klimat*VLOOKUP($A398,Leveranser_per_nät,'Leveranser per nät'!AC$1,FALSE)/VLOOKUP($B398,Korrigeringsfaktor_EI,'Korrigeringsfaktor EI'!AC$1,FALSE),
"")</f>
        <v>26.488306185567012</v>
      </c>
      <c r="AD398">
        <v>25.927</v>
      </c>
    </row>
    <row r="399" spans="1:30" x14ac:dyDescent="0.25">
      <c r="A399" t="s">
        <v>298</v>
      </c>
      <c r="B399" t="s">
        <v>298</v>
      </c>
      <c r="C399" s="18">
        <f>IFERROR(
                  Andel_oberoende_av_klimat*VLOOKUP($A399,Leveranser_per_nät,'Leveranser per nät'!C$1,FALSE)
               +Andel_beroende_av_klimat*VLOOKUP($A399,Leveranser_per_nät,'Leveranser per nät'!C$1,FALSE)/VLOOKUP("Borås",Korrigeringsfaktor_EI,'Korrigeringsfaktor EI'!C$1,FALSE),
"")</f>
        <v>37.924999999999997</v>
      </c>
      <c r="D399" s="18">
        <f>IFERROR(
                  Andel_oberoende_av_klimat*VLOOKUP($A399,Leveranser_per_nät,'Leveranser per nät'!D$1,FALSE)
               +Andel_beroende_av_klimat*VLOOKUP($A399,Leveranser_per_nät,'Leveranser per nät'!D$1,FALSE)/VLOOKUP("Borås",Korrigeringsfaktor_EI,'Korrigeringsfaktor EI'!D$1,FALSE),
"")</f>
        <v>40.693686274509801</v>
      </c>
      <c r="E399" s="18">
        <f>IFERROR(
                  Andel_oberoende_av_klimat*VLOOKUP($A399,Leveranser_per_nät,'Leveranser per nät'!E$1,FALSE)
               +Andel_beroende_av_klimat*VLOOKUP($A399,Leveranser_per_nät,'Leveranser per nät'!E$1,FALSE)/VLOOKUP("Borås",Korrigeringsfaktor_EI,'Korrigeringsfaktor EI'!E$1,FALSE),
"")</f>
        <v>41.566666666666663</v>
      </c>
      <c r="F399" s="18">
        <f>IFERROR(
                  Andel_oberoende_av_klimat*VLOOKUP($A399,Leveranser_per_nät,'Leveranser per nät'!F$1,FALSE)
               +Andel_beroende_av_klimat*VLOOKUP($A399,Leveranser_per_nät,'Leveranser per nät'!F$1,FALSE)/VLOOKUP("Borås",Korrigeringsfaktor_EI,'Korrigeringsfaktor EI'!F$1,FALSE),
"")</f>
        <v>41.289898989898994</v>
      </c>
      <c r="G399" s="18">
        <f>IFERROR(
                  Andel_oberoende_av_klimat*VLOOKUP($A399,Leveranser_per_nät,'Leveranser per nät'!G$1,FALSE)
               +Andel_beroende_av_klimat*VLOOKUP($A399,Leveranser_per_nät,'Leveranser per nät'!G$1,FALSE)/VLOOKUP("Borås",Korrigeringsfaktor_EI,'Korrigeringsfaktor EI'!G$1,FALSE),
"")</f>
        <v>40.313043478260866</v>
      </c>
      <c r="H399" s="18">
        <f>IFERROR(
                  Andel_oberoende_av_klimat*VLOOKUP($A399,Leveranser_per_nät,'Leveranser per nät'!H$1,FALSE)
               +Andel_beroende_av_klimat*VLOOKUP($A399,Leveranser_per_nät,'Leveranser per nät'!H$1,FALSE)/VLOOKUP("Borås",Korrigeringsfaktor_EI,'Korrigeringsfaktor EI'!H$1,FALSE),
"")</f>
        <v>38.226216831683175</v>
      </c>
      <c r="I399" s="18">
        <f>IFERROR(
                  Andel_oberoende_av_klimat*VLOOKUP($A399,Leveranser_per_nät,'Leveranser per nät'!I$1,FALSE)
               +Andel_beroende_av_klimat*VLOOKUP($A399,Leveranser_per_nät,'Leveranser per nät'!I$1,FALSE)/VLOOKUP("Borås",Korrigeringsfaktor_EI,'Korrigeringsfaktor EI'!I$1,FALSE),
"")</f>
        <v>38.7573875</v>
      </c>
      <c r="J399" s="18">
        <f>IFERROR(
                  Andel_oberoende_av_klimat*VLOOKUP($A399,Leveranser_per_nät,'Leveranser per nät'!J$1,FALSE)
               +Andel_beroende_av_klimat*VLOOKUP($A399,Leveranser_per_nät,'Leveranser per nät'!J$1,FALSE)/VLOOKUP("Borås",Korrigeringsfaktor_EI,'Korrigeringsfaktor EI'!J$1,FALSE),
"")</f>
        <v>39.716385714285714</v>
      </c>
      <c r="K399" s="18">
        <f>IFERROR(
                  Andel_oberoende_av_klimat*VLOOKUP($A399,Leveranser_per_nät,'Leveranser per nät'!K$1,FALSE)
               +Andel_beroende_av_klimat*VLOOKUP($A399,Leveranser_per_nät,'Leveranser per nät'!K$1,FALSE)/VLOOKUP("Borås",Korrigeringsfaktor_EI,'Korrigeringsfaktor EI'!K$1,FALSE),
"")</f>
        <v>39.677999999999997</v>
      </c>
      <c r="L399" s="18">
        <f>IFERROR(
                  Andel_oberoende_av_klimat*VLOOKUP($A399,Leveranser_per_nät,'Leveranser per nät'!L$1,FALSE)
               +Andel_beroende_av_klimat*VLOOKUP($A399,Leveranser_per_nät,'Leveranser per nät'!L$1,FALSE)/VLOOKUP("Borås",Korrigeringsfaktor_EI,'Korrigeringsfaktor EI'!L$1,FALSE),
"")</f>
        <v>37.560943298969072</v>
      </c>
      <c r="M399" s="18">
        <f>IFERROR(
                  Andel_oberoende_av_klimat*VLOOKUP($A399,Leveranser_per_nät,'Leveranser per nät'!M$1,FALSE)
               +Andel_beroende_av_klimat*VLOOKUP($A399,Leveranser_per_nät,'Leveranser per nät'!M$1,FALSE)/VLOOKUP("Borås",Korrigeringsfaktor_EI,'Korrigeringsfaktor EI'!M$1,FALSE),
"")</f>
        <v>41.160425531914896</v>
      </c>
      <c r="N399" s="18">
        <f>IFERROR(
                  Andel_oberoende_av_klimat*VLOOKUP($A399,Leveranser_per_nät,'Leveranser per nät'!N$1,FALSE)
               +Andel_beroende_av_klimat*VLOOKUP($A399,Leveranser_per_nät,'Leveranser per nät'!N$1,FALSE)/VLOOKUP("Borås",Korrigeringsfaktor_EI,'Korrigeringsfaktor EI'!N$1,FALSE),
"")</f>
        <v>39.896881720430102</v>
      </c>
      <c r="O399" s="18">
        <f>IFERROR(
                  Andel_oberoende_av_klimat*VLOOKUP($A399,Leveranser_per_nät,'Leveranser per nät'!O$1,FALSE)
               +Andel_beroende_av_klimat*VLOOKUP($A399,Leveranser_per_nät,'Leveranser per nät'!O$1,FALSE)/VLOOKUP("Borås",Korrigeringsfaktor_EI,'Korrigeringsfaktor EI'!O$1,FALSE),
"")</f>
        <v>39.475806451612904</v>
      </c>
      <c r="P399" s="18">
        <f>IFERROR(
                  Andel_oberoende_av_klimat*VLOOKUP($A399,Leveranser_per_nät,'Leveranser per nät'!P$1,FALSE)
               +Andel_beroende_av_klimat*VLOOKUP($A399,Leveranser_per_nät,'Leveranser per nät'!P$1,FALSE)/VLOOKUP("Borås",Korrigeringsfaktor_EI,'Korrigeringsfaktor EI'!P$1,FALSE),
"")</f>
        <v>34.327422680412369</v>
      </c>
      <c r="Q399" s="18">
        <f>IFERROR(
                  Andel_oberoende_av_klimat*VLOOKUP($A399,Leveranser_per_nät,'Leveranser per nät'!Q$1,FALSE)
               +Andel_beroende_av_klimat*VLOOKUP($A399,Leveranser_per_nät,'Leveranser per nät'!Q$1,FALSE)/VLOOKUP("Borås",Korrigeringsfaktor_EI,'Korrigeringsfaktor EI'!Q$1,FALSE),
"")</f>
        <v>39.62911504424779</v>
      </c>
      <c r="R399" s="18">
        <f>IFERROR(
                  Andel_oberoende_av_klimat*VLOOKUP($A399,Leveranser_per_nät,'Leveranser per nät'!R$1,FALSE)
               +Andel_beroende_av_klimat*VLOOKUP($A399,Leveranser_per_nät,'Leveranser per nät'!R$1,FALSE)/VLOOKUP("Borås",Korrigeringsfaktor_EI,'Korrigeringsfaktor EI'!R$1,FALSE),
"")</f>
        <v>37.29510638297873</v>
      </c>
      <c r="S399" s="18">
        <f>IFERROR(
                  Andel_oberoende_av_klimat*VLOOKUP($A399,Leveranser_per_nät,'Leveranser per nät'!S$1,FALSE)
               +Andel_beroende_av_klimat*VLOOKUP($A399,Leveranser_per_nät,'Leveranser per nät'!S$1,FALSE)/VLOOKUP("Borås",Korrigeringsfaktor_EI,'Korrigeringsfaktor EI'!S$1,FALSE),
"")</f>
        <v>39.184466019417478</v>
      </c>
      <c r="T399" s="18">
        <f>IFERROR(
                  Andel_oberoende_av_klimat*VLOOKUP($A399,Leveranser_per_nät,'Leveranser per nät'!T$1,FALSE)
               +Andel_beroende_av_klimat*VLOOKUP($A399,Leveranser_per_nät,'Leveranser per nät'!T$1,FALSE)/VLOOKUP("Borås",Korrigeringsfaktor_EI,'Korrigeringsfaktor EI'!T$1,FALSE),
"")</f>
        <v>38.314005050505052</v>
      </c>
      <c r="U399" s="18">
        <f>IFERROR(
                  Andel_oberoende_av_klimat*VLOOKUP($A399,Leveranser_per_nät,'Leveranser per nät'!U$1,FALSE)
               +Andel_beroende_av_klimat*VLOOKUP($A399,Leveranser_per_nät,'Leveranser per nät'!U$1,FALSE)/VLOOKUP("Borås",Korrigeringsfaktor_EI,'Korrigeringsfaktor EI'!U$1,FALSE),
"")</f>
        <v>35.834412359550562</v>
      </c>
      <c r="V399" s="18">
        <f>IFERROR(
                  Andel_oberoende_av_klimat*VLOOKUP($A399,Leveranser_per_nät,'Leveranser per nät'!V$1,FALSE)
               +Andel_beroende_av_klimat*VLOOKUP($A399,Leveranser_per_nät,'Leveranser per nät'!V$1,FALSE)/VLOOKUP("Borås",Korrigeringsfaktor_EI,'Korrigeringsfaktor EI'!V$1,FALSE),
"")</f>
        <v>36.066561702127657</v>
      </c>
      <c r="W399" s="18">
        <f>IFERROR(
                  Andel_oberoende_av_klimat*VLOOKUP($A399,Leveranser_per_nät,'Leveranser per nät'!W$1,FALSE)
               +Andel_beroende_av_klimat*VLOOKUP($A399,Leveranser_per_nät,'Leveranser per nät'!W$1,FALSE)/VLOOKUP("Borås",Korrigeringsfaktor_EI,'Korrigeringsfaktor EI'!W$1,FALSE),
"")</f>
        <v>39.83411340206186</v>
      </c>
      <c r="X399" s="18">
        <f>IFERROR(
                  Andel_oberoende_av_klimat*VLOOKUP($A399,Leveranser_per_nät,'Leveranser per nät'!X$1,FALSE)
               +Andel_beroende_av_klimat*VLOOKUP($A399,Leveranser_per_nät,'Leveranser per nät'!X$1,FALSE)/VLOOKUP("Borås",Korrigeringsfaktor_EI,'Korrigeringsfaktor EI'!X$1,FALSE),
"")</f>
        <v>37.554291666666671</v>
      </c>
      <c r="Y399" s="18">
        <f>IFERROR(
                  Andel_oberoende_av_klimat*VLOOKUP($A399,Leveranser_per_nät,'Leveranser per nät'!Y$1,FALSE)
               +Andel_beroende_av_klimat*VLOOKUP($A399,Leveranser_per_nät,'Leveranser per nät'!Y$1,FALSE)/VLOOKUP($B399,Korrigeringsfaktor_EI,'Korrigeringsfaktor EI'!Y$1,FALSE),
"")</f>
        <v>0</v>
      </c>
      <c r="Z399" s="18">
        <f>IFERROR(
                  Andel_oberoende_av_klimat*VLOOKUP($A399,Leveranser_per_nät,'Leveranser per nät'!Z$1,FALSE)
               +Andel_beroende_av_klimat*VLOOKUP($A399,Leveranser_per_nät,'Leveranser per nät'!Z$1,FALSE)/VLOOKUP($B399,Korrigeringsfaktor_EI,'Korrigeringsfaktor EI'!Z$1,FALSE),
"")</f>
        <v>0</v>
      </c>
      <c r="AA399" s="18">
        <f>IFERROR(
                  Andel_oberoende_av_klimat*VLOOKUP($A399,Leveranser_per_nät,'Leveranser per nät'!AA$1,FALSE)
               +Andel_beroende_av_klimat*VLOOKUP($A399,Leveranser_per_nät,'Leveranser per nät'!AA$1,FALSE)/VLOOKUP($B399,Korrigeringsfaktor_EI,'Korrigeringsfaktor EI'!AA$1,FALSE),
"")</f>
        <v>35.675372879634331</v>
      </c>
      <c r="AB399" s="18">
        <f>IFERROR(
                  Andel_oberoende_av_klimat*VLOOKUP($A399,Leveranser_per_nät,'Leveranser per nät'!AB$1,FALSE)
               +Andel_beroende_av_klimat*VLOOKUP($A399,Leveranser_per_nät,'Leveranser per nät'!AB$1,FALSE)/VLOOKUP($B399,Korrigeringsfaktor_EI,'Korrigeringsfaktor EI'!AB$1,FALSE),
"")</f>
        <v>37.214395771878074</v>
      </c>
      <c r="AC399" s="18">
        <f>IFERROR(
                  Andel_oberoende_av_klimat*VLOOKUP($A399,Leveranser_per_nät,'Leveranser per nät'!AC$1,FALSE)
               +Andel_beroende_av_klimat*VLOOKUP($A399,Leveranser_per_nät,'Leveranser per nät'!AC$1,FALSE)/VLOOKUP($B399,Korrigeringsfaktor_EI,'Korrigeringsfaktor EI'!AC$1,FALSE),
"")</f>
        <v>35.659578481012659</v>
      </c>
      <c r="AD399">
        <v>34.341000000000001</v>
      </c>
    </row>
    <row r="400" spans="1:30" x14ac:dyDescent="0.25">
      <c r="A400" t="s">
        <v>425</v>
      </c>
      <c r="B400" t="s">
        <v>518</v>
      </c>
      <c r="C400" s="18">
        <f>IFERROR(
                  Andel_oberoende_av_klimat*VLOOKUP($A400,Leveranser_per_nät,'Leveranser per nät'!C$1,FALSE)
               +Andel_beroende_av_klimat*VLOOKUP($A400,Leveranser_per_nät,'Leveranser per nät'!C$1,FALSE)/VLOOKUP($B400,Korrigeringsfaktor_EI,'Korrigeringsfaktor EI'!C$1,FALSE),
"")</f>
        <v>0</v>
      </c>
      <c r="D400" s="18">
        <f>IFERROR(
                  Andel_oberoende_av_klimat*VLOOKUP($A400,Leveranser_per_nät,'Leveranser per nät'!D$1,FALSE)
               +Andel_beroende_av_klimat*VLOOKUP($A400,Leveranser_per_nät,'Leveranser per nät'!D$1,FALSE)/VLOOKUP($B400,Korrigeringsfaktor_EI,'Korrigeringsfaktor EI'!D$1,FALSE),
"")</f>
        <v>0</v>
      </c>
      <c r="E400" s="18">
        <f>IFERROR(
                  Andel_oberoende_av_klimat*VLOOKUP($A400,Leveranser_per_nät,'Leveranser per nät'!E$1,FALSE)
               +Andel_beroende_av_klimat*VLOOKUP($A400,Leveranser_per_nät,'Leveranser per nät'!E$1,FALSE)/VLOOKUP($B400,Korrigeringsfaktor_EI,'Korrigeringsfaktor EI'!E$1,FALSE),
"")</f>
        <v>0</v>
      </c>
      <c r="F400" s="18">
        <f>IFERROR(
                  Andel_oberoende_av_klimat*VLOOKUP($A400,Leveranser_per_nät,'Leveranser per nät'!F$1,FALSE)
               +Andel_beroende_av_klimat*VLOOKUP($A400,Leveranser_per_nät,'Leveranser per nät'!F$1,FALSE)/VLOOKUP($B400,Korrigeringsfaktor_EI,'Korrigeringsfaktor EI'!F$1,FALSE),
"")</f>
        <v>0</v>
      </c>
      <c r="G400" s="18">
        <f>IFERROR(
                  Andel_oberoende_av_klimat*VLOOKUP($A400,Leveranser_per_nät,'Leveranser per nät'!G$1,FALSE)
               +Andel_beroende_av_klimat*VLOOKUP($A400,Leveranser_per_nät,'Leveranser per nät'!G$1,FALSE)/VLOOKUP($B400,Korrigeringsfaktor_EI,'Korrigeringsfaktor EI'!G$1,FALSE),
"")</f>
        <v>0</v>
      </c>
      <c r="H400" s="18">
        <f>IFERROR(
                  Andel_oberoende_av_klimat*VLOOKUP($A400,Leveranser_per_nät,'Leveranser per nät'!H$1,FALSE)
               +Andel_beroende_av_klimat*VLOOKUP($A400,Leveranser_per_nät,'Leveranser per nät'!H$1,FALSE)/VLOOKUP($B400,Korrigeringsfaktor_EI,'Korrigeringsfaktor EI'!H$1,FALSE),
"")</f>
        <v>0</v>
      </c>
      <c r="I400" s="18">
        <f>IFERROR(
                  Andel_oberoende_av_klimat*VLOOKUP($A400,Leveranser_per_nät,'Leveranser per nät'!I$1,FALSE)
               +Andel_beroende_av_klimat*VLOOKUP($A400,Leveranser_per_nät,'Leveranser per nät'!I$1,FALSE)/VLOOKUP($B400,Korrigeringsfaktor_EI,'Korrigeringsfaktor EI'!I$1,FALSE),
"")</f>
        <v>5.1842105263157903</v>
      </c>
      <c r="J400" s="18">
        <f>IFERROR(
                  Andel_oberoende_av_klimat*VLOOKUP($A400,Leveranser_per_nät,'Leveranser per nät'!J$1,FALSE)
               +Andel_beroende_av_klimat*VLOOKUP($A400,Leveranser_per_nät,'Leveranser per nät'!J$1,FALSE)/VLOOKUP($B400,Korrigeringsfaktor_EI,'Korrigeringsfaktor EI'!J$1,FALSE),
"")</f>
        <v>6.1298969072164944</v>
      </c>
      <c r="K400" s="18">
        <f>IFERROR(
                  Andel_oberoende_av_klimat*VLOOKUP($A400,Leveranser_per_nät,'Leveranser per nät'!K$1,FALSE)
               +Andel_beroende_av_klimat*VLOOKUP($A400,Leveranser_per_nät,'Leveranser per nät'!K$1,FALSE)/VLOOKUP($B400,Korrigeringsfaktor_EI,'Korrigeringsfaktor EI'!K$1,FALSE),
"")</f>
        <v>0</v>
      </c>
      <c r="L400" s="18">
        <f>IFERROR(
                  Andel_oberoende_av_klimat*VLOOKUP($A400,Leveranser_per_nät,'Leveranser per nät'!L$1,FALSE)
               +Andel_beroende_av_klimat*VLOOKUP($A400,Leveranser_per_nät,'Leveranser per nät'!L$1,FALSE)/VLOOKUP($B400,Korrigeringsfaktor_EI,'Korrigeringsfaktor EI'!L$1,FALSE),
"")</f>
        <v>0</v>
      </c>
      <c r="M400" s="18">
        <f>IFERROR(
                  Andel_oberoende_av_klimat*VLOOKUP($A400,Leveranser_per_nät,'Leveranser per nät'!M$1,FALSE)
               +Andel_beroende_av_klimat*VLOOKUP($A400,Leveranser_per_nät,'Leveranser per nät'!M$1,FALSE)/VLOOKUP($B400,Korrigeringsfaktor_EI,'Korrigeringsfaktor EI'!M$1,FALSE),
"")</f>
        <v>0</v>
      </c>
      <c r="N400" s="18">
        <f>IFERROR(
                  Andel_oberoende_av_klimat*VLOOKUP($A400,Leveranser_per_nät,'Leveranser per nät'!N$1,FALSE)
               +Andel_beroende_av_klimat*VLOOKUP($A400,Leveranser_per_nät,'Leveranser per nät'!N$1,FALSE)/VLOOKUP($B400,Korrigeringsfaktor_EI,'Korrigeringsfaktor EI'!N$1,FALSE),
"")</f>
        <v>0</v>
      </c>
      <c r="O400" s="18">
        <f>IFERROR(
                  Andel_oberoende_av_klimat*VLOOKUP($A400,Leveranser_per_nät,'Leveranser per nät'!O$1,FALSE)
               +Andel_beroende_av_klimat*VLOOKUP($A400,Leveranser_per_nät,'Leveranser per nät'!O$1,FALSE)/VLOOKUP($B400,Korrigeringsfaktor_EI,'Korrigeringsfaktor EI'!O$1,FALSE),
"")</f>
        <v>0</v>
      </c>
      <c r="P400" s="18">
        <f>IFERROR(
                  Andel_oberoende_av_klimat*VLOOKUP($A400,Leveranser_per_nät,'Leveranser per nät'!P$1,FALSE)
               +Andel_beroende_av_klimat*VLOOKUP($A400,Leveranser_per_nät,'Leveranser per nät'!P$1,FALSE)/VLOOKUP($B400,Korrigeringsfaktor_EI,'Korrigeringsfaktor EI'!P$1,FALSE),
"")</f>
        <v>0</v>
      </c>
      <c r="Q400" s="18">
        <f>IFERROR(
                  Andel_oberoende_av_klimat*VLOOKUP($A400,Leveranser_per_nät,'Leveranser per nät'!Q$1,FALSE)
               +Andel_beroende_av_klimat*VLOOKUP($A400,Leveranser_per_nät,'Leveranser per nät'!Q$1,FALSE)/VLOOKUP($B400,Korrigeringsfaktor_EI,'Korrigeringsfaktor EI'!Q$1,FALSE),
"")</f>
        <v>0</v>
      </c>
      <c r="R400" s="18">
        <f>IFERROR(
                  Andel_oberoende_av_klimat*VLOOKUP($A400,Leveranser_per_nät,'Leveranser per nät'!R$1,FALSE)
               +Andel_beroende_av_klimat*VLOOKUP($A400,Leveranser_per_nät,'Leveranser per nät'!R$1,FALSE)/VLOOKUP($B400,Korrigeringsfaktor_EI,'Korrigeringsfaktor EI'!R$1,FALSE),
"")</f>
        <v>0</v>
      </c>
      <c r="S400" s="18">
        <f>IFERROR(
                  Andel_oberoende_av_klimat*VLOOKUP($A400,Leveranser_per_nät,'Leveranser per nät'!S$1,FALSE)
               +Andel_beroende_av_klimat*VLOOKUP($A400,Leveranser_per_nät,'Leveranser per nät'!S$1,FALSE)/VLOOKUP($B400,Korrigeringsfaktor_EI,'Korrigeringsfaktor EI'!S$1,FALSE),
"")</f>
        <v>0</v>
      </c>
      <c r="T400" s="18" t="str">
        <f>IFERROR(
                  Andel_oberoende_av_klimat*VLOOKUP($A400,Leveranser_per_nät,'Leveranser per nät'!T$1,FALSE)
               +Andel_beroende_av_klimat*VLOOKUP($A400,Leveranser_per_nät,'Leveranser per nät'!T$1,FALSE)/VLOOKUP($B400,Korrigeringsfaktor_EI,'Korrigeringsfaktor EI'!T$1,FALSE),
"")</f>
        <v/>
      </c>
      <c r="U400" s="18" t="str">
        <f>IFERROR(
                  Andel_oberoende_av_klimat*VLOOKUP($A400,Leveranser_per_nät,'Leveranser per nät'!U$1,FALSE)
               +Andel_beroende_av_klimat*VLOOKUP($A400,Leveranser_per_nät,'Leveranser per nät'!U$1,FALSE)/VLOOKUP($B400,Korrigeringsfaktor_EI,'Korrigeringsfaktor EI'!U$1,FALSE),
"")</f>
        <v/>
      </c>
      <c r="V400" s="18" t="str">
        <f>IFERROR(
                  Andel_oberoende_av_klimat*VLOOKUP($A400,Leveranser_per_nät,'Leveranser per nät'!V$1,FALSE)
               +Andel_beroende_av_klimat*VLOOKUP($A400,Leveranser_per_nät,'Leveranser per nät'!V$1,FALSE)/VLOOKUP($B400,Korrigeringsfaktor_EI,'Korrigeringsfaktor EI'!V$1,FALSE),
"")</f>
        <v/>
      </c>
      <c r="W400" s="18" t="str">
        <f>IFERROR(
                  Andel_oberoende_av_klimat*VLOOKUP($A400,Leveranser_per_nät,'Leveranser per nät'!W$1,FALSE)
               +Andel_beroende_av_klimat*VLOOKUP($A400,Leveranser_per_nät,'Leveranser per nät'!W$1,FALSE)/VLOOKUP($B400,Korrigeringsfaktor_EI,'Korrigeringsfaktor EI'!W$1,FALSE),
"")</f>
        <v/>
      </c>
      <c r="X400" s="18" t="str">
        <f>IFERROR(
                  Andel_oberoende_av_klimat*VLOOKUP($A400,Leveranser_per_nät,'Leveranser per nät'!X$1,FALSE)
               +Andel_beroende_av_klimat*VLOOKUP($A400,Leveranser_per_nät,'Leveranser per nät'!X$1,FALSE)/VLOOKUP($B400,Korrigeringsfaktor_EI,'Korrigeringsfaktor EI'!X$1,FALSE),
"")</f>
        <v/>
      </c>
      <c r="Y400" s="18" t="str">
        <f>IFERROR(
                  Andel_oberoende_av_klimat*VLOOKUP($A400,Leveranser_per_nät,'Leveranser per nät'!Y$1,FALSE)
               +Andel_beroende_av_klimat*VLOOKUP($A400,Leveranser_per_nät,'Leveranser per nät'!Y$1,FALSE)/VLOOKUP($B400,Korrigeringsfaktor_EI,'Korrigeringsfaktor EI'!Y$1,FALSE),
"")</f>
        <v/>
      </c>
      <c r="Z400" s="18">
        <f>IFERROR(
                  Andel_oberoende_av_klimat*VLOOKUP($A400,Leveranser_per_nät,'Leveranser per nät'!Z$1,FALSE)
               +Andel_beroende_av_klimat*VLOOKUP($A400,Leveranser_per_nät,'Leveranser per nät'!Z$1,FALSE)/VLOOKUP($B400,Korrigeringsfaktor_EI,'Korrigeringsfaktor EI'!Z$1,FALSE),
"")</f>
        <v>0</v>
      </c>
      <c r="AA400" s="18" t="str">
        <f>IFERROR(
                  Andel_oberoende_av_klimat*VLOOKUP($A400,Leveranser_per_nät,'Leveranser per nät'!AA$1,FALSE)
               +Andel_beroende_av_klimat*VLOOKUP($A400,Leveranser_per_nät,'Leveranser per nät'!AA$1,FALSE)/VLOOKUP($B400,Korrigeringsfaktor_EI,'Korrigeringsfaktor EI'!AA$1,FALSE),
"")</f>
        <v/>
      </c>
      <c r="AB400" s="18">
        <f>IFERROR(
                  Andel_oberoende_av_klimat*VLOOKUP($A400,Leveranser_per_nät,'Leveranser per nät'!AB$1,FALSE)
               +Andel_beroende_av_klimat*VLOOKUP($A400,Leveranser_per_nät,'Leveranser per nät'!AB$1,FALSE)/VLOOKUP($B400,Korrigeringsfaktor_EI,'Korrigeringsfaktor EI'!AB$1,FALSE),
"")</f>
        <v>0</v>
      </c>
      <c r="AC400" s="18">
        <f>IFERROR(
                  Andel_oberoende_av_klimat*VLOOKUP($A400,Leveranser_per_nät,'Leveranser per nät'!AC$1,FALSE)
               +Andel_beroende_av_klimat*VLOOKUP($A400,Leveranser_per_nät,'Leveranser per nät'!AC$1,FALSE)/VLOOKUP($B400,Korrigeringsfaktor_EI,'Korrigeringsfaktor EI'!AC$1,FALSE),
"")</f>
        <v>0</v>
      </c>
      <c r="AD400" t="e">
        <v>#N/A</v>
      </c>
    </row>
    <row r="401" spans="1:30" x14ac:dyDescent="0.25">
      <c r="A401" t="s">
        <v>112</v>
      </c>
      <c r="B401" t="s">
        <v>110</v>
      </c>
      <c r="C401" s="18">
        <f>IFERROR(
                  Andel_oberoende_av_klimat*VLOOKUP($A401,Leveranser_per_nät,'Leveranser per nät'!C$1,FALSE)
               +Andel_beroende_av_klimat*VLOOKUP($A401,Leveranser_per_nät,'Leveranser per nät'!C$1,FALSE)/VLOOKUP($B401,Korrigeringsfaktor_EI,'Korrigeringsfaktor EI'!C$1,FALSE),
"")</f>
        <v>0</v>
      </c>
      <c r="D401" s="18">
        <f>IFERROR(
                  Andel_oberoende_av_klimat*VLOOKUP($A401,Leveranser_per_nät,'Leveranser per nät'!D$1,FALSE)
               +Andel_beroende_av_klimat*VLOOKUP($A401,Leveranser_per_nät,'Leveranser per nät'!D$1,FALSE)/VLOOKUP($B401,Korrigeringsfaktor_EI,'Korrigeringsfaktor EI'!D$1,FALSE),
"")</f>
        <v>0</v>
      </c>
      <c r="E401" s="18">
        <f>IFERROR(
                  Andel_oberoende_av_klimat*VLOOKUP($A401,Leveranser_per_nät,'Leveranser per nät'!E$1,FALSE)
               +Andel_beroende_av_klimat*VLOOKUP($A401,Leveranser_per_nät,'Leveranser per nät'!E$1,FALSE)/VLOOKUP($B401,Korrigeringsfaktor_EI,'Korrigeringsfaktor EI'!E$1,FALSE),
"")</f>
        <v>0</v>
      </c>
      <c r="F401" s="18">
        <f>IFERROR(
                  Andel_oberoende_av_klimat*VLOOKUP($A401,Leveranser_per_nät,'Leveranser per nät'!F$1,FALSE)
               +Andel_beroende_av_klimat*VLOOKUP($A401,Leveranser_per_nät,'Leveranser per nät'!F$1,FALSE)/VLOOKUP($B401,Korrigeringsfaktor_EI,'Korrigeringsfaktor EI'!F$1,FALSE),
"")</f>
        <v>0</v>
      </c>
      <c r="G401" s="18">
        <f>IFERROR(
                  Andel_oberoende_av_klimat*VLOOKUP($A401,Leveranser_per_nät,'Leveranser per nät'!G$1,FALSE)
               +Andel_beroende_av_klimat*VLOOKUP($A401,Leveranser_per_nät,'Leveranser per nät'!G$1,FALSE)/VLOOKUP($B401,Korrigeringsfaktor_EI,'Korrigeringsfaktor EI'!G$1,FALSE),
"")</f>
        <v>0</v>
      </c>
      <c r="H401" s="18">
        <f>IFERROR(
                  Andel_oberoende_av_klimat*VLOOKUP($A401,Leveranser_per_nät,'Leveranser per nät'!H$1,FALSE)
               +Andel_beroende_av_klimat*VLOOKUP($A401,Leveranser_per_nät,'Leveranser per nät'!H$1,FALSE)/VLOOKUP($B401,Korrigeringsfaktor_EI,'Korrigeringsfaktor EI'!H$1,FALSE),
"")</f>
        <v>0</v>
      </c>
      <c r="I401" s="18">
        <f>IFERROR(
                  Andel_oberoende_av_klimat*VLOOKUP($A401,Leveranser_per_nät,'Leveranser per nät'!I$1,FALSE)
               +Andel_beroende_av_klimat*VLOOKUP($A401,Leveranser_per_nät,'Leveranser per nät'!I$1,FALSE)/VLOOKUP($B401,Korrigeringsfaktor_EI,'Korrigeringsfaktor EI'!I$1,FALSE),
"")</f>
        <v>0</v>
      </c>
      <c r="J401" s="18">
        <f>IFERROR(
                  Andel_oberoende_av_klimat*VLOOKUP($A401,Leveranser_per_nät,'Leveranser per nät'!J$1,FALSE)
               +Andel_beroende_av_klimat*VLOOKUP($A401,Leveranser_per_nät,'Leveranser per nät'!J$1,FALSE)/VLOOKUP($B401,Korrigeringsfaktor_EI,'Korrigeringsfaktor EI'!J$1,FALSE),
"")</f>
        <v>0</v>
      </c>
      <c r="K401" s="18">
        <f>IFERROR(
                  Andel_oberoende_av_klimat*VLOOKUP($A401,Leveranser_per_nät,'Leveranser per nät'!K$1,FALSE)
               +Andel_beroende_av_klimat*VLOOKUP($A401,Leveranser_per_nät,'Leveranser per nät'!K$1,FALSE)/VLOOKUP($B401,Korrigeringsfaktor_EI,'Korrigeringsfaktor EI'!K$1,FALSE),
"")</f>
        <v>3.3458208333333332</v>
      </c>
      <c r="L401" s="18">
        <f>IFERROR(
                  Andel_oberoende_av_klimat*VLOOKUP($A401,Leveranser_per_nät,'Leveranser per nät'!L$1,FALSE)
               +Andel_beroende_av_klimat*VLOOKUP($A401,Leveranser_per_nät,'Leveranser per nät'!L$1,FALSE)/VLOOKUP($B401,Korrigeringsfaktor_EI,'Korrigeringsfaktor EI'!L$1,FALSE),
"")</f>
        <v>4.7370967741935477</v>
      </c>
      <c r="M401" s="18">
        <f>IFERROR(
                  Andel_oberoende_av_klimat*VLOOKUP($A401,Leveranser_per_nät,'Leveranser per nät'!M$1,FALSE)
               +Andel_beroende_av_klimat*VLOOKUP($A401,Leveranser_per_nät,'Leveranser per nät'!M$1,FALSE)/VLOOKUP($B401,Korrigeringsfaktor_EI,'Korrigeringsfaktor EI'!M$1,FALSE),
"")</f>
        <v>5.271411111111111</v>
      </c>
      <c r="N401" s="18">
        <f>IFERROR(
                  Andel_oberoende_av_klimat*VLOOKUP($A401,Leveranser_per_nät,'Leveranser per nät'!N$1,FALSE)
               +Andel_beroende_av_klimat*VLOOKUP($A401,Leveranser_per_nät,'Leveranser per nät'!N$1,FALSE)/VLOOKUP($B401,Korrigeringsfaktor_EI,'Korrigeringsfaktor EI'!N$1,FALSE),
"")</f>
        <v>5.2574076923076918</v>
      </c>
      <c r="O401" s="18">
        <f>IFERROR(
                  Andel_oberoende_av_klimat*VLOOKUP($A401,Leveranser_per_nät,'Leveranser per nät'!O$1,FALSE)
               +Andel_beroende_av_klimat*VLOOKUP($A401,Leveranser_per_nät,'Leveranser per nät'!O$1,FALSE)/VLOOKUP($B401,Korrigeringsfaktor_EI,'Korrigeringsfaktor EI'!O$1,FALSE),
"")</f>
        <v>5.3339222222222222</v>
      </c>
      <c r="P401" s="18">
        <f>IFERROR(
                  Andel_oberoende_av_klimat*VLOOKUP($A401,Leveranser_per_nät,'Leveranser per nät'!P$1,FALSE)
               +Andel_beroende_av_klimat*VLOOKUP($A401,Leveranser_per_nät,'Leveranser per nät'!P$1,FALSE)/VLOOKUP($B401,Korrigeringsfaktor_EI,'Korrigeringsfaktor EI'!P$1,FALSE),
"")</f>
        <v>5.1458333333333339</v>
      </c>
      <c r="Q401" s="18">
        <f>IFERROR(
                  Andel_oberoende_av_klimat*VLOOKUP($A401,Leveranser_per_nät,'Leveranser per nät'!Q$1,FALSE)
               +Andel_beroende_av_klimat*VLOOKUP($A401,Leveranser_per_nät,'Leveranser per nät'!Q$1,FALSE)/VLOOKUP($B401,Korrigeringsfaktor_EI,'Korrigeringsfaktor EI'!Q$1,FALSE),
"")</f>
        <v>5.1134818181818176</v>
      </c>
      <c r="R401" s="18">
        <f>IFERROR(
                  Andel_oberoende_av_klimat*VLOOKUP($A401,Leveranser_per_nät,'Leveranser per nät'!R$1,FALSE)
               +Andel_beroende_av_klimat*VLOOKUP($A401,Leveranser_per_nät,'Leveranser per nät'!R$1,FALSE)/VLOOKUP($B401,Korrigeringsfaktor_EI,'Korrigeringsfaktor EI'!R$1,FALSE),
"")</f>
        <v>5.2467898876404497</v>
      </c>
      <c r="S401" s="18">
        <f>IFERROR(
                  Andel_oberoende_av_klimat*VLOOKUP($A401,Leveranser_per_nät,'Leveranser per nät'!S$1,FALSE)
               +Andel_beroende_av_klimat*VLOOKUP($A401,Leveranser_per_nät,'Leveranser per nät'!S$1,FALSE)/VLOOKUP($B401,Korrigeringsfaktor_EI,'Korrigeringsfaktor EI'!S$1,FALSE),
"")</f>
        <v>5.2641428571428577</v>
      </c>
      <c r="T401" s="18">
        <f>IFERROR(
                  Andel_oberoende_av_klimat*VLOOKUP($A401,Leveranser_per_nät,'Leveranser per nät'!T$1,FALSE)
               +Andel_beroende_av_klimat*VLOOKUP($A401,Leveranser_per_nät,'Leveranser per nät'!T$1,FALSE)/VLOOKUP($B401,Korrigeringsfaktor_EI,'Korrigeringsfaktor EI'!T$1,FALSE),
"")</f>
        <v>5.0667130434782601</v>
      </c>
      <c r="U401" s="18">
        <f>IFERROR(
                  Andel_oberoende_av_klimat*VLOOKUP($A401,Leveranser_per_nät,'Leveranser per nät'!U$1,FALSE)
               +Andel_beroende_av_klimat*VLOOKUP($A401,Leveranser_per_nät,'Leveranser per nät'!U$1,FALSE)/VLOOKUP($B401,Korrigeringsfaktor_EI,'Korrigeringsfaktor EI'!U$1,FALSE),
"")</f>
        <v>4.863818181818182</v>
      </c>
      <c r="V401" s="18">
        <f>IFERROR(
                  Andel_oberoende_av_klimat*VLOOKUP($A401,Leveranser_per_nät,'Leveranser per nät'!V$1,FALSE)
               +Andel_beroende_av_klimat*VLOOKUP($A401,Leveranser_per_nät,'Leveranser per nät'!V$1,FALSE)/VLOOKUP($B401,Korrigeringsfaktor_EI,'Korrigeringsfaktor EI'!V$1,FALSE),
"")</f>
        <v>4.8784606741573029</v>
      </c>
      <c r="W401" s="18">
        <f>IFERROR(
                  Andel_oberoende_av_klimat*VLOOKUP($A401,Leveranser_per_nät,'Leveranser per nät'!W$1,FALSE)
               +Andel_beroende_av_klimat*VLOOKUP($A401,Leveranser_per_nät,'Leveranser per nät'!W$1,FALSE)/VLOOKUP($B401,Korrigeringsfaktor_EI,'Korrigeringsfaktor EI'!W$1,FALSE),
"")</f>
        <v>4.8264255319148939</v>
      </c>
      <c r="X401" s="18">
        <f>IFERROR(
                  Andel_oberoende_av_klimat*VLOOKUP($A401,Leveranser_per_nät,'Leveranser per nät'!X$1,FALSE)
               +Andel_beroende_av_klimat*VLOOKUP($A401,Leveranser_per_nät,'Leveranser per nät'!X$1,FALSE)/VLOOKUP($B401,Korrigeringsfaktor_EI,'Korrigeringsfaktor EI'!X$1,FALSE),
"")</f>
        <v>4.945736842105263</v>
      </c>
      <c r="Y401" s="18">
        <f>IFERROR(
                  Andel_oberoende_av_klimat*VLOOKUP($A401,Leveranser_per_nät,'Leveranser per nät'!Y$1,FALSE)
               +Andel_beroende_av_klimat*VLOOKUP($A401,Leveranser_per_nät,'Leveranser per nät'!Y$1,FALSE)/VLOOKUP($B401,Korrigeringsfaktor_EI,'Korrigeringsfaktor EI'!Y$1,FALSE),
"")</f>
        <v>5.1770434782608694</v>
      </c>
      <c r="Z401" s="18">
        <f>IFERROR(
                  Andel_oberoende_av_klimat*VLOOKUP($A401,Leveranser_per_nät,'Leveranser per nät'!Z$1,FALSE)
               +Andel_beroende_av_klimat*VLOOKUP($A401,Leveranser_per_nät,'Leveranser per nät'!Z$1,FALSE)/VLOOKUP($B401,Korrigeringsfaktor_EI,'Korrigeringsfaktor EI'!Z$1,FALSE),
"")</f>
        <v>5.1452173913043477</v>
      </c>
      <c r="AA401" s="18">
        <f>IFERROR(
                  Andel_oberoende_av_klimat*VLOOKUP($A401,Leveranser_per_nät,'Leveranser per nät'!AA$1,FALSE)
               +Andel_beroende_av_klimat*VLOOKUP($A401,Leveranser_per_nät,'Leveranser per nät'!AA$1,FALSE)/VLOOKUP($B401,Korrigeringsfaktor_EI,'Korrigeringsfaktor EI'!AA$1,FALSE),
"")</f>
        <v>4.5709792298716447</v>
      </c>
      <c r="AB401" s="18">
        <f>IFERROR(
                  Andel_oberoende_av_klimat*VLOOKUP($A401,Leveranser_per_nät,'Leveranser per nät'!AB$1,FALSE)
               +Andel_beroende_av_klimat*VLOOKUP($A401,Leveranser_per_nät,'Leveranser per nät'!AB$1,FALSE)/VLOOKUP($B401,Korrigeringsfaktor_EI,'Korrigeringsfaktor EI'!AB$1,FALSE),
"")</f>
        <v>4.7069841112214501</v>
      </c>
      <c r="AC401" s="18">
        <f>IFERROR(
                  Andel_oberoende_av_klimat*VLOOKUP($A401,Leveranser_per_nät,'Leveranser per nät'!AC$1,FALSE)
               +Andel_beroende_av_klimat*VLOOKUP($A401,Leveranser_per_nät,'Leveranser per nät'!AC$1,FALSE)/VLOOKUP($B401,Korrigeringsfaktor_EI,'Korrigeringsfaktor EI'!AC$1,FALSE),
"")</f>
        <v>4.4156490134994808</v>
      </c>
      <c r="AD401">
        <v>374.2</v>
      </c>
    </row>
    <row r="402" spans="1:30" x14ac:dyDescent="0.25">
      <c r="A402" t="s">
        <v>120</v>
      </c>
      <c r="B402" t="s">
        <v>120</v>
      </c>
      <c r="C402" s="18">
        <f>IFERROR(
                  Andel_oberoende_av_klimat*VLOOKUP($A402,Leveranser_per_nät,'Leveranser per nät'!C$1,FALSE)
               +Andel_beroende_av_klimat*VLOOKUP($A402,Leveranser_per_nät,'Leveranser per nät'!C$1,FALSE)/VLOOKUP($B402,Korrigeringsfaktor_EI,'Korrigeringsfaktor EI'!C$1,FALSE),
"")</f>
        <v>0</v>
      </c>
      <c r="D402" s="18">
        <f>IFERROR(
                  Andel_oberoende_av_klimat*VLOOKUP($A402,Leveranser_per_nät,'Leveranser per nät'!D$1,FALSE)
               +Andel_beroende_av_klimat*VLOOKUP($A402,Leveranser_per_nät,'Leveranser per nät'!D$1,FALSE)/VLOOKUP($B402,Korrigeringsfaktor_EI,'Korrigeringsfaktor EI'!D$1,FALSE),
"")</f>
        <v>0</v>
      </c>
      <c r="E402" s="18">
        <f>IFERROR(
                  Andel_oberoende_av_klimat*VLOOKUP($A402,Leveranser_per_nät,'Leveranser per nät'!E$1,FALSE)
               +Andel_beroende_av_klimat*VLOOKUP($A402,Leveranser_per_nät,'Leveranser per nät'!E$1,FALSE)/VLOOKUP($B402,Korrigeringsfaktor_EI,'Korrigeringsfaktor EI'!E$1,FALSE),
"")</f>
        <v>0</v>
      </c>
      <c r="F402" s="18">
        <f>IFERROR(
                  Andel_oberoende_av_klimat*VLOOKUP($A402,Leveranser_per_nät,'Leveranser per nät'!F$1,FALSE)
               +Andel_beroende_av_klimat*VLOOKUP($A402,Leveranser_per_nät,'Leveranser per nät'!F$1,FALSE)/VLOOKUP($B402,Korrigeringsfaktor_EI,'Korrigeringsfaktor EI'!F$1,FALSE),
"")</f>
        <v>0</v>
      </c>
      <c r="G402" s="18">
        <f>IFERROR(
                  Andel_oberoende_av_klimat*VLOOKUP($A402,Leveranser_per_nät,'Leveranser per nät'!G$1,FALSE)
               +Andel_beroende_av_klimat*VLOOKUP($A402,Leveranser_per_nät,'Leveranser per nät'!G$1,FALSE)/VLOOKUP($B402,Korrigeringsfaktor_EI,'Korrigeringsfaktor EI'!G$1,FALSE),
"")</f>
        <v>32.333333333333336</v>
      </c>
      <c r="H402" s="18">
        <f>IFERROR(
                  Andel_oberoende_av_klimat*VLOOKUP($A402,Leveranser_per_nät,'Leveranser per nät'!H$1,FALSE)
               +Andel_beroende_av_klimat*VLOOKUP($A402,Leveranser_per_nät,'Leveranser per nät'!H$1,FALSE)/VLOOKUP($B402,Korrigeringsfaktor_EI,'Korrigeringsfaktor EI'!H$1,FALSE),
"")</f>
        <v>27.805940594059408</v>
      </c>
      <c r="I402" s="18">
        <f>IFERROR(
                  Andel_oberoende_av_klimat*VLOOKUP($A402,Leveranser_per_nät,'Leveranser per nät'!I$1,FALSE)
               +Andel_beroende_av_klimat*VLOOKUP($A402,Leveranser_per_nät,'Leveranser per nät'!I$1,FALSE)/VLOOKUP($B402,Korrigeringsfaktor_EI,'Korrigeringsfaktor EI'!I$1,FALSE),
"")</f>
        <v>42.193102061855669</v>
      </c>
      <c r="J402" s="18">
        <f>IFERROR(
                  Andel_oberoende_av_klimat*VLOOKUP($A402,Leveranser_per_nät,'Leveranser per nät'!J$1,FALSE)
               +Andel_beroende_av_klimat*VLOOKUP($A402,Leveranser_per_nät,'Leveranser per nät'!J$1,FALSE)/VLOOKUP($B402,Korrigeringsfaktor_EI,'Korrigeringsfaktor EI'!J$1,FALSE),
"")</f>
        <v>43.930927835051548</v>
      </c>
      <c r="K402" s="18">
        <f>IFERROR(
                  Andel_oberoende_av_klimat*VLOOKUP($A402,Leveranser_per_nät,'Leveranser per nät'!K$1,FALSE)
               +Andel_beroende_av_klimat*VLOOKUP($A402,Leveranser_per_nät,'Leveranser per nät'!K$1,FALSE)/VLOOKUP($B402,Korrigeringsfaktor_EI,'Korrigeringsfaktor EI'!K$1,FALSE),
"")</f>
        <v>0</v>
      </c>
      <c r="L402" s="18">
        <f>IFERROR(
                  Andel_oberoende_av_klimat*VLOOKUP($A402,Leveranser_per_nät,'Leveranser per nät'!L$1,FALSE)
               +Andel_beroende_av_klimat*VLOOKUP($A402,Leveranser_per_nät,'Leveranser per nät'!L$1,FALSE)/VLOOKUP($B402,Korrigeringsfaktor_EI,'Korrigeringsfaktor EI'!L$1,FALSE),
"")</f>
        <v>0</v>
      </c>
      <c r="M402" s="18">
        <f>IFERROR(
                  Andel_oberoende_av_klimat*VLOOKUP($A402,Leveranser_per_nät,'Leveranser per nät'!M$1,FALSE)
               +Andel_beroende_av_klimat*VLOOKUP($A402,Leveranser_per_nät,'Leveranser per nät'!M$1,FALSE)/VLOOKUP($B402,Korrigeringsfaktor_EI,'Korrigeringsfaktor EI'!M$1,FALSE),
"")</f>
        <v>0</v>
      </c>
      <c r="N402" s="18">
        <f>IFERROR(
                  Andel_oberoende_av_klimat*VLOOKUP($A402,Leveranser_per_nät,'Leveranser per nät'!N$1,FALSE)
               +Andel_beroende_av_klimat*VLOOKUP($A402,Leveranser_per_nät,'Leveranser per nät'!N$1,FALSE)/VLOOKUP($B402,Korrigeringsfaktor_EI,'Korrigeringsfaktor EI'!N$1,FALSE),
"")</f>
        <v>0</v>
      </c>
      <c r="O402" s="18">
        <f>IFERROR(
                  Andel_oberoende_av_klimat*VLOOKUP($A402,Leveranser_per_nät,'Leveranser per nät'!O$1,FALSE)
               +Andel_beroende_av_klimat*VLOOKUP($A402,Leveranser_per_nät,'Leveranser per nät'!O$1,FALSE)/VLOOKUP($B402,Korrigeringsfaktor_EI,'Korrigeringsfaktor EI'!O$1,FALSE),
"")</f>
        <v>64.79538461538462</v>
      </c>
      <c r="P402" s="18">
        <f>IFERROR(
                  Andel_oberoende_av_klimat*VLOOKUP($A402,Leveranser_per_nät,'Leveranser per nät'!P$1,FALSE)
               +Andel_beroende_av_klimat*VLOOKUP($A402,Leveranser_per_nät,'Leveranser per nät'!P$1,FALSE)/VLOOKUP($B402,Korrigeringsfaktor_EI,'Korrigeringsfaktor EI'!P$1,FALSE),
"")</f>
        <v>61.911958762886599</v>
      </c>
      <c r="Q402" s="18">
        <f>IFERROR(
                  Andel_oberoende_av_klimat*VLOOKUP($A402,Leveranser_per_nät,'Leveranser per nät'!Q$1,FALSE)
               +Andel_beroende_av_klimat*VLOOKUP($A402,Leveranser_per_nät,'Leveranser per nät'!Q$1,FALSE)/VLOOKUP($B402,Korrigeringsfaktor_EI,'Korrigeringsfaktor EI'!Q$1,FALSE),
"")</f>
        <v>62.467541113043453</v>
      </c>
      <c r="R402" s="18">
        <f>IFERROR(
                  Andel_oberoende_av_klimat*VLOOKUP($A402,Leveranser_per_nät,'Leveranser per nät'!R$1,FALSE)
               +Andel_beroende_av_klimat*VLOOKUP($A402,Leveranser_per_nät,'Leveranser per nät'!R$1,FALSE)/VLOOKUP($B402,Korrigeringsfaktor_EI,'Korrigeringsfaktor EI'!R$1,FALSE),
"")</f>
        <v>56.202877777777772</v>
      </c>
      <c r="S402" s="18">
        <f>IFERROR(
                  Andel_oberoende_av_klimat*VLOOKUP($A402,Leveranser_per_nät,'Leveranser per nät'!S$1,FALSE)
               +Andel_beroende_av_klimat*VLOOKUP($A402,Leveranser_per_nät,'Leveranser per nät'!S$1,FALSE)/VLOOKUP($B402,Korrigeringsfaktor_EI,'Korrigeringsfaktor EI'!S$1,FALSE),
"")</f>
        <v>57.814285714285717</v>
      </c>
      <c r="T402" s="18">
        <f>IFERROR(
                  Andel_oberoende_av_klimat*VLOOKUP($A402,Leveranser_per_nät,'Leveranser per nät'!T$1,FALSE)
               +Andel_beroende_av_klimat*VLOOKUP($A402,Leveranser_per_nät,'Leveranser per nät'!T$1,FALSE)/VLOOKUP($B402,Korrigeringsfaktor_EI,'Korrigeringsfaktor EI'!T$1,FALSE),
"")</f>
        <v>54.955547422680411</v>
      </c>
      <c r="U402" s="18">
        <f>IFERROR(
                  Andel_oberoende_av_klimat*VLOOKUP($A402,Leveranser_per_nät,'Leveranser per nät'!U$1,FALSE)
               +Andel_beroende_av_klimat*VLOOKUP($A402,Leveranser_per_nät,'Leveranser per nät'!U$1,FALSE)/VLOOKUP($B402,Korrigeringsfaktor_EI,'Korrigeringsfaktor EI'!U$1,FALSE),
"")</f>
        <v>52.676055172413797</v>
      </c>
      <c r="V402" s="18">
        <f>IFERROR(
                  Andel_oberoende_av_klimat*VLOOKUP($A402,Leveranser_per_nät,'Leveranser per nät'!V$1,FALSE)
               +Andel_beroende_av_klimat*VLOOKUP($A402,Leveranser_per_nät,'Leveranser per nät'!V$1,FALSE)/VLOOKUP($B402,Korrigeringsfaktor_EI,'Korrigeringsfaktor EI'!V$1,FALSE),
"")</f>
        <v>52.858968181818184</v>
      </c>
      <c r="W402" s="18">
        <f>IFERROR(
                  Andel_oberoende_av_klimat*VLOOKUP($A402,Leveranser_per_nät,'Leveranser per nät'!W$1,FALSE)
               +Andel_beroende_av_klimat*VLOOKUP($A402,Leveranser_per_nät,'Leveranser per nät'!W$1,FALSE)/VLOOKUP($B402,Korrigeringsfaktor_EI,'Korrigeringsfaktor EI'!W$1,FALSE),
"")</f>
        <v>53.076537634408602</v>
      </c>
      <c r="X402" s="18">
        <f>IFERROR(
                  Andel_oberoende_av_klimat*VLOOKUP($A402,Leveranser_per_nät,'Leveranser per nät'!X$1,FALSE)
               +Andel_beroende_av_klimat*VLOOKUP($A402,Leveranser_per_nät,'Leveranser per nät'!X$1,FALSE)/VLOOKUP($B402,Korrigeringsfaktor_EI,'Korrigeringsfaktor EI'!X$1,FALSE),
"")</f>
        <v>50.939580645161286</v>
      </c>
      <c r="Y402" s="18">
        <f>IFERROR(
                  Andel_oberoende_av_klimat*VLOOKUP($A402,Leveranser_per_nät,'Leveranser per nät'!Y$1,FALSE)
               +Andel_beroende_av_klimat*VLOOKUP($A402,Leveranser_per_nät,'Leveranser per nät'!Y$1,FALSE)/VLOOKUP($B402,Korrigeringsfaktor_EI,'Korrigeringsfaktor EI'!Y$1,FALSE),
"")</f>
        <v>53.315053846153845</v>
      </c>
      <c r="Z402" s="18">
        <f>IFERROR(
                  Andel_oberoende_av_klimat*VLOOKUP($A402,Leveranser_per_nät,'Leveranser per nät'!Z$1,FALSE)
               +Andel_beroende_av_klimat*VLOOKUP($A402,Leveranser_per_nät,'Leveranser per nät'!Z$1,FALSE)/VLOOKUP($B402,Korrigeringsfaktor_EI,'Korrigeringsfaktor EI'!Z$1,FALSE),
"")</f>
        <v>50.840933333333332</v>
      </c>
      <c r="AA402" s="18">
        <f>IFERROR(
                  Andel_oberoende_av_klimat*VLOOKUP($A402,Leveranser_per_nät,'Leveranser per nät'!AA$1,FALSE)
               +Andel_beroende_av_klimat*VLOOKUP($A402,Leveranser_per_nät,'Leveranser per nät'!AA$1,FALSE)/VLOOKUP($B402,Korrigeringsfaktor_EI,'Korrigeringsfaktor EI'!AA$1,FALSE),
"")</f>
        <v>50.540335260115604</v>
      </c>
      <c r="AB402" s="18">
        <f>IFERROR(
                  Andel_oberoende_av_klimat*VLOOKUP($A402,Leveranser_per_nät,'Leveranser per nät'!AB$1,FALSE)
               +Andel_beroende_av_klimat*VLOOKUP($A402,Leveranser_per_nät,'Leveranser per nät'!AB$1,FALSE)/VLOOKUP($B402,Korrigeringsfaktor_EI,'Korrigeringsfaktor EI'!AB$1,FALSE),
"")</f>
        <v>51.53893356643357</v>
      </c>
      <c r="AC402" s="18">
        <f>IFERROR(
                  Andel_oberoende_av_klimat*VLOOKUP($A402,Leveranser_per_nät,'Leveranser per nät'!AC$1,FALSE)
               +Andel_beroende_av_klimat*VLOOKUP($A402,Leveranser_per_nät,'Leveranser per nät'!AC$1,FALSE)/VLOOKUP($B402,Korrigeringsfaktor_EI,'Korrigeringsfaktor EI'!AC$1,FALSE),
"")</f>
        <v>50.358082700421946</v>
      </c>
      <c r="AD402" t="e">
        <v>#N/A</v>
      </c>
    </row>
    <row r="403" spans="1:30" x14ac:dyDescent="0.25">
      <c r="A403" t="s">
        <v>144</v>
      </c>
      <c r="B403" t="s">
        <v>144</v>
      </c>
      <c r="C403" s="18">
        <f>IFERROR(
                  Andel_oberoende_av_klimat*VLOOKUP($A403,Leveranser_per_nät,'Leveranser per nät'!C$1,FALSE)
               +Andel_beroende_av_klimat*VLOOKUP($A403,Leveranser_per_nät,'Leveranser per nät'!C$1,FALSE)/VLOOKUP($B403,Korrigeringsfaktor_EI,'Korrigeringsfaktor EI'!C$1,FALSE),
"")</f>
        <v>44.847663551401865</v>
      </c>
      <c r="D403" s="18">
        <f>IFERROR(
                  Andel_oberoende_av_klimat*VLOOKUP($A403,Leveranser_per_nät,'Leveranser per nät'!D$1,FALSE)
               +Andel_beroende_av_klimat*VLOOKUP($A403,Leveranser_per_nät,'Leveranser per nät'!D$1,FALSE)/VLOOKUP($B403,Korrigeringsfaktor_EI,'Korrigeringsfaktor EI'!D$1,FALSE),
"")</f>
        <v>48.720750000000002</v>
      </c>
      <c r="E403" s="18">
        <f>IFERROR(
                  Andel_oberoende_av_klimat*VLOOKUP($A403,Leveranser_per_nät,'Leveranser per nät'!E$1,FALSE)
               +Andel_beroende_av_klimat*VLOOKUP($A403,Leveranser_per_nät,'Leveranser per nät'!E$1,FALSE)/VLOOKUP($B403,Korrigeringsfaktor_EI,'Korrigeringsfaktor EI'!E$1,FALSE),
"")</f>
        <v>51.642319607843135</v>
      </c>
      <c r="F403" s="18">
        <f>IFERROR(
                  Andel_oberoende_av_klimat*VLOOKUP($A403,Leveranser_per_nät,'Leveranser per nät'!F$1,FALSE)
               +Andel_beroende_av_klimat*VLOOKUP($A403,Leveranser_per_nät,'Leveranser per nät'!F$1,FALSE)/VLOOKUP($B403,Korrigeringsfaktor_EI,'Korrigeringsfaktor EI'!F$1,FALSE),
"")</f>
        <v>52.731229292929292</v>
      </c>
      <c r="G403" s="18">
        <f>IFERROR(
                  Andel_oberoende_av_klimat*VLOOKUP($A403,Leveranser_per_nät,'Leveranser per nät'!G$1,FALSE)
               +Andel_beroende_av_klimat*VLOOKUP($A403,Leveranser_per_nät,'Leveranser per nät'!G$1,FALSE)/VLOOKUP($B403,Korrigeringsfaktor_EI,'Korrigeringsfaktor EI'!G$1,FALSE),
"")</f>
        <v>47.739130434782602</v>
      </c>
      <c r="H403" s="18">
        <f>IFERROR(
                  Andel_oberoende_av_klimat*VLOOKUP($A403,Leveranser_per_nät,'Leveranser per nät'!H$1,FALSE)
               +Andel_beroende_av_klimat*VLOOKUP($A403,Leveranser_per_nät,'Leveranser per nät'!H$1,FALSE)/VLOOKUP($B403,Korrigeringsfaktor_EI,'Korrigeringsfaktor EI'!H$1,FALSE),
"")</f>
        <v>48.605000000000004</v>
      </c>
      <c r="I403" s="18">
        <f>IFERROR(
                  Andel_oberoende_av_klimat*VLOOKUP($A403,Leveranser_per_nät,'Leveranser per nät'!I$1,FALSE)
               +Andel_beroende_av_klimat*VLOOKUP($A403,Leveranser_per_nät,'Leveranser per nät'!I$1,FALSE)/VLOOKUP($B403,Korrigeringsfaktor_EI,'Korrigeringsfaktor EI'!I$1,FALSE),
"")</f>
        <v>51.257645833333328</v>
      </c>
      <c r="J403" s="18">
        <f>IFERROR(
                  Andel_oberoende_av_klimat*VLOOKUP($A403,Leveranser_per_nät,'Leveranser per nät'!J$1,FALSE)
               +Andel_beroende_av_klimat*VLOOKUP($A403,Leveranser_per_nät,'Leveranser per nät'!J$1,FALSE)/VLOOKUP($B403,Korrigeringsfaktor_EI,'Korrigeringsfaktor EI'!J$1,FALSE),
"")</f>
        <v>51.257645833333328</v>
      </c>
      <c r="K403" s="18">
        <f>IFERROR(
                  Andel_oberoende_av_klimat*VLOOKUP($A403,Leveranser_per_nät,'Leveranser per nät'!K$1,FALSE)
               +Andel_beroende_av_klimat*VLOOKUP($A403,Leveranser_per_nät,'Leveranser per nät'!K$1,FALSE)/VLOOKUP($B403,Korrigeringsfaktor_EI,'Korrigeringsfaktor EI'!K$1,FALSE),
"")</f>
        <v>51.548900000000003</v>
      </c>
      <c r="L403" s="18">
        <f>IFERROR(
                  Andel_oberoende_av_klimat*VLOOKUP($A403,Leveranser_per_nät,'Leveranser per nät'!L$1,FALSE)
               +Andel_beroende_av_klimat*VLOOKUP($A403,Leveranser_per_nät,'Leveranser per nät'!L$1,FALSE)/VLOOKUP($B403,Korrigeringsfaktor_EI,'Korrigeringsfaktor EI'!L$1,FALSE),
"")</f>
        <v>50.844838709677411</v>
      </c>
      <c r="M403" s="18">
        <f>IFERROR(
                  Andel_oberoende_av_klimat*VLOOKUP($A403,Leveranser_per_nät,'Leveranser per nät'!M$1,FALSE)
               +Andel_beroende_av_klimat*VLOOKUP($A403,Leveranser_per_nät,'Leveranser per nät'!M$1,FALSE)/VLOOKUP($B403,Korrigeringsfaktor_EI,'Korrigeringsfaktor EI'!M$1,FALSE),
"")</f>
        <v>54.846956521739131</v>
      </c>
      <c r="N403" s="18">
        <f>IFERROR(
                  Andel_oberoende_av_klimat*VLOOKUP($A403,Leveranser_per_nät,'Leveranser per nät'!N$1,FALSE)
               +Andel_beroende_av_klimat*VLOOKUP($A403,Leveranser_per_nät,'Leveranser per nät'!N$1,FALSE)/VLOOKUP($B403,Korrigeringsfaktor_EI,'Korrigeringsfaktor EI'!N$1,FALSE),
"")</f>
        <v>54.316521739130437</v>
      </c>
      <c r="O403" s="18">
        <f>IFERROR(
                  Andel_oberoende_av_klimat*VLOOKUP($A403,Leveranser_per_nät,'Leveranser per nät'!O$1,FALSE)
               +Andel_beroende_av_klimat*VLOOKUP($A403,Leveranser_per_nät,'Leveranser per nät'!O$1,FALSE)/VLOOKUP($B403,Korrigeringsfaktor_EI,'Korrigeringsfaktor EI'!O$1,FALSE),
"")</f>
        <v>55.401123076923078</v>
      </c>
      <c r="P403" s="18">
        <f>IFERROR(
                  Andel_oberoende_av_klimat*VLOOKUP($A403,Leveranser_per_nät,'Leveranser per nät'!P$1,FALSE)
               +Andel_beroende_av_klimat*VLOOKUP($A403,Leveranser_per_nät,'Leveranser per nät'!P$1,FALSE)/VLOOKUP($B403,Korrigeringsfaktor_EI,'Korrigeringsfaktor EI'!P$1,FALSE),
"")</f>
        <v>55.43194583333333</v>
      </c>
      <c r="Q403" s="18">
        <f>IFERROR(
                  Andel_oberoende_av_klimat*VLOOKUP($A403,Leveranser_per_nät,'Leveranser per nät'!Q$1,FALSE)
               +Andel_beroende_av_klimat*VLOOKUP($A403,Leveranser_per_nät,'Leveranser per nät'!Q$1,FALSE)/VLOOKUP($B403,Korrigeringsfaktor_EI,'Korrigeringsfaktor EI'!Q$1,FALSE),
"")</f>
        <v>48.761787837837829</v>
      </c>
      <c r="R403" s="18">
        <f>IFERROR(
                  Andel_oberoende_av_klimat*VLOOKUP($A403,Leveranser_per_nät,'Leveranser per nät'!R$1,FALSE)
               +Andel_beroende_av_klimat*VLOOKUP($A403,Leveranser_per_nät,'Leveranser per nät'!R$1,FALSE)/VLOOKUP($B403,Korrigeringsfaktor_EI,'Korrigeringsfaktor EI'!R$1,FALSE),
"")</f>
        <v>54.893377777777779</v>
      </c>
      <c r="S403" s="18">
        <f>IFERROR(
                  Andel_oberoende_av_klimat*VLOOKUP($A403,Leveranser_per_nät,'Leveranser per nät'!S$1,FALSE)
               +Andel_beroende_av_klimat*VLOOKUP($A403,Leveranser_per_nät,'Leveranser per nät'!S$1,FALSE)/VLOOKUP($B403,Korrigeringsfaktor_EI,'Korrigeringsfaktor EI'!S$1,FALSE),
"")</f>
        <v>53.374747474747466</v>
      </c>
      <c r="T403" s="18">
        <f>IFERROR(
                  Andel_oberoende_av_klimat*VLOOKUP($A403,Leveranser_per_nät,'Leveranser per nät'!T$1,FALSE)
               +Andel_beroende_av_klimat*VLOOKUP($A403,Leveranser_per_nät,'Leveranser per nät'!T$1,FALSE)/VLOOKUP($B403,Korrigeringsfaktor_EI,'Korrigeringsfaktor EI'!T$1,FALSE),
"")</f>
        <v>53.266021505376344</v>
      </c>
      <c r="U403" s="18">
        <f>IFERROR(
                  Andel_oberoende_av_klimat*VLOOKUP($A403,Leveranser_per_nät,'Leveranser per nät'!U$1,FALSE)
               +Andel_beroende_av_klimat*VLOOKUP($A403,Leveranser_per_nät,'Leveranser per nät'!U$1,FALSE)/VLOOKUP($B403,Korrigeringsfaktor_EI,'Korrigeringsfaktor EI'!U$1,FALSE),
"")</f>
        <v>52.81111111111111</v>
      </c>
      <c r="V403" s="18">
        <f>IFERROR(
                  Andel_oberoende_av_klimat*VLOOKUP($A403,Leveranser_per_nät,'Leveranser per nät'!V$1,FALSE)
               +Andel_beroende_av_klimat*VLOOKUP($A403,Leveranser_per_nät,'Leveranser per nät'!V$1,FALSE)/VLOOKUP($B403,Korrigeringsfaktor_EI,'Korrigeringsfaktor EI'!V$1,FALSE),
"")</f>
        <v>52.392307692307689</v>
      </c>
      <c r="W403" s="18">
        <f>IFERROR(
                  Andel_oberoende_av_klimat*VLOOKUP($A403,Leveranser_per_nät,'Leveranser per nät'!W$1,FALSE)
               +Andel_beroende_av_klimat*VLOOKUP($A403,Leveranser_per_nät,'Leveranser per nät'!W$1,FALSE)/VLOOKUP($B403,Korrigeringsfaktor_EI,'Korrigeringsfaktor EI'!W$1,FALSE),
"")</f>
        <v>52.662458333333333</v>
      </c>
      <c r="X403" s="18">
        <f>IFERROR(
                  Andel_oberoende_av_klimat*VLOOKUP($A403,Leveranser_per_nät,'Leveranser per nät'!X$1,FALSE)
               +Andel_beroende_av_klimat*VLOOKUP($A403,Leveranser_per_nät,'Leveranser per nät'!X$1,FALSE)/VLOOKUP($B403,Korrigeringsfaktor_EI,'Korrigeringsfaktor EI'!X$1,FALSE),
"")</f>
        <v>53.086315789473687</v>
      </c>
      <c r="Y403" s="18">
        <f>IFERROR(
                  Andel_oberoende_av_klimat*VLOOKUP($A403,Leveranser_per_nät,'Leveranser per nät'!Y$1,FALSE)
               +Andel_beroende_av_klimat*VLOOKUP($A403,Leveranser_per_nät,'Leveranser per nät'!Y$1,FALSE)/VLOOKUP($B403,Korrigeringsfaktor_EI,'Korrigeringsfaktor EI'!Y$1,FALSE),
"")</f>
        <v>52.781784946236556</v>
      </c>
      <c r="Z403" s="18">
        <f>IFERROR(
                  Andel_oberoende_av_klimat*VLOOKUP($A403,Leveranser_per_nät,'Leveranser per nät'!Z$1,FALSE)
               +Andel_beroende_av_klimat*VLOOKUP($A403,Leveranser_per_nät,'Leveranser per nät'!Z$1,FALSE)/VLOOKUP($B403,Korrigeringsfaktor_EI,'Korrigeringsfaktor EI'!Z$1,FALSE),
"")</f>
        <v>52.423870967741919</v>
      </c>
      <c r="AA403" s="18">
        <f>IFERROR(
                  Andel_oberoende_av_klimat*VLOOKUP($A403,Leveranser_per_nät,'Leveranser per nät'!AA$1,FALSE)
               +Andel_beroende_av_klimat*VLOOKUP($A403,Leveranser_per_nät,'Leveranser per nät'!AA$1,FALSE)/VLOOKUP($B403,Korrigeringsfaktor_EI,'Korrigeringsfaktor EI'!AA$1,FALSE),
"")</f>
        <v>51.484075907590764</v>
      </c>
      <c r="AB403" s="18">
        <f>IFERROR(
                  Andel_oberoende_av_klimat*VLOOKUP($A403,Leveranser_per_nät,'Leveranser per nät'!AB$1,FALSE)
               +Andel_beroende_av_klimat*VLOOKUP($A403,Leveranser_per_nät,'Leveranser per nät'!AB$1,FALSE)/VLOOKUP($B403,Korrigeringsfaktor_EI,'Korrigeringsfaktor EI'!AB$1,FALSE),
"")</f>
        <v>50.414720279720285</v>
      </c>
      <c r="AC403" s="18">
        <f>IFERROR(
                  Andel_oberoende_av_klimat*VLOOKUP($A403,Leveranser_per_nät,'Leveranser per nät'!AC$1,FALSE)
               +Andel_beroende_av_klimat*VLOOKUP($A403,Leveranser_per_nät,'Leveranser per nät'!AC$1,FALSE)/VLOOKUP($B403,Korrigeringsfaktor_EI,'Korrigeringsfaktor EI'!AC$1,FALSE),
"")</f>
        <v>50.484700944386148</v>
      </c>
      <c r="AD403">
        <v>48.8</v>
      </c>
    </row>
    <row r="404" spans="1:30" x14ac:dyDescent="0.25">
      <c r="A404" t="s">
        <v>327</v>
      </c>
      <c r="B404" t="s">
        <v>324</v>
      </c>
      <c r="C404" s="18">
        <f>IFERROR(
                  Andel_oberoende_av_klimat*VLOOKUP($A404,Leveranser_per_nät,'Leveranser per nät'!C$1,FALSE)
               +Andel_beroende_av_klimat*VLOOKUP($A404,Leveranser_per_nät,'Leveranser per nät'!C$1,FALSE)/VLOOKUP($B404,Korrigeringsfaktor_EI,'Korrigeringsfaktor EI'!C$1,FALSE),
"")</f>
        <v>0</v>
      </c>
      <c r="D404" s="18">
        <f>IFERROR(
                  Andel_oberoende_av_klimat*VLOOKUP($A404,Leveranser_per_nät,'Leveranser per nät'!D$1,FALSE)
               +Andel_beroende_av_klimat*VLOOKUP($A404,Leveranser_per_nät,'Leveranser per nät'!D$1,FALSE)/VLOOKUP($B404,Korrigeringsfaktor_EI,'Korrigeringsfaktor EI'!D$1,FALSE),
"")</f>
        <v>0</v>
      </c>
      <c r="E404" s="18">
        <f>IFERROR(
                  Andel_oberoende_av_klimat*VLOOKUP($A404,Leveranser_per_nät,'Leveranser per nät'!E$1,FALSE)
               +Andel_beroende_av_klimat*VLOOKUP($A404,Leveranser_per_nät,'Leveranser per nät'!E$1,FALSE)/VLOOKUP($B404,Korrigeringsfaktor_EI,'Korrigeringsfaktor EI'!E$1,FALSE),
"")</f>
        <v>0</v>
      </c>
      <c r="F404" s="18">
        <f>IFERROR(
                  Andel_oberoende_av_klimat*VLOOKUP($A404,Leveranser_per_nät,'Leveranser per nät'!F$1,FALSE)
               +Andel_beroende_av_klimat*VLOOKUP($A404,Leveranser_per_nät,'Leveranser per nät'!F$1,FALSE)/VLOOKUP($B404,Korrigeringsfaktor_EI,'Korrigeringsfaktor EI'!F$1,FALSE),
"")</f>
        <v>0</v>
      </c>
      <c r="G404" s="18">
        <f>IFERROR(
                  Andel_oberoende_av_klimat*VLOOKUP($A404,Leveranser_per_nät,'Leveranser per nät'!G$1,FALSE)
               +Andel_beroende_av_klimat*VLOOKUP($A404,Leveranser_per_nät,'Leveranser per nät'!G$1,FALSE)/VLOOKUP($B404,Korrigeringsfaktor_EI,'Korrigeringsfaktor EI'!G$1,FALSE),
"")</f>
        <v>0</v>
      </c>
      <c r="H404" s="18">
        <f>IFERROR(
                  Andel_oberoende_av_klimat*VLOOKUP($A404,Leveranser_per_nät,'Leveranser per nät'!H$1,FALSE)
               +Andel_beroende_av_klimat*VLOOKUP($A404,Leveranser_per_nät,'Leveranser per nät'!H$1,FALSE)/VLOOKUP($B404,Korrigeringsfaktor_EI,'Korrigeringsfaktor EI'!H$1,FALSE),
"")</f>
        <v>0</v>
      </c>
      <c r="I404" s="18">
        <f>IFERROR(
                  Andel_oberoende_av_klimat*VLOOKUP($A404,Leveranser_per_nät,'Leveranser per nät'!I$1,FALSE)
               +Andel_beroende_av_klimat*VLOOKUP($A404,Leveranser_per_nät,'Leveranser per nät'!I$1,FALSE)/VLOOKUP($B404,Korrigeringsfaktor_EI,'Korrigeringsfaktor EI'!I$1,FALSE),
"")</f>
        <v>0</v>
      </c>
      <c r="J404" s="18">
        <f>IFERROR(
                  Andel_oberoende_av_klimat*VLOOKUP($A404,Leveranser_per_nät,'Leveranser per nät'!J$1,FALSE)
               +Andel_beroende_av_klimat*VLOOKUP($A404,Leveranser_per_nät,'Leveranser per nät'!J$1,FALSE)/VLOOKUP($B404,Korrigeringsfaktor_EI,'Korrigeringsfaktor EI'!J$1,FALSE),
"")</f>
        <v>42.062330927835049</v>
      </c>
      <c r="K404" s="18">
        <f>IFERROR(
                  Andel_oberoende_av_klimat*VLOOKUP($A404,Leveranser_per_nät,'Leveranser per nät'!K$1,FALSE)
               +Andel_beroende_av_klimat*VLOOKUP($A404,Leveranser_per_nät,'Leveranser per nät'!K$1,FALSE)/VLOOKUP($B404,Korrigeringsfaktor_EI,'Korrigeringsfaktor EI'!K$1,FALSE),
"")</f>
        <v>42.936862886597936</v>
      </c>
      <c r="L404" s="18">
        <f>IFERROR(
                  Andel_oberoende_av_klimat*VLOOKUP($A404,Leveranser_per_nät,'Leveranser per nät'!L$1,FALSE)
               +Andel_beroende_av_klimat*VLOOKUP($A404,Leveranser_per_nät,'Leveranser per nät'!L$1,FALSE)/VLOOKUP($B404,Korrigeringsfaktor_EI,'Korrigeringsfaktor EI'!L$1,FALSE),
"")</f>
        <v>45.683019881212331</v>
      </c>
      <c r="M404" s="18">
        <f>IFERROR(
                  Andel_oberoende_av_klimat*VLOOKUP($A404,Leveranser_per_nät,'Leveranser per nät'!M$1,FALSE)
               +Andel_beroende_av_klimat*VLOOKUP($A404,Leveranser_per_nät,'Leveranser per nät'!M$1,FALSE)/VLOOKUP($B404,Korrigeringsfaktor_EI,'Korrigeringsfaktor EI'!M$1,FALSE),
"")</f>
        <v>31.186382608695645</v>
      </c>
      <c r="N404" s="18">
        <f>IFERROR(
                  Andel_oberoende_av_klimat*VLOOKUP($A404,Leveranser_per_nät,'Leveranser per nät'!N$1,FALSE)
               +Andel_beroende_av_klimat*VLOOKUP($A404,Leveranser_per_nät,'Leveranser per nät'!N$1,FALSE)/VLOOKUP($B404,Korrigeringsfaktor_EI,'Korrigeringsfaktor EI'!N$1,FALSE),
"")</f>
        <v>6.8532173913043479</v>
      </c>
      <c r="O404" s="18">
        <f>IFERROR(
                  Andel_oberoende_av_klimat*VLOOKUP($A404,Leveranser_per_nät,'Leveranser per nät'!O$1,FALSE)
               +Andel_beroende_av_klimat*VLOOKUP($A404,Leveranser_per_nät,'Leveranser per nät'!O$1,FALSE)/VLOOKUP($B404,Korrigeringsfaktor_EI,'Korrigeringsfaktor EI'!O$1,FALSE),
"")</f>
        <v>6.2124521739130429</v>
      </c>
      <c r="P404" s="18">
        <f>IFERROR(
                  Andel_oberoende_av_klimat*VLOOKUP($A404,Leveranser_per_nät,'Leveranser per nät'!P$1,FALSE)
               +Andel_beroende_av_klimat*VLOOKUP($A404,Leveranser_per_nät,'Leveranser per nät'!P$1,FALSE)/VLOOKUP($B404,Korrigeringsfaktor_EI,'Korrigeringsfaktor EI'!P$1,FALSE),
"")</f>
        <v>7.7594278350515467</v>
      </c>
      <c r="Q404" s="18">
        <f>IFERROR(
                  Andel_oberoende_av_klimat*VLOOKUP($A404,Leveranser_per_nät,'Leveranser per nät'!Q$1,FALSE)
               +Andel_beroende_av_klimat*VLOOKUP($A404,Leveranser_per_nät,'Leveranser per nät'!Q$1,FALSE)/VLOOKUP($B404,Korrigeringsfaktor_EI,'Korrigeringsfaktor EI'!Q$1,FALSE),
"")</f>
        <v>8.8951046728971956</v>
      </c>
      <c r="R404" s="18">
        <f>IFERROR(
                  Andel_oberoende_av_klimat*VLOOKUP($A404,Leveranser_per_nät,'Leveranser per nät'!R$1,FALSE)
               +Andel_beroende_av_klimat*VLOOKUP($A404,Leveranser_per_nät,'Leveranser per nät'!R$1,FALSE)/VLOOKUP($B404,Korrigeringsfaktor_EI,'Korrigeringsfaktor EI'!R$1,FALSE),
"")</f>
        <v>7.9123076923076923</v>
      </c>
      <c r="S404" s="18">
        <f>IFERROR(
                  Andel_oberoende_av_klimat*VLOOKUP($A404,Leveranser_per_nät,'Leveranser per nät'!S$1,FALSE)
               +Andel_beroende_av_klimat*VLOOKUP($A404,Leveranser_per_nät,'Leveranser per nät'!S$1,FALSE)/VLOOKUP($B404,Korrigeringsfaktor_EI,'Korrigeringsfaktor EI'!S$1,FALSE),
"")</f>
        <v>7.78</v>
      </c>
      <c r="T404" s="18">
        <f>IFERROR(
                  Andel_oberoende_av_klimat*VLOOKUP($A404,Leveranser_per_nät,'Leveranser per nät'!T$1,FALSE)
               +Andel_beroende_av_klimat*VLOOKUP($A404,Leveranser_per_nät,'Leveranser per nät'!T$1,FALSE)/VLOOKUP($B404,Korrigeringsfaktor_EI,'Korrigeringsfaktor EI'!T$1,FALSE),
"")</f>
        <v>7.7109408602150538</v>
      </c>
      <c r="U404" s="18">
        <f>IFERROR(
                  Andel_oberoende_av_klimat*VLOOKUP($A404,Leveranser_per_nät,'Leveranser per nät'!U$1,FALSE)
               +Andel_beroende_av_klimat*VLOOKUP($A404,Leveranser_per_nät,'Leveranser per nät'!U$1,FALSE)/VLOOKUP($B404,Korrigeringsfaktor_EI,'Korrigeringsfaktor EI'!U$1,FALSE),
"")</f>
        <v>8.2342222222222219</v>
      </c>
      <c r="V404" s="18">
        <f>IFERROR(
                  Andel_oberoende_av_klimat*VLOOKUP($A404,Leveranser_per_nät,'Leveranser per nät'!V$1,FALSE)
               +Andel_beroende_av_klimat*VLOOKUP($A404,Leveranser_per_nät,'Leveranser per nät'!V$1,FALSE)/VLOOKUP($B404,Korrigeringsfaktor_EI,'Korrigeringsfaktor EI'!V$1,FALSE),
"")</f>
        <v>7.5621573033707863</v>
      </c>
      <c r="W404" s="18">
        <f>IFERROR(
                  Andel_oberoende_av_klimat*VLOOKUP($A404,Leveranser_per_nät,'Leveranser per nät'!W$1,FALSE)
               +Andel_beroende_av_klimat*VLOOKUP($A404,Leveranser_per_nät,'Leveranser per nät'!W$1,FALSE)/VLOOKUP($B404,Korrigeringsfaktor_EI,'Korrigeringsfaktor EI'!W$1,FALSE),
"")</f>
        <v>7.8998833333333334</v>
      </c>
      <c r="X404" s="18">
        <f>IFERROR(
                  Andel_oberoende_av_klimat*VLOOKUP($A404,Leveranser_per_nät,'Leveranser per nät'!X$1,FALSE)
               +Andel_beroende_av_klimat*VLOOKUP($A404,Leveranser_per_nät,'Leveranser per nät'!X$1,FALSE)/VLOOKUP($B404,Korrigeringsfaktor_EI,'Korrigeringsfaktor EI'!X$1,FALSE),
"")</f>
        <v>7.8731249999999999</v>
      </c>
      <c r="Y404" s="18">
        <f>IFERROR(
                  Andel_oberoende_av_klimat*VLOOKUP($A404,Leveranser_per_nät,'Leveranser per nät'!Y$1,FALSE)
               +Andel_beroende_av_klimat*VLOOKUP($A404,Leveranser_per_nät,'Leveranser per nät'!Y$1,FALSE)/VLOOKUP($B404,Korrigeringsfaktor_EI,'Korrigeringsfaktor EI'!Y$1,FALSE),
"")</f>
        <v>7.8768936170212767</v>
      </c>
      <c r="Z404" s="18">
        <f>IFERROR(
                  Andel_oberoende_av_klimat*VLOOKUP($A404,Leveranser_per_nät,'Leveranser per nät'!Z$1,FALSE)
               +Andel_beroende_av_klimat*VLOOKUP($A404,Leveranser_per_nät,'Leveranser per nät'!Z$1,FALSE)/VLOOKUP($B404,Korrigeringsfaktor_EI,'Korrigeringsfaktor EI'!Z$1,FALSE),
"")</f>
        <v>8.1509999999999998</v>
      </c>
      <c r="AA404" s="18">
        <f>IFERROR(
                  Andel_oberoende_av_klimat*VLOOKUP($A404,Leveranser_per_nät,'Leveranser per nät'!AA$1,FALSE)
               +Andel_beroende_av_klimat*VLOOKUP($A404,Leveranser_per_nät,'Leveranser per nät'!AA$1,FALSE)/VLOOKUP($B404,Korrigeringsfaktor_EI,'Korrigeringsfaktor EI'!AA$1,FALSE),
"")</f>
        <v>8.737182302335107</v>
      </c>
      <c r="AB404" s="18">
        <f>IFERROR(
                  Andel_oberoende_av_klimat*VLOOKUP($A404,Leveranser_per_nät,'Leveranser per nät'!AB$1,FALSE)
               +Andel_beroende_av_klimat*VLOOKUP($A404,Leveranser_per_nät,'Leveranser per nät'!AB$1,FALSE)/VLOOKUP($B404,Korrigeringsfaktor_EI,'Korrigeringsfaktor EI'!AB$1,FALSE),
"")</f>
        <v>10.810155038759691</v>
      </c>
      <c r="AC404" s="18">
        <f>IFERROR(
                  Andel_oberoende_av_klimat*VLOOKUP($A404,Leveranser_per_nät,'Leveranser per nät'!AC$1,FALSE)
               +Andel_beroende_av_klimat*VLOOKUP($A404,Leveranser_per_nät,'Leveranser per nät'!AC$1,FALSE)/VLOOKUP($B404,Korrigeringsfaktor_EI,'Korrigeringsfaktor EI'!AC$1,FALSE),
"")</f>
        <v>10.367546762589928</v>
      </c>
      <c r="AD404">
        <v>823.99</v>
      </c>
    </row>
    <row r="405" spans="1:30" x14ac:dyDescent="0.25">
      <c r="A405" t="s">
        <v>299</v>
      </c>
      <c r="B405" t="s">
        <v>299</v>
      </c>
      <c r="C405" s="18">
        <f>IFERROR(
                  Andel_oberoende_av_klimat*VLOOKUP($A405,Leveranser_per_nät,'Leveranser per nät'!C$1,FALSE)
               +Andel_beroende_av_klimat*VLOOKUP($A405,Leveranser_per_nät,'Leveranser per nät'!C$1,FALSE)/VLOOKUP($B405,Korrigeringsfaktor_EI,'Korrigeringsfaktor EI'!C$1,FALSE),
"")</f>
        <v>0</v>
      </c>
      <c r="D405" s="18">
        <f>IFERROR(
                  Andel_oberoende_av_klimat*VLOOKUP($A405,Leveranser_per_nät,'Leveranser per nät'!D$1,FALSE)
               +Andel_beroende_av_klimat*VLOOKUP($A405,Leveranser_per_nät,'Leveranser per nät'!D$1,FALSE)/VLOOKUP($B405,Korrigeringsfaktor_EI,'Korrigeringsfaktor EI'!D$1,FALSE),
"")</f>
        <v>0</v>
      </c>
      <c r="E405" s="18">
        <f>IFERROR(
                  Andel_oberoende_av_klimat*VLOOKUP($A405,Leveranser_per_nät,'Leveranser per nät'!E$1,FALSE)
               +Andel_beroende_av_klimat*VLOOKUP($A405,Leveranser_per_nät,'Leveranser per nät'!E$1,FALSE)/VLOOKUP($B405,Korrigeringsfaktor_EI,'Korrigeringsfaktor EI'!E$1,FALSE),
"")</f>
        <v>0</v>
      </c>
      <c r="F405" s="18">
        <f>IFERROR(
                  Andel_oberoende_av_klimat*VLOOKUP($A405,Leveranser_per_nät,'Leveranser per nät'!F$1,FALSE)
               +Andel_beroende_av_klimat*VLOOKUP($A405,Leveranser_per_nät,'Leveranser per nät'!F$1,FALSE)/VLOOKUP($B405,Korrigeringsfaktor_EI,'Korrigeringsfaktor EI'!F$1,FALSE),
"")</f>
        <v>0</v>
      </c>
      <c r="G405" s="18">
        <f>IFERROR(
                  Andel_oberoende_av_klimat*VLOOKUP($A405,Leveranser_per_nät,'Leveranser per nät'!G$1,FALSE)
               +Andel_beroende_av_klimat*VLOOKUP($A405,Leveranser_per_nät,'Leveranser per nät'!G$1,FALSE)/VLOOKUP($B405,Korrigeringsfaktor_EI,'Korrigeringsfaktor EI'!G$1,FALSE),
"")</f>
        <v>0</v>
      </c>
      <c r="H405" s="18">
        <f>IFERROR(
                  Andel_oberoende_av_klimat*VLOOKUP($A405,Leveranser_per_nät,'Leveranser per nät'!H$1,FALSE)
               +Andel_beroende_av_klimat*VLOOKUP($A405,Leveranser_per_nät,'Leveranser per nät'!H$1,FALSE)/VLOOKUP($B405,Korrigeringsfaktor_EI,'Korrigeringsfaktor EI'!H$1,FALSE),
"")</f>
        <v>0</v>
      </c>
      <c r="I405" s="18">
        <f>IFERROR(
                  Andel_oberoende_av_klimat*VLOOKUP($A405,Leveranser_per_nät,'Leveranser per nät'!I$1,FALSE)
               +Andel_beroende_av_klimat*VLOOKUP($A405,Leveranser_per_nät,'Leveranser per nät'!I$1,FALSE)/VLOOKUP($B405,Korrigeringsfaktor_EI,'Korrigeringsfaktor EI'!I$1,FALSE),
"")</f>
        <v>0</v>
      </c>
      <c r="J405" s="18">
        <f>IFERROR(
                  Andel_oberoende_av_klimat*VLOOKUP($A405,Leveranser_per_nät,'Leveranser per nät'!J$1,FALSE)
               +Andel_beroende_av_klimat*VLOOKUP($A405,Leveranser_per_nät,'Leveranser per nät'!J$1,FALSE)/VLOOKUP($B405,Korrigeringsfaktor_EI,'Korrigeringsfaktor EI'!J$1,FALSE),
"")</f>
        <v>0</v>
      </c>
      <c r="K405" s="18">
        <f>IFERROR(
                  Andel_oberoende_av_klimat*VLOOKUP($A405,Leveranser_per_nät,'Leveranser per nät'!K$1,FALSE)
               +Andel_beroende_av_klimat*VLOOKUP($A405,Leveranser_per_nät,'Leveranser per nät'!K$1,FALSE)/VLOOKUP($B405,Korrigeringsfaktor_EI,'Korrigeringsfaktor EI'!K$1,FALSE),
"")</f>
        <v>21.766999999999999</v>
      </c>
      <c r="L405" s="18">
        <f>IFERROR(
                  Andel_oberoende_av_klimat*VLOOKUP($A405,Leveranser_per_nät,'Leveranser per nät'!L$1,FALSE)
               +Andel_beroende_av_klimat*VLOOKUP($A405,Leveranser_per_nät,'Leveranser per nät'!L$1,FALSE)/VLOOKUP($B405,Korrigeringsfaktor_EI,'Korrigeringsfaktor EI'!L$1,FALSE),
"")</f>
        <v>22.566193814432989</v>
      </c>
      <c r="M405" s="18">
        <f>IFERROR(
                  Andel_oberoende_av_klimat*VLOOKUP($A405,Leveranser_per_nät,'Leveranser per nät'!M$1,FALSE)
               +Andel_beroende_av_klimat*VLOOKUP($A405,Leveranser_per_nät,'Leveranser per nät'!M$1,FALSE)/VLOOKUP($B405,Korrigeringsfaktor_EI,'Korrigeringsfaktor EI'!M$1,FALSE),
"")</f>
        <v>25.897638297872341</v>
      </c>
      <c r="N405" s="18">
        <f>IFERROR(
                  Andel_oberoende_av_klimat*VLOOKUP($A405,Leveranser_per_nät,'Leveranser per nät'!N$1,FALSE)
               +Andel_beroende_av_klimat*VLOOKUP($A405,Leveranser_per_nät,'Leveranser per nät'!N$1,FALSE)/VLOOKUP($B405,Korrigeringsfaktor_EI,'Korrigeringsfaktor EI'!N$1,FALSE),
"")</f>
        <v>28.9489247311828</v>
      </c>
      <c r="O405" s="18">
        <f>IFERROR(
                  Andel_oberoende_av_klimat*VLOOKUP($A405,Leveranser_per_nät,'Leveranser per nät'!O$1,FALSE)
               +Andel_beroende_av_klimat*VLOOKUP($A405,Leveranser_per_nät,'Leveranser per nät'!O$1,FALSE)/VLOOKUP($B405,Korrigeringsfaktor_EI,'Korrigeringsfaktor EI'!O$1,FALSE),
"")</f>
        <v>32.528064516129028</v>
      </c>
      <c r="P405" s="18">
        <f>IFERROR(
                  Andel_oberoende_av_klimat*VLOOKUP($A405,Leveranser_per_nät,'Leveranser per nät'!P$1,FALSE)
               +Andel_beroende_av_klimat*VLOOKUP($A405,Leveranser_per_nät,'Leveranser per nät'!P$1,FALSE)/VLOOKUP($B405,Korrigeringsfaktor_EI,'Korrigeringsfaktor EI'!P$1,FALSE),
"")</f>
        <v>36.064226804123706</v>
      </c>
      <c r="Q405" s="18">
        <f>IFERROR(
                  Andel_oberoende_av_klimat*VLOOKUP($A405,Leveranser_per_nät,'Leveranser per nät'!Q$1,FALSE)
               +Andel_beroende_av_klimat*VLOOKUP($A405,Leveranser_per_nät,'Leveranser per nät'!Q$1,FALSE)/VLOOKUP($B405,Korrigeringsfaktor_EI,'Korrigeringsfaktor EI'!Q$1,FALSE),
"")</f>
        <v>38.849999999999994</v>
      </c>
      <c r="R405" s="18">
        <f>IFERROR(
                  Andel_oberoende_av_klimat*VLOOKUP($A405,Leveranser_per_nät,'Leveranser per nät'!R$1,FALSE)
               +Andel_beroende_av_klimat*VLOOKUP($A405,Leveranser_per_nät,'Leveranser per nät'!R$1,FALSE)/VLOOKUP($B405,Korrigeringsfaktor_EI,'Korrigeringsfaktor EI'!R$1,FALSE),
"")</f>
        <v>36.738817204301071</v>
      </c>
      <c r="S405" s="18">
        <f>IFERROR(
                  Andel_oberoende_av_klimat*VLOOKUP($A405,Leveranser_per_nät,'Leveranser per nät'!S$1,FALSE)
               +Andel_beroende_av_klimat*VLOOKUP($A405,Leveranser_per_nät,'Leveranser per nät'!S$1,FALSE)/VLOOKUP($B405,Korrigeringsfaktor_EI,'Korrigeringsfaktor EI'!S$1,FALSE),
"")</f>
        <v>40.437254901960785</v>
      </c>
      <c r="T405" s="18">
        <f>IFERROR(
                  Andel_oberoende_av_klimat*VLOOKUP($A405,Leveranser_per_nät,'Leveranser per nät'!T$1,FALSE)
               +Andel_beroende_av_klimat*VLOOKUP($A405,Leveranser_per_nät,'Leveranser per nät'!T$1,FALSE)/VLOOKUP($B405,Korrigeringsfaktor_EI,'Korrigeringsfaktor EI'!T$1,FALSE),
"")</f>
        <v>41.9</v>
      </c>
      <c r="U405" s="18">
        <f>IFERROR(
                  Andel_oberoende_av_klimat*VLOOKUP($A405,Leveranser_per_nät,'Leveranser per nät'!U$1,FALSE)
               +Andel_beroende_av_klimat*VLOOKUP($A405,Leveranser_per_nät,'Leveranser per nät'!U$1,FALSE)/VLOOKUP($B405,Korrigeringsfaktor_EI,'Korrigeringsfaktor EI'!U$1,FALSE),
"")</f>
        <v>42.68</v>
      </c>
      <c r="V405" s="18">
        <f>IFERROR(
                  Andel_oberoende_av_klimat*VLOOKUP($A405,Leveranser_per_nät,'Leveranser per nät'!V$1,FALSE)
               +Andel_beroende_av_klimat*VLOOKUP($A405,Leveranser_per_nät,'Leveranser per nät'!V$1,FALSE)/VLOOKUP($B405,Korrigeringsfaktor_EI,'Korrigeringsfaktor EI'!V$1,FALSE),
"")</f>
        <v>43.563191489361706</v>
      </c>
      <c r="W405" s="18">
        <f>IFERROR(
                  Andel_oberoende_av_klimat*VLOOKUP($A405,Leveranser_per_nät,'Leveranser per nät'!W$1,FALSE)
               +Andel_beroende_av_klimat*VLOOKUP($A405,Leveranser_per_nät,'Leveranser per nät'!W$1,FALSE)/VLOOKUP($B405,Korrigeringsfaktor_EI,'Korrigeringsfaktor EI'!W$1,FALSE),
"")</f>
        <v>44.87166666666667</v>
      </c>
      <c r="X405" s="18">
        <f>IFERROR(
                  Andel_oberoende_av_klimat*VLOOKUP($A405,Leveranser_per_nät,'Leveranser per nät'!X$1,FALSE)
               +Andel_beroende_av_klimat*VLOOKUP($A405,Leveranser_per_nät,'Leveranser per nät'!X$1,FALSE)/VLOOKUP($B405,Korrigeringsfaktor_EI,'Korrigeringsfaktor EI'!X$1,FALSE),
"")</f>
        <v>45.59202105263158</v>
      </c>
      <c r="Y405" s="18">
        <f>IFERROR(
                  Andel_oberoende_av_klimat*VLOOKUP($A405,Leveranser_per_nät,'Leveranser per nät'!Y$1,FALSE)
               +Andel_beroende_av_klimat*VLOOKUP($A405,Leveranser_per_nät,'Leveranser per nät'!Y$1,FALSE)/VLOOKUP($B405,Korrigeringsfaktor_EI,'Korrigeringsfaktor EI'!Y$1,FALSE),
"")</f>
        <v>47.725077777777777</v>
      </c>
      <c r="Z405" s="18">
        <f>IFERROR(
                  Andel_oberoende_av_klimat*VLOOKUP($A405,Leveranser_per_nät,'Leveranser per nät'!Z$1,FALSE)
               +Andel_beroende_av_klimat*VLOOKUP($A405,Leveranser_per_nät,'Leveranser per nät'!Z$1,FALSE)/VLOOKUP($B405,Korrigeringsfaktor_EI,'Korrigeringsfaktor EI'!Z$1,FALSE),
"")</f>
        <v>47.480422222222217</v>
      </c>
      <c r="AA405" s="18">
        <f>IFERROR(
                  Andel_oberoende_av_klimat*VLOOKUP($A405,Leveranser_per_nät,'Leveranser per nät'!AA$1,FALSE)
               +Andel_beroende_av_klimat*VLOOKUP($A405,Leveranser_per_nät,'Leveranser per nät'!AA$1,FALSE)/VLOOKUP($B405,Korrigeringsfaktor_EI,'Korrigeringsfaktor EI'!AA$1,FALSE),
"")</f>
        <v>48.174588148148146</v>
      </c>
      <c r="AB405" s="18">
        <f>IFERROR(
                  Andel_oberoende_av_klimat*VLOOKUP($A405,Leveranser_per_nät,'Leveranser per nät'!AB$1,FALSE)
               +Andel_beroende_av_klimat*VLOOKUP($A405,Leveranser_per_nät,'Leveranser per nät'!AB$1,FALSE)/VLOOKUP($B405,Korrigeringsfaktor_EI,'Korrigeringsfaktor EI'!AB$1,FALSE),
"")</f>
        <v>50.171662189054729</v>
      </c>
      <c r="AC405" s="18">
        <f>IFERROR(
                  Andel_oberoende_av_klimat*VLOOKUP($A405,Leveranser_per_nät,'Leveranser per nät'!AC$1,FALSE)
               +Andel_beroende_av_klimat*VLOOKUP($A405,Leveranser_per_nät,'Leveranser per nät'!AC$1,FALSE)/VLOOKUP($B405,Korrigeringsfaktor_EI,'Korrigeringsfaktor EI'!AC$1,FALSE),
"")</f>
        <v>48.992870370370376</v>
      </c>
      <c r="AD405">
        <v>47.075000000000003</v>
      </c>
    </row>
    <row r="406" spans="1:30" x14ac:dyDescent="0.25">
      <c r="A406" t="s">
        <v>303</v>
      </c>
      <c r="B406" t="s">
        <v>301</v>
      </c>
      <c r="C406" s="18">
        <f>IFERROR(
                  Andel_oberoende_av_klimat*VLOOKUP($A406,Leveranser_per_nät,'Leveranser per nät'!C$1,FALSE)
               +Andel_beroende_av_klimat*VLOOKUP($A406,Leveranser_per_nät,'Leveranser per nät'!C$1,FALSE)/VLOOKUP($B406,Korrigeringsfaktor_EI,'Korrigeringsfaktor EI'!C$1,FALSE),
"")</f>
        <v>0</v>
      </c>
      <c r="D406" s="18">
        <f>IFERROR(
                  Andel_oberoende_av_klimat*VLOOKUP($A406,Leveranser_per_nät,'Leveranser per nät'!D$1,FALSE)
               +Andel_beroende_av_klimat*VLOOKUP($A406,Leveranser_per_nät,'Leveranser per nät'!D$1,FALSE)/VLOOKUP($B406,Korrigeringsfaktor_EI,'Korrigeringsfaktor EI'!D$1,FALSE),
"")</f>
        <v>5.4751666666666665</v>
      </c>
      <c r="E406" s="18">
        <f>IFERROR(
                  Andel_oberoende_av_klimat*VLOOKUP($A406,Leveranser_per_nät,'Leveranser per nät'!E$1,FALSE)
               +Andel_beroende_av_klimat*VLOOKUP($A406,Leveranser_per_nät,'Leveranser per nät'!E$1,FALSE)/VLOOKUP($B406,Korrigeringsfaktor_EI,'Korrigeringsfaktor EI'!E$1,FALSE),
"")</f>
        <v>5.9584158415841575</v>
      </c>
      <c r="F406" s="18">
        <f>IFERROR(
                  Andel_oberoende_av_klimat*VLOOKUP($A406,Leveranser_per_nät,'Leveranser per nät'!F$1,FALSE)
               +Andel_beroende_av_klimat*VLOOKUP($A406,Leveranser_per_nät,'Leveranser per nät'!F$1,FALSE)/VLOOKUP($B406,Korrigeringsfaktor_EI,'Korrigeringsfaktor EI'!F$1,FALSE),
"")</f>
        <v>0</v>
      </c>
      <c r="G406" s="18">
        <f>IFERROR(
                  Andel_oberoende_av_klimat*VLOOKUP($A406,Leveranser_per_nät,'Leveranser per nät'!G$1,FALSE)
               +Andel_beroende_av_klimat*VLOOKUP($A406,Leveranser_per_nät,'Leveranser per nät'!G$1,FALSE)/VLOOKUP($B406,Korrigeringsfaktor_EI,'Korrigeringsfaktor EI'!G$1,FALSE),
"")</f>
        <v>0</v>
      </c>
      <c r="H406" s="18">
        <f>IFERROR(
                  Andel_oberoende_av_klimat*VLOOKUP($A406,Leveranser_per_nät,'Leveranser per nät'!H$1,FALSE)
               +Andel_beroende_av_klimat*VLOOKUP($A406,Leveranser_per_nät,'Leveranser per nät'!H$1,FALSE)/VLOOKUP($B406,Korrigeringsfaktor_EI,'Korrigeringsfaktor EI'!H$1,FALSE),
"")</f>
        <v>0</v>
      </c>
      <c r="I406" s="18">
        <f>IFERROR(
                  Andel_oberoende_av_klimat*VLOOKUP($A406,Leveranser_per_nät,'Leveranser per nät'!I$1,FALSE)
               +Andel_beroende_av_klimat*VLOOKUP($A406,Leveranser_per_nät,'Leveranser per nät'!I$1,FALSE)/VLOOKUP($B406,Korrigeringsfaktor_EI,'Korrigeringsfaktor EI'!I$1,FALSE),
"")</f>
        <v>0</v>
      </c>
      <c r="J406" s="18">
        <f>IFERROR(
                  Andel_oberoende_av_klimat*VLOOKUP($A406,Leveranser_per_nät,'Leveranser per nät'!J$1,FALSE)
               +Andel_beroende_av_klimat*VLOOKUP($A406,Leveranser_per_nät,'Leveranser per nät'!J$1,FALSE)/VLOOKUP($B406,Korrigeringsfaktor_EI,'Korrigeringsfaktor EI'!J$1,FALSE),
"")</f>
        <v>0</v>
      </c>
      <c r="K406" s="18">
        <f>IFERROR(
                  Andel_oberoende_av_klimat*VLOOKUP($A406,Leveranser_per_nät,'Leveranser per nät'!K$1,FALSE)
               +Andel_beroende_av_klimat*VLOOKUP($A406,Leveranser_per_nät,'Leveranser per nät'!K$1,FALSE)/VLOOKUP($B406,Korrigeringsfaktor_EI,'Korrigeringsfaktor EI'!K$1,FALSE),
"")</f>
        <v>0</v>
      </c>
      <c r="L406" s="18">
        <f>IFERROR(
                  Andel_oberoende_av_klimat*VLOOKUP($A406,Leveranser_per_nät,'Leveranser per nät'!L$1,FALSE)
               +Andel_beroende_av_klimat*VLOOKUP($A406,Leveranser_per_nät,'Leveranser per nät'!L$1,FALSE)/VLOOKUP($B406,Korrigeringsfaktor_EI,'Korrigeringsfaktor EI'!L$1,FALSE),
"")</f>
        <v>0</v>
      </c>
      <c r="M406" s="18">
        <f>IFERROR(
                  Andel_oberoende_av_klimat*VLOOKUP($A406,Leveranser_per_nät,'Leveranser per nät'!M$1,FALSE)
               +Andel_beroende_av_klimat*VLOOKUP($A406,Leveranser_per_nät,'Leveranser per nät'!M$1,FALSE)/VLOOKUP($B406,Korrigeringsfaktor_EI,'Korrigeringsfaktor EI'!M$1,FALSE),
"")</f>
        <v>4.8564461538461536</v>
      </c>
      <c r="N406" s="18">
        <f>IFERROR(
                  Andel_oberoende_av_klimat*VLOOKUP($A406,Leveranser_per_nät,'Leveranser per nät'!N$1,FALSE)
               +Andel_beroende_av_klimat*VLOOKUP($A406,Leveranser_per_nät,'Leveranser per nät'!N$1,FALSE)/VLOOKUP($B406,Korrigeringsfaktor_EI,'Korrigeringsfaktor EI'!N$1,FALSE),
"")</f>
        <v>4.6682615384615378</v>
      </c>
      <c r="O406" s="18">
        <f>IFERROR(
                  Andel_oberoende_av_klimat*VLOOKUP($A406,Leveranser_per_nät,'Leveranser per nät'!O$1,FALSE)
               +Andel_beroende_av_klimat*VLOOKUP($A406,Leveranser_per_nät,'Leveranser per nät'!O$1,FALSE)/VLOOKUP($B406,Korrigeringsfaktor_EI,'Korrigeringsfaktor EI'!O$1,FALSE),
"")</f>
        <v>4.7805307692307686</v>
      </c>
      <c r="P406" s="18">
        <f>IFERROR(
                  Andel_oberoende_av_klimat*VLOOKUP($A406,Leveranser_per_nät,'Leveranser per nät'!P$1,FALSE)
               +Andel_beroende_av_klimat*VLOOKUP($A406,Leveranser_per_nät,'Leveranser per nät'!P$1,FALSE)/VLOOKUP($B406,Korrigeringsfaktor_EI,'Korrigeringsfaktor EI'!P$1,FALSE),
"")</f>
        <v>4.8418162315789477</v>
      </c>
      <c r="Q406" s="18">
        <f>IFERROR(
                  Andel_oberoende_av_klimat*VLOOKUP($A406,Leveranser_per_nät,'Leveranser per nät'!Q$1,FALSE)
               +Andel_beroende_av_klimat*VLOOKUP($A406,Leveranser_per_nät,'Leveranser per nät'!Q$1,FALSE)/VLOOKUP($B406,Korrigeringsfaktor_EI,'Korrigeringsfaktor EI'!Q$1,FALSE),
"")</f>
        <v>0</v>
      </c>
      <c r="R406" s="18">
        <f>IFERROR(
                  Andel_oberoende_av_klimat*VLOOKUP($A406,Leveranser_per_nät,'Leveranser per nät'!R$1,FALSE)
               +Andel_beroende_av_klimat*VLOOKUP($A406,Leveranser_per_nät,'Leveranser per nät'!R$1,FALSE)/VLOOKUP($B406,Korrigeringsfaktor_EI,'Korrigeringsfaktor EI'!R$1,FALSE),
"")</f>
        <v>0</v>
      </c>
      <c r="S406" s="18" t="str">
        <f>IFERROR(
                  Andel_oberoende_av_klimat*VLOOKUP($A406,Leveranser_per_nät,'Leveranser per nät'!S$1,FALSE)
               +Andel_beroende_av_klimat*VLOOKUP($A406,Leveranser_per_nät,'Leveranser per nät'!S$1,FALSE)/VLOOKUP($B406,Korrigeringsfaktor_EI,'Korrigeringsfaktor EI'!S$1,FALSE),
"")</f>
        <v/>
      </c>
      <c r="T406" s="18" t="str">
        <f>IFERROR(
                  Andel_oberoende_av_klimat*VLOOKUP($A406,Leveranser_per_nät,'Leveranser per nät'!T$1,FALSE)
               +Andel_beroende_av_klimat*VLOOKUP($A406,Leveranser_per_nät,'Leveranser per nät'!T$1,FALSE)/VLOOKUP($B406,Korrigeringsfaktor_EI,'Korrigeringsfaktor EI'!T$1,FALSE),
"")</f>
        <v/>
      </c>
      <c r="U406" s="18" t="str">
        <f>IFERROR(
                  Andel_oberoende_av_klimat*VLOOKUP($A406,Leveranser_per_nät,'Leveranser per nät'!U$1,FALSE)
               +Andel_beroende_av_klimat*VLOOKUP($A406,Leveranser_per_nät,'Leveranser per nät'!U$1,FALSE)/VLOOKUP($B406,Korrigeringsfaktor_EI,'Korrigeringsfaktor EI'!U$1,FALSE),
"")</f>
        <v/>
      </c>
      <c r="V406" s="18" t="str">
        <f>IFERROR(
                  Andel_oberoende_av_klimat*VLOOKUP($A406,Leveranser_per_nät,'Leveranser per nät'!V$1,FALSE)
               +Andel_beroende_av_klimat*VLOOKUP($A406,Leveranser_per_nät,'Leveranser per nät'!V$1,FALSE)/VLOOKUP($B406,Korrigeringsfaktor_EI,'Korrigeringsfaktor EI'!V$1,FALSE),
"")</f>
        <v/>
      </c>
      <c r="W406" s="18" t="str">
        <f>IFERROR(
                  Andel_oberoende_av_klimat*VLOOKUP($A406,Leveranser_per_nät,'Leveranser per nät'!W$1,FALSE)
               +Andel_beroende_av_klimat*VLOOKUP($A406,Leveranser_per_nät,'Leveranser per nät'!W$1,FALSE)/VLOOKUP($B406,Korrigeringsfaktor_EI,'Korrigeringsfaktor EI'!W$1,FALSE),
"")</f>
        <v/>
      </c>
      <c r="X406" s="18" t="str">
        <f>IFERROR(
                  Andel_oberoende_av_klimat*VLOOKUP($A406,Leveranser_per_nät,'Leveranser per nät'!X$1,FALSE)
               +Andel_beroende_av_klimat*VLOOKUP($A406,Leveranser_per_nät,'Leveranser per nät'!X$1,FALSE)/VLOOKUP($B406,Korrigeringsfaktor_EI,'Korrigeringsfaktor EI'!X$1,FALSE),
"")</f>
        <v/>
      </c>
      <c r="Y406" s="18" t="str">
        <f>IFERROR(
                  Andel_oberoende_av_klimat*VLOOKUP($A406,Leveranser_per_nät,'Leveranser per nät'!Y$1,FALSE)
               +Andel_beroende_av_klimat*VLOOKUP($A406,Leveranser_per_nät,'Leveranser per nät'!Y$1,FALSE)/VLOOKUP($B406,Korrigeringsfaktor_EI,'Korrigeringsfaktor EI'!Y$1,FALSE),
"")</f>
        <v/>
      </c>
      <c r="Z406" s="18">
        <f>IFERROR(
                  Andel_oberoende_av_klimat*VLOOKUP($A406,Leveranser_per_nät,'Leveranser per nät'!Z$1,FALSE)
               +Andel_beroende_av_klimat*VLOOKUP($A406,Leveranser_per_nät,'Leveranser per nät'!Z$1,FALSE)/VLOOKUP($B406,Korrigeringsfaktor_EI,'Korrigeringsfaktor EI'!Z$1,FALSE),
"")</f>
        <v>0</v>
      </c>
      <c r="AA406" s="18" t="str">
        <f>IFERROR(
                  Andel_oberoende_av_klimat*VLOOKUP($A406,Leveranser_per_nät,'Leveranser per nät'!AA$1,FALSE)
               +Andel_beroende_av_klimat*VLOOKUP($A406,Leveranser_per_nät,'Leveranser per nät'!AA$1,FALSE)/VLOOKUP($B406,Korrigeringsfaktor_EI,'Korrigeringsfaktor EI'!AA$1,FALSE),
"")</f>
        <v/>
      </c>
      <c r="AB406" s="18">
        <f>IFERROR(
                  Andel_oberoende_av_klimat*VLOOKUP($A406,Leveranser_per_nät,'Leveranser per nät'!AB$1,FALSE)
               +Andel_beroende_av_klimat*VLOOKUP($A406,Leveranser_per_nät,'Leveranser per nät'!AB$1,FALSE)/VLOOKUP($B406,Korrigeringsfaktor_EI,'Korrigeringsfaktor EI'!AB$1,FALSE),
"")</f>
        <v>0</v>
      </c>
      <c r="AC406" s="18">
        <f>IFERROR(
                  Andel_oberoende_av_klimat*VLOOKUP($A406,Leveranser_per_nät,'Leveranser per nät'!AC$1,FALSE)
               +Andel_beroende_av_klimat*VLOOKUP($A406,Leveranser_per_nät,'Leveranser per nät'!AC$1,FALSE)/VLOOKUP($B406,Korrigeringsfaktor_EI,'Korrigeringsfaktor EI'!AC$1,FALSE),
"")</f>
        <v>0</v>
      </c>
      <c r="AD406">
        <v>115.232</v>
      </c>
    </row>
    <row r="407" spans="1:30" x14ac:dyDescent="0.25">
      <c r="A407" t="s">
        <v>279</v>
      </c>
      <c r="B407" t="s">
        <v>357</v>
      </c>
      <c r="C407" s="18">
        <f>IFERROR(
                  Andel_oberoende_av_klimat*VLOOKUP($A407,Leveranser_per_nät,'Leveranser per nät'!C$1,FALSE)
               +Andel_beroende_av_klimat*VLOOKUP($A407,Leveranser_per_nät,'Leveranser per nät'!C$1,FALSE)/VLOOKUP($B407,Korrigeringsfaktor_EI,'Korrigeringsfaktor EI'!C$1,FALSE),
"")</f>
        <v>3.7925925925925923</v>
      </c>
      <c r="D407" s="18">
        <f>IFERROR(
                  Andel_oberoende_av_klimat*VLOOKUP($A407,Leveranser_per_nät,'Leveranser per nät'!D$1,FALSE)
               +Andel_beroende_av_klimat*VLOOKUP($A407,Leveranser_per_nät,'Leveranser per nät'!D$1,FALSE)/VLOOKUP($B407,Korrigeringsfaktor_EI,'Korrigeringsfaktor EI'!D$1,FALSE),
"")</f>
        <v>3.8490833333333336</v>
      </c>
      <c r="E407" s="18">
        <f>IFERROR(
                  Andel_oberoende_av_klimat*VLOOKUP($A407,Leveranser_per_nät,'Leveranser per nät'!E$1,FALSE)
               +Andel_beroende_av_klimat*VLOOKUP($A407,Leveranser_per_nät,'Leveranser per nät'!E$1,FALSE)/VLOOKUP($B407,Korrigeringsfaktor_EI,'Korrigeringsfaktor EI'!E$1,FALSE),
"")</f>
        <v>3.9184466019417474</v>
      </c>
      <c r="F407" s="18">
        <f>IFERROR(
                  Andel_oberoende_av_klimat*VLOOKUP($A407,Leveranser_per_nät,'Leveranser per nät'!F$1,FALSE)
               +Andel_beroende_av_klimat*VLOOKUP($A407,Leveranser_per_nät,'Leveranser per nät'!F$1,FALSE)/VLOOKUP($B407,Korrigeringsfaktor_EI,'Korrigeringsfaktor EI'!F$1,FALSE),
"")</f>
        <v>3.7218690721649481</v>
      </c>
      <c r="G407" s="18">
        <f>IFERROR(
                  Andel_oberoende_av_klimat*VLOOKUP($A407,Leveranser_per_nät,'Leveranser per nät'!G$1,FALSE)
               +Andel_beroende_av_klimat*VLOOKUP($A407,Leveranser_per_nät,'Leveranser per nät'!G$1,FALSE)/VLOOKUP($B407,Korrigeringsfaktor_EI,'Korrigeringsfaktor EI'!G$1,FALSE),
"")</f>
        <v>3.5879222222222222</v>
      </c>
      <c r="H407" s="18">
        <f>IFERROR(
                  Andel_oberoende_av_klimat*VLOOKUP($A407,Leveranser_per_nät,'Leveranser per nät'!H$1,FALSE)
               +Andel_beroende_av_klimat*VLOOKUP($A407,Leveranser_per_nät,'Leveranser per nät'!H$1,FALSE)/VLOOKUP($B407,Korrigeringsfaktor_EI,'Korrigeringsfaktor EI'!H$1,FALSE),
"")</f>
        <v>3.1868752525252528</v>
      </c>
      <c r="I407" s="18">
        <f>IFERROR(
                  Andel_oberoende_av_klimat*VLOOKUP($A407,Leveranser_per_nät,'Leveranser per nät'!I$1,FALSE)
               +Andel_beroende_av_klimat*VLOOKUP($A407,Leveranser_per_nät,'Leveranser per nät'!I$1,FALSE)/VLOOKUP($B407,Korrigeringsfaktor_EI,'Korrigeringsfaktor EI'!I$1,FALSE),
"")</f>
        <v>3.0874999999999995</v>
      </c>
      <c r="J407" s="18">
        <f>IFERROR(
                  Andel_oberoende_av_klimat*VLOOKUP($A407,Leveranser_per_nät,'Leveranser per nät'!J$1,FALSE)
               +Andel_beroende_av_klimat*VLOOKUP($A407,Leveranser_per_nät,'Leveranser per nät'!J$1,FALSE)/VLOOKUP($B407,Korrigeringsfaktor_EI,'Korrigeringsfaktor EI'!J$1,FALSE),
"")</f>
        <v>4.0865979381443296</v>
      </c>
      <c r="K407" s="18">
        <f>IFERROR(
                  Andel_oberoende_av_klimat*VLOOKUP($A407,Leveranser_per_nät,'Leveranser per nät'!K$1,FALSE)
               +Andel_beroende_av_klimat*VLOOKUP($A407,Leveranser_per_nät,'Leveranser per nät'!K$1,FALSE)/VLOOKUP($B407,Korrigeringsfaktor_EI,'Korrigeringsfaktor EI'!K$1,FALSE),
"")</f>
        <v>4.0184879725085914</v>
      </c>
      <c r="L407" s="18">
        <f>IFERROR(
                  Andel_oberoende_av_klimat*VLOOKUP($A407,Leveranser_per_nät,'Leveranser per nät'!L$1,FALSE)
               +Andel_beroende_av_klimat*VLOOKUP($A407,Leveranser_per_nät,'Leveranser per nät'!L$1,FALSE)/VLOOKUP($B407,Korrigeringsfaktor_EI,'Korrigeringsfaktor EI'!L$1,FALSE),
"")</f>
        <v>4.0703942652329754</v>
      </c>
      <c r="M407" s="18">
        <f>IFERROR(
                  Andel_oberoende_av_klimat*VLOOKUP($A407,Leveranser_per_nät,'Leveranser per nät'!M$1,FALSE)
               +Andel_beroende_av_klimat*VLOOKUP($A407,Leveranser_per_nät,'Leveranser per nät'!M$1,FALSE)/VLOOKUP($B407,Korrigeringsfaktor_EI,'Korrigeringsfaktor EI'!M$1,FALSE),
"")</f>
        <v>4.0313043478260866</v>
      </c>
      <c r="N407" s="18">
        <f>IFERROR(
                  Andel_oberoende_av_klimat*VLOOKUP($A407,Leveranser_per_nät,'Leveranser per nät'!N$1,FALSE)
               +Andel_beroende_av_klimat*VLOOKUP($A407,Leveranser_per_nät,'Leveranser per nät'!N$1,FALSE)/VLOOKUP($B407,Korrigeringsfaktor_EI,'Korrigeringsfaktor EI'!N$1,FALSE),
"")</f>
        <v>3.94</v>
      </c>
      <c r="O407" s="18">
        <f>IFERROR(
                  Andel_oberoende_av_klimat*VLOOKUP($A407,Leveranser_per_nät,'Leveranser per nät'!O$1,FALSE)
               +Andel_beroende_av_klimat*VLOOKUP($A407,Leveranser_per_nät,'Leveranser per nät'!O$1,FALSE)/VLOOKUP($B407,Korrigeringsfaktor_EI,'Korrigeringsfaktor EI'!O$1,FALSE),
"")</f>
        <v>4.4212903225806457</v>
      </c>
      <c r="P407" s="18">
        <f>IFERROR(
                  Andel_oberoende_av_klimat*VLOOKUP($A407,Leveranser_per_nät,'Leveranser per nät'!P$1,FALSE)
               +Andel_beroende_av_klimat*VLOOKUP($A407,Leveranser_per_nät,'Leveranser per nät'!P$1,FALSE)/VLOOKUP($B407,Korrigeringsfaktor_EI,'Korrigeringsfaktor EI'!P$1,FALSE),
"")</f>
        <v>4.7332323232323237</v>
      </c>
      <c r="Q407" s="18">
        <f>IFERROR(
                  Andel_oberoende_av_klimat*VLOOKUP($A407,Leveranser_per_nät,'Leveranser per nät'!Q$1,FALSE)
               +Andel_beroende_av_klimat*VLOOKUP($A407,Leveranser_per_nät,'Leveranser per nät'!Q$1,FALSE)/VLOOKUP($B407,Korrigeringsfaktor_EI,'Korrigeringsfaktor EI'!Q$1,FALSE),
"")</f>
        <v>4.7812389380530975</v>
      </c>
      <c r="R407" s="18">
        <f>IFERROR(
                  Andel_oberoende_av_klimat*VLOOKUP($A407,Leveranser_per_nät,'Leveranser per nät'!R$1,FALSE)
               +Andel_beroende_av_klimat*VLOOKUP($A407,Leveranser_per_nät,'Leveranser per nät'!R$1,FALSE)/VLOOKUP($B407,Korrigeringsfaktor_EI,'Korrigeringsfaktor EI'!R$1,FALSE),
"")</f>
        <v>4.6678260869565218</v>
      </c>
      <c r="S407" s="18">
        <f>IFERROR(
                  Andel_oberoende_av_klimat*VLOOKUP($A407,Leveranser_per_nät,'Leveranser per nät'!S$1,FALSE)
               +Andel_beroende_av_klimat*VLOOKUP($A407,Leveranser_per_nät,'Leveranser per nät'!S$1,FALSE)/VLOOKUP($B407,Korrigeringsfaktor_EI,'Korrigeringsfaktor EI'!S$1,FALSE),
"")</f>
        <v>4.6475643564356437</v>
      </c>
      <c r="T407" s="18">
        <f>IFERROR(
                  Andel_oberoende_av_klimat*VLOOKUP($A407,Leveranser_per_nät,'Leveranser per nät'!T$1,FALSE)
               +Andel_beroende_av_klimat*VLOOKUP($A407,Leveranser_per_nät,'Leveranser per nät'!T$1,FALSE)/VLOOKUP($B407,Korrigeringsfaktor_EI,'Korrigeringsfaktor EI'!T$1,FALSE),
"")</f>
        <v>4.5550242268041234</v>
      </c>
      <c r="U407" s="18">
        <f>IFERROR(
                  Andel_oberoende_av_klimat*VLOOKUP($A407,Leveranser_per_nät,'Leveranser per nät'!U$1,FALSE)
               +Andel_beroende_av_klimat*VLOOKUP($A407,Leveranser_per_nät,'Leveranser per nät'!U$1,FALSE)/VLOOKUP($B407,Korrigeringsfaktor_EI,'Korrigeringsfaktor EI'!U$1,FALSE),
"")</f>
        <v>4.4949043478260871</v>
      </c>
      <c r="V407" s="18">
        <f>IFERROR(
                  Andel_oberoende_av_klimat*VLOOKUP($A407,Leveranser_per_nät,'Leveranser per nät'!V$1,FALSE)
               +Andel_beroende_av_klimat*VLOOKUP($A407,Leveranser_per_nät,'Leveranser per nät'!V$1,FALSE)/VLOOKUP($B407,Korrigeringsfaktor_EI,'Korrigeringsfaktor EI'!V$1,FALSE),
"")</f>
        <v>4.4938434782608692</v>
      </c>
      <c r="W407" s="18">
        <f>IFERROR(
                  Andel_oberoende_av_klimat*VLOOKUP($A407,Leveranser_per_nät,'Leveranser per nät'!W$1,FALSE)
               +Andel_beroende_av_klimat*VLOOKUP($A407,Leveranser_per_nät,'Leveranser per nät'!W$1,FALSE)/VLOOKUP($B407,Korrigeringsfaktor_EI,'Korrigeringsfaktor EI'!W$1,FALSE),
"")</f>
        <v>4.7454874999999994</v>
      </c>
      <c r="X407" s="18">
        <f>IFERROR(
                  Andel_oberoende_av_klimat*VLOOKUP($A407,Leveranser_per_nät,'Leveranser per nät'!X$1,FALSE)
               +Andel_beroende_av_klimat*VLOOKUP($A407,Leveranser_per_nät,'Leveranser per nät'!X$1,FALSE)/VLOOKUP($B407,Korrigeringsfaktor_EI,'Korrigeringsfaktor EI'!X$1,FALSE),
"")</f>
        <v>4.6289808510638295</v>
      </c>
      <c r="Y407" s="18">
        <f>IFERROR(
                  Andel_oberoende_av_klimat*VLOOKUP($A407,Leveranser_per_nät,'Leveranser per nät'!Y$1,FALSE)
               +Andel_beroende_av_klimat*VLOOKUP($A407,Leveranser_per_nät,'Leveranser per nät'!Y$1,FALSE)/VLOOKUP($B407,Korrigeringsfaktor_EI,'Korrigeringsfaktor EI'!Y$1,FALSE),
"")</f>
        <v>5.0083652173913045</v>
      </c>
      <c r="Z407" s="18">
        <f>IFERROR(
                  Andel_oberoende_av_klimat*VLOOKUP($A407,Leveranser_per_nät,'Leveranser per nät'!Z$1,FALSE)
               +Andel_beroende_av_klimat*VLOOKUP($A407,Leveranser_per_nät,'Leveranser per nät'!Z$1,FALSE)/VLOOKUP($B407,Korrigeringsfaktor_EI,'Korrigeringsfaktor EI'!Z$1,FALSE),
"")</f>
        <v>4.3132769230769226</v>
      </c>
      <c r="AA407" s="18">
        <f>IFERROR(
                  Andel_oberoende_av_klimat*VLOOKUP($A407,Leveranser_per_nät,'Leveranser per nät'!AA$1,FALSE)
               +Andel_beroende_av_klimat*VLOOKUP($A407,Leveranser_per_nät,'Leveranser per nät'!AA$1,FALSE)/VLOOKUP($B407,Korrigeringsfaktor_EI,'Korrigeringsfaktor EI'!AA$1,FALSE),
"")</f>
        <v>4.1143006366307535</v>
      </c>
      <c r="AB407" s="18">
        <f>IFERROR(
                  Andel_oberoende_av_klimat*VLOOKUP($A407,Leveranser_per_nät,'Leveranser per nät'!AB$1,FALSE)
               +Andel_beroende_av_klimat*VLOOKUP($A407,Leveranser_per_nät,'Leveranser per nät'!AB$1,FALSE)/VLOOKUP($B407,Korrigeringsfaktor_EI,'Korrigeringsfaktor EI'!AB$1,FALSE),
"")</f>
        <v>4.0307924471299099</v>
      </c>
      <c r="AC407" s="18">
        <f>IFERROR(
                  Andel_oberoende_av_klimat*VLOOKUP($A407,Leveranser_per_nät,'Leveranser per nät'!AC$1,FALSE)
               +Andel_beroende_av_klimat*VLOOKUP($A407,Leveranser_per_nät,'Leveranser per nät'!AC$1,FALSE)/VLOOKUP($B407,Korrigeringsfaktor_EI,'Korrigeringsfaktor EI'!AC$1,FALSE),
"")</f>
        <v>3.9147535031847132</v>
      </c>
      <c r="AD407">
        <v>88</v>
      </c>
    </row>
    <row r="408" spans="1:30" x14ac:dyDescent="0.25">
      <c r="A408" s="3" t="s">
        <v>17</v>
      </c>
      <c r="B408" t="s">
        <v>527</v>
      </c>
      <c r="C408" s="18">
        <f>IFERROR(
                  Andel_oberoende_av_klimat*VLOOKUP($A408,Leveranser_per_nät,'Leveranser per nät'!C$1,FALSE)
               +Andel_beroende_av_klimat*VLOOKUP($A408,Leveranser_per_nät,'Leveranser per nät'!C$1,FALSE)/VLOOKUP($B408,Korrigeringsfaktor_EI,'Korrigeringsfaktor EI'!C$1,FALSE),
"")</f>
        <v>0</v>
      </c>
      <c r="D408" s="18">
        <f>IFERROR(
                  Andel_oberoende_av_klimat*VLOOKUP($A408,Leveranser_per_nät,'Leveranser per nät'!D$1,FALSE)
               +Andel_beroende_av_klimat*VLOOKUP($A408,Leveranser_per_nät,'Leveranser per nät'!D$1,FALSE)/VLOOKUP($B408,Korrigeringsfaktor_EI,'Korrigeringsfaktor EI'!D$1,FALSE),
"")</f>
        <v>0</v>
      </c>
      <c r="E408" s="18">
        <f>IFERROR(
                  Andel_oberoende_av_klimat*VLOOKUP($A408,Leveranser_per_nät,'Leveranser per nät'!E$1,FALSE)
               +Andel_beroende_av_klimat*VLOOKUP($A408,Leveranser_per_nät,'Leveranser per nät'!E$1,FALSE)/VLOOKUP($B408,Korrigeringsfaktor_EI,'Korrigeringsfaktor EI'!E$1,FALSE),
"")</f>
        <v>0</v>
      </c>
      <c r="F408" s="18">
        <f>IFERROR(
                  Andel_oberoende_av_klimat*VLOOKUP($A408,Leveranser_per_nät,'Leveranser per nät'!F$1,FALSE)
               +Andel_beroende_av_klimat*VLOOKUP($A408,Leveranser_per_nät,'Leveranser per nät'!F$1,FALSE)/VLOOKUP($B408,Korrigeringsfaktor_EI,'Korrigeringsfaktor EI'!F$1,FALSE),
"")</f>
        <v>0</v>
      </c>
      <c r="G408" s="18">
        <f>IFERROR(
                  Andel_oberoende_av_klimat*VLOOKUP($A408,Leveranser_per_nät,'Leveranser per nät'!G$1,FALSE)
               +Andel_beroende_av_klimat*VLOOKUP($A408,Leveranser_per_nät,'Leveranser per nät'!G$1,FALSE)/VLOOKUP($B408,Korrigeringsfaktor_EI,'Korrigeringsfaktor EI'!G$1,FALSE),
"")</f>
        <v>0</v>
      </c>
      <c r="H408" s="18">
        <f>IFERROR(
                  Andel_oberoende_av_klimat*VLOOKUP($A408,Leveranser_per_nät,'Leveranser per nät'!H$1,FALSE)
               +Andel_beroende_av_klimat*VLOOKUP($A408,Leveranser_per_nät,'Leveranser per nät'!H$1,FALSE)/VLOOKUP($B408,Korrigeringsfaktor_EI,'Korrigeringsfaktor EI'!H$1,FALSE),
"")</f>
        <v>0</v>
      </c>
      <c r="I408" s="18">
        <f>IFERROR(
                  Andel_oberoende_av_klimat*VLOOKUP($A408,Leveranser_per_nät,'Leveranser per nät'!I$1,FALSE)
               +Andel_beroende_av_klimat*VLOOKUP($A408,Leveranser_per_nät,'Leveranser per nät'!I$1,FALSE)/VLOOKUP($B408,Korrigeringsfaktor_EI,'Korrigeringsfaktor EI'!I$1,FALSE),
"")</f>
        <v>0</v>
      </c>
      <c r="J408" s="18">
        <f>IFERROR(
                  Andel_oberoende_av_klimat*VLOOKUP($A408,Leveranser_per_nät,'Leveranser per nät'!J$1,FALSE)
               +Andel_beroende_av_klimat*VLOOKUP($A408,Leveranser_per_nät,'Leveranser per nät'!J$1,FALSE)/VLOOKUP($B408,Korrigeringsfaktor_EI,'Korrigeringsfaktor EI'!J$1,FALSE),
"")</f>
        <v>0</v>
      </c>
      <c r="K408" s="18">
        <f>IFERROR(
                  Andel_oberoende_av_klimat*VLOOKUP($A408,Leveranser_per_nät,'Leveranser per nät'!K$1,FALSE)
               +Andel_beroende_av_klimat*VLOOKUP($A408,Leveranser_per_nät,'Leveranser per nät'!K$1,FALSE)/VLOOKUP($B408,Korrigeringsfaktor_EI,'Korrigeringsfaktor EI'!K$1,FALSE),
"")</f>
        <v>0</v>
      </c>
      <c r="L408" s="18">
        <f>IFERROR(
                  Andel_oberoende_av_klimat*VLOOKUP($A408,Leveranser_per_nät,'Leveranser per nät'!L$1,FALSE)
               +Andel_beroende_av_klimat*VLOOKUP($A408,Leveranser_per_nät,'Leveranser per nät'!L$1,FALSE)/VLOOKUP($B408,Korrigeringsfaktor_EI,'Korrigeringsfaktor EI'!L$1,FALSE),
"")</f>
        <v>0</v>
      </c>
      <c r="M408" s="18">
        <f>IFERROR(
                  Andel_oberoende_av_klimat*VLOOKUP($A408,Leveranser_per_nät,'Leveranser per nät'!M$1,FALSE)
               +Andel_beroende_av_klimat*VLOOKUP($A408,Leveranser_per_nät,'Leveranser per nät'!M$1,FALSE)/VLOOKUP($B408,Korrigeringsfaktor_EI,'Korrigeringsfaktor EI'!M$1,FALSE),
"")</f>
        <v>0</v>
      </c>
      <c r="N408" s="18">
        <f>IFERROR(
                  Andel_oberoende_av_klimat*VLOOKUP($A408,Leveranser_per_nät,'Leveranser per nät'!N$1,FALSE)
               +Andel_beroende_av_klimat*VLOOKUP($A408,Leveranser_per_nät,'Leveranser per nät'!N$1,FALSE)/VLOOKUP($B408,Korrigeringsfaktor_EI,'Korrigeringsfaktor EI'!N$1,FALSE),
"")</f>
        <v>0</v>
      </c>
      <c r="O408" s="18">
        <f>IFERROR(
                  Andel_oberoende_av_klimat*VLOOKUP($A408,Leveranser_per_nät,'Leveranser per nät'!O$1,FALSE)
               +Andel_beroende_av_klimat*VLOOKUP($A408,Leveranser_per_nät,'Leveranser per nät'!O$1,FALSE)/VLOOKUP($B408,Korrigeringsfaktor_EI,'Korrigeringsfaktor EI'!O$1,FALSE),
"")</f>
        <v>0</v>
      </c>
      <c r="P408" s="18">
        <f>IFERROR(
                  Andel_oberoende_av_klimat*VLOOKUP($A408,Leveranser_per_nät,'Leveranser per nät'!P$1,FALSE)
               +Andel_beroende_av_klimat*VLOOKUP($A408,Leveranser_per_nät,'Leveranser per nät'!P$1,FALSE)/VLOOKUP($B408,Korrigeringsfaktor_EI,'Korrigeringsfaktor EI'!P$1,FALSE),
"")</f>
        <v>0</v>
      </c>
      <c r="Q408" s="18">
        <f>IFERROR(
                  Andel_oberoende_av_klimat*VLOOKUP($A408,Leveranser_per_nät,'Leveranser per nät'!Q$1,FALSE)
               +Andel_beroende_av_klimat*VLOOKUP($A408,Leveranser_per_nät,'Leveranser per nät'!Q$1,FALSE)/VLOOKUP($B408,Korrigeringsfaktor_EI,'Korrigeringsfaktor EI'!Q$1,FALSE),
"")</f>
        <v>6.567499999999999</v>
      </c>
      <c r="R408" s="18">
        <f>IFERROR(
                  Andel_oberoende_av_klimat*VLOOKUP($A408,Leveranser_per_nät,'Leveranser per nät'!R$1,FALSE)
               +Andel_beroende_av_klimat*VLOOKUP($A408,Leveranser_per_nät,'Leveranser per nät'!R$1,FALSE)/VLOOKUP($B408,Korrigeringsfaktor_EI,'Korrigeringsfaktor EI'!R$1,FALSE),
"")</f>
        <v>6.3017977528089881</v>
      </c>
      <c r="S408" s="18">
        <f>IFERROR(
                  Andel_oberoende_av_klimat*VLOOKUP($A408,Leveranser_per_nät,'Leveranser per nät'!S$1,FALSE)
               +Andel_beroende_av_klimat*VLOOKUP($A408,Leveranser_per_nät,'Leveranser per nät'!S$1,FALSE)/VLOOKUP($B408,Korrigeringsfaktor_EI,'Korrigeringsfaktor EI'!S$1,FALSE),
"")</f>
        <v>6.1570297029702976</v>
      </c>
      <c r="T408" s="18">
        <f>IFERROR(
                  Andel_oberoende_av_klimat*VLOOKUP($A408,Leveranser_per_nät,'Leveranser per nät'!T$1,FALSE)
               +Andel_beroende_av_klimat*VLOOKUP($A408,Leveranser_per_nät,'Leveranser per nät'!T$1,FALSE)/VLOOKUP($B408,Korrigeringsfaktor_EI,'Korrigeringsfaktor EI'!T$1,FALSE),
"")</f>
        <v>6.3247368421052625</v>
      </c>
      <c r="U408" s="18">
        <f>IFERROR(
                  Andel_oberoende_av_klimat*VLOOKUP($A408,Leveranser_per_nät,'Leveranser per nät'!U$1,FALSE)
               +Andel_beroende_av_klimat*VLOOKUP($A408,Leveranser_per_nät,'Leveranser per nät'!U$1,FALSE)/VLOOKUP($B408,Korrigeringsfaktor_EI,'Korrigeringsfaktor EI'!U$1,FALSE),
"")</f>
        <v>5.9288846153846144</v>
      </c>
      <c r="V408" s="18">
        <f>IFERROR(
                  Andel_oberoende_av_klimat*VLOOKUP($A408,Leveranser_per_nät,'Leveranser per nät'!V$1,FALSE)
               +Andel_beroende_av_klimat*VLOOKUP($A408,Leveranser_per_nät,'Leveranser per nät'!V$1,FALSE)/VLOOKUP($B408,Korrigeringsfaktor_EI,'Korrigeringsfaktor EI'!V$1,FALSE),
"")</f>
        <v>6.1700173913043468</v>
      </c>
      <c r="W408" s="18">
        <f>IFERROR(
                  Andel_oberoende_av_klimat*VLOOKUP($A408,Leveranser_per_nät,'Leveranser per nät'!W$1,FALSE)
               +Andel_beroende_av_klimat*VLOOKUP($A408,Leveranser_per_nät,'Leveranser per nät'!W$1,FALSE)/VLOOKUP($B408,Korrigeringsfaktor_EI,'Korrigeringsfaktor EI'!W$1,FALSE),
"")</f>
        <v>6.8923291666666673</v>
      </c>
      <c r="X408" s="18">
        <f>IFERROR(
                  Andel_oberoende_av_klimat*VLOOKUP($A408,Leveranser_per_nät,'Leveranser per nät'!X$1,FALSE)
               +Andel_beroende_av_klimat*VLOOKUP($A408,Leveranser_per_nät,'Leveranser per nät'!X$1,FALSE)/VLOOKUP($B408,Korrigeringsfaktor_EI,'Korrigeringsfaktor EI'!X$1,FALSE),
"")</f>
        <v>6.7924999999999995</v>
      </c>
      <c r="Y408" s="18">
        <f>IFERROR(
                  Andel_oberoende_av_klimat*VLOOKUP($A408,Leveranser_per_nät,'Leveranser per nät'!Y$1,FALSE)
               +Andel_beroende_av_klimat*VLOOKUP($A408,Leveranser_per_nät,'Leveranser per nät'!Y$1,FALSE)/VLOOKUP($B408,Korrigeringsfaktor_EI,'Korrigeringsfaktor EI'!Y$1,FALSE),
"")</f>
        <v>7.0017391304347818</v>
      </c>
      <c r="Z408" s="18">
        <f>IFERROR(
                  Andel_oberoende_av_klimat*VLOOKUP($A408,Leveranser_per_nät,'Leveranser per nät'!Z$1,FALSE)
               +Andel_beroende_av_klimat*VLOOKUP($A408,Leveranser_per_nät,'Leveranser per nät'!Z$1,FALSE)/VLOOKUP($B408,Korrigeringsfaktor_EI,'Korrigeringsfaktor EI'!Z$1,FALSE),
"")</f>
        <v>6.8424731182795693</v>
      </c>
      <c r="AA408" s="18">
        <f>IFERROR(
                  Andel_oberoende_av_klimat*VLOOKUP($A408,Leveranser_per_nät,'Leveranser per nät'!AA$1,FALSE)
               +Andel_beroende_av_klimat*VLOOKUP($A408,Leveranser_per_nät,'Leveranser per nät'!AA$1,FALSE)/VLOOKUP($B408,Korrigeringsfaktor_EI,'Korrigeringsfaktor EI'!AA$1,FALSE),
"")</f>
        <v>6.369982617333001</v>
      </c>
      <c r="AB408" s="18">
        <f>IFERROR(
                  Andel_oberoende_av_klimat*VLOOKUP($A408,Leveranser_per_nät,'Leveranser per nät'!AB$1,FALSE)
               +Andel_beroende_av_klimat*VLOOKUP($A408,Leveranser_per_nät,'Leveranser per nät'!AB$1,FALSE)/VLOOKUP($B408,Korrigeringsfaktor_EI,'Korrigeringsfaktor EI'!AB$1,FALSE),
"")</f>
        <v>6.2824302788844619</v>
      </c>
      <c r="AC408" s="18">
        <f>IFERROR(
                  Andel_oberoende_av_klimat*VLOOKUP($A408,Leveranser_per_nät,'Leveranser per nät'!AC$1,FALSE)
               +Andel_beroende_av_klimat*VLOOKUP($A408,Leveranser_per_nät,'Leveranser per nät'!AC$1,FALSE)/VLOOKUP($B408,Korrigeringsfaktor_EI,'Korrigeringsfaktor EI'!AC$1,FALSE),
"")</f>
        <v>6.0748578947368417</v>
      </c>
      <c r="AD408" t="e">
        <v>#N/A</v>
      </c>
    </row>
    <row r="409" spans="1:30" x14ac:dyDescent="0.25">
      <c r="A409" t="s">
        <v>301</v>
      </c>
      <c r="B409" t="s">
        <v>301</v>
      </c>
      <c r="C409" s="18">
        <f>IFERROR(
                  Andel_oberoende_av_klimat*VLOOKUP($A409,Leveranser_per_nät,'Leveranser per nät'!C$1,FALSE)
               +Andel_beroende_av_klimat*VLOOKUP($A409,Leveranser_per_nät,'Leveranser per nät'!C$1,FALSE)/VLOOKUP($B409,Korrigeringsfaktor_EI,'Korrigeringsfaktor EI'!C$1,FALSE),
"")</f>
        <v>188.68148148148148</v>
      </c>
      <c r="D409" s="18">
        <f>IFERROR(
                  Andel_oberoende_av_klimat*VLOOKUP($A409,Leveranser_per_nät,'Leveranser per nät'!D$1,FALSE)
               +Andel_beroende_av_klimat*VLOOKUP($A409,Leveranser_per_nät,'Leveranser per nät'!D$1,FALSE)/VLOOKUP($B409,Korrigeringsfaktor_EI,'Korrigeringsfaktor EI'!D$1,FALSE),
"")</f>
        <v>118.79670833333334</v>
      </c>
      <c r="E409" s="18">
        <f>IFERROR(
                  Andel_oberoende_av_klimat*VLOOKUP($A409,Leveranser_per_nät,'Leveranser per nät'!E$1,FALSE)
               +Andel_beroende_av_klimat*VLOOKUP($A409,Leveranser_per_nät,'Leveranser per nät'!E$1,FALSE)/VLOOKUP($B409,Korrigeringsfaktor_EI,'Korrigeringsfaktor EI'!E$1,FALSE),
"")</f>
        <v>124.13366336633663</v>
      </c>
      <c r="F409" s="18">
        <f>IFERROR(
                  Andel_oberoende_av_klimat*VLOOKUP($A409,Leveranser_per_nät,'Leveranser per nät'!F$1,FALSE)
               +Andel_beroende_av_klimat*VLOOKUP($A409,Leveranser_per_nät,'Leveranser per nät'!F$1,FALSE)/VLOOKUP($B409,Korrigeringsfaktor_EI,'Korrigeringsfaktor EI'!F$1,FALSE),
"")</f>
        <v>134.85773195876288</v>
      </c>
      <c r="G409" s="18">
        <f>IFERROR(
                  Andel_oberoende_av_klimat*VLOOKUP($A409,Leveranser_per_nät,'Leveranser per nät'!G$1,FALSE)
               +Andel_beroende_av_klimat*VLOOKUP($A409,Leveranser_per_nät,'Leveranser per nät'!G$1,FALSE)/VLOOKUP($B409,Korrigeringsfaktor_EI,'Korrigeringsfaktor EI'!G$1,FALSE),
"")</f>
        <v>159.13043478260869</v>
      </c>
      <c r="H409" s="18">
        <f>IFERROR(
                  Andel_oberoende_av_klimat*VLOOKUP($A409,Leveranser_per_nät,'Leveranser per nät'!H$1,FALSE)
               +Andel_beroende_av_klimat*VLOOKUP($A409,Leveranser_per_nät,'Leveranser per nät'!H$1,FALSE)/VLOOKUP($B409,Korrigeringsfaktor_EI,'Korrigeringsfaktor EI'!H$1,FALSE),
"")</f>
        <v>158.8910891089109</v>
      </c>
      <c r="I409" s="18">
        <f>IFERROR(
                  Andel_oberoende_av_klimat*VLOOKUP($A409,Leveranser_per_nät,'Leveranser per nät'!I$1,FALSE)
               +Andel_beroende_av_klimat*VLOOKUP($A409,Leveranser_per_nät,'Leveranser per nät'!I$1,FALSE)/VLOOKUP($B409,Korrigeringsfaktor_EI,'Korrigeringsfaktor EI'!I$1,FALSE),
"")</f>
        <v>161.74736842105264</v>
      </c>
      <c r="J409" s="18">
        <f>IFERROR(
                  Andel_oberoende_av_klimat*VLOOKUP($A409,Leveranser_per_nät,'Leveranser per nät'!J$1,FALSE)
               +Andel_beroende_av_klimat*VLOOKUP($A409,Leveranser_per_nät,'Leveranser per nät'!J$1,FALSE)/VLOOKUP($B409,Korrigeringsfaktor_EI,'Korrigeringsfaktor EI'!J$1,FALSE),
"")</f>
        <v>159.52083333333334</v>
      </c>
      <c r="K409" s="18">
        <f>IFERROR(
                  Andel_oberoende_av_klimat*VLOOKUP($A409,Leveranser_per_nät,'Leveranser per nät'!K$1,FALSE)
               +Andel_beroende_av_klimat*VLOOKUP($A409,Leveranser_per_nät,'Leveranser per nät'!K$1,FALSE)/VLOOKUP($B409,Korrigeringsfaktor_EI,'Korrigeringsfaktor EI'!K$1,FALSE),
"")</f>
        <v>151.75371250000001</v>
      </c>
      <c r="L409" s="18">
        <f>IFERROR(
                  Andel_oberoende_av_klimat*VLOOKUP($A409,Leveranser_per_nät,'Leveranser per nät'!L$1,FALSE)
               +Andel_beroende_av_klimat*VLOOKUP($A409,Leveranser_per_nät,'Leveranser per nät'!L$1,FALSE)/VLOOKUP($B409,Korrigeringsfaktor_EI,'Korrigeringsfaktor EI'!L$1,FALSE),
"")</f>
        <v>145.81525263157894</v>
      </c>
      <c r="M409" s="18">
        <f>IFERROR(
                  Andel_oberoende_av_klimat*VLOOKUP($A409,Leveranser_per_nät,'Leveranser per nät'!M$1,FALSE)
               +Andel_beroende_av_klimat*VLOOKUP($A409,Leveranser_per_nät,'Leveranser per nät'!M$1,FALSE)/VLOOKUP($B409,Korrigeringsfaktor_EI,'Korrigeringsfaktor EI'!M$1,FALSE),
"")</f>
        <v>131.12404615384617</v>
      </c>
      <c r="N409" s="18">
        <f>IFERROR(
                  Andel_oberoende_av_klimat*VLOOKUP($A409,Leveranser_per_nät,'Leveranser per nät'!N$1,FALSE)
               +Andel_beroende_av_klimat*VLOOKUP($A409,Leveranser_per_nät,'Leveranser per nät'!N$1,FALSE)/VLOOKUP($B409,Korrigeringsfaktor_EI,'Korrigeringsfaktor EI'!N$1,FALSE),
"")</f>
        <v>127.32720769230768</v>
      </c>
      <c r="O409" s="18">
        <f>IFERROR(
                  Andel_oberoende_av_klimat*VLOOKUP($A409,Leveranser_per_nät,'Leveranser per nät'!O$1,FALSE)
               +Andel_beroende_av_klimat*VLOOKUP($A409,Leveranser_per_nät,'Leveranser per nät'!O$1,FALSE)/VLOOKUP($B409,Korrigeringsfaktor_EI,'Korrigeringsfaktor EI'!O$1,FALSE),
"")</f>
        <v>129.20905384615384</v>
      </c>
      <c r="P409" s="18">
        <f>IFERROR(
                  Andel_oberoende_av_klimat*VLOOKUP($A409,Leveranser_per_nät,'Leveranser per nät'!P$1,FALSE)
               +Andel_beroende_av_klimat*VLOOKUP($A409,Leveranser_per_nät,'Leveranser per nät'!P$1,FALSE)/VLOOKUP($B409,Korrigeringsfaktor_EI,'Korrigeringsfaktor EI'!P$1,FALSE),
"")</f>
        <v>132.4753447526316</v>
      </c>
      <c r="Q409" s="18">
        <f>IFERROR(
                  Andel_oberoende_av_klimat*VLOOKUP($A409,Leveranser_per_nät,'Leveranser per nät'!Q$1,FALSE)
               +Andel_beroende_av_klimat*VLOOKUP($A409,Leveranser_per_nät,'Leveranser per nät'!Q$1,FALSE)/VLOOKUP($B409,Korrigeringsfaktor_EI,'Korrigeringsfaktor EI'!Q$1,FALSE),
"")</f>
        <v>141.93097955555555</v>
      </c>
      <c r="R409" s="18">
        <f>IFERROR(
                  Andel_oberoende_av_klimat*VLOOKUP($A409,Leveranser_per_nät,'Leveranser per nät'!R$1,FALSE)
               +Andel_beroende_av_klimat*VLOOKUP($A409,Leveranser_per_nät,'Leveranser per nät'!R$1,FALSE)/VLOOKUP($B409,Korrigeringsfaktor_EI,'Korrigeringsfaktor EI'!R$1,FALSE),
"")</f>
        <v>131.63639090909089</v>
      </c>
      <c r="S409" s="18">
        <f>IFERROR(
                  Andel_oberoende_av_klimat*VLOOKUP($A409,Leveranser_per_nät,'Leveranser per nät'!S$1,FALSE)
               +Andel_beroende_av_klimat*VLOOKUP($A409,Leveranser_per_nät,'Leveranser per nät'!S$1,FALSE)/VLOOKUP($B409,Korrigeringsfaktor_EI,'Korrigeringsfaktor EI'!S$1,FALSE),
"")</f>
        <v>132.81443298969074</v>
      </c>
      <c r="T409" s="18">
        <f>IFERROR(
                  Andel_oberoende_av_klimat*VLOOKUP($A409,Leveranser_per_nät,'Leveranser per nät'!T$1,FALSE)
               +Andel_beroende_av_klimat*VLOOKUP($A409,Leveranser_per_nät,'Leveranser per nät'!T$1,FALSE)/VLOOKUP($B409,Korrigeringsfaktor_EI,'Korrigeringsfaktor EI'!T$1,FALSE),
"")</f>
        <v>131.57608228085107</v>
      </c>
      <c r="U409" s="18">
        <f>IFERROR(
                  Andel_oberoende_av_klimat*VLOOKUP($A409,Leveranser_per_nät,'Leveranser per nät'!U$1,FALSE)
               +Andel_beroende_av_klimat*VLOOKUP($A409,Leveranser_per_nät,'Leveranser per nät'!U$1,FALSE)/VLOOKUP($B409,Korrigeringsfaktor_EI,'Korrigeringsfaktor EI'!U$1,FALSE),
"")</f>
        <v>129.1914922730337</v>
      </c>
      <c r="V409" s="18">
        <f>IFERROR(
                  Andel_oberoende_av_klimat*VLOOKUP($A409,Leveranser_per_nät,'Leveranser per nät'!V$1,FALSE)
               +Andel_beroende_av_klimat*VLOOKUP($A409,Leveranser_per_nät,'Leveranser per nät'!V$1,FALSE)/VLOOKUP($B409,Korrigeringsfaktor_EI,'Korrigeringsfaktor EI'!V$1,FALSE),
"")</f>
        <v>131.71517865168539</v>
      </c>
      <c r="W409" s="18">
        <f>IFERROR(
                  Andel_oberoende_av_klimat*VLOOKUP($A409,Leveranser_per_nät,'Leveranser per nät'!W$1,FALSE)
               +Andel_beroende_av_klimat*VLOOKUP($A409,Leveranser_per_nät,'Leveranser per nät'!W$1,FALSE)/VLOOKUP($B409,Korrigeringsfaktor_EI,'Korrigeringsfaktor EI'!W$1,FALSE),
"")</f>
        <v>133.67945106382979</v>
      </c>
      <c r="X409" s="18">
        <f>IFERROR(
                  Andel_oberoende_av_klimat*VLOOKUP($A409,Leveranser_per_nät,'Leveranser per nät'!X$1,FALSE)
               +Andel_beroende_av_klimat*VLOOKUP($A409,Leveranser_per_nät,'Leveranser per nät'!X$1,FALSE)/VLOOKUP($B409,Korrigeringsfaktor_EI,'Korrigeringsfaktor EI'!X$1,FALSE),
"")</f>
        <v>132.47524210526316</v>
      </c>
      <c r="Y409" s="18">
        <f>IFERROR(
                  Andel_oberoende_av_klimat*VLOOKUP($A409,Leveranser_per_nät,'Leveranser per nät'!Y$1,FALSE)
               +Andel_beroende_av_klimat*VLOOKUP($A409,Leveranser_per_nät,'Leveranser per nät'!Y$1,FALSE)/VLOOKUP($B409,Korrigeringsfaktor_EI,'Korrigeringsfaktor EI'!Y$1,FALSE),
"")</f>
        <v>132.36185268817204</v>
      </c>
      <c r="Z409" s="18">
        <f>IFERROR(
                  Andel_oberoende_av_klimat*VLOOKUP($A409,Leveranser_per_nät,'Leveranser per nät'!Z$1,FALSE)
               +Andel_beroende_av_klimat*VLOOKUP($A409,Leveranser_per_nät,'Leveranser per nät'!Z$1,FALSE)/VLOOKUP($B409,Korrigeringsfaktor_EI,'Korrigeringsfaktor EI'!Z$1,FALSE),
"")</f>
        <v>129.19150212765959</v>
      </c>
      <c r="AA409" s="18">
        <f>IFERROR(
                  Andel_oberoende_av_klimat*VLOOKUP($A409,Leveranser_per_nät,'Leveranser per nät'!AA$1,FALSE)
               +Andel_beroende_av_klimat*VLOOKUP($A409,Leveranser_per_nät,'Leveranser per nät'!AA$1,FALSE)/VLOOKUP($B409,Korrigeringsfaktor_EI,'Korrigeringsfaktor EI'!AA$1,FALSE),
"")</f>
        <v>123.02319951865223</v>
      </c>
      <c r="AB409" s="18">
        <f>IFERROR(
                  Andel_oberoende_av_klimat*VLOOKUP($A409,Leveranser_per_nät,'Leveranser per nät'!AB$1,FALSE)
               +Andel_beroende_av_klimat*VLOOKUP($A409,Leveranser_per_nät,'Leveranser per nät'!AB$1,FALSE)/VLOOKUP($B409,Korrigeringsfaktor_EI,'Korrigeringsfaktor EI'!AB$1,FALSE),
"")</f>
        <v>124.48840020181635</v>
      </c>
      <c r="AC409" s="18">
        <f>IFERROR(
                  Andel_oberoende_av_klimat*VLOOKUP($A409,Leveranser_per_nät,'Leveranser per nät'!AC$1,FALSE)
               +Andel_beroende_av_klimat*VLOOKUP($A409,Leveranser_per_nät,'Leveranser per nät'!AC$1,FALSE)/VLOOKUP($B409,Korrigeringsfaktor_EI,'Korrigeringsfaktor EI'!AC$1,FALSE),
"")</f>
        <v>120.38066382978724</v>
      </c>
      <c r="AD409">
        <v>115.232</v>
      </c>
    </row>
    <row r="410" spans="1:30" x14ac:dyDescent="0.25">
      <c r="A410" t="s">
        <v>75</v>
      </c>
      <c r="B410" t="s">
        <v>88</v>
      </c>
      <c r="C410" s="18">
        <f>IFERROR(
                  Andel_oberoende_av_klimat*VLOOKUP($A410,Leveranser_per_nät,'Leveranser per nät'!C$1,FALSE)
               +Andel_beroende_av_klimat*VLOOKUP($A410,Leveranser_per_nät,'Leveranser per nät'!C$1,FALSE)/VLOOKUP($B410,Korrigeringsfaktor_EI,'Korrigeringsfaktor EI'!C$1,FALSE),
"")</f>
        <v>0</v>
      </c>
      <c r="D410" s="18">
        <f>IFERROR(
                  Andel_oberoende_av_klimat*VLOOKUP($A410,Leveranser_per_nät,'Leveranser per nät'!D$1,FALSE)
               +Andel_beroende_av_klimat*VLOOKUP($A410,Leveranser_per_nät,'Leveranser per nät'!D$1,FALSE)/VLOOKUP($B410,Korrigeringsfaktor_EI,'Korrigeringsfaktor EI'!D$1,FALSE),
"")</f>
        <v>0</v>
      </c>
      <c r="E410" s="18">
        <f>IFERROR(
                  Andel_oberoende_av_klimat*VLOOKUP($A410,Leveranser_per_nät,'Leveranser per nät'!E$1,FALSE)
               +Andel_beroende_av_klimat*VLOOKUP($A410,Leveranser_per_nät,'Leveranser per nät'!E$1,FALSE)/VLOOKUP($B410,Korrigeringsfaktor_EI,'Korrigeringsfaktor EI'!E$1,FALSE),
"")</f>
        <v>0</v>
      </c>
      <c r="F410" s="18">
        <f>IFERROR(
                  Andel_oberoende_av_klimat*VLOOKUP($A410,Leveranser_per_nät,'Leveranser per nät'!F$1,FALSE)
               +Andel_beroende_av_klimat*VLOOKUP($A410,Leveranser_per_nät,'Leveranser per nät'!F$1,FALSE)/VLOOKUP($B410,Korrigeringsfaktor_EI,'Korrigeringsfaktor EI'!F$1,FALSE),
"")</f>
        <v>0</v>
      </c>
      <c r="G410" s="18">
        <f>IFERROR(
                  Andel_oberoende_av_klimat*VLOOKUP($A410,Leveranser_per_nät,'Leveranser per nät'!G$1,FALSE)
               +Andel_beroende_av_klimat*VLOOKUP($A410,Leveranser_per_nät,'Leveranser per nät'!G$1,FALSE)/VLOOKUP($B410,Korrigeringsfaktor_EI,'Korrigeringsfaktor EI'!G$1,FALSE),
"")</f>
        <v>0</v>
      </c>
      <c r="H410" s="18">
        <f>IFERROR(
                  Andel_oberoende_av_klimat*VLOOKUP($A410,Leveranser_per_nät,'Leveranser per nät'!H$1,FALSE)
               +Andel_beroende_av_klimat*VLOOKUP($A410,Leveranser_per_nät,'Leveranser per nät'!H$1,FALSE)/VLOOKUP($B410,Korrigeringsfaktor_EI,'Korrigeringsfaktor EI'!H$1,FALSE),
"")</f>
        <v>0</v>
      </c>
      <c r="I410" s="18">
        <f>IFERROR(
                  Andel_oberoende_av_klimat*VLOOKUP($A410,Leveranser_per_nät,'Leveranser per nät'!I$1,FALSE)
               +Andel_beroende_av_klimat*VLOOKUP($A410,Leveranser_per_nät,'Leveranser per nät'!I$1,FALSE)/VLOOKUP($B410,Korrigeringsfaktor_EI,'Korrigeringsfaktor EI'!I$1,FALSE),
"")</f>
        <v>0</v>
      </c>
      <c r="J410" s="18">
        <f>IFERROR(
                  Andel_oberoende_av_klimat*VLOOKUP($A410,Leveranser_per_nät,'Leveranser per nät'!J$1,FALSE)
               +Andel_beroende_av_klimat*VLOOKUP($A410,Leveranser_per_nät,'Leveranser per nät'!J$1,FALSE)/VLOOKUP($B410,Korrigeringsfaktor_EI,'Korrigeringsfaktor EI'!J$1,FALSE),
"")</f>
        <v>0</v>
      </c>
      <c r="K410" s="18">
        <f>IFERROR(
                  Andel_oberoende_av_klimat*VLOOKUP($A410,Leveranser_per_nät,'Leveranser per nät'!K$1,FALSE)
               +Andel_beroende_av_klimat*VLOOKUP($A410,Leveranser_per_nät,'Leveranser per nät'!K$1,FALSE)/VLOOKUP($B410,Korrigeringsfaktor_EI,'Korrigeringsfaktor EI'!K$1,FALSE),
"")</f>
        <v>0</v>
      </c>
      <c r="L410" s="18">
        <f>IFERROR(
                  Andel_oberoende_av_klimat*VLOOKUP($A410,Leveranser_per_nät,'Leveranser per nät'!L$1,FALSE)
               +Andel_beroende_av_klimat*VLOOKUP($A410,Leveranser_per_nät,'Leveranser per nät'!L$1,FALSE)/VLOOKUP($B410,Korrigeringsfaktor_EI,'Korrigeringsfaktor EI'!L$1,FALSE),
"")</f>
        <v>0</v>
      </c>
      <c r="M410" s="18">
        <f>IFERROR(
                  Andel_oberoende_av_klimat*VLOOKUP($A410,Leveranser_per_nät,'Leveranser per nät'!M$1,FALSE)
               +Andel_beroende_av_klimat*VLOOKUP($A410,Leveranser_per_nät,'Leveranser per nät'!M$1,FALSE)/VLOOKUP($B410,Korrigeringsfaktor_EI,'Korrigeringsfaktor EI'!M$1,FALSE),
"")</f>
        <v>33.947826086956525</v>
      </c>
      <c r="N410" s="18">
        <f>IFERROR(
                  Andel_oberoende_av_klimat*VLOOKUP($A410,Leveranser_per_nät,'Leveranser per nät'!N$1,FALSE)
               +Andel_beroende_av_klimat*VLOOKUP($A410,Leveranser_per_nät,'Leveranser per nät'!N$1,FALSE)/VLOOKUP($B410,Korrigeringsfaktor_EI,'Korrigeringsfaktor EI'!N$1,FALSE),
"")</f>
        <v>34.215384615384615</v>
      </c>
      <c r="O410" s="18">
        <f>IFERROR(
                  Andel_oberoende_av_klimat*VLOOKUP($A410,Leveranser_per_nät,'Leveranser per nät'!O$1,FALSE)
               +Andel_beroende_av_klimat*VLOOKUP($A410,Leveranser_per_nät,'Leveranser per nät'!O$1,FALSE)/VLOOKUP($B410,Korrigeringsfaktor_EI,'Korrigeringsfaktor EI'!O$1,FALSE),
"")</f>
        <v>30.069999999999997</v>
      </c>
      <c r="P410" s="18">
        <f>IFERROR(
                  Andel_oberoende_av_klimat*VLOOKUP($A410,Leveranser_per_nät,'Leveranser per nät'!P$1,FALSE)
               +Andel_beroende_av_klimat*VLOOKUP($A410,Leveranser_per_nät,'Leveranser per nät'!P$1,FALSE)/VLOOKUP($B410,Korrigeringsfaktor_EI,'Korrigeringsfaktor EI'!P$1,FALSE),
"")</f>
        <v>41.166666666666671</v>
      </c>
      <c r="Q410" s="18">
        <f>IFERROR(
                  Andel_oberoende_av_klimat*VLOOKUP($A410,Leveranser_per_nät,'Leveranser per nät'!Q$1,FALSE)
               +Andel_beroende_av_klimat*VLOOKUP($A410,Leveranser_per_nät,'Leveranser per nät'!Q$1,FALSE)/VLOOKUP($B410,Korrigeringsfaktor_EI,'Korrigeringsfaktor EI'!Q$1,FALSE),
"")</f>
        <v>35.215663716814156</v>
      </c>
      <c r="R410" s="18">
        <f>IFERROR(
                  Andel_oberoende_av_klimat*VLOOKUP($A410,Leveranser_per_nät,'Leveranser per nät'!R$1,FALSE)
               +Andel_beroende_av_klimat*VLOOKUP($A410,Leveranser_per_nät,'Leveranser per nät'!R$1,FALSE)/VLOOKUP($B410,Korrigeringsfaktor_EI,'Korrigeringsfaktor EI'!R$1,FALSE),
"")</f>
        <v>0</v>
      </c>
      <c r="S410" s="18" t="str">
        <f>IFERROR(
                  Andel_oberoende_av_klimat*VLOOKUP($A410,Leveranser_per_nät,'Leveranser per nät'!S$1,FALSE)
               +Andel_beroende_av_klimat*VLOOKUP($A410,Leveranser_per_nät,'Leveranser per nät'!S$1,FALSE)/VLOOKUP($B410,Korrigeringsfaktor_EI,'Korrigeringsfaktor EI'!S$1,FALSE),
"")</f>
        <v/>
      </c>
      <c r="T410" s="18" t="str">
        <f>IFERROR(
                  Andel_oberoende_av_klimat*VLOOKUP($A410,Leveranser_per_nät,'Leveranser per nät'!T$1,FALSE)
               +Andel_beroende_av_klimat*VLOOKUP($A410,Leveranser_per_nät,'Leveranser per nät'!T$1,FALSE)/VLOOKUP($B410,Korrigeringsfaktor_EI,'Korrigeringsfaktor EI'!T$1,FALSE),
"")</f>
        <v/>
      </c>
      <c r="U410" s="18" t="str">
        <f>IFERROR(
                  Andel_oberoende_av_klimat*VLOOKUP($A410,Leveranser_per_nät,'Leveranser per nät'!U$1,FALSE)
               +Andel_beroende_av_klimat*VLOOKUP($A410,Leveranser_per_nät,'Leveranser per nät'!U$1,FALSE)/VLOOKUP($B410,Korrigeringsfaktor_EI,'Korrigeringsfaktor EI'!U$1,FALSE),
"")</f>
        <v/>
      </c>
      <c r="V410" s="18" t="str">
        <f>IFERROR(
                  Andel_oberoende_av_klimat*VLOOKUP($A410,Leveranser_per_nät,'Leveranser per nät'!V$1,FALSE)
               +Andel_beroende_av_klimat*VLOOKUP($A410,Leveranser_per_nät,'Leveranser per nät'!V$1,FALSE)/VLOOKUP($B410,Korrigeringsfaktor_EI,'Korrigeringsfaktor EI'!V$1,FALSE),
"")</f>
        <v/>
      </c>
      <c r="W410" s="18" t="str">
        <f>IFERROR(
                  Andel_oberoende_av_klimat*VLOOKUP($A410,Leveranser_per_nät,'Leveranser per nät'!W$1,FALSE)
               +Andel_beroende_av_klimat*VLOOKUP($A410,Leveranser_per_nät,'Leveranser per nät'!W$1,FALSE)/VLOOKUP($B410,Korrigeringsfaktor_EI,'Korrigeringsfaktor EI'!W$1,FALSE),
"")</f>
        <v/>
      </c>
      <c r="X410" s="18" t="str">
        <f>IFERROR(
                  Andel_oberoende_av_klimat*VLOOKUP($A410,Leveranser_per_nät,'Leveranser per nät'!X$1,FALSE)
               +Andel_beroende_av_klimat*VLOOKUP($A410,Leveranser_per_nät,'Leveranser per nät'!X$1,FALSE)/VLOOKUP($B410,Korrigeringsfaktor_EI,'Korrigeringsfaktor EI'!X$1,FALSE),
"")</f>
        <v/>
      </c>
      <c r="Y410" s="18" t="str">
        <f>IFERROR(
                  Andel_oberoende_av_klimat*VLOOKUP($A410,Leveranser_per_nät,'Leveranser per nät'!Y$1,FALSE)
               +Andel_beroende_av_klimat*VLOOKUP($A410,Leveranser_per_nät,'Leveranser per nät'!Y$1,FALSE)/VLOOKUP($B410,Korrigeringsfaktor_EI,'Korrigeringsfaktor EI'!Y$1,FALSE),
"")</f>
        <v/>
      </c>
      <c r="Z410" s="18">
        <f>IFERROR(
                  Andel_oberoende_av_klimat*VLOOKUP($A410,Leveranser_per_nät,'Leveranser per nät'!Z$1,FALSE)
               +Andel_beroende_av_klimat*VLOOKUP($A410,Leveranser_per_nät,'Leveranser per nät'!Z$1,FALSE)/VLOOKUP($B410,Korrigeringsfaktor_EI,'Korrigeringsfaktor EI'!Z$1,FALSE),
"")</f>
        <v>0</v>
      </c>
      <c r="AA410" s="18" t="str">
        <f>IFERROR(
                  Andel_oberoende_av_klimat*VLOOKUP($A410,Leveranser_per_nät,'Leveranser per nät'!AA$1,FALSE)
               +Andel_beroende_av_klimat*VLOOKUP($A410,Leveranser_per_nät,'Leveranser per nät'!AA$1,FALSE)/VLOOKUP($B410,Korrigeringsfaktor_EI,'Korrigeringsfaktor EI'!AA$1,FALSE),
"")</f>
        <v/>
      </c>
      <c r="AB410" s="18">
        <f>IFERROR(
                  Andel_oberoende_av_klimat*VLOOKUP($A410,Leveranser_per_nät,'Leveranser per nät'!AB$1,FALSE)
               +Andel_beroende_av_klimat*VLOOKUP($A410,Leveranser_per_nät,'Leveranser per nät'!AB$1,FALSE)/VLOOKUP($B410,Korrigeringsfaktor_EI,'Korrigeringsfaktor EI'!AB$1,FALSE),
"")</f>
        <v>0</v>
      </c>
      <c r="AC410" s="18">
        <f>IFERROR(
                  Andel_oberoende_av_klimat*VLOOKUP($A410,Leveranser_per_nät,'Leveranser per nät'!AC$1,FALSE)
               +Andel_beroende_av_klimat*VLOOKUP($A410,Leveranser_per_nät,'Leveranser per nät'!AC$1,FALSE)/VLOOKUP($B410,Korrigeringsfaktor_EI,'Korrigeringsfaktor EI'!AC$1,FALSE),
"")</f>
        <v>0</v>
      </c>
      <c r="AD410" t="e">
        <v>#N/A</v>
      </c>
    </row>
    <row r="411" spans="1:30" x14ac:dyDescent="0.25">
      <c r="A411" t="s">
        <v>311</v>
      </c>
      <c r="B411" t="s">
        <v>311</v>
      </c>
      <c r="C411" s="18">
        <f>IFERROR(
                  Andel_oberoende_av_klimat*VLOOKUP($A411,Leveranser_per_nät,'Leveranser per nät'!C$1,FALSE)
               +Andel_beroende_av_klimat*VLOOKUP($A411,Leveranser_per_nät,'Leveranser per nät'!C$1,FALSE)/VLOOKUP($B411,Korrigeringsfaktor_EI,'Korrigeringsfaktor EI'!C$1,FALSE),
"")</f>
        <v>720.84135945945945</v>
      </c>
      <c r="D411" s="18">
        <f>IFERROR(
                  Andel_oberoende_av_klimat*VLOOKUP($A411,Leveranser_per_nät,'Leveranser per nät'!D$1,FALSE)
               +Andel_beroende_av_klimat*VLOOKUP($A411,Leveranser_per_nät,'Leveranser per nät'!D$1,FALSE)/VLOOKUP($B411,Korrigeringsfaktor_EI,'Korrigeringsfaktor EI'!D$1,FALSE),
"")</f>
        <v>679.99030495049499</v>
      </c>
      <c r="E411" s="18">
        <f>IFERROR(
                  Andel_oberoende_av_klimat*VLOOKUP($A411,Leveranser_per_nät,'Leveranser per nät'!E$1,FALSE)
               +Andel_beroende_av_klimat*VLOOKUP($A411,Leveranser_per_nät,'Leveranser per nät'!E$1,FALSE)/VLOOKUP($B411,Korrigeringsfaktor_EI,'Korrigeringsfaktor EI'!E$1,FALSE),
"")</f>
        <v>663.13333333333333</v>
      </c>
      <c r="F411" s="18">
        <f>IFERROR(
                  Andel_oberoende_av_klimat*VLOOKUP($A411,Leveranser_per_nät,'Leveranser per nät'!F$1,FALSE)
               +Andel_beroende_av_klimat*VLOOKUP($A411,Leveranser_per_nät,'Leveranser per nät'!F$1,FALSE)/VLOOKUP($B411,Korrigeringsfaktor_EI,'Korrigeringsfaktor EI'!F$1,FALSE),
"")</f>
        <v>670.20206185567019</v>
      </c>
      <c r="G411" s="18">
        <f>IFERROR(
                  Andel_oberoende_av_klimat*VLOOKUP($A411,Leveranser_per_nät,'Leveranser per nät'!G$1,FALSE)
               +Andel_beroende_av_klimat*VLOOKUP($A411,Leveranser_per_nät,'Leveranser per nät'!G$1,FALSE)/VLOOKUP($B411,Korrigeringsfaktor_EI,'Korrigeringsfaktor EI'!G$1,FALSE),
"")</f>
        <v>705.47826086956513</v>
      </c>
      <c r="H411" s="18">
        <f>IFERROR(
                  Andel_oberoende_av_klimat*VLOOKUP($A411,Leveranser_per_nät,'Leveranser per nät'!H$1,FALSE)
               +Andel_beroende_av_klimat*VLOOKUP($A411,Leveranser_per_nät,'Leveranser per nät'!H$1,FALSE)/VLOOKUP($B411,Korrigeringsfaktor_EI,'Korrigeringsfaktor EI'!H$1,FALSE),
"")</f>
        <v>733.14747474747469</v>
      </c>
      <c r="I411" s="18">
        <f>IFERROR(
                  Andel_oberoende_av_klimat*VLOOKUP($A411,Leveranser_per_nät,'Leveranser per nät'!I$1,FALSE)
               +Andel_beroende_av_klimat*VLOOKUP($A411,Leveranser_per_nät,'Leveranser per nät'!I$1,FALSE)/VLOOKUP($B411,Korrigeringsfaktor_EI,'Korrigeringsfaktor EI'!I$1,FALSE),
"")</f>
        <v>698.80416666666667</v>
      </c>
      <c r="J411" s="18">
        <f>IFERROR(
                  Andel_oberoende_av_klimat*VLOOKUP($A411,Leveranser_per_nät,'Leveranser per nät'!J$1,FALSE)
               +Andel_beroende_av_klimat*VLOOKUP($A411,Leveranser_per_nät,'Leveranser per nät'!J$1,FALSE)/VLOOKUP($B411,Korrigeringsfaktor_EI,'Korrigeringsfaktor EI'!J$1,FALSE),
"")</f>
        <v>738.87671428571434</v>
      </c>
      <c r="K411" s="18">
        <f>IFERROR(
                  Andel_oberoende_av_klimat*VLOOKUP($A411,Leveranser_per_nät,'Leveranser per nät'!K$1,FALSE)
               +Andel_beroende_av_klimat*VLOOKUP($A411,Leveranser_per_nät,'Leveranser per nät'!K$1,FALSE)/VLOOKUP($B411,Korrigeringsfaktor_EI,'Korrigeringsfaktor EI'!K$1,FALSE),
"")</f>
        <v>772.53660412371141</v>
      </c>
      <c r="L411" s="18">
        <f>IFERROR(
                  Andel_oberoende_av_klimat*VLOOKUP($A411,Leveranser_per_nät,'Leveranser per nät'!L$1,FALSE)
               +Andel_beroende_av_klimat*VLOOKUP($A411,Leveranser_per_nät,'Leveranser per nät'!L$1,FALSE)/VLOOKUP($B411,Korrigeringsfaktor_EI,'Korrigeringsfaktor EI'!L$1,FALSE),
"")</f>
        <v>768.89307368421055</v>
      </c>
      <c r="M411" s="18">
        <f>IFERROR(
                  Andel_oberoende_av_klimat*VLOOKUP($A411,Leveranser_per_nät,'Leveranser per nät'!M$1,FALSE)
               +Andel_beroende_av_klimat*VLOOKUP($A411,Leveranser_per_nät,'Leveranser per nät'!M$1,FALSE)/VLOOKUP($B411,Korrigeringsfaktor_EI,'Korrigeringsfaktor EI'!M$1,FALSE),
"")</f>
        <v>742.4193153846154</v>
      </c>
      <c r="N411" s="18">
        <f>IFERROR(
                  Andel_oberoende_av_klimat*VLOOKUP($A411,Leveranser_per_nät,'Leveranser per nät'!N$1,FALSE)
               +Andel_beroende_av_klimat*VLOOKUP($A411,Leveranser_per_nät,'Leveranser per nät'!N$1,FALSE)/VLOOKUP($B411,Korrigeringsfaktor_EI,'Korrigeringsfaktor EI'!N$1,FALSE),
"")</f>
        <v>783.77724444444448</v>
      </c>
      <c r="O411" s="18">
        <f>IFERROR(
                  Andel_oberoende_av_klimat*VLOOKUP($A411,Leveranser_per_nät,'Leveranser per nät'!O$1,FALSE)
               +Andel_beroende_av_klimat*VLOOKUP($A411,Leveranser_per_nät,'Leveranser per nät'!O$1,FALSE)/VLOOKUP($B411,Korrigeringsfaktor_EI,'Korrigeringsfaktor EI'!O$1,FALSE),
"")</f>
        <v>746.41862727272735</v>
      </c>
      <c r="P411" s="18">
        <f>IFERROR(
                  Andel_oberoende_av_klimat*VLOOKUP($A411,Leveranser_per_nät,'Leveranser per nät'!P$1,FALSE)
               +Andel_beroende_av_klimat*VLOOKUP($A411,Leveranser_per_nät,'Leveranser per nät'!P$1,FALSE)/VLOOKUP($B411,Korrigeringsfaktor_EI,'Korrigeringsfaktor EI'!P$1,FALSE),
"")</f>
        <v>756.8947368421052</v>
      </c>
      <c r="Q411" s="18">
        <f>IFERROR(
                  Andel_oberoende_av_klimat*VLOOKUP($A411,Leveranser_per_nät,'Leveranser per nät'!Q$1,FALSE)
               +Andel_beroende_av_klimat*VLOOKUP($A411,Leveranser_per_nät,'Leveranser per nät'!Q$1,FALSE)/VLOOKUP($B411,Korrigeringsfaktor_EI,'Korrigeringsfaktor EI'!Q$1,FALSE),
"")</f>
        <v>740.98206756756758</v>
      </c>
      <c r="R411" s="18">
        <f>IFERROR(
                  Andel_oberoende_av_klimat*VLOOKUP($A411,Leveranser_per_nät,'Leveranser per nät'!R$1,FALSE)
               +Andel_beroende_av_klimat*VLOOKUP($A411,Leveranser_per_nät,'Leveranser per nät'!R$1,FALSE)/VLOOKUP($B411,Korrigeringsfaktor_EI,'Korrigeringsfaktor EI'!R$1,FALSE),
"")</f>
        <v>806.52374444444445</v>
      </c>
      <c r="S411" s="18">
        <f>IFERROR(
                  Andel_oberoende_av_klimat*VLOOKUP($A411,Leveranser_per_nät,'Leveranser per nät'!S$1,FALSE)
               +Andel_beroende_av_klimat*VLOOKUP($A411,Leveranser_per_nät,'Leveranser per nät'!S$1,FALSE)/VLOOKUP($B411,Korrigeringsfaktor_EI,'Korrigeringsfaktor EI'!S$1,FALSE),
"")</f>
        <v>728.30698939393938</v>
      </c>
      <c r="T411" s="18">
        <f>IFERROR(
                  Andel_oberoende_av_klimat*VLOOKUP($A411,Leveranser_per_nät,'Leveranser per nät'!T$1,FALSE)
               +Andel_beroende_av_klimat*VLOOKUP($A411,Leveranser_per_nät,'Leveranser per nät'!T$1,FALSE)/VLOOKUP($B411,Korrigeringsfaktor_EI,'Korrigeringsfaktor EI'!T$1,FALSE),
"")</f>
        <v>751.22217368421047</v>
      </c>
      <c r="U411" s="18">
        <f>IFERROR(
                  Andel_oberoende_av_klimat*VLOOKUP($A411,Leveranser_per_nät,'Leveranser per nät'!U$1,FALSE)
               +Andel_beroende_av_klimat*VLOOKUP($A411,Leveranser_per_nät,'Leveranser per nät'!U$1,FALSE)/VLOOKUP($B411,Korrigeringsfaktor_EI,'Korrigeringsfaktor EI'!U$1,FALSE),
"")</f>
        <v>657.34269662921349</v>
      </c>
      <c r="V411" s="18">
        <f>IFERROR(
                  Andel_oberoende_av_klimat*VLOOKUP($A411,Leveranser_per_nät,'Leveranser per nät'!V$1,FALSE)
               +Andel_beroende_av_klimat*VLOOKUP($A411,Leveranser_per_nät,'Leveranser per nät'!V$1,FALSE)/VLOOKUP($B411,Korrigeringsfaktor_EI,'Korrigeringsfaktor EI'!V$1,FALSE),
"")</f>
        <v>693.42272727272734</v>
      </c>
      <c r="W411" s="18">
        <f>IFERROR(
                  Andel_oberoende_av_klimat*VLOOKUP($A411,Leveranser_per_nät,'Leveranser per nät'!W$1,FALSE)
               +Andel_beroende_av_klimat*VLOOKUP($A411,Leveranser_per_nät,'Leveranser per nät'!W$1,FALSE)/VLOOKUP($B411,Korrigeringsfaktor_EI,'Korrigeringsfaktor EI'!W$1,FALSE),
"")</f>
        <v>717.93333333333328</v>
      </c>
      <c r="X411" s="18">
        <f>IFERROR(
                  Andel_oberoende_av_klimat*VLOOKUP($A411,Leveranser_per_nät,'Leveranser per nät'!X$1,FALSE)
               +Andel_beroende_av_klimat*VLOOKUP($A411,Leveranser_per_nät,'Leveranser per nät'!X$1,FALSE)/VLOOKUP($B411,Korrigeringsfaktor_EI,'Korrigeringsfaktor EI'!X$1,FALSE),
"")</f>
        <v>715.02608695652168</v>
      </c>
      <c r="Y411" s="18">
        <f>IFERROR(
                  Andel_oberoende_av_klimat*VLOOKUP($A411,Leveranser_per_nät,'Leveranser per nät'!Y$1,FALSE)
               +Andel_beroende_av_klimat*VLOOKUP($A411,Leveranser_per_nät,'Leveranser per nät'!Y$1,FALSE)/VLOOKUP($B411,Korrigeringsfaktor_EI,'Korrigeringsfaktor EI'!Y$1,FALSE),
"")</f>
        <v>741.51111111111118</v>
      </c>
      <c r="Z411" s="18">
        <f>IFERROR(
                  Andel_oberoende_av_klimat*VLOOKUP($A411,Leveranser_per_nät,'Leveranser per nät'!Z$1,FALSE)
               +Andel_beroende_av_klimat*VLOOKUP($A411,Leveranser_per_nät,'Leveranser per nät'!Z$1,FALSE)/VLOOKUP($B411,Korrigeringsfaktor_EI,'Korrigeringsfaktor EI'!Z$1,FALSE),
"")</f>
        <v>725.7932584269663</v>
      </c>
      <c r="AA411" s="18">
        <f>IFERROR(
                  Andel_oberoende_av_klimat*VLOOKUP($A411,Leveranser_per_nät,'Leveranser per nät'!AA$1,FALSE)
               +Andel_beroende_av_klimat*VLOOKUP($A411,Leveranser_per_nät,'Leveranser per nät'!AA$1,FALSE)/VLOOKUP($B411,Korrigeringsfaktor_EI,'Korrigeringsfaktor EI'!AA$1,FALSE),
"")</f>
        <v>719.04727520435972</v>
      </c>
      <c r="AB411" s="18">
        <f>IFERROR(
                  Andel_oberoende_av_klimat*VLOOKUP($A411,Leveranser_per_nät,'Leveranser per nät'!AB$1,FALSE)
               +Andel_beroende_av_klimat*VLOOKUP($A411,Leveranser_per_nät,'Leveranser per nät'!AB$1,FALSE)/VLOOKUP($B411,Korrigeringsfaktor_EI,'Korrigeringsfaktor EI'!AB$1,FALSE),
"")</f>
        <v>718.1087497527202</v>
      </c>
      <c r="AC411" s="18">
        <f>IFERROR(
                  Andel_oberoende_av_klimat*VLOOKUP($A411,Leveranser_per_nät,'Leveranser per nät'!AC$1,FALSE)
               +Andel_beroende_av_klimat*VLOOKUP($A411,Leveranser_per_nät,'Leveranser per nät'!AC$1,FALSE)/VLOOKUP($B411,Korrigeringsfaktor_EI,'Korrigeringsfaktor EI'!AC$1,FALSE),
"")</f>
        <v>693.96550916754472</v>
      </c>
      <c r="AD411">
        <v>668.80600000000004</v>
      </c>
    </row>
    <row r="412" spans="1:30" x14ac:dyDescent="0.25">
      <c r="A412" t="s">
        <v>304</v>
      </c>
      <c r="B412" t="s">
        <v>808</v>
      </c>
      <c r="C412" s="18">
        <f>IFERROR(
                  Andel_oberoende_av_klimat*VLOOKUP($A412,Leveranser_per_nät,'Leveranser per nät'!C$1,FALSE)
               +Andel_beroende_av_klimat*VLOOKUP($A412,Leveranser_per_nät,'Leveranser per nät'!C$1,FALSE)/VLOOKUP($B412,Korrigeringsfaktor_EI,'Korrigeringsfaktor EI'!C$1,FALSE),
"")</f>
        <v>1026.4855855855856</v>
      </c>
      <c r="D412" s="18">
        <f>IFERROR(
                  Andel_oberoende_av_klimat*VLOOKUP($A412,Leveranser_per_nät,'Leveranser per nät'!D$1,FALSE)
               +Andel_beroende_av_klimat*VLOOKUP($A412,Leveranser_per_nät,'Leveranser per nät'!D$1,FALSE)/VLOOKUP($B412,Korrigeringsfaktor_EI,'Korrigeringsfaktor EI'!D$1,FALSE),
"")</f>
        <v>1019.8472941176472</v>
      </c>
      <c r="E412" s="18">
        <f>IFERROR(
                  Andel_oberoende_av_klimat*VLOOKUP($A412,Leveranser_per_nät,'Leveranser per nät'!E$1,FALSE)
               +Andel_beroende_av_klimat*VLOOKUP($A412,Leveranser_per_nät,'Leveranser per nät'!E$1,FALSE)/VLOOKUP($B412,Korrigeringsfaktor_EI,'Korrigeringsfaktor EI'!E$1,FALSE),
"")</f>
        <v>1016.0792452830187</v>
      </c>
      <c r="F412" s="18">
        <f>IFERROR(
                  Andel_oberoende_av_klimat*VLOOKUP($A412,Leveranser_per_nät,'Leveranser per nät'!F$1,FALSE)
               +Andel_beroende_av_klimat*VLOOKUP($A412,Leveranser_per_nät,'Leveranser per nät'!F$1,FALSE)/VLOOKUP($B412,Korrigeringsfaktor_EI,'Korrigeringsfaktor EI'!F$1,FALSE),
"")</f>
        <v>1045.1474226804123</v>
      </c>
      <c r="G412" s="18">
        <f>IFERROR(
                  Andel_oberoende_av_klimat*VLOOKUP($A412,Leveranser_per_nät,'Leveranser per nät'!G$1,FALSE)
               +Andel_beroende_av_klimat*VLOOKUP($A412,Leveranser_per_nät,'Leveranser per nät'!G$1,FALSE)/VLOOKUP($B412,Korrigeringsfaktor_EI,'Korrigeringsfaktor EI'!G$1,FALSE),
"")</f>
        <v>1032.6870967741934</v>
      </c>
      <c r="H412" s="18">
        <f>IFERROR(
                  Andel_oberoende_av_klimat*VLOOKUP($A412,Leveranser_per_nät,'Leveranser per nät'!H$1,FALSE)
               +Andel_beroende_av_klimat*VLOOKUP($A412,Leveranser_per_nät,'Leveranser per nät'!H$1,FALSE)/VLOOKUP($B412,Korrigeringsfaktor_EI,'Korrigeringsfaktor EI'!H$1,FALSE),
"")</f>
        <v>1078.5727272727272</v>
      </c>
      <c r="I412" s="18">
        <f>IFERROR(
                  Andel_oberoende_av_klimat*VLOOKUP($A412,Leveranser_per_nät,'Leveranser per nät'!I$1,FALSE)
               +Andel_beroende_av_klimat*VLOOKUP($A412,Leveranser_per_nät,'Leveranser per nät'!I$1,FALSE)/VLOOKUP($B412,Korrigeringsfaktor_EI,'Korrigeringsfaktor EI'!I$1,FALSE),
"")</f>
        <v>1106.3541666666667</v>
      </c>
      <c r="J412" s="18">
        <f>IFERROR(
                  Andel_oberoende_av_klimat*VLOOKUP($A412,Leveranser_per_nät,'Leveranser per nät'!J$1,FALSE)
               +Andel_beroende_av_klimat*VLOOKUP($A412,Leveranser_per_nät,'Leveranser per nät'!J$1,FALSE)/VLOOKUP($B412,Korrigeringsfaktor_EI,'Korrigeringsfaktor EI'!J$1,FALSE),
"")</f>
        <v>1097.457142857143</v>
      </c>
      <c r="K412" s="18">
        <f>IFERROR(
                  Andel_oberoende_av_klimat*VLOOKUP($A412,Leveranser_per_nät,'Leveranser per nät'!K$1,FALSE)
               +Andel_beroende_av_klimat*VLOOKUP($A412,Leveranser_per_nät,'Leveranser per nät'!K$1,FALSE)/VLOOKUP($B412,Korrigeringsfaktor_EI,'Korrigeringsfaktor EI'!K$1,FALSE),
"")</f>
        <v>1097.1431250000001</v>
      </c>
      <c r="L412" s="18">
        <f>IFERROR(
                  Andel_oberoende_av_klimat*VLOOKUP($A412,Leveranser_per_nät,'Leveranser per nät'!L$1,FALSE)
               +Andel_beroende_av_klimat*VLOOKUP($A412,Leveranser_per_nät,'Leveranser per nät'!L$1,FALSE)/VLOOKUP($B412,Korrigeringsfaktor_EI,'Korrigeringsfaktor EI'!L$1,FALSE),
"")</f>
        <v>1122.1845789473684</v>
      </c>
      <c r="M412" s="18">
        <f>IFERROR(
                  Andel_oberoende_av_klimat*VLOOKUP($A412,Leveranser_per_nät,'Leveranser per nät'!M$1,FALSE)
               +Andel_beroende_av_klimat*VLOOKUP($A412,Leveranser_per_nät,'Leveranser per nät'!M$1,FALSE)/VLOOKUP($B412,Korrigeringsfaktor_EI,'Korrigeringsfaktor EI'!M$1,FALSE),
"")</f>
        <v>1099.1692307692306</v>
      </c>
      <c r="N412" s="18">
        <f>IFERROR(
                  Andel_oberoende_av_klimat*VLOOKUP($A412,Leveranser_per_nät,'Leveranser per nät'!N$1,FALSE)
               +Andel_beroende_av_klimat*VLOOKUP($A412,Leveranser_per_nät,'Leveranser per nät'!N$1,FALSE)/VLOOKUP($B412,Korrigeringsfaktor_EI,'Korrigeringsfaktor EI'!N$1,FALSE),
"")</f>
        <v>1070.3113043478259</v>
      </c>
      <c r="O412" s="18">
        <f>IFERROR(
                  Andel_oberoende_av_klimat*VLOOKUP($A412,Leveranser_per_nät,'Leveranser per nät'!O$1,FALSE)
               +Andel_beroende_av_klimat*VLOOKUP($A412,Leveranser_per_nät,'Leveranser per nät'!O$1,FALSE)/VLOOKUP($B412,Korrigeringsfaktor_EI,'Korrigeringsfaktor EI'!O$1,FALSE),
"")</f>
        <v>1064.5922444444445</v>
      </c>
      <c r="P412" s="18">
        <f>IFERROR(
                  Andel_oberoende_av_klimat*VLOOKUP($A412,Leveranser_per_nät,'Leveranser per nät'!P$1,FALSE)
               +Andel_beroende_av_klimat*VLOOKUP($A412,Leveranser_per_nät,'Leveranser per nät'!P$1,FALSE)/VLOOKUP($B412,Korrigeringsfaktor_EI,'Korrigeringsfaktor EI'!P$1,FALSE),
"")</f>
        <v>1070.9467166666668</v>
      </c>
      <c r="Q412" s="18">
        <f>IFERROR(
                  Andel_oberoende_av_klimat*VLOOKUP($A412,Leveranser_per_nät,'Leveranser per nät'!Q$1,FALSE)
               +Andel_beroende_av_klimat*VLOOKUP($A412,Leveranser_per_nät,'Leveranser per nät'!Q$1,FALSE)/VLOOKUP($B412,Korrigeringsfaktor_EI,'Korrigeringsfaktor EI'!Q$1,FALSE),
"")</f>
        <v>1097.8371750000001</v>
      </c>
      <c r="R412" s="18">
        <f>IFERROR(
                  Andel_oberoende_av_klimat*VLOOKUP($A412,Leveranser_per_nät,'Leveranser per nät'!R$1,FALSE)
               +Andel_beroende_av_klimat*VLOOKUP($A412,Leveranser_per_nät,'Leveranser per nät'!R$1,FALSE)/VLOOKUP($B412,Korrigeringsfaktor_EI,'Korrigeringsfaktor EI'!R$1,FALSE),
"")</f>
        <v>1130.7222307692307</v>
      </c>
      <c r="S412" s="18">
        <f>IFERROR(
                  Andel_oberoende_av_klimat*VLOOKUP($A412,Leveranser_per_nät,'Leveranser per nät'!S$1,FALSE)
               +Andel_beroende_av_klimat*VLOOKUP($A412,Leveranser_per_nät,'Leveranser per nät'!S$1,FALSE)/VLOOKUP($B412,Korrigeringsfaktor_EI,'Korrigeringsfaktor EI'!S$1,FALSE),
"")</f>
        <v>1048</v>
      </c>
      <c r="T412" s="18">
        <f>IFERROR(
                  Andel_oberoende_av_klimat*VLOOKUP($A412,Leveranser_per_nät,'Leveranser per nät'!T$1,FALSE)
               +Andel_beroende_av_klimat*VLOOKUP($A412,Leveranser_per_nät,'Leveranser per nät'!T$1,FALSE)/VLOOKUP($B412,Korrigeringsfaktor_EI,'Korrigeringsfaktor EI'!T$1,FALSE),
"")</f>
        <v>1049.3878947368423</v>
      </c>
      <c r="U412" s="18">
        <f>IFERROR(
                  Andel_oberoende_av_klimat*VLOOKUP($A412,Leveranser_per_nät,'Leveranser per nät'!U$1,FALSE)
               +Andel_beroende_av_klimat*VLOOKUP($A412,Leveranser_per_nät,'Leveranser per nät'!U$1,FALSE)/VLOOKUP($B412,Korrigeringsfaktor_EI,'Korrigeringsfaktor EI'!U$1,FALSE),
"")</f>
        <v>1009.4466666666667</v>
      </c>
      <c r="V412" s="18">
        <f>IFERROR(
                  Andel_oberoende_av_klimat*VLOOKUP($A412,Leveranser_per_nät,'Leveranser per nät'!V$1,FALSE)
               +Andel_beroende_av_klimat*VLOOKUP($A412,Leveranser_per_nät,'Leveranser per nät'!V$1,FALSE)/VLOOKUP($B412,Korrigeringsfaktor_EI,'Korrigeringsfaktor EI'!V$1,FALSE),
"")</f>
        <v>998.18303370786521</v>
      </c>
      <c r="W412" s="18">
        <f>IFERROR(
                  Andel_oberoende_av_klimat*VLOOKUP($A412,Leveranser_per_nät,'Leveranser per nät'!W$1,FALSE)
               +Andel_beroende_av_klimat*VLOOKUP($A412,Leveranser_per_nät,'Leveranser per nät'!W$1,FALSE)/VLOOKUP($B412,Korrigeringsfaktor_EI,'Korrigeringsfaktor EI'!W$1,FALSE),
"")</f>
        <v>1040.7130434782607</v>
      </c>
      <c r="X412" s="18">
        <f>IFERROR(
                  Andel_oberoende_av_klimat*VLOOKUP($A412,Leveranser_per_nät,'Leveranser per nät'!X$1,FALSE)
               +Andel_beroende_av_klimat*VLOOKUP($A412,Leveranser_per_nät,'Leveranser per nät'!X$1,FALSE)/VLOOKUP($B412,Korrigeringsfaktor_EI,'Korrigeringsfaktor EI'!X$1,FALSE),
"")</f>
        <v>1043.4259538461538</v>
      </c>
      <c r="Y412" s="18">
        <f>IFERROR(
                  Andel_oberoende_av_klimat*VLOOKUP($A412,Leveranser_per_nät,'Leveranser per nät'!Y$1,FALSE)
               +Andel_beroende_av_klimat*VLOOKUP($A412,Leveranser_per_nät,'Leveranser per nät'!Y$1,FALSE)/VLOOKUP($B412,Korrigeringsfaktor_EI,'Korrigeringsfaktor EI'!Y$1,FALSE),
"")</f>
        <v>1062.6993179775282</v>
      </c>
      <c r="Z412" s="18">
        <f>IFERROR(
                  Andel_oberoende_av_klimat*VLOOKUP($A412,Leveranser_per_nät,'Leveranser per nät'!Z$1,FALSE)
               +Andel_beroende_av_klimat*VLOOKUP($A412,Leveranser_per_nät,'Leveranser per nät'!Z$1,FALSE)/VLOOKUP($B412,Korrigeringsfaktor_EI,'Korrigeringsfaktor EI'!Z$1,FALSE),
"")</f>
        <v>1047.6029000000001</v>
      </c>
      <c r="AA412" s="18">
        <f>IFERROR(
                  Andel_oberoende_av_klimat*VLOOKUP($A412,Leveranser_per_nät,'Leveranser per nät'!AA$1,FALSE)
               +Andel_beroende_av_klimat*VLOOKUP($A412,Leveranser_per_nät,'Leveranser per nät'!AA$1,FALSE)/VLOOKUP($B412,Korrigeringsfaktor_EI,'Korrigeringsfaktor EI'!AA$1,FALSE),
"")</f>
        <v>1017.5044401732539</v>
      </c>
      <c r="AB412" s="18">
        <f>IFERROR(
                  Andel_oberoende_av_klimat*VLOOKUP($A412,Leveranser_per_nät,'Leveranser per nät'!AB$1,FALSE)
               +Andel_beroende_av_klimat*VLOOKUP($A412,Leveranser_per_nät,'Leveranser per nät'!AB$1,FALSE)/VLOOKUP($B412,Korrigeringsfaktor_EI,'Korrigeringsfaktor EI'!AB$1,FALSE),
"")</f>
        <v>1001.6119778446216</v>
      </c>
      <c r="AC412" s="18">
        <f>IFERROR(
                  Andel_oberoende_av_klimat*VLOOKUP($A412,Leveranser_per_nät,'Leveranser per nät'!AC$1,FALSE)
               +Andel_beroende_av_klimat*VLOOKUP($A412,Leveranser_per_nät,'Leveranser per nät'!AC$1,FALSE)/VLOOKUP($B412,Korrigeringsfaktor_EI,'Korrigeringsfaktor EI'!AC$1,FALSE),
"")</f>
        <v>983.17706532769557</v>
      </c>
      <c r="AD412" t="e">
        <v>#N/A</v>
      </c>
    </row>
    <row r="413" spans="1:30" x14ac:dyDescent="0.25">
      <c r="A413" t="s">
        <v>391</v>
      </c>
      <c r="B413" t="s">
        <v>350</v>
      </c>
      <c r="C413" s="18">
        <f>IFERROR(
                  Andel_oberoende_av_klimat*VLOOKUP($A413,Leveranser_per_nät,'Leveranser per nät'!C$1,FALSE)
               +Andel_beroende_av_klimat*VLOOKUP($A413,Leveranser_per_nät,'Leveranser per nät'!C$1,FALSE)/VLOOKUP($B413,Korrigeringsfaktor_EI,'Korrigeringsfaktor EI'!C$1,FALSE),
"")</f>
        <v>0</v>
      </c>
      <c r="D413" s="18">
        <f>IFERROR(
                  Andel_oberoende_av_klimat*VLOOKUP($A413,Leveranser_per_nät,'Leveranser per nät'!D$1,FALSE)
               +Andel_beroende_av_klimat*VLOOKUP($A413,Leveranser_per_nät,'Leveranser per nät'!D$1,FALSE)/VLOOKUP($B413,Korrigeringsfaktor_EI,'Korrigeringsfaktor EI'!D$1,FALSE),
"")</f>
        <v>0</v>
      </c>
      <c r="E413" s="18">
        <f>IFERROR(
                  Andel_oberoende_av_klimat*VLOOKUP($A413,Leveranser_per_nät,'Leveranser per nät'!E$1,FALSE)
               +Andel_beroende_av_klimat*VLOOKUP($A413,Leveranser_per_nät,'Leveranser per nät'!E$1,FALSE)/VLOOKUP($B413,Korrigeringsfaktor_EI,'Korrigeringsfaktor EI'!E$1,FALSE),
"")</f>
        <v>0</v>
      </c>
      <c r="F413" s="18">
        <f>IFERROR(
                  Andel_oberoende_av_klimat*VLOOKUP($A413,Leveranser_per_nät,'Leveranser per nät'!F$1,FALSE)
               +Andel_beroende_av_klimat*VLOOKUP($A413,Leveranser_per_nät,'Leveranser per nät'!F$1,FALSE)/VLOOKUP($B413,Korrigeringsfaktor_EI,'Korrigeringsfaktor EI'!F$1,FALSE),
"")</f>
        <v>0</v>
      </c>
      <c r="G413" s="18">
        <f>IFERROR(
                  Andel_oberoende_av_klimat*VLOOKUP($A413,Leveranser_per_nät,'Leveranser per nät'!G$1,FALSE)
               +Andel_beroende_av_klimat*VLOOKUP($A413,Leveranser_per_nät,'Leveranser per nät'!G$1,FALSE)/VLOOKUP($B413,Korrigeringsfaktor_EI,'Korrigeringsfaktor EI'!G$1,FALSE),
"")</f>
        <v>0</v>
      </c>
      <c r="H413" s="18">
        <f>IFERROR(
                  Andel_oberoende_av_klimat*VLOOKUP($A413,Leveranser_per_nät,'Leveranser per nät'!H$1,FALSE)
               +Andel_beroende_av_klimat*VLOOKUP($A413,Leveranser_per_nät,'Leveranser per nät'!H$1,FALSE)/VLOOKUP($B413,Korrigeringsfaktor_EI,'Korrigeringsfaktor EI'!H$1,FALSE),
"")</f>
        <v>0</v>
      </c>
      <c r="I413" s="18">
        <f>IFERROR(
                  Andel_oberoende_av_klimat*VLOOKUP($A413,Leveranser_per_nät,'Leveranser per nät'!I$1,FALSE)
               +Andel_beroende_av_klimat*VLOOKUP($A413,Leveranser_per_nät,'Leveranser per nät'!I$1,FALSE)/VLOOKUP($B413,Korrigeringsfaktor_EI,'Korrigeringsfaktor EI'!I$1,FALSE),
"")</f>
        <v>0</v>
      </c>
      <c r="J413" s="18">
        <f>IFERROR(
                  Andel_oberoende_av_klimat*VLOOKUP($A413,Leveranser_per_nät,'Leveranser per nät'!J$1,FALSE)
               +Andel_beroende_av_klimat*VLOOKUP($A413,Leveranser_per_nät,'Leveranser per nät'!J$1,FALSE)/VLOOKUP($B413,Korrigeringsfaktor_EI,'Korrigeringsfaktor EI'!J$1,FALSE),
"")</f>
        <v>0</v>
      </c>
      <c r="K413" s="18">
        <f>IFERROR(
                  Andel_oberoende_av_klimat*VLOOKUP($A413,Leveranser_per_nät,'Leveranser per nät'!K$1,FALSE)
               +Andel_beroende_av_klimat*VLOOKUP($A413,Leveranser_per_nät,'Leveranser per nät'!K$1,FALSE)/VLOOKUP($B413,Korrigeringsfaktor_EI,'Korrigeringsfaktor EI'!K$1,FALSE),
"")</f>
        <v>0</v>
      </c>
      <c r="L413" s="18">
        <f>IFERROR(
                  Andel_oberoende_av_klimat*VLOOKUP($A413,Leveranser_per_nät,'Leveranser per nät'!L$1,FALSE)
               +Andel_beroende_av_klimat*VLOOKUP($A413,Leveranser_per_nät,'Leveranser per nät'!L$1,FALSE)/VLOOKUP($B413,Korrigeringsfaktor_EI,'Korrigeringsfaktor EI'!L$1,FALSE),
"")</f>
        <v>0</v>
      </c>
      <c r="M413" s="18">
        <f>IFERROR(
                  Andel_oberoende_av_klimat*VLOOKUP($A413,Leveranser_per_nät,'Leveranser per nät'!M$1,FALSE)
               +Andel_beroende_av_klimat*VLOOKUP($A413,Leveranser_per_nät,'Leveranser per nät'!M$1,FALSE)/VLOOKUP($B413,Korrigeringsfaktor_EI,'Korrigeringsfaktor EI'!M$1,FALSE),
"")</f>
        <v>0</v>
      </c>
      <c r="N413" s="18">
        <f>IFERROR(
                  Andel_oberoende_av_klimat*VLOOKUP($A413,Leveranser_per_nät,'Leveranser per nät'!N$1,FALSE)
               +Andel_beroende_av_klimat*VLOOKUP($A413,Leveranser_per_nät,'Leveranser per nät'!N$1,FALSE)/VLOOKUP($B413,Korrigeringsfaktor_EI,'Korrigeringsfaktor EI'!N$1,FALSE),
"")</f>
        <v>0</v>
      </c>
      <c r="O413" s="18">
        <f>IFERROR(
                  Andel_oberoende_av_klimat*VLOOKUP($A413,Leveranser_per_nät,'Leveranser per nät'!O$1,FALSE)
               +Andel_beroende_av_klimat*VLOOKUP($A413,Leveranser_per_nät,'Leveranser per nät'!O$1,FALSE)/VLOOKUP($B413,Korrigeringsfaktor_EI,'Korrigeringsfaktor EI'!O$1,FALSE),
"")</f>
        <v>2.5264516129032257</v>
      </c>
      <c r="P413" s="18">
        <f>IFERROR(
                  Andel_oberoende_av_klimat*VLOOKUP($A413,Leveranser_per_nät,'Leveranser per nät'!P$1,FALSE)
               +Andel_beroende_av_klimat*VLOOKUP($A413,Leveranser_per_nät,'Leveranser per nät'!P$1,FALSE)/VLOOKUP($B413,Korrigeringsfaktor_EI,'Korrigeringsfaktor EI'!P$1,FALSE),
"")</f>
        <v>5.0714285714285721</v>
      </c>
      <c r="Q413" s="18">
        <f>IFERROR(
                  Andel_oberoende_av_klimat*VLOOKUP($A413,Leveranser_per_nät,'Leveranser per nät'!Q$1,FALSE)
               +Andel_beroende_av_klimat*VLOOKUP($A413,Leveranser_per_nät,'Leveranser per nät'!Q$1,FALSE)/VLOOKUP($B413,Korrigeringsfaktor_EI,'Korrigeringsfaktor EI'!Q$1,FALSE),
"")</f>
        <v>7.7465265486725672</v>
      </c>
      <c r="R413" s="18">
        <f>IFERROR(
                  Andel_oberoende_av_klimat*VLOOKUP($A413,Leveranser_per_nät,'Leveranser per nät'!R$1,FALSE)
               +Andel_beroende_av_klimat*VLOOKUP($A413,Leveranser_per_nät,'Leveranser per nät'!R$1,FALSE)/VLOOKUP($B413,Korrigeringsfaktor_EI,'Korrigeringsfaktor EI'!R$1,FALSE),
"")</f>
        <v>7.4260869565217389</v>
      </c>
      <c r="S413" s="18">
        <f>IFERROR(
                  Andel_oberoende_av_klimat*VLOOKUP($A413,Leveranser_per_nät,'Leveranser per nät'!S$1,FALSE)
               +Andel_beroende_av_klimat*VLOOKUP($A413,Leveranser_per_nät,'Leveranser per nät'!S$1,FALSE)/VLOOKUP($B413,Korrigeringsfaktor_EI,'Korrigeringsfaktor EI'!S$1,FALSE),
"")</f>
        <v>9.355291262135923</v>
      </c>
      <c r="T413" s="18">
        <f>IFERROR(
                  Andel_oberoende_av_klimat*VLOOKUP($A413,Leveranser_per_nät,'Leveranser per nät'!T$1,FALSE)
               +Andel_beroende_av_klimat*VLOOKUP($A413,Leveranser_per_nät,'Leveranser per nät'!T$1,FALSE)/VLOOKUP($B413,Korrigeringsfaktor_EI,'Korrigeringsfaktor EI'!T$1,FALSE),
"")</f>
        <v>9.9320000000000004</v>
      </c>
      <c r="U413" s="18">
        <f>IFERROR(
                  Andel_oberoende_av_klimat*VLOOKUP($A413,Leveranser_per_nät,'Leveranser per nät'!U$1,FALSE)
               +Andel_beroende_av_klimat*VLOOKUP($A413,Leveranser_per_nät,'Leveranser per nät'!U$1,FALSE)/VLOOKUP($B413,Korrigeringsfaktor_EI,'Korrigeringsfaktor EI'!U$1,FALSE),
"")</f>
        <v>9.1578777777777773</v>
      </c>
      <c r="V413" s="18">
        <f>IFERROR(
                  Andel_oberoende_av_klimat*VLOOKUP($A413,Leveranser_per_nät,'Leveranser per nät'!V$1,FALSE)
               +Andel_beroende_av_klimat*VLOOKUP($A413,Leveranser_per_nät,'Leveranser per nät'!V$1,FALSE)/VLOOKUP($B413,Korrigeringsfaktor_EI,'Korrigeringsfaktor EI'!V$1,FALSE),
"")</f>
        <v>9.0146846153846134</v>
      </c>
      <c r="W413" s="18">
        <f>IFERROR(
                  Andel_oberoende_av_klimat*VLOOKUP($A413,Leveranser_per_nät,'Leveranser per nät'!W$1,FALSE)
               +Andel_beroende_av_klimat*VLOOKUP($A413,Leveranser_per_nät,'Leveranser per nät'!W$1,FALSE)/VLOOKUP($B413,Korrigeringsfaktor_EI,'Korrigeringsfaktor EI'!W$1,FALSE),
"")</f>
        <v>11.484063157894738</v>
      </c>
      <c r="X413" s="18">
        <f>IFERROR(
                  Andel_oberoende_av_klimat*VLOOKUP($A413,Leveranser_per_nät,'Leveranser per nät'!X$1,FALSE)
               +Andel_beroende_av_klimat*VLOOKUP($A413,Leveranser_per_nät,'Leveranser per nät'!X$1,FALSE)/VLOOKUP($B413,Korrigeringsfaktor_EI,'Korrigeringsfaktor EI'!X$1,FALSE),
"")</f>
        <v>12.576912765957447</v>
      </c>
      <c r="Y413" s="18">
        <f>IFERROR(
                  Andel_oberoende_av_klimat*VLOOKUP($A413,Leveranser_per_nät,'Leveranser per nät'!Y$1,FALSE)
               +Andel_beroende_av_klimat*VLOOKUP($A413,Leveranser_per_nät,'Leveranser per nät'!Y$1,FALSE)/VLOOKUP($B413,Korrigeringsfaktor_EI,'Korrigeringsfaktor EI'!Y$1,FALSE),
"")</f>
        <v>12.930207692307691</v>
      </c>
      <c r="Z413" s="18">
        <f>IFERROR(
                  Andel_oberoende_av_klimat*VLOOKUP($A413,Leveranser_per_nät,'Leveranser per nät'!Z$1,FALSE)
               +Andel_beroende_av_klimat*VLOOKUP($A413,Leveranser_per_nät,'Leveranser per nät'!Z$1,FALSE)/VLOOKUP($B413,Korrigeringsfaktor_EI,'Korrigeringsfaktor EI'!Z$1,FALSE),
"")</f>
        <v>12.355869662921346</v>
      </c>
      <c r="AA413" s="18">
        <f>IFERROR(
                  Andel_oberoende_av_klimat*VLOOKUP($A413,Leveranser_per_nät,'Leveranser per nät'!AA$1,FALSE)
               +Andel_beroende_av_klimat*VLOOKUP($A413,Leveranser_per_nät,'Leveranser per nät'!AA$1,FALSE)/VLOOKUP($B413,Korrigeringsfaktor_EI,'Korrigeringsfaktor EI'!AA$1,FALSE),
"")</f>
        <v>14.672909605715798</v>
      </c>
      <c r="AB413" s="18">
        <f>IFERROR(
                  Andel_oberoende_av_klimat*VLOOKUP($A413,Leveranser_per_nät,'Leveranser per nät'!AB$1,FALSE)
               +Andel_beroende_av_klimat*VLOOKUP($A413,Leveranser_per_nät,'Leveranser per nät'!AB$1,FALSE)/VLOOKUP($B413,Korrigeringsfaktor_EI,'Korrigeringsfaktor EI'!AB$1,FALSE),
"")</f>
        <v>16.125459405940592</v>
      </c>
      <c r="AC413" s="18">
        <f>IFERROR(
                  Andel_oberoende_av_klimat*VLOOKUP($A413,Leveranser_per_nät,'Leveranser per nät'!AC$1,FALSE)
               +Andel_beroende_av_klimat*VLOOKUP($A413,Leveranser_per_nät,'Leveranser per nät'!AC$1,FALSE)/VLOOKUP($B413,Korrigeringsfaktor_EI,'Korrigeringsfaktor EI'!AC$1,FALSE),
"")</f>
        <v>14.907235820895522</v>
      </c>
      <c r="AD413">
        <v>99.975999999999999</v>
      </c>
    </row>
    <row r="414" spans="1:30" x14ac:dyDescent="0.25">
      <c r="A414" t="s">
        <v>463</v>
      </c>
      <c r="B414" t="s">
        <v>463</v>
      </c>
      <c r="C414" s="18">
        <f>IFERROR(
                  Andel_oberoende_av_klimat*VLOOKUP($A414,Leveranser_per_nät,'Leveranser per nät'!C$1,FALSE)
               +Andel_beroende_av_klimat*VLOOKUP($A414,Leveranser_per_nät,'Leveranser per nät'!C$1,FALSE)/VLOOKUP($B414,Korrigeringsfaktor_EI,'Korrigeringsfaktor EI'!C$1,FALSE),
"")</f>
        <v>0</v>
      </c>
      <c r="D414" s="18">
        <f>IFERROR(
                  Andel_oberoende_av_klimat*VLOOKUP($A414,Leveranser_per_nät,'Leveranser per nät'!D$1,FALSE)
               +Andel_beroende_av_klimat*VLOOKUP($A414,Leveranser_per_nät,'Leveranser per nät'!D$1,FALSE)/VLOOKUP($B414,Korrigeringsfaktor_EI,'Korrigeringsfaktor EI'!D$1,FALSE),
"")</f>
        <v>0</v>
      </c>
      <c r="E414" s="18">
        <f>IFERROR(
                  Andel_oberoende_av_klimat*VLOOKUP($A414,Leveranser_per_nät,'Leveranser per nät'!E$1,FALSE)
               +Andel_beroende_av_klimat*VLOOKUP($A414,Leveranser_per_nät,'Leveranser per nät'!E$1,FALSE)/VLOOKUP($B414,Korrigeringsfaktor_EI,'Korrigeringsfaktor EI'!E$1,FALSE),
"")</f>
        <v>0</v>
      </c>
      <c r="F414" s="18">
        <f>IFERROR(
                  Andel_oberoende_av_klimat*VLOOKUP($A414,Leveranser_per_nät,'Leveranser per nät'!F$1,FALSE)
               +Andel_beroende_av_klimat*VLOOKUP($A414,Leveranser_per_nät,'Leveranser per nät'!F$1,FALSE)/VLOOKUP($B414,Korrigeringsfaktor_EI,'Korrigeringsfaktor EI'!F$1,FALSE),
"")</f>
        <v>0</v>
      </c>
      <c r="G414" s="18">
        <f>IFERROR(
                  Andel_oberoende_av_klimat*VLOOKUP($A414,Leveranser_per_nät,'Leveranser per nät'!G$1,FALSE)
               +Andel_beroende_av_klimat*VLOOKUP($A414,Leveranser_per_nät,'Leveranser per nät'!G$1,FALSE)/VLOOKUP($B414,Korrigeringsfaktor_EI,'Korrigeringsfaktor EI'!G$1,FALSE),
"")</f>
        <v>0</v>
      </c>
      <c r="H414" s="18">
        <f>IFERROR(
                  Andel_oberoende_av_klimat*VLOOKUP($A414,Leveranser_per_nät,'Leveranser per nät'!H$1,FALSE)
               +Andel_beroende_av_klimat*VLOOKUP($A414,Leveranser_per_nät,'Leveranser per nät'!H$1,FALSE)/VLOOKUP($B414,Korrigeringsfaktor_EI,'Korrigeringsfaktor EI'!H$1,FALSE),
"")</f>
        <v>0</v>
      </c>
      <c r="I414" s="18">
        <f>IFERROR(
                  Andel_oberoende_av_klimat*VLOOKUP($A414,Leveranser_per_nät,'Leveranser per nät'!I$1,FALSE)
               +Andel_beroende_av_klimat*VLOOKUP($A414,Leveranser_per_nät,'Leveranser per nät'!I$1,FALSE)/VLOOKUP($B414,Korrigeringsfaktor_EI,'Korrigeringsfaktor EI'!I$1,FALSE),
"")</f>
        <v>0</v>
      </c>
      <c r="J414" s="18">
        <f>IFERROR(
                  Andel_oberoende_av_klimat*VLOOKUP($A414,Leveranser_per_nät,'Leveranser per nät'!J$1,FALSE)
               +Andel_beroende_av_klimat*VLOOKUP($A414,Leveranser_per_nät,'Leveranser per nät'!J$1,FALSE)/VLOOKUP($B414,Korrigeringsfaktor_EI,'Korrigeringsfaktor EI'!J$1,FALSE),
"")</f>
        <v>0</v>
      </c>
      <c r="K414" s="18">
        <f>IFERROR(
                  Andel_oberoende_av_klimat*VLOOKUP($A414,Leveranser_per_nät,'Leveranser per nät'!K$1,FALSE)
               +Andel_beroende_av_klimat*VLOOKUP($A414,Leveranser_per_nät,'Leveranser per nät'!K$1,FALSE)/VLOOKUP($B414,Korrigeringsfaktor_EI,'Korrigeringsfaktor EI'!K$1,FALSE),
"")</f>
        <v>0</v>
      </c>
      <c r="L414" s="18">
        <f>IFERROR(
                  Andel_oberoende_av_klimat*VLOOKUP($A414,Leveranser_per_nät,'Leveranser per nät'!L$1,FALSE)
               +Andel_beroende_av_klimat*VLOOKUP($A414,Leveranser_per_nät,'Leveranser per nät'!L$1,FALSE)/VLOOKUP($B414,Korrigeringsfaktor_EI,'Korrigeringsfaktor EI'!L$1,FALSE),
"")</f>
        <v>0</v>
      </c>
      <c r="M414" s="18">
        <f>IFERROR(
                  Andel_oberoende_av_klimat*VLOOKUP($A414,Leveranser_per_nät,'Leveranser per nät'!M$1,FALSE)
               +Andel_beroende_av_klimat*VLOOKUP($A414,Leveranser_per_nät,'Leveranser per nät'!M$1,FALSE)/VLOOKUP($B414,Korrigeringsfaktor_EI,'Korrigeringsfaktor EI'!M$1,FALSE),
"")</f>
        <v>0</v>
      </c>
      <c r="N414" s="18">
        <f>IFERROR(
                  Andel_oberoende_av_klimat*VLOOKUP($A414,Leveranser_per_nät,'Leveranser per nät'!N$1,FALSE)
               +Andel_beroende_av_klimat*VLOOKUP($A414,Leveranser_per_nät,'Leveranser per nät'!N$1,FALSE)/VLOOKUP($B414,Korrigeringsfaktor_EI,'Korrigeringsfaktor EI'!N$1,FALSE),
"")</f>
        <v>0</v>
      </c>
      <c r="O414" s="18">
        <f>IFERROR(
                  Andel_oberoende_av_klimat*VLOOKUP($A414,Leveranser_per_nät,'Leveranser per nät'!O$1,FALSE)
               +Andel_beroende_av_klimat*VLOOKUP($A414,Leveranser_per_nät,'Leveranser per nät'!O$1,FALSE)/VLOOKUP($B414,Korrigeringsfaktor_EI,'Korrigeringsfaktor EI'!O$1,FALSE),
"")</f>
        <v>0</v>
      </c>
      <c r="P414" s="18">
        <f>IFERROR(
                  Andel_oberoende_av_klimat*VLOOKUP($A414,Leveranser_per_nät,'Leveranser per nät'!P$1,FALSE)
               +Andel_beroende_av_klimat*VLOOKUP($A414,Leveranser_per_nät,'Leveranser per nät'!P$1,FALSE)/VLOOKUP($B414,Korrigeringsfaktor_EI,'Korrigeringsfaktor EI'!P$1,FALSE),
"")</f>
        <v>0</v>
      </c>
      <c r="Q414" s="18" t="b">
        <f>'Lev2019'!L291=IFERROR(
                  Andel_oberoende_av_klimat*VLOOKUP($A414,Leveranser_per_nät,'Leveranser per nät'!Q$1,FALSE)
               +Andel_beroende_av_klimat*VLOOKUP($A414,Leveranser_per_nät,'Leveranser per nät'!Q$1,FALSE)/VLOOKUP($B414,Korrigeringsfaktor_EI,'Korrigeringsfaktor EI'!Q$1,FALSE),
"")</f>
        <v>1</v>
      </c>
      <c r="R414" s="18">
        <f>IFERROR(
                  Andel_oberoende_av_klimat*VLOOKUP($A414,Leveranser_per_nät,'Leveranser per nät'!R$1,FALSE)
               +Andel_beroende_av_klimat*VLOOKUP($A414,Leveranser_per_nät,'Leveranser per nät'!R$1,FALSE)/VLOOKUP($B414,Korrigeringsfaktor_EI,'Korrigeringsfaktor EI'!R$1,FALSE),
"")</f>
        <v>0</v>
      </c>
      <c r="S414" s="18">
        <f>IFERROR(
                  Andel_oberoende_av_klimat*VLOOKUP($A414,Leveranser_per_nät,'Leveranser per nät'!S$1,FALSE)
               +Andel_beroende_av_klimat*VLOOKUP($A414,Leveranser_per_nät,'Leveranser per nät'!S$1,FALSE)/VLOOKUP($B414,Korrigeringsfaktor_EI,'Korrigeringsfaktor EI'!S$1,FALSE),
"")</f>
        <v>0</v>
      </c>
      <c r="T414" s="18">
        <f>IFERROR(
                  Andel_oberoende_av_klimat*VLOOKUP($A414,Leveranser_per_nät,'Leveranser per nät'!T$1,FALSE)
               +Andel_beroende_av_klimat*VLOOKUP($A414,Leveranser_per_nät,'Leveranser per nät'!T$1,FALSE)/VLOOKUP($B414,Korrigeringsfaktor_EI,'Korrigeringsfaktor EI'!T$1,FALSE),
"")</f>
        <v>49.039175257731955</v>
      </c>
      <c r="U414" s="18">
        <f>IFERROR(
                  Andel_oberoende_av_klimat*VLOOKUP($A414,Leveranser_per_nät,'Leveranser per nät'!U$1,FALSE)
               +Andel_beroende_av_klimat*VLOOKUP($A414,Leveranser_per_nät,'Leveranser per nät'!U$1,FALSE)/VLOOKUP($B414,Korrigeringsfaktor_EI,'Korrigeringsfaktor EI'!U$1,FALSE),
"")</f>
        <v>46.337727272727264</v>
      </c>
      <c r="V414" s="18">
        <f>IFERROR(
                  Andel_oberoende_av_klimat*VLOOKUP($A414,Leveranser_per_nät,'Leveranser per nät'!V$1,FALSE)
               +Andel_beroende_av_klimat*VLOOKUP($A414,Leveranser_per_nät,'Leveranser per nät'!V$1,FALSE)/VLOOKUP($B414,Korrigeringsfaktor_EI,'Korrigeringsfaktor EI'!V$1,FALSE),
"")</f>
        <v>46.832307692307687</v>
      </c>
      <c r="W414" s="18">
        <f>IFERROR(
                  Andel_oberoende_av_klimat*VLOOKUP($A414,Leveranser_per_nät,'Leveranser per nät'!W$1,FALSE)
               +Andel_beroende_av_klimat*VLOOKUP($A414,Leveranser_per_nät,'Leveranser per nät'!W$1,FALSE)/VLOOKUP($B414,Korrigeringsfaktor_EI,'Korrigeringsfaktor EI'!W$1,FALSE),
"")</f>
        <v>48.524210526315791</v>
      </c>
      <c r="X414" s="18">
        <f>IFERROR(
                  Andel_oberoende_av_klimat*VLOOKUP($A414,Leveranser_per_nät,'Leveranser per nät'!X$1,FALSE)
               +Andel_beroende_av_klimat*VLOOKUP($A414,Leveranser_per_nät,'Leveranser per nät'!X$1,FALSE)/VLOOKUP($B414,Korrigeringsfaktor_EI,'Korrigeringsfaktor EI'!X$1,FALSE),
"")</f>
        <v>48.109473684210528</v>
      </c>
      <c r="Y414" s="18">
        <f>IFERROR(
                  Andel_oberoende_av_klimat*VLOOKUP($A414,Leveranser_per_nät,'Leveranser per nät'!Y$1,FALSE)
               +Andel_beroende_av_klimat*VLOOKUP($A414,Leveranser_per_nät,'Leveranser per nät'!Y$1,FALSE)/VLOOKUP($B414,Korrigeringsfaktor_EI,'Korrigeringsfaktor EI'!Y$1,FALSE),
"")</f>
        <v>49.754782608695649</v>
      </c>
      <c r="Z414" s="18">
        <f>IFERROR(
                  Andel_oberoende_av_klimat*VLOOKUP($A414,Leveranser_per_nät,'Leveranser per nät'!Z$1,FALSE)
               +Andel_beroende_av_klimat*VLOOKUP($A414,Leveranser_per_nät,'Leveranser per nät'!Z$1,FALSE)/VLOOKUP($B414,Korrigeringsfaktor_EI,'Korrigeringsfaktor EI'!Z$1,FALSE),
"")</f>
        <v>50.811494252873565</v>
      </c>
      <c r="AA414" s="18"/>
      <c r="AB414" s="18"/>
      <c r="AC414" s="18"/>
      <c r="AD414">
        <v>48.039000000000001</v>
      </c>
    </row>
    <row r="415" spans="1:30" x14ac:dyDescent="0.25">
      <c r="A415" t="s">
        <v>129</v>
      </c>
      <c r="B415" t="s">
        <v>117</v>
      </c>
      <c r="C415" s="18">
        <f>IFERROR(
                  Andel_oberoende_av_klimat*VLOOKUP($A415,Leveranser_per_nät,'Leveranser per nät'!C$1,FALSE)
               +Andel_beroende_av_klimat*VLOOKUP($A415,Leveranser_per_nät,'Leveranser per nät'!C$1,FALSE)/VLOOKUP($B415,Korrigeringsfaktor_EI,'Korrigeringsfaktor EI'!C$1,FALSE),
"")</f>
        <v>0</v>
      </c>
      <c r="D415" s="18">
        <f>IFERROR(
                  Andel_oberoende_av_klimat*VLOOKUP($A415,Leveranser_per_nät,'Leveranser per nät'!D$1,FALSE)
               +Andel_beroende_av_klimat*VLOOKUP($A415,Leveranser_per_nät,'Leveranser per nät'!D$1,FALSE)/VLOOKUP($B415,Korrigeringsfaktor_EI,'Korrigeringsfaktor EI'!D$1,FALSE),
"")</f>
        <v>0</v>
      </c>
      <c r="E415" s="18">
        <f>IFERROR(
                  Andel_oberoende_av_klimat*VLOOKUP($A415,Leveranser_per_nät,'Leveranser per nät'!E$1,FALSE)
               +Andel_beroende_av_klimat*VLOOKUP($A415,Leveranser_per_nät,'Leveranser per nät'!E$1,FALSE)/VLOOKUP($B415,Korrigeringsfaktor_EI,'Korrigeringsfaktor EI'!E$1,FALSE),
"")</f>
        <v>0</v>
      </c>
      <c r="F415" s="18">
        <f>IFERROR(
                  Andel_oberoende_av_klimat*VLOOKUP($A415,Leveranser_per_nät,'Leveranser per nät'!F$1,FALSE)
               +Andel_beroende_av_klimat*VLOOKUP($A415,Leveranser_per_nät,'Leveranser per nät'!F$1,FALSE)/VLOOKUP($B415,Korrigeringsfaktor_EI,'Korrigeringsfaktor EI'!F$1,FALSE),
"")</f>
        <v>0</v>
      </c>
      <c r="G415" s="18">
        <f>IFERROR(
                  Andel_oberoende_av_klimat*VLOOKUP($A415,Leveranser_per_nät,'Leveranser per nät'!G$1,FALSE)
               +Andel_beroende_av_klimat*VLOOKUP($A415,Leveranser_per_nät,'Leveranser per nät'!G$1,FALSE)/VLOOKUP($B415,Korrigeringsfaktor_EI,'Korrigeringsfaktor EI'!G$1,FALSE),
"")</f>
        <v>0</v>
      </c>
      <c r="H415" s="18">
        <f>IFERROR(
                  Andel_oberoende_av_klimat*VLOOKUP($A415,Leveranser_per_nät,'Leveranser per nät'!H$1,FALSE)
               +Andel_beroende_av_klimat*VLOOKUP($A415,Leveranser_per_nät,'Leveranser per nät'!H$1,FALSE)/VLOOKUP($B415,Korrigeringsfaktor_EI,'Korrigeringsfaktor EI'!H$1,FALSE),
"")</f>
        <v>0</v>
      </c>
      <c r="I415" s="18">
        <f>IFERROR(
                  Andel_oberoende_av_klimat*VLOOKUP($A415,Leveranser_per_nät,'Leveranser per nät'!I$1,FALSE)
               +Andel_beroende_av_klimat*VLOOKUP($A415,Leveranser_per_nät,'Leveranser per nät'!I$1,FALSE)/VLOOKUP($B415,Korrigeringsfaktor_EI,'Korrigeringsfaktor EI'!I$1,FALSE),
"")</f>
        <v>0</v>
      </c>
      <c r="J415" s="18">
        <f>IFERROR(
                  Andel_oberoende_av_klimat*VLOOKUP($A415,Leveranser_per_nät,'Leveranser per nät'!J$1,FALSE)
               +Andel_beroende_av_klimat*VLOOKUP($A415,Leveranser_per_nät,'Leveranser per nät'!J$1,FALSE)/VLOOKUP($B415,Korrigeringsfaktor_EI,'Korrigeringsfaktor EI'!J$1,FALSE),
"")</f>
        <v>0</v>
      </c>
      <c r="K415" s="18">
        <f>IFERROR(
                  Andel_oberoende_av_klimat*VLOOKUP($A415,Leveranser_per_nät,'Leveranser per nät'!K$1,FALSE)
               +Andel_beroende_av_klimat*VLOOKUP($A415,Leveranser_per_nät,'Leveranser per nät'!K$1,FALSE)/VLOOKUP($B415,Korrigeringsfaktor_EI,'Korrigeringsfaktor EI'!K$1,FALSE),
"")</f>
        <v>0</v>
      </c>
      <c r="L415" s="18">
        <f>IFERROR(
                  Andel_oberoende_av_klimat*VLOOKUP($A415,Leveranser_per_nät,'Leveranser per nät'!L$1,FALSE)
               +Andel_beroende_av_klimat*VLOOKUP($A415,Leveranser_per_nät,'Leveranser per nät'!L$1,FALSE)/VLOOKUP($B415,Korrigeringsfaktor_EI,'Korrigeringsfaktor EI'!L$1,FALSE),
"")</f>
        <v>0</v>
      </c>
      <c r="M415" s="18">
        <f>IFERROR(
                  Andel_oberoende_av_klimat*VLOOKUP($A415,Leveranser_per_nät,'Leveranser per nät'!M$1,FALSE)
               +Andel_beroende_av_klimat*VLOOKUP($A415,Leveranser_per_nät,'Leveranser per nät'!M$1,FALSE)/VLOOKUP($B415,Korrigeringsfaktor_EI,'Korrigeringsfaktor EI'!M$1,FALSE),
"")</f>
        <v>0</v>
      </c>
      <c r="N415" s="18">
        <f>IFERROR(
                  Andel_oberoende_av_klimat*VLOOKUP($A415,Leveranser_per_nät,'Leveranser per nät'!N$1,FALSE)
               +Andel_beroende_av_klimat*VLOOKUP($A415,Leveranser_per_nät,'Leveranser per nät'!N$1,FALSE)/VLOOKUP($B415,Korrigeringsfaktor_EI,'Korrigeringsfaktor EI'!N$1,FALSE),
"")</f>
        <v>0</v>
      </c>
      <c r="O415" s="18">
        <f>IFERROR(
                  Andel_oberoende_av_klimat*VLOOKUP($A415,Leveranser_per_nät,'Leveranser per nät'!O$1,FALSE)
               +Andel_beroende_av_klimat*VLOOKUP($A415,Leveranser_per_nät,'Leveranser per nät'!O$1,FALSE)/VLOOKUP($B415,Korrigeringsfaktor_EI,'Korrigeringsfaktor EI'!O$1,FALSE),
"")</f>
        <v>0</v>
      </c>
      <c r="P415" s="18">
        <f>IFERROR(
                  Andel_oberoende_av_klimat*VLOOKUP($A415,Leveranser_per_nät,'Leveranser per nät'!P$1,FALSE)
               +Andel_beroende_av_klimat*VLOOKUP($A415,Leveranser_per_nät,'Leveranser per nät'!P$1,FALSE)/VLOOKUP($B415,Korrigeringsfaktor_EI,'Korrigeringsfaktor EI'!P$1,FALSE),
"")</f>
        <v>7.355876288659795</v>
      </c>
      <c r="Q415" s="18">
        <f>IFERROR(
                  Andel_oberoende_av_klimat*VLOOKUP($A415,Leveranser_per_nät,'Leveranser per nät'!Q$1,FALSE)
               +Andel_beroende_av_klimat*VLOOKUP($A415,Leveranser_per_nät,'Leveranser per nät'!Q$1,FALSE)/VLOOKUP($B415,Korrigeringsfaktor_EI,'Korrigeringsfaktor EI'!Q$1,FALSE),
"")</f>
        <v>7.7744882882882873</v>
      </c>
      <c r="R415" s="18">
        <f>IFERROR(
                  Andel_oberoende_av_klimat*VLOOKUP($A415,Leveranser_per_nät,'Leveranser per nät'!R$1,FALSE)
               +Andel_beroende_av_klimat*VLOOKUP($A415,Leveranser_per_nät,'Leveranser per nät'!R$1,FALSE)/VLOOKUP($B415,Korrigeringsfaktor_EI,'Korrigeringsfaktor EI'!R$1,FALSE),
"")</f>
        <v>7.4722333333333326</v>
      </c>
      <c r="S415" s="18">
        <f>IFERROR(
                  Andel_oberoende_av_klimat*VLOOKUP($A415,Leveranser_per_nät,'Leveranser per nät'!S$1,FALSE)
               +Andel_beroende_av_klimat*VLOOKUP($A415,Leveranser_per_nät,'Leveranser per nät'!S$1,FALSE)/VLOOKUP($B415,Korrigeringsfaktor_EI,'Korrigeringsfaktor EI'!S$1,FALSE),
"")</f>
        <v>7.3113333333333337</v>
      </c>
      <c r="T415" s="18">
        <f>IFERROR(
                  Andel_oberoende_av_klimat*VLOOKUP($A415,Leveranser_per_nät,'Leveranser per nät'!T$1,FALSE)
               +Andel_beroende_av_klimat*VLOOKUP($A415,Leveranser_per_nät,'Leveranser per nät'!T$1,FALSE)/VLOOKUP($B415,Korrigeringsfaktor_EI,'Korrigeringsfaktor EI'!T$1,FALSE),
"")</f>
        <v>7.3781684210526315</v>
      </c>
      <c r="U415" s="18">
        <f>IFERROR(
                  Andel_oberoende_av_klimat*VLOOKUP($A415,Leveranser_per_nät,'Leveranser per nät'!U$1,FALSE)
               +Andel_beroende_av_klimat*VLOOKUP($A415,Leveranser_per_nät,'Leveranser per nät'!U$1,FALSE)/VLOOKUP($B415,Korrigeringsfaktor_EI,'Korrigeringsfaktor EI'!U$1,FALSE),
"")</f>
        <v>7.0449752808988766</v>
      </c>
      <c r="V415" s="18">
        <f>IFERROR(
                  Andel_oberoende_av_klimat*VLOOKUP($A415,Leveranser_per_nät,'Leveranser per nät'!V$1,FALSE)
               +Andel_beroende_av_klimat*VLOOKUP($A415,Leveranser_per_nät,'Leveranser per nät'!V$1,FALSE)/VLOOKUP($B415,Korrigeringsfaktor_EI,'Korrigeringsfaktor EI'!V$1,FALSE),
"")</f>
        <v>7.5024111111111109</v>
      </c>
      <c r="W415" s="18">
        <f>IFERROR(
                  Andel_oberoende_av_klimat*VLOOKUP($A415,Leveranser_per_nät,'Leveranser per nät'!W$1,FALSE)
               +Andel_beroende_av_klimat*VLOOKUP($A415,Leveranser_per_nät,'Leveranser per nät'!W$1,FALSE)/VLOOKUP($B415,Korrigeringsfaktor_EI,'Korrigeringsfaktor EI'!W$1,FALSE),
"")</f>
        <v>7.5046139784946231</v>
      </c>
      <c r="X415" s="18">
        <f>IFERROR(
                  Andel_oberoende_av_klimat*VLOOKUP($A415,Leveranser_per_nät,'Leveranser per nät'!X$1,FALSE)
               +Andel_beroende_av_klimat*VLOOKUP($A415,Leveranser_per_nät,'Leveranser per nät'!X$1,FALSE)/VLOOKUP($B415,Korrigeringsfaktor_EI,'Korrigeringsfaktor EI'!X$1,FALSE),
"")</f>
        <v>7.3221680851063837</v>
      </c>
      <c r="Y415" s="18">
        <f>IFERROR(
                  Andel_oberoende_av_klimat*VLOOKUP($A415,Leveranser_per_nät,'Leveranser per nät'!Y$1,FALSE)
               +Andel_beroende_av_klimat*VLOOKUP($A415,Leveranser_per_nät,'Leveranser per nät'!Y$1,FALSE)/VLOOKUP($B415,Korrigeringsfaktor_EI,'Korrigeringsfaktor EI'!Y$1,FALSE),
"")</f>
        <v>7.158279569892473</v>
      </c>
      <c r="Z415" s="18">
        <f>IFERROR(
                  Andel_oberoende_av_klimat*VLOOKUP($A415,Leveranser_per_nät,'Leveranser per nät'!Z$1,FALSE)
               +Andel_beroende_av_klimat*VLOOKUP($A415,Leveranser_per_nät,'Leveranser per nät'!Z$1,FALSE)/VLOOKUP($B415,Korrigeringsfaktor_EI,'Korrigeringsfaktor EI'!Z$1,FALSE),
"")</f>
        <v>7.0624849462365589</v>
      </c>
      <c r="AA415" s="18">
        <f>IFERROR(
                  Andel_oberoende_av_klimat*VLOOKUP($A415,Leveranser_per_nät,'Leveranser per nät'!AA$1,FALSE)
               +Andel_beroende_av_klimat*VLOOKUP($A415,Leveranser_per_nät,'Leveranser per nät'!AA$1,FALSE)/VLOOKUP($B415,Korrigeringsfaktor_EI,'Korrigeringsfaktor EI'!AA$1,FALSE),
"")</f>
        <v>6.9108897581792323</v>
      </c>
      <c r="AB415" s="18">
        <f>IFERROR(
                  Andel_oberoende_av_klimat*VLOOKUP($A415,Leveranser_per_nät,'Leveranser per nät'!AB$1,FALSE)
               +Andel_beroende_av_klimat*VLOOKUP($A415,Leveranser_per_nät,'Leveranser per nät'!AB$1,FALSE)/VLOOKUP($B415,Korrigeringsfaktor_EI,'Korrigeringsfaktor EI'!AB$1,FALSE),
"")</f>
        <v>6.8077668668668654</v>
      </c>
      <c r="AC415" s="18">
        <f>IFERROR(
                  Andel_oberoende_av_klimat*VLOOKUP($A415,Leveranser_per_nät,'Leveranser per nät'!AC$1,FALSE)
               +Andel_beroende_av_klimat*VLOOKUP($A415,Leveranser_per_nät,'Leveranser per nät'!AC$1,FALSE)/VLOOKUP($B415,Korrigeringsfaktor_EI,'Korrigeringsfaktor EI'!AC$1,FALSE),
"")</f>
        <v>6.4543242872228088</v>
      </c>
      <c r="AD415">
        <v>110.333</v>
      </c>
    </row>
    <row r="416" spans="1:30" x14ac:dyDescent="0.25">
      <c r="A416" t="s">
        <v>426</v>
      </c>
      <c r="B416" t="s">
        <v>865</v>
      </c>
      <c r="C416" s="18">
        <f>IFERROR(
                  Andel_oberoende_av_klimat*VLOOKUP($A416,Leveranser_per_nät,'Leveranser per nät'!C$1,FALSE)
               +Andel_beroende_av_klimat*VLOOKUP($A416,Leveranser_per_nät,'Leveranser per nät'!C$1,FALSE)/VLOOKUP("Munkedal",Korrigeringsfaktor_EI,'Korrigeringsfaktor EI'!C$1,FALSE),
"")</f>
        <v>0</v>
      </c>
      <c r="D416" s="18">
        <f>IFERROR(
                  Andel_oberoende_av_klimat*VLOOKUP($A416,Leveranser_per_nät,'Leveranser per nät'!D$1,FALSE)
               +Andel_beroende_av_klimat*VLOOKUP($A416,Leveranser_per_nät,'Leveranser per nät'!D$1,FALSE)/VLOOKUP("Munkedal",Korrigeringsfaktor_EI,'Korrigeringsfaktor EI'!D$1,FALSE),
"")</f>
        <v>0</v>
      </c>
      <c r="E416" s="18">
        <f>IFERROR(
                  Andel_oberoende_av_klimat*VLOOKUP($A416,Leveranser_per_nät,'Leveranser per nät'!E$1,FALSE)
               +Andel_beroende_av_klimat*VLOOKUP($A416,Leveranser_per_nät,'Leveranser per nät'!E$1,FALSE)/VLOOKUP("Munkedal",Korrigeringsfaktor_EI,'Korrigeringsfaktor EI'!E$1,FALSE),
"")</f>
        <v>0</v>
      </c>
      <c r="F416" s="18">
        <f>IFERROR(
                  Andel_oberoende_av_klimat*VLOOKUP($A416,Leveranser_per_nät,'Leveranser per nät'!F$1,FALSE)
               +Andel_beroende_av_klimat*VLOOKUP($A416,Leveranser_per_nät,'Leveranser per nät'!F$1,FALSE)/VLOOKUP("Munkedal",Korrigeringsfaktor_EI,'Korrigeringsfaktor EI'!F$1,FALSE),
"")</f>
        <v>0</v>
      </c>
      <c r="G416" s="18">
        <f>IFERROR(
                  Andel_oberoende_av_klimat*VLOOKUP($A416,Leveranser_per_nät,'Leveranser per nät'!G$1,FALSE)
               +Andel_beroende_av_klimat*VLOOKUP($A416,Leveranser_per_nät,'Leveranser per nät'!G$1,FALSE)/VLOOKUP("Munkedal",Korrigeringsfaktor_EI,'Korrigeringsfaktor EI'!G$1,FALSE),
"")</f>
        <v>0</v>
      </c>
      <c r="H416" s="18">
        <f>IFERROR(
                  Andel_oberoende_av_klimat*VLOOKUP($A416,Leveranser_per_nät,'Leveranser per nät'!H$1,FALSE)
               +Andel_beroende_av_klimat*VLOOKUP($A416,Leveranser_per_nät,'Leveranser per nät'!H$1,FALSE)/VLOOKUP("Munkedal",Korrigeringsfaktor_EI,'Korrigeringsfaktor EI'!H$1,FALSE),
"")</f>
        <v>0</v>
      </c>
      <c r="I416" s="18">
        <f>IFERROR(
                  Andel_oberoende_av_klimat*VLOOKUP($A416,Leveranser_per_nät,'Leveranser per nät'!I$1,FALSE)
               +Andel_beroende_av_klimat*VLOOKUP($A416,Leveranser_per_nät,'Leveranser per nät'!I$1,FALSE)/VLOOKUP("Munkedal",Korrigeringsfaktor_EI,'Korrigeringsfaktor EI'!I$1,FALSE),
"")</f>
        <v>0</v>
      </c>
      <c r="J416" s="18">
        <f>IFERROR(
                  Andel_oberoende_av_klimat*VLOOKUP($A416,Leveranser_per_nät,'Leveranser per nät'!J$1,FALSE)
               +Andel_beroende_av_klimat*VLOOKUP($A416,Leveranser_per_nät,'Leveranser per nät'!J$1,FALSE)/VLOOKUP("Munkedal",Korrigeringsfaktor_EI,'Korrigeringsfaktor EI'!J$1,FALSE),
"")</f>
        <v>0</v>
      </c>
      <c r="K416" s="18">
        <f>IFERROR(
                  Andel_oberoende_av_klimat*VLOOKUP($A416,Leveranser_per_nät,'Leveranser per nät'!K$1,FALSE)
               +Andel_beroende_av_klimat*VLOOKUP($A416,Leveranser_per_nät,'Leveranser per nät'!K$1,FALSE)/VLOOKUP("Munkedal",Korrigeringsfaktor_EI,'Korrigeringsfaktor EI'!K$1,FALSE),
"")</f>
        <v>0</v>
      </c>
      <c r="L416" s="18">
        <f>IFERROR(
                  Andel_oberoende_av_klimat*VLOOKUP($A416,Leveranser_per_nät,'Leveranser per nät'!L$1,FALSE)
               +Andel_beroende_av_klimat*VLOOKUP($A416,Leveranser_per_nät,'Leveranser per nät'!L$1,FALSE)/VLOOKUP("Munkedal",Korrigeringsfaktor_EI,'Korrigeringsfaktor EI'!L$1,FALSE),
"")</f>
        <v>7.6209868345424425</v>
      </c>
      <c r="M416" s="18">
        <f>IFERROR(
                  Andel_oberoende_av_klimat*VLOOKUP($A416,Leveranser_per_nät,'Leveranser per nät'!M$1,FALSE)
               +Andel_beroende_av_klimat*VLOOKUP($A416,Leveranser_per_nät,'Leveranser per nät'!M$1,FALSE)/VLOOKUP("Munkedal",Korrigeringsfaktor_EI,'Korrigeringsfaktor EI'!M$1,FALSE),
"")</f>
        <v>8.787855319148937</v>
      </c>
      <c r="N416" s="18">
        <f>IFERROR(
                  Andel_oberoende_av_klimat*VLOOKUP($A416,Leveranser_per_nät,'Leveranser per nät'!N$1,FALSE)
               +Andel_beroende_av_klimat*VLOOKUP($A416,Leveranser_per_nät,'Leveranser per nät'!N$1,FALSE)/VLOOKUP("Munkedal",Korrigeringsfaktor_EI,'Korrigeringsfaktor EI'!N$1,FALSE),
"")</f>
        <v>2.3159139784946237</v>
      </c>
      <c r="O416" s="18">
        <f>IFERROR(
                  Andel_oberoende_av_klimat*VLOOKUP($A416,Leveranser_per_nät,'Leveranser per nät'!O$1,FALSE)
               +Andel_beroende_av_klimat*VLOOKUP($A416,Leveranser_per_nät,'Leveranser per nät'!O$1,FALSE)/VLOOKUP("Munkedal",Korrigeringsfaktor_EI,'Korrigeringsfaktor EI'!O$1,FALSE),
"")</f>
        <v>9.0173913043478251</v>
      </c>
      <c r="P416" s="18">
        <f>IFERROR(
                  Andel_oberoende_av_klimat*VLOOKUP($A416,Leveranser_per_nät,'Leveranser per nät'!P$1,FALSE)
               +Andel_beroende_av_klimat*VLOOKUP($A416,Leveranser_per_nät,'Leveranser per nät'!P$1,FALSE)/VLOOKUP("Munkedal",Korrigeringsfaktor_EI,'Korrigeringsfaktor EI'!P$1,FALSE),
"")</f>
        <v>9.3922857142857143</v>
      </c>
      <c r="Q416" s="18">
        <f>IFERROR(
                  Andel_oberoende_av_klimat*VLOOKUP($A416,Leveranser_per_nät,'Leveranser per nät'!Q$1,FALSE)
               +Andel_beroende_av_klimat*VLOOKUP($A416,Leveranser_per_nät,'Leveranser per nät'!Q$1,FALSE)/VLOOKUP("Munkedal",Korrigeringsfaktor_EI,'Korrigeringsfaktor EI'!Q$1,FALSE),
"")</f>
        <v>9.7913675213675226</v>
      </c>
      <c r="R416" s="18">
        <f>IFERROR(
                  Andel_oberoende_av_klimat*VLOOKUP($A416,Leveranser_per_nät,'Leveranser per nät'!R$1,FALSE)
               +Andel_beroende_av_klimat*VLOOKUP($A416,Leveranser_per_nät,'Leveranser per nät'!R$1,FALSE)/VLOOKUP("Munkedal",Korrigeringsfaktor_EI,'Korrigeringsfaktor EI'!R$1,FALSE),
"")</f>
        <v>8.8797872340425528</v>
      </c>
      <c r="S416" s="18">
        <f>IFERROR(
                  Andel_oberoende_av_klimat*VLOOKUP($A416,Leveranser_per_nät,'Leveranser per nät'!S$1,FALSE)
               +Andel_beroende_av_klimat*VLOOKUP($A416,Leveranser_per_nät,'Leveranser per nät'!S$1,FALSE)/VLOOKUP("Munkedal",Korrigeringsfaktor_EI,'Korrigeringsfaktor EI'!S$1,FALSE),
"")</f>
        <v>8.9750980392156858</v>
      </c>
      <c r="T416" s="18">
        <f>IFERROR(
                  Andel_oberoende_av_klimat*VLOOKUP($A416,Leveranser_per_nät,'Leveranser per nät'!T$1,FALSE)
               +Andel_beroende_av_klimat*VLOOKUP($A416,Leveranser_per_nät,'Leveranser per nät'!T$1,FALSE)/VLOOKUP("Munkedal",Korrigeringsfaktor_EI,'Korrigeringsfaktor EI'!T$1,FALSE),
"")</f>
        <v>12.689090909090908</v>
      </c>
      <c r="U416" s="18">
        <f>IFERROR(
                  Andel_oberoende_av_klimat*VLOOKUP($A416,Leveranser_per_nät,'Leveranser per nät'!U$1,FALSE)
               +Andel_beroende_av_klimat*VLOOKUP($A416,Leveranser_per_nät,'Leveranser per nät'!U$1,FALSE)/VLOOKUP("Munkedal",Korrigeringsfaktor_EI,'Korrigeringsfaktor EI'!U$1,FALSE),
"")</f>
        <v>8.3254545454545443</v>
      </c>
      <c r="V416" s="18">
        <f>IFERROR(
                  Andel_oberoende_av_klimat*VLOOKUP($A416,Leveranser_per_nät,'Leveranser per nät'!V$1,FALSE)
               +Andel_beroende_av_klimat*VLOOKUP($A416,Leveranser_per_nät,'Leveranser per nät'!V$1,FALSE)/VLOOKUP("Munkedal",Korrigeringsfaktor_EI,'Korrigeringsfaktor EI'!V$1,FALSE),
"")</f>
        <v>8.3808695652173917</v>
      </c>
      <c r="W416" s="18">
        <f>IFERROR(
                  Andel_oberoende_av_klimat*VLOOKUP($A416,Leveranser_per_nät,'Leveranser per nät'!W$1,FALSE)
               +Andel_beroende_av_klimat*VLOOKUP($A416,Leveranser_per_nät,'Leveranser per nät'!W$1,FALSE)/VLOOKUP("Munkedal",Korrigeringsfaktor_EI,'Korrigeringsfaktor EI'!W$1,FALSE),
"")</f>
        <v>8.2753608247422665</v>
      </c>
      <c r="X416" s="18">
        <f>IFERROR(
                  Andel_oberoende_av_klimat*VLOOKUP($A416,Leveranser_per_nät,'Leveranser per nät'!X$1,FALSE)
               +Andel_beroende_av_klimat*VLOOKUP($A416,Leveranser_per_nät,'Leveranser per nät'!X$1,FALSE)/VLOOKUP("Munkedal",Korrigeringsfaktor_EI,'Korrigeringsfaktor EI'!X$1,FALSE),
"")</f>
        <v>9.2278947368421047</v>
      </c>
      <c r="Y416" s="18">
        <f>IFERROR(
                  Andel_oberoende_av_klimat*VLOOKUP($A416,Leveranser_per_nät,'Leveranser per nät'!Y$1,FALSE)
               +Andel_beroende_av_klimat*VLOOKUP($A416,Leveranser_per_nät,'Leveranser per nät'!Y$1,FALSE)/VLOOKUP($B416,Korrigeringsfaktor_EI,'Korrigeringsfaktor EI'!Y$1,FALSE),
"")</f>
        <v>8.9278425531914891</v>
      </c>
      <c r="Z416" s="18">
        <f>IFERROR(
                  Andel_oberoende_av_klimat*VLOOKUP($A416,Leveranser_per_nät,'Leveranser per nät'!Z$1,FALSE)
               +Andel_beroende_av_klimat*VLOOKUP($A416,Leveranser_per_nät,'Leveranser per nät'!Z$1,FALSE)/VLOOKUP($B416,Korrigeringsfaktor_EI,'Korrigeringsfaktor EI'!Z$1,FALSE),
"")</f>
        <v>8.8225795698924721</v>
      </c>
      <c r="AA416" s="18">
        <f>IFERROR(
                  Andel_oberoende_av_klimat*VLOOKUP($A416,Leveranser_per_nät,'Leveranser per nät'!AA$1,FALSE)
               +Andel_beroende_av_klimat*VLOOKUP($A416,Leveranser_per_nät,'Leveranser per nät'!AA$1,FALSE)/VLOOKUP($B416,Korrigeringsfaktor_EI,'Korrigeringsfaktor EI'!AA$1,FALSE),
"")</f>
        <v>9.6502060082304517</v>
      </c>
      <c r="AB416" s="18">
        <f>IFERROR(
                  Andel_oberoende_av_klimat*VLOOKUP($A416,Leveranser_per_nät,'Leveranser per nät'!AB$1,FALSE)
               +Andel_beroende_av_klimat*VLOOKUP($A416,Leveranser_per_nät,'Leveranser per nät'!AB$1,FALSE)/VLOOKUP($B416,Korrigeringsfaktor_EI,'Korrigeringsfaktor EI'!AB$1,FALSE),
"")</f>
        <v>9.9791254901960791</v>
      </c>
      <c r="AC416" s="18">
        <f>IFERROR(
                  Andel_oberoende_av_klimat*VLOOKUP($A416,Leveranser_per_nät,'Leveranser per nät'!AC$1,FALSE)
               +Andel_beroende_av_klimat*VLOOKUP($A416,Leveranser_per_nät,'Leveranser per nät'!AC$1,FALSE)/VLOOKUP($B416,Korrigeringsfaktor_EI,'Korrigeringsfaktor EI'!AC$1,FALSE),
"")</f>
        <v>9.3211280814576636</v>
      </c>
      <c r="AD416">
        <v>8.875</v>
      </c>
    </row>
    <row r="417" spans="1:30" x14ac:dyDescent="0.25">
      <c r="A417" t="s">
        <v>427</v>
      </c>
      <c r="B417" t="s">
        <v>458</v>
      </c>
      <c r="C417" s="18">
        <f>IFERROR(
                  Andel_oberoende_av_klimat*VLOOKUP($A417,Leveranser_per_nät,'Leveranser per nät'!C$1,FALSE)
               +Andel_beroende_av_klimat*VLOOKUP($A417,Leveranser_per_nät,'Leveranser per nät'!C$1,FALSE)/VLOOKUP($B417,Korrigeringsfaktor_EI,'Korrigeringsfaktor EI'!C$1,FALSE),
"")</f>
        <v>0</v>
      </c>
      <c r="D417" s="18">
        <f>IFERROR(
                  Andel_oberoende_av_klimat*VLOOKUP($A417,Leveranser_per_nät,'Leveranser per nät'!D$1,FALSE)
               +Andel_beroende_av_klimat*VLOOKUP($A417,Leveranser_per_nät,'Leveranser per nät'!D$1,FALSE)/VLOOKUP($B417,Korrigeringsfaktor_EI,'Korrigeringsfaktor EI'!D$1,FALSE),
"")</f>
        <v>0</v>
      </c>
      <c r="E417" s="18">
        <f>IFERROR(
                  Andel_oberoende_av_klimat*VLOOKUP($A417,Leveranser_per_nät,'Leveranser per nät'!E$1,FALSE)
               +Andel_beroende_av_klimat*VLOOKUP($A417,Leveranser_per_nät,'Leveranser per nät'!E$1,FALSE)/VLOOKUP($B417,Korrigeringsfaktor_EI,'Korrigeringsfaktor EI'!E$1,FALSE),
"")</f>
        <v>1.71</v>
      </c>
      <c r="F417" s="18">
        <f>IFERROR(
                  Andel_oberoende_av_klimat*VLOOKUP($A417,Leveranser_per_nät,'Leveranser per nät'!F$1,FALSE)
               +Andel_beroende_av_klimat*VLOOKUP($A417,Leveranser_per_nät,'Leveranser per nät'!F$1,FALSE)/VLOOKUP($B417,Korrigeringsfaktor_EI,'Korrigeringsfaktor EI'!F$1,FALSE),
"")</f>
        <v>2.0736842105263156</v>
      </c>
      <c r="G417" s="18">
        <f>IFERROR(
                  Andel_oberoende_av_klimat*VLOOKUP($A417,Leveranser_per_nät,'Leveranser per nät'!G$1,FALSE)
               +Andel_beroende_av_klimat*VLOOKUP($A417,Leveranser_per_nät,'Leveranser per nät'!G$1,FALSE)/VLOOKUP($B417,Korrigeringsfaktor_EI,'Korrigeringsfaktor EI'!G$1,FALSE),
"")</f>
        <v>2.1555555555555554</v>
      </c>
      <c r="H417" s="18">
        <f>IFERROR(
                  Andel_oberoende_av_klimat*VLOOKUP($A417,Leveranser_per_nät,'Leveranser per nät'!H$1,FALSE)
               +Andel_beroende_av_klimat*VLOOKUP($A417,Leveranser_per_nät,'Leveranser per nät'!H$1,FALSE)/VLOOKUP($B417,Korrigeringsfaktor_EI,'Korrigeringsfaktor EI'!H$1,FALSE),
"")</f>
        <v>2.0285714285714285</v>
      </c>
      <c r="I417" s="18">
        <f>IFERROR(
                  Andel_oberoende_av_klimat*VLOOKUP($A417,Leveranser_per_nät,'Leveranser per nät'!I$1,FALSE)
               +Andel_beroende_av_klimat*VLOOKUP($A417,Leveranser_per_nät,'Leveranser per nät'!I$1,FALSE)/VLOOKUP($B417,Korrigeringsfaktor_EI,'Korrigeringsfaktor EI'!I$1,FALSE),
"")</f>
        <v>2.1053763440860216</v>
      </c>
      <c r="J417" s="18">
        <f>IFERROR(
                  Andel_oberoende_av_klimat*VLOOKUP($A417,Leveranser_per_nät,'Leveranser per nät'!J$1,FALSE)
               +Andel_beroende_av_klimat*VLOOKUP($A417,Leveranser_per_nät,'Leveranser per nät'!J$1,FALSE)/VLOOKUP($B417,Korrigeringsfaktor_EI,'Korrigeringsfaktor EI'!J$1,FALSE),
"")</f>
        <v>0</v>
      </c>
      <c r="K417" s="18">
        <f>IFERROR(
                  Andel_oberoende_av_klimat*VLOOKUP($A417,Leveranser_per_nät,'Leveranser per nät'!K$1,FALSE)
               +Andel_beroende_av_klimat*VLOOKUP($A417,Leveranser_per_nät,'Leveranser per nät'!K$1,FALSE)/VLOOKUP($B417,Korrigeringsfaktor_EI,'Korrigeringsfaktor EI'!K$1,FALSE),
"")</f>
        <v>0</v>
      </c>
      <c r="L417" s="18">
        <f>IFERROR(
                  Andel_oberoende_av_klimat*VLOOKUP($A417,Leveranser_per_nät,'Leveranser per nät'!L$1,FALSE)
               +Andel_beroende_av_klimat*VLOOKUP($A417,Leveranser_per_nät,'Leveranser per nät'!L$1,FALSE)/VLOOKUP($B417,Korrigeringsfaktor_EI,'Korrigeringsfaktor EI'!L$1,FALSE),
"")</f>
        <v>0</v>
      </c>
      <c r="M417" s="18">
        <f>IFERROR(
                  Andel_oberoende_av_klimat*VLOOKUP($A417,Leveranser_per_nät,'Leveranser per nät'!M$1,FALSE)
               +Andel_beroende_av_klimat*VLOOKUP($A417,Leveranser_per_nät,'Leveranser per nät'!M$1,FALSE)/VLOOKUP($B417,Korrigeringsfaktor_EI,'Korrigeringsfaktor EI'!M$1,FALSE),
"")</f>
        <v>0</v>
      </c>
      <c r="N417" s="18">
        <f>IFERROR(
                  Andel_oberoende_av_klimat*VLOOKUP($A417,Leveranser_per_nät,'Leveranser per nät'!N$1,FALSE)
               +Andel_beroende_av_klimat*VLOOKUP($A417,Leveranser_per_nät,'Leveranser per nät'!N$1,FALSE)/VLOOKUP($B417,Korrigeringsfaktor_EI,'Korrigeringsfaktor EI'!N$1,FALSE),
"")</f>
        <v>0</v>
      </c>
      <c r="O417" s="18">
        <f>IFERROR(
                  Andel_oberoende_av_klimat*VLOOKUP($A417,Leveranser_per_nät,'Leveranser per nät'!O$1,FALSE)
               +Andel_beroende_av_klimat*VLOOKUP($A417,Leveranser_per_nät,'Leveranser per nät'!O$1,FALSE)/VLOOKUP($B417,Korrigeringsfaktor_EI,'Korrigeringsfaktor EI'!O$1,FALSE),
"")</f>
        <v>0</v>
      </c>
      <c r="P417" s="18">
        <f>IFERROR(
                  Andel_oberoende_av_klimat*VLOOKUP($A417,Leveranser_per_nät,'Leveranser per nät'!P$1,FALSE)
               +Andel_beroende_av_klimat*VLOOKUP($A417,Leveranser_per_nät,'Leveranser per nät'!P$1,FALSE)/VLOOKUP($B417,Korrigeringsfaktor_EI,'Korrigeringsfaktor EI'!P$1,FALSE),
"")</f>
        <v>0</v>
      </c>
      <c r="Q417" s="18">
        <f>IFERROR(
                  Andel_oberoende_av_klimat*VLOOKUP($A417,Leveranser_per_nät,'Leveranser per nät'!Q$1,FALSE)
               +Andel_beroende_av_klimat*VLOOKUP($A417,Leveranser_per_nät,'Leveranser per nät'!Q$1,FALSE)/VLOOKUP($B417,Korrigeringsfaktor_EI,'Korrigeringsfaktor EI'!Q$1,FALSE),
"")</f>
        <v>0</v>
      </c>
      <c r="R417" s="18">
        <f>IFERROR(
                  Andel_oberoende_av_klimat*VLOOKUP($A417,Leveranser_per_nät,'Leveranser per nät'!R$1,FALSE)
               +Andel_beroende_av_klimat*VLOOKUP($A417,Leveranser_per_nät,'Leveranser per nät'!R$1,FALSE)/VLOOKUP($B417,Korrigeringsfaktor_EI,'Korrigeringsfaktor EI'!R$1,FALSE),
"")</f>
        <v>0</v>
      </c>
      <c r="S417" s="18" t="str">
        <f>IFERROR(
                  Andel_oberoende_av_klimat*VLOOKUP($A417,Leveranser_per_nät,'Leveranser per nät'!S$1,FALSE)
               +Andel_beroende_av_klimat*VLOOKUP($A417,Leveranser_per_nät,'Leveranser per nät'!S$1,FALSE)/VLOOKUP($B417,Korrigeringsfaktor_EI,'Korrigeringsfaktor EI'!S$1,FALSE),
"")</f>
        <v/>
      </c>
      <c r="T417" s="18" t="str">
        <f>IFERROR(
                  Andel_oberoende_av_klimat*VLOOKUP($A417,Leveranser_per_nät,'Leveranser per nät'!T$1,FALSE)
               +Andel_beroende_av_klimat*VLOOKUP($A417,Leveranser_per_nät,'Leveranser per nät'!T$1,FALSE)/VLOOKUP($B417,Korrigeringsfaktor_EI,'Korrigeringsfaktor EI'!T$1,FALSE),
"")</f>
        <v/>
      </c>
      <c r="U417" s="18" t="str">
        <f>IFERROR(
                  Andel_oberoende_av_klimat*VLOOKUP($A417,Leveranser_per_nät,'Leveranser per nät'!U$1,FALSE)
               +Andel_beroende_av_klimat*VLOOKUP($A417,Leveranser_per_nät,'Leveranser per nät'!U$1,FALSE)/VLOOKUP($B417,Korrigeringsfaktor_EI,'Korrigeringsfaktor EI'!U$1,FALSE),
"")</f>
        <v/>
      </c>
      <c r="V417" s="18" t="str">
        <f>IFERROR(
                  Andel_oberoende_av_klimat*VLOOKUP($A417,Leveranser_per_nät,'Leveranser per nät'!V$1,FALSE)
               +Andel_beroende_av_klimat*VLOOKUP($A417,Leveranser_per_nät,'Leveranser per nät'!V$1,FALSE)/VLOOKUP($B417,Korrigeringsfaktor_EI,'Korrigeringsfaktor EI'!V$1,FALSE),
"")</f>
        <v/>
      </c>
      <c r="W417" s="18" t="str">
        <f>IFERROR(
                  Andel_oberoende_av_klimat*VLOOKUP($A417,Leveranser_per_nät,'Leveranser per nät'!W$1,FALSE)
               +Andel_beroende_av_klimat*VLOOKUP($A417,Leveranser_per_nät,'Leveranser per nät'!W$1,FALSE)/VLOOKUP($B417,Korrigeringsfaktor_EI,'Korrigeringsfaktor EI'!W$1,FALSE),
"")</f>
        <v/>
      </c>
      <c r="X417" s="18" t="str">
        <f>IFERROR(
                  Andel_oberoende_av_klimat*VLOOKUP($A417,Leveranser_per_nät,'Leveranser per nät'!X$1,FALSE)
               +Andel_beroende_av_klimat*VLOOKUP($A417,Leveranser_per_nät,'Leveranser per nät'!X$1,FALSE)/VLOOKUP($B417,Korrigeringsfaktor_EI,'Korrigeringsfaktor EI'!X$1,FALSE),
"")</f>
        <v/>
      </c>
      <c r="Y417" s="18" t="str">
        <f>IFERROR(
                  Andel_oberoende_av_klimat*VLOOKUP($A417,Leveranser_per_nät,'Leveranser per nät'!Y$1,FALSE)
               +Andel_beroende_av_klimat*VLOOKUP($A417,Leveranser_per_nät,'Leveranser per nät'!Y$1,FALSE)/VLOOKUP($B417,Korrigeringsfaktor_EI,'Korrigeringsfaktor EI'!Y$1,FALSE),
"")</f>
        <v/>
      </c>
      <c r="Z417" s="18">
        <f>IFERROR(
                  Andel_oberoende_av_klimat*VLOOKUP($A417,Leveranser_per_nät,'Leveranser per nät'!Z$1,FALSE)
               +Andel_beroende_av_klimat*VLOOKUP($A417,Leveranser_per_nät,'Leveranser per nät'!Z$1,FALSE)/VLOOKUP($B417,Korrigeringsfaktor_EI,'Korrigeringsfaktor EI'!Z$1,FALSE),
"")</f>
        <v>0</v>
      </c>
      <c r="AA417" s="18" t="str">
        <f>IFERROR(
                  Andel_oberoende_av_klimat*VLOOKUP($A417,Leveranser_per_nät,'Leveranser per nät'!AA$1,FALSE)
               +Andel_beroende_av_klimat*VLOOKUP($A417,Leveranser_per_nät,'Leveranser per nät'!AA$1,FALSE)/VLOOKUP($B417,Korrigeringsfaktor_EI,'Korrigeringsfaktor EI'!AA$1,FALSE),
"")</f>
        <v/>
      </c>
      <c r="AB417" s="18">
        <f>IFERROR(
                  Andel_oberoende_av_klimat*VLOOKUP($A417,Leveranser_per_nät,'Leveranser per nät'!AB$1,FALSE)
               +Andel_beroende_av_klimat*VLOOKUP($A417,Leveranser_per_nät,'Leveranser per nät'!AB$1,FALSE)/VLOOKUP($B417,Korrigeringsfaktor_EI,'Korrigeringsfaktor EI'!AB$1,FALSE),
"")</f>
        <v>0</v>
      </c>
      <c r="AC417" s="18">
        <f>IFERROR(
                  Andel_oberoende_av_klimat*VLOOKUP($A417,Leveranser_per_nät,'Leveranser per nät'!AC$1,FALSE)
               +Andel_beroende_av_klimat*VLOOKUP($A417,Leveranser_per_nät,'Leveranser per nät'!AC$1,FALSE)/VLOOKUP($B417,Korrigeringsfaktor_EI,'Korrigeringsfaktor EI'!AC$1,FALSE),
"")</f>
        <v>0</v>
      </c>
      <c r="AD417" t="e">
        <v>#N/A</v>
      </c>
    </row>
    <row r="418" spans="1:30" x14ac:dyDescent="0.25">
      <c r="A418" t="s">
        <v>216</v>
      </c>
      <c r="B418" t="s">
        <v>216</v>
      </c>
      <c r="C418" s="18">
        <f>IFERROR(
                  Andel_oberoende_av_klimat*VLOOKUP($A418,Leveranser_per_nät,'Leveranser per nät'!C$1,FALSE)
               +Andel_beroende_av_klimat*VLOOKUP($A418,Leveranser_per_nät,'Leveranser per nät'!C$1,FALSE)/VLOOKUP("Skövde",Korrigeringsfaktor_EI,'Korrigeringsfaktor EI'!C$1,FALSE),
"")</f>
        <v>0</v>
      </c>
      <c r="D418" s="18">
        <f>IFERROR(
                  Andel_oberoende_av_klimat*VLOOKUP($A418,Leveranser_per_nät,'Leveranser per nät'!D$1,FALSE)
               +Andel_beroende_av_klimat*VLOOKUP($A418,Leveranser_per_nät,'Leveranser per nät'!D$1,FALSE)/VLOOKUP("Skövde",Korrigeringsfaktor_EI,'Korrigeringsfaktor EI'!D$1,FALSE),
"")</f>
        <v>0</v>
      </c>
      <c r="E418" s="18">
        <f>IFERROR(
                  Andel_oberoende_av_klimat*VLOOKUP($A418,Leveranser_per_nät,'Leveranser per nät'!E$1,FALSE)
               +Andel_beroende_av_klimat*VLOOKUP($A418,Leveranser_per_nät,'Leveranser per nät'!E$1,FALSE)/VLOOKUP("Skövde",Korrigeringsfaktor_EI,'Korrigeringsfaktor EI'!E$1,FALSE),
"")</f>
        <v>0</v>
      </c>
      <c r="F418" s="18">
        <f>IFERROR(
                  Andel_oberoende_av_klimat*VLOOKUP($A418,Leveranser_per_nät,'Leveranser per nät'!F$1,FALSE)
               +Andel_beroende_av_klimat*VLOOKUP($A418,Leveranser_per_nät,'Leveranser per nät'!F$1,FALSE)/VLOOKUP("Skövde",Korrigeringsfaktor_EI,'Korrigeringsfaktor EI'!F$1,FALSE),
"")</f>
        <v>0</v>
      </c>
      <c r="G418" s="18">
        <f>IFERROR(
                  Andel_oberoende_av_klimat*VLOOKUP($A418,Leveranser_per_nät,'Leveranser per nät'!G$1,FALSE)
               +Andel_beroende_av_klimat*VLOOKUP($A418,Leveranser_per_nät,'Leveranser per nät'!G$1,FALSE)/VLOOKUP("Skövde",Korrigeringsfaktor_EI,'Korrigeringsfaktor EI'!G$1,FALSE),
"")</f>
        <v>0</v>
      </c>
      <c r="H418" s="18">
        <f>IFERROR(
                  Andel_oberoende_av_klimat*VLOOKUP($A418,Leveranser_per_nät,'Leveranser per nät'!H$1,FALSE)
               +Andel_beroende_av_klimat*VLOOKUP($A418,Leveranser_per_nät,'Leveranser per nät'!H$1,FALSE)/VLOOKUP("Skövde",Korrigeringsfaktor_EI,'Korrigeringsfaktor EI'!H$1,FALSE),
"")</f>
        <v>35.649047572815533</v>
      </c>
      <c r="I418" s="18">
        <f>IFERROR(
                  Andel_oberoende_av_klimat*VLOOKUP($A418,Leveranser_per_nät,'Leveranser per nät'!I$1,FALSE)
               +Andel_beroende_av_klimat*VLOOKUP($A418,Leveranser_per_nät,'Leveranser per nät'!I$1,FALSE)/VLOOKUP("Skövde",Korrigeringsfaktor_EI,'Korrigeringsfaktor EI'!I$1,FALSE),
"")</f>
        <v>39.390717525773198</v>
      </c>
      <c r="J418" s="18">
        <f>IFERROR(
                  Andel_oberoende_av_klimat*VLOOKUP($A418,Leveranser_per_nät,'Leveranser per nät'!J$1,FALSE)
               +Andel_beroende_av_klimat*VLOOKUP($A418,Leveranser_per_nät,'Leveranser per nät'!J$1,FALSE)/VLOOKUP("Skövde",Korrigeringsfaktor_EI,'Korrigeringsfaktor EI'!J$1,FALSE),
"")</f>
        <v>44.095597979797979</v>
      </c>
      <c r="K418" s="18">
        <f>IFERROR(
                  Andel_oberoende_av_klimat*VLOOKUP($A418,Leveranser_per_nät,'Leveranser per nät'!K$1,FALSE)
               +Andel_beroende_av_klimat*VLOOKUP($A418,Leveranser_per_nät,'Leveranser per nät'!K$1,FALSE)/VLOOKUP("Skövde",Korrigeringsfaktor_EI,'Korrigeringsfaktor EI'!K$1,FALSE),
"")</f>
        <v>46.573998989898996</v>
      </c>
      <c r="L418" s="18">
        <f>IFERROR(
                  Andel_oberoende_av_klimat*VLOOKUP($A418,Leveranser_per_nät,'Leveranser per nät'!L$1,FALSE)
               +Andel_beroende_av_klimat*VLOOKUP($A418,Leveranser_per_nät,'Leveranser per nät'!L$1,FALSE)/VLOOKUP("Skövde",Korrigeringsfaktor_EI,'Korrigeringsfaktor EI'!L$1,FALSE),
"")</f>
        <v>47.853978807133068</v>
      </c>
      <c r="M418" s="18">
        <f>IFERROR(
                  Andel_oberoende_av_klimat*VLOOKUP($A418,Leveranser_per_nät,'Leveranser per nät'!M$1,FALSE)
               +Andel_beroende_av_klimat*VLOOKUP($A418,Leveranser_per_nät,'Leveranser per nät'!M$1,FALSE)/VLOOKUP("Skövde",Korrigeringsfaktor_EI,'Korrigeringsfaktor EI'!M$1,FALSE),
"")</f>
        <v>64.946649462365585</v>
      </c>
      <c r="N418" s="18">
        <f>IFERROR(
                  Andel_oberoende_av_klimat*VLOOKUP($A418,Leveranser_per_nät,'Leveranser per nät'!N$1,FALSE)
               +Andel_beroende_av_klimat*VLOOKUP($A418,Leveranser_per_nät,'Leveranser per nät'!N$1,FALSE)/VLOOKUP("Skövde",Korrigeringsfaktor_EI,'Korrigeringsfaktor EI'!N$1,FALSE),
"")</f>
        <v>14.958260869565217</v>
      </c>
      <c r="O418" s="18">
        <f>IFERROR(
                  Andel_oberoende_av_klimat*VLOOKUP($A418,Leveranser_per_nät,'Leveranser per nät'!O$1,FALSE)
               +Andel_beroende_av_klimat*VLOOKUP($A418,Leveranser_per_nät,'Leveranser per nät'!O$1,FALSE)/VLOOKUP("Skövde",Korrigeringsfaktor_EI,'Korrigeringsfaktor EI'!O$1,FALSE),
"")</f>
        <v>64.819130434782608</v>
      </c>
      <c r="P418" s="18">
        <f>IFERROR(
                  Andel_oberoende_av_klimat*VLOOKUP($A418,Leveranser_per_nät,'Leveranser per nät'!P$1,FALSE)
               +Andel_beroende_av_klimat*VLOOKUP($A418,Leveranser_per_nät,'Leveranser per nät'!P$1,FALSE)/VLOOKUP("Skövde",Korrigeringsfaktor_EI,'Korrigeringsfaktor EI'!P$1,FALSE),
"")</f>
        <v>54.771428571428572</v>
      </c>
      <c r="Q418" s="18">
        <f>IFERROR(
                  Andel_oberoende_av_klimat*VLOOKUP($A418,Leveranser_per_nät,'Leveranser per nät'!Q$1,FALSE)
               +Andel_beroende_av_klimat*VLOOKUP($A418,Leveranser_per_nät,'Leveranser per nät'!Q$1,FALSE)/VLOOKUP("Skövde",Korrigeringsfaktor_EI,'Korrigeringsfaktor EI'!Q$1,FALSE),
"")</f>
        <v>56.761578947368427</v>
      </c>
      <c r="R418" s="18">
        <f>IFERROR(
                  Andel_oberoende_av_klimat*VLOOKUP($A418,Leveranser_per_nät,'Leveranser per nät'!R$1,FALSE)
               +Andel_beroende_av_klimat*VLOOKUP($A418,Leveranser_per_nät,'Leveranser per nät'!R$1,FALSE)/VLOOKUP("Skövde",Korrigeringsfaktor_EI,'Korrigeringsfaktor EI'!R$1,FALSE),
"")</f>
        <v>58.24173913043478</v>
      </c>
      <c r="S418" s="18">
        <f>IFERROR(
                  Andel_oberoende_av_klimat*VLOOKUP($A418,Leveranser_per_nät,'Leveranser per nät'!S$1,FALSE)
               +Andel_beroende_av_klimat*VLOOKUP($A418,Leveranser_per_nät,'Leveranser per nät'!S$1,FALSE)/VLOOKUP("Skövde",Korrigeringsfaktor_EI,'Korrigeringsfaktor EI'!S$1,FALSE),
"")</f>
        <v>56.108415841584161</v>
      </c>
      <c r="T418" s="18">
        <f>IFERROR(
                  Andel_oberoende_av_klimat*VLOOKUP($A418,Leveranser_per_nät,'Leveranser per nät'!T$1,FALSE)
               +Andel_beroende_av_klimat*VLOOKUP($A418,Leveranser_per_nät,'Leveranser per nät'!T$1,FALSE)/VLOOKUP("Skövde",Korrigeringsfaktor_EI,'Korrigeringsfaktor EI'!T$1,FALSE),
"")</f>
        <v>81.472020202020218</v>
      </c>
      <c r="U418" s="18">
        <f>IFERROR(
                  Andel_oberoende_av_klimat*VLOOKUP($A418,Leveranser_per_nät,'Leveranser per nät'!U$1,FALSE)
               +Andel_beroende_av_klimat*VLOOKUP($A418,Leveranser_per_nät,'Leveranser per nät'!U$1,FALSE)/VLOOKUP("Skövde",Korrigeringsfaktor_EI,'Korrigeringsfaktor EI'!U$1,FALSE),
"")</f>
        <v>53.022022471910105</v>
      </c>
      <c r="V418" s="18">
        <f>IFERROR(
                  Andel_oberoende_av_klimat*VLOOKUP($A418,Leveranser_per_nät,'Leveranser per nät'!V$1,FALSE)
               +Andel_beroende_av_klimat*VLOOKUP($A418,Leveranser_per_nät,'Leveranser per nät'!V$1,FALSE)/VLOOKUP("Skövde",Korrigeringsfaktor_EI,'Korrigeringsfaktor EI'!V$1,FALSE),
"")</f>
        <v>54.318709677419356</v>
      </c>
      <c r="W418" s="18">
        <f>IFERROR(
                  Andel_oberoende_av_klimat*VLOOKUP($A418,Leveranser_per_nät,'Leveranser per nät'!W$1,FALSE)
               +Andel_beroende_av_klimat*VLOOKUP($A418,Leveranser_per_nät,'Leveranser per nät'!W$1,FALSE)/VLOOKUP("Skövde",Korrigeringsfaktor_EI,'Korrigeringsfaktor EI'!W$1,FALSE),
"")</f>
        <v>57.648421052631591</v>
      </c>
      <c r="X418" s="18">
        <f>IFERROR(
                  Andel_oberoende_av_klimat*VLOOKUP($A418,Leveranser_per_nät,'Leveranser per nät'!X$1,FALSE)
               +Andel_beroende_av_klimat*VLOOKUP($A418,Leveranser_per_nät,'Leveranser per nät'!X$1,FALSE)/VLOOKUP("Skövde",Korrigeringsfaktor_EI,'Korrigeringsfaktor EI'!X$1,FALSE),
"")</f>
        <v>62.889787234042558</v>
      </c>
      <c r="Y418" s="18">
        <f>IFERROR(
                  Andel_oberoende_av_klimat*VLOOKUP($A418,Leveranser_per_nät,'Leveranser per nät'!Y$1,FALSE)
               +Andel_beroende_av_klimat*VLOOKUP($A418,Leveranser_per_nät,'Leveranser per nät'!Y$1,FALSE)/VLOOKUP($B418,Korrigeringsfaktor_EI,'Korrigeringsfaktor EI'!Y$1,FALSE),
"")</f>
        <v>62.853844444444441</v>
      </c>
      <c r="Z418" s="18">
        <f>IFERROR(
                  Andel_oberoende_av_klimat*VLOOKUP($A418,Leveranser_per_nät,'Leveranser per nät'!Z$1,FALSE)
               +Andel_beroende_av_klimat*VLOOKUP($A418,Leveranser_per_nät,'Leveranser per nät'!Z$1,FALSE)/VLOOKUP($B418,Korrigeringsfaktor_EI,'Korrigeringsfaktor EI'!Z$1,FALSE),
"")</f>
        <v>20.147599999999997</v>
      </c>
      <c r="AA418" s="18">
        <f>IFERROR(
                  Andel_oberoende_av_klimat*VLOOKUP($A418,Leveranser_per_nät,'Leveranser per nät'!AA$1,FALSE)
               +Andel_beroende_av_klimat*VLOOKUP($A418,Leveranser_per_nät,'Leveranser per nät'!AA$1,FALSE)/VLOOKUP($B418,Korrigeringsfaktor_EI,'Korrigeringsfaktor EI'!AA$1,FALSE),
"")</f>
        <v>62.882373356587067</v>
      </c>
      <c r="AB418" s="18">
        <f>IFERROR(
                  Andel_oberoende_av_klimat*VLOOKUP($A418,Leveranser_per_nät,'Leveranser per nät'!AB$1,FALSE)
               +Andel_beroende_av_klimat*VLOOKUP($A418,Leveranser_per_nät,'Leveranser per nät'!AB$1,FALSE)/VLOOKUP($B418,Korrigeringsfaktor_EI,'Korrigeringsfaktor EI'!AB$1,FALSE),
"")</f>
        <v>22.99854329692155</v>
      </c>
      <c r="AC418" s="18">
        <f>IFERROR(
                  Andel_oberoende_av_klimat*VLOOKUP($A418,Leveranser_per_nät,'Leveranser per nät'!AC$1,FALSE)
               +Andel_beroende_av_klimat*VLOOKUP($A418,Leveranser_per_nät,'Leveranser per nät'!AC$1,FALSE)/VLOOKUP($B418,Korrigeringsfaktor_EI,'Korrigeringsfaktor EI'!AC$1,FALSE),
"")</f>
        <v>22.746915254237294</v>
      </c>
      <c r="AD418">
        <v>59.584000000000003</v>
      </c>
    </row>
    <row r="419" spans="1:30" x14ac:dyDescent="0.25">
      <c r="A419" t="s">
        <v>314</v>
      </c>
      <c r="B419" t="s">
        <v>314</v>
      </c>
      <c r="C419" s="18">
        <f>IFERROR(
                  Andel_oberoende_av_klimat*VLOOKUP($A419,Leveranser_per_nät,'Leveranser per nät'!C$1,FALSE)
               +Andel_beroende_av_klimat*VLOOKUP($A419,Leveranser_per_nät,'Leveranser per nät'!C$1,FALSE)/VLOOKUP("Falköping",Korrigeringsfaktor_EI,'Korrigeringsfaktor EI'!C$1,FALSE),
"")</f>
        <v>0</v>
      </c>
      <c r="D419" s="18">
        <f>IFERROR(
                  Andel_oberoende_av_klimat*VLOOKUP($A419,Leveranser_per_nät,'Leveranser per nät'!D$1,FALSE)
               +Andel_beroende_av_klimat*VLOOKUP($A419,Leveranser_per_nät,'Leveranser per nät'!D$1,FALSE)/VLOOKUP("Falköping",Korrigeringsfaktor_EI,'Korrigeringsfaktor EI'!D$1,FALSE),
"")</f>
        <v>10.149168316831684</v>
      </c>
      <c r="E419" s="18">
        <f>IFERROR(
                  Andel_oberoende_av_klimat*VLOOKUP($A419,Leveranser_per_nät,'Leveranser per nät'!E$1,FALSE)
               +Andel_beroende_av_klimat*VLOOKUP($A419,Leveranser_per_nät,'Leveranser per nät'!E$1,FALSE)/VLOOKUP("Falköping",Korrigeringsfaktor_EI,'Korrigeringsfaktor EI'!E$1,FALSE),
"")</f>
        <v>12.65</v>
      </c>
      <c r="F419" s="18">
        <f>IFERROR(
                  Andel_oberoende_av_klimat*VLOOKUP($A419,Leveranser_per_nät,'Leveranser per nät'!F$1,FALSE)
               +Andel_beroende_av_klimat*VLOOKUP($A419,Leveranser_per_nät,'Leveranser per nät'!F$1,FALSE)/VLOOKUP("Falköping",Korrigeringsfaktor_EI,'Korrigeringsfaktor EI'!F$1,FALSE),
"")</f>
        <v>13.185714285714285</v>
      </c>
      <c r="G419" s="18">
        <f>IFERROR(
                  Andel_oberoende_av_klimat*VLOOKUP($A419,Leveranser_per_nät,'Leveranser per nät'!G$1,FALSE)
               +Andel_beroende_av_klimat*VLOOKUP($A419,Leveranser_per_nät,'Leveranser per nät'!G$1,FALSE)/VLOOKUP("Falköping",Korrigeringsfaktor_EI,'Korrigeringsfaktor EI'!G$1,FALSE),
"")</f>
        <v>14.852173913043478</v>
      </c>
      <c r="H419" s="18">
        <f>IFERROR(
                  Andel_oberoende_av_klimat*VLOOKUP($A419,Leveranser_per_nät,'Leveranser per nät'!H$1,FALSE)
               +Andel_beroende_av_klimat*VLOOKUP($A419,Leveranser_per_nät,'Leveranser per nät'!H$1,FALSE)/VLOOKUP("Falköping",Korrigeringsfaktor_EI,'Korrigeringsfaktor EI'!H$1,FALSE),
"")</f>
        <v>16</v>
      </c>
      <c r="I419" s="18">
        <f>IFERROR(
                  Andel_oberoende_av_klimat*VLOOKUP($A419,Leveranser_per_nät,'Leveranser per nät'!I$1,FALSE)
               +Andel_beroende_av_klimat*VLOOKUP($A419,Leveranser_per_nät,'Leveranser per nät'!I$1,FALSE)/VLOOKUP("Falköping",Korrigeringsfaktor_EI,'Korrigeringsfaktor EI'!I$1,FALSE),
"")</f>
        <v>21.773684210526316</v>
      </c>
      <c r="J419" s="18">
        <f>IFERROR(
                  Andel_oberoende_av_klimat*VLOOKUP($A419,Leveranser_per_nät,'Leveranser per nät'!J$1,FALSE)
               +Andel_beroende_av_klimat*VLOOKUP($A419,Leveranser_per_nät,'Leveranser per nät'!J$1,FALSE)/VLOOKUP("Falköping",Korrigeringsfaktor_EI,'Korrigeringsfaktor EI'!J$1,FALSE),
"")</f>
        <v>26.37142857142857</v>
      </c>
      <c r="K419" s="18">
        <f>IFERROR(
                  Andel_oberoende_av_klimat*VLOOKUP($A419,Leveranser_per_nät,'Leveranser per nät'!K$1,FALSE)
               +Andel_beroende_av_klimat*VLOOKUP($A419,Leveranser_per_nät,'Leveranser per nät'!K$1,FALSE)/VLOOKUP("Falköping",Korrigeringsfaktor_EI,'Korrigeringsfaktor EI'!K$1,FALSE),
"")</f>
        <v>28.427591919191922</v>
      </c>
      <c r="L419" s="18">
        <f>IFERROR(
                  Andel_oberoende_av_klimat*VLOOKUP($A419,Leveranser_per_nät,'Leveranser per nät'!L$1,FALSE)
               +Andel_beroende_av_klimat*VLOOKUP($A419,Leveranser_per_nät,'Leveranser per nät'!L$1,FALSE)/VLOOKUP("Falköping",Korrigeringsfaktor_EI,'Korrigeringsfaktor EI'!L$1,FALSE),
"")</f>
        <v>29.692487499999999</v>
      </c>
      <c r="M419" s="18">
        <f>IFERROR(
                  Andel_oberoende_av_klimat*VLOOKUP($A419,Leveranser_per_nät,'Leveranser per nät'!M$1,FALSE)
               +Andel_beroende_av_klimat*VLOOKUP($A419,Leveranser_per_nät,'Leveranser per nät'!M$1,FALSE)/VLOOKUP("Falköping",Korrigeringsfaktor_EI,'Korrigeringsfaktor EI'!M$1,FALSE),
"")</f>
        <v>49.476344086021506</v>
      </c>
      <c r="N419" s="18">
        <f>IFERROR(
                  Andel_oberoende_av_klimat*VLOOKUP($A419,Leveranser_per_nät,'Leveranser per nät'!N$1,FALSE)
               +Andel_beroende_av_klimat*VLOOKUP($A419,Leveranser_per_nät,'Leveranser per nät'!N$1,FALSE)/VLOOKUP("Falköping",Korrigeringsfaktor_EI,'Korrigeringsfaktor EI'!N$1,FALSE),
"")</f>
        <v>48.8</v>
      </c>
      <c r="O419" s="18">
        <f>IFERROR(
                  Andel_oberoende_av_klimat*VLOOKUP($A419,Leveranser_per_nät,'Leveranser per nät'!O$1,FALSE)
               +Andel_beroende_av_klimat*VLOOKUP($A419,Leveranser_per_nät,'Leveranser per nät'!O$1,FALSE)/VLOOKUP("Falköping",Korrigeringsfaktor_EI,'Korrigeringsfaktor EI'!O$1,FALSE),
"")</f>
        <v>52.392307692307689</v>
      </c>
      <c r="P419" s="18">
        <f>IFERROR(
                  Andel_oberoende_av_klimat*VLOOKUP($A419,Leveranser_per_nät,'Leveranser per nät'!P$1,FALSE)
               +Andel_beroende_av_klimat*VLOOKUP($A419,Leveranser_per_nät,'Leveranser per nät'!P$1,FALSE)/VLOOKUP("Falköping",Korrigeringsfaktor_EI,'Korrigeringsfaktor EI'!P$1,FALSE),
"")</f>
        <v>59.691666666666663</v>
      </c>
      <c r="Q419" s="18">
        <f>IFERROR(
                  Andel_oberoende_av_klimat*VLOOKUP($A419,Leveranser_per_nät,'Leveranser per nät'!Q$1,FALSE)
               +Andel_beroende_av_klimat*VLOOKUP($A419,Leveranser_per_nät,'Leveranser per nät'!Q$1,FALSE)/VLOOKUP("Falköping",Korrigeringsfaktor_EI,'Korrigeringsfaktor EI'!Q$1,FALSE),
"")</f>
        <v>61.399649999999994</v>
      </c>
      <c r="R419" s="18">
        <f>IFERROR(
                  Andel_oberoende_av_klimat*VLOOKUP($A419,Leveranser_per_nät,'Leveranser per nät'!R$1,FALSE)
               +Andel_beroende_av_klimat*VLOOKUP($A419,Leveranser_per_nät,'Leveranser per nät'!R$1,FALSE)/VLOOKUP("Falköping",Korrigeringsfaktor_EI,'Korrigeringsfaktor EI'!R$1,FALSE),
"")</f>
        <v>58.87826086956521</v>
      </c>
      <c r="S419" s="18">
        <f>IFERROR(
                  Andel_oberoende_av_klimat*VLOOKUP($A419,Leveranser_per_nät,'Leveranser per nät'!S$1,FALSE)
               +Andel_beroende_av_klimat*VLOOKUP($A419,Leveranser_per_nät,'Leveranser per nät'!S$1,FALSE)/VLOOKUP("Falköping",Korrigeringsfaktor_EI,'Korrigeringsfaktor EI'!S$1,FALSE),
"")</f>
        <v>59.417171717171719</v>
      </c>
      <c r="T419" s="18">
        <f>IFERROR(
                  Andel_oberoende_av_klimat*VLOOKUP($A419,Leveranser_per_nät,'Leveranser per nät'!T$1,FALSE)
               +Andel_beroende_av_klimat*VLOOKUP($A419,Leveranser_per_nät,'Leveranser per nät'!T$1,FALSE)/VLOOKUP("Falköping",Korrigeringsfaktor_EI,'Korrigeringsfaktor EI'!T$1,FALSE),
"")</f>
        <v>59.083011340206184</v>
      </c>
      <c r="U419" s="18">
        <f>IFERROR(
                  Andel_oberoende_av_klimat*VLOOKUP($A419,Leveranser_per_nät,'Leveranser per nät'!U$1,FALSE)
               +Andel_beroende_av_klimat*VLOOKUP($A419,Leveranser_per_nät,'Leveranser per nät'!U$1,FALSE)/VLOOKUP("Falköping",Korrigeringsfaktor_EI,'Korrigeringsfaktor EI'!U$1,FALSE),
"")</f>
        <v>54.508722727272726</v>
      </c>
      <c r="V419" s="18">
        <f>IFERROR(
                  Andel_oberoende_av_klimat*VLOOKUP($A419,Leveranser_per_nät,'Leveranser per nät'!V$1,FALSE)
               +Andel_beroende_av_klimat*VLOOKUP($A419,Leveranser_per_nät,'Leveranser per nät'!V$1,FALSE)/VLOOKUP("Falköping",Korrigeringsfaktor_EI,'Korrigeringsfaktor EI'!V$1,FALSE),
"")</f>
        <v>51.611304347826092</v>
      </c>
      <c r="W419" s="18">
        <f>IFERROR(
                  Andel_oberoende_av_klimat*VLOOKUP($A419,Leveranser_per_nät,'Leveranser per nät'!W$1,FALSE)
               +Andel_beroende_av_klimat*VLOOKUP($A419,Leveranser_per_nät,'Leveranser per nät'!W$1,FALSE)/VLOOKUP("Falköping",Korrigeringsfaktor_EI,'Korrigeringsfaktor EI'!W$1,FALSE),
"")</f>
        <v>53.593842857142853</v>
      </c>
      <c r="X419" s="18">
        <f>IFERROR(
                  Andel_oberoende_av_klimat*VLOOKUP($A419,Leveranser_per_nät,'Leveranser per nät'!X$1,FALSE)
               +Andel_beroende_av_klimat*VLOOKUP($A419,Leveranser_per_nät,'Leveranser per nät'!X$1,FALSE)/VLOOKUP("Falköping",Korrigeringsfaktor_EI,'Korrigeringsfaktor EI'!X$1,FALSE),
"")</f>
        <v>53.524900000000002</v>
      </c>
      <c r="Y419" s="18">
        <f>IFERROR(
                  Andel_oberoende_av_klimat*VLOOKUP($A419,Leveranser_per_nät,'Leveranser per nät'!Y$1,FALSE)
               +Andel_beroende_av_klimat*VLOOKUP($A419,Leveranser_per_nät,'Leveranser per nät'!Y$1,FALSE)/VLOOKUP($B419,Korrigeringsfaktor_EI,'Korrigeringsfaktor EI'!Y$1,FALSE),
"")</f>
        <v>56.783043478260865</v>
      </c>
      <c r="Z419" s="18">
        <f>IFERROR(
                  Andel_oberoende_av_klimat*VLOOKUP($A419,Leveranser_per_nät,'Leveranser per nät'!Z$1,FALSE)
               +Andel_beroende_av_klimat*VLOOKUP($A419,Leveranser_per_nät,'Leveranser per nät'!Z$1,FALSE)/VLOOKUP($B419,Korrigeringsfaktor_EI,'Korrigeringsfaktor EI'!Z$1,FALSE),
"")</f>
        <v>56.403344444444443</v>
      </c>
      <c r="AA419" s="18">
        <f>IFERROR(
                  Andel_oberoende_av_klimat*VLOOKUP($A419,Leveranser_per_nät,'Leveranser per nät'!AA$1,FALSE)
               +Andel_beroende_av_klimat*VLOOKUP($A419,Leveranser_per_nät,'Leveranser per nät'!AA$1,FALSE)/VLOOKUP($B419,Korrigeringsfaktor_EI,'Korrigeringsfaktor EI'!AA$1,FALSE),
"")</f>
        <v>55.152796450459654</v>
      </c>
      <c r="AB419" s="18">
        <f>IFERROR(
                  Andel_oberoende_av_klimat*VLOOKUP($A419,Leveranser_per_nät,'Leveranser per nät'!AB$1,FALSE)
               +Andel_beroende_av_klimat*VLOOKUP($A419,Leveranser_per_nät,'Leveranser per nät'!AB$1,FALSE)/VLOOKUP($B419,Korrigeringsfaktor_EI,'Korrigeringsfaktor EI'!AB$1,FALSE),
"")</f>
        <v>57.247466336633664</v>
      </c>
      <c r="AC419" s="18">
        <f>IFERROR(
                  Andel_oberoende_av_klimat*VLOOKUP($A419,Leveranser_per_nät,'Leveranser per nät'!AC$1,FALSE)
               +Andel_beroende_av_klimat*VLOOKUP($A419,Leveranser_per_nät,'Leveranser per nät'!AC$1,FALSE)/VLOOKUP($B419,Korrigeringsfaktor_EI,'Korrigeringsfaktor EI'!AC$1,FALSE),
"")</f>
        <v>55.725554852320684</v>
      </c>
      <c r="AD419">
        <v>53.664999999999999</v>
      </c>
    </row>
    <row r="420" spans="1:30" x14ac:dyDescent="0.25">
      <c r="A420" t="s">
        <v>315</v>
      </c>
      <c r="B420" t="s">
        <v>315</v>
      </c>
      <c r="C420" s="18">
        <f>IFERROR(
                  Andel_oberoende_av_klimat*VLOOKUP($A420,Leveranser_per_nät,'Leveranser per nät'!C$1,FALSE)
               +Andel_beroende_av_klimat*VLOOKUP($A420,Leveranser_per_nät,'Leveranser per nät'!C$1,FALSE)/VLOOKUP($B420,Korrigeringsfaktor_EI,'Korrigeringsfaktor EI'!C$1,FALSE),
"")</f>
        <v>32.034862385321098</v>
      </c>
      <c r="D420" s="18">
        <f>IFERROR(
                  Andel_oberoende_av_klimat*VLOOKUP($A420,Leveranser_per_nät,'Leveranser per nät'!D$1,FALSE)
               +Andel_beroende_av_klimat*VLOOKUP($A420,Leveranser_per_nät,'Leveranser per nät'!D$1,FALSE)/VLOOKUP($B420,Korrigeringsfaktor_EI,'Korrigeringsfaktor EI'!D$1,FALSE),
"")</f>
        <v>32.365857142857145</v>
      </c>
      <c r="E420" s="18">
        <f>IFERROR(
                  Andel_oberoende_av_klimat*VLOOKUP($A420,Leveranser_per_nät,'Leveranser per nät'!E$1,FALSE)
               +Andel_beroende_av_klimat*VLOOKUP($A420,Leveranser_per_nät,'Leveranser per nät'!E$1,FALSE)/VLOOKUP($B420,Korrigeringsfaktor_EI,'Korrigeringsfaktor EI'!E$1,FALSE),
"")</f>
        <v>33.084615384615383</v>
      </c>
      <c r="F420" s="18">
        <f>IFERROR(
                  Andel_oberoende_av_klimat*VLOOKUP($A420,Leveranser_per_nät,'Leveranser per nät'!F$1,FALSE)
               +Andel_beroende_av_klimat*VLOOKUP($A420,Leveranser_per_nät,'Leveranser per nät'!F$1,FALSE)/VLOOKUP($B420,Korrigeringsfaktor_EI,'Korrigeringsfaktor EI'!F$1,FALSE),
"")</f>
        <v>32.692783505154637</v>
      </c>
      <c r="G420" s="18">
        <f>IFERROR(
                  Andel_oberoende_av_klimat*VLOOKUP($A420,Leveranser_per_nät,'Leveranser per nät'!G$1,FALSE)
               +Andel_beroende_av_klimat*VLOOKUP($A420,Leveranser_per_nät,'Leveranser per nät'!G$1,FALSE)/VLOOKUP($B420,Korrigeringsfaktor_EI,'Korrigeringsfaktor EI'!G$1,FALSE),
"")</f>
        <v>30.527956989247308</v>
      </c>
      <c r="H420" s="18">
        <f>IFERROR(
                  Andel_oberoende_av_klimat*VLOOKUP($A420,Leveranser_per_nät,'Leveranser per nät'!H$1,FALSE)
               +Andel_beroende_av_klimat*VLOOKUP($A420,Leveranser_per_nät,'Leveranser per nät'!H$1,FALSE)/VLOOKUP($B420,Korrigeringsfaktor_EI,'Korrigeringsfaktor EI'!H$1,FALSE),
"")</f>
        <v>32.226262626262624</v>
      </c>
      <c r="I420" s="18">
        <f>IFERROR(
                  Andel_oberoende_av_klimat*VLOOKUP($A420,Leveranser_per_nät,'Leveranser per nät'!I$1,FALSE)
               +Andel_beroende_av_klimat*VLOOKUP($A420,Leveranser_per_nät,'Leveranser per nät'!I$1,FALSE)/VLOOKUP($B420,Korrigeringsfaktor_EI,'Korrigeringsfaktor EI'!I$1,FALSE),
"")</f>
        <v>34.736082474226805</v>
      </c>
      <c r="J420" s="18">
        <f>IFERROR(
                  Andel_oberoende_av_klimat*VLOOKUP($A420,Leveranser_per_nät,'Leveranser per nät'!J$1,FALSE)
               +Andel_beroende_av_klimat*VLOOKUP($A420,Leveranser_per_nät,'Leveranser per nät'!J$1,FALSE)/VLOOKUP($B420,Korrigeringsfaktor_EI,'Korrigeringsfaktor EI'!J$1,FALSE),
"")</f>
        <v>35.5</v>
      </c>
      <c r="K420" s="18">
        <f>IFERROR(
                  Andel_oberoende_av_klimat*VLOOKUP($A420,Leveranser_per_nät,'Leveranser per nät'!K$1,FALSE)
               +Andel_beroende_av_klimat*VLOOKUP($A420,Leveranser_per_nät,'Leveranser per nät'!K$1,FALSE)/VLOOKUP($B420,Korrigeringsfaktor_EI,'Korrigeringsfaktor EI'!K$1,FALSE),
"")</f>
        <v>36.590154285714284</v>
      </c>
      <c r="L420" s="18">
        <f>IFERROR(
                  Andel_oberoende_av_klimat*VLOOKUP($A420,Leveranser_per_nät,'Leveranser per nät'!L$1,FALSE)
               +Andel_beroende_av_klimat*VLOOKUP($A420,Leveranser_per_nät,'Leveranser per nät'!L$1,FALSE)/VLOOKUP($B420,Korrigeringsfaktor_EI,'Korrigeringsfaktor EI'!L$1,FALSE),
"")</f>
        <v>37.382305263157903</v>
      </c>
      <c r="M420" s="18">
        <f>IFERROR(
                  Andel_oberoende_av_klimat*VLOOKUP($A420,Leveranser_per_nät,'Leveranser per nät'!M$1,FALSE)
               +Andel_beroende_av_klimat*VLOOKUP($A420,Leveranser_per_nät,'Leveranser per nät'!M$1,FALSE)/VLOOKUP($B420,Korrigeringsfaktor_EI,'Korrigeringsfaktor EI'!M$1,FALSE),
"")</f>
        <v>39.400695652173908</v>
      </c>
      <c r="N420" s="18">
        <f>IFERROR(
                  Andel_oberoende_av_klimat*VLOOKUP($A420,Leveranser_per_nät,'Leveranser per nät'!N$1,FALSE)
               +Andel_beroende_av_klimat*VLOOKUP($A420,Leveranser_per_nät,'Leveranser per nät'!N$1,FALSE)/VLOOKUP($B420,Korrigeringsfaktor_EI,'Korrigeringsfaktor EI'!N$1,FALSE),
"")</f>
        <v>39.935014893617023</v>
      </c>
      <c r="O420" s="18">
        <f>IFERROR(
                  Andel_oberoende_av_klimat*VLOOKUP($A420,Leveranser_per_nät,'Leveranser per nät'!O$1,FALSE)
               +Andel_beroende_av_klimat*VLOOKUP($A420,Leveranser_per_nät,'Leveranser per nät'!O$1,FALSE)/VLOOKUP($B420,Korrigeringsfaktor_EI,'Korrigeringsfaktor EI'!O$1,FALSE),
"")</f>
        <v>42.278834782608691</v>
      </c>
      <c r="P420" s="18">
        <f>IFERROR(
                  Andel_oberoende_av_klimat*VLOOKUP($A420,Leveranser_per_nät,'Leveranser per nät'!P$1,FALSE)
               +Andel_beroende_av_klimat*VLOOKUP($A420,Leveranser_per_nät,'Leveranser per nät'!P$1,FALSE)/VLOOKUP($B420,Korrigeringsfaktor_EI,'Korrigeringsfaktor EI'!P$1,FALSE),
"")</f>
        <v>44.124491666666671</v>
      </c>
      <c r="Q420" s="18">
        <f>IFERROR(
                  Andel_oberoende_av_klimat*VLOOKUP($A420,Leveranser_per_nät,'Leveranser per nät'!Q$1,FALSE)
               +Andel_beroende_av_klimat*VLOOKUP($A420,Leveranser_per_nät,'Leveranser per nät'!Q$1,FALSE)/VLOOKUP($B420,Korrigeringsfaktor_EI,'Korrigeringsfaktor EI'!Q$1,FALSE),
"")</f>
        <v>45.762524999999997</v>
      </c>
      <c r="R420" s="18">
        <f>IFERROR(
                  Andel_oberoende_av_klimat*VLOOKUP($A420,Leveranser_per_nät,'Leveranser per nät'!R$1,FALSE)
               +Andel_beroende_av_klimat*VLOOKUP($A420,Leveranser_per_nät,'Leveranser per nät'!R$1,FALSE)/VLOOKUP($B420,Korrigeringsfaktor_EI,'Korrigeringsfaktor EI'!R$1,FALSE),
"")</f>
        <v>44.311061538461537</v>
      </c>
      <c r="S420" s="18">
        <f>IFERROR(
                  Andel_oberoende_av_klimat*VLOOKUP($A420,Leveranser_per_nät,'Leveranser per nät'!S$1,FALSE)
               +Andel_beroende_av_klimat*VLOOKUP($A420,Leveranser_per_nät,'Leveranser per nät'!S$1,FALSE)/VLOOKUP($B420,Korrigeringsfaktor_EI,'Korrigeringsfaktor EI'!S$1,FALSE),
"")</f>
        <v>46.674257425742574</v>
      </c>
      <c r="T420" s="18">
        <f>IFERROR(
                  Andel_oberoende_av_klimat*VLOOKUP($A420,Leveranser_per_nät,'Leveranser per nät'!T$1,FALSE)
               +Andel_beroende_av_klimat*VLOOKUP($A420,Leveranser_per_nät,'Leveranser per nät'!T$1,FALSE)/VLOOKUP($B420,Korrigeringsfaktor_EI,'Korrigeringsfaktor EI'!T$1,FALSE),
"")</f>
        <v>46.870447368421054</v>
      </c>
      <c r="U420" s="18">
        <f>IFERROR(
                  Andel_oberoende_av_klimat*VLOOKUP($A420,Leveranser_per_nät,'Leveranser per nät'!U$1,FALSE)
               +Andel_beroende_av_klimat*VLOOKUP($A420,Leveranser_per_nät,'Leveranser per nät'!U$1,FALSE)/VLOOKUP($B420,Korrigeringsfaktor_EI,'Korrigeringsfaktor EI'!U$1,FALSE),
"")</f>
        <v>45.667252173913042</v>
      </c>
      <c r="V420" s="18">
        <f>IFERROR(
                  Andel_oberoende_av_klimat*VLOOKUP($A420,Leveranser_per_nät,'Leveranser per nät'!V$1,FALSE)
               +Andel_beroende_av_klimat*VLOOKUP($A420,Leveranser_per_nät,'Leveranser per nät'!V$1,FALSE)/VLOOKUP($B420,Korrigeringsfaktor_EI,'Korrigeringsfaktor EI'!V$1,FALSE),
"")</f>
        <v>46.740852173913041</v>
      </c>
      <c r="W420" s="18">
        <f>IFERROR(
                  Andel_oberoende_av_klimat*VLOOKUP($A420,Leveranser_per_nät,'Leveranser per nät'!W$1,FALSE)
               +Andel_beroende_av_klimat*VLOOKUP($A420,Leveranser_per_nät,'Leveranser per nät'!W$1,FALSE)/VLOOKUP($B420,Korrigeringsfaktor_EI,'Korrigeringsfaktor EI'!W$1,FALSE),
"")</f>
        <v>54.529600000000002</v>
      </c>
      <c r="X420" s="18">
        <f>IFERROR(
                  Andel_oberoende_av_klimat*VLOOKUP($A420,Leveranser_per_nät,'Leveranser per nät'!X$1,FALSE)
               +Andel_beroende_av_klimat*VLOOKUP($A420,Leveranser_per_nät,'Leveranser per nät'!X$1,FALSE)/VLOOKUP($B420,Korrigeringsfaktor_EI,'Korrigeringsfaktor EI'!X$1,FALSE),
"")</f>
        <v>60.918433333333333</v>
      </c>
      <c r="Y420" s="18">
        <f>IFERROR(
                  Andel_oberoende_av_klimat*VLOOKUP($A420,Leveranser_per_nät,'Leveranser per nät'!Y$1,FALSE)
               +Andel_beroende_av_klimat*VLOOKUP($A420,Leveranser_per_nät,'Leveranser per nät'!Y$1,FALSE)/VLOOKUP($B420,Korrigeringsfaktor_EI,'Korrigeringsfaktor EI'!Y$1,FALSE),
"")</f>
        <v>61.961923076923078</v>
      </c>
      <c r="Z420" s="18">
        <f>IFERROR(
                  Andel_oberoende_av_klimat*VLOOKUP($A420,Leveranser_per_nät,'Leveranser per nät'!Z$1,FALSE)
               +Andel_beroende_av_klimat*VLOOKUP($A420,Leveranser_per_nät,'Leveranser per nät'!Z$1,FALSE)/VLOOKUP($B420,Korrigeringsfaktor_EI,'Korrigeringsfaktor EI'!Z$1,FALSE),
"")</f>
        <v>49.434236559139784</v>
      </c>
      <c r="AA420" s="18">
        <f>IFERROR(
                  Andel_oberoende_av_klimat*VLOOKUP($A420,Leveranser_per_nät,'Leveranser per nät'!AA$1,FALSE)
               +Andel_beroende_av_klimat*VLOOKUP($A420,Leveranser_per_nät,'Leveranser per nät'!AA$1,FALSE)/VLOOKUP($B420,Korrigeringsfaktor_EI,'Korrigeringsfaktor EI'!AA$1,FALSE),
"")</f>
        <v>49.0741833952912</v>
      </c>
      <c r="AB420" s="18">
        <f>IFERROR(
                  Andel_oberoende_av_klimat*VLOOKUP($A420,Leveranser_per_nät,'Leveranser per nät'!AB$1,FALSE)
               +Andel_beroende_av_klimat*VLOOKUP($A420,Leveranser_per_nät,'Leveranser per nät'!AB$1,FALSE)/VLOOKUP($B420,Korrigeringsfaktor_EI,'Korrigeringsfaktor EI'!AB$1,FALSE),
"")</f>
        <v>49.799761523046087</v>
      </c>
      <c r="AC420" s="18">
        <f>IFERROR(
                  Andel_oberoende_av_klimat*VLOOKUP($A420,Leveranser_per_nät,'Leveranser per nät'!AC$1,FALSE)
               +Andel_beroende_av_klimat*VLOOKUP($A420,Leveranser_per_nät,'Leveranser per nät'!AC$1,FALSE)/VLOOKUP($B420,Korrigeringsfaktor_EI,'Korrigeringsfaktor EI'!AC$1,FALSE),
"")</f>
        <v>48.124748155953633</v>
      </c>
      <c r="AD420">
        <v>46.38</v>
      </c>
    </row>
    <row r="421" spans="1:30" x14ac:dyDescent="0.25">
      <c r="A421" t="s">
        <v>719</v>
      </c>
      <c r="B421" t="s">
        <v>275</v>
      </c>
      <c r="C421" s="18">
        <f>IFERROR(
                  Andel_oberoende_av_klimat*VLOOKUP($A421,Leveranser_per_nät,'Leveranser per nät'!C$1,FALSE)
               +Andel_beroende_av_klimat*VLOOKUP($A421,Leveranser_per_nät,'Leveranser per nät'!C$1,FALSE)/VLOOKUP($B421,Korrigeringsfaktor_EI,'Korrigeringsfaktor EI'!C$1,FALSE),
"")</f>
        <v>0</v>
      </c>
      <c r="D421" s="18">
        <f>IFERROR(
                  Andel_oberoende_av_klimat*VLOOKUP($A421,Leveranser_per_nät,'Leveranser per nät'!D$1,FALSE)
               +Andel_beroende_av_klimat*VLOOKUP($A421,Leveranser_per_nät,'Leveranser per nät'!D$1,FALSE)/VLOOKUP($B421,Korrigeringsfaktor_EI,'Korrigeringsfaktor EI'!D$1,FALSE),
"")</f>
        <v>0</v>
      </c>
      <c r="E421" s="18">
        <f>IFERROR(
                  Andel_oberoende_av_klimat*VLOOKUP($A421,Leveranser_per_nät,'Leveranser per nät'!E$1,FALSE)
               +Andel_beroende_av_klimat*VLOOKUP($A421,Leveranser_per_nät,'Leveranser per nät'!E$1,FALSE)/VLOOKUP($B421,Korrigeringsfaktor_EI,'Korrigeringsfaktor EI'!E$1,FALSE),
"")</f>
        <v>0</v>
      </c>
      <c r="F421" s="18">
        <f>IFERROR(
                  Andel_oberoende_av_klimat*VLOOKUP($A421,Leveranser_per_nät,'Leveranser per nät'!F$1,FALSE)
               +Andel_beroende_av_klimat*VLOOKUP($A421,Leveranser_per_nät,'Leveranser per nät'!F$1,FALSE)/VLOOKUP($B421,Korrigeringsfaktor_EI,'Korrigeringsfaktor EI'!F$1,FALSE),
"")</f>
        <v>0</v>
      </c>
      <c r="G421" s="18">
        <f>IFERROR(
                  Andel_oberoende_av_klimat*VLOOKUP($A421,Leveranser_per_nät,'Leveranser per nät'!G$1,FALSE)
               +Andel_beroende_av_klimat*VLOOKUP($A421,Leveranser_per_nät,'Leveranser per nät'!G$1,FALSE)/VLOOKUP($B421,Korrigeringsfaktor_EI,'Korrigeringsfaktor EI'!G$1,FALSE),
"")</f>
        <v>0</v>
      </c>
      <c r="H421" s="18">
        <f>IFERROR(
                  Andel_oberoende_av_klimat*VLOOKUP($A421,Leveranser_per_nät,'Leveranser per nät'!H$1,FALSE)
               +Andel_beroende_av_klimat*VLOOKUP($A421,Leveranser_per_nät,'Leveranser per nät'!H$1,FALSE)/VLOOKUP($B421,Korrigeringsfaktor_EI,'Korrigeringsfaktor EI'!H$1,FALSE),
"")</f>
        <v>0</v>
      </c>
      <c r="I421" s="18">
        <f>IFERROR(
                  Andel_oberoende_av_klimat*VLOOKUP($A421,Leveranser_per_nät,'Leveranser per nät'!I$1,FALSE)
               +Andel_beroende_av_klimat*VLOOKUP($A421,Leveranser_per_nät,'Leveranser per nät'!I$1,FALSE)/VLOOKUP($B421,Korrigeringsfaktor_EI,'Korrigeringsfaktor EI'!I$1,FALSE),
"")</f>
        <v>0</v>
      </c>
      <c r="J421" s="18">
        <f>IFERROR(
                  Andel_oberoende_av_klimat*VLOOKUP($A421,Leveranser_per_nät,'Leveranser per nät'!J$1,FALSE)
               +Andel_beroende_av_klimat*VLOOKUP($A421,Leveranser_per_nät,'Leveranser per nät'!J$1,FALSE)/VLOOKUP($B421,Korrigeringsfaktor_EI,'Korrigeringsfaktor EI'!J$1,FALSE),
"")</f>
        <v>0</v>
      </c>
      <c r="K421" s="18">
        <f>IFERROR(
                  Andel_oberoende_av_klimat*VLOOKUP($A421,Leveranser_per_nät,'Leveranser per nät'!K$1,FALSE)
               +Andel_beroende_av_klimat*VLOOKUP($A421,Leveranser_per_nät,'Leveranser per nät'!K$1,FALSE)/VLOOKUP($B421,Korrigeringsfaktor_EI,'Korrigeringsfaktor EI'!K$1,FALSE),
"")</f>
        <v>0</v>
      </c>
      <c r="L421" s="18">
        <f>IFERROR(
                  Andel_oberoende_av_klimat*VLOOKUP($A421,Leveranser_per_nät,'Leveranser per nät'!L$1,FALSE)
               +Andel_beroende_av_klimat*VLOOKUP($A421,Leveranser_per_nät,'Leveranser per nät'!L$1,FALSE)/VLOOKUP($B421,Korrigeringsfaktor_EI,'Korrigeringsfaktor EI'!L$1,FALSE),
"")</f>
        <v>0</v>
      </c>
      <c r="M421" s="18">
        <f>IFERROR(
                  Andel_oberoende_av_klimat*VLOOKUP($A421,Leveranser_per_nät,'Leveranser per nät'!M$1,FALSE)
               +Andel_beroende_av_klimat*VLOOKUP($A421,Leveranser_per_nät,'Leveranser per nät'!M$1,FALSE)/VLOOKUP($B421,Korrigeringsfaktor_EI,'Korrigeringsfaktor EI'!M$1,FALSE),
"")</f>
        <v>0</v>
      </c>
      <c r="N421" s="18">
        <f>IFERROR(
                  Andel_oberoende_av_klimat*VLOOKUP($A421,Leveranser_per_nät,'Leveranser per nät'!N$1,FALSE)
               +Andel_beroende_av_klimat*VLOOKUP($A421,Leveranser_per_nät,'Leveranser per nät'!N$1,FALSE)/VLOOKUP($B421,Korrigeringsfaktor_EI,'Korrigeringsfaktor EI'!N$1,FALSE),
"")</f>
        <v>0</v>
      </c>
      <c r="O421" s="18">
        <f>IFERROR(
                  Andel_oberoende_av_klimat*VLOOKUP($A421,Leveranser_per_nät,'Leveranser per nät'!O$1,FALSE)
               +Andel_beroende_av_klimat*VLOOKUP($A421,Leveranser_per_nät,'Leveranser per nät'!O$1,FALSE)/VLOOKUP($B421,Korrigeringsfaktor_EI,'Korrigeringsfaktor EI'!O$1,FALSE),
"")</f>
        <v>0</v>
      </c>
      <c r="P421" s="18">
        <f>IFERROR(
                  Andel_oberoende_av_klimat*VLOOKUP($A421,Leveranser_per_nät,'Leveranser per nät'!P$1,FALSE)
               +Andel_beroende_av_klimat*VLOOKUP($A421,Leveranser_per_nät,'Leveranser per nät'!P$1,FALSE)/VLOOKUP($B421,Korrigeringsfaktor_EI,'Korrigeringsfaktor EI'!P$1,FALSE),
"")</f>
        <v>0</v>
      </c>
      <c r="Q421" s="18">
        <f>IFERROR(
                  Andel_oberoende_av_klimat*VLOOKUP($A421,Leveranser_per_nät,'Leveranser per nät'!Q$1,FALSE)
               +Andel_beroende_av_klimat*VLOOKUP($A421,Leveranser_per_nät,'Leveranser per nät'!Q$1,FALSE)/VLOOKUP($B421,Korrigeringsfaktor_EI,'Korrigeringsfaktor EI'!Q$1,FALSE),
"")</f>
        <v>0</v>
      </c>
      <c r="R421" s="18">
        <f>IFERROR(
                  Andel_oberoende_av_klimat*VLOOKUP($A421,Leveranser_per_nät,'Leveranser per nät'!R$1,FALSE)
               +Andel_beroende_av_klimat*VLOOKUP($A421,Leveranser_per_nät,'Leveranser per nät'!R$1,FALSE)/VLOOKUP($B421,Korrigeringsfaktor_EI,'Korrigeringsfaktor EI'!R$1,FALSE),
"")</f>
        <v>0</v>
      </c>
      <c r="S421" s="18">
        <f>IFERROR(
                  Andel_oberoende_av_klimat*VLOOKUP($A421,Leveranser_per_nät,'Leveranser per nät'!S$1,FALSE)
               +Andel_beroende_av_klimat*VLOOKUP($A421,Leveranser_per_nät,'Leveranser per nät'!S$1,FALSE)/VLOOKUP($B421,Korrigeringsfaktor_EI,'Korrigeringsfaktor EI'!S$1,FALSE),
"")</f>
        <v>1.6584257425742575</v>
      </c>
      <c r="T421" s="18">
        <f>IFERROR(
                  Andel_oberoende_av_klimat*VLOOKUP($A421,Leveranser_per_nät,'Leveranser per nät'!T$1,FALSE)
               +Andel_beroende_av_klimat*VLOOKUP($A421,Leveranser_per_nät,'Leveranser per nät'!T$1,FALSE)/VLOOKUP($B421,Korrigeringsfaktor_EI,'Korrigeringsfaktor EI'!T$1,FALSE),
"")</f>
        <v>1.7815080808080808</v>
      </c>
      <c r="U421" s="18">
        <f>IFERROR(
                  Andel_oberoende_av_klimat*VLOOKUP($A421,Leveranser_per_nät,'Leveranser per nät'!U$1,FALSE)
               +Andel_beroende_av_klimat*VLOOKUP($A421,Leveranser_per_nät,'Leveranser per nät'!U$1,FALSE)/VLOOKUP($B421,Korrigeringsfaktor_EI,'Korrigeringsfaktor EI'!U$1,FALSE),
"")</f>
        <v>1.8514247191011235</v>
      </c>
      <c r="V421" s="18">
        <f>IFERROR(
                  Andel_oberoende_av_klimat*VLOOKUP($A421,Leveranser_per_nät,'Leveranser per nät'!V$1,FALSE)
               +Andel_beroende_av_klimat*VLOOKUP($A421,Leveranser_per_nät,'Leveranser per nät'!V$1,FALSE)/VLOOKUP($B421,Korrigeringsfaktor_EI,'Korrigeringsfaktor EI'!V$1,FALSE),
"")</f>
        <v>1.872732258064516</v>
      </c>
      <c r="W421" s="18">
        <f>IFERROR(
                  Andel_oberoende_av_klimat*VLOOKUP($A421,Leveranser_per_nät,'Leveranser per nät'!W$1,FALSE)
               +Andel_beroende_av_klimat*VLOOKUP($A421,Leveranser_per_nät,'Leveranser per nät'!W$1,FALSE)/VLOOKUP($B421,Korrigeringsfaktor_EI,'Korrigeringsfaktor EI'!W$1,FALSE),
"")</f>
        <v>2.1224157894736844</v>
      </c>
      <c r="X421" s="18">
        <f>IFERROR(
                  Andel_oberoende_av_klimat*VLOOKUP($A421,Leveranser_per_nät,'Leveranser per nät'!X$1,FALSE)
               +Andel_beroende_av_klimat*VLOOKUP($A421,Leveranser_per_nät,'Leveranser per nät'!X$1,FALSE)/VLOOKUP($B421,Korrigeringsfaktor_EI,'Korrigeringsfaktor EI'!X$1,FALSE),
"")</f>
        <v>2.1562212765957449</v>
      </c>
      <c r="Y421" s="18">
        <f>IFERROR(
                  Andel_oberoende_av_klimat*VLOOKUP($A421,Leveranser_per_nät,'Leveranser per nät'!Y$1,FALSE)
               +Andel_beroende_av_klimat*VLOOKUP($A421,Leveranser_per_nät,'Leveranser per nät'!Y$1,FALSE)/VLOOKUP($B421,Korrigeringsfaktor_EI,'Korrigeringsfaktor EI'!Y$1,FALSE),
"")</f>
        <v>2.2175846153846148</v>
      </c>
      <c r="Z421" s="18">
        <f>IFERROR(
                  Andel_oberoende_av_klimat*VLOOKUP($A421,Leveranser_per_nät,'Leveranser per nät'!Z$1,FALSE)
               +Andel_beroende_av_klimat*VLOOKUP($A421,Leveranser_per_nät,'Leveranser per nät'!Z$1,FALSE)/VLOOKUP($B421,Korrigeringsfaktor_EI,'Korrigeringsfaktor EI'!Z$1,FALSE),
"")</f>
        <v>2.1426222222222222</v>
      </c>
      <c r="AA421" s="18"/>
      <c r="AB421" s="18"/>
      <c r="AC421" s="18"/>
      <c r="AD421">
        <v>366.39353699999998</v>
      </c>
    </row>
    <row r="422" spans="1:30" x14ac:dyDescent="0.25">
      <c r="A422" t="s">
        <v>798</v>
      </c>
      <c r="B422" t="s">
        <v>321</v>
      </c>
      <c r="C422" s="18">
        <f>IFERROR(
                  Andel_oberoende_av_klimat*VLOOKUP($A422,Leveranser_per_nät,'Leveranser per nät'!C$1,FALSE)
               +Andel_beroende_av_klimat*VLOOKUP($A422,Leveranser_per_nät,'Leveranser per nät'!C$1,FALSE)/VLOOKUP($B422,Korrigeringsfaktor_EI,'Korrigeringsfaktor EI'!C$1,FALSE),
"")</f>
        <v>0</v>
      </c>
      <c r="D422" s="18">
        <f>IFERROR(
                  Andel_oberoende_av_klimat*VLOOKUP($A422,Leveranser_per_nät,'Leveranser per nät'!D$1,FALSE)
               +Andel_beroende_av_klimat*VLOOKUP($A422,Leveranser_per_nät,'Leveranser per nät'!D$1,FALSE)/VLOOKUP($B422,Korrigeringsfaktor_EI,'Korrigeringsfaktor EI'!D$1,FALSE),
"")</f>
        <v>0</v>
      </c>
      <c r="E422" s="18">
        <f>IFERROR(
                  Andel_oberoende_av_klimat*VLOOKUP($A422,Leveranser_per_nät,'Leveranser per nät'!E$1,FALSE)
               +Andel_beroende_av_klimat*VLOOKUP($A422,Leveranser_per_nät,'Leveranser per nät'!E$1,FALSE)/VLOOKUP($B422,Korrigeringsfaktor_EI,'Korrigeringsfaktor EI'!E$1,FALSE),
"")</f>
        <v>0</v>
      </c>
      <c r="F422" s="18">
        <f>IFERROR(
                  Andel_oberoende_av_klimat*VLOOKUP($A422,Leveranser_per_nät,'Leveranser per nät'!F$1,FALSE)
               +Andel_beroende_av_klimat*VLOOKUP($A422,Leveranser_per_nät,'Leveranser per nät'!F$1,FALSE)/VLOOKUP($B422,Korrigeringsfaktor_EI,'Korrigeringsfaktor EI'!F$1,FALSE),
"")</f>
        <v>0</v>
      </c>
      <c r="G422" s="18">
        <f>IFERROR(
                  Andel_oberoende_av_klimat*VLOOKUP($A422,Leveranser_per_nät,'Leveranser per nät'!G$1,FALSE)
               +Andel_beroende_av_klimat*VLOOKUP($A422,Leveranser_per_nät,'Leveranser per nät'!G$1,FALSE)/VLOOKUP($B422,Korrigeringsfaktor_EI,'Korrigeringsfaktor EI'!G$1,FALSE),
"")</f>
        <v>0</v>
      </c>
      <c r="H422" s="18">
        <f>IFERROR(
                  Andel_oberoende_av_klimat*VLOOKUP($A422,Leveranser_per_nät,'Leveranser per nät'!H$1,FALSE)
               +Andel_beroende_av_klimat*VLOOKUP($A422,Leveranser_per_nät,'Leveranser per nät'!H$1,FALSE)/VLOOKUP($B422,Korrigeringsfaktor_EI,'Korrigeringsfaktor EI'!H$1,FALSE),
"")</f>
        <v>0</v>
      </c>
      <c r="I422" s="18">
        <f>IFERROR(
                  Andel_oberoende_av_klimat*VLOOKUP($A422,Leveranser_per_nät,'Leveranser per nät'!I$1,FALSE)
               +Andel_beroende_av_klimat*VLOOKUP($A422,Leveranser_per_nät,'Leveranser per nät'!I$1,FALSE)/VLOOKUP($B422,Korrigeringsfaktor_EI,'Korrigeringsfaktor EI'!I$1,FALSE),
"")</f>
        <v>0</v>
      </c>
      <c r="J422" s="18">
        <f>IFERROR(
                  Andel_oberoende_av_klimat*VLOOKUP($A422,Leveranser_per_nät,'Leveranser per nät'!J$1,FALSE)
               +Andel_beroende_av_klimat*VLOOKUP($A422,Leveranser_per_nät,'Leveranser per nät'!J$1,FALSE)/VLOOKUP($B422,Korrigeringsfaktor_EI,'Korrigeringsfaktor EI'!J$1,FALSE),
"")</f>
        <v>0</v>
      </c>
      <c r="K422" s="18">
        <f>IFERROR(
                  Andel_oberoende_av_klimat*VLOOKUP($A422,Leveranser_per_nät,'Leveranser per nät'!K$1,FALSE)
               +Andel_beroende_av_klimat*VLOOKUP($A422,Leveranser_per_nät,'Leveranser per nät'!K$1,FALSE)/VLOOKUP($B422,Korrigeringsfaktor_EI,'Korrigeringsfaktor EI'!K$1,FALSE),
"")</f>
        <v>0</v>
      </c>
      <c r="L422" s="18">
        <f>IFERROR(
                  Andel_oberoende_av_klimat*VLOOKUP($A422,Leveranser_per_nät,'Leveranser per nät'!L$1,FALSE)
               +Andel_beroende_av_klimat*VLOOKUP($A422,Leveranser_per_nät,'Leveranser per nät'!L$1,FALSE)/VLOOKUP($B422,Korrigeringsfaktor_EI,'Korrigeringsfaktor EI'!L$1,FALSE),
"")</f>
        <v>0</v>
      </c>
      <c r="M422" s="18">
        <f>IFERROR(
                  Andel_oberoende_av_klimat*VLOOKUP($A422,Leveranser_per_nät,'Leveranser per nät'!M$1,FALSE)
               +Andel_beroende_av_klimat*VLOOKUP($A422,Leveranser_per_nät,'Leveranser per nät'!M$1,FALSE)/VLOOKUP($B422,Korrigeringsfaktor_EI,'Korrigeringsfaktor EI'!M$1,FALSE),
"")</f>
        <v>0</v>
      </c>
      <c r="N422" s="18">
        <f>IFERROR(
                  Andel_oberoende_av_klimat*VLOOKUP($A422,Leveranser_per_nät,'Leveranser per nät'!N$1,FALSE)
               +Andel_beroende_av_klimat*VLOOKUP($A422,Leveranser_per_nät,'Leveranser per nät'!N$1,FALSE)/VLOOKUP($B422,Korrigeringsfaktor_EI,'Korrigeringsfaktor EI'!N$1,FALSE),
"")</f>
        <v>0</v>
      </c>
      <c r="O422" s="18">
        <f>IFERROR(
                  Andel_oberoende_av_klimat*VLOOKUP($A422,Leveranser_per_nät,'Leveranser per nät'!O$1,FALSE)
               +Andel_beroende_av_klimat*VLOOKUP($A422,Leveranser_per_nät,'Leveranser per nät'!O$1,FALSE)/VLOOKUP($B422,Korrigeringsfaktor_EI,'Korrigeringsfaktor EI'!O$1,FALSE),
"")</f>
        <v>0</v>
      </c>
      <c r="P422" s="18">
        <f>IFERROR(
                  Andel_oberoende_av_klimat*VLOOKUP($A422,Leveranser_per_nät,'Leveranser per nät'!P$1,FALSE)
               +Andel_beroende_av_klimat*VLOOKUP($A422,Leveranser_per_nät,'Leveranser per nät'!P$1,FALSE)/VLOOKUP($B422,Korrigeringsfaktor_EI,'Korrigeringsfaktor EI'!P$1,FALSE),
"")</f>
        <v>0</v>
      </c>
      <c r="Q422" s="18">
        <f>IFERROR(
                  Andel_oberoende_av_klimat*VLOOKUP($A422,Leveranser_per_nät,'Leveranser per nät'!Q$1,FALSE)
               +Andel_beroende_av_klimat*VLOOKUP($A422,Leveranser_per_nät,'Leveranser per nät'!Q$1,FALSE)/VLOOKUP($B422,Korrigeringsfaktor_EI,'Korrigeringsfaktor EI'!Q$1,FALSE),
"")</f>
        <v>0</v>
      </c>
      <c r="R422" s="18">
        <f>IFERROR(
                  Andel_oberoende_av_klimat*VLOOKUP($A422,Leveranser_per_nät,'Leveranser per nät'!R$1,FALSE)
               +Andel_beroende_av_klimat*VLOOKUP($A422,Leveranser_per_nät,'Leveranser per nät'!R$1,FALSE)/VLOOKUP($B422,Korrigeringsfaktor_EI,'Korrigeringsfaktor EI'!R$1,FALSE),
"")</f>
        <v>0</v>
      </c>
      <c r="S422" s="18">
        <f>IFERROR(
                  Andel_oberoende_av_klimat*VLOOKUP($A422,Leveranser_per_nät,'Leveranser per nät'!S$1,FALSE)
               +Andel_beroende_av_klimat*VLOOKUP($A422,Leveranser_per_nät,'Leveranser per nät'!S$1,FALSE)/VLOOKUP($B422,Korrigeringsfaktor_EI,'Korrigeringsfaktor EI'!S$1,FALSE),
"")</f>
        <v>0</v>
      </c>
      <c r="T422" s="18">
        <f>IFERROR(
                  Andel_oberoende_av_klimat*VLOOKUP($A422,Leveranser_per_nät,'Leveranser per nät'!T$1,FALSE)
               +Andel_beroende_av_klimat*VLOOKUP($A422,Leveranser_per_nät,'Leveranser per nät'!T$1,FALSE)/VLOOKUP($B422,Korrigeringsfaktor_EI,'Korrigeringsfaktor EI'!T$1,FALSE),
"")</f>
        <v>0</v>
      </c>
      <c r="U422" s="18">
        <f>IFERROR(
                  Andel_oberoende_av_klimat*VLOOKUP($A422,Leveranser_per_nät,'Leveranser per nät'!U$1,FALSE)
               +Andel_beroende_av_klimat*VLOOKUP($A422,Leveranser_per_nät,'Leveranser per nät'!U$1,FALSE)/VLOOKUP($B422,Korrigeringsfaktor_EI,'Korrigeringsfaktor EI'!U$1,FALSE),
"")</f>
        <v>0</v>
      </c>
      <c r="V422" s="18">
        <f>IFERROR(
                  Andel_oberoende_av_klimat*VLOOKUP($A422,Leveranser_per_nät,'Leveranser per nät'!V$1,FALSE)
               +Andel_beroende_av_klimat*VLOOKUP($A422,Leveranser_per_nät,'Leveranser per nät'!V$1,FALSE)/VLOOKUP($B422,Korrigeringsfaktor_EI,'Korrigeringsfaktor EI'!V$1,FALSE),
"")</f>
        <v>0</v>
      </c>
      <c r="W422" s="18">
        <f>IFERROR(
                  Andel_oberoende_av_klimat*VLOOKUP($A422,Leveranser_per_nät,'Leveranser per nät'!W$1,FALSE)
               +Andel_beroende_av_klimat*VLOOKUP($A422,Leveranser_per_nät,'Leveranser per nät'!W$1,FALSE)/VLOOKUP($B422,Korrigeringsfaktor_EI,'Korrigeringsfaktor EI'!W$1,FALSE),
"")</f>
        <v>0</v>
      </c>
      <c r="X422" s="18">
        <f>IFERROR(
                  Andel_oberoende_av_klimat*VLOOKUP($A422,Leveranser_per_nät,'Leveranser per nät'!X$1,FALSE)
               +Andel_beroende_av_klimat*VLOOKUP($A422,Leveranser_per_nät,'Leveranser per nät'!X$1,FALSE)/VLOOKUP($B422,Korrigeringsfaktor_EI,'Korrigeringsfaktor EI'!X$1,FALSE),
"")</f>
        <v>0.84494583333333328</v>
      </c>
      <c r="Y422" s="18">
        <f>IFERROR(
                  Andel_oberoende_av_klimat*VLOOKUP($A422,Leveranser_per_nät,'Leveranser per nät'!Y$1,FALSE)
               +Andel_beroende_av_klimat*VLOOKUP($A422,Leveranser_per_nät,'Leveranser per nät'!Y$1,FALSE)/VLOOKUP($B422,Korrigeringsfaktor_EI,'Korrigeringsfaktor EI'!Y$1,FALSE),
"")</f>
        <v>0.88104615384615381</v>
      </c>
      <c r="Z422" s="18">
        <f>IFERROR(
                  Andel_oberoende_av_klimat*VLOOKUP($A422,Leveranser_per_nät,'Leveranser per nät'!Z$1,FALSE)
               +Andel_beroende_av_klimat*VLOOKUP($A422,Leveranser_per_nät,'Leveranser per nät'!Z$1,FALSE)/VLOOKUP($B422,Korrigeringsfaktor_EI,'Korrigeringsfaktor EI'!Z$1,FALSE),
"")</f>
        <v>0.84928888888888887</v>
      </c>
      <c r="AA422" s="18"/>
      <c r="AB422" s="18"/>
      <c r="AC422" s="18"/>
      <c r="AD422">
        <v>48.066000000000003</v>
      </c>
    </row>
    <row r="423" spans="1:30" x14ac:dyDescent="0.25">
      <c r="A423" s="4" t="s">
        <v>428</v>
      </c>
      <c r="B423" t="s">
        <v>202</v>
      </c>
      <c r="C423" s="18">
        <f>IFERROR(
                  Andel_oberoende_av_klimat*VLOOKUP($A423,Leveranser_per_nät,'Leveranser per nät'!C$1,FALSE)
               +Andel_beroende_av_klimat*VLOOKUP($A423,Leveranser_per_nät,'Leveranser per nät'!C$1,FALSE)/VLOOKUP($B423,Korrigeringsfaktor_EI,'Korrigeringsfaktor EI'!C$1,FALSE),
"")</f>
        <v>0</v>
      </c>
      <c r="D423" s="18">
        <f>IFERROR(
                  Andel_oberoende_av_klimat*VLOOKUP($A423,Leveranser_per_nät,'Leveranser per nät'!D$1,FALSE)
               +Andel_beroende_av_klimat*VLOOKUP($A423,Leveranser_per_nät,'Leveranser per nät'!D$1,FALSE)/VLOOKUP($B423,Korrigeringsfaktor_EI,'Korrigeringsfaktor EI'!D$1,FALSE),
"")</f>
        <v>0</v>
      </c>
      <c r="E423" s="18">
        <f>IFERROR(
                  Andel_oberoende_av_klimat*VLOOKUP($A423,Leveranser_per_nät,'Leveranser per nät'!E$1,FALSE)
               +Andel_beroende_av_klimat*VLOOKUP($A423,Leveranser_per_nät,'Leveranser per nät'!E$1,FALSE)/VLOOKUP($B423,Korrigeringsfaktor_EI,'Korrigeringsfaktor EI'!E$1,FALSE),
"")</f>
        <v>0</v>
      </c>
      <c r="F423" s="18">
        <f>IFERROR(
                  Andel_oberoende_av_klimat*VLOOKUP($A423,Leveranser_per_nät,'Leveranser per nät'!F$1,FALSE)
               +Andel_beroende_av_klimat*VLOOKUP($A423,Leveranser_per_nät,'Leveranser per nät'!F$1,FALSE)/VLOOKUP($B423,Korrigeringsfaktor_EI,'Korrigeringsfaktor EI'!F$1,FALSE),
"")</f>
        <v>0</v>
      </c>
      <c r="G423" s="18">
        <f>IFERROR(
                  Andel_oberoende_av_klimat*VLOOKUP($A423,Leveranser_per_nät,'Leveranser per nät'!G$1,FALSE)
               +Andel_beroende_av_klimat*VLOOKUP($A423,Leveranser_per_nät,'Leveranser per nät'!G$1,FALSE)/VLOOKUP($B423,Korrigeringsfaktor_EI,'Korrigeringsfaktor EI'!G$1,FALSE),
"")</f>
        <v>0</v>
      </c>
      <c r="H423" s="18">
        <f>IFERROR(
                  Andel_oberoende_av_klimat*VLOOKUP($A423,Leveranser_per_nät,'Leveranser per nät'!H$1,FALSE)
               +Andel_beroende_av_klimat*VLOOKUP($A423,Leveranser_per_nät,'Leveranser per nät'!H$1,FALSE)/VLOOKUP($B423,Korrigeringsfaktor_EI,'Korrigeringsfaktor EI'!H$1,FALSE),
"")</f>
        <v>0</v>
      </c>
      <c r="I423" s="18">
        <f>IFERROR(
                  Andel_oberoende_av_klimat*VLOOKUP($A423,Leveranser_per_nät,'Leveranser per nät'!I$1,FALSE)
               +Andel_beroende_av_klimat*VLOOKUP($A423,Leveranser_per_nät,'Leveranser per nät'!I$1,FALSE)/VLOOKUP($B423,Korrigeringsfaktor_EI,'Korrigeringsfaktor EI'!I$1,FALSE),
"")</f>
        <v>0</v>
      </c>
      <c r="J423" s="18">
        <f>IFERROR(
                  Andel_oberoende_av_klimat*VLOOKUP($A423,Leveranser_per_nät,'Leveranser per nät'!J$1,FALSE)
               +Andel_beroende_av_klimat*VLOOKUP($A423,Leveranser_per_nät,'Leveranser per nät'!J$1,FALSE)/VLOOKUP($B423,Korrigeringsfaktor_EI,'Korrigeringsfaktor EI'!J$1,FALSE),
"")</f>
        <v>0</v>
      </c>
      <c r="K423" s="18">
        <f>IFERROR(
                  Andel_oberoende_av_klimat*VLOOKUP($A423,Leveranser_per_nät,'Leveranser per nät'!K$1,FALSE)
               +Andel_beroende_av_klimat*VLOOKUP($A423,Leveranser_per_nät,'Leveranser per nät'!K$1,FALSE)/VLOOKUP($B423,Korrigeringsfaktor_EI,'Korrigeringsfaktor EI'!K$1,FALSE),
"")</f>
        <v>0</v>
      </c>
      <c r="L423" s="18">
        <f>IFERROR(
                  Andel_oberoende_av_klimat*VLOOKUP($A423,Leveranser_per_nät,'Leveranser per nät'!L$1,FALSE)
               +Andel_beroende_av_klimat*VLOOKUP($A423,Leveranser_per_nät,'Leveranser per nät'!L$1,FALSE)/VLOOKUP($B423,Korrigeringsfaktor_EI,'Korrigeringsfaktor EI'!L$1,FALSE),
"")</f>
        <v>0</v>
      </c>
      <c r="M423" s="18">
        <f>IFERROR(
                  Andel_oberoende_av_klimat*VLOOKUP($A423,Leveranser_per_nät,'Leveranser per nät'!M$1,FALSE)
               +Andel_beroende_av_klimat*VLOOKUP($A423,Leveranser_per_nät,'Leveranser per nät'!M$1,FALSE)/VLOOKUP($B423,Korrigeringsfaktor_EI,'Korrigeringsfaktor EI'!M$1,FALSE),
"")</f>
        <v>0</v>
      </c>
      <c r="N423" s="18">
        <f>IFERROR(
                  Andel_oberoende_av_klimat*VLOOKUP($A423,Leveranser_per_nät,'Leveranser per nät'!N$1,FALSE)
               +Andel_beroende_av_klimat*VLOOKUP($A423,Leveranser_per_nät,'Leveranser per nät'!N$1,FALSE)/VLOOKUP($B423,Korrigeringsfaktor_EI,'Korrigeringsfaktor EI'!N$1,FALSE),
"")</f>
        <v>0</v>
      </c>
      <c r="O423" s="18">
        <f>IFERROR(
                  Andel_oberoende_av_klimat*VLOOKUP($A423,Leveranser_per_nät,'Leveranser per nät'!O$1,FALSE)
               +Andel_beroende_av_klimat*VLOOKUP($A423,Leveranser_per_nät,'Leveranser per nät'!O$1,FALSE)/VLOOKUP($B423,Korrigeringsfaktor_EI,'Korrigeringsfaktor EI'!O$1,FALSE),
"")</f>
        <v>0</v>
      </c>
      <c r="P423" s="18">
        <f>IFERROR(
                  Andel_oberoende_av_klimat*VLOOKUP($A423,Leveranser_per_nät,'Leveranser per nät'!P$1,FALSE)
               +Andel_beroende_av_klimat*VLOOKUP($A423,Leveranser_per_nät,'Leveranser per nät'!P$1,FALSE)/VLOOKUP($B423,Korrigeringsfaktor_EI,'Korrigeringsfaktor EI'!P$1,FALSE),
"")</f>
        <v>0</v>
      </c>
      <c r="Q423" s="18">
        <f>IFERROR(
                  Andel_oberoende_av_klimat*VLOOKUP($A423,Leveranser_per_nät,'Leveranser per nät'!Q$1,FALSE)
               +Andel_beroende_av_klimat*VLOOKUP($A423,Leveranser_per_nät,'Leveranser per nät'!Q$1,FALSE)/VLOOKUP($B423,Korrigeringsfaktor_EI,'Korrigeringsfaktor EI'!Q$1,FALSE),
"")</f>
        <v>2.3125</v>
      </c>
      <c r="R423" s="18">
        <f>IFERROR(
                  Andel_oberoende_av_klimat*VLOOKUP($A423,Leveranser_per_nät,'Leveranser per nät'!R$1,FALSE)
               +Andel_beroende_av_klimat*VLOOKUP($A423,Leveranser_per_nät,'Leveranser per nät'!R$1,FALSE)/VLOOKUP($B423,Korrigeringsfaktor_EI,'Korrigeringsfaktor EI'!R$1,FALSE),
"")</f>
        <v>2.9335955056179777</v>
      </c>
      <c r="S423" s="18">
        <f>IFERROR(
                  Andel_oberoende_av_klimat*VLOOKUP($A423,Leveranser_per_nät,'Leveranser per nät'!S$1,FALSE)
               +Andel_beroende_av_klimat*VLOOKUP($A423,Leveranser_per_nät,'Leveranser per nät'!S$1,FALSE)/VLOOKUP($B423,Korrigeringsfaktor_EI,'Korrigeringsfaktor EI'!S$1,FALSE),
"")</f>
        <v>2.9934329896907217</v>
      </c>
      <c r="T423" s="18">
        <f>IFERROR(
                  Andel_oberoende_av_klimat*VLOOKUP($A423,Leveranser_per_nät,'Leveranser per nät'!T$1,FALSE)
               +Andel_beroende_av_klimat*VLOOKUP($A423,Leveranser_per_nät,'Leveranser per nät'!T$1,FALSE)/VLOOKUP($B423,Korrigeringsfaktor_EI,'Korrigeringsfaktor EI'!T$1,FALSE),
"")</f>
        <v>3.1634052631578951</v>
      </c>
      <c r="U423" s="18">
        <f>IFERROR(
                  Andel_oberoende_av_klimat*VLOOKUP($A423,Leveranser_per_nät,'Leveranser per nät'!U$1,FALSE)
               +Andel_beroende_av_klimat*VLOOKUP($A423,Leveranser_per_nät,'Leveranser per nät'!U$1,FALSE)/VLOOKUP($B423,Korrigeringsfaktor_EI,'Korrigeringsfaktor EI'!U$1,FALSE),
"")</f>
        <v>3.1279813953488369</v>
      </c>
      <c r="V423" s="18">
        <f>IFERROR(
                  Andel_oberoende_av_klimat*VLOOKUP($A423,Leveranser_per_nät,'Leveranser per nät'!V$1,FALSE)
               +Andel_beroende_av_klimat*VLOOKUP($A423,Leveranser_per_nät,'Leveranser per nät'!V$1,FALSE)/VLOOKUP($B423,Korrigeringsfaktor_EI,'Korrigeringsfaktor EI'!V$1,FALSE),
"")</f>
        <v>3.2243206896551726</v>
      </c>
      <c r="W423" s="18">
        <f>IFERROR(
                  Andel_oberoende_av_klimat*VLOOKUP($A423,Leveranser_per_nät,'Leveranser per nät'!W$1,FALSE)
               +Andel_beroende_av_klimat*VLOOKUP($A423,Leveranser_per_nät,'Leveranser per nät'!W$1,FALSE)/VLOOKUP($B423,Korrigeringsfaktor_EI,'Korrigeringsfaktor EI'!W$1,FALSE),
"")</f>
        <v>3.1881695574468081</v>
      </c>
      <c r="X423" s="18">
        <f>IFERROR(
                  Andel_oberoende_av_klimat*VLOOKUP($A423,Leveranser_per_nät,'Leveranser per nät'!X$1,FALSE)
               +Andel_beroende_av_klimat*VLOOKUP($A423,Leveranser_per_nät,'Leveranser per nät'!X$1,FALSE)/VLOOKUP($B423,Korrigeringsfaktor_EI,'Korrigeringsfaktor EI'!X$1,FALSE),
"")</f>
        <v>3.2027652173913044</v>
      </c>
      <c r="Y423" s="18">
        <f>IFERROR(
                  Andel_oberoende_av_klimat*VLOOKUP($A423,Leveranser_per_nät,'Leveranser per nät'!Y$1,FALSE)
               +Andel_beroende_av_klimat*VLOOKUP($A423,Leveranser_per_nät,'Leveranser per nät'!Y$1,FALSE)/VLOOKUP($B423,Korrigeringsfaktor_EI,'Korrigeringsfaktor EI'!Y$1,FALSE),
"")</f>
        <v>3.4779888888888886</v>
      </c>
      <c r="Z423" s="18">
        <f>IFERROR(
                  Andel_oberoende_av_klimat*VLOOKUP($A423,Leveranser_per_nät,'Leveranser per nät'!Z$1,FALSE)
               +Andel_beroende_av_klimat*VLOOKUP($A423,Leveranser_per_nät,'Leveranser per nät'!Z$1,FALSE)/VLOOKUP($B423,Korrigeringsfaktor_EI,'Korrigeringsfaktor EI'!Z$1,FALSE),
"")</f>
        <v>3.3225136363636363</v>
      </c>
      <c r="AA423" s="18">
        <f>IFERROR(
                  Andel_oberoende_av_klimat*VLOOKUP($A423,Leveranser_per_nät,'Leveranser per nät'!AA$1,FALSE)
               +Andel_beroende_av_klimat*VLOOKUP($A423,Leveranser_per_nät,'Leveranser per nät'!AA$1,FALSE)/VLOOKUP($B423,Korrigeringsfaktor_EI,'Korrigeringsfaktor EI'!AA$1,FALSE),
"")</f>
        <v>3.2680942724033981</v>
      </c>
      <c r="AB423" s="18">
        <f>IFERROR(
                  Andel_oberoende_av_klimat*VLOOKUP($A423,Leveranser_per_nät,'Leveranser per nät'!AB$1,FALSE)
               +Andel_beroende_av_klimat*VLOOKUP($A423,Leveranser_per_nät,'Leveranser per nät'!AB$1,FALSE)/VLOOKUP($B423,Korrigeringsfaktor_EI,'Korrigeringsfaktor EI'!AB$1,FALSE),
"")</f>
        <v>3.2429859970297028</v>
      </c>
      <c r="AC423" s="18">
        <f>IFERROR(
                  Andel_oberoende_av_klimat*VLOOKUP($A423,Leveranser_per_nät,'Leveranser per nät'!AC$1,FALSE)
               +Andel_beroende_av_klimat*VLOOKUP($A423,Leveranser_per_nät,'Leveranser per nät'!AC$1,FALSE)/VLOOKUP($B423,Korrigeringsfaktor_EI,'Korrigeringsfaktor EI'!AC$1,FALSE),
"")</f>
        <v>3.1623651602768899</v>
      </c>
      <c r="AD423">
        <v>132.63</v>
      </c>
    </row>
    <row r="424" spans="1:30" x14ac:dyDescent="0.25">
      <c r="A424" t="s">
        <v>54</v>
      </c>
      <c r="B424" t="s">
        <v>54</v>
      </c>
      <c r="C424" s="18">
        <f>IFERROR(
                  Andel_oberoende_av_klimat*VLOOKUP($A424,Leveranser_per_nät,'Leveranser per nät'!C$1,FALSE)
               +Andel_beroende_av_klimat*VLOOKUP($A424,Leveranser_per_nät,'Leveranser per nät'!C$1,FALSE)/VLOOKUP("Sundsvall",Korrigeringsfaktor_EI,'Korrigeringsfaktor EI'!C$1,FALSE),
"")</f>
        <v>70.61121495327103</v>
      </c>
      <c r="D424" s="18">
        <f>IFERROR(
                  Andel_oberoende_av_klimat*VLOOKUP($A424,Leveranser_per_nät,'Leveranser per nät'!D$1,FALSE)
               +Andel_beroende_av_klimat*VLOOKUP($A424,Leveranser_per_nät,'Leveranser per nät'!D$1,FALSE)/VLOOKUP("Sundsvall",Korrigeringsfaktor_EI,'Korrigeringsfaktor EI'!D$1,FALSE),
"")</f>
        <v>68.71152631578947</v>
      </c>
      <c r="E424" s="18">
        <f>IFERROR(
                  Andel_oberoende_av_klimat*VLOOKUP($A424,Leveranser_per_nät,'Leveranser per nät'!E$1,FALSE)
               +Andel_beroende_av_klimat*VLOOKUP($A424,Leveranser_per_nät,'Leveranser per nät'!E$1,FALSE)/VLOOKUP("Sundsvall",Korrigeringsfaktor_EI,'Korrigeringsfaktor EI'!E$1,FALSE),
"")</f>
        <v>66.080392156862743</v>
      </c>
      <c r="F424" s="18">
        <f>IFERROR(
                  Andel_oberoende_av_klimat*VLOOKUP($A424,Leveranser_per_nät,'Leveranser per nät'!F$1,FALSE)
               +Andel_beroende_av_klimat*VLOOKUP($A424,Leveranser_per_nät,'Leveranser per nät'!F$1,FALSE)/VLOOKUP("Sundsvall",Korrigeringsfaktor_EI,'Korrigeringsfaktor EI'!F$1,FALSE),
"")</f>
        <v>65</v>
      </c>
      <c r="G424" s="18">
        <f>IFERROR(
                  Andel_oberoende_av_klimat*VLOOKUP($A424,Leveranser_per_nät,'Leveranser per nät'!G$1,FALSE)
               +Andel_beroende_av_klimat*VLOOKUP($A424,Leveranser_per_nät,'Leveranser per nät'!G$1,FALSE)/VLOOKUP("Sundsvall",Korrigeringsfaktor_EI,'Korrigeringsfaktor EI'!G$1,FALSE),
"")</f>
        <v>64.21397849462366</v>
      </c>
      <c r="H424" s="18">
        <f>IFERROR(
                  Andel_oberoende_av_klimat*VLOOKUP($A424,Leveranser_per_nät,'Leveranser per nät'!H$1,FALSE)
               +Andel_beroende_av_klimat*VLOOKUP($A424,Leveranser_per_nät,'Leveranser per nät'!H$1,FALSE)/VLOOKUP("Sundsvall",Korrigeringsfaktor_EI,'Korrigeringsfaktor EI'!H$1,FALSE),
"")</f>
        <v>68.480808080808075</v>
      </c>
      <c r="I424" s="18">
        <f>IFERROR(
                  Andel_oberoende_av_klimat*VLOOKUP($A424,Leveranser_per_nät,'Leveranser per nät'!I$1,FALSE)
               +Andel_beroende_av_klimat*VLOOKUP($A424,Leveranser_per_nät,'Leveranser per nät'!I$1,FALSE)/VLOOKUP("Sundsvall",Korrigeringsfaktor_EI,'Korrigeringsfaktor EI'!I$1,FALSE),
"")</f>
        <v>71.038297872340422</v>
      </c>
      <c r="J424" s="18">
        <f>IFERROR(
                  Andel_oberoende_av_klimat*VLOOKUP($A424,Leveranser_per_nät,'Leveranser per nät'!J$1,FALSE)
               +Andel_beroende_av_klimat*VLOOKUP($A424,Leveranser_per_nät,'Leveranser per nät'!J$1,FALSE)/VLOOKUP("Sundsvall",Korrigeringsfaktor_EI,'Korrigeringsfaktor EI'!J$1,FALSE),
"")</f>
        <v>81.101789473684221</v>
      </c>
      <c r="K424" s="18">
        <f>IFERROR(
                  Andel_oberoende_av_klimat*VLOOKUP($A424,Leveranser_per_nät,'Leveranser per nät'!K$1,FALSE)
               +Andel_beroende_av_klimat*VLOOKUP($A424,Leveranser_per_nät,'Leveranser per nät'!K$1,FALSE)/VLOOKUP("Sundsvall",Korrigeringsfaktor_EI,'Korrigeringsfaktor EI'!K$1,FALSE),
"")</f>
        <v>75.408197872340438</v>
      </c>
      <c r="L424" s="18">
        <f>IFERROR(
                  Andel_oberoende_av_klimat*VLOOKUP($A424,Leveranser_per_nät,'Leveranser per nät'!L$1,FALSE)
               +Andel_beroende_av_klimat*VLOOKUP($A424,Leveranser_per_nät,'Leveranser per nät'!L$1,FALSE)/VLOOKUP("Sundsvall",Korrigeringsfaktor_EI,'Korrigeringsfaktor EI'!L$1,FALSE),
"")</f>
        <v>86.238273044583693</v>
      </c>
      <c r="M424" s="18">
        <f>IFERROR(
                  Andel_oberoende_av_klimat*VLOOKUP($A424,Leveranser_per_nät,'Leveranser per nät'!M$1,FALSE)
               +Andel_beroende_av_klimat*VLOOKUP($A424,Leveranser_per_nät,'Leveranser per nät'!M$1,FALSE)/VLOOKUP("Sundsvall",Korrigeringsfaktor_EI,'Korrigeringsfaktor EI'!M$1,FALSE),
"")</f>
        <v>76.953333333333347</v>
      </c>
      <c r="N424" s="18">
        <f>IFERROR(
                  Andel_oberoende_av_klimat*VLOOKUP($A424,Leveranser_per_nät,'Leveranser per nät'!N$1,FALSE)
               +Andel_beroende_av_klimat*VLOOKUP($A424,Leveranser_per_nät,'Leveranser per nät'!N$1,FALSE)/VLOOKUP("Sundsvall",Korrigeringsfaktor_EI,'Korrigeringsfaktor EI'!N$1,FALSE),
"")</f>
        <v>69.5</v>
      </c>
      <c r="O424" s="18">
        <f>IFERROR(
                  Andel_oberoende_av_klimat*VLOOKUP($A424,Leveranser_per_nät,'Leveranser per nät'!O$1,FALSE)
               +Andel_beroende_av_klimat*VLOOKUP($A424,Leveranser_per_nät,'Leveranser per nät'!O$1,FALSE)/VLOOKUP("Sundsvall",Korrigeringsfaktor_EI,'Korrigeringsfaktor EI'!O$1,FALSE),
"")</f>
        <v>70.783076923076919</v>
      </c>
      <c r="P424" s="18">
        <f>IFERROR(
                  Andel_oberoende_av_klimat*VLOOKUP($A424,Leveranser_per_nät,'Leveranser per nät'!P$1,FALSE)
               +Andel_beroende_av_klimat*VLOOKUP($A424,Leveranser_per_nät,'Leveranser per nät'!P$1,FALSE)/VLOOKUP("Sundsvall",Korrigeringsfaktor_EI,'Korrigeringsfaktor EI'!P$1,FALSE),
"")</f>
        <v>83.362500000000011</v>
      </c>
      <c r="Q424" s="18">
        <f>IFERROR(
                  Andel_oberoende_av_klimat*VLOOKUP($A424,Leveranser_per_nät,'Leveranser per nät'!Q$1,FALSE)
               +Andel_beroende_av_klimat*VLOOKUP($A424,Leveranser_per_nät,'Leveranser per nät'!Q$1,FALSE)/VLOOKUP("Sundsvall",Korrigeringsfaktor_EI,'Korrigeringsfaktor EI'!Q$1,FALSE),
"")</f>
        <v>75.093486238532108</v>
      </c>
      <c r="R424" s="18">
        <f>IFERROR(
                  Andel_oberoende_av_klimat*VLOOKUP($A424,Leveranser_per_nät,'Leveranser per nät'!R$1,FALSE)
               +Andel_beroende_av_klimat*VLOOKUP($A424,Leveranser_per_nät,'Leveranser per nät'!R$1,FALSE)/VLOOKUP("Sundsvall",Korrigeringsfaktor_EI,'Korrigeringsfaktor EI'!R$1,FALSE),
"")</f>
        <v>70.906089887640462</v>
      </c>
      <c r="S424" s="18">
        <f>IFERROR(
                  Andel_oberoende_av_klimat*VLOOKUP($A424,Leveranser_per_nät,'Leveranser per nät'!S$1,FALSE)
               +Andel_beroende_av_klimat*VLOOKUP($A424,Leveranser_per_nät,'Leveranser per nät'!S$1,FALSE)/VLOOKUP("Sundsvall",Korrigeringsfaktor_EI,'Korrigeringsfaktor EI'!S$1,FALSE),
"")</f>
        <v>72.014285714285705</v>
      </c>
      <c r="T424" s="18">
        <f>IFERROR(
                  Andel_oberoende_av_klimat*VLOOKUP($A424,Leveranser_per_nät,'Leveranser per nät'!T$1,FALSE)
               +Andel_beroende_av_klimat*VLOOKUP($A424,Leveranser_per_nät,'Leveranser per nät'!T$1,FALSE)/VLOOKUP("Sundsvall",Korrigeringsfaktor_EI,'Korrigeringsfaktor EI'!T$1,FALSE),
"")</f>
        <v>74.740860215053758</v>
      </c>
      <c r="U424" s="18">
        <f>IFERROR(
                  Andel_oberoende_av_klimat*VLOOKUP($A424,Leveranser_per_nät,'Leveranser per nät'!U$1,FALSE)
               +Andel_beroende_av_klimat*VLOOKUP($A424,Leveranser_per_nät,'Leveranser per nät'!U$1,FALSE)/VLOOKUP("Sundsvall",Korrigeringsfaktor_EI,'Korrigeringsfaktor EI'!U$1,FALSE),
"")</f>
        <v>69.202054545454544</v>
      </c>
      <c r="V424" s="18">
        <f>IFERROR(
                  Andel_oberoende_av_klimat*VLOOKUP($A424,Leveranser_per_nät,'Leveranser per nät'!V$1,FALSE)
               +Andel_beroende_av_klimat*VLOOKUP($A424,Leveranser_per_nät,'Leveranser per nät'!V$1,FALSE)/VLOOKUP("Sundsvall",Korrigeringsfaktor_EI,'Korrigeringsfaktor EI'!V$1,FALSE),
"")</f>
        <v>67.364044943820232</v>
      </c>
      <c r="W424" s="18">
        <f>IFERROR(
                  Andel_oberoende_av_klimat*VLOOKUP($A424,Leveranser_per_nät,'Leveranser per nät'!W$1,FALSE)
               +Andel_beroende_av_klimat*VLOOKUP($A424,Leveranser_per_nät,'Leveranser per nät'!W$1,FALSE)/VLOOKUP("Sundsvall",Korrigeringsfaktor_EI,'Korrigeringsfaktor EI'!W$1,FALSE),
"")</f>
        <v>67.372043010752691</v>
      </c>
      <c r="X424" s="18">
        <f>IFERROR(
                  Andel_oberoende_av_klimat*VLOOKUP($A424,Leveranser_per_nät,'Leveranser per nät'!X$1,FALSE)
               +Andel_beroende_av_klimat*VLOOKUP($A424,Leveranser_per_nät,'Leveranser per nät'!X$1,FALSE)/VLOOKUP("Sundsvall",Korrigeringsfaktor_EI,'Korrigeringsfaktor EI'!X$1,FALSE),
"")</f>
        <v>67.265721505376334</v>
      </c>
      <c r="Y424" s="18">
        <f>IFERROR(
                  Andel_oberoende_av_klimat*VLOOKUP($A424,Leveranser_per_nät,'Leveranser per nät'!Y$1,FALSE)
               +Andel_beroende_av_klimat*VLOOKUP($A424,Leveranser_per_nät,'Leveranser per nät'!Y$1,FALSE)/VLOOKUP($B424,Korrigeringsfaktor_EI,'Korrigeringsfaktor EI'!Y$1,FALSE),
"")</f>
        <v>75.112553191489368</v>
      </c>
      <c r="Z424" s="18">
        <f>IFERROR(
                  Andel_oberoende_av_klimat*VLOOKUP($A424,Leveranser_per_nät,'Leveranser per nät'!Z$1,FALSE)
               +Andel_beroende_av_klimat*VLOOKUP($A424,Leveranser_per_nät,'Leveranser per nät'!Z$1,FALSE)/VLOOKUP($B424,Korrigeringsfaktor_EI,'Korrigeringsfaktor EI'!Z$1,FALSE),
"")</f>
        <v>73.61030212765958</v>
      </c>
      <c r="AA424" s="18">
        <f>IFERROR(
                  Andel_oberoende_av_klimat*VLOOKUP($A424,Leveranser_per_nät,'Leveranser per nät'!AA$1,FALSE)
               +Andel_beroende_av_klimat*VLOOKUP($A424,Leveranser_per_nät,'Leveranser per nät'!AA$1,FALSE)/VLOOKUP($B424,Korrigeringsfaktor_EI,'Korrigeringsfaktor EI'!AA$1,FALSE),
"")</f>
        <v>63.361790753201646</v>
      </c>
      <c r="AB424" s="18">
        <f>IFERROR(
                  Andel_oberoende_av_klimat*VLOOKUP($A424,Leveranser_per_nät,'Leveranser per nät'!AB$1,FALSE)
               +Andel_beroende_av_klimat*VLOOKUP($A424,Leveranser_per_nät,'Leveranser per nät'!AB$1,FALSE)/VLOOKUP($B424,Korrigeringsfaktor_EI,'Korrigeringsfaktor EI'!AB$1,FALSE),
"")</f>
        <v>74.785272413793109</v>
      </c>
      <c r="AC424" s="18">
        <f>IFERROR(
                  Andel_oberoende_av_klimat*VLOOKUP($A424,Leveranser_per_nät,'Leveranser per nät'!AC$1,FALSE)
               +Andel_beroende_av_klimat*VLOOKUP($A424,Leveranser_per_nät,'Leveranser per nät'!AC$1,FALSE)/VLOOKUP($B424,Korrigeringsfaktor_EI,'Korrigeringsfaktor EI'!AC$1,FALSE),
"")</f>
        <v>64.675510440122821</v>
      </c>
      <c r="AD424">
        <v>63.627000000000002</v>
      </c>
    </row>
    <row r="425" spans="1:30" x14ac:dyDescent="0.25">
      <c r="A425" t="s">
        <v>35</v>
      </c>
      <c r="B425" t="s">
        <v>34</v>
      </c>
      <c r="C425" s="18">
        <f>IFERROR(
                  Andel_oberoende_av_klimat*VLOOKUP($A425,Leveranser_per_nät,'Leveranser per nät'!C$1,FALSE)
               +Andel_beroende_av_klimat*VLOOKUP($A425,Leveranser_per_nät,'Leveranser per nät'!C$1,FALSE)/VLOOKUP($B425,Korrigeringsfaktor_EI,'Korrigeringsfaktor EI'!C$1,FALSE),
"")</f>
        <v>0</v>
      </c>
      <c r="D425" s="18">
        <f>IFERROR(
                  Andel_oberoende_av_klimat*VLOOKUP($A425,Leveranser_per_nät,'Leveranser per nät'!D$1,FALSE)
               +Andel_beroende_av_klimat*VLOOKUP($A425,Leveranser_per_nät,'Leveranser per nät'!D$1,FALSE)/VLOOKUP($B425,Korrigeringsfaktor_EI,'Korrigeringsfaktor EI'!D$1,FALSE),
"")</f>
        <v>0</v>
      </c>
      <c r="E425" s="18">
        <f>IFERROR(
                  Andel_oberoende_av_klimat*VLOOKUP($A425,Leveranser_per_nät,'Leveranser per nät'!E$1,FALSE)
               +Andel_beroende_av_klimat*VLOOKUP($A425,Leveranser_per_nät,'Leveranser per nät'!E$1,FALSE)/VLOOKUP($B425,Korrigeringsfaktor_EI,'Korrigeringsfaktor EI'!E$1,FALSE),
"")</f>
        <v>0</v>
      </c>
      <c r="F425" s="18">
        <f>IFERROR(
                  Andel_oberoende_av_klimat*VLOOKUP($A425,Leveranser_per_nät,'Leveranser per nät'!F$1,FALSE)
               +Andel_beroende_av_klimat*VLOOKUP($A425,Leveranser_per_nät,'Leveranser per nät'!F$1,FALSE)/VLOOKUP($B425,Korrigeringsfaktor_EI,'Korrigeringsfaktor EI'!F$1,FALSE),
"")</f>
        <v>0</v>
      </c>
      <c r="G425" s="18">
        <f>IFERROR(
                  Andel_oberoende_av_klimat*VLOOKUP($A425,Leveranser_per_nät,'Leveranser per nät'!G$1,FALSE)
               +Andel_beroende_av_klimat*VLOOKUP($A425,Leveranser_per_nät,'Leveranser per nät'!G$1,FALSE)/VLOOKUP($B425,Korrigeringsfaktor_EI,'Korrigeringsfaktor EI'!G$1,FALSE),
"")</f>
        <v>0</v>
      </c>
      <c r="H425" s="18">
        <f>IFERROR(
                  Andel_oberoende_av_klimat*VLOOKUP($A425,Leveranser_per_nät,'Leveranser per nät'!H$1,FALSE)
               +Andel_beroende_av_klimat*VLOOKUP($A425,Leveranser_per_nät,'Leveranser per nät'!H$1,FALSE)/VLOOKUP($B425,Korrigeringsfaktor_EI,'Korrigeringsfaktor EI'!H$1,FALSE),
"")</f>
        <v>0</v>
      </c>
      <c r="I425" s="18">
        <f>IFERROR(
                  Andel_oberoende_av_klimat*VLOOKUP($A425,Leveranser_per_nät,'Leveranser per nät'!I$1,FALSE)
               +Andel_beroende_av_klimat*VLOOKUP($A425,Leveranser_per_nät,'Leveranser per nät'!I$1,FALSE)/VLOOKUP($B425,Korrigeringsfaktor_EI,'Korrigeringsfaktor EI'!I$1,FALSE),
"")</f>
        <v>0</v>
      </c>
      <c r="J425" s="18">
        <f>IFERROR(
                  Andel_oberoende_av_klimat*VLOOKUP($A425,Leveranser_per_nät,'Leveranser per nät'!J$1,FALSE)
               +Andel_beroende_av_klimat*VLOOKUP($A425,Leveranser_per_nät,'Leveranser per nät'!J$1,FALSE)/VLOOKUP($B425,Korrigeringsfaktor_EI,'Korrigeringsfaktor EI'!J$1,FALSE),
"")</f>
        <v>0</v>
      </c>
      <c r="K425" s="18">
        <f>IFERROR(
                  Andel_oberoende_av_klimat*VLOOKUP($A425,Leveranser_per_nät,'Leveranser per nät'!K$1,FALSE)
               +Andel_beroende_av_klimat*VLOOKUP($A425,Leveranser_per_nät,'Leveranser per nät'!K$1,FALSE)/VLOOKUP($B425,Korrigeringsfaktor_EI,'Korrigeringsfaktor EI'!K$1,FALSE),
"")</f>
        <v>0.47711030927835063</v>
      </c>
      <c r="L425" s="18">
        <f>IFERROR(
                  Andel_oberoende_av_klimat*VLOOKUP($A425,Leveranser_per_nät,'Leveranser per nät'!L$1,FALSE)
               +Andel_beroende_av_klimat*VLOOKUP($A425,Leveranser_per_nät,'Leveranser per nät'!L$1,FALSE)/VLOOKUP($B425,Korrigeringsfaktor_EI,'Korrigeringsfaktor EI'!L$1,FALSE),
"")</f>
        <v>0.53604736842105272</v>
      </c>
      <c r="M425" s="18">
        <f>IFERROR(
                  Andel_oberoende_av_klimat*VLOOKUP($A425,Leveranser_per_nät,'Leveranser per nät'!M$1,FALSE)
               +Andel_beroende_av_klimat*VLOOKUP($A425,Leveranser_per_nät,'Leveranser per nät'!M$1,FALSE)/VLOOKUP($B425,Korrigeringsfaktor_EI,'Korrigeringsfaktor EI'!M$1,FALSE),
"")</f>
        <v>0.50224444444444449</v>
      </c>
      <c r="N425" s="18">
        <f>IFERROR(
                  Andel_oberoende_av_klimat*VLOOKUP($A425,Leveranser_per_nät,'Leveranser per nät'!N$1,FALSE)
               +Andel_beroende_av_klimat*VLOOKUP($A425,Leveranser_per_nät,'Leveranser per nät'!N$1,FALSE)/VLOOKUP($B425,Korrigeringsfaktor_EI,'Korrigeringsfaktor EI'!N$1,FALSE),
"")</f>
        <v>0.53241609195402295</v>
      </c>
      <c r="O425" s="18">
        <f>IFERROR(
                  Andel_oberoende_av_klimat*VLOOKUP($A425,Leveranser_per_nät,'Leveranser per nät'!O$1,FALSE)
               +Andel_beroende_av_klimat*VLOOKUP($A425,Leveranser_per_nät,'Leveranser per nät'!O$1,FALSE)/VLOOKUP($B425,Korrigeringsfaktor_EI,'Korrigeringsfaktor EI'!O$1,FALSE),
"")</f>
        <v>0.46061724137931037</v>
      </c>
      <c r="P425" s="18">
        <f>IFERROR(
                  Andel_oberoende_av_klimat*VLOOKUP($A425,Leveranser_per_nät,'Leveranser per nät'!P$1,FALSE)
               +Andel_beroende_av_klimat*VLOOKUP($A425,Leveranser_per_nät,'Leveranser per nät'!P$1,FALSE)/VLOOKUP($B425,Korrigeringsfaktor_EI,'Korrigeringsfaktor EI'!P$1,FALSE),
"")</f>
        <v>0.4508695652173913</v>
      </c>
      <c r="Q425" s="18">
        <f>IFERROR(
                  Andel_oberoende_av_klimat*VLOOKUP($A425,Leveranser_per_nät,'Leveranser per nät'!Q$1,FALSE)
               +Andel_beroende_av_klimat*VLOOKUP($A425,Leveranser_per_nät,'Leveranser per nät'!Q$1,FALSE)/VLOOKUP($B425,Korrigeringsfaktor_EI,'Korrigeringsfaktor EI'!Q$1,FALSE),
"")</f>
        <v>0</v>
      </c>
      <c r="R425" s="18">
        <f>IFERROR(
                  Andel_oberoende_av_klimat*VLOOKUP($A425,Leveranser_per_nät,'Leveranser per nät'!R$1,FALSE)
               +Andel_beroende_av_klimat*VLOOKUP($A425,Leveranser_per_nät,'Leveranser per nät'!R$1,FALSE)/VLOOKUP($B425,Korrigeringsfaktor_EI,'Korrigeringsfaktor EI'!R$1,FALSE),
"")</f>
        <v>0</v>
      </c>
      <c r="S425" s="18" t="str">
        <f>IFERROR(
                  Andel_oberoende_av_klimat*VLOOKUP($A425,Leveranser_per_nät,'Leveranser per nät'!S$1,FALSE)
               +Andel_beroende_av_klimat*VLOOKUP($A425,Leveranser_per_nät,'Leveranser per nät'!S$1,FALSE)/VLOOKUP($B425,Korrigeringsfaktor_EI,'Korrigeringsfaktor EI'!S$1,FALSE),
"")</f>
        <v/>
      </c>
      <c r="T425" s="18" t="str">
        <f>IFERROR(
                  Andel_oberoende_av_klimat*VLOOKUP($A425,Leveranser_per_nät,'Leveranser per nät'!T$1,FALSE)
               +Andel_beroende_av_klimat*VLOOKUP($A425,Leveranser_per_nät,'Leveranser per nät'!T$1,FALSE)/VLOOKUP($B425,Korrigeringsfaktor_EI,'Korrigeringsfaktor EI'!T$1,FALSE),
"")</f>
        <v/>
      </c>
      <c r="U425" s="18" t="str">
        <f>IFERROR(
                  Andel_oberoende_av_klimat*VLOOKUP($A425,Leveranser_per_nät,'Leveranser per nät'!U$1,FALSE)
               +Andel_beroende_av_klimat*VLOOKUP($A425,Leveranser_per_nät,'Leveranser per nät'!U$1,FALSE)/VLOOKUP($B425,Korrigeringsfaktor_EI,'Korrigeringsfaktor EI'!U$1,FALSE),
"")</f>
        <v/>
      </c>
      <c r="V425" s="18" t="str">
        <f>IFERROR(
                  Andel_oberoende_av_klimat*VLOOKUP($A425,Leveranser_per_nät,'Leveranser per nät'!V$1,FALSE)
               +Andel_beroende_av_klimat*VLOOKUP($A425,Leveranser_per_nät,'Leveranser per nät'!V$1,FALSE)/VLOOKUP($B425,Korrigeringsfaktor_EI,'Korrigeringsfaktor EI'!V$1,FALSE),
"")</f>
        <v/>
      </c>
      <c r="W425" s="18" t="str">
        <f>IFERROR(
                  Andel_oberoende_av_klimat*VLOOKUP($A425,Leveranser_per_nät,'Leveranser per nät'!W$1,FALSE)
               +Andel_beroende_av_klimat*VLOOKUP($A425,Leveranser_per_nät,'Leveranser per nät'!W$1,FALSE)/VLOOKUP($B425,Korrigeringsfaktor_EI,'Korrigeringsfaktor EI'!W$1,FALSE),
"")</f>
        <v/>
      </c>
      <c r="X425" s="18" t="str">
        <f>IFERROR(
                  Andel_oberoende_av_klimat*VLOOKUP($A425,Leveranser_per_nät,'Leveranser per nät'!X$1,FALSE)
               +Andel_beroende_av_klimat*VLOOKUP($A425,Leveranser_per_nät,'Leveranser per nät'!X$1,FALSE)/VLOOKUP($B425,Korrigeringsfaktor_EI,'Korrigeringsfaktor EI'!X$1,FALSE),
"")</f>
        <v/>
      </c>
      <c r="Y425" s="18" t="str">
        <f>IFERROR(
                  Andel_oberoende_av_klimat*VLOOKUP($A425,Leveranser_per_nät,'Leveranser per nät'!Y$1,FALSE)
               +Andel_beroende_av_klimat*VLOOKUP($A425,Leveranser_per_nät,'Leveranser per nät'!Y$1,FALSE)/VLOOKUP($B425,Korrigeringsfaktor_EI,'Korrigeringsfaktor EI'!Y$1,FALSE),
"")</f>
        <v/>
      </c>
      <c r="Z425" s="18">
        <f>IFERROR(
                  Andel_oberoende_av_klimat*VLOOKUP($A425,Leveranser_per_nät,'Leveranser per nät'!Z$1,FALSE)
               +Andel_beroende_av_klimat*VLOOKUP($A425,Leveranser_per_nät,'Leveranser per nät'!Z$1,FALSE)/VLOOKUP($B425,Korrigeringsfaktor_EI,'Korrigeringsfaktor EI'!Z$1,FALSE),
"")</f>
        <v>0</v>
      </c>
      <c r="AA425" s="18" t="str">
        <f>IFERROR(
                  Andel_oberoende_av_klimat*VLOOKUP($A425,Leveranser_per_nät,'Leveranser per nät'!AA$1,FALSE)
               +Andel_beroende_av_klimat*VLOOKUP($A425,Leveranser_per_nät,'Leveranser per nät'!AA$1,FALSE)/VLOOKUP($B425,Korrigeringsfaktor_EI,'Korrigeringsfaktor EI'!AA$1,FALSE),
"")</f>
        <v/>
      </c>
      <c r="AB425" s="18">
        <f>IFERROR(
                  Andel_oberoende_av_klimat*VLOOKUP($A425,Leveranser_per_nät,'Leveranser per nät'!AB$1,FALSE)
               +Andel_beroende_av_klimat*VLOOKUP($A425,Leveranser_per_nät,'Leveranser per nät'!AB$1,FALSE)/VLOOKUP($B425,Korrigeringsfaktor_EI,'Korrigeringsfaktor EI'!AB$1,FALSE),
"")</f>
        <v>0</v>
      </c>
      <c r="AC425" s="18">
        <f>IFERROR(
                  Andel_oberoende_av_klimat*VLOOKUP($A425,Leveranser_per_nät,'Leveranser per nät'!AC$1,FALSE)
               +Andel_beroende_av_klimat*VLOOKUP($A425,Leveranser_per_nät,'Leveranser per nät'!AC$1,FALSE)/VLOOKUP($B425,Korrigeringsfaktor_EI,'Korrigeringsfaktor EI'!AC$1,FALSE),
"")</f>
        <v>0</v>
      </c>
      <c r="AD425">
        <v>333.59699999999998</v>
      </c>
    </row>
    <row r="426" spans="1:30" x14ac:dyDescent="0.25">
      <c r="A426" t="s">
        <v>245</v>
      </c>
      <c r="B426" t="s">
        <v>245</v>
      </c>
      <c r="C426" s="18">
        <f>IFERROR(
                  Andel_oberoende_av_klimat*VLOOKUP($A426,Leveranser_per_nät,'Leveranser per nät'!C$1,FALSE)
               +Andel_beroende_av_klimat*VLOOKUP($A426,Leveranser_per_nät,'Leveranser per nät'!C$1,FALSE)/VLOOKUP($B426,Korrigeringsfaktor_EI,'Korrigeringsfaktor EI'!C$1,FALSE),
"")</f>
        <v>0</v>
      </c>
      <c r="D426" s="18">
        <f>IFERROR(
                  Andel_oberoende_av_klimat*VLOOKUP($A426,Leveranser_per_nät,'Leveranser per nät'!D$1,FALSE)
               +Andel_beroende_av_klimat*VLOOKUP($A426,Leveranser_per_nät,'Leveranser per nät'!D$1,FALSE)/VLOOKUP($B426,Korrigeringsfaktor_EI,'Korrigeringsfaktor EI'!D$1,FALSE),
"")</f>
        <v>0</v>
      </c>
      <c r="E426" s="18">
        <f>IFERROR(
                  Andel_oberoende_av_klimat*VLOOKUP($A426,Leveranser_per_nät,'Leveranser per nät'!E$1,FALSE)
               +Andel_beroende_av_klimat*VLOOKUP($A426,Leveranser_per_nät,'Leveranser per nät'!E$1,FALSE)/VLOOKUP($B426,Korrigeringsfaktor_EI,'Korrigeringsfaktor EI'!E$1,FALSE),
"")</f>
        <v>0</v>
      </c>
      <c r="F426" s="18">
        <f>IFERROR(
                  Andel_oberoende_av_klimat*VLOOKUP($A426,Leveranser_per_nät,'Leveranser per nät'!F$1,FALSE)
               +Andel_beroende_av_klimat*VLOOKUP($A426,Leveranser_per_nät,'Leveranser per nät'!F$1,FALSE)/VLOOKUP($B426,Korrigeringsfaktor_EI,'Korrigeringsfaktor EI'!F$1,FALSE),
"")</f>
        <v>0</v>
      </c>
      <c r="G426" s="18">
        <f>IFERROR(
                  Andel_oberoende_av_klimat*VLOOKUP($A426,Leveranser_per_nät,'Leveranser per nät'!G$1,FALSE)
               +Andel_beroende_av_klimat*VLOOKUP($A426,Leveranser_per_nät,'Leveranser per nät'!G$1,FALSE)/VLOOKUP($B426,Korrigeringsfaktor_EI,'Korrigeringsfaktor EI'!G$1,FALSE),
"")</f>
        <v>9.5478260869565226</v>
      </c>
      <c r="H426" s="18">
        <f>IFERROR(
                  Andel_oberoende_av_klimat*VLOOKUP($A426,Leveranser_per_nät,'Leveranser per nät'!H$1,FALSE)
               +Andel_beroende_av_klimat*VLOOKUP($A426,Leveranser_per_nät,'Leveranser per nät'!H$1,FALSE)/VLOOKUP($B426,Korrigeringsfaktor_EI,'Korrigeringsfaktor EI'!H$1,FALSE),
"")</f>
        <v>0</v>
      </c>
      <c r="I426" s="18">
        <f>IFERROR(
                  Andel_oberoende_av_klimat*VLOOKUP($A426,Leveranser_per_nät,'Leveranser per nät'!I$1,FALSE)
               +Andel_beroende_av_klimat*VLOOKUP($A426,Leveranser_per_nät,'Leveranser per nät'!I$1,FALSE)/VLOOKUP($B426,Korrigeringsfaktor_EI,'Korrigeringsfaktor EI'!I$1,FALSE),
"")</f>
        <v>29.317870833333338</v>
      </c>
      <c r="J426" s="18">
        <f>IFERROR(
                  Andel_oberoende_av_klimat*VLOOKUP($A426,Leveranser_per_nät,'Leveranser per nät'!J$1,FALSE)
               +Andel_beroende_av_klimat*VLOOKUP($A426,Leveranser_per_nät,'Leveranser per nät'!J$1,FALSE)/VLOOKUP($B426,Korrigeringsfaktor_EI,'Korrigeringsfaktor EI'!J$1,FALSE),
"")</f>
        <v>28.688423232323231</v>
      </c>
      <c r="K426" s="18">
        <f>IFERROR(
                  Andel_oberoende_av_klimat*VLOOKUP($A426,Leveranser_per_nät,'Leveranser per nät'!K$1,FALSE)
               +Andel_beroende_av_klimat*VLOOKUP($A426,Leveranser_per_nät,'Leveranser per nät'!K$1,FALSE)/VLOOKUP($B426,Korrigeringsfaktor_EI,'Korrigeringsfaktor EI'!K$1,FALSE),
"")</f>
        <v>30.925127272727266</v>
      </c>
      <c r="L426" s="18">
        <f>IFERROR(
                  Andel_oberoende_av_klimat*VLOOKUP($A426,Leveranser_per_nät,'Leveranser per nät'!L$1,FALSE)
               +Andel_beroende_av_klimat*VLOOKUP($A426,Leveranser_per_nät,'Leveranser per nät'!L$1,FALSE)/VLOOKUP($B426,Korrigeringsfaktor_EI,'Korrigeringsfaktor EI'!L$1,FALSE),
"")</f>
        <v>32.219759793814433</v>
      </c>
      <c r="M426" s="18">
        <f>IFERROR(
                  Andel_oberoende_av_klimat*VLOOKUP($A426,Leveranser_per_nät,'Leveranser per nät'!M$1,FALSE)
               +Andel_beroende_av_klimat*VLOOKUP($A426,Leveranser_per_nät,'Leveranser per nät'!M$1,FALSE)/VLOOKUP($B426,Korrigeringsfaktor_EI,'Korrigeringsfaktor EI'!M$1,FALSE),
"")</f>
        <v>34.034657446808509</v>
      </c>
      <c r="N426" s="18">
        <f>IFERROR(
                  Andel_oberoende_av_klimat*VLOOKUP($A426,Leveranser_per_nät,'Leveranser per nät'!N$1,FALSE)
               +Andel_beroende_av_klimat*VLOOKUP($A426,Leveranser_per_nät,'Leveranser per nät'!N$1,FALSE)/VLOOKUP($B426,Korrigeringsfaktor_EI,'Korrigeringsfaktor EI'!N$1,FALSE),
"")</f>
        <v>26.082222222222221</v>
      </c>
      <c r="O426" s="18">
        <f>IFERROR(
                  Andel_oberoende_av_klimat*VLOOKUP($A426,Leveranser_per_nät,'Leveranser per nät'!O$1,FALSE)
               +Andel_beroende_av_klimat*VLOOKUP($A426,Leveranser_per_nät,'Leveranser per nät'!O$1,FALSE)/VLOOKUP($B426,Korrigeringsfaktor_EI,'Korrigeringsfaktor EI'!O$1,FALSE),
"")</f>
        <v>25.875384615384615</v>
      </c>
      <c r="P426" s="18">
        <f>IFERROR(
                  Andel_oberoende_av_klimat*VLOOKUP($A426,Leveranser_per_nät,'Leveranser per nät'!P$1,FALSE)
               +Andel_beroende_av_klimat*VLOOKUP($A426,Leveranser_per_nät,'Leveranser per nät'!P$1,FALSE)/VLOOKUP($B426,Korrigeringsfaktor_EI,'Korrigeringsfaktor EI'!P$1,FALSE),
"")</f>
        <v>33.925473684210523</v>
      </c>
      <c r="Q426" s="18">
        <f>IFERROR(
                  Andel_oberoende_av_klimat*VLOOKUP($A426,Leveranser_per_nät,'Leveranser per nät'!Q$1,FALSE)
               +Andel_beroende_av_klimat*VLOOKUP($A426,Leveranser_per_nät,'Leveranser per nät'!Q$1,FALSE)/VLOOKUP($B426,Korrigeringsfaktor_EI,'Korrigeringsfaktor EI'!Q$1,FALSE),
"")</f>
        <v>35.035451351351348</v>
      </c>
      <c r="R426" s="18">
        <f>IFERROR(
                  Andel_oberoende_av_klimat*VLOOKUP($A426,Leveranser_per_nät,'Leveranser per nät'!R$1,FALSE)
               +Andel_beroende_av_klimat*VLOOKUP($A426,Leveranser_per_nät,'Leveranser per nät'!R$1,FALSE)/VLOOKUP($B426,Korrigeringsfaktor_EI,'Korrigeringsfaktor EI'!R$1,FALSE),
"")</f>
        <v>33.033853191489364</v>
      </c>
      <c r="S426" s="18">
        <f>IFERROR(
                  Andel_oberoende_av_klimat*VLOOKUP($A426,Leveranser_per_nät,'Leveranser per nät'!S$1,FALSE)
               +Andel_beroende_av_klimat*VLOOKUP($A426,Leveranser_per_nät,'Leveranser per nät'!S$1,FALSE)/VLOOKUP($B426,Korrigeringsfaktor_EI,'Korrigeringsfaktor EI'!S$1,FALSE),
"")</f>
        <v>33</v>
      </c>
      <c r="T426" s="18">
        <f>IFERROR(
                  Andel_oberoende_av_klimat*VLOOKUP($A426,Leveranser_per_nät,'Leveranser per nät'!T$1,FALSE)
               +Andel_beroende_av_klimat*VLOOKUP($A426,Leveranser_per_nät,'Leveranser per nät'!T$1,FALSE)/VLOOKUP($B426,Korrigeringsfaktor_EI,'Korrigeringsfaktor EI'!T$1,FALSE),
"")</f>
        <v>32.457142857142856</v>
      </c>
      <c r="U426" s="18">
        <f>IFERROR(
                  Andel_oberoende_av_klimat*VLOOKUP($A426,Leveranser_per_nät,'Leveranser per nät'!U$1,FALSE)
               +Andel_beroende_av_klimat*VLOOKUP($A426,Leveranser_per_nät,'Leveranser per nät'!U$1,FALSE)/VLOOKUP($B426,Korrigeringsfaktor_EI,'Korrigeringsfaktor EI'!U$1,FALSE),
"")</f>
        <v>31.37057471264368</v>
      </c>
      <c r="V426" s="18">
        <f>IFERROR(
                  Andel_oberoende_av_klimat*VLOOKUP($A426,Leveranser_per_nät,'Leveranser per nät'!V$1,FALSE)
               +Andel_beroende_av_klimat*VLOOKUP($A426,Leveranser_per_nät,'Leveranser per nät'!V$1,FALSE)/VLOOKUP($B426,Korrigeringsfaktor_EI,'Korrigeringsfaktor EI'!V$1,FALSE),
"")</f>
        <v>31.578888888888891</v>
      </c>
      <c r="W426" s="18">
        <f>IFERROR(
                  Andel_oberoende_av_klimat*VLOOKUP($A426,Leveranser_per_nät,'Leveranser per nät'!W$1,FALSE)
               +Andel_beroende_av_klimat*VLOOKUP($A426,Leveranser_per_nät,'Leveranser per nät'!W$1,FALSE)/VLOOKUP($B426,Korrigeringsfaktor_EI,'Korrigeringsfaktor EI'!W$1,FALSE),
"")</f>
        <v>32.317526881720426</v>
      </c>
      <c r="X426" s="18">
        <f>IFERROR(
                  Andel_oberoende_av_klimat*VLOOKUP($A426,Leveranser_per_nät,'Leveranser per nät'!X$1,FALSE)
               +Andel_beroende_av_klimat*VLOOKUP($A426,Leveranser_per_nät,'Leveranser per nät'!X$1,FALSE)/VLOOKUP($B426,Korrigeringsfaktor_EI,'Korrigeringsfaktor EI'!X$1,FALSE),
"")</f>
        <v>32.038421052631577</v>
      </c>
      <c r="Y426" s="18">
        <f>IFERROR(
                  Andel_oberoende_av_klimat*VLOOKUP($A426,Leveranser_per_nät,'Leveranser per nät'!Y$1,FALSE)
               +Andel_beroende_av_klimat*VLOOKUP($A426,Leveranser_per_nät,'Leveranser per nät'!Y$1,FALSE)/VLOOKUP($B426,Korrigeringsfaktor_EI,'Korrigeringsfaktor EI'!Y$1,FALSE),
"")</f>
        <v>33.087777777777774</v>
      </c>
      <c r="Z426" s="18">
        <f>IFERROR(
                  Andel_oberoende_av_klimat*VLOOKUP($A426,Leveranser_per_nät,'Leveranser per nät'!Z$1,FALSE)
               +Andel_beroende_av_klimat*VLOOKUP($A426,Leveranser_per_nät,'Leveranser per nät'!Z$1,FALSE)/VLOOKUP($B426,Korrigeringsfaktor_EI,'Korrigeringsfaktor EI'!Z$1,FALSE),
"")</f>
        <v>32.535000000000004</v>
      </c>
      <c r="AA426" s="18">
        <f>IFERROR(
                  Andel_oberoende_av_klimat*VLOOKUP($A426,Leveranser_per_nät,'Leveranser per nät'!AA$1,FALSE)
               +Andel_beroende_av_klimat*VLOOKUP($A426,Leveranser_per_nät,'Leveranser per nät'!AA$1,FALSE)/VLOOKUP($B426,Korrigeringsfaktor_EI,'Korrigeringsfaktor EI'!AA$1,FALSE),
"")</f>
        <v>32.252770149253735</v>
      </c>
      <c r="AB426" s="18">
        <f>IFERROR(
                  Andel_oberoende_av_klimat*VLOOKUP($A426,Leveranser_per_nät,'Leveranser per nät'!AB$1,FALSE)
               +Andel_beroende_av_klimat*VLOOKUP($A426,Leveranser_per_nät,'Leveranser per nät'!AB$1,FALSE)/VLOOKUP($B426,Korrigeringsfaktor_EI,'Korrigeringsfaktor EI'!AB$1,FALSE),
"")</f>
        <v>31.799999999999997</v>
      </c>
      <c r="AC426" s="18">
        <f>IFERROR(
                  Andel_oberoende_av_klimat*VLOOKUP($A426,Leveranser_per_nät,'Leveranser per nät'!AC$1,FALSE)
               +Andel_beroende_av_klimat*VLOOKUP($A426,Leveranser_per_nät,'Leveranser per nät'!AC$1,FALSE)/VLOOKUP($B426,Korrigeringsfaktor_EI,'Korrigeringsfaktor EI'!AC$1,FALSE),
"")</f>
        <v>30.794739638682255</v>
      </c>
      <c r="AD426">
        <v>29.5</v>
      </c>
    </row>
    <row r="427" spans="1:30" x14ac:dyDescent="0.25">
      <c r="A427" t="s">
        <v>130</v>
      </c>
      <c r="B427" t="s">
        <v>236</v>
      </c>
      <c r="C427" s="18">
        <f>IFERROR(
                  Andel_oberoende_av_klimat*VLOOKUP($A427,Leveranser_per_nät,'Leveranser per nät'!C$1,FALSE)
               +Andel_beroende_av_klimat*VLOOKUP($A427,Leveranser_per_nät,'Leveranser per nät'!C$1,FALSE)/VLOOKUP($B427,Korrigeringsfaktor_EI,'Korrigeringsfaktor EI'!C$1,FALSE),
"")</f>
        <v>0</v>
      </c>
      <c r="D427" s="18">
        <f>IFERROR(
                  Andel_oberoende_av_klimat*VLOOKUP($A427,Leveranser_per_nät,'Leveranser per nät'!D$1,FALSE)
               +Andel_beroende_av_klimat*VLOOKUP($A427,Leveranser_per_nät,'Leveranser per nät'!D$1,FALSE)/VLOOKUP($B427,Korrigeringsfaktor_EI,'Korrigeringsfaktor EI'!D$1,FALSE),
"")</f>
        <v>0</v>
      </c>
      <c r="E427" s="18">
        <f>IFERROR(
                  Andel_oberoende_av_klimat*VLOOKUP($A427,Leveranser_per_nät,'Leveranser per nät'!E$1,FALSE)
               +Andel_beroende_av_klimat*VLOOKUP($A427,Leveranser_per_nät,'Leveranser per nät'!E$1,FALSE)/VLOOKUP($B427,Korrigeringsfaktor_EI,'Korrigeringsfaktor EI'!E$1,FALSE),
"")</f>
        <v>0</v>
      </c>
      <c r="F427" s="18">
        <f>IFERROR(
                  Andel_oberoende_av_klimat*VLOOKUP($A427,Leveranser_per_nät,'Leveranser per nät'!F$1,FALSE)
               +Andel_beroende_av_klimat*VLOOKUP($A427,Leveranser_per_nät,'Leveranser per nät'!F$1,FALSE)/VLOOKUP($B427,Korrigeringsfaktor_EI,'Korrigeringsfaktor EI'!F$1,FALSE),
"")</f>
        <v>0</v>
      </c>
      <c r="G427" s="18">
        <f>IFERROR(
                  Andel_oberoende_av_klimat*VLOOKUP($A427,Leveranser_per_nät,'Leveranser per nät'!G$1,FALSE)
               +Andel_beroende_av_klimat*VLOOKUP($A427,Leveranser_per_nät,'Leveranser per nät'!G$1,FALSE)/VLOOKUP($B427,Korrigeringsfaktor_EI,'Korrigeringsfaktor EI'!G$1,FALSE),
"")</f>
        <v>0</v>
      </c>
      <c r="H427" s="18">
        <f>IFERROR(
                  Andel_oberoende_av_klimat*VLOOKUP($A427,Leveranser_per_nät,'Leveranser per nät'!H$1,FALSE)
               +Andel_beroende_av_klimat*VLOOKUP($A427,Leveranser_per_nät,'Leveranser per nät'!H$1,FALSE)/VLOOKUP($B427,Korrigeringsfaktor_EI,'Korrigeringsfaktor EI'!H$1,FALSE),
"")</f>
        <v>0</v>
      </c>
      <c r="I427" s="18">
        <f>IFERROR(
                  Andel_oberoende_av_klimat*VLOOKUP($A427,Leveranser_per_nät,'Leveranser per nät'!I$1,FALSE)
               +Andel_beroende_av_klimat*VLOOKUP($A427,Leveranser_per_nät,'Leveranser per nät'!I$1,FALSE)/VLOOKUP($B427,Korrigeringsfaktor_EI,'Korrigeringsfaktor EI'!I$1,FALSE),
"")</f>
        <v>0</v>
      </c>
      <c r="J427" s="18">
        <f>IFERROR(
                  Andel_oberoende_av_klimat*VLOOKUP($A427,Leveranser_per_nät,'Leveranser per nät'!J$1,FALSE)
               +Andel_beroende_av_klimat*VLOOKUP($A427,Leveranser_per_nät,'Leveranser per nät'!J$1,FALSE)/VLOOKUP($B427,Korrigeringsfaktor_EI,'Korrigeringsfaktor EI'!J$1,FALSE),
"")</f>
        <v>31.904166666666669</v>
      </c>
      <c r="K427" s="18">
        <f>IFERROR(
                  Andel_oberoende_av_klimat*VLOOKUP($A427,Leveranser_per_nät,'Leveranser per nät'!K$1,FALSE)
               +Andel_beroende_av_klimat*VLOOKUP($A427,Leveranser_per_nät,'Leveranser per nät'!K$1,FALSE)/VLOOKUP($B427,Korrigeringsfaktor_EI,'Korrigeringsfaktor EI'!K$1,FALSE),
"")</f>
        <v>0</v>
      </c>
      <c r="L427" s="18">
        <f>IFERROR(
                  Andel_oberoende_av_klimat*VLOOKUP($A427,Leveranser_per_nät,'Leveranser per nät'!L$1,FALSE)
               +Andel_beroende_av_klimat*VLOOKUP($A427,Leveranser_per_nät,'Leveranser per nät'!L$1,FALSE)/VLOOKUP($B427,Korrigeringsfaktor_EI,'Korrigeringsfaktor EI'!L$1,FALSE),
"")</f>
        <v>0</v>
      </c>
      <c r="M427" s="18">
        <f>IFERROR(
                  Andel_oberoende_av_klimat*VLOOKUP($A427,Leveranser_per_nät,'Leveranser per nät'!M$1,FALSE)
               +Andel_beroende_av_klimat*VLOOKUP($A427,Leveranser_per_nät,'Leveranser per nät'!M$1,FALSE)/VLOOKUP($B427,Korrigeringsfaktor_EI,'Korrigeringsfaktor EI'!M$1,FALSE),
"")</f>
        <v>0</v>
      </c>
      <c r="N427" s="18">
        <f>IFERROR(
                  Andel_oberoende_av_klimat*VLOOKUP($A427,Leveranser_per_nät,'Leveranser per nät'!N$1,FALSE)
               +Andel_beroende_av_klimat*VLOOKUP($A427,Leveranser_per_nät,'Leveranser per nät'!N$1,FALSE)/VLOOKUP($B427,Korrigeringsfaktor_EI,'Korrigeringsfaktor EI'!N$1,FALSE),
"")</f>
        <v>0</v>
      </c>
      <c r="O427" s="18">
        <f>IFERROR(
                  Andel_oberoende_av_klimat*VLOOKUP($A427,Leveranser_per_nät,'Leveranser per nät'!O$1,FALSE)
               +Andel_beroende_av_klimat*VLOOKUP($A427,Leveranser_per_nät,'Leveranser per nät'!O$1,FALSE)/VLOOKUP($B427,Korrigeringsfaktor_EI,'Korrigeringsfaktor EI'!O$1,FALSE),
"")</f>
        <v>0</v>
      </c>
      <c r="P427" s="18">
        <f>IFERROR(
                  Andel_oberoende_av_klimat*VLOOKUP($A427,Leveranser_per_nät,'Leveranser per nät'!P$1,FALSE)
               +Andel_beroende_av_klimat*VLOOKUP($A427,Leveranser_per_nät,'Leveranser per nät'!P$1,FALSE)/VLOOKUP($B427,Korrigeringsfaktor_EI,'Korrigeringsfaktor EI'!P$1,FALSE),
"")</f>
        <v>34.271249999999995</v>
      </c>
      <c r="Q427" s="18">
        <f>IFERROR(
                  Andel_oberoende_av_klimat*VLOOKUP($A427,Leveranser_per_nät,'Leveranser per nät'!Q$1,FALSE)
               +Andel_beroende_av_klimat*VLOOKUP($A427,Leveranser_per_nät,'Leveranser per nät'!Q$1,FALSE)/VLOOKUP($B427,Korrigeringsfaktor_EI,'Korrigeringsfaktor EI'!Q$1,FALSE),
"")</f>
        <v>93.78584070796461</v>
      </c>
      <c r="R427" s="18">
        <f>IFERROR(
                  Andel_oberoende_av_klimat*VLOOKUP($A427,Leveranser_per_nät,'Leveranser per nät'!R$1,FALSE)
               +Andel_beroende_av_klimat*VLOOKUP($A427,Leveranser_per_nät,'Leveranser per nät'!R$1,FALSE)/VLOOKUP($B427,Korrigeringsfaktor_EI,'Korrigeringsfaktor EI'!R$1,FALSE),
"")</f>
        <v>88.861630769230771</v>
      </c>
      <c r="S427" s="18">
        <f>IFERROR(
                  Andel_oberoende_av_klimat*VLOOKUP($A427,Leveranser_per_nät,'Leveranser per nät'!S$1,FALSE)
               +Andel_beroende_av_klimat*VLOOKUP($A427,Leveranser_per_nät,'Leveranser per nät'!S$1,FALSE)/VLOOKUP($B427,Korrigeringsfaktor_EI,'Korrigeringsfaktor EI'!S$1,FALSE),
"")</f>
        <v>89.62929292929293</v>
      </c>
      <c r="T427" s="18">
        <f>IFERROR(
                  Andel_oberoende_av_klimat*VLOOKUP($A427,Leveranser_per_nät,'Leveranser per nät'!T$1,FALSE)
               +Andel_beroende_av_klimat*VLOOKUP($A427,Leveranser_per_nät,'Leveranser per nät'!T$1,FALSE)/VLOOKUP($B427,Korrigeringsfaktor_EI,'Korrigeringsfaktor EI'!T$1,FALSE),
"")</f>
        <v>90.204399999999993</v>
      </c>
      <c r="U427" s="18">
        <f>IFERROR(
                  Andel_oberoende_av_klimat*VLOOKUP($A427,Leveranser_per_nät,'Leveranser per nät'!U$1,FALSE)
               +Andel_beroende_av_klimat*VLOOKUP($A427,Leveranser_per_nät,'Leveranser per nät'!U$1,FALSE)/VLOOKUP($B427,Korrigeringsfaktor_EI,'Korrigeringsfaktor EI'!U$1,FALSE),
"")</f>
        <v>93.811440909090905</v>
      </c>
      <c r="V427" s="18">
        <f>IFERROR(
                  Andel_oberoende_av_klimat*VLOOKUP($A427,Leveranser_per_nät,'Leveranser per nät'!V$1,FALSE)
               +Andel_beroende_av_klimat*VLOOKUP($A427,Leveranser_per_nät,'Leveranser per nät'!V$1,FALSE)/VLOOKUP($B427,Korrigeringsfaktor_EI,'Korrigeringsfaktor EI'!V$1,FALSE),
"")</f>
        <v>94.292622222222221</v>
      </c>
      <c r="W427" s="18">
        <f>IFERROR(
                  Andel_oberoende_av_klimat*VLOOKUP($A427,Leveranser_per_nät,'Leveranser per nät'!W$1,FALSE)
               +Andel_beroende_av_klimat*VLOOKUP($A427,Leveranser_per_nät,'Leveranser per nät'!W$1,FALSE)/VLOOKUP($B427,Korrigeringsfaktor_EI,'Korrigeringsfaktor EI'!W$1,FALSE),
"")</f>
        <v>99.472421276595753</v>
      </c>
      <c r="X427" s="18">
        <f>IFERROR(
                  Andel_oberoende_av_klimat*VLOOKUP($A427,Leveranser_per_nät,'Leveranser per nät'!X$1,FALSE)
               +Andel_beroende_av_klimat*VLOOKUP($A427,Leveranser_per_nät,'Leveranser per nät'!X$1,FALSE)/VLOOKUP($B427,Korrigeringsfaktor_EI,'Korrigeringsfaktor EI'!X$1,FALSE),
"")</f>
        <v>94.352631578947381</v>
      </c>
      <c r="Y427" s="18">
        <f>IFERROR(
                  Andel_oberoende_av_klimat*VLOOKUP($A427,Leveranser_per_nät,'Leveranser per nät'!Y$1,FALSE)
               +Andel_beroende_av_klimat*VLOOKUP($A427,Leveranser_per_nät,'Leveranser per nät'!Y$1,FALSE)/VLOOKUP($B427,Korrigeringsfaktor_EI,'Korrigeringsfaktor EI'!Y$1,FALSE),
"")</f>
        <v>100.88192307692309</v>
      </c>
      <c r="Z427" s="18">
        <f>IFERROR(
                  Andel_oberoende_av_klimat*VLOOKUP($A427,Leveranser_per_nät,'Leveranser per nät'!Z$1,FALSE)
               +Andel_beroende_av_klimat*VLOOKUP($A427,Leveranser_per_nät,'Leveranser per nät'!Z$1,FALSE)/VLOOKUP($B427,Korrigeringsfaktor_EI,'Korrigeringsfaktor EI'!Z$1,FALSE),
"")</f>
        <v>84.009199999999993</v>
      </c>
      <c r="AA427" s="18">
        <f>IFERROR(
                  Andel_oberoende_av_klimat*VLOOKUP($A427,Leveranser_per_nät,'Leveranser per nät'!AA$1,FALSE)
               +Andel_beroende_av_klimat*VLOOKUP($A427,Leveranser_per_nät,'Leveranser per nät'!AA$1,FALSE)/VLOOKUP($B427,Korrigeringsfaktor_EI,'Korrigeringsfaktor EI'!AA$1,FALSE),
"")</f>
        <v>31.725523893591294</v>
      </c>
      <c r="AB427" s="18">
        <f>IFERROR(
                  Andel_oberoende_av_klimat*VLOOKUP($A427,Leveranser_per_nät,'Leveranser per nät'!AB$1,FALSE)
               +Andel_beroende_av_klimat*VLOOKUP($A427,Leveranser_per_nät,'Leveranser per nät'!AB$1,FALSE)/VLOOKUP($B427,Korrigeringsfaktor_EI,'Korrigeringsfaktor EI'!AB$1,FALSE),
"")</f>
        <v>32.451245418326693</v>
      </c>
      <c r="AC427" s="18">
        <f>IFERROR(
                  Andel_oberoende_av_klimat*VLOOKUP($A427,Leveranser_per_nät,'Leveranser per nät'!AC$1,FALSE)
               +Andel_beroende_av_klimat*VLOOKUP($A427,Leveranser_per_nät,'Leveranser per nät'!AC$1,FALSE)/VLOOKUP($B427,Korrigeringsfaktor_EI,'Korrigeringsfaktor EI'!AC$1,FALSE),
"")</f>
        <v>31.886648034006377</v>
      </c>
      <c r="AD427">
        <v>33.226999999999997</v>
      </c>
    </row>
    <row r="428" spans="1:30" x14ac:dyDescent="0.25">
      <c r="A428" t="s">
        <v>149</v>
      </c>
      <c r="B428" t="s">
        <v>116</v>
      </c>
      <c r="C428" s="18">
        <f>IFERROR(
                  Andel_oberoende_av_klimat*VLOOKUP($A428,Leveranser_per_nät,'Leveranser per nät'!C$1,FALSE)
               +Andel_beroende_av_klimat*VLOOKUP($A428,Leveranser_per_nät,'Leveranser per nät'!C$1,FALSE)/VLOOKUP($B428,Korrigeringsfaktor_EI,'Korrigeringsfaktor EI'!C$1,FALSE),
"")</f>
        <v>0</v>
      </c>
      <c r="D428" s="18">
        <f>IFERROR(
                  Andel_oberoende_av_klimat*VLOOKUP($A428,Leveranser_per_nät,'Leveranser per nät'!D$1,FALSE)
               +Andel_beroende_av_klimat*VLOOKUP($A428,Leveranser_per_nät,'Leveranser per nät'!D$1,FALSE)/VLOOKUP($B428,Korrigeringsfaktor_EI,'Korrigeringsfaktor EI'!D$1,FALSE),
"")</f>
        <v>0</v>
      </c>
      <c r="E428" s="18">
        <f>IFERROR(
                  Andel_oberoende_av_klimat*VLOOKUP($A428,Leveranser_per_nät,'Leveranser per nät'!E$1,FALSE)
               +Andel_beroende_av_klimat*VLOOKUP($A428,Leveranser_per_nät,'Leveranser per nät'!E$1,FALSE)/VLOOKUP($B428,Korrigeringsfaktor_EI,'Korrigeringsfaktor EI'!E$1,FALSE),
"")</f>
        <v>0</v>
      </c>
      <c r="F428" s="18">
        <f>IFERROR(
                  Andel_oberoende_av_klimat*VLOOKUP($A428,Leveranser_per_nät,'Leveranser per nät'!F$1,FALSE)
               +Andel_beroende_av_klimat*VLOOKUP($A428,Leveranser_per_nät,'Leveranser per nät'!F$1,FALSE)/VLOOKUP($B428,Korrigeringsfaktor_EI,'Korrigeringsfaktor EI'!F$1,FALSE),
"")</f>
        <v>0</v>
      </c>
      <c r="G428" s="18">
        <f>IFERROR(
                  Andel_oberoende_av_klimat*VLOOKUP($A428,Leveranser_per_nät,'Leveranser per nät'!G$1,FALSE)
               +Andel_beroende_av_klimat*VLOOKUP($A428,Leveranser_per_nät,'Leveranser per nät'!G$1,FALSE)/VLOOKUP($B428,Korrigeringsfaktor_EI,'Korrigeringsfaktor EI'!G$1,FALSE),
"")</f>
        <v>3.1826086956521733</v>
      </c>
      <c r="H428" s="18">
        <f>IFERROR(
                  Andel_oberoende_av_klimat*VLOOKUP($A428,Leveranser_per_nät,'Leveranser per nät'!H$1,FALSE)
               +Andel_beroende_av_klimat*VLOOKUP($A428,Leveranser_per_nät,'Leveranser per nät'!H$1,FALSE)/VLOOKUP($B428,Korrigeringsfaktor_EI,'Korrigeringsfaktor EI'!H$1,FALSE),
"")</f>
        <v>3.0212121212121206</v>
      </c>
      <c r="I428" s="18">
        <f>IFERROR(
                  Andel_oberoende_av_klimat*VLOOKUP($A428,Leveranser_per_nät,'Leveranser per nät'!I$1,FALSE)
               +Andel_beroende_av_klimat*VLOOKUP($A428,Leveranser_per_nät,'Leveranser per nät'!I$1,FALSE)/VLOOKUP($B428,Korrigeringsfaktor_EI,'Korrigeringsfaktor EI'!I$1,FALSE),
"")</f>
        <v>3.1105263157894738</v>
      </c>
      <c r="J428" s="18">
        <f>IFERROR(
                  Andel_oberoende_av_klimat*VLOOKUP($A428,Leveranser_per_nät,'Leveranser per nät'!J$1,FALSE)
               +Andel_beroende_av_klimat*VLOOKUP($A428,Leveranser_per_nät,'Leveranser per nät'!J$1,FALSE)/VLOOKUP($B428,Korrigeringsfaktor_EI,'Korrigeringsfaktor EI'!J$1,FALSE),
"")</f>
        <v>3.0874999999999995</v>
      </c>
      <c r="K428" s="18">
        <f>IFERROR(
                  Andel_oberoende_av_klimat*VLOOKUP($A428,Leveranser_per_nät,'Leveranser per nät'!K$1,FALSE)
               +Andel_beroende_av_klimat*VLOOKUP($A428,Leveranser_per_nät,'Leveranser per nät'!K$1,FALSE)/VLOOKUP($B428,Korrigeringsfaktor_EI,'Korrigeringsfaktor EI'!K$1,FALSE),
"")</f>
        <v>3.3898329896907216</v>
      </c>
      <c r="L428" s="18">
        <f>IFERROR(
                  Andel_oberoende_av_klimat*VLOOKUP($A428,Leveranser_per_nät,'Leveranser per nät'!L$1,FALSE)
               +Andel_beroende_av_klimat*VLOOKUP($A428,Leveranser_per_nät,'Leveranser per nät'!L$1,FALSE)/VLOOKUP($B428,Korrigeringsfaktor_EI,'Korrigeringsfaktor EI'!L$1,FALSE),
"")</f>
        <v>3.3377553191489362</v>
      </c>
      <c r="M428" s="18">
        <f>IFERROR(
                  Andel_oberoende_av_klimat*VLOOKUP($A428,Leveranser_per_nät,'Leveranser per nät'!M$1,FALSE)
               +Andel_beroende_av_klimat*VLOOKUP($A428,Leveranser_per_nät,'Leveranser per nät'!M$1,FALSE)/VLOOKUP($B428,Korrigeringsfaktor_EI,'Korrigeringsfaktor EI'!M$1,FALSE),
"")</f>
        <v>3.4215384615384616</v>
      </c>
      <c r="N428" s="18">
        <f>IFERROR(
                  Andel_oberoende_av_klimat*VLOOKUP($A428,Leveranser_per_nät,'Leveranser per nät'!N$1,FALSE)
               +Andel_beroende_av_klimat*VLOOKUP($A428,Leveranser_per_nät,'Leveranser per nät'!N$1,FALSE)/VLOOKUP($B428,Korrigeringsfaktor_EI,'Korrigeringsfaktor EI'!N$1,FALSE),
"")</f>
        <v>3.5252631578947367</v>
      </c>
      <c r="O428" s="18">
        <f>IFERROR(
                  Andel_oberoende_av_klimat*VLOOKUP($A428,Leveranser_per_nät,'Leveranser per nät'!O$1,FALSE)
               +Andel_beroende_av_klimat*VLOOKUP($A428,Leveranser_per_nät,'Leveranser per nät'!O$1,FALSE)/VLOOKUP($B428,Korrigeringsfaktor_EI,'Korrigeringsfaktor EI'!O$1,FALSE),
"")</f>
        <v>3.8949462365591399</v>
      </c>
      <c r="P428" s="18">
        <f>IFERROR(
                  Andel_oberoende_av_klimat*VLOOKUP($A428,Leveranser_per_nät,'Leveranser per nät'!P$1,FALSE)
               +Andel_beroende_av_klimat*VLOOKUP($A428,Leveranser_per_nät,'Leveranser per nät'!P$1,FALSE)/VLOOKUP($B428,Korrigeringsfaktor_EI,'Korrigeringsfaktor EI'!P$1,FALSE),
"")</f>
        <v>4.0571428571428569</v>
      </c>
      <c r="Q428" s="18">
        <f>IFERROR(
                  Andel_oberoende_av_klimat*VLOOKUP($A428,Leveranser_per_nät,'Leveranser per nät'!Q$1,FALSE)
               +Andel_beroende_av_klimat*VLOOKUP($A428,Leveranser_per_nät,'Leveranser per nät'!Q$1,FALSE)/VLOOKUP($B428,Korrigeringsfaktor_EI,'Korrigeringsfaktor EI'!Q$1,FALSE),
"")</f>
        <v>4.07</v>
      </c>
      <c r="R428" s="18">
        <f>IFERROR(
                  Andel_oberoende_av_klimat*VLOOKUP($A428,Leveranser_per_nät,'Leveranser per nät'!R$1,FALSE)
               +Andel_beroende_av_klimat*VLOOKUP($A428,Leveranser_per_nät,'Leveranser per nät'!R$1,FALSE)/VLOOKUP($B428,Korrigeringsfaktor_EI,'Korrigeringsfaktor EI'!R$1,FALSE),
"")</f>
        <v>3.2803999999999993</v>
      </c>
      <c r="S428" s="18">
        <f>IFERROR(
                  Andel_oberoende_av_klimat*VLOOKUP($A428,Leveranser_per_nät,'Leveranser per nät'!S$1,FALSE)
               +Andel_beroende_av_klimat*VLOOKUP($A428,Leveranser_per_nät,'Leveranser per nät'!S$1,FALSE)/VLOOKUP($B428,Korrigeringsfaktor_EI,'Korrigeringsfaktor EI'!S$1,FALSE),
"")</f>
        <v>3.2771287128712872</v>
      </c>
      <c r="T428" s="18">
        <f>IFERROR(
                  Andel_oberoende_av_klimat*VLOOKUP($A428,Leveranser_per_nät,'Leveranser per nät'!T$1,FALSE)
               +Andel_beroende_av_klimat*VLOOKUP($A428,Leveranser_per_nät,'Leveranser per nät'!T$1,FALSE)/VLOOKUP($B428,Korrigeringsfaktor_EI,'Korrigeringsfaktor EI'!T$1,FALSE),
"")</f>
        <v>3.2142105263157896</v>
      </c>
      <c r="U428" s="18">
        <f>IFERROR(
                  Andel_oberoende_av_klimat*VLOOKUP($A428,Leveranser_per_nät,'Leveranser per nät'!U$1,FALSE)
               +Andel_beroende_av_klimat*VLOOKUP($A428,Leveranser_per_nät,'Leveranser per nät'!U$1,FALSE)/VLOOKUP($B428,Korrigeringsfaktor_EI,'Korrigeringsfaktor EI'!U$1,FALSE),
"")</f>
        <v>3.207692307692307</v>
      </c>
      <c r="V428" s="18">
        <f>IFERROR(
                  Andel_oberoende_av_klimat*VLOOKUP($A428,Leveranser_per_nät,'Leveranser per nät'!V$1,FALSE)
               +Andel_beroende_av_klimat*VLOOKUP($A428,Leveranser_per_nät,'Leveranser per nät'!V$1,FALSE)/VLOOKUP($B428,Korrigeringsfaktor_EI,'Korrigeringsfaktor EI'!V$1,FALSE),
"")</f>
        <v>3.2886956521739132</v>
      </c>
      <c r="W428" s="18">
        <f>IFERROR(
                  Andel_oberoende_av_klimat*VLOOKUP($A428,Leveranser_per_nät,'Leveranser per nät'!W$1,FALSE)
               +Andel_beroende_av_klimat*VLOOKUP($A428,Leveranser_per_nät,'Leveranser per nät'!W$1,FALSE)/VLOOKUP($B428,Korrigeringsfaktor_EI,'Korrigeringsfaktor EI'!W$1,FALSE),
"")</f>
        <v>3.1105263157894738</v>
      </c>
      <c r="X428" s="18">
        <f>IFERROR(
                  Andel_oberoende_av_klimat*VLOOKUP($A428,Leveranser_per_nät,'Leveranser per nät'!X$1,FALSE)
               +Andel_beroende_av_klimat*VLOOKUP($A428,Leveranser_per_nät,'Leveranser per nät'!X$1,FALSE)/VLOOKUP($B428,Korrigeringsfaktor_EI,'Korrigeringsfaktor EI'!X$1,FALSE),
"")</f>
        <v>3.3178947368421055</v>
      </c>
      <c r="Y428" s="18">
        <f>IFERROR(
                  Andel_oberoende_av_klimat*VLOOKUP($A428,Leveranser_per_nät,'Leveranser per nät'!Y$1,FALSE)
               +Andel_beroende_av_klimat*VLOOKUP($A428,Leveranser_per_nät,'Leveranser per nät'!Y$1,FALSE)/VLOOKUP($B428,Korrigeringsfaktor_EI,'Korrigeringsfaktor EI'!Y$1,FALSE),
"")</f>
        <v>3.0765217391304347</v>
      </c>
      <c r="Z428" s="18">
        <f>IFERROR(
                  Andel_oberoende_av_klimat*VLOOKUP($A428,Leveranser_per_nät,'Leveranser per nät'!Z$1,FALSE)
               +Andel_beroende_av_klimat*VLOOKUP($A428,Leveranser_per_nät,'Leveranser per nät'!Z$1,FALSE)/VLOOKUP($B428,Korrigeringsfaktor_EI,'Korrigeringsfaktor EI'!Z$1,FALSE),
"")</f>
        <v>2.8422580645161291</v>
      </c>
      <c r="AA428" s="18">
        <f>IFERROR(
                  Andel_oberoende_av_klimat*VLOOKUP($A428,Leveranser_per_nät,'Leveranser per nät'!AA$1,FALSE)
               +Andel_beroende_av_klimat*VLOOKUP($A428,Leveranser_per_nät,'Leveranser per nät'!AA$1,FALSE)/VLOOKUP($B428,Korrigeringsfaktor_EI,'Korrigeringsfaktor EI'!AA$1,FALSE),
"")</f>
        <v>2.831026058631922</v>
      </c>
      <c r="AB428" s="18">
        <f>IFERROR(
                  Andel_oberoende_av_klimat*VLOOKUP($A428,Leveranser_per_nät,'Leveranser per nät'!AB$1,FALSE)
               +Andel_beroende_av_klimat*VLOOKUP($A428,Leveranser_per_nät,'Leveranser per nät'!AB$1,FALSE)/VLOOKUP($B428,Korrigeringsfaktor_EI,'Korrigeringsfaktor EI'!AB$1,FALSE),
"")</f>
        <v>2.9184359233097878</v>
      </c>
      <c r="AC428" s="18">
        <f>IFERROR(
                  Andel_oberoende_av_klimat*VLOOKUP($A428,Leveranser_per_nät,'Leveranser per nät'!AC$1,FALSE)
               +Andel_beroende_av_klimat*VLOOKUP($A428,Leveranser_per_nät,'Leveranser per nät'!AC$1,FALSE)/VLOOKUP($B428,Korrigeringsfaktor_EI,'Korrigeringsfaktor EI'!AC$1,FALSE),
"")</f>
        <v>2.8047659619450314</v>
      </c>
      <c r="AD428" t="e">
        <v>#N/A</v>
      </c>
    </row>
    <row r="429" spans="1:30" x14ac:dyDescent="0.25">
      <c r="A429" t="s">
        <v>514</v>
      </c>
      <c r="B429" t="s">
        <v>514</v>
      </c>
      <c r="C429" s="18">
        <f>IFERROR(
                  Andel_oberoende_av_klimat*VLOOKUP($A429,Leveranser_per_nät,'Leveranser per nät'!C$1,FALSE)
               +Andel_beroende_av_klimat*VLOOKUP($A429,Leveranser_per_nät,'Leveranser per nät'!C$1,FALSE)/VLOOKUP($B429,Korrigeringsfaktor_EI,'Korrigeringsfaktor EI'!C$1,FALSE),
"")</f>
        <v>0</v>
      </c>
      <c r="D429" s="18">
        <f>IFERROR(
                  Andel_oberoende_av_klimat*VLOOKUP($A429,Leveranser_per_nät,'Leveranser per nät'!D$1,FALSE)
               +Andel_beroende_av_klimat*VLOOKUP($A429,Leveranser_per_nät,'Leveranser per nät'!D$1,FALSE)/VLOOKUP($B429,Korrigeringsfaktor_EI,'Korrigeringsfaktor EI'!D$1,FALSE),
"")</f>
        <v>0</v>
      </c>
      <c r="E429" s="18">
        <f>IFERROR(
                  Andel_oberoende_av_klimat*VLOOKUP($A429,Leveranser_per_nät,'Leveranser per nät'!E$1,FALSE)
               +Andel_beroende_av_klimat*VLOOKUP($A429,Leveranser_per_nät,'Leveranser per nät'!E$1,FALSE)/VLOOKUP($B429,Korrigeringsfaktor_EI,'Korrigeringsfaktor EI'!E$1,FALSE),
"")</f>
        <v>0</v>
      </c>
      <c r="F429" s="18">
        <f>IFERROR(
                  Andel_oberoende_av_klimat*VLOOKUP($A429,Leveranser_per_nät,'Leveranser per nät'!F$1,FALSE)
               +Andel_beroende_av_klimat*VLOOKUP($A429,Leveranser_per_nät,'Leveranser per nät'!F$1,FALSE)/VLOOKUP($B429,Korrigeringsfaktor_EI,'Korrigeringsfaktor EI'!F$1,FALSE),
"")</f>
        <v>0</v>
      </c>
      <c r="G429" s="18">
        <f>IFERROR(
                  Andel_oberoende_av_klimat*VLOOKUP($A429,Leveranser_per_nät,'Leveranser per nät'!G$1,FALSE)
               +Andel_beroende_av_klimat*VLOOKUP($A429,Leveranser_per_nät,'Leveranser per nät'!G$1,FALSE)/VLOOKUP($B429,Korrigeringsfaktor_EI,'Korrigeringsfaktor EI'!G$1,FALSE),
"")</f>
        <v>0</v>
      </c>
      <c r="H429" s="18">
        <f>IFERROR(
                  Andel_oberoende_av_klimat*VLOOKUP($A429,Leveranser_per_nät,'Leveranser per nät'!H$1,FALSE)
               +Andel_beroende_av_klimat*VLOOKUP($A429,Leveranser_per_nät,'Leveranser per nät'!H$1,FALSE)/VLOOKUP($B429,Korrigeringsfaktor_EI,'Korrigeringsfaktor EI'!H$1,FALSE),
"")</f>
        <v>0</v>
      </c>
      <c r="I429" s="18">
        <f>IFERROR(
                  Andel_oberoende_av_klimat*VLOOKUP($A429,Leveranser_per_nät,'Leveranser per nät'!I$1,FALSE)
               +Andel_beroende_av_klimat*VLOOKUP($A429,Leveranser_per_nät,'Leveranser per nät'!I$1,FALSE)/VLOOKUP($B429,Korrigeringsfaktor_EI,'Korrigeringsfaktor EI'!I$1,FALSE),
"")</f>
        <v>0</v>
      </c>
      <c r="J429" s="18">
        <f>IFERROR(
                  Andel_oberoende_av_klimat*VLOOKUP($A429,Leveranser_per_nät,'Leveranser per nät'!J$1,FALSE)
               +Andel_beroende_av_klimat*VLOOKUP($A429,Leveranser_per_nät,'Leveranser per nät'!J$1,FALSE)/VLOOKUP($B429,Korrigeringsfaktor_EI,'Korrigeringsfaktor EI'!J$1,FALSE),
"")</f>
        <v>0</v>
      </c>
      <c r="K429" s="18">
        <f>IFERROR(
                  Andel_oberoende_av_klimat*VLOOKUP($A429,Leveranser_per_nät,'Leveranser per nät'!K$1,FALSE)
               +Andel_beroende_av_klimat*VLOOKUP($A429,Leveranser_per_nät,'Leveranser per nät'!K$1,FALSE)/VLOOKUP($B429,Korrigeringsfaktor_EI,'Korrigeringsfaktor EI'!K$1,FALSE),
"")</f>
        <v>0</v>
      </c>
      <c r="L429" s="18">
        <f>IFERROR(
                  Andel_oberoende_av_klimat*VLOOKUP($A429,Leveranser_per_nät,'Leveranser per nät'!L$1,FALSE)
               +Andel_beroende_av_klimat*VLOOKUP($A429,Leveranser_per_nät,'Leveranser per nät'!L$1,FALSE)/VLOOKUP($B429,Korrigeringsfaktor_EI,'Korrigeringsfaktor EI'!L$1,FALSE),
"")</f>
        <v>0</v>
      </c>
      <c r="M429" s="18">
        <f>IFERROR(
                  Andel_oberoende_av_klimat*VLOOKUP($A429,Leveranser_per_nät,'Leveranser per nät'!M$1,FALSE)
               +Andel_beroende_av_klimat*VLOOKUP($A429,Leveranser_per_nät,'Leveranser per nät'!M$1,FALSE)/VLOOKUP($B429,Korrigeringsfaktor_EI,'Korrigeringsfaktor EI'!M$1,FALSE),
"")</f>
        <v>0</v>
      </c>
      <c r="N429" s="18">
        <f>IFERROR(
                  Andel_oberoende_av_klimat*VLOOKUP($A429,Leveranser_per_nät,'Leveranser per nät'!N$1,FALSE)
               +Andel_beroende_av_klimat*VLOOKUP($A429,Leveranser_per_nät,'Leveranser per nät'!N$1,FALSE)/VLOOKUP($B429,Korrigeringsfaktor_EI,'Korrigeringsfaktor EI'!N$1,FALSE),
"")</f>
        <v>0</v>
      </c>
      <c r="O429" s="18">
        <f>IFERROR(
                  Andel_oberoende_av_klimat*VLOOKUP($A429,Leveranser_per_nät,'Leveranser per nät'!O$1,FALSE)
               +Andel_beroende_av_klimat*VLOOKUP($A429,Leveranser_per_nät,'Leveranser per nät'!O$1,FALSE)/VLOOKUP($B429,Korrigeringsfaktor_EI,'Korrigeringsfaktor EI'!O$1,FALSE),
"")</f>
        <v>0</v>
      </c>
      <c r="P429" s="18">
        <f>IFERROR(
                  Andel_oberoende_av_klimat*VLOOKUP($A429,Leveranser_per_nät,'Leveranser per nät'!P$1,FALSE)
               +Andel_beroende_av_klimat*VLOOKUP($A429,Leveranser_per_nät,'Leveranser per nät'!P$1,FALSE)/VLOOKUP($B429,Korrigeringsfaktor_EI,'Korrigeringsfaktor EI'!P$1,FALSE),
"")</f>
        <v>0</v>
      </c>
      <c r="Q429" s="18">
        <f>IFERROR(
                  Andel_oberoende_av_klimat*VLOOKUP($A429,Leveranser_per_nät,'Leveranser per nät'!Q$1,FALSE)
               +Andel_beroende_av_klimat*VLOOKUP($A429,Leveranser_per_nät,'Leveranser per nät'!Q$1,FALSE)/VLOOKUP($B429,Korrigeringsfaktor_EI,'Korrigeringsfaktor EI'!Q$1,FALSE),
"")</f>
        <v>0</v>
      </c>
      <c r="R429" s="18">
        <f>IFERROR(
                  Andel_oberoende_av_klimat*VLOOKUP($A429,Leveranser_per_nät,'Leveranser per nät'!R$1,FALSE)
               +Andel_beroende_av_klimat*VLOOKUP($A429,Leveranser_per_nät,'Leveranser per nät'!R$1,FALSE)/VLOOKUP($B429,Korrigeringsfaktor_EI,'Korrigeringsfaktor EI'!R$1,FALSE),
"")</f>
        <v>0</v>
      </c>
      <c r="S429" s="18">
        <f>IFERROR(
                  Andel_oberoende_av_klimat*VLOOKUP($A429,Leveranser_per_nät,'Leveranser per nät'!S$1,FALSE)
               +Andel_beroende_av_klimat*VLOOKUP($A429,Leveranser_per_nät,'Leveranser per nät'!S$1,FALSE)/VLOOKUP($B429,Korrigeringsfaktor_EI,'Korrigeringsfaktor EI'!S$1,FALSE),
"")</f>
        <v>0</v>
      </c>
      <c r="T429" s="18">
        <f>IFERROR(
                  Andel_oberoende_av_klimat*VLOOKUP($A429,Leveranser_per_nät,'Leveranser per nät'!T$1,FALSE)
               +Andel_beroende_av_klimat*VLOOKUP($A429,Leveranser_per_nät,'Leveranser per nät'!T$1,FALSE)/VLOOKUP($B429,Korrigeringsfaktor_EI,'Korrigeringsfaktor EI'!T$1,FALSE),
"")</f>
        <v>0.13379166666666667</v>
      </c>
      <c r="U429" s="18">
        <f>IFERROR(
                  Andel_oberoende_av_klimat*VLOOKUP($A429,Leveranser_per_nät,'Leveranser per nät'!U$1,FALSE)
               +Andel_beroende_av_klimat*VLOOKUP($A429,Leveranser_per_nät,'Leveranser per nät'!U$1,FALSE)/VLOOKUP($B429,Korrigeringsfaktor_EI,'Korrigeringsfaktor EI'!U$1,FALSE),
"")</f>
        <v>0.13255172413793104</v>
      </c>
      <c r="V429" s="18">
        <f>IFERROR(
                  Andel_oberoende_av_klimat*VLOOKUP($A429,Leveranser_per_nät,'Leveranser per nät'!V$1,FALSE)
               +Andel_beroende_av_klimat*VLOOKUP($A429,Leveranser_per_nät,'Leveranser per nät'!V$1,FALSE)/VLOOKUP($B429,Korrigeringsfaktor_EI,'Korrigeringsfaktor EI'!V$1,FALSE),
"")</f>
        <v>14.8016091954023</v>
      </c>
      <c r="W429" s="18">
        <f>IFERROR(
                  Andel_oberoende_av_klimat*VLOOKUP($A429,Leveranser_per_nät,'Leveranser per nät'!W$1,FALSE)
               +Andel_beroende_av_klimat*VLOOKUP($A429,Leveranser_per_nät,'Leveranser per nät'!W$1,FALSE)/VLOOKUP($B429,Korrigeringsfaktor_EI,'Korrigeringsfaktor EI'!W$1,FALSE),
"")</f>
        <v>12.536170212765956</v>
      </c>
      <c r="X429" s="18">
        <f>IFERROR(
                  Andel_oberoende_av_klimat*VLOOKUP($A429,Leveranser_per_nät,'Leveranser per nät'!X$1,FALSE)
               +Andel_beroende_av_klimat*VLOOKUP($A429,Leveranser_per_nät,'Leveranser per nät'!X$1,FALSE)/VLOOKUP($B429,Korrigeringsfaktor_EI,'Korrigeringsfaktor EI'!X$1,FALSE),
"")</f>
        <v>12.526989247311828</v>
      </c>
      <c r="Y429" s="18">
        <f>IFERROR(
                  Andel_oberoende_av_klimat*VLOOKUP($A429,Leveranser_per_nät,'Leveranser per nät'!Y$1,FALSE)
               +Andel_beroende_av_klimat*VLOOKUP($A429,Leveranser_per_nät,'Leveranser per nät'!Y$1,FALSE)/VLOOKUP($B429,Korrigeringsfaktor_EI,'Korrigeringsfaktor EI'!Y$1,FALSE),
"")</f>
        <v>13.315944444444444</v>
      </c>
      <c r="Z429" s="18">
        <f>IFERROR(
                  Andel_oberoende_av_klimat*VLOOKUP($A429,Leveranser_per_nät,'Leveranser per nät'!Z$1,FALSE)
               +Andel_beroende_av_klimat*VLOOKUP($A429,Leveranser_per_nät,'Leveranser per nät'!Z$1,FALSE)/VLOOKUP($B429,Korrigeringsfaktor_EI,'Korrigeringsfaktor EI'!Z$1,FALSE),
"")</f>
        <v>14.502263218390803</v>
      </c>
      <c r="AA429" s="18"/>
      <c r="AB429" s="18"/>
      <c r="AC429" s="18"/>
      <c r="AD429">
        <v>13.340999999999999</v>
      </c>
    </row>
    <row r="430" spans="1:30" x14ac:dyDescent="0.25">
      <c r="A430" t="s">
        <v>27</v>
      </c>
      <c r="B430" t="s">
        <v>25</v>
      </c>
      <c r="C430" s="18">
        <f>IFERROR(
                  Andel_oberoende_av_klimat*VLOOKUP($A430,Leveranser_per_nät,'Leveranser per nät'!C$1,FALSE)
               +Andel_beroende_av_klimat*VLOOKUP($A430,Leveranser_per_nät,'Leveranser per nät'!C$1,FALSE)/VLOOKUP($B430,Korrigeringsfaktor_EI,'Korrigeringsfaktor EI'!C$1,FALSE),
"")</f>
        <v>0</v>
      </c>
      <c r="D430" s="18">
        <f>IFERROR(
                  Andel_oberoende_av_klimat*VLOOKUP($A430,Leveranser_per_nät,'Leveranser per nät'!D$1,FALSE)
               +Andel_beroende_av_klimat*VLOOKUP($A430,Leveranser_per_nät,'Leveranser per nät'!D$1,FALSE)/VLOOKUP($B430,Korrigeringsfaktor_EI,'Korrigeringsfaktor EI'!D$1,FALSE),
"")</f>
        <v>0</v>
      </c>
      <c r="E430" s="18">
        <f>IFERROR(
                  Andel_oberoende_av_klimat*VLOOKUP($A430,Leveranser_per_nät,'Leveranser per nät'!E$1,FALSE)
               +Andel_beroende_av_klimat*VLOOKUP($A430,Leveranser_per_nät,'Leveranser per nät'!E$1,FALSE)/VLOOKUP($B430,Korrigeringsfaktor_EI,'Korrigeringsfaktor EI'!E$1,FALSE),
"")</f>
        <v>0</v>
      </c>
      <c r="F430" s="18">
        <f>IFERROR(
                  Andel_oberoende_av_klimat*VLOOKUP($A430,Leveranser_per_nät,'Leveranser per nät'!F$1,FALSE)
               +Andel_beroende_av_klimat*VLOOKUP($A430,Leveranser_per_nät,'Leveranser per nät'!F$1,FALSE)/VLOOKUP($B430,Korrigeringsfaktor_EI,'Korrigeringsfaktor EI'!F$1,FALSE),
"")</f>
        <v>0</v>
      </c>
      <c r="G430" s="18">
        <f>IFERROR(
                  Andel_oberoende_av_klimat*VLOOKUP($A430,Leveranser_per_nät,'Leveranser per nät'!G$1,FALSE)
               +Andel_beroende_av_klimat*VLOOKUP($A430,Leveranser_per_nät,'Leveranser per nät'!G$1,FALSE)/VLOOKUP($B430,Korrigeringsfaktor_EI,'Korrigeringsfaktor EI'!G$1,FALSE),
"")</f>
        <v>0</v>
      </c>
      <c r="H430" s="18">
        <f>IFERROR(
                  Andel_oberoende_av_klimat*VLOOKUP($A430,Leveranser_per_nät,'Leveranser per nät'!H$1,FALSE)
               +Andel_beroende_av_klimat*VLOOKUP($A430,Leveranser_per_nät,'Leveranser per nät'!H$1,FALSE)/VLOOKUP($B430,Korrigeringsfaktor_EI,'Korrigeringsfaktor EI'!H$1,FALSE),
"")</f>
        <v>0</v>
      </c>
      <c r="I430" s="18">
        <f>IFERROR(
                  Andel_oberoende_av_klimat*VLOOKUP($A430,Leveranser_per_nät,'Leveranser per nät'!I$1,FALSE)
               +Andel_beroende_av_klimat*VLOOKUP($A430,Leveranser_per_nät,'Leveranser per nät'!I$1,FALSE)/VLOOKUP($B430,Korrigeringsfaktor_EI,'Korrigeringsfaktor EI'!I$1,FALSE),
"")</f>
        <v>0</v>
      </c>
      <c r="J430" s="18">
        <f>IFERROR(
                  Andel_oberoende_av_klimat*VLOOKUP($A430,Leveranser_per_nät,'Leveranser per nät'!J$1,FALSE)
               +Andel_beroende_av_klimat*VLOOKUP($A430,Leveranser_per_nät,'Leveranser per nät'!J$1,FALSE)/VLOOKUP($B430,Korrigeringsfaktor_EI,'Korrigeringsfaktor EI'!J$1,FALSE),
"")</f>
        <v>0</v>
      </c>
      <c r="K430" s="18">
        <f>IFERROR(
                  Andel_oberoende_av_klimat*VLOOKUP($A430,Leveranser_per_nät,'Leveranser per nät'!K$1,FALSE)
               +Andel_beroende_av_klimat*VLOOKUP($A430,Leveranser_per_nät,'Leveranser per nät'!K$1,FALSE)/VLOOKUP($B430,Korrigeringsfaktor_EI,'Korrigeringsfaktor EI'!K$1,FALSE),
"")</f>
        <v>0</v>
      </c>
      <c r="L430" s="18">
        <f>IFERROR(
                  Andel_oberoende_av_klimat*VLOOKUP($A430,Leveranser_per_nät,'Leveranser per nät'!L$1,FALSE)
               +Andel_beroende_av_klimat*VLOOKUP($A430,Leveranser_per_nät,'Leveranser per nät'!L$1,FALSE)/VLOOKUP($B430,Korrigeringsfaktor_EI,'Korrigeringsfaktor EI'!L$1,FALSE),
"")</f>
        <v>2.8643645161290321</v>
      </c>
      <c r="M430" s="18">
        <f>IFERROR(
                  Andel_oberoende_av_klimat*VLOOKUP($A430,Leveranser_per_nät,'Leveranser per nät'!M$1,FALSE)
               +Andel_beroende_av_klimat*VLOOKUP($A430,Leveranser_per_nät,'Leveranser per nät'!M$1,FALSE)/VLOOKUP($B430,Korrigeringsfaktor_EI,'Korrigeringsfaktor EI'!M$1,FALSE),
"")</f>
        <v>2.44</v>
      </c>
      <c r="N430" s="18">
        <f>IFERROR(
                  Andel_oberoende_av_klimat*VLOOKUP($A430,Leveranser_per_nät,'Leveranser per nät'!N$1,FALSE)
               +Andel_beroende_av_klimat*VLOOKUP($A430,Leveranser_per_nät,'Leveranser per nät'!N$1,FALSE)/VLOOKUP($B430,Korrigeringsfaktor_EI,'Korrigeringsfaktor EI'!N$1,FALSE),
"")</f>
        <v>2.5264516129032257</v>
      </c>
      <c r="O430" s="18">
        <f>IFERROR(
                  Andel_oberoende_av_klimat*VLOOKUP($A430,Leveranser_per_nät,'Leveranser per nät'!O$1,FALSE)
               +Andel_beroende_av_klimat*VLOOKUP($A430,Leveranser_per_nät,'Leveranser per nät'!O$1,FALSE)/VLOOKUP($B430,Korrigeringsfaktor_EI,'Korrigeringsfaktor EI'!O$1,FALSE),
"")</f>
        <v>1.8034782608695652</v>
      </c>
      <c r="P430" s="18">
        <f>IFERROR(
                  Andel_oberoende_av_klimat*VLOOKUP($A430,Leveranser_per_nät,'Leveranser per nät'!P$1,FALSE)
               +Andel_beroende_av_klimat*VLOOKUP($A430,Leveranser_per_nät,'Leveranser per nät'!P$1,FALSE)/VLOOKUP($B430,Korrigeringsfaktor_EI,'Korrigeringsfaktor EI'!P$1,FALSE),
"")</f>
        <v>2.5847731958762883</v>
      </c>
      <c r="Q430" s="18">
        <f>IFERROR(
                  Andel_oberoende_av_klimat*VLOOKUP($A430,Leveranser_per_nät,'Leveranser per nät'!Q$1,FALSE)
               +Andel_beroende_av_klimat*VLOOKUP($A430,Leveranser_per_nät,'Leveranser per nät'!Q$1,FALSE)/VLOOKUP($B430,Korrigeringsfaktor_EI,'Korrigeringsfaktor EI'!Q$1,FALSE),
"")</f>
        <v>2.6824999999999997</v>
      </c>
      <c r="R430" s="18">
        <f>IFERROR(
                  Andel_oberoende_av_klimat*VLOOKUP($A430,Leveranser_per_nät,'Leveranser per nät'!R$1,FALSE)
               +Andel_beroende_av_klimat*VLOOKUP($A430,Leveranser_per_nät,'Leveranser per nät'!R$1,FALSE)/VLOOKUP($B430,Korrigeringsfaktor_EI,'Korrigeringsfaktor EI'!R$1,FALSE),
"")</f>
        <v>2.6730769230769229</v>
      </c>
      <c r="S430" s="18">
        <f>IFERROR(
                  Andel_oberoende_av_klimat*VLOOKUP($A430,Leveranser_per_nät,'Leveranser per nät'!S$1,FALSE)
               +Andel_beroende_av_klimat*VLOOKUP($A430,Leveranser_per_nät,'Leveranser per nät'!S$1,FALSE)/VLOOKUP($B430,Korrigeringsfaktor_EI,'Korrigeringsfaktor EI'!S$1,FALSE),
"")</f>
        <v>2.5819801980198021</v>
      </c>
      <c r="T430" s="18">
        <f>IFERROR(
                  Andel_oberoende_av_klimat*VLOOKUP($A430,Leveranser_per_nät,'Leveranser per nät'!T$1,FALSE)
               +Andel_beroende_av_klimat*VLOOKUP($A430,Leveranser_per_nät,'Leveranser per nät'!T$1,FALSE)/VLOOKUP($B430,Korrigeringsfaktor_EI,'Korrigeringsfaktor EI'!T$1,FALSE),
"")</f>
        <v>2.6117021276595747</v>
      </c>
      <c r="U430" s="18">
        <f>IFERROR(
                  Andel_oberoende_av_klimat*VLOOKUP($A430,Leveranser_per_nät,'Leveranser per nät'!U$1,FALSE)
               +Andel_beroende_av_klimat*VLOOKUP($A430,Leveranser_per_nät,'Leveranser per nät'!U$1,FALSE)/VLOOKUP($B430,Korrigeringsfaktor_EI,'Korrigeringsfaktor EI'!U$1,FALSE),
"")</f>
        <v>2.5758888888888891</v>
      </c>
      <c r="V430" s="18">
        <f>IFERROR(
                  Andel_oberoende_av_klimat*VLOOKUP($A430,Leveranser_per_nät,'Leveranser per nät'!V$1,FALSE)
               +Andel_beroende_av_klimat*VLOOKUP($A430,Leveranser_per_nät,'Leveranser per nät'!V$1,FALSE)/VLOOKUP($B430,Korrigeringsfaktor_EI,'Korrigeringsfaktor EI'!V$1,FALSE),
"")</f>
        <v>2.9393153846153846</v>
      </c>
      <c r="W430" s="18">
        <f>IFERROR(
                  Andel_oberoende_av_klimat*VLOOKUP($A430,Leveranser_per_nät,'Leveranser per nät'!W$1,FALSE)
               +Andel_beroende_av_klimat*VLOOKUP($A430,Leveranser_per_nät,'Leveranser per nät'!W$1,FALSE)/VLOOKUP($B430,Korrigeringsfaktor_EI,'Korrigeringsfaktor EI'!W$1,FALSE),
"")</f>
        <v>2.9001916666666667</v>
      </c>
      <c r="X430" s="18">
        <f>IFERROR(
                  Andel_oberoende_av_klimat*VLOOKUP($A430,Leveranser_per_nät,'Leveranser per nät'!X$1,FALSE)
               +Andel_beroende_av_klimat*VLOOKUP($A430,Leveranser_per_nät,'Leveranser per nät'!X$1,FALSE)/VLOOKUP($B430,Korrigeringsfaktor_EI,'Korrigeringsfaktor EI'!X$1,FALSE),
"")</f>
        <v>3.1904166666666667</v>
      </c>
      <c r="Y430" s="18">
        <f>IFERROR(
                  Andel_oberoende_av_klimat*VLOOKUP($A430,Leveranser_per_nät,'Leveranser per nät'!Y$1,FALSE)
               +Andel_beroende_av_klimat*VLOOKUP($A430,Leveranser_per_nät,'Leveranser per nät'!Y$1,FALSE)/VLOOKUP($B430,Korrigeringsfaktor_EI,'Korrigeringsfaktor EI'!Y$1,FALSE),
"")</f>
        <v>3.2980720430107526</v>
      </c>
      <c r="Z430" s="18">
        <f>IFERROR(
                  Andel_oberoende_av_klimat*VLOOKUP($A430,Leveranser_per_nät,'Leveranser per nät'!Z$1,FALSE)
               +Andel_beroende_av_klimat*VLOOKUP($A430,Leveranser_per_nät,'Leveranser per nät'!Z$1,FALSE)/VLOOKUP($B430,Korrigeringsfaktor_EI,'Korrigeringsfaktor EI'!Z$1,FALSE),
"")</f>
        <v>3.4328161290322576</v>
      </c>
      <c r="AA430" s="18">
        <f>IFERROR(
                  Andel_oberoende_av_klimat*VLOOKUP($A430,Leveranser_per_nät,'Leveranser per nät'!AA$1,FALSE)
               +Andel_beroende_av_klimat*VLOOKUP($A430,Leveranser_per_nät,'Leveranser per nät'!AA$1,FALSE)/VLOOKUP($B430,Korrigeringsfaktor_EI,'Korrigeringsfaktor EI'!AA$1,FALSE),
"")</f>
        <v>3.3263341953359502</v>
      </c>
      <c r="AB430" s="18">
        <f>IFERROR(
                  Andel_oberoende_av_klimat*VLOOKUP($A430,Leveranser_per_nät,'Leveranser per nät'!AB$1,FALSE)
               +Andel_beroende_av_klimat*VLOOKUP($A430,Leveranser_per_nät,'Leveranser per nät'!AB$1,FALSE)/VLOOKUP($B430,Korrigeringsfaktor_EI,'Korrigeringsfaktor EI'!AB$1,FALSE),
"")</f>
        <v>2.9263263261296659</v>
      </c>
      <c r="AC430" s="18">
        <f>IFERROR(
                  Andel_oberoende_av_klimat*VLOOKUP($A430,Leveranser_per_nät,'Leveranser per nät'!AC$1,FALSE)
               +Andel_beroende_av_klimat*VLOOKUP($A430,Leveranser_per_nät,'Leveranser per nät'!AC$1,FALSE)/VLOOKUP($B430,Korrigeringsfaktor_EI,'Korrigeringsfaktor EI'!AC$1,FALSE),
"")</f>
        <v>3.2218694214876034</v>
      </c>
      <c r="AD430">
        <v>393.77699999999999</v>
      </c>
    </row>
    <row r="431" spans="1:30" x14ac:dyDescent="0.25">
      <c r="A431" t="s">
        <v>316</v>
      </c>
      <c r="B431" t="s">
        <v>316</v>
      </c>
      <c r="C431" s="18">
        <f>IFERROR(
                  Andel_oberoende_av_klimat*VLOOKUP($A431,Leveranser_per_nät,'Leveranser per nät'!C$1,FALSE)
               +Andel_beroende_av_klimat*VLOOKUP($A431,Leveranser_per_nät,'Leveranser per nät'!C$1,FALSE)/VLOOKUP($B431,Korrigeringsfaktor_EI,'Korrigeringsfaktor EI'!C$1,FALSE),
"")</f>
        <v>122.84324324324324</v>
      </c>
      <c r="D431" s="18">
        <f>IFERROR(
                  Andel_oberoende_av_klimat*VLOOKUP($A431,Leveranser_per_nät,'Leveranser per nät'!D$1,FALSE)
               +Andel_beroende_av_klimat*VLOOKUP($A431,Leveranser_per_nät,'Leveranser per nät'!D$1,FALSE)/VLOOKUP($B431,Korrigeringsfaktor_EI,'Korrigeringsfaktor EI'!D$1,FALSE),
"")</f>
        <v>120.58664646464646</v>
      </c>
      <c r="E431" s="18">
        <f>IFERROR(
                  Andel_oberoende_av_klimat*VLOOKUP($A431,Leveranser_per_nät,'Leveranser per nät'!E$1,FALSE)
               +Andel_beroende_av_klimat*VLOOKUP($A431,Leveranser_per_nät,'Leveranser per nät'!E$1,FALSE)/VLOOKUP($B431,Korrigeringsfaktor_EI,'Korrigeringsfaktor EI'!E$1,FALSE),
"")</f>
        <v>120.66153846153846</v>
      </c>
      <c r="F431" s="18">
        <f>IFERROR(
                  Andel_oberoende_av_klimat*VLOOKUP($A431,Leveranser_per_nät,'Leveranser per nät'!F$1,FALSE)
               +Andel_beroende_av_klimat*VLOOKUP($A431,Leveranser_per_nät,'Leveranser per nät'!F$1,FALSE)/VLOOKUP($B431,Korrigeringsfaktor_EI,'Korrigeringsfaktor EI'!F$1,FALSE),
"")</f>
        <v>120.41250000000001</v>
      </c>
      <c r="G431" s="18">
        <f>IFERROR(
                  Andel_oberoende_av_klimat*VLOOKUP($A431,Leveranser_per_nät,'Leveranser per nät'!G$1,FALSE)
               +Andel_beroende_av_klimat*VLOOKUP($A431,Leveranser_per_nät,'Leveranser per nät'!G$1,FALSE)/VLOOKUP($B431,Korrigeringsfaktor_EI,'Korrigeringsfaktor EI'!G$1,FALSE),
"")</f>
        <v>117.47777777777777</v>
      </c>
      <c r="H431" s="18">
        <f>IFERROR(
                  Andel_oberoende_av_klimat*VLOOKUP($A431,Leveranser_per_nät,'Leveranser per nät'!H$1,FALSE)
               +Andel_beroende_av_klimat*VLOOKUP($A431,Leveranser_per_nät,'Leveranser per nät'!H$1,FALSE)/VLOOKUP($B431,Korrigeringsfaktor_EI,'Korrigeringsfaktor EI'!H$1,FALSE),
"")</f>
        <v>123.14059405940594</v>
      </c>
      <c r="I431" s="18">
        <f>IFERROR(
                  Andel_oberoende_av_klimat*VLOOKUP($A431,Leveranser_per_nät,'Leveranser per nät'!I$1,FALSE)
               +Andel_beroende_av_klimat*VLOOKUP($A431,Leveranser_per_nät,'Leveranser per nät'!I$1,FALSE)/VLOOKUP($B431,Korrigeringsfaktor_EI,'Korrigeringsfaktor EI'!I$1,FALSE),
"")</f>
        <v>124.31702127659575</v>
      </c>
      <c r="J431" s="18">
        <f>IFERROR(
                  Andel_oberoende_av_klimat*VLOOKUP($A431,Leveranser_per_nät,'Leveranser per nät'!J$1,FALSE)
               +Andel_beroende_av_klimat*VLOOKUP($A431,Leveranser_per_nät,'Leveranser per nät'!J$1,FALSE)/VLOOKUP($B431,Korrigeringsfaktor_EI,'Korrigeringsfaktor EI'!J$1,FALSE),
"")</f>
        <v>131.62931958762888</v>
      </c>
      <c r="K431" s="18">
        <f>IFERROR(
                  Andel_oberoende_av_klimat*VLOOKUP($A431,Leveranser_per_nät,'Leveranser per nät'!K$1,FALSE)
               +Andel_beroende_av_klimat*VLOOKUP($A431,Leveranser_per_nät,'Leveranser per nät'!K$1,FALSE)/VLOOKUP($B431,Korrigeringsfaktor_EI,'Korrigeringsfaktor EI'!K$1,FALSE),
"")</f>
        <v>125.08171428571427</v>
      </c>
      <c r="L431" s="18">
        <f>IFERROR(
                  Andel_oberoende_av_klimat*VLOOKUP($A431,Leveranser_per_nät,'Leveranser per nät'!L$1,FALSE)
               +Andel_beroende_av_klimat*VLOOKUP($A431,Leveranser_per_nät,'Leveranser per nät'!L$1,FALSE)/VLOOKUP($B431,Korrigeringsfaktor_EI,'Korrigeringsfaktor EI'!L$1,FALSE),
"")</f>
        <v>127.69747368421052</v>
      </c>
      <c r="M431" s="18">
        <f>IFERROR(
                  Andel_oberoende_av_klimat*VLOOKUP($A431,Leveranser_per_nät,'Leveranser per nät'!M$1,FALSE)
               +Andel_beroende_av_klimat*VLOOKUP($A431,Leveranser_per_nät,'Leveranser per nät'!M$1,FALSE)/VLOOKUP($B431,Korrigeringsfaktor_EI,'Korrigeringsfaktor EI'!M$1,FALSE),
"")</f>
        <v>133.3513043478261</v>
      </c>
      <c r="N431" s="18">
        <f>IFERROR(
                  Andel_oberoende_av_klimat*VLOOKUP($A431,Leveranser_per_nät,'Leveranser per nät'!N$1,FALSE)
               +Andel_beroende_av_klimat*VLOOKUP($A431,Leveranser_per_nät,'Leveranser per nät'!N$1,FALSE)/VLOOKUP($B431,Korrigeringsfaktor_EI,'Korrigeringsfaktor EI'!N$1,FALSE),
"")</f>
        <v>127.83478260869565</v>
      </c>
      <c r="O431" s="18">
        <f>IFERROR(
                  Andel_oberoende_av_klimat*VLOOKUP($A431,Leveranser_per_nät,'Leveranser per nät'!O$1,FALSE)
               +Andel_beroende_av_klimat*VLOOKUP($A431,Leveranser_per_nät,'Leveranser per nät'!O$1,FALSE)/VLOOKUP($B431,Korrigeringsfaktor_EI,'Korrigeringsfaktor EI'!O$1,FALSE),
"")</f>
        <v>126.24347826086957</v>
      </c>
      <c r="P431" s="18">
        <f>IFERROR(
                  Andel_oberoende_av_klimat*VLOOKUP($A431,Leveranser_per_nät,'Leveranser per nät'!P$1,FALSE)
               +Andel_beroende_av_klimat*VLOOKUP($A431,Leveranser_per_nät,'Leveranser per nät'!P$1,FALSE)/VLOOKUP($B431,Korrigeringsfaktor_EI,'Korrigeringsfaktor EI'!P$1,FALSE),
"")</f>
        <v>129.82857142857142</v>
      </c>
      <c r="Q431" s="18">
        <f>IFERROR(
                  Andel_oberoende_av_klimat*VLOOKUP($A431,Leveranser_per_nät,'Leveranser per nät'!Q$1,FALSE)
               +Andel_beroende_av_klimat*VLOOKUP($A431,Leveranser_per_nät,'Leveranser per nät'!Q$1,FALSE)/VLOOKUP($B431,Korrigeringsfaktor_EI,'Korrigeringsfaktor EI'!Q$1,FALSE),
"")</f>
        <v>137.00088495575224</v>
      </c>
      <c r="R431" s="18">
        <f>IFERROR(
                  Andel_oberoende_av_klimat*VLOOKUP($A431,Leveranser_per_nät,'Leveranser per nät'!R$1,FALSE)
               +Andel_beroende_av_klimat*VLOOKUP($A431,Leveranser_per_nät,'Leveranser per nät'!R$1,FALSE)/VLOOKUP($B431,Korrigeringsfaktor_EI,'Korrigeringsfaktor EI'!R$1,FALSE),
"")</f>
        <v>147.03652173913042</v>
      </c>
      <c r="S431" s="18">
        <f>IFERROR(
                  Andel_oberoende_av_klimat*VLOOKUP($A431,Leveranser_per_nät,'Leveranser per nät'!S$1,FALSE)
               +Andel_beroende_av_klimat*VLOOKUP($A431,Leveranser_per_nät,'Leveranser per nät'!S$1,FALSE)/VLOOKUP($B431,Korrigeringsfaktor_EI,'Korrigeringsfaktor EI'!S$1,FALSE),
"")</f>
        <v>131.08514851485148</v>
      </c>
      <c r="T431" s="18">
        <f>IFERROR(
                  Andel_oberoende_av_klimat*VLOOKUP($A431,Leveranser_per_nät,'Leveranser per nät'!T$1,FALSE)
               +Andel_beroende_av_klimat*VLOOKUP($A431,Leveranser_per_nät,'Leveranser per nät'!T$1,FALSE)/VLOOKUP($B431,Korrigeringsfaktor_EI,'Korrigeringsfaktor EI'!T$1,FALSE),
"")</f>
        <v>129.82857142857142</v>
      </c>
      <c r="U431" s="18">
        <f>IFERROR(
                  Andel_oberoende_av_klimat*VLOOKUP($A431,Leveranser_per_nät,'Leveranser per nät'!U$1,FALSE)
               +Andel_beroende_av_klimat*VLOOKUP($A431,Leveranser_per_nät,'Leveranser per nät'!U$1,FALSE)/VLOOKUP($B431,Korrigeringsfaktor_EI,'Korrigeringsfaktor EI'!U$1,FALSE),
"")</f>
        <v>123.8629213483146</v>
      </c>
      <c r="V431" s="18">
        <f>IFERROR(
                  Andel_oberoende_av_klimat*VLOOKUP($A431,Leveranser_per_nät,'Leveranser per nät'!V$1,FALSE)
               +Andel_beroende_av_klimat*VLOOKUP($A431,Leveranser_per_nät,'Leveranser per nät'!V$1,FALSE)/VLOOKUP($B431,Korrigeringsfaktor_EI,'Korrigeringsfaktor EI'!V$1,FALSE),
"")</f>
        <v>124.03076923076921</v>
      </c>
      <c r="W431" s="18">
        <f>IFERROR(
                  Andel_oberoende_av_klimat*VLOOKUP($A431,Leveranser_per_nät,'Leveranser per nät'!W$1,FALSE)
               +Andel_beroende_av_klimat*VLOOKUP($A431,Leveranser_per_nät,'Leveranser per nät'!W$1,FALSE)/VLOOKUP($B431,Korrigeringsfaktor_EI,'Korrigeringsfaktor EI'!W$1,FALSE),
"")</f>
        <v>128.49574468085109</v>
      </c>
      <c r="X431" s="18">
        <f>IFERROR(
                  Andel_oberoende_av_klimat*VLOOKUP($A431,Leveranser_per_nät,'Leveranser per nät'!X$1,FALSE)
               +Andel_beroende_av_klimat*VLOOKUP($A431,Leveranser_per_nät,'Leveranser per nät'!X$1,FALSE)/VLOOKUP($B431,Korrigeringsfaktor_EI,'Korrigeringsfaktor EI'!X$1,FALSE),
"")</f>
        <v>131.58602150537635</v>
      </c>
      <c r="Y431" s="18">
        <f>IFERROR(
                  Andel_oberoende_av_klimat*VLOOKUP($A431,Leveranser_per_nät,'Leveranser per nät'!Y$1,FALSE)
               +Andel_beroende_av_klimat*VLOOKUP($A431,Leveranser_per_nät,'Leveranser per nät'!Y$1,FALSE)/VLOOKUP($B431,Korrigeringsfaktor_EI,'Korrigeringsfaktor EI'!Y$1,FALSE),
"")</f>
        <v>133.64444444444445</v>
      </c>
      <c r="Z431" s="18">
        <f>IFERROR(
                  Andel_oberoende_av_klimat*VLOOKUP($A431,Leveranser_per_nät,'Leveranser per nät'!Z$1,FALSE)
               +Andel_beroende_av_klimat*VLOOKUP($A431,Leveranser_per_nät,'Leveranser per nät'!Z$1,FALSE)/VLOOKUP($B431,Korrigeringsfaktor_EI,'Korrigeringsfaktor EI'!Z$1,FALSE),
"")</f>
        <v>133.64545454545453</v>
      </c>
      <c r="AA431" s="18">
        <f>IFERROR(
                  Andel_oberoende_av_klimat*VLOOKUP($A431,Leveranser_per_nät,'Leveranser per nät'!AA$1,FALSE)
               +Andel_beroende_av_klimat*VLOOKUP($A431,Leveranser_per_nät,'Leveranser per nät'!AA$1,FALSE)/VLOOKUP($B431,Korrigeringsfaktor_EI,'Korrigeringsfaktor EI'!AA$1,FALSE),
"")</f>
        <v>128.50408852459017</v>
      </c>
      <c r="AB431" s="18">
        <f>IFERROR(
                  Andel_oberoende_av_klimat*VLOOKUP($A431,Leveranser_per_nät,'Leveranser per nät'!AB$1,FALSE)
               +Andel_beroende_av_klimat*VLOOKUP($A431,Leveranser_per_nät,'Leveranser per nät'!AB$1,FALSE)/VLOOKUP($B431,Korrigeringsfaktor_EI,'Korrigeringsfaktor EI'!AB$1,FALSE),
"")</f>
        <v>130.93879560878244</v>
      </c>
      <c r="AC431" s="18">
        <f>IFERROR(
                  Andel_oberoende_av_klimat*VLOOKUP($A431,Leveranser_per_nät,'Leveranser per nät'!AC$1,FALSE)
               +Andel_beroende_av_klimat*VLOOKUP($A431,Leveranser_per_nät,'Leveranser per nät'!AC$1,FALSE)/VLOOKUP($B431,Korrigeringsfaktor_EI,'Korrigeringsfaktor EI'!AC$1,FALSE),
"")</f>
        <v>125.68910085470085</v>
      </c>
      <c r="AD431">
        <v>119.94799999999999</v>
      </c>
    </row>
    <row r="432" spans="1:30" x14ac:dyDescent="0.25">
      <c r="A432" t="s">
        <v>317</v>
      </c>
      <c r="B432" t="s">
        <v>317</v>
      </c>
      <c r="C432" s="18">
        <f>IFERROR(
                  Andel_oberoende_av_klimat*VLOOKUP($A432,Leveranser_per_nät,'Leveranser per nät'!C$1,FALSE)
               +Andel_beroende_av_klimat*VLOOKUP($A432,Leveranser_per_nät,'Leveranser per nät'!C$1,FALSE)/VLOOKUP($B432,Korrigeringsfaktor_EI,'Korrigeringsfaktor EI'!C$1,FALSE),
"")</f>
        <v>1.8389380530973451</v>
      </c>
      <c r="D432" s="18">
        <f>IFERROR(
                  Andel_oberoende_av_klimat*VLOOKUP($A432,Leveranser_per_nät,'Leveranser per nät'!D$1,FALSE)
               +Andel_beroende_av_klimat*VLOOKUP($A432,Leveranser_per_nät,'Leveranser per nät'!D$1,FALSE)/VLOOKUP($B432,Korrigeringsfaktor_EI,'Korrigeringsfaktor EI'!D$1,FALSE),
"")</f>
        <v>1.9066930693069306</v>
      </c>
      <c r="E432" s="18">
        <f>IFERROR(
                  Andel_oberoende_av_klimat*VLOOKUP($A432,Leveranser_per_nät,'Leveranser per nät'!E$1,FALSE)
               +Andel_beroende_av_klimat*VLOOKUP($A432,Leveranser_per_nät,'Leveranser per nät'!E$1,FALSE)/VLOOKUP($B432,Korrigeringsfaktor_EI,'Korrigeringsfaktor EI'!E$1,FALSE),
"")</f>
        <v>1.9797951456310678</v>
      </c>
      <c r="F432" s="18">
        <f>IFERROR(
                  Andel_oberoende_av_klimat*VLOOKUP($A432,Leveranser_per_nät,'Leveranser per nät'!F$1,FALSE)
               +Andel_beroende_av_klimat*VLOOKUP($A432,Leveranser_per_nät,'Leveranser per nät'!F$1,FALSE)/VLOOKUP($B432,Korrigeringsfaktor_EI,'Korrigeringsfaktor EI'!F$1,FALSE),
"")</f>
        <v>2.0799458333333334</v>
      </c>
      <c r="G432" s="18">
        <f>IFERROR(
                  Andel_oberoende_av_klimat*VLOOKUP($A432,Leveranser_per_nät,'Leveranser per nät'!G$1,FALSE)
               +Andel_beroende_av_klimat*VLOOKUP($A432,Leveranser_per_nät,'Leveranser per nät'!G$1,FALSE)/VLOOKUP($B432,Korrigeringsfaktor_EI,'Korrigeringsfaktor EI'!G$1,FALSE),
"")</f>
        <v>2.1730337078651685</v>
      </c>
      <c r="H432" s="18">
        <f>IFERROR(
                  Andel_oberoende_av_klimat*VLOOKUP($A432,Leveranser_per_nät,'Leveranser per nät'!H$1,FALSE)
               +Andel_beroende_av_klimat*VLOOKUP($A432,Leveranser_per_nät,'Leveranser per nät'!H$1,FALSE)/VLOOKUP($B432,Korrigeringsfaktor_EI,'Korrigeringsfaktor EI'!H$1,FALSE),
"")</f>
        <v>3.1513857142857145</v>
      </c>
      <c r="I432" s="18">
        <f>IFERROR(
                  Andel_oberoende_av_klimat*VLOOKUP($A432,Leveranser_per_nät,'Leveranser per nät'!I$1,FALSE)
               +Andel_beroende_av_klimat*VLOOKUP($A432,Leveranser_per_nät,'Leveranser per nät'!I$1,FALSE)/VLOOKUP($B432,Korrigeringsfaktor_EI,'Korrigeringsfaktor EI'!I$1,FALSE),
"")</f>
        <v>4.436027956989248</v>
      </c>
      <c r="J432" s="18">
        <f>IFERROR(
                  Andel_oberoende_av_klimat*VLOOKUP($A432,Leveranser_per_nät,'Leveranser per nät'!J$1,FALSE)
               +Andel_beroende_av_klimat*VLOOKUP($A432,Leveranser_per_nät,'Leveranser per nät'!J$1,FALSE)/VLOOKUP($B432,Korrigeringsfaktor_EI,'Korrigeringsfaktor EI'!J$1,FALSE),
"")</f>
        <v>7.2041666666666666</v>
      </c>
      <c r="K432" s="18">
        <f>IFERROR(
                  Andel_oberoende_av_klimat*VLOOKUP($A432,Leveranser_per_nät,'Leveranser per nät'!K$1,FALSE)
               +Andel_beroende_av_klimat*VLOOKUP($A432,Leveranser_per_nät,'Leveranser per nät'!K$1,FALSE)/VLOOKUP($B432,Korrigeringsfaktor_EI,'Korrigeringsfaktor EI'!K$1,FALSE),
"")</f>
        <v>6.76740618556701</v>
      </c>
      <c r="L432" s="18">
        <f>IFERROR(
                  Andel_oberoende_av_klimat*VLOOKUP($A432,Leveranser_per_nät,'Leveranser per nät'!L$1,FALSE)
               +Andel_beroende_av_klimat*VLOOKUP($A432,Leveranser_per_nät,'Leveranser per nät'!L$1,FALSE)/VLOOKUP($B432,Korrigeringsfaktor_EI,'Korrigeringsfaktor EI'!L$1,FALSE),
"")</f>
        <v>6.7436210526315783</v>
      </c>
      <c r="M432" s="18">
        <f>IFERROR(
                  Andel_oberoende_av_klimat*VLOOKUP($A432,Leveranser_per_nät,'Leveranser per nät'!M$1,FALSE)
               +Andel_beroende_av_klimat*VLOOKUP($A432,Leveranser_per_nät,'Leveranser per nät'!M$1,FALSE)/VLOOKUP($B432,Korrigeringsfaktor_EI,'Korrigeringsfaktor EI'!M$1,FALSE),
"")</f>
        <v>8.8688695652173912</v>
      </c>
      <c r="N432" s="18">
        <f>IFERROR(
                  Andel_oberoende_av_klimat*VLOOKUP($A432,Leveranser_per_nät,'Leveranser per nät'!N$1,FALSE)
               +Andel_beroende_av_klimat*VLOOKUP($A432,Leveranser_per_nät,'Leveranser per nät'!N$1,FALSE)/VLOOKUP($B432,Korrigeringsfaktor_EI,'Korrigeringsfaktor EI'!N$1,FALSE),
"")</f>
        <v>22.708202247191007</v>
      </c>
      <c r="O432" s="18">
        <f>IFERROR(
                  Andel_oberoende_av_klimat*VLOOKUP($A432,Leveranser_per_nät,'Leveranser per nät'!O$1,FALSE)
               +Andel_beroende_av_klimat*VLOOKUP($A432,Leveranser_per_nät,'Leveranser per nät'!O$1,FALSE)/VLOOKUP($B432,Korrigeringsfaktor_EI,'Korrigeringsfaktor EI'!O$1,FALSE),
"")</f>
        <v>37.83</v>
      </c>
      <c r="P432" s="18">
        <f>IFERROR(
                  Andel_oberoende_av_klimat*VLOOKUP($A432,Leveranser_per_nät,'Leveranser per nät'!P$1,FALSE)
               +Andel_beroende_av_klimat*VLOOKUP($A432,Leveranser_per_nät,'Leveranser per nät'!P$1,FALSE)/VLOOKUP($B432,Korrigeringsfaktor_EI,'Korrigeringsfaktor EI'!P$1,FALSE),
"")</f>
        <v>47.902105263157907</v>
      </c>
      <c r="Q432" s="18">
        <f>IFERROR(
                  Andel_oberoende_av_klimat*VLOOKUP($A432,Leveranser_per_nät,'Leveranser per nät'!Q$1,FALSE)
               +Andel_beroende_av_klimat*VLOOKUP($A432,Leveranser_per_nät,'Leveranser per nät'!Q$1,FALSE)/VLOOKUP($B432,Korrigeringsfaktor_EI,'Korrigeringsfaktor EI'!Q$1,FALSE),
"")</f>
        <v>59.477499999999992</v>
      </c>
      <c r="R432" s="18">
        <f>IFERROR(
                  Andel_oberoende_av_klimat*VLOOKUP($A432,Leveranser_per_nät,'Leveranser per nät'!R$1,FALSE)
               +Andel_beroende_av_klimat*VLOOKUP($A432,Leveranser_per_nät,'Leveranser per nät'!R$1,FALSE)/VLOOKUP($B432,Korrigeringsfaktor_EI,'Korrigeringsfaktor EI'!R$1,FALSE),
"")</f>
        <v>66.803736842105266</v>
      </c>
      <c r="S432" s="18">
        <f>IFERROR(
                  Andel_oberoende_av_klimat*VLOOKUP($A432,Leveranser_per_nät,'Leveranser per nät'!S$1,FALSE)
               +Andel_beroende_av_klimat*VLOOKUP($A432,Leveranser_per_nät,'Leveranser per nät'!S$1,FALSE)/VLOOKUP($B432,Korrigeringsfaktor_EI,'Korrigeringsfaktor EI'!S$1,FALSE),
"")</f>
        <v>76.638080808080801</v>
      </c>
      <c r="T432" s="18">
        <f>IFERROR(
                  Andel_oberoende_av_klimat*VLOOKUP($A432,Leveranser_per_nät,'Leveranser per nät'!T$1,FALSE)
               +Andel_beroende_av_klimat*VLOOKUP($A432,Leveranser_per_nät,'Leveranser per nät'!T$1,FALSE)/VLOOKUP($B432,Korrigeringsfaktor_EI,'Korrigeringsfaktor EI'!T$1,FALSE),
"")</f>
        <v>88.242857142857147</v>
      </c>
      <c r="U432" s="18">
        <f>IFERROR(
                  Andel_oberoende_av_klimat*VLOOKUP($A432,Leveranser_per_nät,'Leveranser per nät'!U$1,FALSE)
               +Andel_beroende_av_klimat*VLOOKUP($A432,Leveranser_per_nät,'Leveranser per nät'!U$1,FALSE)/VLOOKUP($B432,Korrigeringsfaktor_EI,'Korrigeringsfaktor EI'!U$1,FALSE),
"")</f>
        <v>88.002325581395354</v>
      </c>
      <c r="V432" s="18">
        <f>IFERROR(
                  Andel_oberoende_av_klimat*VLOOKUP($A432,Leveranser_per_nät,'Leveranser per nät'!V$1,FALSE)
               +Andel_beroende_av_klimat*VLOOKUP($A432,Leveranser_per_nät,'Leveranser per nät'!V$1,FALSE)/VLOOKUP($B432,Korrigeringsfaktor_EI,'Korrigeringsfaktor EI'!V$1,FALSE),
"")</f>
        <v>90.533333333333331</v>
      </c>
      <c r="W432" s="18">
        <f>IFERROR(
                  Andel_oberoende_av_klimat*VLOOKUP($A432,Leveranser_per_nät,'Leveranser per nät'!W$1,FALSE)
               +Andel_beroende_av_klimat*VLOOKUP($A432,Leveranser_per_nät,'Leveranser per nät'!W$1,FALSE)/VLOOKUP($B432,Korrigeringsfaktor_EI,'Korrigeringsfaktor EI'!W$1,FALSE),
"")</f>
        <v>92.826086956521735</v>
      </c>
      <c r="X432" s="18">
        <f>IFERROR(
                  Andel_oberoende_av_klimat*VLOOKUP($A432,Leveranser_per_nät,'Leveranser per nät'!X$1,FALSE)
               +Andel_beroende_av_klimat*VLOOKUP($A432,Leveranser_per_nät,'Leveranser per nät'!X$1,FALSE)/VLOOKUP($B432,Korrigeringsfaktor_EI,'Korrigeringsfaktor EI'!X$1,FALSE),
"")</f>
        <v>94.334680851063837</v>
      </c>
      <c r="Y432" s="18">
        <f>IFERROR(
                  Andel_oberoende_av_klimat*VLOOKUP($A432,Leveranser_per_nät,'Leveranser per nät'!Y$1,FALSE)
               +Andel_beroende_av_klimat*VLOOKUP($A432,Leveranser_per_nät,'Leveranser per nät'!Y$1,FALSE)/VLOOKUP($B432,Korrigeringsfaktor_EI,'Korrigeringsfaktor EI'!Y$1,FALSE),
"")</f>
        <v>0</v>
      </c>
      <c r="Z432" s="18">
        <f>IFERROR(
                  Andel_oberoende_av_klimat*VLOOKUP($A432,Leveranser_per_nät,'Leveranser per nät'!Z$1,FALSE)
               +Andel_beroende_av_klimat*VLOOKUP($A432,Leveranser_per_nät,'Leveranser per nät'!Z$1,FALSE)/VLOOKUP($B432,Korrigeringsfaktor_EI,'Korrigeringsfaktor EI'!Z$1,FALSE),
"")</f>
        <v>100.36720930232558</v>
      </c>
      <c r="AA432" s="18">
        <f>IFERROR(
                  Andel_oberoende_av_klimat*VLOOKUP($A432,Leveranser_per_nät,'Leveranser per nät'!AA$1,FALSE)
               +Andel_beroende_av_klimat*VLOOKUP($A432,Leveranser_per_nät,'Leveranser per nät'!AA$1,FALSE)/VLOOKUP($B432,Korrigeringsfaktor_EI,'Korrigeringsfaktor EI'!AA$1,FALSE),
"")</f>
        <v>97.488423660576032</v>
      </c>
      <c r="AB432" s="18">
        <f>IFERROR(
                  Andel_oberoende_av_klimat*VLOOKUP($A432,Leveranser_per_nät,'Leveranser per nät'!AB$1,FALSE)
               +Andel_beroende_av_klimat*VLOOKUP($A432,Leveranser_per_nät,'Leveranser per nät'!AB$1,FALSE)/VLOOKUP($B432,Korrigeringsfaktor_EI,'Korrigeringsfaktor EI'!AB$1,FALSE),
"")</f>
        <v>96.757314343845366</v>
      </c>
      <c r="AC432" s="18">
        <f>IFERROR(
                  Andel_oberoende_av_klimat*VLOOKUP($A432,Leveranser_per_nät,'Leveranser per nät'!AC$1,FALSE)
               +Andel_beroende_av_klimat*VLOOKUP($A432,Leveranser_per_nät,'Leveranser per nät'!AC$1,FALSE)/VLOOKUP($B432,Korrigeringsfaktor_EI,'Korrigeringsfaktor EI'!AC$1,FALSE),
"")</f>
        <v>94.328993435448581</v>
      </c>
      <c r="AD432">
        <v>88.5</v>
      </c>
    </row>
    <row r="433" spans="1:30" x14ac:dyDescent="0.25">
      <c r="A433" t="s">
        <v>318</v>
      </c>
      <c r="B433" t="s">
        <v>318</v>
      </c>
      <c r="C433" s="18">
        <f>IFERROR(
                  Andel_oberoende_av_klimat*VLOOKUP($A433,Leveranser_per_nät,'Leveranser per nät'!C$1,FALSE)
               +Andel_beroende_av_klimat*VLOOKUP($A433,Leveranser_per_nät,'Leveranser per nät'!C$1,FALSE)/VLOOKUP($B433,Korrigeringsfaktor_EI,'Korrigeringsfaktor EI'!C$1,FALSE),
"")</f>
        <v>226.97522702702702</v>
      </c>
      <c r="D433" s="18">
        <f>IFERROR(
                  Andel_oberoende_av_klimat*VLOOKUP($A433,Leveranser_per_nät,'Leveranser per nät'!D$1,FALSE)
               +Andel_beroende_av_klimat*VLOOKUP($A433,Leveranser_per_nät,'Leveranser per nät'!D$1,FALSE)/VLOOKUP($B433,Korrigeringsfaktor_EI,'Korrigeringsfaktor EI'!D$1,FALSE),
"")</f>
        <v>230.16000000000003</v>
      </c>
      <c r="E433" s="18">
        <f>IFERROR(
                  Andel_oberoende_av_klimat*VLOOKUP($A433,Leveranser_per_nät,'Leveranser per nät'!E$1,FALSE)
               +Andel_beroende_av_klimat*VLOOKUP($A433,Leveranser_per_nät,'Leveranser per nät'!E$1,FALSE)/VLOOKUP($B433,Korrigeringsfaktor_EI,'Korrigeringsfaktor EI'!E$1,FALSE),
"")</f>
        <v>236.4576923076923</v>
      </c>
      <c r="F433" s="18">
        <f>IFERROR(
                  Andel_oberoende_av_klimat*VLOOKUP($A433,Leveranser_per_nät,'Leveranser per nät'!F$1,FALSE)
               +Andel_beroende_av_klimat*VLOOKUP($A433,Leveranser_per_nät,'Leveranser per nät'!F$1,FALSE)/VLOOKUP($B433,Korrigeringsfaktor_EI,'Korrigeringsfaktor EI'!F$1,FALSE),
"")</f>
        <v>247.48571428571429</v>
      </c>
      <c r="G433" s="18">
        <f>IFERROR(
                  Andel_oberoende_av_klimat*VLOOKUP($A433,Leveranser_per_nät,'Leveranser per nät'!G$1,FALSE)
               +Andel_beroende_av_klimat*VLOOKUP($A433,Leveranser_per_nät,'Leveranser per nät'!G$1,FALSE)/VLOOKUP($B433,Korrigeringsfaktor_EI,'Korrigeringsfaktor EI'!G$1,FALSE),
"")</f>
        <v>258.75384615384615</v>
      </c>
      <c r="H433" s="18">
        <f>IFERROR(
                  Andel_oberoende_av_klimat*VLOOKUP($A433,Leveranser_per_nät,'Leveranser per nät'!H$1,FALSE)
               +Andel_beroende_av_klimat*VLOOKUP($A433,Leveranser_per_nät,'Leveranser per nät'!H$1,FALSE)/VLOOKUP($B433,Korrigeringsfaktor_EI,'Korrigeringsfaktor EI'!H$1,FALSE),
"")</f>
        <v>268</v>
      </c>
      <c r="I433" s="18">
        <f>IFERROR(
                  Andel_oberoende_av_klimat*VLOOKUP($A433,Leveranser_per_nät,'Leveranser per nät'!I$1,FALSE)
               +Andel_beroende_av_klimat*VLOOKUP($A433,Leveranser_per_nät,'Leveranser per nät'!I$1,FALSE)/VLOOKUP($B433,Korrigeringsfaktor_EI,'Korrigeringsfaktor EI'!I$1,FALSE),
"")</f>
        <v>279.97446808510642</v>
      </c>
      <c r="J433" s="18">
        <f>IFERROR(
                  Andel_oberoende_av_klimat*VLOOKUP($A433,Leveranser_per_nät,'Leveranser per nät'!J$1,FALSE)
               +Andel_beroende_av_klimat*VLOOKUP($A433,Leveranser_per_nät,'Leveranser per nät'!J$1,FALSE)/VLOOKUP($B433,Korrigeringsfaktor_EI,'Korrigeringsfaktor EI'!J$1,FALSE),
"")</f>
        <v>281.97525773195878</v>
      </c>
      <c r="K433" s="18">
        <f>IFERROR(
                  Andel_oberoende_av_klimat*VLOOKUP($A433,Leveranser_per_nät,'Leveranser per nät'!K$1,FALSE)
               +Andel_beroende_av_klimat*VLOOKUP($A433,Leveranser_per_nät,'Leveranser per nät'!K$1,FALSE)/VLOOKUP($B433,Korrigeringsfaktor_EI,'Korrigeringsfaktor EI'!K$1,FALSE),
"")</f>
        <v>277.16590416666662</v>
      </c>
      <c r="L433" s="18">
        <f>IFERROR(
                  Andel_oberoende_av_klimat*VLOOKUP($A433,Leveranser_per_nät,'Leveranser per nät'!L$1,FALSE)
               +Andel_beroende_av_klimat*VLOOKUP($A433,Leveranser_per_nät,'Leveranser per nät'!L$1,FALSE)/VLOOKUP($B433,Korrigeringsfaktor_EI,'Korrigeringsfaktor EI'!L$1,FALSE),
"")</f>
        <v>281.22372105263162</v>
      </c>
      <c r="M433" s="18">
        <f>IFERROR(
                  Andel_oberoende_av_klimat*VLOOKUP($A433,Leveranser_per_nät,'Leveranser per nät'!M$1,FALSE)
               +Andel_beroende_av_klimat*VLOOKUP($A433,Leveranser_per_nät,'Leveranser per nät'!M$1,FALSE)/VLOOKUP($B433,Korrigeringsfaktor_EI,'Korrigeringsfaktor EI'!M$1,FALSE),
"")</f>
        <v>279.00869565217391</v>
      </c>
      <c r="N433" s="18">
        <f>IFERROR(
                  Andel_oberoende_av_klimat*VLOOKUP($A433,Leveranser_per_nät,'Leveranser per nät'!N$1,FALSE)
               +Andel_beroende_av_klimat*VLOOKUP($A433,Leveranser_per_nät,'Leveranser per nät'!N$1,FALSE)/VLOOKUP($B433,Korrigeringsfaktor_EI,'Korrigeringsfaktor EI'!N$1,FALSE),
"")</f>
        <v>295.10769230769233</v>
      </c>
      <c r="O433" s="18">
        <f>IFERROR(
                  Andel_oberoende_av_klimat*VLOOKUP($A433,Leveranser_per_nät,'Leveranser per nät'!O$1,FALSE)
               +Andel_beroende_av_klimat*VLOOKUP($A433,Leveranser_per_nät,'Leveranser per nät'!O$1,FALSE)/VLOOKUP($B433,Korrigeringsfaktor_EI,'Korrigeringsfaktor EI'!O$1,FALSE),
"")</f>
        <v>312.55555555555554</v>
      </c>
      <c r="P433" s="18">
        <f>IFERROR(
                  Andel_oberoende_av_klimat*VLOOKUP($A433,Leveranser_per_nät,'Leveranser per nät'!P$1,FALSE)
               +Andel_beroende_av_klimat*VLOOKUP($A433,Leveranser_per_nät,'Leveranser per nät'!P$1,FALSE)/VLOOKUP($B433,Korrigeringsfaktor_EI,'Korrigeringsfaktor EI'!P$1,FALSE),
"")</f>
        <v>361.23750000000001</v>
      </c>
      <c r="Q433" s="18">
        <f>IFERROR(
                  Andel_oberoende_av_klimat*VLOOKUP($A433,Leveranser_per_nät,'Leveranser per nät'!Q$1,FALSE)
               +Andel_beroende_av_klimat*VLOOKUP($A433,Leveranser_per_nät,'Leveranser per nät'!Q$1,FALSE)/VLOOKUP($B433,Korrigeringsfaktor_EI,'Korrigeringsfaktor EI'!Q$1,FALSE),
"")</f>
        <v>396.69122807017538</v>
      </c>
      <c r="R433" s="18">
        <f>IFERROR(
                  Andel_oberoende_av_klimat*VLOOKUP($A433,Leveranser_per_nät,'Leveranser per nät'!R$1,FALSE)
               +Andel_beroende_av_klimat*VLOOKUP($A433,Leveranser_per_nät,'Leveranser per nät'!R$1,FALSE)/VLOOKUP($B433,Korrigeringsfaktor_EI,'Korrigeringsfaktor EI'!R$1,FALSE),
"")</f>
        <v>358.19230769230768</v>
      </c>
      <c r="S433" s="18">
        <f>IFERROR(
                  Andel_oberoende_av_klimat*VLOOKUP($A433,Leveranser_per_nät,'Leveranser per nät'!S$1,FALSE)
               +Andel_beroende_av_klimat*VLOOKUP($A433,Leveranser_per_nät,'Leveranser per nät'!S$1,FALSE)/VLOOKUP($B433,Korrigeringsfaktor_EI,'Korrigeringsfaktor EI'!S$1,FALSE),
"")</f>
        <v>348.44646464646462</v>
      </c>
      <c r="T433" s="18">
        <f>IFERROR(
                  Andel_oberoende_av_klimat*VLOOKUP($A433,Leveranser_per_nät,'Leveranser per nät'!T$1,FALSE)
               +Andel_beroende_av_klimat*VLOOKUP($A433,Leveranser_per_nät,'Leveranser per nät'!T$1,FALSE)/VLOOKUP($B433,Korrigeringsfaktor_EI,'Korrigeringsfaktor EI'!T$1,FALSE),
"")</f>
        <v>370.5</v>
      </c>
      <c r="U433" s="18">
        <f>IFERROR(
                  Andel_oberoende_av_klimat*VLOOKUP($A433,Leveranser_per_nät,'Leveranser per nät'!U$1,FALSE)
               +Andel_beroende_av_klimat*VLOOKUP($A433,Leveranser_per_nät,'Leveranser per nät'!U$1,FALSE)/VLOOKUP($B433,Korrigeringsfaktor_EI,'Korrigeringsfaktor EI'!U$1,FALSE),
"")</f>
        <v>357.57906976744187</v>
      </c>
      <c r="V433" s="18">
        <f>IFERROR(
                  Andel_oberoende_av_klimat*VLOOKUP($A433,Leveranser_per_nät,'Leveranser per nät'!V$1,FALSE)
               +Andel_beroende_av_klimat*VLOOKUP($A433,Leveranser_per_nät,'Leveranser per nät'!V$1,FALSE)/VLOOKUP($B433,Korrigeringsfaktor_EI,'Korrigeringsfaktor EI'!V$1,FALSE),
"")</f>
        <v>345.9666666666667</v>
      </c>
      <c r="W433" s="18">
        <f>IFERROR(
                  Andel_oberoende_av_klimat*VLOOKUP($A433,Leveranser_per_nät,'Leveranser per nät'!W$1,FALSE)
               +Andel_beroende_av_klimat*VLOOKUP($A433,Leveranser_per_nät,'Leveranser per nät'!W$1,FALSE)/VLOOKUP($B433,Korrigeringsfaktor_EI,'Korrigeringsfaktor EI'!W$1,FALSE),
"")</f>
        <v>359.7842105263158</v>
      </c>
      <c r="X433" s="18">
        <f>IFERROR(
                  Andel_oberoende_av_klimat*VLOOKUP($A433,Leveranser_per_nät,'Leveranser per nät'!X$1,FALSE)
               +Andel_beroende_av_klimat*VLOOKUP($A433,Leveranser_per_nät,'Leveranser per nät'!X$1,FALSE)/VLOOKUP($B433,Korrigeringsfaktor_EI,'Korrigeringsfaktor EI'!X$1,FALSE),
"")</f>
        <v>360.65096774193552</v>
      </c>
      <c r="Y433" s="18">
        <f>IFERROR(
                  Andel_oberoende_av_klimat*VLOOKUP($A433,Leveranser_per_nät,'Leveranser per nät'!Y$1,FALSE)
               +Andel_beroende_av_klimat*VLOOKUP($A433,Leveranser_per_nät,'Leveranser per nät'!Y$1,FALSE)/VLOOKUP($B433,Korrigeringsfaktor_EI,'Korrigeringsfaktor EI'!Y$1,FALSE),
"")</f>
        <v>365.67692307692306</v>
      </c>
      <c r="Z433" s="18">
        <f>IFERROR(
                  Andel_oberoende_av_klimat*VLOOKUP($A433,Leveranser_per_nät,'Leveranser per nät'!Z$1,FALSE)
               +Andel_beroende_av_klimat*VLOOKUP($A433,Leveranser_per_nät,'Leveranser per nät'!Z$1,FALSE)/VLOOKUP($B433,Korrigeringsfaktor_EI,'Korrigeringsfaktor EI'!Z$1,FALSE),
"")</f>
        <v>358.90000000000003</v>
      </c>
      <c r="AA433" s="18">
        <f>IFERROR(
                  Andel_oberoende_av_klimat*VLOOKUP($A433,Leveranser_per_nät,'Leveranser per nät'!AA$1,FALSE)
               +Andel_beroende_av_klimat*VLOOKUP($A433,Leveranser_per_nät,'Leveranser per nät'!AA$1,FALSE)/VLOOKUP($B433,Korrigeringsfaktor_EI,'Korrigeringsfaktor EI'!AA$1,FALSE),
"")</f>
        <v>345.7038511856091</v>
      </c>
      <c r="AB433" s="18">
        <f>IFERROR(
                  Andel_oberoende_av_klimat*VLOOKUP($A433,Leveranser_per_nät,'Leveranser per nät'!AB$1,FALSE)
               +Andel_beroende_av_klimat*VLOOKUP($A433,Leveranser_per_nät,'Leveranser per nät'!AB$1,FALSE)/VLOOKUP($B433,Korrigeringsfaktor_EI,'Korrigeringsfaktor EI'!AB$1,FALSE),
"")</f>
        <v>333.93007812499997</v>
      </c>
      <c r="AC433" s="18">
        <f>IFERROR(
                  Andel_oberoende_av_klimat*VLOOKUP($A433,Leveranser_per_nät,'Leveranser per nät'!AC$1,FALSE)
               +Andel_beroende_av_klimat*VLOOKUP($A433,Leveranser_per_nät,'Leveranser per nät'!AC$1,FALSE)/VLOOKUP($B433,Korrigeringsfaktor_EI,'Korrigeringsfaktor EI'!AC$1,FALSE),
"")</f>
        <v>319.63895855472902</v>
      </c>
      <c r="AD433">
        <v>306.2</v>
      </c>
    </row>
    <row r="434" spans="1:30" x14ac:dyDescent="0.25">
      <c r="A434" t="s">
        <v>282</v>
      </c>
      <c r="B434" t="s">
        <v>282</v>
      </c>
      <c r="C434" s="18">
        <f>IFERROR(
                  Andel_oberoende_av_klimat*VLOOKUP($A434,Leveranser_per_nät,'Leveranser per nät'!C$1,FALSE)
               +Andel_beroende_av_klimat*VLOOKUP($A434,Leveranser_per_nät,'Leveranser per nät'!C$1,FALSE)/VLOOKUP($B434,Korrigeringsfaktor_EI,'Korrigeringsfaktor EI'!C$1,FALSE),
"")</f>
        <v>0</v>
      </c>
      <c r="D434" s="18">
        <f>IFERROR(
                  Andel_oberoende_av_klimat*VLOOKUP($A434,Leveranser_per_nät,'Leveranser per nät'!D$1,FALSE)
               +Andel_beroende_av_klimat*VLOOKUP($A434,Leveranser_per_nät,'Leveranser per nät'!D$1,FALSE)/VLOOKUP($B434,Korrigeringsfaktor_EI,'Korrigeringsfaktor EI'!D$1,FALSE),
"")</f>
        <v>0</v>
      </c>
      <c r="E434" s="18">
        <f>IFERROR(
                  Andel_oberoende_av_klimat*VLOOKUP($A434,Leveranser_per_nät,'Leveranser per nät'!E$1,FALSE)
               +Andel_beroende_av_klimat*VLOOKUP($A434,Leveranser_per_nät,'Leveranser per nät'!E$1,FALSE)/VLOOKUP($B434,Korrigeringsfaktor_EI,'Korrigeringsfaktor EI'!E$1,FALSE),
"")</f>
        <v>0</v>
      </c>
      <c r="F434" s="18">
        <f>IFERROR(
                  Andel_oberoende_av_klimat*VLOOKUP($A434,Leveranser_per_nät,'Leveranser per nät'!F$1,FALSE)
               +Andel_beroende_av_klimat*VLOOKUP($A434,Leveranser_per_nät,'Leveranser per nät'!F$1,FALSE)/VLOOKUP($B434,Korrigeringsfaktor_EI,'Korrigeringsfaktor EI'!F$1,FALSE),
"")</f>
        <v>0</v>
      </c>
      <c r="G434" s="18">
        <f>IFERROR(
                  Andel_oberoende_av_klimat*VLOOKUP($A434,Leveranser_per_nät,'Leveranser per nät'!G$1,FALSE)
               +Andel_beroende_av_klimat*VLOOKUP($A434,Leveranser_per_nät,'Leveranser per nät'!G$1,FALSE)/VLOOKUP($B434,Korrigeringsfaktor_EI,'Korrigeringsfaktor EI'!G$1,FALSE),
"")</f>
        <v>0</v>
      </c>
      <c r="H434" s="18">
        <f>IFERROR(
                  Andel_oberoende_av_klimat*VLOOKUP($A434,Leveranser_per_nät,'Leveranser per nät'!H$1,FALSE)
               +Andel_beroende_av_klimat*VLOOKUP($A434,Leveranser_per_nät,'Leveranser per nät'!H$1,FALSE)/VLOOKUP($B434,Korrigeringsfaktor_EI,'Korrigeringsfaktor EI'!H$1,FALSE),
"")</f>
        <v>0</v>
      </c>
      <c r="I434" s="18">
        <f>IFERROR(
                  Andel_oberoende_av_klimat*VLOOKUP($A434,Leveranser_per_nät,'Leveranser per nät'!I$1,FALSE)
               +Andel_beroende_av_klimat*VLOOKUP($A434,Leveranser_per_nät,'Leveranser per nät'!I$1,FALSE)/VLOOKUP($B434,Korrigeringsfaktor_EI,'Korrigeringsfaktor EI'!I$1,FALSE),
"")</f>
        <v>0</v>
      </c>
      <c r="J434" s="18">
        <f>IFERROR(
                  Andel_oberoende_av_klimat*VLOOKUP($A434,Leveranser_per_nät,'Leveranser per nät'!J$1,FALSE)
               +Andel_beroende_av_klimat*VLOOKUP($A434,Leveranser_per_nät,'Leveranser per nät'!J$1,FALSE)/VLOOKUP($B434,Korrigeringsfaktor_EI,'Korrigeringsfaktor EI'!J$1,FALSE),
"")</f>
        <v>0</v>
      </c>
      <c r="K434" s="18">
        <f>IFERROR(
                  Andel_oberoende_av_klimat*VLOOKUP($A434,Leveranser_per_nät,'Leveranser per nät'!K$1,FALSE)
               +Andel_beroende_av_klimat*VLOOKUP($A434,Leveranser_per_nät,'Leveranser per nät'!K$1,FALSE)/VLOOKUP($B434,Korrigeringsfaktor_EI,'Korrigeringsfaktor EI'!K$1,FALSE),
"")</f>
        <v>0</v>
      </c>
      <c r="L434" s="18">
        <f>IFERROR(
                  Andel_oberoende_av_klimat*VLOOKUP($A434,Leveranser_per_nät,'Leveranser per nät'!L$1,FALSE)
               +Andel_beroende_av_klimat*VLOOKUP($A434,Leveranser_per_nät,'Leveranser per nät'!L$1,FALSE)/VLOOKUP($B434,Korrigeringsfaktor_EI,'Korrigeringsfaktor EI'!L$1,FALSE),
"")</f>
        <v>0</v>
      </c>
      <c r="M434" s="18">
        <f>IFERROR(
                  Andel_oberoende_av_klimat*VLOOKUP($A434,Leveranser_per_nät,'Leveranser per nät'!M$1,FALSE)
               +Andel_beroende_av_klimat*VLOOKUP($A434,Leveranser_per_nät,'Leveranser per nät'!M$1,FALSE)/VLOOKUP($B434,Korrigeringsfaktor_EI,'Korrigeringsfaktor EI'!M$1,FALSE),
"")</f>
        <v>31.58064516129032</v>
      </c>
      <c r="N434" s="18">
        <f>IFERROR(
                  Andel_oberoende_av_klimat*VLOOKUP($A434,Leveranser_per_nät,'Leveranser per nät'!N$1,FALSE)
               +Andel_beroende_av_klimat*VLOOKUP($A434,Leveranser_per_nät,'Leveranser per nät'!N$1,FALSE)/VLOOKUP($B434,Korrigeringsfaktor_EI,'Korrigeringsfaktor EI'!N$1,FALSE),
"")</f>
        <v>31.58064516129032</v>
      </c>
      <c r="O434" s="18">
        <f>IFERROR(
                  Andel_oberoende_av_klimat*VLOOKUP($A434,Leveranser_per_nät,'Leveranser per nät'!O$1,FALSE)
               +Andel_beroende_av_klimat*VLOOKUP($A434,Leveranser_per_nät,'Leveranser per nät'!O$1,FALSE)/VLOOKUP($B434,Korrigeringsfaktor_EI,'Korrigeringsfaktor EI'!O$1,FALSE),
"")</f>
        <v>19.320999999999998</v>
      </c>
      <c r="P434" s="18">
        <f>IFERROR(
                  Andel_oberoende_av_klimat*VLOOKUP($A434,Leveranser_per_nät,'Leveranser per nät'!P$1,FALSE)
               +Andel_beroende_av_klimat*VLOOKUP($A434,Leveranser_per_nät,'Leveranser per nät'!P$1,FALSE)/VLOOKUP($B434,Korrigeringsfaktor_EI,'Korrigeringsfaktor EI'!P$1,FALSE),
"")</f>
        <v>21.771350515463915</v>
      </c>
      <c r="Q434" s="18">
        <f>IFERROR(
                  Andel_oberoende_av_klimat*VLOOKUP($A434,Leveranser_per_nät,'Leveranser per nät'!Q$1,FALSE)
               +Andel_beroende_av_klimat*VLOOKUP($A434,Leveranser_per_nät,'Leveranser per nät'!Q$1,FALSE)/VLOOKUP($B434,Korrigeringsfaktor_EI,'Korrigeringsfaktor EI'!Q$1,FALSE),
"")</f>
        <v>20.72</v>
      </c>
      <c r="R434" s="18">
        <f>IFERROR(
                  Andel_oberoende_av_klimat*VLOOKUP($A434,Leveranser_per_nät,'Leveranser per nät'!R$1,FALSE)
               +Andel_beroende_av_klimat*VLOOKUP($A434,Leveranser_per_nät,'Leveranser per nät'!R$1,FALSE)/VLOOKUP($B434,Korrigeringsfaktor_EI,'Korrigeringsfaktor EI'!R$1,FALSE),
"")</f>
        <v>19.790537634408604</v>
      </c>
      <c r="S434" s="18">
        <f>IFERROR(
                  Andel_oberoende_av_klimat*VLOOKUP($A434,Leveranser_per_nät,'Leveranser per nät'!S$1,FALSE)
               +Andel_beroende_av_klimat*VLOOKUP($A434,Leveranser_per_nät,'Leveranser per nät'!S$1,FALSE)/VLOOKUP($B434,Korrigeringsfaktor_EI,'Korrigeringsfaktor EI'!S$1,FALSE),
"")</f>
        <v>19.861386138613863</v>
      </c>
      <c r="T434" s="18">
        <f>IFERROR(
                  Andel_oberoende_av_klimat*VLOOKUP($A434,Leveranser_per_nät,'Leveranser per nät'!T$1,FALSE)
               +Andel_beroende_av_klimat*VLOOKUP($A434,Leveranser_per_nät,'Leveranser per nät'!T$1,FALSE)/VLOOKUP($B434,Korrigeringsfaktor_EI,'Korrigeringsfaktor EI'!T$1,FALSE),
"")</f>
        <v>20.054979381443296</v>
      </c>
      <c r="U434" s="18">
        <f>IFERROR(
                  Andel_oberoende_av_klimat*VLOOKUP($A434,Leveranser_per_nät,'Leveranser per nät'!U$1,FALSE)
               +Andel_beroende_av_klimat*VLOOKUP($A434,Leveranser_per_nät,'Leveranser per nät'!U$1,FALSE)/VLOOKUP($B434,Korrigeringsfaktor_EI,'Korrigeringsfaktor EI'!U$1,FALSE),
"")</f>
        <v>20.337666666666667</v>
      </c>
      <c r="V434" s="18">
        <f>IFERROR(
                  Andel_oberoende_av_klimat*VLOOKUP($A434,Leveranser_per_nät,'Leveranser per nät'!V$1,FALSE)
               +Andel_beroende_av_klimat*VLOOKUP($A434,Leveranser_per_nät,'Leveranser per nät'!V$1,FALSE)/VLOOKUP($B434,Korrigeringsfaktor_EI,'Korrigeringsfaktor EI'!V$1,FALSE),
"")</f>
        <v>20.499333333333333</v>
      </c>
      <c r="W434" s="18">
        <f>IFERROR(
                  Andel_oberoende_av_klimat*VLOOKUP($A434,Leveranser_per_nät,'Leveranser per nät'!W$1,FALSE)
               +Andel_beroende_av_klimat*VLOOKUP($A434,Leveranser_per_nät,'Leveranser per nät'!W$1,FALSE)/VLOOKUP($B434,Korrigeringsfaktor_EI,'Korrigeringsfaktor EI'!W$1,FALSE),
"")</f>
        <v>21.99142105263158</v>
      </c>
      <c r="X434" s="18">
        <f>IFERROR(
                  Andel_oberoende_av_klimat*VLOOKUP($A434,Leveranser_per_nät,'Leveranser per nät'!X$1,FALSE)
               +Andel_beroende_av_klimat*VLOOKUP($A434,Leveranser_per_nät,'Leveranser per nät'!X$1,FALSE)/VLOOKUP($B434,Korrigeringsfaktor_EI,'Korrigeringsfaktor EI'!X$1,FALSE),
"")</f>
        <v>21.792042553191489</v>
      </c>
      <c r="Y434" s="18">
        <f>IFERROR(
                  Andel_oberoende_av_klimat*VLOOKUP($A434,Leveranser_per_nät,'Leveranser per nät'!Y$1,FALSE)
               +Andel_beroende_av_klimat*VLOOKUP($A434,Leveranser_per_nät,'Leveranser per nät'!Y$1,FALSE)/VLOOKUP($B434,Korrigeringsfaktor_EI,'Korrigeringsfaktor EI'!Y$1,FALSE),
"")</f>
        <v>23.286086956521739</v>
      </c>
      <c r="Z434" s="18">
        <f>IFERROR(
                  Andel_oberoende_av_klimat*VLOOKUP($A434,Leveranser_per_nät,'Leveranser per nät'!Z$1,FALSE)
               +Andel_beroende_av_klimat*VLOOKUP($A434,Leveranser_per_nät,'Leveranser per nät'!Z$1,FALSE)/VLOOKUP($B434,Korrigeringsfaktor_EI,'Korrigeringsfaktor EI'!Z$1,FALSE),
"")</f>
        <v>23.474000000000004</v>
      </c>
      <c r="AA434" s="18">
        <f>IFERROR(
                  Andel_oberoende_av_klimat*VLOOKUP($A434,Leveranser_per_nät,'Leveranser per nät'!AA$1,FALSE)
               +Andel_beroende_av_klimat*VLOOKUP($A434,Leveranser_per_nät,'Leveranser per nät'!AA$1,FALSE)/VLOOKUP($B434,Korrigeringsfaktor_EI,'Korrigeringsfaktor EI'!AA$1,FALSE),
"")</f>
        <v>23.049677747989278</v>
      </c>
      <c r="AB434" s="18">
        <f>IFERROR(
                  Andel_oberoende_av_klimat*VLOOKUP($A434,Leveranser_per_nät,'Leveranser per nät'!AB$1,FALSE)
               +Andel_beroende_av_klimat*VLOOKUP($A434,Leveranser_per_nät,'Leveranser per nät'!AB$1,FALSE)/VLOOKUP($B434,Korrigeringsfaktor_EI,'Korrigeringsfaktor EI'!AB$1,FALSE),
"")</f>
        <v>23.122267716535433</v>
      </c>
      <c r="AC434" s="18">
        <f>IFERROR(
                  Andel_oberoende_av_klimat*VLOOKUP($A434,Leveranser_per_nät,'Leveranser per nät'!AC$1,FALSE)
               +Andel_beroende_av_klimat*VLOOKUP($A434,Leveranser_per_nät,'Leveranser per nät'!AC$1,FALSE)/VLOOKUP($B434,Korrigeringsfaktor_EI,'Korrigeringsfaktor EI'!AC$1,FALSE),
"")</f>
        <v>22.03105882352941</v>
      </c>
      <c r="AD434">
        <v>21.28</v>
      </c>
    </row>
    <row r="435" spans="1:30" x14ac:dyDescent="0.25">
      <c r="A435" t="s">
        <v>331</v>
      </c>
      <c r="B435" t="s">
        <v>445</v>
      </c>
      <c r="C435" s="18">
        <f>IFERROR(
                  Andel_oberoende_av_klimat*VLOOKUP($A435,Leveranser_per_nät,'Leveranser per nät'!C$1,FALSE)
               +Andel_beroende_av_klimat*VLOOKUP($A435,Leveranser_per_nät,'Leveranser per nät'!C$1,FALSE)/VLOOKUP($B435,Korrigeringsfaktor_EI,'Korrigeringsfaktor EI'!C$1,FALSE),
"")</f>
        <v>0</v>
      </c>
      <c r="D435" s="18">
        <f>IFERROR(
                  Andel_oberoende_av_klimat*VLOOKUP($A435,Leveranser_per_nät,'Leveranser per nät'!D$1,FALSE)
               +Andel_beroende_av_klimat*VLOOKUP($A435,Leveranser_per_nät,'Leveranser per nät'!D$1,FALSE)/VLOOKUP($B435,Korrigeringsfaktor_EI,'Korrigeringsfaktor EI'!D$1,FALSE),
"")</f>
        <v>0</v>
      </c>
      <c r="E435" s="18">
        <f>IFERROR(
                  Andel_oberoende_av_klimat*VLOOKUP($A435,Leveranser_per_nät,'Leveranser per nät'!E$1,FALSE)
               +Andel_beroende_av_klimat*VLOOKUP($A435,Leveranser_per_nät,'Leveranser per nät'!E$1,FALSE)/VLOOKUP($B435,Korrigeringsfaktor_EI,'Korrigeringsfaktor EI'!E$1,FALSE),
"")</f>
        <v>0</v>
      </c>
      <c r="F435" s="18">
        <f>IFERROR(
                  Andel_oberoende_av_klimat*VLOOKUP($A435,Leveranser_per_nät,'Leveranser per nät'!F$1,FALSE)
               +Andel_beroende_av_klimat*VLOOKUP($A435,Leveranser_per_nät,'Leveranser per nät'!F$1,FALSE)/VLOOKUP($B435,Korrigeringsfaktor_EI,'Korrigeringsfaktor EI'!F$1,FALSE),
"")</f>
        <v>0</v>
      </c>
      <c r="G435" s="18">
        <f>IFERROR(
                  Andel_oberoende_av_klimat*VLOOKUP($A435,Leveranser_per_nät,'Leveranser per nät'!G$1,FALSE)
               +Andel_beroende_av_klimat*VLOOKUP($A435,Leveranser_per_nät,'Leveranser per nät'!G$1,FALSE)/VLOOKUP($B435,Korrigeringsfaktor_EI,'Korrigeringsfaktor EI'!G$1,FALSE),
"")</f>
        <v>0</v>
      </c>
      <c r="H435" s="18">
        <f>IFERROR(
                  Andel_oberoende_av_klimat*VLOOKUP($A435,Leveranser_per_nät,'Leveranser per nät'!H$1,FALSE)
               +Andel_beroende_av_klimat*VLOOKUP($A435,Leveranser_per_nät,'Leveranser per nät'!H$1,FALSE)/VLOOKUP($B435,Korrigeringsfaktor_EI,'Korrigeringsfaktor EI'!H$1,FALSE),
"")</f>
        <v>0</v>
      </c>
      <c r="I435" s="18">
        <f>IFERROR(
                  Andel_oberoende_av_klimat*VLOOKUP($A435,Leveranser_per_nät,'Leveranser per nät'!I$1,FALSE)
               +Andel_beroende_av_klimat*VLOOKUP($A435,Leveranser_per_nät,'Leveranser per nät'!I$1,FALSE)/VLOOKUP($B435,Korrigeringsfaktor_EI,'Korrigeringsfaktor EI'!I$1,FALSE),
"")</f>
        <v>0</v>
      </c>
      <c r="J435" s="18">
        <f>IFERROR(
                  Andel_oberoende_av_klimat*VLOOKUP($A435,Leveranser_per_nät,'Leveranser per nät'!J$1,FALSE)
               +Andel_beroende_av_klimat*VLOOKUP($A435,Leveranser_per_nät,'Leveranser per nät'!J$1,FALSE)/VLOOKUP($B435,Korrigeringsfaktor_EI,'Korrigeringsfaktor EI'!J$1,FALSE),
"")</f>
        <v>0</v>
      </c>
      <c r="K435" s="18">
        <f>IFERROR(
                  Andel_oberoende_av_klimat*VLOOKUP($A435,Leveranser_per_nät,'Leveranser per nät'!K$1,FALSE)
               +Andel_beroende_av_klimat*VLOOKUP($A435,Leveranser_per_nät,'Leveranser per nät'!K$1,FALSE)/VLOOKUP($B435,Korrigeringsfaktor_EI,'Korrigeringsfaktor EI'!K$1,FALSE),
"")</f>
        <v>0</v>
      </c>
      <c r="L435" s="18">
        <f>IFERROR(
                  Andel_oberoende_av_klimat*VLOOKUP($A435,Leveranser_per_nät,'Leveranser per nät'!L$1,FALSE)
               +Andel_beroende_av_klimat*VLOOKUP($A435,Leveranser_per_nät,'Leveranser per nät'!L$1,FALSE)/VLOOKUP($B435,Korrigeringsfaktor_EI,'Korrigeringsfaktor EI'!L$1,FALSE),
"")</f>
        <v>0</v>
      </c>
      <c r="M435" s="18">
        <f>IFERROR(
                  Andel_oberoende_av_klimat*VLOOKUP($A435,Leveranser_per_nät,'Leveranser per nät'!M$1,FALSE)
               +Andel_beroende_av_klimat*VLOOKUP($A435,Leveranser_per_nät,'Leveranser per nät'!M$1,FALSE)/VLOOKUP($B435,Korrigeringsfaktor_EI,'Korrigeringsfaktor EI'!M$1,FALSE),
"")</f>
        <v>0.5263440860215054</v>
      </c>
      <c r="N435" s="18">
        <f>IFERROR(
                  Andel_oberoende_av_klimat*VLOOKUP($A435,Leveranser_per_nät,'Leveranser per nät'!N$1,FALSE)
               +Andel_beroende_av_klimat*VLOOKUP($A435,Leveranser_per_nät,'Leveranser per nät'!N$1,FALSE)/VLOOKUP($B435,Korrigeringsfaktor_EI,'Korrigeringsfaktor EI'!N$1,FALSE),
"")</f>
        <v>0.85538461538461541</v>
      </c>
      <c r="O435" s="18">
        <f>IFERROR(
                  Andel_oberoende_av_klimat*VLOOKUP($A435,Leveranser_per_nät,'Leveranser per nät'!O$1,FALSE)
               +Andel_beroende_av_klimat*VLOOKUP($A435,Leveranser_per_nät,'Leveranser per nät'!O$1,FALSE)/VLOOKUP($B435,Korrigeringsfaktor_EI,'Korrigeringsfaktor EI'!O$1,FALSE),
"")</f>
        <v>1.4648461538461539</v>
      </c>
      <c r="P435" s="18">
        <f>IFERROR(
                  Andel_oberoende_av_klimat*VLOOKUP($A435,Leveranser_per_nät,'Leveranser per nät'!P$1,FALSE)
               +Andel_beroende_av_klimat*VLOOKUP($A435,Leveranser_per_nät,'Leveranser per nät'!P$1,FALSE)/VLOOKUP($B435,Korrigeringsfaktor_EI,'Korrigeringsfaktor EI'!P$1,FALSE),
"")</f>
        <v>1.7392916666666665</v>
      </c>
      <c r="Q435" s="18">
        <f>IFERROR(
                  Andel_oberoende_av_klimat*VLOOKUP($A435,Leveranser_per_nät,'Leveranser per nät'!Q$1,FALSE)
               +Andel_beroende_av_klimat*VLOOKUP($A435,Leveranser_per_nät,'Leveranser per nät'!Q$1,FALSE)/VLOOKUP($B435,Korrigeringsfaktor_EI,'Korrigeringsfaktor EI'!Q$1,FALSE),
"")</f>
        <v>1.4902608695652175</v>
      </c>
      <c r="R435" s="18">
        <f>IFERROR(
                  Andel_oberoende_av_klimat*VLOOKUP($A435,Leveranser_per_nät,'Leveranser per nät'!R$1,FALSE)
               +Andel_beroende_av_klimat*VLOOKUP($A435,Leveranser_per_nät,'Leveranser per nät'!R$1,FALSE)/VLOOKUP($B435,Korrigeringsfaktor_EI,'Korrigeringsfaktor EI'!R$1,FALSE),
"")</f>
        <v>1.4614166666666666</v>
      </c>
      <c r="S435" s="18">
        <f>IFERROR(
                  Andel_oberoende_av_klimat*VLOOKUP($A435,Leveranser_per_nät,'Leveranser per nät'!S$1,FALSE)
               +Andel_beroende_av_klimat*VLOOKUP($A435,Leveranser_per_nät,'Leveranser per nät'!S$1,FALSE)/VLOOKUP($B435,Korrigeringsfaktor_EI,'Korrigeringsfaktor EI'!S$1,FALSE),
"")</f>
        <v>1.2649999999999999</v>
      </c>
      <c r="T435" s="18">
        <f>IFERROR(
                  Andel_oberoende_av_klimat*VLOOKUP($A435,Leveranser_per_nät,'Leveranser per nät'!T$1,FALSE)
               +Andel_beroende_av_klimat*VLOOKUP($A435,Leveranser_per_nät,'Leveranser per nät'!T$1,FALSE)/VLOOKUP($B435,Korrigeringsfaktor_EI,'Korrigeringsfaktor EI'!T$1,FALSE),
"")</f>
        <v>1.22</v>
      </c>
      <c r="U435" s="18">
        <f>IFERROR(
                  Andel_oberoende_av_klimat*VLOOKUP($A435,Leveranser_per_nät,'Leveranser per nät'!U$1,FALSE)
               +Andel_beroende_av_klimat*VLOOKUP($A435,Leveranser_per_nät,'Leveranser per nät'!U$1,FALSE)/VLOOKUP($B435,Korrigeringsfaktor_EI,'Korrigeringsfaktor EI'!U$1,FALSE),
"")</f>
        <v>1.0483500000000001</v>
      </c>
      <c r="V435" s="18" t="str">
        <f>IFERROR(
                  Andel_oberoende_av_klimat*VLOOKUP($A435,Leveranser_per_nät,'Leveranser per nät'!V$1,FALSE)
               +Andel_beroende_av_klimat*VLOOKUP($A435,Leveranser_per_nät,'Leveranser per nät'!V$1,FALSE)/VLOOKUP($B435,Korrigeringsfaktor_EI,'Korrigeringsfaktor EI'!V$1,FALSE),
"")</f>
        <v/>
      </c>
      <c r="W435" s="18" t="str">
        <f>IFERROR(
                  Andel_oberoende_av_klimat*VLOOKUP($A435,Leveranser_per_nät,'Leveranser per nät'!W$1,FALSE)
               +Andel_beroende_av_klimat*VLOOKUP($A435,Leveranser_per_nät,'Leveranser per nät'!W$1,FALSE)/VLOOKUP($B435,Korrigeringsfaktor_EI,'Korrigeringsfaktor EI'!W$1,FALSE),
"")</f>
        <v/>
      </c>
      <c r="X435" s="18" t="str">
        <f>IFERROR(
                  Andel_oberoende_av_klimat*VLOOKUP($A435,Leveranser_per_nät,'Leveranser per nät'!X$1,FALSE)
               +Andel_beroende_av_klimat*VLOOKUP($A435,Leveranser_per_nät,'Leveranser per nät'!X$1,FALSE)/VLOOKUP($B435,Korrigeringsfaktor_EI,'Korrigeringsfaktor EI'!X$1,FALSE),
"")</f>
        <v/>
      </c>
      <c r="Y435" s="18" t="str">
        <f>IFERROR(
                  Andel_oberoende_av_klimat*VLOOKUP($A435,Leveranser_per_nät,'Leveranser per nät'!Y$1,FALSE)
               +Andel_beroende_av_klimat*VLOOKUP($A435,Leveranser_per_nät,'Leveranser per nät'!Y$1,FALSE)/VLOOKUP($B435,Korrigeringsfaktor_EI,'Korrigeringsfaktor EI'!Y$1,FALSE),
"")</f>
        <v/>
      </c>
      <c r="Z435" s="18">
        <f>IFERROR(
                  Andel_oberoende_av_klimat*VLOOKUP($A435,Leveranser_per_nät,'Leveranser per nät'!Z$1,FALSE)
               +Andel_beroende_av_klimat*VLOOKUP($A435,Leveranser_per_nät,'Leveranser per nät'!Z$1,FALSE)/VLOOKUP($B435,Korrigeringsfaktor_EI,'Korrigeringsfaktor EI'!Z$1,FALSE),
"")</f>
        <v>0</v>
      </c>
      <c r="AA435" s="18" t="str">
        <f>IFERROR(
                  Andel_oberoende_av_klimat*VLOOKUP($A435,Leveranser_per_nät,'Leveranser per nät'!AA$1,FALSE)
               +Andel_beroende_av_klimat*VLOOKUP($A435,Leveranser_per_nät,'Leveranser per nät'!AA$1,FALSE)/VLOOKUP($B435,Korrigeringsfaktor_EI,'Korrigeringsfaktor EI'!AA$1,FALSE),
"")</f>
        <v/>
      </c>
      <c r="AB435" s="18">
        <f>IFERROR(
                  Andel_oberoende_av_klimat*VLOOKUP($A435,Leveranser_per_nät,'Leveranser per nät'!AB$1,FALSE)
               +Andel_beroende_av_klimat*VLOOKUP($A435,Leveranser_per_nät,'Leveranser per nät'!AB$1,FALSE)/VLOOKUP($B435,Korrigeringsfaktor_EI,'Korrigeringsfaktor EI'!AB$1,FALSE),
"")</f>
        <v>0</v>
      </c>
      <c r="AC435" s="18">
        <f>IFERROR(
                  Andel_oberoende_av_klimat*VLOOKUP($A435,Leveranser_per_nät,'Leveranser per nät'!AC$1,FALSE)
               +Andel_beroende_av_klimat*VLOOKUP($A435,Leveranser_per_nät,'Leveranser per nät'!AC$1,FALSE)/VLOOKUP($B435,Korrigeringsfaktor_EI,'Korrigeringsfaktor EI'!AC$1,FALSE),
"")</f>
        <v>0</v>
      </c>
      <c r="AD435" t="e">
        <v>#N/A</v>
      </c>
    </row>
    <row r="436" spans="1:30" x14ac:dyDescent="0.25">
      <c r="A436" t="s">
        <v>727</v>
      </c>
      <c r="B436" t="s">
        <v>288</v>
      </c>
      <c r="C436" s="18">
        <f>IFERROR(
                  Andel_oberoende_av_klimat*VLOOKUP($A436,Leveranser_per_nät,'Leveranser per nät'!C$1,FALSE)
               +Andel_beroende_av_klimat*VLOOKUP($A436,Leveranser_per_nät,'Leveranser per nät'!C$1,FALSE)/VLOOKUP($B436,Korrigeringsfaktor_EI,'Korrigeringsfaktor EI'!C$1,FALSE),
"")</f>
        <v>0</v>
      </c>
      <c r="D436" s="18">
        <f>IFERROR(
                  Andel_oberoende_av_klimat*VLOOKUP($A436,Leveranser_per_nät,'Leveranser per nät'!D$1,FALSE)
               +Andel_beroende_av_klimat*VLOOKUP($A436,Leveranser_per_nät,'Leveranser per nät'!D$1,FALSE)/VLOOKUP($B436,Korrigeringsfaktor_EI,'Korrigeringsfaktor EI'!D$1,FALSE),
"")</f>
        <v>0</v>
      </c>
      <c r="E436" s="18">
        <f>IFERROR(
                  Andel_oberoende_av_klimat*VLOOKUP($A436,Leveranser_per_nät,'Leveranser per nät'!E$1,FALSE)
               +Andel_beroende_av_klimat*VLOOKUP($A436,Leveranser_per_nät,'Leveranser per nät'!E$1,FALSE)/VLOOKUP($B436,Korrigeringsfaktor_EI,'Korrigeringsfaktor EI'!E$1,FALSE),
"")</f>
        <v>0</v>
      </c>
      <c r="F436" s="18">
        <f>IFERROR(
                  Andel_oberoende_av_klimat*VLOOKUP($A436,Leveranser_per_nät,'Leveranser per nät'!F$1,FALSE)
               +Andel_beroende_av_klimat*VLOOKUP($A436,Leveranser_per_nät,'Leveranser per nät'!F$1,FALSE)/VLOOKUP($B436,Korrigeringsfaktor_EI,'Korrigeringsfaktor EI'!F$1,FALSE),
"")</f>
        <v>0</v>
      </c>
      <c r="G436" s="18">
        <f>IFERROR(
                  Andel_oberoende_av_klimat*VLOOKUP($A436,Leveranser_per_nät,'Leveranser per nät'!G$1,FALSE)
               +Andel_beroende_av_klimat*VLOOKUP($A436,Leveranser_per_nät,'Leveranser per nät'!G$1,FALSE)/VLOOKUP($B436,Korrigeringsfaktor_EI,'Korrigeringsfaktor EI'!G$1,FALSE),
"")</f>
        <v>0</v>
      </c>
      <c r="H436" s="18">
        <f>IFERROR(
                  Andel_oberoende_av_klimat*VLOOKUP($A436,Leveranser_per_nät,'Leveranser per nät'!H$1,FALSE)
               +Andel_beroende_av_klimat*VLOOKUP($A436,Leveranser_per_nät,'Leveranser per nät'!H$1,FALSE)/VLOOKUP($B436,Korrigeringsfaktor_EI,'Korrigeringsfaktor EI'!H$1,FALSE),
"")</f>
        <v>0</v>
      </c>
      <c r="I436" s="18">
        <f>IFERROR(
                  Andel_oberoende_av_klimat*VLOOKUP($A436,Leveranser_per_nät,'Leveranser per nät'!I$1,FALSE)
               +Andel_beroende_av_klimat*VLOOKUP($A436,Leveranser_per_nät,'Leveranser per nät'!I$1,FALSE)/VLOOKUP($B436,Korrigeringsfaktor_EI,'Korrigeringsfaktor EI'!I$1,FALSE),
"")</f>
        <v>0</v>
      </c>
      <c r="J436" s="18">
        <f>IFERROR(
                  Andel_oberoende_av_klimat*VLOOKUP($A436,Leveranser_per_nät,'Leveranser per nät'!J$1,FALSE)
               +Andel_beroende_av_klimat*VLOOKUP($A436,Leveranser_per_nät,'Leveranser per nät'!J$1,FALSE)/VLOOKUP($B436,Korrigeringsfaktor_EI,'Korrigeringsfaktor EI'!J$1,FALSE),
"")</f>
        <v>0</v>
      </c>
      <c r="K436" s="18">
        <f>IFERROR(
                  Andel_oberoende_av_klimat*VLOOKUP($A436,Leveranser_per_nät,'Leveranser per nät'!K$1,FALSE)
               +Andel_beroende_av_klimat*VLOOKUP($A436,Leveranser_per_nät,'Leveranser per nät'!K$1,FALSE)/VLOOKUP($B436,Korrigeringsfaktor_EI,'Korrigeringsfaktor EI'!K$1,FALSE),
"")</f>
        <v>0</v>
      </c>
      <c r="L436" s="18">
        <f>IFERROR(
                  Andel_oberoende_av_klimat*VLOOKUP($A436,Leveranser_per_nät,'Leveranser per nät'!L$1,FALSE)
               +Andel_beroende_av_klimat*VLOOKUP($A436,Leveranser_per_nät,'Leveranser per nät'!L$1,FALSE)/VLOOKUP($B436,Korrigeringsfaktor_EI,'Korrigeringsfaktor EI'!L$1,FALSE),
"")</f>
        <v>0</v>
      </c>
      <c r="M436" s="18">
        <f>IFERROR(
                  Andel_oberoende_av_klimat*VLOOKUP($A436,Leveranser_per_nät,'Leveranser per nät'!M$1,FALSE)
               +Andel_beroende_av_klimat*VLOOKUP($A436,Leveranser_per_nät,'Leveranser per nät'!M$1,FALSE)/VLOOKUP($B436,Korrigeringsfaktor_EI,'Korrigeringsfaktor EI'!M$1,FALSE),
"")</f>
        <v>0</v>
      </c>
      <c r="N436" s="18">
        <f>IFERROR(
                  Andel_oberoende_av_klimat*VLOOKUP($A436,Leveranser_per_nät,'Leveranser per nät'!N$1,FALSE)
               +Andel_beroende_av_klimat*VLOOKUP($A436,Leveranser_per_nät,'Leveranser per nät'!N$1,FALSE)/VLOOKUP($B436,Korrigeringsfaktor_EI,'Korrigeringsfaktor EI'!N$1,FALSE),
"")</f>
        <v>0</v>
      </c>
      <c r="O436" s="18">
        <f>IFERROR(
                  Andel_oberoende_av_klimat*VLOOKUP($A436,Leveranser_per_nät,'Leveranser per nät'!O$1,FALSE)
               +Andel_beroende_av_klimat*VLOOKUP($A436,Leveranser_per_nät,'Leveranser per nät'!O$1,FALSE)/VLOOKUP($B436,Korrigeringsfaktor_EI,'Korrigeringsfaktor EI'!O$1,FALSE),
"")</f>
        <v>0</v>
      </c>
      <c r="P436" s="18">
        <f>IFERROR(
                  Andel_oberoende_av_klimat*VLOOKUP($A436,Leveranser_per_nät,'Leveranser per nät'!P$1,FALSE)
               +Andel_beroende_av_klimat*VLOOKUP($A436,Leveranser_per_nät,'Leveranser per nät'!P$1,FALSE)/VLOOKUP($B436,Korrigeringsfaktor_EI,'Korrigeringsfaktor EI'!P$1,FALSE),
"")</f>
        <v>0</v>
      </c>
      <c r="Q436" s="18">
        <f>IFERROR(
                  Andel_oberoende_av_klimat*VLOOKUP($A436,Leveranser_per_nät,'Leveranser per nät'!Q$1,FALSE)
               +Andel_beroende_av_klimat*VLOOKUP($A436,Leveranser_per_nät,'Leveranser per nät'!Q$1,FALSE)/VLOOKUP($B436,Korrigeringsfaktor_EI,'Korrigeringsfaktor EI'!Q$1,FALSE),
"")</f>
        <v>0</v>
      </c>
      <c r="R436" s="18">
        <f>IFERROR(
                  Andel_oberoende_av_klimat*VLOOKUP($A436,Leveranser_per_nät,'Leveranser per nät'!R$1,FALSE)
               +Andel_beroende_av_klimat*VLOOKUP($A436,Leveranser_per_nät,'Leveranser per nät'!R$1,FALSE)/VLOOKUP($B436,Korrigeringsfaktor_EI,'Korrigeringsfaktor EI'!R$1,FALSE),
"")</f>
        <v>0</v>
      </c>
      <c r="S436" s="18" t="str">
        <f>IFERROR(
                  Andel_oberoende_av_klimat*VLOOKUP($A436,Leveranser_per_nät,'Leveranser per nät'!S$1,FALSE)
               +Andel_beroende_av_klimat*VLOOKUP($A436,Leveranser_per_nät,'Leveranser per nät'!S$1,FALSE)/VLOOKUP($B436,Korrigeringsfaktor_EI,'Korrigeringsfaktor EI'!S$1,FALSE),
"")</f>
        <v/>
      </c>
      <c r="T436" s="18" t="str">
        <f>IFERROR(
                  Andel_oberoende_av_klimat*VLOOKUP($A436,Leveranser_per_nät,'Leveranser per nät'!T$1,FALSE)
               +Andel_beroende_av_klimat*VLOOKUP($A436,Leveranser_per_nät,'Leveranser per nät'!T$1,FALSE)/VLOOKUP($B436,Korrigeringsfaktor_EI,'Korrigeringsfaktor EI'!T$1,FALSE),
"")</f>
        <v/>
      </c>
      <c r="U436" s="18">
        <f>IFERROR(
                  Andel_oberoende_av_klimat*VLOOKUP($A436,Leveranser_per_nät,'Leveranser per nät'!U$1,FALSE)
               +Andel_beroende_av_klimat*VLOOKUP($A436,Leveranser_per_nät,'Leveranser per nät'!U$1,FALSE)/VLOOKUP($B436,Korrigeringsfaktor_EI,'Korrigeringsfaktor EI'!U$1,FALSE),
"")</f>
        <v>109.87409090909091</v>
      </c>
      <c r="V436" s="18">
        <f>IFERROR(
                  Andel_oberoende_av_klimat*VLOOKUP($A436,Leveranser_per_nät,'Leveranser per nät'!V$1,FALSE)
               +Andel_beroende_av_klimat*VLOOKUP($A436,Leveranser_per_nät,'Leveranser per nät'!V$1,FALSE)/VLOOKUP($B436,Korrigeringsfaktor_EI,'Korrigeringsfaktor EI'!V$1,FALSE),
"")</f>
        <v>110.79321011235955</v>
      </c>
      <c r="W436" s="18">
        <f>IFERROR(
                  Andel_oberoende_av_klimat*VLOOKUP($A436,Leveranser_per_nät,'Leveranser per nät'!W$1,FALSE)
               +Andel_beroende_av_klimat*VLOOKUP($A436,Leveranser_per_nät,'Leveranser per nät'!W$1,FALSE)/VLOOKUP($B436,Korrigeringsfaktor_EI,'Korrigeringsfaktor EI'!W$1,FALSE),
"")</f>
        <v>115.008288172043</v>
      </c>
      <c r="X436" s="18">
        <f>IFERROR(
                  Andel_oberoende_av_klimat*VLOOKUP($A436,Leveranser_per_nät,'Leveranser per nät'!X$1,FALSE)
               +Andel_beroende_av_klimat*VLOOKUP($A436,Leveranser_per_nät,'Leveranser per nät'!X$1,FALSE)/VLOOKUP($B436,Korrigeringsfaktor_EI,'Korrigeringsfaktor EI'!X$1,FALSE),
"")</f>
        <v>134.14721182795699</v>
      </c>
      <c r="Y436" s="18">
        <f>IFERROR(
                  Andel_oberoende_av_klimat*VLOOKUP($A436,Leveranser_per_nät,'Leveranser per nät'!Y$1,FALSE)
               +Andel_beroende_av_klimat*VLOOKUP($A436,Leveranser_per_nät,'Leveranser per nät'!Y$1,FALSE)/VLOOKUP($B436,Korrigeringsfaktor_EI,'Korrigeringsfaktor EI'!Y$1,FALSE),
"")</f>
        <v>137.82074782608694</v>
      </c>
      <c r="Z436" s="18">
        <f>IFERROR(
                  Andel_oberoende_av_klimat*VLOOKUP($A436,Leveranser_per_nät,'Leveranser per nät'!Z$1,FALSE)
               +Andel_beroende_av_klimat*VLOOKUP($A436,Leveranser_per_nät,'Leveranser per nät'!Z$1,FALSE)/VLOOKUP($B436,Korrigeringsfaktor_EI,'Korrigeringsfaktor EI'!Z$1,FALSE),
"")</f>
        <v>139.5001043478261</v>
      </c>
      <c r="AA436" s="18">
        <f>IFERROR(
                  Andel_oberoende_av_klimat*VLOOKUP($A436,Leveranser_per_nät,'Leveranser per nät'!AA$1,FALSE)
               +Andel_beroende_av_klimat*VLOOKUP($A436,Leveranser_per_nät,'Leveranser per nät'!AA$1,FALSE)/VLOOKUP($B436,Korrigeringsfaktor_EI,'Korrigeringsfaktor EI'!AA$1,FALSE),
"")</f>
        <v>143.96500229092527</v>
      </c>
      <c r="AB436" s="18">
        <f>IFERROR(
                  Andel_oberoende_av_klimat*VLOOKUP($A436,Leveranser_per_nät,'Leveranser per nät'!AB$1,FALSE)
               +Andel_beroende_av_klimat*VLOOKUP($A436,Leveranser_per_nät,'Leveranser per nät'!AB$1,FALSE)/VLOOKUP($B436,Korrigeringsfaktor_EI,'Korrigeringsfaktor EI'!AB$1,FALSE),
"")</f>
        <v>130.26304865938431</v>
      </c>
      <c r="AC436" s="18">
        <f>IFERROR(
                  Andel_oberoende_av_klimat*VLOOKUP($A436,Leveranser_per_nät,'Leveranser per nät'!AC$1,FALSE)
               +Andel_beroende_av_klimat*VLOOKUP($A436,Leveranser_per_nät,'Leveranser per nät'!AC$1,FALSE)/VLOOKUP($B436,Korrigeringsfaktor_EI,'Korrigeringsfaktor EI'!AC$1,FALSE),
"")</f>
        <v>136.52719166666665</v>
      </c>
      <c r="AD436">
        <v>513.26678000000004</v>
      </c>
    </row>
    <row r="437" spans="1:30" x14ac:dyDescent="0.25">
      <c r="A437" s="4" t="s">
        <v>429</v>
      </c>
      <c r="B437" t="s">
        <v>445</v>
      </c>
      <c r="C437" s="18">
        <f>IFERROR(
                  Andel_oberoende_av_klimat*VLOOKUP($A437,Leveranser_per_nät,'Leveranser per nät'!C$1,FALSE)
               +Andel_beroende_av_klimat*VLOOKUP($A437,Leveranser_per_nät,'Leveranser per nät'!C$1,FALSE)/VLOOKUP($B437,Korrigeringsfaktor_EI,'Korrigeringsfaktor EI'!C$1,FALSE),
"")</f>
        <v>0</v>
      </c>
      <c r="D437" s="18">
        <f>IFERROR(
                  Andel_oberoende_av_klimat*VLOOKUP($A437,Leveranser_per_nät,'Leveranser per nät'!D$1,FALSE)
               +Andel_beroende_av_klimat*VLOOKUP($A437,Leveranser_per_nät,'Leveranser per nät'!D$1,FALSE)/VLOOKUP($B437,Korrigeringsfaktor_EI,'Korrigeringsfaktor EI'!D$1,FALSE),
"")</f>
        <v>0</v>
      </c>
      <c r="E437" s="18">
        <f>IFERROR(
                  Andel_oberoende_av_klimat*VLOOKUP($A437,Leveranser_per_nät,'Leveranser per nät'!E$1,FALSE)
               +Andel_beroende_av_klimat*VLOOKUP($A437,Leveranser_per_nät,'Leveranser per nät'!E$1,FALSE)/VLOOKUP($B437,Korrigeringsfaktor_EI,'Korrigeringsfaktor EI'!E$1,FALSE),
"")</f>
        <v>0</v>
      </c>
      <c r="F437" s="18">
        <f>IFERROR(
                  Andel_oberoende_av_klimat*VLOOKUP($A437,Leveranser_per_nät,'Leveranser per nät'!F$1,FALSE)
               +Andel_beroende_av_klimat*VLOOKUP($A437,Leveranser_per_nät,'Leveranser per nät'!F$1,FALSE)/VLOOKUP($B437,Korrigeringsfaktor_EI,'Korrigeringsfaktor EI'!F$1,FALSE),
"")</f>
        <v>0</v>
      </c>
      <c r="G437" s="18">
        <f>IFERROR(
                  Andel_oberoende_av_klimat*VLOOKUP($A437,Leveranser_per_nät,'Leveranser per nät'!G$1,FALSE)
               +Andel_beroende_av_klimat*VLOOKUP($A437,Leveranser_per_nät,'Leveranser per nät'!G$1,FALSE)/VLOOKUP($B437,Korrigeringsfaktor_EI,'Korrigeringsfaktor EI'!G$1,FALSE),
"")</f>
        <v>0</v>
      </c>
      <c r="H437" s="18">
        <f>IFERROR(
                  Andel_oberoende_av_klimat*VLOOKUP($A437,Leveranser_per_nät,'Leveranser per nät'!H$1,FALSE)
               +Andel_beroende_av_klimat*VLOOKUP($A437,Leveranser_per_nät,'Leveranser per nät'!H$1,FALSE)/VLOOKUP($B437,Korrigeringsfaktor_EI,'Korrigeringsfaktor EI'!H$1,FALSE),
"")</f>
        <v>0</v>
      </c>
      <c r="I437" s="18">
        <f>IFERROR(
                  Andel_oberoende_av_klimat*VLOOKUP($A437,Leveranser_per_nät,'Leveranser per nät'!I$1,FALSE)
               +Andel_beroende_av_klimat*VLOOKUP($A437,Leveranser_per_nät,'Leveranser per nät'!I$1,FALSE)/VLOOKUP($B437,Korrigeringsfaktor_EI,'Korrigeringsfaktor EI'!I$1,FALSE),
"")</f>
        <v>0</v>
      </c>
      <c r="J437" s="18">
        <f>IFERROR(
                  Andel_oberoende_av_klimat*VLOOKUP($A437,Leveranser_per_nät,'Leveranser per nät'!J$1,FALSE)
               +Andel_beroende_av_klimat*VLOOKUP($A437,Leveranser_per_nät,'Leveranser per nät'!J$1,FALSE)/VLOOKUP($B437,Korrigeringsfaktor_EI,'Korrigeringsfaktor EI'!J$1,FALSE),
"")</f>
        <v>0</v>
      </c>
      <c r="K437" s="18">
        <f>IFERROR(
                  Andel_oberoende_av_klimat*VLOOKUP($A437,Leveranser_per_nät,'Leveranser per nät'!K$1,FALSE)
               +Andel_beroende_av_klimat*VLOOKUP($A437,Leveranser_per_nät,'Leveranser per nät'!K$1,FALSE)/VLOOKUP($B437,Korrigeringsfaktor_EI,'Korrigeringsfaktor EI'!K$1,FALSE),
"")</f>
        <v>3.7916212121212123</v>
      </c>
      <c r="L437" s="18">
        <f>IFERROR(
                  Andel_oberoende_av_klimat*VLOOKUP($A437,Leveranser_per_nät,'Leveranser per nät'!L$1,FALSE)
               +Andel_beroende_av_klimat*VLOOKUP($A437,Leveranser_per_nät,'Leveranser per nät'!L$1,FALSE)/VLOOKUP($B437,Korrigeringsfaktor_EI,'Korrigeringsfaktor EI'!L$1,FALSE),
"")</f>
        <v>5.0060824742268046</v>
      </c>
      <c r="M437" s="18">
        <f>IFERROR(
                  Andel_oberoende_av_klimat*VLOOKUP($A437,Leveranser_per_nät,'Leveranser per nät'!M$1,FALSE)
               +Andel_beroende_av_klimat*VLOOKUP($A437,Leveranser_per_nät,'Leveranser per nät'!M$1,FALSE)/VLOOKUP($B437,Korrigeringsfaktor_EI,'Korrigeringsfaktor EI'!M$1,FALSE),
"")</f>
        <v>4.9034215053763441</v>
      </c>
      <c r="N437" s="18">
        <f>IFERROR(
                  Andel_oberoende_av_klimat*VLOOKUP($A437,Leveranser_per_nät,'Leveranser per nät'!N$1,FALSE)
               +Andel_beroende_av_klimat*VLOOKUP($A437,Leveranser_per_nät,'Leveranser per nät'!N$1,FALSE)/VLOOKUP($B437,Korrigeringsfaktor_EI,'Korrigeringsfaktor EI'!N$1,FALSE),
"")</f>
        <v>5.2392307692307698</v>
      </c>
      <c r="O437" s="18">
        <f>IFERROR(
                  Andel_oberoende_av_klimat*VLOOKUP($A437,Leveranser_per_nät,'Leveranser per nät'!O$1,FALSE)
               +Andel_beroende_av_klimat*VLOOKUP($A437,Leveranser_per_nät,'Leveranser per nät'!O$1,FALSE)/VLOOKUP($B437,Korrigeringsfaktor_EI,'Korrigeringsfaktor EI'!O$1,FALSE),
"")</f>
        <v>4.5549230769230764</v>
      </c>
      <c r="P437" s="18">
        <f>IFERROR(
                  Andel_oberoende_av_klimat*VLOOKUP($A437,Leveranser_per_nät,'Leveranser per nät'!P$1,FALSE)
               +Andel_beroende_av_klimat*VLOOKUP($A437,Leveranser_per_nät,'Leveranser per nät'!P$1,FALSE)/VLOOKUP($B437,Korrigeringsfaktor_EI,'Korrigeringsfaktor EI'!P$1,FALSE),
"")</f>
        <v>5.3526958333333328</v>
      </c>
      <c r="Q437" s="18">
        <f>IFERROR(
                  Andel_oberoende_av_klimat*VLOOKUP($A437,Leveranser_per_nät,'Leveranser per nät'!Q$1,FALSE)
               +Andel_beroende_av_klimat*VLOOKUP($A437,Leveranser_per_nät,'Leveranser per nät'!Q$1,FALSE)/VLOOKUP($B437,Korrigeringsfaktor_EI,'Korrigeringsfaktor EI'!Q$1,FALSE),
"")</f>
        <v>4.7524782608695659</v>
      </c>
      <c r="R437" s="18">
        <f>IFERROR(
                  Andel_oberoende_av_klimat*VLOOKUP($A437,Leveranser_per_nät,'Leveranser per nät'!R$1,FALSE)
               +Andel_beroende_av_klimat*VLOOKUP($A437,Leveranser_per_nät,'Leveranser per nät'!R$1,FALSE)/VLOOKUP($B437,Korrigeringsfaktor_EI,'Korrigeringsfaktor EI'!R$1,FALSE),
"")</f>
        <v>4.0446249999999999</v>
      </c>
      <c r="S437" s="18">
        <f>IFERROR(
                  Andel_oberoende_av_klimat*VLOOKUP($A437,Leveranser_per_nät,'Leveranser per nät'!S$1,FALSE)
               +Andel_beroende_av_klimat*VLOOKUP($A437,Leveranser_per_nät,'Leveranser per nät'!S$1,FALSE)/VLOOKUP($B437,Korrigeringsfaktor_EI,'Korrigeringsfaktor EI'!S$1,FALSE),
"")</f>
        <v>3.7560769230769226</v>
      </c>
      <c r="T437" s="18">
        <f>IFERROR(
                  Andel_oberoende_av_klimat*VLOOKUP($A437,Leveranser_per_nät,'Leveranser per nät'!T$1,FALSE)
               +Andel_beroende_av_klimat*VLOOKUP($A437,Leveranser_per_nät,'Leveranser per nät'!T$1,FALSE)/VLOOKUP($B437,Korrigeringsfaktor_EI,'Korrigeringsfaktor EI'!T$1,FALSE),
"")</f>
        <v>3.87</v>
      </c>
      <c r="U437" s="18">
        <f>IFERROR(
                  Andel_oberoende_av_klimat*VLOOKUP($A437,Leveranser_per_nät,'Leveranser per nät'!U$1,FALSE)
               +Andel_beroende_av_klimat*VLOOKUP($A437,Leveranser_per_nät,'Leveranser per nät'!U$1,FALSE)/VLOOKUP($B437,Korrigeringsfaktor_EI,'Korrigeringsfaktor EI'!U$1,FALSE),
"")</f>
        <v>3.9206318181818185</v>
      </c>
      <c r="V437" s="18">
        <f>IFERROR(
                  Andel_oberoende_av_klimat*VLOOKUP($A437,Leveranser_per_nät,'Leveranser per nät'!V$1,FALSE)
               +Andel_beroende_av_klimat*VLOOKUP($A437,Leveranser_per_nät,'Leveranser per nät'!V$1,FALSE)/VLOOKUP($B437,Korrigeringsfaktor_EI,'Korrigeringsfaktor EI'!V$1,FALSE),
"")</f>
        <v>3.9991623655913981</v>
      </c>
      <c r="W437" s="18">
        <f>IFERROR(
                  Andel_oberoende_av_klimat*VLOOKUP($A437,Leveranser_per_nät,'Leveranser per nät'!W$1,FALSE)
               +Andel_beroende_av_klimat*VLOOKUP($A437,Leveranser_per_nät,'Leveranser per nät'!W$1,FALSE)/VLOOKUP($B437,Korrigeringsfaktor_EI,'Korrigeringsfaktor EI'!W$1,FALSE),
"")</f>
        <v>4.0919666666666661</v>
      </c>
      <c r="X437" s="18">
        <f>IFERROR(
                  Andel_oberoende_av_klimat*VLOOKUP($A437,Leveranser_per_nät,'Leveranser per nät'!X$1,FALSE)
               +Andel_beroende_av_klimat*VLOOKUP($A437,Leveranser_per_nät,'Leveranser per nät'!X$1,FALSE)/VLOOKUP($B437,Korrigeringsfaktor_EI,'Korrigeringsfaktor EI'!X$1,FALSE),
"")</f>
        <v>4.2298750000000007</v>
      </c>
      <c r="Y437" s="18">
        <f>IFERROR(
                  Andel_oberoende_av_klimat*VLOOKUP($A437,Leveranser_per_nät,'Leveranser per nät'!Y$1,FALSE)
               +Andel_beroende_av_klimat*VLOOKUP($A437,Leveranser_per_nät,'Leveranser per nät'!Y$1,FALSE)/VLOOKUP($B437,Korrigeringsfaktor_EI,'Korrigeringsfaktor EI'!Y$1,FALSE),
"")</f>
        <v>5.2704000000000004</v>
      </c>
      <c r="Z437" s="18">
        <f>IFERROR(
                  Andel_oberoende_av_klimat*VLOOKUP($A437,Leveranser_per_nät,'Leveranser per nät'!Z$1,FALSE)
               +Andel_beroende_av_klimat*VLOOKUP($A437,Leveranser_per_nät,'Leveranser per nät'!Z$1,FALSE)/VLOOKUP($B437,Korrigeringsfaktor_EI,'Korrigeringsfaktor EI'!Z$1,FALSE),
"")</f>
        <v>6.4213146067415732</v>
      </c>
      <c r="AA437" s="18">
        <f>IFERROR(
                  Andel_oberoende_av_klimat*VLOOKUP($A437,Leveranser_per_nät,'Leveranser per nät'!AA$1,FALSE)
               +Andel_beroende_av_klimat*VLOOKUP($A437,Leveranser_per_nät,'Leveranser per nät'!AA$1,FALSE)/VLOOKUP($B437,Korrigeringsfaktor_EI,'Korrigeringsfaktor EI'!AA$1,FALSE),
"")</f>
        <v>6.3229739776951668</v>
      </c>
      <c r="AB437" s="18">
        <f>IFERROR(
                  Andel_oberoende_av_klimat*VLOOKUP($A437,Leveranser_per_nät,'Leveranser per nät'!AB$1,FALSE)
               +Andel_beroende_av_klimat*VLOOKUP($A437,Leveranser_per_nät,'Leveranser per nät'!AB$1,FALSE)/VLOOKUP($B437,Korrigeringsfaktor_EI,'Korrigeringsfaktor EI'!AB$1,FALSE),
"")</f>
        <v>6.6092759643916921</v>
      </c>
      <c r="AC437" s="18">
        <f>IFERROR(
                  Andel_oberoende_av_klimat*VLOOKUP($A437,Leveranser_per_nät,'Leveranser per nät'!AC$1,FALSE)
               +Andel_beroende_av_klimat*VLOOKUP($A437,Leveranser_per_nät,'Leveranser per nät'!AC$1,FALSE)/VLOOKUP($B437,Korrigeringsfaktor_EI,'Korrigeringsfaktor EI'!AC$1,FALSE),
"")</f>
        <v>6.5332248120300758</v>
      </c>
      <c r="AD437" t="e">
        <v>#N/A</v>
      </c>
    </row>
    <row r="438" spans="1:30" x14ac:dyDescent="0.25">
      <c r="A438" t="s">
        <v>152</v>
      </c>
      <c r="B438" t="s">
        <v>151</v>
      </c>
      <c r="C438" s="18">
        <f>IFERROR(
                  Andel_oberoende_av_klimat*VLOOKUP($A438,Leveranser_per_nät,'Leveranser per nät'!C$1,FALSE)
               +Andel_beroende_av_klimat*VLOOKUP($A438,Leveranser_per_nät,'Leveranser per nät'!C$1,FALSE)/VLOOKUP($B438,Korrigeringsfaktor_EI,'Korrigeringsfaktor EI'!C$1,FALSE),
"")</f>
        <v>0</v>
      </c>
      <c r="D438" s="18">
        <f>IFERROR(
                  Andel_oberoende_av_klimat*VLOOKUP($A438,Leveranser_per_nät,'Leveranser per nät'!D$1,FALSE)
               +Andel_beroende_av_klimat*VLOOKUP($A438,Leveranser_per_nät,'Leveranser per nät'!D$1,FALSE)/VLOOKUP($B438,Korrigeringsfaktor_EI,'Korrigeringsfaktor EI'!D$1,FALSE),
"")</f>
        <v>0</v>
      </c>
      <c r="E438" s="18">
        <f>IFERROR(
                  Andel_oberoende_av_klimat*VLOOKUP($A438,Leveranser_per_nät,'Leveranser per nät'!E$1,FALSE)
               +Andel_beroende_av_klimat*VLOOKUP($A438,Leveranser_per_nät,'Leveranser per nät'!E$1,FALSE)/VLOOKUP($B438,Korrigeringsfaktor_EI,'Korrigeringsfaktor EI'!E$1,FALSE),
"")</f>
        <v>0</v>
      </c>
      <c r="F438" s="18">
        <f>IFERROR(
                  Andel_oberoende_av_klimat*VLOOKUP($A438,Leveranser_per_nät,'Leveranser per nät'!F$1,FALSE)
               +Andel_beroende_av_klimat*VLOOKUP($A438,Leveranser_per_nät,'Leveranser per nät'!F$1,FALSE)/VLOOKUP($B438,Korrigeringsfaktor_EI,'Korrigeringsfaktor EI'!F$1,FALSE),
"")</f>
        <v>0</v>
      </c>
      <c r="G438" s="18">
        <f>IFERROR(
                  Andel_oberoende_av_klimat*VLOOKUP($A438,Leveranser_per_nät,'Leveranser per nät'!G$1,FALSE)
               +Andel_beroende_av_klimat*VLOOKUP($A438,Leveranser_per_nät,'Leveranser per nät'!G$1,FALSE)/VLOOKUP($B438,Korrigeringsfaktor_EI,'Korrigeringsfaktor EI'!G$1,FALSE),
"")</f>
        <v>1.0777777777777777</v>
      </c>
      <c r="H438" s="18">
        <f>IFERROR(
                  Andel_oberoende_av_klimat*VLOOKUP($A438,Leveranser_per_nät,'Leveranser per nät'!H$1,FALSE)
               +Andel_beroende_av_klimat*VLOOKUP($A438,Leveranser_per_nät,'Leveranser per nät'!H$1,FALSE)/VLOOKUP($B438,Korrigeringsfaktor_EI,'Korrigeringsfaktor EI'!H$1,FALSE),
"")</f>
        <v>5.0714285714285721</v>
      </c>
      <c r="I438" s="18">
        <f>IFERROR(
                  Andel_oberoende_av_klimat*VLOOKUP($A438,Leveranser_per_nät,'Leveranser per nät'!I$1,FALSE)
               +Andel_beroende_av_klimat*VLOOKUP($A438,Leveranser_per_nät,'Leveranser per nät'!I$1,FALSE)/VLOOKUP($B438,Korrigeringsfaktor_EI,'Korrigeringsfaktor EI'!I$1,FALSE),
"")</f>
        <v>7.3127659574468087</v>
      </c>
      <c r="J438" s="18">
        <f>IFERROR(
                  Andel_oberoende_av_klimat*VLOOKUP($A438,Leveranser_per_nät,'Leveranser per nät'!J$1,FALSE)
               +Andel_beroende_av_klimat*VLOOKUP($A438,Leveranser_per_nät,'Leveranser per nät'!J$1,FALSE)/VLOOKUP($B438,Korrigeringsfaktor_EI,'Korrigeringsfaktor EI'!J$1,FALSE),
"")</f>
        <v>9.1285714285714299</v>
      </c>
      <c r="K438" s="18">
        <f>IFERROR(
                  Andel_oberoende_av_klimat*VLOOKUP($A438,Leveranser_per_nät,'Leveranser per nät'!K$1,FALSE)
               +Andel_beroende_av_klimat*VLOOKUP($A438,Leveranser_per_nät,'Leveranser per nät'!K$1,FALSE)/VLOOKUP($B438,Korrigeringsfaktor_EI,'Korrigeringsfaktor EI'!K$1,FALSE),
"")</f>
        <v>10.545528571428573</v>
      </c>
      <c r="L438" s="18">
        <f>IFERROR(
                  Andel_oberoende_av_klimat*VLOOKUP($A438,Leveranser_per_nät,'Leveranser per nät'!L$1,FALSE)
               +Andel_beroende_av_klimat*VLOOKUP($A438,Leveranser_per_nät,'Leveranser per nät'!L$1,FALSE)/VLOOKUP($B438,Korrigeringsfaktor_EI,'Korrigeringsfaktor EI'!L$1,FALSE),
"")</f>
        <v>12.339708333333334</v>
      </c>
      <c r="M438" s="18">
        <f>IFERROR(
                  Andel_oberoende_av_klimat*VLOOKUP($A438,Leveranser_per_nät,'Leveranser per nät'!M$1,FALSE)
               +Andel_beroende_av_klimat*VLOOKUP($A438,Leveranser_per_nät,'Leveranser per nät'!M$1,FALSE)/VLOOKUP($B438,Korrigeringsfaktor_EI,'Korrigeringsfaktor EI'!M$1,FALSE),
"")</f>
        <v>13.971652173913043</v>
      </c>
      <c r="N438" s="18">
        <f>IFERROR(
                  Andel_oberoende_av_klimat*VLOOKUP($A438,Leveranser_per_nät,'Leveranser per nät'!N$1,FALSE)
               +Andel_beroende_av_klimat*VLOOKUP($A438,Leveranser_per_nät,'Leveranser per nät'!N$1,FALSE)/VLOOKUP($B438,Korrigeringsfaktor_EI,'Korrigeringsfaktor EI'!N$1,FALSE),
"")</f>
        <v>15.708611111111111</v>
      </c>
      <c r="O438" s="18">
        <f>IFERROR(
                  Andel_oberoende_av_klimat*VLOOKUP($A438,Leveranser_per_nät,'Leveranser per nät'!O$1,FALSE)
               +Andel_beroende_av_klimat*VLOOKUP($A438,Leveranser_per_nät,'Leveranser per nät'!O$1,FALSE)/VLOOKUP($B438,Korrigeringsfaktor_EI,'Korrigeringsfaktor EI'!O$1,FALSE),
"")</f>
        <v>16.914161538461538</v>
      </c>
      <c r="P438" s="18">
        <f>IFERROR(
                  Andel_oberoende_av_klimat*VLOOKUP($A438,Leveranser_per_nät,'Leveranser per nät'!P$1,FALSE)
               +Andel_beroende_av_klimat*VLOOKUP($A438,Leveranser_per_nät,'Leveranser per nät'!P$1,FALSE)/VLOOKUP($B438,Korrigeringsfaktor_EI,'Korrigeringsfaktor EI'!P$1,FALSE),
"")</f>
        <v>17.671936842105264</v>
      </c>
      <c r="Q438" s="18">
        <f>IFERROR(
                  Andel_oberoende_av_klimat*VLOOKUP($A438,Leveranser_per_nät,'Leveranser per nät'!Q$1,FALSE)
               +Andel_beroende_av_klimat*VLOOKUP($A438,Leveranser_per_nät,'Leveranser per nät'!Q$1,FALSE)/VLOOKUP($B438,Korrigeringsfaktor_EI,'Korrigeringsfaktor EI'!Q$1,FALSE),
"")</f>
        <v>18.27985</v>
      </c>
      <c r="R438" s="18">
        <f>IFERROR(
                  Andel_oberoende_av_klimat*VLOOKUP($A438,Leveranser_per_nät,'Leveranser per nät'!R$1,FALSE)
               +Andel_beroende_av_klimat*VLOOKUP($A438,Leveranser_per_nät,'Leveranser per nät'!R$1,FALSE)/VLOOKUP($B438,Korrigeringsfaktor_EI,'Korrigeringsfaktor EI'!R$1,FALSE),
"")</f>
        <v>17.369354838709675</v>
      </c>
      <c r="S438" s="18">
        <f>IFERROR(
                  Andel_oberoende_av_klimat*VLOOKUP($A438,Leveranser_per_nät,'Leveranser per nät'!S$1,FALSE)
               +Andel_beroende_av_klimat*VLOOKUP($A438,Leveranser_per_nät,'Leveranser per nät'!S$1,FALSE)/VLOOKUP($B438,Korrigeringsfaktor_EI,'Korrigeringsfaktor EI'!S$1,FALSE),
"")</f>
        <v>16.766666666666666</v>
      </c>
      <c r="T438" s="18">
        <f>IFERROR(
                  Andel_oberoende_av_klimat*VLOOKUP($A438,Leveranser_per_nät,'Leveranser per nät'!T$1,FALSE)
               +Andel_beroende_av_klimat*VLOOKUP($A438,Leveranser_per_nät,'Leveranser per nät'!T$1,FALSE)/VLOOKUP($B438,Korrigeringsfaktor_EI,'Korrigeringsfaktor EI'!T$1,FALSE),
"")</f>
        <v>17.242857142857144</v>
      </c>
      <c r="U438" s="18">
        <f>IFERROR(
                  Andel_oberoende_av_klimat*VLOOKUP($A438,Leveranser_per_nät,'Leveranser per nät'!U$1,FALSE)
               +Andel_beroende_av_klimat*VLOOKUP($A438,Leveranser_per_nät,'Leveranser per nät'!U$1,FALSE)/VLOOKUP($B438,Korrigeringsfaktor_EI,'Korrigeringsfaktor EI'!U$1,FALSE),
"")</f>
        <v>16.431818181818183</v>
      </c>
      <c r="V438" s="18">
        <f>IFERROR(
                  Andel_oberoende_av_klimat*VLOOKUP($A438,Leveranser_per_nät,'Leveranser per nät'!V$1,FALSE)
               +Andel_beroende_av_klimat*VLOOKUP($A438,Leveranser_per_nät,'Leveranser per nät'!V$1,FALSE)/VLOOKUP($B438,Korrigeringsfaktor_EI,'Korrigeringsfaktor EI'!V$1,FALSE),
"")</f>
        <v>17.895698924731182</v>
      </c>
      <c r="W438" s="18">
        <f>IFERROR(
                  Andel_oberoende_av_klimat*VLOOKUP($A438,Leveranser_per_nät,'Leveranser per nät'!W$1,FALSE)
               +Andel_beroende_av_klimat*VLOOKUP($A438,Leveranser_per_nät,'Leveranser per nät'!W$1,FALSE)/VLOOKUP($B438,Korrigeringsfaktor_EI,'Korrigeringsfaktor EI'!W$1,FALSE),
"")</f>
        <v>17.759574468085106</v>
      </c>
      <c r="X438" s="18">
        <f>IFERROR(
                  Andel_oberoende_av_klimat*VLOOKUP($A438,Leveranser_per_nät,'Leveranser per nät'!X$1,FALSE)
               +Andel_beroende_av_klimat*VLOOKUP($A438,Leveranser_per_nät,'Leveranser per nät'!X$1,FALSE)/VLOOKUP($B438,Korrigeringsfaktor_EI,'Korrigeringsfaktor EI'!X$1,FALSE),
"")</f>
        <v>18.632580645161291</v>
      </c>
      <c r="Y438" s="18">
        <f>IFERROR(
                  Andel_oberoende_av_klimat*VLOOKUP($A438,Leveranser_per_nät,'Leveranser per nät'!Y$1,FALSE)
               +Andel_beroende_av_klimat*VLOOKUP($A438,Leveranser_per_nät,'Leveranser per nät'!Y$1,FALSE)/VLOOKUP($B438,Korrigeringsfaktor_EI,'Korrigeringsfaktor EI'!Y$1,FALSE),
"")</f>
        <v>18.470786516853931</v>
      </c>
      <c r="Z438" s="18">
        <f>IFERROR(
                  Andel_oberoende_av_klimat*VLOOKUP($A438,Leveranser_per_nät,'Leveranser per nät'!Z$1,FALSE)
               +Andel_beroende_av_klimat*VLOOKUP($A438,Leveranser_per_nät,'Leveranser per nät'!Z$1,FALSE)/VLOOKUP($B438,Korrigeringsfaktor_EI,'Korrigeringsfaktor EI'!Z$1,FALSE),
"")</f>
        <v>18.667701149425284</v>
      </c>
      <c r="AA438" s="18">
        <f>IFERROR(
                  Andel_oberoende_av_klimat*VLOOKUP($A438,Leveranser_per_nät,'Leveranser per nät'!AA$1,FALSE)
               +Andel_beroende_av_klimat*VLOOKUP($A438,Leveranser_per_nät,'Leveranser per nät'!AA$1,FALSE)/VLOOKUP($B438,Korrigeringsfaktor_EI,'Korrigeringsfaktor EI'!AA$1,FALSE),
"")</f>
        <v>19.254461240310079</v>
      </c>
      <c r="AB438" s="18">
        <f>IFERROR(
                  Andel_oberoende_av_klimat*VLOOKUP($A438,Leveranser_per_nät,'Leveranser per nät'!AB$1,FALSE)
               +Andel_beroende_av_klimat*VLOOKUP($A438,Leveranser_per_nät,'Leveranser per nät'!AB$1,FALSE)/VLOOKUP($B438,Korrigeringsfaktor_EI,'Korrigeringsfaktor EI'!AB$1,FALSE),
"")</f>
        <v>18.773758620689655</v>
      </c>
      <c r="AC438" s="18">
        <f>IFERROR(
                  Andel_oberoende_av_klimat*VLOOKUP($A438,Leveranser_per_nät,'Leveranser per nät'!AC$1,FALSE)
               +Andel_beroende_av_klimat*VLOOKUP($A438,Leveranser_per_nät,'Leveranser per nät'!AC$1,FALSE)/VLOOKUP($B438,Korrigeringsfaktor_EI,'Korrigeringsfaktor EI'!AC$1,FALSE),
"")</f>
        <v>18.327263269639065</v>
      </c>
      <c r="AD438">
        <v>177.02</v>
      </c>
    </row>
    <row r="439" spans="1:30" x14ac:dyDescent="0.25">
      <c r="A439" t="s">
        <v>442</v>
      </c>
      <c r="B439" t="s">
        <v>444</v>
      </c>
      <c r="C439" s="18">
        <f>IFERROR(
                  Andel_oberoende_av_klimat*VLOOKUP($A439,Leveranser_per_nät,'Leveranser per nät'!C$1,FALSE)
               +Andel_beroende_av_klimat*VLOOKUP($A439,Leveranser_per_nät,'Leveranser per nät'!C$1,FALSE)/VLOOKUP($B439,Korrigeringsfaktor_EI,'Korrigeringsfaktor EI'!C$1,FALSE),
"")</f>
        <v>0</v>
      </c>
      <c r="D439" s="18">
        <f>IFERROR(
                  Andel_oberoende_av_klimat*VLOOKUP($A439,Leveranser_per_nät,'Leveranser per nät'!D$1,FALSE)
               +Andel_beroende_av_klimat*VLOOKUP($A439,Leveranser_per_nät,'Leveranser per nät'!D$1,FALSE)/VLOOKUP($B439,Korrigeringsfaktor_EI,'Korrigeringsfaktor EI'!D$1,FALSE),
"")</f>
        <v>0</v>
      </c>
      <c r="E439" s="18">
        <f>IFERROR(
                  Andel_oberoende_av_klimat*VLOOKUP($A439,Leveranser_per_nät,'Leveranser per nät'!E$1,FALSE)
               +Andel_beroende_av_klimat*VLOOKUP($A439,Leveranser_per_nät,'Leveranser per nät'!E$1,FALSE)/VLOOKUP($B439,Korrigeringsfaktor_EI,'Korrigeringsfaktor EI'!E$1,FALSE),
"")</f>
        <v>0</v>
      </c>
      <c r="F439" s="18">
        <f>IFERROR(
                  Andel_oberoende_av_klimat*VLOOKUP($A439,Leveranser_per_nät,'Leveranser per nät'!F$1,FALSE)
               +Andel_beroende_av_klimat*VLOOKUP($A439,Leveranser_per_nät,'Leveranser per nät'!F$1,FALSE)/VLOOKUP($B439,Korrigeringsfaktor_EI,'Korrigeringsfaktor EI'!F$1,FALSE),
"")</f>
        <v>0</v>
      </c>
      <c r="G439" s="18">
        <f>IFERROR(
                  Andel_oberoende_av_klimat*VLOOKUP($A439,Leveranser_per_nät,'Leveranser per nät'!G$1,FALSE)
               +Andel_beroende_av_klimat*VLOOKUP($A439,Leveranser_per_nät,'Leveranser per nät'!G$1,FALSE)/VLOOKUP($B439,Korrigeringsfaktor_EI,'Korrigeringsfaktor EI'!G$1,FALSE),
"")</f>
        <v>0</v>
      </c>
      <c r="H439" s="18">
        <f>IFERROR(
                  Andel_oberoende_av_klimat*VLOOKUP($A439,Leveranser_per_nät,'Leveranser per nät'!H$1,FALSE)
               +Andel_beroende_av_klimat*VLOOKUP($A439,Leveranser_per_nät,'Leveranser per nät'!H$1,FALSE)/VLOOKUP($B439,Korrigeringsfaktor_EI,'Korrigeringsfaktor EI'!H$1,FALSE),
"")</f>
        <v>0</v>
      </c>
      <c r="I439" s="18">
        <f>IFERROR(
                  Andel_oberoende_av_klimat*VLOOKUP($A439,Leveranser_per_nät,'Leveranser per nät'!I$1,FALSE)
               +Andel_beroende_av_klimat*VLOOKUP($A439,Leveranser_per_nät,'Leveranser per nät'!I$1,FALSE)/VLOOKUP($B439,Korrigeringsfaktor_EI,'Korrigeringsfaktor EI'!I$1,FALSE),
"")</f>
        <v>0</v>
      </c>
      <c r="J439" s="18">
        <f>IFERROR(
                  Andel_oberoende_av_klimat*VLOOKUP($A439,Leveranser_per_nät,'Leveranser per nät'!J$1,FALSE)
               +Andel_beroende_av_klimat*VLOOKUP($A439,Leveranser_per_nät,'Leveranser per nät'!J$1,FALSE)/VLOOKUP($B439,Korrigeringsfaktor_EI,'Korrigeringsfaktor EI'!J$1,FALSE),
"")</f>
        <v>0</v>
      </c>
      <c r="K439" s="18">
        <f>IFERROR(
                  Andel_oberoende_av_klimat*VLOOKUP($A439,Leveranser_per_nät,'Leveranser per nät'!K$1,FALSE)
               +Andel_beroende_av_klimat*VLOOKUP($A439,Leveranser_per_nät,'Leveranser per nät'!K$1,FALSE)/VLOOKUP($B439,Korrigeringsfaktor_EI,'Korrigeringsfaktor EI'!K$1,FALSE),
"")</f>
        <v>0</v>
      </c>
      <c r="L439" s="18">
        <f>IFERROR(
                  Andel_oberoende_av_klimat*VLOOKUP($A439,Leveranser_per_nät,'Leveranser per nät'!L$1,FALSE)
               +Andel_beroende_av_klimat*VLOOKUP($A439,Leveranser_per_nät,'Leveranser per nät'!L$1,FALSE)/VLOOKUP($B439,Korrigeringsfaktor_EI,'Korrigeringsfaktor EI'!L$1,FALSE),
"")</f>
        <v>0</v>
      </c>
      <c r="M439" s="18">
        <f>IFERROR(
                  Andel_oberoende_av_klimat*VLOOKUP($A439,Leveranser_per_nät,'Leveranser per nät'!M$1,FALSE)
               +Andel_beroende_av_klimat*VLOOKUP($A439,Leveranser_per_nät,'Leveranser per nät'!M$1,FALSE)/VLOOKUP($B439,Korrigeringsfaktor_EI,'Korrigeringsfaktor EI'!M$1,FALSE),
"")</f>
        <v>0</v>
      </c>
      <c r="N439" s="18">
        <f>IFERROR(
                  Andel_oberoende_av_klimat*VLOOKUP($A439,Leveranser_per_nät,'Leveranser per nät'!N$1,FALSE)
               +Andel_beroende_av_klimat*VLOOKUP($A439,Leveranser_per_nät,'Leveranser per nät'!N$1,FALSE)/VLOOKUP($B439,Korrigeringsfaktor_EI,'Korrigeringsfaktor EI'!N$1,FALSE),
"")</f>
        <v>0</v>
      </c>
      <c r="O439" s="18">
        <f>IFERROR(
                  Andel_oberoende_av_klimat*VLOOKUP($A439,Leveranser_per_nät,'Leveranser per nät'!O$1,FALSE)
               +Andel_beroende_av_klimat*VLOOKUP($A439,Leveranser_per_nät,'Leveranser per nät'!O$1,FALSE)/VLOOKUP($B439,Korrigeringsfaktor_EI,'Korrigeringsfaktor EI'!O$1,FALSE),
"")</f>
        <v>0</v>
      </c>
      <c r="P439" s="18">
        <f>IFERROR(
                  Andel_oberoende_av_klimat*VLOOKUP($A439,Leveranser_per_nät,'Leveranser per nät'!P$1,FALSE)
               +Andel_beroende_av_klimat*VLOOKUP($A439,Leveranser_per_nät,'Leveranser per nät'!P$1,FALSE)/VLOOKUP($B439,Korrigeringsfaktor_EI,'Korrigeringsfaktor EI'!P$1,FALSE),
"")</f>
        <v>0</v>
      </c>
      <c r="Q439" s="18">
        <f>IFERROR(
                  Andel_oberoende_av_klimat*VLOOKUP($A439,Leveranser_per_nät,'Leveranser per nät'!Q$1,FALSE)
               +Andel_beroende_av_klimat*VLOOKUP($A439,Leveranser_per_nät,'Leveranser per nät'!Q$1,FALSE)/VLOOKUP($B439,Korrigeringsfaktor_EI,'Korrigeringsfaktor EI'!Q$1,FALSE),
"")</f>
        <v>0</v>
      </c>
      <c r="R439" s="18">
        <f>IFERROR(
                  Andel_oberoende_av_klimat*VLOOKUP($A439,Leveranser_per_nät,'Leveranser per nät'!R$1,FALSE)
               +Andel_beroende_av_klimat*VLOOKUP($A439,Leveranser_per_nät,'Leveranser per nät'!R$1,FALSE)/VLOOKUP($B439,Korrigeringsfaktor_EI,'Korrigeringsfaktor EI'!R$1,FALSE),
"")</f>
        <v>0</v>
      </c>
      <c r="S439" s="18">
        <f>IFERROR(
                  Andel_oberoende_av_klimat*VLOOKUP($A439,Leveranser_per_nät,'Leveranser per nät'!S$1,FALSE)
               +Andel_beroende_av_klimat*VLOOKUP($A439,Leveranser_per_nät,'Leveranser per nät'!S$1,FALSE)/VLOOKUP($B439,Korrigeringsfaktor_EI,'Korrigeringsfaktor EI'!S$1,FALSE),
"")</f>
        <v>67.394736842105274</v>
      </c>
      <c r="T439" s="18">
        <f>IFERROR(
                  Andel_oberoende_av_klimat*VLOOKUP($A439,Leveranser_per_nät,'Leveranser per nät'!T$1,FALSE)
               +Andel_beroende_av_klimat*VLOOKUP($A439,Leveranser_per_nät,'Leveranser per nät'!T$1,FALSE)/VLOOKUP($B439,Korrigeringsfaktor_EI,'Korrigeringsfaktor EI'!T$1,FALSE),
"")</f>
        <v>80.833333333333329</v>
      </c>
      <c r="U439" s="18">
        <f>IFERROR(
                  Andel_oberoende_av_klimat*VLOOKUP($A439,Leveranser_per_nät,'Leveranser per nät'!U$1,FALSE)
               +Andel_beroende_av_klimat*VLOOKUP($A439,Leveranser_per_nät,'Leveranser per nät'!U$1,FALSE)/VLOOKUP($B439,Korrigeringsfaktor_EI,'Korrigeringsfaktor EI'!U$1,FALSE),
"")</f>
        <v>91.91357471264368</v>
      </c>
      <c r="V439" s="18">
        <f>IFERROR(
                  Andel_oberoende_av_klimat*VLOOKUP($A439,Leveranser_per_nät,'Leveranser per nät'!V$1,FALSE)
               +Andel_beroende_av_klimat*VLOOKUP($A439,Leveranser_per_nät,'Leveranser per nät'!V$1,FALSE)/VLOOKUP($B439,Korrigeringsfaktor_EI,'Korrigeringsfaktor EI'!V$1,FALSE),
"")</f>
        <v>95.518466666666669</v>
      </c>
      <c r="W439" s="18">
        <f>IFERROR(
                  Andel_oberoende_av_klimat*VLOOKUP($A439,Leveranser_per_nät,'Leveranser per nät'!W$1,FALSE)
               +Andel_beroende_av_klimat*VLOOKUP($A439,Leveranser_per_nät,'Leveranser per nät'!W$1,FALSE)/VLOOKUP($B439,Korrigeringsfaktor_EI,'Korrigeringsfaktor EI'!W$1,FALSE),
"")</f>
        <v>136.67838764044944</v>
      </c>
      <c r="X439" s="18">
        <f>IFERROR(
                  Andel_oberoende_av_klimat*VLOOKUP($A439,Leveranser_per_nät,'Leveranser per nät'!X$1,FALSE)
               +Andel_beroende_av_klimat*VLOOKUP($A439,Leveranser_per_nät,'Leveranser per nät'!X$1,FALSE)/VLOOKUP($B439,Korrigeringsfaktor_EI,'Korrigeringsfaktor EI'!X$1,FALSE),
"")</f>
        <v>143.53104943820225</v>
      </c>
      <c r="Y439" s="18">
        <f>IFERROR(
                  Andel_oberoende_av_klimat*VLOOKUP($A439,Leveranser_per_nät,'Leveranser per nät'!Y$1,FALSE)
               +Andel_beroende_av_klimat*VLOOKUP($A439,Leveranser_per_nät,'Leveranser per nät'!Y$1,FALSE)/VLOOKUP($B439,Korrigeringsfaktor_EI,'Korrigeringsfaktor EI'!Y$1,FALSE),
"")</f>
        <v>150.42048139534882</v>
      </c>
      <c r="Z439" s="18">
        <f>IFERROR(
                  Andel_oberoende_av_klimat*VLOOKUP($A439,Leveranser_per_nät,'Leveranser per nät'!Z$1,FALSE)
               +Andel_beroende_av_klimat*VLOOKUP($A439,Leveranser_per_nät,'Leveranser per nät'!Z$1,FALSE)/VLOOKUP($B439,Korrigeringsfaktor_EI,'Korrigeringsfaktor EI'!Z$1,FALSE),
"")</f>
        <v>156.13688235294117</v>
      </c>
      <c r="AA439" s="18">
        <f>IFERROR(
                  Andel_oberoende_av_klimat*VLOOKUP($A439,Leveranser_per_nät,'Leveranser per nät'!AA$1,FALSE)
               +Andel_beroende_av_klimat*VLOOKUP($A439,Leveranser_per_nät,'Leveranser per nät'!AA$1,FALSE)/VLOOKUP($B439,Korrigeringsfaktor_EI,'Korrigeringsfaktor EI'!AA$1,FALSE),
"")</f>
        <v>150.52130916736752</v>
      </c>
      <c r="AB439" s="18">
        <f>IFERROR(
                  Andel_oberoende_av_klimat*VLOOKUP($A439,Leveranser_per_nät,'Leveranser per nät'!AB$1,FALSE)
               +Andel_beroende_av_klimat*VLOOKUP($A439,Leveranser_per_nät,'Leveranser per nät'!AB$1,FALSE)/VLOOKUP($B439,Korrigeringsfaktor_EI,'Korrigeringsfaktor EI'!AB$1,FALSE),
"")</f>
        <v>151.31550909090907</v>
      </c>
      <c r="AC439" s="18">
        <f>IFERROR(
                  Andel_oberoende_av_klimat*VLOOKUP($A439,Leveranser_per_nät,'Leveranser per nät'!AC$1,FALSE)
               +Andel_beroende_av_klimat*VLOOKUP($A439,Leveranser_per_nät,'Leveranser per nät'!AC$1,FALSE)/VLOOKUP($B439,Korrigeringsfaktor_EI,'Korrigeringsfaktor EI'!AC$1,FALSE),
"")</f>
        <v>150.72435169491527</v>
      </c>
      <c r="AD439" t="e">
        <v>#N/A</v>
      </c>
    </row>
    <row r="440" spans="1:30" x14ac:dyDescent="0.25">
      <c r="A440" t="s">
        <v>430</v>
      </c>
      <c r="B440" t="s">
        <v>430</v>
      </c>
      <c r="C440" s="18">
        <f>IFERROR(
                  Andel_oberoende_av_klimat*VLOOKUP($A440,Leveranser_per_nät,'Leveranser per nät'!C$1,FALSE)
               +Andel_beroende_av_klimat*VLOOKUP($A440,Leveranser_per_nät,'Leveranser per nät'!C$1,FALSE)/VLOOKUP("Mariestad",Korrigeringsfaktor_EI,'Korrigeringsfaktor EI'!C$1,FALSE),
"")</f>
        <v>0</v>
      </c>
      <c r="D440" s="18">
        <f>IFERROR(
                  Andel_oberoende_av_klimat*VLOOKUP($A440,Leveranser_per_nät,'Leveranser per nät'!D$1,FALSE)
               +Andel_beroende_av_klimat*VLOOKUP($A440,Leveranser_per_nät,'Leveranser per nät'!D$1,FALSE)/VLOOKUP("Mariestad",Korrigeringsfaktor_EI,'Korrigeringsfaktor EI'!D$1,FALSE),
"")</f>
        <v>0</v>
      </c>
      <c r="E440" s="18">
        <f>IFERROR(
                  Andel_oberoende_av_klimat*VLOOKUP($A440,Leveranser_per_nät,'Leveranser per nät'!E$1,FALSE)
               +Andel_beroende_av_klimat*VLOOKUP($A440,Leveranser_per_nät,'Leveranser per nät'!E$1,FALSE)/VLOOKUP("Mariestad",Korrigeringsfaktor_EI,'Korrigeringsfaktor EI'!E$1,FALSE),
"")</f>
        <v>0</v>
      </c>
      <c r="F440" s="18">
        <f>IFERROR(
                  Andel_oberoende_av_klimat*VLOOKUP($A440,Leveranser_per_nät,'Leveranser per nät'!F$1,FALSE)
               +Andel_beroende_av_klimat*VLOOKUP($A440,Leveranser_per_nät,'Leveranser per nät'!F$1,FALSE)/VLOOKUP("Mariestad",Korrigeringsfaktor_EI,'Korrigeringsfaktor EI'!F$1,FALSE),
"")</f>
        <v>0</v>
      </c>
      <c r="G440" s="18">
        <f>IFERROR(
                  Andel_oberoende_av_klimat*VLOOKUP($A440,Leveranser_per_nät,'Leveranser per nät'!G$1,FALSE)
               +Andel_beroende_av_klimat*VLOOKUP($A440,Leveranser_per_nät,'Leveranser per nät'!G$1,FALSE)/VLOOKUP("Mariestad",Korrigeringsfaktor_EI,'Korrigeringsfaktor EI'!G$1,FALSE),
"")</f>
        <v>0</v>
      </c>
      <c r="H440" s="18">
        <f>IFERROR(
                  Andel_oberoende_av_klimat*VLOOKUP($A440,Leveranser_per_nät,'Leveranser per nät'!H$1,FALSE)
               +Andel_beroende_av_klimat*VLOOKUP($A440,Leveranser_per_nät,'Leveranser per nät'!H$1,FALSE)/VLOOKUP("Mariestad",Korrigeringsfaktor_EI,'Korrigeringsfaktor EI'!H$1,FALSE),
"")</f>
        <v>0</v>
      </c>
      <c r="I440" s="18">
        <f>IFERROR(
                  Andel_oberoende_av_klimat*VLOOKUP($A440,Leveranser_per_nät,'Leveranser per nät'!I$1,FALSE)
               +Andel_beroende_av_klimat*VLOOKUP($A440,Leveranser_per_nät,'Leveranser per nät'!I$1,FALSE)/VLOOKUP("Mariestad",Korrigeringsfaktor_EI,'Korrigeringsfaktor EI'!I$1,FALSE),
"")</f>
        <v>0</v>
      </c>
      <c r="J440" s="18">
        <f>IFERROR(
                  Andel_oberoende_av_klimat*VLOOKUP($A440,Leveranser_per_nät,'Leveranser per nät'!J$1,FALSE)
               +Andel_beroende_av_klimat*VLOOKUP($A440,Leveranser_per_nät,'Leveranser per nät'!J$1,FALSE)/VLOOKUP("Mariestad",Korrigeringsfaktor_EI,'Korrigeringsfaktor EI'!J$1,FALSE),
"")</f>
        <v>0</v>
      </c>
      <c r="K440" s="18">
        <f>IFERROR(
                  Andel_oberoende_av_klimat*VLOOKUP($A440,Leveranser_per_nät,'Leveranser per nät'!K$1,FALSE)
               +Andel_beroende_av_klimat*VLOOKUP($A440,Leveranser_per_nät,'Leveranser per nät'!K$1,FALSE)/VLOOKUP("Mariestad",Korrigeringsfaktor_EI,'Korrigeringsfaktor EI'!K$1,FALSE),
"")</f>
        <v>0</v>
      </c>
      <c r="L440" s="18">
        <f>IFERROR(
                  Andel_oberoende_av_klimat*VLOOKUP($A440,Leveranser_per_nät,'Leveranser per nät'!L$1,FALSE)
               +Andel_beroende_av_klimat*VLOOKUP($A440,Leveranser_per_nät,'Leveranser per nät'!L$1,FALSE)/VLOOKUP("Mariestad",Korrigeringsfaktor_EI,'Korrigeringsfaktor EI'!L$1,FALSE),
"")</f>
        <v>0</v>
      </c>
      <c r="M440" s="18">
        <f>IFERROR(
                  Andel_oberoende_av_klimat*VLOOKUP($A440,Leveranser_per_nät,'Leveranser per nät'!M$1,FALSE)
               +Andel_beroende_av_klimat*VLOOKUP($A440,Leveranser_per_nät,'Leveranser per nät'!M$1,FALSE)/VLOOKUP("Mariestad",Korrigeringsfaktor_EI,'Korrigeringsfaktor EI'!M$1,FALSE),
"")</f>
        <v>0</v>
      </c>
      <c r="N440" s="18">
        <f>IFERROR(
                  Andel_oberoende_av_klimat*VLOOKUP($A440,Leveranser_per_nät,'Leveranser per nät'!N$1,FALSE)
               +Andel_beroende_av_klimat*VLOOKUP($A440,Leveranser_per_nät,'Leveranser per nät'!N$1,FALSE)/VLOOKUP("Mariestad",Korrigeringsfaktor_EI,'Korrigeringsfaktor EI'!N$1,FALSE),
"")</f>
        <v>0</v>
      </c>
      <c r="O440" s="18">
        <f>IFERROR(
                  Andel_oberoende_av_klimat*VLOOKUP($A440,Leveranser_per_nät,'Leveranser per nät'!O$1,FALSE)
               +Andel_beroende_av_klimat*VLOOKUP($A440,Leveranser_per_nät,'Leveranser per nät'!O$1,FALSE)/VLOOKUP("Mariestad",Korrigeringsfaktor_EI,'Korrigeringsfaktor EI'!O$1,FALSE),
"")</f>
        <v>0</v>
      </c>
      <c r="P440" s="18">
        <f>IFERROR(
                  Andel_oberoende_av_klimat*VLOOKUP($A440,Leveranser_per_nät,'Leveranser per nät'!P$1,FALSE)
               +Andel_beroende_av_klimat*VLOOKUP($A440,Leveranser_per_nät,'Leveranser per nät'!P$1,FALSE)/VLOOKUP("Mariestad",Korrigeringsfaktor_EI,'Korrigeringsfaktor EI'!P$1,FALSE),
"")</f>
        <v>0</v>
      </c>
      <c r="Q440" s="18">
        <f>IFERROR(
                  Andel_oberoende_av_klimat*VLOOKUP($A440,Leveranser_per_nät,'Leveranser per nät'!Q$1,FALSE)
               +Andel_beroende_av_klimat*VLOOKUP($A440,Leveranser_per_nät,'Leveranser per nät'!Q$1,FALSE)/VLOOKUP("Mariestad",Korrigeringsfaktor_EI,'Korrigeringsfaktor EI'!Q$1,FALSE),
"")</f>
        <v>22.107499999999998</v>
      </c>
      <c r="R440" s="18">
        <f>IFERROR(
                  Andel_oberoende_av_klimat*VLOOKUP($A440,Leveranser_per_nät,'Leveranser per nät'!R$1,FALSE)
               +Andel_beroende_av_klimat*VLOOKUP($A440,Leveranser_per_nät,'Leveranser per nät'!R$1,FALSE)/VLOOKUP("Mariestad",Korrigeringsfaktor_EI,'Korrigeringsfaktor EI'!R$1,FALSE),
"")</f>
        <v>22.334440449438201</v>
      </c>
      <c r="S440" s="18">
        <f>IFERROR(
                  Andel_oberoende_av_klimat*VLOOKUP($A440,Leveranser_per_nät,'Leveranser per nät'!S$1,FALSE)
               +Andel_beroende_av_klimat*VLOOKUP($A440,Leveranser_per_nät,'Leveranser per nät'!S$1,FALSE)/VLOOKUP("Mariestad",Korrigeringsfaktor_EI,'Korrigeringsfaktor EI'!S$1,FALSE),
"")</f>
        <v>29.627835051546391</v>
      </c>
      <c r="T440" s="18">
        <f>IFERROR(
                  Andel_oberoende_av_klimat*VLOOKUP($A440,Leveranser_per_nät,'Leveranser per nät'!T$1,FALSE)
               +Andel_beroende_av_klimat*VLOOKUP($A440,Leveranser_per_nät,'Leveranser per nät'!T$1,FALSE)/VLOOKUP("Mariestad",Korrigeringsfaktor_EI,'Korrigeringsfaktor EI'!T$1,FALSE),
"")</f>
        <v>24.158421052631581</v>
      </c>
      <c r="U440" s="18">
        <f>IFERROR(
                  Andel_oberoende_av_klimat*VLOOKUP($A440,Leveranser_per_nät,'Leveranser per nät'!U$1,FALSE)
               +Andel_beroende_av_klimat*VLOOKUP($A440,Leveranser_per_nät,'Leveranser per nät'!U$1,FALSE)/VLOOKUP("Mariestad",Korrigeringsfaktor_EI,'Korrigeringsfaktor EI'!U$1,FALSE),
"")</f>
        <v>22.50186046511628</v>
      </c>
      <c r="V440" s="18">
        <f>IFERROR(
                  Andel_oberoende_av_klimat*VLOOKUP($A440,Leveranser_per_nät,'Leveranser per nät'!V$1,FALSE)
               +Andel_beroende_av_klimat*VLOOKUP($A440,Leveranser_per_nät,'Leveranser per nät'!V$1,FALSE)/VLOOKUP("Mariestad",Korrigeringsfaktor_EI,'Korrigeringsfaktor EI'!V$1,FALSE),
"")</f>
        <v>24.411609195402303</v>
      </c>
      <c r="W440" s="18">
        <f>IFERROR(
                  Andel_oberoende_av_klimat*VLOOKUP($A440,Leveranser_per_nät,'Leveranser per nät'!W$1,FALSE)
               +Andel_beroende_av_klimat*VLOOKUP($A440,Leveranser_per_nät,'Leveranser per nät'!W$1,FALSE)/VLOOKUP("Mariestad",Korrigeringsfaktor_EI,'Korrigeringsfaktor EI'!W$1,FALSE),
"")</f>
        <v>26.743829787234041</v>
      </c>
      <c r="X440" s="18">
        <f>IFERROR(
                  Andel_oberoende_av_klimat*VLOOKUP($A440,Leveranser_per_nät,'Leveranser per nät'!X$1,FALSE)
               +Andel_beroende_av_klimat*VLOOKUP($A440,Leveranser_per_nät,'Leveranser per nät'!X$1,FALSE)/VLOOKUP("Mariestad",Korrigeringsfaktor_EI,'Korrigeringsfaktor EI'!X$1,FALSE),
"")</f>
        <v>27.096730434782611</v>
      </c>
      <c r="Y440" s="18">
        <f>IFERROR(
                  Andel_oberoende_av_klimat*VLOOKUP($A440,Leveranser_per_nät,'Leveranser per nät'!Y$1,FALSE)
               +Andel_beroende_av_klimat*VLOOKUP($A440,Leveranser_per_nät,'Leveranser per nät'!Y$1,FALSE)/VLOOKUP($B440,Korrigeringsfaktor_EI,'Korrigeringsfaktor EI'!Y$1,FALSE),
"")</f>
        <v>28.041622222222223</v>
      </c>
      <c r="Z440" s="18">
        <f>IFERROR(
                  Andel_oberoende_av_klimat*VLOOKUP($A440,Leveranser_per_nät,'Leveranser per nät'!Z$1,FALSE)
               +Andel_beroende_av_klimat*VLOOKUP($A440,Leveranser_per_nät,'Leveranser per nät'!Z$1,FALSE)/VLOOKUP($B440,Korrigeringsfaktor_EI,'Korrigeringsfaktor EI'!Z$1,FALSE),
"")</f>
        <v>26.897790909090908</v>
      </c>
      <c r="AA440" s="18">
        <f>IFERROR(
                  Andel_oberoende_av_klimat*VLOOKUP($A440,Leveranser_per_nät,'Leveranser per nät'!AA$1,FALSE)
               +Andel_beroende_av_klimat*VLOOKUP($A440,Leveranser_per_nät,'Leveranser per nät'!AA$1,FALSE)/VLOOKUP($B440,Korrigeringsfaktor_EI,'Korrigeringsfaktor EI'!AA$1,FALSE),
"")</f>
        <v>26.361602829162138</v>
      </c>
      <c r="AB440" s="18">
        <f>IFERROR(
                  Andel_oberoende_av_klimat*VLOOKUP($A440,Leveranser_per_nät,'Leveranser per nät'!AB$1,FALSE)
               +Andel_beroende_av_klimat*VLOOKUP($A440,Leveranser_per_nät,'Leveranser per nät'!AB$1,FALSE)/VLOOKUP($B440,Korrigeringsfaktor_EI,'Korrigeringsfaktor EI'!AB$1,FALSE),
"")</f>
        <v>26.950667988107035</v>
      </c>
      <c r="AC440" s="18">
        <f>IFERROR(
                  Andel_oberoende_av_klimat*VLOOKUP($A440,Leveranser_per_nät,'Leveranser per nät'!AC$1,FALSE)
               +Andel_beroende_av_klimat*VLOOKUP($A440,Leveranser_per_nät,'Leveranser per nät'!AC$1,FALSE)/VLOOKUP($B440,Korrigeringsfaktor_EI,'Korrigeringsfaktor EI'!AC$1,FALSE),
"")</f>
        <v>26.159870350690753</v>
      </c>
      <c r="AD440">
        <v>25.06</v>
      </c>
    </row>
    <row r="441" spans="1:30" x14ac:dyDescent="0.25">
      <c r="A441" t="s">
        <v>320</v>
      </c>
      <c r="B441" t="s">
        <v>320</v>
      </c>
      <c r="C441" s="18">
        <f>IFERROR(
                  Andel_oberoende_av_klimat*VLOOKUP($A441,Leveranser_per_nät,'Leveranser per nät'!C$1,FALSE)
               +Andel_beroende_av_klimat*VLOOKUP($A441,Leveranser_per_nät,'Leveranser per nät'!C$1,FALSE)/VLOOKUP($B441,Korrigeringsfaktor_EI,'Korrigeringsfaktor EI'!C$1,FALSE),
"")</f>
        <v>270.60909090909092</v>
      </c>
      <c r="D441" s="18">
        <f>IFERROR(
                  Andel_oberoende_av_klimat*VLOOKUP($A441,Leveranser_per_nät,'Leveranser per nät'!D$1,FALSE)
               +Andel_beroende_av_klimat*VLOOKUP($A441,Leveranser_per_nät,'Leveranser per nät'!D$1,FALSE)/VLOOKUP($B441,Korrigeringsfaktor_EI,'Korrigeringsfaktor EI'!D$1,FALSE),
"")</f>
        <v>264.42</v>
      </c>
      <c r="E441" s="18">
        <f>IFERROR(
                  Andel_oberoende_av_klimat*VLOOKUP($A441,Leveranser_per_nät,'Leveranser per nät'!E$1,FALSE)
               +Andel_beroende_av_klimat*VLOOKUP($A441,Leveranser_per_nät,'Leveranser per nät'!E$1,FALSE)/VLOOKUP($B441,Korrigeringsfaktor_EI,'Korrigeringsfaktor EI'!E$1,FALSE),
"")</f>
        <v>268.41359223300969</v>
      </c>
      <c r="F441" s="18">
        <f>IFERROR(
                  Andel_oberoende_av_klimat*VLOOKUP($A441,Leveranser_per_nät,'Leveranser per nät'!F$1,FALSE)
               +Andel_beroende_av_klimat*VLOOKUP($A441,Leveranser_per_nät,'Leveranser per nät'!F$1,FALSE)/VLOOKUP($B441,Korrigeringsfaktor_EI,'Korrigeringsfaktor EI'!F$1,FALSE),
"")</f>
        <v>267.7714285714286</v>
      </c>
      <c r="G441" s="18">
        <f>IFERROR(
                  Andel_oberoende_av_klimat*VLOOKUP($A441,Leveranser_per_nät,'Leveranser per nät'!G$1,FALSE)
               +Andel_beroende_av_klimat*VLOOKUP($A441,Leveranser_per_nät,'Leveranser per nät'!G$1,FALSE)/VLOOKUP($B441,Korrigeringsfaktor_EI,'Korrigeringsfaktor EI'!G$1,FALSE),
"")</f>
        <v>255.54615384615383</v>
      </c>
      <c r="H441" s="18">
        <f>IFERROR(
                  Andel_oberoende_av_klimat*VLOOKUP($A441,Leveranser_per_nät,'Leveranser per nät'!H$1,FALSE)
               +Andel_beroende_av_klimat*VLOOKUP($A441,Leveranser_per_nät,'Leveranser per nät'!H$1,FALSE)/VLOOKUP($B441,Korrigeringsfaktor_EI,'Korrigeringsfaktor EI'!H$1,FALSE),
"")</f>
        <v>274.29126213592235</v>
      </c>
      <c r="I441" s="18">
        <f>IFERROR(
                  Andel_oberoende_av_klimat*VLOOKUP($A441,Leveranser_per_nät,'Leveranser per nät'!I$1,FALSE)
               +Andel_beroende_av_klimat*VLOOKUP($A441,Leveranser_per_nät,'Leveranser per nät'!I$1,FALSE)/VLOOKUP($B441,Korrigeringsfaktor_EI,'Korrigeringsfaktor EI'!I$1,FALSE),
"")</f>
        <v>272.72916666666669</v>
      </c>
      <c r="J441" s="18">
        <f>IFERROR(
                  Andel_oberoende_av_klimat*VLOOKUP($A441,Leveranser_per_nät,'Leveranser per nät'!J$1,FALSE)
               +Andel_beroende_av_klimat*VLOOKUP($A441,Leveranser_per_nät,'Leveranser per nät'!J$1,FALSE)/VLOOKUP($B441,Korrigeringsfaktor_EI,'Korrigeringsfaktor EI'!J$1,FALSE),
"")</f>
        <v>271.35117373737376</v>
      </c>
      <c r="K441" s="18">
        <f>IFERROR(
                  Andel_oberoende_av_klimat*VLOOKUP($A441,Leveranser_per_nät,'Leveranser per nät'!K$1,FALSE)
               +Andel_beroende_av_klimat*VLOOKUP($A441,Leveranser_per_nät,'Leveranser per nät'!K$1,FALSE)/VLOOKUP($B441,Korrigeringsfaktor_EI,'Korrigeringsfaktor EI'!K$1,FALSE),
"")</f>
        <v>270.18542268041239</v>
      </c>
      <c r="L441" s="18">
        <f>IFERROR(
                  Andel_oberoende_av_klimat*VLOOKUP($A441,Leveranser_per_nät,'Leveranser per nät'!L$1,FALSE)
               +Andel_beroende_av_klimat*VLOOKUP($A441,Leveranser_per_nät,'Leveranser per nät'!L$1,FALSE)/VLOOKUP($B441,Korrigeringsfaktor_EI,'Korrigeringsfaktor EI'!L$1,FALSE),
"")</f>
        <v>266.7733791666667</v>
      </c>
      <c r="M441" s="18">
        <f>IFERROR(
                  Andel_oberoende_av_klimat*VLOOKUP($A441,Leveranser_per_nät,'Leveranser per nät'!M$1,FALSE)
               +Andel_beroende_av_klimat*VLOOKUP($A441,Leveranser_per_nät,'Leveranser per nät'!M$1,FALSE)/VLOOKUP($B441,Korrigeringsfaktor_EI,'Korrigeringsfaktor EI'!M$1,FALSE),
"")</f>
        <v>274.12869565217386</v>
      </c>
      <c r="N441" s="18">
        <f>IFERROR(
                  Andel_oberoende_av_klimat*VLOOKUP($A441,Leveranser_per_nät,'Leveranser per nät'!N$1,FALSE)
               +Andel_beroende_av_klimat*VLOOKUP($A441,Leveranser_per_nät,'Leveranser per nät'!N$1,FALSE)/VLOOKUP($B441,Korrigeringsfaktor_EI,'Korrigeringsfaktor EI'!N$1,FALSE),
"")</f>
        <v>267.47280000000001</v>
      </c>
      <c r="O441" s="18">
        <f>IFERROR(
                  Andel_oberoende_av_klimat*VLOOKUP($A441,Leveranser_per_nät,'Leveranser per nät'!O$1,FALSE)
               +Andel_beroende_av_klimat*VLOOKUP($A441,Leveranser_per_nät,'Leveranser per nät'!O$1,FALSE)/VLOOKUP($B441,Korrigeringsfaktor_EI,'Korrigeringsfaktor EI'!O$1,FALSE),
"")</f>
        <v>267.62846153846158</v>
      </c>
      <c r="P441" s="18">
        <f>IFERROR(
                  Andel_oberoende_av_klimat*VLOOKUP($A441,Leveranser_per_nät,'Leveranser per nät'!P$1,FALSE)
               +Andel_beroende_av_klimat*VLOOKUP($A441,Leveranser_per_nät,'Leveranser per nät'!P$1,FALSE)/VLOOKUP($B441,Korrigeringsfaktor_EI,'Korrigeringsfaktor EI'!P$1,FALSE),
"")</f>
        <v>273.51837142857147</v>
      </c>
      <c r="Q441" s="18">
        <f>IFERROR(
                  Andel_oberoende_av_klimat*VLOOKUP($A441,Leveranser_per_nät,'Leveranser per nät'!Q$1,FALSE)
               +Andel_beroende_av_klimat*VLOOKUP($A441,Leveranser_per_nät,'Leveranser per nät'!Q$1,FALSE)/VLOOKUP($B441,Korrigeringsfaktor_EI,'Korrigeringsfaktor EI'!Q$1,FALSE),
"")</f>
        <v>288.55595862068969</v>
      </c>
      <c r="R441" s="18">
        <f>IFERROR(
                  Andel_oberoende_av_klimat*VLOOKUP($A441,Leveranser_per_nät,'Leveranser per nät'!R$1,FALSE)
               +Andel_beroende_av_klimat*VLOOKUP($A441,Leveranser_per_nät,'Leveranser per nät'!R$1,FALSE)/VLOOKUP($B441,Korrigeringsfaktor_EI,'Korrigeringsfaktor EI'!R$1,FALSE),
"")</f>
        <v>274.7652173913043</v>
      </c>
      <c r="S441" s="18">
        <f>IFERROR(
                  Andel_oberoende_av_klimat*VLOOKUP($A441,Leveranser_per_nät,'Leveranser per nät'!S$1,FALSE)
               +Andel_beroende_av_klimat*VLOOKUP($A441,Leveranser_per_nät,'Leveranser per nät'!S$1,FALSE)/VLOOKUP($B441,Korrigeringsfaktor_EI,'Korrigeringsfaktor EI'!S$1,FALSE),
"")</f>
        <v>278.05940594059405</v>
      </c>
      <c r="T441" s="18">
        <f>IFERROR(
                  Andel_oberoende_av_klimat*VLOOKUP($A441,Leveranser_per_nät,'Leveranser per nät'!T$1,FALSE)
               +Andel_beroende_av_klimat*VLOOKUP($A441,Leveranser_per_nät,'Leveranser per nät'!T$1,FALSE)/VLOOKUP($B441,Korrigeringsfaktor_EI,'Korrigeringsfaktor EI'!T$1,FALSE),
"")</f>
        <v>268.88714285714286</v>
      </c>
      <c r="U441" s="18">
        <f>IFERROR(
                  Andel_oberoende_av_klimat*VLOOKUP($A441,Leveranser_per_nät,'Leveranser per nät'!U$1,FALSE)
               +Andel_beroende_av_klimat*VLOOKUP($A441,Leveranser_per_nät,'Leveranser per nät'!U$1,FALSE)/VLOOKUP($B441,Korrigeringsfaktor_EI,'Korrigeringsfaktor EI'!U$1,FALSE),
"")</f>
        <v>252.95287356321839</v>
      </c>
      <c r="V441" s="18">
        <f>IFERROR(
                  Andel_oberoende_av_klimat*VLOOKUP($A441,Leveranser_per_nät,'Leveranser per nät'!V$1,FALSE)
               +Andel_beroende_av_klimat*VLOOKUP($A441,Leveranser_per_nät,'Leveranser per nät'!V$1,FALSE)/VLOOKUP($B441,Korrigeringsfaktor_EI,'Korrigeringsfaktor EI'!V$1,FALSE),
"")</f>
        <v>271.59999999999997</v>
      </c>
      <c r="W441" s="18">
        <f>IFERROR(
                  Andel_oberoende_av_klimat*VLOOKUP($A441,Leveranser_per_nät,'Leveranser per nät'!W$1,FALSE)
               +Andel_beroende_av_klimat*VLOOKUP($A441,Leveranser_per_nät,'Leveranser per nät'!W$1,FALSE)/VLOOKUP($B441,Korrigeringsfaktor_EI,'Korrigeringsfaktor EI'!W$1,FALSE),
"")</f>
        <v>296.01920833333332</v>
      </c>
      <c r="X441" s="18">
        <f>IFERROR(
                  Andel_oberoende_av_klimat*VLOOKUP($A441,Leveranser_per_nät,'Leveranser per nät'!X$1,FALSE)
               +Andel_beroende_av_klimat*VLOOKUP($A441,Leveranser_per_nät,'Leveranser per nät'!X$1,FALSE)/VLOOKUP($B441,Korrigeringsfaktor_EI,'Korrigeringsfaktor EI'!X$1,FALSE),
"")</f>
        <v>299.36374468085108</v>
      </c>
      <c r="Y441" s="18">
        <f>IFERROR(
                  Andel_oberoende_av_klimat*VLOOKUP($A441,Leveranser_per_nät,'Leveranser per nät'!Y$1,FALSE)
               +Andel_beroende_av_klimat*VLOOKUP($A441,Leveranser_per_nät,'Leveranser per nät'!Y$1,FALSE)/VLOOKUP($B441,Korrigeringsfaktor_EI,'Korrigeringsfaktor EI'!Y$1,FALSE),
"")</f>
        <v>320.38260869565215</v>
      </c>
      <c r="Z441" s="18">
        <f>IFERROR(
                  Andel_oberoende_av_klimat*VLOOKUP($A441,Leveranser_per_nät,'Leveranser per nät'!Z$1,FALSE)
               +Andel_beroende_av_klimat*VLOOKUP($A441,Leveranser_per_nät,'Leveranser per nät'!Z$1,FALSE)/VLOOKUP($B441,Korrigeringsfaktor_EI,'Korrigeringsfaktor EI'!Z$1,FALSE),
"")</f>
        <v>327.64444444444445</v>
      </c>
      <c r="AA441" s="18">
        <f>IFERROR(
                  Andel_oberoende_av_klimat*VLOOKUP($A441,Leveranser_per_nät,'Leveranser per nät'!AA$1,FALSE)
               +Andel_beroende_av_klimat*VLOOKUP($A441,Leveranser_per_nät,'Leveranser per nät'!AA$1,FALSE)/VLOOKUP($B441,Korrigeringsfaktor_EI,'Korrigeringsfaktor EI'!AA$1,FALSE),
"")</f>
        <v>301.99227216783214</v>
      </c>
      <c r="AB441" s="18">
        <f>IFERROR(
                  Andel_oberoende_av_klimat*VLOOKUP($A441,Leveranser_per_nät,'Leveranser per nät'!AB$1,FALSE)
               +Andel_beroende_av_klimat*VLOOKUP($A441,Leveranser_per_nät,'Leveranser per nät'!AB$1,FALSE)/VLOOKUP($B441,Korrigeringsfaktor_EI,'Korrigeringsfaktor EI'!AB$1,FALSE),
"")</f>
        <v>326.56785034013603</v>
      </c>
      <c r="AC441" s="18">
        <f>IFERROR(
                  Andel_oberoende_av_klimat*VLOOKUP($A441,Leveranser_per_nät,'Leveranser per nät'!AC$1,FALSE)
               +Andel_beroende_av_klimat*VLOOKUP($A441,Leveranser_per_nät,'Leveranser per nät'!AC$1,FALSE)/VLOOKUP($B441,Korrigeringsfaktor_EI,'Korrigeringsfaktor EI'!AC$1,FALSE),
"")</f>
        <v>317.88424390243904</v>
      </c>
      <c r="AD441">
        <v>304.98</v>
      </c>
    </row>
    <row r="442" spans="1:30" x14ac:dyDescent="0.25">
      <c r="A442" t="s">
        <v>383</v>
      </c>
      <c r="B442" t="s">
        <v>513</v>
      </c>
      <c r="C442" s="18">
        <f>IFERROR(
                  Andel_oberoende_av_klimat*VLOOKUP($A442,Leveranser_per_nät,'Leveranser per nät'!C$1,FALSE)
               +Andel_beroende_av_klimat*VLOOKUP($A442,Leveranser_per_nät,'Leveranser per nät'!C$1,FALSE)/VLOOKUP($B442,Korrigeringsfaktor_EI,'Korrigeringsfaktor EI'!C$1,FALSE),
"")</f>
        <v>0</v>
      </c>
      <c r="D442" s="18">
        <f>IFERROR(
                  Andel_oberoende_av_klimat*VLOOKUP($A442,Leveranser_per_nät,'Leveranser per nät'!D$1,FALSE)
               +Andel_beroende_av_klimat*VLOOKUP($A442,Leveranser_per_nät,'Leveranser per nät'!D$1,FALSE)/VLOOKUP($B442,Korrigeringsfaktor_EI,'Korrigeringsfaktor EI'!D$1,FALSE),
"")</f>
        <v>0</v>
      </c>
      <c r="E442" s="18">
        <f>IFERROR(
                  Andel_oberoende_av_klimat*VLOOKUP($A442,Leveranser_per_nät,'Leveranser per nät'!E$1,FALSE)
               +Andel_beroende_av_klimat*VLOOKUP($A442,Leveranser_per_nät,'Leveranser per nät'!E$1,FALSE)/VLOOKUP($B442,Korrigeringsfaktor_EI,'Korrigeringsfaktor EI'!E$1,FALSE),
"")</f>
        <v>0</v>
      </c>
      <c r="F442" s="18">
        <f>IFERROR(
                  Andel_oberoende_av_klimat*VLOOKUP($A442,Leveranser_per_nät,'Leveranser per nät'!F$1,FALSE)
               +Andel_beroende_av_klimat*VLOOKUP($A442,Leveranser_per_nät,'Leveranser per nät'!F$1,FALSE)/VLOOKUP($B442,Korrigeringsfaktor_EI,'Korrigeringsfaktor EI'!F$1,FALSE),
"")</f>
        <v>0</v>
      </c>
      <c r="G442" s="18">
        <f>IFERROR(
                  Andel_oberoende_av_klimat*VLOOKUP($A442,Leveranser_per_nät,'Leveranser per nät'!G$1,FALSE)
               +Andel_beroende_av_klimat*VLOOKUP($A442,Leveranser_per_nät,'Leveranser per nät'!G$1,FALSE)/VLOOKUP($B442,Korrigeringsfaktor_EI,'Korrigeringsfaktor EI'!G$1,FALSE),
"")</f>
        <v>0</v>
      </c>
      <c r="H442" s="18">
        <f>IFERROR(
                  Andel_oberoende_av_klimat*VLOOKUP($A442,Leveranser_per_nät,'Leveranser per nät'!H$1,FALSE)
               +Andel_beroende_av_klimat*VLOOKUP($A442,Leveranser_per_nät,'Leveranser per nät'!H$1,FALSE)/VLOOKUP($B442,Korrigeringsfaktor_EI,'Korrigeringsfaktor EI'!H$1,FALSE),
"")</f>
        <v>0</v>
      </c>
      <c r="I442" s="18">
        <f>IFERROR(
                  Andel_oberoende_av_klimat*VLOOKUP($A442,Leveranser_per_nät,'Leveranser per nät'!I$1,FALSE)
               +Andel_beroende_av_klimat*VLOOKUP($A442,Leveranser_per_nät,'Leveranser per nät'!I$1,FALSE)/VLOOKUP($B442,Korrigeringsfaktor_EI,'Korrigeringsfaktor EI'!I$1,FALSE),
"")</f>
        <v>0</v>
      </c>
      <c r="J442" s="18">
        <f>IFERROR(
                  Andel_oberoende_av_klimat*VLOOKUP($A442,Leveranser_per_nät,'Leveranser per nät'!J$1,FALSE)
               +Andel_beroende_av_klimat*VLOOKUP($A442,Leveranser_per_nät,'Leveranser per nät'!J$1,FALSE)/VLOOKUP($B442,Korrigeringsfaktor_EI,'Korrigeringsfaktor EI'!J$1,FALSE),
"")</f>
        <v>0</v>
      </c>
      <c r="K442" s="18">
        <f>IFERROR(
                  Andel_oberoende_av_klimat*VLOOKUP($A442,Leveranser_per_nät,'Leveranser per nät'!K$1,FALSE)
               +Andel_beroende_av_klimat*VLOOKUP($A442,Leveranser_per_nät,'Leveranser per nät'!K$1,FALSE)/VLOOKUP($B442,Korrigeringsfaktor_EI,'Korrigeringsfaktor EI'!K$1,FALSE),
"")</f>
        <v>0</v>
      </c>
      <c r="L442" s="18">
        <f>IFERROR(
                  Andel_oberoende_av_klimat*VLOOKUP($A442,Leveranser_per_nät,'Leveranser per nät'!L$1,FALSE)
               +Andel_beroende_av_klimat*VLOOKUP($A442,Leveranser_per_nät,'Leveranser per nät'!L$1,FALSE)/VLOOKUP($B442,Korrigeringsfaktor_EI,'Korrigeringsfaktor EI'!L$1,FALSE),
"")</f>
        <v>0</v>
      </c>
      <c r="M442" s="18">
        <f>IFERROR(
                  Andel_oberoende_av_klimat*VLOOKUP($A442,Leveranser_per_nät,'Leveranser per nät'!M$1,FALSE)
               +Andel_beroende_av_klimat*VLOOKUP($A442,Leveranser_per_nät,'Leveranser per nät'!M$1,FALSE)/VLOOKUP($B442,Korrigeringsfaktor_EI,'Korrigeringsfaktor EI'!M$1,FALSE),
"")</f>
        <v>0</v>
      </c>
      <c r="N442" s="18">
        <f>IFERROR(
                  Andel_oberoende_av_klimat*VLOOKUP($A442,Leveranser_per_nät,'Leveranser per nät'!N$1,FALSE)
               +Andel_beroende_av_klimat*VLOOKUP($A442,Leveranser_per_nät,'Leveranser per nät'!N$1,FALSE)/VLOOKUP($B442,Korrigeringsfaktor_EI,'Korrigeringsfaktor EI'!N$1,FALSE),
"")</f>
        <v>1.6551692307692307</v>
      </c>
      <c r="O442" s="18">
        <f>IFERROR(
                  Andel_oberoende_av_klimat*VLOOKUP($A442,Leveranser_per_nät,'Leveranser per nät'!O$1,FALSE)
               +Andel_beroende_av_klimat*VLOOKUP($A442,Leveranser_per_nät,'Leveranser per nät'!O$1,FALSE)/VLOOKUP($B442,Korrigeringsfaktor_EI,'Korrigeringsfaktor EI'!O$1,FALSE),
"")</f>
        <v>2.0529230769230766</v>
      </c>
      <c r="P442" s="18">
        <f>IFERROR(
                  Andel_oberoende_av_klimat*VLOOKUP($A442,Leveranser_per_nät,'Leveranser per nät'!P$1,FALSE)
               +Andel_beroende_av_klimat*VLOOKUP($A442,Leveranser_per_nät,'Leveranser per nät'!P$1,FALSE)/VLOOKUP($B442,Korrigeringsfaktor_EI,'Korrigeringsfaktor EI'!P$1,FALSE),
"")</f>
        <v>2.073795698924731</v>
      </c>
      <c r="Q442" s="18">
        <f>IFERROR(
                  Andel_oberoende_av_klimat*VLOOKUP($A442,Leveranser_per_nät,'Leveranser per nät'!Q$1,FALSE)
               +Andel_beroende_av_klimat*VLOOKUP($A442,Leveranser_per_nät,'Leveranser per nät'!Q$1,FALSE)/VLOOKUP($B442,Korrigeringsfaktor_EI,'Korrigeringsfaktor EI'!Q$1,FALSE),
"")</f>
        <v>2.4726855855855856</v>
      </c>
      <c r="R442" s="18">
        <f>IFERROR(
                  Andel_oberoende_av_klimat*VLOOKUP($A442,Leveranser_per_nät,'Leveranser per nät'!R$1,FALSE)
               +Andel_beroende_av_klimat*VLOOKUP($A442,Leveranser_per_nät,'Leveranser per nät'!R$1,FALSE)/VLOOKUP($B442,Korrigeringsfaktor_EI,'Korrigeringsfaktor EI'!R$1,FALSE),
"")</f>
        <v>2.3327569892473119</v>
      </c>
      <c r="S442" s="18">
        <f>IFERROR(
                  Andel_oberoende_av_klimat*VLOOKUP($A442,Leveranser_per_nät,'Leveranser per nät'!S$1,FALSE)
               +Andel_beroende_av_klimat*VLOOKUP($A442,Leveranser_per_nät,'Leveranser per nät'!S$1,FALSE)/VLOOKUP($B442,Korrigeringsfaktor_EI,'Korrigeringsfaktor EI'!S$1,FALSE),
"")</f>
        <v>2.3353846153846152</v>
      </c>
      <c r="T442" s="18">
        <f>IFERROR(
                  Andel_oberoende_av_klimat*VLOOKUP($A442,Leveranser_per_nät,'Leveranser per nät'!T$1,FALSE)
               +Andel_beroende_av_klimat*VLOOKUP($A442,Leveranser_per_nät,'Leveranser per nät'!T$1,FALSE)/VLOOKUP($B442,Korrigeringsfaktor_EI,'Korrigeringsfaktor EI'!T$1,FALSE),
"")</f>
        <v>2.2789999999999999</v>
      </c>
      <c r="U442" s="18">
        <f>IFERROR(
                  Andel_oberoende_av_klimat*VLOOKUP($A442,Leveranser_per_nät,'Leveranser per nät'!U$1,FALSE)
               +Andel_beroende_av_klimat*VLOOKUP($A442,Leveranser_per_nät,'Leveranser per nät'!U$1,FALSE)/VLOOKUP($B442,Korrigeringsfaktor_EI,'Korrigeringsfaktor EI'!U$1,FALSE),
"")</f>
        <v>2.0736954545454545</v>
      </c>
      <c r="V442" s="18">
        <f>IFERROR(
                  Andel_oberoende_av_klimat*VLOOKUP($A442,Leveranser_per_nät,'Leveranser per nät'!V$1,FALSE)
               +Andel_beroende_av_klimat*VLOOKUP($A442,Leveranser_per_nät,'Leveranser per nät'!V$1,FALSE)/VLOOKUP($B442,Korrigeringsfaktor_EI,'Korrigeringsfaktor EI'!V$1,FALSE),
"")</f>
        <v>2.2611741935483871</v>
      </c>
      <c r="W442" s="18">
        <f>IFERROR(
                  Andel_oberoende_av_klimat*VLOOKUP($A442,Leveranser_per_nät,'Leveranser per nät'!W$1,FALSE)
               +Andel_beroende_av_klimat*VLOOKUP($A442,Leveranser_per_nät,'Leveranser per nät'!W$1,FALSE)/VLOOKUP($B442,Korrigeringsfaktor_EI,'Korrigeringsfaktor EI'!W$1,FALSE),
"")</f>
        <v>2.5641105263157895</v>
      </c>
      <c r="X442" s="18">
        <f>IFERROR(
                  Andel_oberoende_av_klimat*VLOOKUP($A442,Leveranser_per_nät,'Leveranser per nät'!X$1,FALSE)
               +Andel_beroende_av_klimat*VLOOKUP($A442,Leveranser_per_nät,'Leveranser per nät'!X$1,FALSE)/VLOOKUP($B442,Korrigeringsfaktor_EI,'Korrigeringsfaktor EI'!X$1,FALSE),
"")</f>
        <v>2.6688315789473687</v>
      </c>
      <c r="Y442" s="18">
        <f>IFERROR(
                  Andel_oberoende_av_klimat*VLOOKUP($A442,Leveranser_per_nät,'Leveranser per nät'!Y$1,FALSE)
               +Andel_beroende_av_klimat*VLOOKUP($A442,Leveranser_per_nät,'Leveranser per nät'!Y$1,FALSE)/VLOOKUP($B442,Korrigeringsfaktor_EI,'Korrigeringsfaktor EI'!Y$1,FALSE),
"")</f>
        <v>2.6577999999999999</v>
      </c>
      <c r="Z442" s="18">
        <f>IFERROR(
                  Andel_oberoende_av_klimat*VLOOKUP($A442,Leveranser_per_nät,'Leveranser per nät'!Z$1,FALSE)
               +Andel_beroende_av_klimat*VLOOKUP($A442,Leveranser_per_nät,'Leveranser per nät'!Z$1,FALSE)/VLOOKUP($B442,Korrigeringsfaktor_EI,'Korrigeringsfaktor EI'!Z$1,FALSE),
"")</f>
        <v>2.5436454545454543</v>
      </c>
      <c r="AA442" s="18">
        <f>IFERROR(
                  Andel_oberoende_av_klimat*VLOOKUP($A442,Leveranser_per_nät,'Leveranser per nät'!AA$1,FALSE)
               +Andel_beroende_av_klimat*VLOOKUP($A442,Leveranser_per_nät,'Leveranser per nät'!AA$1,FALSE)/VLOOKUP($B442,Korrigeringsfaktor_EI,'Korrigeringsfaktor EI'!AA$1,FALSE),
"")</f>
        <v>2.5644821680216801</v>
      </c>
      <c r="AB442" s="18">
        <f>IFERROR(
                  Andel_oberoende_av_klimat*VLOOKUP($A442,Leveranser_per_nät,'Leveranser per nät'!AB$1,FALSE)
               +Andel_beroende_av_klimat*VLOOKUP($A442,Leveranser_per_nät,'Leveranser per nät'!AB$1,FALSE)/VLOOKUP($B442,Korrigeringsfaktor_EI,'Korrigeringsfaktor EI'!AB$1,FALSE),
"")</f>
        <v>2.6519609081934847</v>
      </c>
      <c r="AC442" s="18">
        <f>IFERROR(
                  Andel_oberoende_av_klimat*VLOOKUP($A442,Leveranser_per_nät,'Leveranser per nät'!AC$1,FALSE)
               +Andel_beroende_av_klimat*VLOOKUP($A442,Leveranser_per_nät,'Leveranser per nät'!AC$1,FALSE)/VLOOKUP($B442,Korrigeringsfaktor_EI,'Korrigeringsfaktor EI'!AC$1,FALSE),
"")</f>
        <v>2.5738208955223882</v>
      </c>
      <c r="AD442" t="e">
        <v>#N/A</v>
      </c>
    </row>
    <row r="443" spans="1:30" x14ac:dyDescent="0.25">
      <c r="A443" t="s">
        <v>321</v>
      </c>
      <c r="B443" t="s">
        <v>321</v>
      </c>
      <c r="C443" s="18">
        <f>IFERROR(
                  Andel_oberoende_av_klimat*VLOOKUP($A443,Leveranser_per_nät,'Leveranser per nät'!C$1,FALSE)
               +Andel_beroende_av_klimat*VLOOKUP($A443,Leveranser_per_nät,'Leveranser per nät'!C$1,FALSE)/VLOOKUP($B443,Korrigeringsfaktor_EI,'Korrigeringsfaktor EI'!C$1,FALSE),
"")</f>
        <v>0</v>
      </c>
      <c r="D443" s="18">
        <f>IFERROR(
                  Andel_oberoende_av_klimat*VLOOKUP($A443,Leveranser_per_nät,'Leveranser per nät'!D$1,FALSE)
               +Andel_beroende_av_klimat*VLOOKUP($A443,Leveranser_per_nät,'Leveranser per nät'!D$1,FALSE)/VLOOKUP($B443,Korrigeringsfaktor_EI,'Korrigeringsfaktor EI'!D$1,FALSE),
"")</f>
        <v>0</v>
      </c>
      <c r="E443" s="18">
        <f>IFERROR(
                  Andel_oberoende_av_klimat*VLOOKUP($A443,Leveranser_per_nät,'Leveranser per nät'!E$1,FALSE)
               +Andel_beroende_av_klimat*VLOOKUP($A443,Leveranser_per_nät,'Leveranser per nät'!E$1,FALSE)/VLOOKUP($B443,Korrigeringsfaktor_EI,'Korrigeringsfaktor EI'!E$1,FALSE),
"")</f>
        <v>0</v>
      </c>
      <c r="F443" s="18">
        <f>IFERROR(
                  Andel_oberoende_av_klimat*VLOOKUP($A443,Leveranser_per_nät,'Leveranser per nät'!F$1,FALSE)
               +Andel_beroende_av_klimat*VLOOKUP($A443,Leveranser_per_nät,'Leveranser per nät'!F$1,FALSE)/VLOOKUP($B443,Korrigeringsfaktor_EI,'Korrigeringsfaktor EI'!F$1,FALSE),
"")</f>
        <v>0</v>
      </c>
      <c r="G443" s="18">
        <f>IFERROR(
                  Andel_oberoende_av_klimat*VLOOKUP($A443,Leveranser_per_nät,'Leveranser per nät'!G$1,FALSE)
               +Andel_beroende_av_klimat*VLOOKUP($A443,Leveranser_per_nät,'Leveranser per nät'!G$1,FALSE)/VLOOKUP($B443,Korrigeringsfaktor_EI,'Korrigeringsfaktor EI'!G$1,FALSE),
"")</f>
        <v>0</v>
      </c>
      <c r="H443" s="18">
        <f>IFERROR(
                  Andel_oberoende_av_klimat*VLOOKUP($A443,Leveranser_per_nät,'Leveranser per nät'!H$1,FALSE)
               +Andel_beroende_av_klimat*VLOOKUP($A443,Leveranser_per_nät,'Leveranser per nät'!H$1,FALSE)/VLOOKUP($B443,Korrigeringsfaktor_EI,'Korrigeringsfaktor EI'!H$1,FALSE),
"")</f>
        <v>11.835294117647059</v>
      </c>
      <c r="I443" s="18">
        <f>IFERROR(
                  Andel_oberoende_av_klimat*VLOOKUP($A443,Leveranser_per_nät,'Leveranser per nät'!I$1,FALSE)
               +Andel_beroende_av_klimat*VLOOKUP($A443,Leveranser_per_nät,'Leveranser per nät'!I$1,FALSE)/VLOOKUP($B443,Korrigeringsfaktor_EI,'Korrigeringsfaktor EI'!I$1,FALSE),
"")</f>
        <v>14.515789473684212</v>
      </c>
      <c r="J443" s="18">
        <f>IFERROR(
                  Andel_oberoende_av_klimat*VLOOKUP($A443,Leveranser_per_nät,'Leveranser per nät'!J$1,FALSE)
               +Andel_beroende_av_klimat*VLOOKUP($A443,Leveranser_per_nät,'Leveranser per nät'!J$1,FALSE)/VLOOKUP($B443,Korrigeringsfaktor_EI,'Korrigeringsfaktor EI'!J$1,FALSE),
"")</f>
        <v>24.041614285714285</v>
      </c>
      <c r="K443" s="18">
        <f>IFERROR(
                  Andel_oberoende_av_klimat*VLOOKUP($A443,Leveranser_per_nät,'Leveranser per nät'!K$1,FALSE)
               +Andel_beroende_av_klimat*VLOOKUP($A443,Leveranser_per_nät,'Leveranser per nät'!K$1,FALSE)/VLOOKUP($B443,Korrigeringsfaktor_EI,'Korrigeringsfaktor EI'!K$1,FALSE),
"")</f>
        <v>28</v>
      </c>
      <c r="L443" s="18">
        <f>IFERROR(
                  Andel_oberoende_av_klimat*VLOOKUP($A443,Leveranser_per_nät,'Leveranser per nät'!L$1,FALSE)
               +Andel_beroende_av_klimat*VLOOKUP($A443,Leveranser_per_nät,'Leveranser per nät'!L$1,FALSE)/VLOOKUP($B443,Korrigeringsfaktor_EI,'Korrigeringsfaktor EI'!L$1,FALSE),
"")</f>
        <v>34.532371428571423</v>
      </c>
      <c r="M443" s="18">
        <f>IFERROR(
                  Andel_oberoende_av_klimat*VLOOKUP($A443,Leveranser_per_nät,'Leveranser per nät'!M$1,FALSE)
               +Andel_beroende_av_klimat*VLOOKUP($A443,Leveranser_per_nät,'Leveranser per nät'!M$1,FALSE)/VLOOKUP($B443,Korrigeringsfaktor_EI,'Korrigeringsfaktor EI'!M$1,FALSE),
"")</f>
        <v>39.159861702127664</v>
      </c>
      <c r="N443" s="18">
        <f>IFERROR(
                  Andel_oberoende_av_klimat*VLOOKUP($A443,Leveranser_per_nät,'Leveranser per nät'!N$1,FALSE)
               +Andel_beroende_av_klimat*VLOOKUP($A443,Leveranser_per_nät,'Leveranser per nät'!N$1,FALSE)/VLOOKUP($B443,Korrigeringsfaktor_EI,'Korrigeringsfaktor EI'!N$1,FALSE),
"")</f>
        <v>44.108514893617027</v>
      </c>
      <c r="O443" s="18">
        <f>IFERROR(
                  Andel_oberoende_av_klimat*VLOOKUP($A443,Leveranser_per_nät,'Leveranser per nät'!O$1,FALSE)
               +Andel_beroende_av_klimat*VLOOKUP($A443,Leveranser_per_nät,'Leveranser per nät'!O$1,FALSE)/VLOOKUP($B443,Korrigeringsfaktor_EI,'Korrigeringsfaktor EI'!O$1,FALSE),
"")</f>
        <v>45.722546808510643</v>
      </c>
      <c r="P443" s="18">
        <f>IFERROR(
                  Andel_oberoende_av_klimat*VLOOKUP($A443,Leveranser_per_nät,'Leveranser per nät'!P$1,FALSE)
               +Andel_beroende_av_klimat*VLOOKUP($A443,Leveranser_per_nät,'Leveranser per nät'!P$1,FALSE)/VLOOKUP($B443,Korrigeringsfaktor_EI,'Korrigeringsfaktor EI'!P$1,FALSE),
"")</f>
        <v>47.24035714285715</v>
      </c>
      <c r="Q443" s="18">
        <f>IFERROR(
                  Andel_oberoende_av_klimat*VLOOKUP($A443,Leveranser_per_nät,'Leveranser per nät'!Q$1,FALSE)
               +Andel_beroende_av_klimat*VLOOKUP($A443,Leveranser_per_nät,'Leveranser per nät'!Q$1,FALSE)/VLOOKUP($B443,Korrigeringsfaktor_EI,'Korrigeringsfaktor EI'!Q$1,FALSE),
"")</f>
        <v>50.217087719298249</v>
      </c>
      <c r="R443" s="18">
        <f>IFERROR(
                  Andel_oberoende_av_klimat*VLOOKUP($A443,Leveranser_per_nät,'Leveranser per nät'!R$1,FALSE)
               +Andel_beroende_av_klimat*VLOOKUP($A443,Leveranser_per_nät,'Leveranser per nät'!R$1,FALSE)/VLOOKUP($B443,Korrigeringsfaktor_EI,'Korrigeringsfaktor EI'!R$1,FALSE),
"")</f>
        <v>47.724805263157897</v>
      </c>
      <c r="S443" s="18">
        <f>IFERROR(
                  Andel_oberoende_av_klimat*VLOOKUP($A443,Leveranser_per_nät,'Leveranser per nät'!S$1,FALSE)
               +Andel_beroende_av_klimat*VLOOKUP($A443,Leveranser_per_nät,'Leveranser per nät'!S$1,FALSE)/VLOOKUP($B443,Korrigeringsfaktor_EI,'Korrigeringsfaktor EI'!S$1,FALSE),
"")</f>
        <v>48.000970873786407</v>
      </c>
      <c r="T443" s="18">
        <f>IFERROR(
                  Andel_oberoende_av_klimat*VLOOKUP($A443,Leveranser_per_nät,'Leveranser per nät'!T$1,FALSE)
               +Andel_beroende_av_klimat*VLOOKUP($A443,Leveranser_per_nät,'Leveranser per nät'!T$1,FALSE)/VLOOKUP($B443,Korrigeringsfaktor_EI,'Korrigeringsfaktor EI'!T$1,FALSE),
"")</f>
        <v>48.018000000000001</v>
      </c>
      <c r="U443" s="18">
        <f>IFERROR(
                  Andel_oberoende_av_klimat*VLOOKUP($A443,Leveranser_per_nät,'Leveranser per nät'!U$1,FALSE)
               +Andel_beroende_av_klimat*VLOOKUP($A443,Leveranser_per_nät,'Leveranser per nät'!U$1,FALSE)/VLOOKUP($B443,Korrigeringsfaktor_EI,'Korrigeringsfaktor EI'!U$1,FALSE),
"")</f>
        <v>45.733344444444441</v>
      </c>
      <c r="V443" s="18">
        <f>IFERROR(
                  Andel_oberoende_av_klimat*VLOOKUP($A443,Leveranser_per_nät,'Leveranser per nät'!V$1,FALSE)
               +Andel_beroende_av_klimat*VLOOKUP($A443,Leveranser_per_nät,'Leveranser per nät'!V$1,FALSE)/VLOOKUP($B443,Korrigeringsfaktor_EI,'Korrigeringsfaktor EI'!V$1,FALSE),
"")</f>
        <v>49.550257446808509</v>
      </c>
      <c r="W443" s="18">
        <f>IFERROR(
                  Andel_oberoende_av_klimat*VLOOKUP($A443,Leveranser_per_nät,'Leveranser per nät'!W$1,FALSE)
               +Andel_beroende_av_klimat*VLOOKUP($A443,Leveranser_per_nät,'Leveranser per nät'!W$1,FALSE)/VLOOKUP($B443,Korrigeringsfaktor_EI,'Korrigeringsfaktor EI'!W$1,FALSE),
"")</f>
        <v>48.898187628865983</v>
      </c>
      <c r="X443" s="18">
        <f>IFERROR(
                  Andel_oberoende_av_klimat*VLOOKUP($A443,Leveranser_per_nät,'Leveranser per nät'!X$1,FALSE)
               +Andel_beroende_av_klimat*VLOOKUP($A443,Leveranser_per_nät,'Leveranser per nät'!X$1,FALSE)/VLOOKUP($B443,Korrigeringsfaktor_EI,'Korrigeringsfaktor EI'!X$1,FALSE),
"")</f>
        <v>49.02847083333333</v>
      </c>
      <c r="Y443" s="18">
        <f>IFERROR(
                  Andel_oberoende_av_klimat*VLOOKUP($A443,Leveranser_per_nät,'Leveranser per nät'!Y$1,FALSE)
               +Andel_beroende_av_klimat*VLOOKUP($A443,Leveranser_per_nät,'Leveranser per nät'!Y$1,FALSE)/VLOOKUP($B443,Korrigeringsfaktor_EI,'Korrigeringsfaktor EI'!Y$1,FALSE),
"")</f>
        <v>52.127138461538465</v>
      </c>
      <c r="Z443" s="18">
        <f>IFERROR(
                  Andel_oberoende_av_klimat*VLOOKUP($A443,Leveranser_per_nät,'Leveranser per nät'!Z$1,FALSE)
               +Andel_beroende_av_klimat*VLOOKUP($A443,Leveranser_per_nät,'Leveranser per nät'!Z$1,FALSE)/VLOOKUP($B443,Korrigeringsfaktor_EI,'Korrigeringsfaktor EI'!Z$1,FALSE),
"")</f>
        <v>50.746088888888892</v>
      </c>
      <c r="AA443" s="18">
        <f>IFERROR(
                  Andel_oberoende_av_klimat*VLOOKUP($A443,Leveranser_per_nät,'Leveranser per nät'!AA$1,FALSE)
               +Andel_beroende_av_klimat*VLOOKUP($A443,Leveranser_per_nät,'Leveranser per nät'!AA$1,FALSE)/VLOOKUP($B443,Korrigeringsfaktor_EI,'Korrigeringsfaktor EI'!AA$1,FALSE),
"")</f>
        <v>50.038664634146336</v>
      </c>
      <c r="AB443" s="18">
        <f>IFERROR(
                  Andel_oberoende_av_klimat*VLOOKUP($A443,Leveranser_per_nät,'Leveranser per nät'!AB$1,FALSE)
               +Andel_beroende_av_klimat*VLOOKUP($A443,Leveranser_per_nät,'Leveranser per nät'!AB$1,FALSE)/VLOOKUP($B443,Korrigeringsfaktor_EI,'Korrigeringsfaktor EI'!AB$1,FALSE),
"")</f>
        <v>51.898418290258448</v>
      </c>
      <c r="AC443" s="18">
        <f>IFERROR(
                  Andel_oberoende_av_klimat*VLOOKUP($A443,Leveranser_per_nät,'Leveranser per nät'!AC$1,FALSE)
               +Andel_beroende_av_klimat*VLOOKUP($A443,Leveranser_per_nät,'Leveranser per nät'!AC$1,FALSE)/VLOOKUP($B443,Korrigeringsfaktor_EI,'Korrigeringsfaktor EI'!AC$1,FALSE),
"")</f>
        <v>50.289949253731351</v>
      </c>
      <c r="AD443">
        <v>48.066000000000003</v>
      </c>
    </row>
    <row r="444" spans="1:30" x14ac:dyDescent="0.25">
      <c r="A444" t="s">
        <v>324</v>
      </c>
      <c r="B444" t="s">
        <v>324</v>
      </c>
      <c r="C444" s="18">
        <f>IFERROR(
                  Andel_oberoende_av_klimat*VLOOKUP($A444,Leveranser_per_nät,'Leveranser per nät'!C$1,FALSE)
               +Andel_beroende_av_klimat*VLOOKUP($A444,Leveranser_per_nät,'Leveranser per nät'!C$1,FALSE)/VLOOKUP($B444,Korrigeringsfaktor_EI,'Korrigeringsfaktor EI'!C$1,FALSE),
"")</f>
        <v>680.83009708737859</v>
      </c>
      <c r="D444" s="18">
        <f>IFERROR(
                  Andel_oberoende_av_klimat*VLOOKUP($A444,Leveranser_per_nät,'Leveranser per nät'!D$1,FALSE)
               +Andel_beroende_av_klimat*VLOOKUP($A444,Leveranser_per_nät,'Leveranser per nät'!D$1,FALSE)/VLOOKUP($B444,Korrigeringsfaktor_EI,'Korrigeringsfaktor EI'!D$1,FALSE),
"")</f>
        <v>673.26701030927836</v>
      </c>
      <c r="E444" s="18">
        <f>IFERROR(
                  Andel_oberoende_av_klimat*VLOOKUP($A444,Leveranser_per_nät,'Leveranser per nät'!E$1,FALSE)
               +Andel_beroende_av_klimat*VLOOKUP($A444,Leveranser_per_nät,'Leveranser per nät'!E$1,FALSE)/VLOOKUP($B444,Korrigeringsfaktor_EI,'Korrigeringsfaktor EI'!E$1,FALSE),
"")</f>
        <v>680.18076923076922</v>
      </c>
      <c r="F444" s="18">
        <f>IFERROR(
                  Andel_oberoende_av_klimat*VLOOKUP($A444,Leveranser_per_nät,'Leveranser per nät'!F$1,FALSE)
               +Andel_beroende_av_klimat*VLOOKUP($A444,Leveranser_per_nät,'Leveranser per nät'!F$1,FALSE)/VLOOKUP($B444,Korrigeringsfaktor_EI,'Korrigeringsfaktor EI'!F$1,FALSE),
"")</f>
        <v>774</v>
      </c>
      <c r="G444" s="18">
        <f>IFERROR(
                  Andel_oberoende_av_klimat*VLOOKUP($A444,Leveranser_per_nät,'Leveranser per nät'!G$1,FALSE)
               +Andel_beroende_av_klimat*VLOOKUP($A444,Leveranser_per_nät,'Leveranser per nät'!G$1,FALSE)/VLOOKUP($B444,Korrigeringsfaktor_EI,'Korrigeringsfaktor EI'!G$1,FALSE),
"")</f>
        <v>753.2148936170214</v>
      </c>
      <c r="H444" s="18">
        <f>IFERROR(
                  Andel_oberoende_av_klimat*VLOOKUP($A444,Leveranser_per_nät,'Leveranser per nät'!H$1,FALSE)
               +Andel_beroende_av_klimat*VLOOKUP($A444,Leveranser_per_nät,'Leveranser per nät'!H$1,FALSE)/VLOOKUP($B444,Korrigeringsfaktor_EI,'Korrigeringsfaktor EI'!H$1,FALSE),
"")</f>
        <v>791</v>
      </c>
      <c r="I444" s="18">
        <f>IFERROR(
                  Andel_oberoende_av_klimat*VLOOKUP($A444,Leveranser_per_nät,'Leveranser per nät'!I$1,FALSE)
               +Andel_beroende_av_klimat*VLOOKUP($A444,Leveranser_per_nät,'Leveranser per nät'!I$1,FALSE)/VLOOKUP($B444,Korrigeringsfaktor_EI,'Korrigeringsfaktor EI'!I$1,FALSE),
"")</f>
        <v>830.51052631578955</v>
      </c>
      <c r="J444" s="18">
        <f>IFERROR(
                  Andel_oberoende_av_klimat*VLOOKUP($A444,Leveranser_per_nät,'Leveranser per nät'!J$1,FALSE)
               +Andel_beroende_av_klimat*VLOOKUP($A444,Leveranser_per_nät,'Leveranser per nät'!J$1,FALSE)/VLOOKUP($B444,Korrigeringsfaktor_EI,'Korrigeringsfaktor EI'!J$1,FALSE),
"")</f>
        <v>754.70371237113409</v>
      </c>
      <c r="K444" s="18">
        <f>IFERROR(
                  Andel_oberoende_av_klimat*VLOOKUP($A444,Leveranser_per_nät,'Leveranser per nät'!K$1,FALSE)
               +Andel_beroende_av_klimat*VLOOKUP($A444,Leveranser_per_nät,'Leveranser per nät'!K$1,FALSE)/VLOOKUP($B444,Korrigeringsfaktor_EI,'Korrigeringsfaktor EI'!K$1,FALSE),
"")</f>
        <v>767.02991340206188</v>
      </c>
      <c r="L444" s="18">
        <f>IFERROR(
                  Andel_oberoende_av_klimat*VLOOKUP($A444,Leveranser_per_nät,'Leveranser per nät'!L$1,FALSE)
               +Andel_beroende_av_klimat*VLOOKUP($A444,Leveranser_per_nät,'Leveranser per nät'!L$1,FALSE)/VLOOKUP($B444,Korrigeringsfaktor_EI,'Korrigeringsfaktor EI'!L$1,FALSE),
"")</f>
        <v>768.80238387096767</v>
      </c>
      <c r="M444" s="18">
        <f>IFERROR(
                  Andel_oberoende_av_klimat*VLOOKUP($A444,Leveranser_per_nät,'Leveranser per nät'!M$1,FALSE)
               +Andel_beroende_av_klimat*VLOOKUP($A444,Leveranser_per_nät,'Leveranser per nät'!M$1,FALSE)/VLOOKUP($B444,Korrigeringsfaktor_EI,'Korrigeringsfaktor EI'!M$1,FALSE),
"")</f>
        <v>796.12213913043479</v>
      </c>
      <c r="N444" s="18">
        <f>IFERROR(
                  Andel_oberoende_av_klimat*VLOOKUP($A444,Leveranser_per_nät,'Leveranser per nät'!N$1,FALSE)
               +Andel_beroende_av_klimat*VLOOKUP($A444,Leveranser_per_nät,'Leveranser per nät'!N$1,FALSE)/VLOOKUP($B444,Korrigeringsfaktor_EI,'Korrigeringsfaktor EI'!N$1,FALSE),
"")</f>
        <v>807.47344347826083</v>
      </c>
      <c r="O444" s="18">
        <f>IFERROR(
                  Andel_oberoende_av_klimat*VLOOKUP($A444,Leveranser_per_nät,'Leveranser per nät'!O$1,FALSE)
               +Andel_beroende_av_klimat*VLOOKUP($A444,Leveranser_per_nät,'Leveranser per nät'!O$1,FALSE)/VLOOKUP($B444,Korrigeringsfaktor_EI,'Korrigeringsfaktor EI'!O$1,FALSE),
"")</f>
        <v>801.57819130434791</v>
      </c>
      <c r="P444" s="18">
        <f>IFERROR(
                  Andel_oberoende_av_klimat*VLOOKUP($A444,Leveranser_per_nät,'Leveranser per nät'!P$1,FALSE)
               +Andel_beroende_av_klimat*VLOOKUP($A444,Leveranser_per_nät,'Leveranser per nät'!P$1,FALSE)/VLOOKUP($B444,Korrigeringsfaktor_EI,'Korrigeringsfaktor EI'!P$1,FALSE),
"")</f>
        <v>830.28534123711347</v>
      </c>
      <c r="Q444" s="18">
        <f>IFERROR(
                  Andel_oberoende_av_klimat*VLOOKUP($A444,Leveranser_per_nät,'Leveranser per nät'!Q$1,FALSE)
               +Andel_beroende_av_klimat*VLOOKUP($A444,Leveranser_per_nät,'Leveranser per nät'!Q$1,FALSE)/VLOOKUP($B444,Korrigeringsfaktor_EI,'Korrigeringsfaktor EI'!Q$1,FALSE),
"")</f>
        <v>902.02773644859803</v>
      </c>
      <c r="R444" s="18">
        <f>IFERROR(
                  Andel_oberoende_av_klimat*VLOOKUP($A444,Leveranser_per_nät,'Leveranser per nät'!R$1,FALSE)
               +Andel_beroende_av_klimat*VLOOKUP($A444,Leveranser_per_nät,'Leveranser per nät'!R$1,FALSE)/VLOOKUP($B444,Korrigeringsfaktor_EI,'Korrigeringsfaktor EI'!R$1,FALSE),
"")</f>
        <v>877.14346153846157</v>
      </c>
      <c r="S444" s="18">
        <f>IFERROR(
                  Andel_oberoende_av_klimat*VLOOKUP($A444,Leveranser_per_nät,'Leveranser per nät'!S$1,FALSE)
               +Andel_beroende_av_klimat*VLOOKUP($A444,Leveranser_per_nät,'Leveranser per nät'!S$1,FALSE)/VLOOKUP($B444,Korrigeringsfaktor_EI,'Korrigeringsfaktor EI'!S$1,FALSE),
"")</f>
        <v>866</v>
      </c>
      <c r="T444" s="18">
        <f>IFERROR(
                  Andel_oberoende_av_klimat*VLOOKUP($A444,Leveranser_per_nät,'Leveranser per nät'!T$1,FALSE)
               +Andel_beroende_av_klimat*VLOOKUP($A444,Leveranser_per_nät,'Leveranser per nät'!T$1,FALSE)/VLOOKUP($B444,Korrigeringsfaktor_EI,'Korrigeringsfaktor EI'!T$1,FALSE),
"")</f>
        <v>861.46736559139799</v>
      </c>
      <c r="U444" s="18">
        <f>IFERROR(
                  Andel_oberoende_av_klimat*VLOOKUP($A444,Leveranser_per_nät,'Leveranser per nät'!U$1,FALSE)
               +Andel_beroende_av_klimat*VLOOKUP($A444,Leveranser_per_nät,'Leveranser per nät'!U$1,FALSE)/VLOOKUP($B444,Korrigeringsfaktor_EI,'Korrigeringsfaktor EI'!U$1,FALSE),
"")</f>
        <v>850.32678888888881</v>
      </c>
      <c r="V444" s="18">
        <f>IFERROR(
                  Andel_oberoende_av_klimat*VLOOKUP($A444,Leveranser_per_nät,'Leveranser per nät'!V$1,FALSE)
               +Andel_beroende_av_klimat*VLOOKUP($A444,Leveranser_per_nät,'Leveranser per nät'!V$1,FALSE)/VLOOKUP($B444,Korrigeringsfaktor_EI,'Korrigeringsfaktor EI'!V$1,FALSE),
"")</f>
        <v>826.89908426966281</v>
      </c>
      <c r="W444" s="18">
        <f>IFERROR(
                  Andel_oberoende_av_klimat*VLOOKUP($A444,Leveranser_per_nät,'Leveranser per nät'!W$1,FALSE)
               +Andel_beroende_av_klimat*VLOOKUP($A444,Leveranser_per_nät,'Leveranser per nät'!W$1,FALSE)/VLOOKUP($B444,Korrigeringsfaktor_EI,'Korrigeringsfaktor EI'!W$1,FALSE),
"")</f>
        <v>864.21286250000003</v>
      </c>
      <c r="X444" s="18">
        <f>IFERROR(
                  Andel_oberoende_av_klimat*VLOOKUP($A444,Leveranser_per_nät,'Leveranser per nät'!X$1,FALSE)
               +Andel_beroende_av_klimat*VLOOKUP($A444,Leveranser_per_nät,'Leveranser per nät'!X$1,FALSE)/VLOOKUP($B444,Korrigeringsfaktor_EI,'Korrigeringsfaktor EI'!X$1,FALSE),
"")</f>
        <v>872.81566666666674</v>
      </c>
      <c r="Y444" s="18">
        <f>IFERROR(
                  Andel_oberoende_av_klimat*VLOOKUP($A444,Leveranser_per_nät,'Leveranser per nät'!Y$1,FALSE)
               +Andel_beroende_av_klimat*VLOOKUP($A444,Leveranser_per_nät,'Leveranser per nät'!Y$1,FALSE)/VLOOKUP($B444,Korrigeringsfaktor_EI,'Korrigeringsfaktor EI'!Y$1,FALSE),
"")</f>
        <v>892.47085106382974</v>
      </c>
      <c r="Z444" s="18">
        <f>IFERROR(
                  Andel_oberoende_av_klimat*VLOOKUP($A444,Leveranser_per_nät,'Leveranser per nät'!Z$1,FALSE)
               +Andel_beroende_av_klimat*VLOOKUP($A444,Leveranser_per_nät,'Leveranser per nät'!Z$1,FALSE)/VLOOKUP($B444,Korrigeringsfaktor_EI,'Korrigeringsfaktor EI'!Z$1,FALSE),
"")</f>
        <v>899.28583333333336</v>
      </c>
      <c r="AA444" s="18">
        <f>IFERROR(
                  Andel_oberoende_av_klimat*VLOOKUP($A444,Leveranser_per_nät,'Leveranser per nät'!AA$1,FALSE)
               +Andel_beroende_av_klimat*VLOOKUP($A444,Leveranser_per_nät,'Leveranser per nät'!AA$1,FALSE)/VLOOKUP($B444,Korrigeringsfaktor_EI,'Korrigeringsfaktor EI'!AA$1,FALSE),
"")</f>
        <v>850.38916837361739</v>
      </c>
      <c r="AB444" s="18">
        <f>IFERROR(
                  Andel_oberoende_av_klimat*VLOOKUP($A444,Leveranser_per_nät,'Leveranser per nät'!AB$1,FALSE)
               +Andel_beroende_av_klimat*VLOOKUP($A444,Leveranser_per_nät,'Leveranser per nät'!AB$1,FALSE)/VLOOKUP($B444,Korrigeringsfaktor_EI,'Korrigeringsfaktor EI'!AB$1,FALSE),
"")</f>
        <v>867.20922480620163</v>
      </c>
      <c r="AC444" s="18">
        <f>IFERROR(
                  Andel_oberoende_av_klimat*VLOOKUP($A444,Leveranser_per_nät,'Leveranser per nät'!AC$1,FALSE)
               +Andel_beroende_av_klimat*VLOOKUP($A444,Leveranser_per_nät,'Leveranser per nät'!AC$1,FALSE)/VLOOKUP($B444,Korrigeringsfaktor_EI,'Korrigeringsfaktor EI'!AC$1,FALSE),
"")</f>
        <v>841.84071942446042</v>
      </c>
      <c r="AD444">
        <v>823.99</v>
      </c>
    </row>
    <row r="445" spans="1:30" x14ac:dyDescent="0.25">
      <c r="A445" t="s">
        <v>335</v>
      </c>
      <c r="B445" t="s">
        <v>335</v>
      </c>
      <c r="C445" s="18">
        <f>IFERROR(
                  Andel_oberoende_av_klimat*VLOOKUP($A445,Leveranser_per_nät,'Leveranser per nät'!C$1,FALSE)
               +Andel_beroende_av_klimat*VLOOKUP($A445,Leveranser_per_nät,'Leveranser per nät'!C$1,FALSE)/VLOOKUP($B445,Korrigeringsfaktor_EI,'Korrigeringsfaktor EI'!C$1,FALSE),
"")</f>
        <v>1666.8444444444444</v>
      </c>
      <c r="D445" s="18">
        <f>IFERROR(
                  Andel_oberoende_av_klimat*VLOOKUP($A445,Leveranser_per_nät,'Leveranser per nät'!D$1,FALSE)
               +Andel_beroende_av_klimat*VLOOKUP($A445,Leveranser_per_nät,'Leveranser per nät'!D$1,FALSE)/VLOOKUP($B445,Korrigeringsfaktor_EI,'Korrigeringsfaktor EI'!D$1,FALSE),
"")</f>
        <v>1560.7625714285714</v>
      </c>
      <c r="E445" s="18">
        <f>IFERROR(
                  Andel_oberoende_av_klimat*VLOOKUP($A445,Leveranser_per_nät,'Leveranser per nät'!E$1,FALSE)
               +Andel_beroende_av_klimat*VLOOKUP($A445,Leveranser_per_nät,'Leveranser per nät'!E$1,FALSE)/VLOOKUP($B445,Korrigeringsfaktor_EI,'Korrigeringsfaktor EI'!E$1,FALSE),
"")</f>
        <v>1499.785436893204</v>
      </c>
      <c r="F445" s="18">
        <f>IFERROR(
                  Andel_oberoende_av_klimat*VLOOKUP($A445,Leveranser_per_nät,'Leveranser per nät'!F$1,FALSE)
               +Andel_beroende_av_klimat*VLOOKUP($A445,Leveranser_per_nät,'Leveranser per nät'!F$1,FALSE)/VLOOKUP($B445,Korrigeringsfaktor_EI,'Korrigeringsfaktor EI'!F$1,FALSE),
"")</f>
        <v>1587.4052631578948</v>
      </c>
      <c r="G445" s="18">
        <f>IFERROR(
                  Andel_oberoende_av_klimat*VLOOKUP($A445,Leveranser_per_nät,'Leveranser per nät'!G$1,FALSE)
               +Andel_beroende_av_klimat*VLOOKUP($A445,Leveranser_per_nät,'Leveranser per nät'!G$1,FALSE)/VLOOKUP($B445,Korrigeringsfaktor_EI,'Korrigeringsfaktor EI'!G$1,FALSE),
"")</f>
        <v>1600.5</v>
      </c>
      <c r="H445" s="18">
        <f>IFERROR(
                  Andel_oberoende_av_klimat*VLOOKUP($A445,Leveranser_per_nät,'Leveranser per nät'!H$1,FALSE)
               +Andel_beroende_av_klimat*VLOOKUP($A445,Leveranser_per_nät,'Leveranser per nät'!H$1,FALSE)/VLOOKUP($B445,Korrigeringsfaktor_EI,'Korrigeringsfaktor EI'!H$1,FALSE),
"")</f>
        <v>1552.7253714285714</v>
      </c>
      <c r="I445" s="18">
        <f>IFERROR(
                  Andel_oberoende_av_klimat*VLOOKUP($A445,Leveranser_per_nät,'Leveranser per nät'!I$1,FALSE)
               +Andel_beroende_av_klimat*VLOOKUP($A445,Leveranser_per_nät,'Leveranser per nät'!I$1,FALSE)/VLOOKUP($B445,Korrigeringsfaktor_EI,'Korrigeringsfaktor EI'!I$1,FALSE),
"")</f>
        <v>1629.1708333333333</v>
      </c>
      <c r="J445" s="18">
        <f>IFERROR(
                  Andel_oberoende_av_klimat*VLOOKUP($A445,Leveranser_per_nät,'Leveranser per nät'!J$1,FALSE)
               +Andel_beroende_av_klimat*VLOOKUP($A445,Leveranser_per_nät,'Leveranser per nät'!J$1,FALSE)/VLOOKUP($B445,Korrigeringsfaktor_EI,'Korrigeringsfaktor EI'!J$1,FALSE),
"")</f>
        <v>1618.7999999999997</v>
      </c>
      <c r="K445" s="18">
        <f>IFERROR(
                  Andel_oberoende_av_klimat*VLOOKUP($A445,Leveranser_per_nät,'Leveranser per nät'!K$1,FALSE)
               +Andel_beroende_av_klimat*VLOOKUP($A445,Leveranser_per_nät,'Leveranser per nät'!K$1,FALSE)/VLOOKUP($B445,Korrigeringsfaktor_EI,'Korrigeringsfaktor EI'!K$1,FALSE),
"")</f>
        <v>1466.1395474226804</v>
      </c>
      <c r="L445" s="18">
        <f>IFERROR(
                  Andel_oberoende_av_klimat*VLOOKUP($A445,Leveranser_per_nät,'Leveranser per nät'!L$1,FALSE)
               +Andel_beroende_av_klimat*VLOOKUP($A445,Leveranser_per_nät,'Leveranser per nät'!L$1,FALSE)/VLOOKUP($B445,Korrigeringsfaktor_EI,'Korrigeringsfaktor EI'!L$1,FALSE),
"")</f>
        <v>1976.9263555794919</v>
      </c>
      <c r="M445" s="18">
        <f>IFERROR(
                  Andel_oberoende_av_klimat*VLOOKUP($A445,Leveranser_per_nät,'Leveranser per nät'!M$1,FALSE)
               +Andel_beroende_av_klimat*VLOOKUP($A445,Leveranser_per_nät,'Leveranser per nät'!M$1,FALSE)/VLOOKUP($B445,Korrigeringsfaktor_EI,'Korrigeringsfaktor EI'!M$1,FALSE),
"")</f>
        <v>1651.0366538461537</v>
      </c>
      <c r="N445" s="18">
        <f>IFERROR(
                  Andel_oberoende_av_klimat*VLOOKUP($A445,Leveranser_per_nät,'Leveranser per nät'!N$1,FALSE)
               +Andel_beroende_av_klimat*VLOOKUP($A445,Leveranser_per_nät,'Leveranser per nät'!N$1,FALSE)/VLOOKUP($B445,Korrigeringsfaktor_EI,'Korrigeringsfaktor EI'!N$1,FALSE),
"")</f>
        <v>1531.2591304347825</v>
      </c>
      <c r="O445" s="18">
        <f>IFERROR(
                  Andel_oberoende_av_klimat*VLOOKUP($A445,Leveranser_per_nät,'Leveranser per nät'!O$1,FALSE)
               +Andel_beroende_av_klimat*VLOOKUP($A445,Leveranser_per_nät,'Leveranser per nät'!O$1,FALSE)/VLOOKUP($B445,Korrigeringsfaktor_EI,'Korrigeringsfaktor EI'!O$1,FALSE),
"")</f>
        <v>1388.7166666666667</v>
      </c>
      <c r="P445" s="18">
        <f>IFERROR(
                  Andel_oberoende_av_klimat*VLOOKUP($A445,Leveranser_per_nät,'Leveranser per nät'!P$1,FALSE)
               +Andel_beroende_av_klimat*VLOOKUP($A445,Leveranser_per_nät,'Leveranser per nät'!P$1,FALSE)/VLOOKUP($B445,Korrigeringsfaktor_EI,'Korrigeringsfaktor EI'!P$1,FALSE),
"")</f>
        <v>1485.9285714285716</v>
      </c>
      <c r="Q445" s="18">
        <f>IFERROR(
                  Andel_oberoende_av_klimat*VLOOKUP($A445,Leveranser_per_nät,'Leveranser per nät'!Q$1,FALSE)
               +Andel_beroende_av_klimat*VLOOKUP($A445,Leveranser_per_nät,'Leveranser per nät'!Q$1,FALSE)/VLOOKUP($B445,Korrigeringsfaktor_EI,'Korrigeringsfaktor EI'!Q$1,FALSE),
"")</f>
        <v>1492.6192982456141</v>
      </c>
      <c r="R445" s="18">
        <f>IFERROR(
                  Andel_oberoende_av_klimat*VLOOKUP($A445,Leveranser_per_nät,'Leveranser per nät'!R$1,FALSE)
               +Andel_beroende_av_klimat*VLOOKUP($A445,Leveranser_per_nät,'Leveranser per nät'!R$1,FALSE)/VLOOKUP($B445,Korrigeringsfaktor_EI,'Korrigeringsfaktor EI'!R$1,FALSE),
"")</f>
        <v>1405.0156521739132</v>
      </c>
      <c r="S445" s="18">
        <f>IFERROR(
                  Andel_oberoende_av_klimat*VLOOKUP($A445,Leveranser_per_nät,'Leveranser per nät'!S$1,FALSE)
               +Andel_beroende_av_klimat*VLOOKUP($A445,Leveranser_per_nät,'Leveranser per nät'!S$1,FALSE)/VLOOKUP($B445,Korrigeringsfaktor_EI,'Korrigeringsfaktor EI'!S$1,FALSE),
"")</f>
        <v>1405.1930693069307</v>
      </c>
      <c r="T445" s="18">
        <f>IFERROR(
                  Andel_oberoende_av_klimat*VLOOKUP($A445,Leveranser_per_nät,'Leveranser per nät'!T$1,FALSE)
               +Andel_beroende_av_klimat*VLOOKUP($A445,Leveranser_per_nät,'Leveranser per nät'!T$1,FALSE)/VLOOKUP($B445,Korrigeringsfaktor_EI,'Korrigeringsfaktor EI'!T$1,FALSE),
"")</f>
        <v>1396.5791666666667</v>
      </c>
      <c r="U445" s="18">
        <f>IFERROR(
                  Andel_oberoende_av_klimat*VLOOKUP($A445,Leveranser_per_nät,'Leveranser per nät'!U$1,FALSE)
               +Andel_beroende_av_klimat*VLOOKUP($A445,Leveranser_per_nät,'Leveranser per nät'!U$1,FALSE)/VLOOKUP($B445,Korrigeringsfaktor_EI,'Korrigeringsfaktor EI'!U$1,FALSE),
"")</f>
        <v>1463.298888888889</v>
      </c>
      <c r="V445" s="18">
        <f>IFERROR(
                  Andel_oberoende_av_klimat*VLOOKUP($A445,Leveranser_per_nät,'Leveranser per nät'!V$1,FALSE)
               +Andel_beroende_av_klimat*VLOOKUP($A445,Leveranser_per_nät,'Leveranser per nät'!V$1,FALSE)/VLOOKUP($B445,Korrigeringsfaktor_EI,'Korrigeringsfaktor EI'!V$1,FALSE),
"")</f>
        <v>1474.946629213483</v>
      </c>
      <c r="W445" s="18">
        <f>IFERROR(
                  Andel_oberoende_av_klimat*VLOOKUP($A445,Leveranser_per_nät,'Leveranser per nät'!W$1,FALSE)
               +Andel_beroende_av_klimat*VLOOKUP($A445,Leveranser_per_nät,'Leveranser per nät'!W$1,FALSE)/VLOOKUP($B445,Korrigeringsfaktor_EI,'Korrigeringsfaktor EI'!W$1,FALSE),
"")</f>
        <v>1501.4675531914895</v>
      </c>
      <c r="X445" s="18">
        <f>IFERROR(
                  Andel_oberoende_av_klimat*VLOOKUP($A445,Leveranser_per_nät,'Leveranser per nät'!X$1,FALSE)
               +Andel_beroende_av_klimat*VLOOKUP($A445,Leveranser_per_nät,'Leveranser per nät'!X$1,FALSE)/VLOOKUP($B445,Korrigeringsfaktor_EI,'Korrigeringsfaktor EI'!X$1,FALSE),
"")</f>
        <v>1493.2668085106386</v>
      </c>
      <c r="Y445" s="18">
        <f>IFERROR(
                  Andel_oberoende_av_klimat*VLOOKUP($A445,Leveranser_per_nät,'Leveranser per nät'!Y$1,FALSE)
               +Andel_beroende_av_klimat*VLOOKUP($A445,Leveranser_per_nät,'Leveranser per nät'!Y$1,FALSE)/VLOOKUP($B445,Korrigeringsfaktor_EI,'Korrigeringsfaktor EI'!Y$1,FALSE),
"")</f>
        <v>1517.6330076923075</v>
      </c>
      <c r="Z445" s="18">
        <f>IFERROR(
                  Andel_oberoende_av_klimat*VLOOKUP($A445,Leveranser_per_nät,'Leveranser per nät'!Z$1,FALSE)
               +Andel_beroende_av_klimat*VLOOKUP($A445,Leveranser_per_nät,'Leveranser per nät'!Z$1,FALSE)/VLOOKUP($B445,Korrigeringsfaktor_EI,'Korrigeringsfaktor EI'!Z$1,FALSE),
"")</f>
        <v>1378.3806692307694</v>
      </c>
      <c r="AA445" s="18">
        <f>IFERROR(
                  Andel_oberoende_av_klimat*VLOOKUP($A445,Leveranser_per_nät,'Leveranser per nät'!AA$1,FALSE)
               +Andel_beroende_av_klimat*VLOOKUP($A445,Leveranser_per_nät,'Leveranser per nät'!AA$1,FALSE)/VLOOKUP($B445,Korrigeringsfaktor_EI,'Korrigeringsfaktor EI'!AA$1,FALSE),
"")</f>
        <v>1316.620596203848</v>
      </c>
      <c r="AB445" s="18">
        <f>IFERROR(
                  Andel_oberoende_av_klimat*VLOOKUP($A445,Leveranser_per_nät,'Leveranser per nät'!AB$1,FALSE)
               +Andel_beroende_av_klimat*VLOOKUP($A445,Leveranser_per_nät,'Leveranser per nät'!AB$1,FALSE)/VLOOKUP($B445,Korrigeringsfaktor_EI,'Korrigeringsfaktor EI'!AB$1,FALSE),
"")</f>
        <v>1341.689498510427</v>
      </c>
      <c r="AC445" s="18">
        <f>IFERROR(
                  Andel_oberoende_av_klimat*VLOOKUP($A445,Leveranser_per_nät,'Leveranser per nät'!AC$1,FALSE)
               +Andel_beroende_av_klimat*VLOOKUP($A445,Leveranser_per_nät,'Leveranser per nät'!AC$1,FALSE)/VLOOKUP($B445,Korrigeringsfaktor_EI,'Korrigeringsfaktor EI'!AC$1,FALSE),
"")</f>
        <v>1429.0701156282996</v>
      </c>
      <c r="AD445">
        <v>1157.2149999999999</v>
      </c>
    </row>
    <row r="446" spans="1:30" x14ac:dyDescent="0.25">
      <c r="A446" t="s">
        <v>273</v>
      </c>
      <c r="B446" t="s">
        <v>261</v>
      </c>
      <c r="C446" s="18">
        <f>IFERROR(
                  Andel_oberoende_av_klimat*VLOOKUP($A446,Leveranser_per_nät,'Leveranser per nät'!C$1,FALSE)
               +Andel_beroende_av_klimat*VLOOKUP($A446,Leveranser_per_nät,'Leveranser per nät'!C$1,FALSE)/VLOOKUP($B446,Korrigeringsfaktor_EI,'Korrigeringsfaktor EI'!C$1,FALSE),
"")</f>
        <v>0</v>
      </c>
      <c r="D446" s="18">
        <f>IFERROR(
                  Andel_oberoende_av_klimat*VLOOKUP($A446,Leveranser_per_nät,'Leveranser per nät'!D$1,FALSE)
               +Andel_beroende_av_klimat*VLOOKUP($A446,Leveranser_per_nät,'Leveranser per nät'!D$1,FALSE)/VLOOKUP($B446,Korrigeringsfaktor_EI,'Korrigeringsfaktor EI'!D$1,FALSE),
"")</f>
        <v>0</v>
      </c>
      <c r="E446" s="18">
        <f>IFERROR(
                  Andel_oberoende_av_klimat*VLOOKUP($A446,Leveranser_per_nät,'Leveranser per nät'!E$1,FALSE)
               +Andel_beroende_av_klimat*VLOOKUP($A446,Leveranser_per_nät,'Leveranser per nät'!E$1,FALSE)/VLOOKUP($B446,Korrigeringsfaktor_EI,'Korrigeringsfaktor EI'!E$1,FALSE),
"")</f>
        <v>0</v>
      </c>
      <c r="F446" s="18">
        <f>IFERROR(
                  Andel_oberoende_av_klimat*VLOOKUP($A446,Leveranser_per_nät,'Leveranser per nät'!F$1,FALSE)
               +Andel_beroende_av_klimat*VLOOKUP($A446,Leveranser_per_nät,'Leveranser per nät'!F$1,FALSE)/VLOOKUP($B446,Korrigeringsfaktor_EI,'Korrigeringsfaktor EI'!F$1,FALSE),
"")</f>
        <v>17</v>
      </c>
      <c r="G446" s="18">
        <f>IFERROR(
                  Andel_oberoende_av_klimat*VLOOKUP($A446,Leveranser_per_nät,'Leveranser per nät'!G$1,FALSE)
               +Andel_beroende_av_klimat*VLOOKUP($A446,Leveranser_per_nät,'Leveranser per nät'!G$1,FALSE)/VLOOKUP($B446,Korrigeringsfaktor_EI,'Korrigeringsfaktor EI'!G$1,FALSE),
"")</f>
        <v>18.03478260869565</v>
      </c>
      <c r="H446" s="18">
        <f>IFERROR(
                  Andel_oberoende_av_klimat*VLOOKUP($A446,Leveranser_per_nät,'Leveranser per nät'!H$1,FALSE)
               +Andel_beroende_av_klimat*VLOOKUP($A446,Leveranser_per_nät,'Leveranser per nät'!H$1,FALSE)/VLOOKUP($B446,Korrigeringsfaktor_EI,'Korrigeringsfaktor EI'!H$1,FALSE),
"")</f>
        <v>20.170999999999999</v>
      </c>
      <c r="I446" s="18">
        <f>IFERROR(
                  Andel_oberoende_av_klimat*VLOOKUP($A446,Leveranser_per_nät,'Leveranser per nät'!I$1,FALSE)
               +Andel_beroende_av_klimat*VLOOKUP($A446,Leveranser_per_nät,'Leveranser per nät'!I$1,FALSE)/VLOOKUP($B446,Korrigeringsfaktor_EI,'Korrigeringsfaktor EI'!I$1,FALSE),
"")</f>
        <v>22.641666666666666</v>
      </c>
      <c r="J446" s="18">
        <f>IFERROR(
                  Andel_oberoende_av_klimat*VLOOKUP($A446,Leveranser_per_nät,'Leveranser per nät'!J$1,FALSE)
               +Andel_beroende_av_klimat*VLOOKUP($A446,Leveranser_per_nät,'Leveranser per nät'!J$1,FALSE)/VLOOKUP($B446,Korrigeringsfaktor_EI,'Korrigeringsfaktor EI'!J$1,FALSE),
"")</f>
        <v>27.994736842105265</v>
      </c>
      <c r="K446" s="18">
        <f>IFERROR(
                  Andel_oberoende_av_klimat*VLOOKUP($A446,Leveranser_per_nät,'Leveranser per nät'!K$1,FALSE)
               +Andel_beroende_av_klimat*VLOOKUP($A446,Leveranser_per_nät,'Leveranser per nät'!K$1,FALSE)/VLOOKUP($B446,Korrigeringsfaktor_EI,'Korrigeringsfaktor EI'!K$1,FALSE),
"")</f>
        <v>28.747900000000001</v>
      </c>
      <c r="L446" s="18">
        <f>IFERROR(
                  Andel_oberoende_av_klimat*VLOOKUP($A446,Leveranser_per_nät,'Leveranser per nät'!L$1,FALSE)
               +Andel_beroende_av_klimat*VLOOKUP($A446,Leveranser_per_nät,'Leveranser per nät'!L$1,FALSE)/VLOOKUP($B446,Korrigeringsfaktor_EI,'Korrigeringsfaktor EI'!L$1,FALSE),
"")</f>
        <v>27.543586021505369</v>
      </c>
      <c r="M446" s="18">
        <f>IFERROR(
                  Andel_oberoende_av_klimat*VLOOKUP($A446,Leveranser_per_nät,'Leveranser per nät'!M$1,FALSE)
               +Andel_beroende_av_klimat*VLOOKUP($A446,Leveranser_per_nät,'Leveranser per nät'!M$1,FALSE)/VLOOKUP($B446,Korrigeringsfaktor_EI,'Korrigeringsfaktor EI'!M$1,FALSE),
"")</f>
        <v>29.323495652173911</v>
      </c>
      <c r="N446" s="18">
        <f>IFERROR(
                  Andel_oberoende_av_klimat*VLOOKUP($A446,Leveranser_per_nät,'Leveranser per nät'!N$1,FALSE)
               +Andel_beroende_av_klimat*VLOOKUP($A446,Leveranser_per_nät,'Leveranser per nät'!N$1,FALSE)/VLOOKUP($B446,Korrigeringsfaktor_EI,'Korrigeringsfaktor EI'!N$1,FALSE),
"")</f>
        <v>30.441652173913042</v>
      </c>
      <c r="O446" s="18">
        <f>IFERROR(
                  Andel_oberoende_av_klimat*VLOOKUP($A446,Leveranser_per_nät,'Leveranser per nät'!O$1,FALSE)
               +Andel_beroende_av_klimat*VLOOKUP($A446,Leveranser_per_nät,'Leveranser per nät'!O$1,FALSE)/VLOOKUP($B446,Korrigeringsfaktor_EI,'Korrigeringsfaktor EI'!O$1,FALSE),
"")</f>
        <v>30.469006451612906</v>
      </c>
      <c r="P446" s="18">
        <f>IFERROR(
                  Andel_oberoende_av_klimat*VLOOKUP($A446,Leveranser_per_nät,'Leveranser per nät'!P$1,FALSE)
               +Andel_beroende_av_klimat*VLOOKUP($A446,Leveranser_per_nät,'Leveranser per nät'!P$1,FALSE)/VLOOKUP($B446,Korrigeringsfaktor_EI,'Korrigeringsfaktor EI'!P$1,FALSE),
"")</f>
        <v>30.531258333333334</v>
      </c>
      <c r="Q446" s="18">
        <f>IFERROR(
                  Andel_oberoende_av_klimat*VLOOKUP($A446,Leveranser_per_nät,'Leveranser per nät'!Q$1,FALSE)
               +Andel_beroende_av_klimat*VLOOKUP($A446,Leveranser_per_nät,'Leveranser per nät'!Q$1,FALSE)/VLOOKUP($B446,Korrigeringsfaktor_EI,'Korrigeringsfaktor EI'!Q$1,FALSE),
"")</f>
        <v>30.633816822429907</v>
      </c>
      <c r="R446" s="18">
        <f>IFERROR(
                  Andel_oberoende_av_klimat*VLOOKUP($A446,Leveranser_per_nät,'Leveranser per nät'!R$1,FALSE)
               +Andel_beroende_av_klimat*VLOOKUP($A446,Leveranser_per_nät,'Leveranser per nät'!R$1,FALSE)/VLOOKUP($B446,Korrigeringsfaktor_EI,'Korrigeringsfaktor EI'!R$1,FALSE),
"")</f>
        <v>28.933943820224716</v>
      </c>
      <c r="S446" s="18">
        <f>IFERROR(
                  Andel_oberoende_av_klimat*VLOOKUP($A446,Leveranser_per_nät,'Leveranser per nät'!S$1,FALSE)
               +Andel_beroende_av_klimat*VLOOKUP($A446,Leveranser_per_nät,'Leveranser per nät'!S$1,FALSE)/VLOOKUP($B446,Korrigeringsfaktor_EI,'Korrigeringsfaktor EI'!S$1,FALSE),
"")</f>
        <v>30.212121212121211</v>
      </c>
      <c r="T446" s="18">
        <f>IFERROR(
                  Andel_oberoende_av_klimat*VLOOKUP($A446,Leveranser_per_nät,'Leveranser per nät'!T$1,FALSE)
               +Andel_beroende_av_klimat*VLOOKUP($A446,Leveranser_per_nät,'Leveranser per nät'!T$1,FALSE)/VLOOKUP($B446,Korrigeringsfaktor_EI,'Korrigeringsfaktor EI'!T$1,FALSE),
"")</f>
        <v>30.685652173913041</v>
      </c>
      <c r="U446" s="18">
        <f>IFERROR(
                  Andel_oberoende_av_klimat*VLOOKUP($A446,Leveranser_per_nät,'Leveranser per nät'!U$1,FALSE)
               +Andel_beroende_av_klimat*VLOOKUP($A446,Leveranser_per_nät,'Leveranser per nät'!U$1,FALSE)/VLOOKUP($B446,Korrigeringsfaktor_EI,'Korrigeringsfaktor EI'!U$1,FALSE),
"")</f>
        <v>30.233822222222223</v>
      </c>
      <c r="V446" s="18">
        <f>IFERROR(
                  Andel_oberoende_av_klimat*VLOOKUP($A446,Leveranser_per_nät,'Leveranser per nät'!V$1,FALSE)
               +Andel_beroende_av_klimat*VLOOKUP($A446,Leveranser_per_nät,'Leveranser per nät'!V$1,FALSE)/VLOOKUP($B446,Korrigeringsfaktor_EI,'Korrigeringsfaktor EI'!V$1,FALSE),
"")</f>
        <v>29.868321839080458</v>
      </c>
      <c r="W446" s="18">
        <f>IFERROR(
                  Andel_oberoende_av_klimat*VLOOKUP($A446,Leveranser_per_nät,'Leveranser per nät'!W$1,FALSE)
               +Andel_beroende_av_klimat*VLOOKUP($A446,Leveranser_per_nät,'Leveranser per nät'!W$1,FALSE)/VLOOKUP($B446,Korrigeringsfaktor_EI,'Korrigeringsfaktor EI'!W$1,FALSE),
"")</f>
        <v>31.112521052631582</v>
      </c>
      <c r="X446" s="18">
        <f>IFERROR(
                  Andel_oberoende_av_klimat*VLOOKUP($A446,Leveranser_per_nät,'Leveranser per nät'!X$1,FALSE)
               +Andel_beroende_av_klimat*VLOOKUP($A446,Leveranser_per_nät,'Leveranser per nät'!X$1,FALSE)/VLOOKUP($B446,Korrigeringsfaktor_EI,'Korrigeringsfaktor EI'!X$1,FALSE),
"")</f>
        <v>32.057512500000001</v>
      </c>
      <c r="Y446" s="18">
        <f>IFERROR(
                  Andel_oberoende_av_klimat*VLOOKUP($A446,Leveranser_per_nät,'Leveranser per nät'!Y$1,FALSE)
               +Andel_beroende_av_klimat*VLOOKUP($A446,Leveranser_per_nät,'Leveranser per nät'!Y$1,FALSE)/VLOOKUP($B446,Korrigeringsfaktor_EI,'Korrigeringsfaktor EI'!Y$1,FALSE),
"")</f>
        <v>32.58069892473118</v>
      </c>
      <c r="Z446" s="18">
        <f>IFERROR(
                  Andel_oberoende_av_klimat*VLOOKUP($A446,Leveranser_per_nät,'Leveranser per nät'!Z$1,FALSE)
               +Andel_beroende_av_klimat*VLOOKUP($A446,Leveranser_per_nät,'Leveranser per nät'!Z$1,FALSE)/VLOOKUP($B446,Korrigeringsfaktor_EI,'Korrigeringsfaktor EI'!Z$1,FALSE),
"")</f>
        <v>33.142309278350517</v>
      </c>
      <c r="AA446" s="18">
        <f>IFERROR(
                  Andel_oberoende_av_klimat*VLOOKUP($A446,Leveranser_per_nät,'Leveranser per nät'!AA$1,FALSE)
               +Andel_beroende_av_klimat*VLOOKUP($A446,Leveranser_per_nät,'Leveranser per nät'!AA$1,FALSE)/VLOOKUP($B446,Korrigeringsfaktor_EI,'Korrigeringsfaktor EI'!AA$1,FALSE),
"")</f>
        <v>31.700760141509434</v>
      </c>
      <c r="AB446" s="18">
        <f>IFERROR(
                  Andel_oberoende_av_klimat*VLOOKUP($A446,Leveranser_per_nät,'Leveranser per nät'!AB$1,FALSE)
               +Andel_beroende_av_klimat*VLOOKUP($A446,Leveranser_per_nät,'Leveranser per nät'!AB$1,FALSE)/VLOOKUP($B446,Korrigeringsfaktor_EI,'Korrigeringsfaktor EI'!AB$1,FALSE),
"")</f>
        <v>32.749656062992123</v>
      </c>
      <c r="AC446" s="18">
        <f>IFERROR(
                  Andel_oberoende_av_klimat*VLOOKUP($A446,Leveranser_per_nät,'Leveranser per nät'!AC$1,FALSE)
               +Andel_beroende_av_klimat*VLOOKUP($A446,Leveranser_per_nät,'Leveranser per nät'!AC$1,FALSE)/VLOOKUP($B446,Korrigeringsfaktor_EI,'Korrigeringsfaktor EI'!AC$1,FALSE),
"")</f>
        <v>32.053129748163698</v>
      </c>
      <c r="AD446">
        <v>351.95330000000001</v>
      </c>
    </row>
    <row r="447" spans="1:30" x14ac:dyDescent="0.25">
      <c r="A447" t="s">
        <v>238</v>
      </c>
      <c r="B447" t="s">
        <v>238</v>
      </c>
      <c r="C447" s="18">
        <f>IFERROR(
                  Andel_oberoende_av_klimat*VLOOKUP($A447,Leveranser_per_nät,'Leveranser per nät'!C$1,FALSE)
               +Andel_beroende_av_klimat*VLOOKUP($A447,Leveranser_per_nät,'Leveranser per nät'!C$1,FALSE)/VLOOKUP($B447,Korrigeringsfaktor_EI,'Korrigeringsfaktor EI'!C$1,FALSE),
"")</f>
        <v>0</v>
      </c>
      <c r="D447" s="18">
        <f>IFERROR(
                  Andel_oberoende_av_klimat*VLOOKUP($A447,Leveranser_per_nät,'Leveranser per nät'!D$1,FALSE)
               +Andel_beroende_av_klimat*VLOOKUP($A447,Leveranser_per_nät,'Leveranser per nät'!D$1,FALSE)/VLOOKUP($B447,Korrigeringsfaktor_EI,'Korrigeringsfaktor EI'!D$1,FALSE),
"")</f>
        <v>0</v>
      </c>
      <c r="E447" s="18">
        <f>IFERROR(
                  Andel_oberoende_av_klimat*VLOOKUP($A447,Leveranser_per_nät,'Leveranser per nät'!E$1,FALSE)
               +Andel_beroende_av_klimat*VLOOKUP($A447,Leveranser_per_nät,'Leveranser per nät'!E$1,FALSE)/VLOOKUP($B447,Korrigeringsfaktor_EI,'Korrigeringsfaktor EI'!E$1,FALSE),
"")</f>
        <v>0</v>
      </c>
      <c r="F447" s="18">
        <f>IFERROR(
                  Andel_oberoende_av_klimat*VLOOKUP($A447,Leveranser_per_nät,'Leveranser per nät'!F$1,FALSE)
               +Andel_beroende_av_klimat*VLOOKUP($A447,Leveranser_per_nät,'Leveranser per nät'!F$1,FALSE)/VLOOKUP($B447,Korrigeringsfaktor_EI,'Korrigeringsfaktor EI'!F$1,FALSE),
"")</f>
        <v>0</v>
      </c>
      <c r="G447" s="18">
        <f>IFERROR(
                  Andel_oberoende_av_klimat*VLOOKUP($A447,Leveranser_per_nät,'Leveranser per nät'!G$1,FALSE)
               +Andel_beroende_av_klimat*VLOOKUP($A447,Leveranser_per_nät,'Leveranser per nät'!G$1,FALSE)/VLOOKUP($B447,Korrigeringsfaktor_EI,'Korrigeringsfaktor EI'!G$1,FALSE),
"")</f>
        <v>0</v>
      </c>
      <c r="H447" s="18">
        <f>IFERROR(
                  Andel_oberoende_av_klimat*VLOOKUP($A447,Leveranser_per_nät,'Leveranser per nät'!H$1,FALSE)
               +Andel_beroende_av_klimat*VLOOKUP($A447,Leveranser_per_nät,'Leveranser per nät'!H$1,FALSE)/VLOOKUP($B447,Korrigeringsfaktor_EI,'Korrigeringsfaktor EI'!H$1,FALSE),
"")</f>
        <v>0</v>
      </c>
      <c r="I447" s="18">
        <f>IFERROR(
                  Andel_oberoende_av_klimat*VLOOKUP($A447,Leveranser_per_nät,'Leveranser per nät'!I$1,FALSE)
               +Andel_beroende_av_klimat*VLOOKUP($A447,Leveranser_per_nät,'Leveranser per nät'!I$1,FALSE)/VLOOKUP($B447,Korrigeringsfaktor_EI,'Korrigeringsfaktor EI'!I$1,FALSE),
"")</f>
        <v>0</v>
      </c>
      <c r="J447" s="18">
        <f>IFERROR(
                  Andel_oberoende_av_klimat*VLOOKUP($A447,Leveranser_per_nät,'Leveranser per nät'!J$1,FALSE)
               +Andel_beroende_av_klimat*VLOOKUP($A447,Leveranser_per_nät,'Leveranser per nät'!J$1,FALSE)/VLOOKUP($B447,Korrigeringsfaktor_EI,'Korrigeringsfaktor EI'!J$1,FALSE),
"")</f>
        <v>0</v>
      </c>
      <c r="K447" s="18">
        <f>IFERROR(
                  Andel_oberoende_av_klimat*VLOOKUP($A447,Leveranser_per_nät,'Leveranser per nät'!K$1,FALSE)
               +Andel_beroende_av_klimat*VLOOKUP($A447,Leveranser_per_nät,'Leveranser per nät'!K$1,FALSE)/VLOOKUP($B447,Korrigeringsfaktor_EI,'Korrigeringsfaktor EI'!K$1,FALSE),
"")</f>
        <v>26.376946391752583</v>
      </c>
      <c r="L447" s="18">
        <f>IFERROR(
                  Andel_oberoende_av_klimat*VLOOKUP($A447,Leveranser_per_nät,'Leveranser per nät'!L$1,FALSE)
               +Andel_beroende_av_klimat*VLOOKUP($A447,Leveranser_per_nät,'Leveranser per nät'!L$1,FALSE)/VLOOKUP($B447,Korrigeringsfaktor_EI,'Korrigeringsfaktor EI'!L$1,FALSE),
"")</f>
        <v>26.717347368421052</v>
      </c>
      <c r="M447" s="18">
        <f>IFERROR(
                  Andel_oberoende_av_klimat*VLOOKUP($A447,Leveranser_per_nät,'Leveranser per nät'!M$1,FALSE)
               +Andel_beroende_av_klimat*VLOOKUP($A447,Leveranser_per_nät,'Leveranser per nät'!M$1,FALSE)/VLOOKUP($B447,Korrigeringsfaktor_EI,'Korrigeringsfaktor EI'!M$1,FALSE),
"")</f>
        <v>30.405582608695653</v>
      </c>
      <c r="N447" s="18">
        <f>IFERROR(
                  Andel_oberoende_av_klimat*VLOOKUP($A447,Leveranser_per_nät,'Leveranser per nät'!N$1,FALSE)
               +Andel_beroende_av_klimat*VLOOKUP($A447,Leveranser_per_nät,'Leveranser per nät'!N$1,FALSE)/VLOOKUP($B447,Korrigeringsfaktor_EI,'Korrigeringsfaktor EI'!N$1,FALSE),
"")</f>
        <v>34.892207692307693</v>
      </c>
      <c r="O447" s="18">
        <f>IFERROR(
                  Andel_oberoende_av_klimat*VLOOKUP($A447,Leveranser_per_nät,'Leveranser per nät'!O$1,FALSE)
               +Andel_beroende_av_klimat*VLOOKUP($A447,Leveranser_per_nät,'Leveranser per nät'!O$1,FALSE)/VLOOKUP($B447,Korrigeringsfaktor_EI,'Korrigeringsfaktor EI'!O$1,FALSE),
"")</f>
        <v>35.297446153846153</v>
      </c>
      <c r="P447" s="18">
        <f>IFERROR(
                  Andel_oberoende_av_klimat*VLOOKUP($A447,Leveranser_per_nät,'Leveranser per nät'!P$1,FALSE)
               +Andel_beroende_av_klimat*VLOOKUP($A447,Leveranser_per_nät,'Leveranser per nät'!P$1,FALSE)/VLOOKUP($B447,Korrigeringsfaktor_EI,'Korrigeringsfaktor EI'!P$1,FALSE),
"")</f>
        <v>37.626957142857144</v>
      </c>
      <c r="Q447" s="18">
        <f>IFERROR(
                  Andel_oberoende_av_klimat*VLOOKUP($A447,Leveranser_per_nät,'Leveranser per nät'!Q$1,FALSE)
               +Andel_beroende_av_klimat*VLOOKUP($A447,Leveranser_per_nät,'Leveranser per nät'!Q$1,FALSE)/VLOOKUP($B447,Korrigeringsfaktor_EI,'Korrigeringsfaktor EI'!Q$1,FALSE),
"")</f>
        <v>39.821766666666669</v>
      </c>
      <c r="R447" s="18">
        <f>IFERROR(
                  Andel_oberoende_av_klimat*VLOOKUP($A447,Leveranser_per_nät,'Leveranser per nät'!R$1,FALSE)
               +Andel_beroende_av_klimat*VLOOKUP($A447,Leveranser_per_nät,'Leveranser per nät'!R$1,FALSE)/VLOOKUP($B447,Korrigeringsfaktor_EI,'Korrigeringsfaktor EI'!R$1,FALSE),
"")</f>
        <v>37.791505376344084</v>
      </c>
      <c r="S447" s="18">
        <f>IFERROR(
                  Andel_oberoende_av_klimat*VLOOKUP($A447,Leveranser_per_nät,'Leveranser per nät'!S$1,FALSE)
               +Andel_beroende_av_klimat*VLOOKUP($A447,Leveranser_per_nät,'Leveranser per nät'!S$1,FALSE)/VLOOKUP($B447,Korrigeringsfaktor_EI,'Korrigeringsfaktor EI'!S$1,FALSE),
"")</f>
        <v>38.8729292929293</v>
      </c>
      <c r="T447" s="18">
        <f>IFERROR(
                  Andel_oberoende_av_klimat*VLOOKUP($A447,Leveranser_per_nät,'Leveranser per nät'!T$1,FALSE)
               +Andel_beroende_av_klimat*VLOOKUP($A447,Leveranser_per_nät,'Leveranser per nät'!T$1,FALSE)/VLOOKUP($B447,Korrigeringsfaktor_EI,'Korrigeringsfaktor EI'!T$1,FALSE),
"")</f>
        <v>38.466842105263161</v>
      </c>
      <c r="U447" s="18">
        <f>IFERROR(
                  Andel_oberoende_av_klimat*VLOOKUP($A447,Leveranser_per_nät,'Leveranser per nät'!U$1,FALSE)
               +Andel_beroende_av_klimat*VLOOKUP($A447,Leveranser_per_nät,'Leveranser per nät'!U$1,FALSE)/VLOOKUP($B447,Korrigeringsfaktor_EI,'Korrigeringsfaktor EI'!U$1,FALSE),
"")</f>
        <v>37.335402298850568</v>
      </c>
      <c r="V447" s="18">
        <f>IFERROR(
                  Andel_oberoende_av_klimat*VLOOKUP($A447,Leveranser_per_nät,'Leveranser per nät'!V$1,FALSE)
               +Andel_beroende_av_klimat*VLOOKUP($A447,Leveranser_per_nät,'Leveranser per nät'!V$1,FALSE)/VLOOKUP($B447,Korrigeringsfaktor_EI,'Korrigeringsfaktor EI'!V$1,FALSE),
"")</f>
        <v>37.919438202247186</v>
      </c>
      <c r="W447" s="18">
        <f>IFERROR(
                  Andel_oberoende_av_klimat*VLOOKUP($A447,Leveranser_per_nät,'Leveranser per nät'!W$1,FALSE)
               +Andel_beroende_av_klimat*VLOOKUP($A447,Leveranser_per_nät,'Leveranser per nät'!W$1,FALSE)/VLOOKUP($B447,Korrigeringsfaktor_EI,'Korrigeringsfaktor EI'!W$1,FALSE),
"")</f>
        <v>39.697872340425533</v>
      </c>
      <c r="X447" s="18">
        <f>IFERROR(
                  Andel_oberoende_av_klimat*VLOOKUP($A447,Leveranser_per_nät,'Leveranser per nät'!X$1,FALSE)
               +Andel_beroende_av_klimat*VLOOKUP($A447,Leveranser_per_nät,'Leveranser per nät'!X$1,FALSE)/VLOOKUP($B447,Korrigeringsfaktor_EI,'Korrigeringsfaktor EI'!X$1,FALSE),
"")</f>
        <v>37.054623655913979</v>
      </c>
      <c r="Y447" s="18">
        <f>IFERROR(
                  Andel_oberoende_av_klimat*VLOOKUP($A447,Leveranser_per_nät,'Leveranser per nät'!Y$1,FALSE)
               +Andel_beroende_av_klimat*VLOOKUP($A447,Leveranser_per_nät,'Leveranser per nät'!Y$1,FALSE)/VLOOKUP($B447,Korrigeringsfaktor_EI,'Korrigeringsfaktor EI'!Y$1,FALSE),
"")</f>
        <v>39.985555555555557</v>
      </c>
      <c r="Z447" s="18">
        <f>IFERROR(
                  Andel_oberoende_av_klimat*VLOOKUP($A447,Leveranser_per_nät,'Leveranser per nät'!Z$1,FALSE)
               +Andel_beroende_av_klimat*VLOOKUP($A447,Leveranser_per_nät,'Leveranser per nät'!Z$1,FALSE)/VLOOKUP($B447,Korrigeringsfaktor_EI,'Korrigeringsfaktor EI'!Z$1,FALSE),
"")</f>
        <v>39.326818181818183</v>
      </c>
      <c r="AA447" s="18">
        <f>IFERROR(
                  Andel_oberoende_av_klimat*VLOOKUP($A447,Leveranser_per_nät,'Leveranser per nät'!AA$1,FALSE)
               +Andel_beroende_av_klimat*VLOOKUP($A447,Leveranser_per_nät,'Leveranser per nät'!AA$1,FALSE)/VLOOKUP($B447,Korrigeringsfaktor_EI,'Korrigeringsfaktor EI'!AA$1,FALSE),
"")</f>
        <v>38.029648798521258</v>
      </c>
      <c r="AB447" s="18">
        <f>IFERROR(
                  Andel_oberoende_av_klimat*VLOOKUP($A447,Leveranser_per_nät,'Leveranser per nät'!AB$1,FALSE)
               +Andel_beroende_av_klimat*VLOOKUP($A447,Leveranser_per_nät,'Leveranser per nät'!AB$1,FALSE)/VLOOKUP($B447,Korrigeringsfaktor_EI,'Korrigeringsfaktor EI'!AB$1,FALSE),
"")</f>
        <v>38.053306613226454</v>
      </c>
      <c r="AC447" s="18">
        <f>IFERROR(
                  Andel_oberoende_av_klimat*VLOOKUP($A447,Leveranser_per_nät,'Leveranser per nät'!AC$1,FALSE)
               +Andel_beroende_av_klimat*VLOOKUP($A447,Leveranser_per_nät,'Leveranser per nät'!AC$1,FALSE)/VLOOKUP($B447,Korrigeringsfaktor_EI,'Korrigeringsfaktor EI'!AC$1,FALSE),
"")</f>
        <v>36.997768240343348</v>
      </c>
      <c r="AD447">
        <v>35.200000000000003</v>
      </c>
    </row>
    <row r="448" spans="1:30" x14ac:dyDescent="0.25">
      <c r="A448" t="s">
        <v>328</v>
      </c>
      <c r="B448" t="s">
        <v>328</v>
      </c>
      <c r="C448" s="18">
        <f>IFERROR(
                  Andel_oberoende_av_klimat*VLOOKUP($A448,Leveranser_per_nät,'Leveranser per nät'!C$1,FALSE)
               +Andel_beroende_av_klimat*VLOOKUP($A448,Leveranser_per_nät,'Leveranser per nät'!C$1,FALSE)/VLOOKUP($B448,Korrigeringsfaktor_EI,'Korrigeringsfaktor EI'!C$1,FALSE),
"")</f>
        <v>14.890090090090089</v>
      </c>
      <c r="D448" s="18">
        <f>IFERROR(
                  Andel_oberoende_av_klimat*VLOOKUP($A448,Leveranser_per_nät,'Leveranser per nät'!D$1,FALSE)
               +Andel_beroende_av_klimat*VLOOKUP($A448,Leveranser_per_nät,'Leveranser per nät'!D$1,FALSE)/VLOOKUP($B448,Korrigeringsfaktor_EI,'Korrigeringsfaktor EI'!D$1,FALSE),
"")</f>
        <v>16.286336633663367</v>
      </c>
      <c r="E448" s="18">
        <f>IFERROR(
                  Andel_oberoende_av_klimat*VLOOKUP($A448,Leveranser_per_nät,'Leveranser per nät'!E$1,FALSE)
               +Andel_beroende_av_klimat*VLOOKUP($A448,Leveranser_per_nät,'Leveranser per nät'!E$1,FALSE)/VLOOKUP($B448,Korrigeringsfaktor_EI,'Korrigeringsfaktor EI'!E$1,FALSE),
"")</f>
        <v>15.466666666666667</v>
      </c>
      <c r="F448" s="18">
        <f>IFERROR(
                  Andel_oberoende_av_klimat*VLOOKUP($A448,Leveranser_per_nät,'Leveranser per nät'!F$1,FALSE)
               +Andel_beroende_av_klimat*VLOOKUP($A448,Leveranser_per_nät,'Leveranser per nät'!F$1,FALSE)/VLOOKUP($B448,Korrigeringsfaktor_EI,'Korrigeringsfaktor EI'!F$1,FALSE),
"")</f>
        <v>16.228571428571428</v>
      </c>
      <c r="G448" s="18">
        <f>IFERROR(
                  Andel_oberoende_av_klimat*VLOOKUP($A448,Leveranser_per_nät,'Leveranser per nät'!G$1,FALSE)
               +Andel_beroende_av_klimat*VLOOKUP($A448,Leveranser_per_nät,'Leveranser per nät'!G$1,FALSE)/VLOOKUP($B448,Korrigeringsfaktor_EI,'Korrigeringsfaktor EI'!G$1,FALSE),
"")</f>
        <v>14.852173913043478</v>
      </c>
      <c r="H448" s="18">
        <f>IFERROR(
                  Andel_oberoende_av_klimat*VLOOKUP($A448,Leveranser_per_nät,'Leveranser per nät'!H$1,FALSE)
               +Andel_beroende_av_klimat*VLOOKUP($A448,Leveranser_per_nät,'Leveranser per nät'!H$1,FALSE)/VLOOKUP($B448,Korrigeringsfaktor_EI,'Korrigeringsfaktor EI'!H$1,FALSE),
"")</f>
        <v>17.875247524752474</v>
      </c>
      <c r="I448" s="18">
        <f>IFERROR(
                  Andel_oberoende_av_klimat*VLOOKUP($A448,Leveranser_per_nät,'Leveranser per nät'!I$1,FALSE)
               +Andel_beroende_av_klimat*VLOOKUP($A448,Leveranser_per_nät,'Leveranser per nät'!I$1,FALSE)/VLOOKUP($B448,Korrigeringsfaktor_EI,'Korrigeringsfaktor EI'!I$1,FALSE),
"")</f>
        <v>20.736842105263161</v>
      </c>
      <c r="J448" s="18">
        <f>IFERROR(
                  Andel_oberoende_av_klimat*VLOOKUP($A448,Leveranser_per_nät,'Leveranser per nät'!J$1,FALSE)
               +Andel_beroende_av_klimat*VLOOKUP($A448,Leveranser_per_nät,'Leveranser per nät'!J$1,FALSE)/VLOOKUP($B448,Korrigeringsfaktor_EI,'Korrigeringsfaktor EI'!J$1,FALSE),
"")</f>
        <v>21.3</v>
      </c>
      <c r="K448" s="18">
        <f>IFERROR(
                  Andel_oberoende_av_klimat*VLOOKUP($A448,Leveranser_per_nät,'Leveranser per nät'!K$1,FALSE)
               +Andel_beroende_av_klimat*VLOOKUP($A448,Leveranser_per_nät,'Leveranser per nät'!K$1,FALSE)/VLOOKUP($B448,Korrigeringsfaktor_EI,'Korrigeringsfaktor EI'!K$1,FALSE),
"")</f>
        <v>20.786999999999999</v>
      </c>
      <c r="L448" s="18">
        <f>IFERROR(
                  Andel_oberoende_av_klimat*VLOOKUP($A448,Leveranser_per_nät,'Leveranser per nät'!L$1,FALSE)
               +Andel_beroende_av_klimat*VLOOKUP($A448,Leveranser_per_nät,'Leveranser per nät'!L$1,FALSE)/VLOOKUP($B448,Korrigeringsfaktor_EI,'Korrigeringsfaktor EI'!L$1,FALSE),
"")</f>
        <v>23.520414432989689</v>
      </c>
      <c r="M448" s="18">
        <f>IFERROR(
                  Andel_oberoende_av_klimat*VLOOKUP($A448,Leveranser_per_nät,'Leveranser per nät'!M$1,FALSE)
               +Andel_beroende_av_klimat*VLOOKUP($A448,Leveranser_per_nät,'Leveranser per nät'!M$1,FALSE)/VLOOKUP($B448,Korrigeringsfaktor_EI,'Korrigeringsfaktor EI'!M$1,FALSE),
"")</f>
        <v>21.580107526881722</v>
      </c>
      <c r="N448" s="18">
        <f>IFERROR(
                  Andel_oberoende_av_klimat*VLOOKUP($A448,Leveranser_per_nät,'Leveranser per nät'!N$1,FALSE)
               +Andel_beroende_av_klimat*VLOOKUP($A448,Leveranser_per_nät,'Leveranser per nät'!N$1,FALSE)/VLOOKUP($B448,Korrigeringsfaktor_EI,'Korrigeringsfaktor EI'!N$1,FALSE),
"")</f>
        <v>25.447692307692307</v>
      </c>
      <c r="O448" s="18">
        <f>IFERROR(
                  Andel_oberoende_av_klimat*VLOOKUP($A448,Leveranser_per_nät,'Leveranser per nät'!O$1,FALSE)
               +Andel_beroende_av_klimat*VLOOKUP($A448,Leveranser_per_nät,'Leveranser per nät'!O$1,FALSE)/VLOOKUP($B448,Korrigeringsfaktor_EI,'Korrigeringsfaktor EI'!O$1,FALSE),
"")</f>
        <v>25.554615384615381</v>
      </c>
      <c r="P448" s="18">
        <f>IFERROR(
                  Andel_oberoende_av_klimat*VLOOKUP($A448,Leveranser_per_nät,'Leveranser per nät'!P$1,FALSE)
               +Andel_beroende_av_klimat*VLOOKUP($A448,Leveranser_per_nät,'Leveranser per nät'!P$1,FALSE)/VLOOKUP($B448,Korrigeringsfaktor_EI,'Korrigeringsfaktor EI'!P$1,FALSE),
"")</f>
        <v>26.655416666666667</v>
      </c>
      <c r="Q448" s="18">
        <f>IFERROR(
                  Andel_oberoende_av_klimat*VLOOKUP($A448,Leveranser_per_nät,'Leveranser per nät'!Q$1,FALSE)
               +Andel_beroende_av_klimat*VLOOKUP($A448,Leveranser_per_nät,'Leveranser per nät'!Q$1,FALSE)/VLOOKUP($B448,Korrigeringsfaktor_EI,'Korrigeringsfaktor EI'!Q$1,FALSE),
"")</f>
        <v>29.221801801801799</v>
      </c>
      <c r="R448" s="18">
        <f>IFERROR(
                  Andel_oberoende_av_klimat*VLOOKUP($A448,Leveranser_per_nät,'Leveranser per nät'!R$1,FALSE)
               +Andel_beroende_av_klimat*VLOOKUP($A448,Leveranser_per_nät,'Leveranser per nät'!R$1,FALSE)/VLOOKUP($B448,Korrigeringsfaktor_EI,'Korrigeringsfaktor EI'!R$1,FALSE),
"")</f>
        <v>26.946086956521736</v>
      </c>
      <c r="S448" s="18">
        <f>IFERROR(
                  Andel_oberoende_av_klimat*VLOOKUP($A448,Leveranser_per_nät,'Leveranser per nät'!S$1,FALSE)
               +Andel_beroende_av_klimat*VLOOKUP($A448,Leveranser_per_nät,'Leveranser per nät'!S$1,FALSE)/VLOOKUP($B448,Korrigeringsfaktor_EI,'Korrigeringsfaktor EI'!S$1,FALSE),
"")</f>
        <v>29.792079207920793</v>
      </c>
      <c r="T448" s="18">
        <f>IFERROR(
                  Andel_oberoende_av_klimat*VLOOKUP($A448,Leveranser_per_nät,'Leveranser per nät'!T$1,FALSE)
               +Andel_beroende_av_klimat*VLOOKUP($A448,Leveranser_per_nät,'Leveranser per nät'!T$1,FALSE)/VLOOKUP($B448,Korrigeringsfaktor_EI,'Korrigeringsfaktor EI'!T$1,FALSE),
"")</f>
        <v>29.414285714285711</v>
      </c>
      <c r="U448" s="18">
        <f>IFERROR(
                  Andel_oberoende_av_klimat*VLOOKUP($A448,Leveranser_per_nät,'Leveranser per nät'!U$1,FALSE)
               +Andel_beroende_av_klimat*VLOOKUP($A448,Leveranser_per_nät,'Leveranser per nät'!U$1,FALSE)/VLOOKUP($B448,Korrigeringsfaktor_EI,'Korrigeringsfaktor EI'!U$1,FALSE),
"")</f>
        <v>28.481818181818181</v>
      </c>
      <c r="V448" s="18">
        <f>IFERROR(
                  Andel_oberoende_av_klimat*VLOOKUP($A448,Leveranser_per_nät,'Leveranser per nät'!V$1,FALSE)
               +Andel_beroende_av_klimat*VLOOKUP($A448,Leveranser_per_nät,'Leveranser per nät'!V$1,FALSE)/VLOOKUP($B448,Korrigeringsfaktor_EI,'Korrigeringsfaktor EI'!V$1,FALSE),
"")</f>
        <v>29.19</v>
      </c>
      <c r="W448" s="18">
        <f>IFERROR(
                  Andel_oberoende_av_klimat*VLOOKUP($A448,Leveranser_per_nät,'Leveranser per nät'!W$1,FALSE)
               +Andel_beroende_av_klimat*VLOOKUP($A448,Leveranser_per_nät,'Leveranser per nät'!W$1,FALSE)/VLOOKUP($B448,Korrigeringsfaktor_EI,'Korrigeringsfaktor EI'!W$1,FALSE),
"")</f>
        <v>30.664605263157895</v>
      </c>
      <c r="X448" s="18">
        <f>IFERROR(
                  Andel_oberoende_av_klimat*VLOOKUP($A448,Leveranser_per_nät,'Leveranser per nät'!X$1,FALSE)
               +Andel_beroende_av_klimat*VLOOKUP($A448,Leveranser_per_nät,'Leveranser per nät'!X$1,FALSE)/VLOOKUP($B448,Korrigeringsfaktor_EI,'Korrigeringsfaktor EI'!X$1,FALSE),
"")</f>
        <v>30.591118279569891</v>
      </c>
      <c r="Y448" s="18">
        <f>IFERROR(
                  Andel_oberoende_av_klimat*VLOOKUP($A448,Leveranser_per_nät,'Leveranser per nät'!Y$1,FALSE)
               +Andel_beroende_av_klimat*VLOOKUP($A448,Leveranser_per_nät,'Leveranser per nät'!Y$1,FALSE)/VLOOKUP($B448,Korrigeringsfaktor_EI,'Korrigeringsfaktor EI'!Y$1,FALSE),
"")</f>
        <v>32.798684269662921</v>
      </c>
      <c r="Z448" s="18">
        <f>IFERROR(
                  Andel_oberoende_av_klimat*VLOOKUP($A448,Leveranser_per_nät,'Leveranser per nät'!Z$1,FALSE)
               +Andel_beroende_av_klimat*VLOOKUP($A448,Leveranser_per_nät,'Leveranser per nät'!Z$1,FALSE)/VLOOKUP($B448,Korrigeringsfaktor_EI,'Korrigeringsfaktor EI'!Z$1,FALSE),
"")</f>
        <v>30.787750000000003</v>
      </c>
      <c r="AA448" s="18">
        <f>IFERROR(
                  Andel_oberoende_av_klimat*VLOOKUP($A448,Leveranser_per_nät,'Leveranser per nät'!AA$1,FALSE)
               +Andel_beroende_av_klimat*VLOOKUP($A448,Leveranser_per_nät,'Leveranser per nät'!AA$1,FALSE)/VLOOKUP($B448,Korrigeringsfaktor_EI,'Korrigeringsfaktor EI'!AA$1,FALSE),
"")</f>
        <v>30.938080667838314</v>
      </c>
      <c r="AB448" s="18">
        <f>IFERROR(
                  Andel_oberoende_av_klimat*VLOOKUP($A448,Leveranser_per_nät,'Leveranser per nät'!AB$1,FALSE)
               +Andel_beroende_av_klimat*VLOOKUP($A448,Leveranser_per_nät,'Leveranser per nät'!AB$1,FALSE)/VLOOKUP($B448,Korrigeringsfaktor_EI,'Korrigeringsfaktor EI'!AB$1,FALSE),
"")</f>
        <v>33.501918072289158</v>
      </c>
      <c r="AC448" s="18">
        <f>IFERROR(
                  Andel_oberoende_av_klimat*VLOOKUP($A448,Leveranser_per_nät,'Leveranser per nät'!AC$1,FALSE)
               +Andel_beroende_av_klimat*VLOOKUP($A448,Leveranser_per_nät,'Leveranser per nät'!AC$1,FALSE)/VLOOKUP($B448,Korrigeringsfaktor_EI,'Korrigeringsfaktor EI'!AC$1,FALSE),
"")</f>
        <v>30.883646252676659</v>
      </c>
      <c r="AD448">
        <v>29.428000000000001</v>
      </c>
    </row>
    <row r="449" spans="1:30" x14ac:dyDescent="0.25">
      <c r="A449" t="s">
        <v>284</v>
      </c>
      <c r="B449" t="s">
        <v>282</v>
      </c>
      <c r="C449" s="18">
        <f>IFERROR(
                  Andel_oberoende_av_klimat*VLOOKUP($A449,Leveranser_per_nät,'Leveranser per nät'!C$1,FALSE)
               +Andel_beroende_av_klimat*VLOOKUP($A449,Leveranser_per_nät,'Leveranser per nät'!C$1,FALSE)/VLOOKUP($B449,Korrigeringsfaktor_EI,'Korrigeringsfaktor EI'!C$1,FALSE),
"")</f>
        <v>0</v>
      </c>
      <c r="D449" s="18">
        <f>IFERROR(
                  Andel_oberoende_av_klimat*VLOOKUP($A449,Leveranser_per_nät,'Leveranser per nät'!D$1,FALSE)
               +Andel_beroende_av_klimat*VLOOKUP($A449,Leveranser_per_nät,'Leveranser per nät'!D$1,FALSE)/VLOOKUP($B449,Korrigeringsfaktor_EI,'Korrigeringsfaktor EI'!D$1,FALSE),
"")</f>
        <v>0</v>
      </c>
      <c r="E449" s="18">
        <f>IFERROR(
                  Andel_oberoende_av_klimat*VLOOKUP($A449,Leveranser_per_nät,'Leveranser per nät'!E$1,FALSE)
               +Andel_beroende_av_klimat*VLOOKUP($A449,Leveranser_per_nät,'Leveranser per nät'!E$1,FALSE)/VLOOKUP($B449,Korrigeringsfaktor_EI,'Korrigeringsfaktor EI'!E$1,FALSE),
"")</f>
        <v>0</v>
      </c>
      <c r="F449" s="18">
        <f>IFERROR(
                  Andel_oberoende_av_klimat*VLOOKUP($A449,Leveranser_per_nät,'Leveranser per nät'!F$1,FALSE)
               +Andel_beroende_av_klimat*VLOOKUP($A449,Leveranser_per_nät,'Leveranser per nät'!F$1,FALSE)/VLOOKUP($B449,Korrigeringsfaktor_EI,'Korrigeringsfaktor EI'!F$1,FALSE),
"")</f>
        <v>0</v>
      </c>
      <c r="G449" s="18">
        <f>IFERROR(
                  Andel_oberoende_av_klimat*VLOOKUP($A449,Leveranser_per_nät,'Leveranser per nät'!G$1,FALSE)
               +Andel_beroende_av_klimat*VLOOKUP($A449,Leveranser_per_nät,'Leveranser per nät'!G$1,FALSE)/VLOOKUP($B449,Korrigeringsfaktor_EI,'Korrigeringsfaktor EI'!G$1,FALSE),
"")</f>
        <v>0</v>
      </c>
      <c r="H449" s="18">
        <f>IFERROR(
                  Andel_oberoende_av_klimat*VLOOKUP($A449,Leveranser_per_nät,'Leveranser per nät'!H$1,FALSE)
               +Andel_beroende_av_klimat*VLOOKUP($A449,Leveranser_per_nät,'Leveranser per nät'!H$1,FALSE)/VLOOKUP($B449,Korrigeringsfaktor_EI,'Korrigeringsfaktor EI'!H$1,FALSE),
"")</f>
        <v>0</v>
      </c>
      <c r="I449" s="18">
        <f>IFERROR(
                  Andel_oberoende_av_klimat*VLOOKUP($A449,Leveranser_per_nät,'Leveranser per nät'!I$1,FALSE)
               +Andel_beroende_av_klimat*VLOOKUP($A449,Leveranser_per_nät,'Leveranser per nät'!I$1,FALSE)/VLOOKUP($B449,Korrigeringsfaktor_EI,'Korrigeringsfaktor EI'!I$1,FALSE),
"")</f>
        <v>0</v>
      </c>
      <c r="J449" s="18">
        <f>IFERROR(
                  Andel_oberoende_av_klimat*VLOOKUP($A449,Leveranser_per_nät,'Leveranser per nät'!J$1,FALSE)
               +Andel_beroende_av_klimat*VLOOKUP($A449,Leveranser_per_nät,'Leveranser per nät'!J$1,FALSE)/VLOOKUP($B449,Korrigeringsfaktor_EI,'Korrigeringsfaktor EI'!J$1,FALSE),
"")</f>
        <v>0</v>
      </c>
      <c r="K449" s="18">
        <f>IFERROR(
                  Andel_oberoende_av_klimat*VLOOKUP($A449,Leveranser_per_nät,'Leveranser per nät'!K$1,FALSE)
               +Andel_beroende_av_klimat*VLOOKUP($A449,Leveranser_per_nät,'Leveranser per nät'!K$1,FALSE)/VLOOKUP($B449,Korrigeringsfaktor_EI,'Korrigeringsfaktor EI'!K$1,FALSE),
"")</f>
        <v>0</v>
      </c>
      <c r="L449" s="18">
        <f>IFERROR(
                  Andel_oberoende_av_klimat*VLOOKUP($A449,Leveranser_per_nät,'Leveranser per nät'!L$1,FALSE)
               +Andel_beroende_av_klimat*VLOOKUP($A449,Leveranser_per_nät,'Leveranser per nät'!L$1,FALSE)/VLOOKUP($B449,Korrigeringsfaktor_EI,'Korrigeringsfaktor EI'!L$1,FALSE),
"")</f>
        <v>0</v>
      </c>
      <c r="M449" s="18">
        <f>IFERROR(
                  Andel_oberoende_av_klimat*VLOOKUP($A449,Leveranser_per_nät,'Leveranser per nät'!M$1,FALSE)
               +Andel_beroende_av_klimat*VLOOKUP($A449,Leveranser_per_nät,'Leveranser per nät'!M$1,FALSE)/VLOOKUP($B449,Korrigeringsfaktor_EI,'Korrigeringsfaktor EI'!M$1,FALSE),
"")</f>
        <v>0</v>
      </c>
      <c r="N449" s="18">
        <f>IFERROR(
                  Andel_oberoende_av_klimat*VLOOKUP($A449,Leveranser_per_nät,'Leveranser per nät'!N$1,FALSE)
               +Andel_beroende_av_klimat*VLOOKUP($A449,Leveranser_per_nät,'Leveranser per nät'!N$1,FALSE)/VLOOKUP($B449,Korrigeringsfaktor_EI,'Korrigeringsfaktor EI'!N$1,FALSE),
"")</f>
        <v>0</v>
      </c>
      <c r="O449" s="18">
        <f>IFERROR(
                  Andel_oberoende_av_klimat*VLOOKUP($A449,Leveranser_per_nät,'Leveranser per nät'!O$1,FALSE)
               +Andel_beroende_av_klimat*VLOOKUP($A449,Leveranser_per_nät,'Leveranser per nät'!O$1,FALSE)/VLOOKUP($B449,Korrigeringsfaktor_EI,'Korrigeringsfaktor EI'!O$1,FALSE),
"")</f>
        <v>7.9123076923076923</v>
      </c>
      <c r="P449" s="18">
        <f>IFERROR(
                  Andel_oberoende_av_klimat*VLOOKUP($A449,Leveranser_per_nät,'Leveranser per nät'!P$1,FALSE)
               +Andel_beroende_av_klimat*VLOOKUP($A449,Leveranser_per_nät,'Leveranser per nät'!P$1,FALSE)/VLOOKUP($B449,Korrigeringsfaktor_EI,'Korrigeringsfaktor EI'!P$1,FALSE),
"")</f>
        <v>10.543422680412371</v>
      </c>
      <c r="Q449" s="18">
        <f>IFERROR(
                  Andel_oberoende_av_klimat*VLOOKUP($A449,Leveranser_per_nät,'Leveranser per nät'!Q$1,FALSE)
               +Andel_beroende_av_klimat*VLOOKUP($A449,Leveranser_per_nät,'Leveranser per nät'!Q$1,FALSE)/VLOOKUP($B449,Korrigeringsfaktor_EI,'Korrigeringsfaktor EI'!Q$1,FALSE),
"")</f>
        <v>8.4359999999999999</v>
      </c>
      <c r="R449" s="18">
        <f>IFERROR(
                  Andel_oberoende_av_klimat*VLOOKUP($A449,Leveranser_per_nät,'Leveranser per nät'!R$1,FALSE)
               +Andel_beroende_av_klimat*VLOOKUP($A449,Leveranser_per_nät,'Leveranser per nät'!R$1,FALSE)/VLOOKUP($B449,Korrigeringsfaktor_EI,'Korrigeringsfaktor EI'!R$1,FALSE),
"")</f>
        <v>7.5793548387096781</v>
      </c>
      <c r="S449" s="18">
        <f>IFERROR(
                  Andel_oberoende_av_klimat*VLOOKUP($A449,Leveranser_per_nät,'Leveranser per nät'!S$1,FALSE)
               +Andel_beroende_av_klimat*VLOOKUP($A449,Leveranser_per_nät,'Leveranser per nät'!S$1,FALSE)/VLOOKUP($B449,Korrigeringsfaktor_EI,'Korrigeringsfaktor EI'!S$1,FALSE),
"")</f>
        <v>6.901831683168318</v>
      </c>
      <c r="T449" s="18">
        <f>IFERROR(
                  Andel_oberoende_av_klimat*VLOOKUP($A449,Leveranser_per_nät,'Leveranser per nät'!T$1,FALSE)
               +Andel_beroende_av_klimat*VLOOKUP($A449,Leveranser_per_nät,'Leveranser per nät'!T$1,FALSE)/VLOOKUP($B449,Korrigeringsfaktor_EI,'Korrigeringsfaktor EI'!T$1,FALSE),
"")</f>
        <v>6.3137938144329899</v>
      </c>
      <c r="U449" s="18">
        <f>IFERROR(
                  Andel_oberoende_av_klimat*VLOOKUP($A449,Leveranser_per_nät,'Leveranser per nät'!U$1,FALSE)
               +Andel_beroende_av_klimat*VLOOKUP($A449,Leveranser_per_nät,'Leveranser per nät'!U$1,FALSE)/VLOOKUP($B449,Korrigeringsfaktor_EI,'Korrigeringsfaktor EI'!U$1,FALSE),
"")</f>
        <v>7.1564444444444444</v>
      </c>
      <c r="V449" s="18">
        <f>IFERROR(
                  Andel_oberoende_av_klimat*VLOOKUP($A449,Leveranser_per_nät,'Leveranser per nät'!V$1,FALSE)
               +Andel_beroende_av_klimat*VLOOKUP($A449,Leveranser_per_nät,'Leveranser per nät'!V$1,FALSE)/VLOOKUP($B449,Korrigeringsfaktor_EI,'Korrigeringsfaktor EI'!V$1,FALSE),
"")</f>
        <v>8.0186666666666682</v>
      </c>
      <c r="W449" s="18">
        <f>IFERROR(
                  Andel_oberoende_av_klimat*VLOOKUP($A449,Leveranser_per_nät,'Leveranser per nät'!W$1,FALSE)
               +Andel_beroende_av_klimat*VLOOKUP($A449,Leveranser_per_nät,'Leveranser per nät'!W$1,FALSE)/VLOOKUP($B449,Korrigeringsfaktor_EI,'Korrigeringsfaktor EI'!W$1,FALSE),
"")</f>
        <v>8.8546315789473677</v>
      </c>
      <c r="X449" s="18">
        <f>IFERROR(
                  Andel_oberoende_av_klimat*VLOOKUP($A449,Leveranser_per_nät,'Leveranser per nät'!X$1,FALSE)
               +Andel_beroende_av_klimat*VLOOKUP($A449,Leveranser_per_nät,'Leveranser per nät'!X$1,FALSE)/VLOOKUP($B449,Korrigeringsfaktor_EI,'Korrigeringsfaktor EI'!X$1,FALSE),
"")</f>
        <v>9.3081063829787247</v>
      </c>
      <c r="Y449" s="18">
        <f>IFERROR(
                  Andel_oberoende_av_klimat*VLOOKUP($A449,Leveranser_per_nät,'Leveranser per nät'!Y$1,FALSE)
               +Andel_beroende_av_klimat*VLOOKUP($A449,Leveranser_per_nät,'Leveranser per nät'!Y$1,FALSE)/VLOOKUP($B449,Korrigeringsfaktor_EI,'Korrigeringsfaktor EI'!Y$1,FALSE),
"")</f>
        <v>9.7706086956521752</v>
      </c>
      <c r="Z449" s="18">
        <f>IFERROR(
                  Andel_oberoende_av_klimat*VLOOKUP($A449,Leveranser_per_nät,'Leveranser per nät'!Z$1,FALSE)
               +Andel_beroende_av_klimat*VLOOKUP($A449,Leveranser_per_nät,'Leveranser per nät'!Z$1,FALSE)/VLOOKUP($B449,Korrigeringsfaktor_EI,'Korrigeringsfaktor EI'!Z$1,FALSE),
"")</f>
        <v>10.163444444444444</v>
      </c>
      <c r="AA449" s="18">
        <f>IFERROR(
                  Andel_oberoende_av_klimat*VLOOKUP($A449,Leveranser_per_nät,'Leveranser per nät'!AA$1,FALSE)
               +Andel_beroende_av_klimat*VLOOKUP($A449,Leveranser_per_nät,'Leveranser per nät'!AA$1,FALSE)/VLOOKUP($B449,Korrigeringsfaktor_EI,'Korrigeringsfaktor EI'!AA$1,FALSE),
"")</f>
        <v>10.322649061662197</v>
      </c>
      <c r="AB449" s="18">
        <f>IFERROR(
                  Andel_oberoende_av_klimat*VLOOKUP($A449,Leveranser_per_nät,'Leveranser per nät'!AB$1,FALSE)
               +Andel_beroende_av_klimat*VLOOKUP($A449,Leveranser_per_nät,'Leveranser per nät'!AB$1,FALSE)/VLOOKUP($B449,Korrigeringsfaktor_EI,'Korrigeringsfaktor EI'!AB$1,FALSE),
"")</f>
        <v>10.423811023622047</v>
      </c>
      <c r="AC449" s="18">
        <f>IFERROR(
                  Andel_oberoende_av_klimat*VLOOKUP($A449,Leveranser_per_nät,'Leveranser per nät'!AC$1,FALSE)
               +Andel_beroende_av_klimat*VLOOKUP($A449,Leveranser_per_nät,'Leveranser per nät'!AC$1,FALSE)/VLOOKUP($B449,Korrigeringsfaktor_EI,'Korrigeringsfaktor EI'!AC$1,FALSE),
"")</f>
        <v>10.249411764705883</v>
      </c>
      <c r="AD449">
        <v>21.28</v>
      </c>
    </row>
    <row r="450" spans="1:30" x14ac:dyDescent="0.25">
      <c r="A450" s="3" t="s">
        <v>14</v>
      </c>
      <c r="B450" t="s">
        <v>138</v>
      </c>
      <c r="C450" s="18">
        <f>IFERROR(
                  Andel_oberoende_av_klimat*VLOOKUP($A450,Leveranser_per_nät,'Leveranser per nät'!C$1,FALSE)
               +Andel_beroende_av_klimat*VLOOKUP($A450,Leveranser_per_nät,'Leveranser per nät'!C$1,FALSE)/VLOOKUP($B450,Korrigeringsfaktor_EI,'Korrigeringsfaktor EI'!C$1,FALSE),
"")</f>
        <v>0</v>
      </c>
      <c r="D450" s="18">
        <f>IFERROR(
                  Andel_oberoende_av_klimat*VLOOKUP($A450,Leveranser_per_nät,'Leveranser per nät'!D$1,FALSE)
               +Andel_beroende_av_klimat*VLOOKUP($A450,Leveranser_per_nät,'Leveranser per nät'!D$1,FALSE)/VLOOKUP($B450,Korrigeringsfaktor_EI,'Korrigeringsfaktor EI'!D$1,FALSE),
"")</f>
        <v>40.579917525773197</v>
      </c>
      <c r="E450" s="18">
        <f>IFERROR(
                  Andel_oberoende_av_klimat*VLOOKUP($A450,Leveranser_per_nät,'Leveranser per nät'!E$1,FALSE)
               +Andel_beroende_av_klimat*VLOOKUP($A450,Leveranser_per_nät,'Leveranser per nät'!E$1,FALSE)/VLOOKUP($B450,Korrigeringsfaktor_EI,'Korrigeringsfaktor EI'!E$1,FALSE),
"")</f>
        <v>38.923076923076927</v>
      </c>
      <c r="F450" s="18">
        <f>IFERROR(
                  Andel_oberoende_av_klimat*VLOOKUP($A450,Leveranser_per_nät,'Leveranser per nät'!F$1,FALSE)
               +Andel_beroende_av_klimat*VLOOKUP($A450,Leveranser_per_nät,'Leveranser per nät'!F$1,FALSE)/VLOOKUP($B450,Korrigeringsfaktor_EI,'Korrigeringsfaktor EI'!F$1,FALSE),
"")</f>
        <v>0</v>
      </c>
      <c r="G450" s="18">
        <f>IFERROR(
                  Andel_oberoende_av_klimat*VLOOKUP($A450,Leveranser_per_nät,'Leveranser per nät'!G$1,FALSE)
               +Andel_beroende_av_klimat*VLOOKUP($A450,Leveranser_per_nät,'Leveranser per nät'!G$1,FALSE)/VLOOKUP($B450,Korrigeringsfaktor_EI,'Korrigeringsfaktor EI'!G$1,FALSE),
"")</f>
        <v>0</v>
      </c>
      <c r="H450" s="18">
        <f>IFERROR(
                  Andel_oberoende_av_klimat*VLOOKUP($A450,Leveranser_per_nät,'Leveranser per nät'!H$1,FALSE)
               +Andel_beroende_av_klimat*VLOOKUP($A450,Leveranser_per_nät,'Leveranser per nät'!H$1,FALSE)/VLOOKUP($B450,Korrigeringsfaktor_EI,'Korrigeringsfaktor EI'!H$1,FALSE),
"")</f>
        <v>0</v>
      </c>
      <c r="I450" s="18">
        <f>IFERROR(
                  Andel_oberoende_av_klimat*VLOOKUP($A450,Leveranser_per_nät,'Leveranser per nät'!I$1,FALSE)
               +Andel_beroende_av_klimat*VLOOKUP($A450,Leveranser_per_nät,'Leveranser per nät'!I$1,FALSE)/VLOOKUP($B450,Korrigeringsfaktor_EI,'Korrigeringsfaktor EI'!I$1,FALSE),
"")</f>
        <v>0</v>
      </c>
      <c r="J450" s="18">
        <f>IFERROR(
                  Andel_oberoende_av_klimat*VLOOKUP($A450,Leveranser_per_nät,'Leveranser per nät'!J$1,FALSE)
               +Andel_beroende_av_klimat*VLOOKUP($A450,Leveranser_per_nät,'Leveranser per nät'!J$1,FALSE)/VLOOKUP($B450,Korrigeringsfaktor_EI,'Korrigeringsfaktor EI'!J$1,FALSE),
"")</f>
        <v>0</v>
      </c>
      <c r="K450" s="18">
        <f>IFERROR(
                  Andel_oberoende_av_klimat*VLOOKUP($A450,Leveranser_per_nät,'Leveranser per nät'!K$1,FALSE)
               +Andel_beroende_av_klimat*VLOOKUP($A450,Leveranser_per_nät,'Leveranser per nät'!K$1,FALSE)/VLOOKUP($B450,Korrigeringsfaktor_EI,'Korrigeringsfaktor EI'!K$1,FALSE),
"")</f>
        <v>0</v>
      </c>
      <c r="L450" s="18">
        <f>IFERROR(
                  Andel_oberoende_av_klimat*VLOOKUP($A450,Leveranser_per_nät,'Leveranser per nät'!L$1,FALSE)
               +Andel_beroende_av_klimat*VLOOKUP($A450,Leveranser_per_nät,'Leveranser per nät'!L$1,FALSE)/VLOOKUP($B450,Korrigeringsfaktor_EI,'Korrigeringsfaktor EI'!L$1,FALSE),
"")</f>
        <v>0</v>
      </c>
      <c r="M450" s="18">
        <f>IFERROR(
                  Andel_oberoende_av_klimat*VLOOKUP($A450,Leveranser_per_nät,'Leveranser per nät'!M$1,FALSE)
               +Andel_beroende_av_klimat*VLOOKUP($A450,Leveranser_per_nät,'Leveranser per nät'!M$1,FALSE)/VLOOKUP($B450,Korrigeringsfaktor_EI,'Korrigeringsfaktor EI'!M$1,FALSE),
"")</f>
        <v>0</v>
      </c>
      <c r="N450" s="18">
        <f>IFERROR(
                  Andel_oberoende_av_klimat*VLOOKUP($A450,Leveranser_per_nät,'Leveranser per nät'!N$1,FALSE)
               +Andel_beroende_av_klimat*VLOOKUP($A450,Leveranser_per_nät,'Leveranser per nät'!N$1,FALSE)/VLOOKUP($B450,Korrigeringsfaktor_EI,'Korrigeringsfaktor EI'!N$1,FALSE),
"")</f>
        <v>0</v>
      </c>
      <c r="O450" s="18">
        <f>IFERROR(
                  Andel_oberoende_av_klimat*VLOOKUP($A450,Leveranser_per_nät,'Leveranser per nät'!O$1,FALSE)
               +Andel_beroende_av_klimat*VLOOKUP($A450,Leveranser_per_nät,'Leveranser per nät'!O$1,FALSE)/VLOOKUP($B450,Korrigeringsfaktor_EI,'Korrigeringsfaktor EI'!O$1,FALSE),
"")</f>
        <v>0</v>
      </c>
      <c r="P450" s="18">
        <f>IFERROR(
                  Andel_oberoende_av_klimat*VLOOKUP($A450,Leveranser_per_nät,'Leveranser per nät'!P$1,FALSE)
               +Andel_beroende_av_klimat*VLOOKUP($A450,Leveranser_per_nät,'Leveranser per nät'!P$1,FALSE)/VLOOKUP($B450,Korrigeringsfaktor_EI,'Korrigeringsfaktor EI'!P$1,FALSE),
"")</f>
        <v>0</v>
      </c>
      <c r="Q450" s="18">
        <f>IFERROR(
                  Andel_oberoende_av_klimat*VLOOKUP($A450,Leveranser_per_nät,'Leveranser per nät'!Q$1,FALSE)
               +Andel_beroende_av_klimat*VLOOKUP($A450,Leveranser_per_nät,'Leveranser per nät'!Q$1,FALSE)/VLOOKUP($B450,Korrigeringsfaktor_EI,'Korrigeringsfaktor EI'!Q$1,FALSE),
"")</f>
        <v>0</v>
      </c>
      <c r="R450" s="18">
        <f>IFERROR(
                  Andel_oberoende_av_klimat*VLOOKUP($A450,Leveranser_per_nät,'Leveranser per nät'!R$1,FALSE)
               +Andel_beroende_av_klimat*VLOOKUP($A450,Leveranser_per_nät,'Leveranser per nät'!R$1,FALSE)/VLOOKUP($B450,Korrigeringsfaktor_EI,'Korrigeringsfaktor EI'!R$1,FALSE),
"")</f>
        <v>0</v>
      </c>
      <c r="S450" s="18">
        <f>IFERROR(
                  Andel_oberoende_av_klimat*VLOOKUP($A450,Leveranser_per_nät,'Leveranser per nät'!S$1,FALSE)
               +Andel_beroende_av_klimat*VLOOKUP($A450,Leveranser_per_nät,'Leveranser per nät'!S$1,FALSE)/VLOOKUP($B450,Korrigeringsfaktor_EI,'Korrigeringsfaktor EI'!S$1,FALSE),
"")</f>
        <v>0</v>
      </c>
      <c r="T450" s="18" t="str">
        <f>IFERROR(
                  Andel_oberoende_av_klimat*VLOOKUP($A450,Leveranser_per_nät,'Leveranser per nät'!T$1,FALSE)
               +Andel_beroende_av_klimat*VLOOKUP($A450,Leveranser_per_nät,'Leveranser per nät'!T$1,FALSE)/VLOOKUP($B450,Korrigeringsfaktor_EI,'Korrigeringsfaktor EI'!T$1,FALSE),
"")</f>
        <v/>
      </c>
      <c r="U450" s="18" t="str">
        <f>IFERROR(
                  Andel_oberoende_av_klimat*VLOOKUP($A450,Leveranser_per_nät,'Leveranser per nät'!U$1,FALSE)
               +Andel_beroende_av_klimat*VLOOKUP($A450,Leveranser_per_nät,'Leveranser per nät'!U$1,FALSE)/VLOOKUP($B450,Korrigeringsfaktor_EI,'Korrigeringsfaktor EI'!U$1,FALSE),
"")</f>
        <v/>
      </c>
      <c r="V450" s="18" t="str">
        <f>IFERROR(
                  Andel_oberoende_av_klimat*VLOOKUP($A450,Leveranser_per_nät,'Leveranser per nät'!V$1,FALSE)
               +Andel_beroende_av_klimat*VLOOKUP($A450,Leveranser_per_nät,'Leveranser per nät'!V$1,FALSE)/VLOOKUP($B450,Korrigeringsfaktor_EI,'Korrigeringsfaktor EI'!V$1,FALSE),
"")</f>
        <v/>
      </c>
      <c r="W450" s="18" t="str">
        <f>IFERROR(
                  Andel_oberoende_av_klimat*VLOOKUP($A450,Leveranser_per_nät,'Leveranser per nät'!W$1,FALSE)
               +Andel_beroende_av_klimat*VLOOKUP($A450,Leveranser_per_nät,'Leveranser per nät'!W$1,FALSE)/VLOOKUP($B450,Korrigeringsfaktor_EI,'Korrigeringsfaktor EI'!W$1,FALSE),
"")</f>
        <v/>
      </c>
      <c r="X450" s="18" t="str">
        <f>IFERROR(
                  Andel_oberoende_av_klimat*VLOOKUP($A450,Leveranser_per_nät,'Leveranser per nät'!X$1,FALSE)
               +Andel_beroende_av_klimat*VLOOKUP($A450,Leveranser_per_nät,'Leveranser per nät'!X$1,FALSE)/VLOOKUP($B450,Korrigeringsfaktor_EI,'Korrigeringsfaktor EI'!X$1,FALSE),
"")</f>
        <v/>
      </c>
      <c r="Y450" s="18" t="str">
        <f>IFERROR(
                  Andel_oberoende_av_klimat*VLOOKUP($A450,Leveranser_per_nät,'Leveranser per nät'!Y$1,FALSE)
               +Andel_beroende_av_klimat*VLOOKUP($A450,Leveranser_per_nät,'Leveranser per nät'!Y$1,FALSE)/VLOOKUP($B450,Korrigeringsfaktor_EI,'Korrigeringsfaktor EI'!Y$1,FALSE),
"")</f>
        <v/>
      </c>
      <c r="Z450" s="18">
        <f>IFERROR(
                  Andel_oberoende_av_klimat*VLOOKUP($A450,Leveranser_per_nät,'Leveranser per nät'!Z$1,FALSE)
               +Andel_beroende_av_klimat*VLOOKUP($A450,Leveranser_per_nät,'Leveranser per nät'!Z$1,FALSE)/VLOOKUP($B450,Korrigeringsfaktor_EI,'Korrigeringsfaktor EI'!Z$1,FALSE),
"")</f>
        <v>0</v>
      </c>
      <c r="AA450" s="18" t="str">
        <f>IFERROR(
                  Andel_oberoende_av_klimat*VLOOKUP($A450,Leveranser_per_nät,'Leveranser per nät'!AA$1,FALSE)
               +Andel_beroende_av_klimat*VLOOKUP($A450,Leveranser_per_nät,'Leveranser per nät'!AA$1,FALSE)/VLOOKUP($B450,Korrigeringsfaktor_EI,'Korrigeringsfaktor EI'!AA$1,FALSE),
"")</f>
        <v/>
      </c>
      <c r="AB450" s="18">
        <f>IFERROR(
                  Andel_oberoende_av_klimat*VLOOKUP($A450,Leveranser_per_nät,'Leveranser per nät'!AB$1,FALSE)
               +Andel_beroende_av_klimat*VLOOKUP($A450,Leveranser_per_nät,'Leveranser per nät'!AB$1,FALSE)/VLOOKUP($B450,Korrigeringsfaktor_EI,'Korrigeringsfaktor EI'!AB$1,FALSE),
"")</f>
        <v>0</v>
      </c>
      <c r="AC450" s="18">
        <f>IFERROR(
                  Andel_oberoende_av_klimat*VLOOKUP($A450,Leveranser_per_nät,'Leveranser per nät'!AC$1,FALSE)
               +Andel_beroende_av_klimat*VLOOKUP($A450,Leveranser_per_nät,'Leveranser per nät'!AC$1,FALSE)/VLOOKUP($B450,Korrigeringsfaktor_EI,'Korrigeringsfaktor EI'!AC$1,FALSE),
"")</f>
        <v>0</v>
      </c>
      <c r="AD450">
        <v>662.10699999999997</v>
      </c>
    </row>
    <row r="451" spans="1:30" x14ac:dyDescent="0.25">
      <c r="A451" t="s">
        <v>212</v>
      </c>
      <c r="B451" t="s">
        <v>517</v>
      </c>
      <c r="C451" s="18">
        <f>IFERROR(
                  Andel_oberoende_av_klimat*VLOOKUP($A451,Leveranser_per_nät,'Leveranser per nät'!C$1,FALSE)
               +Andel_beroende_av_klimat*VLOOKUP($A451,Leveranser_per_nät,'Leveranser per nät'!C$1,FALSE)/VLOOKUP($B451,Korrigeringsfaktor_EI,'Korrigeringsfaktor EI'!C$1,FALSE),
"")</f>
        <v>0</v>
      </c>
      <c r="D451" s="18">
        <f>IFERROR(
                  Andel_oberoende_av_klimat*VLOOKUP($A451,Leveranser_per_nät,'Leveranser per nät'!D$1,FALSE)
               +Andel_beroende_av_klimat*VLOOKUP($A451,Leveranser_per_nät,'Leveranser per nät'!D$1,FALSE)/VLOOKUP($B451,Korrigeringsfaktor_EI,'Korrigeringsfaktor EI'!D$1,FALSE),
"")</f>
        <v>0</v>
      </c>
      <c r="E451" s="18">
        <f>IFERROR(
                  Andel_oberoende_av_klimat*VLOOKUP($A451,Leveranser_per_nät,'Leveranser per nät'!E$1,FALSE)
               +Andel_beroende_av_klimat*VLOOKUP($A451,Leveranser_per_nät,'Leveranser per nät'!E$1,FALSE)/VLOOKUP($B451,Korrigeringsfaktor_EI,'Korrigeringsfaktor EI'!E$1,FALSE),
"")</f>
        <v>0</v>
      </c>
      <c r="F451" s="18">
        <f>IFERROR(
                  Andel_oberoende_av_klimat*VLOOKUP($A451,Leveranser_per_nät,'Leveranser per nät'!F$1,FALSE)
               +Andel_beroende_av_klimat*VLOOKUP($A451,Leveranser_per_nät,'Leveranser per nät'!F$1,FALSE)/VLOOKUP($B451,Korrigeringsfaktor_EI,'Korrigeringsfaktor EI'!F$1,FALSE),
"")</f>
        <v>0</v>
      </c>
      <c r="G451" s="18">
        <f>IFERROR(
                  Andel_oberoende_av_klimat*VLOOKUP($A451,Leveranser_per_nät,'Leveranser per nät'!G$1,FALSE)
               +Andel_beroende_av_klimat*VLOOKUP($A451,Leveranser_per_nät,'Leveranser per nät'!G$1,FALSE)/VLOOKUP($B451,Korrigeringsfaktor_EI,'Korrigeringsfaktor EI'!G$1,FALSE),
"")</f>
        <v>0</v>
      </c>
      <c r="H451" s="18">
        <f>IFERROR(
                  Andel_oberoende_av_klimat*VLOOKUP($A451,Leveranser_per_nät,'Leveranser per nät'!H$1,FALSE)
               +Andel_beroende_av_klimat*VLOOKUP($A451,Leveranser_per_nät,'Leveranser per nät'!H$1,FALSE)/VLOOKUP($B451,Korrigeringsfaktor_EI,'Korrigeringsfaktor EI'!H$1,FALSE),
"")</f>
        <v>0</v>
      </c>
      <c r="I451" s="18">
        <f>IFERROR(
                  Andel_oberoende_av_klimat*VLOOKUP($A451,Leveranser_per_nät,'Leveranser per nät'!I$1,FALSE)
               +Andel_beroende_av_klimat*VLOOKUP($A451,Leveranser_per_nät,'Leveranser per nät'!I$1,FALSE)/VLOOKUP($B451,Korrigeringsfaktor_EI,'Korrigeringsfaktor EI'!I$1,FALSE),
"")</f>
        <v>11.953752631578947</v>
      </c>
      <c r="J451" s="18">
        <f>IFERROR(
                  Andel_oberoende_av_klimat*VLOOKUP($A451,Leveranser_per_nät,'Leveranser per nät'!J$1,FALSE)
               +Andel_beroende_av_klimat*VLOOKUP($A451,Leveranser_per_nät,'Leveranser per nät'!J$1,FALSE)/VLOOKUP($B451,Korrigeringsfaktor_EI,'Korrigeringsfaktor EI'!J$1,FALSE),
"")</f>
        <v>13.0924</v>
      </c>
      <c r="K451" s="18">
        <f>IFERROR(
                  Andel_oberoende_av_klimat*VLOOKUP($A451,Leveranser_per_nät,'Leveranser per nät'!K$1,FALSE)
               +Andel_beroende_av_klimat*VLOOKUP($A451,Leveranser_per_nät,'Leveranser per nät'!K$1,FALSE)/VLOOKUP($B451,Korrigeringsfaktor_EI,'Korrigeringsfaktor EI'!K$1,FALSE),
"")</f>
        <v>12.861300000000002</v>
      </c>
      <c r="L451" s="18">
        <f>IFERROR(
                  Andel_oberoende_av_klimat*VLOOKUP($A451,Leveranser_per_nät,'Leveranser per nät'!L$1,FALSE)
               +Andel_beroende_av_klimat*VLOOKUP($A451,Leveranser_per_nät,'Leveranser per nät'!L$1,FALSE)/VLOOKUP($B451,Korrigeringsfaktor_EI,'Korrigeringsfaktor EI'!L$1,FALSE),
"")</f>
        <v>12.80039721513981</v>
      </c>
      <c r="M451" s="18">
        <f>IFERROR(
                  Andel_oberoende_av_klimat*VLOOKUP($A451,Leveranser_per_nät,'Leveranser per nät'!M$1,FALSE)
               +Andel_beroende_av_klimat*VLOOKUP($A451,Leveranser_per_nät,'Leveranser per nät'!M$1,FALSE)/VLOOKUP($B451,Korrigeringsfaktor_EI,'Korrigeringsfaktor EI'!M$1,FALSE),
"")</f>
        <v>16.307192473118278</v>
      </c>
      <c r="N451" s="18">
        <f>IFERROR(
                  Andel_oberoende_av_klimat*VLOOKUP($A451,Leveranser_per_nät,'Leveranser per nät'!N$1,FALSE)
               +Andel_beroende_av_klimat*VLOOKUP($A451,Leveranser_per_nät,'Leveranser per nät'!N$1,FALSE)/VLOOKUP($B451,Korrigeringsfaktor_EI,'Korrigeringsfaktor EI'!N$1,FALSE),
"")</f>
        <v>3.7423076923076923</v>
      </c>
      <c r="O451" s="18">
        <f>IFERROR(
                  Andel_oberoende_av_klimat*VLOOKUP($A451,Leveranser_per_nät,'Leveranser per nät'!O$1,FALSE)
               +Andel_beroende_av_klimat*VLOOKUP($A451,Leveranser_per_nät,'Leveranser per nät'!O$1,FALSE)/VLOOKUP($B451,Korrigeringsfaktor_EI,'Korrigeringsfaktor EI'!O$1,FALSE),
"")</f>
        <v>16.058888888888887</v>
      </c>
      <c r="P451" s="18">
        <f>IFERROR(
                  Andel_oberoende_av_klimat*VLOOKUP($A451,Leveranser_per_nät,'Leveranser per nät'!P$1,FALSE)
               +Andel_beroende_av_klimat*VLOOKUP($A451,Leveranser_per_nät,'Leveranser per nät'!P$1,FALSE)/VLOOKUP($B451,Korrigeringsfaktor_EI,'Korrigeringsfaktor EI'!P$1,FALSE),
"")</f>
        <v>13.99659793814433</v>
      </c>
      <c r="Q451" s="18">
        <f>IFERROR(
                  Andel_oberoende_av_klimat*VLOOKUP($A451,Leveranser_per_nät,'Leveranser per nät'!Q$1,FALSE)
               +Andel_beroende_av_klimat*VLOOKUP($A451,Leveranser_per_nät,'Leveranser per nät'!Q$1,FALSE)/VLOOKUP($B451,Korrigeringsfaktor_EI,'Korrigeringsfaktor EI'!Q$1,FALSE),
"")</f>
        <v>14.689</v>
      </c>
      <c r="R451" s="18">
        <f>IFERROR(
                  Andel_oberoende_av_klimat*VLOOKUP($A451,Leveranser_per_nät,'Leveranser per nät'!R$1,FALSE)
               +Andel_beroende_av_klimat*VLOOKUP($A451,Leveranser_per_nät,'Leveranser per nät'!R$1,FALSE)/VLOOKUP($B451,Korrigeringsfaktor_EI,'Korrigeringsfaktor EI'!R$1,FALSE),
"")</f>
        <v>13.903333333333334</v>
      </c>
      <c r="S451" s="18">
        <f>IFERROR(
                  Andel_oberoende_av_klimat*VLOOKUP($A451,Leveranser_per_nät,'Leveranser per nät'!S$1,FALSE)
               +Andel_beroende_av_klimat*VLOOKUP($A451,Leveranser_per_nät,'Leveranser per nät'!S$1,FALSE)/VLOOKUP($B451,Korrigeringsfaktor_EI,'Korrigeringsfaktor EI'!S$1,FALSE),
"")</f>
        <v>13.8</v>
      </c>
      <c r="T451" s="18">
        <f>IFERROR(
                  Andel_oberoende_av_klimat*VLOOKUP($A451,Leveranser_per_nät,'Leveranser per nät'!T$1,FALSE)
               +Andel_beroende_av_klimat*VLOOKUP($A451,Leveranser_per_nät,'Leveranser per nät'!T$1,FALSE)/VLOOKUP($B451,Korrigeringsfaktor_EI,'Korrigeringsfaktor EI'!T$1,FALSE),
"")</f>
        <v>20.69142857142857</v>
      </c>
      <c r="U451" s="18">
        <f>IFERROR(
                  Andel_oberoende_av_klimat*VLOOKUP($A451,Leveranser_per_nät,'Leveranser per nät'!U$1,FALSE)
               +Andel_beroende_av_klimat*VLOOKUP($A451,Leveranser_per_nät,'Leveranser per nät'!U$1,FALSE)/VLOOKUP($B451,Korrigeringsfaktor_EI,'Korrigeringsfaktor EI'!U$1,FALSE),
"")</f>
        <v>13.256666666666668</v>
      </c>
      <c r="V451" s="18">
        <f>IFERROR(
                  Andel_oberoende_av_klimat*VLOOKUP($A451,Leveranser_per_nät,'Leveranser per nät'!V$1,FALSE)
               +Andel_beroende_av_klimat*VLOOKUP($A451,Leveranser_per_nät,'Leveranser per nät'!V$1,FALSE)/VLOOKUP($B451,Korrigeringsfaktor_EI,'Korrigeringsfaktor EI'!V$1,FALSE),
"")</f>
        <v>14.24090909090909</v>
      </c>
      <c r="W451" s="18">
        <f>IFERROR(
                  Andel_oberoende_av_klimat*VLOOKUP($A451,Leveranser_per_nät,'Leveranser per nät'!W$1,FALSE)
               +Andel_beroende_av_klimat*VLOOKUP($A451,Leveranser_per_nät,'Leveranser per nät'!W$1,FALSE)/VLOOKUP($B451,Korrigeringsfaktor_EI,'Korrigeringsfaktor EI'!W$1,FALSE),
"")</f>
        <v>14.106021505376344</v>
      </c>
      <c r="X451" s="18">
        <f>IFERROR(
                  Andel_oberoende_av_klimat*VLOOKUP($A451,Leveranser_per_nät,'Leveranser per nät'!X$1,FALSE)
               +Andel_beroende_av_klimat*VLOOKUP($A451,Leveranser_per_nät,'Leveranser per nät'!X$1,FALSE)/VLOOKUP($B451,Korrigeringsfaktor_EI,'Korrigeringsfaktor EI'!X$1,FALSE),
"")</f>
        <v>14.64</v>
      </c>
      <c r="Y451" s="18">
        <f>IFERROR(
                  Andel_oberoende_av_klimat*VLOOKUP($A451,Leveranser_per_nät,'Leveranser per nät'!Y$1,FALSE)
               +Andel_beroende_av_klimat*VLOOKUP($A451,Leveranser_per_nät,'Leveranser per nät'!Y$1,FALSE)/VLOOKUP($B451,Korrigeringsfaktor_EI,'Korrigeringsfaktor EI'!Y$1,FALSE),
"")</f>
        <v>14.349076923076925</v>
      </c>
      <c r="Z451" s="18">
        <f>IFERROR(
                  Andel_oberoende_av_klimat*VLOOKUP($A451,Leveranser_per_nät,'Leveranser per nät'!Z$1,FALSE)
               +Andel_beroende_av_klimat*VLOOKUP($A451,Leveranser_per_nät,'Leveranser per nät'!Z$1,FALSE)/VLOOKUP($B451,Korrigeringsfaktor_EI,'Korrigeringsfaktor EI'!Z$1,FALSE),
"")</f>
        <v>13.979095454545453</v>
      </c>
      <c r="AA451" s="18">
        <f>IFERROR(
                  Andel_oberoende_av_klimat*VLOOKUP($A451,Leveranser_per_nät,'Leveranser per nät'!AA$1,FALSE)
               +Andel_beroende_av_klimat*VLOOKUP($A451,Leveranser_per_nät,'Leveranser per nät'!AA$1,FALSE)/VLOOKUP($B451,Korrigeringsfaktor_EI,'Korrigeringsfaktor EI'!AA$1,FALSE),
"")</f>
        <v>13.528384824462062</v>
      </c>
      <c r="AB451" s="18">
        <f>IFERROR(
                  Andel_oberoende_av_klimat*VLOOKUP($A451,Leveranser_per_nät,'Leveranser per nät'!AB$1,FALSE)
               +Andel_beroende_av_klimat*VLOOKUP($A451,Leveranser_per_nät,'Leveranser per nät'!AB$1,FALSE)/VLOOKUP($B451,Korrigeringsfaktor_EI,'Korrigeringsfaktor EI'!AB$1,FALSE),
"")</f>
        <v>13.376340949554894</v>
      </c>
      <c r="AC451" s="18">
        <f>IFERROR(
                  Andel_oberoende_av_klimat*VLOOKUP($A451,Leveranser_per_nät,'Leveranser per nät'!AC$1,FALSE)
               +Andel_beroende_av_klimat*VLOOKUP($A451,Leveranser_per_nät,'Leveranser per nät'!AC$1,FALSE)/VLOOKUP($B451,Korrigeringsfaktor_EI,'Korrigeringsfaktor EI'!AC$1,FALSE),
"")</f>
        <v>12.679722693531282</v>
      </c>
      <c r="AD451" t="e">
        <v>#N/A</v>
      </c>
    </row>
    <row r="452" spans="1:30" x14ac:dyDescent="0.25">
      <c r="A452" t="s">
        <v>169</v>
      </c>
      <c r="B452" t="s">
        <v>168</v>
      </c>
      <c r="C452" s="18">
        <f>IFERROR(
                  Andel_oberoende_av_klimat*VLOOKUP($A452,Leveranser_per_nät,'Leveranser per nät'!C$1,FALSE)
               +Andel_beroende_av_klimat*VLOOKUP($A452,Leveranser_per_nät,'Leveranser per nät'!C$1,FALSE)/VLOOKUP($B452,Korrigeringsfaktor_EI,'Korrigeringsfaktor EI'!C$1,FALSE),
"")</f>
        <v>0</v>
      </c>
      <c r="D452" s="18">
        <f>IFERROR(
                  Andel_oberoende_av_klimat*VLOOKUP($A452,Leveranser_per_nät,'Leveranser per nät'!D$1,FALSE)
               +Andel_beroende_av_klimat*VLOOKUP($A452,Leveranser_per_nät,'Leveranser per nät'!D$1,FALSE)/VLOOKUP($B452,Korrigeringsfaktor_EI,'Korrigeringsfaktor EI'!D$1,FALSE),
"")</f>
        <v>0</v>
      </c>
      <c r="E452" s="18">
        <f>IFERROR(
                  Andel_oberoende_av_klimat*VLOOKUP($A452,Leveranser_per_nät,'Leveranser per nät'!E$1,FALSE)
               +Andel_beroende_av_klimat*VLOOKUP($A452,Leveranser_per_nät,'Leveranser per nät'!E$1,FALSE)/VLOOKUP($B452,Korrigeringsfaktor_EI,'Korrigeringsfaktor EI'!E$1,FALSE),
"")</f>
        <v>0</v>
      </c>
      <c r="F452" s="18">
        <f>IFERROR(
                  Andel_oberoende_av_klimat*VLOOKUP($A452,Leveranser_per_nät,'Leveranser per nät'!F$1,FALSE)
               +Andel_beroende_av_klimat*VLOOKUP($A452,Leveranser_per_nät,'Leveranser per nät'!F$1,FALSE)/VLOOKUP($B452,Korrigeringsfaktor_EI,'Korrigeringsfaktor EI'!F$1,FALSE),
"")</f>
        <v>0</v>
      </c>
      <c r="G452" s="18">
        <f>IFERROR(
                  Andel_oberoende_av_klimat*VLOOKUP($A452,Leveranser_per_nät,'Leveranser per nät'!G$1,FALSE)
               +Andel_beroende_av_klimat*VLOOKUP($A452,Leveranser_per_nät,'Leveranser per nät'!G$1,FALSE)/VLOOKUP($B452,Korrigeringsfaktor_EI,'Korrigeringsfaktor EI'!G$1,FALSE),
"")</f>
        <v>0</v>
      </c>
      <c r="H452" s="18">
        <f>IFERROR(
                  Andel_oberoende_av_klimat*VLOOKUP($A452,Leveranser_per_nät,'Leveranser per nät'!H$1,FALSE)
               +Andel_beroende_av_klimat*VLOOKUP($A452,Leveranser_per_nät,'Leveranser per nät'!H$1,FALSE)/VLOOKUP($B452,Korrigeringsfaktor_EI,'Korrigeringsfaktor EI'!H$1,FALSE),
"")</f>
        <v>0</v>
      </c>
      <c r="I452" s="18">
        <f>IFERROR(
                  Andel_oberoende_av_klimat*VLOOKUP($A452,Leveranser_per_nät,'Leveranser per nät'!I$1,FALSE)
               +Andel_beroende_av_klimat*VLOOKUP($A452,Leveranser_per_nät,'Leveranser per nät'!I$1,FALSE)/VLOOKUP($B452,Korrigeringsfaktor_EI,'Korrigeringsfaktor EI'!I$1,FALSE),
"")</f>
        <v>0</v>
      </c>
      <c r="J452" s="18">
        <f>IFERROR(
                  Andel_oberoende_av_klimat*VLOOKUP($A452,Leveranser_per_nät,'Leveranser per nät'!J$1,FALSE)
               +Andel_beroende_av_klimat*VLOOKUP($A452,Leveranser_per_nät,'Leveranser per nät'!J$1,FALSE)/VLOOKUP($B452,Korrigeringsfaktor_EI,'Korrigeringsfaktor EI'!J$1,FALSE),
"")</f>
        <v>0</v>
      </c>
      <c r="K452" s="18">
        <f>IFERROR(
                  Andel_oberoende_av_klimat*VLOOKUP($A452,Leveranser_per_nät,'Leveranser per nät'!K$1,FALSE)
               +Andel_beroende_av_klimat*VLOOKUP($A452,Leveranser_per_nät,'Leveranser per nät'!K$1,FALSE)/VLOOKUP($B452,Korrigeringsfaktor_EI,'Korrigeringsfaktor EI'!K$1,FALSE),
"")</f>
        <v>1.4330616161616163</v>
      </c>
      <c r="L452" s="18">
        <f>IFERROR(
                  Andel_oberoende_av_klimat*VLOOKUP($A452,Leveranser_per_nät,'Leveranser per nät'!L$1,FALSE)
               +Andel_beroende_av_klimat*VLOOKUP($A452,Leveranser_per_nät,'Leveranser per nät'!L$1,FALSE)/VLOOKUP($B452,Korrigeringsfaktor_EI,'Korrigeringsfaktor EI'!L$1,FALSE),
"")</f>
        <v>1.6754833333333332</v>
      </c>
      <c r="M452" s="18">
        <f>IFERROR(
                  Andel_oberoende_av_klimat*VLOOKUP($A452,Leveranser_per_nät,'Leveranser per nät'!M$1,FALSE)
               +Andel_beroende_av_klimat*VLOOKUP($A452,Leveranser_per_nät,'Leveranser per nät'!M$1,FALSE)/VLOOKUP($B452,Korrigeringsfaktor_EI,'Korrigeringsfaktor EI'!M$1,FALSE),
"")</f>
        <v>1.7264086021505374</v>
      </c>
      <c r="N452" s="18">
        <f>IFERROR(
                  Andel_oberoende_av_klimat*VLOOKUP($A452,Leveranser_per_nät,'Leveranser per nät'!N$1,FALSE)
               +Andel_beroende_av_klimat*VLOOKUP($A452,Leveranser_per_nät,'Leveranser per nät'!N$1,FALSE)/VLOOKUP($B452,Korrigeringsfaktor_EI,'Korrigeringsfaktor EI'!N$1,FALSE),
"")</f>
        <v>1.2306086956521738</v>
      </c>
      <c r="O452" s="18">
        <f>IFERROR(
                  Andel_oberoende_av_klimat*VLOOKUP($A452,Leveranser_per_nät,'Leveranser per nät'!O$1,FALSE)
               +Andel_beroende_av_klimat*VLOOKUP($A452,Leveranser_per_nät,'Leveranser per nät'!O$1,FALSE)/VLOOKUP($B452,Korrigeringsfaktor_EI,'Korrigeringsfaktor EI'!O$1,FALSE),
"")</f>
        <v>1.2502222222222221</v>
      </c>
      <c r="P452" s="18">
        <f>IFERROR(
                  Andel_oberoende_av_klimat*VLOOKUP($A452,Leveranser_per_nät,'Leveranser per nät'!P$1,FALSE)
               +Andel_beroende_av_klimat*VLOOKUP($A452,Leveranser_per_nät,'Leveranser per nät'!P$1,FALSE)/VLOOKUP($B452,Korrigeringsfaktor_EI,'Korrigeringsfaktor EI'!P$1,FALSE),
"")</f>
        <v>0</v>
      </c>
      <c r="Q452" s="18">
        <f>IFERROR(
                  Andel_oberoende_av_klimat*VLOOKUP($A452,Leveranser_per_nät,'Leveranser per nät'!Q$1,FALSE)
               +Andel_beroende_av_klimat*VLOOKUP($A452,Leveranser_per_nät,'Leveranser per nät'!Q$1,FALSE)/VLOOKUP($B452,Korrigeringsfaktor_EI,'Korrigeringsfaktor EI'!Q$1,FALSE),
"")</f>
        <v>0</v>
      </c>
      <c r="R452" s="18">
        <f>IFERROR(
                  Andel_oberoende_av_klimat*VLOOKUP($A452,Leveranser_per_nät,'Leveranser per nät'!R$1,FALSE)
               +Andel_beroende_av_klimat*VLOOKUP($A452,Leveranser_per_nät,'Leveranser per nät'!R$1,FALSE)/VLOOKUP($B452,Korrigeringsfaktor_EI,'Korrigeringsfaktor EI'!R$1,FALSE),
"")</f>
        <v>0</v>
      </c>
      <c r="S452" s="18">
        <f>IFERROR(
                  Andel_oberoende_av_klimat*VLOOKUP($A452,Leveranser_per_nät,'Leveranser per nät'!S$1,FALSE)
               +Andel_beroende_av_klimat*VLOOKUP($A452,Leveranser_per_nät,'Leveranser per nät'!S$1,FALSE)/VLOOKUP($B452,Korrigeringsfaktor_EI,'Korrigeringsfaktor EI'!S$1,FALSE),
"")</f>
        <v>2.6</v>
      </c>
      <c r="T452" s="18">
        <f>IFERROR(
                  Andel_oberoende_av_klimat*VLOOKUP($A452,Leveranser_per_nät,'Leveranser per nät'!T$1,FALSE)
               +Andel_beroende_av_klimat*VLOOKUP($A452,Leveranser_per_nät,'Leveranser per nät'!T$1,FALSE)/VLOOKUP($B452,Korrigeringsfaktor_EI,'Korrigeringsfaktor EI'!T$1,FALSE),
"")</f>
        <v>2.2476288659793817</v>
      </c>
      <c r="U452" s="18">
        <f>IFERROR(
                  Andel_oberoende_av_klimat*VLOOKUP($A452,Leveranser_per_nät,'Leveranser per nät'!U$1,FALSE)
               +Andel_beroende_av_klimat*VLOOKUP($A452,Leveranser_per_nät,'Leveranser per nät'!U$1,FALSE)/VLOOKUP($B452,Korrigeringsfaktor_EI,'Korrigeringsfaktor EI'!U$1,FALSE),
"")</f>
        <v>5.649887640449438</v>
      </c>
      <c r="V452" s="18">
        <f>IFERROR(
                  Andel_oberoende_av_klimat*VLOOKUP($A452,Leveranser_per_nät,'Leveranser per nät'!V$1,FALSE)
               +Andel_beroende_av_klimat*VLOOKUP($A452,Leveranser_per_nät,'Leveranser per nät'!V$1,FALSE)/VLOOKUP($B452,Korrigeringsfaktor_EI,'Korrigeringsfaktor EI'!V$1,FALSE),
"")</f>
        <v>13.79876404494382</v>
      </c>
      <c r="W452" s="18">
        <f>IFERROR(
                  Andel_oberoende_av_klimat*VLOOKUP($A452,Leveranser_per_nät,'Leveranser per nät'!W$1,FALSE)
               +Andel_beroende_av_klimat*VLOOKUP($A452,Leveranser_per_nät,'Leveranser per nät'!W$1,FALSE)/VLOOKUP($B452,Korrigeringsfaktor_EI,'Korrigeringsfaktor EI'!W$1,FALSE),
"")</f>
        <v>13.371914893617021</v>
      </c>
      <c r="X452" s="18">
        <f>IFERROR(
                  Andel_oberoende_av_klimat*VLOOKUP($A452,Leveranser_per_nät,'Leveranser per nät'!X$1,FALSE)
               +Andel_beroende_av_klimat*VLOOKUP($A452,Leveranser_per_nät,'Leveranser per nät'!X$1,FALSE)/VLOOKUP($B452,Korrigeringsfaktor_EI,'Korrigeringsfaktor EI'!X$1,FALSE),
"")</f>
        <v>14.421827956989244</v>
      </c>
      <c r="Y452" s="18">
        <f>IFERROR(
                  Andel_oberoende_av_klimat*VLOOKUP($A452,Leveranser_per_nät,'Leveranser per nät'!Y$1,FALSE)
               +Andel_beroende_av_klimat*VLOOKUP($A452,Leveranser_per_nät,'Leveranser per nät'!Y$1,FALSE)/VLOOKUP($B452,Korrigeringsfaktor_EI,'Korrigeringsfaktor EI'!Y$1,FALSE),
"")</f>
        <v>14.862307692307692</v>
      </c>
      <c r="Z452" s="18">
        <f>IFERROR(
                  Andel_oberoende_av_klimat*VLOOKUP($A452,Leveranser_per_nät,'Leveranser per nät'!Z$1,FALSE)
               +Andel_beroende_av_klimat*VLOOKUP($A452,Leveranser_per_nät,'Leveranser per nät'!Z$1,FALSE)/VLOOKUP($B452,Korrigeringsfaktor_EI,'Korrigeringsfaktor EI'!Z$1,FALSE),
"")</f>
        <v>6.8450561797752805</v>
      </c>
      <c r="AA452" s="18">
        <f>IFERROR(
                  Andel_oberoende_av_klimat*VLOOKUP($A452,Leveranser_per_nät,'Leveranser per nät'!AA$1,FALSE)
               +Andel_beroende_av_klimat*VLOOKUP($A452,Leveranser_per_nät,'Leveranser per nät'!AA$1,FALSE)/VLOOKUP($B452,Korrigeringsfaktor_EI,'Korrigeringsfaktor EI'!AA$1,FALSE),
"")</f>
        <v>0</v>
      </c>
      <c r="AB452" s="18">
        <f>IFERROR(
                  Andel_oberoende_av_klimat*VLOOKUP($A452,Leveranser_per_nät,'Leveranser per nät'!AB$1,FALSE)
               +Andel_beroende_av_klimat*VLOOKUP($A452,Leveranser_per_nät,'Leveranser per nät'!AB$1,FALSE)/VLOOKUP($B452,Korrigeringsfaktor_EI,'Korrigeringsfaktor EI'!AB$1,FALSE),
"")</f>
        <v>0</v>
      </c>
      <c r="AC452" s="18">
        <f>IFERROR(
                  Andel_oberoende_av_klimat*VLOOKUP($A452,Leveranser_per_nät,'Leveranser per nät'!AC$1,FALSE)
               +Andel_beroende_av_klimat*VLOOKUP($A452,Leveranser_per_nät,'Leveranser per nät'!AC$1,FALSE)/VLOOKUP($B452,Korrigeringsfaktor_EI,'Korrigeringsfaktor EI'!AC$1,FALSE),
"")</f>
        <v>0</v>
      </c>
      <c r="AD452">
        <v>163.92</v>
      </c>
    </row>
    <row r="453" spans="1:30" x14ac:dyDescent="0.25">
      <c r="A453" t="s">
        <v>59</v>
      </c>
      <c r="B453" t="s">
        <v>59</v>
      </c>
      <c r="C453" s="18">
        <f>IFERROR(
                  Andel_oberoende_av_klimat*VLOOKUP($A453,Leveranser_per_nät,'Leveranser per nät'!C$1,FALSE)
               +Andel_beroende_av_klimat*VLOOKUP($A453,Leveranser_per_nät,'Leveranser per nät'!C$1,FALSE)/VLOOKUP("Täby",Korrigeringsfaktor_EI,'Korrigeringsfaktor EI'!C$1,FALSE),
"")</f>
        <v>47.709332110091744</v>
      </c>
      <c r="D453" s="18">
        <f>IFERROR(
                  Andel_oberoende_av_klimat*VLOOKUP($A453,Leveranser_per_nät,'Leveranser per nät'!D$1,FALSE)
               +Andel_beroende_av_klimat*VLOOKUP($A453,Leveranser_per_nät,'Leveranser per nät'!D$1,FALSE)/VLOOKUP("Täby",Korrigeringsfaktor_EI,'Korrigeringsfaktor EI'!D$1,FALSE),
"")</f>
        <v>47.349544554455449</v>
      </c>
      <c r="E453" s="18">
        <f>IFERROR(
                  Andel_oberoende_av_klimat*VLOOKUP($A453,Leveranser_per_nät,'Leveranser per nät'!E$1,FALSE)
               +Andel_beroende_av_klimat*VLOOKUP($A453,Leveranser_per_nät,'Leveranser per nät'!E$1,FALSE)/VLOOKUP("Täby",Korrigeringsfaktor_EI,'Korrigeringsfaktor EI'!E$1,FALSE),
"")</f>
        <v>46.041747572815538</v>
      </c>
      <c r="F453" s="18">
        <f>IFERROR(
                  Andel_oberoende_av_klimat*VLOOKUP($A453,Leveranser_per_nät,'Leveranser per nät'!F$1,FALSE)
               +Andel_beroende_av_klimat*VLOOKUP($A453,Leveranser_per_nät,'Leveranser per nät'!F$1,FALSE)/VLOOKUP("Täby",Korrigeringsfaktor_EI,'Korrigeringsfaktor EI'!F$1,FALSE),
"")</f>
        <v>48.055319148936171</v>
      </c>
      <c r="G453" s="18">
        <f>IFERROR(
                  Andel_oberoende_av_klimat*VLOOKUP($A453,Leveranser_per_nät,'Leveranser per nät'!G$1,FALSE)
               +Andel_beroende_av_klimat*VLOOKUP($A453,Leveranser_per_nät,'Leveranser per nät'!G$1,FALSE)/VLOOKUP("Täby",Korrigeringsfaktor_EI,'Korrigeringsfaktor EI'!G$1,FALSE),
"")</f>
        <v>49.979775280898878</v>
      </c>
      <c r="H453" s="18">
        <f>IFERROR(
                  Andel_oberoende_av_klimat*VLOOKUP($A453,Leveranser_per_nät,'Leveranser per nät'!H$1,FALSE)
               +Andel_beroende_av_klimat*VLOOKUP($A453,Leveranser_per_nät,'Leveranser per nät'!H$1,FALSE)/VLOOKUP("Täby",Korrigeringsfaktor_EI,'Korrigeringsfaktor EI'!H$1,FALSE),
"")</f>
        <v>51.842105263157897</v>
      </c>
      <c r="I453" s="18">
        <f>IFERROR(
                  Andel_oberoende_av_klimat*VLOOKUP($A453,Leveranser_per_nät,'Leveranser per nät'!I$1,FALSE)
               +Andel_beroende_av_klimat*VLOOKUP($A453,Leveranser_per_nät,'Leveranser per nät'!I$1,FALSE)/VLOOKUP("Täby",Korrigeringsfaktor_EI,'Korrigeringsfaktor EI'!I$1,FALSE),
"")</f>
        <v>58.504197849462365</v>
      </c>
      <c r="J453" s="18">
        <f>IFERROR(
                  Andel_oberoende_av_klimat*VLOOKUP($A453,Leveranser_per_nät,'Leveranser per nät'!J$1,FALSE)
               +Andel_beroende_av_klimat*VLOOKUP($A453,Leveranser_per_nät,'Leveranser per nät'!J$1,FALSE)/VLOOKUP("Täby",Korrigeringsfaktor_EI,'Korrigeringsfaktor EI'!J$1,FALSE),
"")</f>
        <v>60.136842105263156</v>
      </c>
      <c r="K453" s="18">
        <f>IFERROR(
                  Andel_oberoende_av_klimat*VLOOKUP($A453,Leveranser_per_nät,'Leveranser per nät'!K$1,FALSE)
               +Andel_beroende_av_klimat*VLOOKUP($A453,Leveranser_per_nät,'Leveranser per nät'!K$1,FALSE)/VLOOKUP("Täby",Korrigeringsfaktor_EI,'Korrigeringsfaktor EI'!K$1,FALSE),
"")</f>
        <v>60.820274468085103</v>
      </c>
      <c r="L453" s="18">
        <f>IFERROR(
                  Andel_oberoende_av_klimat*VLOOKUP($A453,Leveranser_per_nät,'Leveranser per nät'!L$1,FALSE)
               +Andel_beroende_av_klimat*VLOOKUP($A453,Leveranser_per_nät,'Leveranser per nät'!L$1,FALSE)/VLOOKUP("Täby",Korrigeringsfaktor_EI,'Korrigeringsfaktor EI'!L$1,FALSE),
"")</f>
        <v>59.866991304347835</v>
      </c>
      <c r="M453" s="18">
        <f>IFERROR(
                  Andel_oberoende_av_klimat*VLOOKUP($A453,Leveranser_per_nät,'Leveranser per nät'!M$1,FALSE)
               +Andel_beroende_av_klimat*VLOOKUP($A453,Leveranser_per_nät,'Leveranser per nät'!M$1,FALSE)/VLOOKUP("Täby",Korrigeringsfaktor_EI,'Korrigeringsfaktor EI'!M$1,FALSE),
"")</f>
        <v>53.456629213483147</v>
      </c>
      <c r="N453" s="18">
        <f>IFERROR(
                  Andel_oberoende_av_klimat*VLOOKUP($A453,Leveranser_per_nät,'Leveranser per nät'!N$1,FALSE)
               +Andel_beroende_av_klimat*VLOOKUP($A453,Leveranser_per_nät,'Leveranser per nät'!N$1,FALSE)/VLOOKUP("Täby",Korrigeringsfaktor_EI,'Korrigeringsfaktor EI'!N$1,FALSE),
"")</f>
        <v>53.968378651685398</v>
      </c>
      <c r="O453" s="18">
        <f>IFERROR(
                  Andel_oberoende_av_klimat*VLOOKUP($A453,Leveranser_per_nät,'Leveranser per nät'!O$1,FALSE)
               +Andel_beroende_av_klimat*VLOOKUP($A453,Leveranser_per_nät,'Leveranser per nät'!O$1,FALSE)/VLOOKUP("Täby",Korrigeringsfaktor_EI,'Korrigeringsfaktor EI'!O$1,FALSE),
"")</f>
        <v>46.945402298850574</v>
      </c>
      <c r="P453" s="18">
        <f>IFERROR(
                  Andel_oberoende_av_klimat*VLOOKUP($A453,Leveranser_per_nät,'Leveranser per nät'!P$1,FALSE)
               +Andel_beroende_av_klimat*VLOOKUP($A453,Leveranser_per_nät,'Leveranser per nät'!P$1,FALSE)/VLOOKUP("Täby",Korrigeringsfaktor_EI,'Korrigeringsfaktor EI'!P$1,FALSE),
"")</f>
        <v>58.950537634408597</v>
      </c>
      <c r="Q453" s="18">
        <f>IFERROR(
                  Andel_oberoende_av_klimat*VLOOKUP($A453,Leveranser_per_nät,'Leveranser per nät'!Q$1,FALSE)
               +Andel_beroende_av_klimat*VLOOKUP($A453,Leveranser_per_nät,'Leveranser per nät'!Q$1,FALSE)/VLOOKUP("Täby",Korrigeringsfaktor_EI,'Korrigeringsfaktor EI'!Q$1,FALSE),
"")</f>
        <v>64.474074074074068</v>
      </c>
      <c r="R453" s="18">
        <f>IFERROR(
                  Andel_oberoende_av_klimat*VLOOKUP($A453,Leveranser_per_nät,'Leveranser per nät'!R$1,FALSE)
               +Andel_beroende_av_klimat*VLOOKUP($A453,Leveranser_per_nät,'Leveranser per nät'!R$1,FALSE)/VLOOKUP("Täby",Korrigeringsfaktor_EI,'Korrigeringsfaktor EI'!R$1,FALSE),
"")</f>
        <v>61.849363636363634</v>
      </c>
      <c r="S453" s="18">
        <f>IFERROR(
                  Andel_oberoende_av_klimat*VLOOKUP($A453,Leveranser_per_nät,'Leveranser per nät'!S$1,FALSE)
               +Andel_beroende_av_klimat*VLOOKUP($A453,Leveranser_per_nät,'Leveranser per nät'!S$1,FALSE)/VLOOKUP("Täby",Korrigeringsfaktor_EI,'Korrigeringsfaktor EI'!S$1,FALSE),
"")</f>
        <v>64.837499999999991</v>
      </c>
      <c r="T453" s="18">
        <f>IFERROR(
                  Andel_oberoende_av_klimat*VLOOKUP($A453,Leveranser_per_nät,'Leveranser per nät'!T$1,FALSE)
               +Andel_beroende_av_klimat*VLOOKUP($A453,Leveranser_per_nät,'Leveranser per nät'!T$1,FALSE)/VLOOKUP("Täby",Korrigeringsfaktor_EI,'Korrigeringsfaktor EI'!T$1,FALSE),
"")</f>
        <v>64.046923076923079</v>
      </c>
      <c r="U453" s="18">
        <f>IFERROR(
                  Andel_oberoende_av_klimat*VLOOKUP($A453,Leveranser_per_nät,'Leveranser per nät'!U$1,FALSE)
               +Andel_beroende_av_klimat*VLOOKUP($A453,Leveranser_per_nät,'Leveranser per nät'!U$1,FALSE)/VLOOKUP("Täby",Korrigeringsfaktor_EI,'Korrigeringsfaktor EI'!U$1,FALSE),
"")</f>
        <v>61.415632183908045</v>
      </c>
      <c r="V453" s="18">
        <f>IFERROR(
                  Andel_oberoende_av_klimat*VLOOKUP($A453,Leveranser_per_nät,'Leveranser per nät'!V$1,FALSE)
               +Andel_beroende_av_klimat*VLOOKUP($A453,Leveranser_per_nät,'Leveranser per nät'!V$1,FALSE)/VLOOKUP("Täby",Korrigeringsfaktor_EI,'Korrigeringsfaktor EI'!V$1,FALSE),
"")</f>
        <v>62.468235294117648</v>
      </c>
      <c r="W453" s="18">
        <f>IFERROR(
                  Andel_oberoende_av_klimat*VLOOKUP($A453,Leveranser_per_nät,'Leveranser per nät'!W$1,FALSE)
               +Andel_beroende_av_klimat*VLOOKUP($A453,Leveranser_per_nät,'Leveranser per nät'!W$1,FALSE)/VLOOKUP("Täby",Korrigeringsfaktor_EI,'Korrigeringsfaktor EI'!W$1,FALSE),
"")</f>
        <v>63.481111111111112</v>
      </c>
      <c r="X453" s="18">
        <f>IFERROR(
                  Andel_oberoende_av_klimat*VLOOKUP($A453,Leveranser_per_nät,'Leveranser per nät'!X$1,FALSE)
               +Andel_beroende_av_klimat*VLOOKUP($A453,Leveranser_per_nät,'Leveranser per nät'!X$1,FALSE)/VLOOKUP("Täby",Korrigeringsfaktor_EI,'Korrigeringsfaktor EI'!X$1,FALSE),
"")</f>
        <v>65.421111111111117</v>
      </c>
      <c r="Y453" s="18">
        <f>IFERROR(
                  Andel_oberoende_av_klimat*VLOOKUP($A453,Leveranser_per_nät,'Leveranser per nät'!Y$1,FALSE)
               +Andel_beroende_av_klimat*VLOOKUP($A453,Leveranser_per_nät,'Leveranser per nät'!Y$1,FALSE)/VLOOKUP($B453,Korrigeringsfaktor_EI,'Korrigeringsfaktor EI'!Y$1,FALSE),
"")</f>
        <v>64.713043478260857</v>
      </c>
      <c r="Z453" s="18">
        <f>IFERROR(
                  Andel_oberoende_av_klimat*VLOOKUP($A453,Leveranser_per_nät,'Leveranser per nät'!Z$1,FALSE)
               +Andel_beroende_av_klimat*VLOOKUP($A453,Leveranser_per_nät,'Leveranser per nät'!Z$1,FALSE)/VLOOKUP($B453,Korrigeringsfaktor_EI,'Korrigeringsfaktor EI'!Z$1,FALSE),
"")</f>
        <v>64.713043478260857</v>
      </c>
      <c r="AA453" s="18">
        <f>IFERROR(
                  Andel_oberoende_av_klimat*VLOOKUP($A453,Leveranser_per_nät,'Leveranser per nät'!AA$1,FALSE)
               +Andel_beroende_av_klimat*VLOOKUP($A453,Leveranser_per_nät,'Leveranser per nät'!AA$1,FALSE)/VLOOKUP($B453,Korrigeringsfaktor_EI,'Korrigeringsfaktor EI'!AA$1,FALSE),
"")</f>
        <v>62.311806976134285</v>
      </c>
      <c r="AB453" s="18">
        <f>IFERROR(
                  Andel_oberoende_av_klimat*VLOOKUP($A453,Leveranser_per_nät,'Leveranser per nät'!AB$1,FALSE)
               +Andel_beroende_av_klimat*VLOOKUP($A453,Leveranser_per_nät,'Leveranser per nät'!AB$1,FALSE)/VLOOKUP($B453,Korrigeringsfaktor_EI,'Korrigeringsfaktor EI'!AB$1,FALSE),
"")</f>
        <v>63.598038647342996</v>
      </c>
      <c r="AC453" s="18">
        <f>IFERROR(
                  Andel_oberoende_av_klimat*VLOOKUP($A453,Leveranser_per_nät,'Leveranser per nät'!AC$1,FALSE)
               +Andel_beroende_av_klimat*VLOOKUP($A453,Leveranser_per_nät,'Leveranser per nät'!AC$1,FALSE)/VLOOKUP($B453,Korrigeringsfaktor_EI,'Korrigeringsfaktor EI'!AC$1,FALSE),
"")</f>
        <v>64.682233502538068</v>
      </c>
      <c r="AD453" t="e">
        <v>#N/A</v>
      </c>
    </row>
    <row r="454" spans="1:30" x14ac:dyDescent="0.25">
      <c r="A454" t="s">
        <v>235</v>
      </c>
      <c r="B454" t="s">
        <v>235</v>
      </c>
      <c r="C454" s="18">
        <f>IFERROR(
                  Andel_oberoende_av_klimat*VLOOKUP($A454,Leveranser_per_nät,'Leveranser per nät'!C$1,FALSE)
               +Andel_beroende_av_klimat*VLOOKUP($A454,Leveranser_per_nät,'Leveranser per nät'!C$1,FALSE)/VLOOKUP($B454,Korrigeringsfaktor_EI,'Korrigeringsfaktor EI'!C$1,FALSE),
"")</f>
        <v>0</v>
      </c>
      <c r="D454" s="18">
        <f>IFERROR(
                  Andel_oberoende_av_klimat*VLOOKUP($A454,Leveranser_per_nät,'Leveranser per nät'!D$1,FALSE)
               +Andel_beroende_av_klimat*VLOOKUP($A454,Leveranser_per_nät,'Leveranser per nät'!D$1,FALSE)/VLOOKUP($B454,Korrigeringsfaktor_EI,'Korrigeringsfaktor EI'!D$1,FALSE),
"")</f>
        <v>0</v>
      </c>
      <c r="E454" s="18">
        <f>IFERROR(
                  Andel_oberoende_av_klimat*VLOOKUP($A454,Leveranser_per_nät,'Leveranser per nät'!E$1,FALSE)
               +Andel_beroende_av_klimat*VLOOKUP($A454,Leveranser_per_nät,'Leveranser per nät'!E$1,FALSE)/VLOOKUP($B454,Korrigeringsfaktor_EI,'Korrigeringsfaktor EI'!E$1,FALSE),
"")</f>
        <v>0</v>
      </c>
      <c r="F454" s="18">
        <f>IFERROR(
                  Andel_oberoende_av_klimat*VLOOKUP($A454,Leveranser_per_nät,'Leveranser per nät'!F$1,FALSE)
               +Andel_beroende_av_klimat*VLOOKUP($A454,Leveranser_per_nät,'Leveranser per nät'!F$1,FALSE)/VLOOKUP($B454,Korrigeringsfaktor_EI,'Korrigeringsfaktor EI'!F$1,FALSE),
"")</f>
        <v>0</v>
      </c>
      <c r="G454" s="18">
        <f>IFERROR(
                  Andel_oberoende_av_klimat*VLOOKUP($A454,Leveranser_per_nät,'Leveranser per nät'!G$1,FALSE)
               +Andel_beroende_av_klimat*VLOOKUP($A454,Leveranser_per_nät,'Leveranser per nät'!G$1,FALSE)/VLOOKUP($B454,Korrigeringsfaktor_EI,'Korrigeringsfaktor EI'!G$1,FALSE),
"")</f>
        <v>0</v>
      </c>
      <c r="H454" s="18">
        <f>IFERROR(
                  Andel_oberoende_av_klimat*VLOOKUP($A454,Leveranser_per_nät,'Leveranser per nät'!H$1,FALSE)
               +Andel_beroende_av_klimat*VLOOKUP($A454,Leveranser_per_nät,'Leveranser per nät'!H$1,FALSE)/VLOOKUP($B454,Korrigeringsfaktor_EI,'Korrigeringsfaktor EI'!H$1,FALSE),
"")</f>
        <v>0</v>
      </c>
      <c r="I454" s="18">
        <f>IFERROR(
                  Andel_oberoende_av_klimat*VLOOKUP($A454,Leveranser_per_nät,'Leveranser per nät'!I$1,FALSE)
               +Andel_beroende_av_klimat*VLOOKUP($A454,Leveranser_per_nät,'Leveranser per nät'!I$1,FALSE)/VLOOKUP($B454,Korrigeringsfaktor_EI,'Korrigeringsfaktor EI'!I$1,FALSE),
"")</f>
        <v>0</v>
      </c>
      <c r="J454" s="18">
        <f>IFERROR(
                  Andel_oberoende_av_klimat*VLOOKUP($A454,Leveranser_per_nät,'Leveranser per nät'!J$1,FALSE)
               +Andel_beroende_av_klimat*VLOOKUP($A454,Leveranser_per_nät,'Leveranser per nät'!J$1,FALSE)/VLOOKUP($B454,Korrigeringsfaktor_EI,'Korrigeringsfaktor EI'!J$1,FALSE),
"")</f>
        <v>0</v>
      </c>
      <c r="K454" s="18">
        <f>IFERROR(
                  Andel_oberoende_av_klimat*VLOOKUP($A454,Leveranser_per_nät,'Leveranser per nät'!K$1,FALSE)
               +Andel_beroende_av_klimat*VLOOKUP($A454,Leveranser_per_nät,'Leveranser per nät'!K$1,FALSE)/VLOOKUP($B454,Korrigeringsfaktor_EI,'Korrigeringsfaktor EI'!K$1,FALSE),
"")</f>
        <v>0</v>
      </c>
      <c r="L454" s="18">
        <f>IFERROR(
                  Andel_oberoende_av_klimat*VLOOKUP($A454,Leveranser_per_nät,'Leveranser per nät'!L$1,FALSE)
               +Andel_beroende_av_klimat*VLOOKUP($A454,Leveranser_per_nät,'Leveranser per nät'!L$1,FALSE)/VLOOKUP($B454,Korrigeringsfaktor_EI,'Korrigeringsfaktor EI'!L$1,FALSE),
"")</f>
        <v>0</v>
      </c>
      <c r="M454" s="18">
        <f>IFERROR(
                  Andel_oberoende_av_klimat*VLOOKUP($A454,Leveranser_per_nät,'Leveranser per nät'!M$1,FALSE)
               +Andel_beroende_av_klimat*VLOOKUP($A454,Leveranser_per_nät,'Leveranser per nät'!M$1,FALSE)/VLOOKUP($B454,Korrigeringsfaktor_EI,'Korrigeringsfaktor EI'!M$1,FALSE),
"")</f>
        <v>0</v>
      </c>
      <c r="N454" s="18">
        <f>IFERROR(
                  Andel_oberoende_av_klimat*VLOOKUP($A454,Leveranser_per_nät,'Leveranser per nät'!N$1,FALSE)
               +Andel_beroende_av_klimat*VLOOKUP($A454,Leveranser_per_nät,'Leveranser per nät'!N$1,FALSE)/VLOOKUP($B454,Korrigeringsfaktor_EI,'Korrigeringsfaktor EI'!N$1,FALSE),
"")</f>
        <v>0</v>
      </c>
      <c r="O454" s="18">
        <f>IFERROR(
                  Andel_oberoende_av_klimat*VLOOKUP($A454,Leveranser_per_nät,'Leveranser per nät'!O$1,FALSE)
               +Andel_beroende_av_klimat*VLOOKUP($A454,Leveranser_per_nät,'Leveranser per nät'!O$1,FALSE)/VLOOKUP($B454,Korrigeringsfaktor_EI,'Korrigeringsfaktor EI'!O$1,FALSE),
"")</f>
        <v>18.737849462365592</v>
      </c>
      <c r="P454" s="18">
        <f>IFERROR(
                  Andel_oberoende_av_klimat*VLOOKUP($A454,Leveranser_per_nät,'Leveranser per nät'!P$1,FALSE)
               +Andel_beroende_av_klimat*VLOOKUP($A454,Leveranser_per_nät,'Leveranser per nät'!P$1,FALSE)/VLOOKUP($B454,Korrigeringsfaktor_EI,'Korrigeringsfaktor EI'!P$1,FALSE),
"")</f>
        <v>19.394167676767676</v>
      </c>
      <c r="Q454" s="18">
        <f>IFERROR(
                  Andel_oberoende_av_klimat*VLOOKUP($A454,Leveranser_per_nät,'Leveranser per nät'!Q$1,FALSE)
               +Andel_beroende_av_klimat*VLOOKUP($A454,Leveranser_per_nät,'Leveranser per nät'!Q$1,FALSE)/VLOOKUP($B454,Korrigeringsfaktor_EI,'Korrigeringsfaktor EI'!Q$1,FALSE),
"")</f>
        <v>20.460999999999999</v>
      </c>
      <c r="R454" s="18">
        <f>IFERROR(
                  Andel_oberoende_av_klimat*VLOOKUP($A454,Leveranser_per_nät,'Leveranser per nät'!R$1,FALSE)
               +Andel_beroende_av_klimat*VLOOKUP($A454,Leveranser_per_nät,'Leveranser per nät'!R$1,FALSE)/VLOOKUP($B454,Korrigeringsfaktor_EI,'Korrigeringsfaktor EI'!R$1,FALSE),
"")</f>
        <v>21.96</v>
      </c>
      <c r="S454" s="18">
        <f>IFERROR(
                  Andel_oberoende_av_klimat*VLOOKUP($A454,Leveranser_per_nät,'Leveranser per nät'!S$1,FALSE)
               +Andel_beroende_av_klimat*VLOOKUP($A454,Leveranser_per_nät,'Leveranser per nät'!S$1,FALSE)/VLOOKUP($B454,Korrigeringsfaktor_EI,'Korrigeringsfaktor EI'!S$1,FALSE),
"")</f>
        <v>19.682633663366335</v>
      </c>
      <c r="T454" s="18">
        <f>IFERROR(
                  Andel_oberoende_av_klimat*VLOOKUP($A454,Leveranser_per_nät,'Leveranser per nät'!T$1,FALSE)
               +Andel_beroende_av_klimat*VLOOKUP($A454,Leveranser_per_nät,'Leveranser per nät'!T$1,FALSE)/VLOOKUP($B454,Korrigeringsfaktor_EI,'Korrigeringsfaktor EI'!T$1,FALSE),
"")</f>
        <v>18.936666666666667</v>
      </c>
      <c r="U454" s="18">
        <f>IFERROR(
                  Andel_oberoende_av_klimat*VLOOKUP($A454,Leveranser_per_nät,'Leveranser per nät'!U$1,FALSE)
               +Andel_beroende_av_klimat*VLOOKUP($A454,Leveranser_per_nät,'Leveranser per nät'!U$1,FALSE)/VLOOKUP($B454,Korrigeringsfaktor_EI,'Korrigeringsfaktor EI'!U$1,FALSE),
"")</f>
        <v>17.966642696629215</v>
      </c>
      <c r="V454" s="18">
        <f>IFERROR(
                  Andel_oberoende_av_klimat*VLOOKUP($A454,Leveranser_per_nät,'Leveranser per nät'!V$1,FALSE)
               +Andel_beroende_av_klimat*VLOOKUP($A454,Leveranser_per_nät,'Leveranser per nät'!V$1,FALSE)/VLOOKUP($B454,Korrigeringsfaktor_EI,'Korrigeringsfaktor EI'!V$1,FALSE),
"")</f>
        <v>18.078278260869567</v>
      </c>
      <c r="W454" s="18">
        <f>IFERROR(
                  Andel_oberoende_av_klimat*VLOOKUP($A454,Leveranser_per_nät,'Leveranser per nät'!W$1,FALSE)
               +Andel_beroende_av_klimat*VLOOKUP($A454,Leveranser_per_nät,'Leveranser per nät'!W$1,FALSE)/VLOOKUP($B454,Korrigeringsfaktor_EI,'Korrigeringsfaktor EI'!W$1,FALSE),
"")</f>
        <v>19.28526315789474</v>
      </c>
      <c r="X454" s="18">
        <f>IFERROR(
                  Andel_oberoende_av_klimat*VLOOKUP($A454,Leveranser_per_nät,'Leveranser per nät'!X$1,FALSE)
               +Andel_beroende_av_klimat*VLOOKUP($A454,Leveranser_per_nät,'Leveranser per nät'!X$1,FALSE)/VLOOKUP($B454,Korrigeringsfaktor_EI,'Korrigeringsfaktor EI'!X$1,FALSE),
"")</f>
        <v>18.524999999999999</v>
      </c>
      <c r="Y454" s="18" t="str">
        <f>IFERROR(
                  Andel_oberoende_av_klimat*VLOOKUP($A454,Leveranser_per_nät,'Leveranser per nät'!Y$1,FALSE)
               +Andel_beroende_av_klimat*VLOOKUP($A454,Leveranser_per_nät,'Leveranser per nät'!Y$1,FALSE)/VLOOKUP($B454,Korrigeringsfaktor_EI,'Korrigeringsfaktor EI'!Y$1,FALSE),
"")</f>
        <v/>
      </c>
      <c r="Z454" s="18">
        <f>IFERROR(
                  Andel_oberoende_av_klimat*VLOOKUP($A454,Leveranser_per_nät,'Leveranser per nät'!Z$1,FALSE)
               +Andel_beroende_av_klimat*VLOOKUP($A454,Leveranser_per_nät,'Leveranser per nät'!Z$1,FALSE)/VLOOKUP($B454,Korrigeringsfaktor_EI,'Korrigeringsfaktor EI'!Z$1,FALSE),
"")</f>
        <v>0</v>
      </c>
      <c r="AA454" s="18" t="str">
        <f>IFERROR(
                  Andel_oberoende_av_klimat*VLOOKUP($A454,Leveranser_per_nät,'Leveranser per nät'!AA$1,FALSE)
               +Andel_beroende_av_klimat*VLOOKUP($A454,Leveranser_per_nät,'Leveranser per nät'!AA$1,FALSE)/VLOOKUP($B454,Korrigeringsfaktor_EI,'Korrigeringsfaktor EI'!AA$1,FALSE),
"")</f>
        <v/>
      </c>
      <c r="AB454" s="18">
        <f>IFERROR(
                  Andel_oberoende_av_klimat*VLOOKUP($A454,Leveranser_per_nät,'Leveranser per nät'!AB$1,FALSE)
               +Andel_beroende_av_klimat*VLOOKUP($A454,Leveranser_per_nät,'Leveranser per nät'!AB$1,FALSE)/VLOOKUP($B454,Korrigeringsfaktor_EI,'Korrigeringsfaktor EI'!AB$1,FALSE),
"")</f>
        <v>0</v>
      </c>
      <c r="AC454" s="18">
        <f>IFERROR(
                  Andel_oberoende_av_klimat*VLOOKUP($A454,Leveranser_per_nät,'Leveranser per nät'!AC$1,FALSE)
               +Andel_beroende_av_klimat*VLOOKUP($A454,Leveranser_per_nät,'Leveranser per nät'!AC$1,FALSE)/VLOOKUP($B454,Korrigeringsfaktor_EI,'Korrigeringsfaktor EI'!AC$1,FALSE),
"")</f>
        <v>0</v>
      </c>
      <c r="AD454" t="e">
        <v>#N/A</v>
      </c>
    </row>
    <row r="455" spans="1:30" x14ac:dyDescent="0.25">
      <c r="A455" t="s">
        <v>330</v>
      </c>
      <c r="B455" t="s">
        <v>154</v>
      </c>
      <c r="C455" s="18">
        <f>IFERROR(
                  Andel_oberoende_av_klimat*VLOOKUP($A455,Leveranser_per_nät,'Leveranser per nät'!C$1,FALSE)
               +Andel_beroende_av_klimat*VLOOKUP($A455,Leveranser_per_nät,'Leveranser per nät'!C$1,FALSE)/VLOOKUP($B455,Korrigeringsfaktor_EI,'Korrigeringsfaktor EI'!C$1,FALSE),
"")</f>
        <v>0</v>
      </c>
      <c r="D455" s="18">
        <f>IFERROR(
                  Andel_oberoende_av_klimat*VLOOKUP($A455,Leveranser_per_nät,'Leveranser per nät'!D$1,FALSE)
               +Andel_beroende_av_klimat*VLOOKUP($A455,Leveranser_per_nät,'Leveranser per nät'!D$1,FALSE)/VLOOKUP($B455,Korrigeringsfaktor_EI,'Korrigeringsfaktor EI'!D$1,FALSE),
"")</f>
        <v>0</v>
      </c>
      <c r="E455" s="18">
        <f>IFERROR(
                  Andel_oberoende_av_klimat*VLOOKUP($A455,Leveranser_per_nät,'Leveranser per nät'!E$1,FALSE)
               +Andel_beroende_av_klimat*VLOOKUP($A455,Leveranser_per_nät,'Leveranser per nät'!E$1,FALSE)/VLOOKUP($B455,Korrigeringsfaktor_EI,'Korrigeringsfaktor EI'!E$1,FALSE),
"")</f>
        <v>19.56121495327103</v>
      </c>
      <c r="F455" s="18">
        <f>IFERROR(
                  Andel_oberoende_av_klimat*VLOOKUP($A455,Leveranser_per_nät,'Leveranser per nät'!F$1,FALSE)
               +Andel_beroende_av_klimat*VLOOKUP($A455,Leveranser_per_nät,'Leveranser per nät'!F$1,FALSE)/VLOOKUP($B455,Korrigeringsfaktor_EI,'Korrigeringsfaktor EI'!F$1,FALSE),
"")</f>
        <v>20.5</v>
      </c>
      <c r="G455" s="18">
        <f>IFERROR(
                  Andel_oberoende_av_klimat*VLOOKUP($A455,Leveranser_per_nät,'Leveranser per nät'!G$1,FALSE)
               +Andel_beroende_av_klimat*VLOOKUP($A455,Leveranser_per_nät,'Leveranser per nät'!G$1,FALSE)/VLOOKUP($B455,Korrigeringsfaktor_EI,'Korrigeringsfaktor EI'!G$1,FALSE),
"")</f>
        <v>19.848936170212767</v>
      </c>
      <c r="H455" s="18">
        <f>IFERROR(
                  Andel_oberoende_av_klimat*VLOOKUP($A455,Leveranser_per_nät,'Leveranser per nät'!H$1,FALSE)
               +Andel_beroende_av_klimat*VLOOKUP($A455,Leveranser_per_nät,'Leveranser per nät'!H$1,FALSE)/VLOOKUP($B455,Korrigeringsfaktor_EI,'Korrigeringsfaktor EI'!H$1,FALSE),
"")</f>
        <v>20.499929702970295</v>
      </c>
      <c r="I455" s="18">
        <f>IFERROR(
                  Andel_oberoende_av_klimat*VLOOKUP($A455,Leveranser_per_nät,'Leveranser per nät'!I$1,FALSE)
               +Andel_beroende_av_klimat*VLOOKUP($A455,Leveranser_per_nät,'Leveranser per nät'!I$1,FALSE)/VLOOKUP($B455,Korrigeringsfaktor_EI,'Korrigeringsfaktor EI'!I$1,FALSE),
"")</f>
        <v>22.768480412371133</v>
      </c>
      <c r="J455" s="18">
        <f>IFERROR(
                  Andel_oberoende_av_klimat*VLOOKUP($A455,Leveranser_per_nät,'Leveranser per nät'!J$1,FALSE)
               +Andel_beroende_av_klimat*VLOOKUP($A455,Leveranser_per_nät,'Leveranser per nät'!J$1,FALSE)/VLOOKUP($B455,Korrigeringsfaktor_EI,'Korrigeringsfaktor EI'!J$1,FALSE),
"")</f>
        <v>23.660996052631582</v>
      </c>
      <c r="K455" s="18">
        <f>IFERROR(
                  Andel_oberoende_av_klimat*VLOOKUP($A455,Leveranser_per_nät,'Leveranser per nät'!K$1,FALSE)
               +Andel_beroende_av_klimat*VLOOKUP($A455,Leveranser_per_nät,'Leveranser per nät'!K$1,FALSE)/VLOOKUP($B455,Korrigeringsfaktor_EI,'Korrigeringsfaktor EI'!K$1,FALSE),
"")</f>
        <v>23.354500000000002</v>
      </c>
      <c r="L455" s="18">
        <f>IFERROR(
                  Andel_oberoende_av_klimat*VLOOKUP($A455,Leveranser_per_nät,'Leveranser per nät'!L$1,FALSE)
               +Andel_beroende_av_klimat*VLOOKUP($A455,Leveranser_per_nät,'Leveranser per nät'!L$1,FALSE)/VLOOKUP($B455,Korrigeringsfaktor_EI,'Korrigeringsfaktor EI'!L$1,FALSE),
"")</f>
        <v>24.956119680851064</v>
      </c>
      <c r="M455" s="18">
        <f>IFERROR(
                  Andel_oberoende_av_klimat*VLOOKUP($A455,Leveranser_per_nät,'Leveranser per nät'!M$1,FALSE)
               +Andel_beroende_av_klimat*VLOOKUP($A455,Leveranser_per_nät,'Leveranser per nät'!M$1,FALSE)/VLOOKUP($B455,Korrigeringsfaktor_EI,'Korrigeringsfaktor EI'!M$1,FALSE),
"")</f>
        <v>25.709803225806446</v>
      </c>
      <c r="N455" s="18">
        <f>IFERROR(
                  Andel_oberoende_av_klimat*VLOOKUP($A455,Leveranser_per_nät,'Leveranser per nät'!N$1,FALSE)
               +Andel_beroende_av_klimat*VLOOKUP($A455,Leveranser_per_nät,'Leveranser per nät'!N$1,FALSE)/VLOOKUP($B455,Korrigeringsfaktor_EI,'Korrigeringsfaktor EI'!N$1,FALSE),
"")</f>
        <v>25.514240425531909</v>
      </c>
      <c r="O455" s="18">
        <f>IFERROR(
                  Andel_oberoende_av_klimat*VLOOKUP($A455,Leveranser_per_nät,'Leveranser per nät'!O$1,FALSE)
               +Andel_beroende_av_klimat*VLOOKUP($A455,Leveranser_per_nät,'Leveranser per nät'!O$1,FALSE)/VLOOKUP($B455,Korrigeringsfaktor_EI,'Korrigeringsfaktor EI'!O$1,FALSE),
"")</f>
        <v>26.957894736842107</v>
      </c>
      <c r="P455" s="18">
        <f>IFERROR(
                  Andel_oberoende_av_klimat*VLOOKUP($A455,Leveranser_per_nät,'Leveranser per nät'!P$1,FALSE)
               +Andel_beroende_av_klimat*VLOOKUP($A455,Leveranser_per_nät,'Leveranser per nät'!P$1,FALSE)/VLOOKUP($B455,Korrigeringsfaktor_EI,'Korrigeringsfaktor EI'!P$1,FALSE),
"")</f>
        <v>29.845833333333331</v>
      </c>
      <c r="Q455" s="18">
        <f>IFERROR(
                  Andel_oberoende_av_klimat*VLOOKUP($A455,Leveranser_per_nät,'Leveranser per nät'!Q$1,FALSE)
               +Andel_beroende_av_klimat*VLOOKUP($A455,Leveranser_per_nät,'Leveranser per nät'!Q$1,FALSE)/VLOOKUP($B455,Korrigeringsfaktor_EI,'Korrigeringsfaktor EI'!Q$1,FALSE),
"")</f>
        <v>34.923925233644859</v>
      </c>
      <c r="R455" s="18">
        <f>IFERROR(
                  Andel_oberoende_av_klimat*VLOOKUP($A455,Leveranser_per_nät,'Leveranser per nät'!R$1,FALSE)
               +Andel_beroende_av_klimat*VLOOKUP($A455,Leveranser_per_nät,'Leveranser per nät'!R$1,FALSE)/VLOOKUP($B455,Korrigeringsfaktor_EI,'Korrigeringsfaktor EI'!R$1,FALSE),
"")</f>
        <v>29.386086956521737</v>
      </c>
      <c r="S455" s="18">
        <f>IFERROR(
                  Andel_oberoende_av_klimat*VLOOKUP($A455,Leveranser_per_nät,'Leveranser per nät'!S$1,FALSE)
               +Andel_beroende_av_klimat*VLOOKUP($A455,Leveranser_per_nät,'Leveranser per nät'!S$1,FALSE)/VLOOKUP($B455,Korrigeringsfaktor_EI,'Korrigeringsfaktor EI'!S$1,FALSE),
"")</f>
        <v>32.327184466019418</v>
      </c>
      <c r="T455" s="18">
        <f>IFERROR(
                  Andel_oberoende_av_klimat*VLOOKUP($A455,Leveranser_per_nät,'Leveranser per nät'!T$1,FALSE)
               +Andel_beroende_av_klimat*VLOOKUP($A455,Leveranser_per_nät,'Leveranser per nät'!T$1,FALSE)/VLOOKUP($B455,Korrigeringsfaktor_EI,'Korrigeringsfaktor EI'!T$1,FALSE),
"")</f>
        <v>33.344999999999999</v>
      </c>
      <c r="U455" s="18">
        <f>IFERROR(
                  Andel_oberoende_av_klimat*VLOOKUP($A455,Leveranser_per_nät,'Leveranser per nät'!U$1,FALSE)
               +Andel_beroende_av_klimat*VLOOKUP($A455,Leveranser_per_nät,'Leveranser per nät'!U$1,FALSE)/VLOOKUP($B455,Korrigeringsfaktor_EI,'Korrigeringsfaktor EI'!U$1,FALSE),
"")</f>
        <v>37.623075268817203</v>
      </c>
      <c r="V455" s="18">
        <f>IFERROR(
                  Andel_oberoende_av_klimat*VLOOKUP($A455,Leveranser_per_nät,'Leveranser per nät'!V$1,FALSE)
               +Andel_beroende_av_klimat*VLOOKUP($A455,Leveranser_per_nät,'Leveranser per nät'!V$1,FALSE)/VLOOKUP($B455,Korrigeringsfaktor_EI,'Korrigeringsfaktor EI'!V$1,FALSE),
"")</f>
        <v>40.696888888888886</v>
      </c>
      <c r="W455" s="18">
        <f>IFERROR(
                  Andel_oberoende_av_klimat*VLOOKUP($A455,Leveranser_per_nät,'Leveranser per nät'!W$1,FALSE)
               +Andel_beroende_av_klimat*VLOOKUP($A455,Leveranser_per_nät,'Leveranser per nät'!W$1,FALSE)/VLOOKUP($B455,Korrigeringsfaktor_EI,'Korrigeringsfaktor EI'!W$1,FALSE),
"")</f>
        <v>36.720666666666666</v>
      </c>
      <c r="X455" s="18">
        <f>IFERROR(
                  Andel_oberoende_av_klimat*VLOOKUP($A455,Leveranser_per_nät,'Leveranser per nät'!X$1,FALSE)
               +Andel_beroende_av_klimat*VLOOKUP($A455,Leveranser_per_nät,'Leveranser per nät'!X$1,FALSE)/VLOOKUP($B455,Korrigeringsfaktor_EI,'Korrigeringsfaktor EI'!X$1,FALSE),
"")</f>
        <v>38.573285714285717</v>
      </c>
      <c r="Y455" s="18">
        <f>IFERROR(
                  Andel_oberoende_av_klimat*VLOOKUP($A455,Leveranser_per_nät,'Leveranser per nät'!Y$1,FALSE)
               +Andel_beroende_av_klimat*VLOOKUP($A455,Leveranser_per_nät,'Leveranser per nät'!Y$1,FALSE)/VLOOKUP($B455,Korrigeringsfaktor_EI,'Korrigeringsfaktor EI'!Y$1,FALSE),
"")</f>
        <v>32.416938144329897</v>
      </c>
      <c r="Z455" s="18">
        <f>IFERROR(
                  Andel_oberoende_av_klimat*VLOOKUP($A455,Leveranser_per_nät,'Leveranser per nät'!Z$1,FALSE)
               +Andel_beroende_av_klimat*VLOOKUP($A455,Leveranser_per_nät,'Leveranser per nät'!Z$1,FALSE)/VLOOKUP($B455,Korrigeringsfaktor_EI,'Korrigeringsfaktor EI'!Z$1,FALSE),
"")</f>
        <v>34.17</v>
      </c>
      <c r="AA455" s="18">
        <f>IFERROR(
                  Andel_oberoende_av_klimat*VLOOKUP($A455,Leveranser_per_nät,'Leveranser per nät'!AA$1,FALSE)
               +Andel_beroende_av_klimat*VLOOKUP($A455,Leveranser_per_nät,'Leveranser per nät'!AA$1,FALSE)/VLOOKUP($B455,Korrigeringsfaktor_EI,'Korrigeringsfaktor EI'!AA$1,FALSE),
"")</f>
        <v>32.216571100917434</v>
      </c>
      <c r="AB455" s="18">
        <f>IFERROR(
                  Andel_oberoende_av_klimat*VLOOKUP($A455,Leveranser_per_nät,'Leveranser per nät'!AB$1,FALSE)
               +Andel_beroende_av_klimat*VLOOKUP($A455,Leveranser_per_nät,'Leveranser per nät'!AB$1,FALSE)/VLOOKUP($B455,Korrigeringsfaktor_EI,'Korrigeringsfaktor EI'!AB$1,FALSE),
"")</f>
        <v>35.576958456973301</v>
      </c>
      <c r="AC455" s="18">
        <f>IFERROR(
                  Andel_oberoende_av_klimat*VLOOKUP($A455,Leveranser_per_nät,'Leveranser per nät'!AC$1,FALSE)
               +Andel_beroende_av_klimat*VLOOKUP($A455,Leveranser_per_nät,'Leveranser per nät'!AC$1,FALSE)/VLOOKUP($B455,Korrigeringsfaktor_EI,'Korrigeringsfaktor EI'!AC$1,FALSE),
"")</f>
        <v>32.188329411764705</v>
      </c>
      <c r="AD455">
        <v>32.6</v>
      </c>
    </row>
    <row r="456" spans="1:30" x14ac:dyDescent="0.25">
      <c r="A456" t="s">
        <v>332</v>
      </c>
      <c r="B456" t="s">
        <v>445</v>
      </c>
      <c r="C456" s="18">
        <f>IFERROR(
                  Andel_oberoende_av_klimat*VLOOKUP($A456,Leveranser_per_nät,'Leveranser per nät'!C$1,FALSE)
               +Andel_beroende_av_klimat*VLOOKUP($A456,Leveranser_per_nät,'Leveranser per nät'!C$1,FALSE)/VLOOKUP($B456,Korrigeringsfaktor_EI,'Korrigeringsfaktor EI'!C$1,FALSE),
"")</f>
        <v>6.595412844036697</v>
      </c>
      <c r="D456" s="18">
        <f>IFERROR(
                  Andel_oberoende_av_klimat*VLOOKUP($A456,Leveranser_per_nät,'Leveranser per nät'!D$1,FALSE)
               +Andel_beroende_av_klimat*VLOOKUP($A456,Leveranser_per_nät,'Leveranser per nät'!D$1,FALSE)/VLOOKUP($B456,Korrigeringsfaktor_EI,'Korrigeringsfaktor EI'!D$1,FALSE),
"")</f>
        <v>7.9700000000000006</v>
      </c>
      <c r="E456" s="18">
        <f>IFERROR(
                  Andel_oberoende_av_klimat*VLOOKUP($A456,Leveranser_per_nät,'Leveranser per nät'!E$1,FALSE)
               +Andel_beroende_av_klimat*VLOOKUP($A456,Leveranser_per_nät,'Leveranser per nät'!E$1,FALSE)/VLOOKUP($B456,Korrigeringsfaktor_EI,'Korrigeringsfaktor EI'!E$1,FALSE),
"")</f>
        <v>8.8764705882352928</v>
      </c>
      <c r="F456" s="18">
        <f>IFERROR(
                  Andel_oberoende_av_klimat*VLOOKUP($A456,Leveranser_per_nät,'Leveranser per nät'!F$1,FALSE)
               +Andel_beroende_av_klimat*VLOOKUP($A456,Leveranser_per_nät,'Leveranser per nät'!F$1,FALSE)/VLOOKUP($B456,Korrigeringsfaktor_EI,'Korrigeringsfaktor EI'!F$1,FALSE),
"")</f>
        <v>8.3574468085106375</v>
      </c>
      <c r="G456" s="18">
        <f>IFERROR(
                  Andel_oberoende_av_klimat*VLOOKUP($A456,Leveranser_per_nät,'Leveranser per nät'!G$1,FALSE)
               +Andel_beroende_av_klimat*VLOOKUP($A456,Leveranser_per_nät,'Leveranser per nät'!G$1,FALSE)/VLOOKUP($B456,Korrigeringsfaktor_EI,'Korrigeringsfaktor EI'!G$1,FALSE),
"")</f>
        <v>9.8590909090909093</v>
      </c>
      <c r="H456" s="18">
        <f>IFERROR(
                  Andel_oberoende_av_klimat*VLOOKUP($A456,Leveranser_per_nät,'Leveranser per nät'!H$1,FALSE)
               +Andel_beroende_av_klimat*VLOOKUP($A456,Leveranser_per_nät,'Leveranser per nät'!H$1,FALSE)/VLOOKUP($B456,Korrigeringsfaktor_EI,'Korrigeringsfaktor EI'!H$1,FALSE),
"")</f>
        <v>20.854455445544552</v>
      </c>
      <c r="I456" s="18">
        <f>IFERROR(
                  Andel_oberoende_av_klimat*VLOOKUP($A456,Leveranser_per_nät,'Leveranser per nät'!I$1,FALSE)
               +Andel_beroende_av_klimat*VLOOKUP($A456,Leveranser_per_nät,'Leveranser per nät'!I$1,FALSE)/VLOOKUP($B456,Korrigeringsfaktor_EI,'Korrigeringsfaktor EI'!I$1,FALSE),
"")</f>
        <v>53.516666666666666</v>
      </c>
      <c r="J456" s="18">
        <f>IFERROR(
                  Andel_oberoende_av_klimat*VLOOKUP($A456,Leveranser_per_nät,'Leveranser per nät'!J$1,FALSE)
               +Andel_beroende_av_klimat*VLOOKUP($A456,Leveranser_per_nät,'Leveranser per nät'!J$1,FALSE)/VLOOKUP($B456,Korrigeringsfaktor_EI,'Korrigeringsfaktor EI'!J$1,FALSE),
"")</f>
        <v>61</v>
      </c>
      <c r="K456" s="18">
        <f>IFERROR(
                  Andel_oberoende_av_klimat*VLOOKUP($A456,Leveranser_per_nät,'Leveranser per nät'!K$1,FALSE)
               +Andel_beroende_av_klimat*VLOOKUP($A456,Leveranser_per_nät,'Leveranser per nät'!K$1,FALSE)/VLOOKUP($B456,Korrigeringsfaktor_EI,'Korrigeringsfaktor EI'!K$1,FALSE),
"")</f>
        <v>79.155757575757576</v>
      </c>
      <c r="L456" s="18">
        <f>IFERROR(
                  Andel_oberoende_av_klimat*VLOOKUP($A456,Leveranser_per_nät,'Leveranser per nät'!L$1,FALSE)
               +Andel_beroende_av_klimat*VLOOKUP($A456,Leveranser_per_nät,'Leveranser per nät'!L$1,FALSE)/VLOOKUP($B456,Korrigeringsfaktor_EI,'Korrigeringsfaktor EI'!L$1,FALSE),
"")</f>
        <v>96.341546391752573</v>
      </c>
      <c r="M456" s="18">
        <f>IFERROR(
                  Andel_oberoende_av_klimat*VLOOKUP($A456,Leveranser_per_nät,'Leveranser per nät'!M$1,FALSE)
               +Andel_beroende_av_klimat*VLOOKUP($A456,Leveranser_per_nät,'Leveranser per nät'!M$1,FALSE)/VLOOKUP($B456,Korrigeringsfaktor_EI,'Korrigeringsfaktor EI'!M$1,FALSE),
"")</f>
        <v>108.63741935483871</v>
      </c>
      <c r="N456" s="18">
        <f>IFERROR(
                  Andel_oberoende_av_klimat*VLOOKUP($A456,Leveranser_per_nät,'Leveranser per nät'!N$1,FALSE)
               +Andel_beroende_av_klimat*VLOOKUP($A456,Leveranser_per_nät,'Leveranser per nät'!N$1,FALSE)/VLOOKUP($B456,Korrigeringsfaktor_EI,'Korrigeringsfaktor EI'!N$1,FALSE),
"")</f>
        <v>116.86692307692307</v>
      </c>
      <c r="O456" s="18">
        <f>IFERROR(
                  Andel_oberoende_av_klimat*VLOOKUP($A456,Leveranser_per_nät,'Leveranser per nät'!O$1,FALSE)
               +Andel_beroende_av_klimat*VLOOKUP($A456,Leveranser_per_nät,'Leveranser per nät'!O$1,FALSE)/VLOOKUP($B456,Korrigeringsfaktor_EI,'Korrigeringsfaktor EI'!O$1,FALSE),
"")</f>
        <v>127.88</v>
      </c>
      <c r="P456" s="18">
        <f>IFERROR(
                  Andel_oberoende_av_klimat*VLOOKUP($A456,Leveranser_per_nät,'Leveranser per nät'!P$1,FALSE)
               +Andel_beroende_av_klimat*VLOOKUP($A456,Leveranser_per_nät,'Leveranser per nät'!P$1,FALSE)/VLOOKUP($B456,Korrigeringsfaktor_EI,'Korrigeringsfaktor EI'!P$1,FALSE),
"")</f>
        <v>129.77791666666667</v>
      </c>
      <c r="Q456" s="18">
        <f>IFERROR(
                  Andel_oberoende_av_klimat*VLOOKUP($A456,Leveranser_per_nät,'Leveranser per nät'!Q$1,FALSE)
               +Andel_beroende_av_klimat*VLOOKUP($A456,Leveranser_per_nät,'Leveranser per nät'!Q$1,FALSE)/VLOOKUP($B456,Korrigeringsfaktor_EI,'Korrigeringsfaktor EI'!Q$1,FALSE),
"")</f>
        <v>145.57304347826087</v>
      </c>
      <c r="R456" s="18">
        <f>IFERROR(
                  Andel_oberoende_av_klimat*VLOOKUP($A456,Leveranser_per_nät,'Leveranser per nät'!R$1,FALSE)
               +Andel_beroende_av_klimat*VLOOKUP($A456,Leveranser_per_nät,'Leveranser per nät'!R$1,FALSE)/VLOOKUP($B456,Korrigeringsfaktor_EI,'Korrigeringsfaktor EI'!R$1,FALSE),
"")</f>
        <v>138.11416666666668</v>
      </c>
      <c r="S456" s="18">
        <f>IFERROR(
                  Andel_oberoende_av_klimat*VLOOKUP($A456,Leveranser_per_nät,'Leveranser per nät'!S$1,FALSE)
               +Andel_beroende_av_klimat*VLOOKUP($A456,Leveranser_per_nät,'Leveranser per nät'!S$1,FALSE)/VLOOKUP($B456,Korrigeringsfaktor_EI,'Korrigeringsfaktor EI'!S$1,FALSE),
"")</f>
        <v>148.88076923076923</v>
      </c>
      <c r="T456" s="18">
        <f>IFERROR(
                  Andel_oberoende_av_klimat*VLOOKUP($A456,Leveranser_per_nät,'Leveranser per nät'!T$1,FALSE)
               +Andel_beroende_av_klimat*VLOOKUP($A456,Leveranser_per_nät,'Leveranser per nät'!T$1,FALSE)/VLOOKUP($B456,Korrigeringsfaktor_EI,'Korrigeringsfaktor EI'!T$1,FALSE),
"")</f>
        <v>162</v>
      </c>
      <c r="U456" s="18">
        <f>IFERROR(
                  Andel_oberoende_av_klimat*VLOOKUP($A456,Leveranser_per_nät,'Leveranser per nät'!U$1,FALSE)
               +Andel_beroende_av_klimat*VLOOKUP($A456,Leveranser_per_nät,'Leveranser per nät'!U$1,FALSE)/VLOOKUP($B456,Korrigeringsfaktor_EI,'Korrigeringsfaktor EI'!U$1,FALSE),
"")</f>
        <v>147.62345454545454</v>
      </c>
      <c r="V456" s="18">
        <f>IFERROR(
                  Andel_oberoende_av_klimat*VLOOKUP($A456,Leveranser_per_nät,'Leveranser per nät'!V$1,FALSE)
               +Andel_beroende_av_klimat*VLOOKUP($A456,Leveranser_per_nät,'Leveranser per nät'!V$1,FALSE)/VLOOKUP($B456,Korrigeringsfaktor_EI,'Korrigeringsfaktor EI'!V$1,FALSE),
"")</f>
        <v>146.43313548387096</v>
      </c>
      <c r="W456" s="18">
        <f>IFERROR(
                  Andel_oberoende_av_klimat*VLOOKUP($A456,Leveranser_per_nät,'Leveranser per nät'!W$1,FALSE)
               +Andel_beroende_av_klimat*VLOOKUP($A456,Leveranser_per_nät,'Leveranser per nät'!W$1,FALSE)/VLOOKUP($B456,Korrigeringsfaktor_EI,'Korrigeringsfaktor EI'!W$1,FALSE),
"")</f>
        <v>154.81857083333335</v>
      </c>
      <c r="X456" s="18">
        <f>IFERROR(
                  Andel_oberoende_av_klimat*VLOOKUP($A456,Leveranser_per_nät,'Leveranser per nät'!X$1,FALSE)
               +Andel_beroende_av_klimat*VLOOKUP($A456,Leveranser_per_nät,'Leveranser per nät'!X$1,FALSE)/VLOOKUP($B456,Korrigeringsfaktor_EI,'Korrigeringsfaktor EI'!X$1,FALSE),
"")</f>
        <v>154.49335416666668</v>
      </c>
      <c r="Y456" s="18">
        <f>IFERROR(
                  Andel_oberoende_av_klimat*VLOOKUP($A456,Leveranser_per_nät,'Leveranser per nät'!Y$1,FALSE)
               +Andel_beroende_av_klimat*VLOOKUP($A456,Leveranser_per_nät,'Leveranser per nät'!Y$1,FALSE)/VLOOKUP($B456,Korrigeringsfaktor_EI,'Korrigeringsfaktor EI'!Y$1,FALSE),
"")</f>
        <v>161.57043478260869</v>
      </c>
      <c r="Z456" s="18">
        <f>IFERROR(
                  Andel_oberoende_av_klimat*VLOOKUP($A456,Leveranser_per_nät,'Leveranser per nät'!Z$1,FALSE)
               +Andel_beroende_av_klimat*VLOOKUP($A456,Leveranser_per_nät,'Leveranser per nät'!Z$1,FALSE)/VLOOKUP($B456,Korrigeringsfaktor_EI,'Korrigeringsfaktor EI'!Z$1,FALSE),
"")</f>
        <v>161.89101123595506</v>
      </c>
      <c r="AA456" s="18">
        <f>IFERROR(
                  Andel_oberoende_av_klimat*VLOOKUP($A456,Leveranser_per_nät,'Leveranser per nät'!AA$1,FALSE)
               +Andel_beroende_av_klimat*VLOOKUP($A456,Leveranser_per_nät,'Leveranser per nät'!AA$1,FALSE)/VLOOKUP($B456,Korrigeringsfaktor_EI,'Korrigeringsfaktor EI'!AA$1,FALSE),
"")</f>
        <v>156.58456802973978</v>
      </c>
      <c r="AB456" s="18">
        <f>IFERROR(
                  Andel_oberoende_av_klimat*VLOOKUP($A456,Leveranser_per_nät,'Leveranser per nät'!AB$1,FALSE)
               +Andel_beroende_av_klimat*VLOOKUP($A456,Leveranser_per_nät,'Leveranser per nät'!AB$1,FALSE)/VLOOKUP($B456,Korrigeringsfaktor_EI,'Korrigeringsfaktor EI'!AB$1,FALSE),
"")</f>
        <v>166.77009396636996</v>
      </c>
      <c r="AC456" s="18">
        <f>IFERROR(
                  Andel_oberoende_av_klimat*VLOOKUP($A456,Leveranser_per_nät,'Leveranser per nät'!AC$1,FALSE)
               +Andel_beroende_av_klimat*VLOOKUP($A456,Leveranser_per_nät,'Leveranser per nät'!AC$1,FALSE)/VLOOKUP($B456,Korrigeringsfaktor_EI,'Korrigeringsfaktor EI'!AC$1,FALSE),
"")</f>
        <v>165.91298496240603</v>
      </c>
      <c r="AD456" t="e">
        <v>#N/A</v>
      </c>
    </row>
    <row r="457" spans="1:30" x14ac:dyDescent="0.25">
      <c r="A457" t="s">
        <v>58</v>
      </c>
      <c r="B457" t="s">
        <v>58</v>
      </c>
      <c r="C457" s="18">
        <f>IFERROR(
                  Andel_oberoende_av_klimat*VLOOKUP($A457,Leveranser_per_nät,'Leveranser per nät'!C$1,FALSE)
               +Andel_beroende_av_klimat*VLOOKUP($A457,Leveranser_per_nät,'Leveranser per nät'!C$1,FALSE)/VLOOKUP("Värmdö",Korrigeringsfaktor_EI,'Korrigeringsfaktor EI'!C$1,FALSE),
"")</f>
        <v>2.56</v>
      </c>
      <c r="D457" s="18">
        <f>IFERROR(
                  Andel_oberoende_av_klimat*VLOOKUP($A457,Leveranser_per_nät,'Leveranser per nät'!D$1,FALSE)
               +Andel_beroende_av_klimat*VLOOKUP($A457,Leveranser_per_nät,'Leveranser per nät'!D$1,FALSE)/VLOOKUP("Värmdö",Korrigeringsfaktor_EI,'Korrigeringsfaktor EI'!D$1,FALSE),
"")</f>
        <v>2.5478888888888886</v>
      </c>
      <c r="E457" s="18">
        <f>IFERROR(
                  Andel_oberoende_av_klimat*VLOOKUP($A457,Leveranser_per_nät,'Leveranser per nät'!E$1,FALSE)
               +Andel_beroende_av_klimat*VLOOKUP($A457,Leveranser_per_nät,'Leveranser per nät'!E$1,FALSE)/VLOOKUP("Värmdö",Korrigeringsfaktor_EI,'Korrigeringsfaktor EI'!E$1,FALSE),
"")</f>
        <v>2.5910728155339804</v>
      </c>
      <c r="F457" s="18">
        <f>IFERROR(
                  Andel_oberoende_av_klimat*VLOOKUP($A457,Leveranser_per_nät,'Leveranser per nät'!F$1,FALSE)
               +Andel_beroende_av_klimat*VLOOKUP($A457,Leveranser_per_nät,'Leveranser per nät'!F$1,FALSE)/VLOOKUP("Värmdö",Korrigeringsfaktor_EI,'Korrigeringsfaktor EI'!F$1,FALSE),
"")</f>
        <v>2.0893617021276594</v>
      </c>
      <c r="G457" s="18">
        <f>IFERROR(
                  Andel_oberoende_av_klimat*VLOOKUP($A457,Leveranser_per_nät,'Leveranser per nät'!G$1,FALSE)
               +Andel_beroende_av_klimat*VLOOKUP($A457,Leveranser_per_nät,'Leveranser per nät'!G$1,FALSE)/VLOOKUP("Värmdö",Korrigeringsfaktor_EI,'Korrigeringsfaktor EI'!G$1,FALSE),
"")</f>
        <v>2.4446629213483146</v>
      </c>
      <c r="H457" s="18">
        <f>IFERROR(
                  Andel_oberoende_av_klimat*VLOOKUP($A457,Leveranser_per_nät,'Leveranser per nät'!H$1,FALSE)
               +Andel_beroende_av_klimat*VLOOKUP($A457,Leveranser_per_nät,'Leveranser per nät'!H$1,FALSE)/VLOOKUP("Värmdö",Korrigeringsfaktor_EI,'Korrigeringsfaktor EI'!H$1,FALSE),
"")</f>
        <v>2.2987113402061858</v>
      </c>
      <c r="I457" s="18">
        <f>IFERROR(
                  Andel_oberoende_av_klimat*VLOOKUP($A457,Leveranser_per_nät,'Leveranser per nät'!I$1,FALSE)
               +Andel_beroende_av_klimat*VLOOKUP($A457,Leveranser_per_nät,'Leveranser per nät'!I$1,FALSE)/VLOOKUP("Värmdö",Korrigeringsfaktor_EI,'Korrigeringsfaktor EI'!I$1,FALSE),
"")</f>
        <v>0</v>
      </c>
      <c r="J457" s="18">
        <f>IFERROR(
                  Andel_oberoende_av_klimat*VLOOKUP($A457,Leveranser_per_nät,'Leveranser per nät'!J$1,FALSE)
               +Andel_beroende_av_klimat*VLOOKUP($A457,Leveranser_per_nät,'Leveranser per nät'!J$1,FALSE)/VLOOKUP("Värmdö",Korrigeringsfaktor_EI,'Korrigeringsfaktor EI'!J$1,FALSE),
"")</f>
        <v>0</v>
      </c>
      <c r="K457" s="18">
        <f>IFERROR(
                  Andel_oberoende_av_klimat*VLOOKUP($A457,Leveranser_per_nät,'Leveranser per nät'!K$1,FALSE)
               +Andel_beroende_av_klimat*VLOOKUP($A457,Leveranser_per_nät,'Leveranser per nät'!K$1,FALSE)/VLOOKUP("Värmdö",Korrigeringsfaktor_EI,'Korrigeringsfaktor EI'!K$1,FALSE),
"")</f>
        <v>0</v>
      </c>
      <c r="L457" s="18">
        <f>IFERROR(
                  Andel_oberoende_av_klimat*VLOOKUP($A457,Leveranser_per_nät,'Leveranser per nät'!L$1,FALSE)
               +Andel_beroende_av_klimat*VLOOKUP($A457,Leveranser_per_nät,'Leveranser per nät'!L$1,FALSE)/VLOOKUP("Värmdö",Korrigeringsfaktor_EI,'Korrigeringsfaktor EI'!L$1,FALSE),
"")</f>
        <v>0</v>
      </c>
      <c r="M457" s="18">
        <f>IFERROR(
                  Andel_oberoende_av_klimat*VLOOKUP($A457,Leveranser_per_nät,'Leveranser per nät'!M$1,FALSE)
               +Andel_beroende_av_klimat*VLOOKUP($A457,Leveranser_per_nät,'Leveranser per nät'!M$1,FALSE)/VLOOKUP("Värmdö",Korrigeringsfaktor_EI,'Korrigeringsfaktor EI'!M$1,FALSE),
"")</f>
        <v>28.013846153846153</v>
      </c>
      <c r="N457" s="18">
        <f>IFERROR(
                  Andel_oberoende_av_klimat*VLOOKUP($A457,Leveranser_per_nät,'Leveranser per nät'!N$1,FALSE)
               +Andel_beroende_av_klimat*VLOOKUP($A457,Leveranser_per_nät,'Leveranser per nät'!N$1,FALSE)/VLOOKUP("Värmdö",Korrigeringsfaktor_EI,'Korrigeringsfaktor EI'!N$1,FALSE),
"")</f>
        <v>27.271573033707867</v>
      </c>
      <c r="O457" s="18">
        <f>IFERROR(
                  Andel_oberoende_av_klimat*VLOOKUP($A457,Leveranser_per_nät,'Leveranser per nät'!O$1,FALSE)
               +Andel_beroende_av_klimat*VLOOKUP($A457,Leveranser_per_nät,'Leveranser per nät'!O$1,FALSE)/VLOOKUP("Värmdö",Korrigeringsfaktor_EI,'Korrigeringsfaktor EI'!O$1,FALSE),
"")</f>
        <v>26.17896551724138</v>
      </c>
      <c r="P457" s="18">
        <f>IFERROR(
                  Andel_oberoende_av_klimat*VLOOKUP($A457,Leveranser_per_nät,'Leveranser per nät'!P$1,FALSE)
               +Andel_beroende_av_klimat*VLOOKUP($A457,Leveranser_per_nät,'Leveranser per nät'!P$1,FALSE)/VLOOKUP("Värmdö",Korrigeringsfaktor_EI,'Korrigeringsfaktor EI'!P$1,FALSE),
"")</f>
        <v>25.264516129032252</v>
      </c>
      <c r="Q457" s="18">
        <f>IFERROR(
                  Andel_oberoende_av_klimat*VLOOKUP($A457,Leveranser_per_nät,'Leveranser per nät'!Q$1,FALSE)
               +Andel_beroende_av_klimat*VLOOKUP($A457,Leveranser_per_nät,'Leveranser per nät'!Q$1,FALSE)/VLOOKUP("Värmdö",Korrigeringsfaktor_EI,'Korrigeringsfaktor EI'!Q$1,FALSE),
"")</f>
        <v>25.599999999999998</v>
      </c>
      <c r="R457" s="18">
        <f>IFERROR(
                  Andel_oberoende_av_klimat*VLOOKUP($A457,Leveranser_per_nät,'Leveranser per nät'!R$1,FALSE)
               +Andel_beroende_av_klimat*VLOOKUP($A457,Leveranser_per_nät,'Leveranser per nät'!R$1,FALSE)/VLOOKUP("Värmdö",Korrigeringsfaktor_EI,'Korrigeringsfaktor EI'!R$1,FALSE),
"")</f>
        <v>25.306333333333335</v>
      </c>
      <c r="S457" s="18">
        <f>IFERROR(
                  Andel_oberoende_av_klimat*VLOOKUP($A457,Leveranser_per_nät,'Leveranser per nät'!S$1,FALSE)
               +Andel_beroende_av_klimat*VLOOKUP($A457,Leveranser_per_nät,'Leveranser per nät'!S$1,FALSE)/VLOOKUP("Värmdö",Korrigeringsfaktor_EI,'Korrigeringsfaktor EI'!S$1,FALSE),
"")</f>
        <v>24.88421052631579</v>
      </c>
      <c r="T457" s="18">
        <f>IFERROR(
                  Andel_oberoende_av_klimat*VLOOKUP($A457,Leveranser_per_nät,'Leveranser per nät'!T$1,FALSE)
               +Andel_beroende_av_klimat*VLOOKUP($A457,Leveranser_per_nät,'Leveranser per nät'!T$1,FALSE)/VLOOKUP("Värmdö",Korrigeringsfaktor_EI,'Korrigeringsfaktor EI'!T$1,FALSE),
"")</f>
        <v>24.699230769230773</v>
      </c>
      <c r="U457" s="18">
        <f>IFERROR(
                  Andel_oberoende_av_klimat*VLOOKUP($A457,Leveranser_per_nät,'Leveranser per nät'!U$1,FALSE)
               +Andel_beroende_av_klimat*VLOOKUP($A457,Leveranser_per_nät,'Leveranser per nät'!U$1,FALSE)/VLOOKUP("Värmdö",Korrigeringsfaktor_EI,'Korrigeringsfaktor EI'!U$1,FALSE),
"")</f>
        <v>24.522068965517242</v>
      </c>
      <c r="V457" s="18">
        <f>IFERROR(
                  Andel_oberoende_av_klimat*VLOOKUP($A457,Leveranser_per_nät,'Leveranser per nät'!V$1,FALSE)
               +Andel_beroende_av_klimat*VLOOKUP($A457,Leveranser_per_nät,'Leveranser per nät'!V$1,FALSE)/VLOOKUP("Värmdö",Korrigeringsfaktor_EI,'Korrigeringsfaktor EI'!V$1,FALSE),
"")</f>
        <v>25.613333333333337</v>
      </c>
      <c r="W457" s="18">
        <f>IFERROR(
                  Andel_oberoende_av_klimat*VLOOKUP($A457,Leveranser_per_nät,'Leveranser per nät'!W$1,FALSE)
               +Andel_beroende_av_klimat*VLOOKUP($A457,Leveranser_per_nät,'Leveranser per nät'!W$1,FALSE)/VLOOKUP("Värmdö",Korrigeringsfaktor_EI,'Korrigeringsfaktor EI'!W$1,FALSE),
"")</f>
        <v>26.837692307692308</v>
      </c>
      <c r="X457" s="18">
        <f>IFERROR(
                  Andel_oberoende_av_klimat*VLOOKUP($A457,Leveranser_per_nät,'Leveranser per nät'!X$1,FALSE)
               +Andel_beroende_av_klimat*VLOOKUP($A457,Leveranser_per_nät,'Leveranser per nät'!X$1,FALSE)/VLOOKUP("Värmdö",Korrigeringsfaktor_EI,'Korrigeringsfaktor EI'!X$1,FALSE),
"")</f>
        <v>27.005561538461539</v>
      </c>
      <c r="Y457" s="18">
        <f>IFERROR(
                  Andel_oberoende_av_klimat*VLOOKUP($A457,Leveranser_per_nät,'Leveranser per nät'!Y$1,FALSE)
               +Andel_beroende_av_klimat*VLOOKUP($A457,Leveranser_per_nät,'Leveranser per nät'!Y$1,FALSE)/VLOOKUP($B457,Korrigeringsfaktor_EI,'Korrigeringsfaktor EI'!Y$1,FALSE),
"")</f>
        <v>25.435555555555556</v>
      </c>
      <c r="Z457" s="18">
        <f>IFERROR(
                  Andel_oberoende_av_klimat*VLOOKUP($A457,Leveranser_per_nät,'Leveranser per nät'!Z$1,FALSE)
               +Andel_beroende_av_klimat*VLOOKUP($A457,Leveranser_per_nät,'Leveranser per nät'!Z$1,FALSE)/VLOOKUP($B457,Korrigeringsfaktor_EI,'Korrigeringsfaktor EI'!Z$1,FALSE),
"")</f>
        <v>25.177927272727274</v>
      </c>
      <c r="AA457" s="18">
        <f>IFERROR(
                  Andel_oberoende_av_klimat*VLOOKUP($A457,Leveranser_per_nät,'Leveranser per nät'!AA$1,FALSE)
               +Andel_beroende_av_klimat*VLOOKUP($A457,Leveranser_per_nät,'Leveranser per nät'!AA$1,FALSE)/VLOOKUP($B457,Korrigeringsfaktor_EI,'Korrigeringsfaktor EI'!AA$1,FALSE),
"")</f>
        <v>25.175125866813428</v>
      </c>
      <c r="AB457" s="18">
        <f>IFERROR(
                  Andel_oberoende_av_klimat*VLOOKUP($A457,Leveranser_per_nät,'Leveranser per nät'!AB$1,FALSE)
               +Andel_beroende_av_klimat*VLOOKUP($A457,Leveranser_per_nät,'Leveranser per nät'!AB$1,FALSE)/VLOOKUP($B457,Korrigeringsfaktor_EI,'Korrigeringsfaktor EI'!AB$1,FALSE),
"")</f>
        <v>23.993897609561749</v>
      </c>
      <c r="AC457" s="18">
        <f>IFERROR(
                  Andel_oberoende_av_klimat*VLOOKUP($A457,Leveranser_per_nät,'Leveranser per nät'!AC$1,FALSE)
               +Andel_beroende_av_klimat*VLOOKUP($A457,Leveranser_per_nät,'Leveranser per nät'!AC$1,FALSE)/VLOOKUP($B457,Korrigeringsfaktor_EI,'Korrigeringsfaktor EI'!AC$1,FALSE),
"")</f>
        <v>23.369244889357212</v>
      </c>
      <c r="AD457">
        <v>22.521999999999998</v>
      </c>
    </row>
    <row r="458" spans="1:30" x14ac:dyDescent="0.25">
      <c r="A458" t="s">
        <v>333</v>
      </c>
      <c r="B458" t="s">
        <v>445</v>
      </c>
      <c r="C458" s="18">
        <f>IFERROR(
                  Andel_oberoende_av_klimat*VLOOKUP($A458,Leveranser_per_nät,'Leveranser per nät'!C$1,FALSE)
               +Andel_beroende_av_klimat*VLOOKUP($A458,Leveranser_per_nät,'Leveranser per nät'!C$1,FALSE)/VLOOKUP($B458,Korrigeringsfaktor_EI,'Korrigeringsfaktor EI'!C$1,FALSE),
"")</f>
        <v>0</v>
      </c>
      <c r="D458" s="18">
        <f>IFERROR(
                  Andel_oberoende_av_klimat*VLOOKUP($A458,Leveranser_per_nät,'Leveranser per nät'!D$1,FALSE)
               +Andel_beroende_av_klimat*VLOOKUP($A458,Leveranser_per_nät,'Leveranser per nät'!D$1,FALSE)/VLOOKUP($B458,Korrigeringsfaktor_EI,'Korrigeringsfaktor EI'!D$1,FALSE),
"")</f>
        <v>0</v>
      </c>
      <c r="E458" s="18">
        <f>IFERROR(
                  Andel_oberoende_av_klimat*VLOOKUP($A458,Leveranser_per_nät,'Leveranser per nät'!E$1,FALSE)
               +Andel_beroende_av_klimat*VLOOKUP($A458,Leveranser_per_nät,'Leveranser per nät'!E$1,FALSE)/VLOOKUP($B458,Korrigeringsfaktor_EI,'Korrigeringsfaktor EI'!E$1,FALSE),
"")</f>
        <v>0</v>
      </c>
      <c r="F458" s="18">
        <f>IFERROR(
                  Andel_oberoende_av_klimat*VLOOKUP($A458,Leveranser_per_nät,'Leveranser per nät'!F$1,FALSE)
               +Andel_beroende_av_klimat*VLOOKUP($A458,Leveranser_per_nät,'Leveranser per nät'!F$1,FALSE)/VLOOKUP($B458,Korrigeringsfaktor_EI,'Korrigeringsfaktor EI'!F$1,FALSE),
"")</f>
        <v>0</v>
      </c>
      <c r="G458" s="18">
        <f>IFERROR(
                  Andel_oberoende_av_klimat*VLOOKUP($A458,Leveranser_per_nät,'Leveranser per nät'!G$1,FALSE)
               +Andel_beroende_av_klimat*VLOOKUP($A458,Leveranser_per_nät,'Leveranser per nät'!G$1,FALSE)/VLOOKUP($B458,Korrigeringsfaktor_EI,'Korrigeringsfaktor EI'!G$1,FALSE),
"")</f>
        <v>0</v>
      </c>
      <c r="H458" s="18">
        <f>IFERROR(
                  Andel_oberoende_av_klimat*VLOOKUP($A458,Leveranser_per_nät,'Leveranser per nät'!H$1,FALSE)
               +Andel_beroende_av_klimat*VLOOKUP($A458,Leveranser_per_nät,'Leveranser per nät'!H$1,FALSE)/VLOOKUP($B458,Korrigeringsfaktor_EI,'Korrigeringsfaktor EI'!H$1,FALSE),
"")</f>
        <v>0</v>
      </c>
      <c r="I458" s="18">
        <f>IFERROR(
                  Andel_oberoende_av_klimat*VLOOKUP($A458,Leveranser_per_nät,'Leveranser per nät'!I$1,FALSE)
               +Andel_beroende_av_klimat*VLOOKUP($A458,Leveranser_per_nät,'Leveranser per nät'!I$1,FALSE)/VLOOKUP($B458,Korrigeringsfaktor_EI,'Korrigeringsfaktor EI'!I$1,FALSE),
"")</f>
        <v>0</v>
      </c>
      <c r="J458" s="18">
        <f>IFERROR(
                  Andel_oberoende_av_klimat*VLOOKUP($A458,Leveranser_per_nät,'Leveranser per nät'!J$1,FALSE)
               +Andel_beroende_av_klimat*VLOOKUP($A458,Leveranser_per_nät,'Leveranser per nät'!J$1,FALSE)/VLOOKUP($B458,Korrigeringsfaktor_EI,'Korrigeringsfaktor EI'!J$1,FALSE),
"")</f>
        <v>0</v>
      </c>
      <c r="K458" s="18">
        <f>IFERROR(
                  Andel_oberoende_av_klimat*VLOOKUP($A458,Leveranser_per_nät,'Leveranser per nät'!K$1,FALSE)
               +Andel_beroende_av_klimat*VLOOKUP($A458,Leveranser_per_nät,'Leveranser per nät'!K$1,FALSE)/VLOOKUP($B458,Korrigeringsfaktor_EI,'Korrigeringsfaktor EI'!K$1,FALSE),
"")</f>
        <v>0</v>
      </c>
      <c r="L458" s="18">
        <f>IFERROR(
                  Andel_oberoende_av_klimat*VLOOKUP($A458,Leveranser_per_nät,'Leveranser per nät'!L$1,FALSE)
               +Andel_beroende_av_klimat*VLOOKUP($A458,Leveranser_per_nät,'Leveranser per nät'!L$1,FALSE)/VLOOKUP($B458,Korrigeringsfaktor_EI,'Korrigeringsfaktor EI'!L$1,FALSE),
"")</f>
        <v>0</v>
      </c>
      <c r="M458" s="18">
        <f>IFERROR(
                  Andel_oberoende_av_klimat*VLOOKUP($A458,Leveranser_per_nät,'Leveranser per nät'!M$1,FALSE)
               +Andel_beroende_av_klimat*VLOOKUP($A458,Leveranser_per_nät,'Leveranser per nät'!M$1,FALSE)/VLOOKUP($B458,Korrigeringsfaktor_EI,'Korrigeringsfaktor EI'!M$1,FALSE),
"")</f>
        <v>3.4738709677419353</v>
      </c>
      <c r="N458" s="18">
        <f>IFERROR(
                  Andel_oberoende_av_klimat*VLOOKUP($A458,Leveranser_per_nät,'Leveranser per nät'!N$1,FALSE)
               +Andel_beroende_av_klimat*VLOOKUP($A458,Leveranser_per_nät,'Leveranser per nät'!N$1,FALSE)/VLOOKUP($B458,Korrigeringsfaktor_EI,'Korrigeringsfaktor EI'!N$1,FALSE),
"")</f>
        <v>4.17</v>
      </c>
      <c r="O458" s="18">
        <f>IFERROR(
                  Andel_oberoende_av_klimat*VLOOKUP($A458,Leveranser_per_nät,'Leveranser per nät'!O$1,FALSE)
               +Andel_beroende_av_klimat*VLOOKUP($A458,Leveranser_per_nät,'Leveranser per nät'!O$1,FALSE)/VLOOKUP($B458,Korrigeringsfaktor_EI,'Korrigeringsfaktor EI'!O$1,FALSE),
"")</f>
        <v>4.1272307692307688</v>
      </c>
      <c r="P458" s="18">
        <f>IFERROR(
                  Andel_oberoende_av_klimat*VLOOKUP($A458,Leveranser_per_nät,'Leveranser per nät'!P$1,FALSE)
               +Andel_beroende_av_klimat*VLOOKUP($A458,Leveranser_per_nät,'Leveranser per nät'!P$1,FALSE)/VLOOKUP($B458,Korrigeringsfaktor_EI,'Korrigeringsfaktor EI'!P$1,FALSE),
"")</f>
        <v>4.4460000000000006</v>
      </c>
      <c r="Q458" s="18">
        <f>IFERROR(
                  Andel_oberoende_av_klimat*VLOOKUP($A458,Leveranser_per_nät,'Leveranser per nät'!Q$1,FALSE)
               +Andel_beroende_av_klimat*VLOOKUP($A458,Leveranser_per_nät,'Leveranser per nät'!Q$1,FALSE)/VLOOKUP($B458,Korrigeringsfaktor_EI,'Korrigeringsfaktor EI'!Q$1,FALSE),
"")</f>
        <v>4.1254782608695653</v>
      </c>
      <c r="R458" s="18">
        <f>IFERROR(
                  Andel_oberoende_av_klimat*VLOOKUP($A458,Leveranser_per_nät,'Leveranser per nät'!R$1,FALSE)
               +Andel_beroende_av_klimat*VLOOKUP($A458,Leveranser_per_nät,'Leveranser per nät'!R$1,FALSE)/VLOOKUP($B458,Korrigeringsfaktor_EI,'Korrigeringsfaktor EI'!R$1,FALSE),
"")</f>
        <v>3.8079166666666668</v>
      </c>
      <c r="S458" s="18">
        <f>IFERROR(
                  Andel_oberoende_av_klimat*VLOOKUP($A458,Leveranser_per_nät,'Leveranser per nät'!S$1,FALSE)
               +Andel_beroende_av_klimat*VLOOKUP($A458,Leveranser_per_nät,'Leveranser per nät'!S$1,FALSE)/VLOOKUP($B458,Korrigeringsfaktor_EI,'Korrigeringsfaktor EI'!S$1,FALSE),
"")</f>
        <v>3.8728461538461536</v>
      </c>
      <c r="T458" s="18">
        <f>IFERROR(
                  Andel_oberoende_av_klimat*VLOOKUP($A458,Leveranser_per_nät,'Leveranser per nät'!T$1,FALSE)
               +Andel_beroende_av_klimat*VLOOKUP($A458,Leveranser_per_nät,'Leveranser per nät'!T$1,FALSE)/VLOOKUP($B458,Korrigeringsfaktor_EI,'Korrigeringsfaktor EI'!T$1,FALSE),
"")</f>
        <v>3.7200000000000006</v>
      </c>
      <c r="U458" s="18">
        <f>IFERROR(
                  Andel_oberoende_av_klimat*VLOOKUP($A458,Leveranser_per_nät,'Leveranser per nät'!U$1,FALSE)
               +Andel_beroende_av_klimat*VLOOKUP($A458,Leveranser_per_nät,'Leveranser per nät'!U$1,FALSE)/VLOOKUP($B458,Korrigeringsfaktor_EI,'Korrigeringsfaktor EI'!U$1,FALSE),
"")</f>
        <v>2.9851136363636366</v>
      </c>
      <c r="V458" s="18">
        <f>IFERROR(
                  Andel_oberoende_av_klimat*VLOOKUP($A458,Leveranser_per_nät,'Leveranser per nät'!V$1,FALSE)
               +Andel_beroende_av_klimat*VLOOKUP($A458,Leveranser_per_nät,'Leveranser per nät'!V$1,FALSE)/VLOOKUP($B458,Korrigeringsfaktor_EI,'Korrigeringsfaktor EI'!V$1,FALSE),
"")</f>
        <v>3.712831182795699</v>
      </c>
      <c r="W458" s="18">
        <f>IFERROR(
                  Andel_oberoende_av_klimat*VLOOKUP($A458,Leveranser_per_nät,'Leveranser per nät'!W$1,FALSE)
               +Andel_beroende_av_klimat*VLOOKUP($A458,Leveranser_per_nät,'Leveranser per nät'!W$1,FALSE)/VLOOKUP($B458,Korrigeringsfaktor_EI,'Korrigeringsfaktor EI'!W$1,FALSE),
"")</f>
        <v>3.9108333333333332</v>
      </c>
      <c r="X458" s="18">
        <f>IFERROR(
                  Andel_oberoende_av_klimat*VLOOKUP($A458,Leveranser_per_nät,'Leveranser per nät'!X$1,FALSE)
               +Andel_beroende_av_klimat*VLOOKUP($A458,Leveranser_per_nät,'Leveranser per nät'!X$1,FALSE)/VLOOKUP($B458,Korrigeringsfaktor_EI,'Korrigeringsfaktor EI'!X$1,FALSE),
"")</f>
        <v>3.9592041666666669</v>
      </c>
      <c r="Y458" s="18">
        <f>IFERROR(
                  Andel_oberoende_av_klimat*VLOOKUP($A458,Leveranser_per_nät,'Leveranser per nät'!Y$1,FALSE)
               +Andel_beroende_av_klimat*VLOOKUP($A458,Leveranser_per_nät,'Leveranser per nät'!Y$1,FALSE)/VLOOKUP($B458,Korrigeringsfaktor_EI,'Korrigeringsfaktor EI'!Y$1,FALSE),
"")</f>
        <v>3.856260869565217</v>
      </c>
      <c r="Z458" s="18">
        <f>IFERROR(
                  Andel_oberoende_av_klimat*VLOOKUP($A458,Leveranser_per_nät,'Leveranser per nät'!Z$1,FALSE)
               +Andel_beroende_av_klimat*VLOOKUP($A458,Leveranser_per_nät,'Leveranser per nät'!Z$1,FALSE)/VLOOKUP($B458,Korrigeringsfaktor_EI,'Korrigeringsfaktor EI'!Z$1,FALSE),
"")</f>
        <v>4.179830337078652</v>
      </c>
      <c r="AA458" s="18">
        <f>IFERROR(
                  Andel_oberoende_av_klimat*VLOOKUP($A458,Leveranser_per_nät,'Leveranser per nät'!AA$1,FALSE)
               +Andel_beroende_av_klimat*VLOOKUP($A458,Leveranser_per_nät,'Leveranser per nät'!AA$1,FALSE)/VLOOKUP($B458,Korrigeringsfaktor_EI,'Korrigeringsfaktor EI'!AA$1,FALSE),
"")</f>
        <v>3.7715985130111522</v>
      </c>
      <c r="AB458" s="18">
        <f>IFERROR(
                  Andel_oberoende_av_klimat*VLOOKUP($A458,Leveranser_per_nät,'Leveranser per nät'!AB$1,FALSE)
               +Andel_beroende_av_klimat*VLOOKUP($A458,Leveranser_per_nät,'Leveranser per nät'!AB$1,FALSE)/VLOOKUP($B458,Korrigeringsfaktor_EI,'Korrigeringsfaktor EI'!AB$1,FALSE),
"")</f>
        <v>3.8306013847675571</v>
      </c>
      <c r="AC458" s="18">
        <f>IFERROR(
                  Andel_oberoende_av_klimat*VLOOKUP($A458,Leveranser_per_nät,'Leveranser per nät'!AC$1,FALSE)
               +Andel_beroende_av_klimat*VLOOKUP($A458,Leveranser_per_nät,'Leveranser per nät'!AC$1,FALSE)/VLOOKUP($B458,Korrigeringsfaktor_EI,'Korrigeringsfaktor EI'!AC$1,FALSE),
"")</f>
        <v>3.5827022556390982</v>
      </c>
      <c r="AD458" t="e">
        <v>#N/A</v>
      </c>
    </row>
    <row r="459" spans="1:30" x14ac:dyDescent="0.25">
      <c r="A459" t="s">
        <v>192</v>
      </c>
      <c r="B459" t="s">
        <v>190</v>
      </c>
      <c r="C459" s="18">
        <f>IFERROR(
                  Andel_oberoende_av_klimat*VLOOKUP($A459,Leveranser_per_nät,'Leveranser per nät'!C$1,FALSE)
               +Andel_beroende_av_klimat*VLOOKUP($A459,Leveranser_per_nät,'Leveranser per nät'!C$1,FALSE)/VLOOKUP($B459,Korrigeringsfaktor_EI,'Korrigeringsfaktor EI'!C$1,FALSE),
"")</f>
        <v>0</v>
      </c>
      <c r="D459" s="18">
        <f>IFERROR(
                  Andel_oberoende_av_klimat*VLOOKUP($A459,Leveranser_per_nät,'Leveranser per nät'!D$1,FALSE)
               +Andel_beroende_av_klimat*VLOOKUP($A459,Leveranser_per_nät,'Leveranser per nät'!D$1,FALSE)/VLOOKUP($B459,Korrigeringsfaktor_EI,'Korrigeringsfaktor EI'!D$1,FALSE),
"")</f>
        <v>2.6460721649484533</v>
      </c>
      <c r="E459" s="18">
        <f>IFERROR(
                  Andel_oberoende_av_klimat*VLOOKUP($A459,Leveranser_per_nät,'Leveranser per nät'!E$1,FALSE)
               +Andel_beroende_av_klimat*VLOOKUP($A459,Leveranser_per_nät,'Leveranser per nät'!E$1,FALSE)/VLOOKUP($B459,Korrigeringsfaktor_EI,'Korrigeringsfaktor EI'!E$1,FALSE),
"")</f>
        <v>2.9588235294117649</v>
      </c>
      <c r="F459" s="18">
        <f>IFERROR(
                  Andel_oberoende_av_klimat*VLOOKUP($A459,Leveranser_per_nät,'Leveranser per nät'!F$1,FALSE)
               +Andel_beroende_av_klimat*VLOOKUP($A459,Leveranser_per_nät,'Leveranser per nät'!F$1,FALSE)/VLOOKUP($B459,Korrigeringsfaktor_EI,'Korrigeringsfaktor EI'!F$1,FALSE),
"")</f>
        <v>3.0649484536082472</v>
      </c>
      <c r="G459" s="18">
        <f>IFERROR(
                  Andel_oberoende_av_klimat*VLOOKUP($A459,Leveranser_per_nät,'Leveranser per nät'!G$1,FALSE)
               +Andel_beroende_av_klimat*VLOOKUP($A459,Leveranser_per_nät,'Leveranser per nät'!G$1,FALSE)/VLOOKUP($B459,Korrigeringsfaktor_EI,'Korrigeringsfaktor EI'!G$1,FALSE),
"")</f>
        <v>5.4325842696629216</v>
      </c>
      <c r="H459" s="18">
        <f>IFERROR(
                  Andel_oberoende_av_klimat*VLOOKUP($A459,Leveranser_per_nät,'Leveranser per nät'!H$1,FALSE)
               +Andel_beroende_av_klimat*VLOOKUP($A459,Leveranser_per_nät,'Leveranser per nät'!H$1,FALSE)/VLOOKUP($B459,Korrigeringsfaktor_EI,'Korrigeringsfaktor EI'!H$1,FALSE),
"")</f>
        <v>5</v>
      </c>
      <c r="I459" s="18">
        <f>IFERROR(
                  Andel_oberoende_av_klimat*VLOOKUP($A459,Leveranser_per_nät,'Leveranser per nät'!I$1,FALSE)
               +Andel_beroende_av_klimat*VLOOKUP($A459,Leveranser_per_nät,'Leveranser per nät'!I$1,FALSE)/VLOOKUP($B459,Korrigeringsfaktor_EI,'Korrigeringsfaktor EI'!I$1,FALSE),
"")</f>
        <v>5.1082474226804129</v>
      </c>
      <c r="J459" s="18">
        <f>IFERROR(
                  Andel_oberoende_av_klimat*VLOOKUP($A459,Leveranser_per_nät,'Leveranser per nät'!J$1,FALSE)
               +Andel_beroende_av_klimat*VLOOKUP($A459,Leveranser_per_nät,'Leveranser per nät'!J$1,FALSE)/VLOOKUP($B459,Korrigeringsfaktor_EI,'Korrigeringsfaktor EI'!J$1,FALSE),
"")</f>
        <v>5.0353535353535355</v>
      </c>
      <c r="K459" s="18">
        <f>IFERROR(
                  Andel_oberoende_av_klimat*VLOOKUP($A459,Leveranser_per_nät,'Leveranser per nät'!K$1,FALSE)
               +Andel_beroende_av_klimat*VLOOKUP($A459,Leveranser_per_nät,'Leveranser per nät'!K$1,FALSE)/VLOOKUP($B459,Korrigeringsfaktor_EI,'Korrigeringsfaktor EI'!K$1,FALSE),
"")</f>
        <v>4.6860000000000008</v>
      </c>
      <c r="L459" s="18">
        <f>IFERROR(
                  Andel_oberoende_av_klimat*VLOOKUP($A459,Leveranser_per_nät,'Leveranser per nät'!L$1,FALSE)
               +Andel_beroende_av_klimat*VLOOKUP($A459,Leveranser_per_nät,'Leveranser per nät'!L$1,FALSE)/VLOOKUP($B459,Korrigeringsfaktor_EI,'Korrigeringsfaktor EI'!L$1,FALSE),
"")</f>
        <v>5.2702684210526325</v>
      </c>
      <c r="M459" s="18">
        <f>IFERROR(
                  Andel_oberoende_av_klimat*VLOOKUP($A459,Leveranser_per_nät,'Leveranser per nät'!M$1,FALSE)
               +Andel_beroende_av_klimat*VLOOKUP($A459,Leveranser_per_nät,'Leveranser per nät'!M$1,FALSE)/VLOOKUP($B459,Korrigeringsfaktor_EI,'Korrigeringsfaktor EI'!M$1,FALSE),
"")</f>
        <v>4.6318279569892473</v>
      </c>
      <c r="N459" s="18">
        <f>IFERROR(
                  Andel_oberoende_av_klimat*VLOOKUP($A459,Leveranser_per_nät,'Leveranser per nät'!N$1,FALSE)
               +Andel_beroende_av_klimat*VLOOKUP($A459,Leveranser_per_nät,'Leveranser per nät'!N$1,FALSE)/VLOOKUP($B459,Korrigeringsfaktor_EI,'Korrigeringsfaktor EI'!N$1,FALSE),
"")</f>
        <v>4.6070425531914898</v>
      </c>
      <c r="O459" s="18">
        <f>IFERROR(
                  Andel_oberoende_av_klimat*VLOOKUP($A459,Leveranser_per_nät,'Leveranser per nät'!O$1,FALSE)
               +Andel_beroende_av_klimat*VLOOKUP($A459,Leveranser_per_nät,'Leveranser per nät'!O$1,FALSE)/VLOOKUP($B459,Korrigeringsfaktor_EI,'Korrigeringsfaktor EI'!O$1,FALSE),
"")</f>
        <v>4.3092521739130438</v>
      </c>
      <c r="P459" s="18">
        <f>IFERROR(
                  Andel_oberoende_av_klimat*VLOOKUP($A459,Leveranser_per_nät,'Leveranser per nät'!P$1,FALSE)
               +Andel_beroende_av_klimat*VLOOKUP($A459,Leveranser_per_nät,'Leveranser per nät'!P$1,FALSE)/VLOOKUP($B459,Korrigeringsfaktor_EI,'Korrigeringsfaktor EI'!P$1,FALSE),
"")</f>
        <v>4.2367804123711341</v>
      </c>
      <c r="Q459" s="18">
        <f>IFERROR(
                  Andel_oberoende_av_klimat*VLOOKUP($A459,Leveranser_per_nät,'Leveranser per nät'!Q$1,FALSE)
               +Andel_beroende_av_klimat*VLOOKUP($A459,Leveranser_per_nät,'Leveranser per nät'!Q$1,FALSE)/VLOOKUP($B459,Korrigeringsfaktor_EI,'Korrigeringsfaktor EI'!Q$1,FALSE),
"")</f>
        <v>4.6268499999999992</v>
      </c>
      <c r="R459" s="18">
        <f>IFERROR(
                  Andel_oberoende_av_klimat*VLOOKUP($A459,Leveranser_per_nät,'Leveranser per nät'!R$1,FALSE)
               +Andel_beroende_av_klimat*VLOOKUP($A459,Leveranser_per_nät,'Leveranser per nät'!R$1,FALSE)/VLOOKUP($B459,Korrigeringsfaktor_EI,'Korrigeringsfaktor EI'!R$1,FALSE),
"")</f>
        <v>4.3111111111111109</v>
      </c>
      <c r="S459" s="18">
        <f>IFERROR(
                  Andel_oberoende_av_klimat*VLOOKUP($A459,Leveranser_per_nät,'Leveranser per nät'!S$1,FALSE)
               +Andel_beroende_av_klimat*VLOOKUP($A459,Leveranser_per_nät,'Leveranser per nät'!S$1,FALSE)/VLOOKUP($B459,Korrigeringsfaktor_EI,'Korrigeringsfaktor EI'!S$1,FALSE),
"")</f>
        <v>4.3304040404040407</v>
      </c>
      <c r="T459" s="18">
        <f>IFERROR(
                  Andel_oberoende_av_klimat*VLOOKUP($A459,Leveranser_per_nät,'Leveranser per nät'!T$1,FALSE)
               +Andel_beroende_av_klimat*VLOOKUP($A459,Leveranser_per_nät,'Leveranser per nät'!T$1,FALSE)/VLOOKUP($B459,Korrigeringsfaktor_EI,'Korrigeringsfaktor EI'!T$1,FALSE),
"")</f>
        <v>3.8363157894736846</v>
      </c>
      <c r="U459" s="18">
        <f>IFERROR(
                  Andel_oberoende_av_klimat*VLOOKUP($A459,Leveranser_per_nät,'Leveranser per nät'!U$1,FALSE)
               +Andel_beroende_av_klimat*VLOOKUP($A459,Leveranser_per_nät,'Leveranser per nät'!U$1,FALSE)/VLOOKUP($B459,Korrigeringsfaktor_EI,'Korrigeringsfaktor EI'!U$1,FALSE),
"")</f>
        <v>3.5487769230769231</v>
      </c>
      <c r="V459" s="18">
        <f>IFERROR(
                  Andel_oberoende_av_klimat*VLOOKUP($A459,Leveranser_per_nät,'Leveranser per nät'!V$1,FALSE)
               +Andel_beroende_av_klimat*VLOOKUP($A459,Leveranser_per_nät,'Leveranser per nät'!V$1,FALSE)/VLOOKUP($B459,Korrigeringsfaktor_EI,'Korrigeringsfaktor EI'!V$1,FALSE),
"")</f>
        <v>3.8191304347826085</v>
      </c>
      <c r="W459" s="18">
        <f>IFERROR(
                  Andel_oberoende_av_klimat*VLOOKUP($A459,Leveranser_per_nät,'Leveranser per nät'!W$1,FALSE)
               +Andel_beroende_av_klimat*VLOOKUP($A459,Leveranser_per_nät,'Leveranser per nät'!W$1,FALSE)/VLOOKUP($B459,Korrigeringsfaktor_EI,'Korrigeringsfaktor EI'!W$1,FALSE),
"")</f>
        <v>3.6020833333333333</v>
      </c>
      <c r="X459" s="18">
        <f>IFERROR(
                  Andel_oberoende_av_klimat*VLOOKUP($A459,Leveranser_per_nät,'Leveranser per nät'!X$1,FALSE)
               +Andel_beroende_av_klimat*VLOOKUP($A459,Leveranser_per_nät,'Leveranser per nät'!X$1,FALSE)/VLOOKUP($B459,Korrigeringsfaktor_EI,'Korrigeringsfaktor EI'!X$1,FALSE),
"")</f>
        <v>3.8079166666666668</v>
      </c>
      <c r="Y459" s="18">
        <f>IFERROR(
                  Andel_oberoende_av_klimat*VLOOKUP($A459,Leveranser_per_nät,'Leveranser per nät'!Y$1,FALSE)
               +Andel_beroende_av_klimat*VLOOKUP($A459,Leveranser_per_nät,'Leveranser per nät'!Y$1,FALSE)/VLOOKUP($B459,Korrigeringsfaktor_EI,'Korrigeringsfaktor EI'!Y$1,FALSE),
"")</f>
        <v>4.0002150537634407</v>
      </c>
      <c r="Z459" s="18">
        <f>IFERROR(
                  Andel_oberoende_av_klimat*VLOOKUP($A459,Leveranser_per_nät,'Leveranser per nät'!Z$1,FALSE)
               +Andel_beroende_av_klimat*VLOOKUP($A459,Leveranser_per_nät,'Leveranser per nät'!Z$1,FALSE)/VLOOKUP($B459,Korrigeringsfaktor_EI,'Korrigeringsfaktor EI'!Z$1,FALSE),
"")</f>
        <v>4.0002150537634407</v>
      </c>
      <c r="AA459" s="18">
        <f>IFERROR(
                  Andel_oberoende_av_klimat*VLOOKUP($A459,Leveranser_per_nät,'Leveranser per nät'!AA$1,FALSE)
               +Andel_beroende_av_klimat*VLOOKUP($A459,Leveranser_per_nät,'Leveranser per nät'!AA$1,FALSE)/VLOOKUP($B459,Korrigeringsfaktor_EI,'Korrigeringsfaktor EI'!AA$1,FALSE),
"")</f>
        <v>3.9541964946926682</v>
      </c>
      <c r="AB459" s="18">
        <f>IFERROR(
                  Andel_oberoende_av_klimat*VLOOKUP($A459,Leveranser_per_nät,'Leveranser per nät'!AB$1,FALSE)
               +Andel_beroende_av_klimat*VLOOKUP($A459,Leveranser_per_nät,'Leveranser per nät'!AB$1,FALSE)/VLOOKUP($B459,Korrigeringsfaktor_EI,'Korrigeringsfaktor EI'!AB$1,FALSE),
"")</f>
        <v>4.2525984251968501</v>
      </c>
      <c r="AC459" s="18">
        <f>IFERROR(
                  Andel_oberoende_av_klimat*VLOOKUP($A459,Leveranser_per_nät,'Leveranser per nät'!AC$1,FALSE)
               +Andel_beroende_av_klimat*VLOOKUP($A459,Leveranser_per_nät,'Leveranser per nät'!AC$1,FALSE)/VLOOKUP($B459,Korrigeringsfaktor_EI,'Korrigeringsfaktor EI'!AC$1,FALSE),
"")</f>
        <v>3.813549060542798</v>
      </c>
      <c r="AD459">
        <v>79.8</v>
      </c>
    </row>
    <row r="460" spans="1:30" x14ac:dyDescent="0.25">
      <c r="A460" t="s">
        <v>431</v>
      </c>
      <c r="B460" t="s">
        <v>372</v>
      </c>
      <c r="C460" s="18">
        <f>IFERROR(
                  Andel_oberoende_av_klimat*VLOOKUP($A460,Leveranser_per_nät,'Leveranser per nät'!C$1,FALSE)
               +Andel_beroende_av_klimat*VLOOKUP($A460,Leveranser_per_nät,'Leveranser per nät'!C$1,FALSE)/VLOOKUP($B460,Korrigeringsfaktor_EI,'Korrigeringsfaktor EI'!C$1,FALSE),
"")</f>
        <v>0</v>
      </c>
      <c r="D460" s="18">
        <f>IFERROR(
                  Andel_oberoende_av_klimat*VLOOKUP($A460,Leveranser_per_nät,'Leveranser per nät'!D$1,FALSE)
               +Andel_beroende_av_klimat*VLOOKUP($A460,Leveranser_per_nät,'Leveranser per nät'!D$1,FALSE)/VLOOKUP($B460,Korrigeringsfaktor_EI,'Korrigeringsfaktor EI'!D$1,FALSE),
"")</f>
        <v>0</v>
      </c>
      <c r="E460" s="18">
        <f>IFERROR(
                  Andel_oberoende_av_klimat*VLOOKUP($A460,Leveranser_per_nät,'Leveranser per nät'!E$1,FALSE)
               +Andel_beroende_av_klimat*VLOOKUP($A460,Leveranser_per_nät,'Leveranser per nät'!E$1,FALSE)/VLOOKUP($B460,Korrigeringsfaktor_EI,'Korrigeringsfaktor EI'!E$1,FALSE),
"")</f>
        <v>0</v>
      </c>
      <c r="F460" s="18">
        <f>IFERROR(
                  Andel_oberoende_av_klimat*VLOOKUP($A460,Leveranser_per_nät,'Leveranser per nät'!F$1,FALSE)
               +Andel_beroende_av_klimat*VLOOKUP($A460,Leveranser_per_nät,'Leveranser per nät'!F$1,FALSE)/VLOOKUP($B460,Korrigeringsfaktor_EI,'Korrigeringsfaktor EI'!F$1,FALSE),
"")</f>
        <v>0</v>
      </c>
      <c r="G460" s="18">
        <f>IFERROR(
                  Andel_oberoende_av_klimat*VLOOKUP($A460,Leveranser_per_nät,'Leveranser per nät'!G$1,FALSE)
               +Andel_beroende_av_klimat*VLOOKUP($A460,Leveranser_per_nät,'Leveranser per nät'!G$1,FALSE)/VLOOKUP($B460,Korrigeringsfaktor_EI,'Korrigeringsfaktor EI'!G$1,FALSE),
"")</f>
        <v>0</v>
      </c>
      <c r="H460" s="18">
        <f>IFERROR(
                  Andel_oberoende_av_klimat*VLOOKUP($A460,Leveranser_per_nät,'Leveranser per nät'!H$1,FALSE)
               +Andel_beroende_av_klimat*VLOOKUP($A460,Leveranser_per_nät,'Leveranser per nät'!H$1,FALSE)/VLOOKUP($B460,Korrigeringsfaktor_EI,'Korrigeringsfaktor EI'!H$1,FALSE),
"")</f>
        <v>0</v>
      </c>
      <c r="I460" s="18">
        <f>IFERROR(
                  Andel_oberoende_av_klimat*VLOOKUP($A460,Leveranser_per_nät,'Leveranser per nät'!I$1,FALSE)
               +Andel_beroende_av_klimat*VLOOKUP($A460,Leveranser_per_nät,'Leveranser per nät'!I$1,FALSE)/VLOOKUP($B460,Korrigeringsfaktor_EI,'Korrigeringsfaktor EI'!I$1,FALSE),
"")</f>
        <v>0</v>
      </c>
      <c r="J460" s="18">
        <f>IFERROR(
                  Andel_oberoende_av_klimat*VLOOKUP($A460,Leveranser_per_nät,'Leveranser per nät'!J$1,FALSE)
               +Andel_beroende_av_klimat*VLOOKUP($A460,Leveranser_per_nät,'Leveranser per nät'!J$1,FALSE)/VLOOKUP($B460,Korrigeringsfaktor_EI,'Korrigeringsfaktor EI'!J$1,FALSE),
"")</f>
        <v>0</v>
      </c>
      <c r="K460" s="18">
        <f>IFERROR(
                  Andel_oberoende_av_klimat*VLOOKUP($A460,Leveranser_per_nät,'Leveranser per nät'!K$1,FALSE)
               +Andel_beroende_av_klimat*VLOOKUP($A460,Leveranser_per_nät,'Leveranser per nät'!K$1,FALSE)/VLOOKUP($B460,Korrigeringsfaktor_EI,'Korrigeringsfaktor EI'!K$1,FALSE),
"")</f>
        <v>0</v>
      </c>
      <c r="L460" s="18">
        <f>IFERROR(
                  Andel_oberoende_av_klimat*VLOOKUP($A460,Leveranser_per_nät,'Leveranser per nät'!L$1,FALSE)
               +Andel_beroende_av_klimat*VLOOKUP($A460,Leveranser_per_nät,'Leveranser per nät'!L$1,FALSE)/VLOOKUP($B460,Korrigeringsfaktor_EI,'Korrigeringsfaktor EI'!L$1,FALSE),
"")</f>
        <v>0</v>
      </c>
      <c r="M460" s="18">
        <f>IFERROR(
                  Andel_oberoende_av_klimat*VLOOKUP($A460,Leveranser_per_nät,'Leveranser per nät'!M$1,FALSE)
               +Andel_beroende_av_klimat*VLOOKUP($A460,Leveranser_per_nät,'Leveranser per nät'!M$1,FALSE)/VLOOKUP($B460,Korrigeringsfaktor_EI,'Korrigeringsfaktor EI'!M$1,FALSE),
"")</f>
        <v>0</v>
      </c>
      <c r="N460" s="18">
        <f>IFERROR(
                  Andel_oberoende_av_klimat*VLOOKUP($A460,Leveranser_per_nät,'Leveranser per nät'!N$1,FALSE)
               +Andel_beroende_av_klimat*VLOOKUP($A460,Leveranser_per_nät,'Leveranser per nät'!N$1,FALSE)/VLOOKUP($B460,Korrigeringsfaktor_EI,'Korrigeringsfaktor EI'!N$1,FALSE),
"")</f>
        <v>0</v>
      </c>
      <c r="O460" s="18">
        <f>IFERROR(
                  Andel_oberoende_av_klimat*VLOOKUP($A460,Leveranser_per_nät,'Leveranser per nät'!O$1,FALSE)
               +Andel_beroende_av_klimat*VLOOKUP($A460,Leveranser_per_nät,'Leveranser per nät'!O$1,FALSE)/VLOOKUP($B460,Korrigeringsfaktor_EI,'Korrigeringsfaktor EI'!O$1,FALSE),
"")</f>
        <v>0</v>
      </c>
      <c r="P460" s="18">
        <f>IFERROR(
                  Andel_oberoende_av_klimat*VLOOKUP($A460,Leveranser_per_nät,'Leveranser per nät'!P$1,FALSE)
               +Andel_beroende_av_klimat*VLOOKUP($A460,Leveranser_per_nät,'Leveranser per nät'!P$1,FALSE)/VLOOKUP($B460,Korrigeringsfaktor_EI,'Korrigeringsfaktor EI'!P$1,FALSE),
"")</f>
        <v>0</v>
      </c>
      <c r="Q460" s="18">
        <f>IFERROR(
                  Andel_oberoende_av_klimat*VLOOKUP($A460,Leveranser_per_nät,'Leveranser per nät'!Q$1,FALSE)
               +Andel_beroende_av_klimat*VLOOKUP($A460,Leveranser_per_nät,'Leveranser per nät'!Q$1,FALSE)/VLOOKUP($B460,Korrigeringsfaktor_EI,'Korrigeringsfaktor EI'!Q$1,FALSE),
"")</f>
        <v>9.5829999999999984</v>
      </c>
      <c r="R460" s="18">
        <f>IFERROR(
                  Andel_oberoende_av_klimat*VLOOKUP($A460,Leveranser_per_nät,'Leveranser per nät'!R$1,FALSE)
               +Andel_beroende_av_klimat*VLOOKUP($A460,Leveranser_per_nät,'Leveranser per nät'!R$1,FALSE)/VLOOKUP($B460,Korrigeringsfaktor_EI,'Korrigeringsfaktor EI'!R$1,FALSE),
"")</f>
        <v>9.4862153846153845</v>
      </c>
      <c r="S460" s="18">
        <f>IFERROR(
                  Andel_oberoende_av_klimat*VLOOKUP($A460,Leveranser_per_nät,'Leveranser per nät'!S$1,FALSE)
               +Andel_beroende_av_klimat*VLOOKUP($A460,Leveranser_per_nät,'Leveranser per nät'!S$1,FALSE)/VLOOKUP($B460,Korrigeringsfaktor_EI,'Korrigeringsfaktor EI'!S$1,FALSE),
"")</f>
        <v>10.199999999999999</v>
      </c>
      <c r="T460" s="18">
        <f>IFERROR(
                  Andel_oberoende_av_klimat*VLOOKUP($A460,Leveranser_per_nät,'Leveranser per nät'!T$1,FALSE)
               +Andel_beroende_av_klimat*VLOOKUP($A460,Leveranser_per_nät,'Leveranser per nät'!T$1,FALSE)/VLOOKUP($B460,Korrigeringsfaktor_EI,'Korrigeringsfaktor EI'!T$1,FALSE),
"")</f>
        <v>9.8078350515463928</v>
      </c>
      <c r="U460" s="18">
        <f>IFERROR(
                  Andel_oberoende_av_klimat*VLOOKUP($A460,Leveranser_per_nät,'Leveranser per nät'!U$1,FALSE)
               +Andel_beroende_av_klimat*VLOOKUP($A460,Leveranser_per_nät,'Leveranser per nät'!U$1,FALSE)/VLOOKUP($B460,Korrigeringsfaktor_EI,'Korrigeringsfaktor EI'!U$1,FALSE),
"")</f>
        <v>9.5577209302325574</v>
      </c>
      <c r="V460" s="18">
        <f>IFERROR(
                  Andel_oberoende_av_klimat*VLOOKUP($A460,Leveranser_per_nät,'Leveranser per nät'!V$1,FALSE)
               +Andel_beroende_av_klimat*VLOOKUP($A460,Leveranser_per_nät,'Leveranser per nät'!V$1,FALSE)/VLOOKUP($B460,Korrigeringsfaktor_EI,'Korrigeringsfaktor EI'!V$1,FALSE),
"")</f>
        <v>9.5478260869565226</v>
      </c>
      <c r="W460" s="18">
        <f>IFERROR(
                  Andel_oberoende_av_klimat*VLOOKUP($A460,Leveranser_per_nät,'Leveranser per nät'!W$1,FALSE)
               +Andel_beroende_av_klimat*VLOOKUP($A460,Leveranser_per_nät,'Leveranser per nät'!W$1,FALSE)/VLOOKUP($B460,Korrigeringsfaktor_EI,'Korrigeringsfaktor EI'!W$1,FALSE),
"")</f>
        <v>9.6110638297872342</v>
      </c>
      <c r="X460" s="18">
        <f>IFERROR(
                  Andel_oberoende_av_klimat*VLOOKUP($A460,Leveranser_per_nät,'Leveranser per nät'!X$1,FALSE)
               +Andel_beroende_av_klimat*VLOOKUP($A460,Leveranser_per_nät,'Leveranser per nät'!X$1,FALSE)/VLOOKUP($B460,Korrigeringsfaktor_EI,'Korrigeringsfaktor EI'!X$1,FALSE),
"")</f>
        <v>9.6977723404255318</v>
      </c>
      <c r="Y460" s="18">
        <f>IFERROR(
                  Andel_oberoende_av_klimat*VLOOKUP($A460,Leveranser_per_nät,'Leveranser per nät'!Y$1,FALSE)
               +Andel_beroende_av_klimat*VLOOKUP($A460,Leveranser_per_nät,'Leveranser per nät'!Y$1,FALSE)/VLOOKUP($B460,Korrigeringsfaktor_EI,'Korrigeringsfaktor EI'!Y$1,FALSE),
"")</f>
        <v>9.300409090909092</v>
      </c>
      <c r="Z460" s="18">
        <f>IFERROR(
                  Andel_oberoende_av_klimat*VLOOKUP($A460,Leveranser_per_nät,'Leveranser per nät'!Z$1,FALSE)
               +Andel_beroende_av_klimat*VLOOKUP($A460,Leveranser_per_nät,'Leveranser per nät'!Z$1,FALSE)/VLOOKUP($B460,Korrigeringsfaktor_EI,'Korrigeringsfaktor EI'!Z$1,FALSE),
"")</f>
        <v>3.6938697674418601</v>
      </c>
      <c r="AA460" s="18">
        <f>IFERROR(
                  Andel_oberoende_av_klimat*VLOOKUP($A460,Leveranser_per_nät,'Leveranser per nät'!AA$1,FALSE)
               +Andel_beroende_av_klimat*VLOOKUP($A460,Leveranser_per_nät,'Leveranser per nät'!AA$1,FALSE)/VLOOKUP($B460,Korrigeringsfaktor_EI,'Korrigeringsfaktor EI'!AA$1,FALSE),
"")</f>
        <v>8.3259619217081848</v>
      </c>
      <c r="AB460" s="18">
        <f>IFERROR(
                  Andel_oberoende_av_klimat*VLOOKUP($A460,Leveranser_per_nät,'Leveranser per nät'!AB$1,FALSE)
               +Andel_beroende_av_klimat*VLOOKUP($A460,Leveranser_per_nät,'Leveranser per nät'!AB$1,FALSE)/VLOOKUP($B460,Korrigeringsfaktor_EI,'Korrigeringsfaktor EI'!AB$1,FALSE),
"")</f>
        <v>8.6526128712871291</v>
      </c>
      <c r="AC460" s="18">
        <f>IFERROR(
                  Andel_oberoende_av_klimat*VLOOKUP($A460,Leveranser_per_nät,'Leveranser per nät'!AC$1,FALSE)
               +Andel_beroende_av_klimat*VLOOKUP($A460,Leveranser_per_nät,'Leveranser per nät'!AC$1,FALSE)/VLOOKUP($B460,Korrigeringsfaktor_EI,'Korrigeringsfaktor EI'!AC$1,FALSE),
"")</f>
        <v>8.4454805970149245</v>
      </c>
      <c r="AD460">
        <v>163.755</v>
      </c>
    </row>
    <row r="461" spans="1:30" x14ac:dyDescent="0.25">
      <c r="A461" s="4" t="s">
        <v>432</v>
      </c>
      <c r="B461" t="s">
        <v>108</v>
      </c>
      <c r="C461" s="18" t="str">
        <f>IFERROR(
                  Andel_oberoende_av_klimat*VLOOKUP($A461,Leveranser_per_nät,'Leveranser per nät'!C$1,FALSE)
               +Andel_beroende_av_klimat*VLOOKUP($A461,Leveranser_per_nät,'Leveranser per nät'!C$1,FALSE)/VLOOKUP($B461,Korrigeringsfaktor_EI,'Korrigeringsfaktor EI'!C$1,FALSE),
"")</f>
        <v/>
      </c>
      <c r="D461" s="18" t="str">
        <f>IFERROR(
                  Andel_oberoende_av_klimat*VLOOKUP($A461,Leveranser_per_nät,'Leveranser per nät'!D$1,FALSE)
               +Andel_beroende_av_klimat*VLOOKUP($A461,Leveranser_per_nät,'Leveranser per nät'!D$1,FALSE)/VLOOKUP($B461,Korrigeringsfaktor_EI,'Korrigeringsfaktor EI'!D$1,FALSE),
"")</f>
        <v/>
      </c>
      <c r="E461" s="18" t="str">
        <f>IFERROR(
                  Andel_oberoende_av_klimat*VLOOKUP($A461,Leveranser_per_nät,'Leveranser per nät'!E$1,FALSE)
               +Andel_beroende_av_klimat*VLOOKUP($A461,Leveranser_per_nät,'Leveranser per nät'!E$1,FALSE)/VLOOKUP($B461,Korrigeringsfaktor_EI,'Korrigeringsfaktor EI'!E$1,FALSE),
"")</f>
        <v/>
      </c>
      <c r="F461" s="18" t="str">
        <f>IFERROR(
                  Andel_oberoende_av_klimat*VLOOKUP($A461,Leveranser_per_nät,'Leveranser per nät'!F$1,FALSE)
               +Andel_beroende_av_klimat*VLOOKUP($A461,Leveranser_per_nät,'Leveranser per nät'!F$1,FALSE)/VLOOKUP($B461,Korrigeringsfaktor_EI,'Korrigeringsfaktor EI'!F$1,FALSE),
"")</f>
        <v/>
      </c>
      <c r="G461" s="18" t="str">
        <f>IFERROR(
                  Andel_oberoende_av_klimat*VLOOKUP($A461,Leveranser_per_nät,'Leveranser per nät'!G$1,FALSE)
               +Andel_beroende_av_klimat*VLOOKUP($A461,Leveranser_per_nät,'Leveranser per nät'!G$1,FALSE)/VLOOKUP($B461,Korrigeringsfaktor_EI,'Korrigeringsfaktor EI'!G$1,FALSE),
"")</f>
        <v/>
      </c>
      <c r="H461" s="18" t="str">
        <f>IFERROR(
                  Andel_oberoende_av_klimat*VLOOKUP($A461,Leveranser_per_nät,'Leveranser per nät'!H$1,FALSE)
               +Andel_beroende_av_klimat*VLOOKUP($A461,Leveranser_per_nät,'Leveranser per nät'!H$1,FALSE)/VLOOKUP($B461,Korrigeringsfaktor_EI,'Korrigeringsfaktor EI'!H$1,FALSE),
"")</f>
        <v/>
      </c>
      <c r="I461" s="18" t="str">
        <f>IFERROR(
                  Andel_oberoende_av_klimat*VLOOKUP($A461,Leveranser_per_nät,'Leveranser per nät'!I$1,FALSE)
               +Andel_beroende_av_klimat*VLOOKUP($A461,Leveranser_per_nät,'Leveranser per nät'!I$1,FALSE)/VLOOKUP($B461,Korrigeringsfaktor_EI,'Korrigeringsfaktor EI'!I$1,FALSE),
"")</f>
        <v/>
      </c>
      <c r="J461" s="18" t="str">
        <f>IFERROR(
                  Andel_oberoende_av_klimat*VLOOKUP($A461,Leveranser_per_nät,'Leveranser per nät'!J$1,FALSE)
               +Andel_beroende_av_klimat*VLOOKUP($A461,Leveranser_per_nät,'Leveranser per nät'!J$1,FALSE)/VLOOKUP($B461,Korrigeringsfaktor_EI,'Korrigeringsfaktor EI'!J$1,FALSE),
"")</f>
        <v/>
      </c>
      <c r="K461" s="18" t="str">
        <f>IFERROR(
                  Andel_oberoende_av_klimat*VLOOKUP($A461,Leveranser_per_nät,'Leveranser per nät'!K$1,FALSE)
               +Andel_beroende_av_klimat*VLOOKUP($A461,Leveranser_per_nät,'Leveranser per nät'!K$1,FALSE)/VLOOKUP($B461,Korrigeringsfaktor_EI,'Korrigeringsfaktor EI'!K$1,FALSE),
"")</f>
        <v/>
      </c>
      <c r="L461" s="18" t="str">
        <f>IFERROR(
                  Andel_oberoende_av_klimat*VLOOKUP($A461,Leveranser_per_nät,'Leveranser per nät'!L$1,FALSE)
               +Andel_beroende_av_klimat*VLOOKUP($A461,Leveranser_per_nät,'Leveranser per nät'!L$1,FALSE)/VLOOKUP($B461,Korrigeringsfaktor_EI,'Korrigeringsfaktor EI'!L$1,FALSE),
"")</f>
        <v/>
      </c>
      <c r="M461" s="18" t="str">
        <f>IFERROR(
                  Andel_oberoende_av_klimat*VLOOKUP($A461,Leveranser_per_nät,'Leveranser per nät'!M$1,FALSE)
               +Andel_beroende_av_klimat*VLOOKUP($A461,Leveranser_per_nät,'Leveranser per nät'!M$1,FALSE)/VLOOKUP($B461,Korrigeringsfaktor_EI,'Korrigeringsfaktor EI'!M$1,FALSE),
"")</f>
        <v/>
      </c>
      <c r="N461" s="18" t="str">
        <f>IFERROR(
                  Andel_oberoende_av_klimat*VLOOKUP($A461,Leveranser_per_nät,'Leveranser per nät'!N$1,FALSE)
               +Andel_beroende_av_klimat*VLOOKUP($A461,Leveranser_per_nät,'Leveranser per nät'!N$1,FALSE)/VLOOKUP($B461,Korrigeringsfaktor_EI,'Korrigeringsfaktor EI'!N$1,FALSE),
"")</f>
        <v/>
      </c>
      <c r="O461" s="18" t="str">
        <f>IFERROR(
                  Andel_oberoende_av_klimat*VLOOKUP($A461,Leveranser_per_nät,'Leveranser per nät'!O$1,FALSE)
               +Andel_beroende_av_klimat*VLOOKUP($A461,Leveranser_per_nät,'Leveranser per nät'!O$1,FALSE)/VLOOKUP($B461,Korrigeringsfaktor_EI,'Korrigeringsfaktor EI'!O$1,FALSE),
"")</f>
        <v/>
      </c>
      <c r="P461" s="18" t="str">
        <f>IFERROR(
                  Andel_oberoende_av_klimat*VLOOKUP($A461,Leveranser_per_nät,'Leveranser per nät'!P$1,FALSE)
               +Andel_beroende_av_klimat*VLOOKUP($A461,Leveranser_per_nät,'Leveranser per nät'!P$1,FALSE)/VLOOKUP($B461,Korrigeringsfaktor_EI,'Korrigeringsfaktor EI'!P$1,FALSE),
"")</f>
        <v/>
      </c>
      <c r="Q461" s="18" t="str">
        <f>IFERROR(
                  Andel_oberoende_av_klimat*VLOOKUP($A461,Leveranser_per_nät,'Leveranser per nät'!Q$1,FALSE)
               +Andel_beroende_av_klimat*VLOOKUP($A461,Leveranser_per_nät,'Leveranser per nät'!Q$1,FALSE)/VLOOKUP($B461,Korrigeringsfaktor_EI,'Korrigeringsfaktor EI'!Q$1,FALSE),
"")</f>
        <v/>
      </c>
      <c r="R461" s="18" t="str">
        <f>IFERROR(
                  Andel_oberoende_av_klimat*VLOOKUP($A461,Leveranser_per_nät,'Leveranser per nät'!R$1,FALSE)
               +Andel_beroende_av_klimat*VLOOKUP($A461,Leveranser_per_nät,'Leveranser per nät'!R$1,FALSE)/VLOOKUP($B461,Korrigeringsfaktor_EI,'Korrigeringsfaktor EI'!R$1,FALSE),
"")</f>
        <v/>
      </c>
      <c r="S461" s="18" t="str">
        <f>IFERROR(
                  Andel_oberoende_av_klimat*VLOOKUP($A461,Leveranser_per_nät,'Leveranser per nät'!S$1,FALSE)
               +Andel_beroende_av_klimat*VLOOKUP($A461,Leveranser_per_nät,'Leveranser per nät'!S$1,FALSE)/VLOOKUP($B461,Korrigeringsfaktor_EI,'Korrigeringsfaktor EI'!S$1,FALSE),
"")</f>
        <v/>
      </c>
      <c r="T461" s="18" t="str">
        <f>IFERROR(
                  Andel_oberoende_av_klimat*VLOOKUP($A461,Leveranser_per_nät,'Leveranser per nät'!T$1,FALSE)
               +Andel_beroende_av_klimat*VLOOKUP($A461,Leveranser_per_nät,'Leveranser per nät'!T$1,FALSE)/VLOOKUP($B461,Korrigeringsfaktor_EI,'Korrigeringsfaktor EI'!T$1,FALSE),
"")</f>
        <v/>
      </c>
      <c r="U461" s="18" t="str">
        <f>IFERROR(
                  Andel_oberoende_av_klimat*VLOOKUP($A461,Leveranser_per_nät,'Leveranser per nät'!U$1,FALSE)
               +Andel_beroende_av_klimat*VLOOKUP($A461,Leveranser_per_nät,'Leveranser per nät'!U$1,FALSE)/VLOOKUP($B461,Korrigeringsfaktor_EI,'Korrigeringsfaktor EI'!U$1,FALSE),
"")</f>
        <v/>
      </c>
      <c r="V461" s="18" t="str">
        <f>IFERROR(
                  Andel_oberoende_av_klimat*VLOOKUP($A461,Leveranser_per_nät,'Leveranser per nät'!V$1,FALSE)
               +Andel_beroende_av_klimat*VLOOKUP($A461,Leveranser_per_nät,'Leveranser per nät'!V$1,FALSE)/VLOOKUP($B461,Korrigeringsfaktor_EI,'Korrigeringsfaktor EI'!V$1,FALSE),
"")</f>
        <v/>
      </c>
      <c r="W461" s="18" t="str">
        <f>IFERROR(
                  Andel_oberoende_av_klimat*VLOOKUP($A461,Leveranser_per_nät,'Leveranser per nät'!W$1,FALSE)
               +Andel_beroende_av_klimat*VLOOKUP($A461,Leveranser_per_nät,'Leveranser per nät'!W$1,FALSE)/VLOOKUP($B461,Korrigeringsfaktor_EI,'Korrigeringsfaktor EI'!W$1,FALSE),
"")</f>
        <v/>
      </c>
      <c r="X461" s="18" t="str">
        <f>IFERROR(
                  Andel_oberoende_av_klimat*VLOOKUP($A461,Leveranser_per_nät,'Leveranser per nät'!X$1,FALSE)
               +Andel_beroende_av_klimat*VLOOKUP($A461,Leveranser_per_nät,'Leveranser per nät'!X$1,FALSE)/VLOOKUP($B461,Korrigeringsfaktor_EI,'Korrigeringsfaktor EI'!X$1,FALSE),
"")</f>
        <v/>
      </c>
      <c r="Y461" s="18" t="str">
        <f>IFERROR(
                  Andel_oberoende_av_klimat*VLOOKUP($A461,Leveranser_per_nät,'Leveranser per nät'!Y$1,FALSE)
               +Andel_beroende_av_klimat*VLOOKUP($A461,Leveranser_per_nät,'Leveranser per nät'!Y$1,FALSE)/VLOOKUP($B461,Korrigeringsfaktor_EI,'Korrigeringsfaktor EI'!Y$1,FALSE),
"")</f>
        <v/>
      </c>
      <c r="Z461" s="18" t="str">
        <f>IFERROR(
                  Andel_oberoende_av_klimat*VLOOKUP($A461,Leveranser_per_nät,'Leveranser per nät'!Z$1,FALSE)
               +Andel_beroende_av_klimat*VLOOKUP($A461,Leveranser_per_nät,'Leveranser per nät'!Z$1,FALSE)/VLOOKUP($B461,Korrigeringsfaktor_EI,'Korrigeringsfaktor EI'!Z$1,FALSE),
"")</f>
        <v/>
      </c>
      <c r="AA461" s="18" t="str">
        <f>IFERROR(
                  Andel_oberoende_av_klimat*VLOOKUP($A461,Leveranser_per_nät,'Leveranser per nät'!AA$1,FALSE)
               +Andel_beroende_av_klimat*VLOOKUP($A461,Leveranser_per_nät,'Leveranser per nät'!AA$1,FALSE)/VLOOKUP($B461,Korrigeringsfaktor_EI,'Korrigeringsfaktor EI'!AA$1,FALSE),
"")</f>
        <v/>
      </c>
      <c r="AB461" s="18" t="str">
        <f>IFERROR(
                  Andel_oberoende_av_klimat*VLOOKUP($A461,Leveranser_per_nät,'Leveranser per nät'!AB$1,FALSE)
               +Andel_beroende_av_klimat*VLOOKUP($A461,Leveranser_per_nät,'Leveranser per nät'!AB$1,FALSE)/VLOOKUP($B461,Korrigeringsfaktor_EI,'Korrigeringsfaktor EI'!AB$1,FALSE),
"")</f>
        <v/>
      </c>
      <c r="AC461" s="18" t="str">
        <f>IFERROR(
                  Andel_oberoende_av_klimat*VLOOKUP($A461,Leveranser_per_nät,'Leveranser per nät'!AC$1,FALSE)
               +Andel_beroende_av_klimat*VLOOKUP($A461,Leveranser_per_nät,'Leveranser per nät'!AC$1,FALSE)/VLOOKUP($B461,Korrigeringsfaktor_EI,'Korrigeringsfaktor EI'!AC$1,FALSE),
"")</f>
        <v/>
      </c>
      <c r="AD461">
        <v>69.885000000000005</v>
      </c>
    </row>
    <row r="462" spans="1:30" x14ac:dyDescent="0.25">
      <c r="A462" s="4" t="s">
        <v>729</v>
      </c>
      <c r="B462" t="s">
        <v>108</v>
      </c>
      <c r="C462" s="18">
        <f>IFERROR(
                  Andel_oberoende_av_klimat*VLOOKUP($A462,Leveranser_per_nät,'Leveranser per nät'!C$1,FALSE)
               +Andel_beroende_av_klimat*VLOOKUP($A462,Leveranser_per_nät,'Leveranser per nät'!C$1,FALSE)/VLOOKUP($B462,Korrigeringsfaktor_EI,'Korrigeringsfaktor EI'!C$1,FALSE),
"")</f>
        <v>0</v>
      </c>
      <c r="D462" s="18">
        <f>IFERROR(
                  Andel_oberoende_av_klimat*VLOOKUP($A462,Leveranser_per_nät,'Leveranser per nät'!D$1,FALSE)
               +Andel_beroende_av_klimat*VLOOKUP($A462,Leveranser_per_nät,'Leveranser per nät'!D$1,FALSE)/VLOOKUP($B462,Korrigeringsfaktor_EI,'Korrigeringsfaktor EI'!D$1,FALSE),
"")</f>
        <v>0</v>
      </c>
      <c r="E462" s="18">
        <f>IFERROR(
                  Andel_oberoende_av_klimat*VLOOKUP($A462,Leveranser_per_nät,'Leveranser per nät'!E$1,FALSE)
               +Andel_beroende_av_klimat*VLOOKUP($A462,Leveranser_per_nät,'Leveranser per nät'!E$1,FALSE)/VLOOKUP($B462,Korrigeringsfaktor_EI,'Korrigeringsfaktor EI'!E$1,FALSE),
"")</f>
        <v>0</v>
      </c>
      <c r="F462" s="18">
        <f>IFERROR(
                  Andel_oberoende_av_klimat*VLOOKUP($A462,Leveranser_per_nät,'Leveranser per nät'!F$1,FALSE)
               +Andel_beroende_av_klimat*VLOOKUP($A462,Leveranser_per_nät,'Leveranser per nät'!F$1,FALSE)/VLOOKUP($B462,Korrigeringsfaktor_EI,'Korrigeringsfaktor EI'!F$1,FALSE),
"")</f>
        <v>0</v>
      </c>
      <c r="G462" s="18">
        <f>IFERROR(
                  Andel_oberoende_av_klimat*VLOOKUP($A462,Leveranser_per_nät,'Leveranser per nät'!G$1,FALSE)
               +Andel_beroende_av_klimat*VLOOKUP($A462,Leveranser_per_nät,'Leveranser per nät'!G$1,FALSE)/VLOOKUP($B462,Korrigeringsfaktor_EI,'Korrigeringsfaktor EI'!G$1,FALSE),
"")</f>
        <v>0</v>
      </c>
      <c r="H462" s="18">
        <f>IFERROR(
                  Andel_oberoende_av_klimat*VLOOKUP($A462,Leveranser_per_nät,'Leveranser per nät'!H$1,FALSE)
               +Andel_beroende_av_klimat*VLOOKUP($A462,Leveranser_per_nät,'Leveranser per nät'!H$1,FALSE)/VLOOKUP($B462,Korrigeringsfaktor_EI,'Korrigeringsfaktor EI'!H$1,FALSE),
"")</f>
        <v>0</v>
      </c>
      <c r="I462" s="18">
        <f>IFERROR(
                  Andel_oberoende_av_klimat*VLOOKUP($A462,Leveranser_per_nät,'Leveranser per nät'!I$1,FALSE)
               +Andel_beroende_av_klimat*VLOOKUP($A462,Leveranser_per_nät,'Leveranser per nät'!I$1,FALSE)/VLOOKUP($B462,Korrigeringsfaktor_EI,'Korrigeringsfaktor EI'!I$1,FALSE),
"")</f>
        <v>0</v>
      </c>
      <c r="J462" s="18">
        <f>IFERROR(
                  Andel_oberoende_av_klimat*VLOOKUP($A462,Leveranser_per_nät,'Leveranser per nät'!J$1,FALSE)
               +Andel_beroende_av_klimat*VLOOKUP($A462,Leveranser_per_nät,'Leveranser per nät'!J$1,FALSE)/VLOOKUP($B462,Korrigeringsfaktor_EI,'Korrigeringsfaktor EI'!J$1,FALSE),
"")</f>
        <v>0</v>
      </c>
      <c r="K462" s="18">
        <f>IFERROR(
                  Andel_oberoende_av_klimat*VLOOKUP($A462,Leveranser_per_nät,'Leveranser per nät'!K$1,FALSE)
               +Andel_beroende_av_klimat*VLOOKUP($A462,Leveranser_per_nät,'Leveranser per nät'!K$1,FALSE)/VLOOKUP($B462,Korrigeringsfaktor_EI,'Korrigeringsfaktor EI'!K$1,FALSE),
"")</f>
        <v>0</v>
      </c>
      <c r="L462" s="18">
        <f>IFERROR(
                  Andel_oberoende_av_klimat*VLOOKUP($A462,Leveranser_per_nät,'Leveranser per nät'!L$1,FALSE)
               +Andel_beroende_av_klimat*VLOOKUP($A462,Leveranser_per_nät,'Leveranser per nät'!L$1,FALSE)/VLOOKUP($B462,Korrigeringsfaktor_EI,'Korrigeringsfaktor EI'!L$1,FALSE),
"")</f>
        <v>0</v>
      </c>
      <c r="M462" s="18">
        <f>IFERROR(
                  Andel_oberoende_av_klimat*VLOOKUP($A462,Leveranser_per_nät,'Leveranser per nät'!M$1,FALSE)
               +Andel_beroende_av_klimat*VLOOKUP($A462,Leveranser_per_nät,'Leveranser per nät'!M$1,FALSE)/VLOOKUP($B462,Korrigeringsfaktor_EI,'Korrigeringsfaktor EI'!M$1,FALSE),
"")</f>
        <v>0</v>
      </c>
      <c r="N462" s="18">
        <f>IFERROR(
                  Andel_oberoende_av_klimat*VLOOKUP($A462,Leveranser_per_nät,'Leveranser per nät'!N$1,FALSE)
               +Andel_beroende_av_klimat*VLOOKUP($A462,Leveranser_per_nät,'Leveranser per nät'!N$1,FALSE)/VLOOKUP($B462,Korrigeringsfaktor_EI,'Korrigeringsfaktor EI'!N$1,FALSE),
"")</f>
        <v>3.5496505617977525</v>
      </c>
      <c r="O462" s="18">
        <f>IFERROR(
                  Andel_oberoende_av_klimat*VLOOKUP($A462,Leveranser_per_nät,'Leveranser per nät'!O$1,FALSE)
               +Andel_beroende_av_klimat*VLOOKUP($A462,Leveranser_per_nät,'Leveranser per nät'!O$1,FALSE)/VLOOKUP($B462,Korrigeringsfaktor_EI,'Korrigeringsfaktor EI'!O$1,FALSE),
"")</f>
        <v>3.5833325842696628</v>
      </c>
      <c r="P462" s="18">
        <f>IFERROR(
                  Andel_oberoende_av_klimat*VLOOKUP($A462,Leveranser_per_nät,'Leveranser per nät'!P$1,FALSE)
               +Andel_beroende_av_klimat*VLOOKUP($A462,Leveranser_per_nät,'Leveranser per nät'!P$1,FALSE)/VLOOKUP($B462,Korrigeringsfaktor_EI,'Korrigeringsfaktor EI'!P$1,FALSE),
"")</f>
        <v>3.5310212765957445</v>
      </c>
      <c r="Q462" s="18">
        <f>IFERROR(
                  Andel_oberoende_av_klimat*VLOOKUP($A462,Leveranser_per_nät,'Leveranser per nät'!Q$1,FALSE)
               +Andel_beroende_av_klimat*VLOOKUP($A462,Leveranser_per_nät,'Leveranser per nät'!Q$1,FALSE)/VLOOKUP($B462,Korrigeringsfaktor_EI,'Korrigeringsfaktor EI'!Q$1,FALSE),
"")</f>
        <v>3.8259106194690262</v>
      </c>
      <c r="R462" s="18">
        <f>IFERROR(
                  Andel_oberoende_av_klimat*VLOOKUP($A462,Leveranser_per_nät,'Leveranser per nät'!R$1,FALSE)
               +Andel_beroende_av_klimat*VLOOKUP($A462,Leveranser_per_nät,'Leveranser per nät'!R$1,FALSE)/VLOOKUP($B462,Korrigeringsfaktor_EI,'Korrigeringsfaktor EI'!R$1,FALSE),
"")</f>
        <v>3.5538752688172046</v>
      </c>
      <c r="S462" s="18">
        <f>IFERROR(
                  Andel_oberoende_av_klimat*VLOOKUP($A462,Leveranser_per_nät,'Leveranser per nät'!S$1,FALSE)
               +Andel_beroende_av_klimat*VLOOKUP($A462,Leveranser_per_nät,'Leveranser per nät'!S$1,FALSE)/VLOOKUP($B462,Korrigeringsfaktor_EI,'Korrigeringsfaktor EI'!S$1,FALSE),
"")</f>
        <v>3.5999019607843135</v>
      </c>
      <c r="T462" s="18">
        <f>IFERROR(
                  Andel_oberoende_av_klimat*VLOOKUP($A462,Leveranser_per_nät,'Leveranser per nät'!T$1,FALSE)
               +Andel_beroende_av_klimat*VLOOKUP($A462,Leveranser_per_nät,'Leveranser per nät'!T$1,FALSE)/VLOOKUP($B462,Korrigeringsfaktor_EI,'Korrigeringsfaktor EI'!T$1,FALSE),
"")</f>
        <v>3.6717142857142857</v>
      </c>
      <c r="U462" s="18">
        <f>IFERROR(
                  Andel_oberoende_av_klimat*VLOOKUP($A462,Leveranser_per_nät,'Leveranser per nät'!U$1,FALSE)
               +Andel_beroende_av_klimat*VLOOKUP($A462,Leveranser_per_nät,'Leveranser per nät'!U$1,FALSE)/VLOOKUP($B462,Korrigeringsfaktor_EI,'Korrigeringsfaktor EI'!U$1,FALSE),
"")</f>
        <v>3.4265209302325581</v>
      </c>
      <c r="V462" s="18">
        <f>IFERROR(
                  Andel_oberoende_av_klimat*VLOOKUP($A462,Leveranser_per_nät,'Leveranser per nät'!V$1,FALSE)
               +Andel_beroende_av_klimat*VLOOKUP($A462,Leveranser_per_nät,'Leveranser per nät'!V$1,FALSE)/VLOOKUP($B462,Korrigeringsfaktor_EI,'Korrigeringsfaktor EI'!V$1,FALSE),
"")</f>
        <v>3.4717923076923074</v>
      </c>
      <c r="W462" s="18">
        <f>IFERROR(
                  Andel_oberoende_av_klimat*VLOOKUP($A462,Leveranser_per_nät,'Leveranser per nät'!W$1,FALSE)
               +Andel_beroende_av_klimat*VLOOKUP($A462,Leveranser_per_nät,'Leveranser per nät'!W$1,FALSE)/VLOOKUP($B462,Korrigeringsfaktor_EI,'Korrigeringsfaktor EI'!W$1,FALSE),
"")</f>
        <v>3.7626333333333335</v>
      </c>
      <c r="X462" s="18">
        <f>IFERROR(
                  Andel_oberoende_av_klimat*VLOOKUP($A462,Leveranser_per_nät,'Leveranser per nät'!X$1,FALSE)
               +Andel_beroende_av_klimat*VLOOKUP($A462,Leveranser_per_nät,'Leveranser per nät'!X$1,FALSE)/VLOOKUP($B462,Korrigeringsfaktor_EI,'Korrigeringsfaktor EI'!X$1,FALSE),
"")</f>
        <v>3.5957684210526315</v>
      </c>
      <c r="Y462" s="18">
        <f>IFERROR(
                  Andel_oberoende_av_klimat*VLOOKUP($A462,Leveranser_per_nät,'Leveranser per nät'!Y$1,FALSE)
               +Andel_beroende_av_klimat*VLOOKUP($A462,Leveranser_per_nät,'Leveranser per nät'!Y$1,FALSE)/VLOOKUP($B462,Korrigeringsfaktor_EI,'Korrigeringsfaktor EI'!Y$1,FALSE),
"")</f>
        <v>3.5768134831460672</v>
      </c>
      <c r="Z462" s="18">
        <f>IFERROR(
                  Andel_oberoende_av_klimat*VLOOKUP($A462,Leveranser_per_nät,'Leveranser per nät'!Z$1,FALSE)
               +Andel_beroende_av_klimat*VLOOKUP($A462,Leveranser_per_nät,'Leveranser per nät'!Z$1,FALSE)/VLOOKUP($B462,Korrigeringsfaktor_EI,'Korrigeringsfaktor EI'!Z$1,FALSE),
"")</f>
        <v>3.3535586206896553</v>
      </c>
      <c r="AA462" s="18">
        <f>IFERROR(
                  Andel_oberoende_av_klimat*VLOOKUP($A462,Leveranser_per_nät,'Leveranser per nät'!AA$1,FALSE)
               +Andel_beroende_av_klimat*VLOOKUP($A462,Leveranser_per_nät,'Leveranser per nät'!AA$1,FALSE)/VLOOKUP($B462,Korrigeringsfaktor_EI,'Korrigeringsfaktor EI'!AA$1,FALSE),
"")</f>
        <v>3.122061565017261</v>
      </c>
      <c r="AB462" s="18">
        <f>IFERROR(
                  Andel_oberoende_av_klimat*VLOOKUP($A462,Leveranser_per_nät,'Leveranser per nät'!AB$1,FALSE)
               +Andel_beroende_av_klimat*VLOOKUP($A462,Leveranser_per_nät,'Leveranser per nät'!AB$1,FALSE)/VLOOKUP($B462,Korrigeringsfaktor_EI,'Korrigeringsfaktor EI'!AB$1,FALSE),
"")</f>
        <v>2.9184931034482759</v>
      </c>
      <c r="AC462" s="18">
        <f>IFERROR(
                  Andel_oberoende_av_klimat*VLOOKUP($A462,Leveranser_per_nät,'Leveranser per nät'!AC$1,FALSE)
               +Andel_beroende_av_klimat*VLOOKUP($A462,Leveranser_per_nät,'Leveranser per nät'!AC$1,FALSE)/VLOOKUP($B462,Korrigeringsfaktor_EI,'Korrigeringsfaktor EI'!AC$1,FALSE),
"")</f>
        <v>2.8870773019271949</v>
      </c>
      <c r="AD462">
        <v>69.885000000000005</v>
      </c>
    </row>
    <row r="463" spans="1:30" x14ac:dyDescent="0.25">
      <c r="A463" t="s">
        <v>348</v>
      </c>
      <c r="B463" t="s">
        <v>348</v>
      </c>
      <c r="C463" s="18">
        <f>IFERROR(
                  Andel_oberoende_av_klimat*VLOOKUP($A463,Leveranser_per_nät,'Leveranser per nät'!C$1,FALSE)
               +Andel_beroende_av_klimat*VLOOKUP($A463,Leveranser_per_nät,'Leveranser per nät'!C$1,FALSE)/VLOOKUP($B463,Korrigeringsfaktor_EI,'Korrigeringsfaktor EI'!C$1,FALSE),
"")</f>
        <v>49.024999999999991</v>
      </c>
      <c r="D463" s="18">
        <f>IFERROR(
                  Andel_oberoende_av_klimat*VLOOKUP($A463,Leveranser_per_nät,'Leveranser per nät'!D$1,FALSE)
               +Andel_beroende_av_klimat*VLOOKUP($A463,Leveranser_per_nät,'Leveranser per nät'!D$1,FALSE)/VLOOKUP($B463,Korrigeringsfaktor_EI,'Korrigeringsfaktor EI'!D$1,FALSE),
"")</f>
        <v>49.385336633663357</v>
      </c>
      <c r="E463" s="18">
        <f>IFERROR(
                  Andel_oberoende_av_klimat*VLOOKUP($A463,Leveranser_per_nät,'Leveranser per nät'!E$1,FALSE)
               +Andel_beroende_av_klimat*VLOOKUP($A463,Leveranser_per_nät,'Leveranser per nät'!E$1,FALSE)/VLOOKUP($B463,Korrigeringsfaktor_EI,'Korrigeringsfaktor EI'!E$1,FALSE),
"")</f>
        <v>52.199999999999996</v>
      </c>
      <c r="F463" s="18">
        <f>IFERROR(
                  Andel_oberoende_av_klimat*VLOOKUP($A463,Leveranser_per_nät,'Leveranser per nät'!F$1,FALSE)
               +Andel_beroende_av_klimat*VLOOKUP($A463,Leveranser_per_nät,'Leveranser per nät'!F$1,FALSE)/VLOOKUP($B463,Korrigeringsfaktor_EI,'Korrigeringsfaktor EI'!F$1,FALSE),
"")</f>
        <v>55.169072164948453</v>
      </c>
      <c r="G463" s="18">
        <f>IFERROR(
                  Andel_oberoende_av_klimat*VLOOKUP($A463,Leveranser_per_nät,'Leveranser per nät'!G$1,FALSE)
               +Andel_beroende_av_klimat*VLOOKUP($A463,Leveranser_per_nät,'Leveranser per nät'!G$1,FALSE)/VLOOKUP($B463,Korrigeringsfaktor_EI,'Korrigeringsfaktor EI'!G$1,FALSE),
"")</f>
        <v>55.165217391304346</v>
      </c>
      <c r="H463" s="18">
        <f>IFERROR(
                  Andel_oberoende_av_klimat*VLOOKUP($A463,Leveranser_per_nät,'Leveranser per nät'!H$1,FALSE)
               +Andel_beroende_av_klimat*VLOOKUP($A463,Leveranser_per_nät,'Leveranser per nät'!H$1,FALSE)/VLOOKUP($B463,Korrigeringsfaktor_EI,'Korrigeringsfaktor EI'!H$1,FALSE),
"")</f>
        <v>55.340849019607838</v>
      </c>
      <c r="I463" s="18">
        <f>IFERROR(
                  Andel_oberoende_av_klimat*VLOOKUP($A463,Leveranser_per_nät,'Leveranser per nät'!I$1,FALSE)
               +Andel_beroende_av_klimat*VLOOKUP($A463,Leveranser_per_nät,'Leveranser per nät'!I$1,FALSE)/VLOOKUP($B463,Korrigeringsfaktor_EI,'Korrigeringsfaktor EI'!I$1,FALSE),
"")</f>
        <v>60.247416666666666</v>
      </c>
      <c r="J463" s="18">
        <f>IFERROR(
                  Andel_oberoende_av_klimat*VLOOKUP($A463,Leveranser_per_nät,'Leveranser per nät'!J$1,FALSE)
               +Andel_beroende_av_klimat*VLOOKUP($A463,Leveranser_per_nät,'Leveranser per nät'!J$1,FALSE)/VLOOKUP($B463,Korrigeringsfaktor_EI,'Korrigeringsfaktor EI'!J$1,FALSE),
"")</f>
        <v>65.928571428571431</v>
      </c>
      <c r="K463" s="18">
        <f>IFERROR(
                  Andel_oberoende_av_klimat*VLOOKUP($A463,Leveranser_per_nät,'Leveranser per nät'!K$1,FALSE)
               +Andel_beroende_av_klimat*VLOOKUP($A463,Leveranser_per_nät,'Leveranser per nät'!K$1,FALSE)/VLOOKUP($B463,Korrigeringsfaktor_EI,'Korrigeringsfaktor EI'!K$1,FALSE),
"")</f>
        <v>71.348057425742581</v>
      </c>
      <c r="L463" s="18">
        <f>IFERROR(
                  Andel_oberoende_av_klimat*VLOOKUP($A463,Leveranser_per_nät,'Leveranser per nät'!L$1,FALSE)
               +Andel_beroende_av_klimat*VLOOKUP($A463,Leveranser_per_nät,'Leveranser per nät'!L$1,FALSE)/VLOOKUP($B463,Korrigeringsfaktor_EI,'Korrigeringsfaktor EI'!L$1,FALSE),
"")</f>
        <v>82.329216666666667</v>
      </c>
      <c r="M463" s="18">
        <f>IFERROR(
                  Andel_oberoende_av_klimat*VLOOKUP($A463,Leveranser_per_nät,'Leveranser per nät'!M$1,FALSE)
               +Andel_beroende_av_klimat*VLOOKUP($A463,Leveranser_per_nät,'Leveranser per nät'!M$1,FALSE)/VLOOKUP($B463,Korrigeringsfaktor_EI,'Korrigeringsfaktor EI'!M$1,FALSE),
"")</f>
        <v>94.741935483870961</v>
      </c>
      <c r="N463" s="18">
        <f>IFERROR(
                  Andel_oberoende_av_klimat*VLOOKUP($A463,Leveranser_per_nät,'Leveranser per nät'!N$1,FALSE)
               +Andel_beroende_av_klimat*VLOOKUP($A463,Leveranser_per_nät,'Leveranser per nät'!N$1,FALSE)/VLOOKUP($B463,Korrigeringsfaktor_EI,'Korrigeringsfaktor EI'!N$1,FALSE),
"")</f>
        <v>114.17714782608695</v>
      </c>
      <c r="O463" s="18">
        <f>IFERROR(
                  Andel_oberoende_av_klimat*VLOOKUP($A463,Leveranser_per_nät,'Leveranser per nät'!O$1,FALSE)
               +Andel_beroende_av_klimat*VLOOKUP($A463,Leveranser_per_nät,'Leveranser per nät'!O$1,FALSE)/VLOOKUP($B463,Korrigeringsfaktor_EI,'Korrigeringsfaktor EI'!O$1,FALSE),
"")</f>
        <v>117.90107526881719</v>
      </c>
      <c r="P463" s="18">
        <f>IFERROR(
                  Andel_oberoende_av_klimat*VLOOKUP($A463,Leveranser_per_nät,'Leveranser per nät'!P$1,FALSE)
               +Andel_beroende_av_klimat*VLOOKUP($A463,Leveranser_per_nät,'Leveranser per nät'!P$1,FALSE)/VLOOKUP($B463,Korrigeringsfaktor_EI,'Korrigeringsfaktor EI'!P$1,FALSE),
"")</f>
        <v>116.17747916666667</v>
      </c>
      <c r="Q463" s="18">
        <f>IFERROR(
                  Andel_oberoende_av_klimat*VLOOKUP($A463,Leveranser_per_nät,'Leveranser per nät'!Q$1,FALSE)
               +Andel_beroende_av_klimat*VLOOKUP($A463,Leveranser_per_nät,'Leveranser per nät'!Q$1,FALSE)/VLOOKUP($B463,Korrigeringsfaktor_EI,'Korrigeringsfaktor EI'!Q$1,FALSE),
"")</f>
        <v>124.83944594594595</v>
      </c>
      <c r="R463" s="18">
        <f>IFERROR(
                  Andel_oberoende_av_klimat*VLOOKUP($A463,Leveranser_per_nät,'Leveranser per nät'!R$1,FALSE)
               +Andel_beroende_av_klimat*VLOOKUP($A463,Leveranser_per_nät,'Leveranser per nät'!R$1,FALSE)/VLOOKUP($B463,Korrigeringsfaktor_EI,'Korrigeringsfaktor EI'!R$1,FALSE),
"")</f>
        <v>118.84179130434782</v>
      </c>
      <c r="S463" s="18">
        <f>IFERROR(
                  Andel_oberoende_av_klimat*VLOOKUP($A463,Leveranser_per_nät,'Leveranser per nät'!S$1,FALSE)
               +Andel_beroende_av_klimat*VLOOKUP($A463,Leveranser_per_nät,'Leveranser per nät'!S$1,FALSE)/VLOOKUP($B463,Korrigeringsfaktor_EI,'Korrigeringsfaktor EI'!S$1,FALSE),
"")</f>
        <v>120.16138613861386</v>
      </c>
      <c r="T463" s="18">
        <f>IFERROR(
                  Andel_oberoende_av_klimat*VLOOKUP($A463,Leveranser_per_nät,'Leveranser per nät'!T$1,FALSE)
               +Andel_beroende_av_klimat*VLOOKUP($A463,Leveranser_per_nät,'Leveranser per nät'!T$1,FALSE)/VLOOKUP($B463,Korrigeringsfaktor_EI,'Korrigeringsfaktor EI'!T$1,FALSE),
"")</f>
        <v>123.46686868686868</v>
      </c>
      <c r="U463" s="18">
        <f>IFERROR(
                  Andel_oberoende_av_klimat*VLOOKUP($A463,Leveranser_per_nät,'Leveranser per nät'!U$1,FALSE)
               +Andel_beroende_av_klimat*VLOOKUP($A463,Leveranser_per_nät,'Leveranser per nät'!U$1,FALSE)/VLOOKUP($B463,Korrigeringsfaktor_EI,'Korrigeringsfaktor EI'!U$1,FALSE),
"")</f>
        <v>120.60337078651685</v>
      </c>
      <c r="V463" s="18">
        <f>IFERROR(
                  Andel_oberoende_av_klimat*VLOOKUP($A463,Leveranser_per_nät,'Leveranser per nät'!V$1,FALSE)
               +Andel_beroende_av_klimat*VLOOKUP($A463,Leveranser_per_nät,'Leveranser per nät'!V$1,FALSE)/VLOOKUP($B463,Korrigeringsfaktor_EI,'Korrigeringsfaktor EI'!V$1,FALSE),
"")</f>
        <v>119.48010752688171</v>
      </c>
      <c r="W463" s="18">
        <f>IFERROR(
                  Andel_oberoende_av_klimat*VLOOKUP($A463,Leveranser_per_nät,'Leveranser per nät'!W$1,FALSE)
               +Andel_beroende_av_klimat*VLOOKUP($A463,Leveranser_per_nät,'Leveranser per nät'!W$1,FALSE)/VLOOKUP($B463,Korrigeringsfaktor_EI,'Korrigeringsfaktor EI'!W$1,FALSE),
"")</f>
        <v>130.33105263157896</v>
      </c>
      <c r="X463" s="18">
        <f>IFERROR(
                  Andel_oberoende_av_klimat*VLOOKUP($A463,Leveranser_per_nät,'Leveranser per nät'!X$1,FALSE)
               +Andel_beroende_av_klimat*VLOOKUP($A463,Leveranser_per_nät,'Leveranser per nät'!X$1,FALSE)/VLOOKUP($B463,Korrigeringsfaktor_EI,'Korrigeringsfaktor EI'!X$1,FALSE),
"")</f>
        <v>131.99</v>
      </c>
      <c r="Y463" s="18">
        <f>IFERROR(
                  Andel_oberoende_av_klimat*VLOOKUP($A463,Leveranser_per_nät,'Leveranser per nät'!Y$1,FALSE)
               +Andel_beroende_av_klimat*VLOOKUP($A463,Leveranser_per_nät,'Leveranser per nät'!Y$1,FALSE)/VLOOKUP($B463,Korrigeringsfaktor_EI,'Korrigeringsfaktor EI'!Y$1,FALSE),
"")</f>
        <v>137.74</v>
      </c>
      <c r="Z463" s="18">
        <f>IFERROR(
                  Andel_oberoende_av_klimat*VLOOKUP($A463,Leveranser_per_nät,'Leveranser per nät'!Z$1,FALSE)
               +Andel_beroende_av_klimat*VLOOKUP($A463,Leveranser_per_nät,'Leveranser per nät'!Z$1,FALSE)/VLOOKUP($B463,Korrigeringsfaktor_EI,'Korrigeringsfaktor EI'!Z$1,FALSE),
"")</f>
        <v>133.66384444444444</v>
      </c>
      <c r="AA463" s="18">
        <f>IFERROR(
                  Andel_oberoende_av_klimat*VLOOKUP($A463,Leveranser_per_nät,'Leveranser per nät'!AA$1,FALSE)
               +Andel_beroende_av_klimat*VLOOKUP($A463,Leveranser_per_nät,'Leveranser per nät'!AA$1,FALSE)/VLOOKUP($B463,Korrigeringsfaktor_EI,'Korrigeringsfaktor EI'!AA$1,FALSE),
"")</f>
        <v>128.68080813661476</v>
      </c>
      <c r="AB463" s="18">
        <f>IFERROR(
                  Andel_oberoende_av_klimat*VLOOKUP($A463,Leveranser_per_nät,'Leveranser per nät'!AB$1,FALSE)
               +Andel_beroende_av_klimat*VLOOKUP($A463,Leveranser_per_nät,'Leveranser per nät'!AB$1,FALSE)/VLOOKUP($B463,Korrigeringsfaktor_EI,'Korrigeringsfaktor EI'!AB$1,FALSE),
"")</f>
        <v>131.12873681592038</v>
      </c>
      <c r="AC463" s="18">
        <f>IFERROR(
                  Andel_oberoende_av_klimat*VLOOKUP($A463,Leveranser_per_nät,'Leveranser per nät'!AC$1,FALSE)
               +Andel_beroende_av_klimat*VLOOKUP($A463,Leveranser_per_nät,'Leveranser per nät'!AC$1,FALSE)/VLOOKUP($B463,Korrigeringsfaktor_EI,'Korrigeringsfaktor EI'!AC$1,FALSE),
"")</f>
        <v>127.54041437632137</v>
      </c>
      <c r="AD463">
        <v>122.64</v>
      </c>
    </row>
    <row r="464" spans="1:30" x14ac:dyDescent="0.25">
      <c r="A464" t="s">
        <v>45</v>
      </c>
      <c r="B464" t="s">
        <v>45</v>
      </c>
      <c r="C464" s="18">
        <f>IFERROR(
                  Andel_oberoende_av_klimat*VLOOKUP($A464,Leveranser_per_nät,'Leveranser per nät'!C$1,FALSE)
               +Andel_beroende_av_klimat*VLOOKUP($A464,Leveranser_per_nät,'Leveranser per nät'!C$1,FALSE)/VLOOKUP($B464,Korrigeringsfaktor_EI,'Korrigeringsfaktor EI'!C$1,FALSE),
"")</f>
        <v>45.433333333333337</v>
      </c>
      <c r="D464" s="18">
        <f>IFERROR(
                  Andel_oberoende_av_klimat*VLOOKUP($A464,Leveranser_per_nät,'Leveranser per nät'!D$1,FALSE)
               +Andel_beroende_av_klimat*VLOOKUP($A464,Leveranser_per_nät,'Leveranser per nät'!D$1,FALSE)/VLOOKUP($B464,Korrigeringsfaktor_EI,'Korrigeringsfaktor EI'!D$1,FALSE),
"")</f>
        <v>47.915360824742265</v>
      </c>
      <c r="E464" s="18">
        <f>IFERROR(
                  Andel_oberoende_av_klimat*VLOOKUP($A464,Leveranser_per_nät,'Leveranser per nät'!E$1,FALSE)
               +Andel_beroende_av_klimat*VLOOKUP($A464,Leveranser_per_nät,'Leveranser per nät'!E$1,FALSE)/VLOOKUP($B464,Korrigeringsfaktor_EI,'Korrigeringsfaktor EI'!E$1,FALSE),
"")</f>
        <v>48.000970873786407</v>
      </c>
      <c r="F464" s="18">
        <f>IFERROR(
                  Andel_oberoende_av_klimat*VLOOKUP($A464,Leveranser_per_nät,'Leveranser per nät'!F$1,FALSE)
               +Andel_beroende_av_klimat*VLOOKUP($A464,Leveranser_per_nät,'Leveranser per nät'!F$1,FALSE)/VLOOKUP($B464,Korrigeringsfaktor_EI,'Korrigeringsfaktor EI'!F$1,FALSE),
"")</f>
        <v>48.66039603960396</v>
      </c>
      <c r="G464" s="18">
        <f>IFERROR(
                  Andel_oberoende_av_klimat*VLOOKUP($A464,Leveranser_per_nät,'Leveranser per nät'!G$1,FALSE)
               +Andel_beroende_av_klimat*VLOOKUP($A464,Leveranser_per_nät,'Leveranser per nät'!G$1,FALSE)/VLOOKUP($B464,Korrigeringsfaktor_EI,'Korrigeringsfaktor EI'!G$1,FALSE),
"")</f>
        <v>48.731578947368419</v>
      </c>
      <c r="H464" s="18">
        <f>IFERROR(
                  Andel_oberoende_av_klimat*VLOOKUP($A464,Leveranser_per_nät,'Leveranser per nät'!H$1,FALSE)
               +Andel_beroende_av_klimat*VLOOKUP($A464,Leveranser_per_nät,'Leveranser per nät'!H$1,FALSE)/VLOOKUP($B464,Korrigeringsfaktor_EI,'Korrigeringsfaktor EI'!H$1,FALSE),
"")</f>
        <v>52.213300970873782</v>
      </c>
      <c r="I464" s="18">
        <f>IFERROR(
                  Andel_oberoende_av_klimat*VLOOKUP($A464,Leveranser_per_nät,'Leveranser per nät'!I$1,FALSE)
               +Andel_beroende_av_klimat*VLOOKUP($A464,Leveranser_per_nät,'Leveranser per nät'!I$1,FALSE)/VLOOKUP($B464,Korrigeringsfaktor_EI,'Korrigeringsfaktor EI'!I$1,FALSE),
"")</f>
        <v>55.575000000000003</v>
      </c>
      <c r="J464" s="18">
        <f>IFERROR(
                  Andel_oberoende_av_klimat*VLOOKUP($A464,Leveranser_per_nät,'Leveranser per nät'!J$1,FALSE)
               +Andel_beroende_av_klimat*VLOOKUP($A464,Leveranser_per_nät,'Leveranser per nät'!J$1,FALSE)/VLOOKUP($B464,Korrigeringsfaktor_EI,'Korrigeringsfaktor EI'!J$1,FALSE),
"")</f>
        <v>56.660680412371136</v>
      </c>
      <c r="K464" s="18">
        <f>IFERROR(
                  Andel_oberoende_av_klimat*VLOOKUP($A464,Leveranser_per_nät,'Leveranser per nät'!K$1,FALSE)
               +Andel_beroende_av_klimat*VLOOKUP($A464,Leveranser_per_nät,'Leveranser per nät'!K$1,FALSE)/VLOOKUP($B464,Korrigeringsfaktor_EI,'Korrigeringsfaktor EI'!K$1,FALSE),
"")</f>
        <v>57.397414285714284</v>
      </c>
      <c r="L464" s="18">
        <f>IFERROR(
                  Andel_oberoende_av_klimat*VLOOKUP($A464,Leveranser_per_nät,'Leveranser per nät'!L$1,FALSE)
               +Andel_beroende_av_klimat*VLOOKUP($A464,Leveranser_per_nät,'Leveranser per nät'!L$1,FALSE)/VLOOKUP($B464,Korrigeringsfaktor_EI,'Korrigeringsfaktor EI'!L$1,FALSE),
"")</f>
        <v>57.633333333333333</v>
      </c>
      <c r="M464" s="18">
        <f>IFERROR(
                  Andel_oberoende_av_klimat*VLOOKUP($A464,Leveranser_per_nät,'Leveranser per nät'!M$1,FALSE)
               +Andel_beroende_av_klimat*VLOOKUP($A464,Leveranser_per_nät,'Leveranser per nät'!M$1,FALSE)/VLOOKUP($B464,Korrigeringsfaktor_EI,'Korrigeringsfaktor EI'!M$1,FALSE),
"")</f>
        <v>59.055806451612895</v>
      </c>
      <c r="N464" s="18">
        <f>IFERROR(
                  Andel_oberoende_av_klimat*VLOOKUP($A464,Leveranser_per_nät,'Leveranser per nät'!N$1,FALSE)
               +Andel_beroende_av_klimat*VLOOKUP($A464,Leveranser_per_nät,'Leveranser per nät'!N$1,FALSE)/VLOOKUP($B464,Korrigeringsfaktor_EI,'Korrigeringsfaktor EI'!N$1,FALSE),
"")</f>
        <v>63.55842105263158</v>
      </c>
      <c r="O464" s="18">
        <f>IFERROR(
                  Andel_oberoende_av_klimat*VLOOKUP($A464,Leveranser_per_nät,'Leveranser per nät'!O$1,FALSE)
               +Andel_beroende_av_klimat*VLOOKUP($A464,Leveranser_per_nät,'Leveranser per nät'!O$1,FALSE)/VLOOKUP($B464,Korrigeringsfaktor_EI,'Korrigeringsfaktor EI'!O$1,FALSE),
"")</f>
        <v>61.582258064516125</v>
      </c>
      <c r="P464" s="18">
        <f>IFERROR(
                  Andel_oberoende_av_klimat*VLOOKUP($A464,Leveranser_per_nät,'Leveranser per nät'!P$1,FALSE)
               +Andel_beroende_av_klimat*VLOOKUP($A464,Leveranser_per_nät,'Leveranser per nät'!P$1,FALSE)/VLOOKUP($B464,Korrigeringsfaktor_EI,'Korrigeringsfaktor EI'!P$1,FALSE),
"")</f>
        <v>65.459595959595958</v>
      </c>
      <c r="Q464" s="18">
        <f>IFERROR(
                  Andel_oberoende_av_klimat*VLOOKUP($A464,Leveranser_per_nät,'Leveranser per nät'!Q$1,FALSE)
               +Andel_beroende_av_klimat*VLOOKUP($A464,Leveranser_per_nät,'Leveranser per nät'!Q$1,FALSE)/VLOOKUP($B464,Korrigeringsfaktor_EI,'Korrigeringsfaktor EI'!Q$1,FALSE),
"")</f>
        <v>63.672727272727272</v>
      </c>
      <c r="R464" s="18">
        <f>IFERROR(
                  Andel_oberoende_av_klimat*VLOOKUP($A464,Leveranser_per_nät,'Leveranser per nät'!R$1,FALSE)
               +Andel_beroende_av_klimat*VLOOKUP($A464,Leveranser_per_nät,'Leveranser per nät'!R$1,FALSE)/VLOOKUP($B464,Korrigeringsfaktor_EI,'Korrigeringsfaktor EI'!R$1,FALSE),
"")</f>
        <v>66.552777777777777</v>
      </c>
      <c r="S464" s="18">
        <f>IFERROR(
                  Andel_oberoende_av_klimat*VLOOKUP($A464,Leveranser_per_nät,'Leveranser per nät'!S$1,FALSE)
               +Andel_beroende_av_klimat*VLOOKUP($A464,Leveranser_per_nät,'Leveranser per nät'!S$1,FALSE)/VLOOKUP($B464,Korrigeringsfaktor_EI,'Korrigeringsfaktor EI'!S$1,FALSE),
"")</f>
        <v>62.563366336633663</v>
      </c>
      <c r="T464" s="18">
        <f>IFERROR(
                  Andel_oberoende_av_klimat*VLOOKUP($A464,Leveranser_per_nät,'Leveranser per nät'!T$1,FALSE)
               +Andel_beroende_av_klimat*VLOOKUP($A464,Leveranser_per_nät,'Leveranser per nät'!T$1,FALSE)/VLOOKUP($B464,Korrigeringsfaktor_EI,'Korrigeringsfaktor EI'!T$1,FALSE),
"")</f>
        <v>40.229473684210525</v>
      </c>
      <c r="U464" s="18">
        <f>IFERROR(
                  Andel_oberoende_av_klimat*VLOOKUP($A464,Leveranser_per_nät,'Leveranser per nät'!U$1,FALSE)
               +Andel_beroende_av_klimat*VLOOKUP($A464,Leveranser_per_nät,'Leveranser per nät'!U$1,FALSE)/VLOOKUP($B464,Korrigeringsfaktor_EI,'Korrigeringsfaktor EI'!U$1,FALSE),
"")</f>
        <v>33.734444444444449</v>
      </c>
      <c r="V464" s="18">
        <f>IFERROR(
                  Andel_oberoende_av_klimat*VLOOKUP($A464,Leveranser_per_nät,'Leveranser per nät'!V$1,FALSE)
               +Andel_beroende_av_klimat*VLOOKUP($A464,Leveranser_per_nät,'Leveranser per nät'!V$1,FALSE)/VLOOKUP($B464,Korrigeringsfaktor_EI,'Korrigeringsfaktor EI'!V$1,FALSE),
"")</f>
        <v>38.278461538461535</v>
      </c>
      <c r="W464" s="18">
        <f>IFERROR(
                  Andel_oberoende_av_klimat*VLOOKUP($A464,Leveranser_per_nät,'Leveranser per nät'!W$1,FALSE)
               +Andel_beroende_av_klimat*VLOOKUP($A464,Leveranser_per_nät,'Leveranser per nät'!W$1,FALSE)/VLOOKUP($B464,Korrigeringsfaktor_EI,'Korrigeringsfaktor EI'!W$1,FALSE),
"")</f>
        <v>39.64</v>
      </c>
      <c r="X464" s="18">
        <f>IFERROR(
                  Andel_oberoende_av_klimat*VLOOKUP($A464,Leveranser_per_nät,'Leveranser per nät'!X$1,FALSE)
               +Andel_beroende_av_klimat*VLOOKUP($A464,Leveranser_per_nät,'Leveranser per nät'!X$1,FALSE)/VLOOKUP($B464,Korrigeringsfaktor_EI,'Korrigeringsfaktor EI'!X$1,FALSE),
"")</f>
        <v>40.048659793814437</v>
      </c>
      <c r="Y464" s="18">
        <f>IFERROR(
                  Andel_oberoende_av_klimat*VLOOKUP($A464,Leveranser_per_nät,'Leveranser per nät'!Y$1,FALSE)
               +Andel_beroende_av_klimat*VLOOKUP($A464,Leveranser_per_nät,'Leveranser per nät'!Y$1,FALSE)/VLOOKUP($B464,Korrigeringsfaktor_EI,'Korrigeringsfaktor EI'!Y$1,FALSE),
"")</f>
        <v>39.557142857142857</v>
      </c>
      <c r="Z464" s="18">
        <f>IFERROR(
                  Andel_oberoende_av_klimat*VLOOKUP($A464,Leveranser_per_nät,'Leveranser per nät'!Z$1,FALSE)
               +Andel_beroende_av_klimat*VLOOKUP($A464,Leveranser_per_nät,'Leveranser per nät'!Z$1,FALSE)/VLOOKUP($B464,Korrigeringsfaktor_EI,'Korrigeringsfaktor EI'!Z$1,FALSE),
"")</f>
        <v>39.252857142857145</v>
      </c>
      <c r="AA464" s="18">
        <f>IFERROR(
                  Andel_oberoende_av_klimat*VLOOKUP($A464,Leveranser_per_nät,'Leveranser per nät'!AA$1,FALSE)
               +Andel_beroende_av_klimat*VLOOKUP($A464,Leveranser_per_nät,'Leveranser per nät'!AA$1,FALSE)/VLOOKUP($B464,Korrigeringsfaktor_EI,'Korrigeringsfaktor EI'!AA$1,FALSE),
"")</f>
        <v>37.089646443514646</v>
      </c>
      <c r="AB464" s="18">
        <f>IFERROR(
                  Andel_oberoende_av_klimat*VLOOKUP($A464,Leveranser_per_nät,'Leveranser per nät'!AB$1,FALSE)
               +Andel_beroende_av_klimat*VLOOKUP($A464,Leveranser_per_nät,'Leveranser per nät'!AB$1,FALSE)/VLOOKUP($B464,Korrigeringsfaktor_EI,'Korrigeringsfaktor EI'!AB$1,FALSE),
"")</f>
        <v>37.164239629990256</v>
      </c>
      <c r="AC464" s="18">
        <f>IFERROR(
                  Andel_oberoende_av_klimat*VLOOKUP($A464,Leveranser_per_nät,'Leveranser per nät'!AC$1,FALSE)
               +Andel_beroende_av_klimat*VLOOKUP($A464,Leveranser_per_nät,'Leveranser per nät'!AC$1,FALSE)/VLOOKUP($B464,Korrigeringsfaktor_EI,'Korrigeringsfaktor EI'!AC$1,FALSE),
"")</f>
        <v>35.955100719424465</v>
      </c>
      <c r="AD464">
        <v>35.270000000000003</v>
      </c>
    </row>
    <row r="465" spans="1:30" x14ac:dyDescent="0.25">
      <c r="A465" t="s">
        <v>350</v>
      </c>
      <c r="B465" t="s">
        <v>350</v>
      </c>
      <c r="C465" s="18">
        <f>IFERROR(
                  Andel_oberoende_av_klimat*VLOOKUP($A465,Leveranser_per_nät,'Leveranser per nät'!C$1,FALSE)
               +Andel_beroende_av_klimat*VLOOKUP($A465,Leveranser_per_nät,'Leveranser per nät'!C$1,FALSE)/VLOOKUP($B465,Korrigeringsfaktor_EI,'Korrigeringsfaktor EI'!C$1,FALSE),
"")</f>
        <v>46.25</v>
      </c>
      <c r="D465" s="18">
        <f>IFERROR(
                  Andel_oberoende_av_klimat*VLOOKUP($A465,Leveranser_per_nät,'Leveranser per nät'!D$1,FALSE)
               +Andel_beroende_av_klimat*VLOOKUP($A465,Leveranser_per_nät,'Leveranser per nät'!D$1,FALSE)/VLOOKUP($B465,Korrigeringsfaktor_EI,'Korrigeringsfaktor EI'!D$1,FALSE),
"")</f>
        <v>46.008900990099008</v>
      </c>
      <c r="E465" s="18">
        <f>IFERROR(
                  Andel_oberoende_av_klimat*VLOOKUP($A465,Leveranser_per_nät,'Leveranser per nät'!E$1,FALSE)
               +Andel_beroende_av_klimat*VLOOKUP($A465,Leveranser_per_nät,'Leveranser per nät'!E$1,FALSE)/VLOOKUP($B465,Korrigeringsfaktor_EI,'Korrigeringsfaktor EI'!E$1,FALSE),
"")</f>
        <v>47.366666666666667</v>
      </c>
      <c r="F465" s="18">
        <f>IFERROR(
                  Andel_oberoende_av_klimat*VLOOKUP($A465,Leveranser_per_nät,'Leveranser per nät'!F$1,FALSE)
               +Andel_beroende_av_klimat*VLOOKUP($A465,Leveranser_per_nät,'Leveranser per nät'!F$1,FALSE)/VLOOKUP($B465,Korrigeringsfaktor_EI,'Korrigeringsfaktor EI'!F$1,FALSE),
"")</f>
        <v>51.458333333333336</v>
      </c>
      <c r="G465" s="18">
        <f>IFERROR(
                  Andel_oberoende_av_klimat*VLOOKUP($A465,Leveranser_per_nät,'Leveranser per nät'!G$1,FALSE)
               +Andel_beroende_av_klimat*VLOOKUP($A465,Leveranser_per_nät,'Leveranser per nät'!G$1,FALSE)/VLOOKUP($B465,Korrigeringsfaktor_EI,'Korrigeringsfaktor EI'!G$1,FALSE),
"")</f>
        <v>53.46153846153846</v>
      </c>
      <c r="H465" s="18">
        <f>IFERROR(
                  Andel_oberoende_av_klimat*VLOOKUP($A465,Leveranser_per_nät,'Leveranser per nät'!H$1,FALSE)
               +Andel_beroende_av_klimat*VLOOKUP($A465,Leveranser_per_nät,'Leveranser per nät'!H$1,FALSE)/VLOOKUP($B465,Korrigeringsfaktor_EI,'Korrigeringsfaktor EI'!H$1,FALSE),
"")</f>
        <v>57.5980198019802</v>
      </c>
      <c r="I465" s="18">
        <f>IFERROR(
                  Andel_oberoende_av_klimat*VLOOKUP($A465,Leveranser_per_nät,'Leveranser per nät'!I$1,FALSE)
               +Andel_beroende_av_klimat*VLOOKUP($A465,Leveranser_per_nät,'Leveranser per nät'!I$1,FALSE)/VLOOKUP($B465,Korrigeringsfaktor_EI,'Korrigeringsfaktor EI'!I$1,FALSE),
"")</f>
        <v>61.173684210526318</v>
      </c>
      <c r="J465" s="18">
        <f>IFERROR(
                  Andel_oberoende_av_klimat*VLOOKUP($A465,Leveranser_per_nät,'Leveranser per nät'!J$1,FALSE)
               +Andel_beroende_av_klimat*VLOOKUP($A465,Leveranser_per_nät,'Leveranser per nät'!J$1,FALSE)/VLOOKUP($B465,Korrigeringsfaktor_EI,'Korrigeringsfaktor EI'!J$1,FALSE),
"")</f>
        <v>68.09006464646464</v>
      </c>
      <c r="K465" s="18">
        <f>IFERROR(
                  Andel_oberoende_av_klimat*VLOOKUP($A465,Leveranser_per_nät,'Leveranser per nät'!K$1,FALSE)
               +Andel_beroende_av_klimat*VLOOKUP($A465,Leveranser_per_nät,'Leveranser per nät'!K$1,FALSE)/VLOOKUP($B465,Korrigeringsfaktor_EI,'Korrigeringsfaktor EI'!K$1,FALSE),
"")</f>
        <v>69.717437623762379</v>
      </c>
      <c r="L465" s="18">
        <f>IFERROR(
                  Andel_oberoende_av_klimat*VLOOKUP($A465,Leveranser_per_nät,'Leveranser per nät'!L$1,FALSE)
               +Andel_beroende_av_klimat*VLOOKUP($A465,Leveranser_per_nät,'Leveranser per nät'!L$1,FALSE)/VLOOKUP($B465,Korrigeringsfaktor_EI,'Korrigeringsfaktor EI'!L$1,FALSE),
"")</f>
        <v>77.914054639175262</v>
      </c>
      <c r="M465" s="18">
        <f>IFERROR(
                  Andel_oberoende_av_klimat*VLOOKUP($A465,Leveranser_per_nät,'Leveranser per nät'!M$1,FALSE)
               +Andel_beroende_av_klimat*VLOOKUP($A465,Leveranser_per_nät,'Leveranser per nät'!M$1,FALSE)/VLOOKUP($B465,Korrigeringsfaktor_EI,'Korrigeringsfaktor EI'!M$1,FALSE),
"")</f>
        <v>82.111914893617026</v>
      </c>
      <c r="N465" s="18">
        <f>IFERROR(
                  Andel_oberoende_av_klimat*VLOOKUP($A465,Leveranser_per_nät,'Leveranser per nät'!N$1,FALSE)
               +Andel_beroende_av_klimat*VLOOKUP($A465,Leveranser_per_nät,'Leveranser per nät'!N$1,FALSE)/VLOOKUP($B465,Korrigeringsfaktor_EI,'Korrigeringsfaktor EI'!N$1,FALSE),
"")</f>
        <v>77.443478260869554</v>
      </c>
      <c r="O465" s="18">
        <f>IFERROR(
                  Andel_oberoende_av_klimat*VLOOKUP($A465,Leveranser_per_nät,'Leveranser per nät'!O$1,FALSE)
               +Andel_beroende_av_klimat*VLOOKUP($A465,Leveranser_per_nät,'Leveranser per nät'!O$1,FALSE)/VLOOKUP($B465,Korrigeringsfaktor_EI,'Korrigeringsfaktor EI'!O$1,FALSE),
"")</f>
        <v>78.741075268817198</v>
      </c>
      <c r="P465" s="18">
        <f>IFERROR(
                  Andel_oberoende_av_klimat*VLOOKUP($A465,Leveranser_per_nät,'Leveranser per nät'!P$1,FALSE)
               +Andel_beroende_av_klimat*VLOOKUP($A465,Leveranser_per_nät,'Leveranser per nät'!P$1,FALSE)/VLOOKUP($B465,Korrigeringsfaktor_EI,'Korrigeringsfaktor EI'!P$1,FALSE),
"")</f>
        <v>86.924285714285716</v>
      </c>
      <c r="Q465" s="18">
        <f>IFERROR(
                  Andel_oberoende_av_klimat*VLOOKUP($A465,Leveranser_per_nät,'Leveranser per nät'!Q$1,FALSE)
               +Andel_beroende_av_klimat*VLOOKUP($A465,Leveranser_per_nät,'Leveranser per nät'!Q$1,FALSE)/VLOOKUP($B465,Korrigeringsfaktor_EI,'Korrigeringsfaktor EI'!Q$1,FALSE),
"")</f>
        <v>87.717345132743375</v>
      </c>
      <c r="R465" s="18">
        <f>IFERROR(
                  Andel_oberoende_av_klimat*VLOOKUP($A465,Leveranser_per_nät,'Leveranser per nät'!R$1,FALSE)
               +Andel_beroende_av_klimat*VLOOKUP($A465,Leveranser_per_nät,'Leveranser per nät'!R$1,FALSE)/VLOOKUP($B465,Korrigeringsfaktor_EI,'Korrigeringsfaktor EI'!R$1,FALSE),
"")</f>
        <v>84.402782608695659</v>
      </c>
      <c r="S465" s="18">
        <f>IFERROR(
                  Andel_oberoende_av_klimat*VLOOKUP($A465,Leveranser_per_nät,'Leveranser per nät'!S$1,FALSE)
               +Andel_beroende_av_klimat*VLOOKUP($A465,Leveranser_per_nät,'Leveranser per nät'!S$1,FALSE)/VLOOKUP($B465,Korrigeringsfaktor_EI,'Korrigeringsfaktor EI'!S$1,FALSE),
"")</f>
        <v>81.307766990291256</v>
      </c>
      <c r="T465" s="18">
        <f>IFERROR(
                  Andel_oberoende_av_klimat*VLOOKUP($A465,Leveranser_per_nät,'Leveranser per nät'!T$1,FALSE)
               +Andel_beroende_av_klimat*VLOOKUP($A465,Leveranser_per_nät,'Leveranser per nät'!T$1,FALSE)/VLOOKUP($B465,Korrigeringsfaktor_EI,'Korrigeringsfaktor EI'!T$1,FALSE),
"")</f>
        <v>86.213999999999999</v>
      </c>
      <c r="U465" s="18">
        <f>IFERROR(
                  Andel_oberoende_av_klimat*VLOOKUP($A465,Leveranser_per_nät,'Leveranser per nät'!U$1,FALSE)
               +Andel_beroende_av_klimat*VLOOKUP($A465,Leveranser_per_nät,'Leveranser per nät'!U$1,FALSE)/VLOOKUP($B465,Korrigeringsfaktor_EI,'Korrigeringsfaktor EI'!U$1,FALSE),
"")</f>
        <v>82.286177777777766</v>
      </c>
      <c r="V465" s="18">
        <f>IFERROR(
                  Andel_oberoende_av_klimat*VLOOKUP($A465,Leveranser_per_nät,'Leveranser per nät'!V$1,FALSE)
               +Andel_beroende_av_klimat*VLOOKUP($A465,Leveranser_per_nät,'Leveranser per nät'!V$1,FALSE)/VLOOKUP($B465,Korrigeringsfaktor_EI,'Korrigeringsfaktor EI'!V$1,FALSE),
"")</f>
        <v>104.43283846153847</v>
      </c>
      <c r="W465" s="18">
        <f>IFERROR(
                  Andel_oberoende_av_klimat*VLOOKUP($A465,Leveranser_per_nät,'Leveranser per nät'!W$1,FALSE)
               +Andel_beroende_av_klimat*VLOOKUP($A465,Leveranser_per_nät,'Leveranser per nät'!W$1,FALSE)/VLOOKUP($B465,Korrigeringsfaktor_EI,'Korrigeringsfaktor EI'!W$1,FALSE),
"")</f>
        <v>113.30921578947368</v>
      </c>
      <c r="X465" s="18">
        <f>IFERROR(
                  Andel_oberoende_av_klimat*VLOOKUP($A465,Leveranser_per_nät,'Leveranser per nät'!X$1,FALSE)
               +Andel_beroende_av_klimat*VLOOKUP($A465,Leveranser_per_nät,'Leveranser per nät'!X$1,FALSE)/VLOOKUP($B465,Korrigeringsfaktor_EI,'Korrigeringsfaktor EI'!X$1,FALSE),
"")</f>
        <v>109.77297446808511</v>
      </c>
      <c r="Y465" s="18">
        <f>IFERROR(
                  Andel_oberoende_av_klimat*VLOOKUP($A465,Leveranser_per_nät,'Leveranser per nät'!Y$1,FALSE)
               +Andel_beroende_av_klimat*VLOOKUP($A465,Leveranser_per_nät,'Leveranser per nät'!Y$1,FALSE)/VLOOKUP($B465,Korrigeringsfaktor_EI,'Korrigeringsfaktor EI'!Y$1,FALSE),
"")</f>
        <v>109.393</v>
      </c>
      <c r="Z465" s="18">
        <f>IFERROR(
                  Andel_oberoende_av_klimat*VLOOKUP($A465,Leveranser_per_nät,'Leveranser per nät'!Z$1,FALSE)
               +Andel_beroende_av_klimat*VLOOKUP($A465,Leveranser_per_nät,'Leveranser per nät'!Z$1,FALSE)/VLOOKUP($B465,Korrigeringsfaktor_EI,'Korrigeringsfaktor EI'!Z$1,FALSE),
"")</f>
        <v>112.46427303370787</v>
      </c>
      <c r="AA465" s="18">
        <f>IFERROR(
                  Andel_oberoende_av_klimat*VLOOKUP($A465,Leveranser_per_nät,'Leveranser per nät'!AA$1,FALSE)
               +Andel_beroende_av_klimat*VLOOKUP($A465,Leveranser_per_nät,'Leveranser per nät'!AA$1,FALSE)/VLOOKUP($B465,Korrigeringsfaktor_EI,'Korrigeringsfaktor EI'!AA$1,FALSE),
"")</f>
        <v>110.29474440328129</v>
      </c>
      <c r="AB465" s="18">
        <f>IFERROR(
                  Andel_oberoende_av_klimat*VLOOKUP($A465,Leveranser_per_nät,'Leveranser per nät'!AB$1,FALSE)
               +Andel_beroende_av_klimat*VLOOKUP($A465,Leveranser_per_nät,'Leveranser per nät'!AB$1,FALSE)/VLOOKUP($B465,Korrigeringsfaktor_EI,'Korrigeringsfaktor EI'!AB$1,FALSE),
"")</f>
        <v>103.84724356435643</v>
      </c>
      <c r="AC465" s="18">
        <f>IFERROR(
                  Andel_oberoende_av_klimat*VLOOKUP($A465,Leveranser_per_nät,'Leveranser per nät'!AC$1,FALSE)
               +Andel_beroende_av_klimat*VLOOKUP($A465,Leveranser_per_nät,'Leveranser per nät'!AC$1,FALSE)/VLOOKUP($B465,Korrigeringsfaktor_EI,'Korrigeringsfaktor EI'!AC$1,FALSE),
"")</f>
        <v>104.6017552238806</v>
      </c>
      <c r="AD465">
        <v>99.975999999999999</v>
      </c>
    </row>
    <row r="466" spans="1:30" x14ac:dyDescent="0.25">
      <c r="A466" t="s">
        <v>260</v>
      </c>
      <c r="B466" t="s">
        <v>260</v>
      </c>
      <c r="C466" s="18">
        <f>IFERROR(
                  Andel_oberoende_av_klimat*VLOOKUP($A466,Leveranser_per_nät,'Leveranser per nät'!C$1,FALSE)
               +Andel_beroende_av_klimat*VLOOKUP($A466,Leveranser_per_nät,'Leveranser per nät'!C$1,FALSE)/VLOOKUP($B466,Korrigeringsfaktor_EI,'Korrigeringsfaktor EI'!C$1,FALSE),
"")</f>
        <v>0</v>
      </c>
      <c r="D466" s="18">
        <f>IFERROR(
                  Andel_oberoende_av_klimat*VLOOKUP($A466,Leveranser_per_nät,'Leveranser per nät'!D$1,FALSE)
               +Andel_beroende_av_klimat*VLOOKUP($A466,Leveranser_per_nät,'Leveranser per nät'!D$1,FALSE)/VLOOKUP($B466,Korrigeringsfaktor_EI,'Korrigeringsfaktor EI'!D$1,FALSE),
"")</f>
        <v>0</v>
      </c>
      <c r="E466" s="18">
        <f>IFERROR(
                  Andel_oberoende_av_klimat*VLOOKUP($A466,Leveranser_per_nät,'Leveranser per nät'!E$1,FALSE)
               +Andel_beroende_av_klimat*VLOOKUP($A466,Leveranser_per_nät,'Leveranser per nät'!E$1,FALSE)/VLOOKUP($B466,Korrigeringsfaktor_EI,'Korrigeringsfaktor EI'!E$1,FALSE),
"")</f>
        <v>0</v>
      </c>
      <c r="F466" s="18">
        <f>IFERROR(
                  Andel_oberoende_av_klimat*VLOOKUP($A466,Leveranser_per_nät,'Leveranser per nät'!F$1,FALSE)
               +Andel_beroende_av_klimat*VLOOKUP($A466,Leveranser_per_nät,'Leveranser per nät'!F$1,FALSE)/VLOOKUP($B466,Korrigeringsfaktor_EI,'Korrigeringsfaktor EI'!F$1,FALSE),
"")</f>
        <v>0</v>
      </c>
      <c r="G466" s="18">
        <f>IFERROR(
                  Andel_oberoende_av_klimat*VLOOKUP($A466,Leveranser_per_nät,'Leveranser per nät'!G$1,FALSE)
               +Andel_beroende_av_klimat*VLOOKUP($A466,Leveranser_per_nät,'Leveranser per nät'!G$1,FALSE)/VLOOKUP($B466,Korrigeringsfaktor_EI,'Korrigeringsfaktor EI'!G$1,FALSE),
"")</f>
        <v>0</v>
      </c>
      <c r="H466" s="18">
        <f>IFERROR(
                  Andel_oberoende_av_klimat*VLOOKUP($A466,Leveranser_per_nät,'Leveranser per nät'!H$1,FALSE)
               +Andel_beroende_av_klimat*VLOOKUP($A466,Leveranser_per_nät,'Leveranser per nät'!H$1,FALSE)/VLOOKUP($B466,Korrigeringsfaktor_EI,'Korrigeringsfaktor EI'!H$1,FALSE),
"")</f>
        <v>0</v>
      </c>
      <c r="I466" s="18">
        <f>IFERROR(
                  Andel_oberoende_av_klimat*VLOOKUP($A466,Leveranser_per_nät,'Leveranser per nät'!I$1,FALSE)
               +Andel_beroende_av_klimat*VLOOKUP($A466,Leveranser_per_nät,'Leveranser per nät'!I$1,FALSE)/VLOOKUP($B466,Korrigeringsfaktor_EI,'Korrigeringsfaktor EI'!I$1,FALSE),
"")</f>
        <v>13.379166666666666</v>
      </c>
      <c r="J466" s="18">
        <f>IFERROR(
                  Andel_oberoende_av_klimat*VLOOKUP($A466,Leveranser_per_nät,'Leveranser per nät'!J$1,FALSE)
               +Andel_beroende_av_klimat*VLOOKUP($A466,Leveranser_per_nät,'Leveranser per nät'!J$1,FALSE)/VLOOKUP($B466,Korrigeringsfaktor_EI,'Korrigeringsfaktor EI'!J$1,FALSE),
"")</f>
        <v>14.2</v>
      </c>
      <c r="K466" s="18">
        <f>IFERROR(
                  Andel_oberoende_av_klimat*VLOOKUP($A466,Leveranser_per_nät,'Leveranser per nät'!K$1,FALSE)
               +Andel_beroende_av_klimat*VLOOKUP($A466,Leveranser_per_nät,'Leveranser per nät'!K$1,FALSE)/VLOOKUP($B466,Korrigeringsfaktor_EI,'Korrigeringsfaktor EI'!K$1,FALSE),
"")</f>
        <v>14.746435656565655</v>
      </c>
      <c r="L466" s="18">
        <f>IFERROR(
                  Andel_oberoende_av_klimat*VLOOKUP($A466,Leveranser_per_nät,'Leveranser per nät'!L$1,FALSE)
               +Andel_beroende_av_klimat*VLOOKUP($A466,Leveranser_per_nät,'Leveranser per nät'!L$1,FALSE)/VLOOKUP($B466,Korrigeringsfaktor_EI,'Korrigeringsfaktor EI'!L$1,FALSE),
"")</f>
        <v>13.075097368421053</v>
      </c>
      <c r="M466" s="18">
        <f>IFERROR(
                  Andel_oberoende_av_klimat*VLOOKUP($A466,Leveranser_per_nät,'Leveranser per nät'!M$1,FALSE)
               +Andel_beroende_av_klimat*VLOOKUP($A466,Leveranser_per_nät,'Leveranser per nät'!M$1,FALSE)/VLOOKUP($B466,Korrigeringsfaktor_EI,'Korrigeringsfaktor EI'!M$1,FALSE),
"")</f>
        <v>14.254904347826086</v>
      </c>
      <c r="N466" s="18">
        <f>IFERROR(
                  Andel_oberoende_av_klimat*VLOOKUP($A466,Leveranser_per_nät,'Leveranser per nät'!N$1,FALSE)
               +Andel_beroende_av_klimat*VLOOKUP($A466,Leveranser_per_nät,'Leveranser per nät'!N$1,FALSE)/VLOOKUP($B466,Korrigeringsfaktor_EI,'Korrigeringsfaktor EI'!N$1,FALSE),
"")</f>
        <v>15.358742105263159</v>
      </c>
      <c r="O466" s="18">
        <f>IFERROR(
                  Andel_oberoende_av_klimat*VLOOKUP($A466,Leveranser_per_nät,'Leveranser per nät'!O$1,FALSE)
               +Andel_beroende_av_klimat*VLOOKUP($A466,Leveranser_per_nät,'Leveranser per nät'!O$1,FALSE)/VLOOKUP($B466,Korrigeringsfaktor_EI,'Korrigeringsfaktor EI'!O$1,FALSE),
"")</f>
        <v>14.960874468085107</v>
      </c>
      <c r="P466" s="18">
        <f>IFERROR(
                  Andel_oberoende_av_klimat*VLOOKUP($A466,Leveranser_per_nät,'Leveranser per nät'!P$1,FALSE)
               +Andel_beroende_av_klimat*VLOOKUP($A466,Leveranser_per_nät,'Leveranser per nät'!P$1,FALSE)/VLOOKUP($B466,Korrigeringsfaktor_EI,'Korrigeringsfaktor EI'!P$1,FALSE),
"")</f>
        <v>15.784826262626261</v>
      </c>
      <c r="Q466" s="18">
        <f>IFERROR(
                  Andel_oberoende_av_klimat*VLOOKUP($A466,Leveranser_per_nät,'Leveranser per nät'!Q$1,FALSE)
               +Andel_beroende_av_klimat*VLOOKUP($A466,Leveranser_per_nät,'Leveranser per nät'!Q$1,FALSE)/VLOOKUP($B466,Korrigeringsfaktor_EI,'Korrigeringsfaktor EI'!Q$1,FALSE),
"")</f>
        <v>16.188911926605503</v>
      </c>
      <c r="R466" s="18">
        <f>IFERROR(
                  Andel_oberoende_av_klimat*VLOOKUP($A466,Leveranser_per_nät,'Leveranser per nät'!R$1,FALSE)
               +Andel_beroende_av_klimat*VLOOKUP($A466,Leveranser_per_nät,'Leveranser per nät'!R$1,FALSE)/VLOOKUP($B466,Korrigeringsfaktor_EI,'Korrigeringsfaktor EI'!R$1,FALSE),
"")</f>
        <v>15.568000000000001</v>
      </c>
      <c r="S466" s="18">
        <f>IFERROR(
                  Andel_oberoende_av_klimat*VLOOKUP($A466,Leveranser_per_nät,'Leveranser per nät'!S$1,FALSE)
               +Andel_beroende_av_klimat*VLOOKUP($A466,Leveranser_per_nät,'Leveranser per nät'!S$1,FALSE)/VLOOKUP($B466,Korrigeringsfaktor_EI,'Korrigeringsfaktor EI'!S$1,FALSE),
"")</f>
        <v>15.928831683168315</v>
      </c>
      <c r="T466" s="18">
        <f>IFERROR(
                  Andel_oberoende_av_klimat*VLOOKUP($A466,Leveranser_per_nät,'Leveranser per nät'!T$1,FALSE)
               +Andel_beroende_av_klimat*VLOOKUP($A466,Leveranser_per_nät,'Leveranser per nät'!T$1,FALSE)/VLOOKUP($B466,Korrigeringsfaktor_EI,'Korrigeringsfaktor EI'!T$1,FALSE),
"")</f>
        <v>15.777626315789474</v>
      </c>
      <c r="U466" s="18">
        <f>IFERROR(
                  Andel_oberoende_av_klimat*VLOOKUP($A466,Leveranser_per_nät,'Leveranser per nät'!U$1,FALSE)
               +Andel_beroende_av_klimat*VLOOKUP($A466,Leveranser_per_nät,'Leveranser per nät'!U$1,FALSE)/VLOOKUP($B466,Korrigeringsfaktor_EI,'Korrigeringsfaktor EI'!U$1,FALSE),
"")</f>
        <v>15.239746153846156</v>
      </c>
      <c r="V466" s="18">
        <f>IFERROR(
                  Andel_oberoende_av_klimat*VLOOKUP($A466,Leveranser_per_nät,'Leveranser per nät'!V$1,FALSE)
               +Andel_beroende_av_klimat*VLOOKUP($A466,Leveranser_per_nät,'Leveranser per nät'!V$1,FALSE)/VLOOKUP($B466,Korrigeringsfaktor_EI,'Korrigeringsfaktor EI'!V$1,FALSE),
"")</f>
        <v>14.747147826086955</v>
      </c>
      <c r="W466" s="18">
        <f>IFERROR(
                  Andel_oberoende_av_klimat*VLOOKUP($A466,Leveranser_per_nät,'Leveranser per nät'!W$1,FALSE)
               +Andel_beroende_av_klimat*VLOOKUP($A466,Leveranser_per_nät,'Leveranser per nät'!W$1,FALSE)/VLOOKUP($B466,Korrigeringsfaktor_EI,'Korrigeringsfaktor EI'!W$1,FALSE),
"")</f>
        <v>15.062142857142859</v>
      </c>
      <c r="X466" s="18">
        <f>IFERROR(
                  Andel_oberoende_av_klimat*VLOOKUP($A466,Leveranser_per_nät,'Leveranser per nät'!X$1,FALSE)
               +Andel_beroende_av_klimat*VLOOKUP($A466,Leveranser_per_nät,'Leveranser per nät'!X$1,FALSE)/VLOOKUP($B466,Korrigeringsfaktor_EI,'Korrigeringsfaktor EI'!X$1,FALSE),
"")</f>
        <v>14.594557142857143</v>
      </c>
      <c r="Y466" s="18">
        <f>IFERROR(
                  Andel_oberoende_av_klimat*VLOOKUP($A466,Leveranser_per_nät,'Leveranser per nät'!Y$1,FALSE)
               +Andel_beroende_av_klimat*VLOOKUP($A466,Leveranser_per_nät,'Leveranser per nät'!Y$1,FALSE)/VLOOKUP($B466,Korrigeringsfaktor_EI,'Korrigeringsfaktor EI'!Y$1,FALSE),
"")</f>
        <v>14.062533333333334</v>
      </c>
      <c r="Z466" s="18">
        <f>IFERROR(
                  Andel_oberoende_av_klimat*VLOOKUP($A466,Leveranser_per_nät,'Leveranser per nät'!Z$1,FALSE)
               +Andel_beroende_av_klimat*VLOOKUP($A466,Leveranser_per_nät,'Leveranser per nät'!Z$1,FALSE)/VLOOKUP($B466,Korrigeringsfaktor_EI,'Korrigeringsfaktor EI'!Z$1,FALSE),
"")</f>
        <v>14.288242857142857</v>
      </c>
      <c r="AA466" s="18">
        <f>IFERROR(
                  Andel_oberoende_av_klimat*VLOOKUP($A466,Leveranser_per_nät,'Leveranser per nät'!AA$1,FALSE)
               +Andel_beroende_av_klimat*VLOOKUP($A466,Leveranser_per_nät,'Leveranser per nät'!AA$1,FALSE)/VLOOKUP($B466,Korrigeringsfaktor_EI,'Korrigeringsfaktor EI'!AA$1,FALSE),
"")</f>
        <v>13.418410538116593</v>
      </c>
      <c r="AB466" s="18">
        <f>IFERROR(
                  Andel_oberoende_av_klimat*VLOOKUP($A466,Leveranser_per_nät,'Leveranser per nät'!AB$1,FALSE)
               +Andel_beroende_av_klimat*VLOOKUP($A466,Leveranser_per_nät,'Leveranser per nät'!AB$1,FALSE)/VLOOKUP($B466,Korrigeringsfaktor_EI,'Korrigeringsfaktor EI'!AB$1,FALSE),
"")</f>
        <v>13.762603346265763</v>
      </c>
      <c r="AC466" s="18">
        <f>IFERROR(
                  Andel_oberoende_av_klimat*VLOOKUP($A466,Leveranser_per_nät,'Leveranser per nät'!AC$1,FALSE)
               +Andel_beroende_av_klimat*VLOOKUP($A466,Leveranser_per_nät,'Leveranser per nät'!AC$1,FALSE)/VLOOKUP($B466,Korrigeringsfaktor_EI,'Korrigeringsfaktor EI'!AC$1,FALSE),
"")</f>
        <v>13.152670040858018</v>
      </c>
      <c r="AD466">
        <v>12.9581</v>
      </c>
    </row>
    <row r="467" spans="1:30" x14ac:dyDescent="0.25">
      <c r="A467" t="s">
        <v>240</v>
      </c>
      <c r="B467" t="s">
        <v>240</v>
      </c>
      <c r="C467" s="18">
        <f>IFERROR(
                  Andel_oberoende_av_klimat*VLOOKUP($A467,Leveranser_per_nät,'Leveranser per nät'!C$1,FALSE)
               +Andel_beroende_av_klimat*VLOOKUP($A467,Leveranser_per_nät,'Leveranser per nät'!C$1,FALSE)/VLOOKUP($B467,Korrigeringsfaktor_EI,'Korrigeringsfaktor EI'!C$1,FALSE),
"")</f>
        <v>0</v>
      </c>
      <c r="D467" s="18">
        <f>IFERROR(
                  Andel_oberoende_av_klimat*VLOOKUP($A467,Leveranser_per_nät,'Leveranser per nät'!D$1,FALSE)
               +Andel_beroende_av_klimat*VLOOKUP($A467,Leveranser_per_nät,'Leveranser per nät'!D$1,FALSE)/VLOOKUP($B467,Korrigeringsfaktor_EI,'Korrigeringsfaktor EI'!D$1,FALSE),
"")</f>
        <v>0</v>
      </c>
      <c r="E467" s="18">
        <f>IFERROR(
                  Andel_oberoende_av_klimat*VLOOKUP($A467,Leveranser_per_nät,'Leveranser per nät'!E$1,FALSE)
               +Andel_beroende_av_klimat*VLOOKUP($A467,Leveranser_per_nät,'Leveranser per nät'!E$1,FALSE)/VLOOKUP($B467,Korrigeringsfaktor_EI,'Korrigeringsfaktor EI'!E$1,FALSE),
"")</f>
        <v>0</v>
      </c>
      <c r="F467" s="18">
        <f>IFERROR(
                  Andel_oberoende_av_klimat*VLOOKUP($A467,Leveranser_per_nät,'Leveranser per nät'!F$1,FALSE)
               +Andel_beroende_av_klimat*VLOOKUP($A467,Leveranser_per_nät,'Leveranser per nät'!F$1,FALSE)/VLOOKUP($B467,Korrigeringsfaktor_EI,'Korrigeringsfaktor EI'!F$1,FALSE),
"")</f>
        <v>0</v>
      </c>
      <c r="G467" s="18">
        <f>IFERROR(
                  Andel_oberoende_av_klimat*VLOOKUP($A467,Leveranser_per_nät,'Leveranser per nät'!G$1,FALSE)
               +Andel_beroende_av_klimat*VLOOKUP($A467,Leveranser_per_nät,'Leveranser per nät'!G$1,FALSE)/VLOOKUP($B467,Korrigeringsfaktor_EI,'Korrigeringsfaktor EI'!G$1,FALSE),
"")</f>
        <v>0</v>
      </c>
      <c r="H467" s="18">
        <f>IFERROR(
                  Andel_oberoende_av_klimat*VLOOKUP($A467,Leveranser_per_nät,'Leveranser per nät'!H$1,FALSE)
               +Andel_beroende_av_klimat*VLOOKUP($A467,Leveranser_per_nät,'Leveranser per nät'!H$1,FALSE)/VLOOKUP($B467,Korrigeringsfaktor_EI,'Korrigeringsfaktor EI'!H$1,FALSE),
"")</f>
        <v>0</v>
      </c>
      <c r="I467" s="18">
        <f>IFERROR(
                  Andel_oberoende_av_klimat*VLOOKUP($A467,Leveranser_per_nät,'Leveranser per nät'!I$1,FALSE)
               +Andel_beroende_av_klimat*VLOOKUP($A467,Leveranser_per_nät,'Leveranser per nät'!I$1,FALSE)/VLOOKUP($B467,Korrigeringsfaktor_EI,'Korrigeringsfaktor EI'!I$1,FALSE),
"")</f>
        <v>0</v>
      </c>
      <c r="J467" s="18">
        <f>IFERROR(
                  Andel_oberoende_av_klimat*VLOOKUP($A467,Leveranser_per_nät,'Leveranser per nät'!J$1,FALSE)
               +Andel_beroende_av_klimat*VLOOKUP($A467,Leveranser_per_nät,'Leveranser per nät'!J$1,FALSE)/VLOOKUP($B467,Korrigeringsfaktor_EI,'Korrigeringsfaktor EI'!J$1,FALSE),
"")</f>
        <v>0</v>
      </c>
      <c r="K467" s="18">
        <f>IFERROR(
                  Andel_oberoende_av_klimat*VLOOKUP($A467,Leveranser_per_nät,'Leveranser per nät'!K$1,FALSE)
               +Andel_beroende_av_klimat*VLOOKUP($A467,Leveranser_per_nät,'Leveranser per nät'!K$1,FALSE)/VLOOKUP($B467,Korrigeringsfaktor_EI,'Korrigeringsfaktor EI'!K$1,FALSE),
"")</f>
        <v>0</v>
      </c>
      <c r="L467" s="18">
        <f>IFERROR(
                  Andel_oberoende_av_klimat*VLOOKUP($A467,Leveranser_per_nät,'Leveranser per nät'!L$1,FALSE)
               +Andel_beroende_av_klimat*VLOOKUP($A467,Leveranser_per_nät,'Leveranser per nät'!L$1,FALSE)/VLOOKUP($B467,Korrigeringsfaktor_EI,'Korrigeringsfaktor EI'!L$1,FALSE),
"")</f>
        <v>0</v>
      </c>
      <c r="M467" s="18">
        <f>IFERROR(
                  Andel_oberoende_av_klimat*VLOOKUP($A467,Leveranser_per_nät,'Leveranser per nät'!M$1,FALSE)
               +Andel_beroende_av_klimat*VLOOKUP($A467,Leveranser_per_nät,'Leveranser per nät'!M$1,FALSE)/VLOOKUP($B467,Korrigeringsfaktor_EI,'Korrigeringsfaktor EI'!M$1,FALSE),
"")</f>
        <v>21.151663440860212</v>
      </c>
      <c r="N467" s="18">
        <f>IFERROR(
                  Andel_oberoende_av_klimat*VLOOKUP($A467,Leveranser_per_nät,'Leveranser per nät'!N$1,FALSE)
               +Andel_beroende_av_klimat*VLOOKUP($A467,Leveranser_per_nät,'Leveranser per nät'!N$1,FALSE)/VLOOKUP($B467,Korrigeringsfaktor_EI,'Korrigeringsfaktor EI'!N$1,FALSE),
"")</f>
        <v>19.312069565217389</v>
      </c>
      <c r="O467" s="18">
        <f>IFERROR(
                  Andel_oberoende_av_klimat*VLOOKUP($A467,Leveranser_per_nät,'Leveranser per nät'!O$1,FALSE)
               +Andel_beroende_av_klimat*VLOOKUP($A467,Leveranser_per_nät,'Leveranser per nät'!O$1,FALSE)/VLOOKUP($B467,Korrigeringsfaktor_EI,'Korrigeringsfaktor EI'!O$1,FALSE),
"")</f>
        <v>22.7562</v>
      </c>
      <c r="P467" s="18">
        <f>IFERROR(
                  Andel_oberoende_av_klimat*VLOOKUP($A467,Leveranser_per_nät,'Leveranser per nät'!P$1,FALSE)
               +Andel_beroende_av_klimat*VLOOKUP($A467,Leveranser_per_nät,'Leveranser per nät'!P$1,FALSE)/VLOOKUP($B467,Korrigeringsfaktor_EI,'Korrigeringsfaktor EI'!P$1,FALSE),
"")</f>
        <v>23.263980412371136</v>
      </c>
      <c r="Q467" s="18">
        <f>IFERROR(
                  Andel_oberoende_av_klimat*VLOOKUP($A467,Leveranser_per_nät,'Leveranser per nät'!Q$1,FALSE)
               +Andel_beroende_av_klimat*VLOOKUP($A467,Leveranser_per_nät,'Leveranser per nät'!Q$1,FALSE)/VLOOKUP($B467,Korrigeringsfaktor_EI,'Korrigeringsfaktor EI'!Q$1,FALSE),
"")</f>
        <v>24.725441592920355</v>
      </c>
      <c r="R467" s="18">
        <f>IFERROR(
                  Andel_oberoende_av_klimat*VLOOKUP($A467,Leveranser_per_nät,'Leveranser per nät'!R$1,FALSE)
               +Andel_beroende_av_klimat*VLOOKUP($A467,Leveranser_per_nät,'Leveranser per nät'!R$1,FALSE)/VLOOKUP($B467,Korrigeringsfaktor_EI,'Korrigeringsfaktor EI'!R$1,FALSE),
"")</f>
        <v>23.711111111111112</v>
      </c>
      <c r="S467" s="18">
        <f>IFERROR(
                  Andel_oberoende_av_klimat*VLOOKUP($A467,Leveranser_per_nät,'Leveranser per nät'!S$1,FALSE)
               +Andel_beroende_av_klimat*VLOOKUP($A467,Leveranser_per_nät,'Leveranser per nät'!S$1,FALSE)/VLOOKUP($B467,Korrigeringsfaktor_EI,'Korrigeringsfaktor EI'!S$1,FALSE),
"")</f>
        <v>24</v>
      </c>
      <c r="T467" s="18">
        <f>IFERROR(
                  Andel_oberoende_av_klimat*VLOOKUP($A467,Leveranser_per_nät,'Leveranser per nät'!T$1,FALSE)
               +Andel_beroende_av_klimat*VLOOKUP($A467,Leveranser_per_nät,'Leveranser per nät'!T$1,FALSE)/VLOOKUP($B467,Korrigeringsfaktor_EI,'Korrigeringsfaktor EI'!T$1,FALSE),
"")</f>
        <v>24.802916666666668</v>
      </c>
      <c r="U467" s="18">
        <f>IFERROR(
                  Andel_oberoende_av_klimat*VLOOKUP($A467,Leveranser_per_nät,'Leveranser per nät'!U$1,FALSE)
               +Andel_beroende_av_klimat*VLOOKUP($A467,Leveranser_per_nät,'Leveranser per nät'!U$1,FALSE)/VLOOKUP($B467,Korrigeringsfaktor_EI,'Korrigeringsfaktor EI'!U$1,FALSE),
"")</f>
        <v>23.468764044943821</v>
      </c>
      <c r="V467" s="18">
        <f>IFERROR(
                  Andel_oberoende_av_klimat*VLOOKUP($A467,Leveranser_per_nät,'Leveranser per nät'!V$1,FALSE)
               +Andel_beroende_av_klimat*VLOOKUP($A467,Leveranser_per_nät,'Leveranser per nät'!V$1,FALSE)/VLOOKUP($B467,Korrigeringsfaktor_EI,'Korrigeringsfaktor EI'!V$1,FALSE),
"")</f>
        <v>22.816853932584269</v>
      </c>
      <c r="W467" s="18">
        <f>IFERROR(
                  Andel_oberoende_av_klimat*VLOOKUP($A467,Leveranser_per_nät,'Leveranser per nät'!W$1,FALSE)
               +Andel_beroende_av_klimat*VLOOKUP($A467,Leveranser_per_nät,'Leveranser per nät'!W$1,FALSE)/VLOOKUP($B467,Korrigeringsfaktor_EI,'Korrigeringsfaktor EI'!W$1,FALSE),
"")</f>
        <v>22.982978723404255</v>
      </c>
      <c r="X467" s="18">
        <f>IFERROR(
                  Andel_oberoende_av_klimat*VLOOKUP($A467,Leveranser_per_nät,'Leveranser per nät'!X$1,FALSE)
               +Andel_beroende_av_klimat*VLOOKUP($A467,Leveranser_per_nät,'Leveranser per nät'!X$1,FALSE)/VLOOKUP($B467,Korrigeringsfaktor_EI,'Korrigeringsfaktor EI'!X$1,FALSE),
"")</f>
        <v>22.422258064516129</v>
      </c>
      <c r="Y467" s="18">
        <f>IFERROR(
                  Andel_oberoende_av_klimat*VLOOKUP($A467,Leveranser_per_nät,'Leveranser per nät'!Y$1,FALSE)
               +Andel_beroende_av_klimat*VLOOKUP($A467,Leveranser_per_nät,'Leveranser per nät'!Y$1,FALSE)/VLOOKUP($B467,Korrigeringsfaktor_EI,'Korrigeringsfaktor EI'!Y$1,FALSE),
"")</f>
        <v>21.812307692307691</v>
      </c>
      <c r="Z467" s="18">
        <f>IFERROR(
                  Andel_oberoende_av_klimat*VLOOKUP($A467,Leveranser_per_nät,'Leveranser per nät'!Z$1,FALSE)
               +Andel_beroende_av_klimat*VLOOKUP($A467,Leveranser_per_nät,'Leveranser per nät'!Z$1,FALSE)/VLOOKUP($B467,Korrigeringsfaktor_EI,'Korrigeringsfaktor EI'!Z$1,FALSE),
"")</f>
        <v>21.513033707865169</v>
      </c>
      <c r="AA467" s="18">
        <f>IFERROR(
                  Andel_oberoende_av_klimat*VLOOKUP($A467,Leveranser_per_nät,'Leveranser per nät'!AA$1,FALSE)
               +Andel_beroende_av_klimat*VLOOKUP($A467,Leveranser_per_nät,'Leveranser per nät'!AA$1,FALSE)/VLOOKUP($B467,Korrigeringsfaktor_EI,'Korrigeringsfaktor EI'!AA$1,FALSE),
"")</f>
        <v>20.546773162939299</v>
      </c>
      <c r="AB467" s="18">
        <f>IFERROR(
                  Andel_oberoende_av_klimat*VLOOKUP($A467,Leveranser_per_nät,'Leveranser per nät'!AB$1,FALSE)
               +Andel_beroende_av_klimat*VLOOKUP($A467,Leveranser_per_nät,'Leveranser per nät'!AB$1,FALSE)/VLOOKUP($B467,Korrigeringsfaktor_EI,'Korrigeringsfaktor EI'!AB$1,FALSE),
"")</f>
        <v>20.995108481262324</v>
      </c>
      <c r="AC467" s="18">
        <f>IFERROR(
                  Andel_oberoende_av_klimat*VLOOKUP($A467,Leveranser_per_nät,'Leveranser per nät'!AC$1,FALSE)
               +Andel_beroende_av_klimat*VLOOKUP($A467,Leveranser_per_nät,'Leveranser per nät'!AC$1,FALSE)/VLOOKUP($B467,Korrigeringsfaktor_EI,'Korrigeringsfaktor EI'!AC$1,FALSE),
"")</f>
        <v>20.386741214057505</v>
      </c>
      <c r="AD467">
        <v>19.5</v>
      </c>
    </row>
    <row r="468" spans="1:30" x14ac:dyDescent="0.25">
      <c r="A468" t="s">
        <v>855</v>
      </c>
      <c r="B468" t="s">
        <v>151</v>
      </c>
      <c r="C468" s="18">
        <f>IFERROR(
                  Andel_oberoende_av_klimat*VLOOKUP($A468,Leveranser_per_nät,'Leveranser per nät'!C$1,FALSE)
               +Andel_beroende_av_klimat*VLOOKUP($A468,Leveranser_per_nät,'Leveranser per nät'!C$1,FALSE)/VLOOKUP($B468,Korrigeringsfaktor_EI,'Korrigeringsfaktor EI'!C$1,FALSE),
"")</f>
        <v>0</v>
      </c>
      <c r="D468" s="18">
        <f>IFERROR(
                  Andel_oberoende_av_klimat*VLOOKUP($A468,Leveranser_per_nät,'Leveranser per nät'!D$1,FALSE)
               +Andel_beroende_av_klimat*VLOOKUP($A468,Leveranser_per_nät,'Leveranser per nät'!D$1,FALSE)/VLOOKUP($B468,Korrigeringsfaktor_EI,'Korrigeringsfaktor EI'!D$1,FALSE),
"")</f>
        <v>0</v>
      </c>
      <c r="E468" s="18">
        <f>IFERROR(
                  Andel_oberoende_av_klimat*VLOOKUP($A468,Leveranser_per_nät,'Leveranser per nät'!E$1,FALSE)
               +Andel_beroende_av_klimat*VLOOKUP($A468,Leveranser_per_nät,'Leveranser per nät'!E$1,FALSE)/VLOOKUP($B468,Korrigeringsfaktor_EI,'Korrigeringsfaktor EI'!E$1,FALSE),
"")</f>
        <v>0</v>
      </c>
      <c r="F468" s="18">
        <f>IFERROR(
                  Andel_oberoende_av_klimat*VLOOKUP($A468,Leveranser_per_nät,'Leveranser per nät'!F$1,FALSE)
               +Andel_beroende_av_klimat*VLOOKUP($A468,Leveranser_per_nät,'Leveranser per nät'!F$1,FALSE)/VLOOKUP($B468,Korrigeringsfaktor_EI,'Korrigeringsfaktor EI'!F$1,FALSE),
"")</f>
        <v>0</v>
      </c>
      <c r="G468" s="18">
        <f>IFERROR(
                  Andel_oberoende_av_klimat*VLOOKUP($A468,Leveranser_per_nät,'Leveranser per nät'!G$1,FALSE)
               +Andel_beroende_av_klimat*VLOOKUP($A468,Leveranser_per_nät,'Leveranser per nät'!G$1,FALSE)/VLOOKUP($B468,Korrigeringsfaktor_EI,'Korrigeringsfaktor EI'!G$1,FALSE),
"")</f>
        <v>0</v>
      </c>
      <c r="H468" s="18">
        <f>IFERROR(
                  Andel_oberoende_av_klimat*VLOOKUP($A468,Leveranser_per_nät,'Leveranser per nät'!H$1,FALSE)
               +Andel_beroende_av_klimat*VLOOKUP($A468,Leveranser_per_nät,'Leveranser per nät'!H$1,FALSE)/VLOOKUP($B468,Korrigeringsfaktor_EI,'Korrigeringsfaktor EI'!H$1,FALSE),
"")</f>
        <v>0</v>
      </c>
      <c r="I468" s="18">
        <f>IFERROR(
                  Andel_oberoende_av_klimat*VLOOKUP($A468,Leveranser_per_nät,'Leveranser per nät'!I$1,FALSE)
               +Andel_beroende_av_klimat*VLOOKUP($A468,Leveranser_per_nät,'Leveranser per nät'!I$1,FALSE)/VLOOKUP($B468,Korrigeringsfaktor_EI,'Korrigeringsfaktor EI'!I$1,FALSE),
"")</f>
        <v>0</v>
      </c>
      <c r="J468" s="18">
        <f>IFERROR(
                  Andel_oberoende_av_klimat*VLOOKUP($A468,Leveranser_per_nät,'Leveranser per nät'!J$1,FALSE)
               +Andel_beroende_av_klimat*VLOOKUP($A468,Leveranser_per_nät,'Leveranser per nät'!J$1,FALSE)/VLOOKUP($B468,Korrigeringsfaktor_EI,'Korrigeringsfaktor EI'!J$1,FALSE),
"")</f>
        <v>0</v>
      </c>
      <c r="K468" s="18">
        <f>IFERROR(
                  Andel_oberoende_av_klimat*VLOOKUP($A468,Leveranser_per_nät,'Leveranser per nät'!K$1,FALSE)
               +Andel_beroende_av_klimat*VLOOKUP($A468,Leveranser_per_nät,'Leveranser per nät'!K$1,FALSE)/VLOOKUP($B468,Korrigeringsfaktor_EI,'Korrigeringsfaktor EI'!K$1,FALSE),
"")</f>
        <v>0</v>
      </c>
      <c r="L468" s="18">
        <f>IFERROR(
                  Andel_oberoende_av_klimat*VLOOKUP($A468,Leveranser_per_nät,'Leveranser per nät'!L$1,FALSE)
               +Andel_beroende_av_klimat*VLOOKUP($A468,Leveranser_per_nät,'Leveranser per nät'!L$1,FALSE)/VLOOKUP($B468,Korrigeringsfaktor_EI,'Korrigeringsfaktor EI'!L$1,FALSE),
"")</f>
        <v>0</v>
      </c>
      <c r="M468" s="18">
        <f>IFERROR(
                  Andel_oberoende_av_klimat*VLOOKUP($A468,Leveranser_per_nät,'Leveranser per nät'!M$1,FALSE)
               +Andel_beroende_av_klimat*VLOOKUP($A468,Leveranser_per_nät,'Leveranser per nät'!M$1,FALSE)/VLOOKUP($B468,Korrigeringsfaktor_EI,'Korrigeringsfaktor EI'!M$1,FALSE),
"")</f>
        <v>0</v>
      </c>
      <c r="N468" s="18">
        <f>IFERROR(
                  Andel_oberoende_av_klimat*VLOOKUP($A468,Leveranser_per_nät,'Leveranser per nät'!N$1,FALSE)
               +Andel_beroende_av_klimat*VLOOKUP($A468,Leveranser_per_nät,'Leveranser per nät'!N$1,FALSE)/VLOOKUP($B468,Korrigeringsfaktor_EI,'Korrigeringsfaktor EI'!N$1,FALSE),
"")</f>
        <v>0</v>
      </c>
      <c r="O468" s="18">
        <f>IFERROR(
                  Andel_oberoende_av_klimat*VLOOKUP($A468,Leveranser_per_nät,'Leveranser per nät'!O$1,FALSE)
               +Andel_beroende_av_klimat*VLOOKUP($A468,Leveranser_per_nät,'Leveranser per nät'!O$1,FALSE)/VLOOKUP($B468,Korrigeringsfaktor_EI,'Korrigeringsfaktor EI'!O$1,FALSE),
"")</f>
        <v>0</v>
      </c>
      <c r="P468" s="18">
        <f>IFERROR(
                  Andel_oberoende_av_klimat*VLOOKUP($A468,Leveranser_per_nät,'Leveranser per nät'!P$1,FALSE)
               +Andel_beroende_av_klimat*VLOOKUP($A468,Leveranser_per_nät,'Leveranser per nät'!P$1,FALSE)/VLOOKUP($B468,Korrigeringsfaktor_EI,'Korrigeringsfaktor EI'!P$1,FALSE),
"")</f>
        <v>0</v>
      </c>
      <c r="Q468" s="18">
        <f>IFERROR(
                  Andel_oberoende_av_klimat*VLOOKUP($A468,Leveranser_per_nät,'Leveranser per nät'!Q$1,FALSE)
               +Andel_beroende_av_klimat*VLOOKUP($A468,Leveranser_per_nät,'Leveranser per nät'!Q$1,FALSE)/VLOOKUP($B468,Korrigeringsfaktor_EI,'Korrigeringsfaktor EI'!Q$1,FALSE),
"")</f>
        <v>0</v>
      </c>
      <c r="R468" s="18">
        <f>IFERROR(
                  Andel_oberoende_av_klimat*VLOOKUP($A468,Leveranser_per_nät,'Leveranser per nät'!R$1,FALSE)
               +Andel_beroende_av_klimat*VLOOKUP($A468,Leveranser_per_nät,'Leveranser per nät'!R$1,FALSE)/VLOOKUP($B468,Korrigeringsfaktor_EI,'Korrigeringsfaktor EI'!R$1,FALSE),
"")</f>
        <v>0</v>
      </c>
      <c r="S468" s="18">
        <f>IFERROR(
                  Andel_oberoende_av_klimat*VLOOKUP($A468,Leveranser_per_nät,'Leveranser per nät'!S$1,FALSE)
               +Andel_beroende_av_klimat*VLOOKUP($A468,Leveranser_per_nät,'Leveranser per nät'!S$1,FALSE)/VLOOKUP($B468,Korrigeringsfaktor_EI,'Korrigeringsfaktor EI'!S$1,FALSE),
"")</f>
        <v>0</v>
      </c>
      <c r="T468" s="18">
        <f>IFERROR(
                  Andel_oberoende_av_klimat*VLOOKUP($A468,Leveranser_per_nät,'Leveranser per nät'!T$1,FALSE)
               +Andel_beroende_av_klimat*VLOOKUP($A468,Leveranser_per_nät,'Leveranser per nät'!T$1,FALSE)/VLOOKUP($B468,Korrigeringsfaktor_EI,'Korrigeringsfaktor EI'!T$1,FALSE),
"")</f>
        <v>0</v>
      </c>
      <c r="U468" s="18">
        <f>IFERROR(
                  Andel_oberoende_av_klimat*VLOOKUP($A468,Leveranser_per_nät,'Leveranser per nät'!U$1,FALSE)
               +Andel_beroende_av_klimat*VLOOKUP($A468,Leveranser_per_nät,'Leveranser per nät'!U$1,FALSE)/VLOOKUP($B468,Korrigeringsfaktor_EI,'Korrigeringsfaktor EI'!U$1,FALSE),
"")</f>
        <v>0</v>
      </c>
      <c r="V468" s="18">
        <f>IFERROR(
                  Andel_oberoende_av_klimat*VLOOKUP($A468,Leveranser_per_nät,'Leveranser per nät'!V$1,FALSE)
               +Andel_beroende_av_klimat*VLOOKUP($A468,Leveranser_per_nät,'Leveranser per nät'!V$1,FALSE)/VLOOKUP($B468,Korrigeringsfaktor_EI,'Korrigeringsfaktor EI'!V$1,FALSE),
"")</f>
        <v>0</v>
      </c>
      <c r="W468" s="18">
        <f>IFERROR(
                  Andel_oberoende_av_klimat*VLOOKUP($A468,Leveranser_per_nät,'Leveranser per nät'!W$1,FALSE)
               +Andel_beroende_av_klimat*VLOOKUP($A468,Leveranser_per_nät,'Leveranser per nät'!W$1,FALSE)/VLOOKUP($B468,Korrigeringsfaktor_EI,'Korrigeringsfaktor EI'!W$1,FALSE),
"")</f>
        <v>0</v>
      </c>
      <c r="X468" s="18">
        <f>IFERROR(
                  Andel_oberoende_av_klimat*VLOOKUP($A468,Leveranser_per_nät,'Leveranser per nät'!X$1,FALSE)
               +Andel_beroende_av_klimat*VLOOKUP($A468,Leveranser_per_nät,'Leveranser per nät'!X$1,FALSE)/VLOOKUP($B468,Korrigeringsfaktor_EI,'Korrigeringsfaktor EI'!X$1,FALSE),
"")</f>
        <v>7.674096774193548</v>
      </c>
      <c r="Y468" s="18">
        <f>IFERROR(
                  Andel_oberoende_av_klimat*VLOOKUP($A468,Leveranser_per_nät,'Leveranser per nät'!Y$1,FALSE)
               +Andel_beroende_av_klimat*VLOOKUP($A468,Leveranser_per_nät,'Leveranser per nät'!Y$1,FALSE)/VLOOKUP($B468,Korrigeringsfaktor_EI,'Korrigeringsfaktor EI'!Y$1,FALSE),
"")</f>
        <v>8.4096404494382035</v>
      </c>
      <c r="Z468" s="18">
        <f>IFERROR(
                  Andel_oberoende_av_klimat*VLOOKUP($A468,Leveranser_per_nät,'Leveranser per nät'!Z$1,FALSE)
               +Andel_beroende_av_klimat*VLOOKUP($A468,Leveranser_per_nät,'Leveranser per nät'!Z$1,FALSE)/VLOOKUP($B468,Korrigeringsfaktor_EI,'Korrigeringsfaktor EI'!Z$1,FALSE),
"")</f>
        <v>7.8757816091954025</v>
      </c>
      <c r="AA468" s="18"/>
      <c r="AB468" s="18"/>
      <c r="AC468" s="18"/>
      <c r="AD468">
        <v>177.02</v>
      </c>
    </row>
    <row r="469" spans="1:30" x14ac:dyDescent="0.25">
      <c r="A469" t="s">
        <v>297</v>
      </c>
      <c r="B469" t="s">
        <v>357</v>
      </c>
      <c r="C469" s="18">
        <f>IFERROR(
                  Andel_oberoende_av_klimat*VLOOKUP($A469,Leveranser_per_nät,'Leveranser per nät'!C$1,FALSE)
               +Andel_beroende_av_klimat*VLOOKUP($A469,Leveranser_per_nät,'Leveranser per nät'!C$1,FALSE)/VLOOKUP($B469,Korrigeringsfaktor_EI,'Korrigeringsfaktor EI'!C$1,FALSE),
"")</f>
        <v>0</v>
      </c>
      <c r="D469" s="18">
        <f>IFERROR(
                  Andel_oberoende_av_klimat*VLOOKUP($A469,Leveranser_per_nät,'Leveranser per nät'!D$1,FALSE)
               +Andel_beroende_av_klimat*VLOOKUP($A469,Leveranser_per_nät,'Leveranser per nät'!D$1,FALSE)/VLOOKUP($B469,Korrigeringsfaktor_EI,'Korrigeringsfaktor EI'!D$1,FALSE),
"")</f>
        <v>0</v>
      </c>
      <c r="E469" s="18">
        <f>IFERROR(
                  Andel_oberoende_av_klimat*VLOOKUP($A469,Leveranser_per_nät,'Leveranser per nät'!E$1,FALSE)
               +Andel_beroende_av_klimat*VLOOKUP($A469,Leveranser_per_nät,'Leveranser per nät'!E$1,FALSE)/VLOOKUP($B469,Korrigeringsfaktor_EI,'Korrigeringsfaktor EI'!E$1,FALSE),
"")</f>
        <v>0</v>
      </c>
      <c r="F469" s="18">
        <f>IFERROR(
                  Andel_oberoende_av_klimat*VLOOKUP($A469,Leveranser_per_nät,'Leveranser per nät'!F$1,FALSE)
               +Andel_beroende_av_klimat*VLOOKUP($A469,Leveranser_per_nät,'Leveranser per nät'!F$1,FALSE)/VLOOKUP($B469,Korrigeringsfaktor_EI,'Korrigeringsfaktor EI'!F$1,FALSE),
"")</f>
        <v>0</v>
      </c>
      <c r="G469" s="18">
        <f>IFERROR(
                  Andel_oberoende_av_klimat*VLOOKUP($A469,Leveranser_per_nät,'Leveranser per nät'!G$1,FALSE)
               +Andel_beroende_av_klimat*VLOOKUP($A469,Leveranser_per_nät,'Leveranser per nät'!G$1,FALSE)/VLOOKUP($B469,Korrigeringsfaktor_EI,'Korrigeringsfaktor EI'!G$1,FALSE),
"")</f>
        <v>0</v>
      </c>
      <c r="H469" s="18">
        <f>IFERROR(
                  Andel_oberoende_av_klimat*VLOOKUP($A469,Leveranser_per_nät,'Leveranser per nät'!H$1,FALSE)
               +Andel_beroende_av_klimat*VLOOKUP($A469,Leveranser_per_nät,'Leveranser per nät'!H$1,FALSE)/VLOOKUP($B469,Korrigeringsfaktor_EI,'Korrigeringsfaktor EI'!H$1,FALSE),
"")</f>
        <v>0</v>
      </c>
      <c r="I469" s="18">
        <f>IFERROR(
                  Andel_oberoende_av_klimat*VLOOKUP($A469,Leveranser_per_nät,'Leveranser per nät'!I$1,FALSE)
               +Andel_beroende_av_klimat*VLOOKUP($A469,Leveranser_per_nät,'Leveranser per nät'!I$1,FALSE)/VLOOKUP($B469,Korrigeringsfaktor_EI,'Korrigeringsfaktor EI'!I$1,FALSE),
"")</f>
        <v>0</v>
      </c>
      <c r="J469" s="18">
        <f>IFERROR(
                  Andel_oberoende_av_klimat*VLOOKUP($A469,Leveranser_per_nät,'Leveranser per nät'!J$1,FALSE)
               +Andel_beroende_av_klimat*VLOOKUP($A469,Leveranser_per_nät,'Leveranser per nät'!J$1,FALSE)/VLOOKUP($B469,Korrigeringsfaktor_EI,'Korrigeringsfaktor EI'!J$1,FALSE),
"")</f>
        <v>0</v>
      </c>
      <c r="K469" s="18">
        <f>IFERROR(
                  Andel_oberoende_av_klimat*VLOOKUP($A469,Leveranser_per_nät,'Leveranser per nät'!K$1,FALSE)
               +Andel_beroende_av_klimat*VLOOKUP($A469,Leveranser_per_nät,'Leveranser per nät'!K$1,FALSE)/VLOOKUP($B469,Korrigeringsfaktor_EI,'Korrigeringsfaktor EI'!K$1,FALSE),
"")</f>
        <v>3.8822680412371131</v>
      </c>
      <c r="L469" s="18">
        <f>IFERROR(
                  Andel_oberoende_av_klimat*VLOOKUP($A469,Leveranser_per_nät,'Leveranser per nät'!L$1,FALSE)
               +Andel_beroende_av_klimat*VLOOKUP($A469,Leveranser_per_nät,'Leveranser per nät'!L$1,FALSE)/VLOOKUP($B469,Korrigeringsfaktor_EI,'Korrigeringsfaktor EI'!L$1,FALSE),
"")</f>
        <v>4.0002150537634407</v>
      </c>
      <c r="M469" s="18">
        <f>IFERROR(
                  Andel_oberoende_av_klimat*VLOOKUP($A469,Leveranser_per_nät,'Leveranser per nät'!M$1,FALSE)
               +Andel_beroende_av_klimat*VLOOKUP($A469,Leveranser_per_nät,'Leveranser per nät'!M$1,FALSE)/VLOOKUP($B469,Korrigeringsfaktor_EI,'Korrigeringsfaktor EI'!M$1,FALSE),
"")</f>
        <v>3.0765217391304347</v>
      </c>
      <c r="N469" s="18">
        <f>IFERROR(
                  Andel_oberoende_av_klimat*VLOOKUP($A469,Leveranser_per_nät,'Leveranser per nät'!N$1,FALSE)
               +Andel_beroende_av_klimat*VLOOKUP($A469,Leveranser_per_nät,'Leveranser per nät'!N$1,FALSE)/VLOOKUP($B469,Korrigeringsfaktor_EI,'Korrigeringsfaktor EI'!N$1,FALSE),
"")</f>
        <v>3.3178947368421055</v>
      </c>
      <c r="O469" s="18">
        <f>IFERROR(
                  Andel_oberoende_av_klimat*VLOOKUP($A469,Leveranser_per_nät,'Leveranser per nät'!O$1,FALSE)
               +Andel_beroende_av_klimat*VLOOKUP($A469,Leveranser_per_nät,'Leveranser per nät'!O$1,FALSE)/VLOOKUP($B469,Korrigeringsfaktor_EI,'Korrigeringsfaktor EI'!O$1,FALSE),
"")</f>
        <v>3.6844086021505373</v>
      </c>
      <c r="P469" s="18">
        <f>IFERROR(
                  Andel_oberoende_av_klimat*VLOOKUP($A469,Leveranser_per_nät,'Leveranser per nät'!P$1,FALSE)
               +Andel_beroende_av_klimat*VLOOKUP($A469,Leveranser_per_nät,'Leveranser per nät'!P$1,FALSE)/VLOOKUP($B469,Korrigeringsfaktor_EI,'Korrigeringsfaktor EI'!P$1,FALSE),
"")</f>
        <v>3.8268686868686865</v>
      </c>
      <c r="Q469" s="18">
        <f>IFERROR(
                  Andel_oberoende_av_klimat*VLOOKUP($A469,Leveranser_per_nät,'Leveranser per nät'!Q$1,FALSE)
               +Andel_beroende_av_klimat*VLOOKUP($A469,Leveranser_per_nät,'Leveranser per nät'!Q$1,FALSE)/VLOOKUP($B469,Korrigeringsfaktor_EI,'Korrigeringsfaktor EI'!Q$1,FALSE),
"")</f>
        <v>3.493982300884956</v>
      </c>
      <c r="R469" s="18">
        <f>IFERROR(
                  Andel_oberoende_av_klimat*VLOOKUP($A469,Leveranser_per_nät,'Leveranser per nät'!R$1,FALSE)
               +Andel_beroende_av_klimat*VLOOKUP($A469,Leveranser_per_nät,'Leveranser per nät'!R$1,FALSE)/VLOOKUP($B469,Korrigeringsfaktor_EI,'Korrigeringsfaktor EI'!R$1,FALSE),
"")</f>
        <v>3.7130434782608694</v>
      </c>
      <c r="S469" s="18">
        <f>IFERROR(
                  Andel_oberoende_av_klimat*VLOOKUP($A469,Leveranser_per_nät,'Leveranser per nät'!S$1,FALSE)
               +Andel_beroende_av_klimat*VLOOKUP($A469,Leveranser_per_nät,'Leveranser per nät'!S$1,FALSE)/VLOOKUP($B469,Korrigeringsfaktor_EI,'Korrigeringsfaktor EI'!S$1,FALSE),
"")</f>
        <v>2.9792079207920787</v>
      </c>
      <c r="T469" s="18">
        <f>IFERROR(
                  Andel_oberoende_av_klimat*VLOOKUP($A469,Leveranser_per_nät,'Leveranser per nät'!T$1,FALSE)
               +Andel_beroende_av_klimat*VLOOKUP($A469,Leveranser_per_nät,'Leveranser per nät'!T$1,FALSE)/VLOOKUP($B469,Korrigeringsfaktor_EI,'Korrigeringsfaktor EI'!T$1,FALSE),
"")</f>
        <v>2.8606185567010307</v>
      </c>
      <c r="U469" s="18" t="str">
        <f>IFERROR(
                  Andel_oberoende_av_klimat*VLOOKUP($A469,Leveranser_per_nät,'Leveranser per nät'!U$1,FALSE)
               +Andel_beroende_av_klimat*VLOOKUP($A469,Leveranser_per_nät,'Leveranser per nät'!U$1,FALSE)/VLOOKUP($B469,Korrigeringsfaktor_EI,'Korrigeringsfaktor EI'!U$1,FALSE),
"")</f>
        <v/>
      </c>
      <c r="V469" s="18" t="str">
        <f>IFERROR(
                  Andel_oberoende_av_klimat*VLOOKUP($A469,Leveranser_per_nät,'Leveranser per nät'!V$1,FALSE)
               +Andel_beroende_av_klimat*VLOOKUP($A469,Leveranser_per_nät,'Leveranser per nät'!V$1,FALSE)/VLOOKUP($B469,Korrigeringsfaktor_EI,'Korrigeringsfaktor EI'!V$1,FALSE),
"")</f>
        <v/>
      </c>
      <c r="W469" s="18" t="str">
        <f>IFERROR(
                  Andel_oberoende_av_klimat*VLOOKUP($A469,Leveranser_per_nät,'Leveranser per nät'!W$1,FALSE)
               +Andel_beroende_av_klimat*VLOOKUP($A469,Leveranser_per_nät,'Leveranser per nät'!W$1,FALSE)/VLOOKUP($B469,Korrigeringsfaktor_EI,'Korrigeringsfaktor EI'!W$1,FALSE),
"")</f>
        <v/>
      </c>
      <c r="X469" s="18" t="str">
        <f>IFERROR(
                  Andel_oberoende_av_klimat*VLOOKUP($A469,Leveranser_per_nät,'Leveranser per nät'!X$1,FALSE)
               +Andel_beroende_av_klimat*VLOOKUP($A469,Leveranser_per_nät,'Leveranser per nät'!X$1,FALSE)/VLOOKUP($B469,Korrigeringsfaktor_EI,'Korrigeringsfaktor EI'!X$1,FALSE),
"")</f>
        <v/>
      </c>
      <c r="Y469" s="18" t="str">
        <f>IFERROR(
                  Andel_oberoende_av_klimat*VLOOKUP($A469,Leveranser_per_nät,'Leveranser per nät'!Y$1,FALSE)
               +Andel_beroende_av_klimat*VLOOKUP($A469,Leveranser_per_nät,'Leveranser per nät'!Y$1,FALSE)/VLOOKUP($B469,Korrigeringsfaktor_EI,'Korrigeringsfaktor EI'!Y$1,FALSE),
"")</f>
        <v/>
      </c>
      <c r="Z469" s="18">
        <f>IFERROR(
                  Andel_oberoende_av_klimat*VLOOKUP($A469,Leveranser_per_nät,'Leveranser per nät'!Z$1,FALSE)
               +Andel_beroende_av_klimat*VLOOKUP($A469,Leveranser_per_nät,'Leveranser per nät'!Z$1,FALSE)/VLOOKUP($B469,Korrigeringsfaktor_EI,'Korrigeringsfaktor EI'!Z$1,FALSE),
"")</f>
        <v>0</v>
      </c>
      <c r="AA469" s="18" t="str">
        <f>IFERROR(
                  Andel_oberoende_av_klimat*VLOOKUP($A469,Leveranser_per_nät,'Leveranser per nät'!AA$1,FALSE)
               +Andel_beroende_av_klimat*VLOOKUP($A469,Leveranser_per_nät,'Leveranser per nät'!AA$1,FALSE)/VLOOKUP($B469,Korrigeringsfaktor_EI,'Korrigeringsfaktor EI'!AA$1,FALSE),
"")</f>
        <v/>
      </c>
      <c r="AB469" s="18">
        <f>IFERROR(
                  Andel_oberoende_av_klimat*VLOOKUP($A469,Leveranser_per_nät,'Leveranser per nät'!AB$1,FALSE)
               +Andel_beroende_av_klimat*VLOOKUP($A469,Leveranser_per_nät,'Leveranser per nät'!AB$1,FALSE)/VLOOKUP($B469,Korrigeringsfaktor_EI,'Korrigeringsfaktor EI'!AB$1,FALSE),
"")</f>
        <v>0</v>
      </c>
      <c r="AC469" s="18">
        <f>IFERROR(
                  Andel_oberoende_av_klimat*VLOOKUP($A469,Leveranser_per_nät,'Leveranser per nät'!AC$1,FALSE)
               +Andel_beroende_av_klimat*VLOOKUP($A469,Leveranser_per_nät,'Leveranser per nät'!AC$1,FALSE)/VLOOKUP($B469,Korrigeringsfaktor_EI,'Korrigeringsfaktor EI'!AC$1,FALSE),
"")</f>
        <v>0</v>
      </c>
      <c r="AD469">
        <v>88</v>
      </c>
    </row>
    <row r="470" spans="1:30" x14ac:dyDescent="0.25">
      <c r="A470" t="s">
        <v>133</v>
      </c>
      <c r="B470" t="s">
        <v>133</v>
      </c>
      <c r="C470" s="18">
        <f>IFERROR(
                  Andel_oberoende_av_klimat*VLOOKUP($A470,Leveranser_per_nät,'Leveranser per nät'!C$1,FALSE)
               +Andel_beroende_av_klimat*VLOOKUP($A470,Leveranser_per_nät,'Leveranser per nät'!C$1,FALSE)/VLOOKUP($B470,Korrigeringsfaktor_EI,'Korrigeringsfaktor EI'!C$1,FALSE),
"")</f>
        <v>183.3342342342342</v>
      </c>
      <c r="D470" s="18">
        <f>IFERROR(
                  Andel_oberoende_av_klimat*VLOOKUP($A470,Leveranser_per_nät,'Leveranser per nät'!D$1,FALSE)
               +Andel_beroende_av_klimat*VLOOKUP($A470,Leveranser_per_nät,'Leveranser per nät'!D$1,FALSE)/VLOOKUP($B470,Korrigeringsfaktor_EI,'Korrigeringsfaktor EI'!D$1,FALSE),
"")</f>
        <v>180.83</v>
      </c>
      <c r="E470" s="18">
        <f>IFERROR(
                  Andel_oberoende_av_klimat*VLOOKUP($A470,Leveranser_per_nät,'Leveranser per nät'!E$1,FALSE)
               +Andel_beroende_av_klimat*VLOOKUP($A470,Leveranser_per_nät,'Leveranser per nät'!E$1,FALSE)/VLOOKUP($B470,Korrigeringsfaktor_EI,'Korrigeringsfaktor EI'!E$1,FALSE),
"")</f>
        <v>188.77692307692308</v>
      </c>
      <c r="F470" s="18">
        <f>IFERROR(
                  Andel_oberoende_av_klimat*VLOOKUP($A470,Leveranser_per_nät,'Leveranser per nät'!F$1,FALSE)
               +Andel_beroende_av_klimat*VLOOKUP($A470,Leveranser_per_nät,'Leveranser per nät'!F$1,FALSE)/VLOOKUP($B470,Korrigeringsfaktor_EI,'Korrigeringsfaktor EI'!F$1,FALSE),
"")</f>
        <v>187.66842105263157</v>
      </c>
      <c r="G470" s="18">
        <f>IFERROR(
                  Andel_oberoende_av_klimat*VLOOKUP($A470,Leveranser_per_nät,'Leveranser per nät'!G$1,FALSE)
               +Andel_beroende_av_klimat*VLOOKUP($A470,Leveranser_per_nät,'Leveranser per nät'!G$1,FALSE)/VLOOKUP($B470,Korrigeringsfaktor_EI,'Korrigeringsfaktor EI'!G$1,FALSE),
"")</f>
        <v>195.07777777777778</v>
      </c>
      <c r="H470" s="18">
        <f>IFERROR(
                  Andel_oberoende_av_klimat*VLOOKUP($A470,Leveranser_per_nät,'Leveranser per nät'!H$1,FALSE)
               +Andel_beroende_av_klimat*VLOOKUP($A470,Leveranser_per_nät,'Leveranser per nät'!H$1,FALSE)/VLOOKUP($B470,Korrigeringsfaktor_EI,'Korrigeringsfaktor EI'!H$1,FALSE),
"")</f>
        <v>186</v>
      </c>
      <c r="I470" s="18">
        <f>IFERROR(
                  Andel_oberoende_av_klimat*VLOOKUP($A470,Leveranser_per_nät,'Leveranser per nät'!I$1,FALSE)
               +Andel_beroende_av_klimat*VLOOKUP($A470,Leveranser_per_nät,'Leveranser per nät'!I$1,FALSE)/VLOOKUP($B470,Korrigeringsfaktor_EI,'Korrigeringsfaktor EI'!I$1,FALSE),
"")</f>
        <v>231.91443298969074</v>
      </c>
      <c r="J470" s="18">
        <f>IFERROR(
                  Andel_oberoende_av_klimat*VLOOKUP($A470,Leveranser_per_nät,'Leveranser per nät'!J$1,FALSE)
               +Andel_beroende_av_klimat*VLOOKUP($A470,Leveranser_per_nät,'Leveranser per nät'!J$1,FALSE)/VLOOKUP($B470,Korrigeringsfaktor_EI,'Korrigeringsfaktor EI'!J$1,FALSE),
"")</f>
        <v>231.34700000000004</v>
      </c>
      <c r="K470" s="18">
        <f>IFERROR(
                  Andel_oberoende_av_klimat*VLOOKUP($A470,Leveranser_per_nät,'Leveranser per nät'!K$1,FALSE)
               +Andel_beroende_av_klimat*VLOOKUP($A470,Leveranser_per_nät,'Leveranser per nät'!K$1,FALSE)/VLOOKUP($B470,Korrigeringsfaktor_EI,'Korrigeringsfaktor EI'!K$1,FALSE),
"")</f>
        <v>213</v>
      </c>
      <c r="L470" s="18">
        <f>IFERROR(
                  Andel_oberoende_av_klimat*VLOOKUP($A470,Leveranser_per_nät,'Leveranser per nät'!L$1,FALSE)
               +Andel_beroende_av_klimat*VLOOKUP($A470,Leveranser_per_nät,'Leveranser per nät'!L$1,FALSE)/VLOOKUP($B470,Korrigeringsfaktor_EI,'Korrigeringsfaktor EI'!L$1,FALSE),
"")</f>
        <v>177.57339003946814</v>
      </c>
      <c r="M470" s="18">
        <f>IFERROR(
                  Andel_oberoende_av_klimat*VLOOKUP($A470,Leveranser_per_nät,'Leveranser per nät'!M$1,FALSE)
               +Andel_beroende_av_klimat*VLOOKUP($A470,Leveranser_per_nät,'Leveranser per nät'!M$1,FALSE)/VLOOKUP($B470,Korrigeringsfaktor_EI,'Korrigeringsfaktor EI'!M$1,FALSE),
"")</f>
        <v>175.48311827956988</v>
      </c>
      <c r="N470" s="18">
        <f>IFERROR(
                  Andel_oberoende_av_klimat*VLOOKUP($A470,Leveranser_per_nät,'Leveranser per nät'!N$1,FALSE)
               +Andel_beroende_av_klimat*VLOOKUP($A470,Leveranser_per_nät,'Leveranser per nät'!N$1,FALSE)/VLOOKUP($B470,Korrigeringsfaktor_EI,'Korrigeringsfaktor EI'!N$1,FALSE),
"")</f>
        <v>172.43032258064517</v>
      </c>
      <c r="O470" s="18">
        <f>IFERROR(
                  Andel_oberoende_av_klimat*VLOOKUP($A470,Leveranser_per_nät,'Leveranser per nät'!O$1,FALSE)
               +Andel_beroende_av_klimat*VLOOKUP($A470,Leveranser_per_nät,'Leveranser per nät'!O$1,FALSE)/VLOOKUP($B470,Korrigeringsfaktor_EI,'Korrigeringsfaktor EI'!O$1,FALSE),
"")</f>
        <v>172.39130434782606</v>
      </c>
      <c r="P470" s="18">
        <f>IFERROR(
                  Andel_oberoende_av_klimat*VLOOKUP($A470,Leveranser_per_nät,'Leveranser per nät'!P$1,FALSE)
               +Andel_beroende_av_klimat*VLOOKUP($A470,Leveranser_per_nät,'Leveranser per nät'!P$1,FALSE)/VLOOKUP($B470,Korrigeringsfaktor_EI,'Korrigeringsfaktor EI'!P$1,FALSE),
"")</f>
        <v>173.13857142857142</v>
      </c>
      <c r="Q470" s="18">
        <f>IFERROR(
                  Andel_oberoende_av_klimat*VLOOKUP($A470,Leveranser_per_nät,'Leveranser per nät'!Q$1,FALSE)
               +Andel_beroende_av_klimat*VLOOKUP($A470,Leveranser_per_nät,'Leveranser per nät'!Q$1,FALSE)/VLOOKUP($B470,Korrigeringsfaktor_EI,'Korrigeringsfaktor EI'!Q$1,FALSE),
"")</f>
        <v>174.86549549549551</v>
      </c>
      <c r="R470" s="18">
        <f>IFERROR(
                  Andel_oberoende_av_klimat*VLOOKUP($A470,Leveranser_per_nät,'Leveranser per nät'!R$1,FALSE)
               +Andel_beroende_av_klimat*VLOOKUP($A470,Leveranser_per_nät,'Leveranser per nät'!R$1,FALSE)/VLOOKUP($B470,Korrigeringsfaktor_EI,'Korrigeringsfaktor EI'!R$1,FALSE),
"")</f>
        <v>180.72166666666666</v>
      </c>
      <c r="S470" s="18">
        <f>IFERROR(
                  Andel_oberoende_av_klimat*VLOOKUP($A470,Leveranser_per_nät,'Leveranser per nät'!S$1,FALSE)
               +Andel_beroende_av_klimat*VLOOKUP($A470,Leveranser_per_nät,'Leveranser per nät'!S$1,FALSE)/VLOOKUP($B470,Korrigeringsfaktor_EI,'Korrigeringsfaktor EI'!S$1,FALSE),
"")</f>
        <v>178.51568627450979</v>
      </c>
      <c r="T470" s="18">
        <f>IFERROR(
                  Andel_oberoende_av_klimat*VLOOKUP($A470,Leveranser_per_nät,'Leveranser per nät'!T$1,FALSE)
               +Andel_beroende_av_klimat*VLOOKUP($A470,Leveranser_per_nät,'Leveranser per nät'!T$1,FALSE)/VLOOKUP($B470,Korrigeringsfaktor_EI,'Korrigeringsfaktor EI'!T$1,FALSE),
"")</f>
        <v>176.48571428571429</v>
      </c>
      <c r="U470" s="18">
        <f>IFERROR(
                  Andel_oberoende_av_klimat*VLOOKUP($A470,Leveranser_per_nät,'Leveranser per nät'!U$1,FALSE)
               +Andel_beroende_av_klimat*VLOOKUP($A470,Leveranser_per_nät,'Leveranser per nät'!U$1,FALSE)/VLOOKUP($B470,Korrigeringsfaktor_EI,'Korrigeringsfaktor EI'!U$1,FALSE),
"")</f>
        <v>174.64096774193547</v>
      </c>
      <c r="V470" s="18">
        <f>IFERROR(
                  Andel_oberoende_av_klimat*VLOOKUP($A470,Leveranser_per_nät,'Leveranser per nät'!V$1,FALSE)
               +Andel_beroende_av_klimat*VLOOKUP($A470,Leveranser_per_nät,'Leveranser per nät'!V$1,FALSE)/VLOOKUP($B470,Korrigeringsfaktor_EI,'Korrigeringsfaktor EI'!V$1,FALSE),
"")</f>
        <v>173.84555555555556</v>
      </c>
      <c r="W470" s="18">
        <f>IFERROR(
                  Andel_oberoende_av_klimat*VLOOKUP($A470,Leveranser_per_nät,'Leveranser per nät'!W$1,FALSE)
               +Andel_beroende_av_klimat*VLOOKUP($A470,Leveranser_per_nät,'Leveranser per nät'!W$1,FALSE)/VLOOKUP($B470,Korrigeringsfaktor_EI,'Korrigeringsfaktor EI'!W$1,FALSE),
"")</f>
        <v>176.03020618556701</v>
      </c>
      <c r="X470" s="18">
        <f>IFERROR(
                  Andel_oberoende_av_klimat*VLOOKUP($A470,Leveranser_per_nät,'Leveranser per nät'!X$1,FALSE)
               +Andel_beroende_av_klimat*VLOOKUP($A470,Leveranser_per_nät,'Leveranser per nät'!X$1,FALSE)/VLOOKUP($B470,Korrigeringsfaktor_EI,'Korrigeringsfaktor EI'!X$1,FALSE),
"")</f>
        <v>175.84671428571431</v>
      </c>
      <c r="Y470" s="18">
        <f>IFERROR(
                  Andel_oberoende_av_klimat*VLOOKUP($A470,Leveranser_per_nät,'Leveranser per nät'!Y$1,FALSE)
               +Andel_beroende_av_klimat*VLOOKUP($A470,Leveranser_per_nät,'Leveranser per nät'!Y$1,FALSE)/VLOOKUP($B470,Korrigeringsfaktor_EI,'Korrigeringsfaktor EI'!Y$1,FALSE),
"")</f>
        <v>181.40551304347827</v>
      </c>
      <c r="Z470" s="18">
        <f>IFERROR(
                  Andel_oberoende_av_klimat*VLOOKUP($A470,Leveranser_per_nät,'Leveranser per nät'!Z$1,FALSE)
               +Andel_beroende_av_klimat*VLOOKUP($A470,Leveranser_per_nät,'Leveranser per nät'!Z$1,FALSE)/VLOOKUP($B470,Korrigeringsfaktor_EI,'Korrigeringsfaktor EI'!Z$1,FALSE),
"")</f>
        <v>176.07782608695652</v>
      </c>
      <c r="AA470" s="18">
        <f>IFERROR(
                  Andel_oberoende_av_klimat*VLOOKUP($A470,Leveranser_per_nät,'Leveranser per nät'!AA$1,FALSE)
               +Andel_beroende_av_klimat*VLOOKUP($A470,Leveranser_per_nät,'Leveranser per nät'!AA$1,FALSE)/VLOOKUP($B470,Korrigeringsfaktor_EI,'Korrigeringsfaktor EI'!AA$1,FALSE),
"")</f>
        <v>172.91812775185289</v>
      </c>
      <c r="AB470" s="18">
        <f>IFERROR(
                  Andel_oberoende_av_klimat*VLOOKUP($A470,Leveranser_per_nät,'Leveranser per nät'!AB$1,FALSE)
               +Andel_beroende_av_klimat*VLOOKUP($A470,Leveranser_per_nät,'Leveranser per nät'!AB$1,FALSE)/VLOOKUP($B470,Korrigeringsfaktor_EI,'Korrigeringsfaktor EI'!AB$1,FALSE),
"")</f>
        <v>180.59185352112672</v>
      </c>
      <c r="AC470" s="18">
        <f>IFERROR(
                  Andel_oberoende_av_klimat*VLOOKUP($A470,Leveranser_per_nät,'Leveranser per nät'!AC$1,FALSE)
               +Andel_beroende_av_klimat*VLOOKUP($A470,Leveranser_per_nät,'Leveranser per nät'!AC$1,FALSE)/VLOOKUP($B470,Korrigeringsfaktor_EI,'Korrigeringsfaktor EI'!AC$1,FALSE),
"")</f>
        <v>181.00944246575341</v>
      </c>
      <c r="AD470">
        <v>174.447</v>
      </c>
    </row>
    <row r="471" spans="1:30" x14ac:dyDescent="0.25">
      <c r="A471" t="s">
        <v>4</v>
      </c>
      <c r="B471" t="s">
        <v>2</v>
      </c>
      <c r="C471" s="18">
        <f>IFERROR(
                  Andel_oberoende_av_klimat*VLOOKUP($A471,Leveranser_per_nät,'Leveranser per nät'!C$1,FALSE)
               +Andel_beroende_av_klimat*VLOOKUP($A471,Leveranser_per_nät,'Leveranser per nät'!C$1,FALSE)/VLOOKUP($B471,Korrigeringsfaktor_EI,'Korrigeringsfaktor EI'!C$1,FALSE),
"")</f>
        <v>0</v>
      </c>
      <c r="D471" s="18">
        <f>IFERROR(
                  Andel_oberoende_av_klimat*VLOOKUP($A471,Leveranser_per_nät,'Leveranser per nät'!D$1,FALSE)
               +Andel_beroende_av_klimat*VLOOKUP($A471,Leveranser_per_nät,'Leveranser per nät'!D$1,FALSE)/VLOOKUP($B471,Korrigeringsfaktor_EI,'Korrigeringsfaktor EI'!D$1,FALSE),
"")</f>
        <v>0</v>
      </c>
      <c r="E471" s="18">
        <f>IFERROR(
                  Andel_oberoende_av_klimat*VLOOKUP($A471,Leveranser_per_nät,'Leveranser per nät'!E$1,FALSE)
               +Andel_beroende_av_klimat*VLOOKUP($A471,Leveranser_per_nät,'Leveranser per nät'!E$1,FALSE)/VLOOKUP($B471,Korrigeringsfaktor_EI,'Korrigeringsfaktor EI'!E$1,FALSE),
"")</f>
        <v>0</v>
      </c>
      <c r="F471" s="18">
        <f>IFERROR(
                  Andel_oberoende_av_klimat*VLOOKUP($A471,Leveranser_per_nät,'Leveranser per nät'!F$1,FALSE)
               +Andel_beroende_av_klimat*VLOOKUP($A471,Leveranser_per_nät,'Leveranser per nät'!F$1,FALSE)/VLOOKUP($B471,Korrigeringsfaktor_EI,'Korrigeringsfaktor EI'!F$1,FALSE),
"")</f>
        <v>0</v>
      </c>
      <c r="G471" s="18">
        <f>IFERROR(
                  Andel_oberoende_av_klimat*VLOOKUP($A471,Leveranser_per_nät,'Leveranser per nät'!G$1,FALSE)
               +Andel_beroende_av_klimat*VLOOKUP($A471,Leveranser_per_nät,'Leveranser per nät'!G$1,FALSE)/VLOOKUP($B471,Korrigeringsfaktor_EI,'Korrigeringsfaktor EI'!G$1,FALSE),
"")</f>
        <v>0</v>
      </c>
      <c r="H471" s="18">
        <f>IFERROR(
                  Andel_oberoende_av_klimat*VLOOKUP($A471,Leveranser_per_nät,'Leveranser per nät'!H$1,FALSE)
               +Andel_beroende_av_klimat*VLOOKUP($A471,Leveranser_per_nät,'Leveranser per nät'!H$1,FALSE)/VLOOKUP($B471,Korrigeringsfaktor_EI,'Korrigeringsfaktor EI'!H$1,FALSE),
"")</f>
        <v>0</v>
      </c>
      <c r="I471" s="18">
        <f>IFERROR(
                  Andel_oberoende_av_klimat*VLOOKUP($A471,Leveranser_per_nät,'Leveranser per nät'!I$1,FALSE)
               +Andel_beroende_av_klimat*VLOOKUP($A471,Leveranser_per_nät,'Leveranser per nät'!I$1,FALSE)/VLOOKUP($B471,Korrigeringsfaktor_EI,'Korrigeringsfaktor EI'!I$1,FALSE),
"")</f>
        <v>0</v>
      </c>
      <c r="J471" s="18">
        <f>IFERROR(
                  Andel_oberoende_av_klimat*VLOOKUP($A471,Leveranser_per_nät,'Leveranser per nät'!J$1,FALSE)
               +Andel_beroende_av_klimat*VLOOKUP($A471,Leveranser_per_nät,'Leveranser per nät'!J$1,FALSE)/VLOOKUP($B471,Korrigeringsfaktor_EI,'Korrigeringsfaktor EI'!J$1,FALSE),
"")</f>
        <v>12.171428571428571</v>
      </c>
      <c r="K471" s="18">
        <f>IFERROR(
                  Andel_oberoende_av_klimat*VLOOKUP($A471,Leveranser_per_nät,'Leveranser per nät'!K$1,FALSE)
               +Andel_beroende_av_klimat*VLOOKUP($A471,Leveranser_per_nät,'Leveranser per nät'!K$1,FALSE)/VLOOKUP($B471,Korrigeringsfaktor_EI,'Korrigeringsfaktor EI'!K$1,FALSE),
"")</f>
        <v>18.778847474747472</v>
      </c>
      <c r="L471" s="18">
        <f>IFERROR(
                  Andel_oberoende_av_klimat*VLOOKUP($A471,Leveranser_per_nät,'Leveranser per nät'!L$1,FALSE)
               +Andel_beroende_av_klimat*VLOOKUP($A471,Leveranser_per_nät,'Leveranser per nät'!L$1,FALSE)/VLOOKUP($B471,Korrigeringsfaktor_EI,'Korrigeringsfaktor EI'!L$1,FALSE),
"")</f>
        <v>19.190870833333332</v>
      </c>
      <c r="M471" s="18">
        <f>IFERROR(
                  Andel_oberoende_av_klimat*VLOOKUP($A471,Leveranser_per_nät,'Leveranser per nät'!M$1,FALSE)
               +Andel_beroende_av_klimat*VLOOKUP($A471,Leveranser_per_nät,'Leveranser per nät'!M$1,FALSE)/VLOOKUP($B471,Korrigeringsfaktor_EI,'Korrigeringsfaktor EI'!M$1,FALSE),
"")</f>
        <v>22.278260869565216</v>
      </c>
      <c r="N471" s="18">
        <f>IFERROR(
                  Andel_oberoende_av_klimat*VLOOKUP($A471,Leveranser_per_nät,'Leveranser per nät'!N$1,FALSE)
               +Andel_beroende_av_klimat*VLOOKUP($A471,Leveranser_per_nät,'Leveranser per nät'!N$1,FALSE)/VLOOKUP($B471,Korrigeringsfaktor_EI,'Korrigeringsfaktor EI'!N$1,FALSE),
"")</f>
        <v>28.869230769230768</v>
      </c>
      <c r="O471" s="18">
        <f>IFERROR(
                  Andel_oberoende_av_klimat*VLOOKUP($A471,Leveranser_per_nät,'Leveranser per nät'!O$1,FALSE)
               +Andel_beroende_av_klimat*VLOOKUP($A471,Leveranser_per_nät,'Leveranser per nät'!O$1,FALSE)/VLOOKUP($B471,Korrigeringsfaktor_EI,'Korrigeringsfaktor EI'!O$1,FALSE),
"")</f>
        <v>30.765217391304347</v>
      </c>
      <c r="P471" s="18">
        <f>IFERROR(
                  Andel_oberoende_av_klimat*VLOOKUP($A471,Leveranser_per_nät,'Leveranser per nät'!P$1,FALSE)
               +Andel_beroende_av_klimat*VLOOKUP($A471,Leveranser_per_nät,'Leveranser per nät'!P$1,FALSE)/VLOOKUP($B471,Korrigeringsfaktor_EI,'Korrigeringsfaktor EI'!P$1,FALSE),
"")</f>
        <v>29.845833333333331</v>
      </c>
      <c r="Q471" s="18">
        <f>IFERROR(
                  Andel_oberoende_av_klimat*VLOOKUP($A471,Leveranser_per_nät,'Leveranser per nät'!Q$1,FALSE)
               +Andel_beroende_av_klimat*VLOOKUP($A471,Leveranser_per_nät,'Leveranser per nät'!Q$1,FALSE)/VLOOKUP($B471,Korrigeringsfaktor_EI,'Korrigeringsfaktor EI'!Q$1,FALSE),
"")</f>
        <v>30.524999999999999</v>
      </c>
      <c r="R471" s="18">
        <f>IFERROR(
                  Andel_oberoende_av_klimat*VLOOKUP($A471,Leveranser_per_nät,'Leveranser per nät'!R$1,FALSE)
               +Andel_beroende_av_klimat*VLOOKUP($A471,Leveranser_per_nät,'Leveranser per nät'!R$1,FALSE)/VLOOKUP($B471,Korrigeringsfaktor_EI,'Korrigeringsfaktor EI'!R$1,FALSE),
"")</f>
        <v>16.485096774193547</v>
      </c>
      <c r="S471" s="18">
        <f>IFERROR(
                  Andel_oberoende_av_klimat*VLOOKUP($A471,Leveranser_per_nät,'Leveranser per nät'!S$1,FALSE)
               +Andel_beroende_av_klimat*VLOOKUP($A471,Leveranser_per_nät,'Leveranser per nät'!S$1,FALSE)/VLOOKUP($B471,Korrigeringsfaktor_EI,'Korrigeringsfaktor EI'!S$1,FALSE),
"")</f>
        <v>17.478019801980199</v>
      </c>
      <c r="T471" s="18">
        <f>IFERROR(
                  Andel_oberoende_av_klimat*VLOOKUP($A471,Leveranser_per_nät,'Leveranser per nät'!T$1,FALSE)
               +Andel_beroende_av_klimat*VLOOKUP($A471,Leveranser_per_nät,'Leveranser per nät'!T$1,FALSE)/VLOOKUP($B471,Korrigeringsfaktor_EI,'Korrigeringsfaktor EI'!T$1,FALSE),
"")</f>
        <v>13.595454545454546</v>
      </c>
      <c r="U471" s="18">
        <f>IFERROR(
                  Andel_oberoende_av_klimat*VLOOKUP($A471,Leveranser_per_nät,'Leveranser per nät'!U$1,FALSE)
               +Andel_beroende_av_klimat*VLOOKUP($A471,Leveranser_per_nät,'Leveranser per nät'!U$1,FALSE)/VLOOKUP($B471,Korrigeringsfaktor_EI,'Korrigeringsfaktor EI'!U$1,FALSE),
"")</f>
        <v>14.788636363636364</v>
      </c>
      <c r="V471" s="18">
        <f>IFERROR(
                  Andel_oberoende_av_klimat*VLOOKUP($A471,Leveranser_per_nät,'Leveranser per nät'!V$1,FALSE)
               +Andel_beroende_av_klimat*VLOOKUP($A471,Leveranser_per_nät,'Leveranser per nät'!V$1,FALSE)/VLOOKUP($B471,Korrigeringsfaktor_EI,'Korrigeringsfaktor EI'!V$1,FALSE),
"")</f>
        <v>20.899130434782609</v>
      </c>
      <c r="W471" s="18">
        <f>IFERROR(
                  Andel_oberoende_av_klimat*VLOOKUP($A471,Leveranser_per_nät,'Leveranser per nät'!W$1,FALSE)
               +Andel_beroende_av_klimat*VLOOKUP($A471,Leveranser_per_nät,'Leveranser per nät'!W$1,FALSE)/VLOOKUP($B471,Korrigeringsfaktor_EI,'Korrigeringsfaktor EI'!W$1,FALSE),
"")</f>
        <v>20.342842105263159</v>
      </c>
      <c r="X471" s="18">
        <f>IFERROR(
                  Andel_oberoende_av_klimat*VLOOKUP($A471,Leveranser_per_nät,'Leveranser per nät'!X$1,FALSE)
               +Andel_beroende_av_klimat*VLOOKUP($A471,Leveranser_per_nät,'Leveranser per nät'!X$1,FALSE)/VLOOKUP($B471,Korrigeringsfaktor_EI,'Korrigeringsfaktor EI'!X$1,FALSE),
"")</f>
        <v>19.431063829787234</v>
      </c>
      <c r="Y471" s="18">
        <f>IFERROR(
                  Andel_oberoende_av_klimat*VLOOKUP($A471,Leveranser_per_nät,'Leveranser per nät'!Y$1,FALSE)
               +Andel_beroende_av_klimat*VLOOKUP($A471,Leveranser_per_nät,'Leveranser per nät'!Y$1,FALSE)/VLOOKUP($B471,Korrigeringsfaktor_EI,'Korrigeringsfaktor EI'!Y$1,FALSE),
"")</f>
        <v>11.593134831460674</v>
      </c>
      <c r="Z471" s="18">
        <f>IFERROR(
                  Andel_oberoende_av_klimat*VLOOKUP($A471,Leveranser_per_nät,'Leveranser per nät'!Z$1,FALSE)
               +Andel_beroende_av_klimat*VLOOKUP($A471,Leveranser_per_nät,'Leveranser per nät'!Z$1,FALSE)/VLOOKUP($B471,Korrigeringsfaktor_EI,'Korrigeringsfaktor EI'!Z$1,FALSE),
"")</f>
        <v>17.702545454545454</v>
      </c>
      <c r="AA471" s="18">
        <f>IFERROR(
                  Andel_oberoende_av_klimat*VLOOKUP($A471,Leveranser_per_nät,'Leveranser per nät'!AA$1,FALSE)
               +Andel_beroende_av_klimat*VLOOKUP($A471,Leveranser_per_nät,'Leveranser per nät'!AA$1,FALSE)/VLOOKUP($B471,Korrigeringsfaktor_EI,'Korrigeringsfaktor EI'!AA$1,FALSE),
"")</f>
        <v>17.124284523189161</v>
      </c>
      <c r="AB471" s="18">
        <f>IFERROR(
                  Andel_oberoende_av_klimat*VLOOKUP($A471,Leveranser_per_nät,'Leveranser per nät'!AB$1,FALSE)
               +Andel_beroende_av_klimat*VLOOKUP($A471,Leveranser_per_nät,'Leveranser per nät'!AB$1,FALSE)/VLOOKUP($B471,Korrigeringsfaktor_EI,'Korrigeringsfaktor EI'!AB$1,FALSE),
"")</f>
        <v>18.63231496062992</v>
      </c>
      <c r="AC471" s="18">
        <f>IFERROR(
                  Andel_oberoende_av_klimat*VLOOKUP($A471,Leveranser_per_nät,'Leveranser per nät'!AC$1,FALSE)
               +Andel_beroende_av_klimat*VLOOKUP($A471,Leveranser_per_nät,'Leveranser per nät'!AC$1,FALSE)/VLOOKUP($B471,Korrigeringsfaktor_EI,'Korrigeringsfaktor EI'!AC$1,FALSE),
"")</f>
        <v>19.59454430379747</v>
      </c>
      <c r="AD471">
        <v>53.42</v>
      </c>
    </row>
    <row r="472" spans="1:30" x14ac:dyDescent="0.25">
      <c r="A472" s="3" t="s">
        <v>100</v>
      </c>
      <c r="B472" t="s">
        <v>163</v>
      </c>
      <c r="C472" s="18">
        <f>IFERROR(
                  Andel_oberoende_av_klimat*VLOOKUP($A472,Leveranser_per_nät,'Leveranser per nät'!C$1,FALSE)
               +Andel_beroende_av_klimat*VLOOKUP($A472,Leveranser_per_nät,'Leveranser per nät'!C$1,FALSE)/VLOOKUP($B472,Korrigeringsfaktor_EI,'Korrigeringsfaktor EI'!C$1,FALSE),
"")</f>
        <v>0</v>
      </c>
      <c r="D472" s="18">
        <f>IFERROR(
                  Andel_oberoende_av_klimat*VLOOKUP($A472,Leveranser_per_nät,'Leveranser per nät'!D$1,FALSE)
               +Andel_beroende_av_klimat*VLOOKUP($A472,Leveranser_per_nät,'Leveranser per nät'!D$1,FALSE)/VLOOKUP($B472,Korrigeringsfaktor_EI,'Korrigeringsfaktor EI'!D$1,FALSE),
"")</f>
        <v>0</v>
      </c>
      <c r="E472" s="18">
        <f>IFERROR(
                  Andel_oberoende_av_klimat*VLOOKUP($A472,Leveranser_per_nät,'Leveranser per nät'!E$1,FALSE)
               +Andel_beroende_av_klimat*VLOOKUP($A472,Leveranser_per_nät,'Leveranser per nät'!E$1,FALSE)/VLOOKUP($B472,Korrigeringsfaktor_EI,'Korrigeringsfaktor EI'!E$1,FALSE),
"")</f>
        <v>0</v>
      </c>
      <c r="F472" s="18">
        <f>IFERROR(
                  Andel_oberoende_av_klimat*VLOOKUP($A472,Leveranser_per_nät,'Leveranser per nät'!F$1,FALSE)
               +Andel_beroende_av_klimat*VLOOKUP($A472,Leveranser_per_nät,'Leveranser per nät'!F$1,FALSE)/VLOOKUP($B472,Korrigeringsfaktor_EI,'Korrigeringsfaktor EI'!F$1,FALSE),
"")</f>
        <v>0</v>
      </c>
      <c r="G472" s="18">
        <f>IFERROR(
                  Andel_oberoende_av_klimat*VLOOKUP($A472,Leveranser_per_nät,'Leveranser per nät'!G$1,FALSE)
               +Andel_beroende_av_klimat*VLOOKUP($A472,Leveranser_per_nät,'Leveranser per nät'!G$1,FALSE)/VLOOKUP($B472,Korrigeringsfaktor_EI,'Korrigeringsfaktor EI'!G$1,FALSE),
"")</f>
        <v>0</v>
      </c>
      <c r="H472" s="18">
        <f>IFERROR(
                  Andel_oberoende_av_klimat*VLOOKUP($A472,Leveranser_per_nät,'Leveranser per nät'!H$1,FALSE)
               +Andel_beroende_av_klimat*VLOOKUP($A472,Leveranser_per_nät,'Leveranser per nät'!H$1,FALSE)/VLOOKUP($B472,Korrigeringsfaktor_EI,'Korrigeringsfaktor EI'!H$1,FALSE),
"")</f>
        <v>0</v>
      </c>
      <c r="I472" s="18">
        <f>IFERROR(
                  Andel_oberoende_av_klimat*VLOOKUP($A472,Leveranser_per_nät,'Leveranser per nät'!I$1,FALSE)
               +Andel_beroende_av_klimat*VLOOKUP($A472,Leveranser_per_nät,'Leveranser per nät'!I$1,FALSE)/VLOOKUP($B472,Korrigeringsfaktor_EI,'Korrigeringsfaktor EI'!I$1,FALSE),
"")</f>
        <v>0</v>
      </c>
      <c r="J472" s="18">
        <f>IFERROR(
                  Andel_oberoende_av_klimat*VLOOKUP($A472,Leveranser_per_nät,'Leveranser per nät'!J$1,FALSE)
               +Andel_beroende_av_klimat*VLOOKUP($A472,Leveranser_per_nät,'Leveranser per nät'!J$1,FALSE)/VLOOKUP($B472,Korrigeringsfaktor_EI,'Korrigeringsfaktor EI'!J$1,FALSE),
"")</f>
        <v>0</v>
      </c>
      <c r="K472" s="18">
        <f>IFERROR(
                  Andel_oberoende_av_klimat*VLOOKUP($A472,Leveranser_per_nät,'Leveranser per nät'!K$1,FALSE)
               +Andel_beroende_av_klimat*VLOOKUP($A472,Leveranser_per_nät,'Leveranser per nät'!K$1,FALSE)/VLOOKUP($B472,Korrigeringsfaktor_EI,'Korrigeringsfaktor EI'!K$1,FALSE),
"")</f>
        <v>0</v>
      </c>
      <c r="L472" s="18">
        <f>IFERROR(
                  Andel_oberoende_av_klimat*VLOOKUP($A472,Leveranser_per_nät,'Leveranser per nät'!L$1,FALSE)
               +Andel_beroende_av_klimat*VLOOKUP($A472,Leveranser_per_nät,'Leveranser per nät'!L$1,FALSE)/VLOOKUP($B472,Korrigeringsfaktor_EI,'Korrigeringsfaktor EI'!L$1,FALSE),
"")</f>
        <v>0</v>
      </c>
      <c r="M472" s="18">
        <f>IFERROR(
                  Andel_oberoende_av_klimat*VLOOKUP($A472,Leveranser_per_nät,'Leveranser per nät'!M$1,FALSE)
               +Andel_beroende_av_klimat*VLOOKUP($A472,Leveranser_per_nät,'Leveranser per nät'!M$1,FALSE)/VLOOKUP($B472,Korrigeringsfaktor_EI,'Korrigeringsfaktor EI'!M$1,FALSE),
"")</f>
        <v>0</v>
      </c>
      <c r="N472" s="18">
        <f>IFERROR(
                  Andel_oberoende_av_klimat*VLOOKUP($A472,Leveranser_per_nät,'Leveranser per nät'!N$1,FALSE)
               +Andel_beroende_av_klimat*VLOOKUP($A472,Leveranser_per_nät,'Leveranser per nät'!N$1,FALSE)/VLOOKUP($B472,Korrigeringsfaktor_EI,'Korrigeringsfaktor EI'!N$1,FALSE),
"")</f>
        <v>0</v>
      </c>
      <c r="O472" s="18">
        <f>IFERROR(
                  Andel_oberoende_av_klimat*VLOOKUP($A472,Leveranser_per_nät,'Leveranser per nät'!O$1,FALSE)
               +Andel_beroende_av_klimat*VLOOKUP($A472,Leveranser_per_nät,'Leveranser per nät'!O$1,FALSE)/VLOOKUP($B472,Korrigeringsfaktor_EI,'Korrigeringsfaktor EI'!O$1,FALSE),
"")</f>
        <v>0</v>
      </c>
      <c r="P472" s="18">
        <f>IFERROR(
                  Andel_oberoende_av_klimat*VLOOKUP($A472,Leveranser_per_nät,'Leveranser per nät'!P$1,FALSE)
               +Andel_beroende_av_klimat*VLOOKUP($A472,Leveranser_per_nät,'Leveranser per nät'!P$1,FALSE)/VLOOKUP($B472,Korrigeringsfaktor_EI,'Korrigeringsfaktor EI'!P$1,FALSE),
"")</f>
        <v>3.0428571428571427</v>
      </c>
      <c r="Q472" s="18">
        <f>IFERROR(
                  Andel_oberoende_av_klimat*VLOOKUP($A472,Leveranser_per_nät,'Leveranser per nät'!Q$1,FALSE)
               +Andel_beroende_av_klimat*VLOOKUP($A472,Leveranser_per_nät,'Leveranser per nät'!Q$1,FALSE)/VLOOKUP($B472,Korrigeringsfaktor_EI,'Korrigeringsfaktor EI'!Q$1,FALSE),
"")</f>
        <v>2.59</v>
      </c>
      <c r="R472" s="18">
        <f>IFERROR(
                  Andel_oberoende_av_klimat*VLOOKUP($A472,Leveranser_per_nät,'Leveranser per nät'!R$1,FALSE)
               +Andel_beroende_av_klimat*VLOOKUP($A472,Leveranser_per_nät,'Leveranser per nät'!R$1,FALSE)/VLOOKUP($B472,Korrigeringsfaktor_EI,'Korrigeringsfaktor EI'!R$1,FALSE),
"")</f>
        <v>0</v>
      </c>
      <c r="S472" s="18" t="str">
        <f>IFERROR(
                  Andel_oberoende_av_klimat*VLOOKUP($A472,Leveranser_per_nät,'Leveranser per nät'!S$1,FALSE)
               +Andel_beroende_av_klimat*VLOOKUP($A472,Leveranser_per_nät,'Leveranser per nät'!S$1,FALSE)/VLOOKUP($B472,Korrigeringsfaktor_EI,'Korrigeringsfaktor EI'!S$1,FALSE),
"")</f>
        <v/>
      </c>
      <c r="T472" s="18" t="str">
        <f>IFERROR(
                  Andel_oberoende_av_klimat*VLOOKUP($A472,Leveranser_per_nät,'Leveranser per nät'!T$1,FALSE)
               +Andel_beroende_av_klimat*VLOOKUP($A472,Leveranser_per_nät,'Leveranser per nät'!T$1,FALSE)/VLOOKUP($B472,Korrigeringsfaktor_EI,'Korrigeringsfaktor EI'!T$1,FALSE),
"")</f>
        <v/>
      </c>
      <c r="U472" s="18" t="str">
        <f>IFERROR(
                  Andel_oberoende_av_klimat*VLOOKUP($A472,Leveranser_per_nät,'Leveranser per nät'!U$1,FALSE)
               +Andel_beroende_av_klimat*VLOOKUP($A472,Leveranser_per_nät,'Leveranser per nät'!U$1,FALSE)/VLOOKUP($B472,Korrigeringsfaktor_EI,'Korrigeringsfaktor EI'!U$1,FALSE),
"")</f>
        <v/>
      </c>
      <c r="V472" s="18" t="str">
        <f>IFERROR(
                  Andel_oberoende_av_klimat*VLOOKUP($A472,Leveranser_per_nät,'Leveranser per nät'!V$1,FALSE)
               +Andel_beroende_av_klimat*VLOOKUP($A472,Leveranser_per_nät,'Leveranser per nät'!V$1,FALSE)/VLOOKUP($B472,Korrigeringsfaktor_EI,'Korrigeringsfaktor EI'!V$1,FALSE),
"")</f>
        <v/>
      </c>
      <c r="W472" s="18" t="str">
        <f>IFERROR(
                  Andel_oberoende_av_klimat*VLOOKUP($A472,Leveranser_per_nät,'Leveranser per nät'!W$1,FALSE)
               +Andel_beroende_av_klimat*VLOOKUP($A472,Leveranser_per_nät,'Leveranser per nät'!W$1,FALSE)/VLOOKUP($B472,Korrigeringsfaktor_EI,'Korrigeringsfaktor EI'!W$1,FALSE),
"")</f>
        <v/>
      </c>
      <c r="X472" s="18" t="str">
        <f>IFERROR(
                  Andel_oberoende_av_klimat*VLOOKUP($A472,Leveranser_per_nät,'Leveranser per nät'!X$1,FALSE)
               +Andel_beroende_av_klimat*VLOOKUP($A472,Leveranser_per_nät,'Leveranser per nät'!X$1,FALSE)/VLOOKUP($B472,Korrigeringsfaktor_EI,'Korrigeringsfaktor EI'!X$1,FALSE),
"")</f>
        <v/>
      </c>
      <c r="Y472" s="18" t="str">
        <f>IFERROR(
                  Andel_oberoende_av_klimat*VLOOKUP($A472,Leveranser_per_nät,'Leveranser per nät'!Y$1,FALSE)
               +Andel_beroende_av_klimat*VLOOKUP($A472,Leveranser_per_nät,'Leveranser per nät'!Y$1,FALSE)/VLOOKUP($B472,Korrigeringsfaktor_EI,'Korrigeringsfaktor EI'!Y$1,FALSE),
"")</f>
        <v/>
      </c>
      <c r="Z472" s="18">
        <f>IFERROR(
                  Andel_oberoende_av_klimat*VLOOKUP($A472,Leveranser_per_nät,'Leveranser per nät'!Z$1,FALSE)
               +Andel_beroende_av_klimat*VLOOKUP($A472,Leveranser_per_nät,'Leveranser per nät'!Z$1,FALSE)/VLOOKUP($B472,Korrigeringsfaktor_EI,'Korrigeringsfaktor EI'!Z$1,FALSE),
"")</f>
        <v>0</v>
      </c>
      <c r="AA472" s="18" t="str">
        <f>IFERROR(
                  Andel_oberoende_av_klimat*VLOOKUP($A472,Leveranser_per_nät,'Leveranser per nät'!AA$1,FALSE)
               +Andel_beroende_av_klimat*VLOOKUP($A472,Leveranser_per_nät,'Leveranser per nät'!AA$1,FALSE)/VLOOKUP($B472,Korrigeringsfaktor_EI,'Korrigeringsfaktor EI'!AA$1,FALSE),
"")</f>
        <v/>
      </c>
      <c r="AB472" s="18">
        <f>IFERROR(
                  Andel_oberoende_av_klimat*VLOOKUP($A472,Leveranser_per_nät,'Leveranser per nät'!AB$1,FALSE)
               +Andel_beroende_av_klimat*VLOOKUP($A472,Leveranser_per_nät,'Leveranser per nät'!AB$1,FALSE)/VLOOKUP($B472,Korrigeringsfaktor_EI,'Korrigeringsfaktor EI'!AB$1,FALSE),
"")</f>
        <v>0</v>
      </c>
      <c r="AC472" s="18">
        <f>IFERROR(
                  Andel_oberoende_av_klimat*VLOOKUP($A472,Leveranser_per_nät,'Leveranser per nät'!AC$1,FALSE)
               +Andel_beroende_av_klimat*VLOOKUP($A472,Leveranser_per_nät,'Leveranser per nät'!AC$1,FALSE)/VLOOKUP($B472,Korrigeringsfaktor_EI,'Korrigeringsfaktor EI'!AC$1,FALSE),
"")</f>
        <v>0</v>
      </c>
      <c r="AD472" t="e">
        <v>#N/A</v>
      </c>
    </row>
    <row r="473" spans="1:30" x14ac:dyDescent="0.25">
      <c r="A473" t="s">
        <v>305</v>
      </c>
      <c r="B473" t="s">
        <v>505</v>
      </c>
      <c r="C473" s="18">
        <f>IFERROR(
                  Andel_oberoende_av_klimat*VLOOKUP($A473,Leveranser_per_nät,'Leveranser per nät'!C$1,FALSE)
               +Andel_beroende_av_klimat*VLOOKUP($A473,Leveranser_per_nät,'Leveranser per nät'!C$1,FALSE)/VLOOKUP($B473,Korrigeringsfaktor_EI,'Korrigeringsfaktor EI'!C$1,FALSE),
"")</f>
        <v>0</v>
      </c>
      <c r="D473" s="18">
        <f>IFERROR(
                  Andel_oberoende_av_klimat*VLOOKUP($A473,Leveranser_per_nät,'Leveranser per nät'!D$1,FALSE)
               +Andel_beroende_av_klimat*VLOOKUP($A473,Leveranser_per_nät,'Leveranser per nät'!D$1,FALSE)/VLOOKUP($B473,Korrigeringsfaktor_EI,'Korrigeringsfaktor EI'!D$1,FALSE),
"")</f>
        <v>0</v>
      </c>
      <c r="E473" s="18">
        <f>IFERROR(
                  Andel_oberoende_av_klimat*VLOOKUP($A473,Leveranser_per_nät,'Leveranser per nät'!E$1,FALSE)
               +Andel_beroende_av_klimat*VLOOKUP($A473,Leveranser_per_nät,'Leveranser per nät'!E$1,FALSE)/VLOOKUP($B473,Korrigeringsfaktor_EI,'Korrigeringsfaktor EI'!E$1,FALSE),
"")</f>
        <v>0</v>
      </c>
      <c r="F473" s="18">
        <f>IFERROR(
                  Andel_oberoende_av_klimat*VLOOKUP($A473,Leveranser_per_nät,'Leveranser per nät'!F$1,FALSE)
               +Andel_beroende_av_klimat*VLOOKUP($A473,Leveranser_per_nät,'Leveranser per nät'!F$1,FALSE)/VLOOKUP($B473,Korrigeringsfaktor_EI,'Korrigeringsfaktor EI'!F$1,FALSE),
"")</f>
        <v>7</v>
      </c>
      <c r="G473" s="18">
        <f>IFERROR(
                  Andel_oberoende_av_klimat*VLOOKUP($A473,Leveranser_per_nät,'Leveranser per nät'!G$1,FALSE)
               +Andel_beroende_av_klimat*VLOOKUP($A473,Leveranser_per_nät,'Leveranser per nät'!G$1,FALSE)/VLOOKUP($B473,Korrigeringsfaktor_EI,'Korrigeringsfaktor EI'!G$1,FALSE),
"")</f>
        <v>7.2578947368421058</v>
      </c>
      <c r="H473" s="18">
        <f>IFERROR(
                  Andel_oberoende_av_klimat*VLOOKUP($A473,Leveranser_per_nät,'Leveranser per nät'!H$1,FALSE)
               +Andel_beroende_av_klimat*VLOOKUP($A473,Leveranser_per_nät,'Leveranser per nät'!H$1,FALSE)/VLOOKUP($B473,Korrigeringsfaktor_EI,'Korrigeringsfaktor EI'!H$1,FALSE),
"")</f>
        <v>6.7070909090909092</v>
      </c>
      <c r="I473" s="18">
        <f>IFERROR(
                  Andel_oberoende_av_klimat*VLOOKUP($A473,Leveranser_per_nät,'Leveranser per nät'!I$1,FALSE)
               +Andel_beroende_av_klimat*VLOOKUP($A473,Leveranser_per_nät,'Leveranser per nät'!I$1,FALSE)/VLOOKUP($B473,Korrigeringsfaktor_EI,'Korrigeringsfaktor EI'!I$1,FALSE),
"")</f>
        <v>6.8246185567010311</v>
      </c>
      <c r="J473" s="18">
        <f>IFERROR(
                  Andel_oberoende_av_klimat*VLOOKUP($A473,Leveranser_per_nät,'Leveranser per nät'!J$1,FALSE)
               +Andel_beroende_av_klimat*VLOOKUP($A473,Leveranser_per_nät,'Leveranser per nät'!J$1,FALSE)/VLOOKUP($B473,Korrigeringsfaktor_EI,'Korrigeringsfaktor EI'!J$1,FALSE),
"")</f>
        <v>7.1515463917525777</v>
      </c>
      <c r="K473" s="18">
        <f>IFERROR(
                  Andel_oberoende_av_klimat*VLOOKUP($A473,Leveranser_per_nät,'Leveranser per nät'!K$1,FALSE)
               +Andel_beroende_av_klimat*VLOOKUP($A473,Leveranser_per_nät,'Leveranser per nät'!K$1,FALSE)/VLOOKUP($B473,Korrigeringsfaktor_EI,'Korrigeringsfaktor EI'!K$1,FALSE),
"")</f>
        <v>6.8603762886597934</v>
      </c>
      <c r="L473" s="18">
        <f>IFERROR(
                  Andel_oberoende_av_klimat*VLOOKUP($A473,Leveranser_per_nät,'Leveranser per nät'!L$1,FALSE)
               +Andel_beroende_av_klimat*VLOOKUP($A473,Leveranser_per_nät,'Leveranser per nät'!L$1,FALSE)/VLOOKUP($B473,Korrigeringsfaktor_EI,'Korrigeringsfaktor EI'!L$1,FALSE),
"")</f>
        <v>6.3413263157894733</v>
      </c>
      <c r="M473" s="18">
        <f>IFERROR(
                  Andel_oberoende_av_klimat*VLOOKUP($A473,Leveranser_per_nät,'Leveranser per nät'!M$1,FALSE)
               +Andel_beroende_av_klimat*VLOOKUP($A473,Leveranser_per_nät,'Leveranser per nät'!M$1,FALSE)/VLOOKUP($B473,Korrigeringsfaktor_EI,'Korrigeringsfaktor EI'!M$1,FALSE),
"")</f>
        <v>6.5814893617021273</v>
      </c>
      <c r="N473" s="18">
        <f>IFERROR(
                  Andel_oberoende_av_klimat*VLOOKUP($A473,Leveranser_per_nät,'Leveranser per nät'!N$1,FALSE)
               +Andel_beroende_av_klimat*VLOOKUP($A473,Leveranser_per_nät,'Leveranser per nät'!N$1,FALSE)/VLOOKUP($B473,Korrigeringsfaktor_EI,'Korrigeringsfaktor EI'!N$1,FALSE),
"")</f>
        <v>6.7291052631578951</v>
      </c>
      <c r="O473" s="18">
        <f>IFERROR(
                  Andel_oberoende_av_klimat*VLOOKUP($A473,Leveranser_per_nät,'Leveranser per nät'!O$1,FALSE)
               +Andel_beroende_av_klimat*VLOOKUP($A473,Leveranser_per_nät,'Leveranser per nät'!O$1,FALSE)/VLOOKUP($B473,Korrigeringsfaktor_EI,'Korrigeringsfaktor EI'!O$1,FALSE),
"")</f>
        <v>6.8848958762886596</v>
      </c>
      <c r="P473" s="18">
        <f>IFERROR(
                  Andel_oberoende_av_klimat*VLOOKUP($A473,Leveranser_per_nät,'Leveranser per nät'!P$1,FALSE)
               +Andel_beroende_av_klimat*VLOOKUP($A473,Leveranser_per_nät,'Leveranser per nät'!P$1,FALSE)/VLOOKUP($B473,Korrigeringsfaktor_EI,'Korrigeringsfaktor EI'!P$1,FALSE),
"")</f>
        <v>6.4158249999999999</v>
      </c>
      <c r="Q473" s="18">
        <f>IFERROR(
                  Andel_oberoende_av_klimat*VLOOKUP($A473,Leveranser_per_nät,'Leveranser per nät'!Q$1,FALSE)
               +Andel_beroende_av_klimat*VLOOKUP($A473,Leveranser_per_nät,'Leveranser per nät'!Q$1,FALSE)/VLOOKUP($B473,Korrigeringsfaktor_EI,'Korrigeringsfaktor EI'!Q$1,FALSE),
"")</f>
        <v>6.4448650485436891</v>
      </c>
      <c r="R473" s="18">
        <f>IFERROR(
                  Andel_oberoende_av_klimat*VLOOKUP($A473,Leveranser_per_nät,'Leveranser per nät'!R$1,FALSE)
               +Andel_beroende_av_klimat*VLOOKUP($A473,Leveranser_per_nät,'Leveranser per nät'!R$1,FALSE)/VLOOKUP($B473,Korrigeringsfaktor_EI,'Korrigeringsfaktor EI'!R$1,FALSE),
"")</f>
        <v>6.5832538461538457</v>
      </c>
      <c r="S473" s="18">
        <f>IFERROR(
                  Andel_oberoende_av_klimat*VLOOKUP($A473,Leveranser_per_nät,'Leveranser per nät'!S$1,FALSE)
               +Andel_beroende_av_klimat*VLOOKUP($A473,Leveranser_per_nät,'Leveranser per nät'!S$1,FALSE)/VLOOKUP($B473,Korrigeringsfaktor_EI,'Korrigeringsfaktor EI'!S$1,FALSE),
"")</f>
        <v>6.5840495049504959</v>
      </c>
      <c r="T473" s="18">
        <f>IFERROR(
                  Andel_oberoende_av_klimat*VLOOKUP($A473,Leveranser_per_nät,'Leveranser per nät'!T$1,FALSE)
               +Andel_beroende_av_klimat*VLOOKUP($A473,Leveranser_per_nät,'Leveranser per nät'!T$1,FALSE)/VLOOKUP($B473,Korrigeringsfaktor_EI,'Korrigeringsfaktor EI'!T$1,FALSE),
"")</f>
        <v>6.154015053763441</v>
      </c>
      <c r="U473" s="18">
        <f>IFERROR(
                  Andel_oberoende_av_klimat*VLOOKUP($A473,Leveranser_per_nät,'Leveranser per nät'!U$1,FALSE)
               +Andel_beroende_av_klimat*VLOOKUP($A473,Leveranser_per_nät,'Leveranser per nät'!U$1,FALSE)/VLOOKUP($B473,Korrigeringsfaktor_EI,'Korrigeringsfaktor EI'!U$1,FALSE),
"")</f>
        <v>6.0675063829787232</v>
      </c>
      <c r="V473" s="18">
        <f>IFERROR(
                  Andel_oberoende_av_klimat*VLOOKUP($A473,Leveranser_per_nät,'Leveranser per nät'!V$1,FALSE)
               +Andel_beroende_av_klimat*VLOOKUP($A473,Leveranser_per_nät,'Leveranser per nät'!V$1,FALSE)/VLOOKUP($B473,Korrigeringsfaktor_EI,'Korrigeringsfaktor EI'!V$1,FALSE),
"")</f>
        <v>5.6989913043478255</v>
      </c>
      <c r="W473" s="18">
        <f>IFERROR(
                  Andel_oberoende_av_klimat*VLOOKUP($A473,Leveranser_per_nät,'Leveranser per nät'!W$1,FALSE)
               +Andel_beroende_av_klimat*VLOOKUP($A473,Leveranser_per_nät,'Leveranser per nät'!W$1,FALSE)/VLOOKUP($B473,Korrigeringsfaktor_EI,'Korrigeringsfaktor EI'!W$1,FALSE),
"")</f>
        <v>5.6342000000000008</v>
      </c>
      <c r="X473" s="18">
        <f>IFERROR(
                  Andel_oberoende_av_klimat*VLOOKUP($A473,Leveranser_per_nät,'Leveranser per nät'!X$1,FALSE)
               +Andel_beroende_av_klimat*VLOOKUP($A473,Leveranser_per_nät,'Leveranser per nät'!X$1,FALSE)/VLOOKUP($B473,Korrigeringsfaktor_EI,'Korrigeringsfaktor EI'!X$1,FALSE),
"")</f>
        <v>5.5349571428571434</v>
      </c>
      <c r="Y473" s="18">
        <f>IFERROR(
                  Andel_oberoende_av_klimat*VLOOKUP($A473,Leveranser_per_nät,'Leveranser per nät'!Y$1,FALSE)
               +Andel_beroende_av_klimat*VLOOKUP($A473,Leveranser_per_nät,'Leveranser per nät'!Y$1,FALSE)/VLOOKUP($B473,Korrigeringsfaktor_EI,'Korrigeringsfaktor EI'!Y$1,FALSE),
"")</f>
        <v>5.9691000000000001</v>
      </c>
      <c r="Z473" s="18">
        <f>IFERROR(
                  Andel_oberoende_av_klimat*VLOOKUP($A473,Leveranser_per_nät,'Leveranser per nät'!Z$1,FALSE)
               +Andel_beroende_av_klimat*VLOOKUP($A473,Leveranser_per_nät,'Leveranser per nät'!Z$1,FALSE)/VLOOKUP($B473,Korrigeringsfaktor_EI,'Korrigeringsfaktor EI'!Z$1,FALSE),
"")</f>
        <v>5.9850212121212127</v>
      </c>
      <c r="AA473" s="18">
        <f>IFERROR(
                  Andel_oberoende_av_klimat*VLOOKUP($A473,Leveranser_per_nät,'Leveranser per nät'!AA$1,FALSE)
               +Andel_beroende_av_klimat*VLOOKUP($A473,Leveranser_per_nät,'Leveranser per nät'!AA$1,FALSE)/VLOOKUP($B473,Korrigeringsfaktor_EI,'Korrigeringsfaktor EI'!AA$1,FALSE),
"")</f>
        <v>4.794034816596513</v>
      </c>
      <c r="AB473" s="18">
        <f>IFERROR(
                  Andel_oberoende_av_klimat*VLOOKUP($A473,Leveranser_per_nät,'Leveranser per nät'!AB$1,FALSE)
               +Andel_beroende_av_klimat*VLOOKUP($A473,Leveranser_per_nät,'Leveranser per nät'!AB$1,FALSE)/VLOOKUP($B473,Korrigeringsfaktor_EI,'Korrigeringsfaktor EI'!AB$1,FALSE),
"")</f>
        <v>5.7988864271457086</v>
      </c>
      <c r="AC473" s="18">
        <f>IFERROR(
                  Andel_oberoende_av_klimat*VLOOKUP($A473,Leveranser_per_nät,'Leveranser per nät'!AC$1,FALSE)
               +Andel_beroende_av_klimat*VLOOKUP($A473,Leveranser_per_nät,'Leveranser per nät'!AC$1,FALSE)/VLOOKUP($B473,Korrigeringsfaktor_EI,'Korrigeringsfaktor EI'!AC$1,FALSE),
"")</f>
        <v>0</v>
      </c>
      <c r="AD473" t="e">
        <v>#N/A</v>
      </c>
    </row>
    <row r="474" spans="1:30" x14ac:dyDescent="0.25">
      <c r="A474" t="s">
        <v>433</v>
      </c>
      <c r="B474" t="s">
        <v>301</v>
      </c>
      <c r="C474" s="18">
        <f>IFERROR(
                  Andel_oberoende_av_klimat*VLOOKUP($A474,Leveranser_per_nät,'Leveranser per nät'!C$1,FALSE)
               +Andel_beroende_av_klimat*VLOOKUP($A474,Leveranser_per_nät,'Leveranser per nät'!C$1,FALSE)/VLOOKUP($B474,Korrigeringsfaktor_EI,'Korrigeringsfaktor EI'!C$1,FALSE),
"")</f>
        <v>0</v>
      </c>
      <c r="D474" s="18">
        <f>IFERROR(
                  Andel_oberoende_av_klimat*VLOOKUP($A474,Leveranser_per_nät,'Leveranser per nät'!D$1,FALSE)
               +Andel_beroende_av_klimat*VLOOKUP($A474,Leveranser_per_nät,'Leveranser per nät'!D$1,FALSE)/VLOOKUP($B474,Korrigeringsfaktor_EI,'Korrigeringsfaktor EI'!D$1,FALSE),
"")</f>
        <v>5.9897500000000008</v>
      </c>
      <c r="E474" s="18">
        <f>IFERROR(
                  Andel_oberoende_av_klimat*VLOOKUP($A474,Leveranser_per_nät,'Leveranser per nät'!E$1,FALSE)
               +Andel_beroende_av_klimat*VLOOKUP($A474,Leveranser_per_nät,'Leveranser per nät'!E$1,FALSE)/VLOOKUP($B474,Korrigeringsfaktor_EI,'Korrigeringsfaktor EI'!E$1,FALSE),
"")</f>
        <v>0</v>
      </c>
      <c r="F474" s="18">
        <f>IFERROR(
                  Andel_oberoende_av_klimat*VLOOKUP($A474,Leveranser_per_nät,'Leveranser per nät'!F$1,FALSE)
               +Andel_beroende_av_klimat*VLOOKUP($A474,Leveranser_per_nät,'Leveranser per nät'!F$1,FALSE)/VLOOKUP($B474,Korrigeringsfaktor_EI,'Korrigeringsfaktor EI'!F$1,FALSE),
"")</f>
        <v>0</v>
      </c>
      <c r="G474" s="18">
        <f>IFERROR(
                  Andel_oberoende_av_klimat*VLOOKUP($A474,Leveranser_per_nät,'Leveranser per nät'!G$1,FALSE)
               +Andel_beroende_av_klimat*VLOOKUP($A474,Leveranser_per_nät,'Leveranser per nät'!G$1,FALSE)/VLOOKUP($B474,Korrigeringsfaktor_EI,'Korrigeringsfaktor EI'!G$1,FALSE),
"")</f>
        <v>0</v>
      </c>
      <c r="H474" s="18">
        <f>IFERROR(
                  Andel_oberoende_av_klimat*VLOOKUP($A474,Leveranser_per_nät,'Leveranser per nät'!H$1,FALSE)
               +Andel_beroende_av_klimat*VLOOKUP($A474,Leveranser_per_nät,'Leveranser per nät'!H$1,FALSE)/VLOOKUP($B474,Korrigeringsfaktor_EI,'Korrigeringsfaktor EI'!H$1,FALSE),
"")</f>
        <v>0</v>
      </c>
      <c r="I474" s="18">
        <f>IFERROR(
                  Andel_oberoende_av_klimat*VLOOKUP($A474,Leveranser_per_nät,'Leveranser per nät'!I$1,FALSE)
               +Andel_beroende_av_klimat*VLOOKUP($A474,Leveranser_per_nät,'Leveranser per nät'!I$1,FALSE)/VLOOKUP($B474,Korrigeringsfaktor_EI,'Korrigeringsfaktor EI'!I$1,FALSE),
"")</f>
        <v>0</v>
      </c>
      <c r="J474" s="18">
        <f>IFERROR(
                  Andel_oberoende_av_klimat*VLOOKUP($A474,Leveranser_per_nät,'Leveranser per nät'!J$1,FALSE)
               +Andel_beroende_av_klimat*VLOOKUP($A474,Leveranser_per_nät,'Leveranser per nät'!J$1,FALSE)/VLOOKUP($B474,Korrigeringsfaktor_EI,'Korrigeringsfaktor EI'!J$1,FALSE),
"")</f>
        <v>0</v>
      </c>
      <c r="K474" s="18">
        <f>IFERROR(
                  Andel_oberoende_av_klimat*VLOOKUP($A474,Leveranser_per_nät,'Leveranser per nät'!K$1,FALSE)
               +Andel_beroende_av_klimat*VLOOKUP($A474,Leveranser_per_nät,'Leveranser per nät'!K$1,FALSE)/VLOOKUP($B474,Korrigeringsfaktor_EI,'Korrigeringsfaktor EI'!K$1,FALSE),
"")</f>
        <v>0</v>
      </c>
      <c r="L474" s="18">
        <f>IFERROR(
                  Andel_oberoende_av_klimat*VLOOKUP($A474,Leveranser_per_nät,'Leveranser per nät'!L$1,FALSE)
               +Andel_beroende_av_klimat*VLOOKUP($A474,Leveranser_per_nät,'Leveranser per nät'!L$1,FALSE)/VLOOKUP($B474,Korrigeringsfaktor_EI,'Korrigeringsfaktor EI'!L$1,FALSE),
"")</f>
        <v>0</v>
      </c>
      <c r="M474" s="18">
        <f>IFERROR(
                  Andel_oberoende_av_klimat*VLOOKUP($A474,Leveranser_per_nät,'Leveranser per nät'!M$1,FALSE)
               +Andel_beroende_av_klimat*VLOOKUP($A474,Leveranser_per_nät,'Leveranser per nät'!M$1,FALSE)/VLOOKUP($B474,Korrigeringsfaktor_EI,'Korrigeringsfaktor EI'!M$1,FALSE),
"")</f>
        <v>0</v>
      </c>
      <c r="N474" s="18">
        <f>IFERROR(
                  Andel_oberoende_av_klimat*VLOOKUP($A474,Leveranser_per_nät,'Leveranser per nät'!N$1,FALSE)
               +Andel_beroende_av_klimat*VLOOKUP($A474,Leveranser_per_nät,'Leveranser per nät'!N$1,FALSE)/VLOOKUP($B474,Korrigeringsfaktor_EI,'Korrigeringsfaktor EI'!N$1,FALSE),
"")</f>
        <v>0</v>
      </c>
      <c r="O474" s="18">
        <f>IFERROR(
                  Andel_oberoende_av_klimat*VLOOKUP($A474,Leveranser_per_nät,'Leveranser per nät'!O$1,FALSE)
               +Andel_beroende_av_klimat*VLOOKUP($A474,Leveranser_per_nät,'Leveranser per nät'!O$1,FALSE)/VLOOKUP($B474,Korrigeringsfaktor_EI,'Korrigeringsfaktor EI'!O$1,FALSE),
"")</f>
        <v>0</v>
      </c>
      <c r="P474" s="18">
        <f>IFERROR(
                  Andel_oberoende_av_klimat*VLOOKUP($A474,Leveranser_per_nät,'Leveranser per nät'!P$1,FALSE)
               +Andel_beroende_av_klimat*VLOOKUP($A474,Leveranser_per_nät,'Leveranser per nät'!P$1,FALSE)/VLOOKUP($B474,Korrigeringsfaktor_EI,'Korrigeringsfaktor EI'!P$1,FALSE),
"")</f>
        <v>0</v>
      </c>
      <c r="Q474" s="18">
        <f>IFERROR(
                  Andel_oberoende_av_klimat*VLOOKUP($A474,Leveranser_per_nät,'Leveranser per nät'!Q$1,FALSE)
               +Andel_beroende_av_klimat*VLOOKUP($A474,Leveranser_per_nät,'Leveranser per nät'!Q$1,FALSE)/VLOOKUP($B474,Korrigeringsfaktor_EI,'Korrigeringsfaktor EI'!Q$1,FALSE),
"")</f>
        <v>0</v>
      </c>
      <c r="R474" s="18">
        <f>IFERROR(
                  Andel_oberoende_av_klimat*VLOOKUP($A474,Leveranser_per_nät,'Leveranser per nät'!R$1,FALSE)
               +Andel_beroende_av_klimat*VLOOKUP($A474,Leveranser_per_nät,'Leveranser per nät'!R$1,FALSE)/VLOOKUP($B474,Korrigeringsfaktor_EI,'Korrigeringsfaktor EI'!R$1,FALSE),
"")</f>
        <v>0</v>
      </c>
      <c r="S474" s="18" t="str">
        <f>IFERROR(
                  Andel_oberoende_av_klimat*VLOOKUP($A474,Leveranser_per_nät,'Leveranser per nät'!S$1,FALSE)
               +Andel_beroende_av_klimat*VLOOKUP($A474,Leveranser_per_nät,'Leveranser per nät'!S$1,FALSE)/VLOOKUP($B474,Korrigeringsfaktor_EI,'Korrigeringsfaktor EI'!S$1,FALSE),
"")</f>
        <v/>
      </c>
      <c r="T474" s="18" t="str">
        <f>IFERROR(
                  Andel_oberoende_av_klimat*VLOOKUP($A474,Leveranser_per_nät,'Leveranser per nät'!T$1,FALSE)
               +Andel_beroende_av_klimat*VLOOKUP($A474,Leveranser_per_nät,'Leveranser per nät'!T$1,FALSE)/VLOOKUP($B474,Korrigeringsfaktor_EI,'Korrigeringsfaktor EI'!T$1,FALSE),
"")</f>
        <v/>
      </c>
      <c r="U474" s="18" t="str">
        <f>IFERROR(
                  Andel_oberoende_av_klimat*VLOOKUP($A474,Leveranser_per_nät,'Leveranser per nät'!U$1,FALSE)
               +Andel_beroende_av_klimat*VLOOKUP($A474,Leveranser_per_nät,'Leveranser per nät'!U$1,FALSE)/VLOOKUP($B474,Korrigeringsfaktor_EI,'Korrigeringsfaktor EI'!U$1,FALSE),
"")</f>
        <v/>
      </c>
      <c r="V474" s="18" t="str">
        <f>IFERROR(
                  Andel_oberoende_av_klimat*VLOOKUP($A474,Leveranser_per_nät,'Leveranser per nät'!V$1,FALSE)
               +Andel_beroende_av_klimat*VLOOKUP($A474,Leveranser_per_nät,'Leveranser per nät'!V$1,FALSE)/VLOOKUP($B474,Korrigeringsfaktor_EI,'Korrigeringsfaktor EI'!V$1,FALSE),
"")</f>
        <v/>
      </c>
      <c r="W474" s="18" t="str">
        <f>IFERROR(
                  Andel_oberoende_av_klimat*VLOOKUP($A474,Leveranser_per_nät,'Leveranser per nät'!W$1,FALSE)
               +Andel_beroende_av_klimat*VLOOKUP($A474,Leveranser_per_nät,'Leveranser per nät'!W$1,FALSE)/VLOOKUP($B474,Korrigeringsfaktor_EI,'Korrigeringsfaktor EI'!W$1,FALSE),
"")</f>
        <v/>
      </c>
      <c r="X474" s="18" t="str">
        <f>IFERROR(
                  Andel_oberoende_av_klimat*VLOOKUP($A474,Leveranser_per_nät,'Leveranser per nät'!X$1,FALSE)
               +Andel_beroende_av_klimat*VLOOKUP($A474,Leveranser_per_nät,'Leveranser per nät'!X$1,FALSE)/VLOOKUP($B474,Korrigeringsfaktor_EI,'Korrigeringsfaktor EI'!X$1,FALSE),
"")</f>
        <v/>
      </c>
      <c r="Y474" s="18" t="str">
        <f>IFERROR(
                  Andel_oberoende_av_klimat*VLOOKUP($A474,Leveranser_per_nät,'Leveranser per nät'!Y$1,FALSE)
               +Andel_beroende_av_klimat*VLOOKUP($A474,Leveranser_per_nät,'Leveranser per nät'!Y$1,FALSE)/VLOOKUP($B474,Korrigeringsfaktor_EI,'Korrigeringsfaktor EI'!Y$1,FALSE),
"")</f>
        <v/>
      </c>
      <c r="Z474" s="18">
        <f>IFERROR(
                  Andel_oberoende_av_klimat*VLOOKUP($A474,Leveranser_per_nät,'Leveranser per nät'!Z$1,FALSE)
               +Andel_beroende_av_klimat*VLOOKUP($A474,Leveranser_per_nät,'Leveranser per nät'!Z$1,FALSE)/VLOOKUP($B474,Korrigeringsfaktor_EI,'Korrigeringsfaktor EI'!Z$1,FALSE),
"")</f>
        <v>0</v>
      </c>
      <c r="AA474" s="18" t="str">
        <f>IFERROR(
                  Andel_oberoende_av_klimat*VLOOKUP($A474,Leveranser_per_nät,'Leveranser per nät'!AA$1,FALSE)
               +Andel_beroende_av_klimat*VLOOKUP($A474,Leveranser_per_nät,'Leveranser per nät'!AA$1,FALSE)/VLOOKUP($B474,Korrigeringsfaktor_EI,'Korrigeringsfaktor EI'!AA$1,FALSE),
"")</f>
        <v/>
      </c>
      <c r="AB474" s="18">
        <f>IFERROR(
                  Andel_oberoende_av_klimat*VLOOKUP($A474,Leveranser_per_nät,'Leveranser per nät'!AB$1,FALSE)
               +Andel_beroende_av_klimat*VLOOKUP($A474,Leveranser_per_nät,'Leveranser per nät'!AB$1,FALSE)/VLOOKUP($B474,Korrigeringsfaktor_EI,'Korrigeringsfaktor EI'!AB$1,FALSE),
"")</f>
        <v>0</v>
      </c>
      <c r="AC474" s="18">
        <f>IFERROR(
                  Andel_oberoende_av_klimat*VLOOKUP($A474,Leveranser_per_nät,'Leveranser per nät'!AC$1,FALSE)
               +Andel_beroende_av_klimat*VLOOKUP($A474,Leveranser_per_nät,'Leveranser per nät'!AC$1,FALSE)/VLOOKUP($B474,Korrigeringsfaktor_EI,'Korrigeringsfaktor EI'!AC$1,FALSE),
"")</f>
        <v>0</v>
      </c>
      <c r="AD474">
        <v>115.232</v>
      </c>
    </row>
    <row r="475" spans="1:30" x14ac:dyDescent="0.25">
      <c r="A475" t="s">
        <v>248</v>
      </c>
      <c r="B475" t="s">
        <v>248</v>
      </c>
      <c r="C475" s="18">
        <f>IFERROR(
                  Andel_oberoende_av_klimat*VLOOKUP($A475,Leveranser_per_nät,'Leveranser per nät'!C$1,FALSE)
               +Andel_beroende_av_klimat*VLOOKUP($A475,Leveranser_per_nät,'Leveranser per nät'!C$1,FALSE)/VLOOKUP("Herrljunga",Korrigeringsfaktor_EI,'Korrigeringsfaktor EI'!C$1,FALSE),
"")</f>
        <v>0</v>
      </c>
      <c r="D475" s="18">
        <f>IFERROR(
                  Andel_oberoende_av_klimat*VLOOKUP($A475,Leveranser_per_nät,'Leveranser per nät'!D$1,FALSE)
               +Andel_beroende_av_klimat*VLOOKUP($A475,Leveranser_per_nät,'Leveranser per nät'!D$1,FALSE)/VLOOKUP("Herrljunga",Korrigeringsfaktor_EI,'Korrigeringsfaktor EI'!D$1,FALSE),
"")</f>
        <v>0</v>
      </c>
      <c r="E475" s="18">
        <f>IFERROR(
                  Andel_oberoende_av_klimat*VLOOKUP($A475,Leveranser_per_nät,'Leveranser per nät'!E$1,FALSE)
               +Andel_beroende_av_klimat*VLOOKUP($A475,Leveranser_per_nät,'Leveranser per nät'!E$1,FALSE)/VLOOKUP("Herrljunga",Korrigeringsfaktor_EI,'Korrigeringsfaktor EI'!E$1,FALSE),
"")</f>
        <v>0</v>
      </c>
      <c r="F475" s="18">
        <f>IFERROR(
                  Andel_oberoende_av_klimat*VLOOKUP($A475,Leveranser_per_nät,'Leveranser per nät'!F$1,FALSE)
               +Andel_beroende_av_klimat*VLOOKUP($A475,Leveranser_per_nät,'Leveranser per nät'!F$1,FALSE)/VLOOKUP("Herrljunga",Korrigeringsfaktor_EI,'Korrigeringsfaktor EI'!F$1,FALSE),
"")</f>
        <v>0</v>
      </c>
      <c r="G475" s="18">
        <f>IFERROR(
                  Andel_oberoende_av_klimat*VLOOKUP($A475,Leveranser_per_nät,'Leveranser per nät'!G$1,FALSE)
               +Andel_beroende_av_klimat*VLOOKUP($A475,Leveranser_per_nät,'Leveranser per nät'!G$1,FALSE)/VLOOKUP("Herrljunga",Korrigeringsfaktor_EI,'Korrigeringsfaktor EI'!G$1,FALSE),
"")</f>
        <v>0</v>
      </c>
      <c r="H475" s="18">
        <f>IFERROR(
                  Andel_oberoende_av_klimat*VLOOKUP($A475,Leveranser_per_nät,'Leveranser per nät'!H$1,FALSE)
               +Andel_beroende_av_klimat*VLOOKUP($A475,Leveranser_per_nät,'Leveranser per nät'!H$1,FALSE)/VLOOKUP("Herrljunga",Korrigeringsfaktor_EI,'Korrigeringsfaktor EI'!H$1,FALSE),
"")</f>
        <v>0</v>
      </c>
      <c r="I475" s="18">
        <f>IFERROR(
                  Andel_oberoende_av_klimat*VLOOKUP($A475,Leveranser_per_nät,'Leveranser per nät'!I$1,FALSE)
               +Andel_beroende_av_klimat*VLOOKUP($A475,Leveranser_per_nät,'Leveranser per nät'!I$1,FALSE)/VLOOKUP("Herrljunga",Korrigeringsfaktor_EI,'Korrigeringsfaktor EI'!I$1,FALSE),
"")</f>
        <v>0</v>
      </c>
      <c r="J475" s="18">
        <f>IFERROR(
                  Andel_oberoende_av_klimat*VLOOKUP($A475,Leveranser_per_nät,'Leveranser per nät'!J$1,FALSE)
               +Andel_beroende_av_klimat*VLOOKUP($A475,Leveranser_per_nät,'Leveranser per nät'!J$1,FALSE)/VLOOKUP("Herrljunga",Korrigeringsfaktor_EI,'Korrigeringsfaktor EI'!J$1,FALSE),
"")</f>
        <v>0</v>
      </c>
      <c r="K475" s="18">
        <f>IFERROR(
                  Andel_oberoende_av_klimat*VLOOKUP($A475,Leveranser_per_nät,'Leveranser per nät'!K$1,FALSE)
               +Andel_beroende_av_klimat*VLOOKUP($A475,Leveranser_per_nät,'Leveranser per nät'!K$1,FALSE)/VLOOKUP("Herrljunga",Korrigeringsfaktor_EI,'Korrigeringsfaktor EI'!K$1,FALSE),
"")</f>
        <v>15.005353535353535</v>
      </c>
      <c r="L475" s="18">
        <f>IFERROR(
                  Andel_oberoende_av_klimat*VLOOKUP($A475,Leveranser_per_nät,'Leveranser per nät'!L$1,FALSE)
               +Andel_beroende_av_klimat*VLOOKUP($A475,Leveranser_per_nät,'Leveranser per nät'!L$1,FALSE)/VLOOKUP("Herrljunga",Korrigeringsfaktor_EI,'Korrigeringsfaktor EI'!L$1,FALSE),
"")</f>
        <v>17.317980412371135</v>
      </c>
      <c r="M475" s="18">
        <f>IFERROR(
                  Andel_oberoende_av_klimat*VLOOKUP($A475,Leveranser_per_nät,'Leveranser per nät'!M$1,FALSE)
               +Andel_beroende_av_klimat*VLOOKUP($A475,Leveranser_per_nät,'Leveranser per nät'!M$1,FALSE)/VLOOKUP("Herrljunga",Korrigeringsfaktor_EI,'Korrigeringsfaktor EI'!M$1,FALSE),
"")</f>
        <v>17.70838510638298</v>
      </c>
      <c r="N475" s="18">
        <f>IFERROR(
                  Andel_oberoende_av_klimat*VLOOKUP($A475,Leveranser_per_nät,'Leveranser per nät'!N$1,FALSE)
               +Andel_beroende_av_klimat*VLOOKUP($A475,Leveranser_per_nät,'Leveranser per nät'!N$1,FALSE)/VLOOKUP("Herrljunga",Korrigeringsfaktor_EI,'Korrigeringsfaktor EI'!N$1,FALSE),
"")</f>
        <v>15.31895652173913</v>
      </c>
      <c r="O475" s="18">
        <f>IFERROR(
                  Andel_oberoende_av_klimat*VLOOKUP($A475,Leveranser_per_nät,'Leveranser per nät'!O$1,FALSE)
               +Andel_beroende_av_klimat*VLOOKUP($A475,Leveranser_per_nät,'Leveranser per nät'!O$1,FALSE)/VLOOKUP("Herrljunga",Korrigeringsfaktor_EI,'Korrigeringsfaktor EI'!O$1,FALSE),
"")</f>
        <v>16.07160769230769</v>
      </c>
      <c r="P475" s="18">
        <f>IFERROR(
                  Andel_oberoende_av_klimat*VLOOKUP($A475,Leveranser_per_nät,'Leveranser per nät'!P$1,FALSE)
               +Andel_beroende_av_klimat*VLOOKUP($A475,Leveranser_per_nät,'Leveranser per nät'!P$1,FALSE)/VLOOKUP("Herrljunga",Korrigeringsfaktor_EI,'Korrigeringsfaktor EI'!P$1,FALSE),
"")</f>
        <v>0</v>
      </c>
      <c r="Q475" s="18">
        <f>IFERROR(
                  Andel_oberoende_av_klimat*VLOOKUP($A475,Leveranser_per_nät,'Leveranser per nät'!Q$1,FALSE)
               +Andel_beroende_av_klimat*VLOOKUP($A475,Leveranser_per_nät,'Leveranser per nät'!Q$1,FALSE)/VLOOKUP("Herrljunga",Korrigeringsfaktor_EI,'Korrigeringsfaktor EI'!Q$1,FALSE),
"")</f>
        <v>0</v>
      </c>
      <c r="R475" s="18">
        <f>IFERROR(
                  Andel_oberoende_av_klimat*VLOOKUP($A475,Leveranser_per_nät,'Leveranser per nät'!R$1,FALSE)
               +Andel_beroende_av_klimat*VLOOKUP($A475,Leveranser_per_nät,'Leveranser per nät'!R$1,FALSE)/VLOOKUP("Herrljunga",Korrigeringsfaktor_EI,'Korrigeringsfaktor EI'!R$1,FALSE),
"")</f>
        <v>0</v>
      </c>
      <c r="S475" s="18">
        <f>IFERROR(
                  Andel_oberoende_av_klimat*VLOOKUP($A475,Leveranser_per_nät,'Leveranser per nät'!S$1,FALSE)
               +Andel_beroende_av_klimat*VLOOKUP($A475,Leveranser_per_nät,'Leveranser per nät'!S$1,FALSE)/VLOOKUP("Herrljunga",Korrigeringsfaktor_EI,'Korrigeringsfaktor EI'!S$1,FALSE),
"")</f>
        <v>0</v>
      </c>
      <c r="T475" s="18">
        <f>IFERROR(
                  Andel_oberoende_av_klimat*VLOOKUP($A475,Leveranser_per_nät,'Leveranser per nät'!T$1,FALSE)
               +Andel_beroende_av_klimat*VLOOKUP($A475,Leveranser_per_nät,'Leveranser per nät'!T$1,FALSE)/VLOOKUP("Herrljunga",Korrigeringsfaktor_EI,'Korrigeringsfaktor EI'!T$1,FALSE),
"")</f>
        <v>17.825151515151514</v>
      </c>
      <c r="U475" s="18">
        <f>IFERROR(
                  Andel_oberoende_av_klimat*VLOOKUP($A475,Leveranser_per_nät,'Leveranser per nät'!U$1,FALSE)
               +Andel_beroende_av_klimat*VLOOKUP($A475,Leveranser_per_nät,'Leveranser per nät'!U$1,FALSE)/VLOOKUP("Herrljunga",Korrigeringsfaktor_EI,'Korrigeringsfaktor EI'!U$1,FALSE),
"")</f>
        <v>17.417727272727273</v>
      </c>
      <c r="V475" s="18">
        <f>IFERROR(
                  Andel_oberoende_av_klimat*VLOOKUP($A475,Leveranser_per_nät,'Leveranser per nät'!V$1,FALSE)
               +Andel_beroende_av_klimat*VLOOKUP($A475,Leveranser_per_nät,'Leveranser per nät'!V$1,FALSE)/VLOOKUP("Herrljunga",Korrigeringsfaktor_EI,'Korrigeringsfaktor EI'!V$1,FALSE),
"")</f>
        <v>18.211505376344086</v>
      </c>
      <c r="W475" s="18">
        <f>IFERROR(
                  Andel_oberoende_av_klimat*VLOOKUP($A475,Leveranser_per_nät,'Leveranser per nät'!W$1,FALSE)
               +Andel_beroende_av_klimat*VLOOKUP($A475,Leveranser_per_nät,'Leveranser per nät'!W$1,FALSE)/VLOOKUP("Herrljunga",Korrigeringsfaktor_EI,'Korrigeringsfaktor EI'!W$1,FALSE),
"")</f>
        <v>18.833750000000002</v>
      </c>
      <c r="X475" s="18">
        <f>IFERROR(
                  Andel_oberoende_av_klimat*VLOOKUP($A475,Leveranser_per_nät,'Leveranser per nät'!X$1,FALSE)
               +Andel_beroende_av_klimat*VLOOKUP($A475,Leveranser_per_nät,'Leveranser per nät'!X$1,FALSE)/VLOOKUP("Herrljunga",Korrigeringsfaktor_EI,'Korrigeringsfaktor EI'!X$1,FALSE),
"")</f>
        <v>17.968510638297872</v>
      </c>
      <c r="Y475" s="18">
        <f>IFERROR(
                  Andel_oberoende_av_klimat*VLOOKUP($A475,Leveranser_per_nät,'Leveranser per nät'!Y$1,FALSE)
               +Andel_beroende_av_klimat*VLOOKUP($A475,Leveranser_per_nät,'Leveranser per nät'!Y$1,FALSE)/VLOOKUP($B475,Korrigeringsfaktor_EI,'Korrigeringsfaktor EI'!Y$1,FALSE),
"")</f>
        <v>18.818461538461541</v>
      </c>
      <c r="Z475" s="18">
        <f>IFERROR(
                  Andel_oberoende_av_klimat*VLOOKUP($A475,Leveranser_per_nät,'Leveranser per nät'!Z$1,FALSE)
               +Andel_beroende_av_klimat*VLOOKUP($A475,Leveranser_per_nät,'Leveranser per nät'!Z$1,FALSE)/VLOOKUP($B475,Korrigeringsfaktor_EI,'Korrigeringsfaktor EI'!Z$1,FALSE),
"")</f>
        <v>19.93888888888889</v>
      </c>
      <c r="AA475" s="18">
        <f>IFERROR(
                  Andel_oberoende_av_klimat*VLOOKUP($A475,Leveranser_per_nät,'Leveranser per nät'!AA$1,FALSE)
               +Andel_beroende_av_klimat*VLOOKUP($A475,Leveranser_per_nät,'Leveranser per nät'!AA$1,FALSE)/VLOOKUP($B475,Korrigeringsfaktor_EI,'Korrigeringsfaktor EI'!AA$1,FALSE),
"")</f>
        <v>39.114356824731466</v>
      </c>
      <c r="AB475" s="18">
        <f>IFERROR(
                  Andel_oberoende_av_klimat*VLOOKUP($A475,Leveranser_per_nät,'Leveranser per nät'!AB$1,FALSE)
               +Andel_beroende_av_klimat*VLOOKUP($A475,Leveranser_per_nät,'Leveranser per nät'!AB$1,FALSE)/VLOOKUP($B475,Korrigeringsfaktor_EI,'Korrigeringsfaktor EI'!AB$1,FALSE),
"")</f>
        <v>38.247168141592923</v>
      </c>
      <c r="AC475" s="18">
        <f>IFERROR(
                  Andel_oberoende_av_klimat*VLOOKUP($A475,Leveranser_per_nät,'Leveranser per nät'!AC$1,FALSE)
               +Andel_beroende_av_klimat*VLOOKUP($A475,Leveranser_per_nät,'Leveranser per nät'!AC$1,FALSE)/VLOOKUP($B475,Korrigeringsfaktor_EI,'Korrigeringsfaktor EI'!AC$1,FALSE),
"")</f>
        <v>37.893188097768331</v>
      </c>
      <c r="AD475">
        <v>36.299999999999997</v>
      </c>
    </row>
    <row r="476" spans="1:30" x14ac:dyDescent="0.25">
      <c r="A476" t="s">
        <v>434</v>
      </c>
      <c r="B476" t="s">
        <v>238</v>
      </c>
      <c r="C476" s="18">
        <f>IFERROR(
                  Andel_oberoende_av_klimat*VLOOKUP($A476,Leveranser_per_nät,'Leveranser per nät'!C$1,FALSE)
               +Andel_beroende_av_klimat*VLOOKUP($A476,Leveranser_per_nät,'Leveranser per nät'!C$1,FALSE)/VLOOKUP($B476,Korrigeringsfaktor_EI,'Korrigeringsfaktor EI'!C$1,FALSE),
"")</f>
        <v>0</v>
      </c>
      <c r="D476" s="18">
        <f>IFERROR(
                  Andel_oberoende_av_klimat*VLOOKUP($A476,Leveranser_per_nät,'Leveranser per nät'!D$1,FALSE)
               +Andel_beroende_av_klimat*VLOOKUP($A476,Leveranser_per_nät,'Leveranser per nät'!D$1,FALSE)/VLOOKUP($B476,Korrigeringsfaktor_EI,'Korrigeringsfaktor EI'!D$1,FALSE),
"")</f>
        <v>0.72537113402061859</v>
      </c>
      <c r="E476" s="18">
        <f>IFERROR(
                  Andel_oberoende_av_klimat*VLOOKUP($A476,Leveranser_per_nät,'Leveranser per nät'!E$1,FALSE)
               +Andel_beroende_av_klimat*VLOOKUP($A476,Leveranser_per_nät,'Leveranser per nät'!E$1,FALSE)/VLOOKUP($B476,Korrigeringsfaktor_EI,'Korrigeringsfaktor EI'!E$1,FALSE),
"")</f>
        <v>0</v>
      </c>
      <c r="F476" s="18">
        <f>IFERROR(
                  Andel_oberoende_av_klimat*VLOOKUP($A476,Leveranser_per_nät,'Leveranser per nät'!F$1,FALSE)
               +Andel_beroende_av_klimat*VLOOKUP($A476,Leveranser_per_nät,'Leveranser per nät'!F$1,FALSE)/VLOOKUP($B476,Korrigeringsfaktor_EI,'Korrigeringsfaktor EI'!F$1,FALSE),
"")</f>
        <v>0</v>
      </c>
      <c r="G476" s="18">
        <f>IFERROR(
                  Andel_oberoende_av_klimat*VLOOKUP($A476,Leveranser_per_nät,'Leveranser per nät'!G$1,FALSE)
               +Andel_beroende_av_klimat*VLOOKUP($A476,Leveranser_per_nät,'Leveranser per nät'!G$1,FALSE)/VLOOKUP($B476,Korrigeringsfaktor_EI,'Korrigeringsfaktor EI'!G$1,FALSE),
"")</f>
        <v>0</v>
      </c>
      <c r="H476" s="18">
        <f>IFERROR(
                  Andel_oberoende_av_klimat*VLOOKUP($A476,Leveranser_per_nät,'Leveranser per nät'!H$1,FALSE)
               +Andel_beroende_av_klimat*VLOOKUP($A476,Leveranser_per_nät,'Leveranser per nät'!H$1,FALSE)/VLOOKUP($B476,Korrigeringsfaktor_EI,'Korrigeringsfaktor EI'!H$1,FALSE),
"")</f>
        <v>0</v>
      </c>
      <c r="I476" s="18">
        <f>IFERROR(
                  Andel_oberoende_av_klimat*VLOOKUP($A476,Leveranser_per_nät,'Leveranser per nät'!I$1,FALSE)
               +Andel_beroende_av_klimat*VLOOKUP($A476,Leveranser_per_nät,'Leveranser per nät'!I$1,FALSE)/VLOOKUP($B476,Korrigeringsfaktor_EI,'Korrigeringsfaktor EI'!I$1,FALSE),
"")</f>
        <v>0</v>
      </c>
      <c r="J476" s="18">
        <f>IFERROR(
                  Andel_oberoende_av_klimat*VLOOKUP($A476,Leveranser_per_nät,'Leveranser per nät'!J$1,FALSE)
               +Andel_beroende_av_klimat*VLOOKUP($A476,Leveranser_per_nät,'Leveranser per nät'!J$1,FALSE)/VLOOKUP($B476,Korrigeringsfaktor_EI,'Korrigeringsfaktor EI'!J$1,FALSE),
"")</f>
        <v>0</v>
      </c>
      <c r="K476" s="18">
        <f>IFERROR(
                  Andel_oberoende_av_klimat*VLOOKUP($A476,Leveranser_per_nät,'Leveranser per nät'!K$1,FALSE)
               +Andel_beroende_av_klimat*VLOOKUP($A476,Leveranser_per_nät,'Leveranser per nät'!K$1,FALSE)/VLOOKUP($B476,Korrigeringsfaktor_EI,'Korrigeringsfaktor EI'!K$1,FALSE),
"")</f>
        <v>0</v>
      </c>
      <c r="L476" s="18">
        <f>IFERROR(
                  Andel_oberoende_av_klimat*VLOOKUP($A476,Leveranser_per_nät,'Leveranser per nät'!L$1,FALSE)
               +Andel_beroende_av_klimat*VLOOKUP($A476,Leveranser_per_nät,'Leveranser per nät'!L$1,FALSE)/VLOOKUP($B476,Korrigeringsfaktor_EI,'Korrigeringsfaktor EI'!L$1,FALSE),
"")</f>
        <v>4.9789157894736844</v>
      </c>
      <c r="M476" s="18">
        <f>IFERROR(
                  Andel_oberoende_av_klimat*VLOOKUP($A476,Leveranser_per_nät,'Leveranser per nät'!M$1,FALSE)
               +Andel_beroende_av_klimat*VLOOKUP($A476,Leveranser_per_nät,'Leveranser per nät'!M$1,FALSE)/VLOOKUP($B476,Korrigeringsfaktor_EI,'Korrigeringsfaktor EI'!M$1,FALSE),
"")</f>
        <v>0</v>
      </c>
      <c r="N476" s="18">
        <f>IFERROR(
                  Andel_oberoende_av_klimat*VLOOKUP($A476,Leveranser_per_nät,'Leveranser per nät'!N$1,FALSE)
               +Andel_beroende_av_klimat*VLOOKUP($A476,Leveranser_per_nät,'Leveranser per nät'!N$1,FALSE)/VLOOKUP($B476,Korrigeringsfaktor_EI,'Korrigeringsfaktor EI'!N$1,FALSE),
"")</f>
        <v>0</v>
      </c>
      <c r="O476" s="18">
        <f>IFERROR(
                  Andel_oberoende_av_klimat*VLOOKUP($A476,Leveranser_per_nät,'Leveranser per nät'!O$1,FALSE)
               +Andel_beroende_av_klimat*VLOOKUP($A476,Leveranser_per_nät,'Leveranser per nät'!O$1,FALSE)/VLOOKUP($B476,Korrigeringsfaktor_EI,'Korrigeringsfaktor EI'!O$1,FALSE),
"")</f>
        <v>0</v>
      </c>
      <c r="P476" s="18">
        <f>IFERROR(
                  Andel_oberoende_av_klimat*VLOOKUP($A476,Leveranser_per_nät,'Leveranser per nät'!P$1,FALSE)
               +Andel_beroende_av_klimat*VLOOKUP($A476,Leveranser_per_nät,'Leveranser per nät'!P$1,FALSE)/VLOOKUP($B476,Korrigeringsfaktor_EI,'Korrigeringsfaktor EI'!P$1,FALSE),
"")</f>
        <v>0</v>
      </c>
      <c r="Q476" s="18">
        <f>IFERROR(
                  Andel_oberoende_av_klimat*VLOOKUP($A476,Leveranser_per_nät,'Leveranser per nät'!Q$1,FALSE)
               +Andel_beroende_av_klimat*VLOOKUP($A476,Leveranser_per_nät,'Leveranser per nät'!Q$1,FALSE)/VLOOKUP($B476,Korrigeringsfaktor_EI,'Korrigeringsfaktor EI'!Q$1,FALSE),
"")</f>
        <v>0</v>
      </c>
      <c r="R476" s="18">
        <f>IFERROR(
                  Andel_oberoende_av_klimat*VLOOKUP($A476,Leveranser_per_nät,'Leveranser per nät'!R$1,FALSE)
               +Andel_beroende_av_klimat*VLOOKUP($A476,Leveranser_per_nät,'Leveranser per nät'!R$1,FALSE)/VLOOKUP($B476,Korrigeringsfaktor_EI,'Korrigeringsfaktor EI'!R$1,FALSE),
"")</f>
        <v>0</v>
      </c>
      <c r="S476" s="18" t="str">
        <f>IFERROR(
                  Andel_oberoende_av_klimat*VLOOKUP($A476,Leveranser_per_nät,'Leveranser per nät'!S$1,FALSE)
               +Andel_beroende_av_klimat*VLOOKUP($A476,Leveranser_per_nät,'Leveranser per nät'!S$1,FALSE)/VLOOKUP($B476,Korrigeringsfaktor_EI,'Korrigeringsfaktor EI'!S$1,FALSE),
"")</f>
        <v/>
      </c>
      <c r="T476" s="18" t="str">
        <f>IFERROR(
                  Andel_oberoende_av_klimat*VLOOKUP($A476,Leveranser_per_nät,'Leveranser per nät'!T$1,FALSE)
               +Andel_beroende_av_klimat*VLOOKUP($A476,Leveranser_per_nät,'Leveranser per nät'!T$1,FALSE)/VLOOKUP($B476,Korrigeringsfaktor_EI,'Korrigeringsfaktor EI'!T$1,FALSE),
"")</f>
        <v/>
      </c>
      <c r="U476" s="18" t="str">
        <f>IFERROR(
                  Andel_oberoende_av_klimat*VLOOKUP($A476,Leveranser_per_nät,'Leveranser per nät'!U$1,FALSE)
               +Andel_beroende_av_klimat*VLOOKUP($A476,Leveranser_per_nät,'Leveranser per nät'!U$1,FALSE)/VLOOKUP($B476,Korrigeringsfaktor_EI,'Korrigeringsfaktor EI'!U$1,FALSE),
"")</f>
        <v/>
      </c>
      <c r="V476" s="18" t="str">
        <f>IFERROR(
                  Andel_oberoende_av_klimat*VLOOKUP($A476,Leveranser_per_nät,'Leveranser per nät'!V$1,FALSE)
               +Andel_beroende_av_klimat*VLOOKUP($A476,Leveranser_per_nät,'Leveranser per nät'!V$1,FALSE)/VLOOKUP($B476,Korrigeringsfaktor_EI,'Korrigeringsfaktor EI'!V$1,FALSE),
"")</f>
        <v/>
      </c>
      <c r="W476" s="18" t="str">
        <f>IFERROR(
                  Andel_oberoende_av_klimat*VLOOKUP($A476,Leveranser_per_nät,'Leveranser per nät'!W$1,FALSE)
               +Andel_beroende_av_klimat*VLOOKUP($A476,Leveranser_per_nät,'Leveranser per nät'!W$1,FALSE)/VLOOKUP($B476,Korrigeringsfaktor_EI,'Korrigeringsfaktor EI'!W$1,FALSE),
"")</f>
        <v/>
      </c>
      <c r="X476" s="18" t="str">
        <f>IFERROR(
                  Andel_oberoende_av_klimat*VLOOKUP($A476,Leveranser_per_nät,'Leveranser per nät'!X$1,FALSE)
               +Andel_beroende_av_klimat*VLOOKUP($A476,Leveranser_per_nät,'Leveranser per nät'!X$1,FALSE)/VLOOKUP($B476,Korrigeringsfaktor_EI,'Korrigeringsfaktor EI'!X$1,FALSE),
"")</f>
        <v/>
      </c>
      <c r="Y476" s="18" t="str">
        <f>IFERROR(
                  Andel_oberoende_av_klimat*VLOOKUP($A476,Leveranser_per_nät,'Leveranser per nät'!Y$1,FALSE)
               +Andel_beroende_av_klimat*VLOOKUP($A476,Leveranser_per_nät,'Leveranser per nät'!Y$1,FALSE)/VLOOKUP($B476,Korrigeringsfaktor_EI,'Korrigeringsfaktor EI'!Y$1,FALSE),
"")</f>
        <v/>
      </c>
      <c r="Z476" s="18">
        <f>IFERROR(
                  Andel_oberoende_av_klimat*VLOOKUP($A476,Leveranser_per_nät,'Leveranser per nät'!Z$1,FALSE)
               +Andel_beroende_av_klimat*VLOOKUP($A476,Leveranser_per_nät,'Leveranser per nät'!Z$1,FALSE)/VLOOKUP($B476,Korrigeringsfaktor_EI,'Korrigeringsfaktor EI'!Z$1,FALSE),
"")</f>
        <v>0</v>
      </c>
      <c r="AA476" s="18" t="str">
        <f>IFERROR(
                  Andel_oberoende_av_klimat*VLOOKUP($A476,Leveranser_per_nät,'Leveranser per nät'!AA$1,FALSE)
               +Andel_beroende_av_klimat*VLOOKUP($A476,Leveranser_per_nät,'Leveranser per nät'!AA$1,FALSE)/VLOOKUP($B476,Korrigeringsfaktor_EI,'Korrigeringsfaktor EI'!AA$1,FALSE),
"")</f>
        <v/>
      </c>
      <c r="AB476" s="18">
        <f>IFERROR(
                  Andel_oberoende_av_klimat*VLOOKUP($A476,Leveranser_per_nät,'Leveranser per nät'!AB$1,FALSE)
               +Andel_beroende_av_klimat*VLOOKUP($A476,Leveranser_per_nät,'Leveranser per nät'!AB$1,FALSE)/VLOOKUP($B476,Korrigeringsfaktor_EI,'Korrigeringsfaktor EI'!AB$1,FALSE),
"")</f>
        <v>0</v>
      </c>
      <c r="AC476" s="18">
        <f>IFERROR(
                  Andel_oberoende_av_klimat*VLOOKUP($A476,Leveranser_per_nät,'Leveranser per nät'!AC$1,FALSE)
               +Andel_beroende_av_klimat*VLOOKUP($A476,Leveranser_per_nät,'Leveranser per nät'!AC$1,FALSE)/VLOOKUP($B476,Korrigeringsfaktor_EI,'Korrigeringsfaktor EI'!AC$1,FALSE),
"")</f>
        <v>0</v>
      </c>
      <c r="AD476">
        <v>35.200000000000003</v>
      </c>
    </row>
    <row r="477" spans="1:30" x14ac:dyDescent="0.25">
      <c r="A477" t="s">
        <v>338</v>
      </c>
      <c r="B477" t="s">
        <v>338</v>
      </c>
      <c r="C477" s="18">
        <f>IFERROR(
                  Andel_oberoende_av_klimat*VLOOKUP($A477,Leveranser_per_nät,'Leveranser per nät'!C$1,FALSE)
               +Andel_beroende_av_klimat*VLOOKUP($A477,Leveranser_per_nät,'Leveranser per nät'!C$1,FALSE)/VLOOKUP($B477,Korrigeringsfaktor_EI,'Korrigeringsfaktor EI'!C$1,FALSE),
"")</f>
        <v>127.49639639639639</v>
      </c>
      <c r="D477" s="18">
        <f>IFERROR(
                  Andel_oberoende_av_klimat*VLOOKUP($A477,Leveranser_per_nät,'Leveranser per nät'!D$1,FALSE)
               +Andel_beroende_av_klimat*VLOOKUP($A477,Leveranser_per_nät,'Leveranser per nät'!D$1,FALSE)/VLOOKUP($B477,Korrigeringsfaktor_EI,'Korrigeringsfaktor EI'!D$1,FALSE),
"")</f>
        <v>137.13</v>
      </c>
      <c r="E477" s="18">
        <f>IFERROR(
                  Andel_oberoende_av_klimat*VLOOKUP($A477,Leveranser_per_nät,'Leveranser per nät'!E$1,FALSE)
               +Andel_beroende_av_klimat*VLOOKUP($A477,Leveranser_per_nät,'Leveranser per nät'!E$1,FALSE)/VLOOKUP($B477,Korrigeringsfaktor_EI,'Korrigeringsfaktor EI'!E$1,FALSE),
"")</f>
        <v>131.27326666666664</v>
      </c>
      <c r="F477" s="18">
        <f>IFERROR(
                  Andel_oberoende_av_klimat*VLOOKUP($A477,Leveranser_per_nät,'Leveranser per nät'!F$1,FALSE)
               +Andel_beroende_av_klimat*VLOOKUP($A477,Leveranser_per_nät,'Leveranser per nät'!F$1,FALSE)/VLOOKUP($B477,Korrigeringsfaktor_EI,'Korrigeringsfaktor EI'!F$1,FALSE),
"")</f>
        <v>134.57610476190476</v>
      </c>
      <c r="G477" s="18">
        <f>IFERROR(
                  Andel_oberoende_av_klimat*VLOOKUP($A477,Leveranser_per_nät,'Leveranser per nät'!G$1,FALSE)
               +Andel_beroende_av_klimat*VLOOKUP($A477,Leveranser_per_nät,'Leveranser per nät'!G$1,FALSE)/VLOOKUP($B477,Korrigeringsfaktor_EI,'Korrigeringsfaktor EI'!G$1,FALSE),
"")</f>
        <v>139.4875692307692</v>
      </c>
      <c r="H477" s="18">
        <f>IFERROR(
                  Andel_oberoende_av_klimat*VLOOKUP($A477,Leveranser_per_nät,'Leveranser per nät'!H$1,FALSE)
               +Andel_beroende_av_klimat*VLOOKUP($A477,Leveranser_per_nät,'Leveranser per nät'!H$1,FALSE)/VLOOKUP($B477,Korrigeringsfaktor_EI,'Korrigeringsfaktor EI'!H$1,FALSE),
"")</f>
        <v>150.72011485148514</v>
      </c>
      <c r="I477" s="18">
        <f>IFERROR(
                  Andel_oberoende_av_klimat*VLOOKUP($A477,Leveranser_per_nät,'Leveranser per nät'!I$1,FALSE)
               +Andel_beroende_av_klimat*VLOOKUP($A477,Leveranser_per_nät,'Leveranser per nät'!I$1,FALSE)/VLOOKUP($B477,Korrigeringsfaktor_EI,'Korrigeringsfaktor EI'!I$1,FALSE),
"")</f>
        <v>152.99745789473684</v>
      </c>
      <c r="J477" s="18">
        <f>IFERROR(
                  Andel_oberoende_av_klimat*VLOOKUP($A477,Leveranser_per_nät,'Leveranser per nät'!J$1,FALSE)
               +Andel_beroende_av_klimat*VLOOKUP($A477,Leveranser_per_nät,'Leveranser per nät'!J$1,FALSE)/VLOOKUP($B477,Korrigeringsfaktor_EI,'Korrigeringsfaktor EI'!J$1,FALSE),
"")</f>
        <v>149.0077</v>
      </c>
      <c r="K477" s="18">
        <f>IFERROR(
                  Andel_oberoende_av_klimat*VLOOKUP($A477,Leveranser_per_nät,'Leveranser per nät'!K$1,FALSE)
               +Andel_beroende_av_klimat*VLOOKUP($A477,Leveranser_per_nät,'Leveranser per nät'!K$1,FALSE)/VLOOKUP($B477,Korrigeringsfaktor_EI,'Korrigeringsfaktor EI'!K$1,FALSE),
"")</f>
        <v>152.81935154639174</v>
      </c>
      <c r="L477" s="18">
        <f>IFERROR(
                  Andel_oberoende_av_klimat*VLOOKUP($A477,Leveranser_per_nät,'Leveranser per nät'!L$1,FALSE)
               +Andel_beroende_av_klimat*VLOOKUP($A477,Leveranser_per_nät,'Leveranser per nät'!L$1,FALSE)/VLOOKUP($B477,Korrigeringsfaktor_EI,'Korrigeringsfaktor EI'!L$1,FALSE),
"")</f>
        <v>115.49131151611918</v>
      </c>
      <c r="M477" s="18">
        <f>IFERROR(
                  Andel_oberoende_av_klimat*VLOOKUP($A477,Leveranser_per_nät,'Leveranser per nät'!M$1,FALSE)
               +Andel_beroende_av_klimat*VLOOKUP($A477,Leveranser_per_nät,'Leveranser per nät'!M$1,FALSE)/VLOOKUP($B477,Korrigeringsfaktor_EI,'Korrigeringsfaktor EI'!M$1,FALSE),
"")</f>
        <v>169.95342608695651</v>
      </c>
      <c r="N477" s="18">
        <f>IFERROR(
                  Andel_oberoende_av_klimat*VLOOKUP($A477,Leveranser_per_nät,'Leveranser per nät'!N$1,FALSE)
               +Andel_beroende_av_klimat*VLOOKUP($A477,Leveranser_per_nät,'Leveranser per nät'!N$1,FALSE)/VLOOKUP($B477,Korrigeringsfaktor_EI,'Korrigeringsfaktor EI'!N$1,FALSE),
"")</f>
        <v>151.21222222222224</v>
      </c>
      <c r="O477" s="18">
        <f>IFERROR(
                  Andel_oberoende_av_klimat*VLOOKUP($A477,Leveranser_per_nät,'Leveranser per nät'!O$1,FALSE)
               +Andel_beroende_av_klimat*VLOOKUP($A477,Leveranser_per_nät,'Leveranser per nät'!O$1,FALSE)/VLOOKUP($B477,Korrigeringsfaktor_EI,'Korrigeringsfaktor EI'!O$1,FALSE),
"")</f>
        <v>149.83067415730338</v>
      </c>
      <c r="P477" s="18">
        <f>IFERROR(
                  Andel_oberoende_av_klimat*VLOOKUP($A477,Leveranser_per_nät,'Leveranser per nät'!P$1,FALSE)
               +Andel_beroende_av_klimat*VLOOKUP($A477,Leveranser_per_nät,'Leveranser per nät'!P$1,FALSE)/VLOOKUP($B477,Korrigeringsfaktor_EI,'Korrigeringsfaktor EI'!P$1,FALSE),
"")</f>
        <v>154.47791666666666</v>
      </c>
      <c r="Q477" s="18">
        <f>IFERROR(
                  Andel_oberoende_av_klimat*VLOOKUP($A477,Leveranser_per_nät,'Leveranser per nät'!Q$1,FALSE)
               +Andel_beroende_av_klimat*VLOOKUP($A477,Leveranser_per_nät,'Leveranser per nät'!Q$1,FALSE)/VLOOKUP($B477,Korrigeringsfaktor_EI,'Korrigeringsfaktor EI'!Q$1,FALSE),
"")</f>
        <v>162.21272566371681</v>
      </c>
      <c r="R477" s="18">
        <f>IFERROR(
                  Andel_oberoende_av_klimat*VLOOKUP($A477,Leveranser_per_nät,'Leveranser per nät'!R$1,FALSE)
               +Andel_beroende_av_klimat*VLOOKUP($A477,Leveranser_per_nät,'Leveranser per nät'!R$1,FALSE)/VLOOKUP($B477,Korrigeringsfaktor_EI,'Korrigeringsfaktor EI'!R$1,FALSE),
"")</f>
        <v>171.96519550561797</v>
      </c>
      <c r="S477" s="18">
        <f>IFERROR(
                  Andel_oberoende_av_klimat*VLOOKUP($A477,Leveranser_per_nät,'Leveranser per nät'!S$1,FALSE)
               +Andel_beroende_av_klimat*VLOOKUP($A477,Leveranser_per_nät,'Leveranser per nät'!S$1,FALSE)/VLOOKUP($B477,Korrigeringsfaktor_EI,'Korrigeringsfaktor EI'!S$1,FALSE),
"")</f>
        <v>148.13917525773198</v>
      </c>
      <c r="T477" s="18">
        <f>IFERROR(
                  Andel_oberoende_av_klimat*VLOOKUP($A477,Leveranser_per_nät,'Leveranser per nät'!T$1,FALSE)
               +Andel_beroende_av_klimat*VLOOKUP($A477,Leveranser_per_nät,'Leveranser per nät'!T$1,FALSE)/VLOOKUP($B477,Korrigeringsfaktor_EI,'Korrigeringsfaktor EI'!T$1,FALSE),
"")</f>
        <v>146.14289473684209</v>
      </c>
      <c r="U477" s="18">
        <f>IFERROR(
                  Andel_oberoende_av_klimat*VLOOKUP($A477,Leveranser_per_nät,'Leveranser per nät'!U$1,FALSE)
               +Andel_beroende_av_klimat*VLOOKUP($A477,Leveranser_per_nät,'Leveranser per nät'!U$1,FALSE)/VLOOKUP($B477,Korrigeringsfaktor_EI,'Korrigeringsfaktor EI'!U$1,FALSE),
"")</f>
        <v>142.23882352941177</v>
      </c>
      <c r="V477" s="18">
        <f>IFERROR(
                  Andel_oberoende_av_klimat*VLOOKUP($A477,Leveranser_per_nät,'Leveranser per nät'!V$1,FALSE)
               +Andel_beroende_av_klimat*VLOOKUP($A477,Leveranser_per_nät,'Leveranser per nät'!V$1,FALSE)/VLOOKUP($B477,Korrigeringsfaktor_EI,'Korrigeringsfaktor EI'!V$1,FALSE),
"")</f>
        <v>140.92123595505618</v>
      </c>
      <c r="W477" s="18">
        <f>IFERROR(
                  Andel_oberoende_av_klimat*VLOOKUP($A477,Leveranser_per_nät,'Leveranser per nät'!W$1,FALSE)
               +Andel_beroende_av_klimat*VLOOKUP($A477,Leveranser_per_nät,'Leveranser per nät'!W$1,FALSE)/VLOOKUP($B477,Korrigeringsfaktor_EI,'Korrigeringsfaktor EI'!W$1,FALSE),
"")</f>
        <v>136.27215789473686</v>
      </c>
      <c r="X477" s="18">
        <f>IFERROR(
                  Andel_oberoende_av_klimat*VLOOKUP($A477,Leveranser_per_nät,'Leveranser per nät'!X$1,FALSE)
               +Andel_beroende_av_klimat*VLOOKUP($A477,Leveranser_per_nät,'Leveranser per nät'!X$1,FALSE)/VLOOKUP($B477,Korrigeringsfaktor_EI,'Korrigeringsfaktor EI'!X$1,FALSE),
"")</f>
        <v>141.58655913978492</v>
      </c>
      <c r="Y477" s="18">
        <f>IFERROR(
                  Andel_oberoende_av_klimat*VLOOKUP($A477,Leveranser_per_nät,'Leveranser per nät'!Y$1,FALSE)
               +Andel_beroende_av_klimat*VLOOKUP($A477,Leveranser_per_nät,'Leveranser per nät'!Y$1,FALSE)/VLOOKUP($B477,Korrigeringsfaktor_EI,'Korrigeringsfaktor EI'!Y$1,FALSE),
"")</f>
        <v>146.24366666666666</v>
      </c>
      <c r="Z477" s="18">
        <f>IFERROR(
                  Andel_oberoende_av_klimat*VLOOKUP($A477,Leveranser_per_nät,'Leveranser per nät'!Z$1,FALSE)
               +Andel_beroende_av_klimat*VLOOKUP($A477,Leveranser_per_nät,'Leveranser per nät'!Z$1,FALSE)/VLOOKUP($B477,Korrigeringsfaktor_EI,'Korrigeringsfaktor EI'!Z$1,FALSE),
"")</f>
        <v>140.0475222222222</v>
      </c>
      <c r="AA477" s="18">
        <f>IFERROR(
                  Andel_oberoende_av_klimat*VLOOKUP($A477,Leveranser_per_nät,'Leveranser per nät'!AA$1,FALSE)
               +Andel_beroende_av_klimat*VLOOKUP($A477,Leveranser_per_nät,'Leveranser per nät'!AA$1,FALSE)/VLOOKUP($B477,Korrigeringsfaktor_EI,'Korrigeringsfaktor EI'!AA$1,FALSE),
"")</f>
        <v>198.17899917965545</v>
      </c>
      <c r="AB477" s="18">
        <f>IFERROR(
                  Andel_oberoende_av_klimat*VLOOKUP($A477,Leveranser_per_nät,'Leveranser per nät'!AB$1,FALSE)
               +Andel_beroende_av_klimat*VLOOKUP($A477,Leveranser_per_nät,'Leveranser per nät'!AB$1,FALSE)/VLOOKUP($B477,Korrigeringsfaktor_EI,'Korrigeringsfaktor EI'!AB$1,FALSE),
"")</f>
        <v>86.397241650294717</v>
      </c>
      <c r="AC477" s="18">
        <f>IFERROR(
                  Andel_oberoende_av_klimat*VLOOKUP($A477,Leveranser_per_nät,'Leveranser per nät'!AC$1,FALSE)
               +Andel_beroende_av_klimat*VLOOKUP($A477,Leveranser_per_nät,'Leveranser per nät'!AC$1,FALSE)/VLOOKUP($B477,Korrigeringsfaktor_EI,'Korrigeringsfaktor EI'!AC$1,FALSE),
"")</f>
        <v>131.53216216790648</v>
      </c>
      <c r="AD477">
        <v>209.041</v>
      </c>
    </row>
    <row r="478" spans="1:30" x14ac:dyDescent="0.25">
      <c r="A478" t="s">
        <v>435</v>
      </c>
      <c r="B478" t="s">
        <v>335</v>
      </c>
      <c r="C478" s="18">
        <f>IFERROR(
                  Andel_oberoende_av_klimat*VLOOKUP($A478,Leveranser_per_nät,'Leveranser per nät'!C$1,FALSE)
               +Andel_beroende_av_klimat*VLOOKUP($A478,Leveranser_per_nät,'Leveranser per nät'!C$1,FALSE)/VLOOKUP($B478,Korrigeringsfaktor_EI,'Korrigeringsfaktor EI'!C$1,FALSE),
"")</f>
        <v>0</v>
      </c>
      <c r="D478" s="18">
        <f>IFERROR(
                  Andel_oberoende_av_klimat*VLOOKUP($A478,Leveranser_per_nät,'Leveranser per nät'!D$1,FALSE)
               +Andel_beroende_av_klimat*VLOOKUP($A478,Leveranser_per_nät,'Leveranser per nät'!D$1,FALSE)/VLOOKUP($B478,Korrigeringsfaktor_EI,'Korrigeringsfaktor EI'!D$1,FALSE),
"")</f>
        <v>0</v>
      </c>
      <c r="E478" s="18">
        <f>IFERROR(
                  Andel_oberoende_av_klimat*VLOOKUP($A478,Leveranser_per_nät,'Leveranser per nät'!E$1,FALSE)
               +Andel_beroende_av_klimat*VLOOKUP($A478,Leveranser_per_nät,'Leveranser per nät'!E$1,FALSE)/VLOOKUP($B478,Korrigeringsfaktor_EI,'Korrigeringsfaktor EI'!E$1,FALSE),
"")</f>
        <v>0</v>
      </c>
      <c r="F478" s="18">
        <f>IFERROR(
                  Andel_oberoende_av_klimat*VLOOKUP($A478,Leveranser_per_nät,'Leveranser per nät'!F$1,FALSE)
               +Andel_beroende_av_klimat*VLOOKUP($A478,Leveranser_per_nät,'Leveranser per nät'!F$1,FALSE)/VLOOKUP($B478,Korrigeringsfaktor_EI,'Korrigeringsfaktor EI'!F$1,FALSE),
"")</f>
        <v>0</v>
      </c>
      <c r="G478" s="18">
        <f>IFERROR(
                  Andel_oberoende_av_klimat*VLOOKUP($A478,Leveranser_per_nät,'Leveranser per nät'!G$1,FALSE)
               +Andel_beroende_av_klimat*VLOOKUP($A478,Leveranser_per_nät,'Leveranser per nät'!G$1,FALSE)/VLOOKUP($B478,Korrigeringsfaktor_EI,'Korrigeringsfaktor EI'!G$1,FALSE),
"")</f>
        <v>0</v>
      </c>
      <c r="H478" s="18">
        <f>IFERROR(
                  Andel_oberoende_av_klimat*VLOOKUP($A478,Leveranser_per_nät,'Leveranser per nät'!H$1,FALSE)
               +Andel_beroende_av_klimat*VLOOKUP($A478,Leveranser_per_nät,'Leveranser per nät'!H$1,FALSE)/VLOOKUP($B478,Korrigeringsfaktor_EI,'Korrigeringsfaktor EI'!H$1,FALSE),
"")</f>
        <v>0</v>
      </c>
      <c r="I478" s="18">
        <f>IFERROR(
                  Andel_oberoende_av_klimat*VLOOKUP($A478,Leveranser_per_nät,'Leveranser per nät'!I$1,FALSE)
               +Andel_beroende_av_klimat*VLOOKUP($A478,Leveranser_per_nät,'Leveranser per nät'!I$1,FALSE)/VLOOKUP($B478,Korrigeringsfaktor_EI,'Korrigeringsfaktor EI'!I$1,FALSE),
"")</f>
        <v>0</v>
      </c>
      <c r="J478" s="18">
        <f>IFERROR(
                  Andel_oberoende_av_klimat*VLOOKUP($A478,Leveranser_per_nät,'Leveranser per nät'!J$1,FALSE)
               +Andel_beroende_av_klimat*VLOOKUP($A478,Leveranser_per_nät,'Leveranser per nät'!J$1,FALSE)/VLOOKUP($B478,Korrigeringsfaktor_EI,'Korrigeringsfaktor EI'!J$1,FALSE),
"")</f>
        <v>0</v>
      </c>
      <c r="K478" s="18">
        <f>IFERROR(
                  Andel_oberoende_av_klimat*VLOOKUP($A478,Leveranser_per_nät,'Leveranser per nät'!K$1,FALSE)
               +Andel_beroende_av_klimat*VLOOKUP($A478,Leveranser_per_nät,'Leveranser per nät'!K$1,FALSE)/VLOOKUP($B478,Korrigeringsfaktor_EI,'Korrigeringsfaktor EI'!K$1,FALSE),
"")</f>
        <v>0</v>
      </c>
      <c r="L478" s="18">
        <f>IFERROR(
                  Andel_oberoende_av_klimat*VLOOKUP($A478,Leveranser_per_nät,'Leveranser per nät'!L$1,FALSE)
               +Andel_beroende_av_klimat*VLOOKUP($A478,Leveranser_per_nät,'Leveranser per nät'!L$1,FALSE)/VLOOKUP($B478,Korrigeringsfaktor_EI,'Korrigeringsfaktor EI'!L$1,FALSE),
"")</f>
        <v>2.1462270372911352</v>
      </c>
      <c r="M478" s="18">
        <f>IFERROR(
                  Andel_oberoende_av_klimat*VLOOKUP($A478,Leveranser_per_nät,'Leveranser per nät'!M$1,FALSE)
               +Andel_beroende_av_klimat*VLOOKUP($A478,Leveranser_per_nät,'Leveranser per nät'!M$1,FALSE)/VLOOKUP($B478,Korrigeringsfaktor_EI,'Korrigeringsfaktor EI'!M$1,FALSE),
"")</f>
        <v>3.3894615384615383</v>
      </c>
      <c r="N478" s="18">
        <f>IFERROR(
                  Andel_oberoende_av_klimat*VLOOKUP($A478,Leveranser_per_nät,'Leveranser per nät'!N$1,FALSE)
               +Andel_beroende_av_klimat*VLOOKUP($A478,Leveranser_per_nät,'Leveranser per nät'!N$1,FALSE)/VLOOKUP($B478,Korrigeringsfaktor_EI,'Korrigeringsfaktor EI'!N$1,FALSE),
"")</f>
        <v>2.3339130434782609</v>
      </c>
      <c r="O478" s="18">
        <f>IFERROR(
                  Andel_oberoende_av_klimat*VLOOKUP($A478,Leveranser_per_nät,'Leveranser per nät'!O$1,FALSE)
               +Andel_beroende_av_klimat*VLOOKUP($A478,Leveranser_per_nät,'Leveranser per nät'!O$1,FALSE)/VLOOKUP($B478,Korrigeringsfaktor_EI,'Korrigeringsfaktor EI'!O$1,FALSE),
"")</f>
        <v>2.3711111111111114</v>
      </c>
      <c r="P478" s="18">
        <f>IFERROR(
                  Andel_oberoende_av_klimat*VLOOKUP($A478,Leveranser_per_nät,'Leveranser per nät'!P$1,FALSE)
               +Andel_beroende_av_klimat*VLOOKUP($A478,Leveranser_per_nät,'Leveranser per nät'!P$1,FALSE)/VLOOKUP($B478,Korrigeringsfaktor_EI,'Korrigeringsfaktor EI'!P$1,FALSE),
"")</f>
        <v>2.1807142857142856</v>
      </c>
      <c r="Q478" s="18">
        <f>IFERROR(
                  Andel_oberoende_av_klimat*VLOOKUP($A478,Leveranser_per_nät,'Leveranser per nät'!Q$1,FALSE)
               +Andel_beroende_av_klimat*VLOOKUP($A478,Leveranser_per_nät,'Leveranser per nät'!Q$1,FALSE)/VLOOKUP($B478,Korrigeringsfaktor_EI,'Korrigeringsfaktor EI'!Q$1,FALSE),
"")</f>
        <v>1.9194736842105264</v>
      </c>
      <c r="R478" s="18">
        <f>IFERROR(
                  Andel_oberoende_av_klimat*VLOOKUP($A478,Leveranser_per_nät,'Leveranser per nät'!R$1,FALSE)
               +Andel_beroende_av_klimat*VLOOKUP($A478,Leveranser_per_nät,'Leveranser per nät'!R$1,FALSE)/VLOOKUP($B478,Korrigeringsfaktor_EI,'Korrigeringsfaktor EI'!R$1,FALSE),
"")</f>
        <v>2.3339130434782609</v>
      </c>
      <c r="S478" s="18">
        <f>IFERROR(
                  Andel_oberoende_av_klimat*VLOOKUP($A478,Leveranser_per_nät,'Leveranser per nät'!S$1,FALSE)
               +Andel_beroende_av_klimat*VLOOKUP($A478,Leveranser_per_nät,'Leveranser per nät'!S$1,FALSE)/VLOOKUP($B478,Korrigeringsfaktor_EI,'Korrigeringsfaktor EI'!S$1,FALSE),
"")</f>
        <v>2.1847524752475249</v>
      </c>
      <c r="T478" s="18">
        <f>IFERROR(
                  Andel_oberoende_av_klimat*VLOOKUP($A478,Leveranser_per_nät,'Leveranser per nät'!T$1,FALSE)
               +Andel_beroende_av_klimat*VLOOKUP($A478,Leveranser_per_nät,'Leveranser per nät'!T$1,FALSE)/VLOOKUP($B478,Korrigeringsfaktor_EI,'Korrigeringsfaktor EI'!T$1,FALSE),
"")</f>
        <v>2.3670833333333334</v>
      </c>
      <c r="U478" s="18">
        <f>IFERROR(
                  Andel_oberoende_av_klimat*VLOOKUP($A478,Leveranser_per_nät,'Leveranser per nät'!U$1,FALSE)
               +Andel_beroende_av_klimat*VLOOKUP($A478,Leveranser_per_nät,'Leveranser per nät'!U$1,FALSE)/VLOOKUP($B478,Korrigeringsfaktor_EI,'Korrigeringsfaktor EI'!U$1,FALSE),
"")</f>
        <v>2.3603333333333332</v>
      </c>
      <c r="V478" s="18">
        <f>IFERROR(
                  Andel_oberoende_av_klimat*VLOOKUP($A478,Leveranser_per_nät,'Leveranser per nät'!V$1,FALSE)
               +Andel_beroende_av_klimat*VLOOKUP($A478,Leveranser_per_nät,'Leveranser per nät'!V$1,FALSE)/VLOOKUP($B478,Korrigeringsfaktor_EI,'Korrigeringsfaktor EI'!V$1,FALSE),
"")</f>
        <v>2.3664337078651685</v>
      </c>
      <c r="W478" s="18">
        <f>IFERROR(
                  Andel_oberoende_av_klimat*VLOOKUP($A478,Leveranser_per_nät,'Leveranser per nät'!W$1,FALSE)
               +Andel_beroende_av_klimat*VLOOKUP($A478,Leveranser_per_nät,'Leveranser per nät'!W$1,FALSE)/VLOOKUP($B478,Korrigeringsfaktor_EI,'Korrigeringsfaktor EI'!W$1,FALSE),
"")</f>
        <v>2.492608510638298</v>
      </c>
      <c r="X478" s="18">
        <f>IFERROR(
                  Andel_oberoende_av_klimat*VLOOKUP($A478,Leveranser_per_nät,'Leveranser per nät'!X$1,FALSE)
               +Andel_beroende_av_klimat*VLOOKUP($A478,Leveranser_per_nät,'Leveranser per nät'!X$1,FALSE)/VLOOKUP($B478,Korrigeringsfaktor_EI,'Korrigeringsfaktor EI'!X$1,FALSE),
"")</f>
        <v>2.4027659574468085</v>
      </c>
      <c r="Y478" s="18">
        <f>IFERROR(
                  Andel_oberoende_av_klimat*VLOOKUP($A478,Leveranser_per_nät,'Leveranser per nät'!Y$1,FALSE)
               +Andel_beroende_av_klimat*VLOOKUP($A478,Leveranser_per_nät,'Leveranser per nät'!Y$1,FALSE)/VLOOKUP($B478,Korrigeringsfaktor_EI,'Korrigeringsfaktor EI'!Y$1,FALSE),
"")</f>
        <v>2.4592307692307691</v>
      </c>
      <c r="Z478" s="18">
        <f>IFERROR(
                  Andel_oberoende_av_klimat*VLOOKUP($A478,Leveranser_per_nät,'Leveranser per nät'!Z$1,FALSE)
               +Andel_beroende_av_klimat*VLOOKUP($A478,Leveranser_per_nät,'Leveranser per nät'!Z$1,FALSE)/VLOOKUP($B478,Korrigeringsfaktor_EI,'Korrigeringsfaktor EI'!Z$1,FALSE),
"")</f>
        <v>2.566153846153846</v>
      </c>
      <c r="AA478" s="18">
        <f>IFERROR(
                  Andel_oberoende_av_klimat*VLOOKUP($A478,Leveranser_per_nät,'Leveranser per nät'!AA$1,FALSE)
               +Andel_beroende_av_klimat*VLOOKUP($A478,Leveranser_per_nät,'Leveranser per nät'!AA$1,FALSE)/VLOOKUP($B478,Korrigeringsfaktor_EI,'Korrigeringsfaktor EI'!AA$1,FALSE),
"")</f>
        <v>2.6461960478419138</v>
      </c>
      <c r="AB478" s="18">
        <f>IFERROR(
                  Andel_oberoende_av_klimat*VLOOKUP($A478,Leveranser_per_nät,'Leveranser per nät'!AB$1,FALSE)
               +Andel_beroende_av_klimat*VLOOKUP($A478,Leveranser_per_nät,'Leveranser per nät'!AB$1,FALSE)/VLOOKUP($B478,Korrigeringsfaktor_EI,'Korrigeringsfaktor EI'!AB$1,FALSE),
"")</f>
        <v>0</v>
      </c>
      <c r="AC478" s="18">
        <f>IFERROR(
                  Andel_oberoende_av_klimat*VLOOKUP($A478,Leveranser_per_nät,'Leveranser per nät'!AC$1,FALSE)
               +Andel_beroende_av_klimat*VLOOKUP($A478,Leveranser_per_nät,'Leveranser per nät'!AC$1,FALSE)/VLOOKUP($B478,Korrigeringsfaktor_EI,'Korrigeringsfaktor EI'!AC$1,FALSE),
"")</f>
        <v>0</v>
      </c>
      <c r="AD478">
        <v>1157.2149999999999</v>
      </c>
    </row>
    <row r="479" spans="1:30" x14ac:dyDescent="0.25">
      <c r="A479" t="s">
        <v>50</v>
      </c>
      <c r="B479" t="s">
        <v>50</v>
      </c>
      <c r="C479" s="18">
        <f>IFERROR(
                  Andel_oberoende_av_klimat*VLOOKUP($A479,Leveranser_per_nät,'Leveranser per nät'!C$1,FALSE)
               +Andel_beroende_av_klimat*VLOOKUP($A479,Leveranser_per_nät,'Leveranser per nät'!C$1,FALSE)/VLOOKUP($B479,Korrigeringsfaktor_EI,'Korrigeringsfaktor EI'!C$1,FALSE),
"")</f>
        <v>30.367961165048545</v>
      </c>
      <c r="D479" s="18">
        <f>IFERROR(
                  Andel_oberoende_av_klimat*VLOOKUP($A479,Leveranser_per_nät,'Leveranser per nät'!D$1,FALSE)
               +Andel_beroende_av_klimat*VLOOKUP($A479,Leveranser_per_nät,'Leveranser per nät'!D$1,FALSE)/VLOOKUP($B479,Korrigeringsfaktor_EI,'Korrigeringsfaktor EI'!D$1,FALSE),
"")</f>
        <v>29.137443298969071</v>
      </c>
      <c r="E479" s="18">
        <f>IFERROR(
                  Andel_oberoende_av_klimat*VLOOKUP($A479,Leveranser_per_nät,'Leveranser per nät'!E$1,FALSE)
               +Andel_beroende_av_klimat*VLOOKUP($A479,Leveranser_per_nät,'Leveranser per nät'!E$1,FALSE)/VLOOKUP($B479,Korrigeringsfaktor_EI,'Korrigeringsfaktor EI'!E$1,FALSE),
"")</f>
        <v>29.192307692307693</v>
      </c>
      <c r="F479" s="18">
        <f>IFERROR(
                  Andel_oberoende_av_klimat*VLOOKUP($A479,Leveranser_per_nät,'Leveranser per nät'!F$1,FALSE)
               +Andel_beroende_av_klimat*VLOOKUP($A479,Leveranser_per_nät,'Leveranser per nät'!F$1,FALSE)/VLOOKUP($B479,Korrigeringsfaktor_EI,'Korrigeringsfaktor EI'!F$1,FALSE),
"")</f>
        <v>34</v>
      </c>
      <c r="G479" s="18">
        <f>IFERROR(
                  Andel_oberoende_av_klimat*VLOOKUP($A479,Leveranser_per_nät,'Leveranser per nät'!G$1,FALSE)
               +Andel_beroende_av_klimat*VLOOKUP($A479,Leveranser_per_nät,'Leveranser per nät'!G$1,FALSE)/VLOOKUP($B479,Korrigeringsfaktor_EI,'Korrigeringsfaktor EI'!G$1,FALSE),
"")</f>
        <v>32.142105263157895</v>
      </c>
      <c r="H479" s="18">
        <f>IFERROR(
                  Andel_oberoende_av_klimat*VLOOKUP($A479,Leveranser_per_nät,'Leveranser per nät'!H$1,FALSE)
               +Andel_beroende_av_klimat*VLOOKUP($A479,Leveranser_per_nät,'Leveranser per nät'!H$1,FALSE)/VLOOKUP($B479,Korrigeringsfaktor_EI,'Korrigeringsfaktor EI'!H$1,FALSE),
"")</f>
        <v>35</v>
      </c>
      <c r="I479" s="18">
        <f>IFERROR(
                  Andel_oberoende_av_klimat*VLOOKUP($A479,Leveranser_per_nät,'Leveranser per nät'!I$1,FALSE)
               +Andel_beroende_av_klimat*VLOOKUP($A479,Leveranser_per_nät,'Leveranser per nät'!I$1,FALSE)/VLOOKUP($B479,Korrigeringsfaktor_EI,'Korrigeringsfaktor EI'!I$1,FALSE),
"")</f>
        <v>39.400000000000006</v>
      </c>
      <c r="J479" s="18">
        <f>IFERROR(
                  Andel_oberoende_av_klimat*VLOOKUP($A479,Leveranser_per_nät,'Leveranser per nät'!J$1,FALSE)
               +Andel_beroende_av_klimat*VLOOKUP($A479,Leveranser_per_nät,'Leveranser per nät'!J$1,FALSE)/VLOOKUP($B479,Korrigeringsfaktor_EI,'Korrigeringsfaktor EI'!J$1,FALSE),
"")</f>
        <v>40.137499999999996</v>
      </c>
      <c r="K479" s="18">
        <f>IFERROR(
                  Andel_oberoende_av_klimat*VLOOKUP($A479,Leveranser_per_nät,'Leveranser per nät'!K$1,FALSE)
               +Andel_beroende_av_klimat*VLOOKUP($A479,Leveranser_per_nät,'Leveranser per nät'!K$1,FALSE)/VLOOKUP($B479,Korrigeringsfaktor_EI,'Korrigeringsfaktor EI'!K$1,FALSE),
"")</f>
        <v>38.666820833333333</v>
      </c>
      <c r="L479" s="18">
        <f>IFERROR(
                  Andel_oberoende_av_klimat*VLOOKUP($A479,Leveranser_per_nät,'Leveranser per nät'!L$1,FALSE)
               +Andel_beroende_av_klimat*VLOOKUP($A479,Leveranser_per_nät,'Leveranser per nät'!L$1,FALSE)/VLOOKUP($B479,Korrigeringsfaktor_EI,'Korrigeringsfaktor EI'!L$1,FALSE),
"")</f>
        <v>49.011781607732331</v>
      </c>
      <c r="M479" s="18">
        <f>IFERROR(
                  Andel_oberoende_av_klimat*VLOOKUP($A479,Leveranser_per_nät,'Leveranser per nät'!M$1,FALSE)
               +Andel_beroende_av_klimat*VLOOKUP($A479,Leveranser_per_nät,'Leveranser per nät'!M$1,FALSE)/VLOOKUP($B479,Korrigeringsfaktor_EI,'Korrigeringsfaktor EI'!M$1,FALSE),
"")</f>
        <v>35.07076923076923</v>
      </c>
      <c r="N479" s="18">
        <f>IFERROR(
                  Andel_oberoende_av_klimat*VLOOKUP($A479,Leveranser_per_nät,'Leveranser per nät'!N$1,FALSE)
               +Andel_beroende_av_klimat*VLOOKUP($A479,Leveranser_per_nät,'Leveranser per nät'!N$1,FALSE)/VLOOKUP($B479,Korrigeringsfaktor_EI,'Korrigeringsfaktor EI'!N$1,FALSE),
"")</f>
        <v>32.001720430107525</v>
      </c>
      <c r="O479" s="18">
        <f>IFERROR(
                  Andel_oberoende_av_klimat*VLOOKUP($A479,Leveranser_per_nät,'Leveranser per nät'!O$1,FALSE)
               +Andel_beroende_av_klimat*VLOOKUP($A479,Leveranser_per_nät,'Leveranser per nät'!O$1,FALSE)/VLOOKUP($B479,Korrigeringsfaktor_EI,'Korrigeringsfaktor EI'!O$1,FALSE),
"")</f>
        <v>41.054838709677419</v>
      </c>
      <c r="P479" s="18">
        <f>IFERROR(
                  Andel_oberoende_av_klimat*VLOOKUP($A479,Leveranser_per_nät,'Leveranser per nät'!P$1,FALSE)
               +Andel_beroende_av_klimat*VLOOKUP($A479,Leveranser_per_nät,'Leveranser per nät'!P$1,FALSE)/VLOOKUP($B479,Korrigeringsfaktor_EI,'Korrigeringsfaktor EI'!P$1,FALSE),
"")</f>
        <v>42.909278350515464</v>
      </c>
      <c r="Q479" s="18">
        <f>IFERROR(
                  Andel_oberoende_av_klimat*VLOOKUP($A479,Leveranser_per_nät,'Leveranser per nät'!Q$1,FALSE)
               +Andel_beroende_av_klimat*VLOOKUP($A479,Leveranser_per_nät,'Leveranser per nät'!Q$1,FALSE)/VLOOKUP($B479,Korrigeringsfaktor_EI,'Korrigeringsfaktor EI'!Q$1,FALSE),
"")</f>
        <v>41.698785046728972</v>
      </c>
      <c r="R479" s="18">
        <f>IFERROR(
                  Andel_oberoende_av_klimat*VLOOKUP($A479,Leveranser_per_nät,'Leveranser per nät'!R$1,FALSE)
               +Andel_beroende_av_klimat*VLOOKUP($A479,Leveranser_per_nät,'Leveranser per nät'!R$1,FALSE)/VLOOKUP($B479,Korrigeringsfaktor_EI,'Korrigeringsfaktor EI'!R$1,FALSE),
"")</f>
        <v>39.349666666666664</v>
      </c>
      <c r="S479" s="18">
        <f>IFERROR(
                  Andel_oberoende_av_klimat*VLOOKUP($A479,Leveranser_per_nät,'Leveranser per nät'!S$1,FALSE)
               +Andel_beroende_av_klimat*VLOOKUP($A479,Leveranser_per_nät,'Leveranser per nät'!S$1,FALSE)/VLOOKUP($B479,Korrigeringsfaktor_EI,'Korrigeringsfaktor EI'!S$1,FALSE),
"")</f>
        <v>40</v>
      </c>
      <c r="T479" s="18">
        <f>IFERROR(
                  Andel_oberoende_av_klimat*VLOOKUP($A479,Leveranser_per_nät,'Leveranser per nät'!T$1,FALSE)
               +Andel_beroende_av_klimat*VLOOKUP($A479,Leveranser_per_nät,'Leveranser per nät'!T$1,FALSE)/VLOOKUP($B479,Korrigeringsfaktor_EI,'Korrigeringsfaktor EI'!T$1,FALSE),
"")</f>
        <v>46.21301075268817</v>
      </c>
      <c r="U479" s="18">
        <f>IFERROR(
                  Andel_oberoende_av_klimat*VLOOKUP($A479,Leveranser_per_nät,'Leveranser per nät'!U$1,FALSE)
               +Andel_beroende_av_klimat*VLOOKUP($A479,Leveranser_per_nät,'Leveranser per nät'!U$1,FALSE)/VLOOKUP($B479,Korrigeringsfaktor_EI,'Korrigeringsfaktor EI'!U$1,FALSE),
"")</f>
        <v>46.290555555555564</v>
      </c>
      <c r="V479" s="18">
        <f>IFERROR(
                  Andel_oberoende_av_klimat*VLOOKUP($A479,Leveranser_per_nät,'Leveranser per nät'!V$1,FALSE)
               +Andel_beroende_av_klimat*VLOOKUP($A479,Leveranser_per_nät,'Leveranser per nät'!V$1,FALSE)/VLOOKUP($B479,Korrigeringsfaktor_EI,'Korrigeringsfaktor EI'!V$1,FALSE),
"")</f>
        <v>45.266666666666666</v>
      </c>
      <c r="W479" s="18">
        <f>IFERROR(
                  Andel_oberoende_av_klimat*VLOOKUP($A479,Leveranser_per_nät,'Leveranser per nät'!W$1,FALSE)
               +Andel_beroende_av_klimat*VLOOKUP($A479,Leveranser_per_nät,'Leveranser per nät'!W$1,FALSE)/VLOOKUP($B479,Korrigeringsfaktor_EI,'Korrigeringsfaktor EI'!W$1,FALSE),
"")</f>
        <v>45.077500000000001</v>
      </c>
      <c r="X479" s="18">
        <f>IFERROR(
                  Andel_oberoende_av_klimat*VLOOKUP($A479,Leveranser_per_nät,'Leveranser per nät'!X$1,FALSE)
               +Andel_beroende_av_klimat*VLOOKUP($A479,Leveranser_per_nät,'Leveranser per nät'!X$1,FALSE)/VLOOKUP($B479,Korrigeringsfaktor_EI,'Korrigeringsfaktor EI'!X$1,FALSE),
"")</f>
        <v>43.828762886597936</v>
      </c>
      <c r="Y479" s="18">
        <f>IFERROR(
                  Andel_oberoende_av_klimat*VLOOKUP($A479,Leveranser_per_nät,'Leveranser per nät'!Y$1,FALSE)
               +Andel_beroende_av_klimat*VLOOKUP($A479,Leveranser_per_nät,'Leveranser per nät'!Y$1,FALSE)/VLOOKUP($B479,Korrigeringsfaktor_EI,'Korrigeringsfaktor EI'!Y$1,FALSE),
"")</f>
        <v>44.19</v>
      </c>
      <c r="Z479" s="18">
        <f>IFERROR(
                  Andel_oberoende_av_klimat*VLOOKUP($A479,Leveranser_per_nät,'Leveranser per nät'!Z$1,FALSE)
               +Andel_beroende_av_klimat*VLOOKUP($A479,Leveranser_per_nät,'Leveranser per nät'!Z$1,FALSE)/VLOOKUP($B479,Korrigeringsfaktor_EI,'Korrigeringsfaktor EI'!Z$1,FALSE),
"")</f>
        <v>43.225000000000001</v>
      </c>
      <c r="AA479" s="18">
        <f>IFERROR(
                  Andel_oberoende_av_klimat*VLOOKUP($A479,Leveranser_per_nät,'Leveranser per nät'!AA$1,FALSE)
               +Andel_beroende_av_klimat*VLOOKUP($A479,Leveranser_per_nät,'Leveranser per nät'!AA$1,FALSE)/VLOOKUP($B479,Korrigeringsfaktor_EI,'Korrigeringsfaktor EI'!AA$1,FALSE),
"")</f>
        <v>36.340563829787229</v>
      </c>
      <c r="AB479" s="18">
        <f>IFERROR(
                  Andel_oberoende_av_klimat*VLOOKUP($A479,Leveranser_per_nät,'Leveranser per nät'!AB$1,FALSE)
               +Andel_beroende_av_klimat*VLOOKUP($A479,Leveranser_per_nät,'Leveranser per nät'!AB$1,FALSE)/VLOOKUP($B479,Korrigeringsfaktor_EI,'Korrigeringsfaktor EI'!AB$1,FALSE),
"")</f>
        <v>37.283056521739134</v>
      </c>
      <c r="AC479" s="18">
        <f>IFERROR(
                  Andel_oberoende_av_klimat*VLOOKUP($A479,Leveranser_per_nät,'Leveranser per nät'!AC$1,FALSE)
               +Andel_beroende_av_klimat*VLOOKUP($A479,Leveranser_per_nät,'Leveranser per nät'!AC$1,FALSE)/VLOOKUP($B479,Korrigeringsfaktor_EI,'Korrigeringsfaktor EI'!AC$1,FALSE),
"")</f>
        <v>35.459428571428568</v>
      </c>
      <c r="AD479">
        <v>34.96</v>
      </c>
    </row>
    <row r="480" spans="1:30" x14ac:dyDescent="0.25">
      <c r="A480" t="s">
        <v>380</v>
      </c>
      <c r="B480" t="s">
        <v>50</v>
      </c>
      <c r="C480" s="18">
        <f>IFERROR(
                  Andel_oberoende_av_klimat*VLOOKUP($A480,Leveranser_per_nät,'Leveranser per nät'!C$1,FALSE)
               +Andel_beroende_av_klimat*VLOOKUP($A480,Leveranser_per_nät,'Leveranser per nät'!C$1,FALSE)/VLOOKUP($B480,Korrigeringsfaktor_EI,'Korrigeringsfaktor EI'!C$1,FALSE),
"")</f>
        <v>0</v>
      </c>
      <c r="D480" s="18">
        <f>IFERROR(
                  Andel_oberoende_av_klimat*VLOOKUP($A480,Leveranser_per_nät,'Leveranser per nät'!D$1,FALSE)
               +Andel_beroende_av_klimat*VLOOKUP($A480,Leveranser_per_nät,'Leveranser per nät'!D$1,FALSE)/VLOOKUP($B480,Korrigeringsfaktor_EI,'Korrigeringsfaktor EI'!D$1,FALSE),
"")</f>
        <v>0</v>
      </c>
      <c r="E480" s="18">
        <f>IFERROR(
                  Andel_oberoende_av_klimat*VLOOKUP($A480,Leveranser_per_nät,'Leveranser per nät'!E$1,FALSE)
               +Andel_beroende_av_klimat*VLOOKUP($A480,Leveranser_per_nät,'Leveranser per nät'!E$1,FALSE)/VLOOKUP($B480,Korrigeringsfaktor_EI,'Korrigeringsfaktor EI'!E$1,FALSE),
"")</f>
        <v>0</v>
      </c>
      <c r="F480" s="18">
        <f>IFERROR(
                  Andel_oberoende_av_klimat*VLOOKUP($A480,Leveranser_per_nät,'Leveranser per nät'!F$1,FALSE)
               +Andel_beroende_av_klimat*VLOOKUP($A480,Leveranser_per_nät,'Leveranser per nät'!F$1,FALSE)/VLOOKUP($B480,Korrigeringsfaktor_EI,'Korrigeringsfaktor EI'!F$1,FALSE),
"")</f>
        <v>0</v>
      </c>
      <c r="G480" s="18">
        <f>IFERROR(
                  Andel_oberoende_av_klimat*VLOOKUP($A480,Leveranser_per_nät,'Leveranser per nät'!G$1,FALSE)
               +Andel_beroende_av_klimat*VLOOKUP($A480,Leveranser_per_nät,'Leveranser per nät'!G$1,FALSE)/VLOOKUP($B480,Korrigeringsfaktor_EI,'Korrigeringsfaktor EI'!G$1,FALSE),
"")</f>
        <v>0</v>
      </c>
      <c r="H480" s="18">
        <f>IFERROR(
                  Andel_oberoende_av_klimat*VLOOKUP($A480,Leveranser_per_nät,'Leveranser per nät'!H$1,FALSE)
               +Andel_beroende_av_klimat*VLOOKUP($A480,Leveranser_per_nät,'Leveranser per nät'!H$1,FALSE)/VLOOKUP($B480,Korrigeringsfaktor_EI,'Korrigeringsfaktor EI'!H$1,FALSE),
"")</f>
        <v>0</v>
      </c>
      <c r="I480" s="18">
        <f>IFERROR(
                  Andel_oberoende_av_klimat*VLOOKUP($A480,Leveranser_per_nät,'Leveranser per nät'!I$1,FALSE)
               +Andel_beroende_av_klimat*VLOOKUP($A480,Leveranser_per_nät,'Leveranser per nät'!I$1,FALSE)/VLOOKUP($B480,Korrigeringsfaktor_EI,'Korrigeringsfaktor EI'!I$1,FALSE),
"")</f>
        <v>0</v>
      </c>
      <c r="J480" s="18">
        <f>IFERROR(
                  Andel_oberoende_av_klimat*VLOOKUP($A480,Leveranser_per_nät,'Leveranser per nät'!J$1,FALSE)
               +Andel_beroende_av_klimat*VLOOKUP($A480,Leveranser_per_nät,'Leveranser per nät'!J$1,FALSE)/VLOOKUP($B480,Korrigeringsfaktor_EI,'Korrigeringsfaktor EI'!J$1,FALSE),
"")</f>
        <v>0</v>
      </c>
      <c r="K480" s="18">
        <f>IFERROR(
                  Andel_oberoende_av_klimat*VLOOKUP($A480,Leveranser_per_nät,'Leveranser per nät'!K$1,FALSE)
               +Andel_beroende_av_klimat*VLOOKUP($A480,Leveranser_per_nät,'Leveranser per nät'!K$1,FALSE)/VLOOKUP($B480,Korrigeringsfaktor_EI,'Korrigeringsfaktor EI'!K$1,FALSE),
"")</f>
        <v>0</v>
      </c>
      <c r="L480" s="18">
        <f>IFERROR(
                  Andel_oberoende_av_klimat*VLOOKUP($A480,Leveranser_per_nät,'Leveranser per nät'!L$1,FALSE)
               +Andel_beroende_av_klimat*VLOOKUP($A480,Leveranser_per_nät,'Leveranser per nät'!L$1,FALSE)/VLOOKUP($B480,Korrigeringsfaktor_EI,'Korrigeringsfaktor EI'!L$1,FALSE),
"")</f>
        <v>0</v>
      </c>
      <c r="M480" s="18">
        <f>IFERROR(
                  Andel_oberoende_av_klimat*VLOOKUP($A480,Leveranser_per_nät,'Leveranser per nät'!M$1,FALSE)
               +Andel_beroende_av_klimat*VLOOKUP($A480,Leveranser_per_nät,'Leveranser per nät'!M$1,FALSE)/VLOOKUP($B480,Korrigeringsfaktor_EI,'Korrigeringsfaktor EI'!M$1,FALSE),
"")</f>
        <v>3.3680769230769227</v>
      </c>
      <c r="N480" s="18">
        <f>IFERROR(
                  Andel_oberoende_av_klimat*VLOOKUP($A480,Leveranser_per_nät,'Leveranser per nät'!N$1,FALSE)
               +Andel_beroende_av_klimat*VLOOKUP($A480,Leveranser_per_nät,'Leveranser per nät'!N$1,FALSE)/VLOOKUP($B480,Korrigeringsfaktor_EI,'Korrigeringsfaktor EI'!N$1,FALSE),
"")</f>
        <v>2.9475268817204299</v>
      </c>
      <c r="O480" s="18">
        <f>IFERROR(
                  Andel_oberoende_av_klimat*VLOOKUP($A480,Leveranser_per_nät,'Leveranser per nät'!O$1,FALSE)
               +Andel_beroende_av_klimat*VLOOKUP($A480,Leveranser_per_nät,'Leveranser per nät'!O$1,FALSE)/VLOOKUP($B480,Korrigeringsfaktor_EI,'Korrigeringsfaktor EI'!O$1,FALSE),
"")</f>
        <v>4.6318279569892473</v>
      </c>
      <c r="P480" s="18">
        <f>IFERROR(
                  Andel_oberoende_av_klimat*VLOOKUP($A480,Leveranser_per_nät,'Leveranser per nät'!P$1,FALSE)
               +Andel_beroende_av_klimat*VLOOKUP($A480,Leveranser_per_nät,'Leveranser per nät'!P$1,FALSE)/VLOOKUP($B480,Korrigeringsfaktor_EI,'Korrigeringsfaktor EI'!P$1,FALSE),
"")</f>
        <v>4.9805412371134024</v>
      </c>
      <c r="Q480" s="18">
        <f>IFERROR(
                  Andel_oberoende_av_klimat*VLOOKUP($A480,Leveranser_per_nät,'Leveranser per nät'!Q$1,FALSE)
               +Andel_beroende_av_klimat*VLOOKUP($A480,Leveranser_per_nät,'Leveranser per nät'!Q$1,FALSE)/VLOOKUP($B480,Korrigeringsfaktor_EI,'Korrigeringsfaktor EI'!Q$1,FALSE),
"")</f>
        <v>5.1049999999999995</v>
      </c>
      <c r="R480" s="18">
        <f>IFERROR(
                  Andel_oberoende_av_klimat*VLOOKUP($A480,Leveranser_per_nät,'Leveranser per nät'!R$1,FALSE)
               +Andel_beroende_av_klimat*VLOOKUP($A480,Leveranser_per_nät,'Leveranser per nät'!R$1,FALSE)/VLOOKUP($B480,Korrigeringsfaktor_EI,'Korrigeringsfaktor EI'!R$1,FALSE),
"")</f>
        <v>4.7530000000000001</v>
      </c>
      <c r="S480" s="18" t="str">
        <f>IFERROR(
                  Andel_oberoende_av_klimat*VLOOKUP($A480,Leveranser_per_nät,'Leveranser per nät'!S$1,FALSE)
               +Andel_beroende_av_klimat*VLOOKUP($A480,Leveranser_per_nät,'Leveranser per nät'!S$1,FALSE)/VLOOKUP($B480,Korrigeringsfaktor_EI,'Korrigeringsfaktor EI'!S$1,FALSE),
"")</f>
        <v/>
      </c>
      <c r="T480" s="18" t="str">
        <f>IFERROR(
                  Andel_oberoende_av_klimat*VLOOKUP($A480,Leveranser_per_nät,'Leveranser per nät'!T$1,FALSE)
               +Andel_beroende_av_klimat*VLOOKUP($A480,Leveranser_per_nät,'Leveranser per nät'!T$1,FALSE)/VLOOKUP($B480,Korrigeringsfaktor_EI,'Korrigeringsfaktor EI'!T$1,FALSE),
"")</f>
        <v/>
      </c>
      <c r="U480" s="18" t="str">
        <f>IFERROR(
                  Andel_oberoende_av_klimat*VLOOKUP($A480,Leveranser_per_nät,'Leveranser per nät'!U$1,FALSE)
               +Andel_beroende_av_klimat*VLOOKUP($A480,Leveranser_per_nät,'Leveranser per nät'!U$1,FALSE)/VLOOKUP($B480,Korrigeringsfaktor_EI,'Korrigeringsfaktor EI'!U$1,FALSE),
"")</f>
        <v/>
      </c>
      <c r="V480" s="18" t="str">
        <f>IFERROR(
                  Andel_oberoende_av_klimat*VLOOKUP($A480,Leveranser_per_nät,'Leveranser per nät'!V$1,FALSE)
               +Andel_beroende_av_klimat*VLOOKUP($A480,Leveranser_per_nät,'Leveranser per nät'!V$1,FALSE)/VLOOKUP($B480,Korrigeringsfaktor_EI,'Korrigeringsfaktor EI'!V$1,FALSE),
"")</f>
        <v/>
      </c>
      <c r="W480" s="18" t="str">
        <f>IFERROR(
                  Andel_oberoende_av_klimat*VLOOKUP($A480,Leveranser_per_nät,'Leveranser per nät'!W$1,FALSE)
               +Andel_beroende_av_klimat*VLOOKUP($A480,Leveranser_per_nät,'Leveranser per nät'!W$1,FALSE)/VLOOKUP($B480,Korrigeringsfaktor_EI,'Korrigeringsfaktor EI'!W$1,FALSE),
"")</f>
        <v/>
      </c>
      <c r="X480" s="18" t="str">
        <f>IFERROR(
                  Andel_oberoende_av_klimat*VLOOKUP($A480,Leveranser_per_nät,'Leveranser per nät'!X$1,FALSE)
               +Andel_beroende_av_klimat*VLOOKUP($A480,Leveranser_per_nät,'Leveranser per nät'!X$1,FALSE)/VLOOKUP($B480,Korrigeringsfaktor_EI,'Korrigeringsfaktor EI'!X$1,FALSE),
"")</f>
        <v/>
      </c>
      <c r="Y480" s="18" t="str">
        <f>IFERROR(
                  Andel_oberoende_av_klimat*VLOOKUP($A480,Leveranser_per_nät,'Leveranser per nät'!Y$1,FALSE)
               +Andel_beroende_av_klimat*VLOOKUP($A480,Leveranser_per_nät,'Leveranser per nät'!Y$1,FALSE)/VLOOKUP($B480,Korrigeringsfaktor_EI,'Korrigeringsfaktor EI'!Y$1,FALSE),
"")</f>
        <v/>
      </c>
      <c r="Z480" s="18">
        <f>IFERROR(
                  Andel_oberoende_av_klimat*VLOOKUP($A480,Leveranser_per_nät,'Leveranser per nät'!Z$1,FALSE)
               +Andel_beroende_av_klimat*VLOOKUP($A480,Leveranser_per_nät,'Leveranser per nät'!Z$1,FALSE)/VLOOKUP($B480,Korrigeringsfaktor_EI,'Korrigeringsfaktor EI'!Z$1,FALSE),
"")</f>
        <v>0</v>
      </c>
      <c r="AA480" s="18" t="str">
        <f>IFERROR(
                  Andel_oberoende_av_klimat*VLOOKUP($A480,Leveranser_per_nät,'Leveranser per nät'!AA$1,FALSE)
               +Andel_beroende_av_klimat*VLOOKUP($A480,Leveranser_per_nät,'Leveranser per nät'!AA$1,FALSE)/VLOOKUP($B480,Korrigeringsfaktor_EI,'Korrigeringsfaktor EI'!AA$1,FALSE),
"")</f>
        <v/>
      </c>
      <c r="AB480" s="18">
        <f>IFERROR(
                  Andel_oberoende_av_klimat*VLOOKUP($A480,Leveranser_per_nät,'Leveranser per nät'!AB$1,FALSE)
               +Andel_beroende_av_klimat*VLOOKUP($A480,Leveranser_per_nät,'Leveranser per nät'!AB$1,FALSE)/VLOOKUP($B480,Korrigeringsfaktor_EI,'Korrigeringsfaktor EI'!AB$1,FALSE),
"")</f>
        <v>0</v>
      </c>
      <c r="AC480" s="18">
        <f>IFERROR(
                  Andel_oberoende_av_klimat*VLOOKUP($A480,Leveranser_per_nät,'Leveranser per nät'!AC$1,FALSE)
               +Andel_beroende_av_klimat*VLOOKUP($A480,Leveranser_per_nät,'Leveranser per nät'!AC$1,FALSE)/VLOOKUP($B480,Korrigeringsfaktor_EI,'Korrigeringsfaktor EI'!AC$1,FALSE),
"")</f>
        <v>0</v>
      </c>
      <c r="AD480">
        <v>34.96</v>
      </c>
    </row>
    <row r="481" spans="1:30" x14ac:dyDescent="0.25">
      <c r="A481" t="s">
        <v>355</v>
      </c>
      <c r="B481" t="s">
        <v>355</v>
      </c>
      <c r="C481" s="18">
        <f>IFERROR(
                  Andel_oberoende_av_klimat*VLOOKUP($A481,Leveranser_per_nät,'Leveranser per nät'!C$1,FALSE)
               +Andel_beroende_av_klimat*VLOOKUP($A481,Leveranser_per_nät,'Leveranser per nät'!C$1,FALSE)/VLOOKUP($B481,Korrigeringsfaktor_EI,'Korrigeringsfaktor EI'!C$1,FALSE),
"")</f>
        <v>91.201801801801793</v>
      </c>
      <c r="D481" s="18">
        <f>IFERROR(
                  Andel_oberoende_av_klimat*VLOOKUP($A481,Leveranser_per_nät,'Leveranser per nät'!D$1,FALSE)
               +Andel_beroende_av_klimat*VLOOKUP($A481,Leveranser_per_nät,'Leveranser per nät'!D$1,FALSE)/VLOOKUP($B481,Korrigeringsfaktor_EI,'Korrigeringsfaktor EI'!D$1,FALSE),
"")</f>
        <v>86.683666666666667</v>
      </c>
      <c r="E481" s="18">
        <f>IFERROR(
                  Andel_oberoende_av_klimat*VLOOKUP($A481,Leveranser_per_nät,'Leveranser per nät'!E$1,FALSE)
               +Andel_beroende_av_klimat*VLOOKUP($A481,Leveranser_per_nät,'Leveranser per nät'!E$1,FALSE)/VLOOKUP($B481,Korrigeringsfaktor_EI,'Korrigeringsfaktor EI'!E$1,FALSE),
"")</f>
        <v>88.55</v>
      </c>
      <c r="F481" s="18">
        <f>IFERROR(
                  Andel_oberoende_av_klimat*VLOOKUP($A481,Leveranser_per_nät,'Leveranser per nät'!F$1,FALSE)
               +Andel_beroende_av_klimat*VLOOKUP($A481,Leveranser_per_nät,'Leveranser per nät'!F$1,FALSE)/VLOOKUP($B481,Korrigeringsfaktor_EI,'Korrigeringsfaktor EI'!F$1,FALSE),
"")</f>
        <v>88.242857142857147</v>
      </c>
      <c r="G481" s="18">
        <f>IFERROR(
                  Andel_oberoende_av_klimat*VLOOKUP($A481,Leveranser_per_nät,'Leveranser per nät'!G$1,FALSE)
               +Andel_beroende_av_klimat*VLOOKUP($A481,Leveranser_per_nät,'Leveranser per nät'!G$1,FALSE)/VLOOKUP($B481,Korrigeringsfaktor_EI,'Korrigeringsfaktor EI'!G$1,FALSE),
"")</f>
        <v>87.676923076923075</v>
      </c>
      <c r="H481" s="18">
        <f>IFERROR(
                  Andel_oberoende_av_klimat*VLOOKUP($A481,Leveranser_per_nät,'Leveranser per nät'!H$1,FALSE)
               +Andel_beroende_av_klimat*VLOOKUP($A481,Leveranser_per_nät,'Leveranser per nät'!H$1,FALSE)/VLOOKUP($B481,Korrigeringsfaktor_EI,'Korrigeringsfaktor EI'!H$1,FALSE),
"")</f>
        <v>91.643434343434336</v>
      </c>
      <c r="I481" s="18">
        <f>IFERROR(
                  Andel_oberoende_av_klimat*VLOOKUP($A481,Leveranser_per_nät,'Leveranser per nät'!I$1,FALSE)
               +Andel_beroende_av_klimat*VLOOKUP($A481,Leveranser_per_nät,'Leveranser per nät'!I$1,FALSE)/VLOOKUP($B481,Korrigeringsfaktor_EI,'Korrigeringsfaktor EI'!I$1,FALSE),
"")</f>
        <v>99.244680851063833</v>
      </c>
      <c r="J481" s="18">
        <f>IFERROR(
                  Andel_oberoende_av_klimat*VLOOKUP($A481,Leveranser_per_nät,'Leveranser per nät'!J$1,FALSE)
               +Andel_beroende_av_klimat*VLOOKUP($A481,Leveranser_per_nät,'Leveranser per nät'!J$1,FALSE)/VLOOKUP($B481,Korrigeringsfaktor_EI,'Korrigeringsfaktor EI'!J$1,FALSE),
"")</f>
        <v>102.91666666666667</v>
      </c>
      <c r="K481" s="18">
        <f>IFERROR(
                  Andel_oberoende_av_klimat*VLOOKUP($A481,Leveranser_per_nät,'Leveranser per nät'!K$1,FALSE)
               +Andel_beroende_av_klimat*VLOOKUP($A481,Leveranser_per_nät,'Leveranser per nät'!K$1,FALSE)/VLOOKUP($B481,Korrigeringsfaktor_EI,'Korrigeringsfaktor EI'!K$1,FALSE),
"")</f>
        <v>107.93622857142857</v>
      </c>
      <c r="L481" s="18">
        <f>IFERROR(
                  Andel_oberoende_av_klimat*VLOOKUP($A481,Leveranser_per_nät,'Leveranser per nät'!L$1,FALSE)
               +Andel_beroende_av_klimat*VLOOKUP($A481,Leveranser_per_nät,'Leveranser per nät'!L$1,FALSE)/VLOOKUP($B481,Korrigeringsfaktor_EI,'Korrigeringsfaktor EI'!L$1,FALSE),
"")</f>
        <v>115.23152105263156</v>
      </c>
      <c r="M481" s="18">
        <f>IFERROR(
                  Andel_oberoende_av_klimat*VLOOKUP($A481,Leveranser_per_nät,'Leveranser per nät'!M$1,FALSE)
               +Andel_beroende_av_klimat*VLOOKUP($A481,Leveranser_per_nät,'Leveranser per nät'!M$1,FALSE)/VLOOKUP($B481,Korrigeringsfaktor_EI,'Korrigeringsfaktor EI'!M$1,FALSE),
"")</f>
        <v>124.44</v>
      </c>
      <c r="N481" s="18">
        <f>IFERROR(
                  Andel_oberoende_av_klimat*VLOOKUP($A481,Leveranser_per_nät,'Leveranser per nät'!N$1,FALSE)
               +Andel_beroende_av_klimat*VLOOKUP($A481,Leveranser_per_nät,'Leveranser per nät'!N$1,FALSE)/VLOOKUP($B481,Korrigeringsfaktor_EI,'Korrigeringsfaktor EI'!N$1,FALSE),
"")</f>
        <v>129.31343755555557</v>
      </c>
      <c r="O481" s="18">
        <f>IFERROR(
                  Andel_oberoende_av_klimat*VLOOKUP($A481,Leveranser_per_nät,'Leveranser per nät'!O$1,FALSE)
               +Andel_beroende_av_klimat*VLOOKUP($A481,Leveranser_per_nät,'Leveranser per nät'!O$1,FALSE)/VLOOKUP($B481,Korrigeringsfaktor_EI,'Korrigeringsfaktor EI'!O$1,FALSE),
"")</f>
        <v>136.24407693846155</v>
      </c>
      <c r="P481" s="18">
        <f>IFERROR(
                  Andel_oberoende_av_klimat*VLOOKUP($A481,Leveranser_per_nät,'Leveranser per nät'!P$1,FALSE)
               +Andel_beroende_av_klimat*VLOOKUP($A481,Leveranser_per_nät,'Leveranser per nät'!P$1,FALSE)/VLOOKUP($B481,Korrigeringsfaktor_EI,'Korrigeringsfaktor EI'!P$1,FALSE),
"")</f>
        <v>143.06027917368422</v>
      </c>
      <c r="Q481" s="18">
        <f>IFERROR(
                  Andel_oberoende_av_klimat*VLOOKUP($A481,Leveranser_per_nät,'Leveranser per nät'!Q$1,FALSE)
               +Andel_beroende_av_klimat*VLOOKUP($A481,Leveranser_per_nät,'Leveranser per nät'!Q$1,FALSE)/VLOOKUP($B481,Korrigeringsfaktor_EI,'Korrigeringsfaktor EI'!Q$1,FALSE),
"")</f>
        <v>154.24430651531529</v>
      </c>
      <c r="R481" s="18">
        <f>IFERROR(
                  Andel_oberoende_av_klimat*VLOOKUP($A481,Leveranser_per_nät,'Leveranser per nät'!R$1,FALSE)
               +Andel_beroende_av_klimat*VLOOKUP($A481,Leveranser_per_nät,'Leveranser per nät'!R$1,FALSE)/VLOOKUP($B481,Korrigeringsfaktor_EI,'Korrigeringsfaktor EI'!R$1,FALSE),
"")</f>
        <v>148.39942164615385</v>
      </c>
      <c r="S481" s="18">
        <f>IFERROR(
                  Andel_oberoende_av_klimat*VLOOKUP($A481,Leveranser_per_nät,'Leveranser per nät'!S$1,FALSE)
               +Andel_beroende_av_klimat*VLOOKUP($A481,Leveranser_per_nät,'Leveranser per nät'!S$1,FALSE)/VLOOKUP($B481,Korrigeringsfaktor_EI,'Korrigeringsfaktor EI'!S$1,FALSE),
"")</f>
        <v>154</v>
      </c>
      <c r="T481" s="18">
        <f>IFERROR(
                  Andel_oberoende_av_klimat*VLOOKUP($A481,Leveranser_per_nät,'Leveranser per nät'!T$1,FALSE)
               +Andel_beroende_av_klimat*VLOOKUP($A481,Leveranser_per_nät,'Leveranser per nät'!T$1,FALSE)/VLOOKUP($B481,Korrigeringsfaktor_EI,'Korrigeringsfaktor EI'!T$1,FALSE),
"")</f>
        <v>153.57097142857143</v>
      </c>
      <c r="U481" s="18">
        <f>IFERROR(
                  Andel_oberoende_av_klimat*VLOOKUP($A481,Leveranser_per_nät,'Leveranser per nät'!U$1,FALSE)
               +Andel_beroende_av_klimat*VLOOKUP($A481,Leveranser_per_nät,'Leveranser per nät'!U$1,FALSE)/VLOOKUP($B481,Korrigeringsfaktor_EI,'Korrigeringsfaktor EI'!U$1,FALSE),
"")</f>
        <v>148.12655172413793</v>
      </c>
      <c r="V481" s="18">
        <f>IFERROR(
                  Andel_oberoende_av_klimat*VLOOKUP($A481,Leveranser_per_nät,'Leveranser per nät'!V$1,FALSE)
               +Andel_beroende_av_klimat*VLOOKUP($A481,Leveranser_per_nät,'Leveranser per nät'!V$1,FALSE)/VLOOKUP($B481,Korrigeringsfaktor_EI,'Korrigeringsfaktor EI'!V$1,FALSE),
"")</f>
        <v>152.75116414615385</v>
      </c>
      <c r="W481" s="18">
        <f>IFERROR(
                  Andel_oberoende_av_klimat*VLOOKUP($A481,Leveranser_per_nät,'Leveranser per nät'!W$1,FALSE)
               +Andel_beroende_av_klimat*VLOOKUP($A481,Leveranser_per_nät,'Leveranser per nät'!W$1,FALSE)/VLOOKUP($B481,Korrigeringsfaktor_EI,'Korrigeringsfaktor EI'!W$1,FALSE),
"")</f>
        <v>154.87206842105263</v>
      </c>
      <c r="X481" s="18">
        <f>IFERROR(
                  Andel_oberoende_av_klimat*VLOOKUP($A481,Leveranser_per_nät,'Leveranser per nät'!X$1,FALSE)
               +Andel_beroende_av_klimat*VLOOKUP($A481,Leveranser_per_nät,'Leveranser per nät'!X$1,FALSE)/VLOOKUP($B481,Korrigeringsfaktor_EI,'Korrigeringsfaktor EI'!X$1,FALSE),
"")</f>
        <v>161.78659247311828</v>
      </c>
      <c r="Y481" s="18">
        <f>IFERROR(
                  Andel_oberoende_av_klimat*VLOOKUP($A481,Leveranser_per_nät,'Leveranser per nät'!Y$1,FALSE)
               +Andel_beroende_av_klimat*VLOOKUP($A481,Leveranser_per_nät,'Leveranser per nät'!Y$1,FALSE)/VLOOKUP($B481,Korrigeringsfaktor_EI,'Korrigeringsfaktor EI'!Y$1,FALSE),
"")</f>
        <v>159.15968636363635</v>
      </c>
      <c r="Z481" s="18">
        <f>IFERROR(
                  Andel_oberoende_av_klimat*VLOOKUP($A481,Leveranser_per_nät,'Leveranser per nät'!Z$1,FALSE)
               +Andel_beroende_av_klimat*VLOOKUP($A481,Leveranser_per_nät,'Leveranser per nät'!Z$1,FALSE)/VLOOKUP($B481,Korrigeringsfaktor_EI,'Korrigeringsfaktor EI'!Z$1,FALSE),
"")</f>
        <v>156.28321860465115</v>
      </c>
      <c r="AA481" s="18">
        <f>IFERROR(
                  Andel_oberoende_av_klimat*VLOOKUP($A481,Leveranser_per_nät,'Leveranser per nät'!AA$1,FALSE)
               +Andel_beroende_av_klimat*VLOOKUP($A481,Leveranser_per_nät,'Leveranser per nät'!AA$1,FALSE)/VLOOKUP($B481,Korrigeringsfaktor_EI,'Korrigeringsfaktor EI'!AA$1,FALSE),
"")</f>
        <v>151.85035804013552</v>
      </c>
      <c r="AB481" s="18">
        <f>IFERROR(
                  Andel_oberoende_av_klimat*VLOOKUP($A481,Leveranser_per_nät,'Leveranser per nät'!AB$1,FALSE)
               +Andel_beroende_av_klimat*VLOOKUP($A481,Leveranser_per_nät,'Leveranser per nät'!AB$1,FALSE)/VLOOKUP($B481,Korrigeringsfaktor_EI,'Korrigeringsfaktor EI'!AB$1,FALSE),
"")</f>
        <v>156.166</v>
      </c>
      <c r="AC481" s="18">
        <f>IFERROR(
                  Andel_oberoende_av_klimat*VLOOKUP($A481,Leveranser_per_nät,'Leveranser per nät'!AC$1,FALSE)
               +Andel_beroende_av_klimat*VLOOKUP($A481,Leveranser_per_nät,'Leveranser per nät'!AC$1,FALSE)/VLOOKUP($B481,Korrigeringsfaktor_EI,'Korrigeringsfaktor EI'!AC$1,FALSE),
"")</f>
        <v>148.65931111111112</v>
      </c>
      <c r="AD481">
        <v>141.869</v>
      </c>
    </row>
    <row r="482" spans="1:30" x14ac:dyDescent="0.25">
      <c r="A482" t="s">
        <v>436</v>
      </c>
      <c r="B482" t="s">
        <v>280</v>
      </c>
      <c r="C482" s="18">
        <f>IFERROR(
                  Andel_oberoende_av_klimat*VLOOKUP($A482,Leveranser_per_nät,'Leveranser per nät'!C$1,FALSE)
               +Andel_beroende_av_klimat*VLOOKUP($A482,Leveranser_per_nät,'Leveranser per nät'!C$1,FALSE)/VLOOKUP($B482,Korrigeringsfaktor_EI,'Korrigeringsfaktor EI'!C$1,FALSE),
"")</f>
        <v>233.53939090909091</v>
      </c>
      <c r="D482" s="18">
        <f>IFERROR(
                  Andel_oberoende_av_klimat*VLOOKUP($A482,Leveranser_per_nät,'Leveranser per nät'!D$1,FALSE)
               +Andel_beroende_av_klimat*VLOOKUP($A482,Leveranser_per_nät,'Leveranser per nät'!D$1,FALSE)/VLOOKUP($B482,Korrigeringsfaktor_EI,'Korrigeringsfaktor EI'!D$1,FALSE),
"")</f>
        <v>199.6069306930693</v>
      </c>
      <c r="E482" s="18">
        <f>IFERROR(
                  Andel_oberoende_av_klimat*VLOOKUP($A482,Leveranser_per_nät,'Leveranser per nät'!E$1,FALSE)
               +Andel_beroende_av_klimat*VLOOKUP($A482,Leveranser_per_nät,'Leveranser per nät'!E$1,FALSE)/VLOOKUP($B482,Korrigeringsfaktor_EI,'Korrigeringsfaktor EI'!E$1,FALSE),
"")</f>
        <v>206.16386153846153</v>
      </c>
      <c r="F482" s="18">
        <f>IFERROR(
                  Andel_oberoende_av_klimat*VLOOKUP($A482,Leveranser_per_nät,'Leveranser per nät'!F$1,FALSE)
               +Andel_beroende_av_klimat*VLOOKUP($A482,Leveranser_per_nät,'Leveranser per nät'!F$1,FALSE)/VLOOKUP($B482,Korrigeringsfaktor_EI,'Korrigeringsfaktor EI'!F$1,FALSE),
"")</f>
        <v>207.89148936170213</v>
      </c>
      <c r="G482" s="18">
        <f>IFERROR(
                  Andel_oberoende_av_klimat*VLOOKUP($A482,Leveranser_per_nät,'Leveranser per nät'!G$1,FALSE)
               +Andel_beroende_av_klimat*VLOOKUP($A482,Leveranser_per_nät,'Leveranser per nät'!G$1,FALSE)/VLOOKUP($B482,Korrigeringsfaktor_EI,'Korrigeringsfaktor EI'!G$1,FALSE),
"")</f>
        <v>216.21685393258426</v>
      </c>
      <c r="H482" s="18">
        <f>IFERROR(
                  Andel_oberoende_av_klimat*VLOOKUP($A482,Leveranser_per_nät,'Leveranser per nät'!H$1,FALSE)
               +Andel_beroende_av_klimat*VLOOKUP($A482,Leveranser_per_nät,'Leveranser per nät'!H$1,FALSE)/VLOOKUP($B482,Korrigeringsfaktor_EI,'Korrigeringsfaktor EI'!H$1,FALSE),
"")</f>
        <v>0</v>
      </c>
      <c r="I482" s="18">
        <f>IFERROR(
                  Andel_oberoende_av_klimat*VLOOKUP($A482,Leveranser_per_nät,'Leveranser per nät'!I$1,FALSE)
               +Andel_beroende_av_klimat*VLOOKUP($A482,Leveranser_per_nät,'Leveranser per nät'!I$1,FALSE)/VLOOKUP($B482,Korrigeringsfaktor_EI,'Korrigeringsfaktor EI'!I$1,FALSE),
"")</f>
        <v>0</v>
      </c>
      <c r="J482" s="18">
        <f>IFERROR(
                  Andel_oberoende_av_klimat*VLOOKUP($A482,Leveranser_per_nät,'Leveranser per nät'!J$1,FALSE)
               +Andel_beroende_av_klimat*VLOOKUP($A482,Leveranser_per_nät,'Leveranser per nät'!J$1,FALSE)/VLOOKUP($B482,Korrigeringsfaktor_EI,'Korrigeringsfaktor EI'!J$1,FALSE),
"")</f>
        <v>191.42500000000001</v>
      </c>
      <c r="K482" s="18">
        <f>IFERROR(
                  Andel_oberoende_av_klimat*VLOOKUP($A482,Leveranser_per_nät,'Leveranser per nät'!K$1,FALSE)
               +Andel_beroende_av_klimat*VLOOKUP($A482,Leveranser_per_nät,'Leveranser per nät'!K$1,FALSE)/VLOOKUP($B482,Korrigeringsfaktor_EI,'Korrigeringsfaktor EI'!K$1,FALSE),
"")</f>
        <v>0</v>
      </c>
      <c r="L482" s="18">
        <f>IFERROR(
                  Andel_oberoende_av_klimat*VLOOKUP($A482,Leveranser_per_nät,'Leveranser per nät'!L$1,FALSE)
               +Andel_beroende_av_klimat*VLOOKUP($A482,Leveranser_per_nät,'Leveranser per nät'!L$1,FALSE)/VLOOKUP($B482,Korrigeringsfaktor_EI,'Korrigeringsfaktor EI'!L$1,FALSE),
"")</f>
        <v>0</v>
      </c>
      <c r="M482" s="18">
        <f>IFERROR(
                  Andel_oberoende_av_klimat*VLOOKUP($A482,Leveranser_per_nät,'Leveranser per nät'!M$1,FALSE)
               +Andel_beroende_av_klimat*VLOOKUP($A482,Leveranser_per_nät,'Leveranser per nät'!M$1,FALSE)/VLOOKUP($B482,Korrigeringsfaktor_EI,'Korrigeringsfaktor EI'!M$1,FALSE),
"")</f>
        <v>0</v>
      </c>
      <c r="N482" s="18">
        <f>IFERROR(
                  Andel_oberoende_av_klimat*VLOOKUP($A482,Leveranser_per_nät,'Leveranser per nät'!N$1,FALSE)
               +Andel_beroende_av_klimat*VLOOKUP($A482,Leveranser_per_nät,'Leveranser per nät'!N$1,FALSE)/VLOOKUP($B482,Korrigeringsfaktor_EI,'Korrigeringsfaktor EI'!N$1,FALSE),
"")</f>
        <v>0</v>
      </c>
      <c r="O482" s="18">
        <f>IFERROR(
                  Andel_oberoende_av_klimat*VLOOKUP($A482,Leveranser_per_nät,'Leveranser per nät'!O$1,FALSE)
               +Andel_beroende_av_klimat*VLOOKUP($A482,Leveranser_per_nät,'Leveranser per nät'!O$1,FALSE)/VLOOKUP($B482,Korrigeringsfaktor_EI,'Korrigeringsfaktor EI'!O$1,FALSE),
"")</f>
        <v>0</v>
      </c>
      <c r="P482" s="18">
        <f>IFERROR(
                  Andel_oberoende_av_klimat*VLOOKUP($A482,Leveranser_per_nät,'Leveranser per nät'!P$1,FALSE)
               +Andel_beroende_av_klimat*VLOOKUP($A482,Leveranser_per_nät,'Leveranser per nät'!P$1,FALSE)/VLOOKUP($B482,Korrigeringsfaktor_EI,'Korrigeringsfaktor EI'!P$1,FALSE),
"")</f>
        <v>0</v>
      </c>
      <c r="Q482" s="18">
        <f>IFERROR(
                  Andel_oberoende_av_klimat*VLOOKUP($A482,Leveranser_per_nät,'Leveranser per nät'!Q$1,FALSE)
               +Andel_beroende_av_klimat*VLOOKUP($A482,Leveranser_per_nät,'Leveranser per nät'!Q$1,FALSE)/VLOOKUP($B482,Korrigeringsfaktor_EI,'Korrigeringsfaktor EI'!Q$1,FALSE),
"")</f>
        <v>0</v>
      </c>
      <c r="R482" s="18">
        <f>IFERROR(
                  Andel_oberoende_av_klimat*VLOOKUP($A482,Leveranser_per_nät,'Leveranser per nät'!R$1,FALSE)
               +Andel_beroende_av_klimat*VLOOKUP($A482,Leveranser_per_nät,'Leveranser per nät'!R$1,FALSE)/VLOOKUP($B482,Korrigeringsfaktor_EI,'Korrigeringsfaktor EI'!R$1,FALSE),
"")</f>
        <v>0</v>
      </c>
      <c r="S482" s="18" t="str">
        <f>IFERROR(
                  Andel_oberoende_av_klimat*VLOOKUP($A482,Leveranser_per_nät,'Leveranser per nät'!S$1,FALSE)
               +Andel_beroende_av_klimat*VLOOKUP($A482,Leveranser_per_nät,'Leveranser per nät'!S$1,FALSE)/VLOOKUP($B482,Korrigeringsfaktor_EI,'Korrigeringsfaktor EI'!S$1,FALSE),
"")</f>
        <v/>
      </c>
      <c r="T482" s="18" t="str">
        <f>IFERROR(
                  Andel_oberoende_av_klimat*VLOOKUP($A482,Leveranser_per_nät,'Leveranser per nät'!T$1,FALSE)
               +Andel_beroende_av_klimat*VLOOKUP($A482,Leveranser_per_nät,'Leveranser per nät'!T$1,FALSE)/VLOOKUP($B482,Korrigeringsfaktor_EI,'Korrigeringsfaktor EI'!T$1,FALSE),
"")</f>
        <v/>
      </c>
      <c r="U482" s="18" t="str">
        <f>IFERROR(
                  Andel_oberoende_av_klimat*VLOOKUP($A482,Leveranser_per_nät,'Leveranser per nät'!U$1,FALSE)
               +Andel_beroende_av_klimat*VLOOKUP($A482,Leveranser_per_nät,'Leveranser per nät'!U$1,FALSE)/VLOOKUP($B482,Korrigeringsfaktor_EI,'Korrigeringsfaktor EI'!U$1,FALSE),
"")</f>
        <v/>
      </c>
      <c r="V482" s="18" t="str">
        <f>IFERROR(
                  Andel_oberoende_av_klimat*VLOOKUP($A482,Leveranser_per_nät,'Leveranser per nät'!V$1,FALSE)
               +Andel_beroende_av_klimat*VLOOKUP($A482,Leveranser_per_nät,'Leveranser per nät'!V$1,FALSE)/VLOOKUP($B482,Korrigeringsfaktor_EI,'Korrigeringsfaktor EI'!V$1,FALSE),
"")</f>
        <v/>
      </c>
      <c r="W482" s="18" t="str">
        <f>IFERROR(
                  Andel_oberoende_av_klimat*VLOOKUP($A482,Leveranser_per_nät,'Leveranser per nät'!W$1,FALSE)
               +Andel_beroende_av_klimat*VLOOKUP($A482,Leveranser_per_nät,'Leveranser per nät'!W$1,FALSE)/VLOOKUP($B482,Korrigeringsfaktor_EI,'Korrigeringsfaktor EI'!W$1,FALSE),
"")</f>
        <v/>
      </c>
      <c r="X482" s="18" t="str">
        <f>IFERROR(
                  Andel_oberoende_av_klimat*VLOOKUP($A482,Leveranser_per_nät,'Leveranser per nät'!X$1,FALSE)
               +Andel_beroende_av_klimat*VLOOKUP($A482,Leveranser_per_nät,'Leveranser per nät'!X$1,FALSE)/VLOOKUP($B482,Korrigeringsfaktor_EI,'Korrigeringsfaktor EI'!X$1,FALSE),
"")</f>
        <v/>
      </c>
      <c r="Y482" s="18" t="str">
        <f>IFERROR(
                  Andel_oberoende_av_klimat*VLOOKUP($A482,Leveranser_per_nät,'Leveranser per nät'!Y$1,FALSE)
               +Andel_beroende_av_klimat*VLOOKUP($A482,Leveranser_per_nät,'Leveranser per nät'!Y$1,FALSE)/VLOOKUP($B482,Korrigeringsfaktor_EI,'Korrigeringsfaktor EI'!Y$1,FALSE),
"")</f>
        <v/>
      </c>
      <c r="Z482" s="18">
        <f>IFERROR(
                  Andel_oberoende_av_klimat*VLOOKUP($A482,Leveranser_per_nät,'Leveranser per nät'!Z$1,FALSE)
               +Andel_beroende_av_klimat*VLOOKUP($A482,Leveranser_per_nät,'Leveranser per nät'!Z$1,FALSE)/VLOOKUP($B482,Korrigeringsfaktor_EI,'Korrigeringsfaktor EI'!Z$1,FALSE),
"")</f>
        <v>0</v>
      </c>
      <c r="AA482" s="18" t="str">
        <f>IFERROR(
                  Andel_oberoende_av_klimat*VLOOKUP($A482,Leveranser_per_nät,'Leveranser per nät'!AA$1,FALSE)
               +Andel_beroende_av_klimat*VLOOKUP($A482,Leveranser_per_nät,'Leveranser per nät'!AA$1,FALSE)/VLOOKUP($B482,Korrigeringsfaktor_EI,'Korrigeringsfaktor EI'!AA$1,FALSE),
"")</f>
        <v/>
      </c>
      <c r="AB482" s="18">
        <f>IFERROR(
                  Andel_oberoende_av_klimat*VLOOKUP($A482,Leveranser_per_nät,'Leveranser per nät'!AB$1,FALSE)
               +Andel_beroende_av_klimat*VLOOKUP($A482,Leveranser_per_nät,'Leveranser per nät'!AB$1,FALSE)/VLOOKUP($B482,Korrigeringsfaktor_EI,'Korrigeringsfaktor EI'!AB$1,FALSE),
"")</f>
        <v>0</v>
      </c>
      <c r="AC482" s="18">
        <f>IFERROR(
                  Andel_oberoende_av_klimat*VLOOKUP($A482,Leveranser_per_nät,'Leveranser per nät'!AC$1,FALSE)
               +Andel_beroende_av_klimat*VLOOKUP($A482,Leveranser_per_nät,'Leveranser per nät'!AC$1,FALSE)/VLOOKUP($B482,Korrigeringsfaktor_EI,'Korrigeringsfaktor EI'!AC$1,FALSE),
"")</f>
        <v>0</v>
      </c>
      <c r="AD482">
        <v>303.39999999999998</v>
      </c>
    </row>
    <row r="483" spans="1:30" x14ac:dyDescent="0.25">
      <c r="A483" t="s">
        <v>249</v>
      </c>
      <c r="B483" t="s">
        <v>235</v>
      </c>
      <c r="C483" s="18">
        <f>IFERROR(
                  Andel_oberoende_av_klimat*VLOOKUP($A483,Leveranser_per_nät,'Leveranser per nät'!C$1,FALSE)
               +Andel_beroende_av_klimat*VLOOKUP($A483,Leveranser_per_nät,'Leveranser per nät'!C$1,FALSE)/VLOOKUP($B483,Korrigeringsfaktor_EI,'Korrigeringsfaktor EI'!C$1,FALSE),
"")</f>
        <v>0</v>
      </c>
      <c r="D483" s="18">
        <f>IFERROR(
                  Andel_oberoende_av_klimat*VLOOKUP($A483,Leveranser_per_nät,'Leveranser per nät'!D$1,FALSE)
               +Andel_beroende_av_klimat*VLOOKUP($A483,Leveranser_per_nät,'Leveranser per nät'!D$1,FALSE)/VLOOKUP($B483,Korrigeringsfaktor_EI,'Korrigeringsfaktor EI'!D$1,FALSE),
"")</f>
        <v>0</v>
      </c>
      <c r="E483" s="18">
        <f>IFERROR(
                  Andel_oberoende_av_klimat*VLOOKUP($A483,Leveranser_per_nät,'Leveranser per nät'!E$1,FALSE)
               +Andel_beroende_av_klimat*VLOOKUP($A483,Leveranser_per_nät,'Leveranser per nät'!E$1,FALSE)/VLOOKUP($B483,Korrigeringsfaktor_EI,'Korrigeringsfaktor EI'!E$1,FALSE),
"")</f>
        <v>0</v>
      </c>
      <c r="F483" s="18">
        <f>IFERROR(
                  Andel_oberoende_av_klimat*VLOOKUP($A483,Leveranser_per_nät,'Leveranser per nät'!F$1,FALSE)
               +Andel_beroende_av_klimat*VLOOKUP($A483,Leveranser_per_nät,'Leveranser per nät'!F$1,FALSE)/VLOOKUP($B483,Korrigeringsfaktor_EI,'Korrigeringsfaktor EI'!F$1,FALSE),
"")</f>
        <v>0</v>
      </c>
      <c r="G483" s="18">
        <f>IFERROR(
                  Andel_oberoende_av_klimat*VLOOKUP($A483,Leveranser_per_nät,'Leveranser per nät'!G$1,FALSE)
               +Andel_beroende_av_klimat*VLOOKUP($A483,Leveranser_per_nät,'Leveranser per nät'!G$1,FALSE)/VLOOKUP($B483,Korrigeringsfaktor_EI,'Korrigeringsfaktor EI'!G$1,FALSE),
"")</f>
        <v>0</v>
      </c>
      <c r="H483" s="18">
        <f>IFERROR(
                  Andel_oberoende_av_klimat*VLOOKUP($A483,Leveranser_per_nät,'Leveranser per nät'!H$1,FALSE)
               +Andel_beroende_av_klimat*VLOOKUP($A483,Leveranser_per_nät,'Leveranser per nät'!H$1,FALSE)/VLOOKUP($B483,Korrigeringsfaktor_EI,'Korrigeringsfaktor EI'!H$1,FALSE),
"")</f>
        <v>0</v>
      </c>
      <c r="I483" s="18">
        <f>IFERROR(
                  Andel_oberoende_av_klimat*VLOOKUP($A483,Leveranser_per_nät,'Leveranser per nät'!I$1,FALSE)
               +Andel_beroende_av_klimat*VLOOKUP($A483,Leveranser_per_nät,'Leveranser per nät'!I$1,FALSE)/VLOOKUP($B483,Korrigeringsfaktor_EI,'Korrigeringsfaktor EI'!I$1,FALSE),
"")</f>
        <v>0</v>
      </c>
      <c r="J483" s="18">
        <f>IFERROR(
                  Andel_oberoende_av_klimat*VLOOKUP($A483,Leveranser_per_nät,'Leveranser per nät'!J$1,FALSE)
               +Andel_beroende_av_klimat*VLOOKUP($A483,Leveranser_per_nät,'Leveranser per nät'!J$1,FALSE)/VLOOKUP($B483,Korrigeringsfaktor_EI,'Korrigeringsfaktor EI'!J$1,FALSE),
"")</f>
        <v>0</v>
      </c>
      <c r="K483" s="18">
        <f>IFERROR(
                  Andel_oberoende_av_klimat*VLOOKUP($A483,Leveranser_per_nät,'Leveranser per nät'!K$1,FALSE)
               +Andel_beroende_av_klimat*VLOOKUP($A483,Leveranser_per_nät,'Leveranser per nät'!K$1,FALSE)/VLOOKUP($B483,Korrigeringsfaktor_EI,'Korrigeringsfaktor EI'!K$1,FALSE),
"")</f>
        <v>0</v>
      </c>
      <c r="L483" s="18">
        <f>IFERROR(
                  Andel_oberoende_av_klimat*VLOOKUP($A483,Leveranser_per_nät,'Leveranser per nät'!L$1,FALSE)
               +Andel_beroende_av_klimat*VLOOKUP($A483,Leveranser_per_nät,'Leveranser per nät'!L$1,FALSE)/VLOOKUP($B483,Korrigeringsfaktor_EI,'Korrigeringsfaktor EI'!L$1,FALSE),
"")</f>
        <v>0</v>
      </c>
      <c r="M483" s="18">
        <f>IFERROR(
                  Andel_oberoende_av_klimat*VLOOKUP($A483,Leveranser_per_nät,'Leveranser per nät'!M$1,FALSE)
               +Andel_beroende_av_klimat*VLOOKUP($A483,Leveranser_per_nät,'Leveranser per nät'!M$1,FALSE)/VLOOKUP($B483,Korrigeringsfaktor_EI,'Korrigeringsfaktor EI'!M$1,FALSE),
"")</f>
        <v>16.231304347826086</v>
      </c>
      <c r="N483" s="18">
        <f>IFERROR(
                  Andel_oberoende_av_klimat*VLOOKUP($A483,Leveranser_per_nät,'Leveranser per nät'!N$1,FALSE)
               +Andel_beroende_av_klimat*VLOOKUP($A483,Leveranser_per_nät,'Leveranser per nät'!N$1,FALSE)/VLOOKUP($B483,Korrigeringsfaktor_EI,'Korrigeringsfaktor EI'!N$1,FALSE),
"")</f>
        <v>16.106129032258064</v>
      </c>
      <c r="O483" s="18">
        <f>IFERROR(
                  Andel_oberoende_av_klimat*VLOOKUP($A483,Leveranser_per_nät,'Leveranser per nät'!O$1,FALSE)
               +Andel_beroende_av_klimat*VLOOKUP($A483,Leveranser_per_nät,'Leveranser per nät'!O$1,FALSE)/VLOOKUP($B483,Korrigeringsfaktor_EI,'Korrigeringsfaktor EI'!O$1,FALSE),
"")</f>
        <v>0</v>
      </c>
      <c r="P483" s="18">
        <f>IFERROR(
                  Andel_oberoende_av_klimat*VLOOKUP($A483,Leveranser_per_nät,'Leveranser per nät'!P$1,FALSE)
               +Andel_beroende_av_klimat*VLOOKUP($A483,Leveranser_per_nät,'Leveranser per nät'!P$1,FALSE)/VLOOKUP($B483,Korrigeringsfaktor_EI,'Korrigeringsfaktor EI'!P$1,FALSE),
"")</f>
        <v>19.134343434343435</v>
      </c>
      <c r="Q483" s="18">
        <f>IFERROR(
                  Andel_oberoende_av_klimat*VLOOKUP($A483,Leveranser_per_nät,'Leveranser per nät'!Q$1,FALSE)
               +Andel_beroende_av_klimat*VLOOKUP($A483,Leveranser_per_nät,'Leveranser per nät'!Q$1,FALSE)/VLOOKUP($B483,Korrigeringsfaktor_EI,'Korrigeringsfaktor EI'!Q$1,FALSE),
"")</f>
        <v>0</v>
      </c>
      <c r="R483" s="18">
        <f>IFERROR(
                  Andel_oberoende_av_klimat*VLOOKUP($A483,Leveranser_per_nät,'Leveranser per nät'!R$1,FALSE)
               +Andel_beroende_av_klimat*VLOOKUP($A483,Leveranser_per_nät,'Leveranser per nät'!R$1,FALSE)/VLOOKUP($B483,Korrigeringsfaktor_EI,'Korrigeringsfaktor EI'!R$1,FALSE),
"")</f>
        <v>0</v>
      </c>
      <c r="S483" s="18" t="str">
        <f>IFERROR(
                  Andel_oberoende_av_klimat*VLOOKUP($A483,Leveranser_per_nät,'Leveranser per nät'!S$1,FALSE)
               +Andel_beroende_av_klimat*VLOOKUP($A483,Leveranser_per_nät,'Leveranser per nät'!S$1,FALSE)/VLOOKUP($B483,Korrigeringsfaktor_EI,'Korrigeringsfaktor EI'!S$1,FALSE),
"")</f>
        <v/>
      </c>
      <c r="T483" s="18" t="str">
        <f>IFERROR(
                  Andel_oberoende_av_klimat*VLOOKUP($A483,Leveranser_per_nät,'Leveranser per nät'!T$1,FALSE)
               +Andel_beroende_av_klimat*VLOOKUP($A483,Leveranser_per_nät,'Leveranser per nät'!T$1,FALSE)/VLOOKUP($B483,Korrigeringsfaktor_EI,'Korrigeringsfaktor EI'!T$1,FALSE),
"")</f>
        <v/>
      </c>
      <c r="U483" s="18" t="str">
        <f>IFERROR(
                  Andel_oberoende_av_klimat*VLOOKUP($A483,Leveranser_per_nät,'Leveranser per nät'!U$1,FALSE)
               +Andel_beroende_av_klimat*VLOOKUP($A483,Leveranser_per_nät,'Leveranser per nät'!U$1,FALSE)/VLOOKUP($B483,Korrigeringsfaktor_EI,'Korrigeringsfaktor EI'!U$1,FALSE),
"")</f>
        <v/>
      </c>
      <c r="V483" s="18">
        <f>IFERROR(
                  Andel_oberoende_av_klimat*VLOOKUP($A483,Leveranser_per_nät,'Leveranser per nät'!V$1,FALSE)
               +Andel_beroende_av_klimat*VLOOKUP($A483,Leveranser_per_nät,'Leveranser per nät'!V$1,FALSE)/VLOOKUP($B483,Korrigeringsfaktor_EI,'Korrigeringsfaktor EI'!V$1,FALSE),
"")</f>
        <v>18.03478260869565</v>
      </c>
      <c r="W483" s="18">
        <f>IFERROR(
                  Andel_oberoende_av_klimat*VLOOKUP($A483,Leveranser_per_nät,'Leveranser per nät'!W$1,FALSE)
               +Andel_beroende_av_klimat*VLOOKUP($A483,Leveranser_per_nät,'Leveranser per nät'!W$1,FALSE)/VLOOKUP($B483,Korrigeringsfaktor_EI,'Korrigeringsfaktor EI'!W$1,FALSE),
"")</f>
        <v>19.28526315789474</v>
      </c>
      <c r="X483" s="18">
        <f>IFERROR(
                  Andel_oberoende_av_klimat*VLOOKUP($A483,Leveranser_per_nät,'Leveranser per nät'!X$1,FALSE)
               +Andel_beroende_av_klimat*VLOOKUP($A483,Leveranser_per_nät,'Leveranser per nät'!X$1,FALSE)/VLOOKUP($B483,Korrigeringsfaktor_EI,'Korrigeringsfaktor EI'!X$1,FALSE),
"")</f>
        <v>19.554166666666667</v>
      </c>
      <c r="Y483" s="18">
        <f>IFERROR(
                  Andel_oberoende_av_klimat*VLOOKUP($A483,Leveranser_per_nät,'Leveranser per nät'!Y$1,FALSE)
               +Andel_beroende_av_klimat*VLOOKUP($A483,Leveranser_per_nät,'Leveranser per nät'!Y$1,FALSE)/VLOOKUP($B483,Korrigeringsfaktor_EI,'Korrigeringsfaktor EI'!Y$1,FALSE),
"")</f>
        <v>20.211612903225806</v>
      </c>
      <c r="Z483" s="18">
        <f>IFERROR(
                  Andel_oberoende_av_klimat*VLOOKUP($A483,Leveranser_per_nät,'Leveranser per nät'!Z$1,FALSE)
               +Andel_beroende_av_klimat*VLOOKUP($A483,Leveranser_per_nät,'Leveranser per nät'!Z$1,FALSE)/VLOOKUP($B483,Korrigeringsfaktor_EI,'Korrigeringsfaktor EI'!Z$1,FALSE),
"")</f>
        <v>20.211612903225806</v>
      </c>
      <c r="AA483" s="18">
        <f>IFERROR(
                  Andel_oberoende_av_klimat*VLOOKUP($A483,Leveranser_per_nät,'Leveranser per nät'!AA$1,FALSE)
               +Andel_beroende_av_klimat*VLOOKUP($A483,Leveranser_per_nät,'Leveranser per nät'!AA$1,FALSE)/VLOOKUP($B483,Korrigeringsfaktor_EI,'Korrigeringsfaktor EI'!AA$1,FALSE),
"")</f>
        <v>20.223960924552991</v>
      </c>
      <c r="AB483" s="18">
        <f>IFERROR(
                  Andel_oberoende_av_klimat*VLOOKUP($A483,Leveranser_per_nät,'Leveranser per nät'!AB$1,FALSE)
               +Andel_beroende_av_klimat*VLOOKUP($A483,Leveranser_per_nät,'Leveranser per nät'!AB$1,FALSE)/VLOOKUP($B483,Korrigeringsfaktor_EI,'Korrigeringsfaktor EI'!AB$1,FALSE),
"")</f>
        <v>20.148389655172416</v>
      </c>
      <c r="AC483" s="18">
        <f>IFERROR(
                  Andel_oberoende_av_klimat*VLOOKUP($A483,Leveranser_per_nät,'Leveranser per nät'!AC$1,FALSE)
               +Andel_beroende_av_klimat*VLOOKUP($A483,Leveranser_per_nät,'Leveranser per nät'!AC$1,FALSE)/VLOOKUP($B483,Korrigeringsfaktor_EI,'Korrigeringsfaktor EI'!AC$1,FALSE),
"")</f>
        <v>19.72080205761317</v>
      </c>
      <c r="AD483" t="e">
        <v>#N/A</v>
      </c>
    </row>
    <row r="484" spans="1:30" x14ac:dyDescent="0.25">
      <c r="A484" t="s">
        <v>74</v>
      </c>
      <c r="B484" t="s">
        <v>362</v>
      </c>
      <c r="C484" s="18">
        <f>IFERROR(
                  Andel_oberoende_av_klimat*VLOOKUP($A484,Leveranser_per_nät,'Leveranser per nät'!C$1,FALSE)
               +Andel_beroende_av_klimat*VLOOKUP($A484,Leveranser_per_nät,'Leveranser per nät'!C$1,FALSE)/VLOOKUP($B484,Korrigeringsfaktor_EI,'Korrigeringsfaktor EI'!C$1,FALSE),
"")</f>
        <v>0</v>
      </c>
      <c r="D484" s="18">
        <f>IFERROR(
                  Andel_oberoende_av_klimat*VLOOKUP($A484,Leveranser_per_nät,'Leveranser per nät'!D$1,FALSE)
               +Andel_beroende_av_klimat*VLOOKUP($A484,Leveranser_per_nät,'Leveranser per nät'!D$1,FALSE)/VLOOKUP($B484,Korrigeringsfaktor_EI,'Korrigeringsfaktor EI'!D$1,FALSE),
"")</f>
        <v>0</v>
      </c>
      <c r="E484" s="18">
        <f>IFERROR(
                  Andel_oberoende_av_klimat*VLOOKUP($A484,Leveranser_per_nät,'Leveranser per nät'!E$1,FALSE)
               +Andel_beroende_av_klimat*VLOOKUP($A484,Leveranser_per_nät,'Leveranser per nät'!E$1,FALSE)/VLOOKUP($B484,Korrigeringsfaktor_EI,'Korrigeringsfaktor EI'!E$1,FALSE),
"")</f>
        <v>0</v>
      </c>
      <c r="F484" s="18">
        <f>IFERROR(
                  Andel_oberoende_av_klimat*VLOOKUP($A484,Leveranser_per_nät,'Leveranser per nät'!F$1,FALSE)
               +Andel_beroende_av_klimat*VLOOKUP($A484,Leveranser_per_nät,'Leveranser per nät'!F$1,FALSE)/VLOOKUP($B484,Korrigeringsfaktor_EI,'Korrigeringsfaktor EI'!F$1,FALSE),
"")</f>
        <v>0</v>
      </c>
      <c r="G484" s="18">
        <f>IFERROR(
                  Andel_oberoende_av_klimat*VLOOKUP($A484,Leveranser_per_nät,'Leveranser per nät'!G$1,FALSE)
               +Andel_beroende_av_klimat*VLOOKUP($A484,Leveranser_per_nät,'Leveranser per nät'!G$1,FALSE)/VLOOKUP($B484,Korrigeringsfaktor_EI,'Korrigeringsfaktor EI'!G$1,FALSE),
"")</f>
        <v>0</v>
      </c>
      <c r="H484" s="18">
        <f>IFERROR(
                  Andel_oberoende_av_klimat*VLOOKUP($A484,Leveranser_per_nät,'Leveranser per nät'!H$1,FALSE)
               +Andel_beroende_av_klimat*VLOOKUP($A484,Leveranser_per_nät,'Leveranser per nät'!H$1,FALSE)/VLOOKUP($B484,Korrigeringsfaktor_EI,'Korrigeringsfaktor EI'!H$1,FALSE),
"")</f>
        <v>0</v>
      </c>
      <c r="I484" s="18">
        <f>IFERROR(
                  Andel_oberoende_av_klimat*VLOOKUP($A484,Leveranser_per_nät,'Leveranser per nät'!I$1,FALSE)
               +Andel_beroende_av_klimat*VLOOKUP($A484,Leveranser_per_nät,'Leveranser per nät'!I$1,FALSE)/VLOOKUP($B484,Korrigeringsfaktor_EI,'Korrigeringsfaktor EI'!I$1,FALSE),
"")</f>
        <v>0</v>
      </c>
      <c r="J484" s="18">
        <f>IFERROR(
                  Andel_oberoende_av_klimat*VLOOKUP($A484,Leveranser_per_nät,'Leveranser per nät'!J$1,FALSE)
               +Andel_beroende_av_klimat*VLOOKUP($A484,Leveranser_per_nät,'Leveranser per nät'!J$1,FALSE)/VLOOKUP($B484,Korrigeringsfaktor_EI,'Korrigeringsfaktor EI'!J$1,FALSE),
"")</f>
        <v>0</v>
      </c>
      <c r="K484" s="18">
        <f>IFERROR(
                  Andel_oberoende_av_klimat*VLOOKUP($A484,Leveranser_per_nät,'Leveranser per nät'!K$1,FALSE)
               +Andel_beroende_av_klimat*VLOOKUP($A484,Leveranser_per_nät,'Leveranser per nät'!K$1,FALSE)/VLOOKUP($B484,Korrigeringsfaktor_EI,'Korrigeringsfaktor EI'!K$1,FALSE),
"")</f>
        <v>0</v>
      </c>
      <c r="L484" s="18">
        <f>IFERROR(
                  Andel_oberoende_av_klimat*VLOOKUP($A484,Leveranser_per_nät,'Leveranser per nät'!L$1,FALSE)
               +Andel_beroende_av_klimat*VLOOKUP($A484,Leveranser_per_nät,'Leveranser per nät'!L$1,FALSE)/VLOOKUP($B484,Korrigeringsfaktor_EI,'Korrigeringsfaktor EI'!L$1,FALSE),
"")</f>
        <v>0</v>
      </c>
      <c r="M484" s="18">
        <f>IFERROR(
                  Andel_oberoende_av_klimat*VLOOKUP($A484,Leveranser_per_nät,'Leveranser per nät'!M$1,FALSE)
               +Andel_beroende_av_klimat*VLOOKUP($A484,Leveranser_per_nät,'Leveranser per nät'!M$1,FALSE)/VLOOKUP($B484,Korrigeringsfaktor_EI,'Korrigeringsfaktor EI'!M$1,FALSE),
"")</f>
        <v>0.5263440860215054</v>
      </c>
      <c r="N484" s="18">
        <f>IFERROR(
                  Andel_oberoende_av_klimat*VLOOKUP($A484,Leveranser_per_nät,'Leveranser per nät'!N$1,FALSE)
               +Andel_beroende_av_klimat*VLOOKUP($A484,Leveranser_per_nät,'Leveranser per nät'!N$1,FALSE)/VLOOKUP($B484,Korrigeringsfaktor_EI,'Korrigeringsfaktor EI'!N$1,FALSE),
"")</f>
        <v>0.5263440860215054</v>
      </c>
      <c r="O484" s="18">
        <f>IFERROR(
                  Andel_oberoende_av_klimat*VLOOKUP($A484,Leveranser_per_nät,'Leveranser per nät'!O$1,FALSE)
               +Andel_beroende_av_klimat*VLOOKUP($A484,Leveranser_per_nät,'Leveranser per nät'!O$1,FALSE)/VLOOKUP($B484,Korrigeringsfaktor_EI,'Korrigeringsfaktor EI'!O$1,FALSE),
"")</f>
        <v>0.5346153846153846</v>
      </c>
      <c r="P484" s="18">
        <f>IFERROR(
                  Andel_oberoende_av_klimat*VLOOKUP($A484,Leveranser_per_nät,'Leveranser per nät'!P$1,FALSE)
               +Andel_beroende_av_klimat*VLOOKUP($A484,Leveranser_per_nät,'Leveranser per nät'!P$1,FALSE)/VLOOKUP($B484,Korrigeringsfaktor_EI,'Korrigeringsfaktor EI'!P$1,FALSE),
"")</f>
        <v>0.5035353535353535</v>
      </c>
      <c r="Q484" s="18">
        <f>IFERROR(
                  Andel_oberoende_av_klimat*VLOOKUP($A484,Leveranser_per_nät,'Leveranser per nät'!Q$1,FALSE)
               +Andel_beroende_av_klimat*VLOOKUP($A484,Leveranser_per_nät,'Leveranser per nät'!Q$1,FALSE)/VLOOKUP($B484,Korrigeringsfaktor_EI,'Korrigeringsfaktor EI'!Q$1,FALSE),
"")</f>
        <v>1.0109239130434784</v>
      </c>
      <c r="R484" s="18">
        <f>IFERROR(
                  Andel_oberoende_av_klimat*VLOOKUP($A484,Leveranser_per_nät,'Leveranser per nät'!R$1,FALSE)
               +Andel_beroende_av_klimat*VLOOKUP($A484,Leveranser_per_nät,'Leveranser per nät'!R$1,FALSE)/VLOOKUP($B484,Korrigeringsfaktor_EI,'Korrigeringsfaktor EI'!R$1,FALSE),
"")</f>
        <v>0.94021276595744685</v>
      </c>
      <c r="S484" s="18">
        <f>IFERROR(
                  Andel_oberoende_av_klimat*VLOOKUP($A484,Leveranser_per_nät,'Leveranser per nät'!S$1,FALSE)
               +Andel_beroende_av_klimat*VLOOKUP($A484,Leveranser_per_nät,'Leveranser per nät'!S$1,FALSE)/VLOOKUP($B484,Korrigeringsfaktor_EI,'Korrigeringsfaktor EI'!S$1,FALSE),
"")</f>
        <v>1.2343106796116505</v>
      </c>
      <c r="T484" s="18" t="str">
        <f>IFERROR(
                  Andel_oberoende_av_klimat*VLOOKUP($A484,Leveranser_per_nät,'Leveranser per nät'!T$1,FALSE)
               +Andel_beroende_av_klimat*VLOOKUP($A484,Leveranser_per_nät,'Leveranser per nät'!T$1,FALSE)/VLOOKUP($B484,Korrigeringsfaktor_EI,'Korrigeringsfaktor EI'!T$1,FALSE),
"")</f>
        <v/>
      </c>
      <c r="U484" s="18">
        <f>IFERROR(
                  Andel_oberoende_av_klimat*VLOOKUP($A484,Leveranser_per_nät,'Leveranser per nät'!U$1,FALSE)
               +Andel_beroende_av_klimat*VLOOKUP($A484,Leveranser_per_nät,'Leveranser per nät'!U$1,FALSE)/VLOOKUP($B484,Korrigeringsfaktor_EI,'Korrigeringsfaktor EI'!U$1,FALSE),
"")</f>
        <v>1.314888888888889</v>
      </c>
      <c r="V484" s="18" t="str">
        <f>IFERROR(
                  Andel_oberoende_av_klimat*VLOOKUP($A484,Leveranser_per_nät,'Leveranser per nät'!V$1,FALSE)
               +Andel_beroende_av_klimat*VLOOKUP($A484,Leveranser_per_nät,'Leveranser per nät'!V$1,FALSE)/VLOOKUP($B484,Korrigeringsfaktor_EI,'Korrigeringsfaktor EI'!V$1,FALSE),
"")</f>
        <v/>
      </c>
      <c r="W484" s="18" t="str">
        <f>IFERROR(
                  Andel_oberoende_av_klimat*VLOOKUP($A484,Leveranser_per_nät,'Leveranser per nät'!W$1,FALSE)
               +Andel_beroende_av_klimat*VLOOKUP($A484,Leveranser_per_nät,'Leveranser per nät'!W$1,FALSE)/VLOOKUP($B484,Korrigeringsfaktor_EI,'Korrigeringsfaktor EI'!W$1,FALSE),
"")</f>
        <v/>
      </c>
      <c r="X484" s="18" t="str">
        <f>IFERROR(
                  Andel_oberoende_av_klimat*VLOOKUP($A484,Leveranser_per_nät,'Leveranser per nät'!X$1,FALSE)
               +Andel_beroende_av_klimat*VLOOKUP($A484,Leveranser_per_nät,'Leveranser per nät'!X$1,FALSE)/VLOOKUP($B484,Korrigeringsfaktor_EI,'Korrigeringsfaktor EI'!X$1,FALSE),
"")</f>
        <v/>
      </c>
      <c r="Y484" s="18" t="str">
        <f>IFERROR(
                  Andel_oberoende_av_klimat*VLOOKUP($A484,Leveranser_per_nät,'Leveranser per nät'!Y$1,FALSE)
               +Andel_beroende_av_klimat*VLOOKUP($A484,Leveranser_per_nät,'Leveranser per nät'!Y$1,FALSE)/VLOOKUP($B484,Korrigeringsfaktor_EI,'Korrigeringsfaktor EI'!Y$1,FALSE),
"")</f>
        <v/>
      </c>
      <c r="Z484" s="18">
        <f>IFERROR(
                  Andel_oberoende_av_klimat*VLOOKUP($A484,Leveranser_per_nät,'Leveranser per nät'!Z$1,FALSE)
               +Andel_beroende_av_klimat*VLOOKUP($A484,Leveranser_per_nät,'Leveranser per nät'!Z$1,FALSE)/VLOOKUP($B484,Korrigeringsfaktor_EI,'Korrigeringsfaktor EI'!Z$1,FALSE),
"")</f>
        <v>0</v>
      </c>
      <c r="AA484" s="18" t="str">
        <f>IFERROR(
                  Andel_oberoende_av_klimat*VLOOKUP($A484,Leveranser_per_nät,'Leveranser per nät'!AA$1,FALSE)
               +Andel_beroende_av_klimat*VLOOKUP($A484,Leveranser_per_nät,'Leveranser per nät'!AA$1,FALSE)/VLOOKUP($B484,Korrigeringsfaktor_EI,'Korrigeringsfaktor EI'!AA$1,FALSE),
"")</f>
        <v/>
      </c>
      <c r="AB484" s="18">
        <f>IFERROR(
                  Andel_oberoende_av_klimat*VLOOKUP($A484,Leveranser_per_nät,'Leveranser per nät'!AB$1,FALSE)
               +Andel_beroende_av_klimat*VLOOKUP($A484,Leveranser_per_nät,'Leveranser per nät'!AB$1,FALSE)/VLOOKUP($B484,Korrigeringsfaktor_EI,'Korrigeringsfaktor EI'!AB$1,FALSE),
"")</f>
        <v>0</v>
      </c>
      <c r="AC484" s="18">
        <f>IFERROR(
                  Andel_oberoende_av_klimat*VLOOKUP($A484,Leveranser_per_nät,'Leveranser per nät'!AC$1,FALSE)
               +Andel_beroende_av_klimat*VLOOKUP($A484,Leveranser_per_nät,'Leveranser per nät'!AC$1,FALSE)/VLOOKUP($B484,Korrigeringsfaktor_EI,'Korrigeringsfaktor EI'!AC$1,FALSE),
"")</f>
        <v>0</v>
      </c>
      <c r="AD484">
        <v>167.4</v>
      </c>
    </row>
    <row r="485" spans="1:30" x14ac:dyDescent="0.25">
      <c r="A485" t="s">
        <v>362</v>
      </c>
      <c r="B485" t="s">
        <v>517</v>
      </c>
      <c r="C485" s="18">
        <f>IFERROR(
                  Andel_oberoende_av_klimat*VLOOKUP($A485,Leveranser_per_nät,'Leveranser per nät'!C$1,FALSE)
               +Andel_beroende_av_klimat*VLOOKUP($A485,Leveranser_per_nät,'Leveranser per nät'!C$1,FALSE)/VLOOKUP($B485,Korrigeringsfaktor_EI,'Korrigeringsfaktor EI'!C$1,FALSE),
"")</f>
        <v>182.59090909090909</v>
      </c>
      <c r="D485" s="18">
        <f>IFERROR(
                  Andel_oberoende_av_klimat*VLOOKUP($A485,Leveranser_per_nät,'Leveranser per nät'!D$1,FALSE)
               +Andel_beroende_av_klimat*VLOOKUP($A485,Leveranser_per_nät,'Leveranser per nät'!D$1,FALSE)/VLOOKUP($B485,Korrigeringsfaktor_EI,'Korrigeringsfaktor EI'!D$1,FALSE),
"")</f>
        <v>148.57257142857142</v>
      </c>
      <c r="E485" s="18">
        <f>IFERROR(
                  Andel_oberoende_av_klimat*VLOOKUP($A485,Leveranser_per_nät,'Leveranser per nät'!E$1,FALSE)
               +Andel_beroende_av_klimat*VLOOKUP($A485,Leveranser_per_nät,'Leveranser per nät'!E$1,FALSE)/VLOOKUP($B485,Korrigeringsfaktor_EI,'Korrigeringsfaktor EI'!E$1,FALSE),
"")</f>
        <v>157.71747572815534</v>
      </c>
      <c r="F485" s="18">
        <f>IFERROR(
                  Andel_oberoende_av_klimat*VLOOKUP($A485,Leveranser_per_nät,'Leveranser per nät'!F$1,FALSE)
               +Andel_beroende_av_klimat*VLOOKUP($A485,Leveranser_per_nät,'Leveranser per nät'!F$1,FALSE)/VLOOKUP($B485,Korrigeringsfaktor_EI,'Korrigeringsfaktor EI'!F$1,FALSE),
"")</f>
        <v>161.92553191489364</v>
      </c>
      <c r="G485" s="18">
        <f>IFERROR(
                  Andel_oberoende_av_klimat*VLOOKUP($A485,Leveranser_per_nät,'Leveranser per nät'!G$1,FALSE)
               +Andel_beroende_av_klimat*VLOOKUP($A485,Leveranser_per_nät,'Leveranser per nät'!G$1,FALSE)/VLOOKUP($B485,Korrigeringsfaktor_EI,'Korrigeringsfaktor EI'!G$1,FALSE),
"")</f>
        <v>160.5888888888889</v>
      </c>
      <c r="H485" s="18">
        <f>IFERROR(
                  Andel_oberoende_av_klimat*VLOOKUP($A485,Leveranser_per_nät,'Leveranser per nät'!H$1,FALSE)
               +Andel_beroende_av_klimat*VLOOKUP($A485,Leveranser_per_nät,'Leveranser per nät'!H$1,FALSE)/VLOOKUP($B485,Korrigeringsfaktor_EI,'Korrigeringsfaktor EI'!H$1,FALSE),
"")</f>
        <v>168</v>
      </c>
      <c r="I485" s="18">
        <f>IFERROR(
                  Andel_oberoende_av_klimat*VLOOKUP($A485,Leveranser_per_nät,'Leveranser per nät'!I$1,FALSE)
               +Andel_beroende_av_klimat*VLOOKUP($A485,Leveranser_per_nät,'Leveranser per nät'!I$1,FALSE)/VLOOKUP($B485,Korrigeringsfaktor_EI,'Korrigeringsfaktor EI'!I$1,FALSE),
"")</f>
        <v>172.1157894736842</v>
      </c>
      <c r="J485" s="18">
        <f>IFERROR(
                  Andel_oberoende_av_klimat*VLOOKUP($A485,Leveranser_per_nät,'Leveranser per nät'!J$1,FALSE)
               +Andel_beroende_av_klimat*VLOOKUP($A485,Leveranser_per_nät,'Leveranser per nät'!J$1,FALSE)/VLOOKUP($B485,Korrigeringsfaktor_EI,'Korrigeringsfaktor EI'!J$1,FALSE),
"")</f>
        <v>177.5</v>
      </c>
      <c r="K485" s="18">
        <f>IFERROR(
                  Andel_oberoende_av_klimat*VLOOKUP($A485,Leveranser_per_nät,'Leveranser per nät'!K$1,FALSE)
               +Andel_beroende_av_klimat*VLOOKUP($A485,Leveranser_per_nät,'Leveranser per nät'!K$1,FALSE)/VLOOKUP($B485,Korrigeringsfaktor_EI,'Korrigeringsfaktor EI'!K$1,FALSE),
"")</f>
        <v>171.60384141414141</v>
      </c>
      <c r="L485" s="18">
        <f>IFERROR(
                  Andel_oberoende_av_klimat*VLOOKUP($A485,Leveranser_per_nät,'Leveranser per nät'!L$1,FALSE)
               +Andel_beroende_av_klimat*VLOOKUP($A485,Leveranser_per_nät,'Leveranser per nät'!L$1,FALSE)/VLOOKUP($B485,Korrigeringsfaktor_EI,'Korrigeringsfaktor EI'!L$1,FALSE),
"")</f>
        <v>167.6567670103093</v>
      </c>
      <c r="M485" s="18">
        <f>IFERROR(
                  Andel_oberoende_av_klimat*VLOOKUP($A485,Leveranser_per_nät,'Leveranser per nät'!M$1,FALSE)
               +Andel_beroende_av_klimat*VLOOKUP($A485,Leveranser_per_nät,'Leveranser per nät'!M$1,FALSE)/VLOOKUP($B485,Korrigeringsfaktor_EI,'Korrigeringsfaktor EI'!M$1,FALSE),
"")</f>
        <v>172.57033010752687</v>
      </c>
      <c r="N485" s="18">
        <f>IFERROR(
                  Andel_oberoende_av_klimat*VLOOKUP($A485,Leveranser_per_nät,'Leveranser per nät'!N$1,FALSE)
               +Andel_beroende_av_klimat*VLOOKUP($A485,Leveranser_per_nät,'Leveranser per nät'!N$1,FALSE)/VLOOKUP($B485,Korrigeringsfaktor_EI,'Korrigeringsfaktor EI'!N$1,FALSE),
"")</f>
        <v>173.59068461538459</v>
      </c>
      <c r="O485" s="18">
        <f>IFERROR(
                  Andel_oberoende_av_klimat*VLOOKUP($A485,Leveranser_per_nät,'Leveranser per nät'!O$1,FALSE)
               +Andel_beroende_av_klimat*VLOOKUP($A485,Leveranser_per_nät,'Leveranser per nät'!O$1,FALSE)/VLOOKUP($B485,Korrigeringsfaktor_EI,'Korrigeringsfaktor EI'!O$1,FALSE),
"")</f>
        <v>172.12865555555553</v>
      </c>
      <c r="P485" s="18">
        <f>IFERROR(
                  Andel_oberoende_av_klimat*VLOOKUP($A485,Leveranser_per_nät,'Leveranser per nät'!P$1,FALSE)
               +Andel_beroende_av_klimat*VLOOKUP($A485,Leveranser_per_nät,'Leveranser per nät'!P$1,FALSE)/VLOOKUP($B485,Korrigeringsfaktor_EI,'Korrigeringsfaktor EI'!P$1,FALSE),
"")</f>
        <v>177.85282886597938</v>
      </c>
      <c r="Q485" s="18">
        <f>IFERROR(
                  Andel_oberoende_av_klimat*VLOOKUP($A485,Leveranser_per_nät,'Leveranser per nät'!Q$1,FALSE)
               +Andel_beroende_av_klimat*VLOOKUP($A485,Leveranser_per_nät,'Leveranser per nät'!Q$1,FALSE)/VLOOKUP($B485,Korrigeringsfaktor_EI,'Korrigeringsfaktor EI'!Q$1,FALSE),
"")</f>
        <v>192.28899999999999</v>
      </c>
      <c r="R485" s="18">
        <f>IFERROR(
                  Andel_oberoende_av_klimat*VLOOKUP($A485,Leveranser_per_nät,'Leveranser per nät'!R$1,FALSE)
               +Andel_beroende_av_klimat*VLOOKUP($A485,Leveranser_per_nät,'Leveranser per nät'!R$1,FALSE)/VLOOKUP($B485,Korrigeringsfaktor_EI,'Korrigeringsfaktor EI'!R$1,FALSE),
"")</f>
        <v>189.74924444444446</v>
      </c>
      <c r="S485" s="18">
        <f>IFERROR(
                  Andel_oberoende_av_klimat*VLOOKUP($A485,Leveranser_per_nät,'Leveranser per nät'!S$1,FALSE)
               +Andel_beroende_av_klimat*VLOOKUP($A485,Leveranser_per_nät,'Leveranser per nät'!S$1,FALSE)/VLOOKUP($B485,Korrigeringsfaktor_EI,'Korrigeringsfaktor EI'!S$1,FALSE),
"")</f>
        <v>187</v>
      </c>
      <c r="T485" s="18">
        <f>IFERROR(
                  Andel_oberoende_av_klimat*VLOOKUP($A485,Leveranser_per_nät,'Leveranser per nät'!T$1,FALSE)
               +Andel_beroende_av_klimat*VLOOKUP($A485,Leveranser_per_nät,'Leveranser per nät'!T$1,FALSE)/VLOOKUP($B485,Korrigeringsfaktor_EI,'Korrigeringsfaktor EI'!T$1,FALSE),
"")</f>
        <v>187.1357142857143</v>
      </c>
      <c r="U485" s="18">
        <f>IFERROR(
                  Andel_oberoende_av_klimat*VLOOKUP($A485,Leveranser_per_nät,'Leveranser per nät'!U$1,FALSE)
               +Andel_beroende_av_klimat*VLOOKUP($A485,Leveranser_per_nät,'Leveranser per nät'!U$1,FALSE)/VLOOKUP($B485,Korrigeringsfaktor_EI,'Korrigeringsfaktor EI'!U$1,FALSE),
"")</f>
        <v>181.39000000000001</v>
      </c>
      <c r="V485" s="18">
        <f>IFERROR(
                  Andel_oberoende_av_klimat*VLOOKUP($A485,Leveranser_per_nät,'Leveranser per nät'!V$1,FALSE)
               +Andel_beroende_av_klimat*VLOOKUP($A485,Leveranser_per_nät,'Leveranser per nät'!V$1,FALSE)/VLOOKUP($B485,Korrigeringsfaktor_EI,'Korrigeringsfaktor EI'!V$1,FALSE),
"")</f>
        <v>183.26954545454544</v>
      </c>
      <c r="W485" s="18">
        <f>IFERROR(
                  Andel_oberoende_av_klimat*VLOOKUP($A485,Leveranser_per_nät,'Leveranser per nät'!W$1,FALSE)
               +Andel_beroende_av_klimat*VLOOKUP($A485,Leveranser_per_nät,'Leveranser per nät'!W$1,FALSE)/VLOOKUP($B485,Korrigeringsfaktor_EI,'Korrigeringsfaktor EI'!W$1,FALSE),
"")</f>
        <v>190.64077526881718</v>
      </c>
      <c r="X485" s="18">
        <f>IFERROR(
                  Andel_oberoende_av_klimat*VLOOKUP($A485,Leveranser_per_nät,'Leveranser per nät'!X$1,FALSE)
               +Andel_beroende_av_klimat*VLOOKUP($A485,Leveranser_per_nät,'Leveranser per nät'!X$1,FALSE)/VLOOKUP($B485,Korrigeringsfaktor_EI,'Korrigeringsfaktor EI'!X$1,FALSE),
"")</f>
        <v>188.41043478260869</v>
      </c>
      <c r="Y485" s="18">
        <f>IFERROR(
                  Andel_oberoende_av_klimat*VLOOKUP($A485,Leveranser_per_nät,'Leveranser per nät'!Y$1,FALSE)
               +Andel_beroende_av_klimat*VLOOKUP($A485,Leveranser_per_nät,'Leveranser per nät'!Y$1,FALSE)/VLOOKUP($B485,Korrigeringsfaktor_EI,'Korrigeringsfaktor EI'!Y$1,FALSE),
"")</f>
        <v>189.78846153846152</v>
      </c>
      <c r="Z485" s="18">
        <f>IFERROR(
                  Andel_oberoende_av_klimat*VLOOKUP($A485,Leveranser_per_nät,'Leveranser per nät'!Z$1,FALSE)
               +Andel_beroende_av_klimat*VLOOKUP($A485,Leveranser_per_nät,'Leveranser per nät'!Z$1,FALSE)/VLOOKUP($B485,Korrigeringsfaktor_EI,'Korrigeringsfaktor EI'!Z$1,FALSE),
"")</f>
        <v>186.5559090909091</v>
      </c>
      <c r="AA485" s="18">
        <f>IFERROR(
                  Andel_oberoende_av_klimat*VLOOKUP($A485,Leveranser_per_nät,'Leveranser per nät'!AA$1,FALSE)
               +Andel_beroende_av_klimat*VLOOKUP($A485,Leveranser_per_nät,'Leveranser per nät'!AA$1,FALSE)/VLOOKUP($B485,Korrigeringsfaktor_EI,'Korrigeringsfaktor EI'!AA$1,FALSE),
"")</f>
        <v>182.54437712344281</v>
      </c>
      <c r="AB485" s="18">
        <f>IFERROR(
                  Andel_oberoende_av_klimat*VLOOKUP($A485,Leveranser_per_nät,'Leveranser per nät'!AB$1,FALSE)
               +Andel_beroende_av_klimat*VLOOKUP($A485,Leveranser_per_nät,'Leveranser per nät'!AB$1,FALSE)/VLOOKUP($B485,Korrigeringsfaktor_EI,'Korrigeringsfaktor EI'!AB$1,FALSE),
"")</f>
        <v>179.22451038575667</v>
      </c>
      <c r="AC485" s="18">
        <f>IFERROR(
                  Andel_oberoende_av_klimat*VLOOKUP($A485,Leveranser_per_nät,'Leveranser per nät'!AC$1,FALSE)
               +Andel_beroende_av_klimat*VLOOKUP($A485,Leveranser_per_nät,'Leveranser per nät'!AC$1,FALSE)/VLOOKUP($B485,Korrigeringsfaktor_EI,'Korrigeringsfaktor EI'!AC$1,FALSE),
"")</f>
        <v>174.48299045599151</v>
      </c>
      <c r="AD485" t="e">
        <v>#N/A</v>
      </c>
    </row>
    <row r="486" spans="1:30" x14ac:dyDescent="0.25">
      <c r="A486" t="s">
        <v>207</v>
      </c>
      <c r="B486" t="s">
        <v>207</v>
      </c>
      <c r="C486" s="18">
        <f>IFERROR(
                  Andel_oberoende_av_klimat*VLOOKUP($A486,Leveranser_per_nät,'Leveranser per nät'!C$1,FALSE)
               +Andel_beroende_av_klimat*VLOOKUP($A486,Leveranser_per_nät,'Leveranser per nät'!C$1,FALSE)/VLOOKUP($B486,Korrigeringsfaktor_EI,'Korrigeringsfaktor EI'!C$1,FALSE),
"")</f>
        <v>1533.1555555555556</v>
      </c>
      <c r="D486" s="18">
        <f>IFERROR(
                  Andel_oberoende_av_klimat*VLOOKUP($A486,Leveranser_per_nät,'Leveranser per nät'!D$1,FALSE)
               +Andel_beroende_av_klimat*VLOOKUP($A486,Leveranser_per_nät,'Leveranser per nät'!D$1,FALSE)/VLOOKUP($B486,Korrigeringsfaktor_EI,'Korrigeringsfaktor EI'!D$1,FALSE),
"")</f>
        <v>1469.0812857142857</v>
      </c>
      <c r="E486" s="18">
        <f>IFERROR(
                  Andel_oberoende_av_klimat*VLOOKUP($A486,Leveranser_per_nät,'Leveranser per nät'!E$1,FALSE)
               +Andel_beroende_av_klimat*VLOOKUP($A486,Leveranser_per_nät,'Leveranser per nät'!E$1,FALSE)/VLOOKUP($B486,Korrigeringsfaktor_EI,'Korrigeringsfaktor EI'!E$1,FALSE),
"")</f>
        <v>1485.0912621359225</v>
      </c>
      <c r="F486" s="18">
        <f>IFERROR(
                  Andel_oberoende_av_klimat*VLOOKUP($A486,Leveranser_per_nät,'Leveranser per nät'!F$1,FALSE)
               +Andel_beroende_av_klimat*VLOOKUP($A486,Leveranser_per_nät,'Leveranser per nät'!F$1,FALSE)/VLOOKUP($B486,Korrigeringsfaktor_EI,'Korrigeringsfaktor EI'!F$1,FALSE),
"")</f>
        <v>1571.8526315789477</v>
      </c>
      <c r="G486" s="18">
        <f>IFERROR(
                  Andel_oberoende_av_klimat*VLOOKUP($A486,Leveranser_per_nät,'Leveranser per nät'!G$1,FALSE)
               +Andel_beroende_av_klimat*VLOOKUP($A486,Leveranser_per_nät,'Leveranser per nät'!G$1,FALSE)/VLOOKUP($B486,Korrigeringsfaktor_EI,'Korrigeringsfaktor EI'!G$1,FALSE),
"")</f>
        <v>1458.2859797752808</v>
      </c>
      <c r="H486" s="18">
        <f>IFERROR(
                  Andel_oberoende_av_klimat*VLOOKUP($A486,Leveranser_per_nät,'Leveranser per nät'!H$1,FALSE)
               +Andel_beroende_av_klimat*VLOOKUP($A486,Leveranser_per_nät,'Leveranser per nät'!H$1,FALSE)/VLOOKUP($B486,Korrigeringsfaktor_EI,'Korrigeringsfaktor EI'!H$1,FALSE),
"")</f>
        <v>1500.5353535353536</v>
      </c>
      <c r="I486" s="18">
        <f>IFERROR(
                  Andel_oberoende_av_klimat*VLOOKUP($A486,Leveranser_per_nät,'Leveranser per nät'!I$1,FALSE)
               +Andel_beroende_av_klimat*VLOOKUP($A486,Leveranser_per_nät,'Leveranser per nät'!I$1,FALSE)/VLOOKUP($B486,Korrigeringsfaktor_EI,'Korrigeringsfaktor EI'!I$1,FALSE),
"")</f>
        <v>1493.3208333333332</v>
      </c>
      <c r="J486" s="18">
        <f>IFERROR(
                  Andel_oberoende_av_klimat*VLOOKUP($A486,Leveranser_per_nät,'Leveranser per nät'!J$1,FALSE)
               +Andel_beroende_av_klimat*VLOOKUP($A486,Leveranser_per_nät,'Leveranser per nät'!J$1,FALSE)/VLOOKUP($B486,Korrigeringsfaktor_EI,'Korrigeringsfaktor EI'!J$1,FALSE),
"")</f>
        <v>1480.0335428571429</v>
      </c>
      <c r="K486" s="18">
        <f>IFERROR(
                  Andel_oberoende_av_klimat*VLOOKUP($A486,Leveranser_per_nät,'Leveranser per nät'!K$1,FALSE)
               +Andel_beroende_av_klimat*VLOOKUP($A486,Leveranser_per_nät,'Leveranser per nät'!K$1,FALSE)/VLOOKUP($B486,Korrigeringsfaktor_EI,'Korrigeringsfaktor EI'!K$1,FALSE),
"")</f>
        <v>1565.8877571428573</v>
      </c>
      <c r="L486" s="18">
        <f>IFERROR(
                  Andel_oberoende_av_klimat*VLOOKUP($A486,Leveranser_per_nät,'Leveranser per nät'!L$1,FALSE)
               +Andel_beroende_av_klimat*VLOOKUP($A486,Leveranser_per_nät,'Leveranser per nät'!L$1,FALSE)/VLOOKUP($B486,Korrigeringsfaktor_EI,'Korrigeringsfaktor EI'!L$1,FALSE),
"")</f>
        <v>1558.1895446808512</v>
      </c>
      <c r="M486" s="18">
        <f>IFERROR(
                  Andel_oberoende_av_klimat*VLOOKUP($A486,Leveranser_per_nät,'Leveranser per nät'!M$1,FALSE)
               +Andel_beroende_av_klimat*VLOOKUP($A486,Leveranser_per_nät,'Leveranser per nät'!M$1,FALSE)/VLOOKUP($B486,Korrigeringsfaktor_EI,'Korrigeringsfaktor EI'!M$1,FALSE),
"")</f>
        <v>1592.3652173913042</v>
      </c>
      <c r="N486" s="18">
        <f>IFERROR(
                  Andel_oberoende_av_klimat*VLOOKUP($A486,Leveranser_per_nät,'Leveranser per nät'!N$1,FALSE)
               +Andel_beroende_av_klimat*VLOOKUP($A486,Leveranser_per_nät,'Leveranser per nät'!N$1,FALSE)/VLOOKUP($B486,Korrigeringsfaktor_EI,'Korrigeringsfaktor EI'!N$1,FALSE),
"")</f>
        <v>1678.2956521739129</v>
      </c>
      <c r="O486" s="18">
        <f>IFERROR(
                  Andel_oberoende_av_klimat*VLOOKUP($A486,Leveranser_per_nät,'Leveranser per nät'!O$1,FALSE)
               +Andel_beroende_av_klimat*VLOOKUP($A486,Leveranser_per_nät,'Leveranser per nät'!O$1,FALSE)/VLOOKUP($B486,Korrigeringsfaktor_EI,'Korrigeringsfaktor EI'!O$1,FALSE),
"")</f>
        <v>1611.3044943820225</v>
      </c>
      <c r="P486" s="18">
        <f>IFERROR(
                  Andel_oberoende_av_klimat*VLOOKUP($A486,Leveranser_per_nät,'Leveranser per nät'!P$1,FALSE)
               +Andel_beroende_av_klimat*VLOOKUP($A486,Leveranser_per_nät,'Leveranser per nät'!P$1,FALSE)/VLOOKUP($B486,Korrigeringsfaktor_EI,'Korrigeringsfaktor EI'!P$1,FALSE),
"")</f>
        <v>1671.3666666666668</v>
      </c>
      <c r="Q486" s="18">
        <f>IFERROR(
                  Andel_oberoende_av_klimat*VLOOKUP($A486,Leveranser_per_nät,'Leveranser per nät'!Q$1,FALSE)
               +Andel_beroende_av_klimat*VLOOKUP($A486,Leveranser_per_nät,'Leveranser per nät'!Q$1,FALSE)/VLOOKUP($B486,Korrigeringsfaktor_EI,'Korrigeringsfaktor EI'!Q$1,FALSE),
"")</f>
        <v>1655.75</v>
      </c>
      <c r="R486" s="18">
        <f>IFERROR(
                  Andel_oberoende_av_klimat*VLOOKUP($A486,Leveranser_per_nät,'Leveranser per nät'!R$1,FALSE)
               +Andel_beroende_av_klimat*VLOOKUP($A486,Leveranser_per_nät,'Leveranser per nät'!R$1,FALSE)/VLOOKUP($B486,Korrigeringsfaktor_EI,'Korrigeringsfaktor EI'!R$1,FALSE),
"")</f>
        <v>1410.8111111111111</v>
      </c>
      <c r="S486" s="18">
        <f>IFERROR(
                  Andel_oberoende_av_klimat*VLOOKUP($A486,Leveranser_per_nät,'Leveranser per nät'!S$1,FALSE)
               +Andel_beroende_av_klimat*VLOOKUP($A486,Leveranser_per_nät,'Leveranser per nät'!S$1,FALSE)/VLOOKUP($B486,Korrigeringsfaktor_EI,'Korrigeringsfaktor EI'!S$1,FALSE),
"")</f>
        <v>1545.8535353535353</v>
      </c>
      <c r="T486" s="18">
        <f>IFERROR(
                  Andel_oberoende_av_klimat*VLOOKUP($A486,Leveranser_per_nät,'Leveranser per nät'!T$1,FALSE)
               +Andel_beroende_av_klimat*VLOOKUP($A486,Leveranser_per_nät,'Leveranser per nät'!T$1,FALSE)/VLOOKUP($B486,Korrigeringsfaktor_EI,'Korrigeringsfaktor EI'!T$1,FALSE),
"")</f>
        <v>1520.0106382978722</v>
      </c>
      <c r="U486" s="18">
        <f>IFERROR(
                  Andel_oberoende_av_klimat*VLOOKUP($A486,Leveranser_per_nät,'Leveranser per nät'!U$1,FALSE)
               +Andel_beroende_av_klimat*VLOOKUP($A486,Leveranser_per_nät,'Leveranser per nät'!U$1,FALSE)/VLOOKUP($B486,Korrigeringsfaktor_EI,'Korrigeringsfaktor EI'!U$1,FALSE),
"")</f>
        <v>1466.5323084444444</v>
      </c>
      <c r="V486" s="18">
        <f>IFERROR(
                  Andel_oberoende_av_klimat*VLOOKUP($A486,Leveranser_per_nät,'Leveranser per nät'!V$1,FALSE)
               +Andel_beroende_av_klimat*VLOOKUP($A486,Leveranser_per_nät,'Leveranser per nät'!V$1,FALSE)/VLOOKUP($B486,Korrigeringsfaktor_EI,'Korrigeringsfaktor EI'!V$1,FALSE),
"")</f>
        <v>1476.6825863636363</v>
      </c>
      <c r="W486" s="18">
        <f>IFERROR(
                  Andel_oberoende_av_klimat*VLOOKUP($A486,Leveranser_per_nät,'Leveranser per nät'!W$1,FALSE)
               +Andel_beroende_av_klimat*VLOOKUP($A486,Leveranser_per_nät,'Leveranser per nät'!W$1,FALSE)/VLOOKUP($B486,Korrigeringsfaktor_EI,'Korrigeringsfaktor EI'!W$1,FALSE),
"")</f>
        <v>1527.5030893617022</v>
      </c>
      <c r="X486" s="18">
        <f>IFERROR(
                  Andel_oberoende_av_klimat*VLOOKUP($A486,Leveranser_per_nät,'Leveranser per nät'!X$1,FALSE)
               +Andel_beroende_av_klimat*VLOOKUP($A486,Leveranser_per_nät,'Leveranser per nät'!X$1,FALSE)/VLOOKUP($B486,Korrigeringsfaktor_EI,'Korrigeringsfaktor EI'!X$1,FALSE),
"")</f>
        <v>1567.4885848387096</v>
      </c>
      <c r="Y486" s="18">
        <f>IFERROR(
                  Andel_oberoende_av_klimat*VLOOKUP($A486,Leveranser_per_nät,'Leveranser per nät'!Y$1,FALSE)
               +Andel_beroende_av_klimat*VLOOKUP($A486,Leveranser_per_nät,'Leveranser per nät'!Y$1,FALSE)/VLOOKUP($B486,Korrigeringsfaktor_EI,'Korrigeringsfaktor EI'!Y$1,FALSE),
"")</f>
        <v>1566.8197615384613</v>
      </c>
      <c r="Z486" s="18">
        <f>IFERROR(
                  Andel_oberoende_av_klimat*VLOOKUP($A486,Leveranser_per_nät,'Leveranser per nät'!Z$1,FALSE)
               +Andel_beroende_av_klimat*VLOOKUP($A486,Leveranser_per_nät,'Leveranser per nät'!Z$1,FALSE)/VLOOKUP($B486,Korrigeringsfaktor_EI,'Korrigeringsfaktor EI'!Z$1,FALSE),
"")</f>
        <v>1585.2810999999997</v>
      </c>
      <c r="AA486" s="18">
        <f>IFERROR(
                  Andel_oberoende_av_klimat*VLOOKUP($A486,Leveranser_per_nät,'Leveranser per nät'!AA$1,FALSE)
               +Andel_beroende_av_klimat*VLOOKUP($A486,Leveranser_per_nät,'Leveranser per nät'!AA$1,FALSE)/VLOOKUP($B486,Korrigeringsfaktor_EI,'Korrigeringsfaktor EI'!AA$1,FALSE),
"")</f>
        <v>1500.1414942257215</v>
      </c>
      <c r="AB486" s="18">
        <f>IFERROR(
                  Andel_oberoende_av_klimat*VLOOKUP($A486,Leveranser_per_nät,'Leveranser per nät'!AB$1,FALSE)
               +Andel_beroende_av_klimat*VLOOKUP($A486,Leveranser_per_nät,'Leveranser per nät'!AB$1,FALSE)/VLOOKUP($B486,Korrigeringsfaktor_EI,'Korrigeringsfaktor EI'!AB$1,FALSE),
"")</f>
        <v>1502.7761257007874</v>
      </c>
      <c r="AC486" s="18">
        <f>IFERROR(
                  Andel_oberoende_av_klimat*VLOOKUP($A486,Leveranser_per_nät,'Leveranser per nät'!AC$1,FALSE)
               +Andel_beroende_av_klimat*VLOOKUP($A486,Leveranser_per_nät,'Leveranser per nät'!AC$1,FALSE)/VLOOKUP($B486,Korrigeringsfaktor_EI,'Korrigeringsfaktor EI'!AC$1,FALSE),
"")</f>
        <v>1463.2814814814815</v>
      </c>
      <c r="AD486">
        <v>1373.4</v>
      </c>
    </row>
    <row r="487" spans="1:30" x14ac:dyDescent="0.25">
      <c r="A487" t="s">
        <v>363</v>
      </c>
      <c r="B487" t="s">
        <v>363</v>
      </c>
      <c r="C487" s="18">
        <f>IFERROR(
                  Andel_oberoende_av_klimat*VLOOKUP($A487,Leveranser_per_nät,'Leveranser per nät'!C$1,FALSE)
               +Andel_beroende_av_klimat*VLOOKUP($A487,Leveranser_per_nät,'Leveranser per nät'!C$1,FALSE)/VLOOKUP($B487,Korrigeringsfaktor_EI,'Korrigeringsfaktor EI'!C$1,FALSE),
"")</f>
        <v>399.6332666666666</v>
      </c>
      <c r="D487" s="18">
        <f>IFERROR(
                  Andel_oberoende_av_klimat*VLOOKUP($A487,Leveranser_per_nät,'Leveranser per nät'!D$1,FALSE)
               +Andel_beroende_av_klimat*VLOOKUP($A487,Leveranser_per_nät,'Leveranser per nät'!D$1,FALSE)/VLOOKUP($B487,Korrigeringsfaktor_EI,'Korrigeringsfaktor EI'!D$1,FALSE),
"")</f>
        <v>408.34723529411764</v>
      </c>
      <c r="E487" s="18">
        <f>IFERROR(
                  Andel_oberoende_av_klimat*VLOOKUP($A487,Leveranser_per_nät,'Leveranser per nät'!E$1,FALSE)
               +Andel_beroende_av_klimat*VLOOKUP($A487,Leveranser_per_nät,'Leveranser per nät'!E$1,FALSE)/VLOOKUP($B487,Korrigeringsfaktor_EI,'Korrigeringsfaktor EI'!E$1,FALSE),
"")</f>
        <v>397.98846153846148</v>
      </c>
      <c r="F487" s="18">
        <f>IFERROR(
                  Andel_oberoende_av_klimat*VLOOKUP($A487,Leveranser_per_nät,'Leveranser per nät'!F$1,FALSE)
               +Andel_beroende_av_klimat*VLOOKUP($A487,Leveranser_per_nät,'Leveranser per nät'!F$1,FALSE)/VLOOKUP($B487,Korrigeringsfaktor_EI,'Korrigeringsfaktor EI'!F$1,FALSE),
"")</f>
        <v>400.48659793814431</v>
      </c>
      <c r="G487" s="18">
        <f>IFERROR(
                  Andel_oberoende_av_klimat*VLOOKUP($A487,Leveranser_per_nät,'Leveranser per nät'!G$1,FALSE)
               +Andel_beroende_av_klimat*VLOOKUP($A487,Leveranser_per_nät,'Leveranser per nät'!G$1,FALSE)/VLOOKUP($B487,Korrigeringsfaktor_EI,'Korrigeringsfaktor EI'!G$1,FALSE),
"")</f>
        <v>406.30769230769232</v>
      </c>
      <c r="H487" s="18">
        <f>IFERROR(
                  Andel_oberoende_av_klimat*VLOOKUP($A487,Leveranser_per_nät,'Leveranser per nät'!H$1,FALSE)
               +Andel_beroende_av_klimat*VLOOKUP($A487,Leveranser_per_nät,'Leveranser per nät'!H$1,FALSE)/VLOOKUP($B487,Korrigeringsfaktor_EI,'Korrigeringsfaktor EI'!H$1,FALSE),
"")</f>
        <v>429.0121212121212</v>
      </c>
      <c r="I487" s="18">
        <f>IFERROR(
                  Andel_oberoende_av_klimat*VLOOKUP($A487,Leveranser_per_nät,'Leveranser per nät'!I$1,FALSE)
               +Andel_beroende_av_klimat*VLOOKUP($A487,Leveranser_per_nät,'Leveranser per nät'!I$1,FALSE)/VLOOKUP($B487,Korrigeringsfaktor_EI,'Korrigeringsfaktor EI'!I$1,FALSE),
"")</f>
        <v>448.89622765957449</v>
      </c>
      <c r="J487" s="18">
        <f>IFERROR(
                  Andel_oberoende_av_klimat*VLOOKUP($A487,Leveranser_per_nät,'Leveranser per nät'!J$1,FALSE)
               +Andel_beroende_av_klimat*VLOOKUP($A487,Leveranser_per_nät,'Leveranser per nät'!J$1,FALSE)/VLOOKUP($B487,Korrigeringsfaktor_EI,'Korrigeringsfaktor EI'!J$1,FALSE),
"")</f>
        <v>480.57370103092785</v>
      </c>
      <c r="K487" s="18">
        <f>IFERROR(
                  Andel_oberoende_av_klimat*VLOOKUP($A487,Leveranser_per_nät,'Leveranser per nät'!K$1,FALSE)
               +Andel_beroende_av_klimat*VLOOKUP($A487,Leveranser_per_nät,'Leveranser per nät'!K$1,FALSE)/VLOOKUP($B487,Korrigeringsfaktor_EI,'Korrigeringsfaktor EI'!K$1,FALSE),
"")</f>
        <v>506.63612424242433</v>
      </c>
      <c r="L487" s="18">
        <f>IFERROR(
                  Andel_oberoende_av_klimat*VLOOKUP($A487,Leveranser_per_nät,'Leveranser per nät'!L$1,FALSE)
               +Andel_beroende_av_klimat*VLOOKUP($A487,Leveranser_per_nät,'Leveranser per nät'!L$1,FALSE)/VLOOKUP($B487,Korrigeringsfaktor_EI,'Korrigeringsfaktor EI'!L$1,FALSE),
"")</f>
        <v>474.99499473684216</v>
      </c>
      <c r="M487" s="18">
        <f>IFERROR(
                  Andel_oberoende_av_klimat*VLOOKUP($A487,Leveranser_per_nät,'Leveranser per nät'!M$1,FALSE)
               +Andel_beroende_av_klimat*VLOOKUP($A487,Leveranser_per_nät,'Leveranser per nät'!M$1,FALSE)/VLOOKUP($B487,Korrigeringsfaktor_EI,'Korrigeringsfaktor EI'!M$1,FALSE),
"")</f>
        <v>516.43846153846152</v>
      </c>
      <c r="N487" s="18">
        <f>IFERROR(
                  Andel_oberoende_av_klimat*VLOOKUP($A487,Leveranser_per_nät,'Leveranser per nät'!N$1,FALSE)
               +Andel_beroende_av_klimat*VLOOKUP($A487,Leveranser_per_nät,'Leveranser per nät'!N$1,FALSE)/VLOOKUP($B487,Korrigeringsfaktor_EI,'Korrigeringsfaktor EI'!N$1,FALSE),
"")</f>
        <v>520.56666666666661</v>
      </c>
      <c r="O487" s="18">
        <f>IFERROR(
                  Andel_oberoende_av_klimat*VLOOKUP($A487,Leveranser_per_nät,'Leveranser per nät'!O$1,FALSE)
               +Andel_beroende_av_klimat*VLOOKUP($A487,Leveranser_per_nät,'Leveranser per nät'!O$1,FALSE)/VLOOKUP($B487,Korrigeringsfaktor_EI,'Korrigeringsfaktor EI'!O$1,FALSE),
"")</f>
        <v>518.81215384615393</v>
      </c>
      <c r="P487" s="18">
        <f>IFERROR(
                  Andel_oberoende_av_klimat*VLOOKUP($A487,Leveranser_per_nät,'Leveranser per nät'!P$1,FALSE)
               +Andel_beroende_av_klimat*VLOOKUP($A487,Leveranser_per_nät,'Leveranser per nät'!P$1,FALSE)/VLOOKUP($B487,Korrigeringsfaktor_EI,'Korrigeringsfaktor EI'!P$1,FALSE),
"")</f>
        <v>546.42304736842107</v>
      </c>
      <c r="Q487" s="18">
        <f>IFERROR(
                  Andel_oberoende_av_klimat*VLOOKUP($A487,Leveranser_per_nät,'Leveranser per nät'!Q$1,FALSE)
               +Andel_beroende_av_klimat*VLOOKUP($A487,Leveranser_per_nät,'Leveranser per nät'!Q$1,FALSE)/VLOOKUP($B487,Korrigeringsfaktor_EI,'Korrigeringsfaktor EI'!Q$1,FALSE),
"")</f>
        <v>530.79364545454541</v>
      </c>
      <c r="R487" s="18">
        <f>IFERROR(
                  Andel_oberoende_av_klimat*VLOOKUP($A487,Leveranser_per_nät,'Leveranser per nät'!R$1,FALSE)
               +Andel_beroende_av_klimat*VLOOKUP($A487,Leveranser_per_nät,'Leveranser per nät'!R$1,FALSE)/VLOOKUP($B487,Korrigeringsfaktor_EI,'Korrigeringsfaktor EI'!R$1,FALSE),
"")</f>
        <v>628.73707826086957</v>
      </c>
      <c r="S487" s="18">
        <f>IFERROR(
                  Andel_oberoende_av_klimat*VLOOKUP($A487,Leveranser_per_nät,'Leveranser per nät'!S$1,FALSE)
               +Andel_beroende_av_klimat*VLOOKUP($A487,Leveranser_per_nät,'Leveranser per nät'!S$1,FALSE)/VLOOKUP($B487,Korrigeringsfaktor_EI,'Korrigeringsfaktor EI'!S$1,FALSE),
"")</f>
        <v>560.93838383838386</v>
      </c>
      <c r="T487" s="18">
        <f>IFERROR(
                  Andel_oberoende_av_klimat*VLOOKUP($A487,Leveranser_per_nät,'Leveranser per nät'!T$1,FALSE)
               +Andel_beroende_av_klimat*VLOOKUP($A487,Leveranser_per_nät,'Leveranser per nät'!T$1,FALSE)/VLOOKUP($B487,Korrigeringsfaktor_EI,'Korrigeringsfaktor EI'!T$1,FALSE),
"")</f>
        <v>564.99566288659798</v>
      </c>
      <c r="U487" s="18">
        <f>IFERROR(
                  Andel_oberoende_av_klimat*VLOOKUP($A487,Leveranser_per_nät,'Leveranser per nät'!U$1,FALSE)
               +Andel_beroende_av_klimat*VLOOKUP($A487,Leveranser_per_nät,'Leveranser per nät'!U$1,FALSE)/VLOOKUP($B487,Korrigeringsfaktor_EI,'Korrigeringsfaktor EI'!U$1,FALSE),
"")</f>
        <v>587.75422758620687</v>
      </c>
      <c r="V487" s="18">
        <f>IFERROR(
                  Andel_oberoende_av_klimat*VLOOKUP($A487,Leveranser_per_nät,'Leveranser per nät'!V$1,FALSE)
               +Andel_beroende_av_klimat*VLOOKUP($A487,Leveranser_per_nät,'Leveranser per nät'!V$1,FALSE)/VLOOKUP($B487,Korrigeringsfaktor_EI,'Korrigeringsfaktor EI'!V$1,FALSE),
"")</f>
        <v>544.72282307692296</v>
      </c>
      <c r="W487" s="18">
        <f>IFERROR(
                  Andel_oberoende_av_klimat*VLOOKUP($A487,Leveranser_per_nät,'Leveranser per nät'!W$1,FALSE)
               +Andel_beroende_av_klimat*VLOOKUP($A487,Leveranser_per_nät,'Leveranser per nät'!W$1,FALSE)/VLOOKUP($B487,Korrigeringsfaktor_EI,'Korrigeringsfaktor EI'!W$1,FALSE),
"")</f>
        <v>557.91125789473676</v>
      </c>
      <c r="X487" s="18">
        <f>IFERROR(
                  Andel_oberoende_av_klimat*VLOOKUP($A487,Leveranser_per_nät,'Leveranser per nät'!X$1,FALSE)
               +Andel_beroende_av_klimat*VLOOKUP($A487,Leveranser_per_nät,'Leveranser per nät'!X$1,FALSE)/VLOOKUP($B487,Korrigeringsfaktor_EI,'Korrigeringsfaktor EI'!X$1,FALSE),
"")</f>
        <v>586.45889677419359</v>
      </c>
      <c r="Y487" s="18">
        <f>IFERROR(
                  Andel_oberoende_av_klimat*VLOOKUP($A487,Leveranser_per_nät,'Leveranser per nät'!Y$1,FALSE)
               +Andel_beroende_av_klimat*VLOOKUP($A487,Leveranser_per_nät,'Leveranser per nät'!Y$1,FALSE)/VLOOKUP($B487,Korrigeringsfaktor_EI,'Korrigeringsfaktor EI'!Y$1,FALSE),
"")</f>
        <v>585.90167272727263</v>
      </c>
      <c r="Z487" s="18">
        <f>IFERROR(
                  Andel_oberoende_av_klimat*VLOOKUP($A487,Leveranser_per_nät,'Leveranser per nät'!Z$1,FALSE)
               +Andel_beroende_av_klimat*VLOOKUP($A487,Leveranser_per_nät,'Leveranser per nät'!Z$1,FALSE)/VLOOKUP($B487,Korrigeringsfaktor_EI,'Korrigeringsfaktor EI'!Z$1,FALSE),
"")</f>
        <v>570.08287356321841</v>
      </c>
      <c r="AA487" s="18">
        <f>IFERROR(
                  Andel_oberoende_av_klimat*VLOOKUP($A487,Leveranser_per_nät,'Leveranser per nät'!AA$1,FALSE)
               +Andel_beroende_av_klimat*VLOOKUP($A487,Leveranser_per_nät,'Leveranser per nät'!AA$1,FALSE)/VLOOKUP($B487,Korrigeringsfaktor_EI,'Korrigeringsfaktor EI'!AA$1,FALSE),
"")</f>
        <v>603.27032786885252</v>
      </c>
      <c r="AB487" s="18">
        <f>IFERROR(
                  Andel_oberoende_av_klimat*VLOOKUP($A487,Leveranser_per_nät,'Leveranser per nät'!AB$1,FALSE)
               +Andel_beroende_av_klimat*VLOOKUP($A487,Leveranser_per_nät,'Leveranser per nät'!AB$1,FALSE)/VLOOKUP($B487,Korrigeringsfaktor_EI,'Korrigeringsfaktor EI'!AB$1,FALSE),
"")</f>
        <v>564.99055952615993</v>
      </c>
      <c r="AC487" s="18">
        <f>IFERROR(
                  Andel_oberoende_av_klimat*VLOOKUP($A487,Leveranser_per_nät,'Leveranser per nät'!AC$1,FALSE)
               +Andel_beroende_av_klimat*VLOOKUP($A487,Leveranser_per_nät,'Leveranser per nät'!AC$1,FALSE)/VLOOKUP($B487,Korrigeringsfaktor_EI,'Korrigeringsfaktor EI'!AC$1,FALSE),
"")</f>
        <v>557.43878513800416</v>
      </c>
      <c r="AD487" t="e">
        <v>#N/A</v>
      </c>
    </row>
    <row r="488" spans="1:30" x14ac:dyDescent="0.25">
      <c r="A488" t="s">
        <v>367</v>
      </c>
      <c r="B488" t="s">
        <v>34</v>
      </c>
      <c r="C488" s="18">
        <f>IFERROR(
                  Andel_oberoende_av_klimat*VLOOKUP($A488,Leveranser_per_nät,'Leveranser per nät'!C$1,FALSE)
               +Andel_beroende_av_klimat*VLOOKUP($A488,Leveranser_per_nät,'Leveranser per nät'!C$1,FALSE)/VLOOKUP($B488,Korrigeringsfaktor_EI,'Korrigeringsfaktor EI'!C$1,FALSE),
"")</f>
        <v>94.924324324324317</v>
      </c>
      <c r="D488" s="18">
        <f>IFERROR(
                  Andel_oberoende_av_klimat*VLOOKUP($A488,Leveranser_per_nät,'Leveranser per nät'!D$1,FALSE)
               +Andel_beroende_av_klimat*VLOOKUP($A488,Leveranser_per_nät,'Leveranser per nät'!D$1,FALSE)/VLOOKUP($B488,Korrigeringsfaktor_EI,'Korrigeringsfaktor EI'!D$1,FALSE),
"")</f>
        <v>88.760534653465342</v>
      </c>
      <c r="E488" s="18">
        <f>IFERROR(
                  Andel_oberoende_av_klimat*VLOOKUP($A488,Leveranser_per_nät,'Leveranser per nät'!E$1,FALSE)
               +Andel_beroende_av_klimat*VLOOKUP($A488,Leveranser_per_nät,'Leveranser per nät'!E$1,FALSE)/VLOOKUP($B488,Korrigeringsfaktor_EI,'Korrigeringsfaktor EI'!E$1,FALSE),
"")</f>
        <v>87.576923076923066</v>
      </c>
      <c r="F488" s="18">
        <f>IFERROR(
                  Andel_oberoende_av_klimat*VLOOKUP($A488,Leveranser_per_nät,'Leveranser per nät'!F$1,FALSE)
               +Andel_beroende_av_klimat*VLOOKUP($A488,Leveranser_per_nät,'Leveranser per nät'!F$1,FALSE)/VLOOKUP($B488,Korrigeringsfaktor_EI,'Korrigeringsfaktor EI'!F$1,FALSE),
"")</f>
        <v>98.799999999999983</v>
      </c>
      <c r="G488" s="18">
        <f>IFERROR(
                  Andel_oberoende_av_klimat*VLOOKUP($A488,Leveranser_per_nät,'Leveranser per nät'!G$1,FALSE)
               +Andel_beroende_av_klimat*VLOOKUP($A488,Leveranser_per_nät,'Leveranser per nät'!G$1,FALSE)/VLOOKUP($B488,Korrigeringsfaktor_EI,'Korrigeringsfaktor EI'!G$1,FALSE),
"")</f>
        <v>102.38888888888889</v>
      </c>
      <c r="H488" s="18">
        <f>IFERROR(
                  Andel_oberoende_av_klimat*VLOOKUP($A488,Leveranser_per_nät,'Leveranser per nät'!H$1,FALSE)
               +Andel_beroende_av_klimat*VLOOKUP($A488,Leveranser_per_nät,'Leveranser per nät'!H$1,FALSE)/VLOOKUP($B488,Korrigeringsfaktor_EI,'Korrigeringsfaktor EI'!H$1,FALSE),
"")</f>
        <v>104.97500000000001</v>
      </c>
      <c r="I488" s="18">
        <f>IFERROR(
                  Andel_oberoende_av_klimat*VLOOKUP($A488,Leveranser_per_nät,'Leveranser per nät'!I$1,FALSE)
               +Andel_beroende_av_klimat*VLOOKUP($A488,Leveranser_per_nät,'Leveranser per nät'!I$1,FALSE)/VLOOKUP($B488,Korrigeringsfaktor_EI,'Korrigeringsfaktor EI'!I$1,FALSE),
"")</f>
        <v>112.45217391304345</v>
      </c>
      <c r="J488" s="18">
        <f>IFERROR(
                  Andel_oberoende_av_klimat*VLOOKUP($A488,Leveranser_per_nät,'Leveranser per nät'!J$1,FALSE)
               +Andel_beroende_av_klimat*VLOOKUP($A488,Leveranser_per_nät,'Leveranser per nät'!J$1,FALSE)/VLOOKUP($B488,Korrigeringsfaktor_EI,'Korrigeringsfaktor EI'!J$1,FALSE),
"")</f>
        <v>117.90545</v>
      </c>
      <c r="K488" s="18">
        <f>IFERROR(
                  Andel_oberoende_av_klimat*VLOOKUP($A488,Leveranser_per_nät,'Leveranser per nät'!K$1,FALSE)
               +Andel_beroende_av_klimat*VLOOKUP($A488,Leveranser_per_nät,'Leveranser per nät'!K$1,FALSE)/VLOOKUP($B488,Korrigeringsfaktor_EI,'Korrigeringsfaktor EI'!K$1,FALSE),
"")</f>
        <v>121.22994948453609</v>
      </c>
      <c r="L488" s="18">
        <f>IFERROR(
                  Andel_oberoende_av_klimat*VLOOKUP($A488,Leveranser_per_nät,'Leveranser per nät'!L$1,FALSE)
               +Andel_beroende_av_klimat*VLOOKUP($A488,Leveranser_per_nät,'Leveranser per nät'!L$1,FALSE)/VLOOKUP($B488,Korrigeringsfaktor_EI,'Korrigeringsfaktor EI'!L$1,FALSE),
"")</f>
        <v>124.83578947368422</v>
      </c>
      <c r="M488" s="18">
        <f>IFERROR(
                  Andel_oberoende_av_klimat*VLOOKUP($A488,Leveranser_per_nät,'Leveranser per nät'!M$1,FALSE)
               +Andel_beroende_av_klimat*VLOOKUP($A488,Leveranser_per_nät,'Leveranser per nät'!M$1,FALSE)/VLOOKUP($B488,Korrigeringsfaktor_EI,'Korrigeringsfaktor EI'!M$1,FALSE),
"")</f>
        <v>126.1</v>
      </c>
      <c r="N488" s="18">
        <f>IFERROR(
                  Andel_oberoende_av_klimat*VLOOKUP($A488,Leveranser_per_nät,'Leveranser per nät'!N$1,FALSE)
               +Andel_beroende_av_klimat*VLOOKUP($A488,Leveranser_per_nät,'Leveranser per nät'!N$1,FALSE)/VLOOKUP($B488,Korrigeringsfaktor_EI,'Korrigeringsfaktor EI'!N$1,FALSE),
"")</f>
        <v>127.02873563218392</v>
      </c>
      <c r="O488" s="18">
        <f>IFERROR(
                  Andel_oberoende_av_klimat*VLOOKUP($A488,Leveranser_per_nät,'Leveranser per nät'!O$1,FALSE)
               +Andel_beroende_av_klimat*VLOOKUP($A488,Leveranser_per_nät,'Leveranser per nät'!O$1,FALSE)/VLOOKUP($B488,Korrigeringsfaktor_EI,'Korrigeringsfaktor EI'!O$1,FALSE),
"")</f>
        <v>129.23793103448276</v>
      </c>
      <c r="P488" s="18">
        <f>IFERROR(
                  Andel_oberoende_av_klimat*VLOOKUP($A488,Leveranser_per_nät,'Leveranser per nät'!P$1,FALSE)
               +Andel_beroende_av_klimat*VLOOKUP($A488,Leveranser_per_nät,'Leveranser per nät'!P$1,FALSE)/VLOOKUP($B488,Korrigeringsfaktor_EI,'Korrigeringsfaktor EI'!P$1,FALSE),
"")</f>
        <v>135.7913043478261</v>
      </c>
      <c r="Q488" s="18">
        <f>IFERROR(
                  Andel_oberoende_av_klimat*VLOOKUP($A488,Leveranser_per_nät,'Leveranser per nät'!Q$1,FALSE)
               +Andel_beroende_av_klimat*VLOOKUP($A488,Leveranser_per_nät,'Leveranser per nät'!Q$1,FALSE)/VLOOKUP($B488,Korrigeringsfaktor_EI,'Korrigeringsfaktor EI'!Q$1,FALSE),
"")</f>
        <v>141.27407407407406</v>
      </c>
      <c r="R488" s="18">
        <f>IFERROR(
                  Andel_oberoende_av_klimat*VLOOKUP($A488,Leveranser_per_nät,'Leveranser per nät'!R$1,FALSE)
               +Andel_beroende_av_klimat*VLOOKUP($A488,Leveranser_per_nät,'Leveranser per nät'!R$1,FALSE)/VLOOKUP($B488,Korrigeringsfaktor_EI,'Korrigeringsfaktor EI'!R$1,FALSE),
"")</f>
        <v>143.57451011235955</v>
      </c>
      <c r="S488" s="18">
        <f>IFERROR(
                  Andel_oberoende_av_klimat*VLOOKUP($A488,Leveranser_per_nät,'Leveranser per nät'!S$1,FALSE)
               +Andel_beroende_av_klimat*VLOOKUP($A488,Leveranser_per_nät,'Leveranser per nät'!S$1,FALSE)/VLOOKUP($B488,Korrigeringsfaktor_EI,'Korrigeringsfaktor EI'!S$1,FALSE),
"")</f>
        <v>140.99583333333334</v>
      </c>
      <c r="T488" s="18">
        <f>IFERROR(
                  Andel_oberoende_av_klimat*VLOOKUP($A488,Leveranser_per_nät,'Leveranser per nät'!T$1,FALSE)
               +Andel_beroende_av_klimat*VLOOKUP($A488,Leveranser_per_nät,'Leveranser per nät'!T$1,FALSE)/VLOOKUP($B488,Korrigeringsfaktor_EI,'Korrigeringsfaktor EI'!T$1,FALSE),
"")</f>
        <v>144.5340860215054</v>
      </c>
      <c r="U488" s="18">
        <f>IFERROR(
                  Andel_oberoende_av_klimat*VLOOKUP($A488,Leveranser_per_nät,'Leveranser per nät'!U$1,FALSE)
               +Andel_beroende_av_klimat*VLOOKUP($A488,Leveranser_per_nät,'Leveranser per nät'!U$1,FALSE)/VLOOKUP($B488,Korrigeringsfaktor_EI,'Korrigeringsfaktor EI'!U$1,FALSE),
"")</f>
        <v>140.40626506024097</v>
      </c>
      <c r="V488" s="18">
        <f>IFERROR(
                  Andel_oberoende_av_klimat*VLOOKUP($A488,Leveranser_per_nät,'Leveranser per nät'!V$1,FALSE)
               +Andel_beroende_av_klimat*VLOOKUP($A488,Leveranser_per_nät,'Leveranser per nät'!V$1,FALSE)/VLOOKUP($B488,Korrigeringsfaktor_EI,'Korrigeringsfaktor EI'!V$1,FALSE),
"")</f>
        <v>140.55784827586206</v>
      </c>
      <c r="W488" s="18">
        <f>IFERROR(
                  Andel_oberoende_av_klimat*VLOOKUP($A488,Leveranser_per_nät,'Leveranser per nät'!W$1,FALSE)
               +Andel_beroende_av_klimat*VLOOKUP($A488,Leveranser_per_nät,'Leveranser per nät'!W$1,FALSE)/VLOOKUP($B488,Korrigeringsfaktor_EI,'Korrigeringsfaktor EI'!W$1,FALSE),
"")</f>
        <v>139.99659130434782</v>
      </c>
      <c r="X488" s="18">
        <f>IFERROR(
                  Andel_oberoende_av_klimat*VLOOKUP($A488,Leveranser_per_nät,'Leveranser per nät'!X$1,FALSE)
               +Andel_beroende_av_klimat*VLOOKUP($A488,Leveranser_per_nät,'Leveranser per nät'!X$1,FALSE)/VLOOKUP($B488,Korrigeringsfaktor_EI,'Korrigeringsfaktor EI'!X$1,FALSE),
"")</f>
        <v>143.83292307692307</v>
      </c>
      <c r="Y488" s="18">
        <f>IFERROR(
                  Andel_oberoende_av_klimat*VLOOKUP($A488,Leveranser_per_nät,'Leveranser per nät'!Y$1,FALSE)
               +Andel_beroende_av_klimat*VLOOKUP($A488,Leveranser_per_nät,'Leveranser per nät'!Y$1,FALSE)/VLOOKUP($B488,Korrigeringsfaktor_EI,'Korrigeringsfaktor EI'!Y$1,FALSE),
"")</f>
        <v>148.32179302325582</v>
      </c>
      <c r="Z488" s="18">
        <f>IFERROR(
                  Andel_oberoende_av_klimat*VLOOKUP($A488,Leveranser_per_nät,'Leveranser per nät'!Z$1,FALSE)
               +Andel_beroende_av_klimat*VLOOKUP($A488,Leveranser_per_nät,'Leveranser per nät'!Z$1,FALSE)/VLOOKUP($B488,Korrigeringsfaktor_EI,'Korrigeringsfaktor EI'!Z$1,FALSE),
"")</f>
        <v>147.00581686746989</v>
      </c>
      <c r="AA488" s="18">
        <f>IFERROR(
                  Andel_oberoende_av_klimat*VLOOKUP($A488,Leveranser_per_nät,'Leveranser per nät'!AA$1,FALSE)
               +Andel_beroende_av_klimat*VLOOKUP($A488,Leveranser_per_nät,'Leveranser per nät'!AA$1,FALSE)/VLOOKUP($B488,Korrigeringsfaktor_EI,'Korrigeringsfaktor EI'!AA$1,FALSE),
"")</f>
        <v>143.91709498207885</v>
      </c>
      <c r="AB488" s="18">
        <f>IFERROR(
                  Andel_oberoende_av_klimat*VLOOKUP($A488,Leveranser_per_nät,'Leveranser per nät'!AB$1,FALSE)
               +Andel_beroende_av_klimat*VLOOKUP($A488,Leveranser_per_nät,'Leveranser per nät'!AB$1,FALSE)/VLOOKUP($B488,Korrigeringsfaktor_EI,'Korrigeringsfaktor EI'!AB$1,FALSE),
"")</f>
        <v>142.49334940711464</v>
      </c>
      <c r="AC488" s="18">
        <f>IFERROR(
                  Andel_oberoende_av_klimat*VLOOKUP($A488,Leveranser_per_nät,'Leveranser per nät'!AC$1,FALSE)
               +Andel_beroende_av_klimat*VLOOKUP($A488,Leveranser_per_nät,'Leveranser per nät'!AC$1,FALSE)/VLOOKUP($B488,Korrigeringsfaktor_EI,'Korrigeringsfaktor EI'!AC$1,FALSE),
"")</f>
        <v>137.82308516542153</v>
      </c>
      <c r="AD488">
        <v>333.59699999999998</v>
      </c>
    </row>
    <row r="489" spans="1:30" x14ac:dyDescent="0.25">
      <c r="A489" t="s">
        <v>36</v>
      </c>
      <c r="B489" t="s">
        <v>285</v>
      </c>
      <c r="C489" s="18">
        <f>IFERROR(
                  Andel_oberoende_av_klimat*VLOOKUP($A489,Leveranser_per_nät,'Leveranser per nät'!C$1,FALSE)
               +Andel_beroende_av_klimat*VLOOKUP($A489,Leveranser_per_nät,'Leveranser per nät'!C$1,FALSE)/VLOOKUP($B489,Korrigeringsfaktor_EI,'Korrigeringsfaktor EI'!C$1,FALSE),
"")</f>
        <v>0</v>
      </c>
      <c r="D489" s="18">
        <f>IFERROR(
                  Andel_oberoende_av_klimat*VLOOKUP($A489,Leveranser_per_nät,'Leveranser per nät'!D$1,FALSE)
               +Andel_beroende_av_klimat*VLOOKUP($A489,Leveranser_per_nät,'Leveranser per nät'!D$1,FALSE)/VLOOKUP($B489,Korrigeringsfaktor_EI,'Korrigeringsfaktor EI'!D$1,FALSE),
"")</f>
        <v>0</v>
      </c>
      <c r="E489" s="18">
        <f>IFERROR(
                  Andel_oberoende_av_klimat*VLOOKUP($A489,Leveranser_per_nät,'Leveranser per nät'!E$1,FALSE)
               +Andel_beroende_av_klimat*VLOOKUP($A489,Leveranser_per_nät,'Leveranser per nät'!E$1,FALSE)/VLOOKUP($B489,Korrigeringsfaktor_EI,'Korrigeringsfaktor EI'!E$1,FALSE),
"")</f>
        <v>0</v>
      </c>
      <c r="F489" s="18">
        <f>IFERROR(
                  Andel_oberoende_av_klimat*VLOOKUP($A489,Leveranser_per_nät,'Leveranser per nät'!F$1,FALSE)
               +Andel_beroende_av_klimat*VLOOKUP($A489,Leveranser_per_nät,'Leveranser per nät'!F$1,FALSE)/VLOOKUP($B489,Korrigeringsfaktor_EI,'Korrigeringsfaktor EI'!F$1,FALSE),
"")</f>
        <v>0</v>
      </c>
      <c r="G489" s="18">
        <f>IFERROR(
                  Andel_oberoende_av_klimat*VLOOKUP($A489,Leveranser_per_nät,'Leveranser per nät'!G$1,FALSE)
               +Andel_beroende_av_klimat*VLOOKUP($A489,Leveranser_per_nät,'Leveranser per nät'!G$1,FALSE)/VLOOKUP($B489,Korrigeringsfaktor_EI,'Korrigeringsfaktor EI'!G$1,FALSE),
"")</f>
        <v>0</v>
      </c>
      <c r="H489" s="18">
        <f>IFERROR(
                  Andel_oberoende_av_klimat*VLOOKUP($A489,Leveranser_per_nät,'Leveranser per nät'!H$1,FALSE)
               +Andel_beroende_av_klimat*VLOOKUP($A489,Leveranser_per_nät,'Leveranser per nät'!H$1,FALSE)/VLOOKUP($B489,Korrigeringsfaktor_EI,'Korrigeringsfaktor EI'!H$1,FALSE),
"")</f>
        <v>0</v>
      </c>
      <c r="I489" s="18">
        <f>IFERROR(
                  Andel_oberoende_av_klimat*VLOOKUP($A489,Leveranser_per_nät,'Leveranser per nät'!I$1,FALSE)
               +Andel_beroende_av_klimat*VLOOKUP($A489,Leveranser_per_nät,'Leveranser per nät'!I$1,FALSE)/VLOOKUP($B489,Korrigeringsfaktor_EI,'Korrigeringsfaktor EI'!I$1,FALSE),
"")</f>
        <v>0</v>
      </c>
      <c r="J489" s="18">
        <f>IFERROR(
                  Andel_oberoende_av_klimat*VLOOKUP($A489,Leveranser_per_nät,'Leveranser per nät'!J$1,FALSE)
               +Andel_beroende_av_klimat*VLOOKUP($A489,Leveranser_per_nät,'Leveranser per nät'!J$1,FALSE)/VLOOKUP($B489,Korrigeringsfaktor_EI,'Korrigeringsfaktor EI'!J$1,FALSE),
"")</f>
        <v>0</v>
      </c>
      <c r="K489" s="18">
        <f>IFERROR(
                  Andel_oberoende_av_klimat*VLOOKUP($A489,Leveranser_per_nät,'Leveranser per nät'!K$1,FALSE)
               +Andel_beroende_av_klimat*VLOOKUP($A489,Leveranser_per_nät,'Leveranser per nät'!K$1,FALSE)/VLOOKUP($B489,Korrigeringsfaktor_EI,'Korrigeringsfaktor EI'!K$1,FALSE),
"")</f>
        <v>8.815157142857144</v>
      </c>
      <c r="L489" s="18">
        <f>IFERROR(
                  Andel_oberoende_av_klimat*VLOOKUP($A489,Leveranser_per_nät,'Leveranser per nät'!L$1,FALSE)
               +Andel_beroende_av_klimat*VLOOKUP($A489,Leveranser_per_nät,'Leveranser per nät'!L$1,FALSE)/VLOOKUP($B489,Korrigeringsfaktor_EI,'Korrigeringsfaktor EI'!L$1,FALSE),
"")</f>
        <v>10.395378947368421</v>
      </c>
      <c r="M489" s="18">
        <f>IFERROR(
                  Andel_oberoende_av_klimat*VLOOKUP($A489,Leveranser_per_nät,'Leveranser per nät'!M$1,FALSE)
               +Andel_beroende_av_klimat*VLOOKUP($A489,Leveranser_per_nät,'Leveranser per nät'!M$1,FALSE)/VLOOKUP($B489,Korrigeringsfaktor_EI,'Korrigeringsfaktor EI'!M$1,FALSE),
"")</f>
        <v>10.903617391304348</v>
      </c>
      <c r="N489" s="18">
        <f>IFERROR(
                  Andel_oberoende_av_klimat*VLOOKUP($A489,Leveranser_per_nät,'Leveranser per nät'!N$1,FALSE)
               +Andel_beroende_av_klimat*VLOOKUP($A489,Leveranser_per_nät,'Leveranser per nät'!N$1,FALSE)/VLOOKUP($B489,Korrigeringsfaktor_EI,'Korrigeringsfaktor EI'!N$1,FALSE),
"")</f>
        <v>13.230661538461538</v>
      </c>
      <c r="O489" s="18">
        <f>IFERROR(
                  Andel_oberoende_av_klimat*VLOOKUP($A489,Leveranser_per_nät,'Leveranser per nät'!O$1,FALSE)
               +Andel_beroende_av_klimat*VLOOKUP($A489,Leveranser_per_nät,'Leveranser per nät'!O$1,FALSE)/VLOOKUP($B489,Korrigeringsfaktor_EI,'Korrigeringsfaktor EI'!O$1,FALSE),
"")</f>
        <v>14.421744444444444</v>
      </c>
      <c r="P489" s="18">
        <f>IFERROR(
                  Andel_oberoende_av_klimat*VLOOKUP($A489,Leveranser_per_nät,'Leveranser per nät'!P$1,FALSE)
               +Andel_beroende_av_klimat*VLOOKUP($A489,Leveranser_per_nät,'Leveranser per nät'!P$1,FALSE)/VLOOKUP($B489,Korrigeringsfaktor_EI,'Korrigeringsfaktor EI'!P$1,FALSE),
"")</f>
        <v>15.965462500000001</v>
      </c>
      <c r="Q489" s="18">
        <f>IFERROR(
                  Andel_oberoende_av_klimat*VLOOKUP($A489,Leveranser_per_nät,'Leveranser per nät'!Q$1,FALSE)
               +Andel_beroende_av_klimat*VLOOKUP($A489,Leveranser_per_nät,'Leveranser per nät'!Q$1,FALSE)/VLOOKUP($B489,Korrigeringsfaktor_EI,'Korrigeringsfaktor EI'!Q$1,FALSE),
"")</f>
        <v>0</v>
      </c>
      <c r="R489" s="18">
        <f>IFERROR(
                  Andel_oberoende_av_klimat*VLOOKUP($A489,Leveranser_per_nät,'Leveranser per nät'!R$1,FALSE)
               +Andel_beroende_av_klimat*VLOOKUP($A489,Leveranser_per_nät,'Leveranser per nät'!R$1,FALSE)/VLOOKUP($B489,Korrigeringsfaktor_EI,'Korrigeringsfaktor EI'!R$1,FALSE),
"")</f>
        <v>0</v>
      </c>
      <c r="S489" s="18" t="str">
        <f>IFERROR(
                  Andel_oberoende_av_klimat*VLOOKUP($A489,Leveranser_per_nät,'Leveranser per nät'!S$1,FALSE)
               +Andel_beroende_av_klimat*VLOOKUP($A489,Leveranser_per_nät,'Leveranser per nät'!S$1,FALSE)/VLOOKUP($B489,Korrigeringsfaktor_EI,'Korrigeringsfaktor EI'!S$1,FALSE),
"")</f>
        <v/>
      </c>
      <c r="T489" s="18" t="str">
        <f>IFERROR(
                  Andel_oberoende_av_klimat*VLOOKUP($A489,Leveranser_per_nät,'Leveranser per nät'!T$1,FALSE)
               +Andel_beroende_av_klimat*VLOOKUP($A489,Leveranser_per_nät,'Leveranser per nät'!T$1,FALSE)/VLOOKUP($B489,Korrigeringsfaktor_EI,'Korrigeringsfaktor EI'!T$1,FALSE),
"")</f>
        <v/>
      </c>
      <c r="U489" s="18" t="str">
        <f>IFERROR(
                  Andel_oberoende_av_klimat*VLOOKUP($A489,Leveranser_per_nät,'Leveranser per nät'!U$1,FALSE)
               +Andel_beroende_av_klimat*VLOOKUP($A489,Leveranser_per_nät,'Leveranser per nät'!U$1,FALSE)/VLOOKUP($B489,Korrigeringsfaktor_EI,'Korrigeringsfaktor EI'!U$1,FALSE),
"")</f>
        <v/>
      </c>
      <c r="V489" s="18" t="str">
        <f>IFERROR(
                  Andel_oberoende_av_klimat*VLOOKUP($A489,Leveranser_per_nät,'Leveranser per nät'!V$1,FALSE)
               +Andel_beroende_av_klimat*VLOOKUP($A489,Leveranser_per_nät,'Leveranser per nät'!V$1,FALSE)/VLOOKUP($B489,Korrigeringsfaktor_EI,'Korrigeringsfaktor EI'!V$1,FALSE),
"")</f>
        <v/>
      </c>
      <c r="W489" s="18" t="str">
        <f>IFERROR(
                  Andel_oberoende_av_klimat*VLOOKUP($A489,Leveranser_per_nät,'Leveranser per nät'!W$1,FALSE)
               +Andel_beroende_av_klimat*VLOOKUP($A489,Leveranser_per_nät,'Leveranser per nät'!W$1,FALSE)/VLOOKUP($B489,Korrigeringsfaktor_EI,'Korrigeringsfaktor EI'!W$1,FALSE),
"")</f>
        <v/>
      </c>
      <c r="X489" s="18" t="str">
        <f>IFERROR(
                  Andel_oberoende_av_klimat*VLOOKUP($A489,Leveranser_per_nät,'Leveranser per nät'!X$1,FALSE)
               +Andel_beroende_av_klimat*VLOOKUP($A489,Leveranser_per_nät,'Leveranser per nät'!X$1,FALSE)/VLOOKUP($B489,Korrigeringsfaktor_EI,'Korrigeringsfaktor EI'!X$1,FALSE),
"")</f>
        <v/>
      </c>
      <c r="Y489" s="18" t="str">
        <f>IFERROR(
                  Andel_oberoende_av_klimat*VLOOKUP($A489,Leveranser_per_nät,'Leveranser per nät'!Y$1,FALSE)
               +Andel_beroende_av_klimat*VLOOKUP($A489,Leveranser_per_nät,'Leveranser per nät'!Y$1,FALSE)/VLOOKUP($B489,Korrigeringsfaktor_EI,'Korrigeringsfaktor EI'!Y$1,FALSE),
"")</f>
        <v/>
      </c>
      <c r="Z489" s="18">
        <f>IFERROR(
                  Andel_oberoende_av_klimat*VLOOKUP($A489,Leveranser_per_nät,'Leveranser per nät'!Z$1,FALSE)
               +Andel_beroende_av_klimat*VLOOKUP($A489,Leveranser_per_nät,'Leveranser per nät'!Z$1,FALSE)/VLOOKUP($B489,Korrigeringsfaktor_EI,'Korrigeringsfaktor EI'!Z$1,FALSE),
"")</f>
        <v>0</v>
      </c>
      <c r="AA489" s="18" t="str">
        <f>IFERROR(
                  Andel_oberoende_av_klimat*VLOOKUP($A489,Leveranser_per_nät,'Leveranser per nät'!AA$1,FALSE)
               +Andel_beroende_av_klimat*VLOOKUP($A489,Leveranser_per_nät,'Leveranser per nät'!AA$1,FALSE)/VLOOKUP($B489,Korrigeringsfaktor_EI,'Korrigeringsfaktor EI'!AA$1,FALSE),
"")</f>
        <v/>
      </c>
      <c r="AB489" s="18">
        <f>IFERROR(
                  Andel_oberoende_av_klimat*VLOOKUP($A489,Leveranser_per_nät,'Leveranser per nät'!AB$1,FALSE)
               +Andel_beroende_av_klimat*VLOOKUP($A489,Leveranser_per_nät,'Leveranser per nät'!AB$1,FALSE)/VLOOKUP($B489,Korrigeringsfaktor_EI,'Korrigeringsfaktor EI'!AB$1,FALSE),
"")</f>
        <v>0</v>
      </c>
      <c r="AC489" s="18">
        <f>IFERROR(
                  Andel_oberoende_av_klimat*VLOOKUP($A489,Leveranser_per_nät,'Leveranser per nät'!AC$1,FALSE)
               +Andel_beroende_av_klimat*VLOOKUP($A489,Leveranser_per_nät,'Leveranser per nät'!AC$1,FALSE)/VLOOKUP($B489,Korrigeringsfaktor_EI,'Korrigeringsfaktor EI'!AC$1,FALSE),
"")</f>
        <v>0</v>
      </c>
      <c r="AD489">
        <v>138.35900000000001</v>
      </c>
    </row>
    <row r="490" spans="1:30" x14ac:dyDescent="0.25">
      <c r="A490" t="s">
        <v>287</v>
      </c>
      <c r="B490" t="s">
        <v>311</v>
      </c>
      <c r="C490" s="18">
        <f>IFERROR(
                  Andel_oberoende_av_klimat*VLOOKUP($A490,Leveranser_per_nät,'Leveranser per nät'!C$1,FALSE)
               +Andel_beroende_av_klimat*VLOOKUP($A490,Leveranser_per_nät,'Leveranser per nät'!C$1,FALSE)/VLOOKUP($B490,Korrigeringsfaktor_EI,'Korrigeringsfaktor EI'!C$1,FALSE),
"")</f>
        <v>0</v>
      </c>
      <c r="D490" s="18">
        <f>IFERROR(
                  Andel_oberoende_av_klimat*VLOOKUP($A490,Leveranser_per_nät,'Leveranser per nät'!D$1,FALSE)
               +Andel_beroende_av_klimat*VLOOKUP($A490,Leveranser_per_nät,'Leveranser per nät'!D$1,FALSE)/VLOOKUP($B490,Korrigeringsfaktor_EI,'Korrigeringsfaktor EI'!D$1,FALSE),
"")</f>
        <v>0</v>
      </c>
      <c r="E490" s="18">
        <f>IFERROR(
                  Andel_oberoende_av_klimat*VLOOKUP($A490,Leveranser_per_nät,'Leveranser per nät'!E$1,FALSE)
               +Andel_beroende_av_klimat*VLOOKUP($A490,Leveranser_per_nät,'Leveranser per nät'!E$1,FALSE)/VLOOKUP($B490,Korrigeringsfaktor_EI,'Korrigeringsfaktor EI'!E$1,FALSE),
"")</f>
        <v>0</v>
      </c>
      <c r="F490" s="18">
        <f>IFERROR(
                  Andel_oberoende_av_klimat*VLOOKUP($A490,Leveranser_per_nät,'Leveranser per nät'!F$1,FALSE)
               +Andel_beroende_av_klimat*VLOOKUP($A490,Leveranser_per_nät,'Leveranser per nät'!F$1,FALSE)/VLOOKUP($B490,Korrigeringsfaktor_EI,'Korrigeringsfaktor EI'!F$1,FALSE),
"")</f>
        <v>0</v>
      </c>
      <c r="G490" s="18">
        <f>IFERROR(
                  Andel_oberoende_av_klimat*VLOOKUP($A490,Leveranser_per_nät,'Leveranser per nät'!G$1,FALSE)
               +Andel_beroende_av_klimat*VLOOKUP($A490,Leveranser_per_nät,'Leveranser per nät'!G$1,FALSE)/VLOOKUP($B490,Korrigeringsfaktor_EI,'Korrigeringsfaktor EI'!G$1,FALSE),
"")</f>
        <v>0</v>
      </c>
      <c r="H490" s="18">
        <f>IFERROR(
                  Andel_oberoende_av_klimat*VLOOKUP($A490,Leveranser_per_nät,'Leveranser per nät'!H$1,FALSE)
               +Andel_beroende_av_klimat*VLOOKUP($A490,Leveranser_per_nät,'Leveranser per nät'!H$1,FALSE)/VLOOKUP($B490,Korrigeringsfaktor_EI,'Korrigeringsfaktor EI'!H$1,FALSE),
"")</f>
        <v>0</v>
      </c>
      <c r="I490" s="18">
        <f>IFERROR(
                  Andel_oberoende_av_klimat*VLOOKUP($A490,Leveranser_per_nät,'Leveranser per nät'!I$1,FALSE)
               +Andel_beroende_av_klimat*VLOOKUP($A490,Leveranser_per_nät,'Leveranser per nät'!I$1,FALSE)/VLOOKUP($B490,Korrigeringsfaktor_EI,'Korrigeringsfaktor EI'!I$1,FALSE),
"")</f>
        <v>0</v>
      </c>
      <c r="J490" s="18">
        <f>IFERROR(
                  Andel_oberoende_av_klimat*VLOOKUP($A490,Leveranser_per_nät,'Leveranser per nät'!J$1,FALSE)
               +Andel_beroende_av_klimat*VLOOKUP($A490,Leveranser_per_nät,'Leveranser per nät'!J$1,FALSE)/VLOOKUP($B490,Korrigeringsfaktor_EI,'Korrigeringsfaktor EI'!J$1,FALSE),
"")</f>
        <v>0</v>
      </c>
      <c r="K490" s="18">
        <f>IFERROR(
                  Andel_oberoende_av_klimat*VLOOKUP($A490,Leveranser_per_nät,'Leveranser per nät'!K$1,FALSE)
               +Andel_beroende_av_klimat*VLOOKUP($A490,Leveranser_per_nät,'Leveranser per nät'!K$1,FALSE)/VLOOKUP($B490,Korrigeringsfaktor_EI,'Korrigeringsfaktor EI'!K$1,FALSE),
"")</f>
        <v>2.5765999999999996</v>
      </c>
      <c r="L490" s="18">
        <f>IFERROR(
                  Andel_oberoende_av_klimat*VLOOKUP($A490,Leveranser_per_nät,'Leveranser per nät'!L$1,FALSE)
               +Andel_beroende_av_klimat*VLOOKUP($A490,Leveranser_per_nät,'Leveranser per nät'!L$1,FALSE)/VLOOKUP($B490,Korrigeringsfaktor_EI,'Korrigeringsfaktor EI'!L$1,FALSE),
"")</f>
        <v>6.8203473684210527</v>
      </c>
      <c r="M490" s="18">
        <f>IFERROR(
                  Andel_oberoende_av_klimat*VLOOKUP($A490,Leveranser_per_nät,'Leveranser per nät'!M$1,FALSE)
               +Andel_beroende_av_klimat*VLOOKUP($A490,Leveranser_per_nät,'Leveranser per nät'!M$1,FALSE)/VLOOKUP($B490,Korrigeringsfaktor_EI,'Korrigeringsfaktor EI'!M$1,FALSE),
"")</f>
        <v>7.0334000000000003</v>
      </c>
      <c r="N490" s="18">
        <f>IFERROR(
                  Andel_oberoende_av_klimat*VLOOKUP($A490,Leveranser_per_nät,'Leveranser per nät'!N$1,FALSE)
               +Andel_beroende_av_klimat*VLOOKUP($A490,Leveranser_per_nät,'Leveranser per nät'!N$1,FALSE)/VLOOKUP($B490,Korrigeringsfaktor_EI,'Korrigeringsfaktor EI'!N$1,FALSE),
"")</f>
        <v>7.0896222222222223</v>
      </c>
      <c r="O490" s="18">
        <f>IFERROR(
                  Andel_oberoende_av_klimat*VLOOKUP($A490,Leveranser_per_nät,'Leveranser per nät'!O$1,FALSE)
               +Andel_beroende_av_klimat*VLOOKUP($A490,Leveranser_per_nät,'Leveranser per nät'!O$1,FALSE)/VLOOKUP($B490,Korrigeringsfaktor_EI,'Korrigeringsfaktor EI'!O$1,FALSE),
"")</f>
        <v>6.2440909090909091</v>
      </c>
      <c r="P490" s="18">
        <f>IFERROR(
                  Andel_oberoende_av_klimat*VLOOKUP($A490,Leveranser_per_nät,'Leveranser per nät'!P$1,FALSE)
               +Andel_beroende_av_klimat*VLOOKUP($A490,Leveranser_per_nät,'Leveranser per nät'!P$1,FALSE)/VLOOKUP($B490,Korrigeringsfaktor_EI,'Korrigeringsfaktor EI'!P$1,FALSE),
"")</f>
        <v>8.2947368421052623</v>
      </c>
      <c r="Q490" s="18">
        <f>IFERROR(
                  Andel_oberoende_av_klimat*VLOOKUP($A490,Leveranser_per_nät,'Leveranser per nät'!Q$1,FALSE)
               +Andel_beroende_av_klimat*VLOOKUP($A490,Leveranser_per_nät,'Leveranser per nät'!Q$1,FALSE)/VLOOKUP($B490,Korrigeringsfaktor_EI,'Korrigeringsfaktor EI'!Q$1,FALSE),
"")</f>
        <v>0</v>
      </c>
      <c r="R490" s="18">
        <f>IFERROR(
                  Andel_oberoende_av_klimat*VLOOKUP($A490,Leveranser_per_nät,'Leveranser per nät'!R$1,FALSE)
               +Andel_beroende_av_klimat*VLOOKUP($A490,Leveranser_per_nät,'Leveranser per nät'!R$1,FALSE)/VLOOKUP($B490,Korrigeringsfaktor_EI,'Korrigeringsfaktor EI'!R$1,FALSE),
"")</f>
        <v>0</v>
      </c>
      <c r="S490" s="18" t="str">
        <f>IFERROR(
                  Andel_oberoende_av_klimat*VLOOKUP($A490,Leveranser_per_nät,'Leveranser per nät'!S$1,FALSE)
               +Andel_beroende_av_klimat*VLOOKUP($A490,Leveranser_per_nät,'Leveranser per nät'!S$1,FALSE)/VLOOKUP($B490,Korrigeringsfaktor_EI,'Korrigeringsfaktor EI'!S$1,FALSE),
"")</f>
        <v/>
      </c>
      <c r="T490" s="18" t="str">
        <f>IFERROR(
                  Andel_oberoende_av_klimat*VLOOKUP($A490,Leveranser_per_nät,'Leveranser per nät'!T$1,FALSE)
               +Andel_beroende_av_klimat*VLOOKUP($A490,Leveranser_per_nät,'Leveranser per nät'!T$1,FALSE)/VLOOKUP($B490,Korrigeringsfaktor_EI,'Korrigeringsfaktor EI'!T$1,FALSE),
"")</f>
        <v/>
      </c>
      <c r="U490" s="18" t="str">
        <f>IFERROR(
                  Andel_oberoende_av_klimat*VLOOKUP($A490,Leveranser_per_nät,'Leveranser per nät'!U$1,FALSE)
               +Andel_beroende_av_klimat*VLOOKUP($A490,Leveranser_per_nät,'Leveranser per nät'!U$1,FALSE)/VLOOKUP($B490,Korrigeringsfaktor_EI,'Korrigeringsfaktor EI'!U$1,FALSE),
"")</f>
        <v/>
      </c>
      <c r="V490" s="18" t="str">
        <f>IFERROR(
                  Andel_oberoende_av_klimat*VLOOKUP($A490,Leveranser_per_nät,'Leveranser per nät'!V$1,FALSE)
               +Andel_beroende_av_klimat*VLOOKUP($A490,Leveranser_per_nät,'Leveranser per nät'!V$1,FALSE)/VLOOKUP($B490,Korrigeringsfaktor_EI,'Korrigeringsfaktor EI'!V$1,FALSE),
"")</f>
        <v/>
      </c>
      <c r="W490" s="18" t="str">
        <f>IFERROR(
                  Andel_oberoende_av_klimat*VLOOKUP($A490,Leveranser_per_nät,'Leveranser per nät'!W$1,FALSE)
               +Andel_beroende_av_klimat*VLOOKUP($A490,Leveranser_per_nät,'Leveranser per nät'!W$1,FALSE)/VLOOKUP($B490,Korrigeringsfaktor_EI,'Korrigeringsfaktor EI'!W$1,FALSE),
"")</f>
        <v/>
      </c>
      <c r="X490" s="18" t="str">
        <f>IFERROR(
                  Andel_oberoende_av_klimat*VLOOKUP($A490,Leveranser_per_nät,'Leveranser per nät'!X$1,FALSE)
               +Andel_beroende_av_klimat*VLOOKUP($A490,Leveranser_per_nät,'Leveranser per nät'!X$1,FALSE)/VLOOKUP($B490,Korrigeringsfaktor_EI,'Korrigeringsfaktor EI'!X$1,FALSE),
"")</f>
        <v/>
      </c>
      <c r="Y490" s="18" t="str">
        <f>IFERROR(
                  Andel_oberoende_av_klimat*VLOOKUP($A490,Leveranser_per_nät,'Leveranser per nät'!Y$1,FALSE)
               +Andel_beroende_av_klimat*VLOOKUP($A490,Leveranser_per_nät,'Leveranser per nät'!Y$1,FALSE)/VLOOKUP($B490,Korrigeringsfaktor_EI,'Korrigeringsfaktor EI'!Y$1,FALSE),
"")</f>
        <v/>
      </c>
      <c r="Z490" s="18">
        <f>IFERROR(
                  Andel_oberoende_av_klimat*VLOOKUP($A490,Leveranser_per_nät,'Leveranser per nät'!Z$1,FALSE)
               +Andel_beroende_av_klimat*VLOOKUP($A490,Leveranser_per_nät,'Leveranser per nät'!Z$1,FALSE)/VLOOKUP($B490,Korrigeringsfaktor_EI,'Korrigeringsfaktor EI'!Z$1,FALSE),
"")</f>
        <v>0</v>
      </c>
      <c r="AA490" s="18" t="str">
        <f>IFERROR(
                  Andel_oberoende_av_klimat*VLOOKUP($A490,Leveranser_per_nät,'Leveranser per nät'!AA$1,FALSE)
               +Andel_beroende_av_klimat*VLOOKUP($A490,Leveranser_per_nät,'Leveranser per nät'!AA$1,FALSE)/VLOOKUP($B490,Korrigeringsfaktor_EI,'Korrigeringsfaktor EI'!AA$1,FALSE),
"")</f>
        <v/>
      </c>
      <c r="AB490" s="18">
        <f>IFERROR(
                  Andel_oberoende_av_klimat*VLOOKUP($A490,Leveranser_per_nät,'Leveranser per nät'!AB$1,FALSE)
               +Andel_beroende_av_klimat*VLOOKUP($A490,Leveranser_per_nät,'Leveranser per nät'!AB$1,FALSE)/VLOOKUP($B490,Korrigeringsfaktor_EI,'Korrigeringsfaktor EI'!AB$1,FALSE),
"")</f>
        <v>0</v>
      </c>
      <c r="AC490" s="18">
        <f>IFERROR(
                  Andel_oberoende_av_klimat*VLOOKUP($A490,Leveranser_per_nät,'Leveranser per nät'!AC$1,FALSE)
               +Andel_beroende_av_klimat*VLOOKUP($A490,Leveranser_per_nät,'Leveranser per nät'!AC$1,FALSE)/VLOOKUP($B490,Korrigeringsfaktor_EI,'Korrigeringsfaktor EI'!AC$1,FALSE),
"")</f>
        <v>0</v>
      </c>
      <c r="AD490">
        <v>668.80600000000004</v>
      </c>
    </row>
    <row r="491" spans="1:30" x14ac:dyDescent="0.25">
      <c r="A491" t="s">
        <v>437</v>
      </c>
      <c r="B491" t="s">
        <v>57</v>
      </c>
      <c r="C491" s="18">
        <f>IFERROR(
                  Andel_oberoende_av_klimat*VLOOKUP($A491,Leveranser_per_nät,'Leveranser per nät'!C$1,FALSE)
               +Andel_beroende_av_klimat*VLOOKUP($A491,Leveranser_per_nät,'Leveranser per nät'!C$1,FALSE)/VLOOKUP($B491,Korrigeringsfaktor_EI,'Korrigeringsfaktor EI'!C$1,FALSE),
"")</f>
        <v>51.32325925925926</v>
      </c>
      <c r="D491" s="18">
        <f>IFERROR(
                  Andel_oberoende_av_klimat*VLOOKUP($A491,Leveranser_per_nät,'Leveranser per nät'!D$1,FALSE)
               +Andel_beroende_av_klimat*VLOOKUP($A491,Leveranser_per_nät,'Leveranser per nät'!D$1,FALSE)/VLOOKUP($B491,Korrigeringsfaktor_EI,'Korrigeringsfaktor EI'!D$1,FALSE),
"")</f>
        <v>48.813999999999993</v>
      </c>
      <c r="E491" s="18">
        <f>IFERROR(
                  Andel_oberoende_av_klimat*VLOOKUP($A491,Leveranser_per_nät,'Leveranser per nät'!E$1,FALSE)
               +Andel_beroende_av_klimat*VLOOKUP($A491,Leveranser_per_nät,'Leveranser per nät'!E$1,FALSE)/VLOOKUP($B491,Korrigeringsfaktor_EI,'Korrigeringsfaktor EI'!E$1,FALSE),
"")</f>
        <v>48.518205825242717</v>
      </c>
      <c r="F491" s="18">
        <f>IFERROR(
                  Andel_oberoende_av_klimat*VLOOKUP($A491,Leveranser_per_nät,'Leveranser per nät'!F$1,FALSE)
               +Andel_beroende_av_klimat*VLOOKUP($A491,Leveranser_per_nät,'Leveranser per nät'!F$1,FALSE)/VLOOKUP($B491,Korrigeringsfaktor_EI,'Korrigeringsfaktor EI'!F$1,FALSE),
"")</f>
        <v>48.662110526315793</v>
      </c>
      <c r="G491" s="18">
        <f>IFERROR(
                  Andel_oberoende_av_klimat*VLOOKUP($A491,Leveranser_per_nät,'Leveranser per nät'!G$1,FALSE)
               +Andel_beroende_av_klimat*VLOOKUP($A491,Leveranser_per_nät,'Leveranser per nät'!G$1,FALSE)/VLOOKUP($B491,Korrigeringsfaktor_EI,'Korrigeringsfaktor EI'!G$1,FALSE),
"")</f>
        <v>0</v>
      </c>
      <c r="H491" s="18">
        <f>IFERROR(
                  Andel_oberoende_av_klimat*VLOOKUP($A491,Leveranser_per_nät,'Leveranser per nät'!H$1,FALSE)
               +Andel_beroende_av_klimat*VLOOKUP($A491,Leveranser_per_nät,'Leveranser per nät'!H$1,FALSE)/VLOOKUP($B491,Korrigeringsfaktor_EI,'Korrigeringsfaktor EI'!H$1,FALSE),
"")</f>
        <v>0</v>
      </c>
      <c r="I491" s="18">
        <f>IFERROR(
                  Andel_oberoende_av_klimat*VLOOKUP($A491,Leveranser_per_nät,'Leveranser per nät'!I$1,FALSE)
               +Andel_beroende_av_klimat*VLOOKUP($A491,Leveranser_per_nät,'Leveranser per nät'!I$1,FALSE)/VLOOKUP($B491,Korrigeringsfaktor_EI,'Korrigeringsfaktor EI'!I$1,FALSE),
"")</f>
        <v>0</v>
      </c>
      <c r="J491" s="18">
        <f>IFERROR(
                  Andel_oberoende_av_klimat*VLOOKUP($A491,Leveranser_per_nät,'Leveranser per nät'!J$1,FALSE)
               +Andel_beroende_av_klimat*VLOOKUP($A491,Leveranser_per_nät,'Leveranser per nät'!J$1,FALSE)/VLOOKUP($B491,Korrigeringsfaktor_EI,'Korrigeringsfaktor EI'!J$1,FALSE),
"")</f>
        <v>0</v>
      </c>
      <c r="K491" s="18">
        <f>IFERROR(
                  Andel_oberoende_av_klimat*VLOOKUP($A491,Leveranser_per_nät,'Leveranser per nät'!K$1,FALSE)
               +Andel_beroende_av_klimat*VLOOKUP($A491,Leveranser_per_nät,'Leveranser per nät'!K$1,FALSE)/VLOOKUP($B491,Korrigeringsfaktor_EI,'Korrigeringsfaktor EI'!K$1,FALSE),
"")</f>
        <v>0</v>
      </c>
      <c r="L491" s="18">
        <f>IFERROR(
                  Andel_oberoende_av_klimat*VLOOKUP($A491,Leveranser_per_nät,'Leveranser per nät'!L$1,FALSE)
               +Andel_beroende_av_klimat*VLOOKUP($A491,Leveranser_per_nät,'Leveranser per nät'!L$1,FALSE)/VLOOKUP($B491,Korrigeringsfaktor_EI,'Korrigeringsfaktor EI'!L$1,FALSE),
"")</f>
        <v>0</v>
      </c>
      <c r="M491" s="18">
        <f>IFERROR(
                  Andel_oberoende_av_klimat*VLOOKUP($A491,Leveranser_per_nät,'Leveranser per nät'!M$1,FALSE)
               +Andel_beroende_av_klimat*VLOOKUP($A491,Leveranser_per_nät,'Leveranser per nät'!M$1,FALSE)/VLOOKUP($B491,Korrigeringsfaktor_EI,'Korrigeringsfaktor EI'!M$1,FALSE),
"")</f>
        <v>0</v>
      </c>
      <c r="N491" s="18">
        <f>IFERROR(
                  Andel_oberoende_av_klimat*VLOOKUP($A491,Leveranser_per_nät,'Leveranser per nät'!N$1,FALSE)
               +Andel_beroende_av_klimat*VLOOKUP($A491,Leveranser_per_nät,'Leveranser per nät'!N$1,FALSE)/VLOOKUP($B491,Korrigeringsfaktor_EI,'Korrigeringsfaktor EI'!N$1,FALSE),
"")</f>
        <v>0</v>
      </c>
      <c r="O491" s="18">
        <f>IFERROR(
                  Andel_oberoende_av_klimat*VLOOKUP($A491,Leveranser_per_nät,'Leveranser per nät'!O$1,FALSE)
               +Andel_beroende_av_klimat*VLOOKUP($A491,Leveranser_per_nät,'Leveranser per nät'!O$1,FALSE)/VLOOKUP($B491,Korrigeringsfaktor_EI,'Korrigeringsfaktor EI'!O$1,FALSE),
"")</f>
        <v>0</v>
      </c>
      <c r="P491" s="18">
        <f>IFERROR(
                  Andel_oberoende_av_klimat*VLOOKUP($A491,Leveranser_per_nät,'Leveranser per nät'!P$1,FALSE)
               +Andel_beroende_av_klimat*VLOOKUP($A491,Leveranser_per_nät,'Leveranser per nät'!P$1,FALSE)/VLOOKUP($B491,Korrigeringsfaktor_EI,'Korrigeringsfaktor EI'!P$1,FALSE),
"")</f>
        <v>0</v>
      </c>
      <c r="Q491" s="18">
        <f>IFERROR(
                  Andel_oberoende_av_klimat*VLOOKUP($A491,Leveranser_per_nät,'Leveranser per nät'!Q$1,FALSE)
               +Andel_beroende_av_klimat*VLOOKUP($A491,Leveranser_per_nät,'Leveranser per nät'!Q$1,FALSE)/VLOOKUP($B491,Korrigeringsfaktor_EI,'Korrigeringsfaktor EI'!Q$1,FALSE),
"")</f>
        <v>0</v>
      </c>
      <c r="R491" s="18">
        <f>IFERROR(
                  Andel_oberoende_av_klimat*VLOOKUP($A491,Leveranser_per_nät,'Leveranser per nät'!R$1,FALSE)
               +Andel_beroende_av_klimat*VLOOKUP($A491,Leveranser_per_nät,'Leveranser per nät'!R$1,FALSE)/VLOOKUP($B491,Korrigeringsfaktor_EI,'Korrigeringsfaktor EI'!R$1,FALSE),
"")</f>
        <v>0</v>
      </c>
      <c r="S491" s="18" t="str">
        <f>IFERROR(
                  Andel_oberoende_av_klimat*VLOOKUP($A491,Leveranser_per_nät,'Leveranser per nät'!S$1,FALSE)
               +Andel_beroende_av_klimat*VLOOKUP($A491,Leveranser_per_nät,'Leveranser per nät'!S$1,FALSE)/VLOOKUP($B491,Korrigeringsfaktor_EI,'Korrigeringsfaktor EI'!S$1,FALSE),
"")</f>
        <v/>
      </c>
      <c r="T491" s="18" t="str">
        <f>IFERROR(
                  Andel_oberoende_av_klimat*VLOOKUP($A491,Leveranser_per_nät,'Leveranser per nät'!T$1,FALSE)
               +Andel_beroende_av_klimat*VLOOKUP($A491,Leveranser_per_nät,'Leveranser per nät'!T$1,FALSE)/VLOOKUP($B491,Korrigeringsfaktor_EI,'Korrigeringsfaktor EI'!T$1,FALSE),
"")</f>
        <v/>
      </c>
      <c r="U491" s="18" t="str">
        <f>IFERROR(
                  Andel_oberoende_av_klimat*VLOOKUP($A491,Leveranser_per_nät,'Leveranser per nät'!U$1,FALSE)
               +Andel_beroende_av_klimat*VLOOKUP($A491,Leveranser_per_nät,'Leveranser per nät'!U$1,FALSE)/VLOOKUP($B491,Korrigeringsfaktor_EI,'Korrigeringsfaktor EI'!U$1,FALSE),
"")</f>
        <v/>
      </c>
      <c r="V491" s="18" t="str">
        <f>IFERROR(
                  Andel_oberoende_av_klimat*VLOOKUP($A491,Leveranser_per_nät,'Leveranser per nät'!V$1,FALSE)
               +Andel_beroende_av_klimat*VLOOKUP($A491,Leveranser_per_nät,'Leveranser per nät'!V$1,FALSE)/VLOOKUP($B491,Korrigeringsfaktor_EI,'Korrigeringsfaktor EI'!V$1,FALSE),
"")</f>
        <v/>
      </c>
      <c r="W491" s="18" t="str">
        <f>IFERROR(
                  Andel_oberoende_av_klimat*VLOOKUP($A491,Leveranser_per_nät,'Leveranser per nät'!W$1,FALSE)
               +Andel_beroende_av_klimat*VLOOKUP($A491,Leveranser_per_nät,'Leveranser per nät'!W$1,FALSE)/VLOOKUP($B491,Korrigeringsfaktor_EI,'Korrigeringsfaktor EI'!W$1,FALSE),
"")</f>
        <v/>
      </c>
      <c r="X491" s="18" t="str">
        <f>IFERROR(
                  Andel_oberoende_av_klimat*VLOOKUP($A491,Leveranser_per_nät,'Leveranser per nät'!X$1,FALSE)
               +Andel_beroende_av_klimat*VLOOKUP($A491,Leveranser_per_nät,'Leveranser per nät'!X$1,FALSE)/VLOOKUP($B491,Korrigeringsfaktor_EI,'Korrigeringsfaktor EI'!X$1,FALSE),
"")</f>
        <v/>
      </c>
      <c r="Y491" s="18" t="str">
        <f>IFERROR(
                  Andel_oberoende_av_klimat*VLOOKUP($A491,Leveranser_per_nät,'Leveranser per nät'!Y$1,FALSE)
               +Andel_beroende_av_klimat*VLOOKUP($A491,Leveranser_per_nät,'Leveranser per nät'!Y$1,FALSE)/VLOOKUP($B491,Korrigeringsfaktor_EI,'Korrigeringsfaktor EI'!Y$1,FALSE),
"")</f>
        <v/>
      </c>
      <c r="Z491" s="18">
        <f>IFERROR(
                  Andel_oberoende_av_klimat*VLOOKUP($A491,Leveranser_per_nät,'Leveranser per nät'!Z$1,FALSE)
               +Andel_beroende_av_klimat*VLOOKUP($A491,Leveranser_per_nät,'Leveranser per nät'!Z$1,FALSE)/VLOOKUP($B491,Korrigeringsfaktor_EI,'Korrigeringsfaktor EI'!Z$1,FALSE),
"")</f>
        <v>0</v>
      </c>
      <c r="AA491" s="18" t="str">
        <f>IFERROR(
                  Andel_oberoende_av_klimat*VLOOKUP($A491,Leveranser_per_nät,'Leveranser per nät'!AA$1,FALSE)
               +Andel_beroende_av_klimat*VLOOKUP($A491,Leveranser_per_nät,'Leveranser per nät'!AA$1,FALSE)/VLOOKUP($B491,Korrigeringsfaktor_EI,'Korrigeringsfaktor EI'!AA$1,FALSE),
"")</f>
        <v/>
      </c>
      <c r="AB491" s="18">
        <f>IFERROR(
                  Andel_oberoende_av_klimat*VLOOKUP($A491,Leveranser_per_nät,'Leveranser per nät'!AB$1,FALSE)
               +Andel_beroende_av_klimat*VLOOKUP($A491,Leveranser_per_nät,'Leveranser per nät'!AB$1,FALSE)/VLOOKUP($B491,Korrigeringsfaktor_EI,'Korrigeringsfaktor EI'!AB$1,FALSE),
"")</f>
        <v>0</v>
      </c>
      <c r="AC491" s="18">
        <f>IFERROR(
                  Andel_oberoende_av_klimat*VLOOKUP($A491,Leveranser_per_nät,'Leveranser per nät'!AC$1,FALSE)
               +Andel_beroende_av_klimat*VLOOKUP($A491,Leveranser_per_nät,'Leveranser per nät'!AC$1,FALSE)/VLOOKUP($B491,Korrigeringsfaktor_EI,'Korrigeringsfaktor EI'!AC$1,FALSE),
"")</f>
        <v>0</v>
      </c>
      <c r="AD491">
        <v>66.5</v>
      </c>
    </row>
    <row r="492" spans="1:30" x14ac:dyDescent="0.25">
      <c r="A492" t="s">
        <v>281</v>
      </c>
      <c r="B492" t="s">
        <v>281</v>
      </c>
      <c r="C492" s="18">
        <f>IFERROR(
                  Andel_oberoende_av_klimat*VLOOKUP($A492,Leveranser_per_nät,'Leveranser per nät'!C$1,FALSE)
               +Andel_beroende_av_klimat*VLOOKUP($A492,Leveranser_per_nät,'Leveranser per nät'!C$1,FALSE)/VLOOKUP($B492,Korrigeringsfaktor_EI,'Korrigeringsfaktor EI'!C$1,FALSE),
"")</f>
        <v>0</v>
      </c>
      <c r="D492" s="18">
        <f>IFERROR(
                  Andel_oberoende_av_klimat*VLOOKUP($A492,Leveranser_per_nät,'Leveranser per nät'!D$1,FALSE)
               +Andel_beroende_av_klimat*VLOOKUP($A492,Leveranser_per_nät,'Leveranser per nät'!D$1,FALSE)/VLOOKUP($B492,Korrigeringsfaktor_EI,'Korrigeringsfaktor EI'!D$1,FALSE),
"")</f>
        <v>0</v>
      </c>
      <c r="E492" s="18">
        <f>IFERROR(
                  Andel_oberoende_av_klimat*VLOOKUP($A492,Leveranser_per_nät,'Leveranser per nät'!E$1,FALSE)
               +Andel_beroende_av_klimat*VLOOKUP($A492,Leveranser_per_nät,'Leveranser per nät'!E$1,FALSE)/VLOOKUP($B492,Korrigeringsfaktor_EI,'Korrigeringsfaktor EI'!E$1,FALSE),
"")</f>
        <v>0</v>
      </c>
      <c r="F492" s="18">
        <f>IFERROR(
                  Andel_oberoende_av_klimat*VLOOKUP($A492,Leveranser_per_nät,'Leveranser per nät'!F$1,FALSE)
               +Andel_beroende_av_klimat*VLOOKUP($A492,Leveranser_per_nät,'Leveranser per nät'!F$1,FALSE)/VLOOKUP($B492,Korrigeringsfaktor_EI,'Korrigeringsfaktor EI'!F$1,FALSE),
"")</f>
        <v>0</v>
      </c>
      <c r="G492" s="18">
        <f>IFERROR(
                  Andel_oberoende_av_klimat*VLOOKUP($A492,Leveranser_per_nät,'Leveranser per nät'!G$1,FALSE)
               +Andel_beroende_av_klimat*VLOOKUP($A492,Leveranser_per_nät,'Leveranser per nät'!G$1,FALSE)/VLOOKUP($B492,Korrigeringsfaktor_EI,'Korrigeringsfaktor EI'!G$1,FALSE),
"")</f>
        <v>0</v>
      </c>
      <c r="H492" s="18">
        <f>IFERROR(
                  Andel_oberoende_av_klimat*VLOOKUP($A492,Leveranser_per_nät,'Leveranser per nät'!H$1,FALSE)
               +Andel_beroende_av_klimat*VLOOKUP($A492,Leveranser_per_nät,'Leveranser per nät'!H$1,FALSE)/VLOOKUP($B492,Korrigeringsfaktor_EI,'Korrigeringsfaktor EI'!H$1,FALSE),
"")</f>
        <v>0</v>
      </c>
      <c r="I492" s="18">
        <f>IFERROR(
                  Andel_oberoende_av_klimat*VLOOKUP($A492,Leveranser_per_nät,'Leveranser per nät'!I$1,FALSE)
               +Andel_beroende_av_klimat*VLOOKUP($A492,Leveranser_per_nät,'Leveranser per nät'!I$1,FALSE)/VLOOKUP($B492,Korrigeringsfaktor_EI,'Korrigeringsfaktor EI'!I$1,FALSE),
"")</f>
        <v>0</v>
      </c>
      <c r="J492" s="18">
        <f>IFERROR(
                  Andel_oberoende_av_klimat*VLOOKUP($A492,Leveranser_per_nät,'Leveranser per nät'!J$1,FALSE)
               +Andel_beroende_av_klimat*VLOOKUP($A492,Leveranser_per_nät,'Leveranser per nät'!J$1,FALSE)/VLOOKUP($B492,Korrigeringsfaktor_EI,'Korrigeringsfaktor EI'!J$1,FALSE),
"")</f>
        <v>0</v>
      </c>
      <c r="K492" s="18">
        <f>IFERROR(
                  Andel_oberoende_av_klimat*VLOOKUP($A492,Leveranser_per_nät,'Leveranser per nät'!K$1,FALSE)
               +Andel_beroende_av_klimat*VLOOKUP($A492,Leveranser_per_nät,'Leveranser per nät'!K$1,FALSE)/VLOOKUP($B492,Korrigeringsfaktor_EI,'Korrigeringsfaktor EI'!K$1,FALSE),
"")</f>
        <v>0</v>
      </c>
      <c r="L492" s="18">
        <f>IFERROR(
                  Andel_oberoende_av_klimat*VLOOKUP($A492,Leveranser_per_nät,'Leveranser per nät'!L$1,FALSE)
               +Andel_beroende_av_klimat*VLOOKUP($A492,Leveranser_per_nät,'Leveranser per nät'!L$1,FALSE)/VLOOKUP($B492,Korrigeringsfaktor_EI,'Korrigeringsfaktor EI'!L$1,FALSE),
"")</f>
        <v>31.857923560395427</v>
      </c>
      <c r="M492" s="18">
        <f>IFERROR(
                  Andel_oberoende_av_klimat*VLOOKUP($A492,Leveranser_per_nät,'Leveranser per nät'!M$1,FALSE)
               +Andel_beroende_av_klimat*VLOOKUP($A492,Leveranser_per_nät,'Leveranser per nät'!M$1,FALSE)/VLOOKUP($B492,Korrigeringsfaktor_EI,'Korrigeringsfaktor EI'!M$1,FALSE),
"")</f>
        <v>28.495216129032258</v>
      </c>
      <c r="N492" s="18">
        <f>IFERROR(
                  Andel_oberoende_av_klimat*VLOOKUP($A492,Leveranser_per_nät,'Leveranser per nät'!N$1,FALSE)
               +Andel_beroende_av_klimat*VLOOKUP($A492,Leveranser_per_nät,'Leveranser per nät'!N$1,FALSE)/VLOOKUP($B492,Korrigeringsfaktor_EI,'Korrigeringsfaktor EI'!N$1,FALSE),
"")</f>
        <v>32.674782608695651</v>
      </c>
      <c r="O492" s="18">
        <f>IFERROR(
                  Andel_oberoende_av_klimat*VLOOKUP($A492,Leveranser_per_nät,'Leveranser per nät'!O$1,FALSE)
               +Andel_beroende_av_klimat*VLOOKUP($A492,Leveranser_per_nät,'Leveranser per nät'!O$1,FALSE)/VLOOKUP($B492,Korrigeringsfaktor_EI,'Korrigeringsfaktor EI'!O$1,FALSE),
"")</f>
        <v>44.407999999999994</v>
      </c>
      <c r="P492" s="18">
        <f>IFERROR(
                  Andel_oberoende_av_klimat*VLOOKUP($A492,Leveranser_per_nät,'Leveranser per nät'!P$1,FALSE)
               +Andel_beroende_av_klimat*VLOOKUP($A492,Leveranser_per_nät,'Leveranser per nät'!P$1,FALSE)/VLOOKUP($B492,Korrigeringsfaktor_EI,'Korrigeringsfaktor EI'!P$1,FALSE),
"")</f>
        <v>47.792762886597941</v>
      </c>
      <c r="Q492" s="18">
        <f>IFERROR(
                  Andel_oberoende_av_klimat*VLOOKUP($A492,Leveranser_per_nät,'Leveranser per nät'!Q$1,FALSE)
               +Andel_beroende_av_klimat*VLOOKUP($A492,Leveranser_per_nät,'Leveranser per nät'!Q$1,FALSE)/VLOOKUP($B492,Korrigeringsfaktor_EI,'Korrigeringsfaktor EI'!Q$1,FALSE),
"")</f>
        <v>47.255614035087724</v>
      </c>
      <c r="R492" s="18">
        <f>IFERROR(
                  Andel_oberoende_av_klimat*VLOOKUP($A492,Leveranser_per_nät,'Leveranser per nät'!R$1,FALSE)
               +Andel_beroende_av_klimat*VLOOKUP($A492,Leveranser_per_nät,'Leveranser per nät'!R$1,FALSE)/VLOOKUP($B492,Korrigeringsfaktor_EI,'Korrigeringsfaktor EI'!R$1,FALSE),
"")</f>
        <v>42.482808988764049</v>
      </c>
      <c r="S492" s="18">
        <f>IFERROR(
                  Andel_oberoende_av_klimat*VLOOKUP($A492,Leveranser_per_nät,'Leveranser per nät'!S$1,FALSE)
               +Andel_beroende_av_klimat*VLOOKUP($A492,Leveranser_per_nät,'Leveranser per nät'!S$1,FALSE)/VLOOKUP($B492,Korrigeringsfaktor_EI,'Korrigeringsfaktor EI'!S$1,FALSE),
"")</f>
        <v>43.614285714285714</v>
      </c>
      <c r="T492" s="18">
        <f>IFERROR(
                  Andel_oberoende_av_klimat*VLOOKUP($A492,Leveranser_per_nät,'Leveranser per nät'!T$1,FALSE)
               +Andel_beroende_av_klimat*VLOOKUP($A492,Leveranser_per_nät,'Leveranser per nät'!T$1,FALSE)/VLOOKUP($B492,Korrigeringsfaktor_EI,'Korrigeringsfaktor EI'!T$1,FALSE),
"")</f>
        <v>44.007166666666663</v>
      </c>
      <c r="U492" s="18">
        <f>IFERROR(
                  Andel_oberoende_av_klimat*VLOOKUP($A492,Leveranser_per_nät,'Leveranser per nät'!U$1,FALSE)
               +Andel_beroende_av_klimat*VLOOKUP($A492,Leveranser_per_nät,'Leveranser per nät'!U$1,FALSE)/VLOOKUP($B492,Korrigeringsfaktor_EI,'Korrigeringsfaktor EI'!U$1,FALSE),
"")</f>
        <v>42.965186046511633</v>
      </c>
      <c r="V492" s="18">
        <f>IFERROR(
                  Andel_oberoende_av_klimat*VLOOKUP($A492,Leveranser_per_nät,'Leveranser per nät'!V$1,FALSE)
               +Andel_beroende_av_klimat*VLOOKUP($A492,Leveranser_per_nät,'Leveranser per nät'!V$1,FALSE)/VLOOKUP($B492,Korrigeringsfaktor_EI,'Korrigeringsfaktor EI'!V$1,FALSE),
"")</f>
        <v>42.131181818181823</v>
      </c>
      <c r="W492" s="18">
        <f>IFERROR(
                  Andel_oberoende_av_klimat*VLOOKUP($A492,Leveranser_per_nät,'Leveranser per nät'!W$1,FALSE)
               +Andel_beroende_av_klimat*VLOOKUP($A492,Leveranser_per_nät,'Leveranser per nät'!W$1,FALSE)/VLOOKUP($B492,Korrigeringsfaktor_EI,'Korrigeringsfaktor EI'!W$1,FALSE),
"")</f>
        <v>45.234680851063828</v>
      </c>
      <c r="X492" s="18">
        <f>IFERROR(
                  Andel_oberoende_av_klimat*VLOOKUP($A492,Leveranser_per_nät,'Leveranser per nät'!X$1,FALSE)
               +Andel_beroende_av_klimat*VLOOKUP($A492,Leveranser_per_nät,'Leveranser per nät'!X$1,FALSE)/VLOOKUP($B492,Korrigeringsfaktor_EI,'Korrigeringsfaktor EI'!X$1,FALSE),
"")</f>
        <v>43.518129032258067</v>
      </c>
      <c r="Y492" s="18">
        <f>IFERROR(
                  Andel_oberoende_av_klimat*VLOOKUP($A492,Leveranser_per_nät,'Leveranser per nät'!Y$1,FALSE)
               +Andel_beroende_av_klimat*VLOOKUP($A492,Leveranser_per_nät,'Leveranser per nät'!Y$1,FALSE)/VLOOKUP($B492,Korrigeringsfaktor_EI,'Korrigeringsfaktor EI'!Y$1,FALSE),
"")</f>
        <v>44.906608695652167</v>
      </c>
      <c r="Z492" s="18">
        <f>IFERROR(
                  Andel_oberoende_av_klimat*VLOOKUP($A492,Leveranser_per_nät,'Leveranser per nät'!Z$1,FALSE)
               +Andel_beroende_av_klimat*VLOOKUP($A492,Leveranser_per_nät,'Leveranser per nät'!Z$1,FALSE)/VLOOKUP($B492,Korrigeringsfaktor_EI,'Korrigeringsfaktor EI'!Z$1,FALSE),
"")</f>
        <v>45.320555555555551</v>
      </c>
      <c r="AA492" s="18">
        <f>IFERROR(
                  Andel_oberoende_av_klimat*VLOOKUP($A492,Leveranser_per_nät,'Leveranser per nät'!AA$1,FALSE)
               +Andel_beroende_av_klimat*VLOOKUP($A492,Leveranser_per_nät,'Leveranser per nät'!AA$1,FALSE)/VLOOKUP($B492,Korrigeringsfaktor_EI,'Korrigeringsfaktor EI'!AA$1,FALSE),
"")</f>
        <v>43.340325323475042</v>
      </c>
      <c r="AB492" s="18">
        <f>IFERROR(
                  Andel_oberoende_av_klimat*VLOOKUP($A492,Leveranser_per_nät,'Leveranser per nät'!AB$1,FALSE)
               +Andel_beroende_av_klimat*VLOOKUP($A492,Leveranser_per_nät,'Leveranser per nät'!AB$1,FALSE)/VLOOKUP($B492,Korrigeringsfaktor_EI,'Korrigeringsfaktor EI'!AB$1,FALSE),
"")</f>
        <v>44.360226034308781</v>
      </c>
      <c r="AC492" s="18">
        <f>IFERROR(
                  Andel_oberoende_av_klimat*VLOOKUP($A492,Leveranser_per_nät,'Leveranser per nät'!AC$1,FALSE)
               +Andel_beroende_av_klimat*VLOOKUP($A492,Leveranser_per_nät,'Leveranser per nät'!AC$1,FALSE)/VLOOKUP($B492,Korrigeringsfaktor_EI,'Korrigeringsfaktor EI'!AC$1,FALSE),
"")</f>
        <v>41.839468085106382</v>
      </c>
      <c r="AD492">
        <v>40.049999999999997</v>
      </c>
    </row>
    <row r="493" spans="1:30" x14ac:dyDescent="0.25">
      <c r="A493" t="s">
        <v>370</v>
      </c>
      <c r="B493" t="s">
        <v>370</v>
      </c>
      <c r="C493" s="18">
        <f>IFERROR(
                  Andel_oberoende_av_klimat*VLOOKUP($A493,Leveranser_per_nät,'Leveranser per nät'!C$1,FALSE)
               +Andel_beroende_av_klimat*VLOOKUP($A493,Leveranser_per_nät,'Leveranser per nät'!C$1,FALSE)/VLOOKUP($B493,Korrigeringsfaktor_EI,'Korrigeringsfaktor EI'!C$1,FALSE),
"")</f>
        <v>17.901834862385321</v>
      </c>
      <c r="D493" s="18">
        <f>IFERROR(
                  Andel_oberoende_av_klimat*VLOOKUP($A493,Leveranser_per_nät,'Leveranser per nät'!D$1,FALSE)
               +Andel_beroende_av_klimat*VLOOKUP($A493,Leveranser_per_nät,'Leveranser per nät'!D$1,FALSE)/VLOOKUP($B493,Korrigeringsfaktor_EI,'Korrigeringsfaktor EI'!D$1,FALSE),
"")</f>
        <v>17.163711340206184</v>
      </c>
      <c r="E493" s="18">
        <f>IFERROR(
                  Andel_oberoende_av_klimat*VLOOKUP($A493,Leveranser_per_nät,'Leveranser per nät'!E$1,FALSE)
               +Andel_beroende_av_klimat*VLOOKUP($A493,Leveranser_per_nät,'Leveranser per nät'!E$1,FALSE)/VLOOKUP($B493,Korrigeringsfaktor_EI,'Korrigeringsfaktor EI'!E$1,FALSE),
"")</f>
        <v>18.868316831683167</v>
      </c>
      <c r="F493" s="18">
        <f>IFERROR(
                  Andel_oberoende_av_klimat*VLOOKUP($A493,Leveranser_per_nät,'Leveranser per nät'!F$1,FALSE)
               +Andel_beroende_av_klimat*VLOOKUP($A493,Leveranser_per_nät,'Leveranser per nät'!F$1,FALSE)/VLOOKUP($B493,Korrigeringsfaktor_EI,'Korrigeringsfaktor EI'!F$1,FALSE),
"")</f>
        <v>23</v>
      </c>
      <c r="G493" s="18">
        <f>IFERROR(
                  Andel_oberoende_av_klimat*VLOOKUP($A493,Leveranser_per_nät,'Leveranser per nät'!G$1,FALSE)
               +Andel_beroende_av_klimat*VLOOKUP($A493,Leveranser_per_nät,'Leveranser per nät'!G$1,FALSE)/VLOOKUP($B493,Korrigeringsfaktor_EI,'Korrigeringsfaktor EI'!G$1,FALSE),
"")</f>
        <v>26.117021276595747</v>
      </c>
      <c r="H493" s="18">
        <f>IFERROR(
                  Andel_oberoende_av_klimat*VLOOKUP($A493,Leveranser_per_nät,'Leveranser per nät'!H$1,FALSE)
               +Andel_beroende_av_klimat*VLOOKUP($A493,Leveranser_per_nät,'Leveranser per nät'!H$1,FALSE)/VLOOKUP($B493,Korrigeringsfaktor_EI,'Korrigeringsfaktor EI'!H$1,FALSE),
"")</f>
        <v>27.987672277227723</v>
      </c>
      <c r="I493" s="18">
        <f>IFERROR(
                  Andel_oberoende_av_klimat*VLOOKUP($A493,Leveranser_per_nät,'Leveranser per nät'!I$1,FALSE)
               +Andel_beroende_av_klimat*VLOOKUP($A493,Leveranser_per_nät,'Leveranser per nät'!I$1,FALSE)/VLOOKUP($B493,Korrigeringsfaktor_EI,'Korrigeringsfaktor EI'!I$1,FALSE),
"")</f>
        <v>26.957894736842107</v>
      </c>
      <c r="J493" s="18">
        <f>IFERROR(
                  Andel_oberoende_av_klimat*VLOOKUP($A493,Leveranser_per_nät,'Leveranser per nät'!J$1,FALSE)
               +Andel_beroende_av_klimat*VLOOKUP($A493,Leveranser_per_nät,'Leveranser per nät'!J$1,FALSE)/VLOOKUP($B493,Korrigeringsfaktor_EI,'Korrigeringsfaktor EI'!J$1,FALSE),
"")</f>
        <v>28.985450000000004</v>
      </c>
      <c r="K493" s="18">
        <f>IFERROR(
                  Andel_oberoende_av_klimat*VLOOKUP($A493,Leveranser_per_nät,'Leveranser per nät'!K$1,FALSE)
               +Andel_beroende_av_klimat*VLOOKUP($A493,Leveranser_per_nät,'Leveranser per nät'!K$1,FALSE)/VLOOKUP($B493,Korrigeringsfaktor_EI,'Korrigeringsfaktor EI'!K$1,FALSE),
"")</f>
        <v>21.873908333333336</v>
      </c>
      <c r="L493" s="18">
        <f>IFERROR(
                  Andel_oberoende_av_klimat*VLOOKUP($A493,Leveranser_per_nät,'Leveranser per nät'!L$1,FALSE)
               +Andel_beroende_av_klimat*VLOOKUP($A493,Leveranser_per_nät,'Leveranser per nät'!L$1,FALSE)/VLOOKUP($B493,Korrigeringsfaktor_EI,'Korrigeringsfaktor EI'!L$1,FALSE),
"")</f>
        <v>22.597491489361701</v>
      </c>
      <c r="M493" s="18">
        <f>IFERROR(
                  Andel_oberoende_av_klimat*VLOOKUP($A493,Leveranser_per_nät,'Leveranser per nät'!M$1,FALSE)
               +Andel_beroende_av_klimat*VLOOKUP($A493,Leveranser_per_nät,'Leveranser per nät'!M$1,FALSE)/VLOOKUP($B493,Korrigeringsfaktor_EI,'Korrigeringsfaktor EI'!M$1,FALSE),
"")</f>
        <v>24.592307692307692</v>
      </c>
      <c r="N493" s="18">
        <f>IFERROR(
                  Andel_oberoende_av_klimat*VLOOKUP($A493,Leveranser_per_nät,'Leveranser per nät'!N$1,FALSE)
               +Andel_beroende_av_klimat*VLOOKUP($A493,Leveranser_per_nät,'Leveranser per nät'!N$1,FALSE)/VLOOKUP($B493,Korrigeringsfaktor_EI,'Korrigeringsfaktor EI'!N$1,FALSE),
"")</f>
        <v>25.422331578947365</v>
      </c>
      <c r="O493" s="18">
        <f>IFERROR(
                  Andel_oberoende_av_klimat*VLOOKUP($A493,Leveranser_per_nät,'Leveranser per nät'!O$1,FALSE)
               +Andel_beroende_av_klimat*VLOOKUP($A493,Leveranser_per_nät,'Leveranser per nät'!O$1,FALSE)/VLOOKUP($B493,Korrigeringsfaktor_EI,'Korrigeringsfaktor EI'!O$1,FALSE),
"")</f>
        <v>25.090542105263161</v>
      </c>
      <c r="P493" s="18">
        <f>IFERROR(
                  Andel_oberoende_av_klimat*VLOOKUP($A493,Leveranser_per_nät,'Leveranser per nät'!P$1,FALSE)
               +Andel_beroende_av_klimat*VLOOKUP($A493,Leveranser_per_nät,'Leveranser per nät'!P$1,FALSE)/VLOOKUP($B493,Korrigeringsfaktor_EI,'Korrigeringsfaktor EI'!P$1,FALSE),
"")</f>
        <v>24.277999999999999</v>
      </c>
      <c r="Q493" s="18">
        <f>IFERROR(
                  Andel_oberoende_av_klimat*VLOOKUP($A493,Leveranser_per_nät,'Leveranser per nät'!Q$1,FALSE)
               +Andel_beroende_av_klimat*VLOOKUP($A493,Leveranser_per_nät,'Leveranser per nät'!Q$1,FALSE)/VLOOKUP($B493,Korrigeringsfaktor_EI,'Korrigeringsfaktor EI'!Q$1,FALSE),
"")</f>
        <v>24.886199999999999</v>
      </c>
      <c r="R493" s="18">
        <f>IFERROR(
                  Andel_oberoende_av_klimat*VLOOKUP($A493,Leveranser_per_nät,'Leveranser per nät'!R$1,FALSE)
               +Andel_beroende_av_klimat*VLOOKUP($A493,Leveranser_per_nät,'Leveranser per nät'!R$1,FALSE)/VLOOKUP($B493,Korrigeringsfaktor_EI,'Korrigeringsfaktor EI'!R$1,FALSE),
"")</f>
        <v>22.668660869565212</v>
      </c>
      <c r="S493" s="18">
        <f>IFERROR(
                  Andel_oberoende_av_klimat*VLOOKUP($A493,Leveranser_per_nät,'Leveranser per nät'!S$1,FALSE)
               +Andel_beroende_av_klimat*VLOOKUP($A493,Leveranser_per_nät,'Leveranser per nät'!S$1,FALSE)/VLOOKUP($B493,Korrigeringsfaktor_EI,'Korrigeringsfaktor EI'!S$1,FALSE),
"")</f>
        <v>24</v>
      </c>
      <c r="T493" s="18">
        <f>IFERROR(
                  Andel_oberoende_av_klimat*VLOOKUP($A493,Leveranser_per_nät,'Leveranser per nät'!T$1,FALSE)
               +Andel_beroende_av_klimat*VLOOKUP($A493,Leveranser_per_nät,'Leveranser per nät'!T$1,FALSE)/VLOOKUP($B493,Korrigeringsfaktor_EI,'Korrigeringsfaktor EI'!T$1,FALSE),
"")</f>
        <v>22.950416666666669</v>
      </c>
      <c r="U493" s="18">
        <f>IFERROR(
                  Andel_oberoende_av_klimat*VLOOKUP($A493,Leveranser_per_nät,'Leveranser per nät'!U$1,FALSE)
               +Andel_beroende_av_klimat*VLOOKUP($A493,Leveranser_per_nät,'Leveranser per nät'!U$1,FALSE)/VLOOKUP($B493,Korrigeringsfaktor_EI,'Korrigeringsfaktor EI'!U$1,FALSE),
"")</f>
        <v>23.355444444444444</v>
      </c>
      <c r="V493" s="18">
        <f>IFERROR(
                  Andel_oberoende_av_klimat*VLOOKUP($A493,Leveranser_per_nät,'Leveranser per nät'!V$1,FALSE)
               +Andel_beroende_av_klimat*VLOOKUP($A493,Leveranser_per_nät,'Leveranser per nät'!V$1,FALSE)/VLOOKUP($B493,Korrigeringsfaktor_EI,'Korrigeringsfaktor EI'!V$1,FALSE),
"")</f>
        <v>21.624893617021279</v>
      </c>
      <c r="W493" s="18">
        <f>IFERROR(
                  Andel_oberoende_av_klimat*VLOOKUP($A493,Leveranser_per_nät,'Leveranser per nät'!W$1,FALSE)
               +Andel_beroende_av_klimat*VLOOKUP($A493,Leveranser_per_nät,'Leveranser per nät'!W$1,FALSE)/VLOOKUP($B493,Korrigeringsfaktor_EI,'Korrigeringsfaktor EI'!W$1,FALSE),
"")</f>
        <v>23.064654166666667</v>
      </c>
      <c r="X493" s="18">
        <f>IFERROR(
                  Andel_oberoende_av_klimat*VLOOKUP($A493,Leveranser_per_nät,'Leveranser per nät'!X$1,FALSE)
               +Andel_beroende_av_klimat*VLOOKUP($A493,Leveranser_per_nät,'Leveranser per nät'!X$1,FALSE)/VLOOKUP($B493,Korrigeringsfaktor_EI,'Korrigeringsfaktor EI'!X$1,FALSE),
"")</f>
        <v>23.50815463917526</v>
      </c>
      <c r="Y493" s="18">
        <f>IFERROR(
                  Andel_oberoende_av_klimat*VLOOKUP($A493,Leveranser_per_nät,'Leveranser per nät'!Y$1,FALSE)
               +Andel_beroende_av_klimat*VLOOKUP($A493,Leveranser_per_nät,'Leveranser per nät'!Y$1,FALSE)/VLOOKUP($B493,Korrigeringsfaktor_EI,'Korrigeringsfaktor EI'!Y$1,FALSE),
"")</f>
        <v>23.869462500000001</v>
      </c>
      <c r="Z493" s="18">
        <f>IFERROR(
                  Andel_oberoende_av_klimat*VLOOKUP($A493,Leveranser_per_nät,'Leveranser per nät'!Z$1,FALSE)
               +Andel_beroende_av_klimat*VLOOKUP($A493,Leveranser_per_nät,'Leveranser per nät'!Z$1,FALSE)/VLOOKUP($B493,Korrigeringsfaktor_EI,'Korrigeringsfaktor EI'!Z$1,FALSE),
"")</f>
        <v>23.243926315789473</v>
      </c>
      <c r="AA493" s="18">
        <f>IFERROR(
                  Andel_oberoende_av_klimat*VLOOKUP($A493,Leveranser_per_nät,'Leveranser per nät'!AA$1,FALSE)
               +Andel_beroende_av_klimat*VLOOKUP($A493,Leveranser_per_nät,'Leveranser per nät'!AA$1,FALSE)/VLOOKUP($B493,Korrigeringsfaktor_EI,'Korrigeringsfaktor EI'!AA$1,FALSE),
"")</f>
        <v>22.191998602236424</v>
      </c>
      <c r="AB493" s="18">
        <f>IFERROR(
                  Andel_oberoende_av_klimat*VLOOKUP($A493,Leveranser_per_nät,'Leveranser per nät'!AB$1,FALSE)
               +Andel_beroende_av_klimat*VLOOKUP($A493,Leveranser_per_nät,'Leveranser per nät'!AB$1,FALSE)/VLOOKUP($B493,Korrigeringsfaktor_EI,'Korrigeringsfaktor EI'!AB$1,FALSE),
"")</f>
        <v>22.829530708661416</v>
      </c>
      <c r="AC493" s="18">
        <f>IFERROR(
                  Andel_oberoende_av_klimat*VLOOKUP($A493,Leveranser_per_nät,'Leveranser per nät'!AC$1,FALSE)
               +Andel_beroende_av_klimat*VLOOKUP($A493,Leveranser_per_nät,'Leveranser per nät'!AC$1,FALSE)/VLOOKUP($B493,Korrigeringsfaktor_EI,'Korrigeringsfaktor EI'!AC$1,FALSE),
"")</f>
        <v>22.364762785862787</v>
      </c>
      <c r="AD493">
        <v>21.763000000000002</v>
      </c>
    </row>
    <row r="494" spans="1:30" x14ac:dyDescent="0.25">
      <c r="A494" t="s">
        <v>274</v>
      </c>
      <c r="B494" t="s">
        <v>262</v>
      </c>
      <c r="C494" s="18">
        <f>IFERROR(
                  Andel_oberoende_av_klimat*VLOOKUP($A494,Leveranser_per_nät,'Leveranser per nät'!C$1,FALSE)
               +Andel_beroende_av_klimat*VLOOKUP($A494,Leveranser_per_nät,'Leveranser per nät'!C$1,FALSE)/VLOOKUP($B494,Korrigeringsfaktor_EI,'Korrigeringsfaktor EI'!C$1,FALSE),
"")</f>
        <v>0</v>
      </c>
      <c r="D494" s="18">
        <f>IFERROR(
                  Andel_oberoende_av_klimat*VLOOKUP($A494,Leveranser_per_nät,'Leveranser per nät'!D$1,FALSE)
               +Andel_beroende_av_klimat*VLOOKUP($A494,Leveranser_per_nät,'Leveranser per nät'!D$1,FALSE)/VLOOKUP($B494,Korrigeringsfaktor_EI,'Korrigeringsfaktor EI'!D$1,FALSE),
"")</f>
        <v>0</v>
      </c>
      <c r="E494" s="18">
        <f>IFERROR(
                  Andel_oberoende_av_klimat*VLOOKUP($A494,Leveranser_per_nät,'Leveranser per nät'!E$1,FALSE)
               +Andel_beroende_av_klimat*VLOOKUP($A494,Leveranser_per_nät,'Leveranser per nät'!E$1,FALSE)/VLOOKUP($B494,Korrigeringsfaktor_EI,'Korrigeringsfaktor EI'!E$1,FALSE),
"")</f>
        <v>0</v>
      </c>
      <c r="F494" s="18">
        <f>IFERROR(
                  Andel_oberoende_av_klimat*VLOOKUP($A494,Leveranser_per_nät,'Leveranser per nät'!F$1,FALSE)
               +Andel_beroende_av_klimat*VLOOKUP($A494,Leveranser_per_nät,'Leveranser per nät'!F$1,FALSE)/VLOOKUP($B494,Korrigeringsfaktor_EI,'Korrigeringsfaktor EI'!F$1,FALSE),
"")</f>
        <v>0</v>
      </c>
      <c r="G494" s="18">
        <f>IFERROR(
                  Andel_oberoende_av_klimat*VLOOKUP($A494,Leveranser_per_nät,'Leveranser per nät'!G$1,FALSE)
               +Andel_beroende_av_klimat*VLOOKUP($A494,Leveranser_per_nät,'Leveranser per nät'!G$1,FALSE)/VLOOKUP($B494,Korrigeringsfaktor_EI,'Korrigeringsfaktor EI'!G$1,FALSE),
"")</f>
        <v>0</v>
      </c>
      <c r="H494" s="18">
        <f>IFERROR(
                  Andel_oberoende_av_klimat*VLOOKUP($A494,Leveranser_per_nät,'Leveranser per nät'!H$1,FALSE)
               +Andel_beroende_av_klimat*VLOOKUP($A494,Leveranser_per_nät,'Leveranser per nät'!H$1,FALSE)/VLOOKUP($B494,Korrigeringsfaktor_EI,'Korrigeringsfaktor EI'!H$1,FALSE),
"")</f>
        <v>0</v>
      </c>
      <c r="I494" s="18">
        <f>IFERROR(
                  Andel_oberoende_av_klimat*VLOOKUP($A494,Leveranser_per_nät,'Leveranser per nät'!I$1,FALSE)
               +Andel_beroende_av_klimat*VLOOKUP($A494,Leveranser_per_nät,'Leveranser per nät'!I$1,FALSE)/VLOOKUP($B494,Korrigeringsfaktor_EI,'Korrigeringsfaktor EI'!I$1,FALSE),
"")</f>
        <v>0</v>
      </c>
      <c r="J494" s="18">
        <f>IFERROR(
                  Andel_oberoende_av_klimat*VLOOKUP($A494,Leveranser_per_nät,'Leveranser per nät'!J$1,FALSE)
               +Andel_beroende_av_klimat*VLOOKUP($A494,Leveranser_per_nät,'Leveranser per nät'!J$1,FALSE)/VLOOKUP($B494,Korrigeringsfaktor_EI,'Korrigeringsfaktor EI'!J$1,FALSE),
"")</f>
        <v>0</v>
      </c>
      <c r="K494" s="18">
        <f>IFERROR(
                  Andel_oberoende_av_klimat*VLOOKUP($A494,Leveranser_per_nät,'Leveranser per nät'!K$1,FALSE)
               +Andel_beroende_av_klimat*VLOOKUP($A494,Leveranser_per_nät,'Leveranser per nät'!K$1,FALSE)/VLOOKUP($B494,Korrigeringsfaktor_EI,'Korrigeringsfaktor EI'!K$1,FALSE),
"")</f>
        <v>0</v>
      </c>
      <c r="L494" s="18">
        <f>IFERROR(
                  Andel_oberoende_av_klimat*VLOOKUP($A494,Leveranser_per_nät,'Leveranser per nät'!L$1,FALSE)
               +Andel_beroende_av_klimat*VLOOKUP($A494,Leveranser_per_nät,'Leveranser per nät'!L$1,FALSE)/VLOOKUP($B494,Korrigeringsfaktor_EI,'Korrigeringsfaktor EI'!L$1,FALSE),
"")</f>
        <v>0</v>
      </c>
      <c r="M494" s="18">
        <f>IFERROR(
                  Andel_oberoende_av_klimat*VLOOKUP($A494,Leveranser_per_nät,'Leveranser per nät'!M$1,FALSE)
               +Andel_beroende_av_klimat*VLOOKUP($A494,Leveranser_per_nät,'Leveranser per nät'!M$1,FALSE)/VLOOKUP($B494,Korrigeringsfaktor_EI,'Korrigeringsfaktor EI'!M$1,FALSE),
"")</f>
        <v>2.7423478260869567</v>
      </c>
      <c r="N494" s="18">
        <f>IFERROR(
                  Andel_oberoende_av_klimat*VLOOKUP($A494,Leveranser_per_nät,'Leveranser per nät'!N$1,FALSE)
               +Andel_beroende_av_klimat*VLOOKUP($A494,Leveranser_per_nät,'Leveranser per nät'!N$1,FALSE)/VLOOKUP($B494,Korrigeringsfaktor_EI,'Korrigeringsfaktor EI'!N$1,FALSE),
"")</f>
        <v>3.0191096774193547</v>
      </c>
      <c r="O494" s="18">
        <f>IFERROR(
                  Andel_oberoende_av_klimat*VLOOKUP($A494,Leveranser_per_nät,'Leveranser per nät'!O$1,FALSE)
               +Andel_beroende_av_klimat*VLOOKUP($A494,Leveranser_per_nät,'Leveranser per nät'!O$1,FALSE)/VLOOKUP($B494,Korrigeringsfaktor_EI,'Korrigeringsfaktor EI'!O$1,FALSE),
"")</f>
        <v>2.6043505376344087</v>
      </c>
      <c r="P494" s="18">
        <f>IFERROR(
                  Andel_oberoende_av_klimat*VLOOKUP($A494,Leveranser_per_nät,'Leveranser per nät'!P$1,FALSE)
               +Andel_beroende_av_klimat*VLOOKUP($A494,Leveranser_per_nät,'Leveranser per nät'!P$1,FALSE)/VLOOKUP($B494,Korrigeringsfaktor_EI,'Korrigeringsfaktor EI'!P$1,FALSE),
"")</f>
        <v>2.5633185567010308</v>
      </c>
      <c r="Q494" s="18">
        <f>IFERROR(
                  Andel_oberoende_av_klimat*VLOOKUP($A494,Leveranser_per_nät,'Leveranser per nät'!Q$1,FALSE)
               +Andel_beroende_av_klimat*VLOOKUP($A494,Leveranser_per_nät,'Leveranser per nät'!Q$1,FALSE)/VLOOKUP($B494,Korrigeringsfaktor_EI,'Korrigeringsfaktor EI'!Q$1,FALSE),
"")</f>
        <v>2.4556849056603771</v>
      </c>
      <c r="R494" s="18">
        <f>IFERROR(
                  Andel_oberoende_av_klimat*VLOOKUP($A494,Leveranser_per_nät,'Leveranser per nät'!R$1,FALSE)
               +Andel_beroende_av_klimat*VLOOKUP($A494,Leveranser_per_nät,'Leveranser per nät'!R$1,FALSE)/VLOOKUP($B494,Korrigeringsfaktor_EI,'Korrigeringsfaktor EI'!R$1,FALSE),
"")</f>
        <v>2.5866666666666664</v>
      </c>
      <c r="S494" s="18">
        <f>IFERROR(
                  Andel_oberoende_av_klimat*VLOOKUP($A494,Leveranser_per_nät,'Leveranser per nät'!S$1,FALSE)
               +Andel_beroende_av_klimat*VLOOKUP($A494,Leveranser_per_nät,'Leveranser per nät'!S$1,FALSE)/VLOOKUP($B494,Korrigeringsfaktor_EI,'Korrigeringsfaktor EI'!S$1,FALSE),
"")</f>
        <v>2.5176767676767677</v>
      </c>
      <c r="T494" s="18">
        <f>IFERROR(
                  Andel_oberoende_av_klimat*VLOOKUP($A494,Leveranser_per_nät,'Leveranser per nät'!T$1,FALSE)
               +Andel_beroende_av_klimat*VLOOKUP($A494,Leveranser_per_nät,'Leveranser per nät'!T$1,FALSE)/VLOOKUP($B494,Korrigeringsfaktor_EI,'Korrigeringsfaktor EI'!T$1,FALSE),
"")</f>
        <v>2.7296173913043478</v>
      </c>
      <c r="U494" s="18">
        <f>IFERROR(
                  Andel_oberoende_av_klimat*VLOOKUP($A494,Leveranser_per_nät,'Leveranser per nät'!U$1,FALSE)
               +Andel_beroende_av_klimat*VLOOKUP($A494,Leveranser_per_nät,'Leveranser per nät'!U$1,FALSE)/VLOOKUP($B494,Korrigeringsfaktor_EI,'Korrigeringsfaktor EI'!U$1,FALSE),
"")</f>
        <v>2.681511111111111</v>
      </c>
      <c r="V494" s="18">
        <f>IFERROR(
                  Andel_oberoende_av_klimat*VLOOKUP($A494,Leveranser_per_nät,'Leveranser per nät'!V$1,FALSE)
               +Andel_beroende_av_klimat*VLOOKUP($A494,Leveranser_per_nät,'Leveranser per nät'!V$1,FALSE)/VLOOKUP($B494,Korrigeringsfaktor_EI,'Korrigeringsfaktor EI'!V$1,FALSE),
"")</f>
        <v>2.5250227272727273</v>
      </c>
      <c r="W494" s="18">
        <f>IFERROR(
                  Andel_oberoende_av_klimat*VLOOKUP($A494,Leveranser_per_nät,'Leveranser per nät'!W$1,FALSE)
               +Andel_beroende_av_klimat*VLOOKUP($A494,Leveranser_per_nät,'Leveranser per nät'!W$1,FALSE)/VLOOKUP($B494,Korrigeringsfaktor_EI,'Korrigeringsfaktor EI'!W$1,FALSE),
"")</f>
        <v>2.610314432989691</v>
      </c>
      <c r="X494" s="18">
        <f>IFERROR(
                  Andel_oberoende_av_klimat*VLOOKUP($A494,Leveranser_per_nät,'Leveranser per nät'!X$1,FALSE)
               +Andel_beroende_av_klimat*VLOOKUP($A494,Leveranser_per_nät,'Leveranser per nät'!X$1,FALSE)/VLOOKUP($B494,Korrigeringsfaktor_EI,'Korrigeringsfaktor EI'!X$1,FALSE),
"")</f>
        <v>2.6869381443298965</v>
      </c>
      <c r="Y494" s="18">
        <f>IFERROR(
                  Andel_oberoende_av_klimat*VLOOKUP($A494,Leveranser_per_nät,'Leveranser per nät'!Y$1,FALSE)
               +Andel_beroende_av_klimat*VLOOKUP($A494,Leveranser_per_nät,'Leveranser per nät'!Y$1,FALSE)/VLOOKUP($B494,Korrigeringsfaktor_EI,'Korrigeringsfaktor EI'!Y$1,FALSE),
"")</f>
        <v>2.8575368421052629</v>
      </c>
      <c r="Z494" s="18">
        <f>IFERROR(
                  Andel_oberoende_av_klimat*VLOOKUP($A494,Leveranser_per_nät,'Leveranser per nät'!Z$1,FALSE)
               +Andel_beroende_av_klimat*VLOOKUP($A494,Leveranser_per_nät,'Leveranser per nät'!Z$1,FALSE)/VLOOKUP($B494,Korrigeringsfaktor_EI,'Korrigeringsfaktor EI'!Z$1,FALSE),
"")</f>
        <v>2.8268142857142857</v>
      </c>
      <c r="AA494" s="18">
        <f>IFERROR(
                  Andel_oberoende_av_klimat*VLOOKUP($A494,Leveranser_per_nät,'Leveranser per nät'!AA$1,FALSE)
               +Andel_beroende_av_klimat*VLOOKUP($A494,Leveranser_per_nät,'Leveranser per nät'!AA$1,FALSE)/VLOOKUP($B494,Korrigeringsfaktor_EI,'Korrigeringsfaktor EI'!AA$1,FALSE),
"")</f>
        <v>2.4685286787204452</v>
      </c>
      <c r="AB494" s="18">
        <f>IFERROR(
                  Andel_oberoende_av_klimat*VLOOKUP($A494,Leveranser_per_nät,'Leveranser per nät'!AB$1,FALSE)
               +Andel_beroende_av_klimat*VLOOKUP($A494,Leveranser_per_nät,'Leveranser per nät'!AB$1,FALSE)/VLOOKUP($B494,Korrigeringsfaktor_EI,'Korrigeringsfaktor EI'!AB$1,FALSE),
"")</f>
        <v>2.6246694762366634</v>
      </c>
      <c r="AC494" s="18">
        <f>IFERROR(
                  Andel_oberoende_av_klimat*VLOOKUP($A494,Leveranser_per_nät,'Leveranser per nät'!AC$1,FALSE)
               +Andel_beroende_av_klimat*VLOOKUP($A494,Leveranser_per_nät,'Leveranser per nät'!AC$1,FALSE)/VLOOKUP($B494,Korrigeringsfaktor_EI,'Korrigeringsfaktor EI'!AC$1,FALSE),
"")</f>
        <v>2.6002010071210582</v>
      </c>
      <c r="AD494">
        <v>9.2136999999999993</v>
      </c>
    </row>
    <row r="495" spans="1:30" x14ac:dyDescent="0.25">
      <c r="A495" t="s">
        <v>156</v>
      </c>
      <c r="B495" t="s">
        <v>156</v>
      </c>
      <c r="C495" s="18">
        <f>IFERROR(
                  Andel_oberoende_av_klimat*VLOOKUP($A495,Leveranser_per_nät,'Leveranser per nät'!C$1,FALSE)
               +Andel_beroende_av_klimat*VLOOKUP($A495,Leveranser_per_nät,'Leveranser per nät'!C$1,FALSE)/VLOOKUP($B495,Korrigeringsfaktor_EI,'Korrigeringsfaktor EI'!C$1,FALSE),
"")</f>
        <v>0</v>
      </c>
      <c r="D495" s="18">
        <f>IFERROR(
                  Andel_oberoende_av_klimat*VLOOKUP($A495,Leveranser_per_nät,'Leveranser per nät'!D$1,FALSE)
               +Andel_beroende_av_klimat*VLOOKUP($A495,Leveranser_per_nät,'Leveranser per nät'!D$1,FALSE)/VLOOKUP($B495,Korrigeringsfaktor_EI,'Korrigeringsfaktor EI'!D$1,FALSE),
"")</f>
        <v>0</v>
      </c>
      <c r="E495" s="18">
        <f>IFERROR(
                  Andel_oberoende_av_klimat*VLOOKUP($A495,Leveranser_per_nät,'Leveranser per nät'!E$1,FALSE)
               +Andel_beroende_av_klimat*VLOOKUP($A495,Leveranser_per_nät,'Leveranser per nät'!E$1,FALSE)/VLOOKUP($B495,Korrigeringsfaktor_EI,'Korrigeringsfaktor EI'!E$1,FALSE),
"")</f>
        <v>0</v>
      </c>
      <c r="F495" s="18">
        <f>IFERROR(
                  Andel_oberoende_av_klimat*VLOOKUP($A495,Leveranser_per_nät,'Leveranser per nät'!F$1,FALSE)
               +Andel_beroende_av_klimat*VLOOKUP($A495,Leveranser_per_nät,'Leveranser per nät'!F$1,FALSE)/VLOOKUP($B495,Korrigeringsfaktor_EI,'Korrigeringsfaktor EI'!F$1,FALSE),
"")</f>
        <v>0</v>
      </c>
      <c r="G495" s="18">
        <f>IFERROR(
                  Andel_oberoende_av_klimat*VLOOKUP($A495,Leveranser_per_nät,'Leveranser per nät'!G$1,FALSE)
               +Andel_beroende_av_klimat*VLOOKUP($A495,Leveranser_per_nät,'Leveranser per nät'!G$1,FALSE)/VLOOKUP($B495,Korrigeringsfaktor_EI,'Korrigeringsfaktor EI'!G$1,FALSE),
"")</f>
        <v>0</v>
      </c>
      <c r="H495" s="18">
        <f>IFERROR(
                  Andel_oberoende_av_klimat*VLOOKUP($A495,Leveranser_per_nät,'Leveranser per nät'!H$1,FALSE)
               +Andel_beroende_av_klimat*VLOOKUP($A495,Leveranser_per_nät,'Leveranser per nät'!H$1,FALSE)/VLOOKUP($B495,Korrigeringsfaktor_EI,'Korrigeringsfaktor EI'!H$1,FALSE),
"")</f>
        <v>38.729702970297026</v>
      </c>
      <c r="I495" s="18">
        <f>IFERROR(
                  Andel_oberoende_av_klimat*VLOOKUP($A495,Leveranser_per_nät,'Leveranser per nät'!I$1,FALSE)
               +Andel_beroende_av_klimat*VLOOKUP($A495,Leveranser_per_nät,'Leveranser per nät'!I$1,FALSE)/VLOOKUP($B495,Korrigeringsfaktor_EI,'Korrigeringsfaktor EI'!I$1,FALSE),
"")</f>
        <v>37.130434782608695</v>
      </c>
      <c r="J495" s="18">
        <f>IFERROR(
                  Andel_oberoende_av_klimat*VLOOKUP($A495,Leveranser_per_nät,'Leveranser per nät'!J$1,FALSE)
               +Andel_beroende_av_klimat*VLOOKUP($A495,Leveranser_per_nät,'Leveranser per nät'!J$1,FALSE)/VLOOKUP($B495,Korrigeringsfaktor_EI,'Korrigeringsfaktor EI'!J$1,FALSE),
"")</f>
        <v>37.423076923076927</v>
      </c>
      <c r="K495" s="18">
        <f>IFERROR(
                  Andel_oberoende_av_klimat*VLOOKUP($A495,Leveranser_per_nät,'Leveranser per nät'!K$1,FALSE)
               +Andel_beroende_av_klimat*VLOOKUP($A495,Leveranser_per_nät,'Leveranser per nät'!K$1,FALSE)/VLOOKUP($B495,Korrigeringsfaktor_EI,'Korrigeringsfaktor EI'!K$1,FALSE),
"")</f>
        <v>18.023961739130435</v>
      </c>
      <c r="L495" s="18">
        <f>IFERROR(
                  Andel_oberoende_av_klimat*VLOOKUP($A495,Leveranser_per_nät,'Leveranser per nät'!L$1,FALSE)
               +Andel_beroende_av_klimat*VLOOKUP($A495,Leveranser_per_nät,'Leveranser per nät'!L$1,FALSE)/VLOOKUP($B495,Korrigeringsfaktor_EI,'Korrigeringsfaktor EI'!L$1,FALSE),
"")</f>
        <v>26.47493887640449</v>
      </c>
      <c r="M495" s="18">
        <f>IFERROR(
                  Andel_oberoende_av_klimat*VLOOKUP($A495,Leveranser_per_nät,'Leveranser per nät'!M$1,FALSE)
               +Andel_beroende_av_klimat*VLOOKUP($A495,Leveranser_per_nät,'Leveranser per nät'!M$1,FALSE)/VLOOKUP($B495,Korrigeringsfaktor_EI,'Korrigeringsfaktor EI'!M$1,FALSE),
"")</f>
        <v>26.47493887640449</v>
      </c>
      <c r="N495" s="18">
        <f>IFERROR(
                  Andel_oberoende_av_klimat*VLOOKUP($A495,Leveranser_per_nät,'Leveranser per nät'!N$1,FALSE)
               +Andel_beroende_av_klimat*VLOOKUP($A495,Leveranser_per_nät,'Leveranser per nät'!N$1,FALSE)/VLOOKUP($B495,Korrigeringsfaktor_EI,'Korrigeringsfaktor EI'!N$1,FALSE),
"")</f>
        <v>54.108172043010747</v>
      </c>
      <c r="O495" s="18">
        <f>IFERROR(
                  Andel_oberoende_av_klimat*VLOOKUP($A495,Leveranser_per_nät,'Leveranser per nät'!O$1,FALSE)
               +Andel_beroende_av_klimat*VLOOKUP($A495,Leveranser_per_nät,'Leveranser per nät'!O$1,FALSE)/VLOOKUP($B495,Korrigeringsfaktor_EI,'Korrigeringsfaktor EI'!O$1,FALSE),
"")</f>
        <v>52.950215053763436</v>
      </c>
      <c r="P495" s="18">
        <f>IFERROR(
                  Andel_oberoende_av_klimat*VLOOKUP($A495,Leveranser_per_nät,'Leveranser per nät'!P$1,FALSE)
               +Andel_beroende_av_klimat*VLOOKUP($A495,Leveranser_per_nät,'Leveranser per nät'!P$1,FALSE)/VLOOKUP($B495,Korrigeringsfaktor_EI,'Korrigeringsfaktor EI'!P$1,FALSE),
"")</f>
        <v>54.134166666666673</v>
      </c>
      <c r="Q495" s="18">
        <f>IFERROR(
                  Andel_oberoende_av_klimat*VLOOKUP($A495,Leveranser_per_nät,'Leveranser per nät'!Q$1,FALSE)
               +Andel_beroende_av_klimat*VLOOKUP($A495,Leveranser_per_nät,'Leveranser per nät'!Q$1,FALSE)/VLOOKUP($B495,Korrigeringsfaktor_EI,'Korrigeringsfaktor EI'!Q$1,FALSE),
"")</f>
        <v>57.097431192660551</v>
      </c>
      <c r="R495" s="18">
        <f>IFERROR(
                  Andel_oberoende_av_klimat*VLOOKUP($A495,Leveranser_per_nät,'Leveranser per nät'!R$1,FALSE)
               +Andel_beroende_av_klimat*VLOOKUP($A495,Leveranser_per_nät,'Leveranser per nät'!R$1,FALSE)/VLOOKUP($B495,Korrigeringsfaktor_EI,'Korrigeringsfaktor EI'!R$1,FALSE),
"")</f>
        <v>33.74</v>
      </c>
      <c r="S495" s="18">
        <f>IFERROR(
                  Andel_oberoende_av_klimat*VLOOKUP($A495,Leveranser_per_nät,'Leveranser per nät'!S$1,FALSE)
               +Andel_beroende_av_klimat*VLOOKUP($A495,Leveranser_per_nät,'Leveranser per nät'!S$1,FALSE)/VLOOKUP($B495,Korrigeringsfaktor_EI,'Korrigeringsfaktor EI'!S$1,FALSE),
"")</f>
        <v>55.611881188118815</v>
      </c>
      <c r="T495" s="18">
        <f>IFERROR(
                  Andel_oberoende_av_klimat*VLOOKUP($A495,Leveranser_per_nät,'Leveranser per nät'!T$1,FALSE)
               +Andel_beroende_av_klimat*VLOOKUP($A495,Leveranser_per_nät,'Leveranser per nät'!T$1,FALSE)/VLOOKUP($B495,Korrigeringsfaktor_EI,'Korrigeringsfaktor EI'!T$1,FALSE),
"")</f>
        <v>56.300526315789483</v>
      </c>
      <c r="U495" s="18">
        <f>IFERROR(
                  Andel_oberoende_av_klimat*VLOOKUP($A495,Leveranser_per_nät,'Leveranser per nät'!U$1,FALSE)
               +Andel_beroende_av_klimat*VLOOKUP($A495,Leveranser_per_nät,'Leveranser per nät'!U$1,FALSE)/VLOOKUP($B495,Korrigeringsfaktor_EI,'Korrigeringsfaktor EI'!U$1,FALSE),
"")</f>
        <v>56.518666666666661</v>
      </c>
      <c r="V495" s="18">
        <f>IFERROR(
                  Andel_oberoende_av_klimat*VLOOKUP($A495,Leveranser_per_nät,'Leveranser per nät'!V$1,FALSE)
               +Andel_beroende_av_klimat*VLOOKUP($A495,Leveranser_per_nät,'Leveranser per nät'!V$1,FALSE)/VLOOKUP($B495,Korrigeringsfaktor_EI,'Korrigeringsfaktor EI'!V$1,FALSE),
"")</f>
        <v>55.57022222222222</v>
      </c>
      <c r="W495" s="18">
        <f>IFERROR(
                  Andel_oberoende_av_klimat*VLOOKUP($A495,Leveranser_per_nät,'Leveranser per nät'!W$1,FALSE)
               +Andel_beroende_av_klimat*VLOOKUP($A495,Leveranser_per_nät,'Leveranser per nät'!W$1,FALSE)/VLOOKUP($B495,Korrigeringsfaktor_EI,'Korrigeringsfaktor EI'!W$1,FALSE),
"")</f>
        <v>56.694526315789474</v>
      </c>
      <c r="X495" s="18">
        <f>IFERROR(
                  Andel_oberoende_av_klimat*VLOOKUP($A495,Leveranser_per_nät,'Leveranser per nät'!X$1,FALSE)
               +Andel_beroende_av_klimat*VLOOKUP($A495,Leveranser_per_nät,'Leveranser per nät'!X$1,FALSE)/VLOOKUP($B495,Korrigeringsfaktor_EI,'Korrigeringsfaktor EI'!X$1,FALSE),
"")</f>
        <v>57.489249999999998</v>
      </c>
      <c r="Y495" s="18">
        <f>IFERROR(
                  Andel_oberoende_av_klimat*VLOOKUP($A495,Leveranser_per_nät,'Leveranser per nät'!Y$1,FALSE)
               +Andel_beroende_av_klimat*VLOOKUP($A495,Leveranser_per_nät,'Leveranser per nät'!Y$1,FALSE)/VLOOKUP($B495,Korrigeringsfaktor_EI,'Korrigeringsfaktor EI'!Y$1,FALSE),
"")</f>
        <v>60.213763440860212</v>
      </c>
      <c r="Z495" s="18">
        <f>IFERROR(
                  Andel_oberoende_av_klimat*VLOOKUP($A495,Leveranser_per_nät,'Leveranser per nät'!Z$1,FALSE)
               +Andel_beroende_av_klimat*VLOOKUP($A495,Leveranser_per_nät,'Leveranser per nät'!Z$1,FALSE)/VLOOKUP($B495,Korrigeringsfaktor_EI,'Korrigeringsfaktor EI'!Z$1,FALSE),
"")</f>
        <v>58.199374999999996</v>
      </c>
      <c r="AA495" s="18">
        <f>IFERROR(
                  Andel_oberoende_av_klimat*VLOOKUP($A495,Leveranser_per_nät,'Leveranser per nät'!AA$1,FALSE)
               +Andel_beroende_av_klimat*VLOOKUP($A495,Leveranser_per_nät,'Leveranser per nät'!AA$1,FALSE)/VLOOKUP($B495,Korrigeringsfaktor_EI,'Korrigeringsfaktor EI'!AA$1,FALSE),
"")</f>
        <v>57.377245395544641</v>
      </c>
      <c r="AB495" s="18">
        <f>IFERROR(
                  Andel_oberoende_av_klimat*VLOOKUP($A495,Leveranser_per_nät,'Leveranser per nät'!AB$1,FALSE)
               +Andel_beroende_av_klimat*VLOOKUP($A495,Leveranser_per_nät,'Leveranser per nät'!AB$1,FALSE)/VLOOKUP($B495,Korrigeringsfaktor_EI,'Korrigeringsfaktor EI'!AB$1,FALSE),
"")</f>
        <v>57.094129644268776</v>
      </c>
      <c r="AC495" s="18">
        <f>IFERROR(
                  Andel_oberoende_av_klimat*VLOOKUP($A495,Leveranser_per_nät,'Leveranser per nät'!AC$1,FALSE)
               +Andel_beroende_av_klimat*VLOOKUP($A495,Leveranser_per_nät,'Leveranser per nät'!AC$1,FALSE)/VLOOKUP($B495,Korrigeringsfaktor_EI,'Korrigeringsfaktor EI'!AC$1,FALSE),
"")</f>
        <v>36.8884285115304</v>
      </c>
      <c r="AD495">
        <v>33.630000000000003</v>
      </c>
    </row>
    <row r="496" spans="1:30" x14ac:dyDescent="0.25">
      <c r="A496" t="s">
        <v>217</v>
      </c>
      <c r="B496" t="s">
        <v>520</v>
      </c>
      <c r="C496" s="18">
        <f>IFERROR(
                  Andel_oberoende_av_klimat*VLOOKUP($A496,Leveranser_per_nät,'Leveranser per nät'!C$1,FALSE)
               +Andel_beroende_av_klimat*VLOOKUP($A496,Leveranser_per_nät,'Leveranser per nät'!C$1,FALSE)/VLOOKUP($B496,Korrigeringsfaktor_EI,'Korrigeringsfaktor EI'!C$1,FALSE),
"")</f>
        <v>0</v>
      </c>
      <c r="D496" s="18">
        <f>IFERROR(
                  Andel_oberoende_av_klimat*VLOOKUP($A496,Leveranser_per_nät,'Leveranser per nät'!D$1,FALSE)
               +Andel_beroende_av_klimat*VLOOKUP($A496,Leveranser_per_nät,'Leveranser per nät'!D$1,FALSE)/VLOOKUP($B496,Korrigeringsfaktor_EI,'Korrigeringsfaktor EI'!D$1,FALSE),
"")</f>
        <v>0</v>
      </c>
      <c r="E496" s="18">
        <f>IFERROR(
                  Andel_oberoende_av_klimat*VLOOKUP($A496,Leveranser_per_nät,'Leveranser per nät'!E$1,FALSE)
               +Andel_beroende_av_klimat*VLOOKUP($A496,Leveranser_per_nät,'Leveranser per nät'!E$1,FALSE)/VLOOKUP($B496,Korrigeringsfaktor_EI,'Korrigeringsfaktor EI'!E$1,FALSE),
"")</f>
        <v>0</v>
      </c>
      <c r="F496" s="18">
        <f>IFERROR(
                  Andel_oberoende_av_klimat*VLOOKUP($A496,Leveranser_per_nät,'Leveranser per nät'!F$1,FALSE)
               +Andel_beroende_av_klimat*VLOOKUP($A496,Leveranser_per_nät,'Leveranser per nät'!F$1,FALSE)/VLOOKUP($B496,Korrigeringsfaktor_EI,'Korrigeringsfaktor EI'!F$1,FALSE),
"")</f>
        <v>0</v>
      </c>
      <c r="G496" s="18">
        <f>IFERROR(
                  Andel_oberoende_av_klimat*VLOOKUP($A496,Leveranser_per_nät,'Leveranser per nät'!G$1,FALSE)
               +Andel_beroende_av_klimat*VLOOKUP($A496,Leveranser_per_nät,'Leveranser per nät'!G$1,FALSE)/VLOOKUP($B496,Korrigeringsfaktor_EI,'Korrigeringsfaktor EI'!G$1,FALSE),
"")</f>
        <v>47.739130434782602</v>
      </c>
      <c r="H496" s="18">
        <f>IFERROR(
                  Andel_oberoende_av_klimat*VLOOKUP($A496,Leveranser_per_nät,'Leveranser per nät'!H$1,FALSE)
               +Andel_beroende_av_klimat*VLOOKUP($A496,Leveranser_per_nät,'Leveranser per nät'!H$1,FALSE)/VLOOKUP($B496,Korrigeringsfaktor_EI,'Korrigeringsfaktor EI'!H$1,FALSE),
"")</f>
        <v>44.382352941176471</v>
      </c>
      <c r="I496" s="18">
        <f>IFERROR(
                  Andel_oberoende_av_klimat*VLOOKUP($A496,Leveranser_per_nät,'Leveranser per nät'!I$1,FALSE)
               +Andel_beroende_av_klimat*VLOOKUP($A496,Leveranser_per_nät,'Leveranser per nät'!I$1,FALSE)/VLOOKUP($B496,Korrigeringsfaktor_EI,'Korrigeringsfaktor EI'!I$1,FALSE),
"")</f>
        <v>28.344643298969075</v>
      </c>
      <c r="J496" s="18">
        <f>IFERROR(
                  Andel_oberoende_av_klimat*VLOOKUP($A496,Leveranser_per_nät,'Leveranser per nät'!J$1,FALSE)
               +Andel_beroende_av_klimat*VLOOKUP($A496,Leveranser_per_nät,'Leveranser per nät'!J$1,FALSE)/VLOOKUP($B496,Korrigeringsfaktor_EI,'Korrigeringsfaktor EI'!J$1,FALSE),
"")</f>
        <v>44.759487499999999</v>
      </c>
      <c r="K496" s="18">
        <f>IFERROR(
                  Andel_oberoende_av_klimat*VLOOKUP($A496,Leveranser_per_nät,'Leveranser per nät'!K$1,FALSE)
               +Andel_beroende_av_klimat*VLOOKUP($A496,Leveranser_per_nät,'Leveranser per nät'!K$1,FALSE)/VLOOKUP($B496,Korrigeringsfaktor_EI,'Korrigeringsfaktor EI'!K$1,FALSE),
"")</f>
        <v>48.581812499999998</v>
      </c>
      <c r="L496" s="18">
        <f>IFERROR(
                  Andel_oberoende_av_klimat*VLOOKUP($A496,Leveranser_per_nät,'Leveranser per nät'!L$1,FALSE)
               +Andel_beroende_av_klimat*VLOOKUP($A496,Leveranser_per_nät,'Leveranser per nät'!L$1,FALSE)/VLOOKUP($B496,Korrigeringsfaktor_EI,'Korrigeringsfaktor EI'!L$1,FALSE),
"")</f>
        <v>45.480011329679087</v>
      </c>
      <c r="M496" s="18">
        <f>IFERROR(
                  Andel_oberoende_av_klimat*VLOOKUP($A496,Leveranser_per_nät,'Leveranser per nät'!M$1,FALSE)
               +Andel_beroende_av_klimat*VLOOKUP($A496,Leveranser_per_nät,'Leveranser per nät'!M$1,FALSE)/VLOOKUP($B496,Korrigeringsfaktor_EI,'Korrigeringsfaktor EI'!M$1,FALSE),
"")</f>
        <v>19.202799999999996</v>
      </c>
      <c r="N496" s="18">
        <f>IFERROR(
                  Andel_oberoende_av_klimat*VLOOKUP($A496,Leveranser_per_nät,'Leveranser per nät'!N$1,FALSE)
               +Andel_beroende_av_klimat*VLOOKUP($A496,Leveranser_per_nät,'Leveranser per nät'!N$1,FALSE)/VLOOKUP($B496,Korrigeringsfaktor_EI,'Korrigeringsfaktor EI'!N$1,FALSE),
"")</f>
        <v>4.7739130434782613</v>
      </c>
      <c r="O496" s="18">
        <f>IFERROR(
                  Andel_oberoende_av_klimat*VLOOKUP($A496,Leveranser_per_nät,'Leveranser per nät'!O$1,FALSE)
               +Andel_beroende_av_klimat*VLOOKUP($A496,Leveranser_per_nät,'Leveranser per nät'!O$1,FALSE)/VLOOKUP($B496,Korrigeringsfaktor_EI,'Korrigeringsfaktor EI'!O$1,FALSE),
"")</f>
        <v>21.447777777777773</v>
      </c>
      <c r="P496" s="18">
        <f>IFERROR(
                  Andel_oberoende_av_klimat*VLOOKUP($A496,Leveranser_per_nät,'Leveranser per nät'!P$1,FALSE)
               +Andel_beroende_av_klimat*VLOOKUP($A496,Leveranser_per_nät,'Leveranser per nät'!P$1,FALSE)/VLOOKUP($B496,Korrigeringsfaktor_EI,'Korrigeringsfaktor EI'!P$1,FALSE),
"")</f>
        <v>19.142500000000002</v>
      </c>
      <c r="Q496" s="18">
        <f>IFERROR(
                  Andel_oberoende_av_klimat*VLOOKUP($A496,Leveranser_per_nät,'Leveranser per nät'!Q$1,FALSE)
               +Andel_beroende_av_klimat*VLOOKUP($A496,Leveranser_per_nät,'Leveranser per nät'!Q$1,FALSE)/VLOOKUP($B496,Korrigeringsfaktor_EI,'Korrigeringsfaktor EI'!Q$1,FALSE),
"")</f>
        <v>20.529711711711709</v>
      </c>
      <c r="R496" s="18">
        <f>IFERROR(
                  Andel_oberoende_av_klimat*VLOOKUP($A496,Leveranser_per_nät,'Leveranser per nät'!R$1,FALSE)
               +Andel_beroende_av_klimat*VLOOKUP($A496,Leveranser_per_nät,'Leveranser per nät'!R$1,FALSE)/VLOOKUP($B496,Korrigeringsfaktor_EI,'Korrigeringsfaktor EI'!R$1,FALSE),
"")</f>
        <v>19.83111111111111</v>
      </c>
      <c r="S496" s="18">
        <f>IFERROR(
                  Andel_oberoende_av_klimat*VLOOKUP($A496,Leveranser_per_nät,'Leveranser per nät'!S$1,FALSE)
               +Andel_beroende_av_klimat*VLOOKUP($A496,Leveranser_per_nät,'Leveranser per nät'!S$1,FALSE)/VLOOKUP($B496,Korrigeringsfaktor_EI,'Korrigeringsfaktor EI'!S$1,FALSE),
"")</f>
        <v>19.738585858585861</v>
      </c>
      <c r="T496" s="18">
        <f>IFERROR(
                  Andel_oberoende_av_klimat*VLOOKUP($A496,Leveranser_per_nät,'Leveranser per nät'!T$1,FALSE)
               +Andel_beroende_av_klimat*VLOOKUP($A496,Leveranser_per_nät,'Leveranser per nät'!T$1,FALSE)/VLOOKUP($B496,Korrigeringsfaktor_EI,'Korrigeringsfaktor EI'!T$1,FALSE),
"")</f>
        <v>27.272916666666667</v>
      </c>
      <c r="U496" s="18">
        <f>IFERROR(
                  Andel_oberoende_av_klimat*VLOOKUP($A496,Leveranser_per_nät,'Leveranser per nät'!U$1,FALSE)
               +Andel_beroende_av_klimat*VLOOKUP($A496,Leveranser_per_nät,'Leveranser per nät'!U$1,FALSE)/VLOOKUP($B496,Korrigeringsfaktor_EI,'Korrigeringsfaktor EI'!U$1,FALSE),
"")</f>
        <v>18.557241379310348</v>
      </c>
      <c r="V496" s="18">
        <f>IFERROR(
                  Andel_oberoende_av_klimat*VLOOKUP($A496,Leveranser_per_nät,'Leveranser per nät'!V$1,FALSE)
               +Andel_beroende_av_klimat*VLOOKUP($A496,Leveranser_per_nät,'Leveranser per nät'!V$1,FALSE)/VLOOKUP($B496,Korrigeringsfaktor_EI,'Korrigeringsfaktor EI'!V$1,FALSE),
"")</f>
        <v>19.46</v>
      </c>
      <c r="W496" s="18">
        <f>IFERROR(
                  Andel_oberoende_av_klimat*VLOOKUP($A496,Leveranser_per_nät,'Leveranser per nät'!W$1,FALSE)
               +Andel_beroende_av_klimat*VLOOKUP($A496,Leveranser_per_nät,'Leveranser per nät'!W$1,FALSE)/VLOOKUP($B496,Korrigeringsfaktor_EI,'Korrigeringsfaktor EI'!W$1,FALSE),
"")</f>
        <v>18.97421052631579</v>
      </c>
      <c r="X496" s="18">
        <f>IFERROR(
                  Andel_oberoende_av_klimat*VLOOKUP($A496,Leveranser_per_nät,'Leveranser per nät'!X$1,FALSE)
               +Andel_beroende_av_klimat*VLOOKUP($A496,Leveranser_per_nät,'Leveranser per nät'!X$1,FALSE)/VLOOKUP($B496,Korrigeringsfaktor_EI,'Korrigeringsfaktor EI'!X$1,FALSE),
"")</f>
        <v>18.422083333333333</v>
      </c>
      <c r="Y496" s="18">
        <f>IFERROR(
                  Andel_oberoende_av_klimat*VLOOKUP($A496,Leveranser_per_nät,'Leveranser per nät'!Y$1,FALSE)
               +Andel_beroende_av_klimat*VLOOKUP($A496,Leveranser_per_nät,'Leveranser per nät'!Y$1,FALSE)/VLOOKUP($B496,Korrigeringsfaktor_EI,'Korrigeringsfaktor EI'!Y$1,FALSE),
"")</f>
        <v>18.208765217391306</v>
      </c>
      <c r="Z496" s="18">
        <f>IFERROR(
                  Andel_oberoende_av_klimat*VLOOKUP($A496,Leveranser_per_nät,'Leveranser per nät'!Z$1,FALSE)
               +Andel_beroende_av_klimat*VLOOKUP($A496,Leveranser_per_nät,'Leveranser per nät'!Z$1,FALSE)/VLOOKUP($B496,Korrigeringsfaktor_EI,'Korrigeringsfaktor EI'!Z$1,FALSE),
"")</f>
        <v>16.989334408602147</v>
      </c>
      <c r="AA496" s="18">
        <f>IFERROR(
                  Andel_oberoende_av_klimat*VLOOKUP($A496,Leveranser_per_nät,'Leveranser per nät'!AA$1,FALSE)
               +Andel_beroende_av_klimat*VLOOKUP($A496,Leveranser_per_nät,'Leveranser per nät'!AA$1,FALSE)/VLOOKUP($B496,Korrigeringsfaktor_EI,'Korrigeringsfaktor EI'!AA$1,FALSE),
"")</f>
        <v>16.112104200323103</v>
      </c>
      <c r="AB496" s="18">
        <f>IFERROR(
                  Andel_oberoende_av_klimat*VLOOKUP($A496,Leveranser_per_nät,'Leveranser per nät'!AB$1,FALSE)
               +Andel_beroende_av_klimat*VLOOKUP($A496,Leveranser_per_nät,'Leveranser per nät'!AB$1,FALSE)/VLOOKUP($B496,Korrigeringsfaktor_EI,'Korrigeringsfaktor EI'!AB$1,FALSE),
"")</f>
        <v>16.331659841740851</v>
      </c>
      <c r="AC496" s="18">
        <f>IFERROR(
                  Andel_oberoende_av_klimat*VLOOKUP($A496,Leveranser_per_nät,'Leveranser per nät'!AC$1,FALSE)
               +Andel_beroende_av_klimat*VLOOKUP($A496,Leveranser_per_nät,'Leveranser per nät'!AC$1,FALSE)/VLOOKUP($B496,Korrigeringsfaktor_EI,'Korrigeringsfaktor EI'!AC$1,FALSE),
"")</f>
        <v>15.530974074074075</v>
      </c>
      <c r="AD496">
        <v>48.96</v>
      </c>
    </row>
    <row r="497" spans="1:30" x14ac:dyDescent="0.25">
      <c r="A497" t="s">
        <v>77</v>
      </c>
      <c r="B497" t="s">
        <v>165</v>
      </c>
      <c r="C497" s="18">
        <f>IFERROR(
                  Andel_oberoende_av_klimat*VLOOKUP($A497,Leveranser_per_nät,'Leveranser per nät'!C$1,FALSE)
               +Andel_beroende_av_klimat*VLOOKUP($A497,Leveranser_per_nät,'Leveranser per nät'!C$1,FALSE)/VLOOKUP($B497,Korrigeringsfaktor_EI,'Korrigeringsfaktor EI'!C$1,FALSE),
"")</f>
        <v>0</v>
      </c>
      <c r="D497" s="18">
        <f>IFERROR(
                  Andel_oberoende_av_klimat*VLOOKUP($A497,Leveranser_per_nät,'Leveranser per nät'!D$1,FALSE)
               +Andel_beroende_av_klimat*VLOOKUP($A497,Leveranser_per_nät,'Leveranser per nät'!D$1,FALSE)/VLOOKUP($B497,Korrigeringsfaktor_EI,'Korrigeringsfaktor EI'!D$1,FALSE),
"")</f>
        <v>0</v>
      </c>
      <c r="E497" s="18">
        <f>IFERROR(
                  Andel_oberoende_av_klimat*VLOOKUP($A497,Leveranser_per_nät,'Leveranser per nät'!E$1,FALSE)
               +Andel_beroende_av_klimat*VLOOKUP($A497,Leveranser_per_nät,'Leveranser per nät'!E$1,FALSE)/VLOOKUP($B497,Korrigeringsfaktor_EI,'Korrigeringsfaktor EI'!E$1,FALSE),
"")</f>
        <v>0</v>
      </c>
      <c r="F497" s="18">
        <f>IFERROR(
                  Andel_oberoende_av_klimat*VLOOKUP($A497,Leveranser_per_nät,'Leveranser per nät'!F$1,FALSE)
               +Andel_beroende_av_klimat*VLOOKUP($A497,Leveranser_per_nät,'Leveranser per nät'!F$1,FALSE)/VLOOKUP($B497,Korrigeringsfaktor_EI,'Korrigeringsfaktor EI'!F$1,FALSE),
"")</f>
        <v>0</v>
      </c>
      <c r="G497" s="18">
        <f>IFERROR(
                  Andel_oberoende_av_klimat*VLOOKUP($A497,Leveranser_per_nät,'Leveranser per nät'!G$1,FALSE)
               +Andel_beroende_av_klimat*VLOOKUP($A497,Leveranser_per_nät,'Leveranser per nät'!G$1,FALSE)/VLOOKUP($B497,Korrigeringsfaktor_EI,'Korrigeringsfaktor EI'!G$1,FALSE),
"")</f>
        <v>0</v>
      </c>
      <c r="H497" s="18">
        <f>IFERROR(
                  Andel_oberoende_av_klimat*VLOOKUP($A497,Leveranser_per_nät,'Leveranser per nät'!H$1,FALSE)
               +Andel_beroende_av_klimat*VLOOKUP($A497,Leveranser_per_nät,'Leveranser per nät'!H$1,FALSE)/VLOOKUP($B497,Korrigeringsfaktor_EI,'Korrigeringsfaktor EI'!H$1,FALSE),
"")</f>
        <v>0</v>
      </c>
      <c r="I497" s="18">
        <f>IFERROR(
                  Andel_oberoende_av_klimat*VLOOKUP($A497,Leveranser_per_nät,'Leveranser per nät'!I$1,FALSE)
               +Andel_beroende_av_klimat*VLOOKUP($A497,Leveranser_per_nät,'Leveranser per nät'!I$1,FALSE)/VLOOKUP($B497,Korrigeringsfaktor_EI,'Korrigeringsfaktor EI'!I$1,FALSE),
"")</f>
        <v>0</v>
      </c>
      <c r="J497" s="18">
        <f>IFERROR(
                  Andel_oberoende_av_klimat*VLOOKUP($A497,Leveranser_per_nät,'Leveranser per nät'!J$1,FALSE)
               +Andel_beroende_av_klimat*VLOOKUP($A497,Leveranser_per_nät,'Leveranser per nät'!J$1,FALSE)/VLOOKUP($B497,Korrigeringsfaktor_EI,'Korrigeringsfaktor EI'!J$1,FALSE),
"")</f>
        <v>0</v>
      </c>
      <c r="K497" s="18">
        <f>IFERROR(
                  Andel_oberoende_av_klimat*VLOOKUP($A497,Leveranser_per_nät,'Leveranser per nät'!K$1,FALSE)
               +Andel_beroende_av_klimat*VLOOKUP($A497,Leveranser_per_nät,'Leveranser per nät'!K$1,FALSE)/VLOOKUP($B497,Korrigeringsfaktor_EI,'Korrigeringsfaktor EI'!K$1,FALSE),
"")</f>
        <v>0</v>
      </c>
      <c r="L497" s="18">
        <f>IFERROR(
                  Andel_oberoende_av_klimat*VLOOKUP($A497,Leveranser_per_nät,'Leveranser per nät'!L$1,FALSE)
               +Andel_beroende_av_klimat*VLOOKUP($A497,Leveranser_per_nät,'Leveranser per nät'!L$1,FALSE)/VLOOKUP($B497,Korrigeringsfaktor_EI,'Korrigeringsfaktor EI'!L$1,FALSE),
"")</f>
        <v>15.510890171788379</v>
      </c>
      <c r="M497" s="18">
        <f>IFERROR(
                  Andel_oberoende_av_klimat*VLOOKUP($A497,Leveranser_per_nät,'Leveranser per nät'!M$1,FALSE)
               +Andel_beroende_av_klimat*VLOOKUP($A497,Leveranser_per_nät,'Leveranser per nät'!M$1,FALSE)/VLOOKUP($B497,Korrigeringsfaktor_EI,'Korrigeringsfaktor EI'!M$1,FALSE),
"")</f>
        <v>11.949059574468087</v>
      </c>
      <c r="N497" s="18">
        <f>IFERROR(
                  Andel_oberoende_av_klimat*VLOOKUP($A497,Leveranser_per_nät,'Leveranser per nät'!N$1,FALSE)
               +Andel_beroende_av_klimat*VLOOKUP($A497,Leveranser_per_nät,'Leveranser per nät'!N$1,FALSE)/VLOOKUP($B497,Korrigeringsfaktor_EI,'Korrigeringsfaktor EI'!N$1,FALSE),
"")</f>
        <v>11.859400000000001</v>
      </c>
      <c r="O497" s="18">
        <f>IFERROR(
                  Andel_oberoende_av_klimat*VLOOKUP($A497,Leveranser_per_nät,'Leveranser per nät'!O$1,FALSE)
               +Andel_beroende_av_klimat*VLOOKUP($A497,Leveranser_per_nät,'Leveranser per nät'!O$1,FALSE)/VLOOKUP($B497,Korrigeringsfaktor_EI,'Korrigeringsfaktor EI'!O$1,FALSE),
"")</f>
        <v>12.273291397849462</v>
      </c>
      <c r="P497" s="18">
        <f>IFERROR(
                  Andel_oberoende_av_klimat*VLOOKUP($A497,Leveranser_per_nät,'Leveranser per nät'!P$1,FALSE)
               +Andel_beroende_av_klimat*VLOOKUP($A497,Leveranser_per_nät,'Leveranser per nät'!P$1,FALSE)/VLOOKUP($B497,Korrigeringsfaktor_EI,'Korrigeringsfaktor EI'!P$1,FALSE),
"")</f>
        <v>13.963547524752475</v>
      </c>
      <c r="Q497" s="18">
        <f>IFERROR(
                  Andel_oberoende_av_klimat*VLOOKUP($A497,Leveranser_per_nät,'Leveranser per nät'!Q$1,FALSE)
               +Andel_beroende_av_klimat*VLOOKUP($A497,Leveranser_per_nät,'Leveranser per nät'!Q$1,FALSE)/VLOOKUP($B497,Korrigeringsfaktor_EI,'Korrigeringsfaktor EI'!Q$1,FALSE),
"")</f>
        <v>13.630434782608699</v>
      </c>
      <c r="R497" s="18">
        <f>IFERROR(
                  Andel_oberoende_av_klimat*VLOOKUP($A497,Leveranser_per_nät,'Leveranser per nät'!R$1,FALSE)
               +Andel_beroende_av_klimat*VLOOKUP($A497,Leveranser_per_nät,'Leveranser per nät'!R$1,FALSE)/VLOOKUP($B497,Korrigeringsfaktor_EI,'Korrigeringsfaktor EI'!R$1,FALSE),
"")</f>
        <v>13.527091787234042</v>
      </c>
      <c r="S497" s="18">
        <f>IFERROR(
                  Andel_oberoende_av_klimat*VLOOKUP($A497,Leveranser_per_nät,'Leveranser per nät'!S$1,FALSE)
               +Andel_beroende_av_klimat*VLOOKUP($A497,Leveranser_per_nät,'Leveranser per nät'!S$1,FALSE)/VLOOKUP($B497,Korrigeringsfaktor_EI,'Korrigeringsfaktor EI'!S$1,FALSE),
"")</f>
        <v>13.827568627450979</v>
      </c>
      <c r="T497" s="18">
        <f>IFERROR(
                  Andel_oberoende_av_klimat*VLOOKUP($A497,Leveranser_per_nät,'Leveranser per nät'!T$1,FALSE)
               +Andel_beroende_av_klimat*VLOOKUP($A497,Leveranser_per_nät,'Leveranser per nät'!T$1,FALSE)/VLOOKUP($B497,Korrigeringsfaktor_EI,'Korrigeringsfaktor EI'!T$1,FALSE),
"")</f>
        <v>13.784142857142857</v>
      </c>
      <c r="U497" s="18">
        <f>IFERROR(
                  Andel_oberoende_av_klimat*VLOOKUP($A497,Leveranser_per_nät,'Leveranser per nät'!U$1,FALSE)
               +Andel_beroende_av_klimat*VLOOKUP($A497,Leveranser_per_nät,'Leveranser per nät'!U$1,FALSE)/VLOOKUP($B497,Korrigeringsfaktor_EI,'Korrigeringsfaktor EI'!U$1,FALSE),
"")</f>
        <v>14.051217391304348</v>
      </c>
      <c r="V497" s="18">
        <f>IFERROR(
                  Andel_oberoende_av_klimat*VLOOKUP($A497,Leveranser_per_nät,'Leveranser per nät'!V$1,FALSE)
               +Andel_beroende_av_klimat*VLOOKUP($A497,Leveranser_per_nät,'Leveranser per nät'!V$1,FALSE)/VLOOKUP($B497,Korrigeringsfaktor_EI,'Korrigeringsfaktor EI'!V$1,FALSE),
"")</f>
        <v>13.476382978723406</v>
      </c>
      <c r="W497" s="18">
        <f>IFERROR(
                  Andel_oberoende_av_klimat*VLOOKUP($A497,Leveranser_per_nät,'Leveranser per nät'!W$1,FALSE)
               +Andel_beroende_av_klimat*VLOOKUP($A497,Leveranser_per_nät,'Leveranser per nät'!W$1,FALSE)/VLOOKUP($B497,Korrigeringsfaktor_EI,'Korrigeringsfaktor EI'!W$1,FALSE),
"")</f>
        <v>14.303092783505155</v>
      </c>
      <c r="X497" s="18">
        <f>IFERROR(
                  Andel_oberoende_av_klimat*VLOOKUP($A497,Leveranser_per_nät,'Leveranser per nät'!X$1,FALSE)
               +Andel_beroende_av_klimat*VLOOKUP($A497,Leveranser_per_nät,'Leveranser per nät'!X$1,FALSE)/VLOOKUP($B497,Korrigeringsfaktor_EI,'Korrigeringsfaktor EI'!X$1,FALSE),
"")</f>
        <v>14.30541666666667</v>
      </c>
      <c r="Y497" s="18">
        <f>IFERROR(
                  Andel_oberoende_av_klimat*VLOOKUP($A497,Leveranser_per_nät,'Leveranser per nät'!Y$1,FALSE)
               +Andel_beroende_av_klimat*VLOOKUP($A497,Leveranser_per_nät,'Leveranser per nät'!Y$1,FALSE)/VLOOKUP($B497,Korrigeringsfaktor_EI,'Korrigeringsfaktor EI'!Y$1,FALSE),
"")</f>
        <v>15.685053763440861</v>
      </c>
      <c r="Z497" s="18">
        <f>IFERROR(
                  Andel_oberoende_av_klimat*VLOOKUP($A497,Leveranser_per_nät,'Leveranser per nät'!Z$1,FALSE)
               +Andel_beroende_av_klimat*VLOOKUP($A497,Leveranser_per_nät,'Leveranser per nät'!Z$1,FALSE)/VLOOKUP($B497,Korrigeringsfaktor_EI,'Korrigeringsfaktor EI'!Z$1,FALSE),
"")</f>
        <v>16.421935483870968</v>
      </c>
      <c r="AA497" s="18">
        <f>IFERROR(
                  Andel_oberoende_av_klimat*VLOOKUP($A497,Leveranser_per_nät,'Leveranser per nät'!AA$1,FALSE)
               +Andel_beroende_av_klimat*VLOOKUP($A497,Leveranser_per_nät,'Leveranser per nät'!AA$1,FALSE)/VLOOKUP($B497,Korrigeringsfaktor_EI,'Korrigeringsfaktor EI'!AA$1,FALSE),
"")</f>
        <v>15.809101315148562</v>
      </c>
      <c r="AB497" s="18">
        <f>IFERROR(
                  Andel_oberoende_av_klimat*VLOOKUP($A497,Leveranser_per_nät,'Leveranser per nät'!AB$1,FALSE)
               +Andel_beroende_av_klimat*VLOOKUP($A497,Leveranser_per_nät,'Leveranser per nät'!AB$1,FALSE)/VLOOKUP($B497,Korrigeringsfaktor_EI,'Korrigeringsfaktor EI'!AB$1,FALSE),
"")</f>
        <v>17.259803921568629</v>
      </c>
      <c r="AC497" s="18">
        <f>IFERROR(
                  Andel_oberoende_av_klimat*VLOOKUP($A497,Leveranser_per_nät,'Leveranser per nät'!AC$1,FALSE)
               +Andel_beroende_av_klimat*VLOOKUP($A497,Leveranser_per_nät,'Leveranser per nät'!AC$1,FALSE)/VLOOKUP($B497,Korrigeringsfaktor_EI,'Korrigeringsfaktor EI'!AC$1,FALSE),
"")</f>
        <v>17.49698312236287</v>
      </c>
      <c r="AD497">
        <v>301.7</v>
      </c>
    </row>
    <row r="498" spans="1:30" x14ac:dyDescent="0.25">
      <c r="A498" t="s">
        <v>482</v>
      </c>
      <c r="B498" t="s">
        <v>482</v>
      </c>
      <c r="C498" s="18">
        <f>IFERROR(
                  Andel_oberoende_av_klimat*VLOOKUP($A498,Leveranser_per_nät,'Leveranser per nät'!C$1,FALSE)
               +Andel_beroende_av_klimat*VLOOKUP($A498,Leveranser_per_nät,'Leveranser per nät'!C$1,FALSE)/VLOOKUP("Ljungby",Korrigeringsfaktor_EI,'Korrigeringsfaktor EI'!C$1,FALSE),
"")</f>
        <v>0</v>
      </c>
      <c r="D498" s="18">
        <f>IFERROR(
                  Andel_oberoende_av_klimat*VLOOKUP($A498,Leveranser_per_nät,'Leveranser per nät'!D$1,FALSE)
               +Andel_beroende_av_klimat*VLOOKUP($A498,Leveranser_per_nät,'Leveranser per nät'!D$1,FALSE)/VLOOKUP("Ljungby",Korrigeringsfaktor_EI,'Korrigeringsfaktor EI'!D$1,FALSE),
"")</f>
        <v>0</v>
      </c>
      <c r="E498" s="18">
        <f>IFERROR(
                  Andel_oberoende_av_klimat*VLOOKUP($A498,Leveranser_per_nät,'Leveranser per nät'!E$1,FALSE)
               +Andel_beroende_av_klimat*VLOOKUP($A498,Leveranser_per_nät,'Leveranser per nät'!E$1,FALSE)/VLOOKUP("Ljungby",Korrigeringsfaktor_EI,'Korrigeringsfaktor EI'!E$1,FALSE),
"")</f>
        <v>0</v>
      </c>
      <c r="F498" s="18">
        <f>IFERROR(
                  Andel_oberoende_av_klimat*VLOOKUP($A498,Leveranser_per_nät,'Leveranser per nät'!F$1,FALSE)
               +Andel_beroende_av_klimat*VLOOKUP($A498,Leveranser_per_nät,'Leveranser per nät'!F$1,FALSE)/VLOOKUP("Ljungby",Korrigeringsfaktor_EI,'Korrigeringsfaktor EI'!F$1,FALSE),
"")</f>
        <v>0</v>
      </c>
      <c r="G498" s="18">
        <f>IFERROR(
                  Andel_oberoende_av_klimat*VLOOKUP($A498,Leveranser_per_nät,'Leveranser per nät'!G$1,FALSE)
               +Andel_beroende_av_klimat*VLOOKUP($A498,Leveranser_per_nät,'Leveranser per nät'!G$1,FALSE)/VLOOKUP("Ljungby",Korrigeringsfaktor_EI,'Korrigeringsfaktor EI'!G$1,FALSE),
"")</f>
        <v>0</v>
      </c>
      <c r="H498" s="18">
        <f>IFERROR(
                  Andel_oberoende_av_klimat*VLOOKUP($A498,Leveranser_per_nät,'Leveranser per nät'!H$1,FALSE)
               +Andel_beroende_av_klimat*VLOOKUP($A498,Leveranser_per_nät,'Leveranser per nät'!H$1,FALSE)/VLOOKUP("Ljungby",Korrigeringsfaktor_EI,'Korrigeringsfaktor EI'!H$1,FALSE),
"")</f>
        <v>0</v>
      </c>
      <c r="I498" s="18">
        <f>IFERROR(
                  Andel_oberoende_av_klimat*VLOOKUP($A498,Leveranser_per_nät,'Leveranser per nät'!I$1,FALSE)
               +Andel_beroende_av_klimat*VLOOKUP($A498,Leveranser_per_nät,'Leveranser per nät'!I$1,FALSE)/VLOOKUP("Ljungby",Korrigeringsfaktor_EI,'Korrigeringsfaktor EI'!I$1,FALSE),
"")</f>
        <v>0</v>
      </c>
      <c r="J498" s="18">
        <f>IFERROR(
                  Andel_oberoende_av_klimat*VLOOKUP($A498,Leveranser_per_nät,'Leveranser per nät'!J$1,FALSE)
               +Andel_beroende_av_klimat*VLOOKUP($A498,Leveranser_per_nät,'Leveranser per nät'!J$1,FALSE)/VLOOKUP("Ljungby",Korrigeringsfaktor_EI,'Korrigeringsfaktor EI'!J$1,FALSE),
"")</f>
        <v>0</v>
      </c>
      <c r="K498" s="18">
        <f>IFERROR(
                  Andel_oberoende_av_klimat*VLOOKUP($A498,Leveranser_per_nät,'Leveranser per nät'!K$1,FALSE)
               +Andel_beroende_av_klimat*VLOOKUP($A498,Leveranser_per_nät,'Leveranser per nät'!K$1,FALSE)/VLOOKUP("Ljungby",Korrigeringsfaktor_EI,'Korrigeringsfaktor EI'!K$1,FALSE),
"")</f>
        <v>0</v>
      </c>
      <c r="L498" s="18">
        <f>IFERROR(
                  Andel_oberoende_av_klimat*VLOOKUP($A498,Leveranser_per_nät,'Leveranser per nät'!L$1,FALSE)
               +Andel_beroende_av_klimat*VLOOKUP($A498,Leveranser_per_nät,'Leveranser per nät'!L$1,FALSE)/VLOOKUP("Ljungby",Korrigeringsfaktor_EI,'Korrigeringsfaktor EI'!L$1,FALSE),
"")</f>
        <v>0</v>
      </c>
      <c r="M498" s="18">
        <f>IFERROR(
                  Andel_oberoende_av_klimat*VLOOKUP($A498,Leveranser_per_nät,'Leveranser per nät'!M$1,FALSE)
               +Andel_beroende_av_klimat*VLOOKUP($A498,Leveranser_per_nät,'Leveranser per nät'!M$1,FALSE)/VLOOKUP("Ljungby",Korrigeringsfaktor_EI,'Korrigeringsfaktor EI'!M$1,FALSE),
"")</f>
        <v>0</v>
      </c>
      <c r="N498" s="18">
        <f>IFERROR(
                  Andel_oberoende_av_klimat*VLOOKUP($A498,Leveranser_per_nät,'Leveranser per nät'!N$1,FALSE)
               +Andel_beroende_av_klimat*VLOOKUP($A498,Leveranser_per_nät,'Leveranser per nät'!N$1,FALSE)/VLOOKUP("Ljungby",Korrigeringsfaktor_EI,'Korrigeringsfaktor EI'!N$1,FALSE),
"")</f>
        <v>0</v>
      </c>
      <c r="O498" s="18">
        <f>IFERROR(
                  Andel_oberoende_av_klimat*VLOOKUP($A498,Leveranser_per_nät,'Leveranser per nät'!O$1,FALSE)
               +Andel_beroende_av_klimat*VLOOKUP($A498,Leveranser_per_nät,'Leveranser per nät'!O$1,FALSE)/VLOOKUP("Ljungby",Korrigeringsfaktor_EI,'Korrigeringsfaktor EI'!O$1,FALSE),
"")</f>
        <v>0</v>
      </c>
      <c r="P498" s="18">
        <f>IFERROR(
                  Andel_oberoende_av_klimat*VLOOKUP($A498,Leveranser_per_nät,'Leveranser per nät'!P$1,FALSE)
               +Andel_beroende_av_klimat*VLOOKUP($A498,Leveranser_per_nät,'Leveranser per nät'!P$1,FALSE)/VLOOKUP("Ljungby",Korrigeringsfaktor_EI,'Korrigeringsfaktor EI'!P$1,FALSE),
"")</f>
        <v>0</v>
      </c>
      <c r="Q498" s="18">
        <f>IFERROR(
                  Andel_oberoende_av_klimat*VLOOKUP($A498,Leveranser_per_nät,'Leveranser per nät'!Q$1,FALSE)
               +Andel_beroende_av_klimat*VLOOKUP($A498,Leveranser_per_nät,'Leveranser per nät'!Q$1,FALSE)/VLOOKUP("Ljungby",Korrigeringsfaktor_EI,'Korrigeringsfaktor EI'!Q$1,FALSE),
"")</f>
        <v>10.702252252252251</v>
      </c>
      <c r="R498" s="18">
        <f>IFERROR(
                  Andel_oberoende_av_klimat*VLOOKUP($A498,Leveranser_per_nät,'Leveranser per nät'!R$1,FALSE)
               +Andel_beroende_av_klimat*VLOOKUP($A498,Leveranser_per_nät,'Leveranser per nät'!R$1,FALSE)/VLOOKUP("Ljungby",Korrigeringsfaktor_EI,'Korrigeringsfaktor EI'!R$1,FALSE),
"")</f>
        <v>15.170434782608696</v>
      </c>
      <c r="S498" s="18">
        <f>IFERROR(
                  Andel_oberoende_av_klimat*VLOOKUP($A498,Leveranser_per_nät,'Leveranser per nät'!S$1,FALSE)
               +Andel_beroende_av_klimat*VLOOKUP($A498,Leveranser_per_nät,'Leveranser per nät'!S$1,FALSE)/VLOOKUP("Ljungby",Korrigeringsfaktor_EI,'Korrigeringsfaktor EI'!S$1,FALSE),
"")</f>
        <v>18.57039603960396</v>
      </c>
      <c r="T498" s="18">
        <f>IFERROR(
                  Andel_oberoende_av_klimat*VLOOKUP($A498,Leveranser_per_nät,'Leveranser per nät'!T$1,FALSE)
               +Andel_beroende_av_klimat*VLOOKUP($A498,Leveranser_per_nät,'Leveranser per nät'!T$1,FALSE)/VLOOKUP("Ljungby",Korrigeringsfaktor_EI,'Korrigeringsfaktor EI'!T$1,FALSE),
"")</f>
        <v>22.415714285714287</v>
      </c>
      <c r="U498" s="18">
        <f>IFERROR(
                  Andel_oberoende_av_klimat*VLOOKUP($A498,Leveranser_per_nät,'Leveranser per nät'!U$1,FALSE)
               +Andel_beroende_av_klimat*VLOOKUP($A498,Leveranser_per_nät,'Leveranser per nät'!U$1,FALSE)/VLOOKUP("Ljungby",Korrigeringsfaktor_EI,'Korrigeringsfaktor EI'!U$1,FALSE),
"")</f>
        <v>22.091954022988507</v>
      </c>
      <c r="V498" s="18">
        <f>IFERROR(
                  Andel_oberoende_av_klimat*VLOOKUP($A498,Leveranser_per_nät,'Leveranser per nät'!V$1,FALSE)
               +Andel_beroende_av_klimat*VLOOKUP($A498,Leveranser_per_nät,'Leveranser per nät'!V$1,FALSE)/VLOOKUP("Ljungby",Korrigeringsfaktor_EI,'Korrigeringsfaktor EI'!V$1,FALSE),
"")</f>
        <v>24.081739130434784</v>
      </c>
      <c r="W498" s="18">
        <f>IFERROR(
                  Andel_oberoende_av_klimat*VLOOKUP($A498,Leveranser_per_nät,'Leveranser per nät'!W$1,FALSE)
               +Andel_beroende_av_klimat*VLOOKUP($A498,Leveranser_per_nät,'Leveranser per nät'!W$1,FALSE)/VLOOKUP("Ljungby",Korrigeringsfaktor_EI,'Korrigeringsfaktor EI'!W$1,FALSE),
"")</f>
        <v>22.914210526315795</v>
      </c>
      <c r="X498" s="18">
        <f>IFERROR(
                  Andel_oberoende_av_klimat*VLOOKUP($A498,Leveranser_per_nät,'Leveranser per nät'!X$1,FALSE)
               +Andel_beroende_av_klimat*VLOOKUP($A498,Leveranser_per_nät,'Leveranser per nät'!X$1,FALSE)/VLOOKUP("Ljungby",Korrigeringsfaktor_EI,'Korrigeringsfaktor EI'!X$1,FALSE),
"")</f>
        <v>25.490212765957445</v>
      </c>
      <c r="Y498" s="18">
        <f>IFERROR(
                  Andel_oberoende_av_klimat*VLOOKUP($A498,Leveranser_per_nät,'Leveranser per nät'!Y$1,FALSE)
               +Andel_beroende_av_klimat*VLOOKUP($A498,Leveranser_per_nät,'Leveranser per nät'!Y$1,FALSE)/VLOOKUP($B498,Korrigeringsfaktor_EI,'Korrigeringsfaktor EI'!Y$1,FALSE),
"")</f>
        <v>27.358675862068967</v>
      </c>
      <c r="Z498" s="18">
        <f>IFERROR(
                  Andel_oberoende_av_klimat*VLOOKUP($A498,Leveranser_per_nät,'Leveranser per nät'!Z$1,FALSE)
               +Andel_beroende_av_klimat*VLOOKUP($A498,Leveranser_per_nät,'Leveranser per nät'!Z$1,FALSE)/VLOOKUP($B498,Korrigeringsfaktor_EI,'Korrigeringsfaktor EI'!Z$1,FALSE),
"")</f>
        <v>42.441323529411768</v>
      </c>
      <c r="AA498" s="18">
        <f>IFERROR(
                  Andel_oberoende_av_klimat*VLOOKUP($A498,Leveranser_per_nät,'Leveranser per nät'!AA$1,FALSE)
               +Andel_beroende_av_klimat*VLOOKUP($A498,Leveranser_per_nät,'Leveranser per nät'!AA$1,FALSE)/VLOOKUP($B498,Korrigeringsfaktor_EI,'Korrigeringsfaktor EI'!AA$1,FALSE),
"")</f>
        <v>39.755491155234651</v>
      </c>
      <c r="AB498" s="18">
        <f>IFERROR(
                  Andel_oberoende_av_klimat*VLOOKUP($A498,Leveranser_per_nät,'Leveranser per nät'!AB$1,FALSE)
               +Andel_beroende_av_klimat*VLOOKUP($A498,Leveranser_per_nät,'Leveranser per nät'!AB$1,FALSE)/VLOOKUP($B498,Korrigeringsfaktor_EI,'Korrigeringsfaktor EI'!AB$1,FALSE),
"")</f>
        <v>38.354020317145682</v>
      </c>
      <c r="AC498" s="18">
        <f>IFERROR(
                  Andel_oberoende_av_klimat*VLOOKUP($A498,Leveranser_per_nät,'Leveranser per nät'!AC$1,FALSE)
               +Andel_beroende_av_klimat*VLOOKUP($A498,Leveranser_per_nät,'Leveranser per nät'!AC$1,FALSE)/VLOOKUP($B498,Korrigeringsfaktor_EI,'Korrigeringsfaktor EI'!AC$1,FALSE),
"")</f>
        <v>37.480239616613417</v>
      </c>
      <c r="AD498">
        <v>35.85</v>
      </c>
    </row>
    <row r="499" spans="1:30" x14ac:dyDescent="0.25">
      <c r="A499" t="s">
        <v>40</v>
      </c>
      <c r="B499" t="s">
        <v>165</v>
      </c>
      <c r="C499" s="18">
        <f>IFERROR(
                  Andel_oberoende_av_klimat*VLOOKUP($A499,Leveranser_per_nät,'Leveranser per nät'!C$1,FALSE)
               +Andel_beroende_av_klimat*VLOOKUP($A499,Leveranser_per_nät,'Leveranser per nät'!C$1,FALSE)/VLOOKUP($B499,Korrigeringsfaktor_EI,'Korrigeringsfaktor EI'!C$1,FALSE),
"")</f>
        <v>0</v>
      </c>
      <c r="D499" s="18">
        <f>IFERROR(
                  Andel_oberoende_av_klimat*VLOOKUP($A499,Leveranser_per_nät,'Leveranser per nät'!D$1,FALSE)
               +Andel_beroende_av_klimat*VLOOKUP($A499,Leveranser_per_nät,'Leveranser per nät'!D$1,FALSE)/VLOOKUP($B499,Korrigeringsfaktor_EI,'Korrigeringsfaktor EI'!D$1,FALSE),
"")</f>
        <v>0</v>
      </c>
      <c r="E499" s="18">
        <f>IFERROR(
                  Andel_oberoende_av_klimat*VLOOKUP($A499,Leveranser_per_nät,'Leveranser per nät'!E$1,FALSE)
               +Andel_beroende_av_klimat*VLOOKUP($A499,Leveranser_per_nät,'Leveranser per nät'!E$1,FALSE)/VLOOKUP($B499,Korrigeringsfaktor_EI,'Korrigeringsfaktor EI'!E$1,FALSE),
"")</f>
        <v>0</v>
      </c>
      <c r="F499" s="18">
        <f>IFERROR(
                  Andel_oberoende_av_klimat*VLOOKUP($A499,Leveranser_per_nät,'Leveranser per nät'!F$1,FALSE)
               +Andel_beroende_av_klimat*VLOOKUP($A499,Leveranser_per_nät,'Leveranser per nät'!F$1,FALSE)/VLOOKUP($B499,Korrigeringsfaktor_EI,'Korrigeringsfaktor EI'!F$1,FALSE),
"")</f>
        <v>0</v>
      </c>
      <c r="G499" s="18">
        <f>IFERROR(
                  Andel_oberoende_av_klimat*VLOOKUP($A499,Leveranser_per_nät,'Leveranser per nät'!G$1,FALSE)
               +Andel_beroende_av_klimat*VLOOKUP($A499,Leveranser_per_nät,'Leveranser per nät'!G$1,FALSE)/VLOOKUP($B499,Korrigeringsfaktor_EI,'Korrigeringsfaktor EI'!G$1,FALSE),
"")</f>
        <v>0</v>
      </c>
      <c r="H499" s="18">
        <f>IFERROR(
                  Andel_oberoende_av_klimat*VLOOKUP($A499,Leveranser_per_nät,'Leveranser per nät'!H$1,FALSE)
               +Andel_beroende_av_klimat*VLOOKUP($A499,Leveranser_per_nät,'Leveranser per nät'!H$1,FALSE)/VLOOKUP($B499,Korrigeringsfaktor_EI,'Korrigeringsfaktor EI'!H$1,FALSE),
"")</f>
        <v>0</v>
      </c>
      <c r="I499" s="18">
        <f>IFERROR(
                  Andel_oberoende_av_klimat*VLOOKUP($A499,Leveranser_per_nät,'Leveranser per nät'!I$1,FALSE)
               +Andel_beroende_av_klimat*VLOOKUP($A499,Leveranser_per_nät,'Leveranser per nät'!I$1,FALSE)/VLOOKUP($B499,Korrigeringsfaktor_EI,'Korrigeringsfaktor EI'!I$1,FALSE),
"")</f>
        <v>0</v>
      </c>
      <c r="J499" s="18">
        <f>IFERROR(
                  Andel_oberoende_av_klimat*VLOOKUP($A499,Leveranser_per_nät,'Leveranser per nät'!J$1,FALSE)
               +Andel_beroende_av_klimat*VLOOKUP($A499,Leveranser_per_nät,'Leveranser per nät'!J$1,FALSE)/VLOOKUP($B499,Korrigeringsfaktor_EI,'Korrigeringsfaktor EI'!J$1,FALSE),
"")</f>
        <v>0</v>
      </c>
      <c r="K499" s="18">
        <f>IFERROR(
                  Andel_oberoende_av_klimat*VLOOKUP($A499,Leveranser_per_nät,'Leveranser per nät'!K$1,FALSE)
               +Andel_beroende_av_klimat*VLOOKUP($A499,Leveranser_per_nät,'Leveranser per nät'!K$1,FALSE)/VLOOKUP($B499,Korrigeringsfaktor_EI,'Korrigeringsfaktor EI'!K$1,FALSE),
"")</f>
        <v>0</v>
      </c>
      <c r="L499" s="18">
        <f>IFERROR(
                  Andel_oberoende_av_klimat*VLOOKUP($A499,Leveranser_per_nät,'Leveranser per nät'!L$1,FALSE)
               +Andel_beroende_av_klimat*VLOOKUP($A499,Leveranser_per_nät,'Leveranser per nät'!L$1,FALSE)/VLOOKUP($B499,Korrigeringsfaktor_EI,'Korrigeringsfaktor EI'!L$1,FALSE),
"")</f>
        <v>0</v>
      </c>
      <c r="M499" s="18">
        <f>IFERROR(
                  Andel_oberoende_av_klimat*VLOOKUP($A499,Leveranser_per_nät,'Leveranser per nät'!M$1,FALSE)
               +Andel_beroende_av_klimat*VLOOKUP($A499,Leveranser_per_nät,'Leveranser per nät'!M$1,FALSE)/VLOOKUP($B499,Korrigeringsfaktor_EI,'Korrigeringsfaktor EI'!M$1,FALSE),
"")</f>
        <v>0.50144680851063828</v>
      </c>
      <c r="N499" s="18">
        <f>IFERROR(
                  Andel_oberoende_av_klimat*VLOOKUP($A499,Leveranser_per_nät,'Leveranser per nät'!N$1,FALSE)
               +Andel_beroende_av_klimat*VLOOKUP($A499,Leveranser_per_nät,'Leveranser per nät'!N$1,FALSE)/VLOOKUP($B499,Korrigeringsfaktor_EI,'Korrigeringsfaktor EI'!N$1,FALSE),
"")</f>
        <v>0.50805263157894731</v>
      </c>
      <c r="O499" s="18">
        <f>IFERROR(
                  Andel_oberoende_av_klimat*VLOOKUP($A499,Leveranser_per_nät,'Leveranser per nät'!O$1,FALSE)
               +Andel_beroende_av_klimat*VLOOKUP($A499,Leveranser_per_nät,'Leveranser per nät'!O$1,FALSE)/VLOOKUP($B499,Korrigeringsfaktor_EI,'Korrigeringsfaktor EI'!O$1,FALSE),
"")</f>
        <v>0.51581720430107525</v>
      </c>
      <c r="P499" s="18">
        <f>IFERROR(
                  Andel_oberoende_av_klimat*VLOOKUP($A499,Leveranser_per_nät,'Leveranser per nät'!P$1,FALSE)
               +Andel_beroende_av_klimat*VLOOKUP($A499,Leveranser_per_nät,'Leveranser per nät'!P$1,FALSE)/VLOOKUP($B499,Korrigeringsfaktor_EI,'Korrigeringsfaktor EI'!P$1,FALSE),
"")</f>
        <v>0.51639603960396041</v>
      </c>
      <c r="Q499" s="18">
        <f>IFERROR(
                  Andel_oberoende_av_klimat*VLOOKUP($A499,Leveranser_per_nät,'Leveranser per nät'!Q$1,FALSE)
               +Andel_beroende_av_klimat*VLOOKUP($A499,Leveranser_per_nät,'Leveranser per nät'!Q$1,FALSE)/VLOOKUP($B499,Korrigeringsfaktor_EI,'Korrigeringsfaktor EI'!Q$1,FALSE),
"")</f>
        <v>0.5815652173913044</v>
      </c>
      <c r="R499" s="18">
        <f>IFERROR(
                  Andel_oberoende_av_klimat*VLOOKUP($A499,Leveranser_per_nät,'Leveranser per nät'!R$1,FALSE)
               +Andel_beroende_av_klimat*VLOOKUP($A499,Leveranser_per_nät,'Leveranser per nät'!R$1,FALSE)/VLOOKUP($B499,Korrigeringsfaktor_EI,'Korrigeringsfaktor EI'!R$1,FALSE),
"")</f>
        <v>0.59546808510638294</v>
      </c>
      <c r="S499" s="18">
        <f>IFERROR(
                  Andel_oberoende_av_klimat*VLOOKUP($A499,Leveranser_per_nät,'Leveranser per nät'!S$1,FALSE)
               +Andel_beroende_av_klimat*VLOOKUP($A499,Leveranser_per_nät,'Leveranser per nät'!S$1,FALSE)/VLOOKUP($B499,Korrigeringsfaktor_EI,'Korrigeringsfaktor EI'!S$1,FALSE),
"")</f>
        <v>0.55231372549019619</v>
      </c>
      <c r="T499" s="18">
        <f>IFERROR(
                  Andel_oberoende_av_klimat*VLOOKUP($A499,Leveranser_per_nät,'Leveranser per nät'!T$1,FALSE)
               +Andel_beroende_av_klimat*VLOOKUP($A499,Leveranser_per_nät,'Leveranser per nät'!T$1,FALSE)/VLOOKUP($B499,Korrigeringsfaktor_EI,'Korrigeringsfaktor EI'!T$1,FALSE),
"")</f>
        <v>0.53757142857142859</v>
      </c>
      <c r="U499" s="18">
        <f>IFERROR(
                  Andel_oberoende_av_klimat*VLOOKUP($A499,Leveranser_per_nät,'Leveranser per nät'!U$1,FALSE)
               +Andel_beroende_av_klimat*VLOOKUP($A499,Leveranser_per_nät,'Leveranser per nät'!U$1,FALSE)/VLOOKUP($B499,Korrigeringsfaktor_EI,'Korrigeringsfaktor EI'!U$1,FALSE),
"")</f>
        <v>0.45405217391304348</v>
      </c>
      <c r="V499" s="18">
        <f>IFERROR(
                  Andel_oberoende_av_klimat*VLOOKUP($A499,Leveranser_per_nät,'Leveranser per nät'!V$1,FALSE)
               +Andel_beroende_av_klimat*VLOOKUP($A499,Leveranser_per_nät,'Leveranser per nät'!V$1,FALSE)/VLOOKUP($B499,Korrigeringsfaktor_EI,'Korrigeringsfaktor EI'!V$1,FALSE),
"")</f>
        <v>0.51607234042553196</v>
      </c>
      <c r="W499" s="18">
        <f>IFERROR(
                  Andel_oberoende_av_klimat*VLOOKUP($A499,Leveranser_per_nät,'Leveranser per nät'!W$1,FALSE)
               +Andel_beroende_av_klimat*VLOOKUP($A499,Leveranser_per_nät,'Leveranser per nät'!W$1,FALSE)/VLOOKUP($B499,Korrigeringsfaktor_EI,'Korrigeringsfaktor EI'!W$1,FALSE),
"")</f>
        <v>0.57212371134020623</v>
      </c>
      <c r="X499" s="18">
        <f>IFERROR(
                  Andel_oberoende_av_klimat*VLOOKUP($A499,Leveranser_per_nät,'Leveranser per nät'!X$1,FALSE)
               +Andel_beroende_av_klimat*VLOOKUP($A499,Leveranser_per_nät,'Leveranser per nät'!X$1,FALSE)/VLOOKUP($B499,Korrigeringsfaktor_EI,'Korrigeringsfaktor EI'!X$1,FALSE),
"")</f>
        <v>0.60514999999999997</v>
      </c>
      <c r="Y499" s="18">
        <f>IFERROR(
                  Andel_oberoende_av_klimat*VLOOKUP($A499,Leveranser_per_nät,'Leveranser per nät'!Y$1,FALSE)
               +Andel_beroende_av_klimat*VLOOKUP($A499,Leveranser_per_nät,'Leveranser per nät'!Y$1,FALSE)/VLOOKUP($B499,Korrigeringsfaktor_EI,'Korrigeringsfaktor EI'!Y$1,FALSE),
"")</f>
        <v>0.58318924731182797</v>
      </c>
      <c r="Z499" s="18">
        <f>IFERROR(
                  Andel_oberoende_av_klimat*VLOOKUP($A499,Leveranser_per_nät,'Leveranser per nät'!Z$1,FALSE)
               +Andel_beroende_av_klimat*VLOOKUP($A499,Leveranser_per_nät,'Leveranser per nät'!Z$1,FALSE)/VLOOKUP($B499,Korrigeringsfaktor_EI,'Korrigeringsfaktor EI'!Z$1,FALSE),
"")</f>
        <v>0.49792150537634405</v>
      </c>
      <c r="AA499" s="18">
        <f>IFERROR(
                  Andel_oberoende_av_klimat*VLOOKUP($A499,Leveranser_per_nät,'Leveranser per nät'!AA$1,FALSE)
               +Andel_beroende_av_klimat*VLOOKUP($A499,Leveranser_per_nät,'Leveranser per nät'!AA$1,FALSE)/VLOOKUP($B499,Korrigeringsfaktor_EI,'Korrigeringsfaktor EI'!AA$1,FALSE),
"")</f>
        <v>0.49557608377983442</v>
      </c>
      <c r="AB499" s="18">
        <f>IFERROR(
                  Andel_oberoende_av_klimat*VLOOKUP($A499,Leveranser_per_nät,'Leveranser per nät'!AB$1,FALSE)
               +Andel_beroende_av_klimat*VLOOKUP($A499,Leveranser_per_nät,'Leveranser per nät'!AB$1,FALSE)/VLOOKUP($B499,Korrigeringsfaktor_EI,'Korrigeringsfaktor EI'!AB$1,FALSE),
"")</f>
        <v>0.50201372549019607</v>
      </c>
      <c r="AC499" s="18">
        <f>IFERROR(
                  Andel_oberoende_av_klimat*VLOOKUP($A499,Leveranser_per_nät,'Leveranser per nät'!AC$1,FALSE)
               +Andel_beroende_av_klimat*VLOOKUP($A499,Leveranser_per_nät,'Leveranser per nät'!AC$1,FALSE)/VLOOKUP($B499,Korrigeringsfaktor_EI,'Korrigeringsfaktor EI'!AC$1,FALSE),
"")</f>
        <v>0.51192953586497891</v>
      </c>
      <c r="AD499">
        <v>301.7</v>
      </c>
    </row>
    <row r="500" spans="1:30" x14ac:dyDescent="0.25">
      <c r="A500" t="s">
        <v>310</v>
      </c>
      <c r="B500" t="s">
        <v>310</v>
      </c>
      <c r="C500" s="18">
        <f>IFERROR(
                  Andel_oberoende_av_klimat*VLOOKUP($A500,Leveranser_per_nät,'Leveranser per nät'!C$1,FALSE)
               +Andel_beroende_av_klimat*VLOOKUP($A500,Leveranser_per_nät,'Leveranser per nät'!C$1,FALSE)/VLOOKUP($B500,Korrigeringsfaktor_EI,'Korrigeringsfaktor EI'!C$1,FALSE),
"")</f>
        <v>0</v>
      </c>
      <c r="D500" s="18">
        <f>IFERROR(
                  Andel_oberoende_av_klimat*VLOOKUP($A500,Leveranser_per_nät,'Leveranser per nät'!D$1,FALSE)
               +Andel_beroende_av_klimat*VLOOKUP($A500,Leveranser_per_nät,'Leveranser per nät'!D$1,FALSE)/VLOOKUP($B500,Korrigeringsfaktor_EI,'Korrigeringsfaktor EI'!D$1,FALSE),
"")</f>
        <v>0</v>
      </c>
      <c r="E500" s="18">
        <f>IFERROR(
                  Andel_oberoende_av_klimat*VLOOKUP($A500,Leveranser_per_nät,'Leveranser per nät'!E$1,FALSE)
               +Andel_beroende_av_klimat*VLOOKUP($A500,Leveranser_per_nät,'Leveranser per nät'!E$1,FALSE)/VLOOKUP($B500,Korrigeringsfaktor_EI,'Korrigeringsfaktor EI'!E$1,FALSE),
"")</f>
        <v>0</v>
      </c>
      <c r="F500" s="18">
        <f>IFERROR(
                  Andel_oberoende_av_klimat*VLOOKUP($A500,Leveranser_per_nät,'Leveranser per nät'!F$1,FALSE)
               +Andel_beroende_av_klimat*VLOOKUP($A500,Leveranser_per_nät,'Leveranser per nät'!F$1,FALSE)/VLOOKUP($B500,Korrigeringsfaktor_EI,'Korrigeringsfaktor EI'!F$1,FALSE),
"")</f>
        <v>0</v>
      </c>
      <c r="G500" s="18">
        <f>IFERROR(
                  Andel_oberoende_av_klimat*VLOOKUP($A500,Leveranser_per_nät,'Leveranser per nät'!G$1,FALSE)
               +Andel_beroende_av_klimat*VLOOKUP($A500,Leveranser_per_nät,'Leveranser per nät'!G$1,FALSE)/VLOOKUP($B500,Korrigeringsfaktor_EI,'Korrigeringsfaktor EI'!G$1,FALSE),
"")</f>
        <v>0</v>
      </c>
      <c r="H500" s="18">
        <f>IFERROR(
                  Andel_oberoende_av_klimat*VLOOKUP($A500,Leveranser_per_nät,'Leveranser per nät'!H$1,FALSE)
               +Andel_beroende_av_klimat*VLOOKUP($A500,Leveranser_per_nät,'Leveranser per nät'!H$1,FALSE)/VLOOKUP($B500,Korrigeringsfaktor_EI,'Korrigeringsfaktor EI'!H$1,FALSE),
"")</f>
        <v>0</v>
      </c>
      <c r="I500" s="18">
        <f>IFERROR(
                  Andel_oberoende_av_klimat*VLOOKUP($A500,Leveranser_per_nät,'Leveranser per nät'!I$1,FALSE)
               +Andel_beroende_av_klimat*VLOOKUP($A500,Leveranser_per_nät,'Leveranser per nät'!I$1,FALSE)/VLOOKUP($B500,Korrigeringsfaktor_EI,'Korrigeringsfaktor EI'!I$1,FALSE),
"")</f>
        <v>0</v>
      </c>
      <c r="J500" s="18">
        <f>IFERROR(
                  Andel_oberoende_av_klimat*VLOOKUP($A500,Leveranser_per_nät,'Leveranser per nät'!J$1,FALSE)
               +Andel_beroende_av_klimat*VLOOKUP($A500,Leveranser_per_nät,'Leveranser per nät'!J$1,FALSE)/VLOOKUP($B500,Korrigeringsfaktor_EI,'Korrigeringsfaktor EI'!J$1,FALSE),
"")</f>
        <v>0</v>
      </c>
      <c r="K500" s="18">
        <f>IFERROR(
                  Andel_oberoende_av_klimat*VLOOKUP($A500,Leveranser_per_nät,'Leveranser per nät'!K$1,FALSE)
               +Andel_beroende_av_klimat*VLOOKUP($A500,Leveranser_per_nät,'Leveranser per nät'!K$1,FALSE)/VLOOKUP($B500,Korrigeringsfaktor_EI,'Korrigeringsfaktor EI'!K$1,FALSE),
"")</f>
        <v>0</v>
      </c>
      <c r="L500" s="18">
        <f>IFERROR(
                  Andel_oberoende_av_klimat*VLOOKUP($A500,Leveranser_per_nät,'Leveranser per nät'!L$1,FALSE)
               +Andel_beroende_av_klimat*VLOOKUP($A500,Leveranser_per_nät,'Leveranser per nät'!L$1,FALSE)/VLOOKUP($B500,Korrigeringsfaktor_EI,'Korrigeringsfaktor EI'!L$1,FALSE),
"")</f>
        <v>0</v>
      </c>
      <c r="M500" s="18">
        <f>IFERROR(
                  Andel_oberoende_av_klimat*VLOOKUP($A500,Leveranser_per_nät,'Leveranser per nät'!M$1,FALSE)
               +Andel_beroende_av_klimat*VLOOKUP($A500,Leveranser_per_nät,'Leveranser per nät'!M$1,FALSE)/VLOOKUP($B500,Korrigeringsfaktor_EI,'Korrigeringsfaktor EI'!M$1,FALSE),
"")</f>
        <v>0</v>
      </c>
      <c r="N500" s="18">
        <f>IFERROR(
                  Andel_oberoende_av_klimat*VLOOKUP($A500,Leveranser_per_nät,'Leveranser per nät'!N$1,FALSE)
               +Andel_beroende_av_klimat*VLOOKUP($A500,Leveranser_per_nät,'Leveranser per nät'!N$1,FALSE)/VLOOKUP($B500,Korrigeringsfaktor_EI,'Korrigeringsfaktor EI'!N$1,FALSE),
"")</f>
        <v>0</v>
      </c>
      <c r="O500" s="18">
        <f>IFERROR(
                  Andel_oberoende_av_klimat*VLOOKUP($A500,Leveranser_per_nät,'Leveranser per nät'!O$1,FALSE)
               +Andel_beroende_av_klimat*VLOOKUP($A500,Leveranser_per_nät,'Leveranser per nät'!O$1,FALSE)/VLOOKUP($B500,Korrigeringsfaktor_EI,'Korrigeringsfaktor EI'!O$1,FALSE),
"")</f>
        <v>30.152307692307691</v>
      </c>
      <c r="P500" s="18">
        <f>IFERROR(
                  Andel_oberoende_av_klimat*VLOOKUP($A500,Leveranser_per_nät,'Leveranser per nät'!P$1,FALSE)
               +Andel_beroende_av_klimat*VLOOKUP($A500,Leveranser_per_nät,'Leveranser per nät'!P$1,FALSE)/VLOOKUP($B500,Korrigeringsfaktor_EI,'Korrigeringsfaktor EI'!P$1,FALSE),
"")</f>
        <v>32.558571428571426</v>
      </c>
      <c r="Q500" s="18">
        <f>IFERROR(
                  Andel_oberoende_av_klimat*VLOOKUP($A500,Leveranser_per_nät,'Leveranser per nät'!Q$1,FALSE)
               +Andel_beroende_av_klimat*VLOOKUP($A500,Leveranser_per_nät,'Leveranser per nät'!Q$1,FALSE)/VLOOKUP($B500,Korrigeringsfaktor_EI,'Korrigeringsfaktor EI'!Q$1,FALSE),
"")</f>
        <v>33.192831858407082</v>
      </c>
      <c r="R500" s="18">
        <f>IFERROR(
                  Andel_oberoende_av_klimat*VLOOKUP($A500,Leveranser_per_nät,'Leveranser per nät'!R$1,FALSE)
               +Andel_beroende_av_klimat*VLOOKUP($A500,Leveranser_per_nät,'Leveranser per nät'!R$1,FALSE)/VLOOKUP($B500,Korrigeringsfaktor_EI,'Korrigeringsfaktor EI'!R$1,FALSE),
"")</f>
        <v>33.466923076923081</v>
      </c>
      <c r="S500" s="18">
        <f>IFERROR(
                  Andel_oberoende_av_klimat*VLOOKUP($A500,Leveranser_per_nät,'Leveranser per nät'!S$1,FALSE)
               +Andel_beroende_av_klimat*VLOOKUP($A500,Leveranser_per_nät,'Leveranser per nät'!S$1,FALSE)/VLOOKUP($B500,Korrigeringsfaktor_EI,'Korrigeringsfaktor EI'!S$1,FALSE),
"")</f>
        <v>34.519607843137258</v>
      </c>
      <c r="T500" s="18">
        <f>IFERROR(
                  Andel_oberoende_av_klimat*VLOOKUP($A500,Leveranser_per_nät,'Leveranser per nät'!T$1,FALSE)
               +Andel_beroende_av_klimat*VLOOKUP($A500,Leveranser_per_nät,'Leveranser per nät'!T$1,FALSE)/VLOOKUP($B500,Korrigeringsfaktor_EI,'Korrigeringsfaktor EI'!T$1,FALSE),
"")</f>
        <v>33.065714285714286</v>
      </c>
      <c r="U500" s="18">
        <f>IFERROR(
                  Andel_oberoende_av_klimat*VLOOKUP($A500,Leveranser_per_nät,'Leveranser per nät'!U$1,FALSE)
               +Andel_beroende_av_klimat*VLOOKUP($A500,Leveranser_per_nät,'Leveranser per nät'!U$1,FALSE)/VLOOKUP($B500,Korrigeringsfaktor_EI,'Korrigeringsfaktor EI'!U$1,FALSE),
"")</f>
        <v>32.01</v>
      </c>
      <c r="V500" s="18">
        <f>IFERROR(
                  Andel_oberoende_av_klimat*VLOOKUP($A500,Leveranser_per_nät,'Leveranser per nät'!V$1,FALSE)
               +Andel_beroende_av_klimat*VLOOKUP($A500,Leveranser_per_nät,'Leveranser per nät'!V$1,FALSE)/VLOOKUP($B500,Korrigeringsfaktor_EI,'Korrigeringsfaktor EI'!V$1,FALSE),
"")</f>
        <v>31.328461538461539</v>
      </c>
      <c r="W500" s="18">
        <f>IFERROR(
                  Andel_oberoende_av_klimat*VLOOKUP($A500,Leveranser_per_nät,'Leveranser per nät'!W$1,FALSE)
               +Andel_beroende_av_klimat*VLOOKUP($A500,Leveranser_per_nät,'Leveranser per nät'!W$1,FALSE)/VLOOKUP($B500,Korrigeringsfaktor_EI,'Korrigeringsfaktor EI'!W$1,FALSE),
"")</f>
        <v>32.907446808510635</v>
      </c>
      <c r="X500" s="18">
        <f>IFERROR(
                  Andel_oberoende_av_klimat*VLOOKUP($A500,Leveranser_per_nät,'Leveranser per nät'!X$1,FALSE)
               +Andel_beroende_av_klimat*VLOOKUP($A500,Leveranser_per_nät,'Leveranser per nät'!X$1,FALSE)/VLOOKUP($B500,Korrigeringsfaktor_EI,'Korrigeringsfaktor EI'!X$1,FALSE),
"")</f>
        <v>32.10698924731183</v>
      </c>
      <c r="Y500" s="18">
        <f>IFERROR(
                  Andel_oberoende_av_klimat*VLOOKUP($A500,Leveranser_per_nät,'Leveranser per nät'!Y$1,FALSE)
               +Andel_beroende_av_klimat*VLOOKUP($A500,Leveranser_per_nät,'Leveranser per nät'!Y$1,FALSE)/VLOOKUP($B500,Korrigeringsfaktor_EI,'Korrigeringsfaktor EI'!Y$1,FALSE),
"")</f>
        <v>32.932307692307688</v>
      </c>
      <c r="Z500" s="18">
        <f>IFERROR(
                  Andel_oberoende_av_klimat*VLOOKUP($A500,Leveranser_per_nät,'Leveranser per nät'!Z$1,FALSE)
               +Andel_beroende_av_klimat*VLOOKUP($A500,Leveranser_per_nät,'Leveranser per nät'!Z$1,FALSE)/VLOOKUP($B500,Korrigeringsfaktor_EI,'Korrigeringsfaktor EI'!Z$1,FALSE),
"")</f>
        <v>32.990709090909093</v>
      </c>
      <c r="AA500" s="18">
        <f>IFERROR(
                  Andel_oberoende_av_klimat*VLOOKUP($A500,Leveranser_per_nät,'Leveranser per nät'!AA$1,FALSE)
               +Andel_beroende_av_klimat*VLOOKUP($A500,Leveranser_per_nät,'Leveranser per nät'!AA$1,FALSE)/VLOOKUP($B500,Korrigeringsfaktor_EI,'Korrigeringsfaktor EI'!AA$1,FALSE),
"")</f>
        <v>31.621017915309448</v>
      </c>
      <c r="AB500" s="18">
        <f>IFERROR(
                  Andel_oberoende_av_klimat*VLOOKUP($A500,Leveranser_per_nät,'Leveranser per nät'!AB$1,FALSE)
               +Andel_beroende_av_klimat*VLOOKUP($A500,Leveranser_per_nät,'Leveranser per nät'!AB$1,FALSE)/VLOOKUP($B500,Korrigeringsfaktor_EI,'Korrigeringsfaktor EI'!AB$1,FALSE),
"")</f>
        <v>31.861207249255209</v>
      </c>
      <c r="AC500" s="18">
        <f>IFERROR(
                  Andel_oberoende_av_klimat*VLOOKUP($A500,Leveranser_per_nät,'Leveranser per nät'!AC$1,FALSE)
               +Andel_beroende_av_klimat*VLOOKUP($A500,Leveranser_per_nät,'Leveranser per nät'!AC$1,FALSE)/VLOOKUP($B500,Korrigeringsfaktor_EI,'Korrigeringsfaktor EI'!AC$1,FALSE),
"")</f>
        <v>30.728569116080934</v>
      </c>
      <c r="AD500">
        <v>29.391999999999999</v>
      </c>
    </row>
    <row r="501" spans="1:30" x14ac:dyDescent="0.25">
      <c r="A501" t="s">
        <v>79</v>
      </c>
      <c r="B501" t="s">
        <v>79</v>
      </c>
      <c r="C501" s="18">
        <f>IFERROR(
                  Andel_oberoende_av_klimat*VLOOKUP($A501,Leveranser_per_nät,'Leveranser per nät'!C$1,FALSE)
               +Andel_beroende_av_klimat*VLOOKUP($A501,Leveranser_per_nät,'Leveranser per nät'!C$1,FALSE)/VLOOKUP($B501,Korrigeringsfaktor_EI,'Korrigeringsfaktor EI'!C$1,FALSE),
"")</f>
        <v>33.299999999999997</v>
      </c>
      <c r="D501" s="18">
        <f>IFERROR(
                  Andel_oberoende_av_klimat*VLOOKUP($A501,Leveranser_per_nät,'Leveranser per nät'!D$1,FALSE)
               +Andel_beroende_av_klimat*VLOOKUP($A501,Leveranser_per_nät,'Leveranser per nät'!D$1,FALSE)/VLOOKUP($B501,Korrigeringsfaktor_EI,'Korrigeringsfaktor EI'!D$1,FALSE),
"")</f>
        <v>31.521333333333335</v>
      </c>
      <c r="E501" s="18">
        <f>IFERROR(
                  Andel_oberoende_av_klimat*VLOOKUP($A501,Leveranser_per_nät,'Leveranser per nät'!E$1,FALSE)
               +Andel_beroende_av_klimat*VLOOKUP($A501,Leveranser_per_nät,'Leveranser per nät'!E$1,FALSE)/VLOOKUP($B501,Korrigeringsfaktor_EI,'Korrigeringsfaktor EI'!E$1,FALSE),
"")</f>
        <v>31.138461538461538</v>
      </c>
      <c r="F501" s="18">
        <f>IFERROR(
                  Andel_oberoende_av_klimat*VLOOKUP($A501,Leveranser_per_nät,'Leveranser per nät'!F$1,FALSE)
               +Andel_beroende_av_klimat*VLOOKUP($A501,Leveranser_per_nät,'Leveranser per nät'!F$1,FALSE)/VLOOKUP($B501,Korrigeringsfaktor_EI,'Korrigeringsfaktor EI'!F$1,FALSE),
"")</f>
        <v>32.692783505154637</v>
      </c>
      <c r="G501" s="18">
        <f>IFERROR(
                  Andel_oberoende_av_klimat*VLOOKUP($A501,Leveranser_per_nät,'Leveranser per nät'!G$1,FALSE)
               +Andel_beroende_av_klimat*VLOOKUP($A501,Leveranser_per_nät,'Leveranser per nät'!G$1,FALSE)/VLOOKUP($B501,Korrigeringsfaktor_EI,'Korrigeringsfaktor EI'!G$1,FALSE),
"")</f>
        <v>31.007692307692302</v>
      </c>
      <c r="H501" s="18">
        <f>IFERROR(
                  Andel_oberoende_av_klimat*VLOOKUP($A501,Leveranser_per_nät,'Leveranser per nät'!H$1,FALSE)
               +Andel_beroende_av_klimat*VLOOKUP($A501,Leveranser_per_nät,'Leveranser per nät'!H$1,FALSE)/VLOOKUP($B501,Korrigeringsfaktor_EI,'Korrigeringsfaktor EI'!H$1,FALSE),
"")</f>
        <v>33.233333333333334</v>
      </c>
      <c r="I501" s="18">
        <f>IFERROR(
                  Andel_oberoende_av_klimat*VLOOKUP($A501,Leveranser_per_nät,'Leveranser per nät'!I$1,FALSE)
               +Andel_beroende_av_klimat*VLOOKUP($A501,Leveranser_per_nät,'Leveranser per nät'!I$1,FALSE)/VLOOKUP($B501,Korrigeringsfaktor_EI,'Korrigeringsfaktor EI'!I$1,FALSE),
"")</f>
        <v>34.061300000000003</v>
      </c>
      <c r="J501" s="18">
        <f>IFERROR(
                  Andel_oberoende_av_klimat*VLOOKUP($A501,Leveranser_per_nät,'Leveranser per nät'!J$1,FALSE)
               +Andel_beroende_av_klimat*VLOOKUP($A501,Leveranser_per_nät,'Leveranser per nät'!J$1,FALSE)/VLOOKUP($B501,Korrigeringsfaktor_EI,'Korrigeringsfaktor EI'!J$1,FALSE),
"")</f>
        <v>33.169171428571431</v>
      </c>
      <c r="K501" s="18">
        <f>IFERROR(
                  Andel_oberoende_av_klimat*VLOOKUP($A501,Leveranser_per_nät,'Leveranser per nät'!K$1,FALSE)
               +Andel_beroende_av_klimat*VLOOKUP($A501,Leveranser_per_nät,'Leveranser per nät'!K$1,FALSE)/VLOOKUP($B501,Korrigeringsfaktor_EI,'Korrigeringsfaktor EI'!K$1,FALSE),
"")</f>
        <v>48.016707706329491</v>
      </c>
      <c r="L501" s="18">
        <f>IFERROR(
                  Andel_oberoende_av_klimat*VLOOKUP($A501,Leveranser_per_nät,'Leveranser per nät'!L$1,FALSE)
               +Andel_beroende_av_klimat*VLOOKUP($A501,Leveranser_per_nät,'Leveranser per nät'!L$1,FALSE)/VLOOKUP($B501,Korrigeringsfaktor_EI,'Korrigeringsfaktor EI'!L$1,FALSE),
"")</f>
        <v>49.785744306036371</v>
      </c>
      <c r="M501" s="18">
        <f>IFERROR(
                  Andel_oberoende_av_klimat*VLOOKUP($A501,Leveranser_per_nät,'Leveranser per nät'!M$1,FALSE)
               +Andel_beroende_av_klimat*VLOOKUP($A501,Leveranser_per_nät,'Leveranser per nät'!M$1,FALSE)/VLOOKUP($B501,Korrigeringsfaktor_EI,'Korrigeringsfaktor EI'!M$1,FALSE),
"")</f>
        <v>42.751982608695648</v>
      </c>
      <c r="N501" s="18">
        <f>IFERROR(
                  Andel_oberoende_av_klimat*VLOOKUP($A501,Leveranser_per_nät,'Leveranser per nät'!N$1,FALSE)
               +Andel_beroende_av_klimat*VLOOKUP($A501,Leveranser_per_nät,'Leveranser per nät'!N$1,FALSE)/VLOOKUP($B501,Korrigeringsfaktor_EI,'Korrigeringsfaktor EI'!N$1,FALSE),
"")</f>
        <v>43.111111111111114</v>
      </c>
      <c r="O501" s="18">
        <f>IFERROR(
                  Andel_oberoende_av_klimat*VLOOKUP($A501,Leveranser_per_nät,'Leveranser per nät'!O$1,FALSE)
               +Andel_beroende_av_klimat*VLOOKUP($A501,Leveranser_per_nät,'Leveranser per nät'!O$1,FALSE)/VLOOKUP($B501,Korrigeringsfaktor_EI,'Korrigeringsfaktor EI'!O$1,FALSE),
"")</f>
        <v>55.332692307692298</v>
      </c>
      <c r="P501" s="18">
        <f>IFERROR(
                  Andel_oberoende_av_klimat*VLOOKUP($A501,Leveranser_per_nät,'Leveranser per nät'!P$1,FALSE)
               +Andel_beroende_av_klimat*VLOOKUP($A501,Leveranser_per_nät,'Leveranser per nät'!P$1,FALSE)/VLOOKUP($B501,Korrigeringsfaktor_EI,'Korrigeringsfaktor EI'!P$1,FALSE),
"")</f>
        <v>64.29872631578948</v>
      </c>
      <c r="Q501" s="18">
        <f>IFERROR(
                  Andel_oberoende_av_klimat*VLOOKUP($A501,Leveranser_per_nät,'Leveranser per nät'!Q$1,FALSE)
               +Andel_beroende_av_klimat*VLOOKUP($A501,Leveranser_per_nät,'Leveranser per nät'!Q$1,FALSE)/VLOOKUP($B501,Korrigeringsfaktor_EI,'Korrigeringsfaktor EI'!Q$1,FALSE),
"")</f>
        <v>68.86666666666666</v>
      </c>
      <c r="R501" s="18">
        <f>IFERROR(
                  Andel_oberoende_av_klimat*VLOOKUP($A501,Leveranser_per_nät,'Leveranser per nät'!R$1,FALSE)
               +Andel_beroende_av_klimat*VLOOKUP($A501,Leveranser_per_nät,'Leveranser per nät'!R$1,FALSE)/VLOOKUP($B501,Korrigeringsfaktor_EI,'Korrigeringsfaktor EI'!R$1,FALSE),
"")</f>
        <v>72.069488291078258</v>
      </c>
      <c r="S501" s="18">
        <f>IFERROR(
                  Andel_oberoende_av_klimat*VLOOKUP($A501,Leveranser_per_nät,'Leveranser per nät'!S$1,FALSE)
               +Andel_beroende_av_klimat*VLOOKUP($A501,Leveranser_per_nät,'Leveranser per nät'!S$1,FALSE)/VLOOKUP($B501,Korrigeringsfaktor_EI,'Korrigeringsfaktor EI'!S$1,FALSE),
"")</f>
        <v>73.487128712871282</v>
      </c>
      <c r="T501" s="18">
        <f>IFERROR(
                  Andel_oberoende_av_klimat*VLOOKUP($A501,Leveranser_per_nät,'Leveranser per nät'!T$1,FALSE)
               +Andel_beroende_av_klimat*VLOOKUP($A501,Leveranser_per_nät,'Leveranser per nät'!T$1,FALSE)/VLOOKUP($B501,Korrigeringsfaktor_EI,'Korrigeringsfaktor EI'!T$1,FALSE),
"")</f>
        <v>90.53449072164949</v>
      </c>
      <c r="U501" s="18">
        <f>IFERROR(
                  Andel_oberoende_av_klimat*VLOOKUP($A501,Leveranser_per_nät,'Leveranser per nät'!U$1,FALSE)
               +Andel_beroende_av_klimat*VLOOKUP($A501,Leveranser_per_nät,'Leveranser per nät'!U$1,FALSE)/VLOOKUP($B501,Korrigeringsfaktor_EI,'Korrigeringsfaktor EI'!U$1,FALSE),
"")</f>
        <v>85.765383908045976</v>
      </c>
      <c r="V501" s="18">
        <f>IFERROR(
                  Andel_oberoende_av_klimat*VLOOKUP($A501,Leveranser_per_nät,'Leveranser per nät'!V$1,FALSE)
               +Andel_beroende_av_klimat*VLOOKUP($A501,Leveranser_per_nät,'Leveranser per nät'!V$1,FALSE)/VLOOKUP($B501,Korrigeringsfaktor_EI,'Korrigeringsfaktor EI'!V$1,FALSE),
"")</f>
        <v>86.340384615384622</v>
      </c>
      <c r="W501" s="18">
        <f>IFERROR(
                  Andel_oberoende_av_klimat*VLOOKUP($A501,Leveranser_per_nät,'Leveranser per nät'!W$1,FALSE)
               +Andel_beroende_av_klimat*VLOOKUP($A501,Leveranser_per_nät,'Leveranser per nät'!W$1,FALSE)/VLOOKUP($B501,Korrigeringsfaktor_EI,'Korrigeringsfaktor EI'!W$1,FALSE),
"")</f>
        <v>90.205263157894748</v>
      </c>
      <c r="X501" s="18">
        <f>IFERROR(
                  Andel_oberoende_av_klimat*VLOOKUP($A501,Leveranser_per_nät,'Leveranser per nät'!X$1,FALSE)
               +Andel_beroende_av_klimat*VLOOKUP($A501,Leveranser_per_nät,'Leveranser per nät'!X$1,FALSE)/VLOOKUP($B501,Korrigeringsfaktor_EI,'Korrigeringsfaktor EI'!X$1,FALSE),
"")</f>
        <v>85.07149574468086</v>
      </c>
      <c r="Y501" s="18">
        <f>IFERROR(
                  Andel_oberoende_av_klimat*VLOOKUP($A501,Leveranser_per_nät,'Leveranser per nät'!Y$1,FALSE)
               +Andel_beroende_av_klimat*VLOOKUP($A501,Leveranser_per_nät,'Leveranser per nät'!Y$1,FALSE)/VLOOKUP($B501,Korrigeringsfaktor_EI,'Korrigeringsfaktor EI'!Y$1,FALSE),
"")</f>
        <v>94.092359550561795</v>
      </c>
      <c r="Z501" s="18">
        <f>IFERROR(
                  Andel_oberoende_av_klimat*VLOOKUP($A501,Leveranser_per_nät,'Leveranser per nät'!Z$1,FALSE)
               +Andel_beroende_av_klimat*VLOOKUP($A501,Leveranser_per_nät,'Leveranser per nät'!Z$1,FALSE)/VLOOKUP($B501,Korrigeringsfaktor_EI,'Korrigeringsfaktor EI'!Z$1,FALSE),
"")</f>
        <v>92.338054545454554</v>
      </c>
      <c r="AA501" s="18">
        <f>IFERROR(
                  Andel_oberoende_av_klimat*VLOOKUP($A501,Leveranser_per_nät,'Leveranser per nät'!AA$1,FALSE)
               +Andel_beroende_av_klimat*VLOOKUP($A501,Leveranser_per_nät,'Leveranser per nät'!AA$1,FALSE)/VLOOKUP($B501,Korrigeringsfaktor_EI,'Korrigeringsfaktor EI'!AA$1,FALSE),
"")</f>
        <v>90.78815696764093</v>
      </c>
      <c r="AB501" s="18">
        <f>IFERROR(
                  Andel_oberoende_av_klimat*VLOOKUP($A501,Leveranser_per_nät,'Leveranser per nät'!AB$1,FALSE)
               +Andel_beroende_av_klimat*VLOOKUP($A501,Leveranser_per_nät,'Leveranser per nät'!AB$1,FALSE)/VLOOKUP($B501,Korrigeringsfaktor_EI,'Korrigeringsfaktor EI'!AB$1,FALSE),
"")</f>
        <v>90.604081889763791</v>
      </c>
      <c r="AC501" s="18">
        <f>IFERROR(
                  Andel_oberoende_av_klimat*VLOOKUP($A501,Leveranser_per_nät,'Leveranser per nät'!AC$1,FALSE)
               +Andel_beroende_av_klimat*VLOOKUP($A501,Leveranser_per_nät,'Leveranser per nät'!AC$1,FALSE)/VLOOKUP($B501,Korrigeringsfaktor_EI,'Korrigeringsfaktor EI'!AC$1,FALSE),
"")</f>
        <v>89.850699149840594</v>
      </c>
      <c r="AD501">
        <v>86.072999999999993</v>
      </c>
    </row>
    <row r="502" spans="1:30" x14ac:dyDescent="0.25">
      <c r="A502" s="4" t="s">
        <v>438</v>
      </c>
      <c r="B502" t="s">
        <v>438</v>
      </c>
      <c r="C502" s="18">
        <f>IFERROR(
                  Andel_oberoende_av_klimat*VLOOKUP($A502,Leveranser_per_nät,'Leveranser per nät'!C$1,FALSE)
               +Andel_beroende_av_klimat*VLOOKUP($A502,Leveranser_per_nät,'Leveranser per nät'!C$1,FALSE)/VLOOKUP($B502,Korrigeringsfaktor_EI,'Korrigeringsfaktor EI'!C$1,FALSE),
"")</f>
        <v>0</v>
      </c>
      <c r="D502" s="18">
        <f>IFERROR(
                  Andel_oberoende_av_klimat*VLOOKUP($A502,Leveranser_per_nät,'Leveranser per nät'!D$1,FALSE)
               +Andel_beroende_av_klimat*VLOOKUP($A502,Leveranser_per_nät,'Leveranser per nät'!D$1,FALSE)/VLOOKUP($B502,Korrigeringsfaktor_EI,'Korrigeringsfaktor EI'!D$1,FALSE),
"")</f>
        <v>0</v>
      </c>
      <c r="E502" s="18">
        <f>IFERROR(
                  Andel_oberoende_av_klimat*VLOOKUP($A502,Leveranser_per_nät,'Leveranser per nät'!E$1,FALSE)
               +Andel_beroende_av_klimat*VLOOKUP($A502,Leveranser_per_nät,'Leveranser per nät'!E$1,FALSE)/VLOOKUP($B502,Korrigeringsfaktor_EI,'Korrigeringsfaktor EI'!E$1,FALSE),
"")</f>
        <v>0</v>
      </c>
      <c r="F502" s="18">
        <f>IFERROR(
                  Andel_oberoende_av_klimat*VLOOKUP($A502,Leveranser_per_nät,'Leveranser per nät'!F$1,FALSE)
               +Andel_beroende_av_klimat*VLOOKUP($A502,Leveranser_per_nät,'Leveranser per nät'!F$1,FALSE)/VLOOKUP($B502,Korrigeringsfaktor_EI,'Korrigeringsfaktor EI'!F$1,FALSE),
"")</f>
        <v>0</v>
      </c>
      <c r="G502" s="18">
        <f>IFERROR(
                  Andel_oberoende_av_klimat*VLOOKUP($A502,Leveranser_per_nät,'Leveranser per nät'!G$1,FALSE)
               +Andel_beroende_av_klimat*VLOOKUP($A502,Leveranser_per_nät,'Leveranser per nät'!G$1,FALSE)/VLOOKUP($B502,Korrigeringsfaktor_EI,'Korrigeringsfaktor EI'!G$1,FALSE),
"")</f>
        <v>0</v>
      </c>
      <c r="H502" s="18">
        <f>IFERROR(
                  Andel_oberoende_av_klimat*VLOOKUP($A502,Leveranser_per_nät,'Leveranser per nät'!H$1,FALSE)
               +Andel_beroende_av_klimat*VLOOKUP($A502,Leveranser_per_nät,'Leveranser per nät'!H$1,FALSE)/VLOOKUP($B502,Korrigeringsfaktor_EI,'Korrigeringsfaktor EI'!H$1,FALSE),
"")</f>
        <v>0</v>
      </c>
      <c r="I502" s="18">
        <f>IFERROR(
                  Andel_oberoende_av_klimat*VLOOKUP($A502,Leveranser_per_nät,'Leveranser per nät'!I$1,FALSE)
               +Andel_beroende_av_klimat*VLOOKUP($A502,Leveranser_per_nät,'Leveranser per nät'!I$1,FALSE)/VLOOKUP($B502,Korrigeringsfaktor_EI,'Korrigeringsfaktor EI'!I$1,FALSE),
"")</f>
        <v>0</v>
      </c>
      <c r="J502" s="18">
        <f>IFERROR(
                  Andel_oberoende_av_klimat*VLOOKUP($A502,Leveranser_per_nät,'Leveranser per nät'!J$1,FALSE)
               +Andel_beroende_av_klimat*VLOOKUP($A502,Leveranser_per_nät,'Leveranser per nät'!J$1,FALSE)/VLOOKUP($B502,Korrigeringsfaktor_EI,'Korrigeringsfaktor EI'!J$1,FALSE),
"")</f>
        <v>0</v>
      </c>
      <c r="K502" s="18">
        <f>IFERROR(
                  Andel_oberoende_av_klimat*VLOOKUP($A502,Leveranser_per_nät,'Leveranser per nät'!K$1,FALSE)
               +Andel_beroende_av_klimat*VLOOKUP($A502,Leveranser_per_nät,'Leveranser per nät'!K$1,FALSE)/VLOOKUP($B502,Korrigeringsfaktor_EI,'Korrigeringsfaktor EI'!K$1,FALSE),
"")</f>
        <v>0</v>
      </c>
      <c r="L502" s="18">
        <f>IFERROR(
                  Andel_oberoende_av_klimat*VLOOKUP($A502,Leveranser_per_nät,'Leveranser per nät'!L$1,FALSE)
               +Andel_beroende_av_klimat*VLOOKUP($A502,Leveranser_per_nät,'Leveranser per nät'!L$1,FALSE)/VLOOKUP($B502,Korrigeringsfaktor_EI,'Korrigeringsfaktor EI'!L$1,FALSE),
"")</f>
        <v>0</v>
      </c>
      <c r="M502" s="18">
        <f>IFERROR(
                  Andel_oberoende_av_klimat*VLOOKUP($A502,Leveranser_per_nät,'Leveranser per nät'!M$1,FALSE)
               +Andel_beroende_av_klimat*VLOOKUP($A502,Leveranser_per_nät,'Leveranser per nät'!M$1,FALSE)/VLOOKUP($B502,Korrigeringsfaktor_EI,'Korrigeringsfaktor EI'!M$1,FALSE),
"")</f>
        <v>0</v>
      </c>
      <c r="N502" s="18">
        <f>IFERROR(
                  Andel_oberoende_av_klimat*VLOOKUP($A502,Leveranser_per_nät,'Leveranser per nät'!N$1,FALSE)
               +Andel_beroende_av_klimat*VLOOKUP($A502,Leveranser_per_nät,'Leveranser per nät'!N$1,FALSE)/VLOOKUP($B502,Korrigeringsfaktor_EI,'Korrigeringsfaktor EI'!N$1,FALSE),
"")</f>
        <v>0</v>
      </c>
      <c r="O502" s="18">
        <f>IFERROR(
                  Andel_oberoende_av_klimat*VLOOKUP($A502,Leveranser_per_nät,'Leveranser per nät'!O$1,FALSE)
               +Andel_beroende_av_klimat*VLOOKUP($A502,Leveranser_per_nät,'Leveranser per nät'!O$1,FALSE)/VLOOKUP($B502,Korrigeringsfaktor_EI,'Korrigeringsfaktor EI'!O$1,FALSE),
"")</f>
        <v>0</v>
      </c>
      <c r="P502" s="18">
        <f>IFERROR(
                  Andel_oberoende_av_klimat*VLOOKUP($A502,Leveranser_per_nät,'Leveranser per nät'!P$1,FALSE)
               +Andel_beroende_av_klimat*VLOOKUP($A502,Leveranser_per_nät,'Leveranser per nät'!P$1,FALSE)/VLOOKUP($B502,Korrigeringsfaktor_EI,'Korrigeringsfaktor EI'!P$1,FALSE),
"")</f>
        <v>0</v>
      </c>
      <c r="Q502" s="18">
        <f>IFERROR(
                  Andel_oberoende_av_klimat*VLOOKUP($A502,Leveranser_per_nät,'Leveranser per nät'!Q$1,FALSE)
               +Andel_beroende_av_klimat*VLOOKUP($A502,Leveranser_per_nät,'Leveranser per nät'!Q$1,FALSE)/VLOOKUP($B502,Korrigeringsfaktor_EI,'Korrigeringsfaktor EI'!Q$1,FALSE),
"")</f>
        <v>7.6373333333333324</v>
      </c>
      <c r="R502" s="18">
        <f>IFERROR(
                  Andel_oberoende_av_klimat*VLOOKUP($A502,Leveranser_per_nät,'Leveranser per nät'!R$1,FALSE)
               +Andel_beroende_av_klimat*VLOOKUP($A502,Leveranser_per_nät,'Leveranser per nät'!R$1,FALSE)/VLOOKUP($B502,Korrigeringsfaktor_EI,'Korrigeringsfaktor EI'!R$1,FALSE),
"")</f>
        <v>8.2988888888888894</v>
      </c>
      <c r="S502" s="18">
        <f>IFERROR(
                  Andel_oberoende_av_klimat*VLOOKUP($A502,Leveranser_per_nät,'Leveranser per nät'!S$1,FALSE)
               +Andel_beroende_av_klimat*VLOOKUP($A502,Leveranser_per_nät,'Leveranser per nät'!S$1,FALSE)/VLOOKUP($B502,Korrigeringsfaktor_EI,'Korrigeringsfaktor EI'!S$1,FALSE),
"")</f>
        <v>7.0494949494949495</v>
      </c>
      <c r="T502" s="18">
        <f>IFERROR(
                  Andel_oberoende_av_klimat*VLOOKUP($A502,Leveranser_per_nät,'Leveranser per nät'!T$1,FALSE)
               +Andel_beroende_av_klimat*VLOOKUP($A502,Leveranser_per_nät,'Leveranser per nät'!T$1,FALSE)/VLOOKUP($B502,Korrigeringsfaktor_EI,'Korrigeringsfaktor EI'!T$1,FALSE),
"")</f>
        <v>6.3540749999999999</v>
      </c>
      <c r="U502" s="18">
        <f>IFERROR(
                  Andel_oberoende_av_klimat*VLOOKUP($A502,Leveranser_per_nät,'Leveranser per nät'!U$1,FALSE)
               +Andel_beroende_av_klimat*VLOOKUP($A502,Leveranser_per_nät,'Leveranser per nät'!U$1,FALSE)/VLOOKUP($B502,Korrigeringsfaktor_EI,'Korrigeringsfaktor EI'!U$1,FALSE),
"")</f>
        <v>8.1063636363636355</v>
      </c>
      <c r="V502" s="18">
        <f>IFERROR(
                  Andel_oberoende_av_klimat*VLOOKUP($A502,Leveranser_per_nät,'Leveranser per nät'!V$1,FALSE)
               +Andel_beroende_av_klimat*VLOOKUP($A502,Leveranser_per_nät,'Leveranser per nät'!V$1,FALSE)/VLOOKUP($B502,Korrigeringsfaktor_EI,'Korrigeringsfaktor EI'!V$1,FALSE),
"")</f>
        <v>10.608695652173914</v>
      </c>
      <c r="W502" s="18">
        <f>IFERROR(
                  Andel_oberoende_av_klimat*VLOOKUP($A502,Leveranser_per_nät,'Leveranser per nät'!W$1,FALSE)
               +Andel_beroende_av_klimat*VLOOKUP($A502,Leveranser_per_nät,'Leveranser per nät'!W$1,FALSE)/VLOOKUP($B502,Korrigeringsfaktor_EI,'Korrigeringsfaktor EI'!W$1,FALSE),
"")</f>
        <v>10.237872340425534</v>
      </c>
      <c r="X502" s="18">
        <f>IFERROR(
                  Andel_oberoende_av_klimat*VLOOKUP($A502,Leveranser_per_nät,'Leveranser per nät'!X$1,FALSE)
               +Andel_beroende_av_klimat*VLOOKUP($A502,Leveranser_per_nät,'Leveranser per nät'!X$1,FALSE)/VLOOKUP($B502,Korrigeringsfaktor_EI,'Korrigeringsfaktor EI'!X$1,FALSE),
"")</f>
        <v>10.548571428571428</v>
      </c>
      <c r="Y502" s="18">
        <f>IFERROR(
                  Andel_oberoende_av_klimat*VLOOKUP($A502,Leveranser_per_nät,'Leveranser per nät'!Y$1,FALSE)
               +Andel_beroende_av_klimat*VLOOKUP($A502,Leveranser_per_nät,'Leveranser per nät'!Y$1,FALSE)/VLOOKUP($B502,Korrigeringsfaktor_EI,'Korrigeringsfaktor EI'!Y$1,FALSE),
"")</f>
        <v>9.8952688172043022</v>
      </c>
      <c r="Z502" s="18">
        <f>IFERROR(
                  Andel_oberoende_av_klimat*VLOOKUP($A502,Leveranser_per_nät,'Leveranser per nät'!Z$1,FALSE)
               +Andel_beroende_av_klimat*VLOOKUP($A502,Leveranser_per_nät,'Leveranser per nät'!Z$1,FALSE)/VLOOKUP($B502,Korrigeringsfaktor_EI,'Korrigeringsfaktor EI'!Z$1,FALSE),
"")</f>
        <v>10.000537634408602</v>
      </c>
      <c r="AA502" s="18">
        <f>IFERROR(
                  Andel_oberoende_av_klimat*VLOOKUP($A502,Leveranser_per_nät,'Leveranser per nät'!AA$1,FALSE)
               +Andel_beroende_av_klimat*VLOOKUP($A502,Leveranser_per_nät,'Leveranser per nät'!AA$1,FALSE)/VLOOKUP($B502,Korrigeringsfaktor_EI,'Korrigeringsfaktor EI'!AA$1,FALSE),
"")</f>
        <v>9.6238430813124118</v>
      </c>
      <c r="AB502" s="18">
        <f>IFERROR(
                  Andel_oberoende_av_klimat*VLOOKUP($A502,Leveranser_per_nät,'Leveranser per nät'!AB$1,FALSE)
               +Andel_beroende_av_klimat*VLOOKUP($A502,Leveranser_per_nät,'Leveranser per nät'!AB$1,FALSE)/VLOOKUP($B502,Korrigeringsfaktor_EI,'Korrigeringsfaktor EI'!AB$1,FALSE),
"")</f>
        <v>9.8655223880597021</v>
      </c>
      <c r="AC502" s="18">
        <f>IFERROR(
                  Andel_oberoende_av_klimat*VLOOKUP($A502,Leveranser_per_nät,'Leveranser per nät'!AC$1,FALSE)
               +Andel_beroende_av_klimat*VLOOKUP($A502,Leveranser_per_nät,'Leveranser per nät'!AC$1,FALSE)/VLOOKUP($B502,Korrigeringsfaktor_EI,'Korrigeringsfaktor EI'!AC$1,FALSE),
"")</f>
        <v>9.8326080124869932</v>
      </c>
      <c r="AD502">
        <v>9.5609999999999999</v>
      </c>
    </row>
    <row r="503" spans="1:30" x14ac:dyDescent="0.25">
      <c r="A503" s="4" t="s">
        <v>737</v>
      </c>
      <c r="B503" t="s">
        <v>138</v>
      </c>
      <c r="C503" s="18">
        <f>IFERROR(
                  Andel_oberoende_av_klimat*VLOOKUP($A503,Leveranser_per_nät,'Leveranser per nät'!C$1,FALSE)
               +Andel_beroende_av_klimat*VLOOKUP($A503,Leveranser_per_nät,'Leveranser per nät'!C$1,FALSE)/VLOOKUP($B503,Korrigeringsfaktor_EI,'Korrigeringsfaktor EI'!C$1,FALSE),
"")</f>
        <v>0</v>
      </c>
      <c r="D503" s="18">
        <f>IFERROR(
                  Andel_oberoende_av_klimat*VLOOKUP($A503,Leveranser_per_nät,'Leveranser per nät'!D$1,FALSE)
               +Andel_beroende_av_klimat*VLOOKUP($A503,Leveranser_per_nät,'Leveranser per nät'!D$1,FALSE)/VLOOKUP($B503,Korrigeringsfaktor_EI,'Korrigeringsfaktor EI'!D$1,FALSE),
"")</f>
        <v>0</v>
      </c>
      <c r="E503" s="18">
        <f>IFERROR(
                  Andel_oberoende_av_klimat*VLOOKUP($A503,Leveranser_per_nät,'Leveranser per nät'!E$1,FALSE)
               +Andel_beroende_av_klimat*VLOOKUP($A503,Leveranser_per_nät,'Leveranser per nät'!E$1,FALSE)/VLOOKUP($B503,Korrigeringsfaktor_EI,'Korrigeringsfaktor EI'!E$1,FALSE),
"")</f>
        <v>0</v>
      </c>
      <c r="F503" s="18">
        <f>IFERROR(
                  Andel_oberoende_av_klimat*VLOOKUP($A503,Leveranser_per_nät,'Leveranser per nät'!F$1,FALSE)
               +Andel_beroende_av_klimat*VLOOKUP($A503,Leveranser_per_nät,'Leveranser per nät'!F$1,FALSE)/VLOOKUP($B503,Korrigeringsfaktor_EI,'Korrigeringsfaktor EI'!F$1,FALSE),
"")</f>
        <v>0</v>
      </c>
      <c r="G503" s="18">
        <f>IFERROR(
                  Andel_oberoende_av_klimat*VLOOKUP($A503,Leveranser_per_nät,'Leveranser per nät'!G$1,FALSE)
               +Andel_beroende_av_klimat*VLOOKUP($A503,Leveranser_per_nät,'Leveranser per nät'!G$1,FALSE)/VLOOKUP($B503,Korrigeringsfaktor_EI,'Korrigeringsfaktor EI'!G$1,FALSE),
"")</f>
        <v>0</v>
      </c>
      <c r="H503" s="18">
        <f>IFERROR(
                  Andel_oberoende_av_klimat*VLOOKUP($A503,Leveranser_per_nät,'Leveranser per nät'!H$1,FALSE)
               +Andel_beroende_av_klimat*VLOOKUP($A503,Leveranser_per_nät,'Leveranser per nät'!H$1,FALSE)/VLOOKUP($B503,Korrigeringsfaktor_EI,'Korrigeringsfaktor EI'!H$1,FALSE),
"")</f>
        <v>0</v>
      </c>
      <c r="I503" s="18">
        <f>IFERROR(
                  Andel_oberoende_av_klimat*VLOOKUP($A503,Leveranser_per_nät,'Leveranser per nät'!I$1,FALSE)
               +Andel_beroende_av_klimat*VLOOKUP($A503,Leveranser_per_nät,'Leveranser per nät'!I$1,FALSE)/VLOOKUP($B503,Korrigeringsfaktor_EI,'Korrigeringsfaktor EI'!I$1,FALSE),
"")</f>
        <v>0</v>
      </c>
      <c r="J503" s="18">
        <f>IFERROR(
                  Andel_oberoende_av_klimat*VLOOKUP($A503,Leveranser_per_nät,'Leveranser per nät'!J$1,FALSE)
               +Andel_beroende_av_klimat*VLOOKUP($A503,Leveranser_per_nät,'Leveranser per nät'!J$1,FALSE)/VLOOKUP($B503,Korrigeringsfaktor_EI,'Korrigeringsfaktor EI'!J$1,FALSE),
"")</f>
        <v>0</v>
      </c>
      <c r="K503" s="18">
        <f>IFERROR(
                  Andel_oberoende_av_klimat*VLOOKUP($A503,Leveranser_per_nät,'Leveranser per nät'!K$1,FALSE)
               +Andel_beroende_av_klimat*VLOOKUP($A503,Leveranser_per_nät,'Leveranser per nät'!K$1,FALSE)/VLOOKUP($B503,Korrigeringsfaktor_EI,'Korrigeringsfaktor EI'!K$1,FALSE),
"")</f>
        <v>0</v>
      </c>
      <c r="L503" s="18">
        <f>IFERROR(
                  Andel_oberoende_av_klimat*VLOOKUP($A503,Leveranser_per_nät,'Leveranser per nät'!L$1,FALSE)
               +Andel_beroende_av_klimat*VLOOKUP($A503,Leveranser_per_nät,'Leveranser per nät'!L$1,FALSE)/VLOOKUP($B503,Korrigeringsfaktor_EI,'Korrigeringsfaktor EI'!L$1,FALSE),
"")</f>
        <v>0</v>
      </c>
      <c r="M503" s="18">
        <f>IFERROR(
                  Andel_oberoende_av_klimat*VLOOKUP($A503,Leveranser_per_nät,'Leveranser per nät'!M$1,FALSE)
               +Andel_beroende_av_klimat*VLOOKUP($A503,Leveranser_per_nät,'Leveranser per nät'!M$1,FALSE)/VLOOKUP($B503,Korrigeringsfaktor_EI,'Korrigeringsfaktor EI'!M$1,FALSE),
"")</f>
        <v>0</v>
      </c>
      <c r="N503" s="18">
        <f>IFERROR(
                  Andel_oberoende_av_klimat*VLOOKUP($A503,Leveranser_per_nät,'Leveranser per nät'!N$1,FALSE)
               +Andel_beroende_av_klimat*VLOOKUP($A503,Leveranser_per_nät,'Leveranser per nät'!N$1,FALSE)/VLOOKUP($B503,Korrigeringsfaktor_EI,'Korrigeringsfaktor EI'!N$1,FALSE),
"")</f>
        <v>0</v>
      </c>
      <c r="O503" s="18">
        <f>IFERROR(
                  Andel_oberoende_av_klimat*VLOOKUP($A503,Leveranser_per_nät,'Leveranser per nät'!O$1,FALSE)
               +Andel_beroende_av_klimat*VLOOKUP($A503,Leveranser_per_nät,'Leveranser per nät'!O$1,FALSE)/VLOOKUP($B503,Korrigeringsfaktor_EI,'Korrigeringsfaktor EI'!O$1,FALSE),
"")</f>
        <v>0</v>
      </c>
      <c r="P503" s="18">
        <f>IFERROR(
                  Andel_oberoende_av_klimat*VLOOKUP($A503,Leveranser_per_nät,'Leveranser per nät'!P$1,FALSE)
               +Andel_beroende_av_klimat*VLOOKUP($A503,Leveranser_per_nät,'Leveranser per nät'!P$1,FALSE)/VLOOKUP($B503,Korrigeringsfaktor_EI,'Korrigeringsfaktor EI'!P$1,FALSE),
"")</f>
        <v>0</v>
      </c>
      <c r="Q503" s="18">
        <f>IFERROR(
                  Andel_oberoende_av_klimat*VLOOKUP($A503,Leveranser_per_nät,'Leveranser per nät'!Q$1,FALSE)
               +Andel_beroende_av_klimat*VLOOKUP($A503,Leveranser_per_nät,'Leveranser per nät'!Q$1,FALSE)/VLOOKUP($B503,Korrigeringsfaktor_EI,'Korrigeringsfaktor EI'!Q$1,FALSE),
"")</f>
        <v>0</v>
      </c>
      <c r="R503" s="18">
        <f>IFERROR(
                  Andel_oberoende_av_klimat*VLOOKUP($A503,Leveranser_per_nät,'Leveranser per nät'!R$1,FALSE)
               +Andel_beroende_av_klimat*VLOOKUP($A503,Leveranser_per_nät,'Leveranser per nät'!R$1,FALSE)/VLOOKUP($B503,Korrigeringsfaktor_EI,'Korrigeringsfaktor EI'!R$1,FALSE),
"")</f>
        <v>0</v>
      </c>
      <c r="S503" s="18">
        <f>IFERROR(
                  Andel_oberoende_av_klimat*VLOOKUP($A503,Leveranser_per_nät,'Leveranser per nät'!S$1,FALSE)
               +Andel_beroende_av_klimat*VLOOKUP($A503,Leveranser_per_nät,'Leveranser per nät'!S$1,FALSE)/VLOOKUP($B503,Korrigeringsfaktor_EI,'Korrigeringsfaktor EI'!S$1,FALSE),
"")</f>
        <v>2.9792079207920787</v>
      </c>
      <c r="T503" s="18">
        <f>IFERROR(
                  Andel_oberoende_av_klimat*VLOOKUP($A503,Leveranser_per_nät,'Leveranser per nät'!T$1,FALSE)
               +Andel_beroende_av_klimat*VLOOKUP($A503,Leveranser_per_nät,'Leveranser per nät'!T$1,FALSE)/VLOOKUP($B503,Korrigeringsfaktor_EI,'Korrigeringsfaktor EI'!T$1,FALSE),
"")</f>
        <v>3.006842105263158</v>
      </c>
      <c r="U503" s="18">
        <f>IFERROR(
                  Andel_oberoende_av_klimat*VLOOKUP($A503,Leveranser_per_nät,'Leveranser per nät'!U$1,FALSE)
               +Andel_beroende_av_klimat*VLOOKUP($A503,Leveranser_per_nät,'Leveranser per nät'!U$1,FALSE)/VLOOKUP($B503,Korrigeringsfaktor_EI,'Korrigeringsfaktor EI'!U$1,FALSE),
"")</f>
        <v>2.9189999999999996</v>
      </c>
      <c r="V503" s="18">
        <f>IFERROR(
                  Andel_oberoende_av_klimat*VLOOKUP($A503,Leveranser_per_nät,'Leveranser per nät'!V$1,FALSE)
               +Andel_beroende_av_klimat*VLOOKUP($A503,Leveranser_per_nät,'Leveranser per nät'!V$1,FALSE)/VLOOKUP($B503,Korrigeringsfaktor_EI,'Korrigeringsfaktor EI'!V$1,FALSE),
"")</f>
        <v>3.0312692307692308</v>
      </c>
      <c r="W503" s="18">
        <f>IFERROR(
                  Andel_oberoende_av_klimat*VLOOKUP($A503,Leveranser_per_nät,'Leveranser per nät'!W$1,FALSE)
               +Andel_beroende_av_klimat*VLOOKUP($A503,Leveranser_per_nät,'Leveranser per nät'!W$1,FALSE)/VLOOKUP($B503,Korrigeringsfaktor_EI,'Korrigeringsfaktor EI'!W$1,FALSE),
"")</f>
        <v>3.1667458333333331</v>
      </c>
      <c r="X503" s="18">
        <f>IFERROR(
                  Andel_oberoende_av_klimat*VLOOKUP($A503,Leveranser_per_nät,'Leveranser per nät'!X$1,FALSE)
               +Andel_beroende_av_klimat*VLOOKUP($A503,Leveranser_per_nät,'Leveranser per nät'!X$1,FALSE)/VLOOKUP($B503,Korrigeringsfaktor_EI,'Korrigeringsfaktor EI'!X$1,FALSE),
"")</f>
        <v>3.3178947368421055</v>
      </c>
      <c r="Y503" s="18">
        <f>IFERROR(
                  Andel_oberoende_av_klimat*VLOOKUP($A503,Leveranser_per_nät,'Leveranser per nät'!Y$1,FALSE)
               +Andel_beroende_av_klimat*VLOOKUP($A503,Leveranser_per_nät,'Leveranser per nät'!Y$1,FALSE)/VLOOKUP($B503,Korrigeringsfaktor_EI,'Korrigeringsfaktor EI'!Y$1,FALSE),
"")</f>
        <v>3.207692307692307</v>
      </c>
      <c r="Z503" s="18">
        <f>IFERROR(
                  Andel_oberoende_av_klimat*VLOOKUP($A503,Leveranser_per_nät,'Leveranser per nät'!Z$1,FALSE)
               +Andel_beroende_av_klimat*VLOOKUP($A503,Leveranser_per_nät,'Leveranser per nät'!Z$1,FALSE)/VLOOKUP($B503,Korrigeringsfaktor_EI,'Korrigeringsfaktor EI'!Z$1,FALSE),
"")</f>
        <v>2.9475268817204299</v>
      </c>
      <c r="AA503" s="18">
        <f>IFERROR(
                  Andel_oberoende_av_klimat*VLOOKUP($A503,Leveranser_per_nät,'Leveranser per nät'!AA$1,FALSE)
               +Andel_beroende_av_klimat*VLOOKUP($A503,Leveranser_per_nät,'Leveranser per nät'!AA$1,FALSE)/VLOOKUP($B503,Korrigeringsfaktor_EI,'Korrigeringsfaktor EI'!AA$1,FALSE),
"")</f>
        <v>3.0983869371598218</v>
      </c>
      <c r="AB503" s="18">
        <f>IFERROR(
                  Andel_oberoende_av_klimat*VLOOKUP($A503,Leveranser_per_nät,'Leveranser per nät'!AB$1,FALSE)
               +Andel_beroende_av_klimat*VLOOKUP($A503,Leveranser_per_nät,'Leveranser per nät'!AB$1,FALSE)/VLOOKUP($B503,Korrigeringsfaktor_EI,'Korrigeringsfaktor EI'!AB$1,FALSE),
"")</f>
        <v>0</v>
      </c>
      <c r="AC503" s="18">
        <f>IFERROR(
                  Andel_oberoende_av_klimat*VLOOKUP($A503,Leveranser_per_nät,'Leveranser per nät'!AC$1,FALSE)
               +Andel_beroende_av_klimat*VLOOKUP($A503,Leveranser_per_nät,'Leveranser per nät'!AC$1,FALSE)/VLOOKUP($B503,Korrigeringsfaktor_EI,'Korrigeringsfaktor EI'!AC$1,FALSE),
"")</f>
        <v>0</v>
      </c>
      <c r="AD503">
        <v>662.10699999999997</v>
      </c>
    </row>
    <row r="504" spans="1:30" x14ac:dyDescent="0.25">
      <c r="A504" t="s">
        <v>371</v>
      </c>
      <c r="B504" t="s">
        <v>518</v>
      </c>
      <c r="C504" s="18">
        <f>IFERROR(
                  Andel_oberoende_av_klimat*VLOOKUP($A504,Leveranser_per_nät,'Leveranser per nät'!C$1,FALSE)
               +Andel_beroende_av_klimat*VLOOKUP($A504,Leveranser_per_nät,'Leveranser per nät'!C$1,FALSE)/VLOOKUP($B504,Korrigeringsfaktor_EI,'Korrigeringsfaktor EI'!C$1,FALSE),
"")</f>
        <v>29.963636363636361</v>
      </c>
      <c r="D504" s="18">
        <f>IFERROR(
                  Andel_oberoende_av_klimat*VLOOKUP($A504,Leveranser_per_nät,'Leveranser per nät'!D$1,FALSE)
               +Andel_beroende_av_klimat*VLOOKUP($A504,Leveranser_per_nät,'Leveranser per nät'!D$1,FALSE)/VLOOKUP($B504,Korrigeringsfaktor_EI,'Korrigeringsfaktor EI'!D$1,FALSE),
"")</f>
        <v>31.14</v>
      </c>
      <c r="E504" s="18">
        <f>IFERROR(
                  Andel_oberoende_av_klimat*VLOOKUP($A504,Leveranser_per_nät,'Leveranser per nät'!E$1,FALSE)
               +Andel_beroende_av_klimat*VLOOKUP($A504,Leveranser_per_nät,'Leveranser per nät'!E$1,FALSE)/VLOOKUP($B504,Korrigeringsfaktor_EI,'Korrigeringsfaktor EI'!E$1,FALSE),
"")</f>
        <v>29.966666666666665</v>
      </c>
      <c r="F504" s="18">
        <f>IFERROR(
                  Andel_oberoende_av_klimat*VLOOKUP($A504,Leveranser_per_nät,'Leveranser per nät'!F$1,FALSE)
               +Andel_beroende_av_klimat*VLOOKUP($A504,Leveranser_per_nät,'Leveranser per nät'!F$1,FALSE)/VLOOKUP($B504,Korrigeringsfaktor_EI,'Korrigeringsfaktor EI'!F$1,FALSE),
"")</f>
        <v>35.757731958762889</v>
      </c>
      <c r="G504" s="18">
        <f>IFERROR(
                  Andel_oberoende_av_klimat*VLOOKUP($A504,Leveranser_per_nät,'Leveranser per nät'!G$1,FALSE)
               +Andel_beroende_av_klimat*VLOOKUP($A504,Leveranser_per_nät,'Leveranser per nät'!G$1,FALSE)/VLOOKUP($B504,Korrigeringsfaktor_EI,'Korrigeringsfaktor EI'!G$1,FALSE),
"")</f>
        <v>35.284615384615378</v>
      </c>
      <c r="H504" s="18">
        <f>IFERROR(
                  Andel_oberoende_av_klimat*VLOOKUP($A504,Leveranser_per_nät,'Leveranser per nät'!H$1,FALSE)
               +Andel_beroende_av_klimat*VLOOKUP($A504,Leveranser_per_nät,'Leveranser per nät'!H$1,FALSE)/VLOOKUP($B504,Korrigeringsfaktor_EI,'Korrigeringsfaktor EI'!H$1,FALSE),
"")</f>
        <v>40.064285714285717</v>
      </c>
      <c r="I504" s="18">
        <f>IFERROR(
                  Andel_oberoende_av_klimat*VLOOKUP($A504,Leveranser_per_nät,'Leveranser per nät'!I$1,FALSE)
               +Andel_beroende_av_klimat*VLOOKUP($A504,Leveranser_per_nät,'Leveranser per nät'!I$1,FALSE)/VLOOKUP($B504,Korrigeringsfaktor_EI,'Korrigeringsfaktor EI'!I$1,FALSE),
"")</f>
        <v>39.90494210526316</v>
      </c>
      <c r="J504" s="18">
        <f>IFERROR(
                  Andel_oberoende_av_klimat*VLOOKUP($A504,Leveranser_per_nät,'Leveranser per nät'!J$1,FALSE)
               +Andel_beroende_av_klimat*VLOOKUP($A504,Leveranser_per_nät,'Leveranser per nät'!J$1,FALSE)/VLOOKUP($B504,Korrigeringsfaktor_EI,'Korrigeringsfaktor EI'!J$1,FALSE),
"")</f>
        <v>39.400934020618564</v>
      </c>
      <c r="K504" s="18">
        <f>IFERROR(
                  Andel_oberoende_av_klimat*VLOOKUP($A504,Leveranser_per_nät,'Leveranser per nät'!K$1,FALSE)
               +Andel_beroende_av_klimat*VLOOKUP($A504,Leveranser_per_nät,'Leveranser per nät'!K$1,FALSE)/VLOOKUP($B504,Korrigeringsfaktor_EI,'Korrigeringsfaktor EI'!K$1,FALSE),
"")</f>
        <v>41.346563298969073</v>
      </c>
      <c r="L504" s="18">
        <f>IFERROR(
                  Andel_oberoende_av_klimat*VLOOKUP($A504,Leveranser_per_nät,'Leveranser per nät'!L$1,FALSE)
               +Andel_beroende_av_klimat*VLOOKUP($A504,Leveranser_per_nät,'Leveranser per nät'!L$1,FALSE)/VLOOKUP($B504,Korrigeringsfaktor_EI,'Korrigeringsfaktor EI'!L$1,FALSE),
"")</f>
        <v>42.602711397849461</v>
      </c>
      <c r="M504" s="18">
        <f>IFERROR(
                  Andel_oberoende_av_klimat*VLOOKUP($A504,Leveranser_per_nät,'Leveranser per nät'!M$1,FALSE)
               +Andel_beroende_av_klimat*VLOOKUP($A504,Leveranser_per_nät,'Leveranser per nät'!M$1,FALSE)/VLOOKUP($B504,Korrigeringsfaktor_EI,'Korrigeringsfaktor EI'!M$1,FALSE),
"")</f>
        <v>43.272196923076919</v>
      </c>
      <c r="N504" s="18">
        <f>IFERROR(
                  Andel_oberoende_av_klimat*VLOOKUP($A504,Leveranser_per_nät,'Leveranser per nät'!N$1,FALSE)
               +Andel_beroende_av_klimat*VLOOKUP($A504,Leveranser_per_nät,'Leveranser per nät'!N$1,FALSE)/VLOOKUP($B504,Korrigeringsfaktor_EI,'Korrigeringsfaktor EI'!N$1,FALSE),
"")</f>
        <v>46.36</v>
      </c>
      <c r="O504" s="18">
        <f>IFERROR(
                  Andel_oberoende_av_klimat*VLOOKUP($A504,Leveranser_per_nät,'Leveranser per nät'!O$1,FALSE)
               +Andel_beroende_av_klimat*VLOOKUP($A504,Leveranser_per_nät,'Leveranser per nät'!O$1,FALSE)/VLOOKUP($B504,Korrigeringsfaktor_EI,'Korrigeringsfaktor EI'!O$1,FALSE),
"")</f>
        <v>77.685955056179779</v>
      </c>
      <c r="P504" s="18">
        <f>IFERROR(
                  Andel_oberoende_av_klimat*VLOOKUP($A504,Leveranser_per_nät,'Leveranser per nät'!P$1,FALSE)
               +Andel_beroende_av_klimat*VLOOKUP($A504,Leveranser_per_nät,'Leveranser per nät'!P$1,FALSE)/VLOOKUP($B504,Korrigeringsfaktor_EI,'Korrigeringsfaktor EI'!P$1,FALSE),
"")</f>
        <v>72.865000000000009</v>
      </c>
      <c r="Q504" s="18">
        <f>IFERROR(
                  Andel_oberoende_av_klimat*VLOOKUP($A504,Leveranser_per_nät,'Leveranser per nät'!Q$1,FALSE)
               +Andel_beroende_av_klimat*VLOOKUP($A504,Leveranser_per_nät,'Leveranser per nät'!Q$1,FALSE)/VLOOKUP($B504,Korrigeringsfaktor_EI,'Korrigeringsfaktor EI'!Q$1,FALSE),
"")</f>
        <v>73.649469026548672</v>
      </c>
      <c r="R504" s="18">
        <f>IFERROR(
                  Andel_oberoende_av_klimat*VLOOKUP($A504,Leveranser_per_nät,'Leveranser per nät'!R$1,FALSE)
               +Andel_beroende_av_klimat*VLOOKUP($A504,Leveranser_per_nät,'Leveranser per nät'!R$1,FALSE)/VLOOKUP($B504,Korrigeringsfaktor_EI,'Korrigeringsfaktor EI'!R$1,FALSE),
"")</f>
        <v>82.072777777777787</v>
      </c>
      <c r="S504" s="18">
        <f>IFERROR(
                  Andel_oberoende_av_klimat*VLOOKUP($A504,Leveranser_per_nät,'Leveranser per nät'!S$1,FALSE)
               +Andel_beroende_av_klimat*VLOOKUP($A504,Leveranser_per_nät,'Leveranser per nät'!S$1,FALSE)/VLOOKUP($B504,Korrigeringsfaktor_EI,'Korrigeringsfaktor EI'!S$1,FALSE),
"")</f>
        <v>72.2</v>
      </c>
      <c r="T504" s="18">
        <f>IFERROR(
                  Andel_oberoende_av_klimat*VLOOKUP($A504,Leveranser_per_nät,'Leveranser per nät'!T$1,FALSE)
               +Andel_beroende_av_klimat*VLOOKUP($A504,Leveranser_per_nät,'Leveranser per nät'!T$1,FALSE)/VLOOKUP($B504,Korrigeringsfaktor_EI,'Korrigeringsfaktor EI'!T$1,FALSE),
"")</f>
        <v>70.401578947368421</v>
      </c>
      <c r="U504" s="18">
        <f>IFERROR(
                  Andel_oberoende_av_klimat*VLOOKUP($A504,Leveranser_per_nät,'Leveranser per nät'!U$1,FALSE)
               +Andel_beroende_av_klimat*VLOOKUP($A504,Leveranser_per_nät,'Leveranser per nät'!U$1,FALSE)/VLOOKUP($B504,Korrigeringsfaktor_EI,'Korrigeringsfaktor EI'!U$1,FALSE),
"")</f>
        <v>69.645730337078646</v>
      </c>
      <c r="V504" s="18">
        <f>IFERROR(
                  Andel_oberoende_av_klimat*VLOOKUP($A504,Leveranser_per_nät,'Leveranser per nät'!V$1,FALSE)
               +Andel_beroende_av_klimat*VLOOKUP($A504,Leveranser_per_nät,'Leveranser per nät'!V$1,FALSE)/VLOOKUP($B504,Korrigeringsfaktor_EI,'Korrigeringsfaktor EI'!V$1,FALSE),
"")</f>
        <v>65.842921348314604</v>
      </c>
      <c r="W504" s="18">
        <f>IFERROR(
                  Andel_oberoende_av_klimat*VLOOKUP($A504,Leveranser_per_nät,'Leveranser per nät'!W$1,FALSE)
               +Andel_beroende_av_klimat*VLOOKUP($A504,Leveranser_per_nät,'Leveranser per nät'!W$1,FALSE)/VLOOKUP($B504,Korrigeringsfaktor_EI,'Korrigeringsfaktor EI'!W$1,FALSE),
"")</f>
        <v>67.590851063829803</v>
      </c>
      <c r="X504" s="18">
        <f>IFERROR(
                  Andel_oberoende_av_klimat*VLOOKUP($A504,Leveranser_per_nät,'Leveranser per nät'!X$1,FALSE)
               +Andel_beroende_av_klimat*VLOOKUP($A504,Leveranser_per_nät,'Leveranser per nät'!X$1,FALSE)/VLOOKUP($B504,Korrigeringsfaktor_EI,'Korrigeringsfaktor EI'!X$1,FALSE),
"")</f>
        <v>69.056344086021497</v>
      </c>
      <c r="Y504" s="18">
        <f>IFERROR(
                  Andel_oberoende_av_klimat*VLOOKUP($A504,Leveranser_per_nät,'Leveranser per nät'!Y$1,FALSE)
               +Andel_beroende_av_klimat*VLOOKUP($A504,Leveranser_per_nät,'Leveranser per nät'!Y$1,FALSE)/VLOOKUP($B504,Korrigeringsfaktor_EI,'Korrigeringsfaktor EI'!Y$1,FALSE),
"")</f>
        <v>72.814615384615379</v>
      </c>
      <c r="Z504" s="18">
        <f>IFERROR(
                  Andel_oberoende_av_klimat*VLOOKUP($A504,Leveranser_per_nät,'Leveranser per nät'!Z$1,FALSE)
               +Andel_beroende_av_klimat*VLOOKUP($A504,Leveranser_per_nät,'Leveranser per nät'!Z$1,FALSE)/VLOOKUP($B504,Korrigeringsfaktor_EI,'Korrigeringsfaktor EI'!Z$1,FALSE),
"")</f>
        <v>74.797777777777782</v>
      </c>
      <c r="AA504" s="18">
        <f>IFERROR(
                  Andel_oberoende_av_klimat*VLOOKUP($A504,Leveranser_per_nät,'Leveranser per nät'!AA$1,FALSE)
               +Andel_beroende_av_klimat*VLOOKUP($A504,Leveranser_per_nät,'Leveranser per nät'!AA$1,FALSE)/VLOOKUP($B504,Korrigeringsfaktor_EI,'Korrigeringsfaktor EI'!AA$1,FALSE),
"")</f>
        <v>71.22564171122994</v>
      </c>
      <c r="AB504" s="18">
        <f>IFERROR(
                  Andel_oberoende_av_klimat*VLOOKUP($A504,Leveranser_per_nät,'Leveranser per nät'!AB$1,FALSE)
               +Andel_beroende_av_klimat*VLOOKUP($A504,Leveranser_per_nät,'Leveranser per nät'!AB$1,FALSE)/VLOOKUP($B504,Korrigeringsfaktor_EI,'Korrigeringsfaktor EI'!AB$1,FALSE),
"")</f>
        <v>67.401986234021635</v>
      </c>
      <c r="AC504" s="18">
        <f>IFERROR(
                  Andel_oberoende_av_klimat*VLOOKUP($A504,Leveranser_per_nät,'Leveranser per nät'!AC$1,FALSE)
               +Andel_beroende_av_klimat*VLOOKUP($A504,Leveranser_per_nät,'Leveranser per nät'!AC$1,FALSE)/VLOOKUP($B504,Korrigeringsfaktor_EI,'Korrigeringsfaktor EI'!AC$1,FALSE),
"")</f>
        <v>66.563346038543898</v>
      </c>
      <c r="AD504" t="e">
        <v>#N/A</v>
      </c>
    </row>
    <row r="505" spans="1:30" x14ac:dyDescent="0.25">
      <c r="A505" t="s">
        <v>372</v>
      </c>
      <c r="B505" t="s">
        <v>372</v>
      </c>
      <c r="C505" s="18">
        <f>IFERROR(
                  Andel_oberoende_av_klimat*VLOOKUP($A505,Leveranser_per_nät,'Leveranser per nät'!C$1,FALSE)
               +Andel_beroende_av_klimat*VLOOKUP($A505,Leveranser_per_nät,'Leveranser per nät'!C$1,FALSE)/VLOOKUP($B505,Korrigeringsfaktor_EI,'Korrigeringsfaktor EI'!C$1,FALSE),
"")</f>
        <v>158.24545454545455</v>
      </c>
      <c r="D505" s="18">
        <f>IFERROR(
                  Andel_oberoende_av_klimat*VLOOKUP($A505,Leveranser_per_nät,'Leveranser per nät'!D$1,FALSE)
               +Andel_beroende_av_klimat*VLOOKUP($A505,Leveranser_per_nät,'Leveranser per nät'!D$1,FALSE)/VLOOKUP($B505,Korrigeringsfaktor_EI,'Korrigeringsfaktor EI'!D$1,FALSE),
"")</f>
        <v>155.33590099009899</v>
      </c>
      <c r="E505" s="18">
        <f>IFERROR(
                  Andel_oberoende_av_klimat*VLOOKUP($A505,Leveranser_per_nät,'Leveranser per nät'!E$1,FALSE)
               +Andel_beroende_av_klimat*VLOOKUP($A505,Leveranser_per_nät,'Leveranser per nät'!E$1,FALSE)/VLOOKUP($B505,Korrigeringsfaktor_EI,'Korrigeringsfaktor EI'!E$1,FALSE),
"")</f>
        <v>166.68039215686275</v>
      </c>
      <c r="F505" s="18">
        <f>IFERROR(
                  Andel_oberoende_av_klimat*VLOOKUP($A505,Leveranser_per_nät,'Leveranser per nät'!F$1,FALSE)
               +Andel_beroende_av_klimat*VLOOKUP($A505,Leveranser_per_nät,'Leveranser per nät'!F$1,FALSE)/VLOOKUP($B505,Korrigeringsfaktor_EI,'Korrigeringsfaktor EI'!F$1,FALSE),
"")</f>
        <v>174.18947368421053</v>
      </c>
      <c r="G505" s="18">
        <f>IFERROR(
                  Andel_oberoende_av_klimat*VLOOKUP($A505,Leveranser_per_nät,'Leveranser per nät'!G$1,FALSE)
               +Andel_beroende_av_klimat*VLOOKUP($A505,Leveranser_per_nät,'Leveranser per nät'!G$1,FALSE)/VLOOKUP($B505,Korrigeringsfaktor_EI,'Korrigeringsfaktor EI'!G$1,FALSE),
"")</f>
        <v>177.83333333333331</v>
      </c>
      <c r="H505" s="18">
        <f>IFERROR(
                  Andel_oberoende_av_klimat*VLOOKUP($A505,Leveranser_per_nät,'Leveranser per nät'!H$1,FALSE)
               +Andel_beroende_av_klimat*VLOOKUP($A505,Leveranser_per_nät,'Leveranser per nät'!H$1,FALSE)/VLOOKUP($B505,Korrigeringsfaktor_EI,'Korrigeringsfaktor EI'!H$1,FALSE),
"")</f>
        <v>186.3080808080808</v>
      </c>
      <c r="I505" s="18">
        <f>IFERROR(
                  Andel_oberoende_av_klimat*VLOOKUP($A505,Leveranser_per_nät,'Leveranser per nät'!I$1,FALSE)
               +Andel_beroende_av_klimat*VLOOKUP($A505,Leveranser_per_nät,'Leveranser per nät'!I$1,FALSE)/VLOOKUP($B505,Korrigeringsfaktor_EI,'Korrigeringsfaktor EI'!I$1,FALSE),
"")</f>
        <v>184.90851063829786</v>
      </c>
      <c r="J505" s="18">
        <f>IFERROR(
                  Andel_oberoende_av_klimat*VLOOKUP($A505,Leveranser_per_nät,'Leveranser per nät'!J$1,FALSE)
               +Andel_beroende_av_klimat*VLOOKUP($A505,Leveranser_per_nät,'Leveranser per nät'!J$1,FALSE)/VLOOKUP($B505,Korrigeringsfaktor_EI,'Korrigeringsfaktor EI'!J$1,FALSE),
"")</f>
        <v>198.62916666666666</v>
      </c>
      <c r="K505" s="18">
        <f>IFERROR(
                  Andel_oberoende_av_klimat*VLOOKUP($A505,Leveranser_per_nät,'Leveranser per nät'!K$1,FALSE)
               +Andel_beroende_av_klimat*VLOOKUP($A505,Leveranser_per_nät,'Leveranser per nät'!K$1,FALSE)/VLOOKUP($B505,Korrigeringsfaktor_EI,'Korrigeringsfaktor EI'!K$1,FALSE),
"")</f>
        <v>195.94113298969071</v>
      </c>
      <c r="L505" s="18">
        <f>IFERROR(
                  Andel_oberoende_av_klimat*VLOOKUP($A505,Leveranser_per_nät,'Leveranser per nät'!L$1,FALSE)
               +Andel_beroende_av_klimat*VLOOKUP($A505,Leveranser_per_nät,'Leveranser per nät'!L$1,FALSE)/VLOOKUP($B505,Korrigeringsfaktor_EI,'Korrigeringsfaktor EI'!L$1,FALSE),
"")</f>
        <v>200.35829574468085</v>
      </c>
      <c r="M505" s="18">
        <f>IFERROR(
                  Andel_oberoende_av_klimat*VLOOKUP($A505,Leveranser_per_nät,'Leveranser per nät'!M$1,FALSE)
               +Andel_beroende_av_klimat*VLOOKUP($A505,Leveranser_per_nät,'Leveranser per nät'!M$1,FALSE)/VLOOKUP($B505,Korrigeringsfaktor_EI,'Korrigeringsfaktor EI'!M$1,FALSE),
"")</f>
        <v>205.29230769230765</v>
      </c>
      <c r="N505" s="18">
        <f>IFERROR(
                  Andel_oberoende_av_klimat*VLOOKUP($A505,Leveranser_per_nät,'Leveranser per nät'!N$1,FALSE)
               +Andel_beroende_av_klimat*VLOOKUP($A505,Leveranser_per_nät,'Leveranser per nät'!N$1,FALSE)/VLOOKUP($B505,Korrigeringsfaktor_EI,'Korrigeringsfaktor EI'!N$1,FALSE),
"")</f>
        <v>208.61123595505615</v>
      </c>
      <c r="O505" s="18">
        <f>IFERROR(
                  Andel_oberoende_av_klimat*VLOOKUP($A505,Leveranser_per_nät,'Leveranser per nät'!O$1,FALSE)
               +Andel_beroende_av_klimat*VLOOKUP($A505,Leveranser_per_nät,'Leveranser per nät'!O$1,FALSE)/VLOOKUP($B505,Korrigeringsfaktor_EI,'Korrigeringsfaktor EI'!O$1,FALSE),
"")</f>
        <v>205.12824545454544</v>
      </c>
      <c r="P505" s="18">
        <f>IFERROR(
                  Andel_oberoende_av_klimat*VLOOKUP($A505,Leveranser_per_nät,'Leveranser per nät'!P$1,FALSE)
               +Andel_beroende_av_klimat*VLOOKUP($A505,Leveranser_per_nät,'Leveranser per nät'!P$1,FALSE)/VLOOKUP($B505,Korrigeringsfaktor_EI,'Korrigeringsfaktor EI'!P$1,FALSE),
"")</f>
        <v>201.50556989247309</v>
      </c>
      <c r="Q505" s="18">
        <f>IFERROR(
                  Andel_oberoende_av_klimat*VLOOKUP($A505,Leveranser_per_nät,'Leveranser per nät'!Q$1,FALSE)
               +Andel_beroende_av_klimat*VLOOKUP($A505,Leveranser_per_nät,'Leveranser per nät'!Q$1,FALSE)/VLOOKUP($B505,Korrigeringsfaktor_EI,'Korrigeringsfaktor EI'!Q$1,FALSE),
"")</f>
        <v>201.0617</v>
      </c>
      <c r="R505" s="18">
        <f>IFERROR(
                  Andel_oberoende_av_klimat*VLOOKUP($A505,Leveranser_per_nät,'Leveranser per nät'!R$1,FALSE)
               +Andel_beroende_av_klimat*VLOOKUP($A505,Leveranser_per_nät,'Leveranser per nät'!R$1,FALSE)/VLOOKUP($B505,Korrigeringsfaktor_EI,'Korrigeringsfaktor EI'!R$1,FALSE),
"")</f>
        <v>191.15707692307691</v>
      </c>
      <c r="S505" s="18">
        <f>IFERROR(
                  Andel_oberoende_av_klimat*VLOOKUP($A505,Leveranser_per_nät,'Leveranser per nät'!S$1,FALSE)
               +Andel_beroende_av_klimat*VLOOKUP($A505,Leveranser_per_nät,'Leveranser per nät'!S$1,FALSE)/VLOOKUP($B505,Korrigeringsfaktor_EI,'Korrigeringsfaktor EI'!S$1,FALSE),
"")</f>
        <v>194</v>
      </c>
      <c r="T505" s="18">
        <f>IFERROR(
                  Andel_oberoende_av_klimat*VLOOKUP($A505,Leveranser_per_nät,'Leveranser per nät'!T$1,FALSE)
               +Andel_beroende_av_klimat*VLOOKUP($A505,Leveranser_per_nät,'Leveranser per nät'!T$1,FALSE)/VLOOKUP($B505,Korrigeringsfaktor_EI,'Korrigeringsfaktor EI'!T$1,FALSE),
"")</f>
        <v>189.41381443298971</v>
      </c>
      <c r="U505" s="18">
        <f>IFERROR(
                  Andel_oberoende_av_klimat*VLOOKUP($A505,Leveranser_per_nät,'Leveranser per nät'!U$1,FALSE)
               +Andel_beroende_av_klimat*VLOOKUP($A505,Leveranser_per_nät,'Leveranser per nät'!U$1,FALSE)/VLOOKUP($B505,Korrigeringsfaktor_EI,'Korrigeringsfaktor EI'!U$1,FALSE),
"")</f>
        <v>176.78776046511629</v>
      </c>
      <c r="V505" s="18">
        <f>IFERROR(
                  Andel_oberoende_av_klimat*VLOOKUP($A505,Leveranser_per_nät,'Leveranser per nät'!V$1,FALSE)
               +Andel_beroende_av_klimat*VLOOKUP($A505,Leveranser_per_nät,'Leveranser per nät'!V$1,FALSE)/VLOOKUP($B505,Korrigeringsfaktor_EI,'Korrigeringsfaktor EI'!V$1,FALSE),
"")</f>
        <v>178.49979130434784</v>
      </c>
      <c r="W505" s="18">
        <f>IFERROR(
                  Andel_oberoende_av_klimat*VLOOKUP($A505,Leveranser_per_nät,'Leveranser per nät'!W$1,FALSE)
               +Andel_beroende_av_klimat*VLOOKUP($A505,Leveranser_per_nät,'Leveranser per nät'!W$1,FALSE)/VLOOKUP($B505,Korrigeringsfaktor_EI,'Korrigeringsfaktor EI'!W$1,FALSE),
"")</f>
        <v>183.9693425531915</v>
      </c>
      <c r="X505" s="18">
        <f>IFERROR(
                  Andel_oberoende_av_klimat*VLOOKUP($A505,Leveranser_per_nät,'Leveranser per nät'!X$1,FALSE)
               +Andel_beroende_av_klimat*VLOOKUP($A505,Leveranser_per_nät,'Leveranser per nät'!X$1,FALSE)/VLOOKUP($B505,Korrigeringsfaktor_EI,'Korrigeringsfaktor EI'!X$1,FALSE),
"")</f>
        <v>184.76225531914898</v>
      </c>
      <c r="Y505" s="18">
        <f>IFERROR(
                  Andel_oberoende_av_klimat*VLOOKUP($A505,Leveranser_per_nät,'Leveranser per nät'!Y$1,FALSE)
               +Andel_beroende_av_klimat*VLOOKUP($A505,Leveranser_per_nät,'Leveranser per nät'!Y$1,FALSE)/VLOOKUP($B505,Korrigeringsfaktor_EI,'Korrigeringsfaktor EI'!Y$1,FALSE),
"")</f>
        <v>188.13117272727271</v>
      </c>
      <c r="Z505" s="18">
        <f>IFERROR(
                  Andel_oberoende_av_klimat*VLOOKUP($A505,Leveranser_per_nät,'Leveranser per nät'!Z$1,FALSE)
               +Andel_beroende_av_klimat*VLOOKUP($A505,Leveranser_per_nät,'Leveranser per nät'!Z$1,FALSE)/VLOOKUP($B505,Korrigeringsfaktor_EI,'Korrigeringsfaktor EI'!Z$1,FALSE),
"")</f>
        <v>179.86449999999999</v>
      </c>
      <c r="AA505" s="18">
        <f>IFERROR(
                  Andel_oberoende_av_klimat*VLOOKUP($A505,Leveranser_per_nät,'Leveranser per nät'!AA$1,FALSE)
               +Andel_beroende_av_klimat*VLOOKUP($A505,Leveranser_per_nät,'Leveranser per nät'!AA$1,FALSE)/VLOOKUP($B505,Korrigeringsfaktor_EI,'Korrigeringsfaktor EI'!AA$1,FALSE),
"")</f>
        <v>177.28784709371294</v>
      </c>
      <c r="AB505" s="18">
        <f>IFERROR(
                  Andel_oberoende_av_klimat*VLOOKUP($A505,Leveranser_per_nät,'Leveranser per nät'!AB$1,FALSE)
               +Andel_beroende_av_klimat*VLOOKUP($A505,Leveranser_per_nät,'Leveranser per nät'!AB$1,FALSE)/VLOOKUP($B505,Korrigeringsfaktor_EI,'Korrigeringsfaktor EI'!AB$1,FALSE),
"")</f>
        <v>176.42174158415841</v>
      </c>
      <c r="AC505" s="18">
        <f>IFERROR(
                  Andel_oberoende_av_klimat*VLOOKUP($A505,Leveranser_per_nät,'Leveranser per nät'!AC$1,FALSE)
               +Andel_beroende_av_klimat*VLOOKUP($A505,Leveranser_per_nät,'Leveranser per nät'!AC$1,FALSE)/VLOOKUP($B505,Korrigeringsfaktor_EI,'Korrigeringsfaktor EI'!AC$1,FALSE),
"")</f>
        <v>171.331723880597</v>
      </c>
      <c r="AD505">
        <v>163.755</v>
      </c>
    </row>
    <row r="506" spans="1:30" x14ac:dyDescent="0.25">
      <c r="A506" t="s">
        <v>105</v>
      </c>
      <c r="B506" t="s">
        <v>518</v>
      </c>
      <c r="C506" s="18">
        <f>IFERROR(
                  Andel_oberoende_av_klimat*VLOOKUP($A506,Leveranser_per_nät,'Leveranser per nät'!C$1,FALSE)
               +Andel_beroende_av_klimat*VLOOKUP($A506,Leveranser_per_nät,'Leveranser per nät'!C$1,FALSE)/VLOOKUP($B506,Korrigeringsfaktor_EI,'Korrigeringsfaktor EI'!C$1,FALSE),
"")</f>
        <v>0</v>
      </c>
      <c r="D506" s="18">
        <f>IFERROR(
                  Andel_oberoende_av_klimat*VLOOKUP($A506,Leveranser_per_nät,'Leveranser per nät'!D$1,FALSE)
               +Andel_beroende_av_klimat*VLOOKUP($A506,Leveranser_per_nät,'Leveranser per nät'!D$1,FALSE)/VLOOKUP($B506,Korrigeringsfaktor_EI,'Korrigeringsfaktor EI'!D$1,FALSE),
"")</f>
        <v>0</v>
      </c>
      <c r="E506" s="18">
        <f>IFERROR(
                  Andel_oberoende_av_klimat*VLOOKUP($A506,Leveranser_per_nät,'Leveranser per nät'!E$1,FALSE)
               +Andel_beroende_av_klimat*VLOOKUP($A506,Leveranser_per_nät,'Leveranser per nät'!E$1,FALSE)/VLOOKUP($B506,Korrigeringsfaktor_EI,'Korrigeringsfaktor EI'!E$1,FALSE),
"")</f>
        <v>0</v>
      </c>
      <c r="F506" s="18">
        <f>IFERROR(
                  Andel_oberoende_av_klimat*VLOOKUP($A506,Leveranser_per_nät,'Leveranser per nät'!F$1,FALSE)
               +Andel_beroende_av_klimat*VLOOKUP($A506,Leveranser_per_nät,'Leveranser per nät'!F$1,FALSE)/VLOOKUP($B506,Korrigeringsfaktor_EI,'Korrigeringsfaktor EI'!F$1,FALSE),
"")</f>
        <v>0</v>
      </c>
      <c r="G506" s="18">
        <f>IFERROR(
                  Andel_oberoende_av_klimat*VLOOKUP($A506,Leveranser_per_nät,'Leveranser per nät'!G$1,FALSE)
               +Andel_beroende_av_klimat*VLOOKUP($A506,Leveranser_per_nät,'Leveranser per nät'!G$1,FALSE)/VLOOKUP($B506,Korrigeringsfaktor_EI,'Korrigeringsfaktor EI'!G$1,FALSE),
"")</f>
        <v>0</v>
      </c>
      <c r="H506" s="18">
        <f>IFERROR(
                  Andel_oberoende_av_klimat*VLOOKUP($A506,Leveranser_per_nät,'Leveranser per nät'!H$1,FALSE)
               +Andel_beroende_av_klimat*VLOOKUP($A506,Leveranser_per_nät,'Leveranser per nät'!H$1,FALSE)/VLOOKUP($B506,Korrigeringsfaktor_EI,'Korrigeringsfaktor EI'!H$1,FALSE),
"")</f>
        <v>1.0142857142857142</v>
      </c>
      <c r="I506" s="18">
        <f>IFERROR(
                  Andel_oberoende_av_klimat*VLOOKUP($A506,Leveranser_per_nät,'Leveranser per nät'!I$1,FALSE)
               +Andel_beroende_av_klimat*VLOOKUP($A506,Leveranser_per_nät,'Leveranser per nät'!I$1,FALSE)/VLOOKUP($B506,Korrigeringsfaktor_EI,'Korrigeringsfaktor EI'!I$1,FALSE),
"")</f>
        <v>2.0736842105263156</v>
      </c>
      <c r="J506" s="18">
        <f>IFERROR(
                  Andel_oberoende_av_klimat*VLOOKUP($A506,Leveranser_per_nät,'Leveranser per nät'!J$1,FALSE)
               +Andel_beroende_av_klimat*VLOOKUP($A506,Leveranser_per_nät,'Leveranser per nät'!J$1,FALSE)/VLOOKUP($B506,Korrigeringsfaktor_EI,'Korrigeringsfaktor EI'!J$1,FALSE),
"")</f>
        <v>3.0649484536082472</v>
      </c>
      <c r="K506" s="18">
        <f>IFERROR(
                  Andel_oberoende_av_klimat*VLOOKUP($A506,Leveranser_per_nät,'Leveranser per nät'!K$1,FALSE)
               +Andel_beroende_av_klimat*VLOOKUP($A506,Leveranser_per_nät,'Leveranser per nät'!K$1,FALSE)/VLOOKUP($B506,Korrigeringsfaktor_EI,'Korrigeringsfaktor EI'!K$1,FALSE),
"")</f>
        <v>3.6329855670103095</v>
      </c>
      <c r="L506" s="18">
        <f>IFERROR(
                  Andel_oberoende_av_klimat*VLOOKUP($A506,Leveranser_per_nät,'Leveranser per nät'!L$1,FALSE)
               +Andel_beroende_av_klimat*VLOOKUP($A506,Leveranser_per_nät,'Leveranser per nät'!L$1,FALSE)/VLOOKUP($B506,Korrigeringsfaktor_EI,'Korrigeringsfaktor EI'!L$1,FALSE),
"")</f>
        <v>3.9075784946236558</v>
      </c>
      <c r="M506" s="18">
        <f>IFERROR(
                  Andel_oberoende_av_klimat*VLOOKUP($A506,Leveranser_per_nät,'Leveranser per nät'!M$1,FALSE)
               +Andel_beroende_av_klimat*VLOOKUP($A506,Leveranser_per_nät,'Leveranser per nät'!M$1,FALSE)/VLOOKUP($B506,Korrigeringsfaktor_EI,'Korrigeringsfaktor EI'!M$1,FALSE),
"")</f>
        <v>4.1978</v>
      </c>
      <c r="N506" s="18">
        <f>IFERROR(
                  Andel_oberoende_av_klimat*VLOOKUP($A506,Leveranser_per_nät,'Leveranser per nät'!N$1,FALSE)
               +Andel_beroende_av_klimat*VLOOKUP($A506,Leveranser_per_nät,'Leveranser per nät'!N$1,FALSE)/VLOOKUP($B506,Korrigeringsfaktor_EI,'Korrigeringsfaktor EI'!N$1,FALSE),
"")</f>
        <v>4.830139130434782</v>
      </c>
      <c r="O506" s="18">
        <f>IFERROR(
                  Andel_oberoende_av_klimat*VLOOKUP($A506,Leveranser_per_nät,'Leveranser per nät'!O$1,FALSE)
               +Andel_beroende_av_klimat*VLOOKUP($A506,Leveranser_per_nät,'Leveranser per nät'!O$1,FALSE)/VLOOKUP($B506,Korrigeringsfaktor_EI,'Korrigeringsfaktor EI'!O$1,FALSE),
"")</f>
        <v>4.7741550561797759</v>
      </c>
      <c r="P506" s="18">
        <f>IFERROR(
                  Andel_oberoende_av_klimat*VLOOKUP($A506,Leveranser_per_nät,'Leveranser per nät'!P$1,FALSE)
               +Andel_beroende_av_klimat*VLOOKUP($A506,Leveranser_per_nät,'Leveranser per nät'!P$1,FALSE)/VLOOKUP($B506,Korrigeringsfaktor_EI,'Korrigeringsfaktor EI'!P$1,FALSE),
"")</f>
        <v>4.5221583333333335</v>
      </c>
      <c r="Q506" s="18">
        <f>IFERROR(
                  Andel_oberoende_av_klimat*VLOOKUP($A506,Leveranser_per_nät,'Leveranser per nät'!Q$1,FALSE)
               +Andel_beroende_av_klimat*VLOOKUP($A506,Leveranser_per_nät,'Leveranser per nät'!Q$1,FALSE)/VLOOKUP($B506,Korrigeringsfaktor_EI,'Korrigeringsfaktor EI'!Q$1,FALSE),
"")</f>
        <v>6.1880265486725676</v>
      </c>
      <c r="R506" s="18">
        <f>IFERROR(
                  Andel_oberoende_av_klimat*VLOOKUP($A506,Leveranser_per_nät,'Leveranser per nät'!R$1,FALSE)
               +Andel_beroende_av_klimat*VLOOKUP($A506,Leveranser_per_nät,'Leveranser per nät'!R$1,FALSE)/VLOOKUP($B506,Korrigeringsfaktor_EI,'Korrigeringsfaktor EI'!R$1,FALSE),
"")</f>
        <v>6.8665222222222226</v>
      </c>
      <c r="S506" s="18">
        <f>IFERROR(
                  Andel_oberoende_av_klimat*VLOOKUP($A506,Leveranser_per_nät,'Leveranser per nät'!S$1,FALSE)
               +Andel_beroende_av_klimat*VLOOKUP($A506,Leveranser_per_nät,'Leveranser per nät'!S$1,FALSE)/VLOOKUP($B506,Korrigeringsfaktor_EI,'Korrigeringsfaktor EI'!S$1,FALSE),
"")</f>
        <v>7.2000000000000011</v>
      </c>
      <c r="T506" s="18">
        <f>IFERROR(
                  Andel_oberoende_av_klimat*VLOOKUP($A506,Leveranser_per_nät,'Leveranser per nät'!T$1,FALSE)
               +Andel_beroende_av_klimat*VLOOKUP($A506,Leveranser_per_nät,'Leveranser per nät'!T$1,FALSE)/VLOOKUP($B506,Korrigeringsfaktor_EI,'Korrigeringsfaktor EI'!T$1,FALSE),
"")</f>
        <v>7.15421052631579</v>
      </c>
      <c r="U506" s="18">
        <f>IFERROR(
                  Andel_oberoende_av_klimat*VLOOKUP($A506,Leveranser_per_nät,'Leveranser per nät'!U$1,FALSE)
               +Andel_beroende_av_klimat*VLOOKUP($A506,Leveranser_per_nät,'Leveranser per nät'!U$1,FALSE)/VLOOKUP($B506,Korrigeringsfaktor_EI,'Korrigeringsfaktor EI'!U$1,FALSE),
"")</f>
        <v>4.2374157303370783</v>
      </c>
      <c r="V506" s="18">
        <f>IFERROR(
                  Andel_oberoende_av_klimat*VLOOKUP($A506,Leveranser_per_nät,'Leveranser per nät'!V$1,FALSE)
               +Andel_beroende_av_klimat*VLOOKUP($A506,Leveranser_per_nät,'Leveranser per nät'!V$1,FALSE)/VLOOKUP($B506,Korrigeringsfaktor_EI,'Korrigeringsfaktor EI'!V$1,FALSE),
"")</f>
        <v>4.2917415730337085</v>
      </c>
      <c r="W506" s="18">
        <f>IFERROR(
                  Andel_oberoende_av_klimat*VLOOKUP($A506,Leveranser_per_nät,'Leveranser per nät'!W$1,FALSE)
               +Andel_beroende_av_klimat*VLOOKUP($A506,Leveranser_per_nät,'Leveranser per nät'!W$1,FALSE)/VLOOKUP($B506,Korrigeringsfaktor_EI,'Korrigeringsfaktor EI'!W$1,FALSE),
"")</f>
        <v>5.9546808510638307</v>
      </c>
      <c r="X506" s="18">
        <f>IFERROR(
                  Andel_oberoende_av_klimat*VLOOKUP($A506,Leveranser_per_nät,'Leveranser per nät'!X$1,FALSE)
               +Andel_beroende_av_klimat*VLOOKUP($A506,Leveranser_per_nät,'Leveranser per nät'!X$1,FALSE)/VLOOKUP($B506,Korrigeringsfaktor_EI,'Korrigeringsfaktor EI'!X$1,FALSE),
"")</f>
        <v>6.1055913978494623</v>
      </c>
      <c r="Y506" s="18">
        <f>IFERROR(
                  Andel_oberoende_av_klimat*VLOOKUP($A506,Leveranser_per_nät,'Leveranser per nät'!Y$1,FALSE)
               +Andel_beroende_av_klimat*VLOOKUP($A506,Leveranser_per_nät,'Leveranser per nät'!Y$1,FALSE)/VLOOKUP($B506,Korrigeringsfaktor_EI,'Korrigeringsfaktor EI'!Y$1,FALSE),
"")</f>
        <v>6.262484615384615</v>
      </c>
      <c r="Z506" s="18">
        <f>IFERROR(
                  Andel_oberoende_av_klimat*VLOOKUP($A506,Leveranser_per_nät,'Leveranser per nät'!Z$1,FALSE)
               +Andel_beroende_av_klimat*VLOOKUP($A506,Leveranser_per_nät,'Leveranser per nät'!Z$1,FALSE)/VLOOKUP($B506,Korrigeringsfaktor_EI,'Korrigeringsfaktor EI'!Z$1,FALSE),
"")</f>
        <v>6.2565</v>
      </c>
      <c r="AA506" s="18">
        <f>IFERROR(
                  Andel_oberoende_av_klimat*VLOOKUP($A506,Leveranser_per_nät,'Leveranser per nät'!AA$1,FALSE)
               +Andel_beroende_av_klimat*VLOOKUP($A506,Leveranser_per_nät,'Leveranser per nät'!AA$1,FALSE)/VLOOKUP($B506,Korrigeringsfaktor_EI,'Korrigeringsfaktor EI'!AA$1,FALSE),
"")</f>
        <v>6.0402592245989304</v>
      </c>
      <c r="AB506" s="18">
        <f>IFERROR(
                  Andel_oberoende_av_klimat*VLOOKUP($A506,Leveranser_per_nät,'Leveranser per nät'!AB$1,FALSE)
               +Andel_beroende_av_klimat*VLOOKUP($A506,Leveranser_per_nät,'Leveranser per nät'!AB$1,FALSE)/VLOOKUP($B506,Korrigeringsfaktor_EI,'Korrigeringsfaktor EI'!AB$1,FALSE),
"")</f>
        <v>5.9297935103244832</v>
      </c>
      <c r="AC506" s="18">
        <f>IFERROR(
                  Andel_oberoende_av_klimat*VLOOKUP($A506,Leveranser_per_nät,'Leveranser per nät'!AC$1,FALSE)
               +Andel_beroende_av_klimat*VLOOKUP($A506,Leveranser_per_nät,'Leveranser per nät'!AC$1,FALSE)/VLOOKUP($B506,Korrigeringsfaktor_EI,'Korrigeringsfaktor EI'!AC$1,FALSE),
"")</f>
        <v>5.9074366167023546</v>
      </c>
      <c r="AD506" t="e">
        <v>#N/A</v>
      </c>
    </row>
    <row r="507" spans="1:30" x14ac:dyDescent="0.25">
      <c r="A507" t="s">
        <v>177</v>
      </c>
      <c r="B507" t="s">
        <v>177</v>
      </c>
      <c r="C507" s="18">
        <f>IFERROR(
                  Andel_oberoende_av_klimat*VLOOKUP($A507,Leveranser_per_nät,'Leveranser per nät'!C$1,FALSE)
               +Andel_beroende_av_klimat*VLOOKUP($A507,Leveranser_per_nät,'Leveranser per nät'!C$1,FALSE)/VLOOKUP($B507,Korrigeringsfaktor_EI,'Korrigeringsfaktor EI'!C$1,FALSE),
"")</f>
        <v>0</v>
      </c>
      <c r="D507" s="18">
        <f>IFERROR(
                  Andel_oberoende_av_klimat*VLOOKUP($A507,Leveranser_per_nät,'Leveranser per nät'!D$1,FALSE)
               +Andel_beroende_av_klimat*VLOOKUP($A507,Leveranser_per_nät,'Leveranser per nät'!D$1,FALSE)/VLOOKUP($B507,Korrigeringsfaktor_EI,'Korrigeringsfaktor EI'!D$1,FALSE),
"")</f>
        <v>0</v>
      </c>
      <c r="E507" s="18">
        <f>IFERROR(
                  Andel_oberoende_av_klimat*VLOOKUP($A507,Leveranser_per_nät,'Leveranser per nät'!E$1,FALSE)
               +Andel_beroende_av_klimat*VLOOKUP($A507,Leveranser_per_nät,'Leveranser per nät'!E$1,FALSE)/VLOOKUP($B507,Korrigeringsfaktor_EI,'Korrigeringsfaktor EI'!E$1,FALSE),
"")</f>
        <v>0</v>
      </c>
      <c r="F507" s="18">
        <f>IFERROR(
                  Andel_oberoende_av_klimat*VLOOKUP($A507,Leveranser_per_nät,'Leveranser per nät'!F$1,FALSE)
               +Andel_beroende_av_klimat*VLOOKUP($A507,Leveranser_per_nät,'Leveranser per nät'!F$1,FALSE)/VLOOKUP($B507,Korrigeringsfaktor_EI,'Korrigeringsfaktor EI'!F$1,FALSE),
"")</f>
        <v>0</v>
      </c>
      <c r="G507" s="18">
        <f>IFERROR(
                  Andel_oberoende_av_klimat*VLOOKUP($A507,Leveranser_per_nät,'Leveranser per nät'!G$1,FALSE)
               +Andel_beroende_av_klimat*VLOOKUP($A507,Leveranser_per_nät,'Leveranser per nät'!G$1,FALSE)/VLOOKUP($B507,Korrigeringsfaktor_EI,'Korrigeringsfaktor EI'!G$1,FALSE),
"")</f>
        <v>0</v>
      </c>
      <c r="H507" s="18">
        <f>IFERROR(
                  Andel_oberoende_av_klimat*VLOOKUP($A507,Leveranser_per_nät,'Leveranser per nät'!H$1,FALSE)
               +Andel_beroende_av_klimat*VLOOKUP($A507,Leveranser_per_nät,'Leveranser per nät'!H$1,FALSE)/VLOOKUP($B507,Korrigeringsfaktor_EI,'Korrigeringsfaktor EI'!H$1,FALSE),
"")</f>
        <v>0</v>
      </c>
      <c r="I507" s="18">
        <f>IFERROR(
                  Andel_oberoende_av_klimat*VLOOKUP($A507,Leveranser_per_nät,'Leveranser per nät'!I$1,FALSE)
               +Andel_beroende_av_klimat*VLOOKUP($A507,Leveranser_per_nät,'Leveranser per nät'!I$1,FALSE)/VLOOKUP($B507,Korrigeringsfaktor_EI,'Korrigeringsfaktor EI'!I$1,FALSE),
"")</f>
        <v>0</v>
      </c>
      <c r="J507" s="18">
        <f>IFERROR(
                  Andel_oberoende_av_klimat*VLOOKUP($A507,Leveranser_per_nät,'Leveranser per nät'!J$1,FALSE)
               +Andel_beroende_av_klimat*VLOOKUP($A507,Leveranser_per_nät,'Leveranser per nät'!J$1,FALSE)/VLOOKUP($B507,Korrigeringsfaktor_EI,'Korrigeringsfaktor EI'!J$1,FALSE),
"")</f>
        <v>0</v>
      </c>
      <c r="K507" s="18">
        <f>IFERROR(
                  Andel_oberoende_av_klimat*VLOOKUP($A507,Leveranser_per_nät,'Leveranser per nät'!K$1,FALSE)
               +Andel_beroende_av_klimat*VLOOKUP($A507,Leveranser_per_nät,'Leveranser per nät'!K$1,FALSE)/VLOOKUP($B507,Korrigeringsfaktor_EI,'Korrigeringsfaktor EI'!K$1,FALSE),
"")</f>
        <v>0</v>
      </c>
      <c r="L507" s="18">
        <f>IFERROR(
                  Andel_oberoende_av_klimat*VLOOKUP($A507,Leveranser_per_nät,'Leveranser per nät'!L$1,FALSE)
               +Andel_beroende_av_klimat*VLOOKUP($A507,Leveranser_per_nät,'Leveranser per nät'!L$1,FALSE)/VLOOKUP($B507,Korrigeringsfaktor_EI,'Korrigeringsfaktor EI'!L$1,FALSE),
"")</f>
        <v>0</v>
      </c>
      <c r="M507" s="18">
        <f>IFERROR(
                  Andel_oberoende_av_klimat*VLOOKUP($A507,Leveranser_per_nät,'Leveranser per nät'!M$1,FALSE)
               +Andel_beroende_av_klimat*VLOOKUP($A507,Leveranser_per_nät,'Leveranser per nät'!M$1,FALSE)/VLOOKUP($B507,Korrigeringsfaktor_EI,'Korrigeringsfaktor EI'!M$1,FALSE),
"")</f>
        <v>12.713460869565218</v>
      </c>
      <c r="N507" s="18">
        <f>IFERROR(
                  Andel_oberoende_av_klimat*VLOOKUP($A507,Leveranser_per_nät,'Leveranser per nät'!N$1,FALSE)
               +Andel_beroende_av_klimat*VLOOKUP($A507,Leveranser_per_nät,'Leveranser per nät'!N$1,FALSE)/VLOOKUP($B507,Korrigeringsfaktor_EI,'Korrigeringsfaktor EI'!N$1,FALSE),
"")</f>
        <v>12.916088888888888</v>
      </c>
      <c r="O507" s="18">
        <f>IFERROR(
                  Andel_oberoende_av_klimat*VLOOKUP($A507,Leveranser_per_nät,'Leveranser per nät'!O$1,FALSE)
               +Andel_beroende_av_klimat*VLOOKUP($A507,Leveranser_per_nät,'Leveranser per nät'!O$1,FALSE)/VLOOKUP($B507,Korrigeringsfaktor_EI,'Korrigeringsfaktor EI'!O$1,FALSE),
"")</f>
        <v>13.616229213483146</v>
      </c>
      <c r="P507" s="18">
        <f>IFERROR(
                  Andel_oberoende_av_klimat*VLOOKUP($A507,Leveranser_per_nät,'Leveranser per nät'!P$1,FALSE)
               +Andel_beroende_av_klimat*VLOOKUP($A507,Leveranser_per_nät,'Leveranser per nät'!P$1,FALSE)/VLOOKUP($B507,Korrigeringsfaktor_EI,'Korrigeringsfaktor EI'!P$1,FALSE),
"")</f>
        <v>13.561894736842106</v>
      </c>
      <c r="Q507" s="18">
        <f>IFERROR(
                  Andel_oberoende_av_klimat*VLOOKUP($A507,Leveranser_per_nät,'Leveranser per nät'!Q$1,FALSE)
               +Andel_beroende_av_klimat*VLOOKUP($A507,Leveranser_per_nät,'Leveranser per nät'!Q$1,FALSE)/VLOOKUP($B507,Korrigeringsfaktor_EI,'Korrigeringsfaktor EI'!Q$1,FALSE),
"")</f>
        <v>14.408763636363636</v>
      </c>
      <c r="R507" s="18">
        <f>IFERROR(
                  Andel_oberoende_av_klimat*VLOOKUP($A507,Leveranser_per_nät,'Leveranser per nät'!R$1,FALSE)
               +Andel_beroende_av_klimat*VLOOKUP($A507,Leveranser_per_nät,'Leveranser per nät'!R$1,FALSE)/VLOOKUP($B507,Korrigeringsfaktor_EI,'Korrigeringsfaktor EI'!R$1,FALSE),
"")</f>
        <v>13.527768181818182</v>
      </c>
      <c r="S507" s="18">
        <f>IFERROR(
                  Andel_oberoende_av_klimat*VLOOKUP($A507,Leveranser_per_nät,'Leveranser per nät'!S$1,FALSE)
               +Andel_beroende_av_klimat*VLOOKUP($A507,Leveranser_per_nät,'Leveranser per nät'!S$1,FALSE)/VLOOKUP($B507,Korrigeringsfaktor_EI,'Korrigeringsfaktor EI'!S$1,FALSE),
"")</f>
        <v>13.543833333333334</v>
      </c>
      <c r="T507" s="18">
        <f>IFERROR(
                  Andel_oberoende_av_klimat*VLOOKUP($A507,Leveranser_per_nät,'Leveranser per nät'!T$1,FALSE)
               +Andel_beroende_av_klimat*VLOOKUP($A507,Leveranser_per_nät,'Leveranser per nät'!T$1,FALSE)/VLOOKUP($B507,Korrigeringsfaktor_EI,'Korrigeringsfaktor EI'!T$1,FALSE),
"")</f>
        <v>13.552644680851063</v>
      </c>
      <c r="U507" s="18">
        <f>IFERROR(
                  Andel_oberoende_av_klimat*VLOOKUP($A507,Leveranser_per_nät,'Leveranser per nät'!U$1,FALSE)
               +Andel_beroende_av_klimat*VLOOKUP($A507,Leveranser_per_nät,'Leveranser per nät'!U$1,FALSE)/VLOOKUP($B507,Korrigeringsfaktor_EI,'Korrigeringsfaktor EI'!U$1,FALSE),
"")</f>
        <v>12.845311764705883</v>
      </c>
      <c r="V507" s="18">
        <f>IFERROR(
                  Andel_oberoende_av_klimat*VLOOKUP($A507,Leveranser_per_nät,'Leveranser per nät'!V$1,FALSE)
               +Andel_beroende_av_klimat*VLOOKUP($A507,Leveranser_per_nät,'Leveranser per nät'!V$1,FALSE)/VLOOKUP($B507,Korrigeringsfaktor_EI,'Korrigeringsfaktor EI'!V$1,FALSE),
"")</f>
        <v>12.772463218390804</v>
      </c>
      <c r="W507" s="18">
        <f>IFERROR(
                  Andel_oberoende_av_klimat*VLOOKUP($A507,Leveranser_per_nät,'Leveranser per nät'!W$1,FALSE)
               +Andel_beroende_av_klimat*VLOOKUP($A507,Leveranser_per_nät,'Leveranser per nät'!W$1,FALSE)/VLOOKUP($B507,Korrigeringsfaktor_EI,'Korrigeringsfaktor EI'!W$1,FALSE),
"")</f>
        <v>12.937537634408599</v>
      </c>
      <c r="X507" s="18">
        <f>IFERROR(
                  Andel_oberoende_av_klimat*VLOOKUP($A507,Leveranser_per_nät,'Leveranser per nät'!X$1,FALSE)
               +Andel_beroende_av_klimat*VLOOKUP($A507,Leveranser_per_nät,'Leveranser per nät'!X$1,FALSE)/VLOOKUP($B507,Korrigeringsfaktor_EI,'Korrigeringsfaktor EI'!X$1,FALSE),
"")</f>
        <v>12.624347826086957</v>
      </c>
      <c r="Y507" s="18">
        <f>IFERROR(
                  Andel_oberoende_av_klimat*VLOOKUP($A507,Leveranser_per_nät,'Leveranser per nät'!Y$1,FALSE)
               +Andel_beroende_av_klimat*VLOOKUP($A507,Leveranser_per_nät,'Leveranser per nät'!Y$1,FALSE)/VLOOKUP($B507,Korrigeringsfaktor_EI,'Korrigeringsfaktor EI'!Y$1,FALSE),
"")</f>
        <v>12.77743820224719</v>
      </c>
      <c r="Z507" s="18">
        <f>IFERROR(
                  Andel_oberoende_av_klimat*VLOOKUP($A507,Leveranser_per_nät,'Leveranser per nät'!Z$1,FALSE)
               +Andel_beroende_av_klimat*VLOOKUP($A507,Leveranser_per_nät,'Leveranser per nät'!Z$1,FALSE)/VLOOKUP($B507,Korrigeringsfaktor_EI,'Korrigeringsfaktor EI'!Z$1,FALSE),
"")</f>
        <v>12.415678160919541</v>
      </c>
      <c r="AA507" s="18">
        <f>IFERROR(
                  Andel_oberoende_av_klimat*VLOOKUP($A507,Leveranser_per_nät,'Leveranser per nät'!AA$1,FALSE)
               +Andel_beroende_av_klimat*VLOOKUP($A507,Leveranser_per_nät,'Leveranser per nät'!AA$1,FALSE)/VLOOKUP($B507,Korrigeringsfaktor_EI,'Korrigeringsfaktor EI'!AA$1,FALSE),
"")</f>
        <v>12.104286852589642</v>
      </c>
      <c r="AB507" s="18">
        <f>IFERROR(
                  Andel_oberoende_av_klimat*VLOOKUP($A507,Leveranser_per_nät,'Leveranser per nät'!AB$1,FALSE)
               +Andel_beroende_av_klimat*VLOOKUP($A507,Leveranser_per_nät,'Leveranser per nät'!AB$1,FALSE)/VLOOKUP($B507,Korrigeringsfaktor_EI,'Korrigeringsfaktor EI'!AB$1,FALSE),
"")</f>
        <v>11.890151093439364</v>
      </c>
      <c r="AC507" s="18">
        <f>IFERROR(
                  Andel_oberoende_av_klimat*VLOOKUP($A507,Leveranser_per_nät,'Leveranser per nät'!AC$1,FALSE)
               +Andel_beroende_av_klimat*VLOOKUP($A507,Leveranser_per_nät,'Leveranser per nät'!AC$1,FALSE)/VLOOKUP($B507,Korrigeringsfaktor_EI,'Korrigeringsfaktor EI'!AC$1,FALSE),
"")</f>
        <v>11.736430540827147</v>
      </c>
      <c r="AD507">
        <v>11.26</v>
      </c>
    </row>
    <row r="508" spans="1:30" x14ac:dyDescent="0.25">
      <c r="A508" t="s">
        <v>439</v>
      </c>
      <c r="B508" t="s">
        <v>315</v>
      </c>
      <c r="C508" s="18">
        <f>IFERROR(
                  Andel_oberoende_av_klimat*VLOOKUP($A508,Leveranser_per_nät,'Leveranser per nät'!C$1,FALSE)
               +Andel_beroende_av_klimat*VLOOKUP($A508,Leveranser_per_nät,'Leveranser per nät'!C$1,FALSE)/VLOOKUP($B508,Korrigeringsfaktor_EI,'Korrigeringsfaktor EI'!C$1,FALSE),
"")</f>
        <v>0</v>
      </c>
      <c r="D508" s="18">
        <f>IFERROR(
                  Andel_oberoende_av_klimat*VLOOKUP($A508,Leveranser_per_nät,'Leveranser per nät'!D$1,FALSE)
               +Andel_beroende_av_klimat*VLOOKUP($A508,Leveranser_per_nät,'Leveranser per nät'!D$1,FALSE)/VLOOKUP($B508,Korrigeringsfaktor_EI,'Korrigeringsfaktor EI'!D$1,FALSE),
"")</f>
        <v>5.5379999999999994</v>
      </c>
      <c r="E508" s="18">
        <f>IFERROR(
                  Andel_oberoende_av_klimat*VLOOKUP($A508,Leveranser_per_nät,'Leveranser per nät'!E$1,FALSE)
               +Andel_beroende_av_klimat*VLOOKUP($A508,Leveranser_per_nät,'Leveranser per nät'!E$1,FALSE)/VLOOKUP($B508,Korrigeringsfaktor_EI,'Korrigeringsfaktor EI'!E$1,FALSE),
"")</f>
        <v>4.8653846153846159</v>
      </c>
      <c r="F508" s="18">
        <f>IFERROR(
                  Andel_oberoende_av_klimat*VLOOKUP($A508,Leveranser_per_nät,'Leveranser per nät'!F$1,FALSE)
               +Andel_beroende_av_klimat*VLOOKUP($A508,Leveranser_per_nät,'Leveranser per nät'!F$1,FALSE)/VLOOKUP($B508,Korrigeringsfaktor_EI,'Korrigeringsfaktor EI'!F$1,FALSE),
"")</f>
        <v>5.1082474226804129</v>
      </c>
      <c r="G508" s="18">
        <f>IFERROR(
                  Andel_oberoende_av_klimat*VLOOKUP($A508,Leveranser_per_nät,'Leveranser per nät'!G$1,FALSE)
               +Andel_beroende_av_klimat*VLOOKUP($A508,Leveranser_per_nät,'Leveranser per nät'!G$1,FALSE)/VLOOKUP($B508,Korrigeringsfaktor_EI,'Korrigeringsfaktor EI'!G$1,FALSE),
"")</f>
        <v>5.263440860215054</v>
      </c>
      <c r="H508" s="18">
        <f>IFERROR(
                  Andel_oberoende_av_klimat*VLOOKUP($A508,Leveranser_per_nät,'Leveranser per nät'!H$1,FALSE)
               +Andel_beroende_av_klimat*VLOOKUP($A508,Leveranser_per_nät,'Leveranser per nät'!H$1,FALSE)/VLOOKUP($B508,Korrigeringsfaktor_EI,'Korrigeringsfaktor EI'!H$1,FALSE),
"")</f>
        <v>6.0424242424242411</v>
      </c>
      <c r="I508" s="18">
        <f>IFERROR(
                  Andel_oberoende_av_klimat*VLOOKUP($A508,Leveranser_per_nät,'Leveranser per nät'!I$1,FALSE)
               +Andel_beroende_av_klimat*VLOOKUP($A508,Leveranser_per_nät,'Leveranser per nät'!I$1,FALSE)/VLOOKUP($B508,Korrigeringsfaktor_EI,'Korrigeringsfaktor EI'!I$1,FALSE),
"")</f>
        <v>7.1515463917525777</v>
      </c>
      <c r="J508" s="18">
        <f>IFERROR(
                  Andel_oberoende_av_klimat*VLOOKUP($A508,Leveranser_per_nät,'Leveranser per nät'!J$1,FALSE)
               +Andel_beroende_av_klimat*VLOOKUP($A508,Leveranser_per_nät,'Leveranser per nät'!J$1,FALSE)/VLOOKUP($B508,Korrigeringsfaktor_EI,'Korrigeringsfaktor EI'!J$1,FALSE),
"")</f>
        <v>6.8129571428571429</v>
      </c>
      <c r="K508" s="18">
        <f>IFERROR(
                  Andel_oberoende_av_klimat*VLOOKUP($A508,Leveranser_per_nät,'Leveranser per nät'!K$1,FALSE)
               +Andel_beroende_av_klimat*VLOOKUP($A508,Leveranser_per_nät,'Leveranser per nät'!K$1,FALSE)/VLOOKUP($B508,Korrigeringsfaktor_EI,'Korrigeringsfaktor EI'!K$1,FALSE),
"")</f>
        <v>6.6557428571428572</v>
      </c>
      <c r="L508" s="18">
        <f>IFERROR(
                  Andel_oberoende_av_klimat*VLOOKUP($A508,Leveranser_per_nät,'Leveranser per nät'!L$1,FALSE)
               +Andel_beroende_av_klimat*VLOOKUP($A508,Leveranser_per_nät,'Leveranser per nät'!L$1,FALSE)/VLOOKUP($B508,Korrigeringsfaktor_EI,'Korrigeringsfaktor EI'!L$1,FALSE),
"")</f>
        <v>6.8037578947368429</v>
      </c>
      <c r="M508" s="18">
        <f>IFERROR(
                  Andel_oberoende_av_klimat*VLOOKUP($A508,Leveranser_per_nät,'Leveranser per nät'!M$1,FALSE)
               +Andel_beroende_av_klimat*VLOOKUP($A508,Leveranser_per_nät,'Leveranser per nät'!M$1,FALSE)/VLOOKUP($B508,Korrigeringsfaktor_EI,'Korrigeringsfaktor EI'!M$1,FALSE),
"")</f>
        <v>6.8956521739130432</v>
      </c>
      <c r="N508" s="18">
        <f>IFERROR(
                  Andel_oberoende_av_klimat*VLOOKUP($A508,Leveranser_per_nät,'Leveranser per nät'!N$1,FALSE)
               +Andel_beroende_av_klimat*VLOOKUP($A508,Leveranser_per_nät,'Leveranser per nät'!N$1,FALSE)/VLOOKUP($B508,Korrigeringsfaktor_EI,'Korrigeringsfaktor EI'!N$1,FALSE),
"")</f>
        <v>6.7904255319148943</v>
      </c>
      <c r="O508" s="18">
        <f>IFERROR(
                  Andel_oberoende_av_klimat*VLOOKUP($A508,Leveranser_per_nät,'Leveranser per nät'!O$1,FALSE)
               +Andel_beroende_av_klimat*VLOOKUP($A508,Leveranser_per_nät,'Leveranser per nät'!O$1,FALSE)/VLOOKUP($B508,Korrigeringsfaktor_EI,'Korrigeringsfaktor EI'!O$1,FALSE),
"")</f>
        <v>6.540260869565218</v>
      </c>
      <c r="P508" s="18">
        <f>IFERROR(
                  Andel_oberoende_av_klimat*VLOOKUP($A508,Leveranser_per_nät,'Leveranser per nät'!P$1,FALSE)
               +Andel_beroende_av_klimat*VLOOKUP($A508,Leveranser_per_nät,'Leveranser per nät'!P$1,FALSE)/VLOOKUP($B508,Korrigeringsfaktor_EI,'Korrigeringsfaktor EI'!P$1,FALSE),
"")</f>
        <v>7.090958333333333</v>
      </c>
      <c r="Q508" s="18">
        <f>IFERROR(
                  Andel_oberoende_av_klimat*VLOOKUP($A508,Leveranser_per_nät,'Leveranser per nät'!Q$1,FALSE)
               +Andel_beroende_av_klimat*VLOOKUP($A508,Leveranser_per_nät,'Leveranser per nät'!Q$1,FALSE)/VLOOKUP($B508,Korrigeringsfaktor_EI,'Korrigeringsfaktor EI'!Q$1,FALSE),
"")</f>
        <v>7.7404000000000002</v>
      </c>
      <c r="R508" s="18">
        <f>IFERROR(
                  Andel_oberoende_av_klimat*VLOOKUP($A508,Leveranser_per_nät,'Leveranser per nät'!R$1,FALSE)
               +Andel_beroende_av_klimat*VLOOKUP($A508,Leveranser_per_nät,'Leveranser per nät'!R$1,FALSE)/VLOOKUP($B508,Korrigeringsfaktor_EI,'Korrigeringsfaktor EI'!R$1,FALSE),
"")</f>
        <v>7.4033538461538466</v>
      </c>
      <c r="S508" s="18">
        <f>IFERROR(
                  Andel_oberoende_av_klimat*VLOOKUP($A508,Leveranser_per_nät,'Leveranser per nät'!S$1,FALSE)
               +Andel_beroende_av_klimat*VLOOKUP($A508,Leveranser_per_nät,'Leveranser per nät'!S$1,FALSE)/VLOOKUP($B508,Korrigeringsfaktor_EI,'Korrigeringsfaktor EI'!S$1,FALSE),
"")</f>
        <v>7.6565643564356431</v>
      </c>
      <c r="T508" s="18">
        <f>IFERROR(
                  Andel_oberoende_av_klimat*VLOOKUP($A508,Leveranser_per_nät,'Leveranser per nät'!T$1,FALSE)
               +Andel_beroende_av_klimat*VLOOKUP($A508,Leveranser_per_nät,'Leveranser per nät'!T$1,FALSE)/VLOOKUP($B508,Korrigeringsfaktor_EI,'Korrigeringsfaktor EI'!T$1,FALSE),
"")</f>
        <v>7.92251052631579</v>
      </c>
      <c r="U508" s="18">
        <f>IFERROR(
                  Andel_oberoende_av_klimat*VLOOKUP($A508,Leveranser_per_nät,'Leveranser per nät'!U$1,FALSE)
               +Andel_beroende_av_klimat*VLOOKUP($A508,Leveranser_per_nät,'Leveranser per nät'!U$1,FALSE)/VLOOKUP($B508,Korrigeringsfaktor_EI,'Korrigeringsfaktor EI'!U$1,FALSE),
"")</f>
        <v>7.5353565217391303</v>
      </c>
      <c r="V508" s="18">
        <f>IFERROR(
                  Andel_oberoende_av_klimat*VLOOKUP($A508,Leveranser_per_nät,'Leveranser per nät'!V$1,FALSE)
               +Andel_beroende_av_klimat*VLOOKUP($A508,Leveranser_per_nät,'Leveranser per nät'!V$1,FALSE)/VLOOKUP($B508,Korrigeringsfaktor_EI,'Korrigeringsfaktor EI'!V$1,FALSE),
"")</f>
        <v>7.7899652173913037</v>
      </c>
      <c r="W508" s="18">
        <f>IFERROR(
                  Andel_oberoende_av_klimat*VLOOKUP($A508,Leveranser_per_nät,'Leveranser per nät'!W$1,FALSE)
               +Andel_beroende_av_klimat*VLOOKUP($A508,Leveranser_per_nät,'Leveranser per nät'!W$1,FALSE)/VLOOKUP($B508,Korrigeringsfaktor_EI,'Korrigeringsfaktor EI'!W$1,FALSE),
"")</f>
        <v>7.9836842105263166</v>
      </c>
      <c r="X508" s="18">
        <f>IFERROR(
                  Andel_oberoende_av_klimat*VLOOKUP($A508,Leveranser_per_nät,'Leveranser per nät'!X$1,FALSE)
               +Andel_beroende_av_klimat*VLOOKUP($A508,Leveranser_per_nät,'Leveranser per nät'!X$1,FALSE)/VLOOKUP($B508,Korrigeringsfaktor_EI,'Korrigeringsfaktor EI'!X$1,FALSE),
"")</f>
        <v>6.4837499999999988</v>
      </c>
      <c r="Y508" s="18">
        <f>IFERROR(
                  Andel_oberoende_av_klimat*VLOOKUP($A508,Leveranser_per_nät,'Leveranser per nät'!Y$1,FALSE)
               +Andel_beroende_av_klimat*VLOOKUP($A508,Leveranser_per_nät,'Leveranser per nät'!Y$1,FALSE)/VLOOKUP($B508,Korrigeringsfaktor_EI,'Korrigeringsfaktor EI'!Y$1,FALSE),
"")</f>
        <v>7.6984615384615385</v>
      </c>
      <c r="Z508" s="18">
        <f>IFERROR(
                  Andel_oberoende_av_klimat*VLOOKUP($A508,Leveranser_per_nät,'Leveranser per nät'!Z$1,FALSE)
               +Andel_beroende_av_klimat*VLOOKUP($A508,Leveranser_per_nät,'Leveranser per nät'!Z$1,FALSE)/VLOOKUP($B508,Korrigeringsfaktor_EI,'Korrigeringsfaktor EI'!Z$1,FALSE),
"")</f>
        <v>7.6214623655913973</v>
      </c>
      <c r="AA508" s="18">
        <f>IFERROR(
                  Andel_oberoende_av_klimat*VLOOKUP($A508,Leveranser_per_nät,'Leveranser per nät'!AA$1,FALSE)
               +Andel_beroende_av_klimat*VLOOKUP($A508,Leveranser_per_nät,'Leveranser per nät'!AA$1,FALSE)/VLOOKUP($B508,Korrigeringsfaktor_EI,'Korrigeringsfaktor EI'!AA$1,FALSE),
"")</f>
        <v>7.5148401486988838</v>
      </c>
      <c r="AB508" s="18">
        <f>IFERROR(
                  Andel_oberoende_av_klimat*VLOOKUP($A508,Leveranser_per_nät,'Leveranser per nät'!AB$1,FALSE)
               +Andel_beroende_av_klimat*VLOOKUP($A508,Leveranser_per_nät,'Leveranser per nät'!AB$1,FALSE)/VLOOKUP($B508,Korrigeringsfaktor_EI,'Korrigeringsfaktor EI'!AB$1,FALSE),
"")</f>
        <v>7.5305490981963921</v>
      </c>
      <c r="AC508" s="18">
        <f>IFERROR(
                  Andel_oberoende_av_klimat*VLOOKUP($A508,Leveranser_per_nät,'Leveranser per nät'!AC$1,FALSE)
               +Andel_beroende_av_klimat*VLOOKUP($A508,Leveranser_per_nät,'Leveranser per nät'!AC$1,FALSE)/VLOOKUP($B508,Korrigeringsfaktor_EI,'Korrigeringsfaktor EI'!AC$1,FALSE),
"")</f>
        <v>7.8132676501580614</v>
      </c>
      <c r="AD508">
        <v>46.38</v>
      </c>
    </row>
    <row r="509" spans="1:30" x14ac:dyDescent="0.25">
      <c r="A509" t="s">
        <v>374</v>
      </c>
      <c r="B509" t="s">
        <v>447</v>
      </c>
      <c r="C509" s="18">
        <f>IFERROR(
                  Andel_oberoende_av_klimat*VLOOKUP($A509,Leveranser_per_nät,'Leveranser per nät'!C$1,FALSE)
               +Andel_beroende_av_klimat*VLOOKUP($A509,Leveranser_per_nät,'Leveranser per nät'!C$1,FALSE)/VLOOKUP($B509,Korrigeringsfaktor_EI,'Korrigeringsfaktor EI'!C$1,FALSE),
"")</f>
        <v>17.066666666666666</v>
      </c>
      <c r="D509" s="18">
        <f>IFERROR(
                  Andel_oberoende_av_klimat*VLOOKUP($A509,Leveranser_per_nät,'Leveranser per nät'!D$1,FALSE)
               +Andel_beroende_av_klimat*VLOOKUP($A509,Leveranser_per_nät,'Leveranser per nät'!D$1,FALSE)/VLOOKUP($B509,Korrigeringsfaktor_EI,'Korrigeringsfaktor EI'!D$1,FALSE),
"")</f>
        <v>17.628285714285713</v>
      </c>
      <c r="E509" s="18">
        <f>IFERROR(
                  Andel_oberoende_av_klimat*VLOOKUP($A509,Leveranser_per_nät,'Leveranser per nät'!E$1,FALSE)
               +Andel_beroende_av_klimat*VLOOKUP($A509,Leveranser_per_nät,'Leveranser per nät'!E$1,FALSE)/VLOOKUP($B509,Korrigeringsfaktor_EI,'Korrigeringsfaktor EI'!E$1,FALSE),
"")</f>
        <v>17.633009708737866</v>
      </c>
      <c r="F509" s="18">
        <f>IFERROR(
                  Andel_oberoende_av_klimat*VLOOKUP($A509,Leveranser_per_nät,'Leveranser per nät'!F$1,FALSE)
               +Andel_beroende_av_klimat*VLOOKUP($A509,Leveranser_per_nät,'Leveranser per nät'!F$1,FALSE)/VLOOKUP($B509,Korrigeringsfaktor_EI,'Korrigeringsfaktor EI'!F$1,FALSE),
"")</f>
        <v>18.663157894736841</v>
      </c>
      <c r="G509" s="18">
        <f>IFERROR(
                  Andel_oberoende_av_klimat*VLOOKUP($A509,Leveranser_per_nät,'Leveranser per nät'!G$1,FALSE)
               +Andel_beroende_av_klimat*VLOOKUP($A509,Leveranser_per_nät,'Leveranser per nät'!G$1,FALSE)/VLOOKUP($B509,Korrigeringsfaktor_EI,'Korrigeringsfaktor EI'!G$1,FALSE),
"")</f>
        <v>18.03478260869565</v>
      </c>
      <c r="H509" s="18">
        <f>IFERROR(
                  Andel_oberoende_av_klimat*VLOOKUP($A509,Leveranser_per_nät,'Leveranser per nät'!H$1,FALSE)
               +Andel_beroende_av_klimat*VLOOKUP($A509,Leveranser_per_nät,'Leveranser per nät'!H$1,FALSE)/VLOOKUP($B509,Korrigeringsfaktor_EI,'Korrigeringsfaktor EI'!H$1,FALSE),
"")</f>
        <v>20.141414141414142</v>
      </c>
      <c r="I509" s="18">
        <f>IFERROR(
                  Andel_oberoende_av_klimat*VLOOKUP($A509,Leveranser_per_nät,'Leveranser per nät'!I$1,FALSE)
               +Andel_beroende_av_klimat*VLOOKUP($A509,Leveranser_per_nät,'Leveranser per nät'!I$1,FALSE)/VLOOKUP($B509,Korrigeringsfaktor_EI,'Korrigeringsfaktor EI'!I$1,FALSE),
"")</f>
        <v>21.454639175257732</v>
      </c>
      <c r="J509" s="18">
        <f>IFERROR(
                  Andel_oberoende_av_klimat*VLOOKUP($A509,Leveranser_per_nät,'Leveranser per nät'!J$1,FALSE)
               +Andel_beroende_av_klimat*VLOOKUP($A509,Leveranser_per_nät,'Leveranser per nät'!J$1,FALSE)/VLOOKUP($B509,Korrigeringsfaktor_EI,'Korrigeringsfaktor EI'!J$1,FALSE),
"")</f>
        <v>21.31927142857143</v>
      </c>
      <c r="K509" s="18">
        <f>IFERROR(
                  Andel_oberoende_av_klimat*VLOOKUP($A509,Leveranser_per_nät,'Leveranser per nät'!K$1,FALSE)
               +Andel_beroende_av_klimat*VLOOKUP($A509,Leveranser_per_nät,'Leveranser per nät'!K$1,FALSE)/VLOOKUP($B509,Korrigeringsfaktor_EI,'Korrigeringsfaktor EI'!K$1,FALSE),
"")</f>
        <v>20.937000000000001</v>
      </c>
      <c r="L509" s="18">
        <f>IFERROR(
                  Andel_oberoende_av_klimat*VLOOKUP($A509,Leveranser_per_nät,'Leveranser per nät'!L$1,FALSE)
               +Andel_beroende_av_klimat*VLOOKUP($A509,Leveranser_per_nät,'Leveranser per nät'!L$1,FALSE)/VLOOKUP($B509,Korrigeringsfaktor_EI,'Korrigeringsfaktor EI'!L$1,FALSE),
"")</f>
        <v>20.513349999999999</v>
      </c>
      <c r="M509" s="18">
        <f>IFERROR(
                  Andel_oberoende_av_klimat*VLOOKUP($A509,Leveranser_per_nät,'Leveranser per nät'!M$1,FALSE)
               +Andel_beroende_av_klimat*VLOOKUP($A509,Leveranser_per_nät,'Leveranser per nät'!M$1,FALSE)/VLOOKUP($B509,Korrigeringsfaktor_EI,'Korrigeringsfaktor EI'!M$1,FALSE),
"")</f>
        <v>22.290672043010751</v>
      </c>
      <c r="N509" s="18">
        <f>IFERROR(
                  Andel_oberoende_av_klimat*VLOOKUP($A509,Leveranser_per_nät,'Leveranser per nät'!N$1,FALSE)
               +Andel_beroende_av_klimat*VLOOKUP($A509,Leveranser_per_nät,'Leveranser per nät'!N$1,FALSE)/VLOOKUP($B509,Korrigeringsfaktor_EI,'Korrigeringsfaktor EI'!N$1,FALSE),
"")</f>
        <v>21.462631578947367</v>
      </c>
      <c r="O509" s="18">
        <f>IFERROR(
                  Andel_oberoende_av_klimat*VLOOKUP($A509,Leveranser_per_nät,'Leveranser per nät'!O$1,FALSE)
               +Andel_beroende_av_klimat*VLOOKUP($A509,Leveranser_per_nät,'Leveranser per nät'!O$1,FALSE)/VLOOKUP($B509,Korrigeringsfaktor_EI,'Korrigeringsfaktor EI'!O$1,FALSE),
"")</f>
        <v>24.52131827956989</v>
      </c>
      <c r="P509" s="18">
        <f>IFERROR(
                  Andel_oberoende_av_klimat*VLOOKUP($A509,Leveranser_per_nät,'Leveranser per nät'!P$1,FALSE)
               +Andel_beroende_av_klimat*VLOOKUP($A509,Leveranser_per_nät,'Leveranser per nät'!P$1,FALSE)/VLOOKUP($B509,Korrigeringsfaktor_EI,'Korrigeringsfaktor EI'!P$1,FALSE),
"")</f>
        <v>26.030607216494843</v>
      </c>
      <c r="Q509" s="18">
        <f>IFERROR(
                  Andel_oberoende_av_klimat*VLOOKUP($A509,Leveranser_per_nät,'Leveranser per nät'!Q$1,FALSE)
               +Andel_beroende_av_klimat*VLOOKUP($A509,Leveranser_per_nät,'Leveranser per nät'!Q$1,FALSE)/VLOOKUP($B509,Korrigeringsfaktor_EI,'Korrigeringsfaktor EI'!Q$1,FALSE),
"")</f>
        <v>27.919676991150443</v>
      </c>
      <c r="R509" s="18">
        <f>IFERROR(
                  Andel_oberoende_av_klimat*VLOOKUP($A509,Leveranser_per_nät,'Leveranser per nät'!R$1,FALSE)
               +Andel_beroende_av_klimat*VLOOKUP($A509,Leveranser_per_nät,'Leveranser per nät'!R$1,FALSE)/VLOOKUP($B509,Korrigeringsfaktor_EI,'Korrigeringsfaktor EI'!R$1,FALSE),
"")</f>
        <v>27.475161290322582</v>
      </c>
      <c r="S509" s="18">
        <f>IFERROR(
                  Andel_oberoende_av_klimat*VLOOKUP($A509,Leveranser_per_nät,'Leveranser per nät'!S$1,FALSE)
               +Andel_beroende_av_klimat*VLOOKUP($A509,Leveranser_per_nät,'Leveranser per nät'!S$1,FALSE)/VLOOKUP($B509,Korrigeringsfaktor_EI,'Korrigeringsfaktor EI'!S$1,FALSE),
"")</f>
        <v>28.306078431372548</v>
      </c>
      <c r="T509" s="18">
        <f>IFERROR(
                  Andel_oberoende_av_klimat*VLOOKUP($A509,Leveranser_per_nät,'Leveranser per nät'!T$1,FALSE)
               +Andel_beroende_av_klimat*VLOOKUP($A509,Leveranser_per_nät,'Leveranser per nät'!T$1,FALSE)/VLOOKUP($B509,Korrigeringsfaktor_EI,'Korrigeringsfaktor EI'!T$1,FALSE),
"")</f>
        <v>29.219175257731962</v>
      </c>
      <c r="U509" s="18">
        <f>IFERROR(
                  Andel_oberoende_av_klimat*VLOOKUP($A509,Leveranser_per_nät,'Leveranser per nät'!U$1,FALSE)
               +Andel_beroende_av_klimat*VLOOKUP($A509,Leveranser_per_nät,'Leveranser per nät'!U$1,FALSE)/VLOOKUP($B509,Korrigeringsfaktor_EI,'Korrigeringsfaktor EI'!U$1,FALSE),
"")</f>
        <v>26.21193548387096</v>
      </c>
      <c r="V509" s="18">
        <f>IFERROR(
                  Andel_oberoende_av_klimat*VLOOKUP($A509,Leveranser_per_nät,'Leveranser per nät'!V$1,FALSE)
               +Andel_beroende_av_klimat*VLOOKUP($A509,Leveranser_per_nät,'Leveranser per nät'!V$1,FALSE)/VLOOKUP($B509,Korrigeringsfaktor_EI,'Korrigeringsfaktor EI'!V$1,FALSE),
"")</f>
        <v>28.527849462365587</v>
      </c>
      <c r="W509" s="18">
        <f>IFERROR(
                  Andel_oberoende_av_klimat*VLOOKUP($A509,Leveranser_per_nät,'Leveranser per nät'!W$1,FALSE)
               +Andel_beroende_av_klimat*VLOOKUP($A509,Leveranser_per_nät,'Leveranser per nät'!W$1,FALSE)/VLOOKUP($B509,Korrigeringsfaktor_EI,'Korrigeringsfaktor EI'!W$1,FALSE),
"")</f>
        <v>29.43416666666667</v>
      </c>
      <c r="X509" s="18">
        <f>IFERROR(
                  Andel_oberoende_av_klimat*VLOOKUP($A509,Leveranser_per_nät,'Leveranser per nät'!X$1,FALSE)
               +Andel_beroende_av_klimat*VLOOKUP($A509,Leveranser_per_nät,'Leveranser per nät'!X$1,FALSE)/VLOOKUP($B509,Korrigeringsfaktor_EI,'Korrigeringsfaktor EI'!X$1,FALSE),
"")</f>
        <v>28.299690721649483</v>
      </c>
      <c r="Y509" s="18">
        <f>IFERROR(
                  Andel_oberoende_av_klimat*VLOOKUP($A509,Leveranser_per_nät,'Leveranser per nät'!Y$1,FALSE)
               +Andel_beroende_av_klimat*VLOOKUP($A509,Leveranser_per_nät,'Leveranser per nät'!Y$1,FALSE)/VLOOKUP($B509,Korrigeringsfaktor_EI,'Korrigeringsfaktor EI'!Y$1,FALSE),
"")</f>
        <v>28.633118279569892</v>
      </c>
      <c r="Z509" s="18">
        <f>IFERROR(
                  Andel_oberoende_av_klimat*VLOOKUP($A509,Leveranser_per_nät,'Leveranser per nät'!Z$1,FALSE)
               +Andel_beroende_av_klimat*VLOOKUP($A509,Leveranser_per_nät,'Leveranser per nät'!Z$1,FALSE)/VLOOKUP($B509,Korrigeringsfaktor_EI,'Korrigeringsfaktor EI'!Z$1,FALSE),
"")</f>
        <v>27.790967741935482</v>
      </c>
      <c r="AA509" s="18">
        <f>IFERROR(
                  Andel_oberoende_av_klimat*VLOOKUP($A509,Leveranser_per_nät,'Leveranser per nät'!AA$1,FALSE)
               +Andel_beroende_av_klimat*VLOOKUP($A509,Leveranser_per_nät,'Leveranser per nät'!AA$1,FALSE)/VLOOKUP($B509,Korrigeringsfaktor_EI,'Korrigeringsfaktor EI'!AA$1,FALSE),
"")</f>
        <v>28.795862326043736</v>
      </c>
      <c r="AB509" s="18">
        <f>IFERROR(
                  Andel_oberoende_av_klimat*VLOOKUP($A509,Leveranser_per_nät,'Leveranser per nät'!AB$1,FALSE)
               +Andel_beroende_av_klimat*VLOOKUP($A509,Leveranser_per_nät,'Leveranser per nät'!AB$1,FALSE)/VLOOKUP($B509,Korrigeringsfaktor_EI,'Korrigeringsfaktor EI'!AB$1,FALSE),
"")</f>
        <v>28.759760479041915</v>
      </c>
      <c r="AC509" s="18">
        <f>IFERROR(
                  Andel_oberoende_av_klimat*VLOOKUP($A509,Leveranser_per_nät,'Leveranser per nät'!AC$1,FALSE)
               +Andel_beroende_av_klimat*VLOOKUP($A509,Leveranser_per_nät,'Leveranser per nät'!AC$1,FALSE)/VLOOKUP($B509,Korrigeringsfaktor_EI,'Korrigeringsfaktor EI'!AC$1,FALSE),
"")</f>
        <v>26.984087591240872</v>
      </c>
      <c r="AD509" t="e">
        <v>#N/A</v>
      </c>
    </row>
    <row r="510" spans="1:30" x14ac:dyDescent="0.25">
      <c r="A510" t="s">
        <v>376</v>
      </c>
      <c r="B510" t="s">
        <v>376</v>
      </c>
      <c r="C510" s="18">
        <f>IFERROR(
                  Andel_oberoende_av_klimat*VLOOKUP($A510,Leveranser_per_nät,'Leveranser per nät'!C$1,FALSE)
               +Andel_beroende_av_klimat*VLOOKUP($A510,Leveranser_per_nät,'Leveranser per nät'!C$1,FALSE)/VLOOKUP($B510,Korrigeringsfaktor_EI,'Korrigeringsfaktor EI'!C$1,FALSE),
"")</f>
        <v>167.36923076923077</v>
      </c>
      <c r="D510" s="18">
        <f>IFERROR(
                  Andel_oberoende_av_klimat*VLOOKUP($A510,Leveranser_per_nät,'Leveranser per nät'!D$1,FALSE)
               +Andel_beroende_av_klimat*VLOOKUP($A510,Leveranser_per_nät,'Leveranser per nät'!D$1,FALSE)/VLOOKUP($B510,Korrigeringsfaktor_EI,'Korrigeringsfaktor EI'!D$1,FALSE),
"")</f>
        <v>168.04233333333332</v>
      </c>
      <c r="E510" s="18">
        <f>IFERROR(
                  Andel_oberoende_av_klimat*VLOOKUP($A510,Leveranser_per_nät,'Leveranser per nät'!E$1,FALSE)
               +Andel_beroende_av_klimat*VLOOKUP($A510,Leveranser_per_nät,'Leveranser per nät'!E$1,FALSE)/VLOOKUP($B510,Korrigeringsfaktor_EI,'Korrigeringsfaktor EI'!E$1,FALSE),
"")</f>
        <v>168.65294117647059</v>
      </c>
      <c r="F510" s="18">
        <f>IFERROR(
                  Andel_oberoende_av_klimat*VLOOKUP($A510,Leveranser_per_nät,'Leveranser per nät'!F$1,FALSE)
               +Andel_beroende_av_klimat*VLOOKUP($A510,Leveranser_per_nät,'Leveranser per nät'!F$1,FALSE)/VLOOKUP($B510,Korrigeringsfaktor_EI,'Korrigeringsfaktor EI'!F$1,FALSE),
"")</f>
        <v>171.20202020202021</v>
      </c>
      <c r="G510" s="18">
        <f>IFERROR(
                  Andel_oberoende_av_klimat*VLOOKUP($A510,Leveranser_per_nät,'Leveranser per nät'!G$1,FALSE)
               +Andel_beroende_av_klimat*VLOOKUP($A510,Leveranser_per_nät,'Leveranser per nät'!G$1,FALSE)/VLOOKUP($B510,Korrigeringsfaktor_EI,'Korrigeringsfaktor EI'!G$1,FALSE),
"")</f>
        <v>172.64086021505378</v>
      </c>
      <c r="H510" s="18">
        <f>IFERROR(
                  Andel_oberoende_av_klimat*VLOOKUP($A510,Leveranser_per_nät,'Leveranser per nät'!H$1,FALSE)
               +Andel_beroende_av_klimat*VLOOKUP($A510,Leveranser_per_nät,'Leveranser per nät'!H$1,FALSE)/VLOOKUP($B510,Korrigeringsfaktor_EI,'Korrigeringsfaktor EI'!H$1,FALSE),
"")</f>
        <v>182.47399999999999</v>
      </c>
      <c r="I510" s="18">
        <f>IFERROR(
                  Andel_oberoende_av_klimat*VLOOKUP($A510,Leveranser_per_nät,'Leveranser per nät'!I$1,FALSE)
               +Andel_beroende_av_klimat*VLOOKUP($A510,Leveranser_per_nät,'Leveranser per nät'!I$1,FALSE)/VLOOKUP($B510,Korrigeringsfaktor_EI,'Korrigeringsfaktor EI'!I$1,FALSE),
"")</f>
        <v>203.22105263157894</v>
      </c>
      <c r="J510" s="18">
        <f>IFERROR(
                  Andel_oberoende_av_klimat*VLOOKUP($A510,Leveranser_per_nät,'Leveranser per nät'!J$1,FALSE)
               +Andel_beroende_av_klimat*VLOOKUP($A510,Leveranser_per_nät,'Leveranser per nät'!J$1,FALSE)/VLOOKUP($B510,Korrigeringsfaktor_EI,'Korrigeringsfaktor EI'!J$1,FALSE),
"")</f>
        <v>208.92083333333335</v>
      </c>
      <c r="K510" s="18">
        <f>IFERROR(
                  Andel_oberoende_av_klimat*VLOOKUP($A510,Leveranser_per_nät,'Leveranser per nät'!K$1,FALSE)
               +Andel_beroende_av_klimat*VLOOKUP($A510,Leveranser_per_nät,'Leveranser per nät'!K$1,FALSE)/VLOOKUP($B510,Korrigeringsfaktor_EI,'Korrigeringsfaktor EI'!K$1,FALSE),
"")</f>
        <v>219.65463917525773</v>
      </c>
      <c r="L510" s="18">
        <f>IFERROR(
                  Andel_oberoende_av_klimat*VLOOKUP($A510,Leveranser_per_nät,'Leveranser per nät'!L$1,FALSE)
               +Andel_beroende_av_klimat*VLOOKUP($A510,Leveranser_per_nät,'Leveranser per nät'!L$1,FALSE)/VLOOKUP($B510,Korrigeringsfaktor_EI,'Korrigeringsfaktor EI'!L$1,FALSE),
"")</f>
        <v>220.32894736842107</v>
      </c>
      <c r="M510" s="18">
        <f>IFERROR(
                  Andel_oberoende_av_klimat*VLOOKUP($A510,Leveranser_per_nät,'Leveranser per nät'!M$1,FALSE)
               +Andel_beroende_av_klimat*VLOOKUP($A510,Leveranser_per_nät,'Leveranser per nät'!M$1,FALSE)/VLOOKUP($B510,Korrigeringsfaktor_EI,'Korrigeringsfaktor EI'!M$1,FALSE),
"")</f>
        <v>232.58444444444444</v>
      </c>
      <c r="N510" s="18">
        <f>IFERROR(
                  Andel_oberoende_av_klimat*VLOOKUP($A510,Leveranser_per_nät,'Leveranser per nät'!N$1,FALSE)
               +Andel_beroende_av_klimat*VLOOKUP($A510,Leveranser_per_nät,'Leveranser per nät'!N$1,FALSE)/VLOOKUP($B510,Korrigeringsfaktor_EI,'Korrigeringsfaktor EI'!N$1,FALSE),
"")</f>
        <v>210.46591304347825</v>
      </c>
      <c r="O510" s="18">
        <f>IFERROR(
                  Andel_oberoende_av_klimat*VLOOKUP($A510,Leveranser_per_nät,'Leveranser per nät'!O$1,FALSE)
               +Andel_beroende_av_klimat*VLOOKUP($A510,Leveranser_per_nät,'Leveranser per nät'!O$1,FALSE)/VLOOKUP($B510,Korrigeringsfaktor_EI,'Korrigeringsfaktor EI'!O$1,FALSE),
"")</f>
        <v>218.53579999999999</v>
      </c>
      <c r="P510" s="18">
        <f>IFERROR(
                  Andel_oberoende_av_klimat*VLOOKUP($A510,Leveranser_per_nät,'Leveranser per nät'!P$1,FALSE)
               +Andel_beroende_av_klimat*VLOOKUP($A510,Leveranser_per_nät,'Leveranser per nät'!P$1,FALSE)/VLOOKUP($B510,Korrigeringsfaktor_EI,'Korrigeringsfaktor EI'!P$1,FALSE),
"")</f>
        <v>228.63670266666662</v>
      </c>
      <c r="Q510" s="18">
        <f>IFERROR(
                  Andel_oberoende_av_klimat*VLOOKUP($A510,Leveranser_per_nät,'Leveranser per nät'!Q$1,FALSE)
               +Andel_beroende_av_klimat*VLOOKUP($A510,Leveranser_per_nät,'Leveranser per nät'!Q$1,FALSE)/VLOOKUP($B510,Korrigeringsfaktor_EI,'Korrigeringsfaktor EI'!Q$1,FALSE),
"")</f>
        <v>225.32567822453274</v>
      </c>
      <c r="R510" s="18">
        <f>IFERROR(
                  Andel_oberoende_av_klimat*VLOOKUP($A510,Leveranser_per_nät,'Leveranser per nät'!R$1,FALSE)
               +Andel_beroende_av_klimat*VLOOKUP($A510,Leveranser_per_nät,'Leveranser per nät'!R$1,FALSE)/VLOOKUP($B510,Korrigeringsfaktor_EI,'Korrigeringsfaktor EI'!R$1,FALSE),
"")</f>
        <v>210.19103146067417</v>
      </c>
      <c r="S510" s="18">
        <f>IFERROR(
                  Andel_oberoende_av_klimat*VLOOKUP($A510,Leveranser_per_nät,'Leveranser per nät'!S$1,FALSE)
               +Andel_beroende_av_klimat*VLOOKUP($A510,Leveranser_per_nät,'Leveranser per nät'!S$1,FALSE)/VLOOKUP($B510,Korrigeringsfaktor_EI,'Korrigeringsfaktor EI'!S$1,FALSE),
"")</f>
        <v>251.19704536082475</v>
      </c>
      <c r="T510" s="18">
        <f>IFERROR(
                  Andel_oberoende_av_klimat*VLOOKUP($A510,Leveranser_per_nät,'Leveranser per nät'!T$1,FALSE)
               +Andel_beroende_av_klimat*VLOOKUP($A510,Leveranser_per_nät,'Leveranser per nät'!T$1,FALSE)/VLOOKUP($B510,Korrigeringsfaktor_EI,'Korrigeringsfaktor EI'!T$1,FALSE),
"")</f>
        <v>250.07878260869563</v>
      </c>
      <c r="U510" s="18">
        <f>IFERROR(
                  Andel_oberoende_av_klimat*VLOOKUP($A510,Leveranser_per_nät,'Leveranser per nät'!U$1,FALSE)
               +Andel_beroende_av_klimat*VLOOKUP($A510,Leveranser_per_nät,'Leveranser per nät'!U$1,FALSE)/VLOOKUP($B510,Korrigeringsfaktor_EI,'Korrigeringsfaktor EI'!U$1,FALSE),
"")</f>
        <v>235.31238764044946</v>
      </c>
      <c r="V510" s="18">
        <f>IFERROR(
                  Andel_oberoende_av_klimat*VLOOKUP($A510,Leveranser_per_nät,'Leveranser per nät'!V$1,FALSE)
               +Andel_beroende_av_klimat*VLOOKUP($A510,Leveranser_per_nät,'Leveranser per nät'!V$1,FALSE)/VLOOKUP($B510,Korrigeringsfaktor_EI,'Korrigeringsfaktor EI'!V$1,FALSE),
"")</f>
        <v>231.09778876404494</v>
      </c>
      <c r="W510" s="18">
        <f>IFERROR(
                  Andel_oberoende_av_klimat*VLOOKUP($A510,Leveranser_per_nät,'Leveranser per nät'!W$1,FALSE)
               +Andel_beroende_av_klimat*VLOOKUP($A510,Leveranser_per_nät,'Leveranser per nät'!W$1,FALSE)/VLOOKUP($B510,Korrigeringsfaktor_EI,'Korrigeringsfaktor EI'!W$1,FALSE),
"")</f>
        <v>239.38210833333335</v>
      </c>
      <c r="X510" s="18">
        <f>IFERROR(
                  Andel_oberoende_av_klimat*VLOOKUP($A510,Leveranser_per_nät,'Leveranser per nät'!X$1,FALSE)
               +Andel_beroende_av_klimat*VLOOKUP($A510,Leveranser_per_nät,'Leveranser per nät'!X$1,FALSE)/VLOOKUP($B510,Korrigeringsfaktor_EI,'Korrigeringsfaktor EI'!X$1,FALSE),
"")</f>
        <v>235.84486250000003</v>
      </c>
      <c r="Y510" s="18">
        <f>IFERROR(
                  Andel_oberoende_av_klimat*VLOOKUP($A510,Leveranser_per_nät,'Leveranser per nät'!Y$1,FALSE)
               +Andel_beroende_av_klimat*VLOOKUP($A510,Leveranser_per_nät,'Leveranser per nät'!Y$1,FALSE)/VLOOKUP($B510,Korrigeringsfaktor_EI,'Korrigeringsfaktor EI'!Y$1,FALSE),
"")</f>
        <v>242.70400000000001</v>
      </c>
      <c r="Z510" s="18">
        <f>IFERROR(
                  Andel_oberoende_av_klimat*VLOOKUP($A510,Leveranser_per_nät,'Leveranser per nät'!Z$1,FALSE)
               +Andel_beroende_av_klimat*VLOOKUP($A510,Leveranser_per_nät,'Leveranser per nät'!Z$1,FALSE)/VLOOKUP($B510,Korrigeringsfaktor_EI,'Korrigeringsfaktor EI'!Z$1,FALSE),
"")</f>
        <v>241.55310526315787</v>
      </c>
      <c r="AA510" s="18">
        <f>IFERROR(
                  Andel_oberoende_av_klimat*VLOOKUP($A510,Leveranser_per_nät,'Leveranser per nät'!AA$1,FALSE)
               +Andel_beroende_av_klimat*VLOOKUP($A510,Leveranser_per_nät,'Leveranser per nät'!AA$1,FALSE)/VLOOKUP($B510,Korrigeringsfaktor_EI,'Korrigeringsfaktor EI'!AA$1,FALSE),
"")</f>
        <v>230.07874089490113</v>
      </c>
      <c r="AB510" s="18">
        <f>IFERROR(
                  Andel_oberoende_av_klimat*VLOOKUP($A510,Leveranser_per_nät,'Leveranser per nät'!AB$1,FALSE)
               +Andel_beroende_av_klimat*VLOOKUP($A510,Leveranser_per_nät,'Leveranser per nät'!AB$1,FALSE)/VLOOKUP($B510,Korrigeringsfaktor_EI,'Korrigeringsfaktor EI'!AB$1,FALSE),
"")</f>
        <v>223.8721233140655</v>
      </c>
      <c r="AC510" s="18">
        <f>IFERROR(
                  Andel_oberoende_av_klimat*VLOOKUP($A510,Leveranser_per_nät,'Leveranser per nät'!AC$1,FALSE)
               +Andel_beroende_av_klimat*VLOOKUP($A510,Leveranser_per_nät,'Leveranser per nät'!AC$1,FALSE)/VLOOKUP($B510,Korrigeringsfaktor_EI,'Korrigeringsfaktor EI'!AC$1,FALSE),
"")</f>
        <v>227.05892747701733</v>
      </c>
      <c r="AD510">
        <v>223.7</v>
      </c>
    </row>
    <row r="511" spans="1:30" x14ac:dyDescent="0.25">
      <c r="A511" s="4" t="s">
        <v>440</v>
      </c>
      <c r="B511" t="s">
        <v>101</v>
      </c>
      <c r="C511" s="18">
        <f>IFERROR(
                  Andel_oberoende_av_klimat*VLOOKUP($A511,Leveranser_per_nät,'Leveranser per nät'!C$1,FALSE)
               +Andel_beroende_av_klimat*VLOOKUP($A511,Leveranser_per_nät,'Leveranser per nät'!C$1,FALSE)/VLOOKUP($B511,Korrigeringsfaktor_EI,'Korrigeringsfaktor EI'!C$1,FALSE),
"")</f>
        <v>0</v>
      </c>
      <c r="D511" s="18">
        <f>IFERROR(
                  Andel_oberoende_av_klimat*VLOOKUP($A511,Leveranser_per_nät,'Leveranser per nät'!D$1,FALSE)
               +Andel_beroende_av_klimat*VLOOKUP($A511,Leveranser_per_nät,'Leveranser per nät'!D$1,FALSE)/VLOOKUP($B511,Korrigeringsfaktor_EI,'Korrigeringsfaktor EI'!D$1,FALSE),
"")</f>
        <v>0</v>
      </c>
      <c r="E511" s="18">
        <f>IFERROR(
                  Andel_oberoende_av_klimat*VLOOKUP($A511,Leveranser_per_nät,'Leveranser per nät'!E$1,FALSE)
               +Andel_beroende_av_klimat*VLOOKUP($A511,Leveranser_per_nät,'Leveranser per nät'!E$1,FALSE)/VLOOKUP($B511,Korrigeringsfaktor_EI,'Korrigeringsfaktor EI'!E$1,FALSE),
"")</f>
        <v>0</v>
      </c>
      <c r="F511" s="18">
        <f>IFERROR(
                  Andel_oberoende_av_klimat*VLOOKUP($A511,Leveranser_per_nät,'Leveranser per nät'!F$1,FALSE)
               +Andel_beroende_av_klimat*VLOOKUP($A511,Leveranser_per_nät,'Leveranser per nät'!F$1,FALSE)/VLOOKUP($B511,Korrigeringsfaktor_EI,'Korrigeringsfaktor EI'!F$1,FALSE),
"")</f>
        <v>0</v>
      </c>
      <c r="G511" s="18">
        <f>IFERROR(
                  Andel_oberoende_av_klimat*VLOOKUP($A511,Leveranser_per_nät,'Leveranser per nät'!G$1,FALSE)
               +Andel_beroende_av_klimat*VLOOKUP($A511,Leveranser_per_nät,'Leveranser per nät'!G$1,FALSE)/VLOOKUP($B511,Korrigeringsfaktor_EI,'Korrigeringsfaktor EI'!G$1,FALSE),
"")</f>
        <v>0</v>
      </c>
      <c r="H511" s="18">
        <f>IFERROR(
                  Andel_oberoende_av_klimat*VLOOKUP($A511,Leveranser_per_nät,'Leveranser per nät'!H$1,FALSE)
               +Andel_beroende_av_klimat*VLOOKUP($A511,Leveranser_per_nät,'Leveranser per nät'!H$1,FALSE)/VLOOKUP($B511,Korrigeringsfaktor_EI,'Korrigeringsfaktor EI'!H$1,FALSE),
"")</f>
        <v>0</v>
      </c>
      <c r="I511" s="18">
        <f>IFERROR(
                  Andel_oberoende_av_klimat*VLOOKUP($A511,Leveranser_per_nät,'Leveranser per nät'!I$1,FALSE)
               +Andel_beroende_av_klimat*VLOOKUP($A511,Leveranser_per_nät,'Leveranser per nät'!I$1,FALSE)/VLOOKUP($B511,Korrigeringsfaktor_EI,'Korrigeringsfaktor EI'!I$1,FALSE),
"")</f>
        <v>0</v>
      </c>
      <c r="J511" s="18">
        <f>IFERROR(
                  Andel_oberoende_av_klimat*VLOOKUP($A511,Leveranser_per_nät,'Leveranser per nät'!J$1,FALSE)
               +Andel_beroende_av_klimat*VLOOKUP($A511,Leveranser_per_nät,'Leveranser per nät'!J$1,FALSE)/VLOOKUP($B511,Korrigeringsfaktor_EI,'Korrigeringsfaktor EI'!J$1,FALSE),
"")</f>
        <v>0</v>
      </c>
      <c r="K511" s="18">
        <f>IFERROR(
                  Andel_oberoende_av_klimat*VLOOKUP($A511,Leveranser_per_nät,'Leveranser per nät'!K$1,FALSE)
               +Andel_beroende_av_klimat*VLOOKUP($A511,Leveranser_per_nät,'Leveranser per nät'!K$1,FALSE)/VLOOKUP($B511,Korrigeringsfaktor_EI,'Korrigeringsfaktor EI'!K$1,FALSE),
"")</f>
        <v>0</v>
      </c>
      <c r="L511" s="18">
        <f>IFERROR(
                  Andel_oberoende_av_klimat*VLOOKUP($A511,Leveranser_per_nät,'Leveranser per nät'!L$1,FALSE)
               +Andel_beroende_av_klimat*VLOOKUP($A511,Leveranser_per_nät,'Leveranser per nät'!L$1,FALSE)/VLOOKUP($B511,Korrigeringsfaktor_EI,'Korrigeringsfaktor EI'!L$1,FALSE),
"")</f>
        <v>0</v>
      </c>
      <c r="M511" s="18">
        <f>IFERROR(
                  Andel_oberoende_av_klimat*VLOOKUP($A511,Leveranser_per_nät,'Leveranser per nät'!M$1,FALSE)
               +Andel_beroende_av_klimat*VLOOKUP($A511,Leveranser_per_nät,'Leveranser per nät'!M$1,FALSE)/VLOOKUP($B511,Korrigeringsfaktor_EI,'Korrigeringsfaktor EI'!M$1,FALSE),
"")</f>
        <v>0</v>
      </c>
      <c r="N511" s="18">
        <f>IFERROR(
                  Andel_oberoende_av_klimat*VLOOKUP($A511,Leveranser_per_nät,'Leveranser per nät'!N$1,FALSE)
               +Andel_beroende_av_klimat*VLOOKUP($A511,Leveranser_per_nät,'Leveranser per nät'!N$1,FALSE)/VLOOKUP($B511,Korrigeringsfaktor_EI,'Korrigeringsfaktor EI'!N$1,FALSE),
"")</f>
        <v>0</v>
      </c>
      <c r="O511" s="18">
        <f>IFERROR(
                  Andel_oberoende_av_klimat*VLOOKUP($A511,Leveranser_per_nät,'Leveranser per nät'!O$1,FALSE)
               +Andel_beroende_av_klimat*VLOOKUP($A511,Leveranser_per_nät,'Leveranser per nät'!O$1,FALSE)/VLOOKUP($B511,Korrigeringsfaktor_EI,'Korrigeringsfaktor EI'!O$1,FALSE),
"")</f>
        <v>0</v>
      </c>
      <c r="P511" s="18">
        <f>IFERROR(
                  Andel_oberoende_av_klimat*VLOOKUP($A511,Leveranser_per_nät,'Leveranser per nät'!P$1,FALSE)
               +Andel_beroende_av_klimat*VLOOKUP($A511,Leveranser_per_nät,'Leveranser per nät'!P$1,FALSE)/VLOOKUP($B511,Korrigeringsfaktor_EI,'Korrigeringsfaktor EI'!P$1,FALSE),
"")</f>
        <v>0</v>
      </c>
      <c r="Q511" s="18">
        <f>IFERROR(
                  Andel_oberoende_av_klimat*VLOOKUP($A511,Leveranser_per_nät,'Leveranser per nät'!Q$1,FALSE)
               +Andel_beroende_av_klimat*VLOOKUP($A511,Leveranser_per_nät,'Leveranser per nät'!Q$1,FALSE)/VLOOKUP($B511,Korrigeringsfaktor_EI,'Korrigeringsfaktor EI'!Q$1,FALSE),
"")</f>
        <v>3.4884654867256639</v>
      </c>
      <c r="R511" s="18">
        <f>IFERROR(
                  Andel_oberoende_av_klimat*VLOOKUP($A511,Leveranser_per_nät,'Leveranser per nät'!R$1,FALSE)
               +Andel_beroende_av_klimat*VLOOKUP($A511,Leveranser_per_nät,'Leveranser per nät'!R$1,FALSE)/VLOOKUP($B511,Korrigeringsfaktor_EI,'Korrigeringsfaktor EI'!R$1,FALSE),
"")</f>
        <v>3.8659888888888889</v>
      </c>
      <c r="S511" s="18">
        <f>IFERROR(
                  Andel_oberoende_av_klimat*VLOOKUP($A511,Leveranser_per_nät,'Leveranser per nät'!S$1,FALSE)
               +Andel_beroende_av_klimat*VLOOKUP($A511,Leveranser_per_nät,'Leveranser per nät'!S$1,FALSE)/VLOOKUP($B511,Korrigeringsfaktor_EI,'Korrigeringsfaktor EI'!S$1,FALSE),
"")</f>
        <v>5.9014343434343441</v>
      </c>
      <c r="T511" s="18">
        <f>IFERROR(
                  Andel_oberoende_av_klimat*VLOOKUP($A511,Leveranser_per_nät,'Leveranser per nät'!T$1,FALSE)
               +Andel_beroende_av_klimat*VLOOKUP($A511,Leveranser_per_nät,'Leveranser per nät'!T$1,FALSE)/VLOOKUP($B511,Korrigeringsfaktor_EI,'Korrigeringsfaktor EI'!T$1,FALSE),
"")</f>
        <v>5.8643789473684205</v>
      </c>
      <c r="U511" s="18">
        <f>IFERROR(
                  Andel_oberoende_av_klimat*VLOOKUP($A511,Leveranser_per_nät,'Leveranser per nät'!U$1,FALSE)
               +Andel_beroende_av_klimat*VLOOKUP($A511,Leveranser_per_nät,'Leveranser per nät'!U$1,FALSE)/VLOOKUP($B511,Korrigeringsfaktor_EI,'Korrigeringsfaktor EI'!U$1,FALSE),
"")</f>
        <v>5.4427777777777777</v>
      </c>
      <c r="V511" s="18">
        <f>IFERROR(
                  Andel_oberoende_av_klimat*VLOOKUP($A511,Leveranser_per_nät,'Leveranser per nät'!V$1,FALSE)
               +Andel_beroende_av_klimat*VLOOKUP($A511,Leveranser_per_nät,'Leveranser per nät'!V$1,FALSE)/VLOOKUP($B511,Korrigeringsfaktor_EI,'Korrigeringsfaktor EI'!V$1,FALSE),
"")</f>
        <v>5.4912777777777775</v>
      </c>
      <c r="W511" s="18">
        <f>IFERROR(
                  Andel_oberoende_av_klimat*VLOOKUP($A511,Leveranser_per_nät,'Leveranser per nät'!W$1,FALSE)
               +Andel_beroende_av_klimat*VLOOKUP($A511,Leveranser_per_nät,'Leveranser per nät'!W$1,FALSE)/VLOOKUP($B511,Korrigeringsfaktor_EI,'Korrigeringsfaktor EI'!W$1,FALSE),
"")</f>
        <v>5.3086315789473684</v>
      </c>
      <c r="X511" s="18">
        <f>IFERROR(
                  Andel_oberoende_av_klimat*VLOOKUP($A511,Leveranser_per_nät,'Leveranser per nät'!X$1,FALSE)
               +Andel_beroende_av_klimat*VLOOKUP($A511,Leveranser_per_nät,'Leveranser per nät'!X$1,FALSE)/VLOOKUP($B511,Korrigeringsfaktor_EI,'Korrigeringsfaktor EI'!X$1,FALSE),
"")</f>
        <v>5.6726170212765963</v>
      </c>
      <c r="Y511" s="18">
        <f>IFERROR(
                  Andel_oberoende_av_klimat*VLOOKUP($A511,Leveranser_per_nät,'Leveranser per nät'!Y$1,FALSE)
               +Andel_beroende_av_klimat*VLOOKUP($A511,Leveranser_per_nät,'Leveranser per nät'!Y$1,FALSE)/VLOOKUP($B511,Korrigeringsfaktor_EI,'Korrigeringsfaktor EI'!Y$1,FALSE),
"")</f>
        <v>5.7845384615384612</v>
      </c>
      <c r="Z511" s="18">
        <f>IFERROR(
                  Andel_oberoende_av_klimat*VLOOKUP($A511,Leveranser_per_nät,'Leveranser per nät'!Z$1,FALSE)
               +Andel_beroende_av_klimat*VLOOKUP($A511,Leveranser_per_nät,'Leveranser per nät'!Z$1,FALSE)/VLOOKUP($B511,Korrigeringsfaktor_EI,'Korrigeringsfaktor EI'!Z$1,FALSE),
"")</f>
        <v>5.6348461538461541</v>
      </c>
      <c r="AA511" s="18">
        <f>IFERROR(
                  Andel_oberoende_av_klimat*VLOOKUP($A511,Leveranser_per_nät,'Leveranser per nät'!AA$1,FALSE)
               +Andel_beroende_av_klimat*VLOOKUP($A511,Leveranser_per_nät,'Leveranser per nät'!AA$1,FALSE)/VLOOKUP($B511,Korrigeringsfaktor_EI,'Korrigeringsfaktor EI'!AA$1,FALSE),
"")</f>
        <v>5.528937940164151</v>
      </c>
      <c r="AB511" s="18">
        <f>IFERROR(
                  Andel_oberoende_av_klimat*VLOOKUP($A511,Leveranser_per_nät,'Leveranser per nät'!AB$1,FALSE)
               +Andel_beroende_av_klimat*VLOOKUP($A511,Leveranser_per_nät,'Leveranser per nät'!AB$1,FALSE)/VLOOKUP($B511,Korrigeringsfaktor_EI,'Korrigeringsfaktor EI'!AB$1,FALSE),
"")</f>
        <v>3.5088939393939396</v>
      </c>
      <c r="AC511" s="18">
        <f>IFERROR(
                  Andel_oberoende_av_klimat*VLOOKUP($A511,Leveranser_per_nät,'Leveranser per nät'!AC$1,FALSE)
               +Andel_beroende_av_klimat*VLOOKUP($A511,Leveranser_per_nät,'Leveranser per nät'!AC$1,FALSE)/VLOOKUP($B511,Korrigeringsfaktor_EI,'Korrigeringsfaktor EI'!AC$1,FALSE),
"")</f>
        <v>3.3329062240663903</v>
      </c>
      <c r="AD511">
        <v>213</v>
      </c>
    </row>
    <row r="512" spans="1:30" x14ac:dyDescent="0.25">
      <c r="A512" t="s">
        <v>218</v>
      </c>
      <c r="B512" t="s">
        <v>527</v>
      </c>
      <c r="C512" s="18">
        <f>IFERROR(
                  Andel_oberoende_av_klimat*VLOOKUP($A512,Leveranser_per_nät,'Leveranser per nät'!C$1,FALSE)
               +Andel_beroende_av_klimat*VLOOKUP($A512,Leveranser_per_nät,'Leveranser per nät'!C$1,FALSE)/VLOOKUP($B512,Korrigeringsfaktor_EI,'Korrigeringsfaktor EI'!C$1,FALSE),
"")</f>
        <v>0</v>
      </c>
      <c r="D512" s="18">
        <f>IFERROR(
                  Andel_oberoende_av_klimat*VLOOKUP($A512,Leveranser_per_nät,'Leveranser per nät'!D$1,FALSE)
               +Andel_beroende_av_klimat*VLOOKUP($A512,Leveranser_per_nät,'Leveranser per nät'!D$1,FALSE)/VLOOKUP($B512,Korrigeringsfaktor_EI,'Korrigeringsfaktor EI'!D$1,FALSE),
"")</f>
        <v>0</v>
      </c>
      <c r="E512" s="18">
        <f>IFERROR(
                  Andel_oberoende_av_klimat*VLOOKUP($A512,Leveranser_per_nät,'Leveranser per nät'!E$1,FALSE)
               +Andel_beroende_av_klimat*VLOOKUP($A512,Leveranser_per_nät,'Leveranser per nät'!E$1,FALSE)/VLOOKUP($B512,Korrigeringsfaktor_EI,'Korrigeringsfaktor EI'!E$1,FALSE),
"")</f>
        <v>0</v>
      </c>
      <c r="F512" s="18">
        <f>IFERROR(
                  Andel_oberoende_av_klimat*VLOOKUP($A512,Leveranser_per_nät,'Leveranser per nät'!F$1,FALSE)
               +Andel_beroende_av_klimat*VLOOKUP($A512,Leveranser_per_nät,'Leveranser per nät'!F$1,FALSE)/VLOOKUP($B512,Korrigeringsfaktor_EI,'Korrigeringsfaktor EI'!F$1,FALSE),
"")</f>
        <v>0</v>
      </c>
      <c r="G512" s="18">
        <f>IFERROR(
                  Andel_oberoende_av_klimat*VLOOKUP($A512,Leveranser_per_nät,'Leveranser per nät'!G$1,FALSE)
               +Andel_beroende_av_klimat*VLOOKUP($A512,Leveranser_per_nät,'Leveranser per nät'!G$1,FALSE)/VLOOKUP($B512,Korrigeringsfaktor_EI,'Korrigeringsfaktor EI'!G$1,FALSE),
"")</f>
        <v>9.3183461538461536</v>
      </c>
      <c r="H512" s="18">
        <f>IFERROR(
                  Andel_oberoende_av_klimat*VLOOKUP($A512,Leveranser_per_nät,'Leveranser per nät'!H$1,FALSE)
               +Andel_beroende_av_klimat*VLOOKUP($A512,Leveranser_per_nät,'Leveranser per nät'!H$1,FALSE)/VLOOKUP($B512,Korrigeringsfaktor_EI,'Korrigeringsfaktor EI'!H$1,FALSE),
"")</f>
        <v>10.053000000000001</v>
      </c>
      <c r="I512" s="18">
        <f>IFERROR(
                  Andel_oberoende_av_klimat*VLOOKUP($A512,Leveranser_per_nät,'Leveranser per nät'!I$1,FALSE)
               +Andel_beroende_av_klimat*VLOOKUP($A512,Leveranser_per_nät,'Leveranser per nät'!I$1,FALSE)/VLOOKUP($B512,Korrigeringsfaktor_EI,'Korrigeringsfaktor EI'!I$1,FALSE),
"")</f>
        <v>9.9836142857142853</v>
      </c>
      <c r="J512" s="18">
        <f>IFERROR(
                  Andel_oberoende_av_klimat*VLOOKUP($A512,Leveranser_per_nät,'Leveranser per nät'!J$1,FALSE)
               +Andel_beroende_av_klimat*VLOOKUP($A512,Leveranser_per_nät,'Leveranser per nät'!J$1,FALSE)/VLOOKUP($B512,Korrigeringsfaktor_EI,'Korrigeringsfaktor EI'!J$1,FALSE),
"")</f>
        <v>25.259347474747472</v>
      </c>
      <c r="K512" s="18">
        <f>IFERROR(
                  Andel_oberoende_av_klimat*VLOOKUP($A512,Leveranser_per_nät,'Leveranser per nät'!K$1,FALSE)
               +Andel_beroende_av_klimat*VLOOKUP($A512,Leveranser_per_nät,'Leveranser per nät'!K$1,FALSE)/VLOOKUP($B512,Korrigeringsfaktor_EI,'Korrigeringsfaktor EI'!K$1,FALSE),
"")</f>
        <v>9.7561754280156912</v>
      </c>
      <c r="L512" s="18">
        <f>IFERROR(
                  Andel_oberoende_av_klimat*VLOOKUP($A512,Leveranser_per_nät,'Leveranser per nät'!L$1,FALSE)
               +Andel_beroende_av_klimat*VLOOKUP($A512,Leveranser_per_nät,'Leveranser per nät'!L$1,FALSE)/VLOOKUP($B512,Korrigeringsfaktor_EI,'Korrigeringsfaktor EI'!L$1,FALSE),
"")</f>
        <v>10.040730544666149</v>
      </c>
      <c r="M512" s="18">
        <f>IFERROR(
                  Andel_oberoende_av_klimat*VLOOKUP($A512,Leveranser_per_nät,'Leveranser per nät'!M$1,FALSE)
               +Andel_beroende_av_klimat*VLOOKUP($A512,Leveranser_per_nät,'Leveranser per nät'!M$1,FALSE)/VLOOKUP($B512,Korrigeringsfaktor_EI,'Korrigeringsfaktor EI'!M$1,FALSE),
"")</f>
        <v>9.6539130434782603</v>
      </c>
      <c r="N512" s="18">
        <f>IFERROR(
                  Andel_oberoende_av_klimat*VLOOKUP($A512,Leveranser_per_nät,'Leveranser per nät'!N$1,FALSE)
               +Andel_beroende_av_klimat*VLOOKUP($A512,Leveranser_per_nät,'Leveranser per nät'!N$1,FALSE)/VLOOKUP($B512,Korrigeringsfaktor_EI,'Korrigeringsfaktor EI'!N$1,FALSE),
"")</f>
        <v>2.2106451612903228</v>
      </c>
      <c r="O512" s="18">
        <f>IFERROR(
                  Andel_oberoende_av_klimat*VLOOKUP($A512,Leveranser_per_nät,'Leveranser per nät'!O$1,FALSE)
               +Andel_beroende_av_klimat*VLOOKUP($A512,Leveranser_per_nät,'Leveranser per nät'!O$1,FALSE)/VLOOKUP($B512,Korrigeringsfaktor_EI,'Korrigeringsfaktor EI'!O$1,FALSE),
"")</f>
        <v>9.9438461538461542</v>
      </c>
      <c r="P512" s="18">
        <f>IFERROR(
                  Andel_oberoende_av_klimat*VLOOKUP($A512,Leveranser_per_nät,'Leveranser per nät'!P$1,FALSE)
               +Andel_beroende_av_klimat*VLOOKUP($A512,Leveranser_per_nät,'Leveranser per nät'!P$1,FALSE)/VLOOKUP($B512,Korrigeringsfaktor_EI,'Korrigeringsfaktor EI'!P$1,FALSE),
"")</f>
        <v>8.5409896907216485</v>
      </c>
      <c r="Q512" s="18">
        <f>IFERROR(
                  Andel_oberoende_av_klimat*VLOOKUP($A512,Leveranser_per_nät,'Leveranser per nät'!Q$1,FALSE)
               +Andel_beroende_av_klimat*VLOOKUP($A512,Leveranser_per_nät,'Leveranser per nät'!Q$1,FALSE)/VLOOKUP($B512,Korrigeringsfaktor_EI,'Korrigeringsfaktor EI'!Q$1,FALSE),
"")</f>
        <v>8.51</v>
      </c>
      <c r="R512" s="18">
        <f>IFERROR(
                  Andel_oberoende_av_klimat*VLOOKUP($A512,Leveranser_per_nät,'Leveranser per nät'!R$1,FALSE)
               +Andel_beroende_av_klimat*VLOOKUP($A512,Leveranser_per_nät,'Leveranser per nät'!R$1,FALSE)/VLOOKUP($B512,Korrigeringsfaktor_EI,'Korrigeringsfaktor EI'!R$1,FALSE),
"")</f>
        <v>8.2575280898876393</v>
      </c>
      <c r="S512" s="18">
        <f>IFERROR(
                  Andel_oberoende_av_klimat*VLOOKUP($A512,Leveranser_per_nät,'Leveranser per nät'!S$1,FALSE)
               +Andel_beroende_av_klimat*VLOOKUP($A512,Leveranser_per_nät,'Leveranser per nät'!S$1,FALSE)/VLOOKUP($B512,Korrigeringsfaktor_EI,'Korrigeringsfaktor EI'!S$1,FALSE),
"")</f>
        <v>7.0524006485952402</v>
      </c>
      <c r="T512" s="18">
        <f>IFERROR(
                  Andel_oberoende_av_klimat*VLOOKUP($A512,Leveranser_per_nät,'Leveranser per nät'!T$1,FALSE)
               +Andel_beroende_av_klimat*VLOOKUP($A512,Leveranser_per_nät,'Leveranser per nät'!T$1,FALSE)/VLOOKUP($B512,Korrigeringsfaktor_EI,'Korrigeringsfaktor EI'!T$1,FALSE),
"")</f>
        <v>8.7804546009523428</v>
      </c>
      <c r="U512" s="18">
        <f>IFERROR(
                  Andel_oberoende_av_klimat*VLOOKUP($A512,Leveranser_per_nät,'Leveranser per nät'!U$1,FALSE)
               +Andel_beroende_av_klimat*VLOOKUP($A512,Leveranser_per_nät,'Leveranser per nät'!U$1,FALSE)/VLOOKUP($B512,Korrigeringsfaktor_EI,'Korrigeringsfaktor EI'!U$1,FALSE),
"")</f>
        <v>6.0047201046887659</v>
      </c>
      <c r="V512" s="18">
        <f>IFERROR(
                  Andel_oberoende_av_klimat*VLOOKUP($A512,Leveranser_per_nät,'Leveranser per nät'!V$1,FALSE)
               +Andel_beroende_av_klimat*VLOOKUP($A512,Leveranser_per_nät,'Leveranser per nät'!V$1,FALSE)/VLOOKUP($B512,Korrigeringsfaktor_EI,'Korrigeringsfaktor EI'!V$1,FALSE),
"")</f>
        <v>6.0523318935542605</v>
      </c>
      <c r="W512" s="18">
        <f>IFERROR(
                  Andel_oberoende_av_klimat*VLOOKUP($A512,Leveranser_per_nät,'Leveranser per nät'!W$1,FALSE)
               +Andel_beroende_av_klimat*VLOOKUP($A512,Leveranser_per_nät,'Leveranser per nät'!W$1,FALSE)/VLOOKUP($B512,Korrigeringsfaktor_EI,'Korrigeringsfaktor EI'!W$1,FALSE),
"")</f>
        <v>6.6665589176943012</v>
      </c>
      <c r="X512" s="18">
        <f>IFERROR(
                  Andel_oberoende_av_klimat*VLOOKUP($A512,Leveranser_per_nät,'Leveranser per nät'!X$1,FALSE)
               +Andel_beroende_av_klimat*VLOOKUP($A512,Leveranser_per_nät,'Leveranser per nät'!X$1,FALSE)/VLOOKUP($B512,Korrigeringsfaktor_EI,'Korrigeringsfaktor EI'!X$1,FALSE),
"")</f>
        <v>7.0902523755138169</v>
      </c>
      <c r="Y512" s="18">
        <f>IFERROR(
                  Andel_oberoende_av_klimat*VLOOKUP($A512,Leveranser_per_nät,'Leveranser per nät'!Y$1,FALSE)
               +Andel_beroende_av_klimat*VLOOKUP($A512,Leveranser_per_nät,'Leveranser per nät'!Y$1,FALSE)/VLOOKUP($B512,Korrigeringsfaktor_EI,'Korrigeringsfaktor EI'!Y$1,FALSE),
"")</f>
        <v>7.7454086956521735</v>
      </c>
      <c r="Z512" s="18">
        <f>IFERROR(
                  Andel_oberoende_av_klimat*VLOOKUP($A512,Leveranser_per_nät,'Leveranser per nät'!Z$1,FALSE)
               +Andel_beroende_av_klimat*VLOOKUP($A512,Leveranser_per_nät,'Leveranser per nät'!Z$1,FALSE)/VLOOKUP($B512,Korrigeringsfaktor_EI,'Korrigeringsfaktor EI'!Z$1,FALSE),
"")</f>
        <v>7.6635698924731184</v>
      </c>
      <c r="AA512" s="18">
        <f>IFERROR(
                  Andel_oberoende_av_klimat*VLOOKUP($A512,Leveranser_per_nät,'Leveranser per nät'!AA$1,FALSE)
               +Andel_beroende_av_klimat*VLOOKUP($A512,Leveranser_per_nät,'Leveranser per nät'!AA$1,FALSE)/VLOOKUP($B512,Korrigeringsfaktor_EI,'Korrigeringsfaktor EI'!AA$1,FALSE),
"")</f>
        <v>7.7019914824931703</v>
      </c>
      <c r="AB512" s="18">
        <f>IFERROR(
                  Andel_oberoende_av_klimat*VLOOKUP($A512,Leveranser_per_nät,'Leveranser per nät'!AB$1,FALSE)
               +Andel_beroende_av_klimat*VLOOKUP($A512,Leveranser_per_nät,'Leveranser per nät'!AB$1,FALSE)/VLOOKUP($B512,Korrigeringsfaktor_EI,'Korrigeringsfaktor EI'!AB$1,FALSE),
"")</f>
        <v>7.54789123505976</v>
      </c>
      <c r="AC512" s="18">
        <f>IFERROR(
                  Andel_oberoende_av_klimat*VLOOKUP($A512,Leveranser_per_nät,'Leveranser per nät'!AC$1,FALSE)
               +Andel_beroende_av_klimat*VLOOKUP($A512,Leveranser_per_nät,'Leveranser per nät'!AC$1,FALSE)/VLOOKUP($B512,Korrigeringsfaktor_EI,'Korrigeringsfaktor EI'!AC$1,FALSE),
"")</f>
        <v>7.6902578947368418</v>
      </c>
      <c r="AD512" t="e">
        <v>#N/A</v>
      </c>
    </row>
    <row r="513" spans="1:30" x14ac:dyDescent="0.25">
      <c r="A513" t="s">
        <v>157</v>
      </c>
      <c r="B513" t="s">
        <v>157</v>
      </c>
      <c r="C513" s="18">
        <f>IFERROR(
                  Andel_oberoende_av_klimat*VLOOKUP($A513,Leveranser_per_nät,'Leveranser per nät'!C$1,FALSE)
               +Andel_beroende_av_klimat*VLOOKUP($A513,Leveranser_per_nät,'Leveranser per nät'!C$1,FALSE)/VLOOKUP($B513,Korrigeringsfaktor_EI,'Korrigeringsfaktor EI'!C$1,FALSE),
"")</f>
        <v>467.07692307692309</v>
      </c>
      <c r="D513" s="18">
        <f>IFERROR(
                  Andel_oberoende_av_klimat*VLOOKUP($A513,Leveranser_per_nät,'Leveranser per nät'!D$1,FALSE)
               +Andel_beroende_av_klimat*VLOOKUP($A513,Leveranser_per_nät,'Leveranser per nät'!D$1,FALSE)/VLOOKUP($B513,Korrigeringsfaktor_EI,'Korrigeringsfaktor EI'!D$1,FALSE),
"")</f>
        <v>455.45134020618559</v>
      </c>
      <c r="E513" s="18">
        <f>IFERROR(
                  Andel_oberoende_av_klimat*VLOOKUP($A513,Leveranser_per_nät,'Leveranser per nät'!E$1,FALSE)
               +Andel_beroende_av_klimat*VLOOKUP($A513,Leveranser_per_nät,'Leveranser per nät'!E$1,FALSE)/VLOOKUP($B513,Korrigeringsfaktor_EI,'Korrigeringsfaktor EI'!E$1,FALSE),
"")</f>
        <v>471.19400000000007</v>
      </c>
      <c r="F513" s="18">
        <f>IFERROR(
                  Andel_oberoende_av_klimat*VLOOKUP($A513,Leveranser_per_nät,'Leveranser per nät'!F$1,FALSE)
               +Andel_beroende_av_klimat*VLOOKUP($A513,Leveranser_per_nät,'Leveranser per nät'!F$1,FALSE)/VLOOKUP($B513,Korrigeringsfaktor_EI,'Korrigeringsfaktor EI'!F$1,FALSE),
"")</f>
        <v>486.85714285714289</v>
      </c>
      <c r="G513" s="18">
        <f>IFERROR(
                  Andel_oberoende_av_klimat*VLOOKUP($A513,Leveranser_per_nät,'Leveranser per nät'!G$1,FALSE)
               +Andel_beroende_av_klimat*VLOOKUP($A513,Leveranser_per_nät,'Leveranser per nät'!G$1,FALSE)/VLOOKUP($B513,Korrigeringsfaktor_EI,'Korrigeringsfaktor EI'!G$1,FALSE),
"")</f>
        <v>494.57368421052632</v>
      </c>
      <c r="H513" s="18">
        <f>IFERROR(
                  Andel_oberoende_av_klimat*VLOOKUP($A513,Leveranser_per_nät,'Leveranser per nät'!H$1,FALSE)
               +Andel_beroende_av_klimat*VLOOKUP($A513,Leveranser_per_nät,'Leveranser per nät'!H$1,FALSE)/VLOOKUP($B513,Korrigeringsfaktor_EI,'Korrigeringsfaktor EI'!H$1,FALSE),
"")</f>
        <v>522</v>
      </c>
      <c r="I513" s="18">
        <f>IFERROR(
                  Andel_oberoende_av_klimat*VLOOKUP($A513,Leveranser_per_nät,'Leveranser per nät'!I$1,FALSE)
               +Andel_beroende_av_klimat*VLOOKUP($A513,Leveranser_per_nät,'Leveranser per nät'!I$1,FALSE)/VLOOKUP($B513,Korrigeringsfaktor_EI,'Korrigeringsfaktor EI'!I$1,FALSE),
"")</f>
        <v>539.98260869565217</v>
      </c>
      <c r="J513" s="18">
        <f>IFERROR(
                  Andel_oberoende_av_klimat*VLOOKUP($A513,Leveranser_per_nät,'Leveranser per nät'!J$1,FALSE)
               +Andel_beroende_av_klimat*VLOOKUP($A513,Leveranser_per_nät,'Leveranser per nät'!J$1,FALSE)/VLOOKUP($B513,Korrigeringsfaktor_EI,'Korrigeringsfaktor EI'!J$1,FALSE),
"")</f>
        <v>530.58713617021283</v>
      </c>
      <c r="K513" s="18">
        <f>IFERROR(
                  Andel_oberoende_av_klimat*VLOOKUP($A513,Leveranser_per_nät,'Leveranser per nät'!K$1,FALSE)
               +Andel_beroende_av_klimat*VLOOKUP($A513,Leveranser_per_nät,'Leveranser per nät'!K$1,FALSE)/VLOOKUP($B513,Korrigeringsfaktor_EI,'Korrigeringsfaktor EI'!K$1,FALSE),
"")</f>
        <v>516.07954872340429</v>
      </c>
      <c r="L513" s="18">
        <f>IFERROR(
                  Andel_oberoende_av_klimat*VLOOKUP($A513,Leveranser_per_nät,'Leveranser per nät'!L$1,FALSE)
               +Andel_beroende_av_klimat*VLOOKUP($A513,Leveranser_per_nät,'Leveranser per nät'!L$1,FALSE)/VLOOKUP($B513,Korrigeringsfaktor_EI,'Korrigeringsfaktor EI'!L$1,FALSE),
"")</f>
        <v>516.22038387096768</v>
      </c>
      <c r="M513" s="18">
        <f>IFERROR(
                  Andel_oberoende_av_klimat*VLOOKUP($A513,Leveranser_per_nät,'Leveranser per nät'!M$1,FALSE)
               +Andel_beroende_av_klimat*VLOOKUP($A513,Leveranser_per_nät,'Leveranser per nät'!M$1,FALSE)/VLOOKUP($B513,Korrigeringsfaktor_EI,'Korrigeringsfaktor EI'!M$1,FALSE),
"")</f>
        <v>534.61538461538464</v>
      </c>
      <c r="N513" s="18">
        <f>IFERROR(
                  Andel_oberoende_av_klimat*VLOOKUP($A513,Leveranser_per_nät,'Leveranser per nät'!N$1,FALSE)
               +Andel_beroende_av_klimat*VLOOKUP($A513,Leveranser_per_nät,'Leveranser per nät'!N$1,FALSE)/VLOOKUP($B513,Korrigeringsfaktor_EI,'Korrigeringsfaktor EI'!N$1,FALSE),
"")</f>
        <v>518.42105263157896</v>
      </c>
      <c r="O513" s="18">
        <f>IFERROR(
                  Andel_oberoende_av_klimat*VLOOKUP($A513,Leveranser_per_nät,'Leveranser per nät'!O$1,FALSE)
               +Andel_beroende_av_klimat*VLOOKUP($A513,Leveranser_per_nät,'Leveranser per nät'!O$1,FALSE)/VLOOKUP($B513,Korrigeringsfaktor_EI,'Korrigeringsfaktor EI'!O$1,FALSE),
"")</f>
        <v>529.13085106382982</v>
      </c>
      <c r="P513" s="18">
        <f>IFERROR(
                  Andel_oberoende_av_klimat*VLOOKUP($A513,Leveranser_per_nät,'Leveranser per nät'!P$1,FALSE)
               +Andel_beroende_av_klimat*VLOOKUP($A513,Leveranser_per_nät,'Leveranser per nät'!P$1,FALSE)/VLOOKUP($B513,Korrigeringsfaktor_EI,'Korrigeringsfaktor EI'!P$1,FALSE),
"")</f>
        <v>529.4571428571428</v>
      </c>
      <c r="Q513" s="18">
        <f>IFERROR(
                  Andel_oberoende_av_klimat*VLOOKUP($A513,Leveranser_per_nät,'Leveranser per nät'!Q$1,FALSE)
               +Andel_beroende_av_klimat*VLOOKUP($A513,Leveranser_per_nät,'Leveranser per nät'!Q$1,FALSE)/VLOOKUP($B513,Korrigeringsfaktor_EI,'Korrigeringsfaktor EI'!Q$1,FALSE),
"")</f>
        <v>554.07499999999993</v>
      </c>
      <c r="R513" s="18">
        <f>IFERROR(
                  Andel_oberoende_av_klimat*VLOOKUP($A513,Leveranser_per_nät,'Leveranser per nät'!R$1,FALSE)
               +Andel_beroende_av_klimat*VLOOKUP($A513,Leveranser_per_nät,'Leveranser per nät'!R$1,FALSE)/VLOOKUP($B513,Korrigeringsfaktor_EI,'Korrigeringsfaktor EI'!R$1,FALSE),
"")</f>
        <v>541.04444444444448</v>
      </c>
      <c r="S513" s="18">
        <f>IFERROR(
                  Andel_oberoende_av_klimat*VLOOKUP($A513,Leveranser_per_nät,'Leveranser per nät'!S$1,FALSE)
               +Andel_beroende_av_klimat*VLOOKUP($A513,Leveranser_per_nät,'Leveranser per nät'!S$1,FALSE)/VLOOKUP($B513,Korrigeringsfaktor_EI,'Korrigeringsfaktor EI'!S$1,FALSE),
"")</f>
        <v>586.63607843137254</v>
      </c>
      <c r="T513" s="18">
        <f>IFERROR(
                  Andel_oberoende_av_klimat*VLOOKUP($A513,Leveranser_per_nät,'Leveranser per nät'!T$1,FALSE)
               +Andel_beroende_av_klimat*VLOOKUP($A513,Leveranser_per_nät,'Leveranser per nät'!T$1,FALSE)/VLOOKUP($B513,Korrigeringsfaktor_EI,'Korrigeringsfaktor EI'!T$1,FALSE),
"")</f>
        <v>550.66684210526319</v>
      </c>
      <c r="U513" s="18">
        <f>IFERROR(
                  Andel_oberoende_av_klimat*VLOOKUP($A513,Leveranser_per_nät,'Leveranser per nät'!U$1,FALSE)
               +Andel_beroende_av_klimat*VLOOKUP($A513,Leveranser_per_nät,'Leveranser per nät'!U$1,FALSE)/VLOOKUP($B513,Korrigeringsfaktor_EI,'Korrigeringsfaktor EI'!U$1,FALSE),
"")</f>
        <v>541.08591304347829</v>
      </c>
      <c r="V513" s="18">
        <f>IFERROR(
                  Andel_oberoende_av_klimat*VLOOKUP($A513,Leveranser_per_nät,'Leveranser per nät'!V$1,FALSE)
               +Andel_beroende_av_klimat*VLOOKUP($A513,Leveranser_per_nät,'Leveranser per nät'!V$1,FALSE)/VLOOKUP($B513,Korrigeringsfaktor_EI,'Korrigeringsfaktor EI'!V$1,FALSE),
"")</f>
        <v>541.23962365591387</v>
      </c>
      <c r="W513" s="18">
        <f>IFERROR(
                  Andel_oberoende_av_klimat*VLOOKUP($A513,Leveranser_per_nät,'Leveranser per nät'!W$1,FALSE)
               +Andel_beroende_av_klimat*VLOOKUP($A513,Leveranser_per_nät,'Leveranser per nät'!W$1,FALSE)/VLOOKUP($B513,Korrigeringsfaktor_EI,'Korrigeringsfaktor EI'!W$1,FALSE),
"")</f>
        <v>555.47212500000001</v>
      </c>
      <c r="X513" s="18">
        <f>IFERROR(
                  Andel_oberoende_av_klimat*VLOOKUP($A513,Leveranser_per_nät,'Leveranser per nät'!X$1,FALSE)
               +Andel_beroende_av_klimat*VLOOKUP($A513,Leveranser_per_nät,'Leveranser per nät'!X$1,FALSE)/VLOOKUP($B513,Korrigeringsfaktor_EI,'Korrigeringsfaktor EI'!X$1,FALSE),
"")</f>
        <v>557.60357142857151</v>
      </c>
      <c r="Y513" s="18">
        <f>IFERROR(
                  Andel_oberoende_av_klimat*VLOOKUP($A513,Leveranser_per_nät,'Leveranser per nät'!Y$1,FALSE)
               +Andel_beroende_av_klimat*VLOOKUP($A513,Leveranser_per_nät,'Leveranser per nät'!Y$1,FALSE)/VLOOKUP($B513,Korrigeringsfaktor_EI,'Korrigeringsfaktor EI'!Y$1,FALSE),
"")</f>
        <v>567.21491666666668</v>
      </c>
      <c r="Z513" s="18">
        <f>IFERROR(
                  Andel_oberoende_av_klimat*VLOOKUP($A513,Leveranser_per_nät,'Leveranser per nät'!Z$1,FALSE)
               +Andel_beroende_av_klimat*VLOOKUP($A513,Leveranser_per_nät,'Leveranser per nät'!Z$1,FALSE)/VLOOKUP($B513,Korrigeringsfaktor_EI,'Korrigeringsfaktor EI'!Z$1,FALSE),
"")</f>
        <v>569.23668421052639</v>
      </c>
      <c r="AA513" s="18">
        <f>IFERROR(
                  Andel_oberoende_av_klimat*VLOOKUP($A513,Leveranser_per_nät,'Leveranser per nät'!AA$1,FALSE)
               +Andel_beroende_av_klimat*VLOOKUP($A513,Leveranser_per_nät,'Leveranser per nät'!AA$1,FALSE)/VLOOKUP($B513,Korrigeringsfaktor_EI,'Korrigeringsfaktor EI'!AA$1,FALSE),
"")</f>
        <v>600.33222998109636</v>
      </c>
      <c r="AB513" s="18">
        <f>IFERROR(
                  Andel_oberoende_av_klimat*VLOOKUP($A513,Leveranser_per_nät,'Leveranser per nät'!AB$1,FALSE)
               +Andel_beroende_av_klimat*VLOOKUP($A513,Leveranser_per_nät,'Leveranser per nät'!AB$1,FALSE)/VLOOKUP($B513,Korrigeringsfaktor_EI,'Korrigeringsfaktor EI'!AB$1,FALSE),
"")</f>
        <v>545.56958500486849</v>
      </c>
      <c r="AC513" s="18">
        <f>IFERROR(
                  Andel_oberoende_av_klimat*VLOOKUP($A513,Leveranser_per_nät,'Leveranser per nät'!AC$1,FALSE)
               +Andel_beroende_av_klimat*VLOOKUP($A513,Leveranser_per_nät,'Leveranser per nät'!AC$1,FALSE)/VLOOKUP($B513,Korrigeringsfaktor_EI,'Korrigeringsfaktor EI'!AC$1,FALSE),
"")</f>
        <v>537.7319504132231</v>
      </c>
      <c r="AD513">
        <v>524.17999999999995</v>
      </c>
    </row>
    <row r="514" spans="1:30" x14ac:dyDescent="0.25">
      <c r="A514" t="s">
        <v>57</v>
      </c>
      <c r="B514" t="s">
        <v>57</v>
      </c>
      <c r="C514" s="18">
        <f>IFERROR(
                  Andel_oberoende_av_klimat*VLOOKUP($A514,Leveranser_per_nät,'Leveranser per nät'!C$1,FALSE)
               +Andel_beroende_av_klimat*VLOOKUP($A514,Leveranser_per_nät,'Leveranser per nät'!C$1,FALSE)/VLOOKUP($B514,Korrigeringsfaktor_EI,'Korrigeringsfaktor EI'!C$1,FALSE),
"")</f>
        <v>0</v>
      </c>
      <c r="D514" s="18">
        <f>IFERROR(
                  Andel_oberoende_av_klimat*VLOOKUP($A514,Leveranser_per_nät,'Leveranser per nät'!D$1,FALSE)
               +Andel_beroende_av_klimat*VLOOKUP($A514,Leveranser_per_nät,'Leveranser per nät'!D$1,FALSE)/VLOOKUP($B514,Korrigeringsfaktor_EI,'Korrigeringsfaktor EI'!D$1,FALSE),
"")</f>
        <v>0</v>
      </c>
      <c r="E514" s="18">
        <f>IFERROR(
                  Andel_oberoende_av_klimat*VLOOKUP($A514,Leveranser_per_nät,'Leveranser per nät'!E$1,FALSE)
               +Andel_beroende_av_klimat*VLOOKUP($A514,Leveranser_per_nät,'Leveranser per nät'!E$1,FALSE)/VLOOKUP($B514,Korrigeringsfaktor_EI,'Korrigeringsfaktor EI'!E$1,FALSE),
"")</f>
        <v>0</v>
      </c>
      <c r="F514" s="18">
        <f>IFERROR(
                  Andel_oberoende_av_klimat*VLOOKUP($A514,Leveranser_per_nät,'Leveranser per nät'!F$1,FALSE)
               +Andel_beroende_av_klimat*VLOOKUP($A514,Leveranser_per_nät,'Leveranser per nät'!F$1,FALSE)/VLOOKUP($B514,Korrigeringsfaktor_EI,'Korrigeringsfaktor EI'!F$1,FALSE),
"")</f>
        <v>0</v>
      </c>
      <c r="G514" s="18">
        <f>IFERROR(
                  Andel_oberoende_av_klimat*VLOOKUP($A514,Leveranser_per_nät,'Leveranser per nät'!G$1,FALSE)
               +Andel_beroende_av_klimat*VLOOKUP($A514,Leveranser_per_nät,'Leveranser per nät'!G$1,FALSE)/VLOOKUP($B514,Korrigeringsfaktor_EI,'Korrigeringsfaktor EI'!G$1,FALSE),
"")</f>
        <v>49.362222222222215</v>
      </c>
      <c r="H514" s="18">
        <f>IFERROR(
                  Andel_oberoende_av_klimat*VLOOKUP($A514,Leveranser_per_nät,'Leveranser per nät'!H$1,FALSE)
               +Andel_beroende_av_klimat*VLOOKUP($A514,Leveranser_per_nät,'Leveranser per nät'!H$1,FALSE)/VLOOKUP($B514,Korrigeringsfaktor_EI,'Korrigeringsfaktor EI'!H$1,FALSE),
"")</f>
        <v>51.458333333333336</v>
      </c>
      <c r="I514" s="18">
        <f>IFERROR(
                  Andel_oberoende_av_klimat*VLOOKUP($A514,Leveranser_per_nät,'Leveranser per nät'!I$1,FALSE)
               +Andel_beroende_av_klimat*VLOOKUP($A514,Leveranser_per_nät,'Leveranser per nät'!I$1,FALSE)/VLOOKUP($B514,Korrigeringsfaktor_EI,'Korrigeringsfaktor EI'!I$1,FALSE),
"")</f>
        <v>0</v>
      </c>
      <c r="J514" s="18">
        <f>IFERROR(
                  Andel_oberoende_av_klimat*VLOOKUP($A514,Leveranser_per_nät,'Leveranser per nät'!J$1,FALSE)
               +Andel_beroende_av_klimat*VLOOKUP($A514,Leveranser_per_nät,'Leveranser per nät'!J$1,FALSE)/VLOOKUP($B514,Korrigeringsfaktor_EI,'Korrigeringsfaktor EI'!J$1,FALSE),
"")</f>
        <v>0</v>
      </c>
      <c r="K514" s="18">
        <f>IFERROR(
                  Andel_oberoende_av_klimat*VLOOKUP($A514,Leveranser_per_nät,'Leveranser per nät'!K$1,FALSE)
               +Andel_beroende_av_klimat*VLOOKUP($A514,Leveranser_per_nät,'Leveranser per nät'!K$1,FALSE)/VLOOKUP($B514,Korrigeringsfaktor_EI,'Korrigeringsfaktor EI'!K$1,FALSE),
"")</f>
        <v>0</v>
      </c>
      <c r="L514" s="18">
        <f>IFERROR(
                  Andel_oberoende_av_klimat*VLOOKUP($A514,Leveranser_per_nät,'Leveranser per nät'!L$1,FALSE)
               +Andel_beroende_av_klimat*VLOOKUP($A514,Leveranser_per_nät,'Leveranser per nät'!L$1,FALSE)/VLOOKUP($B514,Korrigeringsfaktor_EI,'Korrigeringsfaktor EI'!L$1,FALSE),
"")</f>
        <v>0</v>
      </c>
      <c r="M514" s="18">
        <f>IFERROR(
                  Andel_oberoende_av_klimat*VLOOKUP($A514,Leveranser_per_nät,'Leveranser per nät'!M$1,FALSE)
               +Andel_beroende_av_klimat*VLOOKUP($A514,Leveranser_per_nät,'Leveranser per nät'!M$1,FALSE)/VLOOKUP($B514,Korrigeringsfaktor_EI,'Korrigeringsfaktor EI'!M$1,FALSE),
"")</f>
        <v>63.452584269662921</v>
      </c>
      <c r="N514" s="18">
        <f>IFERROR(
                  Andel_oberoende_av_klimat*VLOOKUP($A514,Leveranser_per_nät,'Leveranser per nät'!N$1,FALSE)
               +Andel_beroende_av_klimat*VLOOKUP($A514,Leveranser_per_nät,'Leveranser per nät'!N$1,FALSE)/VLOOKUP($B514,Korrigeringsfaktor_EI,'Korrigeringsfaktor EI'!N$1,FALSE),
"")</f>
        <v>58.199999999999996</v>
      </c>
      <c r="O514" s="18">
        <f>IFERROR(
                  Andel_oberoende_av_klimat*VLOOKUP($A514,Leveranser_per_nät,'Leveranser per nät'!O$1,FALSE)
               +Andel_beroende_av_klimat*VLOOKUP($A514,Leveranser_per_nät,'Leveranser per nät'!O$1,FALSE)/VLOOKUP($B514,Korrigeringsfaktor_EI,'Korrigeringsfaktor EI'!O$1,FALSE),
"")</f>
        <v>63.6459090909091</v>
      </c>
      <c r="P514" s="18">
        <f>IFERROR(
                  Andel_oberoende_av_klimat*VLOOKUP($A514,Leveranser_per_nät,'Leveranser per nät'!P$1,FALSE)
               +Andel_beroende_av_klimat*VLOOKUP($A514,Leveranser_per_nät,'Leveranser per nät'!P$1,FALSE)/VLOOKUP($B514,Korrigeringsfaktor_EI,'Korrigeringsfaktor EI'!P$1,FALSE),
"")</f>
        <v>66.702872340425529</v>
      </c>
      <c r="Q514" s="18">
        <f>IFERROR(
                  Andel_oberoende_av_klimat*VLOOKUP($A514,Leveranser_per_nät,'Leveranser per nät'!Q$1,FALSE)
               +Andel_beroende_av_klimat*VLOOKUP($A514,Leveranser_per_nät,'Leveranser per nät'!Q$1,FALSE)/VLOOKUP($B514,Korrigeringsfaktor_EI,'Korrigeringsfaktor EI'!Q$1,FALSE),
"")</f>
        <v>65.99111111111111</v>
      </c>
      <c r="R514" s="18">
        <f>IFERROR(
                  Andel_oberoende_av_klimat*VLOOKUP($A514,Leveranser_per_nät,'Leveranser per nät'!R$1,FALSE)
               +Andel_beroende_av_klimat*VLOOKUP($A514,Leveranser_per_nät,'Leveranser per nät'!R$1,FALSE)/VLOOKUP($B514,Korrigeringsfaktor_EI,'Korrigeringsfaktor EI'!R$1,FALSE),
"")</f>
        <v>68.485057471264369</v>
      </c>
      <c r="S514" s="18">
        <f>IFERROR(
                  Andel_oberoende_av_klimat*VLOOKUP($A514,Leveranser_per_nät,'Leveranser per nät'!S$1,FALSE)
               +Andel_beroende_av_klimat*VLOOKUP($A514,Leveranser_per_nät,'Leveranser per nät'!S$1,FALSE)/VLOOKUP($B514,Korrigeringsfaktor_EI,'Korrigeringsfaktor EI'!S$1,FALSE),
"")</f>
        <v>71.835833333333326</v>
      </c>
      <c r="T514" s="18">
        <f>IFERROR(
                  Andel_oberoende_av_klimat*VLOOKUP($A514,Leveranser_per_nät,'Leveranser per nät'!T$1,FALSE)
               +Andel_beroende_av_klimat*VLOOKUP($A514,Leveranser_per_nät,'Leveranser per nät'!T$1,FALSE)/VLOOKUP($B514,Korrigeringsfaktor_EI,'Korrigeringsfaktor EI'!T$1,FALSE),
"")</f>
        <v>70.729615384615386</v>
      </c>
      <c r="U514" s="18">
        <f>IFERROR(
                  Andel_oberoende_av_klimat*VLOOKUP($A514,Leveranser_per_nät,'Leveranser per nät'!U$1,FALSE)
               +Andel_beroende_av_klimat*VLOOKUP($A514,Leveranser_per_nät,'Leveranser per nät'!U$1,FALSE)/VLOOKUP($B514,Korrigeringsfaktor_EI,'Korrigeringsfaktor EI'!U$1,FALSE),
"")</f>
        <v>69.037356321839084</v>
      </c>
      <c r="V514" s="18">
        <f>IFERROR(
                  Andel_oberoende_av_klimat*VLOOKUP($A514,Leveranser_per_nät,'Leveranser per nät'!V$1,FALSE)
               +Andel_beroende_av_klimat*VLOOKUP($A514,Leveranser_per_nät,'Leveranser per nät'!V$1,FALSE)/VLOOKUP($B514,Korrigeringsfaktor_EI,'Korrigeringsfaktor EI'!V$1,FALSE),
"")</f>
        <v>68.760000000000005</v>
      </c>
      <c r="W514" s="18">
        <f>IFERROR(
                  Andel_oberoende_av_klimat*VLOOKUP($A514,Leveranser_per_nät,'Leveranser per nät'!W$1,FALSE)
               +Andel_beroende_av_klimat*VLOOKUP($A514,Leveranser_per_nät,'Leveranser per nät'!W$1,FALSE)/VLOOKUP($B514,Korrigeringsfaktor_EI,'Korrigeringsfaktor EI'!W$1,FALSE),
"")</f>
        <v>70.248461538461541</v>
      </c>
      <c r="X514" s="18" t="str">
        <f>IFERROR(
                  Andel_oberoende_av_klimat*VLOOKUP($A514,Leveranser_per_nät,'Leveranser per nät'!X$1,FALSE)
               +Andel_beroende_av_klimat*VLOOKUP($A514,Leveranser_per_nät,'Leveranser per nät'!X$1,FALSE)/VLOOKUP($B514,Korrigeringsfaktor_EI,'Korrigeringsfaktor EI'!X$1,FALSE),
"")</f>
        <v/>
      </c>
      <c r="Y514" s="18" t="str">
        <f>IFERROR(
                  Andel_oberoende_av_klimat*VLOOKUP($A514,Leveranser_per_nät,'Leveranser per nät'!Y$1,FALSE)
               +Andel_beroende_av_klimat*VLOOKUP($A514,Leveranser_per_nät,'Leveranser per nät'!Y$1,FALSE)/VLOOKUP($B514,Korrigeringsfaktor_EI,'Korrigeringsfaktor EI'!Y$1,FALSE),
"")</f>
        <v/>
      </c>
      <c r="Z514" s="18">
        <f>IFERROR(
                  Andel_oberoende_av_klimat*VLOOKUP($A514,Leveranser_per_nät,'Leveranser per nät'!Z$1,FALSE)
               +Andel_beroende_av_klimat*VLOOKUP($A514,Leveranser_per_nät,'Leveranser per nät'!Z$1,FALSE)/VLOOKUP($B514,Korrigeringsfaktor_EI,'Korrigeringsfaktor EI'!Z$1,FALSE),
"")</f>
        <v>70.623595505617985</v>
      </c>
      <c r="AA514" s="18">
        <f>IFERROR(
                  Andel_oberoende_av_klimat*VLOOKUP($A514,Leveranser_per_nät,'Leveranser per nät'!AA$1,FALSE)
               +Andel_beroende_av_klimat*VLOOKUP($A514,Leveranser_per_nät,'Leveranser per nät'!AA$1,FALSE)/VLOOKUP($B514,Korrigeringsfaktor_EI,'Korrigeringsfaktor EI'!AA$1,FALSE),
"")</f>
        <v>65.822363096843816</v>
      </c>
      <c r="AB514" s="18">
        <f>IFERROR(
                  Andel_oberoende_av_klimat*VLOOKUP($A514,Leveranser_per_nät,'Leveranser per nät'!AB$1,FALSE)
               +Andel_beroende_av_klimat*VLOOKUP($A514,Leveranser_per_nät,'Leveranser per nät'!AB$1,FALSE)/VLOOKUP($B514,Korrigeringsfaktor_EI,'Korrigeringsfaktor EI'!AB$1,FALSE),
"")</f>
        <v>67.457018393030012</v>
      </c>
      <c r="AC514" s="18">
        <f>IFERROR(
                  Andel_oberoende_av_klimat*VLOOKUP($A514,Leveranser_per_nät,'Leveranser per nät'!AC$1,FALSE)
               +Andel_beroende_av_klimat*VLOOKUP($A514,Leveranser_per_nät,'Leveranser per nät'!AC$1,FALSE)/VLOOKUP($B514,Korrigeringsfaktor_EI,'Korrigeringsfaktor EI'!AC$1,FALSE),
"")</f>
        <v>67.498518896833502</v>
      </c>
      <c r="AD514">
        <v>66.5</v>
      </c>
    </row>
    <row r="515" spans="1:30" x14ac:dyDescent="0.25">
      <c r="A515" t="s">
        <v>528</v>
      </c>
      <c r="B515" t="s">
        <v>528</v>
      </c>
      <c r="C515" s="18">
        <f>IFERROR(
                  Andel_oberoende_av_klimat*VLOOKUP($A515,Leveranser_per_nät,'Leveranser per nät'!C$1,FALSE)
               +Andel_beroende_av_klimat*VLOOKUP($A515,Leveranser_per_nät,'Leveranser per nät'!C$1,FALSE)/VLOOKUP($B515,Korrigeringsfaktor_EI,'Korrigeringsfaktor EI'!C$1,FALSE),
"")</f>
        <v>0</v>
      </c>
      <c r="D515" s="18">
        <f>IFERROR(
                  Andel_oberoende_av_klimat*VLOOKUP($A515,Leveranser_per_nät,'Leveranser per nät'!D$1,FALSE)
               +Andel_beroende_av_klimat*VLOOKUP($A515,Leveranser_per_nät,'Leveranser per nät'!D$1,FALSE)/VLOOKUP($B515,Korrigeringsfaktor_EI,'Korrigeringsfaktor EI'!D$1,FALSE),
"")</f>
        <v>0</v>
      </c>
      <c r="E515" s="18">
        <f>IFERROR(
                  Andel_oberoende_av_klimat*VLOOKUP($A515,Leveranser_per_nät,'Leveranser per nät'!E$1,FALSE)
               +Andel_beroende_av_klimat*VLOOKUP($A515,Leveranser_per_nät,'Leveranser per nät'!E$1,FALSE)/VLOOKUP($B515,Korrigeringsfaktor_EI,'Korrigeringsfaktor EI'!E$1,FALSE),
"")</f>
        <v>0</v>
      </c>
      <c r="F515" s="18">
        <f>IFERROR(
                  Andel_oberoende_av_klimat*VLOOKUP($A515,Leveranser_per_nät,'Leveranser per nät'!F$1,FALSE)
               +Andel_beroende_av_klimat*VLOOKUP($A515,Leveranser_per_nät,'Leveranser per nät'!F$1,FALSE)/VLOOKUP($B515,Korrigeringsfaktor_EI,'Korrigeringsfaktor EI'!F$1,FALSE),
"")</f>
        <v>0</v>
      </c>
      <c r="G515" s="18">
        <f>IFERROR(
                  Andel_oberoende_av_klimat*VLOOKUP($A515,Leveranser_per_nät,'Leveranser per nät'!G$1,FALSE)
               +Andel_beroende_av_klimat*VLOOKUP($A515,Leveranser_per_nät,'Leveranser per nät'!G$1,FALSE)/VLOOKUP($B515,Korrigeringsfaktor_EI,'Korrigeringsfaktor EI'!G$1,FALSE),
"")</f>
        <v>0</v>
      </c>
      <c r="H515" s="18">
        <f>IFERROR(
                  Andel_oberoende_av_klimat*VLOOKUP($A515,Leveranser_per_nät,'Leveranser per nät'!H$1,FALSE)
               +Andel_beroende_av_klimat*VLOOKUP($A515,Leveranser_per_nät,'Leveranser per nät'!H$1,FALSE)/VLOOKUP($B515,Korrigeringsfaktor_EI,'Korrigeringsfaktor EI'!H$1,FALSE),
"")</f>
        <v>0</v>
      </c>
      <c r="I515" s="18">
        <f>IFERROR(
                  Andel_oberoende_av_klimat*VLOOKUP($A515,Leveranser_per_nät,'Leveranser per nät'!I$1,FALSE)
               +Andel_beroende_av_klimat*VLOOKUP($A515,Leveranser_per_nät,'Leveranser per nät'!I$1,FALSE)/VLOOKUP($B515,Korrigeringsfaktor_EI,'Korrigeringsfaktor EI'!I$1,FALSE),
"")</f>
        <v>0</v>
      </c>
      <c r="J515" s="18">
        <f>IFERROR(
                  Andel_oberoende_av_klimat*VLOOKUP($A515,Leveranser_per_nät,'Leveranser per nät'!J$1,FALSE)
               +Andel_beroende_av_klimat*VLOOKUP($A515,Leveranser_per_nät,'Leveranser per nät'!J$1,FALSE)/VLOOKUP($B515,Korrigeringsfaktor_EI,'Korrigeringsfaktor EI'!J$1,FALSE),
"")</f>
        <v>0</v>
      </c>
      <c r="K515" s="18">
        <f>IFERROR(
                  Andel_oberoende_av_klimat*VLOOKUP($A515,Leveranser_per_nät,'Leveranser per nät'!K$1,FALSE)
               +Andel_beroende_av_klimat*VLOOKUP($A515,Leveranser_per_nät,'Leveranser per nät'!K$1,FALSE)/VLOOKUP($B515,Korrigeringsfaktor_EI,'Korrigeringsfaktor EI'!K$1,FALSE),
"")</f>
        <v>0</v>
      </c>
      <c r="L515" s="18">
        <f>IFERROR(
                  Andel_oberoende_av_klimat*VLOOKUP($A515,Leveranser_per_nät,'Leveranser per nät'!L$1,FALSE)
               +Andel_beroende_av_klimat*VLOOKUP($A515,Leveranser_per_nät,'Leveranser per nät'!L$1,FALSE)/VLOOKUP($B515,Korrigeringsfaktor_EI,'Korrigeringsfaktor EI'!L$1,FALSE),
"")</f>
        <v>0</v>
      </c>
      <c r="M515" s="18">
        <f>IFERROR(
                  Andel_oberoende_av_klimat*VLOOKUP($A515,Leveranser_per_nät,'Leveranser per nät'!M$1,FALSE)
               +Andel_beroende_av_klimat*VLOOKUP($A515,Leveranser_per_nät,'Leveranser per nät'!M$1,FALSE)/VLOOKUP($B515,Korrigeringsfaktor_EI,'Korrigeringsfaktor EI'!M$1,FALSE),
"")</f>
        <v>0</v>
      </c>
      <c r="N515" s="18">
        <f>IFERROR(
                  Andel_oberoende_av_klimat*VLOOKUP($A515,Leveranser_per_nät,'Leveranser per nät'!N$1,FALSE)
               +Andel_beroende_av_klimat*VLOOKUP($A515,Leveranser_per_nät,'Leveranser per nät'!N$1,FALSE)/VLOOKUP($B515,Korrigeringsfaktor_EI,'Korrigeringsfaktor EI'!N$1,FALSE),
"")</f>
        <v>0.5263440860215054</v>
      </c>
      <c r="O515" s="18">
        <f>IFERROR(
                  Andel_oberoende_av_klimat*VLOOKUP($A515,Leveranser_per_nät,'Leveranser per nät'!O$1,FALSE)
               +Andel_beroende_av_klimat*VLOOKUP($A515,Leveranser_per_nät,'Leveranser per nät'!O$1,FALSE)/VLOOKUP($B515,Korrigeringsfaktor_EI,'Korrigeringsfaktor EI'!O$1,FALSE),
"")</f>
        <v>2.5072340425531916</v>
      </c>
      <c r="P515" s="18">
        <f>IFERROR(
                  Andel_oberoende_av_klimat*VLOOKUP($A515,Leveranser_per_nät,'Leveranser per nät'!P$1,FALSE)
               +Andel_beroende_av_klimat*VLOOKUP($A515,Leveranser_per_nät,'Leveranser per nät'!P$1,FALSE)/VLOOKUP($B515,Korrigeringsfaktor_EI,'Korrigeringsfaktor EI'!P$1,FALSE),
"")</f>
        <v>1.9245416666666668</v>
      </c>
      <c r="Q515" s="18">
        <f>IFERROR(
                  Andel_oberoende_av_klimat*VLOOKUP($A515,Leveranser_per_nät,'Leveranser per nät'!Q$1,FALSE)
               +Andel_beroende_av_klimat*VLOOKUP($A515,Leveranser_per_nät,'Leveranser per nät'!Q$1,FALSE)/VLOOKUP($B515,Korrigeringsfaktor_EI,'Korrigeringsfaktor EI'!Q$1,FALSE),
"")</f>
        <v>2.1459999999999999</v>
      </c>
      <c r="R515" s="18">
        <f>IFERROR(
                  Andel_oberoende_av_klimat*VLOOKUP($A515,Leveranser_per_nät,'Leveranser per nät'!R$1,FALSE)
               +Andel_beroende_av_klimat*VLOOKUP($A515,Leveranser_per_nät,'Leveranser per nät'!R$1,FALSE)/VLOOKUP($B515,Korrigeringsfaktor_EI,'Korrigeringsfaktor EI'!R$1,FALSE),
"")</f>
        <v>2.799744680851064</v>
      </c>
      <c r="S515" s="18">
        <f>IFERROR(
                  Andel_oberoende_av_klimat*VLOOKUP($A515,Leveranser_per_nät,'Leveranser per nät'!S$1,FALSE)
               +Andel_beroende_av_klimat*VLOOKUP($A515,Leveranser_per_nät,'Leveranser per nät'!S$1,FALSE)/VLOOKUP($B515,Korrigeringsfaktor_EI,'Korrigeringsfaktor EI'!S$1,FALSE),
"")</f>
        <v>4.5649902912621361</v>
      </c>
      <c r="T515" s="18">
        <f>IFERROR(
                  Andel_oberoende_av_klimat*VLOOKUP($A515,Leveranser_per_nät,'Leveranser per nät'!T$1,FALSE)
               +Andel_beroende_av_klimat*VLOOKUP($A515,Leveranser_per_nät,'Leveranser per nät'!T$1,FALSE)/VLOOKUP($B515,Korrigeringsfaktor_EI,'Korrigeringsfaktor EI'!T$1,FALSE),
"")</f>
        <v>5.7221666666666664</v>
      </c>
      <c r="U515" s="18">
        <f>IFERROR(
                  Andel_oberoende_av_klimat*VLOOKUP($A515,Leveranser_per_nät,'Leveranser per nät'!U$1,FALSE)
               +Andel_beroende_av_klimat*VLOOKUP($A515,Leveranser_per_nät,'Leveranser per nät'!U$1,FALSE)/VLOOKUP($B515,Korrigeringsfaktor_EI,'Korrigeringsfaktor EI'!U$1,FALSE),
"")</f>
        <v>3.9146086956521735</v>
      </c>
      <c r="V515" s="18">
        <f>IFERROR(
                  Andel_oberoende_av_klimat*VLOOKUP($A515,Leveranser_per_nät,'Leveranser per nät'!V$1,FALSE)
               +Andel_beroende_av_klimat*VLOOKUP($A515,Leveranser_per_nät,'Leveranser per nät'!V$1,FALSE)/VLOOKUP($B515,Korrigeringsfaktor_EI,'Korrigeringsfaktor EI'!V$1,FALSE),
"")</f>
        <v>3.9676521739130437</v>
      </c>
      <c r="W515" s="18">
        <f>IFERROR(
                  Andel_oberoende_av_klimat*VLOOKUP($A515,Leveranser_per_nät,'Leveranser per nät'!W$1,FALSE)
               +Andel_beroende_av_klimat*VLOOKUP($A515,Leveranser_per_nät,'Leveranser per nät'!W$1,FALSE)/VLOOKUP($B515,Korrigeringsfaktor_EI,'Korrigeringsfaktor EI'!W$1,FALSE),
"")</f>
        <v>4.3420103092783506</v>
      </c>
      <c r="X515" s="18">
        <f>IFERROR(
                  Andel_oberoende_av_klimat*VLOOKUP($A515,Leveranser_per_nät,'Leveranser per nät'!X$1,FALSE)
               +Andel_beroende_av_klimat*VLOOKUP($A515,Leveranser_per_nät,'Leveranser per nät'!X$1,FALSE)/VLOOKUP($B515,Korrigeringsfaktor_EI,'Korrigeringsfaktor EI'!X$1,FALSE),
"")</f>
        <v>4.5850785714285713</v>
      </c>
      <c r="Y515" s="18">
        <f>IFERROR(
                  Andel_oberoende_av_klimat*VLOOKUP($A515,Leveranser_per_nät,'Leveranser per nät'!Y$1,FALSE)
               +Andel_beroende_av_klimat*VLOOKUP($A515,Leveranser_per_nät,'Leveranser per nät'!Y$1,FALSE)/VLOOKUP($B515,Korrigeringsfaktor_EI,'Korrigeringsfaktor EI'!Y$1,FALSE),
"")</f>
        <v>5.0434290322580644</v>
      </c>
      <c r="Z515" s="18">
        <f>IFERROR(
                  Andel_oberoende_av_klimat*VLOOKUP($A515,Leveranser_per_nät,'Leveranser per nät'!Z$1,FALSE)
               +Andel_beroende_av_klimat*VLOOKUP($A515,Leveranser_per_nät,'Leveranser per nät'!Z$1,FALSE)/VLOOKUP($B515,Korrigeringsfaktor_EI,'Korrigeringsfaktor EI'!Z$1,FALSE),
"")</f>
        <v>7.9040553191489362</v>
      </c>
      <c r="AA515" s="18">
        <f>IFERROR(
                  Andel_oberoende_av_klimat*VLOOKUP($A515,Leveranser_per_nät,'Leveranser per nät'!AA$1,FALSE)
               +Andel_beroende_av_klimat*VLOOKUP($A515,Leveranser_per_nät,'Leveranser per nät'!AA$1,FALSE)/VLOOKUP($B515,Korrigeringsfaktor_EI,'Korrigeringsfaktor EI'!AA$1,FALSE),
"")</f>
        <v>7.9982121257485037</v>
      </c>
      <c r="AB515" s="18">
        <f>IFERROR(
                  Andel_oberoende_av_klimat*VLOOKUP($A515,Leveranser_per_nät,'Leveranser per nät'!AB$1,FALSE)
               +Andel_beroende_av_klimat*VLOOKUP($A515,Leveranser_per_nät,'Leveranser per nät'!AB$1,FALSE)/VLOOKUP($B515,Korrigeringsfaktor_EI,'Korrigeringsfaktor EI'!AB$1,FALSE),
"")</f>
        <v>8.0327432896064579</v>
      </c>
      <c r="AC515" s="18">
        <f>IFERROR(
                  Andel_oberoende_av_klimat*VLOOKUP($A515,Leveranser_per_nät,'Leveranser per nät'!AC$1,FALSE)
               +Andel_beroende_av_klimat*VLOOKUP($A515,Leveranser_per_nät,'Leveranser per nät'!AC$1,FALSE)/VLOOKUP($B515,Korrigeringsfaktor_EI,'Korrigeringsfaktor EI'!AC$1,FALSE),
"")</f>
        <v>7.832849947753397</v>
      </c>
      <c r="AD515">
        <v>7.5940000000000003</v>
      </c>
    </row>
    <row r="516" spans="1:30" x14ac:dyDescent="0.25">
      <c r="A516" t="s">
        <v>344</v>
      </c>
      <c r="B516" t="s">
        <v>344</v>
      </c>
      <c r="C516" s="18">
        <f>IFERROR(
                  Andel_oberoende_av_klimat*VLOOKUP($A516,Leveranser_per_nät,'Leveranser per nät'!C$1,FALSE)
               +Andel_beroende_av_klimat*VLOOKUP($A516,Leveranser_per_nät,'Leveranser per nät'!C$1,FALSE)/VLOOKUP($B516,Korrigeringsfaktor_EI,'Korrigeringsfaktor EI'!C$1,FALSE),
"")</f>
        <v>9.4816611650485427</v>
      </c>
      <c r="D516" s="18">
        <f>IFERROR(
                  Andel_oberoende_av_klimat*VLOOKUP($A516,Leveranser_per_nät,'Leveranser per nät'!D$1,FALSE)
               +Andel_beroende_av_klimat*VLOOKUP($A516,Leveranser_per_nät,'Leveranser per nät'!D$1,FALSE)/VLOOKUP($B516,Korrigeringsfaktor_EI,'Korrigeringsfaktor EI'!D$1,FALSE),
"")</f>
        <v>11.238285714285714</v>
      </c>
      <c r="E516" s="18">
        <f>IFERROR(
                  Andel_oberoende_av_klimat*VLOOKUP($A516,Leveranser_per_nät,'Leveranser per nät'!E$1,FALSE)
               +Andel_beroende_av_klimat*VLOOKUP($A516,Leveranser_per_nät,'Leveranser per nät'!E$1,FALSE)/VLOOKUP($B516,Korrigeringsfaktor_EI,'Korrigeringsfaktor EI'!E$1,FALSE),
"")</f>
        <v>13.970609433962265</v>
      </c>
      <c r="F516" s="18">
        <f>IFERROR(
                  Andel_oberoende_av_klimat*VLOOKUP($A516,Leveranser_per_nät,'Leveranser per nät'!F$1,FALSE)
               +Andel_beroende_av_klimat*VLOOKUP($A516,Leveranser_per_nät,'Leveranser per nät'!F$1,FALSE)/VLOOKUP($B516,Korrigeringsfaktor_EI,'Korrigeringsfaktor EI'!F$1,FALSE),
"")</f>
        <v>15.217000000000001</v>
      </c>
      <c r="G516" s="18">
        <f>IFERROR(
                  Andel_oberoende_av_klimat*VLOOKUP($A516,Leveranser_per_nät,'Leveranser per nät'!G$1,FALSE)
               +Andel_beroende_av_klimat*VLOOKUP($A516,Leveranser_per_nät,'Leveranser per nät'!G$1,FALSE)/VLOOKUP($B516,Korrigeringsfaktor_EI,'Korrigeringsfaktor EI'!G$1,FALSE),
"")</f>
        <v>15.79032258064516</v>
      </c>
      <c r="H516" s="18">
        <f>IFERROR(
                  Andel_oberoende_av_klimat*VLOOKUP($A516,Leveranser_per_nät,'Leveranser per nät'!H$1,FALSE)
               +Andel_beroende_av_klimat*VLOOKUP($A516,Leveranser_per_nät,'Leveranser per nät'!H$1,FALSE)/VLOOKUP($B516,Korrigeringsfaktor_EI,'Korrigeringsfaktor EI'!H$1,FALSE),
"")</f>
        <v>16</v>
      </c>
      <c r="I516" s="18">
        <f>IFERROR(
                  Andel_oberoende_av_klimat*VLOOKUP($A516,Leveranser_per_nät,'Leveranser per nät'!I$1,FALSE)
               +Andel_beroende_av_klimat*VLOOKUP($A516,Leveranser_per_nät,'Leveranser per nät'!I$1,FALSE)/VLOOKUP($B516,Korrigeringsfaktor_EI,'Korrigeringsfaktor EI'!I$1,FALSE),
"")</f>
        <v>23.508051515151514</v>
      </c>
      <c r="J516" s="18">
        <f>IFERROR(
                  Andel_oberoende_av_klimat*VLOOKUP($A516,Leveranser_per_nät,'Leveranser per nät'!J$1,FALSE)
               +Andel_beroende_av_klimat*VLOOKUP($A516,Leveranser_per_nät,'Leveranser per nät'!J$1,FALSE)/VLOOKUP($B516,Korrigeringsfaktor_EI,'Korrigeringsfaktor EI'!J$1,FALSE),
"")</f>
        <v>24.011827835051548</v>
      </c>
      <c r="K516" s="18">
        <f>IFERROR(
                  Andel_oberoende_av_klimat*VLOOKUP($A516,Leveranser_per_nät,'Leveranser per nät'!K$1,FALSE)
               +Andel_beroende_av_klimat*VLOOKUP($A516,Leveranser_per_nät,'Leveranser per nät'!K$1,FALSE)/VLOOKUP($B516,Korrigeringsfaktor_EI,'Korrigeringsfaktor EI'!K$1,FALSE),
"")</f>
        <v>26.39431616161616</v>
      </c>
      <c r="L516" s="18">
        <f>IFERROR(
                  Andel_oberoende_av_klimat*VLOOKUP($A516,Leveranser_per_nät,'Leveranser per nät'!L$1,FALSE)
               +Andel_beroende_av_klimat*VLOOKUP($A516,Leveranser_per_nät,'Leveranser per nät'!L$1,FALSE)/VLOOKUP($B516,Korrigeringsfaktor_EI,'Korrigeringsfaktor EI'!L$1,FALSE),
"")</f>
        <v>27.589904301075268</v>
      </c>
      <c r="M516" s="18">
        <f>IFERROR(
                  Andel_oberoende_av_klimat*VLOOKUP($A516,Leveranser_per_nät,'Leveranser per nät'!M$1,FALSE)
               +Andel_beroende_av_klimat*VLOOKUP($A516,Leveranser_per_nät,'Leveranser per nät'!M$1,FALSE)/VLOOKUP($B516,Korrigeringsfaktor_EI,'Korrigeringsfaktor EI'!M$1,FALSE),
"")</f>
        <v>27.475106382978726</v>
      </c>
      <c r="N516" s="18">
        <f>IFERROR(
                  Andel_oberoende_av_klimat*VLOOKUP($A516,Leveranser_per_nät,'Leveranser per nät'!N$1,FALSE)
               +Andel_beroende_av_klimat*VLOOKUP($A516,Leveranser_per_nät,'Leveranser per nät'!N$1,FALSE)/VLOOKUP($B516,Korrigeringsfaktor_EI,'Korrigeringsfaktor EI'!N$1,FALSE),
"")</f>
        <v>27.892978723404255</v>
      </c>
      <c r="O516" s="18">
        <f>IFERROR(
                  Andel_oberoende_av_klimat*VLOOKUP($A516,Leveranser_per_nät,'Leveranser per nät'!O$1,FALSE)
               +Andel_beroende_av_klimat*VLOOKUP($A516,Leveranser_per_nät,'Leveranser per nät'!O$1,FALSE)/VLOOKUP($B516,Korrigeringsfaktor_EI,'Korrigeringsfaktor EI'!O$1,FALSE),
"")</f>
        <v>26.957894736842107</v>
      </c>
      <c r="P516" s="18">
        <f>IFERROR(
                  Andel_oberoende_av_klimat*VLOOKUP($A516,Leveranser_per_nät,'Leveranser per nät'!P$1,FALSE)
               +Andel_beroende_av_klimat*VLOOKUP($A516,Leveranser_per_nät,'Leveranser per nät'!P$1,FALSE)/VLOOKUP($B516,Korrigeringsfaktor_EI,'Korrigeringsfaktor EI'!P$1,FALSE),
"")</f>
        <v>27.067083333333336</v>
      </c>
      <c r="Q516" s="18">
        <f>IFERROR(
                  Andel_oberoende_av_klimat*VLOOKUP($A516,Leveranser_per_nät,'Leveranser per nät'!Q$1,FALSE)
               +Andel_beroende_av_klimat*VLOOKUP($A516,Leveranser_per_nät,'Leveranser per nät'!Q$1,FALSE)/VLOOKUP($B516,Korrigeringsfaktor_EI,'Korrigeringsfaktor EI'!Q$1,FALSE),
"")</f>
        <v>26.794528301886789</v>
      </c>
      <c r="R516" s="18">
        <f>IFERROR(
                  Andel_oberoende_av_klimat*VLOOKUP($A516,Leveranser_per_nät,'Leveranser per nät'!R$1,FALSE)
               +Andel_beroende_av_klimat*VLOOKUP($A516,Leveranser_per_nät,'Leveranser per nät'!R$1,FALSE)/VLOOKUP($B516,Korrigeringsfaktor_EI,'Korrigeringsfaktor EI'!R$1,FALSE),
"")</f>
        <v>25.661538461538456</v>
      </c>
      <c r="S516" s="18">
        <f>IFERROR(
                  Andel_oberoende_av_klimat*VLOOKUP($A516,Leveranser_per_nät,'Leveranser per nät'!S$1,FALSE)
               +Andel_beroende_av_klimat*VLOOKUP($A516,Leveranser_per_nät,'Leveranser per nät'!S$1,FALSE)/VLOOKUP($B516,Korrigeringsfaktor_EI,'Korrigeringsfaktor EI'!S$1,FALSE),
"")</f>
        <v>24.4</v>
      </c>
      <c r="T516" s="18">
        <f>IFERROR(
                  Andel_oberoende_av_klimat*VLOOKUP($A516,Leveranser_per_nät,'Leveranser per nät'!T$1,FALSE)
               +Andel_beroende_av_klimat*VLOOKUP($A516,Leveranser_per_nät,'Leveranser per nät'!T$1,FALSE)/VLOOKUP($B516,Korrigeringsfaktor_EI,'Korrigeringsfaktor EI'!T$1,FALSE),
"")</f>
        <v>24.55</v>
      </c>
      <c r="U516" s="18">
        <f>IFERROR(
                  Andel_oberoende_av_klimat*VLOOKUP($A516,Leveranser_per_nät,'Leveranser per nät'!U$1,FALSE)
               +Andel_beroende_av_klimat*VLOOKUP($A516,Leveranser_per_nät,'Leveranser per nät'!U$1,FALSE)/VLOOKUP($B516,Korrigeringsfaktor_EI,'Korrigeringsfaktor EI'!U$1,FALSE),
"")</f>
        <v>24.806153846153844</v>
      </c>
      <c r="V516" s="18">
        <f>IFERROR(
                  Andel_oberoende_av_klimat*VLOOKUP($A516,Leveranser_per_nät,'Leveranser per nät'!V$1,FALSE)
               +Andel_beroende_av_klimat*VLOOKUP($A516,Leveranser_per_nät,'Leveranser per nät'!V$1,FALSE)/VLOOKUP($B516,Korrigeringsfaktor_EI,'Korrigeringsfaktor EI'!V$1,FALSE),
"")</f>
        <v>24.989887640449439</v>
      </c>
      <c r="W516" s="18">
        <f>IFERROR(
                  Andel_oberoende_av_klimat*VLOOKUP($A516,Leveranser_per_nät,'Leveranser per nät'!W$1,FALSE)
               +Andel_beroende_av_klimat*VLOOKUP($A516,Leveranser_per_nät,'Leveranser per nät'!W$1,FALSE)/VLOOKUP($B516,Korrigeringsfaktor_EI,'Korrigeringsfaktor EI'!W$1,FALSE),
"")</f>
        <v>25.111666666666665</v>
      </c>
      <c r="X516" s="18">
        <f>IFERROR(
                  Andel_oberoende_av_klimat*VLOOKUP($A516,Leveranser_per_nät,'Leveranser per nät'!X$1,FALSE)
               +Andel_beroende_av_klimat*VLOOKUP($A516,Leveranser_per_nät,'Leveranser per nät'!X$1,FALSE)/VLOOKUP($B516,Korrigeringsfaktor_EI,'Korrigeringsfaktor EI'!X$1,FALSE),
"")</f>
        <v>27.800000000000004</v>
      </c>
      <c r="Y516" s="18">
        <f>IFERROR(
                  Andel_oberoende_av_klimat*VLOOKUP($A516,Leveranser_per_nät,'Leveranser per nät'!Y$1,FALSE)
               +Andel_beroende_av_klimat*VLOOKUP($A516,Leveranser_per_nät,'Leveranser per nät'!Y$1,FALSE)/VLOOKUP($B516,Korrigeringsfaktor_EI,'Korrigeringsfaktor EI'!Y$1,FALSE),
"")</f>
        <v>24.723917525773196</v>
      </c>
      <c r="Z516" s="18">
        <f>IFERROR(
                  Andel_oberoende_av_klimat*VLOOKUP($A516,Leveranser_per_nät,'Leveranser per nät'!Z$1,FALSE)
               +Andel_beroende_av_klimat*VLOOKUP($A516,Leveranser_per_nät,'Leveranser per nät'!Z$1,FALSE)/VLOOKUP($B516,Korrigeringsfaktor_EI,'Korrigeringsfaktor EI'!Z$1,FALSE),
"")</f>
        <v>24.068989898989898</v>
      </c>
      <c r="AA516" s="18">
        <f>IFERROR(
                  Andel_oberoende_av_klimat*VLOOKUP($A516,Leveranser_per_nät,'Leveranser per nät'!AA$1,FALSE)
               +Andel_beroende_av_klimat*VLOOKUP($A516,Leveranser_per_nät,'Leveranser per nät'!AA$1,FALSE)/VLOOKUP($B516,Korrigeringsfaktor_EI,'Korrigeringsfaktor EI'!AA$1,FALSE),
"")</f>
        <v>22.768727272727276</v>
      </c>
      <c r="AB516" s="18">
        <f>IFERROR(
                  Andel_oberoende_av_klimat*VLOOKUP($A516,Leveranser_per_nät,'Leveranser per nät'!AB$1,FALSE)
               +Andel_beroende_av_klimat*VLOOKUP($A516,Leveranser_per_nät,'Leveranser per nät'!AB$1,FALSE)/VLOOKUP($B516,Korrigeringsfaktor_EI,'Korrigeringsfaktor EI'!AB$1,FALSE),
"")</f>
        <v>23.768047337278105</v>
      </c>
      <c r="AC516" s="18">
        <f>IFERROR(
                  Andel_oberoende_av_klimat*VLOOKUP($A516,Leveranser_per_nät,'Leveranser per nät'!AC$1,FALSE)
               +Andel_beroende_av_klimat*VLOOKUP($A516,Leveranser_per_nät,'Leveranser per nät'!AC$1,FALSE)/VLOOKUP($B516,Korrigeringsfaktor_EI,'Korrigeringsfaktor EI'!AC$1,FALSE),
"")</f>
        <v>23.090543546694651</v>
      </c>
      <c r="AD516" t="e">
        <v>#N/A</v>
      </c>
    </row>
    <row r="517" spans="1:30" x14ac:dyDescent="0.25">
      <c r="A517" t="s">
        <v>347</v>
      </c>
      <c r="B517" t="s">
        <v>412</v>
      </c>
      <c r="C517" s="18">
        <f>IFERROR(
                  Andel_oberoende_av_klimat*VLOOKUP($A517,Leveranser_per_nät,'Leveranser per nät'!C$1,FALSE)
               +Andel_beroende_av_klimat*VLOOKUP($A517,Leveranser_per_nät,'Leveranser per nät'!C$1,FALSE)/VLOOKUP($B517,Korrigeringsfaktor_EI,'Korrigeringsfaktor EI'!C$1,FALSE),
"")</f>
        <v>21.26900980392157</v>
      </c>
      <c r="D517" s="18">
        <f>IFERROR(
                  Andel_oberoende_av_klimat*VLOOKUP($A517,Leveranser_per_nät,'Leveranser per nät'!D$1,FALSE)
               +Andel_beroende_av_klimat*VLOOKUP($A517,Leveranser_per_nät,'Leveranser per nät'!D$1,FALSE)/VLOOKUP($B517,Korrigeringsfaktor_EI,'Korrigeringsfaktor EI'!D$1,FALSE),
"")</f>
        <v>24.3439202020202</v>
      </c>
      <c r="E517" s="18">
        <f>IFERROR(
                  Andel_oberoende_av_klimat*VLOOKUP($A517,Leveranser_per_nät,'Leveranser per nät'!E$1,FALSE)
               +Andel_beroende_av_klimat*VLOOKUP($A517,Leveranser_per_nät,'Leveranser per nät'!E$1,FALSE)/VLOOKUP($B517,Korrigeringsfaktor_EI,'Korrigeringsfaktor EI'!E$1,FALSE),
"")</f>
        <v>35.511873584905658</v>
      </c>
      <c r="F517" s="18">
        <f>IFERROR(
                  Andel_oberoende_av_klimat*VLOOKUP($A517,Leveranser_per_nät,'Leveranser per nät'!F$1,FALSE)
               +Andel_beroende_av_klimat*VLOOKUP($A517,Leveranser_per_nät,'Leveranser per nät'!F$1,FALSE)/VLOOKUP($B517,Korrigeringsfaktor_EI,'Korrigeringsfaktor EI'!F$1,FALSE),
"")</f>
        <v>32.798999999999999</v>
      </c>
      <c r="G517" s="18">
        <f>IFERROR(
                  Andel_oberoende_av_klimat*VLOOKUP($A517,Leveranser_per_nät,'Leveranser per nät'!G$1,FALSE)
               +Andel_beroende_av_klimat*VLOOKUP($A517,Leveranser_per_nät,'Leveranser per nät'!G$1,FALSE)/VLOOKUP($B517,Korrigeringsfaktor_EI,'Korrigeringsfaktor EI'!G$1,FALSE),
"")</f>
        <v>30.527956989247308</v>
      </c>
      <c r="H517" s="18">
        <f>IFERROR(
                  Andel_oberoende_av_klimat*VLOOKUP($A517,Leveranser_per_nät,'Leveranser per nät'!H$1,FALSE)
               +Andel_beroende_av_klimat*VLOOKUP($A517,Leveranser_per_nät,'Leveranser per nät'!H$1,FALSE)/VLOOKUP($B517,Korrigeringsfaktor_EI,'Korrigeringsfaktor EI'!H$1,FALSE),
"")</f>
        <v>28.594765656565656</v>
      </c>
      <c r="I517" s="18">
        <f>IFERROR(
                  Andel_oberoende_av_klimat*VLOOKUP($A517,Leveranser_per_nät,'Leveranser per nät'!I$1,FALSE)
               +Andel_beroende_av_klimat*VLOOKUP($A517,Leveranser_per_nät,'Leveranser per nät'!I$1,FALSE)/VLOOKUP($B517,Korrigeringsfaktor_EI,'Korrigeringsfaktor EI'!I$1,FALSE),
"")</f>
        <v>28.600808080808079</v>
      </c>
      <c r="J517" s="18">
        <f>IFERROR(
                  Andel_oberoende_av_klimat*VLOOKUP($A517,Leveranser_per_nät,'Leveranser per nät'!J$1,FALSE)
               +Andel_beroende_av_klimat*VLOOKUP($A517,Leveranser_per_nät,'Leveranser per nät'!J$1,FALSE)/VLOOKUP($B517,Korrigeringsfaktor_EI,'Korrigeringsfaktor EI'!J$1,FALSE),
"")</f>
        <v>24.998741237113403</v>
      </c>
      <c r="K517" s="18">
        <f>IFERROR(
                  Andel_oberoende_av_klimat*VLOOKUP($A517,Leveranser_per_nät,'Leveranser per nät'!K$1,FALSE)
               +Andel_beroende_av_klimat*VLOOKUP($A517,Leveranser_per_nät,'Leveranser per nät'!K$1,FALSE)/VLOOKUP($B517,Korrigeringsfaktor_EI,'Korrigeringsfaktor EI'!K$1,FALSE),
"")</f>
        <v>26.019471428571428</v>
      </c>
      <c r="L517" s="18">
        <f>IFERROR(
                  Andel_oberoende_av_klimat*VLOOKUP($A517,Leveranser_per_nät,'Leveranser per nät'!L$1,FALSE)
               +Andel_beroende_av_klimat*VLOOKUP($A517,Leveranser_per_nät,'Leveranser per nät'!L$1,FALSE)/VLOOKUP($B517,Korrigeringsfaktor_EI,'Korrigeringsfaktor EI'!L$1,FALSE),
"")</f>
        <v>27.004609677419353</v>
      </c>
      <c r="M517" s="18">
        <f>IFERROR(
                  Andel_oberoende_av_klimat*VLOOKUP($A517,Leveranser_per_nät,'Leveranser per nät'!M$1,FALSE)
               +Andel_beroende_av_klimat*VLOOKUP($A517,Leveranser_per_nät,'Leveranser per nät'!M$1,FALSE)/VLOOKUP($B517,Korrigeringsfaktor_EI,'Korrigeringsfaktor EI'!M$1,FALSE),
"")</f>
        <v>25.921052631578949</v>
      </c>
      <c r="N517" s="18">
        <f>IFERROR(
                  Andel_oberoende_av_klimat*VLOOKUP($A517,Leveranser_per_nät,'Leveranser per nät'!N$1,FALSE)
               +Andel_beroende_av_klimat*VLOOKUP($A517,Leveranser_per_nät,'Leveranser per nät'!N$1,FALSE)/VLOOKUP($B517,Korrigeringsfaktor_EI,'Korrigeringsfaktor EI'!N$1,FALSE),
"")</f>
        <v>25.626249999999999</v>
      </c>
      <c r="O517" s="18">
        <f>IFERROR(
                  Andel_oberoende_av_klimat*VLOOKUP($A517,Leveranser_per_nät,'Leveranser per nät'!O$1,FALSE)
               +Andel_beroende_av_klimat*VLOOKUP($A517,Leveranser_per_nät,'Leveranser per nät'!O$1,FALSE)/VLOOKUP($B517,Korrigeringsfaktor_EI,'Korrigeringsfaktor EI'!O$1,FALSE),
"")</f>
        <v>25.965714285714284</v>
      </c>
      <c r="P517" s="18">
        <f>IFERROR(
                  Andel_oberoende_av_klimat*VLOOKUP($A517,Leveranser_per_nät,'Leveranser per nät'!P$1,FALSE)
               +Andel_beroende_av_klimat*VLOOKUP($A517,Leveranser_per_nät,'Leveranser per nät'!P$1,FALSE)/VLOOKUP($B517,Korrigeringsfaktor_EI,'Korrigeringsfaktor EI'!P$1,FALSE),
"")</f>
        <v>26.86938144329897</v>
      </c>
      <c r="Q517" s="18">
        <f>IFERROR(
                  Andel_oberoende_av_klimat*VLOOKUP($A517,Leveranser_per_nät,'Leveranser per nät'!Q$1,FALSE)
               +Andel_beroende_av_klimat*VLOOKUP($A517,Leveranser_per_nät,'Leveranser per nät'!Q$1,FALSE)/VLOOKUP($B517,Korrigeringsfaktor_EI,'Korrigeringsfaktor EI'!Q$1,FALSE),
"")</f>
        <v>27.178679245283018</v>
      </c>
      <c r="R517" s="18">
        <f>IFERROR(
                  Andel_oberoende_av_klimat*VLOOKUP($A517,Leveranser_per_nät,'Leveranser per nät'!R$1,FALSE)
               +Andel_beroende_av_klimat*VLOOKUP($A517,Leveranser_per_nät,'Leveranser per nät'!R$1,FALSE)/VLOOKUP($B517,Korrigeringsfaktor_EI,'Korrigeringsfaktor EI'!R$1,FALSE),
"")</f>
        <v>25.790860215053762</v>
      </c>
      <c r="S517" s="18">
        <f>IFERROR(
                  Andel_oberoende_av_klimat*VLOOKUP($A517,Leveranser_per_nät,'Leveranser per nät'!S$1,FALSE)
               +Andel_beroende_av_klimat*VLOOKUP($A517,Leveranser_per_nät,'Leveranser per nät'!S$1,FALSE)/VLOOKUP($B517,Korrigeringsfaktor_EI,'Korrigeringsfaktor EI'!S$1,FALSE),
"")</f>
        <v>26.449514563106796</v>
      </c>
      <c r="T517" s="18">
        <f>IFERROR(
                  Andel_oberoende_av_klimat*VLOOKUP($A517,Leveranser_per_nät,'Leveranser per nät'!T$1,FALSE)
               +Andel_beroende_av_klimat*VLOOKUP($A517,Leveranser_per_nät,'Leveranser per nät'!T$1,FALSE)/VLOOKUP($B517,Korrigeringsfaktor_EI,'Korrigeringsfaktor EI'!T$1,FALSE),
"")</f>
        <v>25.817368421052628</v>
      </c>
      <c r="U517" s="18">
        <f>IFERROR(
                  Andel_oberoende_av_klimat*VLOOKUP($A517,Leveranser_per_nät,'Leveranser per nät'!U$1,FALSE)
               +Andel_beroende_av_klimat*VLOOKUP($A517,Leveranser_per_nät,'Leveranser per nät'!U$1,FALSE)/VLOOKUP($B517,Korrigeringsfaktor_EI,'Korrigeringsfaktor EI'!U$1,FALSE),
"")</f>
        <v>24.86340425531915</v>
      </c>
      <c r="V517" s="18">
        <f>IFERROR(
                  Andel_oberoende_av_klimat*VLOOKUP($A517,Leveranser_per_nät,'Leveranser per nät'!V$1,FALSE)
               +Andel_beroende_av_klimat*VLOOKUP($A517,Leveranser_per_nät,'Leveranser per nät'!V$1,FALSE)/VLOOKUP($B517,Korrigeringsfaktor_EI,'Korrigeringsfaktor EI'!V$1,FALSE),
"")</f>
        <v>25.248695652173915</v>
      </c>
      <c r="W517" s="18">
        <f>IFERROR(
                  Andel_oberoende_av_klimat*VLOOKUP($A517,Leveranser_per_nät,'Leveranser per nät'!W$1,FALSE)
               +Andel_beroende_av_klimat*VLOOKUP($A517,Leveranser_per_nät,'Leveranser per nät'!W$1,FALSE)/VLOOKUP($B517,Korrigeringsfaktor_EI,'Korrigeringsfaktor EI'!W$1,FALSE),
"")</f>
        <v>25.506315789473685</v>
      </c>
      <c r="X517" s="18">
        <f>IFERROR(
                  Andel_oberoende_av_klimat*VLOOKUP($A517,Leveranser_per_nät,'Leveranser per nät'!X$1,FALSE)
               +Andel_beroende_av_klimat*VLOOKUP($A517,Leveranser_per_nät,'Leveranser per nät'!X$1,FALSE)/VLOOKUP($B517,Korrigeringsfaktor_EI,'Korrigeringsfaktor EI'!X$1,FALSE),
"")</f>
        <v>25.199999999999996</v>
      </c>
      <c r="Y517" s="18">
        <f>IFERROR(
                  Andel_oberoende_av_klimat*VLOOKUP($A517,Leveranser_per_nät,'Leveranser per nät'!Y$1,FALSE)
               +Andel_beroende_av_klimat*VLOOKUP($A517,Leveranser_per_nät,'Leveranser per nät'!Y$1,FALSE)/VLOOKUP($B517,Korrigeringsfaktor_EI,'Korrigeringsfaktor EI'!Y$1,FALSE),
"")</f>
        <v>23.804432989690724</v>
      </c>
      <c r="Z517" s="18">
        <f>IFERROR(
                  Andel_oberoende_av_klimat*VLOOKUP($A517,Leveranser_per_nät,'Leveranser per nät'!Z$1,FALSE)
               +Andel_beroende_av_klimat*VLOOKUP($A517,Leveranser_per_nät,'Leveranser per nät'!Z$1,FALSE)/VLOOKUP($B517,Korrigeringsfaktor_EI,'Korrigeringsfaktor EI'!Z$1,FALSE),
"")</f>
        <v>23.337128712871287</v>
      </c>
      <c r="AA517" s="18">
        <f>IFERROR(
                  Andel_oberoende_av_klimat*VLOOKUP($A517,Leveranser_per_nät,'Leveranser per nät'!AA$1,FALSE)
               +Andel_beroende_av_klimat*VLOOKUP($A517,Leveranser_per_nät,'Leveranser per nät'!AA$1,FALSE)/VLOOKUP($B517,Korrigeringsfaktor_EI,'Korrigeringsfaktor EI'!AA$1,FALSE),
"")</f>
        <v>21.983220753793443</v>
      </c>
      <c r="AB517" s="18">
        <f>IFERROR(
                  Andel_oberoende_av_klimat*VLOOKUP($A517,Leveranser_per_nät,'Leveranser per nät'!AB$1,FALSE)
               +Andel_beroende_av_klimat*VLOOKUP($A517,Leveranser_per_nät,'Leveranser per nät'!AB$1,FALSE)/VLOOKUP($B517,Korrigeringsfaktor_EI,'Korrigeringsfaktor EI'!AB$1,FALSE),
"")</f>
        <v>22.434385447394295</v>
      </c>
      <c r="AC517" s="18">
        <f>IFERROR(
                  Andel_oberoende_av_klimat*VLOOKUP($A517,Leveranser_per_nät,'Leveranser per nät'!AC$1,FALSE)
               +Andel_beroende_av_klimat*VLOOKUP($A517,Leveranser_per_nät,'Leveranser per nät'!AC$1,FALSE)/VLOOKUP($B517,Korrigeringsfaktor_EI,'Korrigeringsfaktor EI'!AC$1,FALSE),
"")</f>
        <v>21.742789051094888</v>
      </c>
      <c r="AD517" t="s">
        <v>805</v>
      </c>
    </row>
    <row r="518" spans="1:30" x14ac:dyDescent="0.25">
      <c r="A518" s="1" t="s">
        <v>470</v>
      </c>
      <c r="C518" s="18">
        <f t="shared" ref="C518:V518" si="2">SUM(C4:C510)</f>
        <v>37234.1117888523</v>
      </c>
      <c r="D518" s="18">
        <f t="shared" si="2"/>
        <v>36935.04592397582</v>
      </c>
      <c r="E518" s="18">
        <f t="shared" si="2"/>
        <v>37384.406422636494</v>
      </c>
      <c r="F518" s="18">
        <f t="shared" si="2"/>
        <v>39662.77721597076</v>
      </c>
      <c r="G518" s="18">
        <f t="shared" si="2"/>
        <v>39910.80948047628</v>
      </c>
      <c r="H518" s="18">
        <f t="shared" si="2"/>
        <v>40485.550433740565</v>
      </c>
      <c r="I518" s="18">
        <f t="shared" si="2"/>
        <v>42372.72959863353</v>
      </c>
      <c r="J518" s="18">
        <f t="shared" si="2"/>
        <v>42677.994392579792</v>
      </c>
      <c r="K518" s="18">
        <f t="shared" si="2"/>
        <v>39323.771315383077</v>
      </c>
      <c r="L518" s="18">
        <f t="shared" si="2"/>
        <v>40660.392252420701</v>
      </c>
      <c r="M518" s="18">
        <f t="shared" si="2"/>
        <v>41575.613075028959</v>
      </c>
      <c r="N518" s="18">
        <f t="shared" si="2"/>
        <v>41993.305492940955</v>
      </c>
      <c r="O518" s="18">
        <f t="shared" si="2"/>
        <v>42497.71408326261</v>
      </c>
      <c r="P518" s="18">
        <f t="shared" si="2"/>
        <v>51569.55838745425</v>
      </c>
      <c r="Q518" s="18">
        <f t="shared" si="2"/>
        <v>53769.284896647019</v>
      </c>
      <c r="R518" s="18">
        <f t="shared" si="2"/>
        <v>53691.099885032461</v>
      </c>
      <c r="S518" s="18">
        <f t="shared" si="2"/>
        <v>52075.155756822831</v>
      </c>
      <c r="T518" s="18">
        <f t="shared" si="2"/>
        <v>51903.116080303385</v>
      </c>
      <c r="U518" s="18">
        <f t="shared" si="2"/>
        <v>50335.882718599176</v>
      </c>
      <c r="V518" s="18">
        <f t="shared" si="2"/>
        <v>50697.13432654542</v>
      </c>
      <c r="W518" s="18">
        <f t="shared" ref="W518:AB518" si="3">SUM(W4:W510)</f>
        <v>52012.77014253752</v>
      </c>
      <c r="X518" s="18">
        <f t="shared" si="3"/>
        <v>51406.183657893707</v>
      </c>
      <c r="Y518" s="18">
        <f t="shared" si="3"/>
        <v>52123.988439954745</v>
      </c>
      <c r="Z518" s="18">
        <f t="shared" si="3"/>
        <v>52212.281728672446</v>
      </c>
      <c r="AA518" s="18">
        <f t="shared" si="3"/>
        <v>51184.493439477221</v>
      </c>
      <c r="AB518" s="18">
        <f t="shared" si="3"/>
        <v>50394.602373324655</v>
      </c>
      <c r="AC518" s="18">
        <f t="shared" ref="AC518" si="4">SUM(AC4:AC510)</f>
        <v>49526.523492352353</v>
      </c>
    </row>
    <row r="519" spans="1:30" x14ac:dyDescent="0.25">
      <c r="M519" s="8"/>
      <c r="N519" s="8"/>
      <c r="O519" s="8"/>
    </row>
    <row r="520" spans="1:30" x14ac:dyDescent="0.25">
      <c r="A520" t="s">
        <v>471</v>
      </c>
      <c r="B520" t="s">
        <v>483</v>
      </c>
      <c r="C520" s="18">
        <f>IFERROR(
                  Andel_oberoende_av_klimat*VLOOKUP($A520,Leveranser_per_nät,'Leveranser per nät'!C$1,FALSE)
               +Andel_beroende_av_klimat*VLOOKUP($A520,Leveranser_per_nät,'Leveranser per nät'!C$1,FALSE)/VLOOKUP($B520,Korrigeringsfaktor_EI,'Korrigeringsfaktor EI'!C$1,FALSE),
"")</f>
        <v>41759.437024061954</v>
      </c>
      <c r="D520" s="18">
        <f>IFERROR(
                  Andel_oberoende_av_klimat*VLOOKUP($A520,Leveranser_per_nät,'Leveranser per nät'!D$1,FALSE)
               +Andel_beroende_av_klimat*VLOOKUP($A520,Leveranser_per_nät,'Leveranser per nät'!D$1,FALSE)/VLOOKUP($B520,Korrigeringsfaktor_EI,'Korrigeringsfaktor EI'!D$1,FALSE),
"")</f>
        <v>41285.222126756293</v>
      </c>
      <c r="E520" s="18">
        <f>IFERROR(
                  Andel_oberoende_av_klimat*VLOOKUP($A520,Leveranser_per_nät,'Leveranser per nät'!E$1,FALSE)
               +Andel_beroende_av_klimat*VLOOKUP($A520,Leveranser_per_nät,'Leveranser per nät'!E$1,FALSE)/VLOOKUP($B520,Korrigeringsfaktor_EI,'Korrigeringsfaktor EI'!E$1,FALSE),
"")</f>
        <v>42103.871554650381</v>
      </c>
      <c r="F520" s="18">
        <f>IFERROR(
                  Andel_oberoende_av_klimat*VLOOKUP($A520,Leveranser_per_nät,'Leveranser per nät'!F$1,FALSE)
               +Andel_beroende_av_klimat*VLOOKUP($A520,Leveranser_per_nät,'Leveranser per nät'!F$1,FALSE)/VLOOKUP($B520,Korrigeringsfaktor_EI,'Korrigeringsfaktor EI'!F$1,FALSE),
"")</f>
        <v>44105.857365933844</v>
      </c>
      <c r="G520" s="18">
        <f>IFERROR(
                  Andel_oberoende_av_klimat*VLOOKUP($A520,Leveranser_per_nät,'Leveranser per nät'!G$1,FALSE)
               +Andel_beroende_av_klimat*VLOOKUP($A520,Leveranser_per_nät,'Leveranser per nät'!G$1,FALSE)/VLOOKUP($B520,Korrigeringsfaktor_EI,'Korrigeringsfaktor EI'!G$1,FALSE),
"")</f>
        <v>44177.746359356177</v>
      </c>
      <c r="H520" s="18">
        <f>IFERROR(
                  Andel_oberoende_av_klimat*VLOOKUP($A520,Leveranser_per_nät,'Leveranser per nät'!H$1,FALSE)
               +Andel_beroende_av_klimat*VLOOKUP($A520,Leveranser_per_nät,'Leveranser per nät'!H$1,FALSE)/VLOOKUP($B520,Korrigeringsfaktor_EI,'Korrigeringsfaktor EI'!H$1,FALSE),
"")</f>
        <v>46557.191765763964</v>
      </c>
      <c r="I520" s="18">
        <f>IFERROR(
                  Andel_oberoende_av_klimat*VLOOKUP($A520,Leveranser_per_nät,'Leveranser per nät'!I$1,FALSE)
               +Andel_beroende_av_klimat*VLOOKUP($A520,Leveranser_per_nät,'Leveranser per nät'!I$1,FALSE)/VLOOKUP($B520,Korrigeringsfaktor_EI,'Korrigeringsfaktor EI'!I$1,FALSE),
"")</f>
        <v>48569.352969519219</v>
      </c>
      <c r="J520" s="18">
        <f>IFERROR(
                  Andel_oberoende_av_klimat*VLOOKUP($A520,Leveranser_per_nät,'Leveranser per nät'!J$1,FALSE)
               +Andel_beroende_av_klimat*VLOOKUP($A520,Leveranser_per_nät,'Leveranser per nät'!J$1,FALSE)/VLOOKUP($B520,Korrigeringsfaktor_EI,'Korrigeringsfaktor EI'!J$1,FALSE),
"")</f>
        <v>48404.147171067241</v>
      </c>
      <c r="K520" s="18">
        <f>IFERROR(
                  Andel_oberoende_av_klimat*VLOOKUP($A520,Leveranser_per_nät,'Leveranser per nät'!K$1,FALSE)
               +Andel_beroende_av_klimat*VLOOKUP($A520,Leveranser_per_nät,'Leveranser per nät'!K$1,FALSE)/VLOOKUP($B520,Korrigeringsfaktor_EI,'Korrigeringsfaktor EI'!K$1,FALSE),
"")</f>
        <v>48607.796207073297</v>
      </c>
      <c r="L520" s="18">
        <f>IFERROR(
                  Andel_oberoende_av_klimat*VLOOKUP($A520,Leveranser_per_nät,'Leveranser per nät'!L$1,FALSE)
               +Andel_beroende_av_klimat*VLOOKUP($A520,Leveranser_per_nät,'Leveranser per nät'!L$1,FALSE)/VLOOKUP($B520,Korrigeringsfaktor_EI,'Korrigeringsfaktor EI'!L$1,FALSE),
"")</f>
        <v>50312.610678590216</v>
      </c>
      <c r="M520" s="18">
        <f>IFERROR(
                  Andel_oberoende_av_klimat*VLOOKUP($A520,Leveranser_per_nät,'Leveranser per nät'!M$1,FALSE)
               +Andel_beroende_av_klimat*VLOOKUP($A520,Leveranser_per_nät,'Leveranser per nät'!M$1,FALSE)/VLOOKUP($B520,Korrigeringsfaktor_EI,'Korrigeringsfaktor EI'!M$1,FALSE),
"")</f>
        <v>50294.089607929738</v>
      </c>
      <c r="N520" s="18">
        <f>IFERROR(
                  Andel_oberoende_av_klimat*VLOOKUP($A520,Leveranser_per_nät,'Leveranser per nät'!N$1,FALSE)
               +Andel_beroende_av_klimat*VLOOKUP($A520,Leveranser_per_nät,'Leveranser per nät'!N$1,FALSE)/VLOOKUP($B520,Korrigeringsfaktor_EI,'Korrigeringsfaktor EI'!N$1,FALSE),
"")</f>
        <v>54267.367691696076</v>
      </c>
      <c r="O520" s="18">
        <f>IFERROR(
                  Andel_oberoende_av_klimat*VLOOKUP($A520,Leveranser_per_nät,'Leveranser per nät'!O$1,FALSE)
               +Andel_beroende_av_klimat*VLOOKUP($A520,Leveranser_per_nät,'Leveranser per nät'!O$1,FALSE)/VLOOKUP($B520,Korrigeringsfaktor_EI,'Korrigeringsfaktor EI'!O$1,FALSE),
"")</f>
        <v>54673.56625705176</v>
      </c>
      <c r="P520" s="18">
        <f>IFERROR(
                  Andel_oberoende_av_klimat*VLOOKUP($A520,Leveranser_per_nät,'Leveranser per nät'!P$1,FALSE)
               +Andel_beroende_av_klimat*VLOOKUP($A520,Leveranser_per_nät,'Leveranser per nät'!P$1,FALSE)/VLOOKUP($B520,Korrigeringsfaktor_EI,'Korrigeringsfaktor EI'!P$1,FALSE),
"")</f>
        <v>54730.223174596991</v>
      </c>
      <c r="Q520" s="18">
        <f>IFERROR(
                  Andel_oberoende_av_klimat*VLOOKUP($A520,Leveranser_per_nät,'Leveranser per nät'!Q$1,FALSE)
               +Andel_beroende_av_klimat*VLOOKUP($A520,Leveranser_per_nät,'Leveranser per nät'!Q$1,FALSE)/VLOOKUP($B520,Korrigeringsfaktor_EI,'Korrigeringsfaktor EI'!Q$1,FALSE),
"")</f>
        <v>55903.329131451173</v>
      </c>
      <c r="R520" s="18">
        <f>IFERROR(
                  Andel_oberoende_av_klimat*VLOOKUP($A520,Leveranser_per_nät,'Leveranser per nät'!R$1,FALSE)
               +Andel_beroende_av_klimat*VLOOKUP($A520,Leveranser_per_nät,'Leveranser per nät'!R$1,FALSE)/VLOOKUP($B520,Korrigeringsfaktor_EI,'Korrigeringsfaktor EI'!R$1,FALSE),
"")</f>
        <v>53970.358299733271</v>
      </c>
      <c r="S520" s="18">
        <f>IFERROR(
                  Andel_oberoende_av_klimat*VLOOKUP($A520,Leveranser_per_nät,'Leveranser per nät'!S$1,FALSE)
               +Andel_beroende_av_klimat*VLOOKUP($A520,Leveranser_per_nät,'Leveranser per nät'!S$1,FALSE)/VLOOKUP($B520,Korrigeringsfaktor_EI,'Korrigeringsfaktor EI'!S$1,FALSE),
"")</f>
        <v>52921.901018773409</v>
      </c>
      <c r="T520" s="18">
        <f>IFERROR(
                  Andel_oberoende_av_klimat*VLOOKUP($A520,Leveranser_per_nät,'Leveranser per nät'!T$1,FALSE)
               +Andel_beroende_av_klimat*VLOOKUP($A520,Leveranser_per_nät,'Leveranser per nät'!T$1,FALSE)/VLOOKUP($B520,Korrigeringsfaktor_EI,'Korrigeringsfaktor EI'!T$1,FALSE),
"")</f>
        <v>53306.899281324862</v>
      </c>
      <c r="U520" s="18">
        <f>IFERROR(
                  Andel_oberoende_av_klimat*VLOOKUP($A520,Leveranser_per_nät,'Leveranser per nät'!U$1,FALSE)
               +Andel_beroende_av_klimat*VLOOKUP($A520,Leveranser_per_nät,'Leveranser per nät'!U$1,FALSE)/VLOOKUP($B520,Korrigeringsfaktor_EI,'Korrigeringsfaktor EI'!U$1,FALSE),
"")</f>
        <v>52781.981981981982</v>
      </c>
      <c r="V520" s="18">
        <f>IFERROR(
                  Andel_oberoende_av_klimat*VLOOKUP($A520,Leveranser_per_nät,'Leveranser per nät'!V$1,FALSE)
               +Andel_beroende_av_klimat*VLOOKUP($A520,Leveranser_per_nät,'Leveranser per nät'!V$1,FALSE)/VLOOKUP($B520,Korrigeringsfaktor_EI,'Korrigeringsfaktor EI'!V$1,FALSE),
"")</f>
        <v>52385.85635359116</v>
      </c>
      <c r="W520" s="18">
        <f>IFERROR(
                  Andel_oberoende_av_klimat*VLOOKUP($A520,Leveranser_per_nät,'Leveranser per nät'!W$1,FALSE)
               +Andel_beroende_av_klimat*VLOOKUP($A520,Leveranser_per_nät,'Leveranser per nät'!W$1,FALSE)/VLOOKUP($B520,Korrigeringsfaktor_EI,'Korrigeringsfaktor EI'!W$1,FALSE),
"")</f>
        <v>53397.622968123287</v>
      </c>
      <c r="X520" s="18">
        <f>IFERROR(
                  Andel_oberoende_av_klimat*VLOOKUP($A520,Leveranser_per_nät,'Leveranser per nät'!X$1,FALSE)
               +Andel_beroende_av_klimat*VLOOKUP($A520,Leveranser_per_nät,'Leveranser per nät'!X$1,FALSE)/VLOOKUP($B520,Korrigeringsfaktor_EI,'Korrigeringsfaktor EI'!X$1,FALSE),
"")</f>
        <v>52768.142623297077</v>
      </c>
      <c r="Y520" s="18">
        <f>IFERROR(
                  Andel_oberoende_av_klimat*VLOOKUP($A520,Leveranser_per_nät,'Leveranser per nät'!Y$1,FALSE)
               +Andel_beroende_av_klimat*VLOOKUP($A520,Leveranser_per_nät,'Leveranser per nät'!Y$1,FALSE)/VLOOKUP($B520,Korrigeringsfaktor_EI,'Korrigeringsfaktor EI'!Y$1,FALSE),
"")</f>
        <v>54276.991264895594</v>
      </c>
      <c r="Z520" s="18">
        <f>IFERROR(
                  Andel_oberoende_av_klimat*VLOOKUP($A520,Leveranser_per_nät,'Leveranser per nät'!Z$1,FALSE)
               +Andel_beroende_av_klimat*VLOOKUP($A520,Leveranser_per_nät,'Leveranser per nät'!Z$1,FALSE)/VLOOKUP($B520,Korrigeringsfaktor_EI,'Korrigeringsfaktor EI'!Z$1,FALSE),
"")</f>
        <v>53834.952404938274</v>
      </c>
      <c r="AA520" s="18">
        <f>IFERROR(
                  Andel_oberoende_av_klimat*VLOOKUP($A520,Leveranser_per_nät,'Leveranser per nät'!AA$1,FALSE)
               +Andel_beroende_av_klimat*VLOOKUP($A520,Leveranser_per_nät,'Leveranser per nät'!AA$1,FALSE)/VLOOKUP($B520,Korrigeringsfaktor_EI,'Korrigeringsfaktor EI'!AA$1,FALSE),
"")</f>
        <v>51995.333971228822</v>
      </c>
      <c r="AB520" s="18">
        <f>IFERROR(
                  Andel_oberoende_av_klimat*VLOOKUP($A520,Leveranser_per_nät,'Leveranser per nät'!AB$1,FALSE)
               +Andel_beroende_av_klimat*VLOOKUP($A520,Leveranser_per_nät,'Leveranser per nät'!AB$1,FALSE)/VLOOKUP($B520,Korrigeringsfaktor_EI,'Korrigeringsfaktor EI'!AB$1,FALSE),
"")</f>
        <v>52942.412547001783</v>
      </c>
      <c r="AC520" s="18">
        <f>IFERROR(
                  Andel_oberoende_av_klimat*VLOOKUP($A520,Leveranser_per_nät,'Leveranser per nät'!AC$1,FALSE)
               +Andel_beroende_av_klimat*VLOOKUP($A520,Leveranser_per_nät,'Leveranser per nät'!AC$1,FALSE)/VLOOKUP($B520,Korrigeringsfaktor_EI,'Korrigeringsfaktor EI'!AC$1,FALSE),
"")</f>
        <v>51006.346275752774</v>
      </c>
    </row>
    <row r="521" spans="1:30" x14ac:dyDescent="0.25">
      <c r="A521" t="s">
        <v>472</v>
      </c>
      <c r="C521" s="15">
        <f>IF(C520-C518&lt;0, 0, C520-C518)</f>
        <v>4525.3252352096533</v>
      </c>
      <c r="D521" s="15">
        <f t="shared" ref="D521:W521" si="5">IF(D520-D518&lt;0, 0, D520-D518)</f>
        <v>4350.1762027804725</v>
      </c>
      <c r="E521" s="15">
        <f t="shared" si="5"/>
        <v>4719.4651320138873</v>
      </c>
      <c r="F521" s="15">
        <f t="shared" si="5"/>
        <v>4443.0801499630834</v>
      </c>
      <c r="G521" s="15">
        <f t="shared" si="5"/>
        <v>4266.9368788798965</v>
      </c>
      <c r="H521" s="15">
        <f t="shared" si="5"/>
        <v>6071.6413320233987</v>
      </c>
      <c r="I521" s="15">
        <f t="shared" si="5"/>
        <v>6196.6233708856889</v>
      </c>
      <c r="J521" s="15">
        <f t="shared" si="5"/>
        <v>5726.1527784874488</v>
      </c>
      <c r="K521" s="15">
        <f t="shared" si="5"/>
        <v>9284.0248916902201</v>
      </c>
      <c r="L521" s="15">
        <f t="shared" si="5"/>
        <v>9652.2184261695147</v>
      </c>
      <c r="M521" s="15">
        <f t="shared" si="5"/>
        <v>8718.4765329007787</v>
      </c>
      <c r="N521" s="15">
        <f t="shared" si="5"/>
        <v>12274.06219875512</v>
      </c>
      <c r="O521" s="15">
        <f t="shared" si="5"/>
        <v>12175.85217378915</v>
      </c>
      <c r="P521" s="15">
        <f t="shared" si="5"/>
        <v>3160.6647871427413</v>
      </c>
      <c r="Q521" s="15">
        <f t="shared" si="5"/>
        <v>2134.0442348041543</v>
      </c>
      <c r="R521" s="15">
        <f t="shared" si="5"/>
        <v>279.25841470080923</v>
      </c>
      <c r="S521" s="15">
        <f t="shared" si="5"/>
        <v>846.74526195057842</v>
      </c>
      <c r="T521" s="15">
        <f t="shared" si="5"/>
        <v>1403.783201021477</v>
      </c>
      <c r="U521" s="15">
        <f t="shared" si="5"/>
        <v>2446.0992633828064</v>
      </c>
      <c r="V521" s="15">
        <f t="shared" si="5"/>
        <v>1688.7220270457401</v>
      </c>
      <c r="W521" s="15">
        <f t="shared" si="5"/>
        <v>1384.8528255857673</v>
      </c>
      <c r="X521" s="15">
        <f t="shared" ref="X521:Y521" si="6">IF(X520-X518&lt;0, 0, X520-X518)</f>
        <v>1361.9589654033698</v>
      </c>
      <c r="Y521" s="15">
        <f t="shared" si="6"/>
        <v>2153.0028249408497</v>
      </c>
      <c r="Z521" s="15">
        <f t="shared" ref="Z521:AA521" si="7">IF(Z520-Z518&lt;0, 0, Z520-Z518)</f>
        <v>1622.6706762658287</v>
      </c>
      <c r="AA521" s="15">
        <f t="shared" si="7"/>
        <v>810.84053175160079</v>
      </c>
      <c r="AB521" s="15">
        <f t="shared" ref="AB521:AC521" si="8">IF(AB520-AB518&lt;0, 0, AB520-AB518)</f>
        <v>2547.8101736771278</v>
      </c>
      <c r="AC521" s="15">
        <f t="shared" si="8"/>
        <v>1479.822783400421</v>
      </c>
    </row>
  </sheetData>
  <sortState xmlns:xlrd2="http://schemas.microsoft.com/office/spreadsheetml/2017/richdata2" ref="A4:W517">
    <sortCondition ref="A4:A517"/>
  </sortState>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g 1 Y x T S f o L l W o A A A A + A A A A B I A H A B D b 2 5 m a W c v U G F j a 2 F n Z S 5 4 b W w g o h g A K K A U A A A A A A A A A A A A A A A A A A A A A A A A A A A A h Y / R C o I w G I V f R X b v 5 l Z J y e + 8 i O 4 S A i G 6 H b p 0 p D P c d L 5 b F z 1 S r 5 B Q V n d d n s N 3 4 D u P 2 x 2 S s a m 9 Q X Z G t T p G F A f I k z p v C 6 X L G P X 2 7 K 9 R w u E g 8 o s o p T f B 2 k S j U T G q r L 1 G h D j n s F v g t i s J C w J K T u k + y y v Z C F 9 p Y 4 X O J f q s i v 8 r x O H 4 k u E M h x S v 6 I b h Z U i B z D W k S n 8 R N h n j A M h P C d u + t n 0 n u R n 8 b A d k j k D e L / g T U E s D B B Q A A g A I A I N W M U 0 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D V j F N K I p H u A 4 A A A A R A A A A E w A c A E Z v c m 1 1 b G F z L 1 N l Y 3 R p b 2 4 x L m 0 g o h g A K K A U A A A A A A A A A A A A A A A A A A A A A A A A A A A A K 0 5 N L s n M z 1 M I h t C G 1 g B Q S w E C L Q A U A A I A C A C D V j F N J + g u V a g A A A D 4 A A A A E g A A A A A A A A A A A A A A A A A A A A A A Q 2 9 u Z m l n L 1 B h Y 2 t h Z 2 U u e G 1 s U E s B A i 0 A F A A C A A g A g 1 Y x T Q / K 6 a u k A A A A 6 Q A A A B M A A A A A A A A A A A A A A A A A 9 A A A A F t D b 2 5 0 Z W 5 0 X 1 R 5 c G V z X S 5 4 b W x Q S w E C L Q A U A A I A C A C D V j F N 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4 Q / Z z J X 5 + E a U U L q u T J x M n A A A A A A C A A A A A A A D Z g A A w A A A A B A A A A A 4 r 8 Y S C C 1 L e z e w U L D b 8 8 R f A A A A A A S A A A C g A A A A E A A A A N c M F x x 4 M k z V L D B L 2 J T 9 k g N Q A A A A W Y J Y 6 R s b n K w 5 a k + e T y J 1 s V u F S J j 3 8 Q v 8 C O n e Z Z v 9 4 v 1 8 M R n G q J v o M r c e D o 7 I K F + y h w m x L p u 4 u Y S l I D R K h R X S W I Z k k 0 I K + n o r K I V + c z c f 5 l 8 U A A A A I p A D D b U 3 M E D j U h Z V 3 F h 2 o P + H F s 4 = < / D a t a M a s h u p > 
</file>

<file path=customXml/itemProps1.xml><?xml version="1.0" encoding="utf-8"?>
<ds:datastoreItem xmlns:ds="http://schemas.openxmlformats.org/officeDocument/2006/customXml" ds:itemID="{4F703A06-1C11-4145-817A-05436F44CD6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vt:i4>
      </vt:variant>
    </vt:vector>
  </HeadingPairs>
  <TitlesOfParts>
    <vt:vector size="28" baseType="lpstr">
      <vt:lpstr>Om statistiken</vt:lpstr>
      <vt:lpstr>Info Excelfil</vt:lpstr>
      <vt:lpstr>Resultatblad</vt:lpstr>
      <vt:lpstr>Funktionsblad</vt:lpstr>
      <vt:lpstr>Korrigeringsfaktor GD</vt:lpstr>
      <vt:lpstr>Korrigeringsfaktor EI</vt:lpstr>
      <vt:lpstr>Nya orter</vt:lpstr>
      <vt:lpstr>Korrigerade leveranser GD</vt:lpstr>
      <vt:lpstr>Korrigerade leveranser EI</vt:lpstr>
      <vt:lpstr>Leveranser per nät</vt:lpstr>
      <vt:lpstr>Lev 2022</vt:lpstr>
      <vt:lpstr>Lev 2021</vt:lpstr>
      <vt:lpstr>Lev 2020</vt:lpstr>
      <vt:lpstr>Lev2019</vt:lpstr>
      <vt:lpstr>Lev2018</vt:lpstr>
      <vt:lpstr>Lev 2017</vt:lpstr>
      <vt:lpstr>Lev 2016</vt:lpstr>
      <vt:lpstr>Lev 2015</vt:lpstr>
      <vt:lpstr>lev 2014</vt:lpstr>
      <vt:lpstr>lev 2013</vt:lpstr>
      <vt:lpstr>lev 2012</vt:lpstr>
      <vt:lpstr>Indexnamn</vt:lpstr>
      <vt:lpstr>Info Lev per nät</vt:lpstr>
      <vt:lpstr>Andel_beroende_av_klimat</vt:lpstr>
      <vt:lpstr>Andel_oberoende_av_klimat</vt:lpstr>
      <vt:lpstr>Korrigeringsfaktor_EI</vt:lpstr>
      <vt:lpstr>Korrigeringsfaktor_GD</vt:lpstr>
      <vt:lpstr>Leveranser_per_nät</vt:lpstr>
    </vt:vector>
  </TitlesOfParts>
  <Company>AB ÅF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Jernelius</dc:creator>
  <cp:lastModifiedBy>Felicia Östby</cp:lastModifiedBy>
  <dcterms:created xsi:type="dcterms:W3CDTF">2013-03-25T14:11:50Z</dcterms:created>
  <dcterms:modified xsi:type="dcterms:W3CDTF">2023-10-23T10:52:37Z</dcterms:modified>
</cp:coreProperties>
</file>